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harts/chart1.xml" ContentType="application/vnd.openxmlformats-officedocument.drawingml.chart+xml"/>
  <ns0:Override PartName="/xl/charts/chart2.xml" ContentType="application/vnd.openxmlformats-officedocument.drawingml.chart+xml"/>
  <ns0:Override PartName="/xl/charts/chart3.xml" ContentType="application/vnd.openxmlformats-officedocument.drawingml.chart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6="http://schemas.microsoft.com/office/spreadsheetml/2015/revision2" xmlns:r="http://schemas.openxmlformats.org/officeDocument/2006/relationships" xmlns:xr="http://schemas.microsoft.com/office/spreadsheetml/2014/revision" xmlns:xr10="http://schemas.microsoft.com/office/spreadsheetml/2016/revision10" xmlns:xr6="http://schemas.microsoft.com/office/spreadsheetml/2016/revision6" mc:Ignorable="x15 xr xr6 xr10 xr2">
  <fileVersion appName="xl" lastEdited="7" lowestEdited="7" rupBuild="29127"/>
  <workbookPr/>
  <mc:AlternateContent>
    <mc:Choice Requires="x15">
      <ns2:absPath url="C:\Users\Ali KILIÇ\Downloads\"/>
    </mc:Choice>
  </mc:AlternateContent>
  <xr:revisionPtr revIDLastSave="0" documentId="8_{AB7979F5-6DEF-4E5B-BB31-5FDEA6016D76}" xr6:coauthVersionLast="47" xr6:coauthVersionMax="47" xr10:uidLastSave="{00000000-0000-0000-0000-000000000000}"/>
  <bookViews>
    <workbookView xWindow="-120" yWindow="-120" windowWidth="29040" windowHeight="15840" tabRatio="500" ns6:uid="{00000000-000D-0000-FFFF-FFFF00000000}"/>
  </bookViews>
  <sheets>
    <sheet name="PANO" sheetId="1" r:id="rId1"/>
    <sheet name="BASLANGIC" sheetId="2" r:id="rId2"/>
    <sheet name="MUSTERILER" sheetId="3" r:id="rId3"/>
    <sheet name="UCRETLER" sheetId="4" r:id="rId4"/>
    <sheet name="TAHSILAT" sheetId="5" r:id="rId5"/>
    <sheet name="GELIR_GIDER" sheetId="6" r:id="rId6"/>
    <sheet name="VIRMAN" sheetId="7" r:id="rId7"/>
    <sheet name="ORTAK_EKSTRE" sheetId="8" r:id="rId8"/>
    <sheet name="CARI_EKSTRE" sheetId="9" r:id="rId9"/>
    <sheet name="MUSTERI_360" sheetId="10" r:id="rId10"/>
    <sheet name="HESAPLAR" sheetId="11" r:id="rId11"/>
    <sheet name="AY_SONU" sheetId="12" r:id="rId12"/>
    <sheet name="ORTAKLAR" sheetId="13" r:id="rId13"/>
    <sheet name="SISTEM" sheetId="14" r:id="rId14"/>
    <sheet name="KAR" sheetId="15" r:id="rId15"/>
  </sheets>
  <definedNames>
    <definedName name="_xlnm._FilterDatabase" localSheetId="11" hidden="1">AY_SONU!$B$6:$T$42</definedName>
    <definedName name="_xlnm._FilterDatabase" localSheetId="5" hidden="1">GELIR_GIDER!$B$6:$P$3001</definedName>
    <definedName name="_xlnm._FilterDatabase" localSheetId="9" hidden="1">MUSTERI_360!$B$6:$W$156</definedName>
    <definedName name="_xlnm._FilterDatabase" localSheetId="2" hidden="1">MUSTERILER!$B$6:$P$156</definedName>
    <definedName name="_xlnm._FilterDatabase" localSheetId="7" hidden="1">ORTAK_EKSTRE!$B$37:$I$37</definedName>
    <definedName name="_xlnm._FilterDatabase" localSheetId="4" hidden="1">TAHSILAT!$B$6:$N$2503</definedName>
    <definedName name="_xlnm._FilterDatabase" localSheetId="3" hidden="1">UCRETLER!$B$6:$P$606</definedName>
    <definedName name="_xlnm._FilterDatabase" localSheetId="6" hidden="1">VIRMAN!$B$6:$J$406</definedName>
    <definedName name="CARI_BAKIYE">MUSTERI_360!$J$7:$J$156</definedName>
    <definedName name="EKSTRE">OFFSET(CARI_EKSTRE!$A$1,0,0,15+COUNT(CARI_EKSTRE!$C$12:$C$311)+4,8)</definedName>
    <definedName name="EKSTRE_BAKIYE">CARI_EKSTRE!$F$9</definedName>
    <definedName name="EKSTRE_TABLO">OFFSET(CARI_EKSTRE!$B$11,0,0,1+COUNT(CARI_EKSTRE!$C$12:$C$311),7)</definedName>
    <definedName name="GECIKMIS_29">MUSTERI_360!$N$7:$N$156</definedName>
    <definedName name="Gelir">SISTEM!$K$36:$K$60</definedName>
    <definedName name="Gider">SISTEM!$K$8:$K$32</definedName>
    <definedName name="LST_HESAP">HESAPLAR!$B$7:$B$16</definedName>
    <definedName name="LST_MUSTERI_ADI">MUSTERILER!$C$7:$C$156</definedName>
    <definedName name="LST_ORTAK">ORTAKLAR!$B$7:$B$10</definedName>
    <definedName name="NAKIT_POZISYON">HESAPLAR!$K$18</definedName>
    <definedName name="SISTEM_SONUC">SISTEM!$F$23:$F$90</definedName>
    <definedName name="_xlnm.Print_Area" localSheetId="11">AY_SONU!$A$1:$T$42</definedName>
    <definedName name="_xlnm.Print_Area" localSheetId="1">BASLANGIC!$A$1:$I$193</definedName>
    <definedName name="_xlnm.Print_Area" localSheetId="8">CARI_EKSTRE!$A$1:$H$315</definedName>
    <definedName name="_xlnm.Print_Area" localSheetId="5">GELIR_GIDER!$A$1:$P$103</definedName>
    <definedName name="_xlnm.Print_Area" localSheetId="10">HESAPLAR!$A$1:$K$18</definedName>
    <definedName name="_xlnm.Print_Area" localSheetId="14">KAR!$A$1:$J$48</definedName>
    <definedName name="_xlnm.Print_Area" localSheetId="9">MUSTERI_360!$A$1:$W$106</definedName>
    <definedName name="_xlnm.Print_Area" localSheetId="2">MUSTERILER!$A$1:$P$106</definedName>
    <definedName name="_xlnm.Print_Area" localSheetId="7">ORTAK_EKSTRE!$A$1:$Q$953</definedName>
    <definedName name="_xlnm.Print_Area" localSheetId="12">ORTAKLAR!$A$1:$L$187</definedName>
    <definedName name="_xlnm.Print_Area" localSheetId="0">PANO!$A$1:$O$43</definedName>
    <definedName name="_xlnm.Print_Area" localSheetId="13">SISTEM!$A$1:$M$72</definedName>
    <definedName name="_xlnm.Print_Area" localSheetId="4">TAHSILAT!$A$1:$N$106</definedName>
    <definedName name="_xlnm.Print_Area" localSheetId="3">UCRETLER!$A$1:$P$106</definedName>
    <definedName name="_xlnm.Print_Area" localSheetId="6">VIRMAN!$A$1:$J$106</definedName>
    <definedName name="_xlnm.Print_Titles" localSheetId="11">AY_SONU!$6:$6</definedName>
    <definedName name="_xlnm.Print_Titles" localSheetId="1">BASLANGIC!$1:$2</definedName>
    <definedName name="_xlnm.Print_Titles" localSheetId="8">CARI_EKSTRE!$5:$11</definedName>
    <definedName name="_xlnm.Print_Titles" localSheetId="5">GELIR_GIDER!$6:$6</definedName>
    <definedName name="_xlnm.Print_Titles" localSheetId="10">HESAPLAR!$6:$6</definedName>
    <definedName name="_xlnm.Print_Titles" localSheetId="14">KAR!$1:$7</definedName>
    <definedName name="_xlnm.Print_Titles" localSheetId="9">MUSTERI_360!$6:$6</definedName>
    <definedName name="_xlnm.Print_Titles" localSheetId="2">MUSTERILER!$6:$6</definedName>
    <definedName name="_xlnm.Print_Titles" localSheetId="7">ORTAK_EKSTRE!$35:$37</definedName>
    <definedName name="_xlnm.Print_Titles" localSheetId="12">ORTAKLAR!$37:$37</definedName>
    <definedName name="_xlnm.Print_Titles" localSheetId="13">SISTEM!$1:$2</definedName>
    <definedName name="_xlnm.Print_Titles" localSheetId="4">TAHSILAT!$6:$6</definedName>
    <definedName name="_xlnm.Print_Titles" localSheetId="3">UCRETLER!$6:$6</definedName>
    <definedName name="_xlnm.Print_Titles" localSheetId="6">VIRMAN!$6:$6</definedName>
  </definedNames>
  <calcPr calcId="191029" forceFullCalc="1" calcMode="auto" fullCalcOnLoad="1"/>
</workbook>
</file>

<file path=xl/sharedStrings.xml><?xml version="1.0" encoding="utf-8"?>
<sst xmlns="http://schemas.openxmlformats.org/spreadsheetml/2006/main" count="5128" uniqueCount="1320">
  <si>
    <t>◈  RAPOR EKRANI — KAYIT GİRİLMEZ</t>
  </si>
  <si>
    <t>KILIÇ MUHASEBE   │   YÖNETİM PANOSU</t>
  </si>
  <si>
    <t>MENÜ</t>
  </si>
  <si>
    <t>AKTİF MÜŞTERİ</t>
  </si>
  <si>
    <t>TOPLAM CARİ ALACAK</t>
  </si>
  <si>
    <t>29+ GÜN GECİKMİŞ</t>
  </si>
  <si>
    <t>KASA + BANKA</t>
  </si>
  <si>
    <t>BU AY NAKİT KÂR</t>
  </si>
  <si>
    <t>BU AY TAHSİLAT</t>
  </si>
  <si>
    <t>HAFTALIK TAHAKKUK</t>
  </si>
  <si>
    <t>ORTAKLARA KALAN BORÇ</t>
  </si>
  <si>
    <t>AYLIK NAKİT KÂR EĞRİSİ</t>
  </si>
  <si>
    <t>TAHAKKUK ↔ TAHSİLAT</t>
  </si>
  <si>
    <t>ALACAK YAŞLANDIRMASI</t>
  </si>
  <si>
    <t>MÜŞTERİ HIZLI KARTI</t>
  </si>
  <si>
    <t>BUGÜNÜN UYARILARI</t>
  </si>
  <si>
    <t>Müşteri seçin</t>
  </si>
  <si>
    <t>ANKARA HAVANA LTD.ŞTİ.</t>
  </si>
  <si>
    <t>Ortaklara toplam kalan alacak</t>
  </si>
  <si>
    <t>Müşteri No</t>
  </si>
  <si>
    <t>Ödenen toplam kâr payı</t>
  </si>
  <si>
    <t>Borç Durumu</t>
  </si>
  <si>
    <t>Birikimli kâr payı hak edişi</t>
  </si>
  <si>
    <t>Haftalık Ücret</t>
  </si>
  <si>
    <t>Ortakların elindeki ofis kasası</t>
  </si>
  <si>
    <t>Aylık Ücret</t>
  </si>
  <si>
    <t>Kritik borç durumundaki müşteri</t>
  </si>
  <si>
    <t>Devir Alacağı</t>
  </si>
  <si>
    <t>Bilgisi eksik müşteri kaydı</t>
  </si>
  <si>
    <t>Yeni Tahakkuk</t>
  </si>
  <si>
    <t>Aktif ama ücretsiz müşteri</t>
  </si>
  <si>
    <t>Toplam Borç</t>
  </si>
  <si>
    <t>Eksik tahsilat kaydı</t>
  </si>
  <si>
    <t>Toplam Tahsilat</t>
  </si>
  <si>
    <t>Eksik gelir/gider kaydı</t>
  </si>
  <si>
    <t>Cari Bakiye</t>
  </si>
  <si>
    <t>Fazla ödeme yapan müşteri (avans)</t>
  </si>
  <si>
    <t>0–7 Gün</t>
  </si>
  <si>
    <t>Mükerrer kayıt şüphesi</t>
  </si>
  <si>
    <t>8–14 Gün</t>
  </si>
  <si>
    <t>Ödenmemiş gider kaydı</t>
  </si>
  <si>
    <t>15–28 Gün</t>
  </si>
  <si>
    <t>Sistem kontrolünde KALDI satırı</t>
  </si>
  <si>
    <t>29+ Gün</t>
  </si>
  <si>
    <t>Tahsilat Oranı</t>
  </si>
  <si>
    <t>Son Tahsilat</t>
  </si>
  <si>
    <t>Önerilen İşlem</t>
  </si>
  <si>
    <t>KILIÇ MUHASEBE   │   BAŞLANGIÇ  │  AMAÇ, RENK KİLAVUZU, KULLANIM VE RİSKLER</t>
  </si>
  <si>
    <t>BU EKRANA KAYIT GİRİLMEZ   │   Bu ekran sistemin kimlik kartıdır │ İlk kez açıyorsanız baştan sona okuyun</t>
  </si>
  <si>
    <t>KILIÇ MUHASEBE  │  OFİS YÖNETİM SİSTEMİ</t>
  </si>
  <si>
    <t>Enterprise Exclusive sürüm │ Haftalık ve aylık ücretle çalışan muhasebe ofisleri için müşteri, tahakkuk, tahsilat, cari, kasa ve ortak payı yönetimi</t>
  </si>
  <si>
    <t>İÇİNDEKİLER  │  başlığa tıklayın, doğrudan o bölüme gidersiniz</t>
  </si>
  <si>
    <t>1.  BU EXCEL NE İÇİN ÜRETİLDİ?</t>
  </si>
  <si>
    <t>Başlık</t>
  </si>
  <si>
    <t>Açıklama</t>
  </si>
  <si>
    <t>Amaç</t>
  </si>
  <si>
    <t>Haftalık veya aylık ücretle çalışan bir muhasebe ofisinin tüm ticari işleyişini tek dosyada, tek veri girişiyle ve kendi kendini denetleyen bir yapıyla yönetmek.</t>
  </si>
  <si>
    <t>Neyi çözer?</t>
  </si>
  <si>
    <t>“Kim ne kadar borçlu, bu borç kaç günlük, kasada ne kadar param var, bu ay gerçekten ne kazandım, ortaklara ne dağıtabilirim” sorularını tahmine dayanmadan cevaplar.</t>
  </si>
  <si>
    <t>Nasıl çalışır?</t>
  </si>
  <si>
    <t>Siz yalnızca SARI hücrelere gerçek işlemi girersiniz. Cari hesap, yaşlandırma, kasa bakiyesi, aylık kapanış, ortak payı ve ekstreler otomatik hesaplanır.</t>
  </si>
  <si>
    <t>Neden güvenilir?</t>
  </si>
  <si>
    <t>Sistem her açılışta 55 otomatik kontrol çalıştırır. Hata oluşursa SİSTEM ekranındaki “Nerede?” sütunu sayfa + satır/hücre adresini ve ilk hatalı kaydı gösterir. KRİTİK bir kontrol KALDI verirse ay kapatılamaz.</t>
  </si>
  <si>
    <t>Tahakkuk esası</t>
  </si>
  <si>
    <t>Haftalık ücret her hafta aynı günde, aylık ücret her ayın son gününde otomatik tahakkuk eder. Ücret değiştiğinde eski dönem kapatılır, yeni dönem açılır.</t>
  </si>
  <si>
    <t>Kâr esası</t>
  </si>
  <si>
    <t>Kâr ve ortak hakedişi yalnız TAHSİL EDİLMİŞ nakit sonuçtan oluşur. Tahsil edilmemiş alacak kâr sayılmaz. Ortak hakedişinden fazla para çekerse işlem engellenmez; fark AVANS olarak eksi/kırmızı izlenir.</t>
  </si>
  <si>
    <t>2.  RENK KİLAVUZU  │  EKRANDAKİ RENKLER NE ANLAMA GELİR?</t>
  </si>
  <si>
    <t>Renk</t>
  </si>
  <si>
    <t>Ne görünür</t>
  </si>
  <si>
    <t>Anlamı</t>
  </si>
  <si>
    <t>Ne yapmanız gerekir</t>
  </si>
  <si>
    <t>■</t>
  </si>
  <si>
    <t>SARI ZEMİN / MAVİ YAZI</t>
  </si>
  <si>
    <t>SİZ YAZARSINIZ</t>
  </si>
  <si>
    <t>Sistemin tek besleme kaynağı bu hücrelerdir. Başka hiçbir yere veri girilmez.</t>
  </si>
  <si>
    <t>BEYAZ ZEMİN / SİYAH YAZI</t>
  </si>
  <si>
    <t>SİSTEM HESAPLAR</t>
  </si>
  <si>
    <t>Kilitlidir, elle değiştirilemez. Değeri yanlışsa burayı değil KAYNAK defteri düzeltin.</t>
  </si>
  <si>
    <t>LACİVERT BANT  ✎</t>
  </si>
  <si>
    <t>VERİ GİRİŞ EKRANI</t>
  </si>
  <si>
    <t>Sayfanın üstü LACİVERT ise buraya kayıt girilir. Sağ üstte sarı “VERİ GİRİŞ EKRANI” rozeti vardır.</t>
  </si>
  <si>
    <t>SARI/ALTIN ROZET  ⚙</t>
  </si>
  <si>
    <t>KARMA EKRAN — YALNIZ SARI ALANLAR</t>
  </si>
  <si>
    <t>SİSTEM, AY SONU ve ORTAKLAR ekranları karmadır: bir kısmı girilir, bir kısmı salt okunur. Her bloğun başlığında ✎ GİRİLEBİLİR veya ◈ SALT OKUNUR yazar.</t>
  </si>
  <si>
    <t>KOYU GRİ BANT  ◈</t>
  </si>
  <si>
    <t>RAPOR EKRANI — KAYIT GİRİLMEZ</t>
  </si>
  <si>
    <t>Sayfanın üstü KOYU GRİ ise o ekrana KAYIT GİRİLMEZ. Sağ üstte beyaz “RAPOR EKRANI” rozeti vardır. Yalnız müşteri/ortak seçim kutusu yazılabilir.</t>
  </si>
  <si>
    <t>SARI HÜCRE YOKSA</t>
  </si>
  <si>
    <t>O EKRANA VERİ GİRİLMEZ</t>
  </si>
  <si>
    <t>Kural: bir ekranda hiç sarı hücre görmüyorsanız, o ekran salt okunurdur.</t>
  </si>
  <si>
    <t>AÇIK MAVİ SATIR</t>
  </si>
  <si>
    <t>TOPLAM satırı</t>
  </si>
  <si>
    <t>Tablo başlığının üstünde durur, aşağı kaydırsanız da ekranda kalır.</t>
  </si>
  <si>
    <t>YEŞİL ROZET</t>
  </si>
  <si>
    <t>UYGUN / GEÇTİ / TEMİZ</t>
  </si>
  <si>
    <t>Kayıt eksiksiz, kontrol başarılı. İşlem gerekmiyor.</t>
  </si>
  <si>
    <t>TURUNCU ROZET</t>
  </si>
  <si>
    <t>EKSİK / BUGÜN / UYARI</t>
  </si>
  <si>
    <t>Dikkat gerektirir ama ayı kilitlemez. En kısa sürede tamamlayın.</t>
  </si>
  <si>
    <t>KIRMIZI ROZET</t>
  </si>
  <si>
    <t>HATA / KALDI / KRİTİK</t>
  </si>
  <si>
    <t>ACIL. Kırmızı KRİTİK satır varken ay sonu kapatılamaz — sistem engeller.</t>
  </si>
  <si>
    <t>GRİ ROZET</t>
  </si>
  <si>
    <t>PASİF / PLANLI / İZLE</t>
  </si>
  <si>
    <t>Bilgi amaçlıdır, işlem gerektirmez.</t>
  </si>
  <si>
    <t>3.  SEKME HARİTASI  │  HANGİ SEKMEDE NE YAPILIR, NE YAPILMAZ</t>
  </si>
  <si>
    <t>Sekme</t>
  </si>
  <si>
    <t>BURADA NE YAPARSINIZ</t>
  </si>
  <si>
    <t>⚠  SAKIN YAPMAYIN — RİSK</t>
  </si>
  <si>
    <t>Güne buradan başlayın. Özet rakamlar, grafikler, uyarı listesi ve müşteri hızlı kartı burada.</t>
  </si>
  <si>
    <t>⚠  Buraya veri girmeye çalışmayın. Yalnız müşteri seçim kutusu yazılabilir.</t>
  </si>
  <si>
    <t>Şu an okuduğunuz ekran. Kural, renk ve riskleri buradan öğrenin.</t>
  </si>
  <si>
    <t>⚠  Kuralları okumadan sisteme veri girmeyin. En pahalı hatalar buradan önlenir.</t>
  </si>
  <si>
    <t>Yeni müşteri açın: no, unvan, durum ve varsa devir alacağı.</t>
  </si>
  <si>
    <t>⚠  AYNI UNVANI İKİ KEZ AÇMAYIN. Tahsilat yanlış müşteriye gider ve cari bozulur.</t>
  </si>
  <si>
    <t>Ücret dönemi tanımlayın: başlangıç, model (haftalık/aylık), tutar.</t>
  </si>
  <si>
    <t>⚠  ÜCRET DEĞİŞİNCE TUTARI DEĞİŞTİRMEYİN. Eski satırı kapatıp yeni satır açın; yoksa geçmiş tüm aylar geriye dönük bozulur ve GERİ ALINAMAZ.</t>
  </si>
  <si>
    <t>Müşteriden gelen her ödemeyi buraya girin. Cari, kasa, ekstre ve ay sonu otomatik güncellenir.</t>
  </si>
  <si>
    <t>⚠  AYNI ÖDEMEYİ GELİR/GİDER'E DE YAZMAYIN. Gelir iki kez sayılır, ortak payı şişer.</t>
  </si>
  <si>
    <t>Ofis giderleri ve sözleşme dışı gelirler (defter tasdik, kontör, damga). Kâr payı ödemeleri de buradan girilir.</t>
  </si>
  <si>
    <t>⚠  SÖZLEŞME ÜCRETİNİ BURAYA YAZMAYIN — TAHSİLAT ekranına girilir. Ayrıca müşteriye borç yazılan satırda Gerçekleşti = Evet SEÇMEYİN.</t>
  </si>
  <si>
    <t>Kasa ile banka arasında para taşıdığınızda buraya yazın.</t>
  </si>
  <si>
    <t>⚠  TRANSFERİ GELİR VEYA GİDER OLARAK YAZMAYIN. Toplam nakit değişmez ama kâr yanlış çıkar.</t>
  </si>
  <si>
    <t>Ortak seçin; müşteriden alınan tahsilat, virman, ofise ödeme ve kâr payı tahakkukundan oluşan ortak carisini tarih sırasıyla izleyin.</t>
  </si>
  <si>
    <t>⚠  BURAYA HAREKET GİRMEYİN. Salt okunurdur; yanlış rakam varsa TAHSILAT, VIRMAN, ORTAKLAR veya AY_SONU kaynaklarını düzeltin.</t>
  </si>
  <si>
    <t>Müşteri seçin, borç–ödeme–bakiye ekstresini alın, PDF yapıp gönderin.</t>
  </si>
  <si>
    <t>⚠  BURAYA KAYIT GİRMEYİN. Salt okunurdur; düzeltme kaynak defterlerden yapılır.</t>
  </si>
  <si>
    <t>Kimden ne kadar alacaklısınız, kaç gün gecikmiş, kim fazla ödeme yapmış — hepsi burada.</t>
  </si>
  <si>
    <t>⚠  RAKAMLARI ELLE DÜZELTMEYE ÇALIŞMAYIN. Yanlışsa hata MÜŞTERİLER, ÜCRETLER veya TAHSİLAT ekranındadır.</t>
  </si>
  <si>
    <t>Kasa ve banka hesaplarını tanımlayın, açılış bakiyesini girin.</t>
  </si>
  <si>
    <t>⚠  HESAP ADINI SONRADAN DEĞİŞTİRMEYİN. Eski kayıtlar hesapsız kalır ve kasa tutmaz.</t>
  </si>
  <si>
    <t>KARMA EKRAN. Yalnız “Dönem Kapandı mı?” sütunu girilir; diğer tüm sütunlar otomatiktir. Ortak çekişleri bu ekrana yazılmaz; VIRMAN’dan girilir.</t>
  </si>
  <si>
    <t>⚠  KRİTİK HATA VARKEN AYI KAPATMAYIN. “Dönem Durumu” sütunu KAPATILAMAZ diyorsa önce SİSTEM ekranındaki kırmızı satırları düzeltin.</t>
  </si>
  <si>
    <t>KARMA EKRAN. Ortak tanımları ve pay oranları GİRİLEBİLİR; cari ekstre SALT OKUNURdur.</t>
  </si>
  <si>
    <t>⚠  İKİ ORTAĞA AYNI KÂR PAYI GİDER KALEMİNİ SEÇMEYİN. Ödemeler yanlış ortakta görünür. Ayrıca oran değişince eski satırı kapatın.</t>
  </si>
  <si>
    <t>KARMA EKRAN. Parametreler ve kalem listeleri GİRİLEBİLİR; kontrol merkezi SALT OKUNURdur.</t>
  </si>
  <si>
    <t>⚠  KALDI YAZAN SATIR VARKEN AY SONU İŞLEMİ YAPMAYIN. “Nerede?” sütunu hatanın satırını yazar.</t>
  </si>
  <si>
    <t>Muhasebedeki T cetveli gibi tüm gelir kalemlerini solda, tüm gider kalemlerini sağda birikimli dip toplamlarıyla izleyin.</t>
  </si>
  <si>
    <t>⚠  BURAYA VERİ GİRMEYİN. Kategoriler SISTEM, tutarlar GELIR_GIDER defterinden gelir; fark varsa SİSTEM kontrolü adres gösterir.</t>
  </si>
  <si>
    <t>4.  EKRAN MODLARI  │  SOL ÜST KÖŞEDEKİ ROZET NE ANLATIR?</t>
  </si>
  <si>
    <t>Rozet</t>
  </si>
  <si>
    <t>Mod</t>
  </si>
  <si>
    <t>Görünümü</t>
  </si>
  <si>
    <t>Ne demek?</t>
  </si>
  <si>
    <t>Hangi ekranlar?</t>
  </si>
  <si>
    <t>✎  VERİ GİRİŞ EKRANI</t>
  </si>
  <si>
    <t>Lacivert bant │ sarı rozet</t>
  </si>
  <si>
    <t>Bu ekran bir defterdir, sarı hücrelere kayıt girersiniz.</t>
  </si>
  <si>
    <t>MÜŞTERİLER · ÜCRETLER · TAHSİLAT · GELİR/GİDER · VİRMAN · HESAPLAR</t>
  </si>
  <si>
    <t>⚙  KARMA EKRAN</t>
  </si>
  <si>
    <t>Lacivert bant │ altın rozet</t>
  </si>
  <si>
    <t>Bir kısmı girilir, bir kısmı salt okunur. HER BLOĞUN BAŞLIĞINDA ✎ GİRİLEBİLİR veya ◈ SALT OKUNUR yazar — önce onu okuyun.</t>
  </si>
  <si>
    <t>SİSTEM · AY SONU · ORTAKLAR</t>
  </si>
  <si>
    <t>◈  RAPOR EKRANI</t>
  </si>
  <si>
    <t>KOYU GRİ bant │ beyaz rozet</t>
  </si>
  <si>
    <t>Kayıt girilmez. Yalnız müşteri/ortak seçim kutusu yazılabilir. Rakam yanlışsa KAYNAK deftere gidin.</t>
  </si>
  <si>
    <t>PANO · BAŞLANGIÇ · ORTAK EKSTRE · CARİ EKSTRE · MÜŞTERİ 360 · KÂR</t>
  </si>
  <si>
    <t>5.  ADIM ADIM KULLANIM  │  HANGİ EKRANA NE GİRİLİR?</t>
  </si>
  <si>
    <t>Adım</t>
  </si>
  <si>
    <t>Ne yapılacak?</t>
  </si>
  <si>
    <t>Hangi ekran?</t>
  </si>
  <si>
    <t>Ne girilir?</t>
  </si>
  <si>
    <t>Sistem ne yapar?</t>
  </si>
  <si>
    <t>Kontrol</t>
  </si>
  <si>
    <t>1</t>
  </si>
  <si>
    <t>Müşteri kartı aç</t>
  </si>
  <si>
    <t>No, unvan, durum, varsa devir alacağı</t>
  </si>
  <si>
    <t>Müşteri tüm ekranlara tanıtılır</t>
  </si>
  <si>
    <t>Kayıt Kontrolü = UYGUN</t>
  </si>
  <si>
    <t>2</t>
  </si>
  <si>
    <t>Ücret dönemi tanımla</t>
  </si>
  <si>
    <t>Başlangıç, model, tutar</t>
  </si>
  <si>
    <t>Otomatik tahakkuk başlar</t>
  </si>
  <si>
    <t>Sistem Kontrolü = UYGUN</t>
  </si>
  <si>
    <t>3</t>
  </si>
  <si>
    <t>Zam / ücret değişikliği</t>
  </si>
  <si>
    <t>Eski satıra bitiş, yeni satıra yeni tutar</t>
  </si>
  <si>
    <t>Geçmiş bozulmadan yeni fiyat uygulanır</t>
  </si>
  <si>
    <t>İki aktif dönem çakışmamalı</t>
  </si>
  <si>
    <t>4</t>
  </si>
  <si>
    <t>Tahsilat gir</t>
  </si>
  <si>
    <t>Müşteri, tarih, tutar, kasa/banka</t>
  </si>
  <si>
    <t>Cari, kasa, ekstre, ay sonu güncellenir</t>
  </si>
  <si>
    <t>5</t>
  </si>
  <si>
    <t>Gider / ek gelir gir</t>
  </si>
  <si>
    <t>Tarih, tür, kategori, tutar, hesap</t>
  </si>
  <si>
    <t>Kasa ve nakit kâr güncellenir</t>
  </si>
  <si>
    <t>Gerçekleşti = Evet olmalı</t>
  </si>
  <si>
    <t>6</t>
  </si>
  <si>
    <t>Hesaplar arası transfer</t>
  </si>
  <si>
    <t>Çıkan hesap, giren hesap, tutar</t>
  </si>
  <si>
    <t>Yalnız paranın yeri değişir</t>
  </si>
  <si>
    <t>7</t>
  </si>
  <si>
    <t>Ortak carisini izle</t>
  </si>
  <si>
    <t>Ortağı seçin; veri girişi yapılmaz</t>
  </si>
  <si>
    <t>Borç/alacak hareketlerini ve net ortak carisini tarih sırasıyla gösterir</t>
  </si>
  <si>
    <t>SİSTEM ortak ekstre mutabakatı = GEÇTİ</t>
  </si>
  <si>
    <t>8</t>
  </si>
  <si>
    <t>Alacağı izle</t>
  </si>
  <si>
    <t>Veri girilmez, yalnız okunur</t>
  </si>
  <si>
    <t>Cari, yaşlandırma, avans, öneri</t>
  </si>
  <si>
    <t>Kontrol = UYGUN</t>
  </si>
  <si>
    <t>9</t>
  </si>
  <si>
    <t>Ekstre gönder</t>
  </si>
  <si>
    <t>Müşteriyi seçin</t>
  </si>
  <si>
    <t>Borç–ödeme–bakiye belgesi üretir</t>
  </si>
  <si>
    <t>Ctrl+P ile PDF</t>
  </si>
  <si>
    <t>10</t>
  </si>
  <si>
    <t>Ayı kapat</t>
  </si>
  <si>
    <t>Ortak çekiş / avans</t>
  </si>
  <si>
    <t>Nakit kâr ve ortak payları</t>
  </si>
  <si>
    <t>Dönem Durumu = KAPANABİLİR</t>
  </si>
  <si>
    <t>11</t>
  </si>
  <si>
    <t>Ortak payı öde</t>
  </si>
  <si>
    <t>VIRMAN: kasa/banka → ortak hesabı</t>
  </si>
  <si>
    <t>Ortak carisine işlenir, kasadan düşer</t>
  </si>
  <si>
    <t>Ortak Kontrol = UYGUN</t>
  </si>
  <si>
    <t>12</t>
  </si>
  <si>
    <t>Sistemi denetle</t>
  </si>
  <si>
    <t>Parametre ve kalem listeleri</t>
  </si>
  <si>
    <t>55 otomatik kontrol çalışır</t>
  </si>
  <si>
    <t>Tüm satırlar GEÇTİ</t>
  </si>
  <si>
    <t>6.  TAHAKKUK MODELLERİ, ZAM VE PARA GİRİŞİ</t>
  </si>
  <si>
    <t>Konu</t>
  </si>
  <si>
    <t>Kural</t>
  </si>
  <si>
    <t>Açıklama ve örnek</t>
  </si>
  <si>
    <t>Haftalık model</t>
  </si>
  <si>
    <t>Ücret her hafta aynı günde tahakkuk eder.</t>
  </si>
  <si>
    <t>Başlangıç tarihi serbesttir; ilk tahakkuk bu tarihten sonraki ilk tahakkuk gününde oluşur. 4 haftalı ayda 4, 5 haftalı ayda 5 tahakkuk oluşur — aylar arası fark NORMALDİR.</t>
  </si>
  <si>
    <t>Aylık model</t>
  </si>
  <si>
    <t>Ücret her ayın SON GÜNÜ tahakkuk eder.</t>
  </si>
  <si>
    <t>15.09.2026'da başlasa bile ilk tahakkuk 30.09.2026'da oluşur. Ayın kaçı olduğu önemli değildir.</t>
  </si>
  <si>
    <t>ZAM / ücret değişikliği</t>
  </si>
  <si>
    <t>Eski satırı kapat, yeni satır aç.</t>
  </si>
  <si>
    <t>Örnek: Eylül 4.000 ₺ → Ekim 7.000 ₺. Eski satır 01.09–30.09 · 4.000 · Pasif; yeni satır 01.10 – (bitiş boş) · 7.000 · Aktif. Bitiş tarihi DAHİLdır.</t>
  </si>
  <si>
    <t>Ortak pay oranı</t>
  </si>
  <si>
    <t>Aynı mantık ORTAKLAR sayfasında geçerlidir.</t>
  </si>
  <si>
    <t>%50–%50'den %60–%40'a geçecekseniz eski satırların Bitiş Ayı'na EYLÜL, yeni satırların Başlangıcına EKİM yazın. Geçmiş aylar eski oranla kalır.</t>
  </si>
  <si>
    <t>Sözleşme ücreti tahsilatı</t>
  </si>
  <si>
    <t>TAHSİLAT ekranı — başka hiçbir yere girilmez.</t>
  </si>
  <si>
    <t>Haftalık veya aylık muhasebe ücreti tahsil edildiğinde yalnız buraya girilir.</t>
  </si>
  <si>
    <t>Ek hizmet bedelleri</t>
  </si>
  <si>
    <t>GELİR VE GİDER ekranı</t>
  </si>
  <si>
    <t>Defter tasdik, kontör, damga, danışmanlık. Peşin alındıysa Gerçekleşti = Evet; müşteriye borç yazılacaksa Borçlu Taraf'ta müşteriyi seçin, Gerçekleşti = Hayır yapın.</t>
  </si>
  <si>
    <t>Kâr payı ödemesi</t>
  </si>
  <si>
    <t>GELİR VE GİDER — Tür: Gider</t>
  </si>
  <si>
    <t>Ortağa para verildiğinde GELİR/GİDER’e gider yazmayın. VIRMAN ekranında Para Çıkan Hesap = kasa/banka, Para Giren Hesap = ortak; açıklama “KÂR PAYI / AVANS ÇEKİŞİ” olmalıdır. Hakedişi aşan tutar AVANS olur.</t>
  </si>
  <si>
    <t>7.  SENARYO KATALOĞU  │  ŞUNU YAPMAK İSTİYORUM → NASIL YAPARIM?</t>
  </si>
  <si>
    <t>Ne yapmak istiyorum?</t>
  </si>
  <si>
    <t>Adımlar</t>
  </si>
  <si>
    <t>Kontrol / dikkat</t>
  </si>
  <si>
    <t>Yeni müşteri geldi</t>
  </si>
  <si>
    <t>MÜŞTERİLER → ÜCRETLER</t>
  </si>
  <si>
    <t>1) MÜŞTERİLER'de boş satıra no, unvan, Durum=Aktif yazın.  2) ÜCRETLER'de yeni satır: müşteriyi listeden seçin, başlangıç tarihi, model, tutar, Durum=Aktif.</t>
  </si>
  <si>
    <t>İki ekranda da Kontrol = UYGUN</t>
  </si>
  <si>
    <t>Müşteriye ZAM yaptım</t>
  </si>
  <si>
    <t>ÜCRETLER</t>
  </si>
  <si>
    <t>1) Eski satırın Bitiş Tarihi'ne son geçerli günü yazın, Durum=Pasif yapın.  2) ALTINA yeni satır açın: aynı müşteri, yeni başlangıç, yeni tutar, Durum=Aktif.</t>
  </si>
  <si>
    <t>Eski tutarı ASLA değiştirmeyin</t>
  </si>
  <si>
    <t>Model değişti (haftalık→aylık)</t>
  </si>
  <si>
    <t>Zam ile aynı: eski satırı kapatın, yeni satırda Tahakkuk Modeli'ni Aylık seçin.</t>
  </si>
  <si>
    <t>Müşteriden para aldım</t>
  </si>
  <si>
    <t>TAHSİLAT</t>
  </si>
  <si>
    <t>Müşteriyi listeden seçin, tarih, tutar, hangi kasa/bankaya girdiğini ve ödeme türünü yazın.</t>
  </si>
  <si>
    <t>Müşteri KİSMİ ödeme yaptı</t>
  </si>
  <si>
    <t>Aldığınız tutarı aynen girin. Sistem kalanı otomatik hesaplar, en eski borçtan kapatır.</t>
  </si>
  <si>
    <t>MÜŞTERİ 360'ta kalan bakiye görünür</t>
  </si>
  <si>
    <t>Müşteri FAZLA ödeme yaptı</t>
  </si>
  <si>
    <t>Gelen tutarı aynen girin. Fazlası MÜŞTERİ 360'ta “Avans / Fazla Ödeme” sütununda görünür.</t>
  </si>
  <si>
    <t>Bu müşteriye fatura kesilmemiş olabilir, kontrol edin</t>
  </si>
  <si>
    <t>MAHSUPLAŞTIK (nakit girmedi)</t>
  </si>
  <si>
    <t>Tahsilatı normal girin ama Ödeme Türü = Mahsup seçin. Cari kapanır, kasaya para girmez.</t>
  </si>
  <si>
    <t>Kasa bakiyesi değişmemeli</t>
  </si>
  <si>
    <t>Ek hizmet — PARAYI ALDIM</t>
  </si>
  <si>
    <t>GELİR VE GİDER</t>
  </si>
  <si>
    <t>Tür=Gelir, Kategori=Defter Tasdik/Kontör/Damga vb., tutar, kasa/banka, Gerçekleşti=Evet. Borçlu Taraf'ı BOŞ bırakın.</t>
  </si>
  <si>
    <t>Kasaya girer, cariye girmez</t>
  </si>
  <si>
    <t>Ek hizmet — MÜŞTERİYE BORÇ YAZDIM</t>
  </si>
  <si>
    <t>Tür=Gelir, Kategori, tutar, Gerçekleşti=HAYIR, Borçlu Taraf'ta MÜŞTERİYİ seçin. Para gelince TAHSİLAT'a girersiniz.</t>
  </si>
  <si>
    <t>Kontrol = TAHAKKUK olmalı</t>
  </si>
  <si>
    <t>Müşteriyle çalışmayı bıraktık</t>
  </si>
  <si>
    <t>ÜCRETLER → MÜŞTERİLER</t>
  </si>
  <si>
    <t>1) ÜCRETLER'de aktif satıra Bitiş Tarihi yazın, Durum=Pasif.  2) MÜŞTERİLER'de Durum=Pasif yapın. SATIRI SİLMEYİN — geçmiş kayıtlar kopar.</t>
  </si>
  <si>
    <t>Tahakkuk durur, geçmiş korunur</t>
  </si>
  <si>
    <t>Ofis gideri ödedim</t>
  </si>
  <si>
    <t>Tür=Gider, Kategori, açıklama, tutar, hangi kasadan ödendi, Gerçekleşti=Evet.</t>
  </si>
  <si>
    <t>Kasadan düşer, nakit kârı azaltır</t>
  </si>
  <si>
    <t>Gider tahakkuk etti, ödemedim</t>
  </si>
  <si>
    <t>Aynı giriş ama Gerçekleşti=HAYIR. Kontrol “ÖDENECEK” yazar.</t>
  </si>
  <si>
    <t>Kasadan düşmez, tahakkuk sonucundan düşer</t>
  </si>
  <si>
    <t>Kasadan bankaya para taşıdım</t>
  </si>
  <si>
    <t>VİRMAN</t>
  </si>
  <si>
    <t>Çıkan hesap, giren hesap, tutar. Gelir/gider olarak ASLA yazmayın.</t>
  </si>
  <si>
    <t>Toplam nakit değişmemeli</t>
  </si>
  <si>
    <t>Ortak carisini kontrol edeceğim</t>
  </si>
  <si>
    <t>ORTAK_EKSTRE</t>
  </si>
  <si>
    <t>Ortağı açılır kutudan seçin. Müşteri tahsilatı, virman, ofise ödeme, tahsilat esaslı kâr payı hakedişi ve avans bakiyesi otomatik gelir.</t>
  </si>
  <si>
    <t>SİSTEM’de “Seçili ortak ekstre mutabakatı” = GEÇTİ</t>
  </si>
  <si>
    <t>Müşteriye ekstre göndereceğim</t>
  </si>
  <si>
    <t>CARİ EKSTRE</t>
  </si>
  <si>
    <t>Müşteriyi seçin → Ad Kutusuna EKSTRE yazıp Enter → Ctrl+P → Yalnızca Seçimi Yazdır → PDF.</t>
  </si>
  <si>
    <t>Borç–Ödeme–Bakiye belgesi</t>
  </si>
  <si>
    <t>Ayı kapatacağım</t>
  </si>
  <si>
    <t>SİSTEM → AY SONU</t>
  </si>
  <si>
    <t>1) SİSTEM’de KALDI yazan gerçek veri/formül hatalarını “Nerede?” adresinden düzeltin. 2) AY SONU kârı tahsilat esaslıdır. 3) Ortak fazla çekmişse sistem kapanışı engellemez; Kâr Payı Bakiye/Avans eksi kırmızı görünür.</t>
  </si>
  <si>
    <t>KAPATILAMAZ diyorsa kapatmayın</t>
  </si>
  <si>
    <t>Ortağa kâr payı / avans ödemesi yapacağım</t>
  </si>
  <si>
    <t>GELİR/GİDER kullanmayın. VIRMAN’da kasa/bankadan ortak hesabına para çıkışı girin ve açıklamayı “KÂR PAYI / AVANS ÇEKİŞİ” ile başlatın. Sistem hakedişi aşan kısmı AVANS olarak gösterir.</t>
  </si>
  <si>
    <t>ORTAKLAR'da Kalan Alacak azalır</t>
  </si>
  <si>
    <t>Ortak pay oranı değişti</t>
  </si>
  <si>
    <t>ORTAKLAR</t>
  </si>
  <si>
    <t>Eski satırların Bitiş Ayı'na son geçerli ayı yazın (o ay DAHİL), her ortak için yeni satır açıp yeni başlangıç ayı ve oran girin.</t>
  </si>
  <si>
    <t>Her ay toplam %100 olmalı</t>
  </si>
  <si>
    <t>Yeni kasa/banka hesabı</t>
  </si>
  <si>
    <t>HESAPLAR</t>
  </si>
  <si>
    <t>Boş satıra hesap adı, Tür (Kasa/Banka), Durum, Açılış Bakiyesi.</t>
  </si>
  <si>
    <t>Hesap adını sonradan DEĞİŞTİRMEYİN</t>
  </si>
  <si>
    <t>Yeni gider/gelir kalemi</t>
  </si>
  <si>
    <t>SİSTEM</t>
  </si>
  <si>
    <t>GİDER KALEMLERİ veya GELİR KALEMLERİ bloğunda boş satıra yazın. Doğru bloğa yazmaya dikkat.</t>
  </si>
  <si>
    <t>GELİR/GİDER açılır listesinde çıkar</t>
  </si>
  <si>
    <t>“MÜKERRER?” uyarısı aldım</t>
  </si>
  <si>
    <t>TAHSİLAT / GELİR-GİDER</t>
  </si>
  <si>
    <t>Aynı taraf+tarih+tutar+belge iki kez girilmiş. Gerçekten iki ayrı işlemse belge no yazıp ayırt edin; yanlışlıkla girildiyse satırı boşaltın.</t>
  </si>
  <si>
    <t>Satırı SİLMEYİN, içeriğini temizleyin</t>
  </si>
  <si>
    <t>Yanlış kayıt girdim</t>
  </si>
  <si>
    <t>İlgili defter</t>
  </si>
  <si>
    <t>Satırı SECİP DELETE ile içeriğini temizleyin (satır silme yok). Sonra doğrusunu girin.</t>
  </si>
  <si>
    <t>Satır silmek kapasiteyi bozar</t>
  </si>
  <si>
    <t>Kasada sabit para bırakmak istiyorum</t>
  </si>
  <si>
    <t>Kasa Tamponu parametresine tutarı yazın (örn. 20.000). Dağıtılabilir kâr bu tutarın üzerinden hesaplanır.</t>
  </si>
  <si>
    <t>AY SONU'nda Kasa Tamponu sütunu</t>
  </si>
  <si>
    <t>Tahakkuk gününü değiştireceğim</t>
  </si>
  <si>
    <t>Tahakkuk Günü parametresini değiştirin (Pazartesi…Pazar). TÜM haftalık müşterileri etkiler — dikkatli olun.</t>
  </si>
  <si>
    <t>Geçmiş aylar da yeniden hesaplanır</t>
  </si>
  <si>
    <t>8.  UYARI SÖZLÜĞÜ  │  EKRANDA GÖRDÜĞÜNÜZ ROZET NE DEMEK?</t>
  </si>
  <si>
    <t>Rozet / uyarı</t>
  </si>
  <si>
    <t>Nerede görünür</t>
  </si>
  <si>
    <t>Ne yapmalısınız?</t>
  </si>
  <si>
    <t>UYGUN</t>
  </si>
  <si>
    <t>Tüm defterler</t>
  </si>
  <si>
    <t>Kayıt eksiksiz ve tutarlı.</t>
  </si>
  <si>
    <t>İşlem gerekmiyor.</t>
  </si>
  <si>
    <t>EKSİK</t>
  </si>
  <si>
    <t>Zorunlu bir alan boş.</t>
  </si>
  <si>
    <t>Satırdaki boş sarı hücreleri doldurun.</t>
  </si>
  <si>
    <t>HATA</t>
  </si>
  <si>
    <t>Tahsilat / Virman</t>
  </si>
  <si>
    <t>Kayıt sisteme bağlanamıyor.</t>
  </si>
  <si>
    <t>Müşteri/hesap adını listeden yeniden seçin.</t>
  </si>
  <si>
    <t>TANIMSIZ MÜŞTERİ</t>
  </si>
  <si>
    <t>Tahsilat / Ücretler / Ortak Ekstre</t>
  </si>
  <si>
    <t>Yazılan ad MÜŞTERİLER listesinde yok.</t>
  </si>
  <si>
    <t>Listeden seçin veya MÜŞTERİLER'de kartı açın.</t>
  </si>
  <si>
    <t>MÜKERRER?</t>
  </si>
  <si>
    <t>Tahsilat / Gelir-Gider</t>
  </si>
  <si>
    <t>Aynı kayıt ikinci kez girilmiş olabilir.</t>
  </si>
  <si>
    <t>İki satırı karşılaştırın; fazlaysa içeriğini temizleyin.</t>
  </si>
  <si>
    <t>KAPALI DÖNEM</t>
  </si>
  <si>
    <t>Dağıtımı yapılmış bir aya kayıt girilmiş.</t>
  </si>
  <si>
    <t>Tarihi kontrol edin; doğruysa AY SONU'nda dağıtımı gözden geçirin.</t>
  </si>
  <si>
    <t>İLERİ TARİH</t>
  </si>
  <si>
    <t>Tarih bugünden ileride.</t>
  </si>
  <si>
    <t>Yanlış yıl/ay yazmış olabilirsiniz.</t>
  </si>
  <si>
    <t>TAHAKKUK</t>
  </si>
  <si>
    <t>Gelir-Gider</t>
  </si>
  <si>
    <t>Müşteriye borç yazılan gelir satırı.</t>
  </si>
  <si>
    <t>Doğru. Para gelince TAHSİLAT'a girin.</t>
  </si>
  <si>
    <t>ÖDENECEK</t>
  </si>
  <si>
    <t>Gider tahakkuk etmiş ama ödenmemiş.</t>
  </si>
  <si>
    <t>Ödendiğinde Gerçekleşti = Evet yapın.</t>
  </si>
  <si>
    <t>TAHAKKUK NAKİT OLAMAZ</t>
  </si>
  <si>
    <t>Müşteriye borç yazdınız ama Gerçekleşti=Evet işaretlisiniz.</t>
  </si>
  <si>
    <t>Gerçekleşti = Hayır yapın.</t>
  </si>
  <si>
    <t>TANIMSIZ BORÇLU</t>
  </si>
  <si>
    <t>Borçlu Taraf listede olmayan bir değer.</t>
  </si>
  <si>
    <t>Müşteri listesinden seçin veya boş bırakın.</t>
  </si>
  <si>
    <t>MODEL SEÇİN</t>
  </si>
  <si>
    <t>Ücretler</t>
  </si>
  <si>
    <t>Tahakkuk modeli boş.</t>
  </si>
  <si>
    <t>Haftalık veya Aylık seçin.</t>
  </si>
  <si>
    <t>TARİH HATASI</t>
  </si>
  <si>
    <t>Ücretler / Ortaklar</t>
  </si>
  <si>
    <t>Bitiş, başlangıçtan önce.</t>
  </si>
  <si>
    <t>Tarihleri düzeltin.</t>
  </si>
  <si>
    <t>KAPALI DÖNEM (ücret)</t>
  </si>
  <si>
    <t>Bu ücret dönemi kapatılmış.</t>
  </si>
  <si>
    <t>Normaldir; geçmiş tahakkuklar korunur.</t>
  </si>
  <si>
    <t>KRİTİK / YÜKSEK / ORTA / İZLE / TEMİZ</t>
  </si>
  <si>
    <t>Müşteri 360</t>
  </si>
  <si>
    <t>Borç yaşına göre risk seviyesi.</t>
  </si>
  <si>
    <t>KRİTİK = 29+ gün gecikmiş; acil tahsilat görüşmesi.</t>
  </si>
  <si>
    <t>İNCELE</t>
  </si>
  <si>
    <t>Cari matematik tutmuyor.</t>
  </si>
  <si>
    <t>SİSTEM ekranındaki kontrollere bakın.</t>
  </si>
  <si>
    <t>GEÇTİ / KALDI / BİLGİ</t>
  </si>
  <si>
    <t>Sistem</t>
  </si>
  <si>
    <t>Otomatik kontrol sonucu.</t>
  </si>
  <si>
    <t>KALDI → “Nerede?” sütunundaki satıra gidin.</t>
  </si>
  <si>
    <t>AÇIK / KAPANABİLİR / KAPATILAMAZ</t>
  </si>
  <si>
    <t>Ay Sonu</t>
  </si>
  <si>
    <t>Dönemin kapanış durumu.</t>
  </si>
  <si>
    <t>KAPATILAMAZ → önce KRİTİK hataları düzeltin.</t>
  </si>
  <si>
    <t>PAY HATASI</t>
  </si>
  <si>
    <t>Ortak payları toplamı tutmuyor.</t>
  </si>
  <si>
    <t>ORTAKLAR'da pay oranı dönemlerini kontrol edin.</t>
  </si>
  <si>
    <t>KALEM ÇAKIŞMASI</t>
  </si>
  <si>
    <t>Ortaklar</t>
  </si>
  <si>
    <t>Eski kâr payı gider kalemi kullanılmıyor.</t>
  </si>
  <si>
    <t>Her ortak için ayrı kalem seçin.</t>
  </si>
  <si>
    <t>GECİKMİŞ / BUGÜN / 7 GÜN İÇİNDE</t>
  </si>
  <si>
    <t>Ortak Ekstre</t>
  </si>
  <si>
    <t>İşin son tarih durumu.</t>
  </si>
  <si>
    <t>GECİKMİŞ → hemen tamamlayın veya tarihi güncelleyin.</t>
  </si>
  <si>
    <t>SONRAKİ İŞLEM EKSİK</t>
  </si>
  <si>
    <t>Görüşme kaydında sonraki adım yazılmamış.</t>
  </si>
  <si>
    <t>“Sonraki İşlem” sütununu doldurun.</t>
  </si>
  <si>
    <t>NO TEKRARI / UNVAN TEKRARI</t>
  </si>
  <si>
    <t>Müşteriler</t>
  </si>
  <si>
    <t>Aynı no veya unvan iki kez açılmış.</t>
  </si>
  <si>
    <t>Birini düzeltin; tahsilatlar yanlış müşteriye gidebilir.</t>
  </si>
  <si>
    <t>DEVİR TARİHİ EKSİK</t>
  </si>
  <si>
    <t>Devir alacağı var ama tarihi yok.</t>
  </si>
  <si>
    <t>Tarih girin; yoksa tutar 29+ gün sayılır.</t>
  </si>
  <si>
    <t>9.  EN SIK YAPILAN HATALAR  │  SONUÇLARI VE SİSTEMİN TEPKİSİ</t>
  </si>
  <si>
    <t>Hata</t>
  </si>
  <si>
    <t>Sonucu</t>
  </si>
  <si>
    <t>⚠  Aynı tahsilatı iki kez girmek</t>
  </si>
  <si>
    <t>Gelir iki kez sayılır, cari yanlış kapanır, ortak payı şişer.</t>
  </si>
  <si>
    <t>YAKALAR — “MÜKERRER?” uyarısı ve satır numarası</t>
  </si>
  <si>
    <t>⚠  Ücret tutarını satır üstünde değiştirmek</t>
  </si>
  <si>
    <t>Geçmiş tüm aylar geriye dönük değişir, kapanmış aylar bozulur.</t>
  </si>
  <si>
    <t>YAKALAYAMAZ — GERİ ALINAMAZ. Mutlaka yeni satır açın.</t>
  </si>
  <si>
    <t>⚠  Satır silmek</t>
  </si>
  <si>
    <t>Formül kapasitesi daralır, ileride kayıt alamıyorsunuz.</t>
  </si>
  <si>
    <t>YAKALAYAMAZ — Silmek yerine Durum = Pasif yapın.</t>
  </si>
  <si>
    <t>⚠  Müşteri unvanını elle değiştirmek</t>
  </si>
  <si>
    <t>Geçmiş tahsilatlar o müşteriden kopar.</t>
  </si>
  <si>
    <t>YAKALAR — “TANIMSIZ MÜŞTERİ” rozeti</t>
  </si>
  <si>
    <t>⚠  Sözleşme ücretini Gelir/Gider'e yazmak</t>
  </si>
  <si>
    <t>Gelir çift sayılır, kâr ve ortak payı şişer.</t>
  </si>
  <si>
    <t>KISMEN — “Manuel gelir tahakkuku” bilgi satırını kontrol edin.</t>
  </si>
  <si>
    <t>⚠  Transferi gider olarak yazmak</t>
  </si>
  <si>
    <t>Nakit kâr düşük çıkar, dağıtım eksik yapılır.</t>
  </si>
  <si>
    <t>YAKALAR — “Hatalı virman” kontrolü</t>
  </si>
  <si>
    <t>⚠  Kapanmış aya sonradan kayıt girmek</t>
  </si>
  <si>
    <t>Dağıtımı yapılmış ayın sonucu değişir.</t>
  </si>
  <si>
    <t>YAKALAR — “KAPALI DÖNEM” uyarısı</t>
  </si>
  <si>
    <t>⚠  İki ortağa aynı kâr payı kalemi seçmek</t>
  </si>
  <si>
    <t>Ödemeler tek ortakta toplanır, diğerinin bakiyesi yanlış.</t>
  </si>
  <si>
    <t>YAKALAR — “KALEM ÇAKIŞMASI” + KRİTİK kontrol</t>
  </si>
  <si>
    <t>⚠  KRİTİK hata varken ayı kapatmak</t>
  </si>
  <si>
    <t>Yanlış rakam üzerinden ortaklara ödeme yapılır.</t>
  </si>
  <si>
    <t>ENGELLER — Dönem Durumu = KAPATILAMAZ</t>
  </si>
  <si>
    <t>⚠  Yedek almadan çalışmak</t>
  </si>
  <si>
    <t>Tek bir hata tüm ayı götürebilir.</t>
  </si>
  <si>
    <t>YAKALAYAMAZ — Haftada bir tarihli kopya alın.</t>
  </si>
  <si>
    <t>10.  SORUN GİDERME  │  ŞU OLUYOR → SEBEBİ → ÇÖZÜMÜ</t>
  </si>
  <si>
    <t>Belirti</t>
  </si>
  <si>
    <t>Olası sebep</t>
  </si>
  <si>
    <t>Çözüm</t>
  </si>
  <si>
    <t>Hücreye yazamıyorum, Excel uyarı veriyor</t>
  </si>
  <si>
    <t>Hücre kilitli — orada sistem hesap yapıyor.</t>
  </si>
  <si>
    <t>Sarı hücrelere yazın. Gerçekten yapıyı değiştirmeniz gerekiyorsa: Gözden Geçir ▸ Sayfa Korumasını Kaldır ▸ 1234</t>
  </si>
  <si>
    <t>Açılır liste boş geliyor (Kategori)</t>
  </si>
  <si>
    <t>Tür sütunu (Gelir/Gider) henüz doldurulmamış.</t>
  </si>
  <si>
    <t>ÖNCE Tür'ü seçin. Liste Tür'e göre daralır: Gelir seçince gelir kalemleri gelir.</t>
  </si>
  <si>
    <t>Müşteri adını yazdım, Müşteri No çıkmadı</t>
  </si>
  <si>
    <t>Yazılan ad listedekiyle eşleşmiyor.</t>
  </si>
  <si>
    <t>Açılır listeden seçin. Ya da ilk harfleri yazıp Enter'a basın — sistem büyük/küçük harf ve Türkçe karakter farkını tolere eder.</t>
  </si>
  <si>
    <t>Tahsilat girdim ama cari değişmedi</t>
  </si>
  <si>
    <t>Müşteri çözümlenememiş (Kayıt Kontrolü HATA diyor).</t>
  </si>
  <si>
    <t>TAHSİLAT'ta Müşteri No sütununa bakın; boş veya TANIMSIZ ise adı yeniden seçin.</t>
  </si>
  <si>
    <t>Ay sonu kapanmıyor (KAPATILAMAZ)</t>
  </si>
  <si>
    <t>En az bir KRİTİK kontrol KALDI durumunda.</t>
  </si>
  <si>
    <t>SİSTEM ekranına gidin, kırmızı KALDI satırlarını bulun, “Nerede?” sütunundaki satır numarasına gidip düzeltin.</t>
  </si>
  <si>
    <t>Rakamlar güncellenmiyor</t>
  </si>
  <si>
    <t>Excel elle hesaplama modunda olabilir.</t>
  </si>
  <si>
    <t>Formüller ▸ Hesaplama Seçenekleri ▸ Otomatik. Ya da F9 tuşuna basın.</t>
  </si>
  <si>
    <t>Cari ekstre boş geliyor</t>
  </si>
  <si>
    <t>Müşteri seçilmemiş veya o müşterinin hiç hareketi yok.</t>
  </si>
  <si>
    <t>Üstteki sarı kutudan müşteri seçin. Seçiliyse ÜCRETLER'de o müşteriye ücret dönemi tanımlı mı kontrol edin.</t>
  </si>
  <si>
    <t>Bir hücrede ### görünüyor</t>
  </si>
  <si>
    <t>Sütun rakamı göstermek için dar.</t>
  </si>
  <si>
    <t>Sütun başlığının kenarına çift tıklayın; sütun otomatik genişler.</t>
  </si>
  <si>
    <t>Kâr payı iki kez düşülmüş gibi</t>
  </si>
  <si>
    <t>Kâr payını yanlış kategoriyle girmiş olabilirsiniz.</t>
  </si>
  <si>
    <t>Kâr payı/ortak çekişi gider değildir. Her ödeme VIRMAN ekranından ortak hesabına aktarılır; böylece kasa azalır ama işletme gideri ve kâr bozulmaz.</t>
  </si>
  <si>
    <t>İki ortağın bakiyesi farklı çıkıyor</t>
  </si>
  <si>
    <t>Hak edişler eşitse fark ÖDEMEDEN gelir.</t>
  </si>
  <si>
    <t>ORTAKLAR ekranındaki “Kâr Payı Bakiye / Avans” alanını izleyin. Negatif değer ortağın hakedişinden fazla çektiği AVANS’tır; bilgi amaçlıdır ve kapanışı kilitlemez.</t>
  </si>
  <si>
    <t>Yazdırınca boş sayfalar çıkıyor</t>
  </si>
  <si>
    <t>Tüm baskı alanı yazılıyor.</t>
  </si>
  <si>
    <t>Ekstrede: Ad Kutusuna EKSTRE yazıp Enter → Ctrl+P → Yalnızca Seçimi Yazdır.</t>
  </si>
  <si>
    <t>Dosya yavaş açılıyor / donuyor</t>
  </si>
  <si>
    <t>Kayıt sayısı arttıkça hesap yükü büyür.</t>
  </si>
  <si>
    <t>Formüller ▸ Hesaplama Seçenekleri ▸ Elle yapın; girişleri bitirince F9 ile hesaplatın.</t>
  </si>
  <si>
    <t>Yanlışlıkla satır sildim</t>
  </si>
  <si>
    <t>Formül kapasitesi kalıcı daralır — geri alınamaz.</t>
  </si>
  <si>
    <t>Ctrl+Z ile hemen geri alın. Geç kalındıysa son yedeğinizden devam edin.</t>
  </si>
  <si>
    <t>Bir müşteride avans görünüyor</t>
  </si>
  <si>
    <t>Müşteri borcundan fazla ödeme yapmış.</t>
  </si>
  <si>
    <t>Fatura/tahakkuk eksik olabilir. ÜCRETLER'de dönem tanımını ve ek hizmet kayıtlarını kontrol edin.</t>
  </si>
  <si>
    <t>Hangi sürümü kullandığımı bilmiyorum</t>
  </si>
  <si>
    <t>Dosya adında sürüm numarası vardır.</t>
  </si>
  <si>
    <t>En son gönderilen dosyayı kullanın; eski dosyaya yeni kayıt girmeyin.</t>
  </si>
  <si>
    <t>11.  DEĞİŞMEZ KURALLAR</t>
  </si>
  <si>
    <t>Uygulama</t>
  </si>
  <si>
    <t>Yasak</t>
  </si>
  <si>
    <t>Tek veri girişi</t>
  </si>
  <si>
    <t>Bir gerçek işlem yalnız bir ekrana girilir.</t>
  </si>
  <si>
    <t>✖  Aynı tahsilatı hem TAHSİLAT hem GELİR/GİDER ekranına yazmak</t>
  </si>
  <si>
    <t>Ücret geçmişi</t>
  </si>
  <si>
    <t>Eski dönemi kapat, yeni dönem aç.</t>
  </si>
  <si>
    <t>✖  Eski ücret tutarını değiştirmek veya satırı silmek</t>
  </si>
  <si>
    <t>Kâr dağıtımı</t>
  </si>
  <si>
    <t>Kâr dağıtımı/hakedişi tahsilat esaslı nakit kârdan hesaplanır. Fiili ortak çekişi VIRMAN’dan kaydedilir; fazla çekiş AVANS olarak devreder.</t>
  </si>
  <si>
    <t>✖  Tahsil edilmemiş alacağı kâr sayarak dağıtmak</t>
  </si>
  <si>
    <t>Formül disiplini</t>
  </si>
  <si>
    <t>Beyaz hücreye asla yazılmaz.</t>
  </si>
  <si>
    <t>✖  Formülün içine elle rakam eklemek</t>
  </si>
  <si>
    <t>Virman</t>
  </si>
  <si>
    <t>Hesaplar arası transfer VIRMAN ekranına girilir.</t>
  </si>
  <si>
    <t>✖  Transferi gelir veya gider olarak yazmak</t>
  </si>
  <si>
    <t>Müşteri seçimi</t>
  </si>
  <si>
    <t>Müşteri her ekranda listeden seçilir.</t>
  </si>
  <si>
    <t>✖  Unvanı elle değiştirmek veya aynı müşteriyi iki kez açmak</t>
  </si>
  <si>
    <t>Ortak payı</t>
  </si>
  <si>
    <t>Her ortağın kâr payı gider kalemi ayrıdır.</t>
  </si>
  <si>
    <t>✖  İki ortağa aynı kalemi seçmek</t>
  </si>
  <si>
    <t>12.  KORUMA, YEDEK VE GÜVENLİK</t>
  </si>
  <si>
    <t>Değer</t>
  </si>
  <si>
    <t>Sayfa şifresi</t>
  </si>
  <si>
    <t>1234</t>
  </si>
  <si>
    <t>Otomatik hücreler kilitlidir. Yapıyı değiştirmek gerekirse: Gözden Geçir ▸ Sayfa Korumasını Kaldır ▸ Şifre: 1234</t>
  </si>
  <si>
    <t>YEDEK</t>
  </si>
  <si>
    <t>Haftada bir</t>
  </si>
  <si>
    <t>⚠ Dosyayı tarih ekleyerek kopyalayın (örnek: Ofis_Yonetim_2026-08-29.xlsx). Yanlış bir işlem geri alınamayabilir.</t>
  </si>
  <si>
    <t>Uyumluluk</t>
  </si>
  <si>
    <t>Windows Excel</t>
  </si>
  <si>
    <t>Microsoft Excel 2016 ve üzeri için optimize edilmiştir. Makro içermez, güvenlik uyarısı vermez.</t>
  </si>
  <si>
    <t>Kapasite</t>
  </si>
  <si>
    <t>Hazır satır</t>
  </si>
  <si>
    <t>150 müşteri │ 600 ücret dönemi │ 2.500 tahsilat │ 3.000 gelir-gider │ 400 virman │ ortak cari ekstre │ 36 ay kapanış</t>
  </si>
  <si>
    <t>Hata bulma</t>
  </si>
  <si>
    <t>SİSTEM ekranı</t>
  </si>
  <si>
    <t>50 kontrolden KALDI yazan satırı bulun; “Nerede?” sütunu hatanın satırını ve kaydın adını yazar.</t>
  </si>
  <si>
    <t>✎  VERİ GİRİŞ EKRANI — SARI HÜCRELER</t>
  </si>
  <si>
    <t>KILIÇ MUHASEBE   │   MÜŞTERİLER</t>
  </si>
  <si>
    <t>SARI HÜCRELERE YAZIN   │   Ana müşteri kartı │ Her müşteri için tek kayıt │ Devir alacağı bu ekranda tanımlanır</t>
  </si>
  <si>
    <t>⚠  SAKIN: aynı müşteriyi iki kez açmayın; unvanı sonradan elle değiştirmeyin — geçmiş tahsilatlar kopar.</t>
  </si>
  <si>
    <t>Sarı = giriş, beyaz = otomatik (kilitli). Devir Alacak Tarihi yaşlandırmayı belirler — boş bırakılırsa tutar 29+ gün kabul edilir.</t>
  </si>
  <si>
    <t>TOPLAM  │  Aktif müşteri ve devir alacağı</t>
  </si>
  <si>
    <t>Müşteri / Mükellef Unvanı</t>
  </si>
  <si>
    <t>Durum</t>
  </si>
  <si>
    <t>Sorumlu Kişi</t>
  </si>
  <si>
    <t>Telefon</t>
  </si>
  <si>
    <t>Vergi No</t>
  </si>
  <si>
    <t>Ödeme Şekli</t>
  </si>
  <si>
    <t>Başlangıç Tarihi</t>
  </si>
  <si>
    <t>Devir Alacak Tarihi</t>
  </si>
  <si>
    <t>Devir Kaynağı</t>
  </si>
  <si>
    <t>Özel Not</t>
  </si>
  <si>
    <t>Bilgi Durumu</t>
  </si>
  <si>
    <t>Aktif Ücret Tanımı</t>
  </si>
  <si>
    <t>Kayıt Kontrolü</t>
  </si>
  <si>
    <t>Borç Sırası</t>
  </si>
  <si>
    <t>Cari Bakiye (Sıralama)</t>
  </si>
  <si>
    <t>M019</t>
  </si>
  <si>
    <t>AC OTEL LTD.ŞTİ.</t>
  </si>
  <si>
    <t>Aktif</t>
  </si>
  <si>
    <t>Nakit</t>
  </si>
  <si>
    <t>M022</t>
  </si>
  <si>
    <t>ADEM KARABENLİ</t>
  </si>
  <si>
    <t>M023</t>
  </si>
  <si>
    <t>ALTINEL LTD.ŞTİ.</t>
  </si>
  <si>
    <t>M001</t>
  </si>
  <si>
    <t>M024</t>
  </si>
  <si>
    <t>ARMAN DİK</t>
  </si>
  <si>
    <t>M021</t>
  </si>
  <si>
    <t>ARON TOPTAN LTD.ŞTİ.</t>
  </si>
  <si>
    <t>M025</t>
  </si>
  <si>
    <t>ASIM AÇIKGÖZ</t>
  </si>
  <si>
    <t>M017</t>
  </si>
  <si>
    <t>ASM EĞLENCE LTD.ŞTİ.</t>
  </si>
  <si>
    <t>M026</t>
  </si>
  <si>
    <t>AYDES LTD.ŞTİ.</t>
  </si>
  <si>
    <t>M015</t>
  </si>
  <si>
    <t>ÇAYIRALAN LTD.ŞTİ.</t>
  </si>
  <si>
    <t>M027</t>
  </si>
  <si>
    <t>CEREN DEMİRCİ</t>
  </si>
  <si>
    <t>M018</t>
  </si>
  <si>
    <t>ÇINARHAN LTD.ŞTİ.</t>
  </si>
  <si>
    <t>M028</t>
  </si>
  <si>
    <t>DERVİŞHAN LTD.ŞTİ.</t>
  </si>
  <si>
    <t>M011</t>
  </si>
  <si>
    <t>EĞLENGÖR LTD.ŞTİ.</t>
  </si>
  <si>
    <t>M029</t>
  </si>
  <si>
    <t>EMRAH SAVURKAN</t>
  </si>
  <si>
    <t>M002</t>
  </si>
  <si>
    <t>ESERLİ LTD.ŞTİ.</t>
  </si>
  <si>
    <t>M030</t>
  </si>
  <si>
    <t>FARUK DEMİRCİ</t>
  </si>
  <si>
    <t>M014</t>
  </si>
  <si>
    <t>FİNAL SİYAH BEYAZ LTD.ŞTİ.</t>
  </si>
  <si>
    <t>M031</t>
  </si>
  <si>
    <t>HALİL AVŞAR</t>
  </si>
  <si>
    <t>M032</t>
  </si>
  <si>
    <t>HAYDAR KAYA</t>
  </si>
  <si>
    <t>M034</t>
  </si>
  <si>
    <t>İBRAHİM MALDAN</t>
  </si>
  <si>
    <t>M012</t>
  </si>
  <si>
    <t>İLDEŞ LTD.ŞTİ.</t>
  </si>
  <si>
    <t>M035</t>
  </si>
  <si>
    <t>İSA DEMİRCİ</t>
  </si>
  <si>
    <t>M033</t>
  </si>
  <si>
    <t>IŞIL GRUP LTD.ŞTİ.</t>
  </si>
  <si>
    <t>M036</t>
  </si>
  <si>
    <t>İSMAİL AKPINAR</t>
  </si>
  <si>
    <t>M008</t>
  </si>
  <si>
    <t>KÖŞK YÜKSELEN LTD.ŞTİ.</t>
  </si>
  <si>
    <t>M020</t>
  </si>
  <si>
    <t>KRİSTAL LTD.ŞTİ.</t>
  </si>
  <si>
    <t>M037</t>
  </si>
  <si>
    <t>MEHMET EVREN KILINÇ</t>
  </si>
  <si>
    <t>M038</t>
  </si>
  <si>
    <t>MELEK GÜLER</t>
  </si>
  <si>
    <t>M039</t>
  </si>
  <si>
    <t>MELİSA BEDİR</t>
  </si>
  <si>
    <t>M040</t>
  </si>
  <si>
    <t>MENEKŞE AKAN</t>
  </si>
  <si>
    <t>M041</t>
  </si>
  <si>
    <t>MESUT KÖKLÜ</t>
  </si>
  <si>
    <t>M007</t>
  </si>
  <si>
    <t>MONAMOUR LTD.ŞTİ.</t>
  </si>
  <si>
    <t>M042</t>
  </si>
  <si>
    <t>MS TOPTAN LTD.ŞTİ.</t>
  </si>
  <si>
    <t>Pasif</t>
  </si>
  <si>
    <t>M044</t>
  </si>
  <si>
    <t>MUSTAFA KOLBAŞI</t>
  </si>
  <si>
    <t>M043</t>
  </si>
  <si>
    <t>MUSTAFA UMUT KOYUN</t>
  </si>
  <si>
    <t>M013</t>
  </si>
  <si>
    <t>NAZ 1 GIDA LTD.ŞTİ.</t>
  </si>
  <si>
    <t>M045</t>
  </si>
  <si>
    <t>NERO E TİCARET LTD.ŞTİ.</t>
  </si>
  <si>
    <t>M046</t>
  </si>
  <si>
    <t>ÖMER DEMİRCİ</t>
  </si>
  <si>
    <t>M010</t>
  </si>
  <si>
    <t>ÖZFİDANLAR LTD.ŞTİ.</t>
  </si>
  <si>
    <t>M009</t>
  </si>
  <si>
    <t>PAKYILDIZ LTD.ŞTİ.</t>
  </si>
  <si>
    <t>M047</t>
  </si>
  <si>
    <t>PALAOĞULLARI LTD.ŞTİ.</t>
  </si>
  <si>
    <t>M048</t>
  </si>
  <si>
    <t>RASİM DEMİRCİ</t>
  </si>
  <si>
    <t>M016</t>
  </si>
  <si>
    <t>RİX ŞOW LTD.ŞTİ.</t>
  </si>
  <si>
    <t>M055</t>
  </si>
  <si>
    <t>SEMRA GÜMÜŞ</t>
  </si>
  <si>
    <t>M049</t>
  </si>
  <si>
    <t>STAR ŞOW LTD.ŞTİ.</t>
  </si>
  <si>
    <t>M050</t>
  </si>
  <si>
    <t>TANAK LTD.ŞTİ.</t>
  </si>
  <si>
    <t>M003</t>
  </si>
  <si>
    <t>TYANA LTD.ŞTİ.</t>
  </si>
  <si>
    <t>M051</t>
  </si>
  <si>
    <t>UFUK YILMAZ</t>
  </si>
  <si>
    <t>M052</t>
  </si>
  <si>
    <t>VANOLYA SU LTD.ŞTİ.</t>
  </si>
  <si>
    <t>M006</t>
  </si>
  <si>
    <t>VOLKAN AÇIK</t>
  </si>
  <si>
    <t>M054</t>
  </si>
  <si>
    <t>YALIKENT LTD.ŞTİ.</t>
  </si>
  <si>
    <t>M053</t>
  </si>
  <si>
    <t>YEDİYİRMİDÖRT LTD.ŞTİ.</t>
  </si>
  <si>
    <t>M004</t>
  </si>
  <si>
    <t>ZÜMRÜT EĞLENCE LTD.ŞTİ.</t>
  </si>
  <si>
    <t>M005</t>
  </si>
  <si>
    <t>ZÜMRÜT GRUP LTD.ŞTİ.</t>
  </si>
  <si>
    <t>KILIÇ MUHASEBE   │   ÜCRET DÖNEMLERİ  │  HAFTALIK VE AYLIK TAHAKKUK</t>
  </si>
  <si>
    <t>SARI HÜCRELERE YAZIN   │   Ücret değişinde eski dönemi kapat, yeni satır aç │ Geçmiş tahakkuk asla bozulmaz</t>
  </si>
  <si>
    <t>⚠  SAKIN: ücret değişinde TUTARI DEĞİŞTİRMEYİN. Eski satırı kapatıp yeni satır açın — aksi halde geçmiş aylar bozulur ve GERİ ALINAMAZ.</t>
  </si>
  <si>
    <t>Sarı = giriş, beyaz = otomatik (kilitli). Başlangıç tarihi serbesttir: haftalık modelde ilk tahakkuk bu tarihten sonraki ilk tahakkuk gününde, aylık modelde ayın son gününde oluşur.</t>
  </si>
  <si>
    <t>TOPLAM  │  Aktif haftalık + aylık tahakkuk ve oluşan ücret</t>
  </si>
  <si>
    <t>Müşteri  (yazın veya seçin)</t>
  </si>
  <si>
    <t>Ücret Başlangıç Tarihi</t>
  </si>
  <si>
    <t>Ücret Bitiş Tarihi  (bu tarih DAHİL — boş = süresiz)</t>
  </si>
  <si>
    <t>Tahakkuk Modeli</t>
  </si>
  <si>
    <t>Ücret Tutarı</t>
  </si>
  <si>
    <t>Dönem Durumu</t>
  </si>
  <si>
    <t>Bugüne Kadar Oluşan</t>
  </si>
  <si>
    <t>8 Gün Öncesine Kadar</t>
  </si>
  <si>
    <t>15 Gün Öncesine Kadar</t>
  </si>
  <si>
    <t>29 Gün Öncesine Kadar</t>
  </si>
  <si>
    <t>Oluşan Dönem</t>
  </si>
  <si>
    <t>Sistem Kontrolü</t>
  </si>
  <si>
    <t>İlk Tahakkuk Tarihi</t>
  </si>
  <si>
    <t>Not</t>
  </si>
  <si>
    <t>Aylık</t>
  </si>
  <si>
    <t>Haftalık</t>
  </si>
  <si>
    <t>KILIÇ MUHASEBE   │   MÜŞTERİ TAHSİLATI</t>
  </si>
  <si>
    <t>SARI HÜCRELERE YAZIN   │   Bir ödeme yalnız buraya girilir │ Cari, kasa, aylık kapanış ve nakit kâr otomatik güncellenir</t>
  </si>
  <si>
    <t>⚠  SAKIN: aynı ödemeyi ikinci kez veya GELİR/GİDER ekranına yazmayın — gelir iki kez sayılır.</t>
  </si>
  <si>
    <t>Sarı = giriş, beyaz = otomatik (kilitli). Aynı ödemeyi başka bir ekrana tekrar girmeyin.</t>
  </si>
  <si>
    <t>TOPLAM  │  Kayıtlı tahsilat</t>
  </si>
  <si>
    <t>Tahsilat No</t>
  </si>
  <si>
    <t>Müşteri  (listeden seçin)</t>
  </si>
  <si>
    <t>Tarih</t>
  </si>
  <si>
    <t>Tutar</t>
  </si>
  <si>
    <t>Kasa / Banka</t>
  </si>
  <si>
    <t>Ödeme Türü</t>
  </si>
  <si>
    <t>Belge No</t>
  </si>
  <si>
    <t>İşlemi Giren</t>
  </si>
  <si>
    <t>Ay</t>
  </si>
  <si>
    <t>Kayda Alınan Müşteri</t>
  </si>
  <si>
    <t>MERKEZ KASA</t>
  </si>
  <si>
    <t xml:space="preserve">HESAP BAKİYE TASHİHİ KAPALI KALDIĞI DÖNEM </t>
  </si>
  <si>
    <t>Çayıralan Ltd.Şti.</t>
  </si>
  <si>
    <t>NAKİT ÖDENEN</t>
  </si>
  <si>
    <t>İldeş Ltd.Şti.</t>
  </si>
  <si>
    <t>Zümrüt Grup Ltd.Şti.</t>
  </si>
  <si>
    <t>ÖMER KARTAL</t>
  </si>
  <si>
    <t>ÖMER KARTALA ÖDENEN</t>
  </si>
  <si>
    <t xml:space="preserve">ALTINEL LTD.ŞTİ. </t>
  </si>
  <si>
    <t>ONUR BAKİYESİNE MAHSUP</t>
  </si>
  <si>
    <t>NAKİT ÖDENEN M.ALİ KARTAL</t>
  </si>
  <si>
    <t>2026/5 HAFTA VE 2 HAFTALIK FARK</t>
  </si>
  <si>
    <t>Ankara Havana Ltd.Şti.</t>
  </si>
  <si>
    <t>Eğlengör Ltd.Şti.</t>
  </si>
  <si>
    <t>Final Siyah Beyaz Ltd.Şti.</t>
  </si>
  <si>
    <t>İbrahim Maldan</t>
  </si>
  <si>
    <t>Monamour Ltd.Şti.</t>
  </si>
  <si>
    <t>Naz 1 Gıda Ltd.Şti.</t>
  </si>
  <si>
    <t>Pakyıldız Ltd.Şti.</t>
  </si>
  <si>
    <t>Rix Şow Ltd.Şti.</t>
  </si>
  <si>
    <t>Özfidanlar Ltd.Şti.</t>
  </si>
  <si>
    <t>Zümrüt Eğlence Ltd.Şti.</t>
  </si>
  <si>
    <t>VERGİ TAHSİLATI İÇİN BORÇ YAZILAN</t>
  </si>
  <si>
    <t>ALI KILIC ZIRAATBANK HAVALE</t>
  </si>
  <si>
    <t>GRAND 06 HASAN &amp; ÖMER BAKİYE</t>
  </si>
  <si>
    <t>YALIKENT HAFTALIK MENDERES MAHSUP</t>
  </si>
  <si>
    <t>ÖMER GRAND 06 BAKİYESİ</t>
  </si>
  <si>
    <t>ARMAN DİK VERGİ TELAFİSİ İÇİN YAZILAN ZARAR</t>
  </si>
  <si>
    <t>HESAP BAKİYE MUTABAKATINDAN KASIM KAPANDI</t>
  </si>
  <si>
    <t>Asım Açıkgöz</t>
  </si>
  <si>
    <t>Kristal Ltd.Şti.</t>
  </si>
  <si>
    <t>ASM Eğlence Ltd.Şti.</t>
  </si>
  <si>
    <t>Star Şow Ltd.Şti.</t>
  </si>
  <si>
    <t>Çınarhan Ltd.Şti.</t>
  </si>
  <si>
    <t>Palaoğulları Ltd.Şti.</t>
  </si>
  <si>
    <t>KILIÇ MUHASEBE   │   OFİS GELİR VE GİDERLERİ  │  MANUEL GELİR TAHAKKUKU DAHİL</t>
  </si>
  <si>
    <t>SARI HÜCRELERE YAZIN   │   Gelir satırında Borçlu Taraf müşteri seçilirse cari borç doğar; kasa/banka seçilirse nakit gelir olur</t>
  </si>
  <si>
    <t>⚠  SAKIN: sözleşme ücretini buraya yazmayın (TAHSİLAT ekranına girilir). Müşteriye borç yazılan satırda Gerçekleşti = Evet SEÇMEYİN.</t>
  </si>
  <si>
    <t>Sarı = giriş, beyaz = otomatik (kilitli). Sözleşmeli muhasebe ücreti buraya GİRİLMEZ. Ek hizmet gelirini müşteriye borç yazmak için Borçlu Taraf'ta müşteriyi seçin.</t>
  </si>
  <si>
    <t>TOPLAM  │  Gerçekleşmiş gelir eksi gider  │  Manuel tahakkuk</t>
  </si>
  <si>
    <t>OTOMATİK TAHAKKUK GELİRİ  │  SÖZLEŞME ÜCRETİ  (elle girilmez)</t>
  </si>
  <si>
    <t>Kayıt No</t>
  </si>
  <si>
    <t>Tür</t>
  </si>
  <si>
    <t>Kategori</t>
  </si>
  <si>
    <t>Gerçekleşti</t>
  </si>
  <si>
    <t>Sorumlu</t>
  </si>
  <si>
    <t>Borçlu Taraf  (müşteri = tahakkuk)</t>
  </si>
  <si>
    <t>Borçlu Hesap</t>
  </si>
  <si>
    <t>Alacaklı Hesap</t>
  </si>
  <si>
    <t>Tahakkuk Eden</t>
  </si>
  <si>
    <t>Tahsil Edilen</t>
  </si>
  <si>
    <t>Açık Alacak Farkı</t>
  </si>
  <si>
    <t>Gider</t>
  </si>
  <si>
    <t>Diğer Gider</t>
  </si>
  <si>
    <t>Palaoğulları Kapalı Kaldığı Dönem Haftalık Zarar</t>
  </si>
  <si>
    <t>Merkez Kasa</t>
  </si>
  <si>
    <t>Evet</t>
  </si>
  <si>
    <t>Çayıralan Ltd.Şti. Cari Hesap Bakiye Tashihi</t>
  </si>
  <si>
    <t>Asım Açıkgöz Cari Hesap Bakiye Tashihi</t>
  </si>
  <si>
    <t>ASM Eğlence Ltd.Şti. Cari Hesap Bakiye Tashihi</t>
  </si>
  <si>
    <t>Çınarhan Ltd.Şti. Cari Hesap Bakiye Tashihi</t>
  </si>
  <si>
    <t>Zümrüt Grup Ltd.Şti. Cari Hesap Bakiye Tashihi</t>
  </si>
  <si>
    <t>Kırtasiye</t>
  </si>
  <si>
    <t xml:space="preserve">Merdiven İki Basamaklı </t>
  </si>
  <si>
    <t>Telefon / İnternet</t>
  </si>
  <si>
    <t xml:space="preserve">Ofis Whatsapp Hattı Ocak </t>
  </si>
  <si>
    <t>Ofis Lavabo Su Tesisatı Tamirat ve Malzeme</t>
  </si>
  <si>
    <t>Elektrik / Su / Doğalgaz</t>
  </si>
  <si>
    <t xml:space="preserve">Elektrik Ödemesi </t>
  </si>
  <si>
    <t>Su Ödemesi</t>
  </si>
  <si>
    <t>İnternet Ödemesi</t>
  </si>
  <si>
    <t>Ulaşım</t>
  </si>
  <si>
    <t>Araç Yakıt Alımı</t>
  </si>
  <si>
    <t>Temsil / Ağırlama</t>
  </si>
  <si>
    <t>Ofis Çay Kahve ve Temizlik Alışverişi</t>
  </si>
  <si>
    <t>Pakyıldız Cari Hesap Tashihi</t>
  </si>
  <si>
    <t>Mehmet Ali Kartal</t>
  </si>
  <si>
    <t>Volkan Açık Kahve 1 Haftalık Tahsilat</t>
  </si>
  <si>
    <t>Gelir</t>
  </si>
  <si>
    <t>Diğer Gelirler</t>
  </si>
  <si>
    <t>YEDİYİRMİDÖRT LTD.ŞTİ. GEÇMİŞ KAYIT DÜZELTMELERİ</t>
  </si>
  <si>
    <t>Personel</t>
  </si>
  <si>
    <t>Zeynep Hanım Maaş</t>
  </si>
  <si>
    <t>Zeynep Hanım Yemek</t>
  </si>
  <si>
    <t>Vergi / Harç</t>
  </si>
  <si>
    <t>Alı Aralık Bağkur</t>
  </si>
  <si>
    <t>Ali Ocak Bağkur</t>
  </si>
  <si>
    <t>ASMMO Aidat Ödemesi</t>
  </si>
  <si>
    <t>Ofis Kirası</t>
  </si>
  <si>
    <t>Ocak Ayı Ofis Kira Ödemesi</t>
  </si>
  <si>
    <t>Ofis Vergi Ödemeleri</t>
  </si>
  <si>
    <t>Ocak Ayı Ofis Aidatı Ödemesi</t>
  </si>
  <si>
    <t>İsmail Harçlık</t>
  </si>
  <si>
    <t>Şubat Ayı Ofis Kira Ödemesi</t>
  </si>
  <si>
    <t>Şubat Ayı Ofis Aidatı Ödemesi</t>
  </si>
  <si>
    <t>Geçici Vergi Damga</t>
  </si>
  <si>
    <t>RİX LTD.ŞTİ. 2025 / 04  DÖNEM GEÇİCİ DAMGA</t>
  </si>
  <si>
    <t>İLDEŞ LTD.ŞTİ. 2025 / 04  DÖNEM GEÇİCİ DAMGA</t>
  </si>
  <si>
    <t>KRİSTAL LTD.ŞTİ. 2025 / 04  DÖNEM GEÇİCİ DAMGA</t>
  </si>
  <si>
    <t>FİNAL LTD.ŞTİ. 2025 / 04  DÖNEM GEÇİCİ DAMGA</t>
  </si>
  <si>
    <t>ZÜMRÜT GRUP LTD.ŞTİ. 2025 / 04  DÖNEM GEÇİCİ DAMGA</t>
  </si>
  <si>
    <t>ANKARA HAVANA LTD.ŞTİ. 2025 / 04  DÖNEM GEÇİCİ DAMGA</t>
  </si>
  <si>
    <t>ASM LTD.ŞTİ. 2025 / 04  DÖNEM GEÇİCİ DAMGA</t>
  </si>
  <si>
    <t>MONAMOUR LTD.ŞTİ. 2025 / 04  DÖNEM GEÇİCİ DAMGA</t>
  </si>
  <si>
    <t>NAZ 1 LTD.ŞTİ. 2025 / 04  DÖNEM GEÇİCİ DAMGA</t>
  </si>
  <si>
    <t>ÇINARHAN LTD.ŞTİ. 2025 / 04  DÖNEM GEÇİCİ DAMGA</t>
  </si>
  <si>
    <t>YALKENT LTD.ŞTİ. 2025 / 4 GEÇİCİ DAMGA</t>
  </si>
  <si>
    <t>Ofis Temizlik Alışverişi</t>
  </si>
  <si>
    <t>Kuruluş Ücreti</t>
  </si>
  <si>
    <t>İsmail Yemek</t>
  </si>
  <si>
    <t xml:space="preserve">Baklavacı Hacıbaba </t>
  </si>
  <si>
    <t xml:space="preserve">Yemek Ömer Ali </t>
  </si>
  <si>
    <t xml:space="preserve">Taksi </t>
  </si>
  <si>
    <t>Ofis Whatsapp Hattı Şubat</t>
  </si>
  <si>
    <t>2 Adet Mutfak Tüpü</t>
  </si>
  <si>
    <t>GOLD LTD.ŞTİ. VE YSM LTD.ŞTİ. TAHSİLAT</t>
  </si>
  <si>
    <t>Zeynep Hanım Ramazan Primi</t>
  </si>
  <si>
    <t>Aralık KDV Ödemesi</t>
  </si>
  <si>
    <t>Geçici Vergi Damga Ödeme</t>
  </si>
  <si>
    <t>Müjgan Yavuz Asar Tahsilat Ocak - Şubat Muhasebe</t>
  </si>
  <si>
    <t>Şubat Bağkur Ödemesi</t>
  </si>
  <si>
    <t>Zeynep Hanım Maaş Mahsuben</t>
  </si>
  <si>
    <t>Mutfak Gereci</t>
  </si>
  <si>
    <t xml:space="preserve">Gıda Alışverişi </t>
  </si>
  <si>
    <t>Çay</t>
  </si>
  <si>
    <t>Ofis İnternet</t>
  </si>
  <si>
    <t>Defter Tasdik Geliri</t>
  </si>
  <si>
    <t xml:space="preserve">ARON LTD.ŞTİ. 2026 YILI DEFTER TASDİK </t>
  </si>
  <si>
    <t>Zeynep Hanım Maaş Bakiye</t>
  </si>
  <si>
    <t>Mart Ayı Ofis Kirası</t>
  </si>
  <si>
    <t>Mart Ayı Aidat</t>
  </si>
  <si>
    <t>Şubat Ayı Fatura</t>
  </si>
  <si>
    <t>Demirbaş</t>
  </si>
  <si>
    <t>Serkan Baş Zeynep Hanım Bilgisayar Takımı Komple</t>
  </si>
  <si>
    <t>Zeynep Yalıkent ve Yalı Gazino Prim</t>
  </si>
  <si>
    <t>EĞLENGÖR LTD.ŞTİ. SGK DANIŞMANLIK</t>
  </si>
  <si>
    <t>Benzin</t>
  </si>
  <si>
    <t>Ofis Whatsapp Hattı Mart</t>
  </si>
  <si>
    <t>Akaryakıt</t>
  </si>
  <si>
    <t>Kahve</t>
  </si>
  <si>
    <t>İçme Suyu</t>
  </si>
  <si>
    <t>Zeynep Mart Maaşı Ödemesi</t>
  </si>
  <si>
    <t>Bağkur Ödemesi</t>
  </si>
  <si>
    <t>Yazılım / Abonelik</t>
  </si>
  <si>
    <t>Luca Güncelleme Bedeli</t>
  </si>
  <si>
    <t xml:space="preserve">Benzin ( Ömer ) </t>
  </si>
  <si>
    <t>M.Ali Kılıç Vergi Ödemesi</t>
  </si>
  <si>
    <t>ZÜMRÜT GRUP LTD.ŞTİ. SGK DANIŞMANLIK</t>
  </si>
  <si>
    <t>Nisan Ofis Aidat Ödemesi</t>
  </si>
  <si>
    <t>Serkan Baş Irmak Ömer Bilgisayar Format ve Parça</t>
  </si>
  <si>
    <t>Mayıs Ofis Kira Ödemesi</t>
  </si>
  <si>
    <t>Mayıs Ofis Aidat Ödemesi</t>
  </si>
  <si>
    <t>Irmak Harçlık</t>
  </si>
  <si>
    <t>Ofis Whatsapp Hattı Nisan</t>
  </si>
  <si>
    <t>Kurumlar Vergisi Damga</t>
  </si>
  <si>
    <t>FİNAL LTD.ŞTİ. 2025 KURUMLAR DAMGA</t>
  </si>
  <si>
    <t>İLDEŞ LTD.ŞTİ. 2025 KURUMLAR DAMGA</t>
  </si>
  <si>
    <t>ASM EĞLENCE LTD.ŞTİ. 2025 KURUMLAR DAMGA</t>
  </si>
  <si>
    <t>RİX LTD.ŞTİ. 2025 KURUMLAR DAMGA</t>
  </si>
  <si>
    <t>ÇAYIRALAN LTD.ŞTİ. 2025 KURUMLAR DAMGA</t>
  </si>
  <si>
    <t>İBRAHİM MALDAN 2025 KURUMLAR DAMGA</t>
  </si>
  <si>
    <t>ASIM AÇIKGÖZ 2025 KURUMLAR DAMGA</t>
  </si>
  <si>
    <t>KRİSTAL LTD.ŞTİ. 2025 KURUMLAR DAMGA</t>
  </si>
  <si>
    <t>PALAOĞULLARI LTD.ŞTİ. 2025 KURUMLAR DAMGA</t>
  </si>
  <si>
    <t>ÇINARHAN LTD.ŞTİ. 2025 KURUMLAR DAMGA</t>
  </si>
  <si>
    <t>İSA DEMİRCİ 2025 KURUMLAR DAMGA</t>
  </si>
  <si>
    <t>Ceren Demirci Tahsilatı</t>
  </si>
  <si>
    <t>Ofis Gıda Alışverişi</t>
  </si>
  <si>
    <t>Notebook Adaptör 1 Mouse ve Mouseped Toner</t>
  </si>
  <si>
    <t>Şeffaf Dosya ve A4 Kağıt 1 Koli</t>
  </si>
  <si>
    <t xml:space="preserve">Ofis Whatsapp Hattı Taahhüt Yenileme ( Powerbank ) </t>
  </si>
  <si>
    <t>Ofis Tabak</t>
  </si>
  <si>
    <t>Damacana</t>
  </si>
  <si>
    <t>Ofis Gıda Temizlik Alışverişi</t>
  </si>
  <si>
    <t>Zeynep Hanım Avans</t>
  </si>
  <si>
    <t>Zeynep Hanim Nisan Maaşı</t>
  </si>
  <si>
    <t>Araç Benzin</t>
  </si>
  <si>
    <t>ALI KILIC 2025 YILI GELİR VERGİSİ İADE</t>
  </si>
  <si>
    <t>Ömer TAG</t>
  </si>
  <si>
    <t>Haziran Ayı Ofis Kirası</t>
  </si>
  <si>
    <t>Haziran Aidat Ödemesi</t>
  </si>
  <si>
    <t>Yıkama</t>
  </si>
  <si>
    <t>Ofis Whatsapp Hattı Mayıs</t>
  </si>
  <si>
    <t>Mehmet Ali Kartal Nisan ve Mayıs Maaşı</t>
  </si>
  <si>
    <t>KRİSTAL LTD.ŞTİ. 2026 / 1 GEÇİCİ DAMGA</t>
  </si>
  <si>
    <t>ÇAYIRALAN LTD.ŞTİ. 2026 / 1 GEÇİCİ DAMGA</t>
  </si>
  <si>
    <t>RİX LTD.ŞTİ.  2026 / 1 GEÇİCİ DAMGA</t>
  </si>
  <si>
    <t>ASM EĞLENCE LTD.ŞTİ.  2026 / 1 GEÇİCİ DAMGA</t>
  </si>
  <si>
    <t>FİNAL LTD.ŞTİ. 2026 / 1 GEÇİCİ DAMGA</t>
  </si>
  <si>
    <t>ZÜMRÜT GRUP LTD.ŞTİ. 2026 / 1 GEÇİCİ DAMGA</t>
  </si>
  <si>
    <t>PAKYILDIZ LTD.ŞTİ. 2026 / 1 GEÇİCİ DAMGA</t>
  </si>
  <si>
    <t>ÇINARHAN LTD.ŞTİ. 2026 / 1 GEÇİCİ DAMGA</t>
  </si>
  <si>
    <t xml:space="preserve">Mail Depolama </t>
  </si>
  <si>
    <t>Zeynep Nisan Maaşı Ödemesi</t>
  </si>
  <si>
    <t>Luca Kontör</t>
  </si>
  <si>
    <t>E-DEFTER KONTÖR</t>
  </si>
  <si>
    <t>2025 KURUMLAR DAMGA</t>
  </si>
  <si>
    <t>ASIM AÇIKGÖZ LUCA KONTÖR</t>
  </si>
  <si>
    <t>ELVAN ALTIPARMAK 10 GÜNLÜK SİGORTA</t>
  </si>
  <si>
    <t xml:space="preserve">Araç Yakıt Alımı ( Ömer ) </t>
  </si>
  <si>
    <t>Mehmet Ali Kartal Haziran Maaşı</t>
  </si>
  <si>
    <t>AraçYakıt</t>
  </si>
  <si>
    <t>Ofis Whatsapp Hattı Haziran</t>
  </si>
  <si>
    <t>Araç Lastik Değişimi Yıkama</t>
  </si>
  <si>
    <t>ESERLİ LTD.ŞTİ. LUCA KONTÖR</t>
  </si>
  <si>
    <t>RİX LTD.ŞTİ. LUCA KONTÖR</t>
  </si>
  <si>
    <t>EĞLENGÖR LTD.ŞTİ. LUCA KONTÖR</t>
  </si>
  <si>
    <t>ASM EĞLENCE LTD.ŞTİ. LUCA KONTÖR</t>
  </si>
  <si>
    <t>Ofis Whatsapp Hattı Temmuz</t>
  </si>
  <si>
    <t>MESUT KÖKLÜ KURULUŞ ÜCRETİ</t>
  </si>
  <si>
    <t>Zeynep Hanım Haziran Maaş Bakiye Ödemesi</t>
  </si>
  <si>
    <t>Araç Yakıt</t>
  </si>
  <si>
    <t>Irmak Maaş Ödemesi</t>
  </si>
  <si>
    <t>VANOLYA LTD.ŞTİ. KURULUŞ ÜCRETİ</t>
  </si>
  <si>
    <t>Ofis Elektrik Fatura Ödemesi 3 Adet</t>
  </si>
  <si>
    <t>Serkan Baş Toner</t>
  </si>
  <si>
    <t>Temmuz İşyeri Kira Ödemesi</t>
  </si>
  <si>
    <t>Ağustos İşyeri Kira Ödemesi</t>
  </si>
  <si>
    <t>Eylül İşyeri Kira Ödemesi</t>
  </si>
  <si>
    <t>KRİSTAL LTD.ŞTİ. 2026 / 2 GEÇİCİ DAMGA</t>
  </si>
  <si>
    <t>ASIM AÇIKGÖZ 2026 / 2 GEÇİCİ DAMGA</t>
  </si>
  <si>
    <t>RİX LTD.ŞTİ. 2026 / 2 GEÇİCİ DAMGA</t>
  </si>
  <si>
    <t>ASM EĞLENCE LTD.ŞTİ. 2026 / 2 GEÇİCİ DAMGA</t>
  </si>
  <si>
    <t>PAKYILDIZ LTD.ŞTİ.  2026 / 2 GEÇİCİ DAMGA</t>
  </si>
  <si>
    <t>FİNAL LTD.ŞTİ.  2026 / 2 GEÇİCİ DAMGA</t>
  </si>
  <si>
    <t>ZÜMRÜT GRUP LTD.ŞTİ. 2026 / 2 GEÇİCİ DAMGA</t>
  </si>
  <si>
    <t>ÇINARHAN LTD.ŞTİ. 2026 / 2 GEÇİCİ DAMGA</t>
  </si>
  <si>
    <t>YALKENT LTD.ŞTİ. 2026 / 2 GEÇİCİ DAMGA</t>
  </si>
  <si>
    <t>PALAOĞULLARI LTD.ŞTİ. 2026 / 2 GEÇİCİ DAMGA</t>
  </si>
  <si>
    <t>PINAR HANIM SİGORTA HAZİRAN</t>
  </si>
  <si>
    <t>PINAR HANIM SİGORTA TEMMUZ VE AĞUSTOS</t>
  </si>
  <si>
    <t>Temmuz Ağustos Eylül İşyeri Aidatı Ödemesi</t>
  </si>
  <si>
    <t>Ofis Whatsapp Hattı Ağustos</t>
  </si>
  <si>
    <t>Arman Dik Vergi Telafisi</t>
  </si>
  <si>
    <t>Temmuz Maaş Ödemesi</t>
  </si>
  <si>
    <t>KILIÇ MUHASEBE   │   KASA / BANKA ARASI VİRMAN</t>
  </si>
  <si>
    <t>SARI HÜCRELERE YAZIN   │   Hesaplar arası para geçişi gelir veya gider değildir │ Toplam nakit değişmez</t>
  </si>
  <si>
    <t>⚠  SAKIN: transferi gelir veya gider olarak yazmayın — nakit kâr yanlış çıkar.</t>
  </si>
  <si>
    <t>Sarı = giriş, beyaz = otomatik (kilitli). Çıkan ve giren hesap aynı olamaz.</t>
  </si>
  <si>
    <t>TOPLAM  │  Virman hacmi</t>
  </si>
  <si>
    <t>İşlem No</t>
  </si>
  <si>
    <t>Para Çıkan Hesap</t>
  </si>
  <si>
    <t>Para Giren Hesap</t>
  </si>
  <si>
    <t>AVANS_KEY</t>
  </si>
  <si>
    <t>GAZİNO TAHSİLATLARINDAN KALAN BAKİYE</t>
  </si>
  <si>
    <t>PARİS GAZİNOSU SGK'LAR</t>
  </si>
  <si>
    <t>HÜSEYİN ŞİMŞEK MUHASEBE ÜCRETİ</t>
  </si>
  <si>
    <t>FADİME HORUZCU MUHASEBE ÜCRETİ</t>
  </si>
  <si>
    <t>Onur'un Ömerden Alacağı Bakiye</t>
  </si>
  <si>
    <t>ALİ KILIÇ TARAFINDAN HAVALE</t>
  </si>
  <si>
    <t xml:space="preserve">KASAYA NAKİT ÖDENEN </t>
  </si>
  <si>
    <t>DAMLA SABANCI HAVALE</t>
  </si>
  <si>
    <t>ÖMER NAKİT ÖDENEN ATO</t>
  </si>
  <si>
    <t xml:space="preserve">ÖMER TATİLDEYKEN HAVALE </t>
  </si>
  <si>
    <t>GRAND 06 ÖMER BAKİYE</t>
  </si>
  <si>
    <t>ÖMER KARTAL CARİ HESAP KASAYA ÖDEDİĞİ</t>
  </si>
  <si>
    <t>KÂR PAYI / AVANS ÇEKİŞİ — Ocak Ayı Kâr Payı Ödemesi — eski GELIR_GIDER satır 26</t>
  </si>
  <si>
    <t>ALİ KILIÇ</t>
  </si>
  <si>
    <t>KÂR PAYI / AVANS ÇEKİŞİ — Ocak Ayı Kâr Payı Ödemesi — eski GELIR_GIDER satır 27</t>
  </si>
  <si>
    <t>KÂR PAYI / AVANS ÇEKİŞİ — Şubat Ayı Kâr Payı Ödemesi — eski GELIR_GIDER satır 66</t>
  </si>
  <si>
    <t>KÂR PAYI / AVANS ÇEKİŞİ — Şubat Ayı Kâr Payı Ödemesi — eski GELIR_GIDER satır 67</t>
  </si>
  <si>
    <t>KÂR PAYI / AVANS ÇEKİŞİ — Mart Ayı Kâr Payı Ödemesi — eski GELIR_GIDER satır 94</t>
  </si>
  <si>
    <t>KÂR PAYI / AVANS ÇEKİŞİ — Mart Ayı Kâr Payı Ödemesi — eski GELIR_GIDER satır 95</t>
  </si>
  <si>
    <t>KÂR PAYI / AVANS ÇEKİŞİ — Nisan Ayı Kâr Payı Ödemesi — eski GELIR_GIDER satır 134</t>
  </si>
  <si>
    <t>KÂR PAYI / AVANS ÇEKİŞİ — Nisan Ayı Kâr Payı Ödemesi — eski GELIR_GIDER satır 135</t>
  </si>
  <si>
    <t>KÂR PAYI / AVANS ÇEKİŞİ — Mayıs Ayı Kâr Payı Ödemesi — eski GELIR_GIDER satır 167</t>
  </si>
  <si>
    <t>KÂR PAYI / AVANS ÇEKİŞİ — Mayıs Ayı Kâr Payı Ödemesi — eski GELIR_GIDER satır 168</t>
  </si>
  <si>
    <t>KÂR PAYI / AVANS ÇEKİŞİ — Haziran Ayı Kâr Payı Ödemesi — eski GELIR_GIDER satır 184</t>
  </si>
  <si>
    <t>KÂR PAYI / AVANS ÇEKİŞİ — Haziran Ayı Kâr Payı Ödemesi — eski GELIR_GIDER satır 185</t>
  </si>
  <si>
    <t>KÂR PAYI / AVANS ÇEKİŞİ — Temmuz Ayı Kâr Payı Ödemesi — eski GELIR_GIDER satır 196</t>
  </si>
  <si>
    <t>KÂR PAYI / AVANS ÇEKİŞİ — Temmuz Ayı Kâr Payı Ödemesi — eski GELIR_GIDER satır 197</t>
  </si>
  <si>
    <t>KILIÇ MUHASEBE   │   ORTAK CARİ HESAP EKSTRESİ</t>
  </si>
  <si>
    <t>BU EKRANA KAYIT GİRİLMEZ   │   Ortak seçin; müşteriden aldığı tahsilatlar, virmanlar, kâr payı hakedişi ve çekiş/avans hareketleri tarih sırasıyla otomatik listelenir</t>
  </si>
  <si>
    <t>⚠  ORTAK CARİ: BORÇ = müşteriden aldığı + hesabına gelen virman. ALACAK = kasaya/ofise ödediği + kâr payı hakedişi. Ortak çekiş/avans yalnız VIRMAN’dan izlenir; hakediş üstü çekiş AVANS olarak kalır ve sistemi kilitlemez.</t>
  </si>
  <si>
    <t>1.  ORTAK TANIMLARI VE CARİ ÖZETİ       ✎  SARI SÜTUNLAR GİRİLEBİLİR</t>
  </si>
  <si>
    <t>Ortak Adı</t>
  </si>
  <si>
    <t>Kasa Hesabı</t>
  </si>
  <si>
    <t>Müşteriden Alınan (BORÇ)</t>
  </si>
  <si>
    <t>Virmanla Gelen (BORÇ)</t>
  </si>
  <si>
    <t>Kasaya/Ofise Ödenen (ALACAK)</t>
  </si>
  <si>
    <t>Kâr Payı Tahakkuku (ALACAK)</t>
  </si>
  <si>
    <t>NET CARİ</t>
  </si>
  <si>
    <t>Ortak Çekiş / Avans  (BİLGİ — Virmanla Gelen içindeki alt kırılım)</t>
  </si>
  <si>
    <t>Cari Durumu</t>
  </si>
  <si>
    <t>▪  NET CARİ = (MÜŞTERİDEN ALINAN + ORTAĞA GELEN VİRMAN) – (ORTAĞIN KASAYA/OFİSE ÖDEDİĞİ + KÂR PAYI TAHAKKUKU).   ▪  Pozitif = ORTAK OFİSE BORÇLU.   ▪  Negatif = OFİS ORTAĞA BORÇLU.   ▪  Kâr payı ödemesi ayrıca cari hesabına ikinci kez yazılmaz.</t>
  </si>
  <si>
    <t>2.  PAY ORANI DÖNEMLERİ       ✎  GİRİLEBİLİR   │   Oran değişirse eski dönemi kapat, yeni satır aç</t>
  </si>
  <si>
    <t>Ortak</t>
  </si>
  <si>
    <t>Başlangıç Ayı</t>
  </si>
  <si>
    <t>Bitiş Ayı  (bu ay DAHİL — boş = süresiz)</t>
  </si>
  <si>
    <t>Pay Oranı</t>
  </si>
  <si>
    <t>Başlangıç oranı</t>
  </si>
  <si>
    <t>ORTAK CARİ EKSTRESİ       ◈  SALT OKUNUR — yalnız ortak seçin   │   BORÇ = müşteriden aldığı + ortağa gelen virman   │   ALACAK = ofise ödediği + kâr payı tahakkuku</t>
  </si>
  <si>
    <t>ORTAK SEÇ</t>
  </si>
  <si>
    <t>Sıra</t>
  </si>
  <si>
    <t>Hareket Türü</t>
  </si>
  <si>
    <t>BORÇ</t>
  </si>
  <si>
    <t>ALACAK</t>
  </si>
  <si>
    <t>NET BAKİYE</t>
  </si>
  <si>
    <t>KILIÇ MUHASEBE   │   MÜŞTERİ CARİ HESAP EKSTRESİ</t>
  </si>
  <si>
    <t>BU EKRANA KAYIT GİRİLMEZ   │   Tahakkuk, manuel gelir ve tahsilat hareketleri tarih sırasıyla otomatik listelenir │ Bu ekrana kayıt girilmez</t>
  </si>
  <si>
    <t>⚠  SAKIN: bu ekrana kayıt girmeyin — salt okunurdur. Düzeltme TAHSİLAT, ÜCRETLER veya GELİR/GİDER ekranından yapılır.</t>
  </si>
  <si>
    <t>MÜŞTERİ</t>
  </si>
  <si>
    <t>CARİ HESAP EKSTRESİ</t>
  </si>
  <si>
    <t>TOPLAM BORÇ</t>
  </si>
  <si>
    <t>TOPLAM ÖDEME</t>
  </si>
  <si>
    <t>KALAN BAKİYE</t>
  </si>
  <si>
    <t>PDF ÇIKTISI   ▸   Ad Kutusu: EKSTRE + Enter   ▸   Ctrl+P   ▸   Yalnızca Seçimi Yazdır</t>
  </si>
  <si>
    <t>EXCEL'E AL   ▸   EKSTRE seç   ▸   Ctrl+C   ▸   Yeni kitap   ▸   Ctrl+Alt+V ▸ Değerler</t>
  </si>
  <si>
    <t>ÖDEME</t>
  </si>
  <si>
    <t>BAKİYE</t>
  </si>
  <si>
    <t>KILIÇ MUHASEBE   │   Kaşe / İmza</t>
  </si>
  <si>
    <t>Mükellef   │   Kaşe / İmza</t>
  </si>
  <si>
    <t>KILIÇ MUHASEBE   │   MÜŞTERİ 360  │  CARİ, YAŞLANDIRMA VE TAHAKKUK</t>
  </si>
  <si>
    <t>BU EKRANA KAYIT GİRİLMEZ   │   Bu ekrana veri girilmez │ Tüm değerler müşteri, ücret ve tahsilat kayıtlarından hesaplanır</t>
  </si>
  <si>
    <t>⚠  SAKIN: bu ekran salt okunurdur. Liste CARİ BAKİYEYE göre büyükten küçüğe otomatik sıralanır; rakam yanlışsa kaynak ekranı düzeltin.</t>
  </si>
  <si>
    <t>Sarı = giriş, beyaz = otomatik (kilitli). Yaşlandırma en eski borçtan kapatma esasına göre hesaplanır.</t>
  </si>
  <si>
    <t>TOPLAM  │  Portföy</t>
  </si>
  <si>
    <t>Müşteri</t>
  </si>
  <si>
    <t>Açık İş</t>
  </si>
  <si>
    <t>Devir Tarihi</t>
  </si>
  <si>
    <t>Devir Yaşı (gün)</t>
  </si>
  <si>
    <t>Avans / Fazla Ödeme</t>
  </si>
  <si>
    <t>KILIÇ MUHASEBE   │   KASA VE BANKA HESAPLARI</t>
  </si>
  <si>
    <t>SARI HÜCRELERE YAZIN   │   Hesap tanımı ve güncel bakiye aynı ekranda │ Bakiyeler işlem kayıtlarından hesaplanır</t>
  </si>
  <si>
    <t>⚠  EKSİ BAKİYE = çıkışlar, açılış + nakit girişlerinden fazla. Sistem rakamı gizlemez; KASA AÇIĞI sütunundan eksik tutarı görün ve açılış/eksik giriş kaydını kontrol edin.</t>
  </si>
  <si>
    <t>Sarı = giriş, beyaz = otomatik (kilitli). Yeni hesap eklemek için ilk boş satıra hesap adını yazın.</t>
  </si>
  <si>
    <t>Hesap Adı</t>
  </si>
  <si>
    <t>Açılış Bakiyesi</t>
  </si>
  <si>
    <t>Müşteri Tahsilatı</t>
  </si>
  <si>
    <t>Diğer Gelir</t>
  </si>
  <si>
    <t>Ödenen Gider</t>
  </si>
  <si>
    <t>Gelen Virman</t>
  </si>
  <si>
    <t>Giden Virman</t>
  </si>
  <si>
    <t>Güncel Bakiye</t>
  </si>
  <si>
    <t>Kasa Açığı</t>
  </si>
  <si>
    <t>Kasa</t>
  </si>
  <si>
    <t>GARANTİBANK</t>
  </si>
  <si>
    <t>Banka</t>
  </si>
  <si>
    <t>ZİRAATBANK</t>
  </si>
  <si>
    <t>TOPLAM NAKİT POZİSYONU</t>
  </si>
  <si>
    <t>⚙  KARMA EKRAN — YALNIZ SARI ALANLARA YAZIN</t>
  </si>
  <si>
    <t>KILIÇ MUHASEBE   │   AY SONU KAPANIŞI VE ORTAK PAY DAĞITIMI</t>
  </si>
  <si>
    <t>YALNIZ SARI ALANLAR GİRİLEBİLİR   │   KÂR TAHSİLAT ESASLIDIR │ Ortak çekişleri gider değildir; hakedişi aşan tutar AVANS olarak eksi bakiye gösterilir ve dönemi KİLİTLEMEZ</t>
  </si>
  <si>
    <t>⚠  KURAL: Kâr = gerçekleşen tahsilatlar + gerçekleşen diğer gelirler − gerçekleşen giderler. Ortak çekişi/avansı VIRMAN’dan girin; fazla çekiş sadece eksi/kırmızı AVANS bakiyesi üretir, kapanışı engellemez.</t>
  </si>
  <si>
    <t>Sarı = giriş, beyaz = otomatik (kilitli). Bu ekranda YALNIZ “Dağıtıldı mı?” sütunu girilir; diğer tüm sütunlar otomatiktir.</t>
  </si>
  <si>
    <t>36 AYLIK TOPLAM</t>
  </si>
  <si>
    <t>Tahakkuk Bilgisi (KÂR DIŞI)</t>
  </si>
  <si>
    <t>Müşteri Tahsilatı (GELİR)</t>
  </si>
  <si>
    <t>Diğer Gerçekleşen Gelir</t>
  </si>
  <si>
    <t>Toplam Gerçekleşen Gelir</t>
  </si>
  <si>
    <t>Gerçekleşen Gider</t>
  </si>
  <si>
    <t>Tahakkuk Sonucu (BİLGİ)</t>
  </si>
  <si>
    <t>NAKİT KÂR (TAHSİLAT ESASLI)</t>
  </si>
  <si>
    <t>Tahsilat / Tahakkuk Oranı (BİLGİ)</t>
  </si>
  <si>
    <t>Kasa Tamponu</t>
  </si>
  <si>
    <t>Dağıtılabilir Nakit Kâr (Birikimli)</t>
  </si>
  <si>
    <t>Ortak 1 Kâr Payı Hakedişi</t>
  </si>
  <si>
    <t>Ortak 2 Kâr Payı Hakedişi</t>
  </si>
  <si>
    <t>Dönem Kapandı mı?</t>
  </si>
  <si>
    <t>Ortak 1 Çekiş / Avans</t>
  </si>
  <si>
    <t>Ortak 2 Çekiş / Avans</t>
  </si>
  <si>
    <t>Toplam Kâr Payı Bakiye / Avans</t>
  </si>
  <si>
    <t>Kontrol / Kapatılamama Nedeni</t>
  </si>
  <si>
    <t>Hayır</t>
  </si>
  <si>
    <t>KILIÇ MUHASEBE   │   ORTAKLAR  │  PAY ORANLARI VE CARİ HESAP</t>
  </si>
  <si>
    <t>YALNIZ SARI ALANLAR GİRİLEBİLİR   │   Kâr payı hakedişi TAHSİLAT ESASLI nakit kârdan oluşur │ Ortak çekişleri VIRMAN’dan kaydedilir; hakedişi aşan çekiş AVANS olur</t>
  </si>
  <si>
    <t>⚠  ORTAK CARİ: BORÇ = müşteriden aldığı + hesabına gelen virman. ALACAK = kasaya/ofise ödediği + tahsilat esaslı kâr payı hakedişi. Kâr payını aşan çekiş ayrıca AVANS olarak eksi/kırmızı gösterilir; sistem kilitlenmez.</t>
  </si>
  <si>
    <t>Kâr Payı Hakedişi (ALACAK)</t>
  </si>
  <si>
    <t>Kâr Payı Bakiye / Avans  (eksi = AVANS)</t>
  </si>
  <si>
    <t>Cari / Avans Durumu</t>
  </si>
  <si>
    <t>▪  NET CARİ = (müşteriden alınan + ortağa gelen virman) – (ortağın ofise ödediği + kâr payı hakedişi).   ▪  Kâr payı çekişi GELİR/GİDER değildir; VIRMAN ile partner hesabına geçer.   ▪  Kâr Payı Bakiye / Avans = hakediş − çekiş. Negatif değer AVANS’tır, kırmızı görünür ve dönemi kilitlemez.</t>
  </si>
  <si>
    <t>3.  KÂR PAYI / AVANS EKSTRESİ       ◈  SALT OKUNUR — yalnız ortak seçin   │   hakediş = alacak, çekiş/avans = borç</t>
  </si>
  <si>
    <t>HAK EDİŞ (Alacak)</t>
  </si>
  <si>
    <t>ÇEKİŞ / AVANS (Borç)</t>
  </si>
  <si>
    <t>KILIÇ MUHASEBE   │   SİSTEM AYARLARI VE KONTROL MERKEZİ</t>
  </si>
  <si>
    <t>YALNIZ SARI ALANLAR GİRİLEBİLİR   │   Sistem kendi kendini denetler │ KALDI görülen bir satır varken ay kapatılmaz</t>
  </si>
  <si>
    <t>SİSTEM PARAMETRELERİ       ✎  BU BLOK GİRİLEBİLİR (sarı hücreler)</t>
  </si>
  <si>
    <t>Ofis Adı</t>
  </si>
  <si>
    <t>KILIÇ MUHASEBE</t>
  </si>
  <si>
    <t>Rapor başlıklarında kullanılır</t>
  </si>
  <si>
    <t>Değiştirilebilir</t>
  </si>
  <si>
    <t>GİDER KALEMLERİ   ✎ GİRİLEBİLİR  (Tür = Gider seçilince bu liste gelir)</t>
  </si>
  <si>
    <t>Tahakkuk Günü</t>
  </si>
  <si>
    <t>Cumartesi</t>
  </si>
  <si>
    <t>Haftalık ücret bu gün tahakkuk eder</t>
  </si>
  <si>
    <t>Listeden seçilir</t>
  </si>
  <si>
    <t>Ortak 1 Adı</t>
  </si>
  <si>
    <t>Birinci ortağın adı</t>
  </si>
  <si>
    <t>Ortak 2 Adı</t>
  </si>
  <si>
    <t>İkinci ortağın adı</t>
  </si>
  <si>
    <t>Ortak 1 Payı</t>
  </si>
  <si>
    <t>DÖNEMSEL ORAN ORTAKLAR SAYFASINDAN YÖNETİLİR</t>
  </si>
  <si>
    <t>Bilgi amaçlı</t>
  </si>
  <si>
    <t>Ortak 2 Payı</t>
  </si>
  <si>
    <t>Dağıtım öncesi ofiste kalacak nakit</t>
  </si>
  <si>
    <t>TL</t>
  </si>
  <si>
    <t>Kâr Paylaşım Esası</t>
  </si>
  <si>
    <t>Yalnız tahsil edilmiş gelirden ödenmiş gider düşer</t>
  </si>
  <si>
    <t>Sabit</t>
  </si>
  <si>
    <t>Borç Kapatma Sırası</t>
  </si>
  <si>
    <t>En Eski Borçtan Başla</t>
  </si>
  <si>
    <t>Ödeme önce en eski açık borç kapatır</t>
  </si>
  <si>
    <t>Otomatik</t>
  </si>
  <si>
    <t>Para Birimi</t>
  </si>
  <si>
    <t>Temel raporlama para birimi</t>
  </si>
  <si>
    <t>Rapor Tarihi</t>
  </si>
  <si>
    <t>Bugünün tarihi</t>
  </si>
  <si>
    <t>SİSTEM KONTROL MERKEZİ       ◈  SALT OKUNUR — bu bloka yazılmaz, tüm değerler otomatik hesaplanır</t>
  </si>
  <si>
    <t>Önem</t>
  </si>
  <si>
    <t>Beklenen</t>
  </si>
  <si>
    <t>Gerçek</t>
  </si>
  <si>
    <t>Sonuç</t>
  </si>
  <si>
    <t>İlgili Ekran</t>
  </si>
  <si>
    <t>Nerede?  (ilk hatalı kayıt)</t>
  </si>
  <si>
    <t>Ortak pay toplamı</t>
  </si>
  <si>
    <t>KRİTİK</t>
  </si>
  <si>
    <t>%100</t>
  </si>
  <si>
    <t>İki ortağın payı %100 etmeli</t>
  </si>
  <si>
    <t>Ücret dönemi hatası</t>
  </si>
  <si>
    <t>0</t>
  </si>
  <si>
    <t>Aktif dönemde model/tutar/tarih eksik ya da hatalı</t>
  </si>
  <si>
    <t>Aktif müşteri ücretsiz</t>
  </si>
  <si>
    <t>Aktif müşterinin aktif ücret tanımı olmalı</t>
  </si>
  <si>
    <t>Müşteri no tekrarı</t>
  </si>
  <si>
    <t>Müşteri numarası tekil olmalı</t>
  </si>
  <si>
    <t>Müşteri adı tekrarı</t>
  </si>
  <si>
    <t>YÜKSEK</t>
  </si>
  <si>
    <t>Hızlı kart seçimi için adlar tekil olmalı</t>
  </si>
  <si>
    <t>Devir tarihi eksik</t>
  </si>
  <si>
    <t>Tarihi olmayan devir 29+ gün sayılır</t>
  </si>
  <si>
    <t>Müşteri kaydı eksik</t>
  </si>
  <si>
    <t>ORTA</t>
  </si>
  <si>
    <t>Unvan ve durum zorunlu</t>
  </si>
  <si>
    <t>Tarih, tutar ve hesap zorunlu</t>
  </si>
  <si>
    <t>Tanımsız müşteriye tahsilat</t>
  </si>
  <si>
    <t>Tahsilat müşteri numarası ana listede olmalı</t>
  </si>
  <si>
    <t>İleri tarihli tahsilat</t>
  </si>
  <si>
    <t>Yanlışlıkla ileri tarih girilmesini yakalar</t>
  </si>
  <si>
    <t>Sıfır / negatif tahsilat</t>
  </si>
  <si>
    <t>Tahsilat tutarı sıfırdan büyük olmalı</t>
  </si>
  <si>
    <t>Tanımsız hesaba tahsilat</t>
  </si>
  <si>
    <t>Kasa/banka adı hesap listesinde olmalı</t>
  </si>
  <si>
    <t>Faaliyet kaydı tam olmalı</t>
  </si>
  <si>
    <t>GELİR KALEMLERİ   ✎ GİRİLEBİLİR  (Tür = Gelir seçilince bu liste gelir)</t>
  </si>
  <si>
    <t>Sıfır / negatif gelir-gider</t>
  </si>
  <si>
    <t>Tutar sıfırdan büyük olmalı</t>
  </si>
  <si>
    <t>Hatalı virman</t>
  </si>
  <si>
    <t>Çıkan ve giren hesap aynı olamaz</t>
  </si>
  <si>
    <t>Kontör Ücreti Geliri</t>
  </si>
  <si>
    <t>Cari matematik kontrolü</t>
  </si>
  <si>
    <t>Bakiye = yaş kovaları toplamı</t>
  </si>
  <si>
    <t>Geçici Vergi / Damga Geliri</t>
  </si>
  <si>
    <t>Tahsilat mutabakatı</t>
  </si>
  <si>
    <t>0,00 TL</t>
  </si>
  <si>
    <t>Defter toplamı = cari tahsilat toplamı</t>
  </si>
  <si>
    <t>Danışmanlık Hizmet Geliri</t>
  </si>
  <si>
    <t>Yaşlandırma mutabakatı</t>
  </si>
  <si>
    <t>Toplam alacak = yaş kovaları toplamı</t>
  </si>
  <si>
    <t>Muhasebe Hizmet Geliri</t>
  </si>
  <si>
    <t>Kasa toplam denklemi</t>
  </si>
  <si>
    <t>Hesap satırları toplamı = genel toplam</t>
  </si>
  <si>
    <t>Negatif hesap bakiyesi</t>
  </si>
  <si>
    <t>BİLGİ</t>
  </si>
  <si>
    <t>İzle</t>
  </si>
  <si>
    <t>Bakiyesi eksiye düşen hesap incelenmeli</t>
  </si>
  <si>
    <t>Ortak pay dağıtım hatası</t>
  </si>
  <si>
    <t>Dağıtılan pay toplamı tutmalı</t>
  </si>
  <si>
    <t>Ortak gider kalemi çakışması</t>
  </si>
  <si>
    <t>VIRMAN kullanılır</t>
  </si>
  <si>
    <t>Kâr payı/ortak çekişi gider kalemi değildir. Para çıkışı VIRMAN ekranında kasa/bankadan ortak hesabına kaydedilir; fazla çekiş AVANS olur.</t>
  </si>
  <si>
    <t>—</t>
  </si>
  <si>
    <t>Ortak gider kalemi eksik</t>
  </si>
  <si>
    <t>Ortak oran tanım hatası</t>
  </si>
  <si>
    <t>Ortak pay oranı dönem satırlarında hata olmamalı</t>
  </si>
  <si>
    <t>Muhasebe Hizmet Geliri (sözleşme dışı)</t>
  </si>
  <si>
    <t>Ortakların ofise net borcu</t>
  </si>
  <si>
    <t>Net carisi pozitif olan ortakların ofise toplam borcu</t>
  </si>
  <si>
    <t>Beyanname / Bildirim Ücreti</t>
  </si>
  <si>
    <t>Ofisin ortaklara net borcu</t>
  </si>
  <si>
    <t>Net carisi negatif olan ortaklara ofisin toplam borcu</t>
  </si>
  <si>
    <t>Diğer Hizmet Geliri</t>
  </si>
  <si>
    <t>29+ gün alacaklı müşteri</t>
  </si>
  <si>
    <t>Kritik borç durumundaki müşteri sayısı</t>
  </si>
  <si>
    <t>Cari ekstre mutabakatı</t>
  </si>
  <si>
    <t>Seçili müşterinin ekstre bakiyesi cari bakiyeye eşit olmalı</t>
  </si>
  <si>
    <t>Mükerrer tahsilat şüphesi</t>
  </si>
  <si>
    <t>Aynı müşteri + tarih + tutar + belge no ikinci kez girilmiş</t>
  </si>
  <si>
    <t>Mükerrer gelir/gider şüphesi</t>
  </si>
  <si>
    <t>Aynı tür + kategori + tarih + tutar + AÇIKLAMA + belge ikinci kez girilmiş</t>
  </si>
  <si>
    <t>Kapanmış döneme kayıt</t>
  </si>
  <si>
    <t>Dağıtımı yapılmış bir aya sonradan kayıt girilmiş</t>
  </si>
  <si>
    <t>Toplam avans (fazla ödeme)</t>
  </si>
  <si>
    <t>Müşterilerin borçlarından fazla ödediği tutar (alınan avans)</t>
  </si>
  <si>
    <t>Ödenecek gider (tahakkuk)</t>
  </si>
  <si>
    <t>Gerçekleşti = Hayır işaretli, henüz ödenmemiş gider toplamı</t>
  </si>
  <si>
    <t>Mahsup ile kapatılan tahsilat</t>
  </si>
  <si>
    <t>Cariyi kapatır ama kasaya girmez</t>
  </si>
  <si>
    <t>Dağıtılmamış birikimli kâr</t>
  </si>
  <si>
    <t>Zarar mahsubu ve ödenmiş paylar düşüldükten sonra kalan</t>
  </si>
  <si>
    <t>Ortak pay oranı toplamı</t>
  </si>
  <si>
    <t>Her ay %100</t>
  </si>
  <si>
    <t>Her ay için iki ortağın payı %100 etmeli — ORTAKLAR sayfasındaki dönemleri kontrol edin</t>
  </si>
  <si>
    <t>Ortak kâr payı kalemi çakışması</t>
  </si>
  <si>
    <t>Ortak pay dönemi hatası</t>
  </si>
  <si>
    <t>Başlangıç/oran/tarih eksik veya hatalı pay dönemi</t>
  </si>
  <si>
    <t>Ortak net cari toplamı</t>
  </si>
  <si>
    <t>Pozitif = ortaklar ofise borçlu; negatif = ofis ortaklara borçlu</t>
  </si>
  <si>
    <t>Ofisten alacaklı ortak</t>
  </si>
  <si>
    <t>Net cari bakiyesi negatif olan ortak sayısı — hata değildir; ofisin ortağa borcunu gösterir</t>
  </si>
  <si>
    <t>Tahakkuk motoru mutabakatı</t>
  </si>
  <si>
    <t>Aylık tahakkuk toplamı kümülatif tahakkuka eşit olmalı — bir ay boş/hatalı ise burada görünür</t>
  </si>
  <si>
    <t>Tahakkuksuz ara ay</t>
  </si>
  <si>
    <t>Önceki ve sonraki ay dolu iken aradaki ay sıfır — tahakkuk motoru boşluk vermiş</t>
  </si>
  <si>
    <t>Kesintisiz tahakkuk zinciri</t>
  </si>
  <si>
    <t>Kümülatif tahakkuk hiçbir ayda geriye gitmemeli</t>
  </si>
  <si>
    <t>Tahakkuk modeli seçilmemiş</t>
  </si>
  <si>
    <t>Her ücret dönemi Haftalık veya Aylık olmalı</t>
  </si>
  <si>
    <t>Çakışan aktif ücret dönemi</t>
  </si>
  <si>
    <t>Bir müşterinin aynı anda tek aktif ücret dönemi olmalı</t>
  </si>
  <si>
    <t>Aylık ücretli müşteri</t>
  </si>
  <si>
    <t>Aylık tahakkuk modelindeki müşteri sayısı</t>
  </si>
  <si>
    <t>Manuel gelir tahakkuku</t>
  </si>
  <si>
    <t>Müşteriye borç yazılan ek hizmet geliri satırı sayısı</t>
  </si>
  <si>
    <t>Tahakkuk nakit işaretlenmiş</t>
  </si>
  <si>
    <t>Müşteriye borç yazılan satır Gerçekleşti=Evet olamaz; tahsilatı TAHSİLAT ekranına girin</t>
  </si>
  <si>
    <t>Tanımsız borçlu taraf</t>
  </si>
  <si>
    <t>Borçlu Taraf listede olmayan bir değer içeriyor</t>
  </si>
  <si>
    <t>Toplam devir alacağı</t>
  </si>
  <si>
    <t>Eski dosyadan taşınan açılış alacağı</t>
  </si>
  <si>
    <t>Aktif ortak parametre eşleşmesi</t>
  </si>
  <si>
    <t>Aktif ortak SISTEM C9/C10 ortak parametrelerinden birine bağlı olmalı</t>
  </si>
  <si>
    <t>Ortak tahsilat anahtar kapsaması</t>
  </si>
  <si>
    <t>Ortak hesabına gelen müşteri tahsilatının ORTAK_EKSTRE anahtarı boş kalmamalı</t>
  </si>
  <si>
    <t>Ortak cari matematik değişmezi</t>
  </si>
  <si>
    <t>Net ortak cari = müşteriden alınan + virmanla gelen − ofise ödenen − kâr payı tahakkuku</t>
  </si>
  <si>
    <t>Seçili ortak ekstre mutabakatı</t>
  </si>
  <si>
    <t>ORTAK_EKSTRE son bakiyesi seçili ortağın ORTAKLAR net carisine eşit olmalı</t>
  </si>
  <si>
    <t>Kâr sayfası kategori + toplam mutabakatı</t>
  </si>
  <si>
    <t>KÂR T cetveli tahsilat esaslı olmalı: gelir = TAHSILAT F toplamı + GELIR_GIDER Tür=Gelir toplamı; gider = GELIR_GIDER Tür=Gider toplamı.</t>
  </si>
  <si>
    <t>Kâr gelir payları toplamı</t>
  </si>
  <si>
    <t>Gelir varsa gelir kalemi paylarının toplamı %100 olmalı</t>
  </si>
  <si>
    <t>Kâr gider payları toplamı</t>
  </si>
  <si>
    <t>Gider varsa gider kalemi paylarının toplamı %100 olmalı</t>
  </si>
  <si>
    <t>Kâr faaliyet kârı kimliği</t>
  </si>
  <si>
    <t>İşletme/nakit kârı = gerçekleşen toplam gelir − gerçekleşen işletme giderleri; ortak çekiş/avans kâr dışıdır</t>
  </si>
  <si>
    <t>Kâr tahsilat gelir bağı</t>
  </si>
  <si>
    <t>KÂR müşteri tahsilatı TAHSILAT sayfası F Tutar sütunu ile birebir eşit olmalı</t>
  </si>
  <si>
    <t>Kâr gider dip toplam bağı</t>
  </si>
  <si>
    <t>KÂR gider dip toplamı gider defterinin tamamına eşit olmalı</t>
  </si>
  <si>
    <t>Ortak çekiş / avans bilgi bağı</t>
  </si>
  <si>
    <t>KÂR sayfasındaki ortak çekiş/avans bilgi toplamı VIRMAN kaynak kayıtlarıyla eşit olmalı; tutarın yüksek olması hata değildir</t>
  </si>
  <si>
    <t>Kâr ekranı iç mutabakat rozeti</t>
  </si>
  <si>
    <t>GEÇTİ</t>
  </si>
  <si>
    <t>KÂR ekranındaki kategori/toplam mutabakatı GEÇTİ olmalı</t>
  </si>
  <si>
    <t>Kâr gider payında sessiz sıfır</t>
  </si>
  <si>
    <t>Pozitif gider tutarının Pay % hücresi sıfır olamaz; yanlış payda/IFERROR gizlemesini yakalar</t>
  </si>
  <si>
    <t>Kâr gelir payında sessiz sıfır</t>
  </si>
  <si>
    <t>Pozitif gelir tutarının Pay % hücresi sıfır olamaz; yanlış payda/IFERROR gizlemesini yakalar</t>
  </si>
  <si>
    <t>Ortak çekişi yanlışlıkla gider defterinde</t>
  </si>
  <si>
    <t>Ortak çekiş/avans GELIR_GIDER gideri olamaz; yalnız VIRMAN üzerinden ortak hesabına kaydedilir.</t>
  </si>
  <si>
    <t>Gider listesinde eski kâr payı kategorisi</t>
  </si>
  <si>
    <t>Gider açılır listesinde Kâr Payı kategorisi bulunmamalı; ortak çekişleri gider değildir.</t>
  </si>
  <si>
    <t>Ortak kâr payı bakiye / avans mutabakatı</t>
  </si>
  <si>
    <t>Kâr Payı Bakiye/Avans = hakediş − VIRMAN çekiş/avans. Negatif bakiye AVANS olabilir ve tek başına hata değildir.</t>
  </si>
  <si>
    <t>KILIÇ MUHASEBE   │   KÂR / T CETVELİ   │   TAHSİLAT ESASLI GELİR - GİDER</t>
  </si>
  <si>
    <t>Bu ekran TAHSİLAT ESASLI kârı gösterir. Gelir = gerçekleşen müşteri tahsilatları + gerçekleşen diğer gelirler. Gider = gerçekleşen işletme giderleri. Ortak çekişleri/kâr dağıtımları GİDER DEĞİLDİR; VIRMAN üzerinden ortak carisine/avansa gider ve kârı azaltmaz.</t>
  </si>
  <si>
    <t>GELİRLER  │  BİRİKİMLİ DİP TOPLAM</t>
  </si>
  <si>
    <t>│</t>
  </si>
  <si>
    <t>GİDERLER  │  BİRİKİMLİ DİP TOPLAM</t>
  </si>
  <si>
    <t>Gelir Kalemi</t>
  </si>
  <si>
    <t>Birikimli Tutar</t>
  </si>
  <si>
    <t>Pay %</t>
  </si>
  <si>
    <t>Gider Kalemi</t>
  </si>
  <si>
    <t>Müşteri Tahsilatları (Gerçekleşen)</t>
  </si>
  <si>
    <t>DİP TOPLAM GELİR</t>
  </si>
  <si>
    <t>DİP TOPLAM GİDER</t>
  </si>
  <si>
    <t>T CETVELİ NET FARK  (Gelir − Tüm Gider)</t>
  </si>
  <si>
    <t>Diğer Gelir Kayıt Sayısı</t>
  </si>
  <si>
    <t>İŞLETME / NAKİT KÂRI  (ORTAK ÇEKİŞLERİ KÂR DIŞI)</t>
  </si>
  <si>
    <t>Tahsilat Kayıt Sayısı</t>
  </si>
  <si>
    <t>ORTAK ÇEKİŞ / AVANS  (KÂR DIŞI — BİLGİ)</t>
  </si>
  <si>
    <t>Gider Kayıt Sayısı</t>
  </si>
  <si>
    <t>FAALİYET KÂR MARJI</t>
  </si>
  <si>
    <t>Kategori / Toplam Mutabakatı</t>
  </si>
  <si>
    <t>PAY MUTABAKATI</t>
  </si>
  <si>
    <t>GİDER PAYLARI TOPLAMI</t>
  </si>
  <si>
    <t>YÖNETİM ÖZETİ  │  KÂR KALİTESİ VE NAKİT DÖNÜŞÜMÜ</t>
  </si>
  <si>
    <t>Müşteri Tahsilatları</t>
  </si>
  <si>
    <t>Diğer Gerçekleşen Gelirler</t>
  </si>
  <si>
    <t>Gider / Gelir Oranı</t>
  </si>
  <si>
    <t>Net Nakit Kâr</t>
  </si>
  <si>
    <t>Net Kâr Marjı</t>
  </si>
  <si>
    <t>Faaliyet Kârı (Dağıtım Hariç)</t>
  </si>
  <si>
    <t>ORTAK ÇEKİŞ / AVANS</t>
  </si>
  <si>
    <t>KONTROL DURUMU</t>
  </si>
  <si>
    <t>KÂR SAYFASI VERİ KAYNAĞI</t>
  </si>
  <si>
    <t>TAHSILAT gerçekleşen tahsilatlar + GELIR_GIDER gerçekleşen gelir/gider kayıtları</t>
  </si>
  <si>
    <t>NOT</t>
  </si>
  <si>
    <t>KÂR hesabı tahsilat esaslıdır: gerçekleşen müşteri tahsilatları + gerçekleşen diğer gelirler − gerçekleşen işletme giderleri. Tahakkuklar ve ortak çekiş/avansları KÂR hesabına dahil edilmez; çekişler VIRMAN üzerinden ortak carisinde izlenir.</t>
  </si>
  <si>
    <t>M.ALİ KARTAL VİRMAN KAYDI</t>
  </si>
  <si>
    <t>CEREN DEMİRCİ SGK</t>
  </si>
  <si>
    <t xml:space="preserve">OCAK ŞUBAT MART SGK </t>
  </si>
  <si>
    <t>Ağustos Bakiye Maaş Ödemesi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</si>
</sst>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[Red]\-#,##0;\–"/>
    <numFmt numFmtId="165" formatCode="#,##0&quot; ₺&quot;;[Red]\-#,##0&quot; ₺&quot;;\–"/>
    <numFmt numFmtId="166" formatCode="#,##0.00&quot; ₺&quot;;[Red]\-#,##0.00&quot; ₺&quot;;\–"/>
    <numFmt numFmtId="167" formatCode="0.0%;[Red]\-0.0%;\–"/>
    <numFmt numFmtId="168" formatCode="dd\.mm\.yyyy"/>
    <numFmt numFmtId="169" formatCode="#,##0.0"/>
    <numFmt numFmtId="170" formatCode="mmmm\ yyyy"/>
    <numFmt numFmtId="171" formatCode="mm/dd/yy"/>
    <numFmt numFmtId="172" formatCode="#,##0.00\ [$₺-41F];[Red]\-#,##0.00\ [$₺-41F];\–"/>
  </numFmts>
  <fonts count="85" x14ac:knownFonts="1">
    <font>
      <sz val="10"/>
      <color rgb="FF0F172A"/>
      <name val="Segoe UI"/>
      <charset val="1"/>
    </font>
    <font>
      <b/>
      <sz val="10.5"/>
      <color rgb="FF2B333F"/>
      <name val="Segoe UI"/>
      <family val="2"/>
      <charset val="162"/>
    </font>
    <font>
      <b/>
      <sz val="14"/>
      <color rgb="FFFFFFFF"/>
      <name val="Segoe UI"/>
      <family val="2"/>
      <charset val="162"/>
    </font>
    <font>
      <sz val="11"/>
      <color theme="1"/>
      <name val="Segoe UI"/>
      <family val="2"/>
      <charset val="162"/>
    </font>
    <font>
      <sz val="10.5"/>
      <color rgb="FFCBD5E1"/>
      <name val="Segoe UI"/>
      <family val="2"/>
      <charset val="162"/>
    </font>
    <font>
      <sz val="10.5"/>
      <color rgb="FF64748B"/>
      <name val="Segoe UI"/>
      <family val="2"/>
      <charset val="162"/>
    </font>
    <font>
      <b/>
      <sz val="9.5"/>
      <color rgb="FFC6A15B"/>
      <name val="Segoe UI"/>
      <family val="2"/>
      <charset val="162"/>
    </font>
    <font>
      <b/>
      <sz val="10.5"/>
      <color rgb="FF64748B"/>
      <name val="Segoe UI"/>
      <family val="2"/>
      <charset val="162"/>
    </font>
    <font>
      <b/>
      <sz val="11.5"/>
      <color rgb="FFFFFFFF"/>
      <name val="Segoe UI"/>
      <family val="2"/>
      <charset val="162"/>
    </font>
    <font>
      <b/>
      <sz val="16"/>
      <color rgb="FF0F172A"/>
      <name val="Segoe UI"/>
      <family val="2"/>
      <charset val="162"/>
    </font>
    <font>
      <sz val="11.5"/>
      <color rgb="FFC3D6EA"/>
      <name val="Segoe UI"/>
      <family val="2"/>
      <charset val="162"/>
    </font>
    <font>
      <b/>
      <sz val="11.5"/>
      <color rgb="FF17324D"/>
      <name val="Segoe UI"/>
      <family val="2"/>
      <charset val="162"/>
    </font>
    <font>
      <b/>
      <sz val="12.5"/>
      <color rgb="FF1D4ED8"/>
      <name val="Segoe UI"/>
      <family val="2"/>
      <charset val="162"/>
    </font>
    <font>
      <sz val="11"/>
      <color rgb="FF0F172A"/>
      <name val="Segoe UI"/>
      <family val="2"/>
      <charset val="162"/>
    </font>
    <font>
      <b/>
      <sz val="13"/>
      <color rgb="FFA32D2D"/>
      <name val="Segoe UI"/>
      <family val="2"/>
      <charset val="162"/>
    </font>
    <font>
      <sz val="11"/>
      <color rgb="FF64748B"/>
      <name val="Segoe UI"/>
      <family val="2"/>
      <charset val="162"/>
    </font>
    <font>
      <sz val="11.5"/>
      <color rgb="FF0F172A"/>
      <name val="Segoe UI"/>
      <family val="2"/>
      <charset val="162"/>
    </font>
    <font>
      <b/>
      <sz val="13"/>
      <color rgb="FF854F0B"/>
      <name val="Segoe UI"/>
      <family val="2"/>
      <charset val="162"/>
    </font>
    <font>
      <b/>
      <sz val="13"/>
      <color rgb="FF185FA5"/>
      <name val="Segoe UI"/>
      <family val="2"/>
      <charset val="162"/>
    </font>
    <font>
      <b/>
      <sz val="11.5"/>
      <color rgb="FF0F172A"/>
      <name val="Segoe UI"/>
      <family val="2"/>
      <charset val="162"/>
    </font>
    <font>
      <b/>
      <sz val="12"/>
      <color rgb="FF1D3B58"/>
      <name val="Segoe UI"/>
      <family val="2"/>
      <charset val="162"/>
    </font>
    <font>
      <b/>
      <sz val="10.5"/>
      <color rgb="FFFFFFFF"/>
      <name val="Segoe UI"/>
      <family val="2"/>
      <charset val="162"/>
    </font>
    <font>
      <b/>
      <sz val="18"/>
      <color rgb="FF17324D"/>
      <name val="Segoe UI"/>
      <family val="2"/>
      <charset val="162"/>
    </font>
    <font>
      <i/>
      <sz val="11"/>
      <color rgb="FF64748B"/>
      <name val="Segoe UI"/>
      <family val="2"/>
      <charset val="162"/>
    </font>
    <font>
      <b/>
      <sz val="12"/>
      <color rgb="FF17324D"/>
      <name val="Segoe UI"/>
      <family val="2"/>
      <charset val="162"/>
    </font>
    <font>
      <b/>
      <sz val="11"/>
      <color rgb="FF2563EB"/>
      <name val="Segoe UI"/>
      <family val="2"/>
      <charset val="162"/>
    </font>
    <font>
      <b/>
      <sz val="11"/>
      <color rgb="FF17324D"/>
      <name val="Segoe UI"/>
      <family val="2"/>
      <charset val="162"/>
    </font>
    <font>
      <b/>
      <sz val="14"/>
      <color rgb="FF1D4ED8"/>
      <name val="Segoe UI"/>
      <family val="2"/>
      <charset val="162"/>
    </font>
    <font>
      <b/>
      <sz val="11"/>
      <color rgb="FF1D4ED8"/>
      <name val="Segoe UI"/>
      <family val="2"/>
      <charset val="162"/>
    </font>
    <font>
      <b/>
      <sz val="14"/>
      <color rgb="FF0F172A"/>
      <name val="Segoe UI"/>
      <family val="2"/>
      <charset val="162"/>
    </font>
    <font>
      <b/>
      <sz val="11"/>
      <color rgb="FF0F172A"/>
      <name val="Segoe UI"/>
      <family val="2"/>
      <charset val="162"/>
    </font>
    <font>
      <b/>
      <sz val="14"/>
      <color rgb="FF854F0B"/>
      <name val="Segoe UI"/>
      <family val="2"/>
      <charset val="162"/>
    </font>
    <font>
      <b/>
      <sz val="11"/>
      <color rgb="FF854F0B"/>
      <name val="Segoe UI"/>
      <family val="2"/>
      <charset val="162"/>
    </font>
    <font>
      <b/>
      <sz val="11"/>
      <color rgb="FFFFFFFF"/>
      <name val="Segoe UI"/>
      <family val="2"/>
      <charset val="162"/>
    </font>
    <font>
      <b/>
      <sz val="14"/>
      <color rgb="FF64748B"/>
      <name val="Segoe UI"/>
      <family val="2"/>
      <charset val="162"/>
    </font>
    <font>
      <b/>
      <sz val="11"/>
      <color rgb="FF64748B"/>
      <name val="Segoe UI"/>
      <family val="2"/>
      <charset val="162"/>
    </font>
    <font>
      <b/>
      <sz val="14"/>
      <color rgb="FF17324D"/>
      <name val="Segoe UI"/>
      <family val="2"/>
      <charset val="162"/>
    </font>
    <font>
      <b/>
      <sz val="14"/>
      <color rgb="FF0F6E56"/>
      <name val="Segoe UI"/>
      <family val="2"/>
      <charset val="162"/>
    </font>
    <font>
      <b/>
      <sz val="11"/>
      <color rgb="FF0F6E56"/>
      <name val="Segoe UI"/>
      <family val="2"/>
      <charset val="162"/>
    </font>
    <font>
      <b/>
      <sz val="14"/>
      <color rgb="FFA32D2D"/>
      <name val="Segoe UI"/>
      <family val="2"/>
      <charset val="162"/>
    </font>
    <font>
      <b/>
      <sz val="11"/>
      <color rgb="FFA32D2D"/>
      <name val="Segoe UI"/>
      <family val="2"/>
      <charset val="162"/>
    </font>
    <font>
      <b/>
      <sz val="10.5"/>
      <color rgb="FFA32D2D"/>
      <name val="Segoe UI"/>
      <family val="2"/>
      <charset val="162"/>
    </font>
    <font>
      <b/>
      <sz val="14"/>
      <color rgb="FF0F766E"/>
      <name val="Segoe UI"/>
      <family val="2"/>
      <charset val="162"/>
    </font>
    <font>
      <b/>
      <sz val="14"/>
      <color rgb="FF6A4C93"/>
      <name val="Segoe UI"/>
      <family val="2"/>
      <charset val="162"/>
    </font>
    <font>
      <b/>
      <sz val="14"/>
      <color rgb="FF1565C0"/>
      <name val="Segoe UI"/>
      <family val="2"/>
      <charset val="162"/>
    </font>
    <font>
      <b/>
      <sz val="14"/>
      <color rgb="FFD97706"/>
      <name val="Segoe UI"/>
      <family val="2"/>
      <charset val="162"/>
    </font>
    <font>
      <b/>
      <sz val="14"/>
      <color rgb="FF0E7490"/>
      <name val="Segoe UI"/>
      <family val="2"/>
      <charset val="162"/>
    </font>
    <font>
      <b/>
      <sz val="14"/>
      <color rgb="FF0369A1"/>
      <name val="Segoe UI"/>
      <family val="2"/>
      <charset val="162"/>
    </font>
    <font>
      <b/>
      <sz val="14"/>
      <color rgb="FF15803D"/>
      <name val="Segoe UI"/>
      <family val="2"/>
      <charset val="162"/>
    </font>
    <font>
      <b/>
      <sz val="14"/>
      <color rgb="FF7E22CE"/>
      <name val="Segoe UI"/>
      <family val="2"/>
      <charset val="162"/>
    </font>
    <font>
      <b/>
      <sz val="14"/>
      <color rgb="FF991B1B"/>
      <name val="Segoe UI"/>
      <family val="2"/>
      <charset val="162"/>
    </font>
    <font>
      <b/>
      <sz val="14"/>
      <color rgb="FF2B333F"/>
      <name val="Segoe UI"/>
      <family val="2"/>
      <charset val="162"/>
    </font>
    <font>
      <b/>
      <sz val="11"/>
      <color rgb="FF2B333F"/>
      <name val="Segoe UI"/>
      <family val="2"/>
      <charset val="162"/>
    </font>
    <font>
      <b/>
      <sz val="13"/>
      <color rgb="FFC6A15B"/>
      <name val="Segoe UI"/>
      <family val="2"/>
      <charset val="162"/>
    </font>
    <font>
      <sz val="11"/>
      <color rgb="FF2563EB"/>
      <name val="Segoe UI"/>
      <family val="2"/>
      <charset val="162"/>
    </font>
    <font>
      <b/>
      <sz val="10.5"/>
      <color rgb="FF854F0B"/>
      <name val="Segoe UI"/>
      <family val="2"/>
      <charset val="162"/>
    </font>
    <font>
      <b/>
      <sz val="11"/>
      <color rgb="FF185FA5"/>
      <name val="Segoe UI"/>
      <family val="2"/>
      <charset val="162"/>
    </font>
    <font>
      <b/>
      <sz val="10.5"/>
      <color rgb="FF0F6E56"/>
      <name val="Segoe UI"/>
      <family val="2"/>
      <charset val="162"/>
    </font>
    <font>
      <sz val="11"/>
      <color rgb="FFA32D2D"/>
      <name val="Segoe UI"/>
      <family val="2"/>
      <charset val="162"/>
    </font>
    <font>
      <b/>
      <sz val="12"/>
      <color rgb="FFC6A15B"/>
      <name val="Segoe UI"/>
      <family val="2"/>
      <charset val="162"/>
    </font>
    <font>
      <b/>
      <sz val="10.5"/>
      <color rgb="FF1D4ED8"/>
      <name val="Segoe UI"/>
      <family val="2"/>
      <charset val="162"/>
    </font>
    <font>
      <sz val="10.5"/>
      <color rgb="FFC3D6EA"/>
      <name val="Segoe UI"/>
      <family val="2"/>
      <charset val="162"/>
    </font>
    <font>
      <i/>
      <sz val="10.5"/>
      <color rgb="FF64748B"/>
      <name val="Segoe UI"/>
      <family val="2"/>
      <charset val="162"/>
    </font>
    <font>
      <sz val="11"/>
      <color rgb="FF1D4ED8"/>
      <name val="Segoe UI"/>
      <family val="2"/>
      <charset val="162"/>
    </font>
    <font>
      <sz val="10.5"/>
      <color rgb="FF2563EB"/>
      <name val="Segoe UI"/>
      <family val="2"/>
      <charset val="162"/>
    </font>
    <font>
      <b/>
      <sz val="10.5"/>
      <color rgb="FF2563EB"/>
      <name val="Segoe UI"/>
      <family val="2"/>
      <charset val="162"/>
    </font>
    <font>
      <b/>
      <sz val="10"/>
      <color rgb="FF0F172A"/>
      <name val="Segoe UI"/>
      <family val="2"/>
      <charset val="162"/>
    </font>
    <font>
      <b/>
      <sz val="12"/>
      <color rgb="FF1D4ED8"/>
      <name val="Segoe UI"/>
      <family val="2"/>
      <charset val="162"/>
    </font>
    <font>
      <b/>
      <sz val="13"/>
      <color rgb="FF17324D"/>
      <name val="Segoe UI"/>
      <family val="2"/>
      <charset val="162"/>
    </font>
    <font>
      <b/>
      <sz val="17"/>
      <color rgb="FF17324D"/>
      <name val="Segoe UI"/>
      <family val="2"/>
      <charset val="162"/>
    </font>
    <font>
      <b/>
      <sz val="10"/>
      <color rgb="FF64748B"/>
      <name val="Segoe UI"/>
      <family val="2"/>
      <charset val="162"/>
    </font>
    <font>
      <b/>
      <sz val="15"/>
      <color rgb="FF17324D"/>
      <name val="Segoe UI"/>
      <family val="2"/>
      <charset val="162"/>
    </font>
    <font>
      <b/>
      <sz val="15"/>
      <color rgb="FF0F6E56"/>
      <name val="Segoe UI"/>
      <family val="2"/>
      <charset val="162"/>
    </font>
    <font>
      <b/>
      <sz val="15"/>
      <color rgb="FFA32D2D"/>
      <name val="Segoe UI"/>
      <family val="2"/>
      <charset val="162"/>
    </font>
    <font>
      <i/>
      <sz val="10"/>
      <color rgb="FF64748B"/>
      <name val="Segoe UI"/>
      <family val="2"/>
      <charset val="162"/>
    </font>
    <font>
      <sz val="10"/>
      <color rgb="FF64748B"/>
      <name val="Segoe UI"/>
      <family val="2"/>
      <charset val="162"/>
    </font>
    <font>
      <sz val="10"/>
      <color rgb="FF203040"/>
      <name val="Segoe UI"/>
    </font>
    <font>
      <b/>
      <sz val="13"/>
      <color rgb="FFFFFFFF"/>
      <name val="Segoe UI"/>
    </font>
    <font>
      <b/>
      <sz val="10"/>
      <color rgb="FFC0392B"/>
      <name val="Segoe UI"/>
    </font>
    <font>
      <i/>
      <sz val="9"/>
      <color rgb="FF5B6574"/>
      <name val="Segoe UI"/>
    </font>
    <font>
      <b/>
      <sz val="10"/>
      <color rgb="FF17324D"/>
      <name val="Segoe UI"/>
    </font>
    <font>
      <b/>
      <sz val="10"/>
      <color rgb="FFFFFFFF"/>
      <name val="Segoe UI"/>
    </font>
    <font>
      <b/>
      <sz val="11"/>
      <color rgb="FF947300"/>
      <name val="Segoe UI"/>
    </font>
    <font>
      <b/>
      <u/>
      <sz val="10"/>
      <color rgb="FFFFFFFF"/>
      <name val="Segoe UI"/>
    </font>
    <font>
      <b/>
      <u/>
      <sz val="10"/>
      <color rgb="FF17324D"/>
      <name val="Segoe UI"/>
    </font>
  </fonts>
  <fills count="53">
    <fill>
      <patternFill patternType="none"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  <fill>
      <patternFill patternType="solid">
        <fgColor rgb="FF17324D"/>
      </patternFill>
    </fill>
    <fill>
      <patternFill patternType="solid">
        <fgColor rgb="FF244769"/>
      </patternFill>
    </fill>
    <fill>
      <patternFill patternType="solid">
        <fgColor rgb="FFF4F7FB"/>
      </patternFill>
    </fill>
    <fill>
      <patternFill patternType="solid">
        <fgColor rgb="FFEAF3FF"/>
      </patternFill>
    </fill>
    <fill>
      <patternFill patternType="solid">
        <fgColor rgb="FF1F7A5B"/>
      </patternFill>
    </fill>
    <fill>
      <patternFill patternType="solid">
        <fgColor rgb="FFC86B00"/>
      </patternFill>
    </fill>
    <fill>
      <patternFill patternType="solid">
        <fgColor rgb="FF2F8C6B"/>
      </patternFill>
    </fill>
    <fill>
      <patternFill patternType="solid">
        <fgColor rgb="FFD7831F"/>
      </patternFill>
    </fill>
    <fill>
      <patternFill patternType="solid">
        <fgColor rgb="FFE7F4EE"/>
      </patternFill>
    </fill>
    <fill>
      <patternFill patternType="solid">
        <fgColor rgb="FFF7FCF9"/>
      </patternFill>
    </fill>
    <fill>
      <patternFill patternType="solid">
        <fgColor rgb="FFFFF1E3"/>
      </patternFill>
    </fill>
    <fill>
      <patternFill patternType="solid">
        <fgColor rgb="FFFFF9F2"/>
      </patternFill>
    </fill>
    <fill>
      <patternFill patternType="solid">
        <fgColor rgb="FFFAF4CD"/>
      </patternFill>
    </fill>
    <fill>
      <patternFill patternType="solid">
        <fgColor rgb="FFFFF7DA"/>
      </patternFill>
    </fill>
    <fill>
      <patternFill patternType="solid">
        <fgColor rgb="FFE8F7F6"/>
      </patternFill>
    </fill>
    <fill>
      <patternFill patternType="solid">
        <fgColor rgb="FFFDECEC"/>
      </patternFill>
    </fill>
    <fill>
      <patternFill patternType="solid">
        <fgColor rgb="FFFFF2B2"/>
      </patternFill>
    </fill>
    <fill>
      <patternFill patternType="solid">
        <fgColor rgb="FFE5EFFA"/>
      </patternFill>
    </fill>
    <fill>
      <patternFill patternType="solid">
        <fgColor rgb="FFE9F7EF"/>
      </patternFill>
    </fill>
    <fill>
      <patternFill patternType="solid">
        <fgColor rgb="FF1E3E5C"/>
      </patternFill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FBFCFE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  <border>
      <left/>
      <right/>
      <top style="medium">
        <color rgb="FF185FA5"/>
      </top>
      <bottom/>
      <diagonal/>
    </border>
    <border>
      <left/>
      <right style="thin">
        <color rgb="FFE2E8F0"/>
      </right>
      <top style="medium">
        <color rgb="FF185FA5"/>
      </top>
      <bottom/>
      <diagonal/>
    </border>
    <border>
      <left/>
      <right/>
      <top style="medium">
        <color rgb="FF17324D"/>
      </top>
      <bottom/>
      <diagonal/>
    </border>
    <border>
      <left/>
      <right style="thin">
        <color rgb="FFE2E8F0"/>
      </right>
      <top style="medium">
        <color rgb="FF17324D"/>
      </top>
      <bottom/>
      <diagonal/>
    </border>
    <border>
      <left/>
      <right/>
      <top style="medium">
        <color rgb="FFA32D2D"/>
      </top>
      <bottom/>
      <diagonal/>
    </border>
    <border>
      <left/>
      <right style="thin">
        <color rgb="FFE2E8F0"/>
      </right>
      <top style="medium">
        <color rgb="FFA32D2D"/>
      </top>
      <bottom/>
      <diagonal/>
    </border>
    <border>
      <left/>
      <right/>
      <top style="medium">
        <color rgb="FF0F6E56"/>
      </top>
      <bottom/>
      <diagonal/>
    </border>
    <border>
      <left/>
      <right style="thin">
        <color rgb="FFE2E8F0"/>
      </right>
      <top style="medium">
        <color rgb="FF0F6E56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medium">
        <color rgb="FF854F0B"/>
      </top>
      <bottom/>
      <diagonal/>
    </border>
    <border>
      <left/>
      <right style="thin">
        <color rgb="FFE2E8F0"/>
      </right>
      <top style="medium">
        <color rgb="FF854F0B"/>
      </top>
      <bottom/>
      <diagonal/>
    </border>
    <border>
      <left/>
      <right/>
      <top style="medium">
        <color rgb="FF2563EB"/>
      </top>
      <bottom style="thin">
        <color rgb="FFE2E8F0"/>
      </bottom>
      <diagonal/>
    </border>
    <border>
      <left/>
      <right/>
      <top style="medium">
        <color rgb="FF17324D"/>
      </top>
      <bottom style="thin">
        <color rgb="FFE2E8F0"/>
      </bottom>
      <diagonal/>
    </border>
    <border>
      <left/>
      <right/>
      <top style="medium">
        <color rgb="FFC6A15B"/>
      </top>
      <bottom style="thin">
        <color rgb="FFE2E8F0"/>
      </bottom>
      <diagonal/>
    </border>
    <border>
      <left/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medium">
        <color rgb="FF8FA1B6"/>
      </left>
      <right style="medium">
        <color rgb="FF8FA1B6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3" fillId="0" borderId="0" xfId="0" applyFont="1"/>
    <xf numFmtId="0" fontId="3" fillId="5" borderId="0" xfId="0" applyFont="1" applyFill="1"/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8" fillId="7" borderId="6" xfId="0" applyFont="1" applyFill="1" applyBorder="1" applyAlignment="1">
      <alignment horizontal="left" vertical="center" indent="1"/>
    </xf>
    <xf numFmtId="0" fontId="10" fillId="6" borderId="8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left" vertical="center"/>
    </xf>
    <xf numFmtId="0" fontId="3" fillId="6" borderId="0" xfId="0" applyFont="1" applyFill="1"/>
    <xf numFmtId="164" fontId="14" fillId="2" borderId="14" xfId="0" applyNumberFormat="1" applyFont="1" applyFill="1" applyBorder="1" applyAlignment="1">
      <alignment horizontal="center" vertical="center"/>
    </xf>
    <xf numFmtId="164" fontId="17" fillId="2" borderId="16" xfId="0" applyNumberFormat="1" applyFont="1" applyFill="1" applyBorder="1" applyAlignment="1">
      <alignment horizontal="center" vertical="center"/>
    </xf>
    <xf numFmtId="164" fontId="18" fillId="2" borderId="16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0" xfId="0" applyFont="1" applyFill="1"/>
    <xf numFmtId="0" fontId="20" fillId="11" borderId="17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7" fillId="8" borderId="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wrapText="1" indent="1"/>
    </xf>
    <xf numFmtId="0" fontId="29" fillId="2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horizontal="center" vertical="center"/>
    </xf>
    <xf numFmtId="0" fontId="37" fillId="14" borderId="9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9" fillId="16" borderId="9" xfId="0" applyFont="1" applyFill="1" applyBorder="1" applyAlignment="1">
      <alignment horizontal="center" vertical="center"/>
    </xf>
    <xf numFmtId="0" fontId="34" fillId="17" borderId="9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42" fillId="18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43" fillId="20" borderId="9" xfId="0" applyFont="1" applyFill="1" applyBorder="1" applyAlignment="1">
      <alignment horizontal="center" vertical="center"/>
    </xf>
    <xf numFmtId="0" fontId="44" fillId="21" borderId="9" xfId="0" applyFont="1" applyFill="1" applyBorder="1" applyAlignment="1">
      <alignment horizontal="center" vertical="center"/>
    </xf>
    <xf numFmtId="0" fontId="45" fillId="22" borderId="9" xfId="0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46" fillId="24" borderId="9" xfId="0" applyFont="1" applyFill="1" applyBorder="1" applyAlignment="1">
      <alignment horizontal="center" vertical="center"/>
    </xf>
    <xf numFmtId="0" fontId="47" fillId="25" borderId="9" xfId="0" applyFont="1" applyFill="1" applyBorder="1" applyAlignment="1">
      <alignment horizontal="center" vertical="center"/>
    </xf>
    <xf numFmtId="0" fontId="39" fillId="26" borderId="9" xfId="0" applyFont="1" applyFill="1" applyBorder="1" applyAlignment="1">
      <alignment horizontal="center" vertical="center"/>
    </xf>
    <xf numFmtId="0" fontId="48" fillId="27" borderId="9" xfId="0" applyFont="1" applyFill="1" applyBorder="1" applyAlignment="1">
      <alignment horizontal="center" vertical="center"/>
    </xf>
    <xf numFmtId="0" fontId="49" fillId="28" borderId="9" xfId="0" applyFont="1" applyFill="1" applyBorder="1" applyAlignment="1">
      <alignment horizontal="center" vertical="center"/>
    </xf>
    <xf numFmtId="0" fontId="50" fillId="29" borderId="9" xfId="0" applyFont="1" applyFill="1" applyBorder="1" applyAlignment="1">
      <alignment horizontal="center" vertical="center"/>
    </xf>
    <xf numFmtId="0" fontId="51" fillId="2" borderId="9" xfId="0" applyFont="1" applyFill="1" applyBorder="1" applyAlignment="1">
      <alignment horizontal="center" vertical="center"/>
    </xf>
    <xf numFmtId="0" fontId="53" fillId="2" borderId="15" xfId="0" applyFont="1" applyFill="1" applyBorder="1" applyAlignment="1">
      <alignment horizontal="center" vertical="center"/>
    </xf>
    <xf numFmtId="0" fontId="54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9" fillId="2" borderId="19" xfId="0" applyFont="1" applyFill="1" applyBorder="1" applyAlignment="1">
      <alignment horizontal="left" vertical="center" wrapText="1" indent="1"/>
    </xf>
    <xf numFmtId="0" fontId="4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2" fillId="5" borderId="0" xfId="0" applyFont="1" applyFill="1" applyAlignment="1">
      <alignment horizontal="left" vertical="center"/>
    </xf>
    <xf numFmtId="0" fontId="24" fillId="13" borderId="20" xfId="0" applyFont="1" applyFill="1" applyBorder="1" applyAlignment="1">
      <alignment horizontal="right" vertical="center" indent="1"/>
    </xf>
    <xf numFmtId="0" fontId="24" fillId="13" borderId="20" xfId="0" applyFont="1" applyFill="1" applyBorder="1" applyAlignment="1">
      <alignment horizontal="left" vertical="center" indent="1"/>
    </xf>
    <xf numFmtId="164" fontId="24" fillId="13" borderId="20" xfId="0" applyNumberFormat="1" applyFont="1" applyFill="1" applyBorder="1" applyAlignment="1">
      <alignment horizontal="right" vertical="center" indent="1"/>
    </xf>
    <xf numFmtId="165" fontId="24" fillId="13" borderId="20" xfId="0" applyNumberFormat="1" applyFont="1" applyFill="1" applyBorder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 indent="1"/>
    </xf>
    <xf numFmtId="0" fontId="21" fillId="9" borderId="1" xfId="0" applyFont="1" applyFill="1" applyBorder="1" applyAlignment="1">
      <alignment horizontal="right" vertical="center" wrapText="1"/>
    </xf>
    <xf numFmtId="0" fontId="63" fillId="8" borderId="19" xfId="0" applyFont="1" applyFill="1" applyBorder="1" applyAlignment="1" applyProtection="1">
      <alignment horizontal="center" vertical="center"/>
      <protection locked="0"/>
    </xf>
    <xf numFmtId="0" fontId="63" fillId="8" borderId="19" xfId="0" applyFont="1" applyFill="1" applyBorder="1" applyAlignment="1" applyProtection="1">
      <alignment horizontal="left" vertical="center" indent="1"/>
      <protection locked="0"/>
    </xf>
    <xf numFmtId="168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63" fillId="8" borderId="19" xfId="0" applyNumberFormat="1" applyFont="1" applyFill="1" applyBorder="1" applyAlignment="1" applyProtection="1">
      <alignment horizontal="center" vertical="center"/>
      <protection locked="0"/>
    </xf>
    <xf numFmtId="168" fontId="63" fillId="8" borderId="19" xfId="0" applyNumberFormat="1" applyFont="1" applyFill="1" applyBorder="1" applyAlignment="1" applyProtection="1">
      <alignment horizontal="left" vertical="center" indent="1"/>
      <protection locked="0"/>
    </xf>
    <xf numFmtId="0" fontId="13" fillId="2" borderId="19" xfId="0" applyFont="1" applyFill="1" applyBorder="1" applyAlignment="1">
      <alignment horizontal="center" vertical="center"/>
    </xf>
    <xf numFmtId="168" fontId="63" fillId="8" borderId="19" xfId="0" applyNumberFormat="1" applyFont="1" applyFill="1" applyBorder="1" applyAlignment="1" applyProtection="1">
      <alignment horizontal="center" vertical="center"/>
      <protection locked="0"/>
    </xf>
    <xf numFmtId="166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13" fillId="2" borderId="19" xfId="0" applyNumberFormat="1" applyFont="1" applyFill="1" applyBorder="1" applyAlignment="1">
      <alignment horizontal="right" vertical="center" indent="1"/>
    </xf>
    <xf numFmtId="169" fontId="13" fillId="2" borderId="19" xfId="0" applyNumberFormat="1" applyFont="1" applyFill="1" applyBorder="1" applyAlignment="1">
      <alignment horizontal="center" vertical="center"/>
    </xf>
    <xf numFmtId="168" fontId="13" fillId="2" borderId="19" xfId="0" applyNumberFormat="1" applyFont="1" applyFill="1" applyBorder="1" applyAlignment="1">
      <alignment horizontal="center" vertical="center"/>
    </xf>
    <xf numFmtId="168" fontId="3" fillId="0" borderId="0" xfId="0" applyNumberFormat="1" applyFont="1"/>
    <xf numFmtId="164" fontId="24" fillId="13" borderId="20" xfId="0" applyNumberFormat="1" applyFont="1" applyFill="1" applyBorder="1" applyAlignment="1">
      <alignment horizontal="center" vertical="center"/>
    </xf>
    <xf numFmtId="170" fontId="13" fillId="2" borderId="19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center" vertical="center"/>
    </xf>
    <xf numFmtId="0" fontId="64" fillId="5" borderId="0" xfId="0" applyFont="1" applyFill="1" applyAlignment="1">
      <alignment horizontal="left" vertical="center"/>
    </xf>
    <xf numFmtId="0" fontId="65" fillId="5" borderId="0" xfId="0" applyFont="1" applyFill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166" fontId="3" fillId="0" borderId="0" xfId="0" applyNumberFormat="1" applyFont="1"/>
    <xf numFmtId="0" fontId="66" fillId="2" borderId="19" xfId="0" applyFont="1" applyFill="1" applyBorder="1" applyAlignment="1">
      <alignment horizontal="center" vertical="center"/>
    </xf>
    <xf numFmtId="170" fontId="63" fillId="8" borderId="19" xfId="0" applyNumberFormat="1" applyFont="1" applyFill="1" applyBorder="1" applyAlignment="1" applyProtection="1">
      <alignment horizontal="center" vertical="center"/>
      <protection locked="0"/>
    </xf>
    <xf numFmtId="167" fontId="63" fillId="8" borderId="19" xfId="0" applyNumberFormat="1" applyFont="1" applyFill="1" applyBorder="1" applyAlignment="1" applyProtection="1">
      <alignment horizontal="center" vertical="center"/>
      <protection locked="0"/>
    </xf>
    <xf numFmtId="171" fontId="3" fillId="5" borderId="0" xfId="0" applyNumberFormat="1" applyFont="1" applyFill="1"/>
    <xf numFmtId="0" fontId="26" fillId="5" borderId="0" xfId="0" applyFont="1" applyFill="1" applyAlignment="1">
      <alignment horizontal="right" vertical="center"/>
    </xf>
    <xf numFmtId="0" fontId="35" fillId="5" borderId="0" xfId="0" applyFont="1" applyFill="1" applyAlignment="1">
      <alignment horizontal="right" vertical="center" indent="1"/>
    </xf>
    <xf numFmtId="0" fontId="13" fillId="2" borderId="0" xfId="0" applyFont="1" applyFill="1" applyAlignment="1">
      <alignment horizontal="center" vertical="center"/>
    </xf>
    <xf numFmtId="168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166" fontId="13" fillId="2" borderId="0" xfId="0" applyNumberFormat="1" applyFont="1" applyFill="1" applyAlignment="1">
      <alignment horizontal="right" vertical="center" indent="1"/>
    </xf>
    <xf numFmtId="171" fontId="3" fillId="0" borderId="0" xfId="0" applyNumberFormat="1" applyFont="1"/>
    <xf numFmtId="167" fontId="24" fillId="13" borderId="20" xfId="0" applyNumberFormat="1" applyFont="1" applyFill="1" applyBorder="1" applyAlignment="1">
      <alignment horizontal="center" vertical="center"/>
    </xf>
    <xf numFmtId="167" fontId="13" fillId="2" borderId="19" xfId="0" applyNumberFormat="1" applyFont="1" applyFill="1" applyBorder="1" applyAlignment="1">
      <alignment horizontal="center" vertical="center"/>
    </xf>
    <xf numFmtId="164" fontId="13" fillId="2" borderId="19" xfId="0" applyNumberFormat="1" applyFont="1" applyFill="1" applyBorder="1" applyAlignment="1">
      <alignment horizontal="center" vertical="center"/>
    </xf>
    <xf numFmtId="166" fontId="68" fillId="13" borderId="20" xfId="0" applyNumberFormat="1" applyFont="1" applyFill="1" applyBorder="1" applyAlignment="1">
      <alignment horizontal="right" vertical="center" indent="1"/>
    </xf>
    <xf numFmtId="166" fontId="13" fillId="2" borderId="19" xfId="0" applyNumberFormat="1" applyFont="1" applyFill="1" applyBorder="1" applyAlignment="1">
      <alignment horizontal="left" vertical="center" indent="1"/>
    </xf>
    <xf numFmtId="164" fontId="75" fillId="0" borderId="0" xfId="0" applyNumberFormat="1" applyFont="1" applyAlignment="1">
      <alignment horizontal="center" vertical="center"/>
    </xf>
    <xf numFmtId="168" fontId="63" fillId="2" borderId="19" xfId="0" applyNumberFormat="1" applyFont="1" applyFill="1" applyBorder="1" applyAlignment="1">
      <alignment horizontal="center" vertical="center"/>
    </xf>
    <xf numFmtId="0" fontId="64" fillId="2" borderId="19" xfId="0" applyFont="1" applyFill="1" applyBorder="1" applyAlignment="1">
      <alignment horizontal="center" vertical="center"/>
    </xf>
    <xf numFmtId="166" fontId="13" fillId="2" borderId="19" xfId="0" applyNumberFormat="1" applyFont="1" applyFill="1" applyBorder="1" applyAlignment="1">
      <alignment horizontal="center" vertical="center"/>
    </xf>
    <xf numFmtId="0" fontId="82" fillId="42" borderId="44" xfId="0" applyFont="1" applyFill="1" applyBorder="1" applyAlignment="1">
      <alignment horizontal="center" vertical="center"/>
    </xf>
    <xf numFmtId="0" fontId="81" fillId="36" borderId="41" xfId="0" applyFont="1" applyFill="1" applyBorder="1" applyAlignment="1">
      <alignment horizontal="center" vertical="center"/>
    </xf>
    <xf numFmtId="0" fontId="81" fillId="37" borderId="41" xfId="0" applyFont="1" applyFill="1" applyBorder="1" applyAlignment="1">
      <alignment horizontal="center" vertical="center"/>
    </xf>
    <xf numFmtId="0" fontId="76" fillId="38" borderId="41" xfId="0" applyFont="1" applyFill="1" applyBorder="1" applyAlignment="1">
      <alignment horizontal="left" vertical="center"/>
    </xf>
    <xf numFmtId="172" fontId="76" fillId="39" borderId="41" xfId="0" applyNumberFormat="1" applyFont="1" applyFill="1" applyBorder="1" applyAlignment="1">
      <alignment horizontal="right" vertical="center"/>
    </xf>
    <xf numFmtId="167" fontId="76" fillId="33" borderId="41" xfId="0" applyNumberFormat="1" applyFont="1" applyFill="1" applyBorder="1" applyAlignment="1">
      <alignment horizontal="right" vertical="center"/>
    </xf>
    <xf numFmtId="0" fontId="76" fillId="40" borderId="41" xfId="0" applyFont="1" applyFill="1" applyBorder="1" applyAlignment="1">
      <alignment horizontal="left" vertical="center"/>
    </xf>
    <xf numFmtId="172" fontId="76" fillId="41" borderId="41" xfId="0" applyNumberFormat="1" applyFont="1" applyFill="1" applyBorder="1" applyAlignment="1">
      <alignment horizontal="right" vertical="center"/>
    </xf>
    <xf numFmtId="0" fontId="21" fillId="6" borderId="41" xfId="0" applyFont="1" applyFill="1" applyBorder="1" applyAlignment="1">
      <alignment horizontal="left" vertical="center"/>
    </xf>
    <xf numFmtId="167" fontId="13" fillId="2" borderId="41" xfId="0" applyNumberFormat="1" applyFont="1" applyFill="1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80" fillId="43" borderId="41" xfId="0" applyFont="1" applyFill="1" applyBorder="1" applyAlignment="1">
      <alignment horizontal="left" vertical="center"/>
    </xf>
    <xf numFmtId="172" fontId="80" fillId="46" borderId="41" xfId="0" applyNumberFormat="1" applyFont="1" applyFill="1" applyBorder="1" applyAlignment="1">
      <alignment horizontal="right" vertical="center"/>
    </xf>
    <xf numFmtId="0" fontId="80" fillId="43" borderId="41" xfId="0" applyFont="1" applyFill="1" applyBorder="1" applyAlignment="1">
      <alignment horizontal="right" vertical="center"/>
    </xf>
    <xf numFmtId="0" fontId="80" fillId="44" borderId="41" xfId="0" applyFont="1" applyFill="1" applyBorder="1" applyAlignment="1">
      <alignment horizontal="left" vertical="center"/>
    </xf>
    <xf numFmtId="0" fontId="80" fillId="44" borderId="41" xfId="0" applyFont="1" applyFill="1" applyBorder="1" applyAlignment="1">
      <alignment horizontal="right" vertical="center"/>
    </xf>
    <xf numFmtId="0" fontId="80" fillId="47" borderId="41" xfId="0" applyFont="1" applyFill="1" applyBorder="1" applyAlignment="1">
      <alignment horizontal="left" vertical="center"/>
    </xf>
    <xf numFmtId="172" fontId="80" fillId="47" borderId="41" xfId="0" applyNumberFormat="1" applyFont="1" applyFill="1" applyBorder="1" applyAlignment="1">
      <alignment horizontal="right" vertical="center"/>
    </xf>
    <xf numFmtId="164" fontId="80" fillId="44" borderId="41" xfId="0" applyNumberFormat="1" applyFont="1" applyFill="1" applyBorder="1" applyAlignment="1">
      <alignment horizontal="right" vertical="center"/>
    </xf>
    <xf numFmtId="0" fontId="80" fillId="48" borderId="41" xfId="0" applyFont="1" applyFill="1" applyBorder="1" applyAlignment="1">
      <alignment horizontal="left" vertical="center"/>
    </xf>
    <xf numFmtId="172" fontId="80" fillId="48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left" vertical="center"/>
    </xf>
    <xf numFmtId="172" fontId="80" fillId="45" borderId="41" xfId="0" applyNumberFormat="1" applyFont="1" applyFill="1" applyBorder="1" applyAlignment="1">
      <alignment horizontal="right" vertical="center"/>
    </xf>
    <xf numFmtId="0" fontId="80" fillId="45" borderId="41" xfId="0" applyFont="1" applyFill="1" applyBorder="1" applyAlignment="1">
      <alignment horizontal="right" vertical="center"/>
    </xf>
    <xf numFmtId="167" fontId="80" fillId="48" borderId="41" xfId="0" applyNumberFormat="1" applyFont="1" applyFill="1" applyBorder="1" applyAlignment="1">
      <alignment horizontal="right" vertical="center"/>
    </xf>
    <xf numFmtId="0" fontId="80" fillId="33" borderId="41" xfId="0" applyFont="1" applyFill="1" applyBorder="1" applyAlignment="1">
      <alignment horizontal="left" vertical="center"/>
    </xf>
    <xf numFmtId="0" fontId="80" fillId="33" borderId="4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82" fillId="42" borderId="0" xfId="0" applyFont="1" applyFill="1" applyAlignment="1">
      <alignment horizontal="center" vertical="center"/>
    </xf>
    <xf numFmtId="0" fontId="80" fillId="50" borderId="41" xfId="0" applyFont="1" applyFill="1" applyBorder="1" applyAlignment="1">
      <alignment horizontal="left" vertical="center"/>
    </xf>
    <xf numFmtId="172" fontId="76" fillId="51" borderId="41" xfId="0" applyNumberFormat="1" applyFont="1" applyFill="1" applyBorder="1" applyAlignment="1">
      <alignment horizontal="right" vertical="center"/>
    </xf>
    <xf numFmtId="0" fontId="82" fillId="51" borderId="41" xfId="0" applyFont="1" applyFill="1" applyBorder="1" applyAlignment="1">
      <alignment horizontal="center" vertical="center"/>
    </xf>
    <xf numFmtId="167" fontId="80" fillId="51" borderId="41" xfId="0" applyNumberFormat="1" applyFont="1" applyFill="1" applyBorder="1" applyAlignment="1">
      <alignment horizontal="right" vertical="center"/>
    </xf>
    <xf numFmtId="172" fontId="80" fillId="51" borderId="41" xfId="0" applyNumberFormat="1" applyFont="1" applyFill="1" applyBorder="1" applyAlignment="1">
      <alignment horizontal="right" vertical="center"/>
    </xf>
    <xf numFmtId="0" fontId="76" fillId="48" borderId="41" xfId="0" applyFont="1" applyFill="1" applyBorder="1" applyAlignment="1">
      <alignment horizontal="right" vertical="center"/>
    </xf>
    <xf numFmtId="0" fontId="76" fillId="43" borderId="41" xfId="0" applyFont="1" applyFill="1" applyBorder="1" applyAlignment="1">
      <alignment horizontal="right" vertical="center"/>
    </xf>
    <xf numFmtId="0" fontId="80" fillId="52" borderId="41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 indent="1"/>
    </xf>
    <xf numFmtId="0" fontId="0" fillId="0" borderId="19" xfId="0" applyBorder="1"/>
    <xf numFmtId="0" fontId="0" fillId="0" borderId="16" xfId="0" applyBorder="1"/>
    <xf numFmtId="165" fontId="9" fillId="2" borderId="7" xfId="0" applyNumberFormat="1" applyFont="1" applyFill="1" applyBorder="1" applyAlignment="1">
      <alignment horizontal="left" vertical="center" indent="1"/>
    </xf>
    <xf numFmtId="0" fontId="0" fillId="0" borderId="0" xfId="0"/>
    <xf numFmtId="0" fontId="0" fillId="0" borderId="34" xfId="0" applyBorder="1"/>
    <xf numFmtId="166" fontId="16" fillId="2" borderId="0" xfId="0" applyNumberFormat="1" applyFont="1" applyFill="1" applyAlignment="1">
      <alignment horizontal="right" vertical="center" indent="1"/>
    </xf>
    <xf numFmtId="164" fontId="9" fillId="2" borderId="7" xfId="0" applyNumberFormat="1" applyFont="1" applyFill="1" applyBorder="1" applyAlignment="1">
      <alignment horizontal="left" vertical="center" indent="1"/>
    </xf>
    <xf numFmtId="0" fontId="13" fillId="2" borderId="15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168" fontId="16" fillId="2" borderId="0" xfId="0" applyNumberFormat="1" applyFont="1" applyFill="1" applyAlignment="1">
      <alignment horizontal="righ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166" fontId="19" fillId="2" borderId="0" xfId="0" applyNumberFormat="1" applyFont="1" applyFill="1" applyAlignment="1">
      <alignment horizontal="right" vertical="center" indent="1"/>
    </xf>
    <xf numFmtId="0" fontId="4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left" vertical="center" indent="1"/>
    </xf>
    <xf numFmtId="0" fontId="0" fillId="0" borderId="28" xfId="0" applyBorder="1"/>
    <xf numFmtId="0" fontId="0" fillId="0" borderId="29" xfId="0" applyBorder="1"/>
    <xf numFmtId="0" fontId="13" fillId="2" borderId="13" xfId="0" applyFont="1" applyFill="1" applyBorder="1" applyAlignment="1">
      <alignment horizontal="left" vertical="center" indent="1"/>
    </xf>
    <xf numFmtId="0" fontId="0" fillId="0" borderId="38" xfId="0" applyBorder="1"/>
    <xf numFmtId="0" fontId="7" fillId="2" borderId="5" xfId="0" applyFont="1" applyFill="1" applyBorder="1" applyAlignment="1">
      <alignment horizontal="left" vertical="center" indent="1"/>
    </xf>
    <xf numFmtId="0" fontId="0" fillId="0" borderId="32" xfId="0" applyBorder="1"/>
    <xf numFmtId="0" fontId="0" fillId="0" borderId="33" xfId="0" applyBorder="1"/>
    <xf numFmtId="0" fontId="16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indent="1"/>
    </xf>
    <xf numFmtId="0" fontId="0" fillId="0" borderId="26" xfId="0" applyBorder="1"/>
    <xf numFmtId="0" fontId="0" fillId="0" borderId="27" xfId="0" applyBorder="1"/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0" fillId="0" borderId="37" xfId="0" applyBorder="1" applyProtection="1">
      <protection locked="0"/>
    </xf>
    <xf numFmtId="0" fontId="0" fillId="0" borderId="12" xfId="0" applyBorder="1" applyProtection="1">
      <protection locked="0"/>
    </xf>
    <xf numFmtId="0" fontId="7" fillId="2" borderId="4" xfId="0" applyFont="1" applyFill="1" applyBorder="1" applyAlignment="1">
      <alignment horizontal="left" vertical="center" indent="1"/>
    </xf>
    <xf numFmtId="0" fontId="0" fillId="0" borderId="30" xfId="0" applyBorder="1"/>
    <xf numFmtId="0" fontId="0" fillId="0" borderId="31" xfId="0" applyBorder="1"/>
    <xf numFmtId="0" fontId="11" fillId="2" borderId="11" xfId="0" applyFont="1" applyFill="1" applyBorder="1" applyAlignment="1">
      <alignment horizontal="left" vertical="center" indent="1"/>
    </xf>
    <xf numFmtId="0" fontId="0" fillId="0" borderId="37" xfId="0" applyBorder="1"/>
    <xf numFmtId="167" fontId="16" fillId="2" borderId="0" xfId="0" applyNumberFormat="1" applyFont="1" applyFill="1" applyAlignment="1">
      <alignment horizontal="right" vertical="center" indent="1"/>
    </xf>
    <xf numFmtId="0" fontId="7" fillId="2" borderId="10" xfId="0" applyFont="1" applyFill="1" applyBorder="1" applyAlignment="1">
      <alignment horizontal="left" vertical="center" indent="1"/>
    </xf>
    <xf numFmtId="0" fontId="0" fillId="0" borderId="35" xfId="0" applyBorder="1"/>
    <xf numFmtId="0" fontId="0" fillId="0" borderId="36" xfId="0" applyBorder="1"/>
    <xf numFmtId="0" fontId="21" fillId="6" borderId="0" xfId="0" applyFont="1" applyFill="1" applyAlignment="1">
      <alignment horizontal="left" vertical="center" wrapText="1" indent="1"/>
    </xf>
    <xf numFmtId="0" fontId="13" fillId="2" borderId="19" xfId="0" applyFont="1" applyFill="1" applyBorder="1" applyAlignment="1">
      <alignment horizontal="left" vertical="center" indent="1"/>
    </xf>
    <xf numFmtId="0" fontId="13" fillId="2" borderId="19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4" fillId="5" borderId="1" xfId="0" applyFont="1" applyFill="1" applyBorder="1" applyAlignment="1">
      <alignment horizontal="left" vertical="center"/>
    </xf>
    <xf numFmtId="0" fontId="28" fillId="2" borderId="19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left" vertical="center"/>
    </xf>
    <xf numFmtId="0" fontId="40" fillId="2" borderId="15" xfId="0" applyFont="1" applyFill="1" applyBorder="1" applyAlignment="1">
      <alignment horizontal="left" vertical="center" wrapText="1" indent="1"/>
    </xf>
    <xf numFmtId="0" fontId="25" fillId="2" borderId="19" xfId="0" applyFont="1" applyFill="1" applyBorder="1" applyAlignment="1">
      <alignment horizontal="left" vertical="center" indent="1"/>
    </xf>
    <xf numFmtId="0" fontId="26" fillId="2" borderId="19" xfId="0" applyFont="1" applyFill="1" applyBorder="1" applyAlignment="1">
      <alignment horizontal="left" vertical="center" wrapText="1" indent="1"/>
    </xf>
    <xf numFmtId="0" fontId="41" fillId="2" borderId="16" xfId="0" applyFont="1" applyFill="1" applyBorder="1" applyAlignment="1">
      <alignment horizontal="left" vertical="center" wrapText="1" indent="1"/>
    </xf>
    <xf numFmtId="0" fontId="26" fillId="2" borderId="15" xfId="0" applyFont="1" applyFill="1" applyBorder="1" applyAlignment="1">
      <alignment horizontal="left" vertical="center" wrapText="1" indent="1"/>
    </xf>
    <xf numFmtId="0" fontId="30" fillId="2" borderId="19" xfId="0" applyFont="1" applyFill="1" applyBorder="1" applyAlignment="1">
      <alignment horizontal="left" vertical="center" wrapText="1" indent="1"/>
    </xf>
    <xf numFmtId="0" fontId="32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8" fillId="2" borderId="16" xfId="0" applyFont="1" applyFill="1" applyBorder="1" applyAlignment="1">
      <alignment horizontal="left" vertical="center" wrapText="1" indent="1"/>
    </xf>
    <xf numFmtId="0" fontId="40" fillId="2" borderId="19" xfId="0" applyFont="1" applyFill="1" applyBorder="1" applyAlignment="1">
      <alignment horizontal="left" vertical="center" wrapText="1" indent="1"/>
    </xf>
    <xf numFmtId="0" fontId="15" fillId="2" borderId="19" xfId="0" applyFont="1" applyFill="1" applyBorder="1" applyAlignment="1">
      <alignment horizontal="left" vertical="center" wrapText="1" indent="1"/>
    </xf>
    <xf numFmtId="0" fontId="57" fillId="2" borderId="16" xfId="0" applyFont="1" applyFill="1" applyBorder="1" applyAlignment="1">
      <alignment horizontal="left" vertical="center" wrapText="1" indent="1"/>
    </xf>
    <xf numFmtId="0" fontId="32" fillId="2" borderId="15" xfId="0" applyFont="1" applyFill="1" applyBorder="1" applyAlignment="1">
      <alignment horizontal="left" vertical="center" wrapText="1" indent="1"/>
    </xf>
    <xf numFmtId="0" fontId="56" fillId="2" borderId="15" xfId="0" applyFont="1" applyFill="1" applyBorder="1" applyAlignment="1">
      <alignment horizontal="left" vertical="center" wrapText="1" indent="1"/>
    </xf>
    <xf numFmtId="0" fontId="52" fillId="2" borderId="19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indent="1"/>
    </xf>
    <xf numFmtId="0" fontId="23" fillId="5" borderId="0" xfId="0" applyFont="1" applyFill="1" applyAlignment="1">
      <alignment horizontal="left" vertical="center"/>
    </xf>
    <xf numFmtId="0" fontId="35" fillId="2" borderId="19" xfId="0" applyFont="1" applyFill="1" applyBorder="1" applyAlignment="1">
      <alignment horizontal="left" vertical="center" wrapText="1" indent="1"/>
    </xf>
    <xf numFmtId="0" fontId="38" fillId="2" borderId="19" xfId="0" applyFont="1" applyFill="1" applyBorder="1" applyAlignment="1">
      <alignment horizontal="left" vertical="center" wrapText="1" indent="1"/>
    </xf>
    <xf numFmtId="0" fontId="35" fillId="2" borderId="15" xfId="0" applyFont="1" applyFill="1" applyBorder="1" applyAlignment="1">
      <alignment horizontal="left" vertical="center" wrapText="1" indent="1"/>
    </xf>
    <xf numFmtId="0" fontId="38" fillId="2" borderId="15" xfId="0" applyFont="1" applyFill="1" applyBorder="1" applyAlignment="1">
      <alignment horizontal="left" vertical="center" wrapText="1" indent="1"/>
    </xf>
    <xf numFmtId="0" fontId="33" fillId="2" borderId="19" xfId="0" applyFont="1" applyFill="1" applyBorder="1" applyAlignment="1">
      <alignment horizontal="left" vertical="center" wrapText="1" indent="1"/>
    </xf>
    <xf numFmtId="0" fontId="2" fillId="9" borderId="1" xfId="0" applyFont="1" applyFill="1" applyBorder="1" applyAlignment="1">
      <alignment horizontal="left" vertical="center" indent="1"/>
    </xf>
    <xf numFmtId="0" fontId="60" fillId="8" borderId="1" xfId="0" applyFont="1" applyFill="1" applyBorder="1" applyAlignment="1">
      <alignment horizontal="left" vertical="center" indent="1"/>
    </xf>
    <xf numFmtId="0" fontId="61" fillId="10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55" fillId="12" borderId="1" xfId="0" applyFont="1" applyFill="1" applyBorder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67" fillId="8" borderId="21" xfId="0" applyFont="1" applyFill="1" applyBorder="1" applyAlignment="1" applyProtection="1">
      <alignment horizontal="left" vertical="center" indent="1"/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62" fillId="5" borderId="0" xfId="0" applyFont="1" applyFill="1" applyAlignment="1">
      <alignment horizontal="left" vertical="center" wrapText="1" indent="1"/>
    </xf>
    <xf numFmtId="0" fontId="68" fillId="5" borderId="0" xfId="0" applyFont="1" applyFill="1" applyAlignment="1">
      <alignment horizontal="right" vertical="center" indent="1"/>
    </xf>
    <xf numFmtId="0" fontId="70" fillId="2" borderId="4" xfId="0" applyFont="1" applyFill="1" applyBorder="1" applyAlignment="1">
      <alignment horizontal="left" vertical="center" indent="1"/>
    </xf>
    <xf numFmtId="0" fontId="70" fillId="5" borderId="25" xfId="0" applyFont="1" applyFill="1" applyBorder="1" applyAlignment="1">
      <alignment horizontal="center"/>
    </xf>
    <xf numFmtId="0" fontId="0" fillId="0" borderId="25" xfId="0" applyBorder="1"/>
    <xf numFmtId="0" fontId="74" fillId="5" borderId="24" xfId="0" applyFont="1" applyFill="1" applyBorder="1" applyAlignment="1">
      <alignment horizontal="left" vertical="center" wrapText="1" indent="1"/>
    </xf>
    <xf numFmtId="0" fontId="0" fillId="0" borderId="24" xfId="0" applyBorder="1"/>
    <xf numFmtId="0" fontId="21" fillId="9" borderId="23" xfId="0" applyFont="1" applyFill="1" applyBorder="1" applyAlignment="1">
      <alignment horizontal="left" vertical="center" indent="2"/>
    </xf>
    <xf numFmtId="0" fontId="0" fillId="0" borderId="23" xfId="0" applyBorder="1"/>
    <xf numFmtId="166" fontId="73" fillId="2" borderId="9" xfId="0" applyNumberFormat="1" applyFont="1" applyFill="1" applyBorder="1" applyAlignment="1">
      <alignment horizontal="left" vertical="center" indent="1"/>
    </xf>
    <xf numFmtId="0" fontId="70" fillId="2" borderId="3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left" vertical="center" indent="1"/>
    </xf>
    <xf numFmtId="0" fontId="29" fillId="2" borderId="22" xfId="0" applyFont="1" applyFill="1" applyBorder="1" applyAlignment="1">
      <alignment horizontal="right" vertical="center" indent="1"/>
    </xf>
    <xf numFmtId="0" fontId="0" fillId="0" borderId="22" xfId="0" applyBorder="1"/>
    <xf numFmtId="0" fontId="69" fillId="2" borderId="22" xfId="0" applyFont="1" applyFill="1" applyBorder="1" applyAlignment="1">
      <alignment horizontal="left" vertical="center" indent="1"/>
    </xf>
    <xf numFmtId="166" fontId="71" fillId="2" borderId="9" xfId="0" applyNumberFormat="1" applyFont="1" applyFill="1" applyBorder="1" applyAlignment="1">
      <alignment horizontal="left" vertical="center" indent="1"/>
    </xf>
    <xf numFmtId="166" fontId="72" fillId="2" borderId="9" xfId="0" applyNumberFormat="1" applyFont="1" applyFill="1" applyBorder="1" applyAlignment="1">
      <alignment horizontal="left" vertical="center" indent="1"/>
    </xf>
    <xf numFmtId="0" fontId="21" fillId="19" borderId="23" xfId="0" applyFont="1" applyFill="1" applyBorder="1" applyAlignment="1">
      <alignment horizontal="left" vertical="center" indent="2"/>
    </xf>
    <xf numFmtId="0" fontId="70" fillId="2" borderId="5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right" vertical="center" indent="1"/>
    </xf>
    <xf numFmtId="0" fontId="81" fillId="35" borderId="41" xfId="0" applyFont="1" applyFill="1" applyBorder="1" applyAlignment="1">
      <alignment horizontal="center" vertical="center"/>
    </xf>
    <xf numFmtId="0" fontId="77" fillId="30" borderId="1" xfId="0" applyFont="1" applyFill="1" applyBorder="1" applyAlignment="1">
      <alignment horizontal="left" vertical="center"/>
    </xf>
    <xf numFmtId="0" fontId="0" fillId="30" borderId="1" xfId="0" applyFill="1" applyBorder="1"/>
    <xf numFmtId="0" fontId="78" fillId="31" borderId="0" xfId="0" applyFont="1" applyFill="1" applyAlignment="1">
      <alignment horizontal="left" vertical="center"/>
    </xf>
    <xf numFmtId="0" fontId="0" fillId="31" borderId="0" xfId="0" applyFill="1"/>
    <xf numFmtId="0" fontId="79" fillId="32" borderId="19" xfId="0" applyFont="1" applyFill="1" applyBorder="1" applyAlignment="1">
      <alignment horizontal="left" vertical="center" wrapText="1"/>
    </xf>
    <xf numFmtId="0" fontId="0" fillId="32" borderId="19" xfId="0" applyFill="1" applyBorder="1"/>
    <xf numFmtId="0" fontId="83" fillId="30" borderId="1" xfId="0" applyFont="1" applyFill="1" applyBorder="1" applyAlignment="1">
      <alignment horizontal="left" vertical="center"/>
    </xf>
    <xf numFmtId="0" fontId="81" fillId="49" borderId="0" xfId="0" applyFont="1" applyFill="1" applyAlignment="1">
      <alignment horizontal="center" vertical="center"/>
    </xf>
    <xf numFmtId="0" fontId="0" fillId="51" borderId="41" xfId="0" applyFill="1" applyBorder="1"/>
    <xf numFmtId="0" fontId="79" fillId="52" borderId="41" xfId="0" applyFont="1" applyFill="1" applyBorder="1" applyAlignment="1">
      <alignment horizontal="right" vertical="center"/>
    </xf>
    <xf numFmtId="0" fontId="0" fillId="0" borderId="42" xfId="0" applyBorder="1"/>
    <xf numFmtId="0" fontId="0" fillId="0" borderId="43" xfId="0" applyBorder="1"/>
    <xf numFmtId="0" fontId="81" fillId="34" borderId="41" xfId="0" applyFont="1" applyFill="1" applyBorder="1" applyAlignment="1">
      <alignment horizontal="center" vertical="center"/>
    </xf>
    <xf numFmtId="0" fontId="84" fillId="33" borderId="41" xfId="0" applyFont="1" applyFill="1" applyBorder="1" applyAlignment="1">
      <alignment horizontal="center" vertical="center"/>
    </xf>
  </cellXfs>
  <cellStyles count="1">
    <cellStyle name="Normal" xfId="0" builtinId="0"/>
  </cellStyles>
  <dxfs count="93"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border>
        <left/>
        <right/>
        <top/>
        <bottom style="thin">
          <color rgb="FFE2E8F0"/>
        </bottom>
      </border>
    </dxf>
    <dxf>
      <fill>
        <patternFill>
          <bgColor rgb="FFF7F9FB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worksheet" Target="worksheets/sheet8.xml" /><ns0:Relationship Id="rId13" Type="http://schemas.openxmlformats.org/officeDocument/2006/relationships/worksheet" Target="worksheets/sheet13.xml" /><ns0:Relationship Id="rId18" Type="http://schemas.openxmlformats.org/officeDocument/2006/relationships/sharedStrings" Target="sharedStrings.xml" /><ns0:Relationship Id="rId3" Type="http://schemas.openxmlformats.org/officeDocument/2006/relationships/worksheet" Target="worksheets/sheet3.xml" /><ns0:Relationship Id="rId7" Type="http://schemas.openxmlformats.org/officeDocument/2006/relationships/worksheet" Target="worksheets/sheet7.xml" /><ns0:Relationship Id="rId12" Type="http://schemas.openxmlformats.org/officeDocument/2006/relationships/worksheet" Target="worksheets/sheet12.xml" /><ns0:Relationship Id="rId17" Type="http://schemas.openxmlformats.org/officeDocument/2006/relationships/styles" Target="styles.xml" /><ns0:Relationship Id="rId2" Type="http://schemas.openxmlformats.org/officeDocument/2006/relationships/worksheet" Target="worksheets/sheet2.xml" /><ns0:Relationship Id="rId16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6" Type="http://schemas.openxmlformats.org/officeDocument/2006/relationships/worksheet" Target="worksheets/sheet6.xml" /><ns0:Relationship Id="rId11" Type="http://schemas.openxmlformats.org/officeDocument/2006/relationships/worksheet" Target="worksheets/sheet11.xml" /><ns0:Relationship Id="rId5" Type="http://schemas.openxmlformats.org/officeDocument/2006/relationships/worksheet" Target="worksheets/sheet5.xml" /><ns0:Relationship Id="rId15" Type="http://schemas.openxmlformats.org/officeDocument/2006/relationships/worksheet" Target="worksheets/sheet15.xml" /><ns0:Relationship Id="rId10" Type="http://schemas.openxmlformats.org/officeDocument/2006/relationships/worksheet" Target="worksheets/sheet10.xml" /><ns0:Relationship Id="rId4" Type="http://schemas.openxmlformats.org/officeDocument/2006/relationships/worksheet" Target="worksheets/sheet4.xml" /><ns0:Relationship Id="rId9" Type="http://schemas.openxmlformats.org/officeDocument/2006/relationships/worksheet" Target="worksheets/sheet9.xml" /><ns0:Relationship Id="rId14" Type="http://schemas.openxmlformats.org/officeDocument/2006/relationships/worksheet" Target="worksheets/sheet14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Aylık nakit kâr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AY_SONU!$I$6</c:f>
              <c:strCache>
                <c:ptCount val="1"/>
                <c:pt idx="0">
                  <c:v>NAKİT KÂR (TAHSİLAT ESASLI)</c:v>
                </c:pt>
              </c:strCache>
            </c:strRef>
          </c:tx>
          <c:spPr>
            <a:ln w="21960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AY_SONU!$I$7:$I$18</c:f>
              <c:numCache>
                <c:formatCode>#,##0.00" ₺";[Red]\-#,##0.00" ₺";\–</c:formatCode>
                <c:ptCount val="12"/>
                <c:pt idx="0">
                  <c:v>255566.18</c:v>
                </c:pt>
                <c:pt idx="1">
                  <c:v>20621.809999999939</c:v>
                </c:pt>
                <c:pt idx="2">
                  <c:v>154842.03</c:v>
                </c:pt>
                <c:pt idx="3">
                  <c:v>274706</c:v>
                </c:pt>
                <c:pt idx="4">
                  <c:v>219546</c:v>
                </c:pt>
                <c:pt idx="5">
                  <c:v>227440</c:v>
                </c:pt>
                <c:pt idx="6">
                  <c:v>116740</c:v>
                </c:pt>
                <c:pt idx="7">
                  <c:v>277600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E-40D7-87C2-0420AE28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5142148"/>
        <c:axId val="40535942"/>
      </c:lineChart>
      <c:dateAx>
        <c:axId val="75142148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40535942"/>
        <c:crosses val="autoZero"/>
        <c:auto val="1"/>
        <c:lblOffset val="100"/>
        <c:baseTimeUnit val="months"/>
      </c:dateAx>
      <c:valAx>
        <c:axId val="4053594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7514214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Tahakkuk ve tahsilat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AY_SONU!$C$6</c:f>
              <c:strCache>
                <c:ptCount val="1"/>
                <c:pt idx="0">
                  <c:v>Tahakkuk Bilgisi (KÂR DIŞI)</c:v>
                </c:pt>
              </c:strCache>
            </c:strRef>
          </c:tx>
          <c:spPr>
            <a:solidFill>
              <a:srgbClr val="9FB8D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AY_SONU!$C$7:$C$18</c:f>
              <c:numCache>
                <c:formatCode>#,##0.00" ₺";[Red]\-#,##0.00" ₺";\–</c:formatCode>
                <c:ptCount val="12"/>
                <c:pt idx="0">
                  <c:v>447251</c:v>
                </c:pt>
                <c:pt idx="1">
                  <c:v>383501</c:v>
                </c:pt>
                <c:pt idx="2">
                  <c:v>393501</c:v>
                </c:pt>
                <c:pt idx="3">
                  <c:v>413501</c:v>
                </c:pt>
                <c:pt idx="4">
                  <c:v>494251</c:v>
                </c:pt>
                <c:pt idx="5">
                  <c:v>428001</c:v>
                </c:pt>
                <c:pt idx="6">
                  <c:v>422001</c:v>
                </c:pt>
                <c:pt idx="7">
                  <c:v>516751</c:v>
                </c:pt>
                <c:pt idx="8">
                  <c:v>450001</c:v>
                </c:pt>
                <c:pt idx="9">
                  <c:v>529751</c:v>
                </c:pt>
                <c:pt idx="10">
                  <c:v>450001</c:v>
                </c:pt>
                <c:pt idx="11">
                  <c:v>450001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D-4BC3-B675-EF154F365A7E}"/>
            </c:ext>
          </c:extLst>
        </c:ser>
        <c:ser>
          <c:idx val="1"/>
          <c:order val="1"/>
          <c:tx>
            <c:strRef>
              <c:f>AY_SONU!$D$6</c:f>
              <c:strCache>
                <c:ptCount val="1"/>
                <c:pt idx="0">
                  <c:v>Müşteri Tahsilatı (GELİR)</c:v>
                </c:pt>
              </c:strCache>
            </c:strRef>
          </c:tx>
          <c:spPr>
            <a:solidFill>
              <a:srgbClr val="2563E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AY_SONU!$D$7:$D$18</c:f>
              <c:numCache>
                <c:formatCode>#,##0.00" ₺";[Red]\-#,##0.00" ₺";\–</c:formatCode>
                <c:ptCount val="12"/>
                <c:pt idx="0">
                  <c:v>364900</c:v>
                </c:pt>
                <c:pt idx="1">
                  <c:v>205500</c:v>
                </c:pt>
                <c:pt idx="2">
                  <c:v>263250</c:v>
                </c:pt>
                <c:pt idx="3">
                  <c:v>283700</c:v>
                </c:pt>
                <c:pt idx="4">
                  <c:v>350150</c:v>
                </c:pt>
                <c:pt idx="5">
                  <c:v>290850</c:v>
                </c:pt>
                <c:pt idx="6">
                  <c:v>206750</c:v>
                </c:pt>
                <c:pt idx="7">
                  <c:v>334400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D-4BC3-B675-EF154F365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524084"/>
        <c:axId val="26424841"/>
      </c:barChart>
      <c:dateAx>
        <c:axId val="11524084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26424841"/>
        <c:crosses val="autoZero"/>
        <c:auto val="1"/>
        <c:lblOffset val="100"/>
        <c:baseTimeUnit val="months"/>
      </c:dateAx>
      <c:valAx>
        <c:axId val="2642484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1152408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750" b="0" strike="noStrike">
              <a:solidFill>
                <a:srgbClr val="64748B"/>
              </a:solidFill>
              <a:uFillTx/>
              <a:latin typeface="Segoe U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Alacak yaşlandırması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DCAA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MUSTERI_360!$K$6:$N$6</c:f>
              <c:strCache>
                <c:ptCount val="4"/>
                <c:pt idx="0">
                  <c:v>0–7 Gün</c:v>
                </c:pt>
                <c:pt idx="1">
                  <c:v>8–14 Gün</c:v>
                </c:pt>
                <c:pt idx="2">
                  <c:v>15–28 Gün</c:v>
                </c:pt>
                <c:pt idx="3">
                  <c:v>29+ Gün</c:v>
                </c:pt>
              </c:strCache>
            </c:strRef>
          </c:cat>
          <c:val>
            <c:numRef>
              <c:f>MUSTERI_360!$K$5:$N$5</c:f>
              <c:numCache>
                <c:formatCode>#,##0" ₺";[Red]\-#,##0" ₺";\–</c:formatCode>
                <c:ptCount val="4"/>
                <c:pt idx="0">
                  <c:v>33500</c:v>
                </c:pt>
                <c:pt idx="1">
                  <c:v>33500</c:v>
                </c:pt>
                <c:pt idx="2">
                  <c:v>160001</c:v>
                </c:pt>
                <c:pt idx="3">
                  <c:v>878506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8-4282-9246-D99F930F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680822"/>
        <c:axId val="92613952"/>
      </c:barChart>
      <c:catAx>
        <c:axId val="396808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prstDash val="solid"/>
            <a:round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92613952"/>
        <c:crosses val="autoZero"/>
        <c:auto val="1"/>
        <c:lblAlgn val="ctr"/>
        <c:lblOffset val="100"/>
        <c:noMultiLvlLbl val="0"/>
      </c:catAx>
      <c:valAx>
        <c:axId val="9261395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endParaRPr lang="tr-TR"/>
          </a:p>
        </c:txPr>
        <c:crossAx val="3968082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6</xdr:col>
      <xdr:colOff>340560</xdr:colOff>
      <xdr:row>20</xdr:row>
      <xdr:rowOff>225360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10</xdr:col>
      <xdr:colOff>340560</xdr:colOff>
      <xdr:row>20</xdr:row>
      <xdr:rowOff>225360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13</xdr:row>
      <xdr:rowOff>0</xdr:rowOff>
    </xdr:from>
    <xdr:to>
      <xdr:col>14</xdr:col>
      <xdr:colOff>340920</xdr:colOff>
      <xdr:row>20</xdr:row>
      <xdr:rowOff>225360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sheetPr>
    <tabColor rgb="FF17324D"/>
    <pageSetUpPr fitToPage="1"/>
  </sheetPr>
  <dimension ref="A1:Q42"/>
  <sheetViews>
    <sheetView showGridLines="0" tabSelected="1" zoomScaleNormal="100" workbookViewId="0">
      <pane ySplit="4" topLeftCell="A5" activePane="bottomLeft" state="frozen"/>
      <selection pane="bottomLeft" activeCell="J25" sqref="J25:N25"/>
    </sheetView>
  </sheetViews>
  <sheetFormatPr defaultColWidth="8" defaultRowHeight="14.25" customHeight="1" x14ac:dyDescent="0.25"/>
  <cols>
    <col min="1" max="1" width="2.28515625" customWidth="1"/>
    <col min="2" max="2" width="19.42578125" customWidth="1"/>
    <col min="3" max="3" width="1.28515625" customWidth="1"/>
    <col min="4" max="14" width="8.85546875" customWidth="1"/>
    <col min="15" max="15" width="12.7109375" bestFit="1" customWidth="1"/>
  </cols>
  <sheetData>
    <row r="1" spans="1:17" ht="37.5" customHeight="1" x14ac:dyDescent="0.3">
      <c r="A1" s="149" t="s">
        <v>0</v>
      </c>
      <c r="B1" s="150"/>
      <c r="C1" s="150"/>
      <c r="D1" s="150"/>
      <c r="E1" s="150"/>
      <c r="F1" s="153" t="s">
        <v>1</v>
      </c>
      <c r="G1" s="150"/>
      <c r="H1" s="150"/>
      <c r="I1" s="150"/>
      <c r="J1" s="150"/>
      <c r="K1" s="150"/>
      <c r="L1" s="150"/>
      <c r="M1" s="150"/>
      <c r="N1" s="150"/>
      <c r="O1" s="150"/>
      <c r="P1" s="1"/>
      <c r="Q1" s="1"/>
    </row>
    <row r="2" spans="1:17" ht="21.75" customHeight="1" x14ac:dyDescent="0.3">
      <c r="A2" s="152" t="str">
        <f>"BU EKRANA KAYIT GİRİLMEZ   │   SİSTEM DURUMU:  "&amp;IF(COUNTIFS(SISTEM!$C$23:$C$90,"KRİTİK",SISTEM!$F$23:$F$90,"KALDI")&gt;0,"KRİTİK HATA – AY KAPATILAMAZ",IF(COUNTIF(SISTEM!$F$23:$F$90,"KALDI")=0,"KULLANIMA UYGUN","UYARI VAR – İNCELEYİN"))&amp;"   │   "&amp;COUNTIF(SISTEM!$F$23:$F$90,"GEÇTİ")&amp;" / "&amp;COUNTIF(SISTEM!$F$23:$F$90,"&lt;&gt;BİLGİ")&amp;" kontrol geçti"</f>
        <v>BU EKRANA KAYIT GİRİLMEZ   │   SİSTEM DURUMU:  KULLANIMA UYGUN   │   52 / 52 kontrol geçti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"/>
      <c r="Q2" s="1"/>
    </row>
    <row r="3" spans="1:17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9.5" customHeight="1" x14ac:dyDescent="0.3">
      <c r="A4" s="2"/>
      <c r="B4" s="3" t="str">
        <f ca="1">RIGHT("0"&amp;DAY(TODAY()),2)&amp;"."&amp;RIGHT("0"&amp;MONTH(TODAY()),2)&amp;"."&amp;YEAR(TODAY())&amp;"   │   "&amp;SISTEM!$C$7</f>
        <v>26.08.2026   │   KILIÇ MUHASEBE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1.75" customHeight="1" x14ac:dyDescent="0.3">
      <c r="A5" s="2"/>
      <c r="B5" s="4" t="s">
        <v>2</v>
      </c>
      <c r="C5" s="2"/>
      <c r="D5" s="164" t="s">
        <v>3</v>
      </c>
      <c r="E5" s="165"/>
      <c r="F5" s="166"/>
      <c r="G5" s="154" t="s">
        <v>4</v>
      </c>
      <c r="H5" s="155"/>
      <c r="I5" s="156"/>
      <c r="J5" s="170" t="s">
        <v>5</v>
      </c>
      <c r="K5" s="171"/>
      <c r="L5" s="172"/>
      <c r="M5" s="159" t="s">
        <v>6</v>
      </c>
      <c r="N5" s="160"/>
      <c r="O5" s="161"/>
      <c r="P5" s="2"/>
      <c r="Q5" s="2"/>
    </row>
    <row r="6" spans="1:17" ht="21.75" customHeight="1" x14ac:dyDescent="0.3">
      <c r="A6" s="2"/>
      <c r="B6" s="5" t="str">
        <f>HYPERLINK("#PANO!A1","    PANO")</f>
        <v xml:space="preserve">    PANO</v>
      </c>
      <c r="C6" s="2"/>
      <c r="D6" s="145">
        <f>COUNTIF(MUSTERILER!$D$7:$D$156,"Aktif")</f>
        <v>52</v>
      </c>
      <c r="E6" s="142"/>
      <c r="F6" s="143"/>
      <c r="G6" s="141">
        <f ca="1">SUM(MUSTERI_360!$J$7:$J$156)</f>
        <v>1105507</v>
      </c>
      <c r="H6" s="142"/>
      <c r="I6" s="143"/>
      <c r="J6" s="141">
        <f ca="1">SUM(MUSTERI_360!$N$7:$N$156)</f>
        <v>878506</v>
      </c>
      <c r="K6" s="142"/>
      <c r="L6" s="143"/>
      <c r="M6" s="141">
        <f>HESAPLAR!$K$18</f>
        <v>-533100.02</v>
      </c>
      <c r="N6" s="142"/>
      <c r="O6" s="143"/>
      <c r="P6" s="2"/>
      <c r="Q6" s="2"/>
    </row>
    <row r="7" spans="1:17" ht="21.75" customHeight="1" x14ac:dyDescent="0.3">
      <c r="A7" s="2"/>
      <c r="B7" s="6" t="str">
        <f>HYPERLINK("#MUSTERILER!A1","    Müşteriler")</f>
        <v xml:space="preserve">    Müşteriler</v>
      </c>
      <c r="C7" s="2"/>
      <c r="D7" s="138" t="str">
        <f>COUNTA(MUSTERILER!$C$7:$C$156)&amp;" kayıtlı müşteri"</f>
        <v>55 kayıtlı müşteri</v>
      </c>
      <c r="E7" s="139"/>
      <c r="F7" s="140"/>
      <c r="G7" s="138" t="str">
        <f ca="1">COUNTIF(MUSTERI_360!$J$7:$J$156,"&gt;0")&amp;" müşteride açık bakiye"</f>
        <v>31 müşteride açık bakiye</v>
      </c>
      <c r="H7" s="139"/>
      <c r="I7" s="140"/>
      <c r="J7" s="138" t="str">
        <f ca="1">ROUND(IFERROR(SUM(MUSTERI_360!$N$7:$N$156)/SUM(MUSTERI_360!$J$7:$J$156),0)*100,1)&amp;"% toplam alacağın payı"</f>
        <v>79,5% toplam alacağın payı</v>
      </c>
      <c r="K7" s="139"/>
      <c r="L7" s="140"/>
      <c r="M7" s="138" t="str">
        <f>COUNTIFS(HESAPLAR!$D$7:$D$16,"Aktif",HESAPLAR!$C$7:$C$16,"Kasa")+COUNTIFS(HESAPLAR!$D$7:$D$16,"Aktif",HESAPLAR!$C$7:$C$16,"Banka")&amp;" aktif kasa/banka • ortak cari hariç"</f>
        <v>3 aktif kasa/banka • ortak cari hariç</v>
      </c>
      <c r="N7" s="139"/>
      <c r="O7" s="140"/>
      <c r="P7" s="2"/>
      <c r="Q7" s="2"/>
    </row>
    <row r="8" spans="1:17" ht="21.75" customHeight="1" x14ac:dyDescent="0.3">
      <c r="A8" s="2"/>
      <c r="B8" s="6" t="str">
        <f>HYPERLINK("#UCRETLER!A1","    Haftalık Ücretler")</f>
        <v xml:space="preserve">    Haftalık Ücretler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.75" customHeight="1" x14ac:dyDescent="0.3">
      <c r="A9" s="2"/>
      <c r="B9" s="6" t="str">
        <f>HYPERLINK("#TAHSILAT!A1","    Tahsilat")</f>
        <v xml:space="preserve">    Tahsilat</v>
      </c>
      <c r="C9" s="2"/>
      <c r="D9" s="159" t="s">
        <v>7</v>
      </c>
      <c r="E9" s="160"/>
      <c r="F9" s="161"/>
      <c r="G9" s="164" t="s">
        <v>8</v>
      </c>
      <c r="H9" s="165"/>
      <c r="I9" s="166"/>
      <c r="J9" s="176" t="s">
        <v>9</v>
      </c>
      <c r="K9" s="177"/>
      <c r="L9" s="178"/>
      <c r="M9" s="170" t="s">
        <v>10</v>
      </c>
      <c r="N9" s="171"/>
      <c r="O9" s="172"/>
      <c r="P9" s="2"/>
      <c r="Q9" s="2"/>
    </row>
    <row r="10" spans="1:17" ht="21.75" customHeight="1" x14ac:dyDescent="0.3">
      <c r="A10" s="2"/>
      <c r="B10" s="6" t="str">
        <f>HYPERLINK("#GELIR_GIDER!A1","    Gelir / Gider")</f>
        <v xml:space="preserve">    Gelir / Gider</v>
      </c>
      <c r="C10" s="2"/>
      <c r="D10" s="141">
        <f ca="1">SUMIFS(AY_SONU!$I$7:$I$42,AY_SONU!$B$7:$B$42,"&gt;="&amp;EOMONTH(TODAY(),-1)+1,AY_SONU!$B$7:$B$42,"&lt;="&amp;EOMONTH(TODAY(),0))</f>
        <v>277600</v>
      </c>
      <c r="E10" s="142"/>
      <c r="F10" s="143"/>
      <c r="G10" s="141">
        <f ca="1">SUMIFS(AY_SONU!$D$7:$D$42,AY_SONU!$B$7:$B$42,"&gt;="&amp;EOMONTH(TODAY(),-1)+1,AY_SONU!$B$7:$B$42,"&lt;="&amp;EOMONTH(TODAY(),0))</f>
        <v>334400</v>
      </c>
      <c r="H10" s="142"/>
      <c r="I10" s="143"/>
      <c r="J10" s="141">
        <f>SUMIFS(UCRETLER!$G$7:$G$606,UCRETLER!$H$7:$H$606,"Aktif",UCRETLER!$F$7:$F$606,"Haftalık")</f>
        <v>79750</v>
      </c>
      <c r="K10" s="142"/>
      <c r="L10" s="143"/>
      <c r="M10" s="145">
        <f>SUM(ORTAKLAR!$I$7:$I$10)</f>
        <v>457050.02</v>
      </c>
      <c r="N10" s="142"/>
      <c r="O10" s="143"/>
      <c r="P10" s="2"/>
      <c r="Q10" s="2"/>
    </row>
    <row r="11" spans="1:17" ht="21.75" customHeight="1" x14ac:dyDescent="0.3">
      <c r="A11" s="2"/>
      <c r="B11" s="6" t="str">
        <f>HYPERLINK("#VIRMAN!A1","    Virman")</f>
        <v xml:space="preserve">    Virman</v>
      </c>
      <c r="C11" s="2"/>
      <c r="D11" s="138" t="str">
        <f ca="1">CHOOSE(MONTH(TODAY()),"Ocak","Şubat","Mart","Nisan","Mayıs","Haziran","Temmuz","Ağustos","Eylül","Ekim","Kasım","Aralık")&amp;" "&amp;YEAR(TODAY())&amp;" dönemi"</f>
        <v>Ağustos 2026 dönemi</v>
      </c>
      <c r="E11" s="139"/>
      <c r="F11" s="140"/>
      <c r="G11" s="138" t="str">
        <f ca="1">"Ay tahakkuku "&amp;TEXT(SUMIFS(AY_SONU!$C$7:$C$42,AY_SONU!$B$7:$B$42,"&gt;="&amp;EOMONTH(TODAY(),-1)+1,AY_SONU!$B$7:$B$42,"&lt;="&amp;EOMONTH(TODAY(),0)),"#,##0")&amp;" ₺"</f>
        <v>Ay tahakkuku 516751,0 ₺</v>
      </c>
      <c r="H11" s="139"/>
      <c r="I11" s="140"/>
      <c r="J11" s="138" t="str">
        <f>"Aylık: "&amp;TEXT(SUMIFS(UCRETLER!$G$7:$G$606,UCRETLER!$H$7:$H$606,"Aktif",UCRETLER!$F$7:$F$606,"Aylık"),"#,##0")&amp;" ₺  │  "&amp;COUNTIFS(UCRETLER!$H$7:$H$606,"Aktif")&amp;" aktif dönem"</f>
        <v>Aylık: 131001,0 ₺  │  53 aktif dönem</v>
      </c>
      <c r="K11" s="139"/>
      <c r="L11" s="140"/>
      <c r="M11" s="138" t="str">
        <f>COUNTIF(ORTAKLAR!$B$7:$B$10,"&lt;&gt;")&amp;" ortak │ Detay: ORTAK_EKSTRE"</f>
        <v>2 ortak │ Detay: ORTAK_EKSTRE</v>
      </c>
      <c r="N11" s="139"/>
      <c r="O11" s="140"/>
      <c r="P11" s="2"/>
      <c r="Q11" s="2"/>
    </row>
    <row r="12" spans="1:17" ht="21.75" customHeight="1" x14ac:dyDescent="0.3">
      <c r="A12" s="2"/>
      <c r="B12" s="6" t="str">
        <f>HYPERLINK("#ORTAK_EKSTRE!A1","    Ortak Ekstre")</f>
        <v xml:space="preserve">    Ortak Ekstre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.75" customHeight="1" x14ac:dyDescent="0.3">
      <c r="A13" s="2"/>
      <c r="B13" s="6" t="str">
        <f>HYPERLINK("#MUSTERI_360!A1","    Müşteri 360")</f>
        <v xml:space="preserve">    Müşteri 360</v>
      </c>
      <c r="C13" s="2"/>
      <c r="D13" s="7" t="s">
        <v>11</v>
      </c>
      <c r="E13" s="2"/>
      <c r="F13" s="2"/>
      <c r="G13" s="2"/>
      <c r="H13" s="7" t="s">
        <v>12</v>
      </c>
      <c r="I13" s="2"/>
      <c r="J13" s="2"/>
      <c r="K13" s="2"/>
      <c r="L13" s="7" t="s">
        <v>13</v>
      </c>
      <c r="M13" s="2"/>
      <c r="N13" s="2"/>
      <c r="O13" s="2"/>
      <c r="P13" s="2"/>
      <c r="Q13" s="2"/>
    </row>
    <row r="14" spans="1:17" ht="21.75" customHeight="1" x14ac:dyDescent="0.3">
      <c r="A14" s="2"/>
      <c r="B14" s="6" t="str">
        <f>HYPERLINK("#CARI_EKSTRE!A1","    Cari Ekstre")</f>
        <v xml:space="preserve">    Cari Ekstre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.75" customHeight="1" x14ac:dyDescent="0.3">
      <c r="A15" s="2"/>
      <c r="B15" s="6" t="str">
        <f>HYPERLINK("#HESAPLAR!A1","    Hesaplar")</f>
        <v xml:space="preserve">    Hesaplar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.75" customHeight="1" x14ac:dyDescent="0.3">
      <c r="A16" s="2"/>
      <c r="B16" s="6" t="str">
        <f>HYPERLINK("#ORTAKLAR!A1","    Ortaklar")</f>
        <v xml:space="preserve">    Ortaklar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.75" customHeight="1" x14ac:dyDescent="0.3">
      <c r="A17" s="2"/>
      <c r="B17" s="6" t="str">
        <f>HYPERLINK("#AY_SONU!A1","    Ay Sonu")</f>
        <v xml:space="preserve">    Ay Sonu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.75" customHeight="1" x14ac:dyDescent="0.3">
      <c r="A18" s="2"/>
      <c r="B18" s="5" t="str">
        <f>HYPERLINK("#KAR!A1","    Kâr / T Cetveli")</f>
        <v xml:space="preserve">    Kâr / T Cetveli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.75" customHeight="1" x14ac:dyDescent="0.3">
      <c r="A19" s="2"/>
      <c r="B19" s="5" t="str">
        <f>HYPERLINK("#SISTEM!A1","    Sistem &amp; Kontrol")</f>
        <v xml:space="preserve">    Sistem &amp; Kontrol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.75" customHeight="1" x14ac:dyDescent="0.3">
      <c r="A20" s="2"/>
      <c r="B20" s="5" t="str">
        <f>HYPERLINK("#BASLANGIC!A1","    Başlangıç")</f>
        <v xml:space="preserve">    Başlangıç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75" customHeight="1" x14ac:dyDescent="0.3">
      <c r="A21" s="2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.75" customHeight="1" x14ac:dyDescent="0.3">
      <c r="A22" s="2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.75" customHeight="1" x14ac:dyDescent="0.3">
      <c r="A23" s="2"/>
      <c r="B23" s="8"/>
      <c r="C23" s="2"/>
      <c r="D23" s="7" t="s">
        <v>14</v>
      </c>
      <c r="E23" s="2"/>
      <c r="F23" s="2"/>
      <c r="G23" s="2"/>
      <c r="H23" s="2"/>
      <c r="I23" s="2"/>
      <c r="J23" s="7" t="s">
        <v>15</v>
      </c>
      <c r="K23" s="2"/>
      <c r="L23" s="2"/>
      <c r="M23" s="2"/>
      <c r="N23" s="2"/>
      <c r="O23" s="2"/>
      <c r="P23" s="2"/>
      <c r="Q23" s="2"/>
    </row>
    <row r="24" spans="1:17" ht="21.75" customHeight="1" x14ac:dyDescent="0.3">
      <c r="A24" s="2"/>
      <c r="B24" s="8"/>
      <c r="C24" s="2"/>
      <c r="D24" s="173" t="s">
        <v>16</v>
      </c>
      <c r="E24" s="174"/>
      <c r="F24" s="167" t="s">
        <v>17</v>
      </c>
      <c r="G24" s="168"/>
      <c r="H24" s="168"/>
      <c r="I24" s="169"/>
      <c r="J24" s="157" t="s">
        <v>18</v>
      </c>
      <c r="K24" s="158"/>
      <c r="L24" s="158"/>
      <c r="M24" s="158"/>
      <c r="N24" s="158"/>
      <c r="O24" s="9">
        <f>SUM(ORTAKLAR!$I$7:$I$10)</f>
        <v>457050.02</v>
      </c>
      <c r="P24" s="2"/>
      <c r="Q24" s="2"/>
    </row>
    <row r="25" spans="1:17" ht="21.75" customHeight="1" x14ac:dyDescent="0.3">
      <c r="A25" s="2"/>
      <c r="B25" s="8"/>
      <c r="C25" s="2"/>
      <c r="D25" s="147" t="s">
        <v>19</v>
      </c>
      <c r="E25" s="142"/>
      <c r="F25" s="162" t="str">
        <f ca="1">IF($F$24="","",IFERROR(INDEX(MUSTERI_360!$B$7:$B$156,MATCH($F$24,MUSTERI_360!$C$7:$C$156,0)),""))</f>
        <v>M001</v>
      </c>
      <c r="G25" s="142"/>
      <c r="H25" s="142"/>
      <c r="I25" s="142"/>
      <c r="J25" s="146" t="s">
        <v>20</v>
      </c>
      <c r="K25" s="139"/>
      <c r="L25" s="139"/>
      <c r="M25" s="139"/>
      <c r="N25" s="139"/>
      <c r="O25" s="10">
        <f>SUM(ORTAKLAR!$H$7:$H$10)</f>
        <v>1547062.02</v>
      </c>
      <c r="P25" s="2"/>
      <c r="Q25" s="2"/>
    </row>
    <row r="26" spans="1:17" ht="21.75" customHeight="1" x14ac:dyDescent="0.3">
      <c r="A26" s="2"/>
      <c r="B26" s="8"/>
      <c r="C26" s="2"/>
      <c r="D26" s="147" t="s">
        <v>21</v>
      </c>
      <c r="E26" s="142"/>
      <c r="F26" s="162" t="str">
        <f ca="1">IF($F$24="","",IFERROR(INDEX(MUSTERI_360!$Q$7:$Q$156,MATCH($F$24,MUSTERI_360!$C$7:$C$156,0)),""))</f>
        <v>KRİTİK</v>
      </c>
      <c r="G26" s="142"/>
      <c r="H26" s="142"/>
      <c r="I26" s="142"/>
      <c r="J26" s="146" t="s">
        <v>22</v>
      </c>
      <c r="K26" s="139"/>
      <c r="L26" s="139"/>
      <c r="M26" s="139"/>
      <c r="N26" s="139"/>
      <c r="O26" s="11">
        <f>SUM(ORTAKLAR!$G$7:$G$10)</f>
        <v>47000</v>
      </c>
      <c r="P26" s="2"/>
      <c r="Q26" s="2"/>
    </row>
    <row r="27" spans="1:17" ht="21.75" customHeight="1" x14ac:dyDescent="0.3">
      <c r="A27" s="2"/>
      <c r="B27" s="8"/>
      <c r="C27" s="2"/>
      <c r="D27" s="147" t="s">
        <v>23</v>
      </c>
      <c r="E27" s="142"/>
      <c r="F27" s="144">
        <f ca="1">IF($F$24="","",IFERROR(INDEX(MUSTERI_360!$D$7:$D$156,MATCH($F$24,MUSTERI_360!$C$7:$C$156,0)),""))</f>
        <v>4000</v>
      </c>
      <c r="G27" s="142"/>
      <c r="H27" s="142"/>
      <c r="I27" s="142"/>
      <c r="J27" s="146" t="s">
        <v>24</v>
      </c>
      <c r="K27" s="139"/>
      <c r="L27" s="139"/>
      <c r="M27" s="139"/>
      <c r="N27" s="139"/>
      <c r="O27" s="12">
        <f>SUM(ORTAKLAR!$E$7:$E$10)</f>
        <v>536650</v>
      </c>
      <c r="P27" s="2"/>
      <c r="Q27" s="2"/>
    </row>
    <row r="28" spans="1:17" ht="21.75" customHeight="1" x14ac:dyDescent="0.3">
      <c r="A28" s="2"/>
      <c r="B28" s="8"/>
      <c r="C28" s="2"/>
      <c r="D28" s="147" t="s">
        <v>25</v>
      </c>
      <c r="E28" s="142"/>
      <c r="F28" s="144">
        <f ca="1">IF($F$24="","",IFERROR(INDEX(MUSTERI_360!$E$7:$E$156,MATCH($F$24,MUSTERI_360!$C$7:$C$156,0)),""))</f>
        <v>0</v>
      </c>
      <c r="G28" s="142"/>
      <c r="H28" s="142"/>
      <c r="I28" s="142"/>
      <c r="J28" s="146" t="s">
        <v>26</v>
      </c>
      <c r="K28" s="139"/>
      <c r="L28" s="139"/>
      <c r="M28" s="139"/>
      <c r="N28" s="139"/>
      <c r="O28" s="12">
        <f ca="1">COUNTIF(MUSTERI_360!$Q$7:$Q$156,"KRİTİK")</f>
        <v>27</v>
      </c>
      <c r="P28" s="2"/>
      <c r="Q28" s="2"/>
    </row>
    <row r="29" spans="1:17" ht="21.75" customHeight="1" x14ac:dyDescent="0.3">
      <c r="A29" s="2"/>
      <c r="B29" s="8"/>
      <c r="C29" s="2"/>
      <c r="D29" s="147" t="s">
        <v>27</v>
      </c>
      <c r="E29" s="142"/>
      <c r="F29" s="144">
        <f ca="1">IF($F$24="","",IFERROR(INDEX(MUSTERI_360!$F$7:$F$156,MATCH($F$24,MUSTERI_360!$C$7:$C$156,0)),""))</f>
        <v>0</v>
      </c>
      <c r="G29" s="142"/>
      <c r="H29" s="142"/>
      <c r="I29" s="142"/>
      <c r="J29" s="146" t="s">
        <v>28</v>
      </c>
      <c r="K29" s="139"/>
      <c r="L29" s="139"/>
      <c r="M29" s="139"/>
      <c r="N29" s="139"/>
      <c r="O29" s="10">
        <f>COUNTIF(MUSTERILER!$P$7:$P$156,"EKSİK")</f>
        <v>0</v>
      </c>
      <c r="P29" s="2"/>
      <c r="Q29" s="2"/>
    </row>
    <row r="30" spans="1:17" ht="21.75" customHeight="1" x14ac:dyDescent="0.3">
      <c r="A30" s="2"/>
      <c r="B30" s="8"/>
      <c r="C30" s="2"/>
      <c r="D30" s="147" t="s">
        <v>29</v>
      </c>
      <c r="E30" s="142"/>
      <c r="F30" s="144">
        <f ca="1">IF($F$24="","",IFERROR(INDEX(MUSTERI_360!$G$7:$G$156,MATCH($F$24,MUSTERI_360!$C$7:$C$156,0)),""))</f>
        <v>136000</v>
      </c>
      <c r="G30" s="142"/>
      <c r="H30" s="142"/>
      <c r="I30" s="142"/>
      <c r="J30" s="146" t="s">
        <v>30</v>
      </c>
      <c r="K30" s="139"/>
      <c r="L30" s="139"/>
      <c r="M30" s="139"/>
      <c r="N30" s="139"/>
      <c r="O30" s="10">
        <f>COUNTIFS(MUSTERILER!$D$7:$D$156,"Aktif",MUSTERILER!$O$7:$O$156,"HAYIR")</f>
        <v>0</v>
      </c>
      <c r="P30" s="2"/>
      <c r="Q30" s="2"/>
    </row>
    <row r="31" spans="1:17" ht="21.75" customHeight="1" x14ac:dyDescent="0.3">
      <c r="A31" s="2"/>
      <c r="B31" s="8"/>
      <c r="C31" s="2"/>
      <c r="D31" s="147" t="s">
        <v>31</v>
      </c>
      <c r="E31" s="142"/>
      <c r="F31" s="144">
        <f ca="1">IF($F$24="","",IFERROR(INDEX(MUSTERI_360!$H$7:$H$156,MATCH($F$24,MUSTERI_360!$C$7:$C$156,0)),""))</f>
        <v>136000</v>
      </c>
      <c r="G31" s="142"/>
      <c r="H31" s="142"/>
      <c r="I31" s="142"/>
      <c r="J31" s="146" t="s">
        <v>32</v>
      </c>
      <c r="K31" s="139"/>
      <c r="L31" s="139"/>
      <c r="M31" s="139"/>
      <c r="N31" s="139"/>
      <c r="O31" s="10">
        <f ca="1">COUNTIF(TAHSILAT!$M$7:$M$2503,"EKSİK")</f>
        <v>0</v>
      </c>
      <c r="P31" s="2"/>
      <c r="Q31" s="2"/>
    </row>
    <row r="32" spans="1:17" ht="21.75" customHeight="1" x14ac:dyDescent="0.3">
      <c r="A32" s="2"/>
      <c r="B32" s="8"/>
      <c r="C32" s="2"/>
      <c r="D32" s="147" t="s">
        <v>33</v>
      </c>
      <c r="E32" s="142"/>
      <c r="F32" s="144">
        <f ca="1">IF($F$24="","",IFERROR(INDEX(MUSTERI_360!$I$7:$I$156,MATCH($F$24,MUSTERI_360!$C$7:$C$156,0)),""))</f>
        <v>116000</v>
      </c>
      <c r="G32" s="142"/>
      <c r="H32" s="142"/>
      <c r="I32" s="142"/>
      <c r="J32" s="146" t="s">
        <v>34</v>
      </c>
      <c r="K32" s="139"/>
      <c r="L32" s="139"/>
      <c r="M32" s="139"/>
      <c r="N32" s="139"/>
      <c r="O32" s="10">
        <f ca="1">COUNTIF(GELIR_GIDER!$P$7:$P$3001,"EKSİK")</f>
        <v>0</v>
      </c>
      <c r="P32" s="2"/>
      <c r="Q32" s="2"/>
    </row>
    <row r="33" spans="1:17" ht="21.75" customHeight="1" x14ac:dyDescent="0.3">
      <c r="A33" s="2"/>
      <c r="B33" s="8"/>
      <c r="C33" s="2"/>
      <c r="D33" s="147" t="s">
        <v>35</v>
      </c>
      <c r="E33" s="142"/>
      <c r="F33" s="151">
        <f ca="1">IF($F$24="","",IFERROR(INDEX(MUSTERI_360!$J$7:$J$156,MATCH($F$24,MUSTERI_360!$C$7:$C$156,0)),""))</f>
        <v>20000</v>
      </c>
      <c r="G33" s="142"/>
      <c r="H33" s="142"/>
      <c r="I33" s="142"/>
      <c r="J33" s="146" t="s">
        <v>36</v>
      </c>
      <c r="K33" s="139"/>
      <c r="L33" s="139"/>
      <c r="M33" s="139"/>
      <c r="N33" s="139"/>
      <c r="O33" s="11">
        <f ca="1">COUNTIF(MUSTERI_360!$V$7:$V$156,"&gt;0")</f>
        <v>4</v>
      </c>
      <c r="P33" s="2"/>
      <c r="Q33" s="2"/>
    </row>
    <row r="34" spans="1:17" ht="21.75" customHeight="1" x14ac:dyDescent="0.3">
      <c r="A34" s="2"/>
      <c r="B34" s="8"/>
      <c r="C34" s="2"/>
      <c r="D34" s="147" t="s">
        <v>37</v>
      </c>
      <c r="E34" s="142"/>
      <c r="F34" s="144">
        <f ca="1">IF($F$24="","",IFERROR(INDEX(MUSTERI_360!$K$7:$K$156,MATCH($F$24,MUSTERI_360!$C$7:$C$156,0)),""))</f>
        <v>4000</v>
      </c>
      <c r="G34" s="142"/>
      <c r="H34" s="142"/>
      <c r="I34" s="142"/>
      <c r="J34" s="146" t="s">
        <v>38</v>
      </c>
      <c r="K34" s="139"/>
      <c r="L34" s="139"/>
      <c r="M34" s="139"/>
      <c r="N34" s="139"/>
      <c r="O34" s="12">
        <f ca="1">COUNTIF(TAHSILAT!$M$7:$M$2503,"MÜKERRER?")+COUNTIF(GELIR_GIDER!$P$7:$P$3001,"MÜKERRER?")</f>
        <v>0</v>
      </c>
      <c r="P34" s="2"/>
      <c r="Q34" s="2"/>
    </row>
    <row r="35" spans="1:17" ht="21.75" customHeight="1" x14ac:dyDescent="0.3">
      <c r="A35" s="2"/>
      <c r="B35" s="8"/>
      <c r="C35" s="2"/>
      <c r="D35" s="147" t="s">
        <v>39</v>
      </c>
      <c r="E35" s="142"/>
      <c r="F35" s="144">
        <f ca="1">IF($F$24="","",IFERROR(INDEX(MUSTERI_360!$L$7:$L$156,MATCH($F$24,MUSTERI_360!$C$7:$C$156,0)),""))</f>
        <v>4000</v>
      </c>
      <c r="G35" s="142"/>
      <c r="H35" s="142"/>
      <c r="I35" s="142"/>
      <c r="J35" s="146" t="s">
        <v>40</v>
      </c>
      <c r="K35" s="139"/>
      <c r="L35" s="139"/>
      <c r="M35" s="139"/>
      <c r="N35" s="139"/>
      <c r="O35" s="10">
        <f ca="1">COUNTIF(GELIR_GIDER!$P$7:$P$3001,"ÖDENECEK")</f>
        <v>0</v>
      </c>
      <c r="P35" s="2"/>
      <c r="Q35" s="2"/>
    </row>
    <row r="36" spans="1:17" ht="21.75" customHeight="1" x14ac:dyDescent="0.3">
      <c r="A36" s="2"/>
      <c r="B36" s="8"/>
      <c r="C36" s="2"/>
      <c r="D36" s="147" t="s">
        <v>41</v>
      </c>
      <c r="E36" s="142"/>
      <c r="F36" s="144">
        <f ca="1">IF($F$24="","",IFERROR(INDEX(MUSTERI_360!$M$7:$M$156,MATCH($F$24,MUSTERI_360!$C$7:$C$156,0)),""))</f>
        <v>8000</v>
      </c>
      <c r="G36" s="142"/>
      <c r="H36" s="142"/>
      <c r="I36" s="142"/>
      <c r="J36" s="146" t="s">
        <v>42</v>
      </c>
      <c r="K36" s="139"/>
      <c r="L36" s="139"/>
      <c r="M36" s="139"/>
      <c r="N36" s="139"/>
      <c r="O36" s="12">
        <f>COUNTIF(SISTEM!$F$23:$F$90,"KALDI")</f>
        <v>0</v>
      </c>
      <c r="P36" s="2"/>
      <c r="Q36" s="2"/>
    </row>
    <row r="37" spans="1:17" ht="21.75" customHeight="1" x14ac:dyDescent="0.3">
      <c r="A37" s="2"/>
      <c r="B37" s="8"/>
      <c r="C37" s="2"/>
      <c r="D37" s="147" t="s">
        <v>43</v>
      </c>
      <c r="E37" s="142"/>
      <c r="F37" s="151">
        <f ca="1">IF($F$24="","",IFERROR(INDEX(MUSTERI_360!$N$7:$N$156,MATCH($F$24,MUSTERI_360!$C$7:$C$156,0)),""))</f>
        <v>4000</v>
      </c>
      <c r="G37" s="142"/>
      <c r="H37" s="142"/>
      <c r="I37" s="142"/>
      <c r="J37" s="2"/>
      <c r="K37" s="2"/>
      <c r="L37" s="2"/>
      <c r="M37" s="2"/>
      <c r="N37" s="2"/>
      <c r="O37" s="2"/>
      <c r="P37" s="2"/>
      <c r="Q37" s="2"/>
    </row>
    <row r="38" spans="1:17" ht="21.75" customHeight="1" x14ac:dyDescent="0.3">
      <c r="A38" s="2"/>
      <c r="B38" s="8"/>
      <c r="C38" s="2"/>
      <c r="D38" s="147" t="s">
        <v>44</v>
      </c>
      <c r="E38" s="142"/>
      <c r="F38" s="175">
        <f ca="1">IF($F$24="","",IFERROR(INDEX(MUSTERI_360!$O$7:$O$156,MATCH($F$24,MUSTERI_360!$C$7:$C$156,0)),""))</f>
        <v>0.8529411764705882</v>
      </c>
      <c r="G38" s="142"/>
      <c r="H38" s="142"/>
      <c r="I38" s="142"/>
      <c r="J38" s="2"/>
      <c r="K38" s="2"/>
      <c r="L38" s="2"/>
      <c r="M38" s="2"/>
      <c r="N38" s="2"/>
      <c r="O38" s="2"/>
      <c r="P38" s="2"/>
      <c r="Q38" s="2"/>
    </row>
    <row r="39" spans="1:17" ht="21.75" customHeight="1" x14ac:dyDescent="0.3">
      <c r="A39" s="2"/>
      <c r="B39" s="8"/>
      <c r="C39" s="2"/>
      <c r="D39" s="147" t="s">
        <v>45</v>
      </c>
      <c r="E39" s="142"/>
      <c r="F39" s="148">
        <f ca="1">IF($F$24="","",IFERROR(INDEX(MUSTERI_360!$P$7:$P$156,MATCH($F$24,MUSTERI_360!$C$7:$C$156,0)),""))</f>
        <v>46256</v>
      </c>
      <c r="G39" s="142"/>
      <c r="H39" s="142"/>
      <c r="I39" s="142"/>
      <c r="J39" s="2"/>
      <c r="K39" s="2"/>
      <c r="L39" s="2"/>
      <c r="M39" s="2"/>
      <c r="N39" s="2"/>
      <c r="O39" s="2"/>
      <c r="P39" s="2"/>
      <c r="Q39" s="2"/>
    </row>
    <row r="40" spans="1:17" ht="36" customHeight="1" x14ac:dyDescent="0.3">
      <c r="A40" s="2"/>
      <c r="B40" s="8"/>
      <c r="C40" s="2"/>
      <c r="D40" s="147" t="s">
        <v>46</v>
      </c>
      <c r="E40" s="142"/>
      <c r="F40" s="163" t="str">
        <f ca="1">IF($F$24="","",IFERROR(INDEX(MUSTERI_360!$R$7:$R$156,MATCH($F$24,MUSTERI_360!$C$7:$C$156,0)),""))</f>
        <v>Acil tahsilat görüşmesi ve cari mutabakat</v>
      </c>
      <c r="G40" s="142"/>
      <c r="H40" s="142"/>
      <c r="I40" s="142"/>
      <c r="J40" s="2"/>
      <c r="K40" s="2"/>
      <c r="L40" s="2"/>
      <c r="M40" s="2"/>
      <c r="N40" s="2"/>
      <c r="O40" s="2"/>
      <c r="P40" s="2"/>
      <c r="Q40" s="2"/>
    </row>
    <row r="41" spans="1:17" ht="21.75" customHeight="1" x14ac:dyDescent="0.3">
      <c r="A41" s="2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1.75" customHeight="1" x14ac:dyDescent="0.3">
      <c r="A42" s="2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sheetProtection password="CC3D" sheet="1" formatCells="0" formatColumns="0" formatRows="0" sort="0" autoFilter="0"/>
  <mergeCells count="74">
    <mergeCell ref="D38:E38"/>
    <mergeCell ref="G7:I7"/>
    <mergeCell ref="F38:I38"/>
    <mergeCell ref="J33:N33"/>
    <mergeCell ref="J9:L9"/>
    <mergeCell ref="D26:E26"/>
    <mergeCell ref="D35:E35"/>
    <mergeCell ref="F28:I28"/>
    <mergeCell ref="F35:I35"/>
    <mergeCell ref="D33:E33"/>
    <mergeCell ref="M9:O9"/>
    <mergeCell ref="D29:E29"/>
    <mergeCell ref="M5:O5"/>
    <mergeCell ref="D6:F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J5:L5"/>
    <mergeCell ref="D25:E25"/>
    <mergeCell ref="D40:E40"/>
    <mergeCell ref="D7:F7"/>
    <mergeCell ref="D31:E31"/>
    <mergeCell ref="M6:O6"/>
    <mergeCell ref="D36:E36"/>
    <mergeCell ref="J11:L11"/>
    <mergeCell ref="J7:L7"/>
    <mergeCell ref="J34:N34"/>
    <mergeCell ref="J30:N30"/>
    <mergeCell ref="D27:E27"/>
    <mergeCell ref="J24:N24"/>
    <mergeCell ref="D9:F9"/>
    <mergeCell ref="F29:I29"/>
    <mergeCell ref="D32:E32"/>
    <mergeCell ref="J36:N36"/>
    <mergeCell ref="F25:I25"/>
    <mergeCell ref="D34:E34"/>
    <mergeCell ref="F39:I39"/>
    <mergeCell ref="A1:E1"/>
    <mergeCell ref="M7:O7"/>
    <mergeCell ref="J28:N28"/>
    <mergeCell ref="F37:I37"/>
    <mergeCell ref="A2:O2"/>
    <mergeCell ref="F1:O1"/>
    <mergeCell ref="G5:I5"/>
    <mergeCell ref="J27:N27"/>
    <mergeCell ref="F34:I34"/>
    <mergeCell ref="J35:N35"/>
    <mergeCell ref="J26:N26"/>
    <mergeCell ref="F32:I32"/>
    <mergeCell ref="F26:I26"/>
    <mergeCell ref="F36:I36"/>
    <mergeCell ref="M11:O11"/>
    <mergeCell ref="J6:L6"/>
    <mergeCell ref="F31:I31"/>
    <mergeCell ref="D11:F11"/>
    <mergeCell ref="G10:I10"/>
    <mergeCell ref="M10:O10"/>
    <mergeCell ref="F27:I27"/>
    <mergeCell ref="G6:I6"/>
    <mergeCell ref="J29:N29"/>
    <mergeCell ref="D24:E24"/>
    <mergeCell ref="J10:L10"/>
    <mergeCell ref="D30:E30"/>
  </mergeCells>
  <conditionalFormatting sqref="O24">
    <cfRule type="cellIs" dxfId="92" priority="2" operator="greaterThan">
      <formula>0</formula>
    </cfRule>
  </conditionalFormatting>
  <conditionalFormatting sqref="O25">
    <cfRule type="cellIs" dxfId="91" priority="3" operator="greaterThan">
      <formula>0</formula>
    </cfRule>
  </conditionalFormatting>
  <conditionalFormatting sqref="O26">
    <cfRule type="cellIs" dxfId="90" priority="4" operator="greaterThan">
      <formula>0</formula>
    </cfRule>
  </conditionalFormatting>
  <conditionalFormatting sqref="O27:O28">
    <cfRule type="cellIs" dxfId="89" priority="5" operator="greaterThan">
      <formula>0</formula>
    </cfRule>
  </conditionalFormatting>
  <conditionalFormatting sqref="O29:O32">
    <cfRule type="cellIs" dxfId="88" priority="6" operator="greaterThan">
      <formula>0</formula>
    </cfRule>
  </conditionalFormatting>
  <conditionalFormatting sqref="O33">
    <cfRule type="cellIs" dxfId="87" priority="7" operator="greaterThan">
      <formula>0</formula>
    </cfRule>
  </conditionalFormatting>
  <conditionalFormatting sqref="O34">
    <cfRule type="cellIs" dxfId="86" priority="8" operator="greaterThan">
      <formula>0</formula>
    </cfRule>
  </conditionalFormatting>
  <conditionalFormatting sqref="O35">
    <cfRule type="cellIs" dxfId="85" priority="9" operator="greaterThan">
      <formula>0</formula>
    </cfRule>
  </conditionalFormatting>
  <conditionalFormatting sqref="O36">
    <cfRule type="cellIs" dxfId="84" priority="10" operator="greaterThan">
      <formula>0</formula>
    </cfRule>
  </conditionalFormatting>
  <dataValidations count="1">
    <dataValidation type="list" allowBlank="1" showErrorMessage="1" errorTitle="Tanımsız müşteri" error="Müşteri listesinden seçin." sqref="F24" xr:uid="{00000000-0002-0000-0000-000000000000}">
      <formula1>LST_MUSTERI_ADI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100-000000000000}">
  <sheetPr>
    <tabColor rgb="FF177E73"/>
    <pageSetUpPr fitToPage="1"/>
  </sheetPr>
  <dimension ref="A1:K193"/>
  <sheetViews>
    <sheetView showGridLines="0" zoomScaleNormal="100" workbookViewId="0">
      <pane ySplit="6" topLeftCell="A47" activePane="bottomLeft" state="frozen"/>
      <selection pane="bottomLeft" activeCell="G55" sqref="G55:I55"/>
    </sheetView>
  </sheetViews>
  <sheetFormatPr defaultColWidth="8" defaultRowHeight="14.25" customHeight="1" x14ac:dyDescent="0.25"/>
  <cols>
    <col min="1" max="1" width="2.28515625" customWidth="1"/>
    <col min="2" max="2" width="9.28515625" customWidth="1"/>
    <col min="3" max="3" width="22.28515625" customWidth="1"/>
    <col min="4" max="5" width="16.7109375" customWidth="1"/>
    <col min="6" max="6" width="27.85546875" customWidth="1"/>
    <col min="7" max="7" width="31.5703125" customWidth="1"/>
    <col min="8" max="8" width="24.140625" customWidth="1"/>
    <col min="9" max="9" width="18.5703125" customWidth="1"/>
    <col min="10" max="11" width="2.28515625" customWidth="1"/>
  </cols>
  <sheetData>
    <row r="1" spans="1:11" ht="37.5" customHeight="1" x14ac:dyDescent="0.3">
      <c r="A1" s="149" t="s">
        <v>0</v>
      </c>
      <c r="B1" s="150"/>
      <c r="C1" s="150"/>
      <c r="D1" s="150"/>
      <c r="E1" s="150"/>
      <c r="F1" s="153" t="s">
        <v>47</v>
      </c>
      <c r="G1" s="150"/>
      <c r="H1" s="150"/>
      <c r="I1" s="150"/>
      <c r="J1" s="13"/>
      <c r="K1" s="13"/>
    </row>
    <row r="2" spans="1:11" ht="21.75" customHeight="1" x14ac:dyDescent="0.3">
      <c r="A2" s="152" t="s">
        <v>48</v>
      </c>
      <c r="B2" s="142"/>
      <c r="C2" s="142"/>
      <c r="D2" s="142"/>
      <c r="E2" s="142"/>
      <c r="F2" s="142"/>
      <c r="G2" s="142"/>
      <c r="H2" s="142"/>
      <c r="I2" s="142"/>
      <c r="J2" s="14"/>
      <c r="K2" s="14"/>
    </row>
    <row r="3" spans="1:11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</row>
    <row r="5" spans="1:11" ht="33.75" customHeight="1" x14ac:dyDescent="0.3">
      <c r="A5" s="2"/>
      <c r="B5" s="185" t="s">
        <v>49</v>
      </c>
      <c r="C5" s="142"/>
      <c r="D5" s="142"/>
      <c r="E5" s="142"/>
      <c r="F5" s="142"/>
      <c r="G5" s="142"/>
      <c r="H5" s="142"/>
      <c r="I5" s="142"/>
      <c r="J5" s="2"/>
      <c r="K5" s="2"/>
    </row>
    <row r="6" spans="1:11" ht="21.75" customHeight="1" x14ac:dyDescent="0.3">
      <c r="A6" s="2"/>
      <c r="B6" s="202" t="s">
        <v>50</v>
      </c>
      <c r="C6" s="142"/>
      <c r="D6" s="142"/>
      <c r="E6" s="142"/>
      <c r="F6" s="142"/>
      <c r="G6" s="142"/>
      <c r="H6" s="142"/>
      <c r="I6" s="142"/>
      <c r="J6" s="2"/>
      <c r="K6" s="2"/>
    </row>
    <row r="7" spans="1:11" ht="18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3">
      <c r="A8" s="2"/>
      <c r="B8" s="183" t="s">
        <v>51</v>
      </c>
      <c r="C8" s="150"/>
      <c r="D8" s="150"/>
      <c r="E8" s="150"/>
      <c r="F8" s="150"/>
      <c r="G8" s="150"/>
      <c r="H8" s="150"/>
      <c r="I8" s="150"/>
      <c r="J8" s="2"/>
      <c r="K8" s="2"/>
    </row>
    <row r="9" spans="1:11" ht="19.5" customHeight="1" x14ac:dyDescent="0.3">
      <c r="A9" s="2"/>
      <c r="B9" s="187" t="str">
        <f>HYPERLINK("#BASLANGIC!B17","▸  1.  BU EXCEL NE İÇİN ÜRETİLDİ?")</f>
        <v>▸  1.  BU EXCEL NE İÇİN ÜRETİLDİ?</v>
      </c>
      <c r="C9" s="139"/>
      <c r="D9" s="139"/>
      <c r="E9" s="139"/>
      <c r="F9" s="187" t="str">
        <f>HYPERLINK("#BASLANGIC!B88","▸  7.  SENARYO KATALOĞU")</f>
        <v>▸  7.  SENARYO KATALOĞU</v>
      </c>
      <c r="G9" s="139"/>
      <c r="H9" s="139"/>
      <c r="I9" s="139"/>
      <c r="J9" s="2"/>
      <c r="K9" s="2"/>
    </row>
    <row r="10" spans="1:11" ht="19.5" customHeight="1" x14ac:dyDescent="0.3">
      <c r="A10" s="2"/>
      <c r="B10" s="187" t="str">
        <f>HYPERLINK("#BASLANGIC!B26","▸  2.  RENK KİLAVUZU")</f>
        <v>▸  2.  RENK KİLAVUZU</v>
      </c>
      <c r="C10" s="139"/>
      <c r="D10" s="139"/>
      <c r="E10" s="139"/>
      <c r="F10" s="187" t="str">
        <f>HYPERLINK("#BASLANGIC!B115","▸  8.  UYARI SÖZLÜĞÜ")</f>
        <v>▸  8.  UYARI SÖZLÜĞÜ</v>
      </c>
      <c r="G10" s="139"/>
      <c r="H10" s="139"/>
      <c r="I10" s="139"/>
      <c r="J10" s="2"/>
      <c r="K10" s="2"/>
    </row>
    <row r="11" spans="1:11" ht="19.5" customHeight="1" x14ac:dyDescent="0.3">
      <c r="A11" s="2"/>
      <c r="B11" s="187" t="str">
        <f>HYPERLINK("#BASLANGIC!B40","▸  3.  SEKME HARİTASI")</f>
        <v>▸  3.  SEKME HARİTASI</v>
      </c>
      <c r="C11" s="139"/>
      <c r="D11" s="139"/>
      <c r="E11" s="139"/>
      <c r="F11" s="187" t="str">
        <f>HYPERLINK("#BASLANGIC!B142","▸  9.  EN SIK YAPILAN HATALAR")</f>
        <v>▸  9.  EN SIK YAPILAN HATALAR</v>
      </c>
      <c r="G11" s="139"/>
      <c r="H11" s="139"/>
      <c r="I11" s="139"/>
      <c r="J11" s="2"/>
      <c r="K11" s="2"/>
    </row>
    <row r="12" spans="1:11" ht="19.5" customHeight="1" x14ac:dyDescent="0.3">
      <c r="A12" s="2"/>
      <c r="B12" s="187" t="str">
        <f>HYPERLINK("#BASLANGIC!B57","▸  4.  EKRAN MODLARI")</f>
        <v>▸  4.  EKRAN MODLARI</v>
      </c>
      <c r="C12" s="139"/>
      <c r="D12" s="139"/>
      <c r="E12" s="139"/>
      <c r="F12" s="187" t="str">
        <f>HYPERLINK("#BASLANGIC!B155","▸  10.  SORUN GİDERME")</f>
        <v>▸  10.  SORUN GİDERME</v>
      </c>
      <c r="G12" s="139"/>
      <c r="H12" s="139"/>
      <c r="I12" s="139"/>
      <c r="J12" s="2"/>
      <c r="K12" s="2"/>
    </row>
    <row r="13" spans="1:11" ht="19.5" customHeight="1" x14ac:dyDescent="0.3">
      <c r="A13" s="2"/>
      <c r="B13" s="187" t="str">
        <f>HYPERLINK("#BASLANGIC!B63","▸  5.  ADIM ADIM KULLANIM")</f>
        <v>▸  5.  ADIM ADIM KULLANIM</v>
      </c>
      <c r="C13" s="139"/>
      <c r="D13" s="139"/>
      <c r="E13" s="139"/>
      <c r="F13" s="187" t="str">
        <f>HYPERLINK("#BASLANGIC!B173","▸  11.  DEĞİŞMEZ KURALLAR")</f>
        <v>▸  11.  DEĞİŞMEZ KURALLAR</v>
      </c>
      <c r="G13" s="139"/>
      <c r="H13" s="139"/>
      <c r="I13" s="139"/>
      <c r="J13" s="2"/>
      <c r="K13" s="2"/>
    </row>
    <row r="14" spans="1:11" ht="19.5" customHeight="1" x14ac:dyDescent="0.3">
      <c r="A14" s="2"/>
      <c r="B14" s="187" t="str">
        <f>HYPERLINK("#BASLANGIC!B78","▸  6.  TAHAKKUK MODELLERİ, ZAM VE PARA GİRİŞİ")</f>
        <v>▸  6.  TAHAKKUK MODELLERİ, ZAM VE PARA GİRİŞİ</v>
      </c>
      <c r="C14" s="139"/>
      <c r="D14" s="139"/>
      <c r="E14" s="139"/>
      <c r="F14" s="187" t="str">
        <f>HYPERLINK("#BASLANGIC!B183","▸  12.  KORUMA, YEDEK VE GÜVENLİK")</f>
        <v>▸  12.  KORUMA, YEDEK VE GÜVENLİK</v>
      </c>
      <c r="G14" s="139"/>
      <c r="H14" s="139"/>
      <c r="I14" s="139"/>
      <c r="J14" s="2"/>
      <c r="K14" s="2"/>
    </row>
    <row r="15" spans="1:11" ht="18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8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7.75" customHeight="1" x14ac:dyDescent="0.3">
      <c r="A17" s="2"/>
      <c r="B17" s="183" t="s">
        <v>52</v>
      </c>
      <c r="C17" s="150"/>
      <c r="D17" s="150"/>
      <c r="E17" s="150"/>
      <c r="F17" s="150"/>
      <c r="G17" s="150"/>
      <c r="H17" s="150"/>
      <c r="I17" s="150"/>
      <c r="J17" s="2"/>
      <c r="K17" s="2"/>
    </row>
    <row r="18" spans="1:11" ht="30" customHeight="1" x14ac:dyDescent="0.3">
      <c r="A18" s="2"/>
      <c r="B18" s="179" t="s">
        <v>53</v>
      </c>
      <c r="C18" s="142"/>
      <c r="D18" s="179" t="s">
        <v>54</v>
      </c>
      <c r="E18" s="142"/>
      <c r="F18" s="142"/>
      <c r="G18" s="142"/>
      <c r="H18" s="142"/>
      <c r="I18" s="142"/>
      <c r="J18" s="2"/>
      <c r="K18" s="2"/>
    </row>
    <row r="19" spans="1:11" ht="31.5" customHeight="1" x14ac:dyDescent="0.3">
      <c r="A19" s="2"/>
      <c r="B19" s="190" t="s">
        <v>55</v>
      </c>
      <c r="C19" s="139"/>
      <c r="D19" s="182" t="s">
        <v>56</v>
      </c>
      <c r="E19" s="139"/>
      <c r="F19" s="139"/>
      <c r="G19" s="139"/>
      <c r="H19" s="139"/>
      <c r="I19" s="140"/>
      <c r="J19" s="2"/>
      <c r="K19" s="2"/>
    </row>
    <row r="20" spans="1:11" ht="31.5" customHeight="1" x14ac:dyDescent="0.3">
      <c r="A20" s="2"/>
      <c r="B20" s="190" t="s">
        <v>57</v>
      </c>
      <c r="C20" s="139"/>
      <c r="D20" s="182" t="s">
        <v>58</v>
      </c>
      <c r="E20" s="139"/>
      <c r="F20" s="139"/>
      <c r="G20" s="139"/>
      <c r="H20" s="139"/>
      <c r="I20" s="140"/>
      <c r="J20" s="2"/>
      <c r="K20" s="2"/>
    </row>
    <row r="21" spans="1:11" ht="31.5" customHeight="1" x14ac:dyDescent="0.3">
      <c r="A21" s="2"/>
      <c r="B21" s="190" t="s">
        <v>59</v>
      </c>
      <c r="C21" s="139"/>
      <c r="D21" s="182" t="s">
        <v>60</v>
      </c>
      <c r="E21" s="139"/>
      <c r="F21" s="139"/>
      <c r="G21" s="139"/>
      <c r="H21" s="139"/>
      <c r="I21" s="140"/>
      <c r="J21" s="2"/>
      <c r="K21" s="2"/>
    </row>
    <row r="22" spans="1:11" ht="31.5" customHeight="1" x14ac:dyDescent="0.3">
      <c r="A22" s="2"/>
      <c r="B22" s="190" t="s">
        <v>61</v>
      </c>
      <c r="C22" s="139"/>
      <c r="D22" s="201" t="s">
        <v>62</v>
      </c>
      <c r="E22" s="139"/>
      <c r="F22" s="139"/>
      <c r="G22" s="139"/>
      <c r="H22" s="139"/>
      <c r="I22" s="140"/>
      <c r="J22" s="2"/>
      <c r="K22" s="2"/>
    </row>
    <row r="23" spans="1:11" ht="31.5" customHeight="1" x14ac:dyDescent="0.3">
      <c r="A23" s="2"/>
      <c r="B23" s="190" t="s">
        <v>63</v>
      </c>
      <c r="C23" s="139"/>
      <c r="D23" s="182" t="s">
        <v>64</v>
      </c>
      <c r="E23" s="139"/>
      <c r="F23" s="139"/>
      <c r="G23" s="139"/>
      <c r="H23" s="139"/>
      <c r="I23" s="140"/>
      <c r="J23" s="2"/>
      <c r="K23" s="2"/>
    </row>
    <row r="24" spans="1:11" ht="31.5" customHeight="1" x14ac:dyDescent="0.3">
      <c r="A24" s="2"/>
      <c r="B24" s="190" t="s">
        <v>65</v>
      </c>
      <c r="C24" s="139"/>
      <c r="D24" s="182" t="s">
        <v>66</v>
      </c>
      <c r="E24" s="139"/>
      <c r="F24" s="139"/>
      <c r="G24" s="139"/>
      <c r="H24" s="139"/>
      <c r="I24" s="140"/>
      <c r="J24" s="2"/>
      <c r="K24" s="2"/>
    </row>
    <row r="25" spans="1:11" ht="18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.75" customHeight="1" x14ac:dyDescent="0.3">
      <c r="A26" s="2"/>
      <c r="B26" s="183" t="s">
        <v>67</v>
      </c>
      <c r="C26" s="150"/>
      <c r="D26" s="150"/>
      <c r="E26" s="150"/>
      <c r="F26" s="150"/>
      <c r="G26" s="150"/>
      <c r="H26" s="150"/>
      <c r="I26" s="150"/>
      <c r="J26" s="2"/>
      <c r="K26" s="2"/>
    </row>
    <row r="27" spans="1:11" ht="30" customHeight="1" x14ac:dyDescent="0.3">
      <c r="A27" s="2"/>
      <c r="B27" s="18" t="s">
        <v>68</v>
      </c>
      <c r="C27" s="179" t="s">
        <v>69</v>
      </c>
      <c r="D27" s="142"/>
      <c r="E27" s="179" t="s">
        <v>70</v>
      </c>
      <c r="F27" s="142"/>
      <c r="G27" s="179" t="s">
        <v>71</v>
      </c>
      <c r="H27" s="142"/>
      <c r="I27" s="142"/>
      <c r="J27" s="2"/>
      <c r="K27" s="2"/>
    </row>
    <row r="28" spans="1:11" ht="30" customHeight="1" x14ac:dyDescent="0.3">
      <c r="A28" s="2"/>
      <c r="B28" s="20" t="s">
        <v>72</v>
      </c>
      <c r="C28" s="184" t="s">
        <v>73</v>
      </c>
      <c r="D28" s="139"/>
      <c r="E28" s="181" t="s">
        <v>74</v>
      </c>
      <c r="F28" s="139"/>
      <c r="G28" s="182" t="s">
        <v>75</v>
      </c>
      <c r="H28" s="139"/>
      <c r="I28" s="140"/>
      <c r="J28" s="2"/>
      <c r="K28" s="2"/>
    </row>
    <row r="29" spans="1:11" ht="30" customHeight="1" x14ac:dyDescent="0.3">
      <c r="A29" s="2"/>
      <c r="B29" s="22" t="s">
        <v>72</v>
      </c>
      <c r="C29" s="191" t="s">
        <v>76</v>
      </c>
      <c r="D29" s="139"/>
      <c r="E29" s="181" t="s">
        <v>77</v>
      </c>
      <c r="F29" s="139"/>
      <c r="G29" s="182" t="s">
        <v>78</v>
      </c>
      <c r="H29" s="139"/>
      <c r="I29" s="140"/>
      <c r="J29" s="2"/>
      <c r="K29" s="2"/>
    </row>
    <row r="30" spans="1:11" ht="30" customHeight="1" x14ac:dyDescent="0.3">
      <c r="A30" s="2"/>
      <c r="B30" s="23" t="s">
        <v>72</v>
      </c>
      <c r="C30" s="188" t="s">
        <v>79</v>
      </c>
      <c r="D30" s="139"/>
      <c r="E30" s="181" t="s">
        <v>80</v>
      </c>
      <c r="F30" s="139"/>
      <c r="G30" s="182" t="s">
        <v>81</v>
      </c>
      <c r="H30" s="139"/>
      <c r="I30" s="140"/>
      <c r="J30" s="2"/>
      <c r="K30" s="2"/>
    </row>
    <row r="31" spans="1:11" ht="30" customHeight="1" x14ac:dyDescent="0.3">
      <c r="A31" s="2"/>
      <c r="B31" s="24" t="s">
        <v>72</v>
      </c>
      <c r="C31" s="192" t="s">
        <v>82</v>
      </c>
      <c r="D31" s="139"/>
      <c r="E31" s="181" t="s">
        <v>83</v>
      </c>
      <c r="F31" s="139"/>
      <c r="G31" s="182" t="s">
        <v>84</v>
      </c>
      <c r="H31" s="139"/>
      <c r="I31" s="140"/>
      <c r="J31" s="2"/>
      <c r="K31" s="2"/>
    </row>
    <row r="32" spans="1:11" ht="30" customHeight="1" x14ac:dyDescent="0.3">
      <c r="A32" s="2"/>
      <c r="B32" s="25" t="s">
        <v>72</v>
      </c>
      <c r="C32" s="207" t="s">
        <v>85</v>
      </c>
      <c r="D32" s="139"/>
      <c r="E32" s="181" t="s">
        <v>86</v>
      </c>
      <c r="F32" s="139"/>
      <c r="G32" s="182" t="s">
        <v>87</v>
      </c>
      <c r="H32" s="139"/>
      <c r="I32" s="140"/>
      <c r="J32" s="2"/>
      <c r="K32" s="2"/>
    </row>
    <row r="33" spans="1:11" ht="30" customHeight="1" x14ac:dyDescent="0.3">
      <c r="A33" s="2"/>
      <c r="B33" s="26" t="s">
        <v>72</v>
      </c>
      <c r="C33" s="203" t="s">
        <v>88</v>
      </c>
      <c r="D33" s="139"/>
      <c r="E33" s="181" t="s">
        <v>89</v>
      </c>
      <c r="F33" s="139"/>
      <c r="G33" s="182" t="s">
        <v>90</v>
      </c>
      <c r="H33" s="139"/>
      <c r="I33" s="140"/>
      <c r="J33" s="2"/>
      <c r="K33" s="2"/>
    </row>
    <row r="34" spans="1:11" ht="30" customHeight="1" x14ac:dyDescent="0.3">
      <c r="A34" s="2"/>
      <c r="B34" s="27" t="s">
        <v>72</v>
      </c>
      <c r="C34" s="188" t="s">
        <v>91</v>
      </c>
      <c r="D34" s="139"/>
      <c r="E34" s="181" t="s">
        <v>92</v>
      </c>
      <c r="F34" s="139"/>
      <c r="G34" s="182" t="s">
        <v>93</v>
      </c>
      <c r="H34" s="139"/>
      <c r="I34" s="140"/>
      <c r="J34" s="2"/>
      <c r="K34" s="2"/>
    </row>
    <row r="35" spans="1:11" ht="30" customHeight="1" x14ac:dyDescent="0.3">
      <c r="A35" s="2"/>
      <c r="B35" s="28" t="s">
        <v>72</v>
      </c>
      <c r="C35" s="204" t="s">
        <v>94</v>
      </c>
      <c r="D35" s="139"/>
      <c r="E35" s="181" t="s">
        <v>95</v>
      </c>
      <c r="F35" s="139"/>
      <c r="G35" s="182" t="s">
        <v>96</v>
      </c>
      <c r="H35" s="139"/>
      <c r="I35" s="140"/>
      <c r="J35" s="2"/>
      <c r="K35" s="2"/>
    </row>
    <row r="36" spans="1:11" ht="30" customHeight="1" x14ac:dyDescent="0.3">
      <c r="A36" s="2"/>
      <c r="B36" s="29" t="s">
        <v>72</v>
      </c>
      <c r="C36" s="192" t="s">
        <v>97</v>
      </c>
      <c r="D36" s="139"/>
      <c r="E36" s="181" t="s">
        <v>98</v>
      </c>
      <c r="F36" s="139"/>
      <c r="G36" s="182" t="s">
        <v>99</v>
      </c>
      <c r="H36" s="139"/>
      <c r="I36" s="140"/>
      <c r="J36" s="2"/>
      <c r="K36" s="2"/>
    </row>
    <row r="37" spans="1:11" ht="30" customHeight="1" x14ac:dyDescent="0.3">
      <c r="A37" s="2"/>
      <c r="B37" s="30" t="s">
        <v>72</v>
      </c>
      <c r="C37" s="195" t="s">
        <v>100</v>
      </c>
      <c r="D37" s="139"/>
      <c r="E37" s="181" t="s">
        <v>101</v>
      </c>
      <c r="F37" s="139"/>
      <c r="G37" s="182" t="s">
        <v>102</v>
      </c>
      <c r="H37" s="139"/>
      <c r="I37" s="140"/>
      <c r="J37" s="2"/>
      <c r="K37" s="2"/>
    </row>
    <row r="38" spans="1:11" ht="30" customHeight="1" x14ac:dyDescent="0.3">
      <c r="A38" s="2"/>
      <c r="B38" s="31" t="s">
        <v>72</v>
      </c>
      <c r="C38" s="203" t="s">
        <v>103</v>
      </c>
      <c r="D38" s="139"/>
      <c r="E38" s="181" t="s">
        <v>104</v>
      </c>
      <c r="F38" s="139"/>
      <c r="G38" s="182" t="s">
        <v>105</v>
      </c>
      <c r="H38" s="139"/>
      <c r="I38" s="140"/>
      <c r="J38" s="2"/>
      <c r="K38" s="2"/>
    </row>
    <row r="39" spans="1:11" ht="18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7.75" customHeight="1" x14ac:dyDescent="0.3">
      <c r="A40" s="2"/>
      <c r="B40" s="183" t="s">
        <v>106</v>
      </c>
      <c r="C40" s="150"/>
      <c r="D40" s="150"/>
      <c r="E40" s="150"/>
      <c r="F40" s="150"/>
      <c r="G40" s="150"/>
      <c r="H40" s="150"/>
      <c r="I40" s="150"/>
      <c r="J40" s="2"/>
      <c r="K40" s="2"/>
    </row>
    <row r="41" spans="1:11" ht="30" customHeight="1" x14ac:dyDescent="0.3">
      <c r="A41" s="2"/>
      <c r="B41" s="18" t="s">
        <v>68</v>
      </c>
      <c r="C41" s="18" t="s">
        <v>107</v>
      </c>
      <c r="D41" s="179" t="s">
        <v>108</v>
      </c>
      <c r="E41" s="142"/>
      <c r="F41" s="142"/>
      <c r="G41" s="179" t="s">
        <v>109</v>
      </c>
      <c r="H41" s="142"/>
      <c r="I41" s="142"/>
      <c r="J41" s="2"/>
      <c r="K41" s="2"/>
    </row>
    <row r="42" spans="1:11" ht="43.5" customHeight="1" x14ac:dyDescent="0.3">
      <c r="A42" s="2"/>
      <c r="B42" s="32" t="s">
        <v>72</v>
      </c>
      <c r="C42" s="17" t="str">
        <f>HYPERLINK("#PANO!A1","PANO")</f>
        <v>PANO</v>
      </c>
      <c r="D42" s="181" t="s">
        <v>110</v>
      </c>
      <c r="E42" s="139"/>
      <c r="F42" s="139"/>
      <c r="G42" s="189" t="s">
        <v>111</v>
      </c>
      <c r="H42" s="139"/>
      <c r="I42" s="140"/>
      <c r="J42" s="2"/>
      <c r="K42" s="2"/>
    </row>
    <row r="43" spans="1:11" ht="43.5" customHeight="1" x14ac:dyDescent="0.3">
      <c r="A43" s="2"/>
      <c r="B43" s="33" t="s">
        <v>72</v>
      </c>
      <c r="C43" s="17" t="str">
        <f>HYPERLINK("#BASLANGIC!A1","BASLANGIC")</f>
        <v>BASLANGIC</v>
      </c>
      <c r="D43" s="181" t="s">
        <v>112</v>
      </c>
      <c r="E43" s="139"/>
      <c r="F43" s="139"/>
      <c r="G43" s="189" t="s">
        <v>113</v>
      </c>
      <c r="H43" s="139"/>
      <c r="I43" s="140"/>
      <c r="J43" s="2"/>
      <c r="K43" s="2"/>
    </row>
    <row r="44" spans="1:11" ht="43.5" customHeight="1" x14ac:dyDescent="0.3">
      <c r="A44" s="2"/>
      <c r="B44" s="34" t="s">
        <v>72</v>
      </c>
      <c r="C44" s="17" t="str">
        <f>HYPERLINK("#MUSTERILER!A1","MUSTERILER")</f>
        <v>MUSTERILER</v>
      </c>
      <c r="D44" s="181" t="s">
        <v>114</v>
      </c>
      <c r="E44" s="139"/>
      <c r="F44" s="139"/>
      <c r="G44" s="189" t="s">
        <v>115</v>
      </c>
      <c r="H44" s="139"/>
      <c r="I44" s="140"/>
      <c r="J44" s="2"/>
      <c r="K44" s="2"/>
    </row>
    <row r="45" spans="1:11" ht="43.5" customHeight="1" x14ac:dyDescent="0.3">
      <c r="A45" s="2"/>
      <c r="B45" s="35" t="s">
        <v>72</v>
      </c>
      <c r="C45" s="17" t="str">
        <f>HYPERLINK("#UCRETLER!A1","UCRETLER")</f>
        <v>UCRETLER</v>
      </c>
      <c r="D45" s="181" t="s">
        <v>116</v>
      </c>
      <c r="E45" s="139"/>
      <c r="F45" s="139"/>
      <c r="G45" s="189" t="s">
        <v>117</v>
      </c>
      <c r="H45" s="139"/>
      <c r="I45" s="140"/>
      <c r="J45" s="2"/>
      <c r="K45" s="2"/>
    </row>
    <row r="46" spans="1:11" ht="43.5" customHeight="1" x14ac:dyDescent="0.3">
      <c r="A46" s="2"/>
      <c r="B46" s="36" t="s">
        <v>72</v>
      </c>
      <c r="C46" s="17" t="str">
        <f>HYPERLINK("#TAHSILAT!A1","TAHSILAT")</f>
        <v>TAHSILAT</v>
      </c>
      <c r="D46" s="181" t="s">
        <v>118</v>
      </c>
      <c r="E46" s="139"/>
      <c r="F46" s="139"/>
      <c r="G46" s="189" t="s">
        <v>119</v>
      </c>
      <c r="H46" s="139"/>
      <c r="I46" s="140"/>
      <c r="J46" s="2"/>
      <c r="K46" s="2"/>
    </row>
    <row r="47" spans="1:11" ht="43.5" customHeight="1" x14ac:dyDescent="0.3">
      <c r="A47" s="2"/>
      <c r="B47" s="37" t="s">
        <v>72</v>
      </c>
      <c r="C47" s="17" t="str">
        <f>HYPERLINK("#GELIR_GIDER!A1","GELIR_GIDER")</f>
        <v>GELIR_GIDER</v>
      </c>
      <c r="D47" s="181" t="s">
        <v>120</v>
      </c>
      <c r="E47" s="139"/>
      <c r="F47" s="139"/>
      <c r="G47" s="189" t="s">
        <v>121</v>
      </c>
      <c r="H47" s="139"/>
      <c r="I47" s="140"/>
      <c r="J47" s="2"/>
      <c r="K47" s="2"/>
    </row>
    <row r="48" spans="1:11" ht="43.5" customHeight="1" x14ac:dyDescent="0.3">
      <c r="A48" s="2"/>
      <c r="B48" s="38" t="s">
        <v>72</v>
      </c>
      <c r="C48" s="17" t="str">
        <f>HYPERLINK("#VIRMAN!A1","VIRMAN")</f>
        <v>VIRMAN</v>
      </c>
      <c r="D48" s="181" t="s">
        <v>122</v>
      </c>
      <c r="E48" s="139"/>
      <c r="F48" s="139"/>
      <c r="G48" s="189" t="s">
        <v>123</v>
      </c>
      <c r="H48" s="139"/>
      <c r="I48" s="140"/>
      <c r="J48" s="2"/>
      <c r="K48" s="2"/>
    </row>
    <row r="49" spans="1:11" ht="43.5" customHeight="1" x14ac:dyDescent="0.3">
      <c r="A49" s="2"/>
      <c r="B49" s="39" t="s">
        <v>72</v>
      </c>
      <c r="C49" s="17" t="str">
        <f>HYPERLINK("#ORTAK_EKSTRE!A1","ORTAK_EKSTRE")</f>
        <v>ORTAK_EKSTRE</v>
      </c>
      <c r="D49" s="180" t="s">
        <v>124</v>
      </c>
      <c r="E49" s="139"/>
      <c r="F49" s="139"/>
      <c r="G49" s="201" t="s">
        <v>125</v>
      </c>
      <c r="H49" s="139"/>
      <c r="I49" s="140"/>
      <c r="J49" s="2"/>
      <c r="K49" s="2"/>
    </row>
    <row r="50" spans="1:11" ht="43.5" customHeight="1" x14ac:dyDescent="0.3">
      <c r="A50" s="2"/>
      <c r="B50" s="40" t="s">
        <v>72</v>
      </c>
      <c r="C50" s="17" t="str">
        <f>HYPERLINK("#CARI_EKSTRE!A1","CARI_EKSTRE")</f>
        <v>CARI_EKSTRE</v>
      </c>
      <c r="D50" s="181" t="s">
        <v>126</v>
      </c>
      <c r="E50" s="139"/>
      <c r="F50" s="139"/>
      <c r="G50" s="189" t="s">
        <v>127</v>
      </c>
      <c r="H50" s="139"/>
      <c r="I50" s="140"/>
      <c r="J50" s="2"/>
      <c r="K50" s="2"/>
    </row>
    <row r="51" spans="1:11" ht="43.5" customHeight="1" x14ac:dyDescent="0.3">
      <c r="A51" s="2"/>
      <c r="B51" s="41" t="s">
        <v>72</v>
      </c>
      <c r="C51" s="17" t="str">
        <f>HYPERLINK("#MUSTERI_360!A1","MUSTERI_360")</f>
        <v>MUSTERI_360</v>
      </c>
      <c r="D51" s="181" t="s">
        <v>128</v>
      </c>
      <c r="E51" s="139"/>
      <c r="F51" s="139"/>
      <c r="G51" s="189" t="s">
        <v>129</v>
      </c>
      <c r="H51" s="139"/>
      <c r="I51" s="140"/>
      <c r="J51" s="2"/>
      <c r="K51" s="2"/>
    </row>
    <row r="52" spans="1:11" ht="43.5" customHeight="1" x14ac:dyDescent="0.3">
      <c r="A52" s="2"/>
      <c r="B52" s="42" t="s">
        <v>72</v>
      </c>
      <c r="C52" s="17" t="str">
        <f>HYPERLINK("#HESAPLAR!A1","HESAPLAR")</f>
        <v>HESAPLAR</v>
      </c>
      <c r="D52" s="181" t="s">
        <v>130</v>
      </c>
      <c r="E52" s="139"/>
      <c r="F52" s="139"/>
      <c r="G52" s="189" t="s">
        <v>131</v>
      </c>
      <c r="H52" s="139"/>
      <c r="I52" s="140"/>
      <c r="J52" s="2"/>
      <c r="K52" s="2"/>
    </row>
    <row r="53" spans="1:11" ht="43.5" customHeight="1" x14ac:dyDescent="0.3">
      <c r="A53" s="2"/>
      <c r="B53" s="43" t="s">
        <v>72</v>
      </c>
      <c r="C53" s="17" t="str">
        <f>HYPERLINK("#AY_SONU!A1","AY_SONU")</f>
        <v>AY_SONU</v>
      </c>
      <c r="D53" s="181" t="s">
        <v>132</v>
      </c>
      <c r="E53" s="139"/>
      <c r="F53" s="139"/>
      <c r="G53" s="189" t="s">
        <v>133</v>
      </c>
      <c r="H53" s="139"/>
      <c r="I53" s="140"/>
      <c r="J53" s="2"/>
      <c r="K53" s="2"/>
    </row>
    <row r="54" spans="1:11" ht="43.5" customHeight="1" x14ac:dyDescent="0.3">
      <c r="A54" s="2"/>
      <c r="B54" s="43" t="s">
        <v>72</v>
      </c>
      <c r="C54" s="17" t="str">
        <f>HYPERLINK("#ORTAKLAR!A1","ORTAKLAR")</f>
        <v>ORTAKLAR</v>
      </c>
      <c r="D54" s="181" t="s">
        <v>134</v>
      </c>
      <c r="E54" s="139"/>
      <c r="F54" s="139"/>
      <c r="G54" s="189" t="s">
        <v>135</v>
      </c>
      <c r="H54" s="139"/>
      <c r="I54" s="140"/>
      <c r="J54" s="2"/>
      <c r="K54" s="2"/>
    </row>
    <row r="55" spans="1:11" ht="43.5" customHeight="1" x14ac:dyDescent="0.3">
      <c r="A55" s="2"/>
      <c r="B55" s="44" t="s">
        <v>72</v>
      </c>
      <c r="C55" s="17" t="str">
        <f>HYPERLINK("#SISTEM!A1","SISTEM")</f>
        <v>SISTEM</v>
      </c>
      <c r="D55" s="181" t="s">
        <v>136</v>
      </c>
      <c r="E55" s="139"/>
      <c r="F55" s="139"/>
      <c r="G55" s="189" t="s">
        <v>137</v>
      </c>
      <c r="H55" s="139"/>
      <c r="I55" s="140"/>
      <c r="J55" s="2"/>
      <c r="K55" s="2"/>
    </row>
    <row r="56" spans="1:11" ht="18" customHeight="1" x14ac:dyDescent="0.3">
      <c r="A56" s="2"/>
      <c r="B56" s="74" t="s">
        <v>72</v>
      </c>
      <c r="C56" s="98" t="str">
        <f>HYPERLINK("#KAR!A1","KAR")</f>
        <v>KAR</v>
      </c>
      <c r="D56" s="74" t="s">
        <v>138</v>
      </c>
      <c r="E56" s="2"/>
      <c r="F56" s="2"/>
      <c r="G56" s="74" t="s">
        <v>139</v>
      </c>
      <c r="H56" s="2"/>
      <c r="I56" s="2"/>
      <c r="J56" s="2"/>
      <c r="K56" s="2"/>
    </row>
    <row r="57" spans="1:11" ht="27.75" customHeight="1" x14ac:dyDescent="0.3">
      <c r="A57" s="2"/>
      <c r="B57" s="183" t="s">
        <v>140</v>
      </c>
      <c r="C57" s="150"/>
      <c r="D57" s="150"/>
      <c r="E57" s="150"/>
      <c r="F57" s="150"/>
      <c r="G57" s="150"/>
      <c r="H57" s="150"/>
      <c r="I57" s="150"/>
      <c r="J57" s="2"/>
      <c r="K57" s="2"/>
    </row>
    <row r="58" spans="1:11" ht="30" customHeight="1" x14ac:dyDescent="0.3">
      <c r="A58" s="2"/>
      <c r="B58" s="18" t="s">
        <v>141</v>
      </c>
      <c r="C58" s="179" t="s">
        <v>142</v>
      </c>
      <c r="D58" s="142"/>
      <c r="E58" s="18" t="s">
        <v>143</v>
      </c>
      <c r="F58" s="179" t="s">
        <v>144</v>
      </c>
      <c r="G58" s="142"/>
      <c r="H58" s="179" t="s">
        <v>145</v>
      </c>
      <c r="I58" s="142"/>
      <c r="J58" s="2"/>
      <c r="K58" s="2"/>
    </row>
    <row r="59" spans="1:11" ht="42" customHeight="1" x14ac:dyDescent="0.3">
      <c r="A59" s="2"/>
      <c r="B59" s="20" t="s">
        <v>72</v>
      </c>
      <c r="C59" s="184" t="s">
        <v>146</v>
      </c>
      <c r="D59" s="139"/>
      <c r="E59" s="21" t="s">
        <v>147</v>
      </c>
      <c r="F59" s="181" t="s">
        <v>148</v>
      </c>
      <c r="G59" s="139"/>
      <c r="H59" s="201" t="s">
        <v>149</v>
      </c>
      <c r="I59" s="140"/>
      <c r="J59" s="2"/>
      <c r="K59" s="2"/>
    </row>
    <row r="60" spans="1:11" ht="42" customHeight="1" x14ac:dyDescent="0.3">
      <c r="A60" s="2"/>
      <c r="B60" s="24" t="s">
        <v>72</v>
      </c>
      <c r="C60" s="192" t="s">
        <v>150</v>
      </c>
      <c r="D60" s="139"/>
      <c r="E60" s="21" t="s">
        <v>151</v>
      </c>
      <c r="F60" s="181" t="s">
        <v>152</v>
      </c>
      <c r="G60" s="139"/>
      <c r="H60" s="182" t="s">
        <v>153</v>
      </c>
      <c r="I60" s="140"/>
      <c r="J60" s="2"/>
      <c r="K60" s="2"/>
    </row>
    <row r="61" spans="1:11" ht="42" customHeight="1" x14ac:dyDescent="0.3">
      <c r="A61" s="2"/>
      <c r="B61" s="45" t="s">
        <v>72</v>
      </c>
      <c r="C61" s="200" t="s">
        <v>154</v>
      </c>
      <c r="D61" s="139"/>
      <c r="E61" s="21" t="s">
        <v>155</v>
      </c>
      <c r="F61" s="181" t="s">
        <v>156</v>
      </c>
      <c r="G61" s="139"/>
      <c r="H61" s="201" t="s">
        <v>157</v>
      </c>
      <c r="I61" s="140"/>
      <c r="J61" s="2"/>
      <c r="K61" s="2"/>
    </row>
    <row r="62" spans="1:11" ht="18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7.75" customHeight="1" x14ac:dyDescent="0.3">
      <c r="A63" s="2"/>
      <c r="B63" s="183" t="s">
        <v>158</v>
      </c>
      <c r="C63" s="150"/>
      <c r="D63" s="150"/>
      <c r="E63" s="150"/>
      <c r="F63" s="150"/>
      <c r="G63" s="150"/>
      <c r="H63" s="150"/>
      <c r="I63" s="150"/>
      <c r="J63" s="2"/>
      <c r="K63" s="2"/>
    </row>
    <row r="64" spans="1:11" ht="30" customHeight="1" x14ac:dyDescent="0.3">
      <c r="A64" s="2"/>
      <c r="B64" s="18" t="s">
        <v>159</v>
      </c>
      <c r="C64" s="18" t="s">
        <v>160</v>
      </c>
      <c r="D64" s="18" t="s">
        <v>161</v>
      </c>
      <c r="E64" s="179" t="s">
        <v>162</v>
      </c>
      <c r="F64" s="142"/>
      <c r="G64" s="179" t="s">
        <v>163</v>
      </c>
      <c r="H64" s="142"/>
      <c r="I64" s="18" t="s">
        <v>164</v>
      </c>
      <c r="J64" s="2"/>
      <c r="K64" s="2"/>
    </row>
    <row r="65" spans="1:11" ht="30" customHeight="1" x14ac:dyDescent="0.3">
      <c r="A65" s="2"/>
      <c r="B65" s="46" t="s">
        <v>165</v>
      </c>
      <c r="C65" s="21" t="s">
        <v>166</v>
      </c>
      <c r="D65" s="17" t="str">
        <f>HYPERLINK("#MUSTERILER!A1","MUSTERILER")</f>
        <v>MUSTERILER</v>
      </c>
      <c r="E65" s="181" t="s">
        <v>167</v>
      </c>
      <c r="F65" s="139"/>
      <c r="G65" s="181" t="s">
        <v>168</v>
      </c>
      <c r="H65" s="139"/>
      <c r="I65" s="19" t="s">
        <v>169</v>
      </c>
      <c r="J65" s="2"/>
      <c r="K65" s="2"/>
    </row>
    <row r="66" spans="1:11" ht="30" customHeight="1" x14ac:dyDescent="0.3">
      <c r="A66" s="2"/>
      <c r="B66" s="46" t="s">
        <v>170</v>
      </c>
      <c r="C66" s="21" t="s">
        <v>171</v>
      </c>
      <c r="D66" s="17" t="str">
        <f>HYPERLINK("#UCRETLER!A1","UCRETLER")</f>
        <v>UCRETLER</v>
      </c>
      <c r="E66" s="181" t="s">
        <v>172</v>
      </c>
      <c r="F66" s="139"/>
      <c r="G66" s="181" t="s">
        <v>173</v>
      </c>
      <c r="H66" s="139"/>
      <c r="I66" s="19" t="s">
        <v>174</v>
      </c>
      <c r="J66" s="2"/>
      <c r="K66" s="2"/>
    </row>
    <row r="67" spans="1:11" ht="30" customHeight="1" x14ac:dyDescent="0.3">
      <c r="A67" s="2"/>
      <c r="B67" s="46" t="s">
        <v>175</v>
      </c>
      <c r="C67" s="21" t="s">
        <v>176</v>
      </c>
      <c r="D67" s="17" t="str">
        <f>HYPERLINK("#UCRETLER!A1","UCRETLER")</f>
        <v>UCRETLER</v>
      </c>
      <c r="E67" s="181" t="s">
        <v>177</v>
      </c>
      <c r="F67" s="139"/>
      <c r="G67" s="181" t="s">
        <v>178</v>
      </c>
      <c r="H67" s="139"/>
      <c r="I67" s="19" t="s">
        <v>179</v>
      </c>
      <c r="J67" s="2"/>
      <c r="K67" s="2"/>
    </row>
    <row r="68" spans="1:11" ht="30" customHeight="1" x14ac:dyDescent="0.3">
      <c r="A68" s="2"/>
      <c r="B68" s="46" t="s">
        <v>180</v>
      </c>
      <c r="C68" s="21" t="s">
        <v>181</v>
      </c>
      <c r="D68" s="17" t="str">
        <f>HYPERLINK("#TAHSILAT!A1","TAHSILAT")</f>
        <v>TAHSILAT</v>
      </c>
      <c r="E68" s="181" t="s">
        <v>182</v>
      </c>
      <c r="F68" s="139"/>
      <c r="G68" s="181" t="s">
        <v>183</v>
      </c>
      <c r="H68" s="139"/>
      <c r="I68" s="19" t="s">
        <v>169</v>
      </c>
      <c r="J68" s="2"/>
      <c r="K68" s="2"/>
    </row>
    <row r="69" spans="1:11" ht="30" customHeight="1" x14ac:dyDescent="0.3">
      <c r="A69" s="2"/>
      <c r="B69" s="46" t="s">
        <v>184</v>
      </c>
      <c r="C69" s="21" t="s">
        <v>185</v>
      </c>
      <c r="D69" s="17" t="str">
        <f>HYPERLINK("#GELIR_GIDER!A1","GELIR_GIDER")</f>
        <v>GELIR_GIDER</v>
      </c>
      <c r="E69" s="181" t="s">
        <v>186</v>
      </c>
      <c r="F69" s="139"/>
      <c r="G69" s="181" t="s">
        <v>187</v>
      </c>
      <c r="H69" s="139"/>
      <c r="I69" s="19" t="s">
        <v>188</v>
      </c>
      <c r="J69" s="2"/>
      <c r="K69" s="2"/>
    </row>
    <row r="70" spans="1:11" ht="30" customHeight="1" x14ac:dyDescent="0.3">
      <c r="A70" s="2"/>
      <c r="B70" s="46" t="s">
        <v>189</v>
      </c>
      <c r="C70" s="21" t="s">
        <v>190</v>
      </c>
      <c r="D70" s="17" t="str">
        <f>HYPERLINK("#VIRMAN!A1","VIRMAN")</f>
        <v>VIRMAN</v>
      </c>
      <c r="E70" s="181" t="s">
        <v>191</v>
      </c>
      <c r="F70" s="139"/>
      <c r="G70" s="181" t="s">
        <v>192</v>
      </c>
      <c r="H70" s="139"/>
      <c r="I70" s="19" t="s">
        <v>174</v>
      </c>
      <c r="J70" s="2"/>
      <c r="K70" s="2"/>
    </row>
    <row r="71" spans="1:11" ht="30" customHeight="1" x14ac:dyDescent="0.3">
      <c r="A71" s="2"/>
      <c r="B71" s="46" t="s">
        <v>193</v>
      </c>
      <c r="C71" s="74" t="s">
        <v>194</v>
      </c>
      <c r="D71" s="98" t="str">
        <f>HYPERLINK("#ORTAK_EKSTRE!A1","ORTAK_EKSTRE")</f>
        <v>ORTAK_EKSTRE</v>
      </c>
      <c r="E71" s="180" t="s">
        <v>195</v>
      </c>
      <c r="F71" s="139"/>
      <c r="G71" s="180" t="s">
        <v>196</v>
      </c>
      <c r="H71" s="139"/>
      <c r="I71" s="74" t="s">
        <v>197</v>
      </c>
      <c r="J71" s="2"/>
      <c r="K71" s="2"/>
    </row>
    <row r="72" spans="1:11" ht="30" customHeight="1" x14ac:dyDescent="0.3">
      <c r="A72" s="2"/>
      <c r="B72" s="46" t="s">
        <v>198</v>
      </c>
      <c r="C72" s="21" t="s">
        <v>199</v>
      </c>
      <c r="D72" s="17" t="str">
        <f>HYPERLINK("#MUSTERI_360!A1","MUSTERI_360")</f>
        <v>MUSTERI_360</v>
      </c>
      <c r="E72" s="181" t="s">
        <v>200</v>
      </c>
      <c r="F72" s="139"/>
      <c r="G72" s="181" t="s">
        <v>201</v>
      </c>
      <c r="H72" s="139"/>
      <c r="I72" s="19" t="s">
        <v>202</v>
      </c>
      <c r="J72" s="2"/>
      <c r="K72" s="2"/>
    </row>
    <row r="73" spans="1:11" ht="30" customHeight="1" x14ac:dyDescent="0.3">
      <c r="A73" s="2"/>
      <c r="B73" s="46" t="s">
        <v>203</v>
      </c>
      <c r="C73" s="21" t="s">
        <v>204</v>
      </c>
      <c r="D73" s="17" t="str">
        <f>HYPERLINK("#CARI_EKSTRE!A1","CARI_EKSTRE")</f>
        <v>CARI_EKSTRE</v>
      </c>
      <c r="E73" s="181" t="s">
        <v>205</v>
      </c>
      <c r="F73" s="139"/>
      <c r="G73" s="181" t="s">
        <v>206</v>
      </c>
      <c r="H73" s="139"/>
      <c r="I73" s="19" t="s">
        <v>207</v>
      </c>
      <c r="J73" s="2"/>
      <c r="K73" s="2"/>
    </row>
    <row r="74" spans="1:11" ht="30" customHeight="1" x14ac:dyDescent="0.3">
      <c r="A74" s="2"/>
      <c r="B74" s="46" t="s">
        <v>208</v>
      </c>
      <c r="C74" s="21" t="s">
        <v>209</v>
      </c>
      <c r="D74" s="17" t="str">
        <f>HYPERLINK("#AY_SONU!A1","AY_SONU")</f>
        <v>AY_SONU</v>
      </c>
      <c r="E74" s="181" t="s">
        <v>210</v>
      </c>
      <c r="F74" s="139"/>
      <c r="G74" s="181" t="s">
        <v>211</v>
      </c>
      <c r="H74" s="139"/>
      <c r="I74" s="19" t="s">
        <v>212</v>
      </c>
      <c r="J74" s="2"/>
      <c r="K74" s="2"/>
    </row>
    <row r="75" spans="1:11" ht="30" customHeight="1" x14ac:dyDescent="0.3">
      <c r="A75" s="2"/>
      <c r="B75" s="46" t="s">
        <v>213</v>
      </c>
      <c r="C75" s="21" t="s">
        <v>214</v>
      </c>
      <c r="D75" s="17" t="str">
        <f>HYPERLINK("#GELIR_GIDER!A1","GELIR_GIDER")</f>
        <v>GELIR_GIDER</v>
      </c>
      <c r="E75" s="181" t="s">
        <v>215</v>
      </c>
      <c r="F75" s="139"/>
      <c r="G75" s="181" t="s">
        <v>216</v>
      </c>
      <c r="H75" s="139"/>
      <c r="I75" s="19" t="s">
        <v>217</v>
      </c>
      <c r="J75" s="2"/>
      <c r="K75" s="2"/>
    </row>
    <row r="76" spans="1:11" ht="30" customHeight="1" x14ac:dyDescent="0.3">
      <c r="A76" s="2"/>
      <c r="B76" s="46" t="s">
        <v>218</v>
      </c>
      <c r="C76" s="21" t="s">
        <v>219</v>
      </c>
      <c r="D76" s="17" t="str">
        <f>HYPERLINK("#SISTEM!A1","SISTEM")</f>
        <v>SISTEM</v>
      </c>
      <c r="E76" s="181" t="s">
        <v>220</v>
      </c>
      <c r="F76" s="139"/>
      <c r="G76" s="180" t="s">
        <v>221</v>
      </c>
      <c r="H76" s="139"/>
      <c r="I76" s="19" t="s">
        <v>222</v>
      </c>
      <c r="J76" s="2"/>
      <c r="K76" s="2"/>
    </row>
    <row r="77" spans="1:11" ht="18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7.75" customHeight="1" x14ac:dyDescent="0.3">
      <c r="A78" s="2"/>
      <c r="B78" s="183" t="s">
        <v>223</v>
      </c>
      <c r="C78" s="150"/>
      <c r="D78" s="150"/>
      <c r="E78" s="150"/>
      <c r="F78" s="150"/>
      <c r="G78" s="150"/>
      <c r="H78" s="150"/>
      <c r="I78" s="150"/>
      <c r="J78" s="2"/>
      <c r="K78" s="2"/>
    </row>
    <row r="79" spans="1:11" ht="30" customHeight="1" x14ac:dyDescent="0.3">
      <c r="A79" s="2"/>
      <c r="B79" s="179" t="s">
        <v>224</v>
      </c>
      <c r="C79" s="142"/>
      <c r="D79" s="179" t="s">
        <v>225</v>
      </c>
      <c r="E79" s="142"/>
      <c r="F79" s="142"/>
      <c r="G79" s="179" t="s">
        <v>226</v>
      </c>
      <c r="H79" s="142"/>
      <c r="I79" s="142"/>
      <c r="J79" s="2"/>
      <c r="K79" s="2"/>
    </row>
    <row r="80" spans="1:11" ht="39.75" customHeight="1" x14ac:dyDescent="0.3">
      <c r="A80" s="2"/>
      <c r="B80" s="190" t="s">
        <v>227</v>
      </c>
      <c r="C80" s="139"/>
      <c r="D80" s="181" t="s">
        <v>228</v>
      </c>
      <c r="E80" s="139"/>
      <c r="F80" s="139"/>
      <c r="G80" s="182" t="s">
        <v>229</v>
      </c>
      <c r="H80" s="139"/>
      <c r="I80" s="140"/>
      <c r="J80" s="2"/>
      <c r="K80" s="2"/>
    </row>
    <row r="81" spans="1:11" ht="39.75" customHeight="1" x14ac:dyDescent="0.3">
      <c r="A81" s="2"/>
      <c r="B81" s="190" t="s">
        <v>230</v>
      </c>
      <c r="C81" s="139"/>
      <c r="D81" s="181" t="s">
        <v>231</v>
      </c>
      <c r="E81" s="139"/>
      <c r="F81" s="139"/>
      <c r="G81" s="182" t="s">
        <v>232</v>
      </c>
      <c r="H81" s="139"/>
      <c r="I81" s="140"/>
      <c r="J81" s="2"/>
      <c r="K81" s="2"/>
    </row>
    <row r="82" spans="1:11" ht="39.75" customHeight="1" x14ac:dyDescent="0.3">
      <c r="A82" s="2"/>
      <c r="B82" s="190" t="s">
        <v>233</v>
      </c>
      <c r="C82" s="139"/>
      <c r="D82" s="181" t="s">
        <v>234</v>
      </c>
      <c r="E82" s="139"/>
      <c r="F82" s="139"/>
      <c r="G82" s="182" t="s">
        <v>235</v>
      </c>
      <c r="H82" s="139"/>
      <c r="I82" s="140"/>
      <c r="J82" s="2"/>
      <c r="K82" s="2"/>
    </row>
    <row r="83" spans="1:11" ht="39.75" customHeight="1" x14ac:dyDescent="0.3">
      <c r="A83" s="2"/>
      <c r="B83" s="190" t="s">
        <v>236</v>
      </c>
      <c r="C83" s="139"/>
      <c r="D83" s="181" t="s">
        <v>237</v>
      </c>
      <c r="E83" s="139"/>
      <c r="F83" s="139"/>
      <c r="G83" s="182" t="s">
        <v>238</v>
      </c>
      <c r="H83" s="139"/>
      <c r="I83" s="140"/>
      <c r="J83" s="2"/>
      <c r="K83" s="2"/>
    </row>
    <row r="84" spans="1:11" ht="39.75" customHeight="1" x14ac:dyDescent="0.3">
      <c r="A84" s="2"/>
      <c r="B84" s="190" t="s">
        <v>239</v>
      </c>
      <c r="C84" s="139"/>
      <c r="D84" s="181" t="s">
        <v>240</v>
      </c>
      <c r="E84" s="139"/>
      <c r="F84" s="139"/>
      <c r="G84" s="182" t="s">
        <v>241</v>
      </c>
      <c r="H84" s="139"/>
      <c r="I84" s="140"/>
      <c r="J84" s="2"/>
      <c r="K84" s="2"/>
    </row>
    <row r="85" spans="1:11" ht="39.75" customHeight="1" x14ac:dyDescent="0.3">
      <c r="A85" s="2"/>
      <c r="B85" s="190" t="s">
        <v>242</v>
      </c>
      <c r="C85" s="139"/>
      <c r="D85" s="181" t="s">
        <v>243</v>
      </c>
      <c r="E85" s="139"/>
      <c r="F85" s="139"/>
      <c r="G85" s="182" t="s">
        <v>244</v>
      </c>
      <c r="H85" s="139"/>
      <c r="I85" s="140"/>
      <c r="J85" s="2"/>
      <c r="K85" s="2"/>
    </row>
    <row r="86" spans="1:11" ht="39.75" customHeight="1" x14ac:dyDescent="0.3">
      <c r="A86" s="2"/>
      <c r="B86" s="190" t="s">
        <v>245</v>
      </c>
      <c r="C86" s="139"/>
      <c r="D86" s="181" t="s">
        <v>246</v>
      </c>
      <c r="E86" s="139"/>
      <c r="F86" s="139"/>
      <c r="G86" s="182" t="s">
        <v>247</v>
      </c>
      <c r="H86" s="139"/>
      <c r="I86" s="140"/>
      <c r="J86" s="2"/>
      <c r="K86" s="2"/>
    </row>
    <row r="87" spans="1:11" ht="18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7.75" customHeight="1" x14ac:dyDescent="0.3">
      <c r="A88" s="2"/>
      <c r="B88" s="183" t="s">
        <v>248</v>
      </c>
      <c r="C88" s="150"/>
      <c r="D88" s="150"/>
      <c r="E88" s="150"/>
      <c r="F88" s="150"/>
      <c r="G88" s="150"/>
      <c r="H88" s="150"/>
      <c r="I88" s="150"/>
      <c r="J88" s="2"/>
      <c r="K88" s="2"/>
    </row>
    <row r="89" spans="1:11" ht="30" customHeight="1" x14ac:dyDescent="0.3">
      <c r="A89" s="2"/>
      <c r="B89" s="179" t="s">
        <v>249</v>
      </c>
      <c r="C89" s="142"/>
      <c r="D89" s="18" t="s">
        <v>161</v>
      </c>
      <c r="E89" s="179" t="s">
        <v>250</v>
      </c>
      <c r="F89" s="142"/>
      <c r="G89" s="142"/>
      <c r="H89" s="142"/>
      <c r="I89" s="18" t="s">
        <v>251</v>
      </c>
      <c r="J89" s="2"/>
      <c r="K89" s="2"/>
    </row>
    <row r="90" spans="1:11" ht="42" customHeight="1" x14ac:dyDescent="0.3">
      <c r="A90" s="2"/>
      <c r="B90" s="190" t="s">
        <v>252</v>
      </c>
      <c r="C90" s="139"/>
      <c r="D90" s="47" t="s">
        <v>253</v>
      </c>
      <c r="E90" s="181" t="s">
        <v>254</v>
      </c>
      <c r="F90" s="139"/>
      <c r="G90" s="139"/>
      <c r="H90" s="139"/>
      <c r="I90" s="48" t="s">
        <v>255</v>
      </c>
      <c r="J90" s="2"/>
      <c r="K90" s="2"/>
    </row>
    <row r="91" spans="1:11" ht="42" customHeight="1" x14ac:dyDescent="0.3">
      <c r="A91" s="2"/>
      <c r="B91" s="190" t="s">
        <v>256</v>
      </c>
      <c r="C91" s="139"/>
      <c r="D91" s="47" t="s">
        <v>257</v>
      </c>
      <c r="E91" s="181" t="s">
        <v>258</v>
      </c>
      <c r="F91" s="139"/>
      <c r="G91" s="139"/>
      <c r="H91" s="139"/>
      <c r="I91" s="48" t="s">
        <v>259</v>
      </c>
      <c r="J91" s="2"/>
      <c r="K91" s="2"/>
    </row>
    <row r="92" spans="1:11" ht="42" customHeight="1" x14ac:dyDescent="0.3">
      <c r="A92" s="2"/>
      <c r="B92" s="190" t="s">
        <v>260</v>
      </c>
      <c r="C92" s="139"/>
      <c r="D92" s="47" t="s">
        <v>257</v>
      </c>
      <c r="E92" s="181" t="s">
        <v>261</v>
      </c>
      <c r="F92" s="139"/>
      <c r="G92" s="139"/>
      <c r="H92" s="139"/>
      <c r="I92" s="48" t="s">
        <v>179</v>
      </c>
      <c r="J92" s="2"/>
      <c r="K92" s="2"/>
    </row>
    <row r="93" spans="1:11" ht="42" customHeight="1" x14ac:dyDescent="0.3">
      <c r="A93" s="2"/>
      <c r="B93" s="190" t="s">
        <v>262</v>
      </c>
      <c r="C93" s="139"/>
      <c r="D93" s="47" t="s">
        <v>263</v>
      </c>
      <c r="E93" s="181" t="s">
        <v>264</v>
      </c>
      <c r="F93" s="139"/>
      <c r="G93" s="139"/>
      <c r="H93" s="139"/>
      <c r="I93" s="48" t="s">
        <v>169</v>
      </c>
      <c r="J93" s="2"/>
      <c r="K93" s="2"/>
    </row>
    <row r="94" spans="1:11" ht="42" customHeight="1" x14ac:dyDescent="0.3">
      <c r="A94" s="2"/>
      <c r="B94" s="190" t="s">
        <v>265</v>
      </c>
      <c r="C94" s="139"/>
      <c r="D94" s="47" t="s">
        <v>263</v>
      </c>
      <c r="E94" s="181" t="s">
        <v>266</v>
      </c>
      <c r="F94" s="139"/>
      <c r="G94" s="139"/>
      <c r="H94" s="139"/>
      <c r="I94" s="48" t="s">
        <v>267</v>
      </c>
      <c r="J94" s="2"/>
      <c r="K94" s="2"/>
    </row>
    <row r="95" spans="1:11" ht="42" customHeight="1" x14ac:dyDescent="0.3">
      <c r="A95" s="2"/>
      <c r="B95" s="190" t="s">
        <v>268</v>
      </c>
      <c r="C95" s="139"/>
      <c r="D95" s="47" t="s">
        <v>263</v>
      </c>
      <c r="E95" s="181" t="s">
        <v>269</v>
      </c>
      <c r="F95" s="139"/>
      <c r="G95" s="139"/>
      <c r="H95" s="139"/>
      <c r="I95" s="48" t="s">
        <v>270</v>
      </c>
      <c r="J95" s="2"/>
      <c r="K95" s="2"/>
    </row>
    <row r="96" spans="1:11" ht="42" customHeight="1" x14ac:dyDescent="0.3">
      <c r="A96" s="2"/>
      <c r="B96" s="190" t="s">
        <v>271</v>
      </c>
      <c r="C96" s="139"/>
      <c r="D96" s="47" t="s">
        <v>263</v>
      </c>
      <c r="E96" s="181" t="s">
        <v>272</v>
      </c>
      <c r="F96" s="139"/>
      <c r="G96" s="139"/>
      <c r="H96" s="139"/>
      <c r="I96" s="48" t="s">
        <v>273</v>
      </c>
      <c r="J96" s="2"/>
      <c r="K96" s="2"/>
    </row>
    <row r="97" spans="1:11" ht="42" customHeight="1" x14ac:dyDescent="0.3">
      <c r="A97" s="2"/>
      <c r="B97" s="190" t="s">
        <v>274</v>
      </c>
      <c r="C97" s="139"/>
      <c r="D97" s="47" t="s">
        <v>275</v>
      </c>
      <c r="E97" s="181" t="s">
        <v>276</v>
      </c>
      <c r="F97" s="139"/>
      <c r="G97" s="139"/>
      <c r="H97" s="139"/>
      <c r="I97" s="48" t="s">
        <v>277</v>
      </c>
      <c r="J97" s="2"/>
      <c r="K97" s="2"/>
    </row>
    <row r="98" spans="1:11" ht="42" customHeight="1" x14ac:dyDescent="0.3">
      <c r="A98" s="2"/>
      <c r="B98" s="190" t="s">
        <v>278</v>
      </c>
      <c r="C98" s="139"/>
      <c r="D98" s="47" t="s">
        <v>275</v>
      </c>
      <c r="E98" s="181" t="s">
        <v>279</v>
      </c>
      <c r="F98" s="139"/>
      <c r="G98" s="139"/>
      <c r="H98" s="139"/>
      <c r="I98" s="48" t="s">
        <v>280</v>
      </c>
      <c r="J98" s="2"/>
      <c r="K98" s="2"/>
    </row>
    <row r="99" spans="1:11" ht="42" customHeight="1" x14ac:dyDescent="0.3">
      <c r="A99" s="2"/>
      <c r="B99" s="190" t="s">
        <v>281</v>
      </c>
      <c r="C99" s="139"/>
      <c r="D99" s="47" t="s">
        <v>282</v>
      </c>
      <c r="E99" s="181" t="s">
        <v>283</v>
      </c>
      <c r="F99" s="139"/>
      <c r="G99" s="139"/>
      <c r="H99" s="139"/>
      <c r="I99" s="48" t="s">
        <v>284</v>
      </c>
      <c r="J99" s="2"/>
      <c r="K99" s="2"/>
    </row>
    <row r="100" spans="1:11" ht="42" customHeight="1" x14ac:dyDescent="0.3">
      <c r="A100" s="2"/>
      <c r="B100" s="190" t="s">
        <v>285</v>
      </c>
      <c r="C100" s="139"/>
      <c r="D100" s="47" t="s">
        <v>275</v>
      </c>
      <c r="E100" s="181" t="s">
        <v>286</v>
      </c>
      <c r="F100" s="139"/>
      <c r="G100" s="139"/>
      <c r="H100" s="139"/>
      <c r="I100" s="48" t="s">
        <v>287</v>
      </c>
      <c r="J100" s="2"/>
      <c r="K100" s="2"/>
    </row>
    <row r="101" spans="1:11" ht="42" customHeight="1" x14ac:dyDescent="0.3">
      <c r="A101" s="2"/>
      <c r="B101" s="190" t="s">
        <v>288</v>
      </c>
      <c r="C101" s="139"/>
      <c r="D101" s="47" t="s">
        <v>275</v>
      </c>
      <c r="E101" s="181" t="s">
        <v>289</v>
      </c>
      <c r="F101" s="139"/>
      <c r="G101" s="139"/>
      <c r="H101" s="139"/>
      <c r="I101" s="48" t="s">
        <v>290</v>
      </c>
      <c r="J101" s="2"/>
      <c r="K101" s="2"/>
    </row>
    <row r="102" spans="1:11" ht="42" customHeight="1" x14ac:dyDescent="0.3">
      <c r="A102" s="2"/>
      <c r="B102" s="190" t="s">
        <v>291</v>
      </c>
      <c r="C102" s="139"/>
      <c r="D102" s="47" t="s">
        <v>292</v>
      </c>
      <c r="E102" s="181" t="s">
        <v>293</v>
      </c>
      <c r="F102" s="139"/>
      <c r="G102" s="139"/>
      <c r="H102" s="139"/>
      <c r="I102" s="48" t="s">
        <v>294</v>
      </c>
      <c r="J102" s="2"/>
      <c r="K102" s="2"/>
    </row>
    <row r="103" spans="1:11" ht="42" customHeight="1" x14ac:dyDescent="0.3">
      <c r="A103" s="2"/>
      <c r="B103" s="180" t="s">
        <v>295</v>
      </c>
      <c r="C103" s="139"/>
      <c r="D103" s="74" t="s">
        <v>296</v>
      </c>
      <c r="E103" s="180" t="s">
        <v>297</v>
      </c>
      <c r="F103" s="139"/>
      <c r="G103" s="139"/>
      <c r="H103" s="139"/>
      <c r="I103" s="74" t="s">
        <v>298</v>
      </c>
      <c r="J103" s="2"/>
      <c r="K103" s="2"/>
    </row>
    <row r="104" spans="1:11" ht="42" customHeight="1" x14ac:dyDescent="0.3">
      <c r="A104" s="2"/>
      <c r="B104" s="190" t="s">
        <v>299</v>
      </c>
      <c r="C104" s="139"/>
      <c r="D104" s="47" t="s">
        <v>300</v>
      </c>
      <c r="E104" s="181" t="s">
        <v>301</v>
      </c>
      <c r="F104" s="139"/>
      <c r="G104" s="139"/>
      <c r="H104" s="139"/>
      <c r="I104" s="48" t="s">
        <v>302</v>
      </c>
      <c r="J104" s="2"/>
      <c r="K104" s="2"/>
    </row>
    <row r="105" spans="1:11" ht="42" customHeight="1" x14ac:dyDescent="0.3">
      <c r="A105" s="2"/>
      <c r="B105" s="190" t="s">
        <v>303</v>
      </c>
      <c r="C105" s="139"/>
      <c r="D105" s="47" t="s">
        <v>304</v>
      </c>
      <c r="E105" s="181" t="s">
        <v>305</v>
      </c>
      <c r="F105" s="139"/>
      <c r="G105" s="139"/>
      <c r="H105" s="139"/>
      <c r="I105" s="48" t="s">
        <v>306</v>
      </c>
      <c r="J105" s="2"/>
      <c r="K105" s="2"/>
    </row>
    <row r="106" spans="1:11" ht="42" customHeight="1" x14ac:dyDescent="0.3">
      <c r="A106" s="2"/>
      <c r="B106" s="190" t="s">
        <v>307</v>
      </c>
      <c r="C106" s="139"/>
      <c r="D106" s="47" t="s">
        <v>275</v>
      </c>
      <c r="E106" s="181" t="s">
        <v>308</v>
      </c>
      <c r="F106" s="139"/>
      <c r="G106" s="139"/>
      <c r="H106" s="139"/>
      <c r="I106" s="48" t="s">
        <v>309</v>
      </c>
      <c r="J106" s="2"/>
      <c r="K106" s="2"/>
    </row>
    <row r="107" spans="1:11" ht="42" customHeight="1" x14ac:dyDescent="0.3">
      <c r="A107" s="2"/>
      <c r="B107" s="190" t="s">
        <v>310</v>
      </c>
      <c r="C107" s="139"/>
      <c r="D107" s="47" t="s">
        <v>311</v>
      </c>
      <c r="E107" s="181" t="s">
        <v>312</v>
      </c>
      <c r="F107" s="139"/>
      <c r="G107" s="139"/>
      <c r="H107" s="139"/>
      <c r="I107" s="48" t="s">
        <v>313</v>
      </c>
      <c r="J107" s="2"/>
      <c r="K107" s="2"/>
    </row>
    <row r="108" spans="1:11" ht="42" customHeight="1" x14ac:dyDescent="0.3">
      <c r="A108" s="2"/>
      <c r="B108" s="190" t="s">
        <v>314</v>
      </c>
      <c r="C108" s="139"/>
      <c r="D108" s="47" t="s">
        <v>315</v>
      </c>
      <c r="E108" s="181" t="s">
        <v>316</v>
      </c>
      <c r="F108" s="139"/>
      <c r="G108" s="139"/>
      <c r="H108" s="139"/>
      <c r="I108" s="48" t="s">
        <v>317</v>
      </c>
      <c r="J108" s="2"/>
      <c r="K108" s="2"/>
    </row>
    <row r="109" spans="1:11" ht="42" customHeight="1" x14ac:dyDescent="0.3">
      <c r="A109" s="2"/>
      <c r="B109" s="190" t="s">
        <v>318</v>
      </c>
      <c r="C109" s="139"/>
      <c r="D109" s="47" t="s">
        <v>319</v>
      </c>
      <c r="E109" s="181" t="s">
        <v>320</v>
      </c>
      <c r="F109" s="139"/>
      <c r="G109" s="139"/>
      <c r="H109" s="139"/>
      <c r="I109" s="48" t="s">
        <v>321</v>
      </c>
      <c r="J109" s="2"/>
      <c r="K109" s="2"/>
    </row>
    <row r="110" spans="1:11" ht="42" customHeight="1" x14ac:dyDescent="0.3">
      <c r="A110" s="2"/>
      <c r="B110" s="190" t="s">
        <v>322</v>
      </c>
      <c r="C110" s="139"/>
      <c r="D110" s="47" t="s">
        <v>323</v>
      </c>
      <c r="E110" s="181" t="s">
        <v>324</v>
      </c>
      <c r="F110" s="139"/>
      <c r="G110" s="139"/>
      <c r="H110" s="139"/>
      <c r="I110" s="48" t="s">
        <v>325</v>
      </c>
      <c r="J110" s="2"/>
      <c r="K110" s="2"/>
    </row>
    <row r="111" spans="1:11" ht="42" customHeight="1" x14ac:dyDescent="0.3">
      <c r="A111" s="2"/>
      <c r="B111" s="190" t="s">
        <v>326</v>
      </c>
      <c r="C111" s="139"/>
      <c r="D111" s="47" t="s">
        <v>327</v>
      </c>
      <c r="E111" s="181" t="s">
        <v>328</v>
      </c>
      <c r="F111" s="139"/>
      <c r="G111" s="139"/>
      <c r="H111" s="139"/>
      <c r="I111" s="48" t="s">
        <v>329</v>
      </c>
      <c r="J111" s="2"/>
      <c r="K111" s="2"/>
    </row>
    <row r="112" spans="1:11" ht="42" customHeight="1" x14ac:dyDescent="0.3">
      <c r="A112" s="2"/>
      <c r="B112" s="190" t="s">
        <v>330</v>
      </c>
      <c r="C112" s="139"/>
      <c r="D112" s="47" t="s">
        <v>319</v>
      </c>
      <c r="E112" s="181" t="s">
        <v>331</v>
      </c>
      <c r="F112" s="139"/>
      <c r="G112" s="139"/>
      <c r="H112" s="139"/>
      <c r="I112" s="48" t="s">
        <v>332</v>
      </c>
      <c r="J112" s="2"/>
      <c r="K112" s="2"/>
    </row>
    <row r="113" spans="1:11" ht="42" customHeight="1" x14ac:dyDescent="0.3">
      <c r="A113" s="2"/>
      <c r="B113" s="190" t="s">
        <v>333</v>
      </c>
      <c r="C113" s="139"/>
      <c r="D113" s="47" t="s">
        <v>319</v>
      </c>
      <c r="E113" s="181" t="s">
        <v>334</v>
      </c>
      <c r="F113" s="139"/>
      <c r="G113" s="139"/>
      <c r="H113" s="139"/>
      <c r="I113" s="48" t="s">
        <v>335</v>
      </c>
      <c r="J113" s="2"/>
      <c r="K113" s="2"/>
    </row>
    <row r="114" spans="1:11" ht="18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7.75" customHeight="1" x14ac:dyDescent="0.3">
      <c r="A115" s="2"/>
      <c r="B115" s="183" t="s">
        <v>336</v>
      </c>
      <c r="C115" s="150"/>
      <c r="D115" s="150"/>
      <c r="E115" s="150"/>
      <c r="F115" s="150"/>
      <c r="G115" s="150"/>
      <c r="H115" s="150"/>
      <c r="I115" s="150"/>
      <c r="J115" s="2"/>
      <c r="K115" s="2"/>
    </row>
    <row r="116" spans="1:11" ht="30" customHeight="1" x14ac:dyDescent="0.3">
      <c r="A116" s="2"/>
      <c r="B116" s="179" t="s">
        <v>337</v>
      </c>
      <c r="C116" s="142"/>
      <c r="D116" s="179" t="s">
        <v>338</v>
      </c>
      <c r="E116" s="142"/>
      <c r="F116" s="179" t="s">
        <v>144</v>
      </c>
      <c r="G116" s="142"/>
      <c r="H116" s="179" t="s">
        <v>339</v>
      </c>
      <c r="I116" s="142"/>
      <c r="J116" s="2"/>
      <c r="K116" s="2"/>
    </row>
    <row r="117" spans="1:11" ht="30" customHeight="1" x14ac:dyDescent="0.3">
      <c r="A117" s="2"/>
      <c r="B117" s="206" t="s">
        <v>340</v>
      </c>
      <c r="C117" s="139"/>
      <c r="D117" s="181" t="s">
        <v>341</v>
      </c>
      <c r="E117" s="139"/>
      <c r="F117" s="181" t="s">
        <v>342</v>
      </c>
      <c r="G117" s="139"/>
      <c r="H117" s="182" t="s">
        <v>343</v>
      </c>
      <c r="I117" s="140"/>
      <c r="J117" s="2"/>
      <c r="K117" s="2"/>
    </row>
    <row r="118" spans="1:11" ht="30" customHeight="1" x14ac:dyDescent="0.3">
      <c r="A118" s="2"/>
      <c r="B118" s="198" t="s">
        <v>344</v>
      </c>
      <c r="C118" s="139"/>
      <c r="D118" s="181" t="s">
        <v>341</v>
      </c>
      <c r="E118" s="139"/>
      <c r="F118" s="181" t="s">
        <v>345</v>
      </c>
      <c r="G118" s="139"/>
      <c r="H118" s="182" t="s">
        <v>346</v>
      </c>
      <c r="I118" s="140"/>
      <c r="J118" s="2"/>
      <c r="K118" s="2"/>
    </row>
    <row r="119" spans="1:11" ht="30" customHeight="1" x14ac:dyDescent="0.3">
      <c r="A119" s="2"/>
      <c r="B119" s="186" t="s">
        <v>347</v>
      </c>
      <c r="C119" s="139"/>
      <c r="D119" s="181" t="s">
        <v>348</v>
      </c>
      <c r="E119" s="139"/>
      <c r="F119" s="181" t="s">
        <v>349</v>
      </c>
      <c r="G119" s="139"/>
      <c r="H119" s="182" t="s">
        <v>350</v>
      </c>
      <c r="I119" s="140"/>
      <c r="J119" s="2"/>
      <c r="K119" s="2"/>
    </row>
    <row r="120" spans="1:11" ht="30" customHeight="1" x14ac:dyDescent="0.3">
      <c r="A120" s="2"/>
      <c r="B120" s="186" t="s">
        <v>351</v>
      </c>
      <c r="C120" s="139"/>
      <c r="D120" s="181" t="s">
        <v>352</v>
      </c>
      <c r="E120" s="139"/>
      <c r="F120" s="181" t="s">
        <v>353</v>
      </c>
      <c r="G120" s="139"/>
      <c r="H120" s="182" t="s">
        <v>354</v>
      </c>
      <c r="I120" s="140"/>
      <c r="J120" s="2"/>
      <c r="K120" s="2"/>
    </row>
    <row r="121" spans="1:11" ht="30" customHeight="1" x14ac:dyDescent="0.3">
      <c r="A121" s="2"/>
      <c r="B121" s="186" t="s">
        <v>355</v>
      </c>
      <c r="C121" s="139"/>
      <c r="D121" s="181" t="s">
        <v>356</v>
      </c>
      <c r="E121" s="139"/>
      <c r="F121" s="181" t="s">
        <v>357</v>
      </c>
      <c r="G121" s="139"/>
      <c r="H121" s="182" t="s">
        <v>358</v>
      </c>
      <c r="I121" s="140"/>
      <c r="J121" s="2"/>
      <c r="K121" s="2"/>
    </row>
    <row r="122" spans="1:11" ht="30" customHeight="1" x14ac:dyDescent="0.3">
      <c r="A122" s="2"/>
      <c r="B122" s="198" t="s">
        <v>359</v>
      </c>
      <c r="C122" s="139"/>
      <c r="D122" s="181" t="s">
        <v>356</v>
      </c>
      <c r="E122" s="139"/>
      <c r="F122" s="181" t="s">
        <v>360</v>
      </c>
      <c r="G122" s="139"/>
      <c r="H122" s="182" t="s">
        <v>361</v>
      </c>
      <c r="I122" s="140"/>
      <c r="J122" s="2"/>
      <c r="K122" s="2"/>
    </row>
    <row r="123" spans="1:11" ht="30" customHeight="1" x14ac:dyDescent="0.3">
      <c r="A123" s="2"/>
      <c r="B123" s="186" t="s">
        <v>362</v>
      </c>
      <c r="C123" s="139"/>
      <c r="D123" s="181" t="s">
        <v>356</v>
      </c>
      <c r="E123" s="139"/>
      <c r="F123" s="181" t="s">
        <v>363</v>
      </c>
      <c r="G123" s="139"/>
      <c r="H123" s="182" t="s">
        <v>364</v>
      </c>
      <c r="I123" s="140"/>
      <c r="J123" s="2"/>
      <c r="K123" s="2"/>
    </row>
    <row r="124" spans="1:11" ht="30" customHeight="1" x14ac:dyDescent="0.3">
      <c r="A124" s="2"/>
      <c r="B124" s="199" t="s">
        <v>365</v>
      </c>
      <c r="C124" s="139"/>
      <c r="D124" s="181" t="s">
        <v>366</v>
      </c>
      <c r="E124" s="139"/>
      <c r="F124" s="181" t="s">
        <v>367</v>
      </c>
      <c r="G124" s="139"/>
      <c r="H124" s="182" t="s">
        <v>368</v>
      </c>
      <c r="I124" s="140"/>
      <c r="J124" s="2"/>
      <c r="K124" s="2"/>
    </row>
    <row r="125" spans="1:11" ht="30" customHeight="1" x14ac:dyDescent="0.3">
      <c r="A125" s="2"/>
      <c r="B125" s="198" t="s">
        <v>369</v>
      </c>
      <c r="C125" s="139"/>
      <c r="D125" s="181" t="s">
        <v>366</v>
      </c>
      <c r="E125" s="139"/>
      <c r="F125" s="181" t="s">
        <v>370</v>
      </c>
      <c r="G125" s="139"/>
      <c r="H125" s="182" t="s">
        <v>371</v>
      </c>
      <c r="I125" s="140"/>
      <c r="J125" s="2"/>
      <c r="K125" s="2"/>
    </row>
    <row r="126" spans="1:11" ht="30" customHeight="1" x14ac:dyDescent="0.3">
      <c r="A126" s="2"/>
      <c r="B126" s="186" t="s">
        <v>372</v>
      </c>
      <c r="C126" s="139"/>
      <c r="D126" s="181" t="s">
        <v>366</v>
      </c>
      <c r="E126" s="139"/>
      <c r="F126" s="181" t="s">
        <v>373</v>
      </c>
      <c r="G126" s="139"/>
      <c r="H126" s="182" t="s">
        <v>374</v>
      </c>
      <c r="I126" s="140"/>
      <c r="J126" s="2"/>
      <c r="K126" s="2"/>
    </row>
    <row r="127" spans="1:11" ht="30" customHeight="1" x14ac:dyDescent="0.3">
      <c r="A127" s="2"/>
      <c r="B127" s="186" t="s">
        <v>375</v>
      </c>
      <c r="C127" s="139"/>
      <c r="D127" s="181" t="s">
        <v>366</v>
      </c>
      <c r="E127" s="139"/>
      <c r="F127" s="181" t="s">
        <v>376</v>
      </c>
      <c r="G127" s="139"/>
      <c r="H127" s="182" t="s">
        <v>377</v>
      </c>
      <c r="I127" s="140"/>
      <c r="J127" s="2"/>
      <c r="K127" s="2"/>
    </row>
    <row r="128" spans="1:11" ht="30" customHeight="1" x14ac:dyDescent="0.3">
      <c r="A128" s="2"/>
      <c r="B128" s="198" t="s">
        <v>378</v>
      </c>
      <c r="C128" s="139"/>
      <c r="D128" s="181" t="s">
        <v>379</v>
      </c>
      <c r="E128" s="139"/>
      <c r="F128" s="181" t="s">
        <v>380</v>
      </c>
      <c r="G128" s="139"/>
      <c r="H128" s="182" t="s">
        <v>381</v>
      </c>
      <c r="I128" s="140"/>
      <c r="J128" s="2"/>
      <c r="K128" s="2"/>
    </row>
    <row r="129" spans="1:11" ht="30" customHeight="1" x14ac:dyDescent="0.3">
      <c r="A129" s="2"/>
      <c r="B129" s="186" t="s">
        <v>382</v>
      </c>
      <c r="C129" s="139"/>
      <c r="D129" s="181" t="s">
        <v>383</v>
      </c>
      <c r="E129" s="139"/>
      <c r="F129" s="181" t="s">
        <v>384</v>
      </c>
      <c r="G129" s="139"/>
      <c r="H129" s="182" t="s">
        <v>385</v>
      </c>
      <c r="I129" s="140"/>
      <c r="J129" s="2"/>
      <c r="K129" s="2"/>
    </row>
    <row r="130" spans="1:11" ht="30" customHeight="1" x14ac:dyDescent="0.3">
      <c r="A130" s="2"/>
      <c r="B130" s="205" t="s">
        <v>386</v>
      </c>
      <c r="C130" s="139"/>
      <c r="D130" s="181" t="s">
        <v>379</v>
      </c>
      <c r="E130" s="139"/>
      <c r="F130" s="181" t="s">
        <v>387</v>
      </c>
      <c r="G130" s="139"/>
      <c r="H130" s="182" t="s">
        <v>388</v>
      </c>
      <c r="I130" s="140"/>
      <c r="J130" s="2"/>
      <c r="K130" s="2"/>
    </row>
    <row r="131" spans="1:11" ht="30" customHeight="1" x14ac:dyDescent="0.3">
      <c r="A131" s="2"/>
      <c r="B131" s="186" t="s">
        <v>389</v>
      </c>
      <c r="C131" s="139"/>
      <c r="D131" s="181" t="s">
        <v>390</v>
      </c>
      <c r="E131" s="139"/>
      <c r="F131" s="181" t="s">
        <v>391</v>
      </c>
      <c r="G131" s="139"/>
      <c r="H131" s="182" t="s">
        <v>392</v>
      </c>
      <c r="I131" s="140"/>
      <c r="J131" s="2"/>
      <c r="K131" s="2"/>
    </row>
    <row r="132" spans="1:11" ht="30" customHeight="1" x14ac:dyDescent="0.3">
      <c r="A132" s="2"/>
      <c r="B132" s="186" t="s">
        <v>393</v>
      </c>
      <c r="C132" s="139"/>
      <c r="D132" s="181" t="s">
        <v>390</v>
      </c>
      <c r="E132" s="139"/>
      <c r="F132" s="181" t="s">
        <v>394</v>
      </c>
      <c r="G132" s="139"/>
      <c r="H132" s="182" t="s">
        <v>395</v>
      </c>
      <c r="I132" s="140"/>
      <c r="J132" s="2"/>
      <c r="K132" s="2"/>
    </row>
    <row r="133" spans="1:11" ht="30" customHeight="1" x14ac:dyDescent="0.3">
      <c r="A133" s="2"/>
      <c r="B133" s="206" t="s">
        <v>396</v>
      </c>
      <c r="C133" s="139"/>
      <c r="D133" s="181" t="s">
        <v>397</v>
      </c>
      <c r="E133" s="139"/>
      <c r="F133" s="181" t="s">
        <v>398</v>
      </c>
      <c r="G133" s="139"/>
      <c r="H133" s="182" t="s">
        <v>399</v>
      </c>
      <c r="I133" s="140"/>
      <c r="J133" s="2"/>
      <c r="K133" s="2"/>
    </row>
    <row r="134" spans="1:11" ht="30" customHeight="1" x14ac:dyDescent="0.3">
      <c r="A134" s="2"/>
      <c r="B134" s="199" t="s">
        <v>400</v>
      </c>
      <c r="C134" s="139"/>
      <c r="D134" s="181" t="s">
        <v>401</v>
      </c>
      <c r="E134" s="139"/>
      <c r="F134" s="181" t="s">
        <v>402</v>
      </c>
      <c r="G134" s="139"/>
      <c r="H134" s="182" t="s">
        <v>403</v>
      </c>
      <c r="I134" s="140"/>
      <c r="J134" s="2"/>
      <c r="K134" s="2"/>
    </row>
    <row r="135" spans="1:11" ht="30" customHeight="1" x14ac:dyDescent="0.3">
      <c r="A135" s="2"/>
      <c r="B135" s="186" t="s">
        <v>404</v>
      </c>
      <c r="C135" s="139"/>
      <c r="D135" s="181" t="s">
        <v>401</v>
      </c>
      <c r="E135" s="139"/>
      <c r="F135" s="181" t="s">
        <v>405</v>
      </c>
      <c r="G135" s="139"/>
      <c r="H135" s="182" t="s">
        <v>406</v>
      </c>
      <c r="I135" s="140"/>
      <c r="J135" s="2"/>
      <c r="K135" s="2"/>
    </row>
    <row r="136" spans="1:11" ht="30" customHeight="1" x14ac:dyDescent="0.3">
      <c r="A136" s="2"/>
      <c r="B136" s="186" t="s">
        <v>407</v>
      </c>
      <c r="C136" s="139"/>
      <c r="D136" s="181" t="s">
        <v>408</v>
      </c>
      <c r="E136" s="139"/>
      <c r="F136" s="181" t="s">
        <v>409</v>
      </c>
      <c r="G136" s="139"/>
      <c r="H136" s="182" t="s">
        <v>410</v>
      </c>
      <c r="I136" s="140"/>
      <c r="J136" s="2"/>
      <c r="K136" s="2"/>
    </row>
    <row r="137" spans="1:11" ht="30" customHeight="1" x14ac:dyDescent="0.3">
      <c r="A137" s="2"/>
      <c r="B137" s="186" t="s">
        <v>411</v>
      </c>
      <c r="C137" s="139"/>
      <c r="D137" s="181" t="s">
        <v>412</v>
      </c>
      <c r="E137" s="139"/>
      <c r="F137" s="181" t="s">
        <v>413</v>
      </c>
      <c r="G137" s="139"/>
      <c r="H137" s="182" t="s">
        <v>414</v>
      </c>
      <c r="I137" s="140"/>
      <c r="J137" s="2"/>
      <c r="K137" s="2"/>
    </row>
    <row r="138" spans="1:11" ht="30" customHeight="1" x14ac:dyDescent="0.3">
      <c r="A138" s="2"/>
      <c r="B138" s="198" t="s">
        <v>415</v>
      </c>
      <c r="C138" s="139"/>
      <c r="D138" s="181" t="s">
        <v>412</v>
      </c>
      <c r="E138" s="139"/>
      <c r="F138" s="181" t="s">
        <v>416</v>
      </c>
      <c r="G138" s="139"/>
      <c r="H138" s="182" t="s">
        <v>417</v>
      </c>
      <c r="I138" s="140"/>
      <c r="J138" s="2"/>
      <c r="K138" s="2"/>
    </row>
    <row r="139" spans="1:11" ht="30" customHeight="1" x14ac:dyDescent="0.3">
      <c r="A139" s="2"/>
      <c r="B139" s="186" t="s">
        <v>418</v>
      </c>
      <c r="C139" s="139"/>
      <c r="D139" s="181" t="s">
        <v>419</v>
      </c>
      <c r="E139" s="139"/>
      <c r="F139" s="181" t="s">
        <v>420</v>
      </c>
      <c r="G139" s="139"/>
      <c r="H139" s="182" t="s">
        <v>421</v>
      </c>
      <c r="I139" s="140"/>
      <c r="J139" s="2"/>
      <c r="K139" s="2"/>
    </row>
    <row r="140" spans="1:11" ht="30" customHeight="1" x14ac:dyDescent="0.3">
      <c r="A140" s="2"/>
      <c r="B140" s="198" t="s">
        <v>422</v>
      </c>
      <c r="C140" s="139"/>
      <c r="D140" s="181" t="s">
        <v>419</v>
      </c>
      <c r="E140" s="139"/>
      <c r="F140" s="181" t="s">
        <v>423</v>
      </c>
      <c r="G140" s="139"/>
      <c r="H140" s="182" t="s">
        <v>424</v>
      </c>
      <c r="I140" s="140"/>
      <c r="J140" s="2"/>
      <c r="K140" s="2"/>
    </row>
    <row r="141" spans="1:11" ht="18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7.75" customHeight="1" x14ac:dyDescent="0.3">
      <c r="A142" s="2"/>
      <c r="B142" s="183" t="s">
        <v>425</v>
      </c>
      <c r="C142" s="150"/>
      <c r="D142" s="150"/>
      <c r="E142" s="150"/>
      <c r="F142" s="150"/>
      <c r="G142" s="150"/>
      <c r="H142" s="150"/>
      <c r="I142" s="150"/>
      <c r="J142" s="2"/>
      <c r="K142" s="2"/>
    </row>
    <row r="143" spans="1:11" ht="30" customHeight="1" x14ac:dyDescent="0.3">
      <c r="A143" s="2"/>
      <c r="B143" s="179" t="s">
        <v>426</v>
      </c>
      <c r="C143" s="142"/>
      <c r="D143" s="179" t="s">
        <v>427</v>
      </c>
      <c r="E143" s="142"/>
      <c r="F143" s="142"/>
      <c r="G143" s="179" t="s">
        <v>163</v>
      </c>
      <c r="H143" s="142"/>
      <c r="I143" s="142"/>
      <c r="J143" s="2"/>
      <c r="K143" s="2"/>
    </row>
    <row r="144" spans="1:11" ht="31.5" customHeight="1" x14ac:dyDescent="0.3">
      <c r="A144" s="2"/>
      <c r="B144" s="186" t="s">
        <v>428</v>
      </c>
      <c r="C144" s="139"/>
      <c r="D144" s="181" t="s">
        <v>429</v>
      </c>
      <c r="E144" s="139"/>
      <c r="F144" s="139"/>
      <c r="G144" s="193" t="s">
        <v>430</v>
      </c>
      <c r="H144" s="139"/>
      <c r="I144" s="140"/>
      <c r="J144" s="2"/>
      <c r="K144" s="2"/>
    </row>
    <row r="145" spans="1:11" ht="31.5" customHeight="1" x14ac:dyDescent="0.3">
      <c r="A145" s="2"/>
      <c r="B145" s="186" t="s">
        <v>431</v>
      </c>
      <c r="C145" s="139"/>
      <c r="D145" s="181" t="s">
        <v>432</v>
      </c>
      <c r="E145" s="139"/>
      <c r="F145" s="139"/>
      <c r="G145" s="189" t="s">
        <v>433</v>
      </c>
      <c r="H145" s="139"/>
      <c r="I145" s="140"/>
      <c r="J145" s="2"/>
      <c r="K145" s="2"/>
    </row>
    <row r="146" spans="1:11" ht="31.5" customHeight="1" x14ac:dyDescent="0.3">
      <c r="A146" s="2"/>
      <c r="B146" s="186" t="s">
        <v>434</v>
      </c>
      <c r="C146" s="139"/>
      <c r="D146" s="181" t="s">
        <v>435</v>
      </c>
      <c r="E146" s="139"/>
      <c r="F146" s="139"/>
      <c r="G146" s="189" t="s">
        <v>436</v>
      </c>
      <c r="H146" s="139"/>
      <c r="I146" s="140"/>
      <c r="J146" s="2"/>
      <c r="K146" s="2"/>
    </row>
    <row r="147" spans="1:11" ht="31.5" customHeight="1" x14ac:dyDescent="0.3">
      <c r="A147" s="2"/>
      <c r="B147" s="186" t="s">
        <v>437</v>
      </c>
      <c r="C147" s="139"/>
      <c r="D147" s="181" t="s">
        <v>438</v>
      </c>
      <c r="E147" s="139"/>
      <c r="F147" s="139"/>
      <c r="G147" s="193" t="s">
        <v>439</v>
      </c>
      <c r="H147" s="139"/>
      <c r="I147" s="140"/>
      <c r="J147" s="2"/>
      <c r="K147" s="2"/>
    </row>
    <row r="148" spans="1:11" ht="31.5" customHeight="1" x14ac:dyDescent="0.3">
      <c r="A148" s="2"/>
      <c r="B148" s="186" t="s">
        <v>440</v>
      </c>
      <c r="C148" s="139"/>
      <c r="D148" s="181" t="s">
        <v>441</v>
      </c>
      <c r="E148" s="139"/>
      <c r="F148" s="139"/>
      <c r="G148" s="193" t="s">
        <v>442</v>
      </c>
      <c r="H148" s="139"/>
      <c r="I148" s="140"/>
      <c r="J148" s="2"/>
      <c r="K148" s="2"/>
    </row>
    <row r="149" spans="1:11" ht="31.5" customHeight="1" x14ac:dyDescent="0.3">
      <c r="A149" s="2"/>
      <c r="B149" s="186" t="s">
        <v>443</v>
      </c>
      <c r="C149" s="139"/>
      <c r="D149" s="181" t="s">
        <v>444</v>
      </c>
      <c r="E149" s="139"/>
      <c r="F149" s="139"/>
      <c r="G149" s="193" t="s">
        <v>445</v>
      </c>
      <c r="H149" s="139"/>
      <c r="I149" s="140"/>
      <c r="J149" s="2"/>
      <c r="K149" s="2"/>
    </row>
    <row r="150" spans="1:11" ht="31.5" customHeight="1" x14ac:dyDescent="0.3">
      <c r="A150" s="2"/>
      <c r="B150" s="186" t="s">
        <v>446</v>
      </c>
      <c r="C150" s="139"/>
      <c r="D150" s="181" t="s">
        <v>447</v>
      </c>
      <c r="E150" s="139"/>
      <c r="F150" s="139"/>
      <c r="G150" s="193" t="s">
        <v>448</v>
      </c>
      <c r="H150" s="139"/>
      <c r="I150" s="140"/>
      <c r="J150" s="2"/>
      <c r="K150" s="2"/>
    </row>
    <row r="151" spans="1:11" ht="31.5" customHeight="1" x14ac:dyDescent="0.3">
      <c r="A151" s="2"/>
      <c r="B151" s="186" t="s">
        <v>449</v>
      </c>
      <c r="C151" s="139"/>
      <c r="D151" s="181" t="s">
        <v>450</v>
      </c>
      <c r="E151" s="139"/>
      <c r="F151" s="139"/>
      <c r="G151" s="193" t="s">
        <v>451</v>
      </c>
      <c r="H151" s="139"/>
      <c r="I151" s="140"/>
      <c r="J151" s="2"/>
      <c r="K151" s="2"/>
    </row>
    <row r="152" spans="1:11" ht="31.5" customHeight="1" x14ac:dyDescent="0.3">
      <c r="A152" s="2"/>
      <c r="B152" s="186" t="s">
        <v>452</v>
      </c>
      <c r="C152" s="139"/>
      <c r="D152" s="181" t="s">
        <v>453</v>
      </c>
      <c r="E152" s="139"/>
      <c r="F152" s="139"/>
      <c r="G152" s="197" t="s">
        <v>454</v>
      </c>
      <c r="H152" s="139"/>
      <c r="I152" s="140"/>
      <c r="J152" s="2"/>
      <c r="K152" s="2"/>
    </row>
    <row r="153" spans="1:11" ht="31.5" customHeight="1" x14ac:dyDescent="0.3">
      <c r="A153" s="2"/>
      <c r="B153" s="186" t="s">
        <v>455</v>
      </c>
      <c r="C153" s="139"/>
      <c r="D153" s="181" t="s">
        <v>456</v>
      </c>
      <c r="E153" s="139"/>
      <c r="F153" s="139"/>
      <c r="G153" s="189" t="s">
        <v>457</v>
      </c>
      <c r="H153" s="139"/>
      <c r="I153" s="140"/>
      <c r="J153" s="2"/>
      <c r="K153" s="2"/>
    </row>
    <row r="154" spans="1:11" ht="18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7.75" customHeight="1" x14ac:dyDescent="0.3">
      <c r="A155" s="2"/>
      <c r="B155" s="183" t="s">
        <v>458</v>
      </c>
      <c r="C155" s="150"/>
      <c r="D155" s="150"/>
      <c r="E155" s="150"/>
      <c r="F155" s="150"/>
      <c r="G155" s="150"/>
      <c r="H155" s="150"/>
      <c r="I155" s="150"/>
      <c r="J155" s="2"/>
      <c r="K155" s="2"/>
    </row>
    <row r="156" spans="1:11" ht="30" customHeight="1" x14ac:dyDescent="0.3">
      <c r="A156" s="2"/>
      <c r="B156" s="179" t="s">
        <v>459</v>
      </c>
      <c r="C156" s="142"/>
      <c r="D156" s="179" t="s">
        <v>460</v>
      </c>
      <c r="E156" s="142"/>
      <c r="F156" s="142"/>
      <c r="G156" s="179" t="s">
        <v>461</v>
      </c>
      <c r="H156" s="142"/>
      <c r="I156" s="142"/>
      <c r="J156" s="2"/>
      <c r="K156" s="2"/>
    </row>
    <row r="157" spans="1:11" ht="37.5" customHeight="1" x14ac:dyDescent="0.3">
      <c r="A157" s="2"/>
      <c r="B157" s="190" t="s">
        <v>462</v>
      </c>
      <c r="C157" s="139"/>
      <c r="D157" s="196" t="s">
        <v>463</v>
      </c>
      <c r="E157" s="139"/>
      <c r="F157" s="139"/>
      <c r="G157" s="182" t="s">
        <v>464</v>
      </c>
      <c r="H157" s="139"/>
      <c r="I157" s="140"/>
      <c r="J157" s="2"/>
      <c r="K157" s="2"/>
    </row>
    <row r="158" spans="1:11" ht="37.5" customHeight="1" x14ac:dyDescent="0.3">
      <c r="A158" s="2"/>
      <c r="B158" s="190" t="s">
        <v>465</v>
      </c>
      <c r="C158" s="139"/>
      <c r="D158" s="196" t="s">
        <v>466</v>
      </c>
      <c r="E158" s="139"/>
      <c r="F158" s="139"/>
      <c r="G158" s="182" t="s">
        <v>467</v>
      </c>
      <c r="H158" s="139"/>
      <c r="I158" s="140"/>
      <c r="J158" s="2"/>
      <c r="K158" s="2"/>
    </row>
    <row r="159" spans="1:11" ht="37.5" customHeight="1" x14ac:dyDescent="0.3">
      <c r="A159" s="2"/>
      <c r="B159" s="190" t="s">
        <v>468</v>
      </c>
      <c r="C159" s="139"/>
      <c r="D159" s="196" t="s">
        <v>469</v>
      </c>
      <c r="E159" s="139"/>
      <c r="F159" s="139"/>
      <c r="G159" s="182" t="s">
        <v>470</v>
      </c>
      <c r="H159" s="139"/>
      <c r="I159" s="140"/>
      <c r="J159" s="2"/>
      <c r="K159" s="2"/>
    </row>
    <row r="160" spans="1:11" ht="37.5" customHeight="1" x14ac:dyDescent="0.3">
      <c r="A160" s="2"/>
      <c r="B160" s="190" t="s">
        <v>471</v>
      </c>
      <c r="C160" s="139"/>
      <c r="D160" s="196" t="s">
        <v>472</v>
      </c>
      <c r="E160" s="139"/>
      <c r="F160" s="139"/>
      <c r="G160" s="182" t="s">
        <v>473</v>
      </c>
      <c r="H160" s="139"/>
      <c r="I160" s="140"/>
      <c r="J160" s="2"/>
      <c r="K160" s="2"/>
    </row>
    <row r="161" spans="1:11" ht="37.5" customHeight="1" x14ac:dyDescent="0.3">
      <c r="A161" s="2"/>
      <c r="B161" s="190" t="s">
        <v>474</v>
      </c>
      <c r="C161" s="139"/>
      <c r="D161" s="196" t="s">
        <v>475</v>
      </c>
      <c r="E161" s="139"/>
      <c r="F161" s="139"/>
      <c r="G161" s="182" t="s">
        <v>476</v>
      </c>
      <c r="H161" s="139"/>
      <c r="I161" s="140"/>
      <c r="J161" s="2"/>
      <c r="K161" s="2"/>
    </row>
    <row r="162" spans="1:11" ht="37.5" customHeight="1" x14ac:dyDescent="0.3">
      <c r="A162" s="2"/>
      <c r="B162" s="190" t="s">
        <v>477</v>
      </c>
      <c r="C162" s="139"/>
      <c r="D162" s="196" t="s">
        <v>478</v>
      </c>
      <c r="E162" s="139"/>
      <c r="F162" s="139"/>
      <c r="G162" s="182" t="s">
        <v>479</v>
      </c>
      <c r="H162" s="139"/>
      <c r="I162" s="140"/>
      <c r="J162" s="2"/>
      <c r="K162" s="2"/>
    </row>
    <row r="163" spans="1:11" ht="37.5" customHeight="1" x14ac:dyDescent="0.3">
      <c r="A163" s="2"/>
      <c r="B163" s="190" t="s">
        <v>480</v>
      </c>
      <c r="C163" s="139"/>
      <c r="D163" s="196" t="s">
        <v>481</v>
      </c>
      <c r="E163" s="139"/>
      <c r="F163" s="139"/>
      <c r="G163" s="182" t="s">
        <v>482</v>
      </c>
      <c r="H163" s="139"/>
      <c r="I163" s="140"/>
      <c r="J163" s="2"/>
      <c r="K163" s="2"/>
    </row>
    <row r="164" spans="1:11" ht="37.5" customHeight="1" x14ac:dyDescent="0.3">
      <c r="A164" s="2"/>
      <c r="B164" s="190" t="s">
        <v>483</v>
      </c>
      <c r="C164" s="139"/>
      <c r="D164" s="196" t="s">
        <v>484</v>
      </c>
      <c r="E164" s="139"/>
      <c r="F164" s="139"/>
      <c r="G164" s="182" t="s">
        <v>485</v>
      </c>
      <c r="H164" s="139"/>
      <c r="I164" s="140"/>
      <c r="J164" s="2"/>
      <c r="K164" s="2"/>
    </row>
    <row r="165" spans="1:11" ht="37.5" customHeight="1" x14ac:dyDescent="0.3">
      <c r="A165" s="2"/>
      <c r="B165" s="190" t="s">
        <v>486</v>
      </c>
      <c r="C165" s="139"/>
      <c r="D165" s="196" t="s">
        <v>487</v>
      </c>
      <c r="E165" s="139"/>
      <c r="F165" s="139"/>
      <c r="G165" s="182" t="s">
        <v>488</v>
      </c>
      <c r="H165" s="139"/>
      <c r="I165" s="140"/>
      <c r="J165" s="2"/>
      <c r="K165" s="2"/>
    </row>
    <row r="166" spans="1:11" ht="37.5" customHeight="1" x14ac:dyDescent="0.3">
      <c r="A166" s="2"/>
      <c r="B166" s="190" t="s">
        <v>489</v>
      </c>
      <c r="C166" s="139"/>
      <c r="D166" s="196" t="s">
        <v>490</v>
      </c>
      <c r="E166" s="139"/>
      <c r="F166" s="139"/>
      <c r="G166" s="182" t="s">
        <v>491</v>
      </c>
      <c r="H166" s="139"/>
      <c r="I166" s="140"/>
      <c r="J166" s="2"/>
      <c r="K166" s="2"/>
    </row>
    <row r="167" spans="1:11" ht="37.5" customHeight="1" x14ac:dyDescent="0.3">
      <c r="A167" s="2"/>
      <c r="B167" s="190" t="s">
        <v>492</v>
      </c>
      <c r="C167" s="139"/>
      <c r="D167" s="196" t="s">
        <v>493</v>
      </c>
      <c r="E167" s="139"/>
      <c r="F167" s="139"/>
      <c r="G167" s="182" t="s">
        <v>494</v>
      </c>
      <c r="H167" s="139"/>
      <c r="I167" s="140"/>
      <c r="J167" s="2"/>
      <c r="K167" s="2"/>
    </row>
    <row r="168" spans="1:11" ht="37.5" customHeight="1" x14ac:dyDescent="0.3">
      <c r="A168" s="2"/>
      <c r="B168" s="190" t="s">
        <v>495</v>
      </c>
      <c r="C168" s="139"/>
      <c r="D168" s="196" t="s">
        <v>496</v>
      </c>
      <c r="E168" s="139"/>
      <c r="F168" s="139"/>
      <c r="G168" s="182" t="s">
        <v>497</v>
      </c>
      <c r="H168" s="139"/>
      <c r="I168" s="140"/>
      <c r="J168" s="2"/>
      <c r="K168" s="2"/>
    </row>
    <row r="169" spans="1:11" ht="37.5" customHeight="1" x14ac:dyDescent="0.3">
      <c r="A169" s="2"/>
      <c r="B169" s="190" t="s">
        <v>498</v>
      </c>
      <c r="C169" s="139"/>
      <c r="D169" s="196" t="s">
        <v>499</v>
      </c>
      <c r="E169" s="139"/>
      <c r="F169" s="139"/>
      <c r="G169" s="182" t="s">
        <v>500</v>
      </c>
      <c r="H169" s="139"/>
      <c r="I169" s="140"/>
      <c r="J169" s="2"/>
      <c r="K169" s="2"/>
    </row>
    <row r="170" spans="1:11" ht="37.5" customHeight="1" x14ac:dyDescent="0.3">
      <c r="A170" s="2"/>
      <c r="B170" s="190" t="s">
        <v>501</v>
      </c>
      <c r="C170" s="139"/>
      <c r="D170" s="196" t="s">
        <v>502</v>
      </c>
      <c r="E170" s="139"/>
      <c r="F170" s="139"/>
      <c r="G170" s="182" t="s">
        <v>503</v>
      </c>
      <c r="H170" s="139"/>
      <c r="I170" s="140"/>
      <c r="J170" s="2"/>
      <c r="K170" s="2"/>
    </row>
    <row r="171" spans="1:11" ht="37.5" customHeight="1" x14ac:dyDescent="0.3">
      <c r="A171" s="2"/>
      <c r="B171" s="190" t="s">
        <v>504</v>
      </c>
      <c r="C171" s="139"/>
      <c r="D171" s="196" t="s">
        <v>505</v>
      </c>
      <c r="E171" s="139"/>
      <c r="F171" s="139"/>
      <c r="G171" s="182" t="s">
        <v>506</v>
      </c>
      <c r="H171" s="139"/>
      <c r="I171" s="140"/>
      <c r="J171" s="2"/>
      <c r="K171" s="2"/>
    </row>
    <row r="172" spans="1:11" ht="18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7.75" customHeight="1" x14ac:dyDescent="0.3">
      <c r="A173" s="2"/>
      <c r="B173" s="183" t="s">
        <v>507</v>
      </c>
      <c r="C173" s="150"/>
      <c r="D173" s="150"/>
      <c r="E173" s="150"/>
      <c r="F173" s="150"/>
      <c r="G173" s="150"/>
      <c r="H173" s="150"/>
      <c r="I173" s="150"/>
      <c r="J173" s="2"/>
      <c r="K173" s="2"/>
    </row>
    <row r="174" spans="1:11" ht="30" customHeight="1" x14ac:dyDescent="0.3">
      <c r="A174" s="2"/>
      <c r="B174" s="179" t="s">
        <v>225</v>
      </c>
      <c r="C174" s="142"/>
      <c r="D174" s="179" t="s">
        <v>508</v>
      </c>
      <c r="E174" s="142"/>
      <c r="F174" s="142"/>
      <c r="G174" s="179" t="s">
        <v>509</v>
      </c>
      <c r="H174" s="142"/>
      <c r="I174" s="142"/>
      <c r="J174" s="2"/>
      <c r="K174" s="2"/>
    </row>
    <row r="175" spans="1:11" ht="27.75" customHeight="1" x14ac:dyDescent="0.3">
      <c r="A175" s="2"/>
      <c r="B175" s="190" t="s">
        <v>510</v>
      </c>
      <c r="C175" s="139"/>
      <c r="D175" s="181" t="s">
        <v>511</v>
      </c>
      <c r="E175" s="139"/>
      <c r="F175" s="139"/>
      <c r="G175" s="194" t="s">
        <v>512</v>
      </c>
      <c r="H175" s="139"/>
      <c r="I175" s="140"/>
      <c r="J175" s="2"/>
      <c r="K175" s="2"/>
    </row>
    <row r="176" spans="1:11" ht="27.75" customHeight="1" x14ac:dyDescent="0.3">
      <c r="A176" s="2"/>
      <c r="B176" s="190" t="s">
        <v>513</v>
      </c>
      <c r="C176" s="139"/>
      <c r="D176" s="181" t="s">
        <v>514</v>
      </c>
      <c r="E176" s="139"/>
      <c r="F176" s="139"/>
      <c r="G176" s="194" t="s">
        <v>515</v>
      </c>
      <c r="H176" s="139"/>
      <c r="I176" s="140"/>
      <c r="J176" s="2"/>
      <c r="K176" s="2"/>
    </row>
    <row r="177" spans="1:11" ht="27.75" customHeight="1" x14ac:dyDescent="0.3">
      <c r="A177" s="2"/>
      <c r="B177" s="190" t="s">
        <v>516</v>
      </c>
      <c r="C177" s="139"/>
      <c r="D177" s="181" t="s">
        <v>517</v>
      </c>
      <c r="E177" s="139"/>
      <c r="F177" s="139"/>
      <c r="G177" s="194" t="s">
        <v>518</v>
      </c>
      <c r="H177" s="139"/>
      <c r="I177" s="140"/>
      <c r="J177" s="2"/>
      <c r="K177" s="2"/>
    </row>
    <row r="178" spans="1:11" ht="27.75" customHeight="1" x14ac:dyDescent="0.3">
      <c r="A178" s="2"/>
      <c r="B178" s="190" t="s">
        <v>519</v>
      </c>
      <c r="C178" s="139"/>
      <c r="D178" s="181" t="s">
        <v>520</v>
      </c>
      <c r="E178" s="139"/>
      <c r="F178" s="139"/>
      <c r="G178" s="194" t="s">
        <v>521</v>
      </c>
      <c r="H178" s="139"/>
      <c r="I178" s="140"/>
      <c r="J178" s="2"/>
      <c r="K178" s="2"/>
    </row>
    <row r="179" spans="1:11" ht="27.75" customHeight="1" x14ac:dyDescent="0.3">
      <c r="A179" s="2"/>
      <c r="B179" s="190" t="s">
        <v>522</v>
      </c>
      <c r="C179" s="139"/>
      <c r="D179" s="181" t="s">
        <v>523</v>
      </c>
      <c r="E179" s="139"/>
      <c r="F179" s="139"/>
      <c r="G179" s="194" t="s">
        <v>524</v>
      </c>
      <c r="H179" s="139"/>
      <c r="I179" s="140"/>
      <c r="J179" s="2"/>
      <c r="K179" s="2"/>
    </row>
    <row r="180" spans="1:11" ht="27.75" customHeight="1" x14ac:dyDescent="0.3">
      <c r="A180" s="2"/>
      <c r="B180" s="190" t="s">
        <v>525</v>
      </c>
      <c r="C180" s="139"/>
      <c r="D180" s="181" t="s">
        <v>526</v>
      </c>
      <c r="E180" s="139"/>
      <c r="F180" s="139"/>
      <c r="G180" s="194" t="s">
        <v>527</v>
      </c>
      <c r="H180" s="139"/>
      <c r="I180" s="140"/>
      <c r="J180" s="2"/>
      <c r="K180" s="2"/>
    </row>
    <row r="181" spans="1:11" ht="27.75" customHeight="1" x14ac:dyDescent="0.3">
      <c r="A181" s="2"/>
      <c r="B181" s="190" t="s">
        <v>528</v>
      </c>
      <c r="C181" s="139"/>
      <c r="D181" s="181" t="s">
        <v>529</v>
      </c>
      <c r="E181" s="139"/>
      <c r="F181" s="139"/>
      <c r="G181" s="194" t="s">
        <v>530</v>
      </c>
      <c r="H181" s="139"/>
      <c r="I181" s="140"/>
      <c r="J181" s="2"/>
      <c r="K181" s="2"/>
    </row>
    <row r="182" spans="1:11" ht="18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7.75" customHeight="1" x14ac:dyDescent="0.3">
      <c r="A183" s="2"/>
      <c r="B183" s="183" t="s">
        <v>531</v>
      </c>
      <c r="C183" s="150"/>
      <c r="D183" s="150"/>
      <c r="E183" s="150"/>
      <c r="F183" s="150"/>
      <c r="G183" s="150"/>
      <c r="H183" s="150"/>
      <c r="I183" s="150"/>
      <c r="J183" s="2"/>
      <c r="K183" s="2"/>
    </row>
    <row r="184" spans="1:11" ht="30" customHeight="1" x14ac:dyDescent="0.3">
      <c r="A184" s="2"/>
      <c r="B184" s="179" t="s">
        <v>224</v>
      </c>
      <c r="C184" s="142"/>
      <c r="D184" s="18" t="s">
        <v>532</v>
      </c>
      <c r="E184" s="179" t="s">
        <v>54</v>
      </c>
      <c r="F184" s="142"/>
      <c r="G184" s="142"/>
      <c r="H184" s="142"/>
      <c r="I184" s="142"/>
      <c r="J184" s="2"/>
      <c r="K184" s="2"/>
    </row>
    <row r="185" spans="1:11" ht="30" customHeight="1" x14ac:dyDescent="0.3">
      <c r="A185" s="2"/>
      <c r="B185" s="190" t="s">
        <v>533</v>
      </c>
      <c r="C185" s="139"/>
      <c r="D185" s="49" t="s">
        <v>534</v>
      </c>
      <c r="E185" s="182" t="s">
        <v>535</v>
      </c>
      <c r="F185" s="139"/>
      <c r="G185" s="139"/>
      <c r="H185" s="139"/>
      <c r="I185" s="140"/>
      <c r="J185" s="2"/>
      <c r="K185" s="2"/>
    </row>
    <row r="186" spans="1:11" ht="30" customHeight="1" x14ac:dyDescent="0.3">
      <c r="A186" s="2"/>
      <c r="B186" s="190" t="s">
        <v>536</v>
      </c>
      <c r="C186" s="139"/>
      <c r="D186" s="49" t="s">
        <v>537</v>
      </c>
      <c r="E186" s="182" t="s">
        <v>538</v>
      </c>
      <c r="F186" s="139"/>
      <c r="G186" s="139"/>
      <c r="H186" s="139"/>
      <c r="I186" s="140"/>
      <c r="J186" s="2"/>
      <c r="K186" s="2"/>
    </row>
    <row r="187" spans="1:11" ht="30" customHeight="1" x14ac:dyDescent="0.3">
      <c r="A187" s="2"/>
      <c r="B187" s="190" t="s">
        <v>539</v>
      </c>
      <c r="C187" s="139"/>
      <c r="D187" s="49" t="s">
        <v>540</v>
      </c>
      <c r="E187" s="182" t="s">
        <v>541</v>
      </c>
      <c r="F187" s="139"/>
      <c r="G187" s="139"/>
      <c r="H187" s="139"/>
      <c r="I187" s="140"/>
      <c r="J187" s="2"/>
      <c r="K187" s="2"/>
    </row>
    <row r="188" spans="1:11" ht="30" customHeight="1" x14ac:dyDescent="0.3">
      <c r="A188" s="2"/>
      <c r="B188" s="190" t="s">
        <v>542</v>
      </c>
      <c r="C188" s="139"/>
      <c r="D188" s="49" t="s">
        <v>543</v>
      </c>
      <c r="E188" s="182" t="s">
        <v>544</v>
      </c>
      <c r="F188" s="139"/>
      <c r="G188" s="139"/>
      <c r="H188" s="139"/>
      <c r="I188" s="140"/>
      <c r="J188" s="2"/>
      <c r="K188" s="2"/>
    </row>
    <row r="189" spans="1:11" ht="30" customHeight="1" x14ac:dyDescent="0.3">
      <c r="A189" s="2"/>
      <c r="B189" s="190" t="s">
        <v>545</v>
      </c>
      <c r="C189" s="139"/>
      <c r="D189" s="49" t="s">
        <v>546</v>
      </c>
      <c r="E189" s="182" t="s">
        <v>547</v>
      </c>
      <c r="F189" s="139"/>
      <c r="G189" s="139"/>
      <c r="H189" s="139"/>
      <c r="I189" s="140"/>
      <c r="J189" s="2"/>
      <c r="K189" s="2"/>
    </row>
    <row r="190" spans="1:11" ht="18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8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8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8" customHeight="1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</row>
  </sheetData>
  <sheetProtection password="CC3D" sheet="1" formatCells="0" formatColumns="0" formatRows="0" sort="0" autoFilter="0"/>
  <mergeCells count="439">
    <mergeCell ref="F12:I12"/>
    <mergeCell ref="D121:E121"/>
    <mergeCell ref="B123:C123"/>
    <mergeCell ref="B142:I142"/>
    <mergeCell ref="G48:I48"/>
    <mergeCell ref="D123:E123"/>
    <mergeCell ref="F123:G123"/>
    <mergeCell ref="B10:E10"/>
    <mergeCell ref="G175:I175"/>
    <mergeCell ref="G162:I162"/>
    <mergeCell ref="E112:H112"/>
    <mergeCell ref="G177:I177"/>
    <mergeCell ref="G148:I148"/>
    <mergeCell ref="G33:I33"/>
    <mergeCell ref="F59:G59"/>
    <mergeCell ref="H59:I59"/>
    <mergeCell ref="D180:F180"/>
    <mergeCell ref="G35:I35"/>
    <mergeCell ref="D167:F167"/>
    <mergeCell ref="D161:F161"/>
    <mergeCell ref="H61:I61"/>
    <mergeCell ref="G143:I143"/>
    <mergeCell ref="D169:F169"/>
    <mergeCell ref="B186:C186"/>
    <mergeCell ref="D54:F54"/>
    <mergeCell ref="G161:I161"/>
    <mergeCell ref="G27:I27"/>
    <mergeCell ref="D158:F158"/>
    <mergeCell ref="E104:H104"/>
    <mergeCell ref="B63:I63"/>
    <mergeCell ref="G156:I156"/>
    <mergeCell ref="D160:F160"/>
    <mergeCell ref="B125:C125"/>
    <mergeCell ref="B185:C185"/>
    <mergeCell ref="C58:D58"/>
    <mergeCell ref="H122:I122"/>
    <mergeCell ref="B122:C122"/>
    <mergeCell ref="B105:C105"/>
    <mergeCell ref="B176:C176"/>
    <mergeCell ref="G180:I180"/>
    <mergeCell ref="B120:C120"/>
    <mergeCell ref="G45:I45"/>
    <mergeCell ref="D120:E120"/>
    <mergeCell ref="B107:C107"/>
    <mergeCell ref="D42:F42"/>
    <mergeCell ref="G47:I47"/>
    <mergeCell ref="B171:C171"/>
    <mergeCell ref="E186:I186"/>
    <mergeCell ref="C36:D36"/>
    <mergeCell ref="E36:F36"/>
    <mergeCell ref="D20:I20"/>
    <mergeCell ref="B177:C177"/>
    <mergeCell ref="G42:I42"/>
    <mergeCell ref="H139:I139"/>
    <mergeCell ref="B104:C104"/>
    <mergeCell ref="D22:I22"/>
    <mergeCell ref="B164:C164"/>
    <mergeCell ref="G179:I179"/>
    <mergeCell ref="B106:C106"/>
    <mergeCell ref="D170:F170"/>
    <mergeCell ref="B173:I173"/>
    <mergeCell ref="G37:I37"/>
    <mergeCell ref="E91:H91"/>
    <mergeCell ref="D163:F163"/>
    <mergeCell ref="B115:I115"/>
    <mergeCell ref="D147:F147"/>
    <mergeCell ref="B180:C180"/>
    <mergeCell ref="D171:F171"/>
    <mergeCell ref="H130:I130"/>
    <mergeCell ref="E93:H93"/>
    <mergeCell ref="H117:I117"/>
    <mergeCell ref="A2:I2"/>
    <mergeCell ref="E109:H109"/>
    <mergeCell ref="B151:C151"/>
    <mergeCell ref="E96:H96"/>
    <mergeCell ref="B101:C101"/>
    <mergeCell ref="D165:F165"/>
    <mergeCell ref="H129:I129"/>
    <mergeCell ref="D152:F152"/>
    <mergeCell ref="G153:I153"/>
    <mergeCell ref="E111:H111"/>
    <mergeCell ref="E34:F34"/>
    <mergeCell ref="E98:H98"/>
    <mergeCell ref="B130:C130"/>
    <mergeCell ref="B117:C117"/>
    <mergeCell ref="F138:G138"/>
    <mergeCell ref="H132:I132"/>
    <mergeCell ref="B157:C157"/>
    <mergeCell ref="H119:I119"/>
    <mergeCell ref="B132:C132"/>
    <mergeCell ref="B119:C119"/>
    <mergeCell ref="G32:I32"/>
    <mergeCell ref="G159:I159"/>
    <mergeCell ref="C60:D60"/>
    <mergeCell ref="F9:I9"/>
    <mergeCell ref="G169:I169"/>
    <mergeCell ref="H124:I124"/>
    <mergeCell ref="F60:G60"/>
    <mergeCell ref="H116:I116"/>
    <mergeCell ref="H126:I126"/>
    <mergeCell ref="B91:C91"/>
    <mergeCell ref="B22:C22"/>
    <mergeCell ref="B93:C93"/>
    <mergeCell ref="B149:C149"/>
    <mergeCell ref="E97:H97"/>
    <mergeCell ref="B86:C86"/>
    <mergeCell ref="G84:I84"/>
    <mergeCell ref="D148:F148"/>
    <mergeCell ref="G46:I46"/>
    <mergeCell ref="E107:H107"/>
    <mergeCell ref="D50:F50"/>
    <mergeCell ref="D44:F44"/>
    <mergeCell ref="E70:F70"/>
    <mergeCell ref="G86:I86"/>
    <mergeCell ref="C32:D32"/>
    <mergeCell ref="E32:F32"/>
    <mergeCell ref="B133:C133"/>
    <mergeCell ref="D133:E133"/>
    <mergeCell ref="D45:F45"/>
    <mergeCell ref="G160:I160"/>
    <mergeCell ref="D151:F151"/>
    <mergeCell ref="C33:D33"/>
    <mergeCell ref="H134:I134"/>
    <mergeCell ref="E33:F33"/>
    <mergeCell ref="B159:C159"/>
    <mergeCell ref="E185:I185"/>
    <mergeCell ref="C35:D35"/>
    <mergeCell ref="E35:F35"/>
    <mergeCell ref="B167:C167"/>
    <mergeCell ref="B161:C161"/>
    <mergeCell ref="B136:C136"/>
    <mergeCell ref="B111:C111"/>
    <mergeCell ref="D136:E136"/>
    <mergeCell ref="G163:I163"/>
    <mergeCell ref="E74:F74"/>
    <mergeCell ref="G74:H74"/>
    <mergeCell ref="B175:C175"/>
    <mergeCell ref="F129:G129"/>
    <mergeCell ref="G165:I165"/>
    <mergeCell ref="D79:F79"/>
    <mergeCell ref="F131:G131"/>
    <mergeCell ref="H131:I131"/>
    <mergeCell ref="F58:G58"/>
    <mergeCell ref="B184:C184"/>
    <mergeCell ref="B155:I155"/>
    <mergeCell ref="E188:I188"/>
    <mergeCell ref="H121:I121"/>
    <mergeCell ref="G168:I168"/>
    <mergeCell ref="H123:I123"/>
    <mergeCell ref="F10:I10"/>
    <mergeCell ref="B82:C82"/>
    <mergeCell ref="B148:C148"/>
    <mergeCell ref="D24:I24"/>
    <mergeCell ref="E92:H92"/>
    <mergeCell ref="G150:I150"/>
    <mergeCell ref="B19:C19"/>
    <mergeCell ref="B146:C146"/>
    <mergeCell ref="B108:C108"/>
    <mergeCell ref="E94:H94"/>
    <mergeCell ref="B83:C83"/>
    <mergeCell ref="B40:I40"/>
    <mergeCell ref="G73:H73"/>
    <mergeCell ref="B143:C143"/>
    <mergeCell ref="C38:D38"/>
    <mergeCell ref="B20:C20"/>
    <mergeCell ref="D84:F84"/>
    <mergeCell ref="B85:C85"/>
    <mergeCell ref="E187:I187"/>
    <mergeCell ref="B13:E13"/>
    <mergeCell ref="F120:G120"/>
    <mergeCell ref="H120:I120"/>
    <mergeCell ref="E75:F75"/>
    <mergeCell ref="G75:H75"/>
    <mergeCell ref="D21:I21"/>
    <mergeCell ref="E189:I189"/>
    <mergeCell ref="B138:C138"/>
    <mergeCell ref="D138:E138"/>
    <mergeCell ref="B18:C18"/>
    <mergeCell ref="G70:H70"/>
    <mergeCell ref="B140:C140"/>
    <mergeCell ref="D140:E140"/>
    <mergeCell ref="G80:I80"/>
    <mergeCell ref="D146:F146"/>
    <mergeCell ref="G55:I55"/>
    <mergeCell ref="D83:F83"/>
    <mergeCell ref="G144:I144"/>
    <mergeCell ref="B78:I78"/>
    <mergeCell ref="D85:F85"/>
    <mergeCell ref="G65:H65"/>
    <mergeCell ref="B158:C158"/>
    <mergeCell ref="D174:F174"/>
    <mergeCell ref="G167:I167"/>
    <mergeCell ref="E64:F64"/>
    <mergeCell ref="D181:F181"/>
    <mergeCell ref="B21:C21"/>
    <mergeCell ref="E65:F65"/>
    <mergeCell ref="B17:I17"/>
    <mergeCell ref="B88:I88"/>
    <mergeCell ref="G50:I50"/>
    <mergeCell ref="D125:E125"/>
    <mergeCell ref="B112:C112"/>
    <mergeCell ref="F125:G125"/>
    <mergeCell ref="B127:C127"/>
    <mergeCell ref="G52:I52"/>
    <mergeCell ref="D127:E127"/>
    <mergeCell ref="B95:C95"/>
    <mergeCell ref="B89:C89"/>
    <mergeCell ref="B160:C160"/>
    <mergeCell ref="B97:C97"/>
    <mergeCell ref="B153:C153"/>
    <mergeCell ref="E110:H110"/>
    <mergeCell ref="G53:I53"/>
    <mergeCell ref="D128:E128"/>
    <mergeCell ref="F128:G128"/>
    <mergeCell ref="D149:F149"/>
    <mergeCell ref="B187:C187"/>
    <mergeCell ref="D178:F178"/>
    <mergeCell ref="B124:C124"/>
    <mergeCell ref="B189:C189"/>
    <mergeCell ref="G176:I176"/>
    <mergeCell ref="B188:C188"/>
    <mergeCell ref="B126:C126"/>
    <mergeCell ref="B109:C109"/>
    <mergeCell ref="B9:E9"/>
    <mergeCell ref="D119:E119"/>
    <mergeCell ref="D48:F48"/>
    <mergeCell ref="G49:I49"/>
    <mergeCell ref="G171:I171"/>
    <mergeCell ref="D175:F175"/>
    <mergeCell ref="D176:F176"/>
    <mergeCell ref="B57:I57"/>
    <mergeCell ref="B137:C137"/>
    <mergeCell ref="D137:E137"/>
    <mergeCell ref="D130:E130"/>
    <mergeCell ref="B139:C139"/>
    <mergeCell ref="F130:G130"/>
    <mergeCell ref="G166:I166"/>
    <mergeCell ref="D132:E132"/>
    <mergeCell ref="F132:G132"/>
    <mergeCell ref="B183:I183"/>
    <mergeCell ref="G145:I145"/>
    <mergeCell ref="D46:F46"/>
    <mergeCell ref="G181:I181"/>
    <mergeCell ref="F136:G136"/>
    <mergeCell ref="H136:I136"/>
    <mergeCell ref="B169:C169"/>
    <mergeCell ref="E66:F66"/>
    <mergeCell ref="D86:F86"/>
    <mergeCell ref="G147:I147"/>
    <mergeCell ref="G174:I174"/>
    <mergeCell ref="E68:F68"/>
    <mergeCell ref="B134:C134"/>
    <mergeCell ref="D150:F150"/>
    <mergeCell ref="B121:C121"/>
    <mergeCell ref="B96:C96"/>
    <mergeCell ref="H58:I58"/>
    <mergeCell ref="B98:C98"/>
    <mergeCell ref="H60:I60"/>
    <mergeCell ref="D116:E116"/>
    <mergeCell ref="D177:F177"/>
    <mergeCell ref="B162:C162"/>
    <mergeCell ref="C59:D59"/>
    <mergeCell ref="D164:F164"/>
    <mergeCell ref="E184:I184"/>
    <mergeCell ref="E101:H101"/>
    <mergeCell ref="G28:I28"/>
    <mergeCell ref="B90:C90"/>
    <mergeCell ref="E113:H113"/>
    <mergeCell ref="E100:H100"/>
    <mergeCell ref="G30:I30"/>
    <mergeCell ref="G152:I152"/>
    <mergeCell ref="D162:F162"/>
    <mergeCell ref="D156:F156"/>
    <mergeCell ref="E38:F38"/>
    <mergeCell ref="E102:H102"/>
    <mergeCell ref="B179:C179"/>
    <mergeCell ref="B166:C166"/>
    <mergeCell ref="D157:F157"/>
    <mergeCell ref="G54:I54"/>
    <mergeCell ref="B116:C116"/>
    <mergeCell ref="G41:I41"/>
    <mergeCell ref="B103:C103"/>
    <mergeCell ref="B174:C174"/>
    <mergeCell ref="B168:C168"/>
    <mergeCell ref="G81:I81"/>
    <mergeCell ref="B118:C118"/>
    <mergeCell ref="G43:I43"/>
    <mergeCell ref="D179:F179"/>
    <mergeCell ref="A1:E1"/>
    <mergeCell ref="D52:F52"/>
    <mergeCell ref="B110:C110"/>
    <mergeCell ref="B102:C102"/>
    <mergeCell ref="D166:F166"/>
    <mergeCell ref="F133:G133"/>
    <mergeCell ref="H133:I133"/>
    <mergeCell ref="D168:F168"/>
    <mergeCell ref="D18:I18"/>
    <mergeCell ref="G79:I79"/>
    <mergeCell ref="D143:F143"/>
    <mergeCell ref="D135:E135"/>
    <mergeCell ref="F135:G135"/>
    <mergeCell ref="F122:G122"/>
    <mergeCell ref="B178:C178"/>
    <mergeCell ref="C27:D27"/>
    <mergeCell ref="H128:I128"/>
    <mergeCell ref="E27:F27"/>
    <mergeCell ref="B24:C24"/>
    <mergeCell ref="D159:F159"/>
    <mergeCell ref="D80:F80"/>
    <mergeCell ref="E105:H105"/>
    <mergeCell ref="E99:H99"/>
    <mergeCell ref="F1:I1"/>
    <mergeCell ref="B23:C23"/>
    <mergeCell ref="B145:C145"/>
    <mergeCell ref="E106:H106"/>
    <mergeCell ref="B181:C181"/>
    <mergeCell ref="G85:I85"/>
    <mergeCell ref="B147:C147"/>
    <mergeCell ref="H138:I138"/>
    <mergeCell ref="D23:I23"/>
    <mergeCell ref="D122:E122"/>
    <mergeCell ref="G149:I149"/>
    <mergeCell ref="D153:F153"/>
    <mergeCell ref="F140:G140"/>
    <mergeCell ref="H140:I140"/>
    <mergeCell ref="G151:I151"/>
    <mergeCell ref="G178:I178"/>
    <mergeCell ref="C37:D37"/>
    <mergeCell ref="E37:F37"/>
    <mergeCell ref="B163:C163"/>
    <mergeCell ref="B113:C113"/>
    <mergeCell ref="G72:H72"/>
    <mergeCell ref="G38:I38"/>
    <mergeCell ref="B100:C100"/>
    <mergeCell ref="B165:C165"/>
    <mergeCell ref="B170:C170"/>
    <mergeCell ref="E31:F31"/>
    <mergeCell ref="D51:F51"/>
    <mergeCell ref="D82:F82"/>
    <mergeCell ref="B99:C99"/>
    <mergeCell ref="G64:H64"/>
    <mergeCell ref="B92:C92"/>
    <mergeCell ref="D117:E117"/>
    <mergeCell ref="F117:G117"/>
    <mergeCell ref="E72:F72"/>
    <mergeCell ref="B94:C94"/>
    <mergeCell ref="F119:G119"/>
    <mergeCell ref="H125:I125"/>
    <mergeCell ref="B150:C150"/>
    <mergeCell ref="F127:G127"/>
    <mergeCell ref="H127:I127"/>
    <mergeCell ref="B152:C152"/>
    <mergeCell ref="G170:I170"/>
    <mergeCell ref="G157:I157"/>
    <mergeCell ref="D118:E118"/>
    <mergeCell ref="G34:I34"/>
    <mergeCell ref="G44:I44"/>
    <mergeCell ref="G31:I31"/>
    <mergeCell ref="G158:I158"/>
    <mergeCell ref="G164:I164"/>
    <mergeCell ref="B11:E11"/>
    <mergeCell ref="B84:C84"/>
    <mergeCell ref="F61:G61"/>
    <mergeCell ref="E76:F76"/>
    <mergeCell ref="G76:H76"/>
    <mergeCell ref="B80:C80"/>
    <mergeCell ref="D129:E129"/>
    <mergeCell ref="E90:H90"/>
    <mergeCell ref="B79:C79"/>
    <mergeCell ref="G82:I82"/>
    <mergeCell ref="B144:C144"/>
    <mergeCell ref="C34:D34"/>
    <mergeCell ref="B81:C81"/>
    <mergeCell ref="D145:F145"/>
    <mergeCell ref="G146:I146"/>
    <mergeCell ref="F137:G137"/>
    <mergeCell ref="H137:I137"/>
    <mergeCell ref="F124:G124"/>
    <mergeCell ref="G83:I83"/>
    <mergeCell ref="D139:E139"/>
    <mergeCell ref="C29:D29"/>
    <mergeCell ref="F139:G139"/>
    <mergeCell ref="E29:F29"/>
    <mergeCell ref="B156:C156"/>
    <mergeCell ref="E67:F67"/>
    <mergeCell ref="G67:H67"/>
    <mergeCell ref="B131:C131"/>
    <mergeCell ref="D131:E131"/>
    <mergeCell ref="D43:F43"/>
    <mergeCell ref="D124:E124"/>
    <mergeCell ref="G51:I51"/>
    <mergeCell ref="D126:E126"/>
    <mergeCell ref="D55:F55"/>
    <mergeCell ref="F126:G126"/>
    <mergeCell ref="E69:F69"/>
    <mergeCell ref="G69:H69"/>
    <mergeCell ref="C61:D61"/>
    <mergeCell ref="E103:H103"/>
    <mergeCell ref="D49:F49"/>
    <mergeCell ref="E108:H108"/>
    <mergeCell ref="E95:H95"/>
    <mergeCell ref="E89:H89"/>
    <mergeCell ref="D81:F81"/>
    <mergeCell ref="H135:I135"/>
    <mergeCell ref="B135:C135"/>
    <mergeCell ref="B128:C128"/>
    <mergeCell ref="B8:I8"/>
    <mergeCell ref="G68:H68"/>
    <mergeCell ref="D134:E134"/>
    <mergeCell ref="F134:G134"/>
    <mergeCell ref="F121:G121"/>
    <mergeCell ref="D144:F144"/>
    <mergeCell ref="G36:I36"/>
    <mergeCell ref="C28:D28"/>
    <mergeCell ref="B5:I5"/>
    <mergeCell ref="B129:C129"/>
    <mergeCell ref="F13:I13"/>
    <mergeCell ref="C30:D30"/>
    <mergeCell ref="D41:F41"/>
    <mergeCell ref="C31:D31"/>
    <mergeCell ref="B26:I26"/>
    <mergeCell ref="F14:I14"/>
    <mergeCell ref="D19:I19"/>
    <mergeCell ref="G29:I29"/>
    <mergeCell ref="B6:I6"/>
    <mergeCell ref="B12:E12"/>
    <mergeCell ref="B14:E14"/>
    <mergeCell ref="E28:F28"/>
    <mergeCell ref="E30:F30"/>
    <mergeCell ref="F11:I11"/>
    <mergeCell ref="F116:G116"/>
    <mergeCell ref="E71:F71"/>
    <mergeCell ref="G71:H71"/>
    <mergeCell ref="D53:F53"/>
    <mergeCell ref="F118:G118"/>
    <mergeCell ref="D47:F47"/>
    <mergeCell ref="H118:I118"/>
    <mergeCell ref="E73:F73"/>
    <mergeCell ref="G66:H66"/>
  </mergeCell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200-000000000000}">
  <sheetPr>
    <tabColor rgb="FF178A5C"/>
    <pageSetUpPr fitToPage="1"/>
  </sheetPr>
  <dimension ref="A1:V158"/>
  <sheetViews>
    <sheetView showGridLines="0" zoomScaleNormal="100" workbookViewId="0">
      <pane xSplit="3" ySplit="6" topLeftCell="D28" activePane="bottomRight" state="frozen"/>
      <selection pane="topRight" activeCell="D1" sqref="D1"/>
      <selection pane="bottomLeft" activeCell="A7" sqref="A7"/>
      <selection pane="bottomRight" activeCell="D28" sqref="D28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9.7109375" customWidth="1"/>
    <col min="4" max="4" width="11.140625" customWidth="1"/>
    <col min="5" max="5" width="16.7109375" customWidth="1"/>
    <col min="6" max="6" width="14.85546875" customWidth="1"/>
    <col min="7" max="7" width="13" customWidth="1"/>
    <col min="8" max="8" width="13.85546875" customWidth="1"/>
    <col min="9" max="9" width="13" customWidth="1"/>
    <col min="10" max="10" width="14.85546875" customWidth="1"/>
    <col min="11" max="11" width="13.85546875" customWidth="1"/>
    <col min="12" max="12" width="22.28515625" customWidth="1"/>
    <col min="13" max="13" width="24.140625" customWidth="1"/>
    <col min="14" max="14" width="13.85546875" customWidth="1"/>
    <col min="15" max="15" width="13" customWidth="1"/>
    <col min="16" max="16" width="13.85546875" customWidth="1"/>
    <col min="17" max="18" width="2.28515625" customWidth="1"/>
    <col min="20" max="21" width="12" hidden="1" customWidth="1"/>
  </cols>
  <sheetData>
    <row r="1" spans="1:22" ht="37.5" customHeight="1" x14ac:dyDescent="0.3">
      <c r="A1" s="209" t="s">
        <v>548</v>
      </c>
      <c r="B1" s="150"/>
      <c r="C1" s="150"/>
      <c r="D1" s="150"/>
      <c r="E1" s="150"/>
      <c r="F1" s="208" t="s">
        <v>549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3"/>
      <c r="R1" s="13"/>
      <c r="S1" s="1"/>
      <c r="T1" s="1"/>
      <c r="U1" s="1"/>
    </row>
    <row r="2" spans="1:22" ht="21.75" customHeight="1" x14ac:dyDescent="0.3">
      <c r="A2" s="210" t="s">
        <v>550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"/>
      <c r="R2" s="14"/>
      <c r="S2" s="1"/>
      <c r="T2" s="1"/>
      <c r="U2" s="1"/>
    </row>
    <row r="3" spans="1:22" ht="19.5" customHeight="1" x14ac:dyDescent="0.3">
      <c r="A3" s="2"/>
      <c r="B3" s="50" t="s">
        <v>551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</row>
    <row r="4" spans="1:22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HYPERLINK("#UCRETLER!A1","Haftalık Ücretler")</f>
        <v>Haftalık Ücretler</v>
      </c>
      <c r="E4" s="2"/>
      <c r="F4" s="51" t="str">
        <f>HYPERLINK("#MUSTERI_360!A1","Müşteri 360")</f>
        <v>Müşteri 360</v>
      </c>
      <c r="G4" s="2"/>
      <c r="H4" s="52" t="s">
        <v>552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</row>
    <row r="5" spans="1:22" ht="25.5" customHeight="1" x14ac:dyDescent="0.3">
      <c r="A5" s="2"/>
      <c r="B5" s="53"/>
      <c r="C5" s="54" t="s">
        <v>553</v>
      </c>
      <c r="D5" s="55">
        <f>COUNTIF($D$7:$D$156,"Aktif")</f>
        <v>52</v>
      </c>
      <c r="E5" s="53"/>
      <c r="F5" s="53"/>
      <c r="G5" s="53"/>
      <c r="H5" s="53"/>
      <c r="I5" s="53"/>
      <c r="J5" s="56">
        <f>SUM($J$7:$J$156)</f>
        <v>0</v>
      </c>
      <c r="K5" s="53"/>
      <c r="L5" s="53"/>
      <c r="M5" s="53"/>
      <c r="N5" s="53"/>
      <c r="O5" s="53"/>
      <c r="P5" s="53"/>
      <c r="Q5" s="2"/>
      <c r="R5" s="2"/>
      <c r="S5" s="1"/>
      <c r="T5" s="1"/>
      <c r="U5" s="1"/>
    </row>
    <row r="6" spans="1:22" ht="39.75" customHeight="1" x14ac:dyDescent="0.3">
      <c r="A6" s="2"/>
      <c r="B6" s="57" t="s">
        <v>19</v>
      </c>
      <c r="C6" s="58" t="s">
        <v>554</v>
      </c>
      <c r="D6" s="57" t="s">
        <v>555</v>
      </c>
      <c r="E6" s="58" t="s">
        <v>556</v>
      </c>
      <c r="F6" s="58" t="s">
        <v>557</v>
      </c>
      <c r="G6" s="58" t="s">
        <v>558</v>
      </c>
      <c r="H6" s="57" t="s">
        <v>559</v>
      </c>
      <c r="I6" s="57" t="s">
        <v>560</v>
      </c>
      <c r="J6" s="59" t="s">
        <v>27</v>
      </c>
      <c r="K6" s="57" t="s">
        <v>561</v>
      </c>
      <c r="L6" s="58" t="s">
        <v>562</v>
      </c>
      <c r="M6" s="58" t="s">
        <v>563</v>
      </c>
      <c r="N6" s="57" t="s">
        <v>564</v>
      </c>
      <c r="O6" s="57" t="s">
        <v>565</v>
      </c>
      <c r="P6" s="57" t="s">
        <v>566</v>
      </c>
      <c r="Q6" s="2"/>
      <c r="R6" s="2"/>
      <c r="S6" s="1"/>
      <c r="T6" s="1"/>
      <c r="U6" s="1" t="s">
        <v>567</v>
      </c>
      <c r="V6" s="1" t="s">
        <v>568</v>
      </c>
    </row>
    <row r="7" spans="1:22" ht="18" customHeight="1" x14ac:dyDescent="0.3">
      <c r="A7" s="2"/>
      <c r="B7" s="60" t="s">
        <v>569</v>
      </c>
      <c r="C7" s="61" t="s">
        <v>570</v>
      </c>
      <c r="D7" s="60" t="s">
        <v>571</v>
      </c>
      <c r="E7" s="61"/>
      <c r="F7" s="61"/>
      <c r="G7" s="61"/>
      <c r="H7" s="60" t="s">
        <v>572</v>
      </c>
      <c r="I7" s="62">
        <v>46023</v>
      </c>
      <c r="J7" s="63">
        <v>0</v>
      </c>
      <c r="K7" s="64"/>
      <c r="L7" s="61"/>
      <c r="M7" s="61"/>
      <c r="N7" s="60"/>
      <c r="O7" s="65" t="str">
        <f>IF($C7="","",IF(COUNTIFS(UCRETLER!$B$7:$B$606,$B7,UCRETLER!$H$7:$H$606,"Aktif")&gt;0,"EVET","HAYIR"))</f>
        <v>EVET</v>
      </c>
      <c r="P7" s="65" t="str">
        <f t="shared" ref="P7:P38" si="0">IF($C7="","",IF($B7="","NO EKSİK",IF(COUNTIF($B$7:$B$156,$B7)&gt;1,"NO TEKRARI",IF(COUNTIF($C$7:$C$156,$C7)&gt;1,"UNVAN TEKRARI",IF($D7="","DURUM EKSİK",IF(AND($J7&gt;0,$K7=""),"DEVİR TARİHİ EKSİK","UYGUN"))))))</f>
        <v>UYGUN</v>
      </c>
      <c r="Q7" s="2"/>
      <c r="R7" s="2"/>
      <c r="S7" s="1"/>
      <c r="T7" s="1" t="str">
        <f t="shared" ref="T7:T38" si="1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1">
        <f ca="1">IF($B7="","",COUNTIF($V$7:$V$156,"&gt;"&amp;$V7)+COUNTIF($V$7:$V7,$V7))</f>
        <v>19</v>
      </c>
      <c r="V7" s="1">
        <f ca="1">IF($B7="","",MAX(0,$J7+SUMIFS(UCRETLER!$I$7:$I$606,UCRETLER!$B$7:$B$606,$B7)+SUMIFS(GELIR_GIDER!$G$7:$G$3001,GELIR_GIDER!$T$7:$T$3001,$B7)-SUMIFS(TAHSILAT!$F$7:$F$2503,TAHSILAT!$C$7:$C$2503,$B7)))</f>
        <v>10000</v>
      </c>
    </row>
    <row r="8" spans="1:22" ht="18" customHeight="1" x14ac:dyDescent="0.3">
      <c r="A8" s="2"/>
      <c r="B8" s="60" t="s">
        <v>573</v>
      </c>
      <c r="C8" s="61" t="s">
        <v>574</v>
      </c>
      <c r="D8" s="60" t="s">
        <v>571</v>
      </c>
      <c r="E8" s="61"/>
      <c r="F8" s="61"/>
      <c r="G8" s="61"/>
      <c r="H8" s="60" t="s">
        <v>572</v>
      </c>
      <c r="I8" s="62">
        <v>46023</v>
      </c>
      <c r="J8" s="63">
        <v>0</v>
      </c>
      <c r="K8" s="64"/>
      <c r="L8" s="61"/>
      <c r="M8" s="61"/>
      <c r="N8" s="60"/>
      <c r="O8" s="65" t="str">
        <f>IF($C8="","",IF(COUNTIFS(UCRETLER!$B$7:$B$606,$B8,UCRETLER!$H$7:$H$606,"Aktif")&gt;0,"EVET","HAYIR"))</f>
        <v>EVET</v>
      </c>
      <c r="P8" s="65" t="str">
        <f t="shared" si="0"/>
        <v>UYGUN</v>
      </c>
      <c r="Q8" s="2"/>
      <c r="R8" s="2"/>
      <c r="S8" s="1"/>
      <c r="T8" s="1" t="str">
        <f t="shared" si="1"/>
        <v>ADEMKARABENLI</v>
      </c>
      <c r="U8" s="1">
        <f ca="1">IF($B8="","",COUNTIF($V$7:$V$156,"&gt;"&amp;$V8)+COUNTIF($V$7:$V8,$V8))</f>
        <v>17</v>
      </c>
      <c r="V8" s="1">
        <f ca="1">IF($B8="","",MAX(0,$J8+SUMIFS(UCRETLER!$I$7:$I$606,UCRETLER!$B$7:$B$606,$B8)+SUMIFS(GELIR_GIDER!$G$7:$G$3001,GELIR_GIDER!$T$7:$T$3001,$B8)-SUMIFS(TAHSILAT!$F$7:$F$2503,TAHSILAT!$C$7:$C$2503,$B8)))</f>
        <v>18000</v>
      </c>
    </row>
    <row r="9" spans="1:22" ht="18" customHeight="1" x14ac:dyDescent="0.3">
      <c r="A9" s="2"/>
      <c r="B9" s="60" t="s">
        <v>575</v>
      </c>
      <c r="C9" s="61" t="s">
        <v>576</v>
      </c>
      <c r="D9" s="60" t="s">
        <v>571</v>
      </c>
      <c r="E9" s="61"/>
      <c r="F9" s="61"/>
      <c r="G9" s="61"/>
      <c r="H9" s="60" t="s">
        <v>572</v>
      </c>
      <c r="I9" s="62">
        <v>46023</v>
      </c>
      <c r="J9" s="63">
        <v>0</v>
      </c>
      <c r="K9" s="64"/>
      <c r="L9" s="61"/>
      <c r="M9" s="61"/>
      <c r="N9" s="60"/>
      <c r="O9" s="65" t="str">
        <f>IF($C9="","",IF(COUNTIFS(UCRETLER!$B$7:$B$606,$B9,UCRETLER!$H$7:$H$606,"Aktif")&gt;0,"EVET","HAYIR"))</f>
        <v>EVET</v>
      </c>
      <c r="P9" s="65" t="str">
        <f t="shared" si="0"/>
        <v>UYGUN</v>
      </c>
      <c r="Q9" s="2"/>
      <c r="R9" s="2"/>
      <c r="S9" s="1"/>
      <c r="T9" s="1" t="str">
        <f t="shared" si="1"/>
        <v>ALTINELLTDSTI</v>
      </c>
      <c r="U9" s="1">
        <f ca="1">IF($B9="","",COUNTIF($V$7:$V$156,"&gt;"&amp;$V9)+COUNTIF($V$7:$V9,$V9))</f>
        <v>32</v>
      </c>
      <c r="V9" s="1">
        <f ca="1">IF($B9="","",MAX(0,$J9+SUMIFS(UCRETLER!$I$7:$I$606,UCRETLER!$B$7:$B$606,$B9)+SUMIFS(GELIR_GIDER!$G$7:$G$3001,GELIR_GIDER!$T$7:$T$3001,$B9)-SUMIFS(TAHSILAT!$F$7:$F$2503,TAHSILAT!$C$7:$C$2503,$B9)))</f>
        <v>0</v>
      </c>
    </row>
    <row r="10" spans="1:22" ht="18" customHeight="1" x14ac:dyDescent="0.3">
      <c r="A10" s="2"/>
      <c r="B10" s="60" t="s">
        <v>577</v>
      </c>
      <c r="C10" s="61" t="s">
        <v>17</v>
      </c>
      <c r="D10" s="60" t="s">
        <v>571</v>
      </c>
      <c r="E10" s="61"/>
      <c r="F10" s="61"/>
      <c r="G10" s="61"/>
      <c r="H10" s="60" t="s">
        <v>572</v>
      </c>
      <c r="I10" s="62">
        <v>46023</v>
      </c>
      <c r="J10" s="63">
        <v>0</v>
      </c>
      <c r="K10" s="64"/>
      <c r="L10" s="61"/>
      <c r="M10" s="61"/>
      <c r="N10" s="60"/>
      <c r="O10" s="65" t="str">
        <f>IF($C10="","",IF(COUNTIFS(UCRETLER!$B$7:$B$606,$B10,UCRETLER!$H$7:$H$606,"Aktif")&gt;0,"EVET","HAYIR"))</f>
        <v>EVET</v>
      </c>
      <c r="P10" s="65" t="str">
        <f t="shared" si="0"/>
        <v>UYGUN</v>
      </c>
      <c r="Q10" s="2"/>
      <c r="R10" s="2"/>
      <c r="S10" s="1"/>
      <c r="T10" s="1" t="str">
        <f t="shared" si="1"/>
        <v>ANKARAHAVANALTDSTI</v>
      </c>
      <c r="U10" s="1">
        <f ca="1">IF($B10="","",COUNTIF($V$7:$V$156,"&gt;"&amp;$V10)+COUNTIF($V$7:$V10,$V10))</f>
        <v>15</v>
      </c>
      <c r="V10" s="1">
        <f ca="1">IF($B10="","",MAX(0,$J10+SUMIFS(UCRETLER!$I$7:$I$606,UCRETLER!$B$7:$B$606,$B10)+SUMIFS(GELIR_GIDER!$G$7:$G$3001,GELIR_GIDER!$T$7:$T$3001,$B10)-SUMIFS(TAHSILAT!$F$7:$F$2503,TAHSILAT!$C$7:$C$2503,$B10)))</f>
        <v>20000</v>
      </c>
    </row>
    <row r="11" spans="1:22" ht="18" customHeight="1" x14ac:dyDescent="0.3">
      <c r="A11" s="2"/>
      <c r="B11" s="60" t="s">
        <v>578</v>
      </c>
      <c r="C11" s="61" t="s">
        <v>579</v>
      </c>
      <c r="D11" s="60" t="s">
        <v>571</v>
      </c>
      <c r="E11" s="61"/>
      <c r="F11" s="61"/>
      <c r="G11" s="61"/>
      <c r="H11" s="60" t="s">
        <v>572</v>
      </c>
      <c r="I11" s="62">
        <v>46023</v>
      </c>
      <c r="J11" s="63">
        <v>0</v>
      </c>
      <c r="K11" s="64"/>
      <c r="L11" s="61"/>
      <c r="M11" s="61"/>
      <c r="N11" s="60"/>
      <c r="O11" s="65" t="str">
        <f>IF($C11="","",IF(COUNTIFS(UCRETLER!$B$7:$B$606,$B11,UCRETLER!$H$7:$H$606,"Aktif")&gt;0,"EVET","HAYIR"))</f>
        <v>EVET</v>
      </c>
      <c r="P11" s="65" t="str">
        <f t="shared" si="0"/>
        <v>UYGUN</v>
      </c>
      <c r="Q11" s="2"/>
      <c r="R11" s="2"/>
      <c r="S11" s="1"/>
      <c r="T11" s="1" t="str">
        <f t="shared" si="1"/>
        <v>ARMANDIK</v>
      </c>
      <c r="U11" s="1">
        <f ca="1">IF($B11="","",COUNTIF($V$7:$V$156,"&gt;"&amp;$V11)+COUNTIF($V$7:$V11,$V11))</f>
        <v>33</v>
      </c>
      <c r="V11" s="1">
        <f ca="1">IF($B11="","",MAX(0,$J11+SUMIFS(UCRETLER!$I$7:$I$606,UCRETLER!$B$7:$B$606,$B11)+SUMIFS(GELIR_GIDER!$G$7:$G$3001,GELIR_GIDER!$T$7:$T$3001,$B11)-SUMIFS(TAHSILAT!$F$7:$F$2503,TAHSILAT!$C$7:$C$2503,$B11)))</f>
        <v>0</v>
      </c>
    </row>
    <row r="12" spans="1:22" ht="18" customHeight="1" x14ac:dyDescent="0.3">
      <c r="A12" s="2"/>
      <c r="B12" s="60" t="s">
        <v>580</v>
      </c>
      <c r="C12" s="61" t="s">
        <v>581</v>
      </c>
      <c r="D12" s="60" t="s">
        <v>571</v>
      </c>
      <c r="E12" s="61"/>
      <c r="F12" s="61"/>
      <c r="G12" s="61"/>
      <c r="H12" s="60" t="s">
        <v>572</v>
      </c>
      <c r="I12" s="62">
        <v>46023</v>
      </c>
      <c r="J12" s="63">
        <v>0</v>
      </c>
      <c r="K12" s="64"/>
      <c r="L12" s="61"/>
      <c r="M12" s="61"/>
      <c r="N12" s="60"/>
      <c r="O12" s="65" t="str">
        <f>IF($C12="","",IF(COUNTIFS(UCRETLER!$B$7:$B$606,$B12,UCRETLER!$H$7:$H$606,"Aktif")&gt;0,"EVET","HAYIR"))</f>
        <v>EVET</v>
      </c>
      <c r="P12" s="65" t="str">
        <f t="shared" si="0"/>
        <v>UYGUN</v>
      </c>
      <c r="Q12" s="2"/>
      <c r="R12" s="2"/>
      <c r="S12" s="1"/>
      <c r="T12" s="1" t="str">
        <f t="shared" si="1"/>
        <v>ARONTOPTANLTDSTI</v>
      </c>
      <c r="U12" s="1">
        <f ca="1">IF($B12="","",COUNTIF($V$7:$V$156,"&gt;"&amp;$V12)+COUNTIF($V$7:$V12,$V12))</f>
        <v>34</v>
      </c>
      <c r="V12" s="1">
        <f ca="1">IF($B12="","",MAX(0,$J12+SUMIFS(UCRETLER!$I$7:$I$606,UCRETLER!$B$7:$B$606,$B12)+SUMIFS(GELIR_GIDER!$G$7:$G$3001,GELIR_GIDER!$T$7:$T$3001,$B12)-SUMIFS(TAHSILAT!$F$7:$F$2503,TAHSILAT!$C$7:$C$2503,$B12)))</f>
        <v>0</v>
      </c>
    </row>
    <row r="13" spans="1:22" ht="18" customHeight="1" x14ac:dyDescent="0.3">
      <c r="A13" s="2"/>
      <c r="B13" s="60" t="s">
        <v>582</v>
      </c>
      <c r="C13" s="61" t="s">
        <v>583</v>
      </c>
      <c r="D13" s="60" t="s">
        <v>571</v>
      </c>
      <c r="E13" s="61"/>
      <c r="F13" s="61"/>
      <c r="G13" s="61"/>
      <c r="H13" s="60" t="s">
        <v>572</v>
      </c>
      <c r="I13" s="62">
        <v>46023</v>
      </c>
      <c r="J13" s="63">
        <v>0</v>
      </c>
      <c r="K13" s="64"/>
      <c r="L13" s="61"/>
      <c r="M13" s="61"/>
      <c r="N13" s="60"/>
      <c r="O13" s="65" t="str">
        <f>IF($C13="","",IF(COUNTIFS(UCRETLER!$B$7:$B$606,$B13,UCRETLER!$H$7:$H$606,"Aktif")&gt;0,"EVET","HAYIR"))</f>
        <v>EVET</v>
      </c>
      <c r="P13" s="65" t="str">
        <f t="shared" si="0"/>
        <v>UYGUN</v>
      </c>
      <c r="Q13" s="2"/>
      <c r="R13" s="2"/>
      <c r="S13" s="1"/>
      <c r="T13" s="1" t="str">
        <f t="shared" si="1"/>
        <v>ASIMACIKGOZ</v>
      </c>
      <c r="U13" s="1">
        <f ca="1">IF($B13="","",COUNTIF($V$7:$V$156,"&gt;"&amp;$V13)+COUNTIF($V$7:$V13,$V13))</f>
        <v>35</v>
      </c>
      <c r="V13" s="1">
        <f ca="1">IF($B13="","",MAX(0,$J13+SUMIFS(UCRETLER!$I$7:$I$606,UCRETLER!$B$7:$B$606,$B13)+SUMIFS(GELIR_GIDER!$G$7:$G$3001,GELIR_GIDER!$T$7:$T$3001,$B13)-SUMIFS(TAHSILAT!$F$7:$F$2503,TAHSILAT!$C$7:$C$2503,$B13)))</f>
        <v>0</v>
      </c>
    </row>
    <row r="14" spans="1:22" ht="18" customHeight="1" x14ac:dyDescent="0.3">
      <c r="A14" s="2"/>
      <c r="B14" s="60" t="s">
        <v>584</v>
      </c>
      <c r="C14" s="61" t="s">
        <v>585</v>
      </c>
      <c r="D14" s="60" t="s">
        <v>571</v>
      </c>
      <c r="E14" s="61"/>
      <c r="F14" s="61"/>
      <c r="G14" s="61"/>
      <c r="H14" s="60" t="s">
        <v>572</v>
      </c>
      <c r="I14" s="62">
        <v>46023</v>
      </c>
      <c r="J14" s="63">
        <v>0</v>
      </c>
      <c r="K14" s="64"/>
      <c r="L14" s="61"/>
      <c r="M14" s="61"/>
      <c r="N14" s="60"/>
      <c r="O14" s="65" t="str">
        <f>IF($C14="","",IF(COUNTIFS(UCRETLER!$B$7:$B$606,$B14,UCRETLER!$H$7:$H$606,"Aktif")&gt;0,"EVET","HAYIR"))</f>
        <v>EVET</v>
      </c>
      <c r="P14" s="65" t="str">
        <f t="shared" si="0"/>
        <v>UYGUN</v>
      </c>
      <c r="Q14" s="2"/>
      <c r="R14" s="2"/>
      <c r="S14" s="1"/>
      <c r="T14" s="1" t="str">
        <f t="shared" si="1"/>
        <v>ASMEGLENCELTDSTI</v>
      </c>
      <c r="U14" s="1">
        <f ca="1">IF($B14="","",COUNTIF($V$7:$V$156,"&gt;"&amp;$V14)+COUNTIF($V$7:$V14,$V14))</f>
        <v>36</v>
      </c>
      <c r="V14" s="1">
        <f ca="1">IF($B14="","",MAX(0,$J14+SUMIFS(UCRETLER!$I$7:$I$606,UCRETLER!$B$7:$B$606,$B14)+SUMIFS(GELIR_GIDER!$G$7:$G$3001,GELIR_GIDER!$T$7:$T$3001,$B14)-SUMIFS(TAHSILAT!$F$7:$F$2503,TAHSILAT!$C$7:$C$2503,$B14)))</f>
        <v>0</v>
      </c>
    </row>
    <row r="15" spans="1:22" ht="18" customHeight="1" x14ac:dyDescent="0.3">
      <c r="A15" s="2"/>
      <c r="B15" s="60" t="s">
        <v>586</v>
      </c>
      <c r="C15" s="61" t="s">
        <v>587</v>
      </c>
      <c r="D15" s="60" t="s">
        <v>571</v>
      </c>
      <c r="E15" s="61"/>
      <c r="F15" s="61"/>
      <c r="G15" s="61"/>
      <c r="H15" s="60" t="s">
        <v>572</v>
      </c>
      <c r="I15" s="62">
        <v>46023</v>
      </c>
      <c r="J15" s="63">
        <v>0</v>
      </c>
      <c r="K15" s="64"/>
      <c r="L15" s="61"/>
      <c r="M15" s="61"/>
      <c r="N15" s="60"/>
      <c r="O15" s="65" t="str">
        <f>IF($C15="","",IF(COUNTIFS(UCRETLER!$B$7:$B$606,$B15,UCRETLER!$H$7:$H$606,"Aktif")&gt;0,"EVET","HAYIR"))</f>
        <v>EVET</v>
      </c>
      <c r="P15" s="65" t="str">
        <f t="shared" si="0"/>
        <v>UYGUN</v>
      </c>
      <c r="Q15" s="2"/>
      <c r="R15" s="2"/>
      <c r="S15" s="1"/>
      <c r="T15" s="1" t="str">
        <f t="shared" si="1"/>
        <v>AYDESLTDSTI</v>
      </c>
      <c r="U15" s="1">
        <f ca="1">IF($B15="","",COUNTIF($V$7:$V$156,"&gt;"&amp;$V15)+COUNTIF($V$7:$V15,$V15))</f>
        <v>9</v>
      </c>
      <c r="V15" s="1">
        <f ca="1">IF($B15="","",MAX(0,$J15+SUMIFS(UCRETLER!$I$7:$I$606,UCRETLER!$B$7:$B$606,$B15)+SUMIFS(GELIR_GIDER!$G$7:$G$3001,GELIR_GIDER!$T$7:$T$3001,$B15)-SUMIFS(TAHSILAT!$F$7:$F$2503,TAHSILAT!$C$7:$C$2503,$B15)))</f>
        <v>52500</v>
      </c>
    </row>
    <row r="16" spans="1:22" ht="18" customHeight="1" x14ac:dyDescent="0.3">
      <c r="A16" s="2"/>
      <c r="B16" s="60" t="s">
        <v>588</v>
      </c>
      <c r="C16" s="61" t="s">
        <v>589</v>
      </c>
      <c r="D16" s="60" t="s">
        <v>571</v>
      </c>
      <c r="E16" s="61"/>
      <c r="F16" s="61"/>
      <c r="G16" s="61"/>
      <c r="H16" s="60" t="s">
        <v>572</v>
      </c>
      <c r="I16" s="62">
        <v>46023</v>
      </c>
      <c r="J16" s="63">
        <v>0</v>
      </c>
      <c r="K16" s="64"/>
      <c r="L16" s="61"/>
      <c r="M16" s="61"/>
      <c r="N16" s="60"/>
      <c r="O16" s="65" t="str">
        <f>IF($C16="","",IF(COUNTIFS(UCRETLER!$B$7:$B$606,$B16,UCRETLER!$H$7:$H$606,"Aktif")&gt;0,"EVET","HAYIR"))</f>
        <v>EVET</v>
      </c>
      <c r="P16" s="65" t="str">
        <f t="shared" si="0"/>
        <v>UYGUN</v>
      </c>
      <c r="Q16" s="2"/>
      <c r="R16" s="2"/>
      <c r="S16" s="1"/>
      <c r="T16" s="1" t="str">
        <f t="shared" si="1"/>
        <v>CAYIRALANLTDSTI</v>
      </c>
      <c r="U16" s="1">
        <f ca="1">IF($B16="","",COUNTIF($V$7:$V$156,"&gt;"&amp;$V16)+COUNTIF($V$7:$V16,$V16))</f>
        <v>37</v>
      </c>
      <c r="V16" s="1">
        <f ca="1">IF($B16="","",MAX(0,$J16+SUMIFS(UCRETLER!$I$7:$I$606,UCRETLER!$B$7:$B$606,$B16)+SUMIFS(GELIR_GIDER!$G$7:$G$3001,GELIR_GIDER!$T$7:$T$3001,$B16)-SUMIFS(TAHSILAT!$F$7:$F$2503,TAHSILAT!$C$7:$C$2503,$B16)))</f>
        <v>0</v>
      </c>
    </row>
    <row r="17" spans="1:22" ht="18" customHeight="1" x14ac:dyDescent="0.3">
      <c r="A17" s="2"/>
      <c r="B17" s="60" t="s">
        <v>590</v>
      </c>
      <c r="C17" s="61" t="s">
        <v>591</v>
      </c>
      <c r="D17" s="60" t="s">
        <v>571</v>
      </c>
      <c r="E17" s="61"/>
      <c r="F17" s="61"/>
      <c r="G17" s="61"/>
      <c r="H17" s="60" t="s">
        <v>572</v>
      </c>
      <c r="I17" s="62">
        <v>46023</v>
      </c>
      <c r="J17" s="63">
        <v>0</v>
      </c>
      <c r="K17" s="64"/>
      <c r="L17" s="61"/>
      <c r="M17" s="61"/>
      <c r="N17" s="60"/>
      <c r="O17" s="65" t="str">
        <f>IF($C17="","",IF(COUNTIFS(UCRETLER!$B$7:$B$606,$B17,UCRETLER!$H$7:$H$606,"Aktif")&gt;0,"EVET","HAYIR"))</f>
        <v>EVET</v>
      </c>
      <c r="P17" s="65" t="str">
        <f t="shared" si="0"/>
        <v>UYGUN</v>
      </c>
      <c r="Q17" s="2"/>
      <c r="R17" s="2"/>
      <c r="S17" s="1"/>
      <c r="T17" s="1" t="str">
        <f t="shared" si="1"/>
        <v>CERENDEMIRCI</v>
      </c>
      <c r="U17" s="1">
        <f ca="1">IF($B17="","",COUNTIF($V$7:$V$156,"&gt;"&amp;$V17)+COUNTIF($V$7:$V17,$V17))</f>
        <v>21</v>
      </c>
      <c r="V17" s="1">
        <f ca="1">IF($B17="","",MAX(0,$J17+SUMIFS(UCRETLER!$I$7:$I$606,UCRETLER!$B$7:$B$606,$B17)+SUMIFS(GELIR_GIDER!$G$7:$G$3001,GELIR_GIDER!$T$7:$T$3001,$B17)-SUMIFS(TAHSILAT!$F$7:$F$2503,TAHSILAT!$C$7:$C$2503,$B17)))</f>
        <v>8000</v>
      </c>
    </row>
    <row r="18" spans="1:22" ht="18" customHeight="1" x14ac:dyDescent="0.3">
      <c r="A18" s="2"/>
      <c r="B18" s="60" t="s">
        <v>592</v>
      </c>
      <c r="C18" s="61" t="s">
        <v>593</v>
      </c>
      <c r="D18" s="60" t="s">
        <v>571</v>
      </c>
      <c r="E18" s="61"/>
      <c r="F18" s="61"/>
      <c r="G18" s="61"/>
      <c r="H18" s="60" t="s">
        <v>572</v>
      </c>
      <c r="I18" s="62">
        <v>46023</v>
      </c>
      <c r="J18" s="63">
        <v>0</v>
      </c>
      <c r="K18" s="64"/>
      <c r="L18" s="61"/>
      <c r="M18" s="61"/>
      <c r="N18" s="60"/>
      <c r="O18" s="65" t="str">
        <f>IF($C18="","",IF(COUNTIFS(UCRETLER!$B$7:$B$606,$B18,UCRETLER!$H$7:$H$606,"Aktif")&gt;0,"EVET","HAYIR"))</f>
        <v>EVET</v>
      </c>
      <c r="P18" s="65" t="str">
        <f t="shared" si="0"/>
        <v>UYGUN</v>
      </c>
      <c r="Q18" s="2"/>
      <c r="R18" s="2"/>
      <c r="S18" s="1"/>
      <c r="T18" s="1" t="str">
        <f t="shared" si="1"/>
        <v>CINARHANLTDSTI</v>
      </c>
      <c r="U18" s="1">
        <f ca="1">IF($B18="","",COUNTIF($V$7:$V$156,"&gt;"&amp;$V18)+COUNTIF($V$7:$V18,$V18))</f>
        <v>38</v>
      </c>
      <c r="V18" s="1">
        <f ca="1">IF($B18="","",MAX(0,$J18+SUMIFS(UCRETLER!$I$7:$I$606,UCRETLER!$B$7:$B$606,$B18)+SUMIFS(GELIR_GIDER!$G$7:$G$3001,GELIR_GIDER!$T$7:$T$3001,$B18)-SUMIFS(TAHSILAT!$F$7:$F$2503,TAHSILAT!$C$7:$C$2503,$B18)))</f>
        <v>0</v>
      </c>
    </row>
    <row r="19" spans="1:22" ht="18" customHeight="1" x14ac:dyDescent="0.3">
      <c r="A19" s="2"/>
      <c r="B19" s="60" t="s">
        <v>594</v>
      </c>
      <c r="C19" s="61" t="s">
        <v>595</v>
      </c>
      <c r="D19" s="60" t="s">
        <v>571</v>
      </c>
      <c r="E19" s="61"/>
      <c r="F19" s="61"/>
      <c r="G19" s="61"/>
      <c r="H19" s="60" t="s">
        <v>572</v>
      </c>
      <c r="I19" s="62">
        <v>46023</v>
      </c>
      <c r="J19" s="63">
        <v>0</v>
      </c>
      <c r="K19" s="64"/>
      <c r="L19" s="61"/>
      <c r="M19" s="61"/>
      <c r="N19" s="60"/>
      <c r="O19" s="65" t="str">
        <f>IF($C19="","",IF(COUNTIFS(UCRETLER!$B$7:$B$606,$B19,UCRETLER!$H$7:$H$606,"Aktif")&gt;0,"EVET","HAYIR"))</f>
        <v>EVET</v>
      </c>
      <c r="P19" s="65" t="str">
        <f t="shared" si="0"/>
        <v>UYGUN</v>
      </c>
      <c r="Q19" s="2"/>
      <c r="R19" s="2"/>
      <c r="S19" s="1"/>
      <c r="T19" s="1" t="str">
        <f t="shared" si="1"/>
        <v>DERVISHANLTDSTI</v>
      </c>
      <c r="U19" s="1">
        <f ca="1">IF($B19="","",COUNTIF($V$7:$V$156,"&gt;"&amp;$V19)+COUNTIF($V$7:$V19,$V19))</f>
        <v>6</v>
      </c>
      <c r="V19" s="1">
        <f ca="1">IF($B19="","",MAX(0,$J19+SUMIFS(UCRETLER!$I$7:$I$606,UCRETLER!$B$7:$B$606,$B19)+SUMIFS(GELIR_GIDER!$G$7:$G$3001,GELIR_GIDER!$T$7:$T$3001,$B19)-SUMIFS(TAHSILAT!$F$7:$F$2503,TAHSILAT!$C$7:$C$2503,$B19)))</f>
        <v>70000</v>
      </c>
    </row>
    <row r="20" spans="1:22" ht="18" customHeight="1" x14ac:dyDescent="0.3">
      <c r="A20" s="2"/>
      <c r="B20" s="60" t="s">
        <v>596</v>
      </c>
      <c r="C20" s="61" t="s">
        <v>597</v>
      </c>
      <c r="D20" s="60" t="s">
        <v>571</v>
      </c>
      <c r="E20" s="61"/>
      <c r="F20" s="61"/>
      <c r="G20" s="61"/>
      <c r="H20" s="60" t="s">
        <v>572</v>
      </c>
      <c r="I20" s="62">
        <v>46039</v>
      </c>
      <c r="J20" s="63">
        <v>0</v>
      </c>
      <c r="K20" s="64"/>
      <c r="L20" s="61"/>
      <c r="M20" s="61"/>
      <c r="N20" s="60"/>
      <c r="O20" s="65" t="str">
        <f>IF($C20="","",IF(COUNTIFS(UCRETLER!$B$7:$B$606,$B20,UCRETLER!$H$7:$H$606,"Aktif")&gt;0,"EVET","HAYIR"))</f>
        <v>EVET</v>
      </c>
      <c r="P20" s="65" t="str">
        <f t="shared" si="0"/>
        <v>UYGUN</v>
      </c>
      <c r="Q20" s="2"/>
      <c r="R20" s="2"/>
      <c r="S20" s="1"/>
      <c r="T20" s="1" t="str">
        <f t="shared" si="1"/>
        <v>EGLENGORLTDSTI</v>
      </c>
      <c r="U20" s="1">
        <f ca="1">IF($B20="","",COUNTIF($V$7:$V$156,"&gt;"&amp;$V20)+COUNTIF($V$7:$V20,$V20))</f>
        <v>39</v>
      </c>
      <c r="V20" s="1">
        <f ca="1">IF($B20="","",MAX(0,$J20+SUMIFS(UCRETLER!$I$7:$I$606,UCRETLER!$B$7:$B$606,$B20)+SUMIFS(GELIR_GIDER!$G$7:$G$3001,GELIR_GIDER!$T$7:$T$3001,$B20)-SUMIFS(TAHSILAT!$F$7:$F$2503,TAHSILAT!$C$7:$C$2503,$B20)))</f>
        <v>0</v>
      </c>
    </row>
    <row r="21" spans="1:22" ht="18" customHeight="1" x14ac:dyDescent="0.3">
      <c r="A21" s="2"/>
      <c r="B21" s="60" t="s">
        <v>598</v>
      </c>
      <c r="C21" s="61" t="s">
        <v>599</v>
      </c>
      <c r="D21" s="60" t="s">
        <v>571</v>
      </c>
      <c r="E21" s="61"/>
      <c r="F21" s="61"/>
      <c r="G21" s="61"/>
      <c r="H21" s="60" t="s">
        <v>572</v>
      </c>
      <c r="I21" s="62">
        <v>46023</v>
      </c>
      <c r="J21" s="63">
        <v>0</v>
      </c>
      <c r="K21" s="64"/>
      <c r="L21" s="61"/>
      <c r="M21" s="61"/>
      <c r="N21" s="60"/>
      <c r="O21" s="65" t="str">
        <f>IF($C21="","",IF(COUNTIFS(UCRETLER!$B$7:$B$606,$B21,UCRETLER!$H$7:$H$606,"Aktif")&gt;0,"EVET","HAYIR"))</f>
        <v>EVET</v>
      </c>
      <c r="P21" s="65" t="str">
        <f t="shared" si="0"/>
        <v>UYGUN</v>
      </c>
      <c r="Q21" s="2"/>
      <c r="R21" s="2"/>
      <c r="S21" s="1"/>
      <c r="T21" s="1" t="str">
        <f t="shared" si="1"/>
        <v>EMRAHSAVURKAN</v>
      </c>
      <c r="U21" s="1">
        <f ca="1">IF($B21="","",COUNTIF($V$7:$V$156,"&gt;"&amp;$V21)+COUNTIF($V$7:$V21,$V21))</f>
        <v>22</v>
      </c>
      <c r="V21" s="1">
        <f ca="1">IF($B21="","",MAX(0,$J21+SUMIFS(UCRETLER!$I$7:$I$606,UCRETLER!$B$7:$B$606,$B21)+SUMIFS(GELIR_GIDER!$G$7:$G$3001,GELIR_GIDER!$T$7:$T$3001,$B21)-SUMIFS(TAHSILAT!$F$7:$F$2503,TAHSILAT!$C$7:$C$2503,$B21)))</f>
        <v>8000</v>
      </c>
    </row>
    <row r="22" spans="1:22" ht="18" customHeight="1" x14ac:dyDescent="0.3">
      <c r="A22" s="2"/>
      <c r="B22" s="60" t="s">
        <v>600</v>
      </c>
      <c r="C22" s="61" t="s">
        <v>601</v>
      </c>
      <c r="D22" s="60" t="s">
        <v>571</v>
      </c>
      <c r="E22" s="61"/>
      <c r="F22" s="61"/>
      <c r="G22" s="61"/>
      <c r="H22" s="60" t="s">
        <v>572</v>
      </c>
      <c r="I22" s="62">
        <v>46023</v>
      </c>
      <c r="J22" s="63">
        <v>0</v>
      </c>
      <c r="K22" s="64"/>
      <c r="L22" s="61"/>
      <c r="M22" s="61"/>
      <c r="N22" s="60"/>
      <c r="O22" s="65" t="str">
        <f>IF($C22="","",IF(COUNTIFS(UCRETLER!$B$7:$B$606,$B22,UCRETLER!$H$7:$H$606,"Aktif")&gt;0,"EVET","HAYIR"))</f>
        <v>EVET</v>
      </c>
      <c r="P22" s="65" t="str">
        <f t="shared" si="0"/>
        <v>UYGUN</v>
      </c>
      <c r="Q22" s="2"/>
      <c r="R22" s="2"/>
      <c r="S22" s="1"/>
      <c r="T22" s="1" t="str">
        <f t="shared" si="1"/>
        <v>ESERLILTDSTI</v>
      </c>
      <c r="U22" s="1">
        <f ca="1">IF($B22="","",COUNTIF($V$7:$V$156,"&gt;"&amp;$V22)+COUNTIF($V$7:$V22,$V22))</f>
        <v>2</v>
      </c>
      <c r="V22" s="1">
        <f ca="1">IF($B22="","",MAX(0,$J22+SUMIFS(UCRETLER!$I$7:$I$606,UCRETLER!$B$7:$B$606,$B22)+SUMIFS(GELIR_GIDER!$G$7:$G$3001,GELIR_GIDER!$T$7:$T$3001,$B22)-SUMIFS(TAHSILAT!$F$7:$F$2503,TAHSILAT!$C$7:$C$2503,$B22)))</f>
        <v>108500</v>
      </c>
    </row>
    <row r="23" spans="1:22" ht="18" customHeight="1" x14ac:dyDescent="0.3">
      <c r="A23" s="2"/>
      <c r="B23" s="60" t="s">
        <v>602</v>
      </c>
      <c r="C23" s="61" t="s">
        <v>603</v>
      </c>
      <c r="D23" s="60" t="s">
        <v>571</v>
      </c>
      <c r="E23" s="61"/>
      <c r="F23" s="61"/>
      <c r="G23" s="61"/>
      <c r="H23" s="60" t="s">
        <v>572</v>
      </c>
      <c r="I23" s="62">
        <v>46023</v>
      </c>
      <c r="J23" s="63">
        <v>0</v>
      </c>
      <c r="K23" s="64"/>
      <c r="L23" s="61"/>
      <c r="M23" s="61"/>
      <c r="N23" s="60"/>
      <c r="O23" s="65" t="str">
        <f>IF($C23="","",IF(COUNTIFS(UCRETLER!$B$7:$B$606,$B23,UCRETLER!$H$7:$H$606,"Aktif")&gt;0,"EVET","HAYIR"))</f>
        <v>EVET</v>
      </c>
      <c r="P23" s="65" t="str">
        <f t="shared" si="0"/>
        <v>UYGUN</v>
      </c>
      <c r="Q23" s="2"/>
      <c r="R23" s="2"/>
      <c r="S23" s="1"/>
      <c r="T23" s="1" t="str">
        <f t="shared" si="1"/>
        <v>FARUKDEMIRCI</v>
      </c>
      <c r="U23" s="1">
        <f ca="1">IF($B23="","",COUNTIF($V$7:$V$156,"&gt;"&amp;$V23)+COUNTIF($V$7:$V23,$V23))</f>
        <v>25</v>
      </c>
      <c r="V23" s="1">
        <f ca="1">IF($B23="","",MAX(0,$J23+SUMIFS(UCRETLER!$I$7:$I$606,UCRETLER!$B$7:$B$606,$B23)+SUMIFS(GELIR_GIDER!$G$7:$G$3001,GELIR_GIDER!$T$7:$T$3001,$B23)-SUMIFS(TAHSILAT!$F$7:$F$2503,TAHSILAT!$C$7:$C$2503,$B23)))</f>
        <v>6000</v>
      </c>
    </row>
    <row r="24" spans="1:22" ht="18" customHeight="1" x14ac:dyDescent="0.3">
      <c r="A24" s="2"/>
      <c r="B24" s="60" t="s">
        <v>604</v>
      </c>
      <c r="C24" s="61" t="s">
        <v>605</v>
      </c>
      <c r="D24" s="60" t="s">
        <v>571</v>
      </c>
      <c r="E24" s="61"/>
      <c r="F24" s="61"/>
      <c r="G24" s="61"/>
      <c r="H24" s="60" t="s">
        <v>572</v>
      </c>
      <c r="I24" s="62">
        <v>46023</v>
      </c>
      <c r="J24" s="63">
        <v>0</v>
      </c>
      <c r="K24" s="64"/>
      <c r="L24" s="61"/>
      <c r="M24" s="61"/>
      <c r="N24" s="60"/>
      <c r="O24" s="65" t="str">
        <f>IF($C24="","",IF(COUNTIFS(UCRETLER!$B$7:$B$606,$B24,UCRETLER!$H$7:$H$606,"Aktif")&gt;0,"EVET","HAYIR"))</f>
        <v>EVET</v>
      </c>
      <c r="P24" s="65" t="str">
        <f t="shared" si="0"/>
        <v>UYGUN</v>
      </c>
      <c r="Q24" s="2"/>
      <c r="R24" s="2"/>
      <c r="S24" s="1"/>
      <c r="T24" s="1" t="str">
        <f t="shared" si="1"/>
        <v>FINALSIYAHBEYAZLTDSTI</v>
      </c>
      <c r="U24" s="1">
        <f ca="1">IF($B24="","",COUNTIF($V$7:$V$156,"&gt;"&amp;$V24)+COUNTIF($V$7:$V24,$V24))</f>
        <v>40</v>
      </c>
      <c r="V24" s="1">
        <f ca="1">IF($B24="","",MAX(0,$J24+SUMIFS(UCRETLER!$I$7:$I$606,UCRETLER!$B$7:$B$606,$B24)+SUMIFS(GELIR_GIDER!$G$7:$G$3001,GELIR_GIDER!$T$7:$T$3001,$B24)-SUMIFS(TAHSILAT!$F$7:$F$2503,TAHSILAT!$C$7:$C$2503,$B24)))</f>
        <v>0</v>
      </c>
    </row>
    <row r="25" spans="1:22" ht="18" customHeight="1" x14ac:dyDescent="0.3">
      <c r="A25" s="2"/>
      <c r="B25" s="60" t="s">
        <v>606</v>
      </c>
      <c r="C25" s="61" t="s">
        <v>607</v>
      </c>
      <c r="D25" s="60" t="s">
        <v>571</v>
      </c>
      <c r="E25" s="61"/>
      <c r="F25" s="61"/>
      <c r="G25" s="61"/>
      <c r="H25" s="60" t="s">
        <v>572</v>
      </c>
      <c r="I25" s="62">
        <v>46023</v>
      </c>
      <c r="J25" s="63">
        <v>0</v>
      </c>
      <c r="K25" s="64"/>
      <c r="L25" s="61"/>
      <c r="M25" s="61"/>
      <c r="N25" s="60"/>
      <c r="O25" s="65" t="str">
        <f>IF($C25="","",IF(COUNTIFS(UCRETLER!$B$7:$B$606,$B25,UCRETLER!$H$7:$H$606,"Aktif")&gt;0,"EVET","HAYIR"))</f>
        <v>EVET</v>
      </c>
      <c r="P25" s="65" t="str">
        <f t="shared" si="0"/>
        <v>UYGUN</v>
      </c>
      <c r="Q25" s="2"/>
      <c r="R25" s="2"/>
      <c r="S25" s="1"/>
      <c r="T25" s="1" t="str">
        <f t="shared" si="1"/>
        <v>HALILAVSAR</v>
      </c>
      <c r="U25" s="1">
        <f ca="1">IF($B25="","",COUNTIF($V$7:$V$156,"&gt;"&amp;$V25)+COUNTIF($V$7:$V25,$V25))</f>
        <v>29</v>
      </c>
      <c r="V25" s="1">
        <f ca="1">IF($B25="","",MAX(0,$J25+SUMIFS(UCRETLER!$I$7:$I$606,UCRETLER!$B$7:$B$606,$B25)+SUMIFS(GELIR_GIDER!$G$7:$G$3001,GELIR_GIDER!$T$7:$T$3001,$B25)-SUMIFS(TAHSILAT!$F$7:$F$2503,TAHSILAT!$C$7:$C$2503,$B25)))</f>
        <v>3000</v>
      </c>
    </row>
    <row r="26" spans="1:22" ht="18" customHeight="1" x14ac:dyDescent="0.3">
      <c r="A26" s="2"/>
      <c r="B26" s="60" t="s">
        <v>608</v>
      </c>
      <c r="C26" s="61" t="s">
        <v>609</v>
      </c>
      <c r="D26" s="60" t="s">
        <v>571</v>
      </c>
      <c r="E26" s="61"/>
      <c r="F26" s="61"/>
      <c r="G26" s="61"/>
      <c r="H26" s="60" t="s">
        <v>572</v>
      </c>
      <c r="I26" s="62">
        <v>46023</v>
      </c>
      <c r="J26" s="63">
        <v>0</v>
      </c>
      <c r="K26" s="64"/>
      <c r="L26" s="61"/>
      <c r="M26" s="61"/>
      <c r="N26" s="60"/>
      <c r="O26" s="65" t="str">
        <f>IF($C26="","",IF(COUNTIFS(UCRETLER!$B$7:$B$606,$B26,UCRETLER!$H$7:$H$606,"Aktif")&gt;0,"EVET","HAYIR"))</f>
        <v>EVET</v>
      </c>
      <c r="P26" s="65" t="str">
        <f t="shared" si="0"/>
        <v>UYGUN</v>
      </c>
      <c r="Q26" s="2"/>
      <c r="R26" s="2"/>
      <c r="S26" s="1"/>
      <c r="T26" s="1" t="str">
        <f t="shared" si="1"/>
        <v>HAYDARKAYA</v>
      </c>
      <c r="U26" s="1">
        <f ca="1">IF($B26="","",COUNTIF($V$7:$V$156,"&gt;"&amp;$V26)+COUNTIF($V$7:$V26,$V26))</f>
        <v>24</v>
      </c>
      <c r="V26" s="1">
        <f ca="1">IF($B26="","",MAX(0,$J26+SUMIFS(UCRETLER!$I$7:$I$606,UCRETLER!$B$7:$B$606,$B26)+SUMIFS(GELIR_GIDER!$G$7:$G$3001,GELIR_GIDER!$T$7:$T$3001,$B26)-SUMIFS(TAHSILAT!$F$7:$F$2503,TAHSILAT!$C$7:$C$2503,$B26)))</f>
        <v>7000</v>
      </c>
    </row>
    <row r="27" spans="1:22" ht="18" customHeight="1" x14ac:dyDescent="0.3">
      <c r="A27" s="2"/>
      <c r="B27" s="60" t="s">
        <v>610</v>
      </c>
      <c r="C27" s="61" t="s">
        <v>611</v>
      </c>
      <c r="D27" s="60" t="s">
        <v>571</v>
      </c>
      <c r="E27" s="61"/>
      <c r="F27" s="61"/>
      <c r="G27" s="61"/>
      <c r="H27" s="60" t="s">
        <v>572</v>
      </c>
      <c r="I27" s="62">
        <v>46023</v>
      </c>
      <c r="J27" s="63">
        <v>0</v>
      </c>
      <c r="K27" s="64"/>
      <c r="L27" s="61"/>
      <c r="M27" s="61"/>
      <c r="N27" s="60"/>
      <c r="O27" s="65" t="str">
        <f>IF($C27="","",IF(COUNTIFS(UCRETLER!$B$7:$B$606,$B27,UCRETLER!$H$7:$H$606,"Aktif")&gt;0,"EVET","HAYIR"))</f>
        <v>EVET</v>
      </c>
      <c r="P27" s="65" t="str">
        <f t="shared" si="0"/>
        <v>UYGUN</v>
      </c>
      <c r="Q27" s="2"/>
      <c r="R27" s="2"/>
      <c r="S27" s="1"/>
      <c r="T27" s="1" t="str">
        <f t="shared" si="1"/>
        <v>IBRAHIMMALDAN</v>
      </c>
      <c r="U27" s="1">
        <f ca="1">IF($B27="","",COUNTIF($V$7:$V$156,"&gt;"&amp;$V27)+COUNTIF($V$7:$V27,$V27))</f>
        <v>7</v>
      </c>
      <c r="V27" s="1">
        <f ca="1">IF($B27="","",MAX(0,$J27+SUMIFS(UCRETLER!$I$7:$I$606,UCRETLER!$B$7:$B$606,$B27)+SUMIFS(GELIR_GIDER!$G$7:$G$3001,GELIR_GIDER!$T$7:$T$3001,$B27)-SUMIFS(TAHSILAT!$F$7:$F$2503,TAHSILAT!$C$7:$C$2503,$B27)))</f>
        <v>67000</v>
      </c>
    </row>
    <row r="28" spans="1:22" ht="18" customHeight="1" x14ac:dyDescent="0.3">
      <c r="A28" s="2"/>
      <c r="B28" s="60" t="s">
        <v>612</v>
      </c>
      <c r="C28" s="61" t="s">
        <v>613</v>
      </c>
      <c r="D28" s="60" t="s">
        <v>571</v>
      </c>
      <c r="E28" s="61"/>
      <c r="F28" s="61"/>
      <c r="G28" s="61"/>
      <c r="H28" s="60" t="s">
        <v>572</v>
      </c>
      <c r="I28" s="62">
        <v>46023</v>
      </c>
      <c r="J28" s="63">
        <v>0</v>
      </c>
      <c r="K28" s="64"/>
      <c r="L28" s="61"/>
      <c r="M28" s="61"/>
      <c r="N28" s="60"/>
      <c r="O28" s="65" t="str">
        <f>IF($C28="","",IF(COUNTIFS(UCRETLER!$B$7:$B$606,$B28,UCRETLER!$H$7:$H$606,"Aktif")&gt;0,"EVET","HAYIR"))</f>
        <v>EVET</v>
      </c>
      <c r="P28" s="65" t="str">
        <f t="shared" si="0"/>
        <v>UYGUN</v>
      </c>
      <c r="Q28" s="2"/>
      <c r="R28" s="2"/>
      <c r="S28" s="1"/>
      <c r="T28" s="1" t="str">
        <f t="shared" si="1"/>
        <v>ILDESLTDSTI</v>
      </c>
      <c r="U28" s="1">
        <f ca="1">IF($B28="","",COUNTIF($V$7:$V$156,"&gt;"&amp;$V28)+COUNTIF($V$7:$V28,$V28))</f>
        <v>41</v>
      </c>
      <c r="V28" s="1">
        <f ca="1">IF($B28="","",MAX(0,$J28+SUMIFS(UCRETLER!$I$7:$I$606,UCRETLER!$B$7:$B$606,$B28)+SUMIFS(GELIR_GIDER!$G$7:$G$3001,GELIR_GIDER!$T$7:$T$3001,$B28)-SUMIFS(TAHSILAT!$F$7:$F$2503,TAHSILAT!$C$7:$C$2503,$B28)))</f>
        <v>0</v>
      </c>
    </row>
    <row r="29" spans="1:22" ht="18" customHeight="1" x14ac:dyDescent="0.3">
      <c r="A29" s="2"/>
      <c r="B29" s="60" t="s">
        <v>614</v>
      </c>
      <c r="C29" s="61" t="s">
        <v>615</v>
      </c>
      <c r="D29" s="60" t="s">
        <v>571</v>
      </c>
      <c r="E29" s="61"/>
      <c r="F29" s="61"/>
      <c r="G29" s="61"/>
      <c r="H29" s="60" t="s">
        <v>572</v>
      </c>
      <c r="I29" s="62">
        <v>46023</v>
      </c>
      <c r="J29" s="63">
        <v>0</v>
      </c>
      <c r="K29" s="64"/>
      <c r="L29" s="61"/>
      <c r="M29" s="61"/>
      <c r="N29" s="60"/>
      <c r="O29" s="65" t="str">
        <f>IF($C29="","",IF(COUNTIFS(UCRETLER!$B$7:$B$606,$B29,UCRETLER!$H$7:$H$606,"Aktif")&gt;0,"EVET","HAYIR"))</f>
        <v>EVET</v>
      </c>
      <c r="P29" s="65" t="str">
        <f t="shared" si="0"/>
        <v>UYGUN</v>
      </c>
      <c r="Q29" s="2"/>
      <c r="R29" s="2"/>
      <c r="S29" s="1"/>
      <c r="T29" s="1" t="str">
        <f t="shared" si="1"/>
        <v>ISADEMIRCI</v>
      </c>
      <c r="U29" s="1">
        <f ca="1">IF($B29="","",COUNTIF($V$7:$V$156,"&gt;"&amp;$V29)+COUNTIF($V$7:$V29,$V29))</f>
        <v>42</v>
      </c>
      <c r="V29" s="1">
        <f ca="1">IF($B29="","",MAX(0,$J29+SUMIFS(UCRETLER!$I$7:$I$606,UCRETLER!$B$7:$B$606,$B29)+SUMIFS(GELIR_GIDER!$G$7:$G$3001,GELIR_GIDER!$T$7:$T$3001,$B29)-SUMIFS(TAHSILAT!$F$7:$F$2503,TAHSILAT!$C$7:$C$2503,$B29)))</f>
        <v>0</v>
      </c>
    </row>
    <row r="30" spans="1:22" ht="18" customHeight="1" x14ac:dyDescent="0.3">
      <c r="A30" s="2"/>
      <c r="B30" s="60" t="s">
        <v>616</v>
      </c>
      <c r="C30" s="61" t="s">
        <v>617</v>
      </c>
      <c r="D30" s="60" t="s">
        <v>571</v>
      </c>
      <c r="E30" s="61"/>
      <c r="F30" s="61"/>
      <c r="G30" s="61"/>
      <c r="H30" s="60" t="s">
        <v>572</v>
      </c>
      <c r="I30" s="62">
        <v>46023</v>
      </c>
      <c r="J30" s="63">
        <v>0</v>
      </c>
      <c r="K30" s="64"/>
      <c r="L30" s="61"/>
      <c r="M30" s="61"/>
      <c r="N30" s="60"/>
      <c r="O30" s="65" t="str">
        <f>IF($C30="","",IF(COUNTIFS(UCRETLER!$B$7:$B$606,$B30,UCRETLER!$H$7:$H$606,"Aktif")&gt;0,"EVET","HAYIR"))</f>
        <v>EVET</v>
      </c>
      <c r="P30" s="65" t="str">
        <f t="shared" si="0"/>
        <v>UYGUN</v>
      </c>
      <c r="Q30" s="2"/>
      <c r="R30" s="2"/>
      <c r="S30" s="1"/>
      <c r="T30" s="1" t="str">
        <f t="shared" si="1"/>
        <v>ISILGRUPLTDSTI</v>
      </c>
      <c r="U30" s="1">
        <f ca="1">IF($B30="","",COUNTIF($V$7:$V$156,"&gt;"&amp;$V30)+COUNTIF($V$7:$V30,$V30))</f>
        <v>10</v>
      </c>
      <c r="V30" s="1">
        <f ca="1">IF($B30="","",MAX(0,$J30+SUMIFS(UCRETLER!$I$7:$I$606,UCRETLER!$B$7:$B$606,$B30)+SUMIFS(GELIR_GIDER!$G$7:$G$3001,GELIR_GIDER!$T$7:$T$3001,$B30)-SUMIFS(TAHSILAT!$F$7:$F$2503,TAHSILAT!$C$7:$C$2503,$B30)))</f>
        <v>47500</v>
      </c>
    </row>
    <row r="31" spans="1:22" ht="18" customHeight="1" x14ac:dyDescent="0.3">
      <c r="A31" s="2"/>
      <c r="B31" s="60" t="s">
        <v>618</v>
      </c>
      <c r="C31" s="61" t="s">
        <v>619</v>
      </c>
      <c r="D31" s="60" t="s">
        <v>571</v>
      </c>
      <c r="E31" s="61"/>
      <c r="F31" s="61"/>
      <c r="G31" s="61"/>
      <c r="H31" s="60" t="s">
        <v>572</v>
      </c>
      <c r="I31" s="62">
        <v>46023</v>
      </c>
      <c r="J31" s="63">
        <v>0</v>
      </c>
      <c r="K31" s="64"/>
      <c r="L31" s="61"/>
      <c r="M31" s="61"/>
      <c r="N31" s="60"/>
      <c r="O31" s="65" t="str">
        <f>IF($C31="","",IF(COUNTIFS(UCRETLER!$B$7:$B$606,$B31,UCRETLER!$H$7:$H$606,"Aktif")&gt;0,"EVET","HAYIR"))</f>
        <v>EVET</v>
      </c>
      <c r="P31" s="65" t="str">
        <f t="shared" si="0"/>
        <v>UYGUN</v>
      </c>
      <c r="Q31" s="2"/>
      <c r="R31" s="2"/>
      <c r="S31" s="1"/>
      <c r="T31" s="1" t="str">
        <f t="shared" si="1"/>
        <v>ISMAILAKPINAR</v>
      </c>
      <c r="U31" s="1">
        <f ca="1">IF($B31="","",COUNTIF($V$7:$V$156,"&gt;"&amp;$V31)+COUNTIF($V$7:$V31,$V31))</f>
        <v>18</v>
      </c>
      <c r="V31" s="1">
        <f ca="1">IF($B31="","",MAX(0,$J31+SUMIFS(UCRETLER!$I$7:$I$606,UCRETLER!$B$7:$B$606,$B31)+SUMIFS(GELIR_GIDER!$G$7:$G$3001,GELIR_GIDER!$T$7:$T$3001,$B31)-SUMIFS(TAHSILAT!$F$7:$F$2503,TAHSILAT!$C$7:$C$2503,$B31)))</f>
        <v>18000</v>
      </c>
    </row>
    <row r="32" spans="1:22" ht="18" customHeight="1" x14ac:dyDescent="0.3">
      <c r="A32" s="2"/>
      <c r="B32" s="60" t="s">
        <v>620</v>
      </c>
      <c r="C32" s="61" t="s">
        <v>621</v>
      </c>
      <c r="D32" s="60" t="s">
        <v>571</v>
      </c>
      <c r="E32" s="61"/>
      <c r="F32" s="61"/>
      <c r="G32" s="61"/>
      <c r="H32" s="60" t="s">
        <v>572</v>
      </c>
      <c r="I32" s="62">
        <v>46023</v>
      </c>
      <c r="J32" s="63">
        <v>0</v>
      </c>
      <c r="K32" s="64"/>
      <c r="L32" s="61"/>
      <c r="M32" s="61"/>
      <c r="N32" s="60"/>
      <c r="O32" s="65" t="str">
        <f>IF($C32="","",IF(COUNTIFS(UCRETLER!$B$7:$B$606,$B32,UCRETLER!$H$7:$H$606,"Aktif")&gt;0,"EVET","HAYIR"))</f>
        <v>EVET</v>
      </c>
      <c r="P32" s="65" t="str">
        <f t="shared" si="0"/>
        <v>UYGUN</v>
      </c>
      <c r="Q32" s="2"/>
      <c r="R32" s="2"/>
      <c r="S32" s="1"/>
      <c r="T32" s="1" t="str">
        <f t="shared" si="1"/>
        <v>KOSKYUKSELENLTDSTI</v>
      </c>
      <c r="U32" s="1">
        <f ca="1">IF($B32="","",COUNTIF($V$7:$V$156,"&gt;"&amp;$V32)+COUNTIF($V$7:$V32,$V32))</f>
        <v>5</v>
      </c>
      <c r="V32" s="1">
        <f ca="1">IF($B32="","",MAX(0,$J32+SUMIFS(UCRETLER!$I$7:$I$606,UCRETLER!$B$7:$B$606,$B32)+SUMIFS(GELIR_GIDER!$G$7:$G$3001,GELIR_GIDER!$T$7:$T$3001,$B32)-SUMIFS(TAHSILAT!$F$7:$F$2503,TAHSILAT!$C$7:$C$2503,$B32)))</f>
        <v>79000</v>
      </c>
    </row>
    <row r="33" spans="1:22" ht="18" customHeight="1" x14ac:dyDescent="0.3">
      <c r="A33" s="2"/>
      <c r="B33" s="60" t="s">
        <v>622</v>
      </c>
      <c r="C33" s="61" t="s">
        <v>623</v>
      </c>
      <c r="D33" s="60" t="s">
        <v>571</v>
      </c>
      <c r="E33" s="61"/>
      <c r="F33" s="61"/>
      <c r="G33" s="61"/>
      <c r="H33" s="60" t="s">
        <v>572</v>
      </c>
      <c r="I33" s="62">
        <v>46023</v>
      </c>
      <c r="J33" s="63">
        <v>0</v>
      </c>
      <c r="K33" s="64"/>
      <c r="L33" s="61"/>
      <c r="M33" s="61"/>
      <c r="N33" s="60"/>
      <c r="O33" s="65" t="str">
        <f>IF($C33="","",IF(COUNTIFS(UCRETLER!$B$7:$B$606,$B33,UCRETLER!$H$7:$H$606,"Aktif")&gt;0,"EVET","HAYIR"))</f>
        <v>EVET</v>
      </c>
      <c r="P33" s="65" t="str">
        <f t="shared" si="0"/>
        <v>UYGUN</v>
      </c>
      <c r="Q33" s="2"/>
      <c r="R33" s="2"/>
      <c r="S33" s="1"/>
      <c r="T33" s="1" t="str">
        <f t="shared" si="1"/>
        <v>KRISTALLTDSTI</v>
      </c>
      <c r="U33" s="1">
        <f ca="1">IF($B33="","",COUNTIF($V$7:$V$156,"&gt;"&amp;$V33)+COUNTIF($V$7:$V33,$V33))</f>
        <v>43</v>
      </c>
      <c r="V33" s="1">
        <f ca="1">IF($B33="","",MAX(0,$J33+SUMIFS(UCRETLER!$I$7:$I$606,UCRETLER!$B$7:$B$606,$B33)+SUMIFS(GELIR_GIDER!$G$7:$G$3001,GELIR_GIDER!$T$7:$T$3001,$B33)-SUMIFS(TAHSILAT!$F$7:$F$2503,TAHSILAT!$C$7:$C$2503,$B33)))</f>
        <v>0</v>
      </c>
    </row>
    <row r="34" spans="1:22" ht="18" customHeight="1" x14ac:dyDescent="0.3">
      <c r="A34" s="2"/>
      <c r="B34" s="60" t="s">
        <v>624</v>
      </c>
      <c r="C34" s="61" t="s">
        <v>625</v>
      </c>
      <c r="D34" s="60" t="s">
        <v>571</v>
      </c>
      <c r="E34" s="61"/>
      <c r="F34" s="61"/>
      <c r="G34" s="61"/>
      <c r="H34" s="60" t="s">
        <v>572</v>
      </c>
      <c r="I34" s="62">
        <v>46023</v>
      </c>
      <c r="J34" s="63">
        <v>0</v>
      </c>
      <c r="K34" s="64"/>
      <c r="L34" s="61"/>
      <c r="M34" s="61"/>
      <c r="N34" s="60"/>
      <c r="O34" s="65" t="str">
        <f>IF($C34="","",IF(COUNTIFS(UCRETLER!$B$7:$B$606,$B34,UCRETLER!$H$7:$H$606,"Aktif")&gt;0,"EVET","HAYIR"))</f>
        <v>EVET</v>
      </c>
      <c r="P34" s="65" t="str">
        <f t="shared" si="0"/>
        <v>UYGUN</v>
      </c>
      <c r="Q34" s="2"/>
      <c r="R34" s="2"/>
      <c r="S34" s="1"/>
      <c r="T34" s="1" t="str">
        <f t="shared" si="1"/>
        <v>MEHMETEVRENKILINC</v>
      </c>
      <c r="U34" s="1">
        <f ca="1">IF($B34="","",COUNTIF($V$7:$V$156,"&gt;"&amp;$V34)+COUNTIF($V$7:$V34,$V34))</f>
        <v>44</v>
      </c>
      <c r="V34" s="1">
        <f ca="1">IF($B34="","",MAX(0,$J34+SUMIFS(UCRETLER!$I$7:$I$606,UCRETLER!$B$7:$B$606,$B34)+SUMIFS(GELIR_GIDER!$G$7:$G$3001,GELIR_GIDER!$T$7:$T$3001,$B34)-SUMIFS(TAHSILAT!$F$7:$F$2503,TAHSILAT!$C$7:$C$2503,$B34)))</f>
        <v>0</v>
      </c>
    </row>
    <row r="35" spans="1:22" ht="18" customHeight="1" x14ac:dyDescent="0.3">
      <c r="A35" s="2"/>
      <c r="B35" s="60" t="s">
        <v>626</v>
      </c>
      <c r="C35" s="61" t="s">
        <v>627</v>
      </c>
      <c r="D35" s="60" t="s">
        <v>571</v>
      </c>
      <c r="E35" s="61"/>
      <c r="F35" s="61"/>
      <c r="G35" s="61"/>
      <c r="H35" s="60" t="s">
        <v>572</v>
      </c>
      <c r="I35" s="62">
        <v>46023</v>
      </c>
      <c r="J35" s="63">
        <v>0</v>
      </c>
      <c r="K35" s="64"/>
      <c r="L35" s="61"/>
      <c r="M35" s="61"/>
      <c r="N35" s="60"/>
      <c r="O35" s="65" t="str">
        <f>IF($C35="","",IF(COUNTIFS(UCRETLER!$B$7:$B$606,$B35,UCRETLER!$H$7:$H$606,"Aktif")&gt;0,"EVET","HAYIR"))</f>
        <v>EVET</v>
      </c>
      <c r="P35" s="65" t="str">
        <f t="shared" si="0"/>
        <v>UYGUN</v>
      </c>
      <c r="Q35" s="2"/>
      <c r="R35" s="2"/>
      <c r="S35" s="1"/>
      <c r="T35" s="1" t="str">
        <f t="shared" si="1"/>
        <v>MELEKGULER</v>
      </c>
      <c r="U35" s="1">
        <f ca="1">IF($B35="","",COUNTIF($V$7:$V$156,"&gt;"&amp;$V35)+COUNTIF($V$7:$V35,$V35))</f>
        <v>30</v>
      </c>
      <c r="V35" s="1">
        <f ca="1">IF($B35="","",MAX(0,$J35+SUMIFS(UCRETLER!$I$7:$I$606,UCRETLER!$B$7:$B$606,$B35)+SUMIFS(GELIR_GIDER!$G$7:$G$3001,GELIR_GIDER!$T$7:$T$3001,$B35)-SUMIFS(TAHSILAT!$F$7:$F$2503,TAHSILAT!$C$7:$C$2503,$B35)))</f>
        <v>3000</v>
      </c>
    </row>
    <row r="36" spans="1:22" ht="18" customHeight="1" x14ac:dyDescent="0.3">
      <c r="A36" s="2"/>
      <c r="B36" s="60" t="s">
        <v>628</v>
      </c>
      <c r="C36" s="61" t="s">
        <v>629</v>
      </c>
      <c r="D36" s="60" t="s">
        <v>571</v>
      </c>
      <c r="E36" s="61"/>
      <c r="F36" s="61"/>
      <c r="G36" s="61"/>
      <c r="H36" s="60" t="s">
        <v>572</v>
      </c>
      <c r="I36" s="62">
        <v>46023</v>
      </c>
      <c r="J36" s="63">
        <v>0</v>
      </c>
      <c r="K36" s="64"/>
      <c r="L36" s="61"/>
      <c r="M36" s="61"/>
      <c r="N36" s="60"/>
      <c r="O36" s="65" t="str">
        <f>IF($C36="","",IF(COUNTIFS(UCRETLER!$B$7:$B$606,$B36,UCRETLER!$H$7:$H$606,"Aktif")&gt;0,"EVET","HAYIR"))</f>
        <v>EVET</v>
      </c>
      <c r="P36" s="65" t="str">
        <f t="shared" si="0"/>
        <v>UYGUN</v>
      </c>
      <c r="Q36" s="2"/>
      <c r="R36" s="2"/>
      <c r="S36" s="1"/>
      <c r="T36" s="1" t="str">
        <f t="shared" si="1"/>
        <v>MELISABEDIR</v>
      </c>
      <c r="U36" s="1">
        <f ca="1">IF($B36="","",COUNTIF($V$7:$V$156,"&gt;"&amp;$V36)+COUNTIF($V$7:$V36,$V36))</f>
        <v>14</v>
      </c>
      <c r="V36" s="1">
        <f ca="1">IF($B36="","",MAX(0,$J36+SUMIFS(UCRETLER!$I$7:$I$606,UCRETLER!$B$7:$B$606,$B36)+SUMIFS(GELIR_GIDER!$G$7:$G$3001,GELIR_GIDER!$T$7:$T$3001,$B36)-SUMIFS(TAHSILAT!$F$7:$F$2503,TAHSILAT!$C$7:$C$2503,$B36)))</f>
        <v>21000</v>
      </c>
    </row>
    <row r="37" spans="1:22" ht="18" customHeight="1" x14ac:dyDescent="0.3">
      <c r="A37" s="2"/>
      <c r="B37" s="60" t="s">
        <v>630</v>
      </c>
      <c r="C37" s="61" t="s">
        <v>631</v>
      </c>
      <c r="D37" s="60" t="s">
        <v>571</v>
      </c>
      <c r="E37" s="61"/>
      <c r="F37" s="61"/>
      <c r="G37" s="61"/>
      <c r="H37" s="60" t="s">
        <v>572</v>
      </c>
      <c r="I37" s="62">
        <v>46023</v>
      </c>
      <c r="J37" s="63">
        <v>0</v>
      </c>
      <c r="K37" s="64"/>
      <c r="L37" s="61"/>
      <c r="M37" s="61"/>
      <c r="N37" s="60"/>
      <c r="O37" s="65" t="str">
        <f>IF($C37="","",IF(COUNTIFS(UCRETLER!$B$7:$B$606,$B37,UCRETLER!$H$7:$H$606,"Aktif")&gt;0,"EVET","HAYIR"))</f>
        <v>EVET</v>
      </c>
      <c r="P37" s="65" t="str">
        <f t="shared" si="0"/>
        <v>UYGUN</v>
      </c>
      <c r="Q37" s="2"/>
      <c r="R37" s="2"/>
      <c r="S37" s="1"/>
      <c r="T37" s="1" t="str">
        <f t="shared" si="1"/>
        <v>MENEKSEAKAN</v>
      </c>
      <c r="U37" s="1">
        <f ca="1">IF($B37="","",COUNTIF($V$7:$V$156,"&gt;"&amp;$V37)+COUNTIF($V$7:$V37,$V37))</f>
        <v>45</v>
      </c>
      <c r="V37" s="1">
        <f ca="1">IF($B37="","",MAX(0,$J37+SUMIFS(UCRETLER!$I$7:$I$606,UCRETLER!$B$7:$B$606,$B37)+SUMIFS(GELIR_GIDER!$G$7:$G$3001,GELIR_GIDER!$T$7:$T$3001,$B37)-SUMIFS(TAHSILAT!$F$7:$F$2503,TAHSILAT!$C$7:$C$2503,$B37)))</f>
        <v>0</v>
      </c>
    </row>
    <row r="38" spans="1:22" ht="18" customHeight="1" x14ac:dyDescent="0.3">
      <c r="A38" s="2"/>
      <c r="B38" s="60" t="s">
        <v>632</v>
      </c>
      <c r="C38" s="61" t="s">
        <v>633</v>
      </c>
      <c r="D38" s="60" t="s">
        <v>571</v>
      </c>
      <c r="E38" s="61"/>
      <c r="F38" s="61"/>
      <c r="G38" s="61"/>
      <c r="H38" s="60" t="s">
        <v>572</v>
      </c>
      <c r="I38" s="62">
        <v>46023</v>
      </c>
      <c r="J38" s="63">
        <v>0</v>
      </c>
      <c r="K38" s="64"/>
      <c r="L38" s="61"/>
      <c r="M38" s="61"/>
      <c r="N38" s="60"/>
      <c r="O38" s="65" t="str">
        <f>IF($C38="","",IF(COUNTIFS(UCRETLER!$B$7:$B$606,$B38,UCRETLER!$H$7:$H$606,"Aktif")&gt;0,"EVET","HAYIR"))</f>
        <v>EVET</v>
      </c>
      <c r="P38" s="65" t="str">
        <f t="shared" si="0"/>
        <v>UYGUN</v>
      </c>
      <c r="Q38" s="2"/>
      <c r="R38" s="2"/>
      <c r="S38" s="1"/>
      <c r="T38" s="1" t="str">
        <f t="shared" si="1"/>
        <v>MESUTKOKLU</v>
      </c>
      <c r="U38" s="1">
        <f ca="1">IF($B38="","",COUNTIF($V$7:$V$156,"&gt;"&amp;$V38)+COUNTIF($V$7:$V38,$V38))</f>
        <v>46</v>
      </c>
      <c r="V38" s="1">
        <f ca="1">IF($B38="","",MAX(0,$J38+SUMIFS(UCRETLER!$I$7:$I$606,UCRETLER!$B$7:$B$606,$B38)+SUMIFS(GELIR_GIDER!$G$7:$G$3001,GELIR_GIDER!$T$7:$T$3001,$B38)-SUMIFS(TAHSILAT!$F$7:$F$2503,TAHSILAT!$C$7:$C$2503,$B38)))</f>
        <v>0</v>
      </c>
    </row>
    <row r="39" spans="1:22" ht="18" customHeight="1" x14ac:dyDescent="0.3">
      <c r="A39" s="2"/>
      <c r="B39" s="60" t="s">
        <v>634</v>
      </c>
      <c r="C39" s="61" t="s">
        <v>635</v>
      </c>
      <c r="D39" s="60" t="s">
        <v>571</v>
      </c>
      <c r="E39" s="61"/>
      <c r="F39" s="61"/>
      <c r="G39" s="61"/>
      <c r="H39" s="60" t="s">
        <v>572</v>
      </c>
      <c r="I39" s="62">
        <v>46023</v>
      </c>
      <c r="J39" s="63">
        <v>0</v>
      </c>
      <c r="K39" s="64"/>
      <c r="L39" s="61"/>
      <c r="M39" s="61"/>
      <c r="N39" s="60"/>
      <c r="O39" s="65" t="str">
        <f>IF($C39="","",IF(COUNTIFS(UCRETLER!$B$7:$B$606,$B39,UCRETLER!$H$7:$H$606,"Aktif")&gt;0,"EVET","HAYIR"))</f>
        <v>EVET</v>
      </c>
      <c r="P39" s="65" t="str">
        <f t="shared" ref="P39:P70" si="2">IF($C39="","",IF($B39="","NO EKSİK",IF(COUNTIF($B$7:$B$156,$B39)&gt;1,"NO TEKRARI",IF(COUNTIF($C$7:$C$156,$C39)&gt;1,"UNVAN TEKRARI",IF($D39="","DURUM EKSİK",IF(AND($J39&gt;0,$K39=""),"DEVİR TARİHİ EKSİK","UYGUN"))))))</f>
        <v>UYGUN</v>
      </c>
      <c r="Q39" s="2"/>
      <c r="R39" s="2"/>
      <c r="S39" s="1"/>
      <c r="T39" s="1" t="str">
        <f t="shared" ref="T39:T70" si="3"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>MONAMOURLTDSTI</v>
      </c>
      <c r="U39" s="1">
        <f ca="1">IF($B39="","",COUNTIF($V$7:$V$156,"&gt;"&amp;$V39)+COUNTIF($V$7:$V39,$V39))</f>
        <v>12</v>
      </c>
      <c r="V39" s="1">
        <f ca="1">IF($B39="","",MAX(0,$J39+SUMIFS(UCRETLER!$I$7:$I$606,UCRETLER!$B$7:$B$606,$B39)+SUMIFS(GELIR_GIDER!$G$7:$G$3001,GELIR_GIDER!$T$7:$T$3001,$B39)-SUMIFS(TAHSILAT!$F$7:$F$2503,TAHSILAT!$C$7:$C$2503,$B39)))</f>
        <v>29500</v>
      </c>
    </row>
    <row r="40" spans="1:22" ht="18" customHeight="1" x14ac:dyDescent="0.3">
      <c r="A40" s="2"/>
      <c r="B40" s="60" t="s">
        <v>636</v>
      </c>
      <c r="C40" s="61" t="s">
        <v>637</v>
      </c>
      <c r="D40" s="60" t="s">
        <v>638</v>
      </c>
      <c r="E40" s="61"/>
      <c r="F40" s="61"/>
      <c r="G40" s="61"/>
      <c r="H40" s="60" t="s">
        <v>572</v>
      </c>
      <c r="I40" s="62">
        <v>46023</v>
      </c>
      <c r="J40" s="63">
        <v>0</v>
      </c>
      <c r="K40" s="64"/>
      <c r="L40" s="61"/>
      <c r="M40" s="61"/>
      <c r="N40" s="60"/>
      <c r="O40" s="65" t="str">
        <f>IF($C40="","",IF(COUNTIFS(UCRETLER!$B$7:$B$606,$B40,UCRETLER!$H$7:$H$606,"Aktif")&gt;0,"EVET","HAYIR"))</f>
        <v>EVET</v>
      </c>
      <c r="P40" s="65" t="str">
        <f t="shared" si="2"/>
        <v>UYGUN</v>
      </c>
      <c r="Q40" s="2"/>
      <c r="R40" s="2"/>
      <c r="S40" s="1"/>
      <c r="T40" s="1" t="str">
        <f t="shared" si="3"/>
        <v>MSTOPTANLTDSTI</v>
      </c>
      <c r="U40" s="1">
        <f ca="1">IF($B40="","",COUNTIF($V$7:$V$156,"&gt;"&amp;$V40)+COUNTIF($V$7:$V40,$V40))</f>
        <v>31</v>
      </c>
      <c r="V40" s="1">
        <f ca="1">IF($B40="","",MAX(0,$J40+SUMIFS(UCRETLER!$I$7:$I$606,UCRETLER!$B$7:$B$606,$B40)+SUMIFS(GELIR_GIDER!$G$7:$G$3001,GELIR_GIDER!$T$7:$T$3001,$B40)-SUMIFS(TAHSILAT!$F$7:$F$2503,TAHSILAT!$C$7:$C$2503,$B40)))</f>
        <v>7</v>
      </c>
    </row>
    <row r="41" spans="1:22" ht="18" customHeight="1" x14ac:dyDescent="0.3">
      <c r="A41" s="2"/>
      <c r="B41" s="60" t="s">
        <v>639</v>
      </c>
      <c r="C41" s="61" t="s">
        <v>640</v>
      </c>
      <c r="D41" s="60" t="s">
        <v>571</v>
      </c>
      <c r="E41" s="61"/>
      <c r="F41" s="61"/>
      <c r="G41" s="61"/>
      <c r="H41" s="60" t="s">
        <v>572</v>
      </c>
      <c r="I41" s="62">
        <v>46023</v>
      </c>
      <c r="J41" s="63">
        <v>0</v>
      </c>
      <c r="K41" s="64"/>
      <c r="L41" s="61"/>
      <c r="M41" s="61"/>
      <c r="N41" s="60"/>
      <c r="O41" s="65" t="str">
        <f>IF($C41="","",IF(COUNTIFS(UCRETLER!$B$7:$B$606,$B41,UCRETLER!$H$7:$H$606,"Aktif")&gt;0,"EVET","HAYIR"))</f>
        <v>EVET</v>
      </c>
      <c r="P41" s="65" t="str">
        <f t="shared" si="2"/>
        <v>UYGUN</v>
      </c>
      <c r="Q41" s="2"/>
      <c r="R41" s="2"/>
      <c r="S41" s="1"/>
      <c r="T41" s="1" t="str">
        <f t="shared" si="3"/>
        <v>MUSTAFAKOLBASI</v>
      </c>
      <c r="U41" s="1">
        <f ca="1">IF($B41="","",COUNTIF($V$7:$V$156,"&gt;"&amp;$V41)+COUNTIF($V$7:$V41,$V41))</f>
        <v>26</v>
      </c>
      <c r="V41" s="1">
        <f ca="1">IF($B41="","",MAX(0,$J41+SUMIFS(UCRETLER!$I$7:$I$606,UCRETLER!$B$7:$B$606,$B41)+SUMIFS(GELIR_GIDER!$G$7:$G$3001,GELIR_GIDER!$T$7:$T$3001,$B41)-SUMIFS(TAHSILAT!$F$7:$F$2503,TAHSILAT!$C$7:$C$2503,$B41)))</f>
        <v>6000</v>
      </c>
    </row>
    <row r="42" spans="1:22" ht="18" customHeight="1" x14ac:dyDescent="0.3">
      <c r="A42" s="2"/>
      <c r="B42" s="60" t="s">
        <v>641</v>
      </c>
      <c r="C42" s="61" t="s">
        <v>642</v>
      </c>
      <c r="D42" s="60" t="s">
        <v>571</v>
      </c>
      <c r="E42" s="61"/>
      <c r="F42" s="61"/>
      <c r="G42" s="61"/>
      <c r="H42" s="60" t="s">
        <v>572</v>
      </c>
      <c r="I42" s="62">
        <v>46023</v>
      </c>
      <c r="J42" s="63">
        <v>0</v>
      </c>
      <c r="K42" s="64"/>
      <c r="L42" s="61"/>
      <c r="M42" s="61"/>
      <c r="N42" s="60"/>
      <c r="O42" s="65" t="str">
        <f>IF($C42="","",IF(COUNTIFS(UCRETLER!$B$7:$B$606,$B42,UCRETLER!$H$7:$H$606,"Aktif")&gt;0,"EVET","HAYIR"))</f>
        <v>EVET</v>
      </c>
      <c r="P42" s="65" t="str">
        <f t="shared" si="2"/>
        <v>UYGUN</v>
      </c>
      <c r="Q42" s="2"/>
      <c r="R42" s="2"/>
      <c r="S42" s="1"/>
      <c r="T42" s="1" t="str">
        <f t="shared" si="3"/>
        <v>MUSTAFAUMUTKOYUN</v>
      </c>
      <c r="U42" s="1">
        <f ca="1">IF($B42="","",COUNTIF($V$7:$V$156,"&gt;"&amp;$V42)+COUNTIF($V$7:$V42,$V42))</f>
        <v>23</v>
      </c>
      <c r="V42" s="1">
        <f ca="1">IF($B42="","",MAX(0,$J42+SUMIFS(UCRETLER!$I$7:$I$606,UCRETLER!$B$7:$B$606,$B42)+SUMIFS(GELIR_GIDER!$G$7:$G$3001,GELIR_GIDER!$T$7:$T$3001,$B42)-SUMIFS(TAHSILAT!$F$7:$F$2503,TAHSILAT!$C$7:$C$2503,$B42)))</f>
        <v>8000</v>
      </c>
    </row>
    <row r="43" spans="1:22" ht="18" customHeight="1" x14ac:dyDescent="0.3">
      <c r="A43" s="2"/>
      <c r="B43" s="60" t="s">
        <v>643</v>
      </c>
      <c r="C43" s="61" t="s">
        <v>644</v>
      </c>
      <c r="D43" s="60" t="s">
        <v>571</v>
      </c>
      <c r="E43" s="61"/>
      <c r="F43" s="61"/>
      <c r="G43" s="61"/>
      <c r="H43" s="60" t="s">
        <v>572</v>
      </c>
      <c r="I43" s="62">
        <v>46023</v>
      </c>
      <c r="J43" s="63">
        <v>0</v>
      </c>
      <c r="K43" s="64"/>
      <c r="L43" s="61"/>
      <c r="M43" s="61"/>
      <c r="N43" s="60"/>
      <c r="O43" s="65" t="str">
        <f>IF($C43="","",IF(COUNTIFS(UCRETLER!$B$7:$B$606,$B43,UCRETLER!$H$7:$H$606,"Aktif")&gt;0,"EVET","HAYIR"))</f>
        <v>EVET</v>
      </c>
      <c r="P43" s="65" t="str">
        <f t="shared" si="2"/>
        <v>UYGUN</v>
      </c>
      <c r="Q43" s="2"/>
      <c r="R43" s="2"/>
      <c r="S43" s="1"/>
      <c r="T43" s="1" t="str">
        <f t="shared" si="3"/>
        <v>NAZ1GIDALTDSTI</v>
      </c>
      <c r="U43" s="1">
        <f ca="1">IF($B43="","",COUNTIF($V$7:$V$156,"&gt;"&amp;$V43)+COUNTIF($V$7:$V43,$V43))</f>
        <v>47</v>
      </c>
      <c r="V43" s="1">
        <f ca="1">IF($B43="","",MAX(0,$J43+SUMIFS(UCRETLER!$I$7:$I$606,UCRETLER!$B$7:$B$606,$B43)+SUMIFS(GELIR_GIDER!$G$7:$G$3001,GELIR_GIDER!$T$7:$T$3001,$B43)-SUMIFS(TAHSILAT!$F$7:$F$2503,TAHSILAT!$C$7:$C$2503,$B43)))</f>
        <v>0</v>
      </c>
    </row>
    <row r="44" spans="1:22" ht="18" customHeight="1" x14ac:dyDescent="0.3">
      <c r="A44" s="2"/>
      <c r="B44" s="60" t="s">
        <v>645</v>
      </c>
      <c r="C44" s="61" t="s">
        <v>646</v>
      </c>
      <c r="D44" s="60" t="s">
        <v>571</v>
      </c>
      <c r="E44" s="61"/>
      <c r="F44" s="61"/>
      <c r="G44" s="61"/>
      <c r="H44" s="60" t="s">
        <v>572</v>
      </c>
      <c r="I44" s="62">
        <v>46023</v>
      </c>
      <c r="J44" s="63">
        <v>0</v>
      </c>
      <c r="K44" s="64"/>
      <c r="L44" s="61"/>
      <c r="M44" s="61"/>
      <c r="N44" s="60"/>
      <c r="O44" s="65" t="str">
        <f>IF($C44="","",IF(COUNTIFS(UCRETLER!$B$7:$B$606,$B44,UCRETLER!$H$7:$H$606,"Aktif")&gt;0,"EVET","HAYIR"))</f>
        <v>EVET</v>
      </c>
      <c r="P44" s="65" t="str">
        <f t="shared" si="2"/>
        <v>UYGUN</v>
      </c>
      <c r="Q44" s="2"/>
      <c r="R44" s="2"/>
      <c r="S44" s="1"/>
      <c r="T44" s="1" t="str">
        <f t="shared" si="3"/>
        <v>NEROETICARETLTDSTI</v>
      </c>
      <c r="U44" s="1">
        <f ca="1">IF($B44="","",COUNTIF($V$7:$V$156,"&gt;"&amp;$V44)+COUNTIF($V$7:$V44,$V44))</f>
        <v>11</v>
      </c>
      <c r="V44" s="1">
        <f ca="1">IF($B44="","",MAX(0,$J44+SUMIFS(UCRETLER!$I$7:$I$606,UCRETLER!$B$7:$B$606,$B44)+SUMIFS(GELIR_GIDER!$G$7:$G$3001,GELIR_GIDER!$T$7:$T$3001,$B44)-SUMIFS(TAHSILAT!$F$7:$F$2503,TAHSILAT!$C$7:$C$2503,$B44)))</f>
        <v>45000</v>
      </c>
    </row>
    <row r="45" spans="1:22" ht="18" customHeight="1" x14ac:dyDescent="0.3">
      <c r="A45" s="2"/>
      <c r="B45" s="60" t="s">
        <v>647</v>
      </c>
      <c r="C45" s="61" t="s">
        <v>648</v>
      </c>
      <c r="D45" s="60" t="s">
        <v>571</v>
      </c>
      <c r="E45" s="61"/>
      <c r="F45" s="61"/>
      <c r="G45" s="61"/>
      <c r="H45" s="60" t="s">
        <v>572</v>
      </c>
      <c r="I45" s="62">
        <v>46023</v>
      </c>
      <c r="J45" s="63">
        <v>0</v>
      </c>
      <c r="K45" s="64"/>
      <c r="L45" s="61"/>
      <c r="M45" s="61"/>
      <c r="N45" s="60"/>
      <c r="O45" s="65" t="str">
        <f>IF($C45="","",IF(COUNTIFS(UCRETLER!$B$7:$B$606,$B45,UCRETLER!$H$7:$H$606,"Aktif")&gt;0,"EVET","HAYIR"))</f>
        <v>EVET</v>
      </c>
      <c r="P45" s="65" t="str">
        <f t="shared" si="2"/>
        <v>UYGUN</v>
      </c>
      <c r="Q45" s="2"/>
      <c r="R45" s="2"/>
      <c r="S45" s="1"/>
      <c r="T45" s="1" t="str">
        <f t="shared" si="3"/>
        <v>OMERDEMIRCI</v>
      </c>
      <c r="U45" s="1">
        <f ca="1">IF($B45="","",COUNTIF($V$7:$V$156,"&gt;"&amp;$V45)+COUNTIF($V$7:$V45,$V45))</f>
        <v>28</v>
      </c>
      <c r="V45" s="1">
        <f ca="1">IF($B45="","",MAX(0,$J45+SUMIFS(UCRETLER!$I$7:$I$606,UCRETLER!$B$7:$B$606,$B45)+SUMIFS(GELIR_GIDER!$G$7:$G$3001,GELIR_GIDER!$T$7:$T$3001,$B45)-SUMIFS(TAHSILAT!$F$7:$F$2503,TAHSILAT!$C$7:$C$2503,$B45)))</f>
        <v>3500</v>
      </c>
    </row>
    <row r="46" spans="1:22" ht="18" customHeight="1" x14ac:dyDescent="0.3">
      <c r="A46" s="2"/>
      <c r="B46" s="60" t="s">
        <v>649</v>
      </c>
      <c r="C46" s="61" t="s">
        <v>650</v>
      </c>
      <c r="D46" s="60" t="s">
        <v>571</v>
      </c>
      <c r="E46" s="61"/>
      <c r="F46" s="61"/>
      <c r="G46" s="61"/>
      <c r="H46" s="60" t="s">
        <v>572</v>
      </c>
      <c r="I46" s="62">
        <v>46023</v>
      </c>
      <c r="J46" s="63">
        <v>0</v>
      </c>
      <c r="K46" s="64"/>
      <c r="L46" s="61"/>
      <c r="M46" s="61"/>
      <c r="N46" s="60"/>
      <c r="O46" s="65" t="str">
        <f>IF($C46="","",IF(COUNTIFS(UCRETLER!$B$7:$B$606,$B46,UCRETLER!$H$7:$H$606,"Aktif")&gt;0,"EVET","HAYIR"))</f>
        <v>EVET</v>
      </c>
      <c r="P46" s="65" t="str">
        <f t="shared" si="2"/>
        <v>UYGUN</v>
      </c>
      <c r="Q46" s="2"/>
      <c r="R46" s="2"/>
      <c r="S46" s="1"/>
      <c r="T46" s="1" t="str">
        <f t="shared" si="3"/>
        <v>OZFIDANLARLTDSTI</v>
      </c>
      <c r="U46" s="1">
        <f ca="1">IF($B46="","",COUNTIF($V$7:$V$156,"&gt;"&amp;$V46)+COUNTIF($V$7:$V46,$V46))</f>
        <v>3</v>
      </c>
      <c r="V46" s="1">
        <f ca="1">IF($B46="","",MAX(0,$J46+SUMIFS(UCRETLER!$I$7:$I$606,UCRETLER!$B$7:$B$606,$B46)+SUMIFS(GELIR_GIDER!$G$7:$G$3001,GELIR_GIDER!$T$7:$T$3001,$B46)-SUMIFS(TAHSILAT!$F$7:$F$2503,TAHSILAT!$C$7:$C$2503,$B46)))</f>
        <v>108000</v>
      </c>
    </row>
    <row r="47" spans="1:22" ht="18" customHeight="1" x14ac:dyDescent="0.3">
      <c r="A47" s="2"/>
      <c r="B47" s="60" t="s">
        <v>651</v>
      </c>
      <c r="C47" s="61" t="s">
        <v>652</v>
      </c>
      <c r="D47" s="60" t="s">
        <v>571</v>
      </c>
      <c r="E47" s="61"/>
      <c r="F47" s="61"/>
      <c r="G47" s="61"/>
      <c r="H47" s="60" t="s">
        <v>572</v>
      </c>
      <c r="I47" s="62">
        <v>46023</v>
      </c>
      <c r="J47" s="63">
        <v>0</v>
      </c>
      <c r="K47" s="64"/>
      <c r="L47" s="61"/>
      <c r="M47" s="61"/>
      <c r="N47" s="60"/>
      <c r="O47" s="65" t="str">
        <f>IF($C47="","",IF(COUNTIFS(UCRETLER!$B$7:$B$606,$B47,UCRETLER!$H$7:$H$606,"Aktif")&gt;0,"EVET","HAYIR"))</f>
        <v>EVET</v>
      </c>
      <c r="P47" s="65" t="str">
        <f t="shared" si="2"/>
        <v>UYGUN</v>
      </c>
      <c r="Q47" s="2"/>
      <c r="R47" s="2"/>
      <c r="S47" s="1"/>
      <c r="T47" s="1" t="str">
        <f t="shared" si="3"/>
        <v>PAKYILDIZLTDSTI</v>
      </c>
      <c r="U47" s="1">
        <f ca="1">IF($B47="","",COUNTIF($V$7:$V$156,"&gt;"&amp;$V47)+COUNTIF($V$7:$V47,$V47))</f>
        <v>48</v>
      </c>
      <c r="V47" s="1">
        <f ca="1">IF($B47="","",MAX(0,$J47+SUMIFS(UCRETLER!$I$7:$I$606,UCRETLER!$B$7:$B$606,$B47)+SUMIFS(GELIR_GIDER!$G$7:$G$3001,GELIR_GIDER!$T$7:$T$3001,$B47)-SUMIFS(TAHSILAT!$F$7:$F$2503,TAHSILAT!$C$7:$C$2503,$B47)))</f>
        <v>0</v>
      </c>
    </row>
    <row r="48" spans="1:22" ht="18" customHeight="1" x14ac:dyDescent="0.3">
      <c r="A48" s="2"/>
      <c r="B48" s="60" t="s">
        <v>653</v>
      </c>
      <c r="C48" s="61" t="s">
        <v>654</v>
      </c>
      <c r="D48" s="60" t="s">
        <v>571</v>
      </c>
      <c r="E48" s="61"/>
      <c r="F48" s="61"/>
      <c r="G48" s="61"/>
      <c r="H48" s="60" t="s">
        <v>572</v>
      </c>
      <c r="I48" s="62">
        <v>46023</v>
      </c>
      <c r="J48" s="63">
        <v>0</v>
      </c>
      <c r="K48" s="64"/>
      <c r="L48" s="61"/>
      <c r="M48" s="61"/>
      <c r="N48" s="60"/>
      <c r="O48" s="65" t="str">
        <f>IF($C48="","",IF(COUNTIFS(UCRETLER!$B$7:$B$606,$B48,UCRETLER!$H$7:$H$606,"Aktif")&gt;0,"EVET","HAYIR"))</f>
        <v>EVET</v>
      </c>
      <c r="P48" s="65" t="str">
        <f t="shared" si="2"/>
        <v>UYGUN</v>
      </c>
      <c r="Q48" s="2"/>
      <c r="R48" s="2"/>
      <c r="S48" s="1"/>
      <c r="T48" s="1" t="str">
        <f t="shared" si="3"/>
        <v>PALAOGULLARILTDSTI</v>
      </c>
      <c r="U48" s="1">
        <f ca="1">IF($B48="","",COUNTIF($V$7:$V$156,"&gt;"&amp;$V48)+COUNTIF($V$7:$V48,$V48))</f>
        <v>49</v>
      </c>
      <c r="V48" s="1">
        <f ca="1">IF($B48="","",MAX(0,$J48+SUMIFS(UCRETLER!$I$7:$I$606,UCRETLER!$B$7:$B$606,$B48)+SUMIFS(GELIR_GIDER!$G$7:$G$3001,GELIR_GIDER!$T$7:$T$3001,$B48)-SUMIFS(TAHSILAT!$F$7:$F$2503,TAHSILAT!$C$7:$C$2503,$B48)))</f>
        <v>0</v>
      </c>
    </row>
    <row r="49" spans="1:22" ht="18" customHeight="1" x14ac:dyDescent="0.3">
      <c r="A49" s="2"/>
      <c r="B49" s="60" t="s">
        <v>655</v>
      </c>
      <c r="C49" s="61" t="s">
        <v>656</v>
      </c>
      <c r="D49" s="60" t="s">
        <v>571</v>
      </c>
      <c r="E49" s="61"/>
      <c r="F49" s="61"/>
      <c r="G49" s="61"/>
      <c r="H49" s="60" t="s">
        <v>572</v>
      </c>
      <c r="I49" s="62">
        <v>46023</v>
      </c>
      <c r="J49" s="63">
        <v>0</v>
      </c>
      <c r="K49" s="64"/>
      <c r="L49" s="61"/>
      <c r="M49" s="61"/>
      <c r="N49" s="60"/>
      <c r="O49" s="65" t="str">
        <f>IF($C49="","",IF(COUNTIFS(UCRETLER!$B$7:$B$606,$B49,UCRETLER!$H$7:$H$606,"Aktif")&gt;0,"EVET","HAYIR"))</f>
        <v>EVET</v>
      </c>
      <c r="P49" s="65" t="str">
        <f t="shared" si="2"/>
        <v>UYGUN</v>
      </c>
      <c r="Q49" s="2"/>
      <c r="R49" s="2"/>
      <c r="S49" s="1"/>
      <c r="T49" s="1" t="str">
        <f t="shared" si="3"/>
        <v>RASIMDEMIRCI</v>
      </c>
      <c r="U49" s="1">
        <f ca="1">IF($B49="","",COUNTIF($V$7:$V$156,"&gt;"&amp;$V49)+COUNTIF($V$7:$V49,$V49))</f>
        <v>27</v>
      </c>
      <c r="V49" s="1">
        <f ca="1">IF($B49="","",MAX(0,$J49+SUMIFS(UCRETLER!$I$7:$I$606,UCRETLER!$B$7:$B$606,$B49)+SUMIFS(GELIR_GIDER!$G$7:$G$3001,GELIR_GIDER!$T$7:$T$3001,$B49)-SUMIFS(TAHSILAT!$F$7:$F$2503,TAHSILAT!$C$7:$C$2503,$B49)))</f>
        <v>5000</v>
      </c>
    </row>
    <row r="50" spans="1:22" ht="18" customHeight="1" x14ac:dyDescent="0.3">
      <c r="A50" s="2"/>
      <c r="B50" s="60" t="s">
        <v>657</v>
      </c>
      <c r="C50" s="61" t="s">
        <v>658</v>
      </c>
      <c r="D50" s="60" t="s">
        <v>571</v>
      </c>
      <c r="E50" s="61"/>
      <c r="F50" s="61"/>
      <c r="G50" s="61"/>
      <c r="H50" s="60" t="s">
        <v>572</v>
      </c>
      <c r="I50" s="62">
        <v>46023</v>
      </c>
      <c r="J50" s="63">
        <v>0</v>
      </c>
      <c r="K50" s="64"/>
      <c r="L50" s="61"/>
      <c r="M50" s="61"/>
      <c r="N50" s="60"/>
      <c r="O50" s="65" t="str">
        <f>IF($C50="","",IF(COUNTIFS(UCRETLER!$B$7:$B$606,$B50,UCRETLER!$H$7:$H$606,"Aktif")&gt;0,"EVET","HAYIR"))</f>
        <v>EVET</v>
      </c>
      <c r="P50" s="65" t="str">
        <f t="shared" si="2"/>
        <v>UYGUN</v>
      </c>
      <c r="Q50" s="2"/>
      <c r="R50" s="2"/>
      <c r="S50" s="1"/>
      <c r="T50" s="1" t="str">
        <f t="shared" si="3"/>
        <v>RIXSOWLTDSTI</v>
      </c>
      <c r="U50" s="1">
        <f ca="1">IF($B50="","",COUNTIF($V$7:$V$156,"&gt;"&amp;$V50)+COUNTIF($V$7:$V50,$V50))</f>
        <v>50</v>
      </c>
      <c r="V50" s="1">
        <f ca="1">IF($B50="","",MAX(0,$J50+SUMIFS(UCRETLER!$I$7:$I$606,UCRETLER!$B$7:$B$606,$B50)+SUMIFS(GELIR_GIDER!$G$7:$G$3001,GELIR_GIDER!$T$7:$T$3001,$B50)-SUMIFS(TAHSILAT!$F$7:$F$2503,TAHSILAT!$C$7:$C$2503,$B50)))</f>
        <v>0</v>
      </c>
    </row>
    <row r="51" spans="1:22" ht="18" customHeight="1" x14ac:dyDescent="0.3">
      <c r="A51" s="2"/>
      <c r="B51" s="60" t="s">
        <v>659</v>
      </c>
      <c r="C51" s="61" t="s">
        <v>660</v>
      </c>
      <c r="D51" s="60" t="s">
        <v>638</v>
      </c>
      <c r="E51" s="61"/>
      <c r="F51" s="61"/>
      <c r="G51" s="61"/>
      <c r="H51" s="60" t="s">
        <v>572</v>
      </c>
      <c r="I51" s="62">
        <v>46023</v>
      </c>
      <c r="J51" s="63"/>
      <c r="K51" s="64"/>
      <c r="L51" s="61"/>
      <c r="M51" s="61"/>
      <c r="N51" s="60"/>
      <c r="O51" s="65" t="str">
        <f>IF($C51="","",IF(COUNTIFS(UCRETLER!$B$7:$B$606,$B51,UCRETLER!$H$7:$H$606,"Aktif")&gt;0,"EVET","HAYIR"))</f>
        <v>HAYIR</v>
      </c>
      <c r="P51" s="65" t="str">
        <f t="shared" si="2"/>
        <v>UYGUN</v>
      </c>
      <c r="Q51" s="2"/>
      <c r="R51" s="2"/>
      <c r="S51" s="1"/>
      <c r="T51" s="1" t="str">
        <f t="shared" si="3"/>
        <v>SEMRAGUMUS</v>
      </c>
      <c r="U51" s="1">
        <f ca="1">IF($B51="","",COUNTIF($V$7:$V$156,"&gt;"&amp;$V51)+COUNTIF($V$7:$V51,$V51))</f>
        <v>51</v>
      </c>
      <c r="V51" s="1">
        <f ca="1">IF($B51="","",MAX(0,$J51+SUMIFS(UCRETLER!$I$7:$I$606,UCRETLER!$B$7:$B$606,$B51)+SUMIFS(GELIR_GIDER!$G$7:$G$3001,GELIR_GIDER!$T$7:$T$3001,$B51)-SUMIFS(TAHSILAT!$F$7:$F$2503,TAHSILAT!$C$7:$C$2503,$B51)))</f>
        <v>0</v>
      </c>
    </row>
    <row r="52" spans="1:22" ht="18" customHeight="1" x14ac:dyDescent="0.3">
      <c r="A52" s="2"/>
      <c r="B52" s="60" t="s">
        <v>661</v>
      </c>
      <c r="C52" s="61" t="s">
        <v>662</v>
      </c>
      <c r="D52" s="60" t="s">
        <v>571</v>
      </c>
      <c r="E52" s="61"/>
      <c r="F52" s="61"/>
      <c r="G52" s="61"/>
      <c r="H52" s="60" t="s">
        <v>572</v>
      </c>
      <c r="I52" s="62">
        <v>46023</v>
      </c>
      <c r="J52" s="63">
        <v>0</v>
      </c>
      <c r="K52" s="64"/>
      <c r="L52" s="61"/>
      <c r="M52" s="61"/>
      <c r="N52" s="60"/>
      <c r="O52" s="65" t="str">
        <f>IF($C52="","",IF(COUNTIFS(UCRETLER!$B$7:$B$606,$B52,UCRETLER!$H$7:$H$606,"Aktif")&gt;0,"EVET","HAYIR"))</f>
        <v>EVET</v>
      </c>
      <c r="P52" s="65" t="str">
        <f t="shared" si="2"/>
        <v>UYGUN</v>
      </c>
      <c r="Q52" s="2"/>
      <c r="R52" s="2"/>
      <c r="S52" s="1"/>
      <c r="T52" s="1" t="str">
        <f t="shared" si="3"/>
        <v>STARSOWLTDSTI</v>
      </c>
      <c r="U52" s="1">
        <f ca="1">IF($B52="","",COUNTIF($V$7:$V$156,"&gt;"&amp;$V52)+COUNTIF($V$7:$V52,$V52))</f>
        <v>52</v>
      </c>
      <c r="V52" s="1">
        <f ca="1">IF($B52="","",MAX(0,$J52+SUMIFS(UCRETLER!$I$7:$I$606,UCRETLER!$B$7:$B$606,$B52)+SUMIFS(GELIR_GIDER!$G$7:$G$3001,GELIR_GIDER!$T$7:$T$3001,$B52)-SUMIFS(TAHSILAT!$F$7:$F$2503,TAHSILAT!$C$7:$C$2503,$B52)))</f>
        <v>0</v>
      </c>
    </row>
    <row r="53" spans="1:22" ht="18" customHeight="1" x14ac:dyDescent="0.3">
      <c r="A53" s="2"/>
      <c r="B53" s="60" t="s">
        <v>663</v>
      </c>
      <c r="C53" s="61" t="s">
        <v>664</v>
      </c>
      <c r="D53" s="60" t="s">
        <v>571</v>
      </c>
      <c r="E53" s="61"/>
      <c r="F53" s="61"/>
      <c r="G53" s="61"/>
      <c r="H53" s="60" t="s">
        <v>572</v>
      </c>
      <c r="I53" s="62">
        <v>46023</v>
      </c>
      <c r="J53" s="63">
        <v>0</v>
      </c>
      <c r="K53" s="64"/>
      <c r="L53" s="61"/>
      <c r="M53" s="61"/>
      <c r="N53" s="60"/>
      <c r="O53" s="65" t="str">
        <f>IF($C53="","",IF(COUNTIFS(UCRETLER!$B$7:$B$606,$B53,UCRETLER!$H$7:$H$606,"Aktif")&gt;0,"EVET","HAYIR"))</f>
        <v>EVET</v>
      </c>
      <c r="P53" s="65" t="str">
        <f t="shared" si="2"/>
        <v>UYGUN</v>
      </c>
      <c r="Q53" s="2"/>
      <c r="R53" s="2"/>
      <c r="S53" s="1"/>
      <c r="T53" s="1" t="str">
        <f t="shared" si="3"/>
        <v>TANAKLTDSTI</v>
      </c>
      <c r="U53" s="1">
        <f ca="1">IF($B53="","",COUNTIF($V$7:$V$156,"&gt;"&amp;$V53)+COUNTIF($V$7:$V53,$V53))</f>
        <v>1</v>
      </c>
      <c r="V53" s="1">
        <f ca="1">IF($B53="","",MAX(0,$J53+SUMIFS(UCRETLER!$I$7:$I$606,UCRETLER!$B$7:$B$606,$B53)+SUMIFS(GELIR_GIDER!$G$7:$G$3001,GELIR_GIDER!$T$7:$T$3001,$B53)-SUMIFS(TAHSILAT!$F$7:$F$2503,TAHSILAT!$C$7:$C$2503,$B53)))</f>
        <v>136000</v>
      </c>
    </row>
    <row r="54" spans="1:22" ht="18" customHeight="1" x14ac:dyDescent="0.3">
      <c r="A54" s="2"/>
      <c r="B54" s="60" t="s">
        <v>665</v>
      </c>
      <c r="C54" s="61" t="s">
        <v>666</v>
      </c>
      <c r="D54" s="60" t="s">
        <v>571</v>
      </c>
      <c r="E54" s="61"/>
      <c r="F54" s="61"/>
      <c r="G54" s="61"/>
      <c r="H54" s="60" t="s">
        <v>572</v>
      </c>
      <c r="I54" s="62">
        <v>46023</v>
      </c>
      <c r="J54" s="63">
        <v>0</v>
      </c>
      <c r="K54" s="64"/>
      <c r="L54" s="61"/>
      <c r="M54" s="61"/>
      <c r="N54" s="60"/>
      <c r="O54" s="65" t="str">
        <f>IF($C54="","",IF(COUNTIFS(UCRETLER!$B$7:$B$606,$B54,UCRETLER!$H$7:$H$606,"Aktif")&gt;0,"EVET","HAYIR"))</f>
        <v>EVET</v>
      </c>
      <c r="P54" s="65" t="str">
        <f t="shared" si="2"/>
        <v>UYGUN</v>
      </c>
      <c r="Q54" s="2"/>
      <c r="R54" s="2"/>
      <c r="S54" s="1"/>
      <c r="T54" s="1" t="str">
        <f t="shared" si="3"/>
        <v>TYANALTDSTI</v>
      </c>
      <c r="U54" s="1">
        <f ca="1">IF($B54="","",COUNTIF($V$7:$V$156,"&gt;"&amp;$V54)+COUNTIF($V$7:$V54,$V54))</f>
        <v>4</v>
      </c>
      <c r="V54" s="1">
        <f ca="1">IF($B54="","",MAX(0,$J54+SUMIFS(UCRETLER!$I$7:$I$606,UCRETLER!$B$7:$B$606,$B54)+SUMIFS(GELIR_GIDER!$G$7:$G$3001,GELIR_GIDER!$T$7:$T$3001,$B54)-SUMIFS(TAHSILAT!$F$7:$F$2503,TAHSILAT!$C$7:$C$2503,$B54)))</f>
        <v>99000</v>
      </c>
    </row>
    <row r="55" spans="1:22" ht="18" customHeight="1" x14ac:dyDescent="0.3">
      <c r="A55" s="2"/>
      <c r="B55" s="60" t="s">
        <v>667</v>
      </c>
      <c r="C55" s="61" t="s">
        <v>668</v>
      </c>
      <c r="D55" s="60" t="s">
        <v>571</v>
      </c>
      <c r="E55" s="61"/>
      <c r="F55" s="61"/>
      <c r="G55" s="61"/>
      <c r="H55" s="60" t="s">
        <v>572</v>
      </c>
      <c r="I55" s="62">
        <v>46023</v>
      </c>
      <c r="J55" s="63">
        <v>0</v>
      </c>
      <c r="K55" s="64"/>
      <c r="L55" s="61"/>
      <c r="M55" s="61"/>
      <c r="N55" s="60"/>
      <c r="O55" s="65" t="str">
        <f>IF($C55="","",IF(COUNTIFS(UCRETLER!$B$7:$B$606,$B55,UCRETLER!$H$7:$H$606,"Aktif")&gt;0,"EVET","HAYIR"))</f>
        <v>EVET</v>
      </c>
      <c r="P55" s="65" t="str">
        <f t="shared" si="2"/>
        <v>UYGUN</v>
      </c>
      <c r="Q55" s="2"/>
      <c r="R55" s="2"/>
      <c r="S55" s="1"/>
      <c r="T55" s="1" t="str">
        <f t="shared" si="3"/>
        <v>UFUKYILMAZ</v>
      </c>
      <c r="U55" s="1">
        <f ca="1">IF($B55="","",COUNTIF($V$7:$V$156,"&gt;"&amp;$V55)+COUNTIF($V$7:$V55,$V55))</f>
        <v>53</v>
      </c>
      <c r="V55" s="1">
        <f ca="1">IF($B55="","",MAX(0,$J55+SUMIFS(UCRETLER!$I$7:$I$606,UCRETLER!$B$7:$B$606,$B55)+SUMIFS(GELIR_GIDER!$G$7:$G$3001,GELIR_GIDER!$T$7:$T$3001,$B55)-SUMIFS(TAHSILAT!$F$7:$F$2503,TAHSILAT!$C$7:$C$2503,$B55)))</f>
        <v>0</v>
      </c>
    </row>
    <row r="56" spans="1:22" ht="18" customHeight="1" x14ac:dyDescent="0.3">
      <c r="A56" s="2"/>
      <c r="B56" s="60" t="s">
        <v>669</v>
      </c>
      <c r="C56" s="61" t="s">
        <v>670</v>
      </c>
      <c r="D56" s="60" t="s">
        <v>571</v>
      </c>
      <c r="E56" s="61"/>
      <c r="F56" s="61"/>
      <c r="G56" s="61"/>
      <c r="H56" s="60" t="s">
        <v>572</v>
      </c>
      <c r="I56" s="62">
        <v>46023</v>
      </c>
      <c r="J56" s="63">
        <v>0</v>
      </c>
      <c r="K56" s="64"/>
      <c r="L56" s="61"/>
      <c r="M56" s="61"/>
      <c r="N56" s="60"/>
      <c r="O56" s="65" t="str">
        <f>IF($C56="","",IF(COUNTIFS(UCRETLER!$B$7:$B$606,$B56,UCRETLER!$H$7:$H$606,"Aktif")&gt;0,"EVET","HAYIR"))</f>
        <v>EVET</v>
      </c>
      <c r="P56" s="65" t="str">
        <f t="shared" si="2"/>
        <v>UYGUN</v>
      </c>
      <c r="Q56" s="2"/>
      <c r="R56" s="2"/>
      <c r="S56" s="1"/>
      <c r="T56" s="1" t="str">
        <f t="shared" si="3"/>
        <v>VANOLYASULTDSTI</v>
      </c>
      <c r="U56" s="1">
        <f ca="1">IF($B56="","",COUNTIF($V$7:$V$156,"&gt;"&amp;$V56)+COUNTIF($V$7:$V56,$V56))</f>
        <v>20</v>
      </c>
      <c r="V56" s="1">
        <f ca="1">IF($B56="","",MAX(0,$J56+SUMIFS(UCRETLER!$I$7:$I$606,UCRETLER!$B$7:$B$606,$B56)+SUMIFS(GELIR_GIDER!$G$7:$G$3001,GELIR_GIDER!$T$7:$T$3001,$B56)-SUMIFS(TAHSILAT!$F$7:$F$2503,TAHSILAT!$C$7:$C$2503,$B56)))</f>
        <v>10000</v>
      </c>
    </row>
    <row r="57" spans="1:22" ht="18" customHeight="1" x14ac:dyDescent="0.3">
      <c r="A57" s="2"/>
      <c r="B57" s="60" t="s">
        <v>671</v>
      </c>
      <c r="C57" s="61" t="s">
        <v>672</v>
      </c>
      <c r="D57" s="60" t="s">
        <v>571</v>
      </c>
      <c r="E57" s="61"/>
      <c r="F57" s="61"/>
      <c r="G57" s="61"/>
      <c r="H57" s="60" t="s">
        <v>572</v>
      </c>
      <c r="I57" s="62">
        <v>46023</v>
      </c>
      <c r="J57" s="63">
        <v>0</v>
      </c>
      <c r="K57" s="64"/>
      <c r="L57" s="61"/>
      <c r="M57" s="61"/>
      <c r="N57" s="60"/>
      <c r="O57" s="65" t="str">
        <f>IF($C57="","",IF(COUNTIFS(UCRETLER!$B$7:$B$606,$B57,UCRETLER!$H$7:$H$606,"Aktif")&gt;0,"EVET","HAYIR"))</f>
        <v>EVET</v>
      </c>
      <c r="P57" s="65" t="str">
        <f t="shared" si="2"/>
        <v>UYGUN</v>
      </c>
      <c r="Q57" s="2"/>
      <c r="R57" s="2"/>
      <c r="S57" s="1"/>
      <c r="T57" s="1" t="str">
        <f t="shared" si="3"/>
        <v>VOLKANACIK</v>
      </c>
      <c r="U57" s="1">
        <f ca="1">IF($B57="","",COUNTIF($V$7:$V$156,"&gt;"&amp;$V57)+COUNTIF($V$7:$V57,$V57))</f>
        <v>16</v>
      </c>
      <c r="V57" s="1">
        <f ca="1">IF($B57="","",MAX(0,$J57+SUMIFS(UCRETLER!$I$7:$I$606,UCRETLER!$B$7:$B$606,$B57)+SUMIFS(GELIR_GIDER!$G$7:$G$3001,GELIR_GIDER!$T$7:$T$3001,$B57)-SUMIFS(TAHSILAT!$F$7:$F$2503,TAHSILAT!$C$7:$C$2503,$B57)))</f>
        <v>19000</v>
      </c>
    </row>
    <row r="58" spans="1:22" ht="18" customHeight="1" x14ac:dyDescent="0.3">
      <c r="A58" s="2"/>
      <c r="B58" s="60" t="s">
        <v>673</v>
      </c>
      <c r="C58" s="61" t="s">
        <v>674</v>
      </c>
      <c r="D58" s="60" t="s">
        <v>638</v>
      </c>
      <c r="E58" s="61"/>
      <c r="F58" s="61"/>
      <c r="G58" s="61"/>
      <c r="H58" s="60" t="s">
        <v>572</v>
      </c>
      <c r="I58" s="62">
        <v>46023</v>
      </c>
      <c r="J58" s="63"/>
      <c r="K58" s="64"/>
      <c r="L58" s="61"/>
      <c r="M58" s="61"/>
      <c r="N58" s="60"/>
      <c r="O58" s="65" t="str">
        <f>IF($C58="","",IF(COUNTIFS(UCRETLER!$B$7:$B$606,$B58,UCRETLER!$H$7:$H$606,"Aktif")&gt;0,"EVET","HAYIR"))</f>
        <v>HAYIR</v>
      </c>
      <c r="P58" s="65" t="str">
        <f t="shared" si="2"/>
        <v>UYGUN</v>
      </c>
      <c r="Q58" s="2"/>
      <c r="R58" s="2"/>
      <c r="S58" s="1"/>
      <c r="T58" s="1" t="str">
        <f t="shared" si="3"/>
        <v>YALIKENTLTDSTI</v>
      </c>
      <c r="U58" s="1">
        <f ca="1">IF($B58="","",COUNTIF($V$7:$V$156,"&gt;"&amp;$V58)+COUNTIF($V$7:$V58,$V58))</f>
        <v>54</v>
      </c>
      <c r="V58" s="1">
        <f ca="1">IF($B58="","",MAX(0,$J58+SUMIFS(UCRETLER!$I$7:$I$606,UCRETLER!$B$7:$B$606,$B58)+SUMIFS(GELIR_GIDER!$G$7:$G$3001,GELIR_GIDER!$T$7:$T$3001,$B58)-SUMIFS(TAHSILAT!$F$7:$F$2503,TAHSILAT!$C$7:$C$2503,$B58)))</f>
        <v>0</v>
      </c>
    </row>
    <row r="59" spans="1:22" ht="18" customHeight="1" x14ac:dyDescent="0.3">
      <c r="A59" s="2"/>
      <c r="B59" s="60" t="s">
        <v>675</v>
      </c>
      <c r="C59" s="61" t="s">
        <v>676</v>
      </c>
      <c r="D59" s="60" t="s">
        <v>571</v>
      </c>
      <c r="E59" s="61"/>
      <c r="F59" s="61"/>
      <c r="G59" s="61"/>
      <c r="H59" s="60" t="s">
        <v>572</v>
      </c>
      <c r="I59" s="62">
        <v>46023</v>
      </c>
      <c r="J59" s="63">
        <v>0</v>
      </c>
      <c r="K59" s="64"/>
      <c r="L59" s="61"/>
      <c r="M59" s="61"/>
      <c r="N59" s="60"/>
      <c r="O59" s="65" t="str">
        <f>IF($C59="","",IF(COUNTIFS(UCRETLER!$B$7:$B$606,$B59,UCRETLER!$H$7:$H$606,"Aktif")&gt;0,"EVET","HAYIR"))</f>
        <v>EVET</v>
      </c>
      <c r="P59" s="65" t="str">
        <f t="shared" si="2"/>
        <v>UYGUN</v>
      </c>
      <c r="Q59" s="2"/>
      <c r="R59" s="2"/>
      <c r="S59" s="1"/>
      <c r="T59" s="1" t="str">
        <f t="shared" si="3"/>
        <v>YEDIYIRMIDORTLTDSTI</v>
      </c>
      <c r="U59" s="1">
        <f ca="1">IF($B59="","",COUNTIF($V$7:$V$156,"&gt;"&amp;$V59)+COUNTIF($V$7:$V59,$V59))</f>
        <v>13</v>
      </c>
      <c r="V59" s="1">
        <f ca="1">IF($B59="","",MAX(0,$J59+SUMIFS(UCRETLER!$I$7:$I$606,UCRETLER!$B$7:$B$606,$B59)+SUMIFS(GELIR_GIDER!$G$7:$G$3001,GELIR_GIDER!$T$7:$T$3001,$B59)-SUMIFS(TAHSILAT!$F$7:$F$2503,TAHSILAT!$C$7:$C$2503,$B59)))</f>
        <v>24000</v>
      </c>
    </row>
    <row r="60" spans="1:22" ht="18" customHeight="1" x14ac:dyDescent="0.3">
      <c r="A60" s="2"/>
      <c r="B60" s="60" t="s">
        <v>677</v>
      </c>
      <c r="C60" s="61" t="s">
        <v>678</v>
      </c>
      <c r="D60" s="60" t="s">
        <v>571</v>
      </c>
      <c r="E60" s="61"/>
      <c r="F60" s="61"/>
      <c r="G60" s="61"/>
      <c r="H60" s="60" t="s">
        <v>572</v>
      </c>
      <c r="I60" s="62">
        <v>46023</v>
      </c>
      <c r="J60" s="63">
        <v>0</v>
      </c>
      <c r="K60" s="64"/>
      <c r="L60" s="61"/>
      <c r="M60" s="61"/>
      <c r="N60" s="60"/>
      <c r="O60" s="65" t="str">
        <f>IF($C60="","",IF(COUNTIFS(UCRETLER!$B$7:$B$606,$B60,UCRETLER!$H$7:$H$606,"Aktif")&gt;0,"EVET","HAYIR"))</f>
        <v>EVET</v>
      </c>
      <c r="P60" s="65" t="str">
        <f t="shared" si="2"/>
        <v>UYGUN</v>
      </c>
      <c r="Q60" s="2"/>
      <c r="R60" s="2"/>
      <c r="S60" s="1"/>
      <c r="T60" s="1" t="str">
        <f t="shared" si="3"/>
        <v>ZUMRUTEGLENCELTDSTI</v>
      </c>
      <c r="U60" s="1">
        <f ca="1">IF($B60="","",COUNTIF($V$7:$V$156,"&gt;"&amp;$V60)+COUNTIF($V$7:$V60,$V60))</f>
        <v>8</v>
      </c>
      <c r="V60" s="1">
        <f ca="1">IF($B60="","",MAX(0,$J60+SUMIFS(UCRETLER!$I$7:$I$606,UCRETLER!$B$7:$B$606,$B60)+SUMIFS(GELIR_GIDER!$G$7:$G$3001,GELIR_GIDER!$T$7:$T$3001,$B60)-SUMIFS(TAHSILAT!$F$7:$F$2503,TAHSILAT!$C$7:$C$2503,$B60)))</f>
        <v>66000</v>
      </c>
    </row>
    <row r="61" spans="1:22" ht="18" customHeight="1" x14ac:dyDescent="0.3">
      <c r="A61" s="2"/>
      <c r="B61" s="60" t="s">
        <v>679</v>
      </c>
      <c r="C61" s="61" t="s">
        <v>680</v>
      </c>
      <c r="D61" s="60" t="s">
        <v>571</v>
      </c>
      <c r="E61" s="61"/>
      <c r="F61" s="61"/>
      <c r="G61" s="61"/>
      <c r="H61" s="60" t="s">
        <v>572</v>
      </c>
      <c r="I61" s="62">
        <v>46023</v>
      </c>
      <c r="J61" s="63">
        <v>0</v>
      </c>
      <c r="K61" s="64"/>
      <c r="L61" s="61"/>
      <c r="M61" s="61"/>
      <c r="N61" s="60"/>
      <c r="O61" s="65" t="str">
        <f>IF($C61="","",IF(COUNTIFS(UCRETLER!$B$7:$B$606,$B61,UCRETLER!$H$7:$H$606,"Aktif")&gt;0,"EVET","HAYIR"))</f>
        <v>EVET</v>
      </c>
      <c r="P61" s="65" t="str">
        <f t="shared" si="2"/>
        <v>UYGUN</v>
      </c>
      <c r="Q61" s="2"/>
      <c r="R61" s="2"/>
      <c r="S61" s="1"/>
      <c r="T61" s="1" t="str">
        <f t="shared" si="3"/>
        <v>ZUMRUTGRUPLTDSTI</v>
      </c>
      <c r="U61" s="1">
        <f ca="1">IF($B61="","",COUNTIF($V$7:$V$156,"&gt;"&amp;$V61)+COUNTIF($V$7:$V61,$V61))</f>
        <v>55</v>
      </c>
      <c r="V61" s="1">
        <f ca="1">IF($B61="","",MAX(0,$J61+SUMIFS(UCRETLER!$I$7:$I$606,UCRETLER!$B$7:$B$606,$B61)+SUMIFS(GELIR_GIDER!$G$7:$G$3001,GELIR_GIDER!$T$7:$T$3001,$B61)-SUMIFS(TAHSILAT!$F$7:$F$2503,TAHSILAT!$C$7:$C$2503,$B61)))</f>
        <v>0</v>
      </c>
    </row>
    <row r="62" spans="1:22" ht="18" customHeight="1" x14ac:dyDescent="0.3">
      <c r="A62" s="2"/>
      <c r="B62" s="60"/>
      <c r="C62" s="61"/>
      <c r="D62" s="60"/>
      <c r="E62" s="61"/>
      <c r="F62" s="61"/>
      <c r="G62" s="61"/>
      <c r="H62" s="60"/>
      <c r="I62" s="62"/>
      <c r="J62" s="63"/>
      <c r="K62" s="64"/>
      <c r="L62" s="61"/>
      <c r="M62" s="61"/>
      <c r="N62" s="60"/>
      <c r="O62" s="65" t="str">
        <f>IF($C62="","",IF(COUNTIFS(UCRETLER!$B$7:$B$606,$B62,UCRETLER!$H$7:$H$606,"Aktif")&gt;0,"EVET","HAYIR"))</f>
        <v/>
      </c>
      <c r="P62" s="65" t="str">
        <f t="shared" si="2"/>
        <v/>
      </c>
      <c r="Q62" s="2"/>
      <c r="R62" s="2"/>
      <c r="S62" s="1"/>
      <c r="T62" s="1" t="str">
        <f t="shared" si="3"/>
        <v/>
      </c>
      <c r="U62" s="1" t="str">
        <f>IF($B62="","",COUNTIF($V$7:$V$156,"&gt;"&amp;$V62)+COUNTIF($V$7:$V62,$V62))</f>
        <v/>
      </c>
      <c r="V62" s="1" t="str">
        <f>IF($B62="","",MAX(0,$J62+SUMIFS(UCRETLER!$I$7:$I$606,UCRETLER!$B$7:$B$606,$B62)+SUMIFS(GELIR_GIDER!$G$7:$G$3001,GELIR_GIDER!$T$7:$T$3001,$B62)-SUMIFS(TAHSILAT!$F$7:$F$2503,TAHSILAT!$C$7:$C$2503,$B62)))</f>
        <v/>
      </c>
    </row>
    <row r="63" spans="1:22" ht="18" customHeight="1" x14ac:dyDescent="0.3">
      <c r="A63" s="2"/>
      <c r="B63" s="60"/>
      <c r="C63" s="61"/>
      <c r="D63" s="60"/>
      <c r="E63" s="61"/>
      <c r="F63" s="61"/>
      <c r="G63" s="61"/>
      <c r="H63" s="60"/>
      <c r="I63" s="62"/>
      <c r="J63" s="63"/>
      <c r="K63" s="64"/>
      <c r="L63" s="61"/>
      <c r="M63" s="61"/>
      <c r="N63" s="60"/>
      <c r="O63" s="65" t="str">
        <f>IF($C63="","",IF(COUNTIFS(UCRETLER!$B$7:$B$606,$B63,UCRETLER!$H$7:$H$606,"Aktif")&gt;0,"EVET","HAYIR"))</f>
        <v/>
      </c>
      <c r="P63" s="65" t="str">
        <f t="shared" si="2"/>
        <v/>
      </c>
      <c r="Q63" s="2"/>
      <c r="R63" s="2"/>
      <c r="S63" s="1"/>
      <c r="T63" s="1" t="str">
        <f t="shared" si="3"/>
        <v/>
      </c>
      <c r="U63" s="1" t="str">
        <f>IF($B63="","",COUNTIF($V$7:$V$156,"&gt;"&amp;$V63)+COUNTIF($V$7:$V63,$V63))</f>
        <v/>
      </c>
      <c r="V63" s="1" t="str">
        <f>IF($B63="","",MAX(0,$J63+SUMIFS(UCRETLER!$I$7:$I$606,UCRETLER!$B$7:$B$606,$B63)+SUMIFS(GELIR_GIDER!$G$7:$G$3001,GELIR_GIDER!$T$7:$T$3001,$B63)-SUMIFS(TAHSILAT!$F$7:$F$2503,TAHSILAT!$C$7:$C$2503,$B63)))</f>
        <v/>
      </c>
    </row>
    <row r="64" spans="1:22" ht="18" customHeight="1" x14ac:dyDescent="0.3">
      <c r="A64" s="2"/>
      <c r="B64" s="60"/>
      <c r="C64" s="61"/>
      <c r="D64" s="60"/>
      <c r="E64" s="61"/>
      <c r="F64" s="61"/>
      <c r="G64" s="61"/>
      <c r="H64" s="60"/>
      <c r="I64" s="62"/>
      <c r="J64" s="63"/>
      <c r="K64" s="64"/>
      <c r="L64" s="61"/>
      <c r="M64" s="61"/>
      <c r="N64" s="60"/>
      <c r="O64" s="65" t="str">
        <f>IF($C64="","",IF(COUNTIFS(UCRETLER!$B$7:$B$606,$B64,UCRETLER!$H$7:$H$606,"Aktif")&gt;0,"EVET","HAYIR"))</f>
        <v/>
      </c>
      <c r="P64" s="65" t="str">
        <f t="shared" si="2"/>
        <v/>
      </c>
      <c r="Q64" s="2"/>
      <c r="R64" s="2"/>
      <c r="S64" s="1"/>
      <c r="T64" s="1" t="str">
        <f t="shared" si="3"/>
        <v/>
      </c>
      <c r="U64" s="1" t="str">
        <f>IF($B64="","",COUNTIF($V$7:$V$156,"&gt;"&amp;$V64)+COUNTIF($V$7:$V64,$V64))</f>
        <v/>
      </c>
      <c r="V64" s="1" t="str">
        <f>IF($B64="","",MAX(0,$J64+SUMIFS(UCRETLER!$I$7:$I$606,UCRETLER!$B$7:$B$606,$B64)+SUMIFS(GELIR_GIDER!$G$7:$G$3001,GELIR_GIDER!$T$7:$T$3001,$B64)-SUMIFS(TAHSILAT!$F$7:$F$2503,TAHSILAT!$C$7:$C$2503,$B64)))</f>
        <v/>
      </c>
    </row>
    <row r="65" spans="1:22" ht="18" customHeight="1" x14ac:dyDescent="0.3">
      <c r="A65" s="2"/>
      <c r="B65" s="60"/>
      <c r="C65" s="61"/>
      <c r="D65" s="60"/>
      <c r="E65" s="61"/>
      <c r="F65" s="61"/>
      <c r="G65" s="61"/>
      <c r="H65" s="60"/>
      <c r="I65" s="62"/>
      <c r="J65" s="63"/>
      <c r="K65" s="64"/>
      <c r="L65" s="61"/>
      <c r="M65" s="61"/>
      <c r="N65" s="60"/>
      <c r="O65" s="65" t="str">
        <f>IF($C65="","",IF(COUNTIFS(UCRETLER!$B$7:$B$606,$B65,UCRETLER!$H$7:$H$606,"Aktif")&gt;0,"EVET","HAYIR"))</f>
        <v/>
      </c>
      <c r="P65" s="65" t="str">
        <f t="shared" si="2"/>
        <v/>
      </c>
      <c r="Q65" s="2"/>
      <c r="R65" s="2"/>
      <c r="S65" s="1"/>
      <c r="T65" s="1" t="str">
        <f t="shared" si="3"/>
        <v/>
      </c>
      <c r="U65" s="1" t="str">
        <f>IF($B65="","",COUNTIF($V$7:$V$156,"&gt;"&amp;$V65)+COUNTIF($V$7:$V65,$V65))</f>
        <v/>
      </c>
      <c r="V65" s="1" t="str">
        <f>IF($B65="","",MAX(0,$J65+SUMIFS(UCRETLER!$I$7:$I$606,UCRETLER!$B$7:$B$606,$B65)+SUMIFS(GELIR_GIDER!$G$7:$G$3001,GELIR_GIDER!$T$7:$T$3001,$B65)-SUMIFS(TAHSILAT!$F$7:$F$2503,TAHSILAT!$C$7:$C$2503,$B65)))</f>
        <v/>
      </c>
    </row>
    <row r="66" spans="1:22" ht="18" customHeight="1" x14ac:dyDescent="0.3">
      <c r="A66" s="2"/>
      <c r="B66" s="60"/>
      <c r="C66" s="61"/>
      <c r="D66" s="60"/>
      <c r="E66" s="61"/>
      <c r="F66" s="61"/>
      <c r="G66" s="61"/>
      <c r="H66" s="60"/>
      <c r="I66" s="62"/>
      <c r="J66" s="63"/>
      <c r="K66" s="64"/>
      <c r="L66" s="61"/>
      <c r="M66" s="61"/>
      <c r="N66" s="60"/>
      <c r="O66" s="65" t="str">
        <f>IF($C66="","",IF(COUNTIFS(UCRETLER!$B$7:$B$606,$B66,UCRETLER!$H$7:$H$606,"Aktif")&gt;0,"EVET","HAYIR"))</f>
        <v/>
      </c>
      <c r="P66" s="65" t="str">
        <f t="shared" si="2"/>
        <v/>
      </c>
      <c r="Q66" s="2"/>
      <c r="R66" s="2"/>
      <c r="S66" s="1"/>
      <c r="T66" s="1" t="str">
        <f t="shared" si="3"/>
        <v/>
      </c>
      <c r="U66" s="1" t="str">
        <f>IF($B66="","",COUNTIF($V$7:$V$156,"&gt;"&amp;$V66)+COUNTIF($V$7:$V66,$V66))</f>
        <v/>
      </c>
      <c r="V66" s="1" t="str">
        <f>IF($B66="","",MAX(0,$J66+SUMIFS(UCRETLER!$I$7:$I$606,UCRETLER!$B$7:$B$606,$B66)+SUMIFS(GELIR_GIDER!$G$7:$G$3001,GELIR_GIDER!$T$7:$T$3001,$B66)-SUMIFS(TAHSILAT!$F$7:$F$2503,TAHSILAT!$C$7:$C$2503,$B66)))</f>
        <v/>
      </c>
    </row>
    <row r="67" spans="1:22" ht="18" customHeight="1" x14ac:dyDescent="0.3">
      <c r="A67" s="2"/>
      <c r="B67" s="60"/>
      <c r="C67" s="61"/>
      <c r="D67" s="60"/>
      <c r="E67" s="61"/>
      <c r="F67" s="61"/>
      <c r="G67" s="61"/>
      <c r="H67" s="60"/>
      <c r="I67" s="62"/>
      <c r="J67" s="63"/>
      <c r="K67" s="64"/>
      <c r="L67" s="61"/>
      <c r="M67" s="61"/>
      <c r="N67" s="60"/>
      <c r="O67" s="65" t="str">
        <f>IF($C67="","",IF(COUNTIFS(UCRETLER!$B$7:$B$606,$B67,UCRETLER!$H$7:$H$606,"Aktif")&gt;0,"EVET","HAYIR"))</f>
        <v/>
      </c>
      <c r="P67" s="65" t="str">
        <f t="shared" si="2"/>
        <v/>
      </c>
      <c r="Q67" s="2"/>
      <c r="R67" s="2"/>
      <c r="S67" s="1"/>
      <c r="T67" s="1" t="str">
        <f t="shared" si="3"/>
        <v/>
      </c>
      <c r="U67" s="1" t="str">
        <f>IF($B67="","",COUNTIF($V$7:$V$156,"&gt;"&amp;$V67)+COUNTIF($V$7:$V67,$V67))</f>
        <v/>
      </c>
      <c r="V67" s="1" t="str">
        <f>IF($B67="","",MAX(0,$J67+SUMIFS(UCRETLER!$I$7:$I$606,UCRETLER!$B$7:$B$606,$B67)+SUMIFS(GELIR_GIDER!$G$7:$G$3001,GELIR_GIDER!$T$7:$T$3001,$B67)-SUMIFS(TAHSILAT!$F$7:$F$2503,TAHSILAT!$C$7:$C$2503,$B67)))</f>
        <v/>
      </c>
    </row>
    <row r="68" spans="1:22" ht="18" customHeight="1" x14ac:dyDescent="0.3">
      <c r="A68" s="2"/>
      <c r="B68" s="60"/>
      <c r="C68" s="61"/>
      <c r="D68" s="60"/>
      <c r="E68" s="61"/>
      <c r="F68" s="61"/>
      <c r="G68" s="61"/>
      <c r="H68" s="60"/>
      <c r="I68" s="62"/>
      <c r="J68" s="63"/>
      <c r="K68" s="64"/>
      <c r="L68" s="61"/>
      <c r="M68" s="61"/>
      <c r="N68" s="60"/>
      <c r="O68" s="65" t="str">
        <f>IF($C68="","",IF(COUNTIFS(UCRETLER!$B$7:$B$606,$B68,UCRETLER!$H$7:$H$606,"Aktif")&gt;0,"EVET","HAYIR"))</f>
        <v/>
      </c>
      <c r="P68" s="65" t="str">
        <f t="shared" si="2"/>
        <v/>
      </c>
      <c r="Q68" s="2"/>
      <c r="R68" s="2"/>
      <c r="S68" s="1"/>
      <c r="T68" s="1" t="str">
        <f t="shared" si="3"/>
        <v/>
      </c>
      <c r="U68" s="1" t="str">
        <f>IF($B68="","",COUNTIF($V$7:$V$156,"&gt;"&amp;$V68)+COUNTIF($V$7:$V68,$V68))</f>
        <v/>
      </c>
      <c r="V68" s="1" t="str">
        <f>IF($B68="","",MAX(0,$J68+SUMIFS(UCRETLER!$I$7:$I$606,UCRETLER!$B$7:$B$606,$B68)+SUMIFS(GELIR_GIDER!$G$7:$G$3001,GELIR_GIDER!$T$7:$T$3001,$B68)-SUMIFS(TAHSILAT!$F$7:$F$2503,TAHSILAT!$C$7:$C$2503,$B68)))</f>
        <v/>
      </c>
    </row>
    <row r="69" spans="1:22" ht="18" customHeight="1" x14ac:dyDescent="0.3">
      <c r="A69" s="2"/>
      <c r="B69" s="60"/>
      <c r="C69" s="61"/>
      <c r="D69" s="60"/>
      <c r="E69" s="61"/>
      <c r="F69" s="61"/>
      <c r="G69" s="61"/>
      <c r="H69" s="60"/>
      <c r="I69" s="62"/>
      <c r="J69" s="63"/>
      <c r="K69" s="64"/>
      <c r="L69" s="61"/>
      <c r="M69" s="61"/>
      <c r="N69" s="60"/>
      <c r="O69" s="65" t="str">
        <f>IF($C69="","",IF(COUNTIFS(UCRETLER!$B$7:$B$606,$B69,UCRETLER!$H$7:$H$606,"Aktif")&gt;0,"EVET","HAYIR"))</f>
        <v/>
      </c>
      <c r="P69" s="65" t="str">
        <f t="shared" si="2"/>
        <v/>
      </c>
      <c r="Q69" s="2"/>
      <c r="R69" s="2"/>
      <c r="S69" s="1"/>
      <c r="T69" s="1" t="str">
        <f t="shared" si="3"/>
        <v/>
      </c>
      <c r="U69" s="1" t="str">
        <f>IF($B69="","",COUNTIF($V$7:$V$156,"&gt;"&amp;$V69)+COUNTIF($V$7:$V69,$V69))</f>
        <v/>
      </c>
      <c r="V69" s="1" t="str">
        <f>IF($B69="","",MAX(0,$J69+SUMIFS(UCRETLER!$I$7:$I$606,UCRETLER!$B$7:$B$606,$B69)+SUMIFS(GELIR_GIDER!$G$7:$G$3001,GELIR_GIDER!$T$7:$T$3001,$B69)-SUMIFS(TAHSILAT!$F$7:$F$2503,TAHSILAT!$C$7:$C$2503,$B69)))</f>
        <v/>
      </c>
    </row>
    <row r="70" spans="1:22" ht="18" customHeight="1" x14ac:dyDescent="0.3">
      <c r="A70" s="2"/>
      <c r="B70" s="60"/>
      <c r="C70" s="61"/>
      <c r="D70" s="60"/>
      <c r="E70" s="61"/>
      <c r="F70" s="61"/>
      <c r="G70" s="61"/>
      <c r="H70" s="60"/>
      <c r="I70" s="62"/>
      <c r="J70" s="63"/>
      <c r="K70" s="64"/>
      <c r="L70" s="61"/>
      <c r="M70" s="61"/>
      <c r="N70" s="60"/>
      <c r="O70" s="65" t="str">
        <f>IF($C70="","",IF(COUNTIFS(UCRETLER!$B$7:$B$606,$B70,UCRETLER!$H$7:$H$606,"Aktif")&gt;0,"EVET","HAYIR"))</f>
        <v/>
      </c>
      <c r="P70" s="65" t="str">
        <f t="shared" si="2"/>
        <v/>
      </c>
      <c r="Q70" s="2"/>
      <c r="R70" s="2"/>
      <c r="S70" s="1"/>
      <c r="T70" s="1" t="str">
        <f t="shared" si="3"/>
        <v/>
      </c>
      <c r="U70" s="1" t="str">
        <f>IF($B70="","",COUNTIF($V$7:$V$156,"&gt;"&amp;$V70)+COUNTIF($V$7:$V70,$V70))</f>
        <v/>
      </c>
      <c r="V70" s="1" t="str">
        <f>IF($B70="","",MAX(0,$J70+SUMIFS(UCRETLER!$I$7:$I$606,UCRETLER!$B$7:$B$606,$B70)+SUMIFS(GELIR_GIDER!$G$7:$G$3001,GELIR_GIDER!$T$7:$T$3001,$B70)-SUMIFS(TAHSILAT!$F$7:$F$2503,TAHSILAT!$C$7:$C$2503,$B70)))</f>
        <v/>
      </c>
    </row>
    <row r="71" spans="1:22" ht="18" customHeight="1" x14ac:dyDescent="0.3">
      <c r="A71" s="2"/>
      <c r="B71" s="60"/>
      <c r="C71" s="61"/>
      <c r="D71" s="60"/>
      <c r="E71" s="61"/>
      <c r="F71" s="61"/>
      <c r="G71" s="61"/>
      <c r="H71" s="60"/>
      <c r="I71" s="62"/>
      <c r="J71" s="63"/>
      <c r="K71" s="64"/>
      <c r="L71" s="61"/>
      <c r="M71" s="61"/>
      <c r="N71" s="60"/>
      <c r="O71" s="65" t="str">
        <f>IF($C71="","",IF(COUNTIFS(UCRETLER!$B$7:$B$606,$B71,UCRETLER!$H$7:$H$606,"Aktif")&gt;0,"EVET","HAYIR"))</f>
        <v/>
      </c>
      <c r="P71" s="65" t="str">
        <f t="shared" ref="P71:P102" si="4"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2"/>
      <c r="R71" s="2"/>
      <c r="S71" s="1"/>
      <c r="T71" s="1" t="str">
        <f t="shared" ref="T71:T102" si="5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 t="str">
        <f>IF($B71="","",COUNTIF($V$7:$V$156,"&gt;"&amp;$V71)+COUNTIF($V$7:$V71,$V71))</f>
        <v/>
      </c>
      <c r="V71" s="1" t="str">
        <f>IF($B71="","",MAX(0,$J71+SUMIFS(UCRETLER!$I$7:$I$606,UCRETLER!$B$7:$B$606,$B71)+SUMIFS(GELIR_GIDER!$G$7:$G$3001,GELIR_GIDER!$T$7:$T$3001,$B71)-SUMIFS(TAHSILAT!$F$7:$F$2503,TAHSILAT!$C$7:$C$2503,$B71)))</f>
        <v/>
      </c>
    </row>
    <row r="72" spans="1:22" ht="18" customHeight="1" x14ac:dyDescent="0.3">
      <c r="A72" s="2"/>
      <c r="B72" s="60"/>
      <c r="C72" s="61"/>
      <c r="D72" s="60"/>
      <c r="E72" s="61"/>
      <c r="F72" s="61"/>
      <c r="G72" s="61"/>
      <c r="H72" s="60"/>
      <c r="I72" s="62"/>
      <c r="J72" s="63"/>
      <c r="K72" s="64"/>
      <c r="L72" s="61"/>
      <c r="M72" s="61"/>
      <c r="N72" s="60"/>
      <c r="O72" s="65" t="str">
        <f>IF($C72="","",IF(COUNTIFS(UCRETLER!$B$7:$B$606,$B72,UCRETLER!$H$7:$H$606,"Aktif")&gt;0,"EVET","HAYIR"))</f>
        <v/>
      </c>
      <c r="P72" s="65" t="str">
        <f t="shared" si="4"/>
        <v/>
      </c>
      <c r="Q72" s="2"/>
      <c r="R72" s="2"/>
      <c r="S72" s="1"/>
      <c r="T72" s="1" t="str">
        <f t="shared" si="5"/>
        <v/>
      </c>
      <c r="U72" s="1" t="str">
        <f>IF($B72="","",COUNTIF($V$7:$V$156,"&gt;"&amp;$V72)+COUNTIF($V$7:$V72,$V72))</f>
        <v/>
      </c>
      <c r="V72" s="1" t="str">
        <f>IF($B72="","",MAX(0,$J72+SUMIFS(UCRETLER!$I$7:$I$606,UCRETLER!$B$7:$B$606,$B72)+SUMIFS(GELIR_GIDER!$G$7:$G$3001,GELIR_GIDER!$T$7:$T$3001,$B72)-SUMIFS(TAHSILAT!$F$7:$F$2503,TAHSILAT!$C$7:$C$2503,$B72)))</f>
        <v/>
      </c>
    </row>
    <row r="73" spans="1:22" ht="18" customHeight="1" x14ac:dyDescent="0.3">
      <c r="A73" s="2"/>
      <c r="B73" s="60"/>
      <c r="C73" s="61"/>
      <c r="D73" s="60"/>
      <c r="E73" s="61"/>
      <c r="F73" s="61"/>
      <c r="G73" s="61"/>
      <c r="H73" s="60"/>
      <c r="I73" s="62"/>
      <c r="J73" s="63"/>
      <c r="K73" s="64"/>
      <c r="L73" s="61"/>
      <c r="M73" s="61"/>
      <c r="N73" s="60"/>
      <c r="O73" s="65" t="str">
        <f>IF($C73="","",IF(COUNTIFS(UCRETLER!$B$7:$B$606,$B73,UCRETLER!$H$7:$H$606,"Aktif")&gt;0,"EVET","HAYIR"))</f>
        <v/>
      </c>
      <c r="P73" s="65" t="str">
        <f t="shared" si="4"/>
        <v/>
      </c>
      <c r="Q73" s="2"/>
      <c r="R73" s="2"/>
      <c r="S73" s="1"/>
      <c r="T73" s="1" t="str">
        <f t="shared" si="5"/>
        <v/>
      </c>
      <c r="U73" s="1" t="str">
        <f>IF($B73="","",COUNTIF($V$7:$V$156,"&gt;"&amp;$V73)+COUNTIF($V$7:$V73,$V73))</f>
        <v/>
      </c>
      <c r="V73" s="1" t="str">
        <f>IF($B73="","",MAX(0,$J73+SUMIFS(UCRETLER!$I$7:$I$606,UCRETLER!$B$7:$B$606,$B73)+SUMIFS(GELIR_GIDER!$G$7:$G$3001,GELIR_GIDER!$T$7:$T$3001,$B73)-SUMIFS(TAHSILAT!$F$7:$F$2503,TAHSILAT!$C$7:$C$2503,$B73)))</f>
        <v/>
      </c>
    </row>
    <row r="74" spans="1:22" ht="18" customHeight="1" x14ac:dyDescent="0.3">
      <c r="A74" s="2"/>
      <c r="B74" s="60"/>
      <c r="C74" s="61"/>
      <c r="D74" s="60"/>
      <c r="E74" s="61"/>
      <c r="F74" s="61"/>
      <c r="G74" s="61"/>
      <c r="H74" s="60"/>
      <c r="I74" s="62"/>
      <c r="J74" s="63"/>
      <c r="K74" s="64"/>
      <c r="L74" s="61"/>
      <c r="M74" s="61"/>
      <c r="N74" s="60"/>
      <c r="O74" s="65" t="str">
        <f>IF($C74="","",IF(COUNTIFS(UCRETLER!$B$7:$B$606,$B74,UCRETLER!$H$7:$H$606,"Aktif")&gt;0,"EVET","HAYIR"))</f>
        <v/>
      </c>
      <c r="P74" s="65" t="str">
        <f t="shared" si="4"/>
        <v/>
      </c>
      <c r="Q74" s="2"/>
      <c r="R74" s="2"/>
      <c r="S74" s="1"/>
      <c r="T74" s="1" t="str">
        <f t="shared" si="5"/>
        <v/>
      </c>
      <c r="U74" s="1" t="str">
        <f>IF($B74="","",COUNTIF($V$7:$V$156,"&gt;"&amp;$V74)+COUNTIF($V$7:$V74,$V74))</f>
        <v/>
      </c>
      <c r="V74" s="1" t="str">
        <f>IF($B74="","",MAX(0,$J74+SUMIFS(UCRETLER!$I$7:$I$606,UCRETLER!$B$7:$B$606,$B74)+SUMIFS(GELIR_GIDER!$G$7:$G$3001,GELIR_GIDER!$T$7:$T$3001,$B74)-SUMIFS(TAHSILAT!$F$7:$F$2503,TAHSILAT!$C$7:$C$2503,$B74)))</f>
        <v/>
      </c>
    </row>
    <row r="75" spans="1:22" ht="18" customHeight="1" x14ac:dyDescent="0.3">
      <c r="A75" s="2"/>
      <c r="B75" s="60"/>
      <c r="C75" s="61"/>
      <c r="D75" s="60"/>
      <c r="E75" s="61"/>
      <c r="F75" s="61"/>
      <c r="G75" s="61"/>
      <c r="H75" s="60"/>
      <c r="I75" s="62"/>
      <c r="J75" s="63"/>
      <c r="K75" s="64"/>
      <c r="L75" s="61"/>
      <c r="M75" s="61"/>
      <c r="N75" s="60"/>
      <c r="O75" s="65" t="str">
        <f>IF($C75="","",IF(COUNTIFS(UCRETLER!$B$7:$B$606,$B75,UCRETLER!$H$7:$H$606,"Aktif")&gt;0,"EVET","HAYIR"))</f>
        <v/>
      </c>
      <c r="P75" s="65" t="str">
        <f t="shared" si="4"/>
        <v/>
      </c>
      <c r="Q75" s="2"/>
      <c r="R75" s="2"/>
      <c r="S75" s="1"/>
      <c r="T75" s="1" t="str">
        <f t="shared" si="5"/>
        <v/>
      </c>
      <c r="U75" s="1" t="str">
        <f>IF($B75="","",COUNTIF($V$7:$V$156,"&gt;"&amp;$V75)+COUNTIF($V$7:$V75,$V75))</f>
        <v/>
      </c>
      <c r="V75" s="1" t="str">
        <f>IF($B75="","",MAX(0,$J75+SUMIFS(UCRETLER!$I$7:$I$606,UCRETLER!$B$7:$B$606,$B75)+SUMIFS(GELIR_GIDER!$G$7:$G$3001,GELIR_GIDER!$T$7:$T$3001,$B75)-SUMIFS(TAHSILAT!$F$7:$F$2503,TAHSILAT!$C$7:$C$2503,$B75)))</f>
        <v/>
      </c>
    </row>
    <row r="76" spans="1:22" ht="18" customHeight="1" x14ac:dyDescent="0.3">
      <c r="A76" s="2"/>
      <c r="B76" s="60"/>
      <c r="C76" s="61"/>
      <c r="D76" s="60"/>
      <c r="E76" s="61"/>
      <c r="F76" s="61"/>
      <c r="G76" s="61"/>
      <c r="H76" s="60"/>
      <c r="I76" s="62"/>
      <c r="J76" s="63"/>
      <c r="K76" s="64"/>
      <c r="L76" s="61"/>
      <c r="M76" s="61"/>
      <c r="N76" s="60"/>
      <c r="O76" s="65" t="str">
        <f>IF($C76="","",IF(COUNTIFS(UCRETLER!$B$7:$B$606,$B76,UCRETLER!$H$7:$H$606,"Aktif")&gt;0,"EVET","HAYIR"))</f>
        <v/>
      </c>
      <c r="P76" s="65" t="str">
        <f t="shared" si="4"/>
        <v/>
      </c>
      <c r="Q76" s="2"/>
      <c r="R76" s="2"/>
      <c r="S76" s="1"/>
      <c r="T76" s="1" t="str">
        <f t="shared" si="5"/>
        <v/>
      </c>
      <c r="U76" s="1" t="str">
        <f>IF($B76="","",COUNTIF($V$7:$V$156,"&gt;"&amp;$V76)+COUNTIF($V$7:$V76,$V76))</f>
        <v/>
      </c>
      <c r="V76" s="1" t="str">
        <f>IF($B76="","",MAX(0,$J76+SUMIFS(UCRETLER!$I$7:$I$606,UCRETLER!$B$7:$B$606,$B76)+SUMIFS(GELIR_GIDER!$G$7:$G$3001,GELIR_GIDER!$T$7:$T$3001,$B76)-SUMIFS(TAHSILAT!$F$7:$F$2503,TAHSILAT!$C$7:$C$2503,$B76)))</f>
        <v/>
      </c>
    </row>
    <row r="77" spans="1:22" ht="18" customHeight="1" x14ac:dyDescent="0.3">
      <c r="A77" s="2"/>
      <c r="B77" s="60"/>
      <c r="C77" s="61"/>
      <c r="D77" s="60"/>
      <c r="E77" s="61"/>
      <c r="F77" s="61"/>
      <c r="G77" s="61"/>
      <c r="H77" s="60"/>
      <c r="I77" s="62"/>
      <c r="J77" s="63"/>
      <c r="K77" s="64"/>
      <c r="L77" s="61"/>
      <c r="M77" s="61"/>
      <c r="N77" s="60"/>
      <c r="O77" s="65" t="str">
        <f>IF($C77="","",IF(COUNTIFS(UCRETLER!$B$7:$B$606,$B77,UCRETLER!$H$7:$H$606,"Aktif")&gt;0,"EVET","HAYIR"))</f>
        <v/>
      </c>
      <c r="P77" s="65" t="str">
        <f t="shared" si="4"/>
        <v/>
      </c>
      <c r="Q77" s="2"/>
      <c r="R77" s="2"/>
      <c r="S77" s="1"/>
      <c r="T77" s="1" t="str">
        <f t="shared" si="5"/>
        <v/>
      </c>
      <c r="U77" s="1" t="str">
        <f>IF($B77="","",COUNTIF($V$7:$V$156,"&gt;"&amp;$V77)+COUNTIF($V$7:$V77,$V77))</f>
        <v/>
      </c>
      <c r="V77" s="1" t="str">
        <f>IF($B77="","",MAX(0,$J77+SUMIFS(UCRETLER!$I$7:$I$606,UCRETLER!$B$7:$B$606,$B77)+SUMIFS(GELIR_GIDER!$G$7:$G$3001,GELIR_GIDER!$T$7:$T$3001,$B77)-SUMIFS(TAHSILAT!$F$7:$F$2503,TAHSILAT!$C$7:$C$2503,$B77)))</f>
        <v/>
      </c>
    </row>
    <row r="78" spans="1:22" ht="18" customHeight="1" x14ac:dyDescent="0.3">
      <c r="A78" s="2"/>
      <c r="B78" s="60"/>
      <c r="C78" s="61"/>
      <c r="D78" s="60"/>
      <c r="E78" s="61"/>
      <c r="F78" s="61"/>
      <c r="G78" s="61"/>
      <c r="H78" s="60"/>
      <c r="I78" s="62"/>
      <c r="J78" s="63"/>
      <c r="K78" s="64"/>
      <c r="L78" s="61"/>
      <c r="M78" s="61"/>
      <c r="N78" s="60"/>
      <c r="O78" s="65" t="str">
        <f>IF($C78="","",IF(COUNTIFS(UCRETLER!$B$7:$B$606,$B78,UCRETLER!$H$7:$H$606,"Aktif")&gt;0,"EVET","HAYIR"))</f>
        <v/>
      </c>
      <c r="P78" s="65" t="str">
        <f t="shared" si="4"/>
        <v/>
      </c>
      <c r="Q78" s="2"/>
      <c r="R78" s="2"/>
      <c r="S78" s="1"/>
      <c r="T78" s="1" t="str">
        <f t="shared" si="5"/>
        <v/>
      </c>
      <c r="U78" s="1" t="str">
        <f>IF($B78="","",COUNTIF($V$7:$V$156,"&gt;"&amp;$V78)+COUNTIF($V$7:$V78,$V78))</f>
        <v/>
      </c>
      <c r="V78" s="1" t="str">
        <f>IF($B78="","",MAX(0,$J78+SUMIFS(UCRETLER!$I$7:$I$606,UCRETLER!$B$7:$B$606,$B78)+SUMIFS(GELIR_GIDER!$G$7:$G$3001,GELIR_GIDER!$T$7:$T$3001,$B78)-SUMIFS(TAHSILAT!$F$7:$F$2503,TAHSILAT!$C$7:$C$2503,$B78)))</f>
        <v/>
      </c>
    </row>
    <row r="79" spans="1:22" ht="18" customHeight="1" x14ac:dyDescent="0.3">
      <c r="A79" s="2"/>
      <c r="B79" s="60"/>
      <c r="C79" s="61"/>
      <c r="D79" s="60"/>
      <c r="E79" s="61"/>
      <c r="F79" s="61"/>
      <c r="G79" s="61"/>
      <c r="H79" s="60"/>
      <c r="I79" s="62"/>
      <c r="J79" s="63"/>
      <c r="K79" s="64"/>
      <c r="L79" s="61"/>
      <c r="M79" s="61"/>
      <c r="N79" s="60"/>
      <c r="O79" s="65" t="str">
        <f>IF($C79="","",IF(COUNTIFS(UCRETLER!$B$7:$B$606,$B79,UCRETLER!$H$7:$H$606,"Aktif")&gt;0,"EVET","HAYIR"))</f>
        <v/>
      </c>
      <c r="P79" s="65" t="str">
        <f t="shared" si="4"/>
        <v/>
      </c>
      <c r="Q79" s="2"/>
      <c r="R79" s="2"/>
      <c r="S79" s="1"/>
      <c r="T79" s="1" t="str">
        <f t="shared" si="5"/>
        <v/>
      </c>
      <c r="U79" s="1" t="str">
        <f>IF($B79="","",COUNTIF($V$7:$V$156,"&gt;"&amp;$V79)+COUNTIF($V$7:$V79,$V79))</f>
        <v/>
      </c>
      <c r="V79" s="1" t="str">
        <f>IF($B79="","",MAX(0,$J79+SUMIFS(UCRETLER!$I$7:$I$606,UCRETLER!$B$7:$B$606,$B79)+SUMIFS(GELIR_GIDER!$G$7:$G$3001,GELIR_GIDER!$T$7:$T$3001,$B79)-SUMIFS(TAHSILAT!$F$7:$F$2503,TAHSILAT!$C$7:$C$2503,$B79)))</f>
        <v/>
      </c>
    </row>
    <row r="80" spans="1:22" ht="18" customHeight="1" x14ac:dyDescent="0.3">
      <c r="A80" s="2"/>
      <c r="B80" s="60"/>
      <c r="C80" s="61"/>
      <c r="D80" s="60"/>
      <c r="E80" s="61"/>
      <c r="F80" s="61"/>
      <c r="G80" s="61"/>
      <c r="H80" s="60"/>
      <c r="I80" s="62"/>
      <c r="J80" s="63"/>
      <c r="K80" s="64"/>
      <c r="L80" s="61"/>
      <c r="M80" s="61"/>
      <c r="N80" s="60"/>
      <c r="O80" s="65" t="str">
        <f>IF($C80="","",IF(COUNTIFS(UCRETLER!$B$7:$B$606,$B80,UCRETLER!$H$7:$H$606,"Aktif")&gt;0,"EVET","HAYIR"))</f>
        <v/>
      </c>
      <c r="P80" s="65" t="str">
        <f t="shared" si="4"/>
        <v/>
      </c>
      <c r="Q80" s="2"/>
      <c r="R80" s="2"/>
      <c r="S80" s="1"/>
      <c r="T80" s="1" t="str">
        <f t="shared" si="5"/>
        <v/>
      </c>
      <c r="U80" s="1" t="str">
        <f>IF($B80="","",COUNTIF($V$7:$V$156,"&gt;"&amp;$V80)+COUNTIF($V$7:$V80,$V80))</f>
        <v/>
      </c>
      <c r="V80" s="1" t="str">
        <f>IF($B80="","",MAX(0,$J80+SUMIFS(UCRETLER!$I$7:$I$606,UCRETLER!$B$7:$B$606,$B80)+SUMIFS(GELIR_GIDER!$G$7:$G$3001,GELIR_GIDER!$T$7:$T$3001,$B80)-SUMIFS(TAHSILAT!$F$7:$F$2503,TAHSILAT!$C$7:$C$2503,$B80)))</f>
        <v/>
      </c>
    </row>
    <row r="81" spans="1:22" ht="18" customHeight="1" x14ac:dyDescent="0.3">
      <c r="A81" s="2"/>
      <c r="B81" s="60"/>
      <c r="C81" s="61"/>
      <c r="D81" s="60"/>
      <c r="E81" s="61"/>
      <c r="F81" s="61"/>
      <c r="G81" s="61"/>
      <c r="H81" s="60"/>
      <c r="I81" s="62"/>
      <c r="J81" s="63"/>
      <c r="K81" s="64"/>
      <c r="L81" s="61"/>
      <c r="M81" s="61"/>
      <c r="N81" s="60"/>
      <c r="O81" s="65" t="str">
        <f>IF($C81="","",IF(COUNTIFS(UCRETLER!$B$7:$B$606,$B81,UCRETLER!$H$7:$H$606,"Aktif")&gt;0,"EVET","HAYIR"))</f>
        <v/>
      </c>
      <c r="P81" s="65" t="str">
        <f t="shared" si="4"/>
        <v/>
      </c>
      <c r="Q81" s="2"/>
      <c r="R81" s="2"/>
      <c r="S81" s="1"/>
      <c r="T81" s="1" t="str">
        <f t="shared" si="5"/>
        <v/>
      </c>
      <c r="U81" s="1" t="str">
        <f>IF($B81="","",COUNTIF($V$7:$V$156,"&gt;"&amp;$V81)+COUNTIF($V$7:$V81,$V81))</f>
        <v/>
      </c>
      <c r="V81" s="1" t="str">
        <f>IF($B81="","",MAX(0,$J81+SUMIFS(UCRETLER!$I$7:$I$606,UCRETLER!$B$7:$B$606,$B81)+SUMIFS(GELIR_GIDER!$G$7:$G$3001,GELIR_GIDER!$T$7:$T$3001,$B81)-SUMIFS(TAHSILAT!$F$7:$F$2503,TAHSILAT!$C$7:$C$2503,$B81)))</f>
        <v/>
      </c>
    </row>
    <row r="82" spans="1:22" ht="18" customHeight="1" x14ac:dyDescent="0.3">
      <c r="A82" s="2"/>
      <c r="B82" s="60"/>
      <c r="C82" s="61"/>
      <c r="D82" s="60"/>
      <c r="E82" s="61"/>
      <c r="F82" s="61"/>
      <c r="G82" s="61"/>
      <c r="H82" s="60"/>
      <c r="I82" s="62"/>
      <c r="J82" s="63"/>
      <c r="K82" s="64"/>
      <c r="L82" s="61"/>
      <c r="M82" s="61"/>
      <c r="N82" s="60"/>
      <c r="O82" s="65" t="str">
        <f>IF($C82="","",IF(COUNTIFS(UCRETLER!$B$7:$B$606,$B82,UCRETLER!$H$7:$H$606,"Aktif")&gt;0,"EVET","HAYIR"))</f>
        <v/>
      </c>
      <c r="P82" s="65" t="str">
        <f t="shared" si="4"/>
        <v/>
      </c>
      <c r="Q82" s="2"/>
      <c r="R82" s="2"/>
      <c r="S82" s="1"/>
      <c r="T82" s="1" t="str">
        <f t="shared" si="5"/>
        <v/>
      </c>
      <c r="U82" s="1" t="str">
        <f>IF($B82="","",COUNTIF($V$7:$V$156,"&gt;"&amp;$V82)+COUNTIF($V$7:$V82,$V82))</f>
        <v/>
      </c>
      <c r="V82" s="1" t="str">
        <f>IF($B82="","",MAX(0,$J82+SUMIFS(UCRETLER!$I$7:$I$606,UCRETLER!$B$7:$B$606,$B82)+SUMIFS(GELIR_GIDER!$G$7:$G$3001,GELIR_GIDER!$T$7:$T$3001,$B82)-SUMIFS(TAHSILAT!$F$7:$F$2503,TAHSILAT!$C$7:$C$2503,$B82)))</f>
        <v/>
      </c>
    </row>
    <row r="83" spans="1:22" ht="18" customHeight="1" x14ac:dyDescent="0.3">
      <c r="A83" s="2"/>
      <c r="B83" s="60"/>
      <c r="C83" s="61"/>
      <c r="D83" s="60"/>
      <c r="E83" s="61"/>
      <c r="F83" s="61"/>
      <c r="G83" s="61"/>
      <c r="H83" s="60"/>
      <c r="I83" s="62"/>
      <c r="J83" s="63"/>
      <c r="K83" s="64"/>
      <c r="L83" s="61"/>
      <c r="M83" s="61"/>
      <c r="N83" s="60"/>
      <c r="O83" s="65" t="str">
        <f>IF($C83="","",IF(COUNTIFS(UCRETLER!$B$7:$B$606,$B83,UCRETLER!$H$7:$H$606,"Aktif")&gt;0,"EVET","HAYIR"))</f>
        <v/>
      </c>
      <c r="P83" s="65" t="str">
        <f t="shared" si="4"/>
        <v/>
      </c>
      <c r="Q83" s="2"/>
      <c r="R83" s="2"/>
      <c r="S83" s="1"/>
      <c r="T83" s="1" t="str">
        <f t="shared" si="5"/>
        <v/>
      </c>
      <c r="U83" s="1" t="str">
        <f>IF($B83="","",COUNTIF($V$7:$V$156,"&gt;"&amp;$V83)+COUNTIF($V$7:$V83,$V83))</f>
        <v/>
      </c>
      <c r="V83" s="1" t="str">
        <f>IF($B83="","",MAX(0,$J83+SUMIFS(UCRETLER!$I$7:$I$606,UCRETLER!$B$7:$B$606,$B83)+SUMIFS(GELIR_GIDER!$G$7:$G$3001,GELIR_GIDER!$T$7:$T$3001,$B83)-SUMIFS(TAHSILAT!$F$7:$F$2503,TAHSILAT!$C$7:$C$2503,$B83)))</f>
        <v/>
      </c>
    </row>
    <row r="84" spans="1:22" ht="18" customHeight="1" x14ac:dyDescent="0.3">
      <c r="A84" s="2"/>
      <c r="B84" s="60"/>
      <c r="C84" s="61"/>
      <c r="D84" s="60"/>
      <c r="E84" s="61"/>
      <c r="F84" s="61"/>
      <c r="G84" s="61"/>
      <c r="H84" s="60"/>
      <c r="I84" s="62"/>
      <c r="J84" s="63"/>
      <c r="K84" s="64"/>
      <c r="L84" s="61"/>
      <c r="M84" s="61"/>
      <c r="N84" s="60"/>
      <c r="O84" s="65" t="str">
        <f>IF($C84="","",IF(COUNTIFS(UCRETLER!$B$7:$B$606,$B84,UCRETLER!$H$7:$H$606,"Aktif")&gt;0,"EVET","HAYIR"))</f>
        <v/>
      </c>
      <c r="P84" s="65" t="str">
        <f t="shared" si="4"/>
        <v/>
      </c>
      <c r="Q84" s="2"/>
      <c r="R84" s="2"/>
      <c r="S84" s="1"/>
      <c r="T84" s="1" t="str">
        <f t="shared" si="5"/>
        <v/>
      </c>
      <c r="U84" s="1" t="str">
        <f>IF($B84="","",COUNTIF($V$7:$V$156,"&gt;"&amp;$V84)+COUNTIF($V$7:$V84,$V84))</f>
        <v/>
      </c>
      <c r="V84" s="1" t="str">
        <f>IF($B84="","",MAX(0,$J84+SUMIFS(UCRETLER!$I$7:$I$606,UCRETLER!$B$7:$B$606,$B84)+SUMIFS(GELIR_GIDER!$G$7:$G$3001,GELIR_GIDER!$T$7:$T$3001,$B84)-SUMIFS(TAHSILAT!$F$7:$F$2503,TAHSILAT!$C$7:$C$2503,$B84)))</f>
        <v/>
      </c>
    </row>
    <row r="85" spans="1:22" ht="18" customHeight="1" x14ac:dyDescent="0.3">
      <c r="A85" s="2"/>
      <c r="B85" s="60"/>
      <c r="C85" s="61"/>
      <c r="D85" s="60"/>
      <c r="E85" s="61"/>
      <c r="F85" s="61"/>
      <c r="G85" s="61"/>
      <c r="H85" s="60"/>
      <c r="I85" s="62"/>
      <c r="J85" s="63"/>
      <c r="K85" s="64"/>
      <c r="L85" s="61"/>
      <c r="M85" s="61"/>
      <c r="N85" s="60"/>
      <c r="O85" s="65" t="str">
        <f>IF($C85="","",IF(COUNTIFS(UCRETLER!$B$7:$B$606,$B85,UCRETLER!$H$7:$H$606,"Aktif")&gt;0,"EVET","HAYIR"))</f>
        <v/>
      </c>
      <c r="P85" s="65" t="str">
        <f t="shared" si="4"/>
        <v/>
      </c>
      <c r="Q85" s="2"/>
      <c r="R85" s="2"/>
      <c r="S85" s="1"/>
      <c r="T85" s="1" t="str">
        <f t="shared" si="5"/>
        <v/>
      </c>
      <c r="U85" s="1" t="str">
        <f>IF($B85="","",COUNTIF($V$7:$V$156,"&gt;"&amp;$V85)+COUNTIF($V$7:$V85,$V85))</f>
        <v/>
      </c>
      <c r="V85" s="1" t="str">
        <f>IF($B85="","",MAX(0,$J85+SUMIFS(UCRETLER!$I$7:$I$606,UCRETLER!$B$7:$B$606,$B85)+SUMIFS(GELIR_GIDER!$G$7:$G$3001,GELIR_GIDER!$T$7:$T$3001,$B85)-SUMIFS(TAHSILAT!$F$7:$F$2503,TAHSILAT!$C$7:$C$2503,$B85)))</f>
        <v/>
      </c>
    </row>
    <row r="86" spans="1:22" ht="18" customHeight="1" x14ac:dyDescent="0.3">
      <c r="A86" s="2"/>
      <c r="B86" s="60"/>
      <c r="C86" s="61"/>
      <c r="D86" s="60"/>
      <c r="E86" s="61"/>
      <c r="F86" s="61"/>
      <c r="G86" s="61"/>
      <c r="H86" s="60"/>
      <c r="I86" s="62"/>
      <c r="J86" s="63"/>
      <c r="K86" s="64"/>
      <c r="L86" s="61"/>
      <c r="M86" s="61"/>
      <c r="N86" s="60"/>
      <c r="O86" s="65" t="str">
        <f>IF($C86="","",IF(COUNTIFS(UCRETLER!$B$7:$B$606,$B86,UCRETLER!$H$7:$H$606,"Aktif")&gt;0,"EVET","HAYIR"))</f>
        <v/>
      </c>
      <c r="P86" s="65" t="str">
        <f t="shared" si="4"/>
        <v/>
      </c>
      <c r="Q86" s="2"/>
      <c r="R86" s="2"/>
      <c r="S86" s="1"/>
      <c r="T86" s="1" t="str">
        <f t="shared" si="5"/>
        <v/>
      </c>
      <c r="U86" s="1" t="str">
        <f>IF($B86="","",COUNTIF($V$7:$V$156,"&gt;"&amp;$V86)+COUNTIF($V$7:$V86,$V86))</f>
        <v/>
      </c>
      <c r="V86" s="1" t="str">
        <f>IF($B86="","",MAX(0,$J86+SUMIFS(UCRETLER!$I$7:$I$606,UCRETLER!$B$7:$B$606,$B86)+SUMIFS(GELIR_GIDER!$G$7:$G$3001,GELIR_GIDER!$T$7:$T$3001,$B86)-SUMIFS(TAHSILAT!$F$7:$F$2503,TAHSILAT!$C$7:$C$2503,$B86)))</f>
        <v/>
      </c>
    </row>
    <row r="87" spans="1:22" ht="18" customHeight="1" x14ac:dyDescent="0.3">
      <c r="A87" s="2"/>
      <c r="B87" s="60"/>
      <c r="C87" s="61"/>
      <c r="D87" s="60"/>
      <c r="E87" s="61"/>
      <c r="F87" s="61"/>
      <c r="G87" s="61"/>
      <c r="H87" s="60"/>
      <c r="I87" s="62"/>
      <c r="J87" s="63"/>
      <c r="K87" s="64"/>
      <c r="L87" s="61"/>
      <c r="M87" s="61"/>
      <c r="N87" s="60"/>
      <c r="O87" s="65" t="str">
        <f>IF($C87="","",IF(COUNTIFS(UCRETLER!$B$7:$B$606,$B87,UCRETLER!$H$7:$H$606,"Aktif")&gt;0,"EVET","HAYIR"))</f>
        <v/>
      </c>
      <c r="P87" s="65" t="str">
        <f t="shared" si="4"/>
        <v/>
      </c>
      <c r="Q87" s="2"/>
      <c r="R87" s="2"/>
      <c r="S87" s="1"/>
      <c r="T87" s="1" t="str">
        <f t="shared" si="5"/>
        <v/>
      </c>
      <c r="U87" s="1" t="str">
        <f>IF($B87="","",COUNTIF($V$7:$V$156,"&gt;"&amp;$V87)+COUNTIF($V$7:$V87,$V87))</f>
        <v/>
      </c>
      <c r="V87" s="1" t="str">
        <f>IF($B87="","",MAX(0,$J87+SUMIFS(UCRETLER!$I$7:$I$606,UCRETLER!$B$7:$B$606,$B87)+SUMIFS(GELIR_GIDER!$G$7:$G$3001,GELIR_GIDER!$T$7:$T$3001,$B87)-SUMIFS(TAHSILAT!$F$7:$F$2503,TAHSILAT!$C$7:$C$2503,$B87)))</f>
        <v/>
      </c>
    </row>
    <row r="88" spans="1:22" ht="18" customHeight="1" x14ac:dyDescent="0.3">
      <c r="A88" s="2"/>
      <c r="B88" s="60"/>
      <c r="C88" s="61"/>
      <c r="D88" s="60"/>
      <c r="E88" s="61"/>
      <c r="F88" s="61"/>
      <c r="G88" s="61"/>
      <c r="H88" s="60"/>
      <c r="I88" s="62"/>
      <c r="J88" s="63"/>
      <c r="K88" s="64"/>
      <c r="L88" s="61"/>
      <c r="M88" s="61"/>
      <c r="N88" s="60"/>
      <c r="O88" s="65" t="str">
        <f>IF($C88="","",IF(COUNTIFS(UCRETLER!$B$7:$B$606,$B88,UCRETLER!$H$7:$H$606,"Aktif")&gt;0,"EVET","HAYIR"))</f>
        <v/>
      </c>
      <c r="P88" s="65" t="str">
        <f t="shared" si="4"/>
        <v/>
      </c>
      <c r="Q88" s="2"/>
      <c r="R88" s="2"/>
      <c r="S88" s="1"/>
      <c r="T88" s="1" t="str">
        <f t="shared" si="5"/>
        <v/>
      </c>
      <c r="U88" s="1" t="str">
        <f>IF($B88="","",COUNTIF($V$7:$V$156,"&gt;"&amp;$V88)+COUNTIF($V$7:$V88,$V88))</f>
        <v/>
      </c>
      <c r="V88" s="1" t="str">
        <f>IF($B88="","",MAX(0,$J88+SUMIFS(UCRETLER!$I$7:$I$606,UCRETLER!$B$7:$B$606,$B88)+SUMIFS(GELIR_GIDER!$G$7:$G$3001,GELIR_GIDER!$T$7:$T$3001,$B88)-SUMIFS(TAHSILAT!$F$7:$F$2503,TAHSILAT!$C$7:$C$2503,$B88)))</f>
        <v/>
      </c>
    </row>
    <row r="89" spans="1:22" ht="18" customHeight="1" x14ac:dyDescent="0.3">
      <c r="A89" s="2"/>
      <c r="B89" s="60"/>
      <c r="C89" s="61"/>
      <c r="D89" s="60"/>
      <c r="E89" s="61"/>
      <c r="F89" s="61"/>
      <c r="G89" s="61"/>
      <c r="H89" s="60"/>
      <c r="I89" s="62"/>
      <c r="J89" s="63"/>
      <c r="K89" s="64"/>
      <c r="L89" s="61"/>
      <c r="M89" s="61"/>
      <c r="N89" s="60"/>
      <c r="O89" s="65" t="str">
        <f>IF($C89="","",IF(COUNTIFS(UCRETLER!$B$7:$B$606,$B89,UCRETLER!$H$7:$H$606,"Aktif")&gt;0,"EVET","HAYIR"))</f>
        <v/>
      </c>
      <c r="P89" s="65" t="str">
        <f t="shared" si="4"/>
        <v/>
      </c>
      <c r="Q89" s="2"/>
      <c r="R89" s="2"/>
      <c r="S89" s="1"/>
      <c r="T89" s="1" t="str">
        <f t="shared" si="5"/>
        <v/>
      </c>
      <c r="U89" s="1" t="str">
        <f>IF($B89="","",COUNTIF($V$7:$V$156,"&gt;"&amp;$V89)+COUNTIF($V$7:$V89,$V89))</f>
        <v/>
      </c>
      <c r="V89" s="1" t="str">
        <f>IF($B89="","",MAX(0,$J89+SUMIFS(UCRETLER!$I$7:$I$606,UCRETLER!$B$7:$B$606,$B89)+SUMIFS(GELIR_GIDER!$G$7:$G$3001,GELIR_GIDER!$T$7:$T$3001,$B89)-SUMIFS(TAHSILAT!$F$7:$F$2503,TAHSILAT!$C$7:$C$2503,$B89)))</f>
        <v/>
      </c>
    </row>
    <row r="90" spans="1:22" ht="18" customHeight="1" x14ac:dyDescent="0.3">
      <c r="A90" s="2"/>
      <c r="B90" s="60"/>
      <c r="C90" s="61"/>
      <c r="D90" s="60"/>
      <c r="E90" s="61"/>
      <c r="F90" s="61"/>
      <c r="G90" s="61"/>
      <c r="H90" s="60"/>
      <c r="I90" s="62"/>
      <c r="J90" s="63"/>
      <c r="K90" s="64"/>
      <c r="L90" s="61"/>
      <c r="M90" s="61"/>
      <c r="N90" s="60"/>
      <c r="O90" s="65" t="str">
        <f>IF($C90="","",IF(COUNTIFS(UCRETLER!$B$7:$B$606,$B90,UCRETLER!$H$7:$H$606,"Aktif")&gt;0,"EVET","HAYIR"))</f>
        <v/>
      </c>
      <c r="P90" s="65" t="str">
        <f t="shared" si="4"/>
        <v/>
      </c>
      <c r="Q90" s="2"/>
      <c r="R90" s="2"/>
      <c r="S90" s="1"/>
      <c r="T90" s="1" t="str">
        <f t="shared" si="5"/>
        <v/>
      </c>
      <c r="U90" s="1" t="str">
        <f>IF($B90="","",COUNTIF($V$7:$V$156,"&gt;"&amp;$V90)+COUNTIF($V$7:$V90,$V90))</f>
        <v/>
      </c>
      <c r="V90" s="1" t="str">
        <f>IF($B90="","",MAX(0,$J90+SUMIFS(UCRETLER!$I$7:$I$606,UCRETLER!$B$7:$B$606,$B90)+SUMIFS(GELIR_GIDER!$G$7:$G$3001,GELIR_GIDER!$T$7:$T$3001,$B90)-SUMIFS(TAHSILAT!$F$7:$F$2503,TAHSILAT!$C$7:$C$2503,$B90)))</f>
        <v/>
      </c>
    </row>
    <row r="91" spans="1:22" ht="18" customHeight="1" x14ac:dyDescent="0.3">
      <c r="A91" s="2"/>
      <c r="B91" s="60"/>
      <c r="C91" s="61"/>
      <c r="D91" s="60"/>
      <c r="E91" s="61"/>
      <c r="F91" s="61"/>
      <c r="G91" s="61"/>
      <c r="H91" s="60"/>
      <c r="I91" s="62"/>
      <c r="J91" s="63"/>
      <c r="K91" s="64"/>
      <c r="L91" s="61"/>
      <c r="M91" s="61"/>
      <c r="N91" s="60"/>
      <c r="O91" s="65" t="str">
        <f>IF($C91="","",IF(COUNTIFS(UCRETLER!$B$7:$B$606,$B91,UCRETLER!$H$7:$H$606,"Aktif")&gt;0,"EVET","HAYIR"))</f>
        <v/>
      </c>
      <c r="P91" s="65" t="str">
        <f t="shared" si="4"/>
        <v/>
      </c>
      <c r="Q91" s="2"/>
      <c r="R91" s="2"/>
      <c r="S91" s="1"/>
      <c r="T91" s="1" t="str">
        <f t="shared" si="5"/>
        <v/>
      </c>
      <c r="U91" s="1" t="str">
        <f>IF($B91="","",COUNTIF($V$7:$V$156,"&gt;"&amp;$V91)+COUNTIF($V$7:$V91,$V91))</f>
        <v/>
      </c>
      <c r="V91" s="1" t="str">
        <f>IF($B91="","",MAX(0,$J91+SUMIFS(UCRETLER!$I$7:$I$606,UCRETLER!$B$7:$B$606,$B91)+SUMIFS(GELIR_GIDER!$G$7:$G$3001,GELIR_GIDER!$T$7:$T$3001,$B91)-SUMIFS(TAHSILAT!$F$7:$F$2503,TAHSILAT!$C$7:$C$2503,$B91)))</f>
        <v/>
      </c>
    </row>
    <row r="92" spans="1:22" ht="18" customHeight="1" x14ac:dyDescent="0.3">
      <c r="A92" s="2"/>
      <c r="B92" s="60"/>
      <c r="C92" s="61"/>
      <c r="D92" s="60"/>
      <c r="E92" s="61"/>
      <c r="F92" s="61"/>
      <c r="G92" s="61"/>
      <c r="H92" s="60"/>
      <c r="I92" s="62"/>
      <c r="J92" s="63"/>
      <c r="K92" s="64"/>
      <c r="L92" s="61"/>
      <c r="M92" s="61"/>
      <c r="N92" s="60"/>
      <c r="O92" s="65" t="str">
        <f>IF($C92="","",IF(COUNTIFS(UCRETLER!$B$7:$B$606,$B92,UCRETLER!$H$7:$H$606,"Aktif")&gt;0,"EVET","HAYIR"))</f>
        <v/>
      </c>
      <c r="P92" s="65" t="str">
        <f t="shared" si="4"/>
        <v/>
      </c>
      <c r="Q92" s="2"/>
      <c r="R92" s="2"/>
      <c r="S92" s="1"/>
      <c r="T92" s="1" t="str">
        <f t="shared" si="5"/>
        <v/>
      </c>
      <c r="U92" s="1" t="str">
        <f>IF($B92="","",COUNTIF($V$7:$V$156,"&gt;"&amp;$V92)+COUNTIF($V$7:$V92,$V92))</f>
        <v/>
      </c>
      <c r="V92" s="1" t="str">
        <f>IF($B92="","",MAX(0,$J92+SUMIFS(UCRETLER!$I$7:$I$606,UCRETLER!$B$7:$B$606,$B92)+SUMIFS(GELIR_GIDER!$G$7:$G$3001,GELIR_GIDER!$T$7:$T$3001,$B92)-SUMIFS(TAHSILAT!$F$7:$F$2503,TAHSILAT!$C$7:$C$2503,$B92)))</f>
        <v/>
      </c>
    </row>
    <row r="93" spans="1:22" ht="18" customHeight="1" x14ac:dyDescent="0.3">
      <c r="A93" s="2"/>
      <c r="B93" s="60"/>
      <c r="C93" s="61"/>
      <c r="D93" s="60"/>
      <c r="E93" s="61"/>
      <c r="F93" s="61"/>
      <c r="G93" s="61"/>
      <c r="H93" s="60"/>
      <c r="I93" s="62"/>
      <c r="J93" s="63"/>
      <c r="K93" s="64"/>
      <c r="L93" s="61"/>
      <c r="M93" s="61"/>
      <c r="N93" s="60"/>
      <c r="O93" s="65" t="str">
        <f>IF($C93="","",IF(COUNTIFS(UCRETLER!$B$7:$B$606,$B93,UCRETLER!$H$7:$H$606,"Aktif")&gt;0,"EVET","HAYIR"))</f>
        <v/>
      </c>
      <c r="P93" s="65" t="str">
        <f t="shared" si="4"/>
        <v/>
      </c>
      <c r="Q93" s="2"/>
      <c r="R93" s="2"/>
      <c r="S93" s="1"/>
      <c r="T93" s="1" t="str">
        <f t="shared" si="5"/>
        <v/>
      </c>
      <c r="U93" s="1" t="str">
        <f>IF($B93="","",COUNTIF($V$7:$V$156,"&gt;"&amp;$V93)+COUNTIF($V$7:$V93,$V93))</f>
        <v/>
      </c>
      <c r="V93" s="1" t="str">
        <f>IF($B93="","",MAX(0,$J93+SUMIFS(UCRETLER!$I$7:$I$606,UCRETLER!$B$7:$B$606,$B93)+SUMIFS(GELIR_GIDER!$G$7:$G$3001,GELIR_GIDER!$T$7:$T$3001,$B93)-SUMIFS(TAHSILAT!$F$7:$F$2503,TAHSILAT!$C$7:$C$2503,$B93)))</f>
        <v/>
      </c>
    </row>
    <row r="94" spans="1:22" ht="18" customHeight="1" x14ac:dyDescent="0.3">
      <c r="A94" s="2"/>
      <c r="B94" s="60"/>
      <c r="C94" s="61"/>
      <c r="D94" s="60"/>
      <c r="E94" s="61"/>
      <c r="F94" s="61"/>
      <c r="G94" s="61"/>
      <c r="H94" s="60"/>
      <c r="I94" s="62"/>
      <c r="J94" s="63"/>
      <c r="K94" s="64"/>
      <c r="L94" s="61"/>
      <c r="M94" s="61"/>
      <c r="N94" s="60"/>
      <c r="O94" s="65" t="str">
        <f>IF($C94="","",IF(COUNTIFS(UCRETLER!$B$7:$B$606,$B94,UCRETLER!$H$7:$H$606,"Aktif")&gt;0,"EVET","HAYIR"))</f>
        <v/>
      </c>
      <c r="P94" s="65" t="str">
        <f t="shared" si="4"/>
        <v/>
      </c>
      <c r="Q94" s="2"/>
      <c r="R94" s="2"/>
      <c r="S94" s="1"/>
      <c r="T94" s="1" t="str">
        <f t="shared" si="5"/>
        <v/>
      </c>
      <c r="U94" s="1" t="str">
        <f>IF($B94="","",COUNTIF($V$7:$V$156,"&gt;"&amp;$V94)+COUNTIF($V$7:$V94,$V94))</f>
        <v/>
      </c>
      <c r="V94" s="1" t="str">
        <f>IF($B94="","",MAX(0,$J94+SUMIFS(UCRETLER!$I$7:$I$606,UCRETLER!$B$7:$B$606,$B94)+SUMIFS(GELIR_GIDER!$G$7:$G$3001,GELIR_GIDER!$T$7:$T$3001,$B94)-SUMIFS(TAHSILAT!$F$7:$F$2503,TAHSILAT!$C$7:$C$2503,$B94)))</f>
        <v/>
      </c>
    </row>
    <row r="95" spans="1:22" ht="18" customHeight="1" x14ac:dyDescent="0.3">
      <c r="A95" s="2"/>
      <c r="B95" s="60"/>
      <c r="C95" s="61"/>
      <c r="D95" s="60"/>
      <c r="E95" s="61"/>
      <c r="F95" s="61"/>
      <c r="G95" s="61"/>
      <c r="H95" s="60"/>
      <c r="I95" s="62"/>
      <c r="J95" s="63"/>
      <c r="K95" s="64"/>
      <c r="L95" s="61"/>
      <c r="M95" s="61"/>
      <c r="N95" s="60"/>
      <c r="O95" s="65" t="str">
        <f>IF($C95="","",IF(COUNTIFS(UCRETLER!$B$7:$B$606,$B95,UCRETLER!$H$7:$H$606,"Aktif")&gt;0,"EVET","HAYIR"))</f>
        <v/>
      </c>
      <c r="P95" s="65" t="str">
        <f t="shared" si="4"/>
        <v/>
      </c>
      <c r="Q95" s="2"/>
      <c r="R95" s="2"/>
      <c r="S95" s="1"/>
      <c r="T95" s="1" t="str">
        <f t="shared" si="5"/>
        <v/>
      </c>
      <c r="U95" s="1" t="str">
        <f>IF($B95="","",COUNTIF($V$7:$V$156,"&gt;"&amp;$V95)+COUNTIF($V$7:$V95,$V95))</f>
        <v/>
      </c>
      <c r="V95" s="1" t="str">
        <f>IF($B95="","",MAX(0,$J95+SUMIFS(UCRETLER!$I$7:$I$606,UCRETLER!$B$7:$B$606,$B95)+SUMIFS(GELIR_GIDER!$G$7:$G$3001,GELIR_GIDER!$T$7:$T$3001,$B95)-SUMIFS(TAHSILAT!$F$7:$F$2503,TAHSILAT!$C$7:$C$2503,$B95)))</f>
        <v/>
      </c>
    </row>
    <row r="96" spans="1:22" ht="18" customHeight="1" x14ac:dyDescent="0.3">
      <c r="A96" s="2"/>
      <c r="B96" s="60"/>
      <c r="C96" s="61"/>
      <c r="D96" s="60"/>
      <c r="E96" s="61"/>
      <c r="F96" s="61"/>
      <c r="G96" s="61"/>
      <c r="H96" s="60"/>
      <c r="I96" s="62"/>
      <c r="J96" s="63"/>
      <c r="K96" s="64"/>
      <c r="L96" s="61"/>
      <c r="M96" s="61"/>
      <c r="N96" s="60"/>
      <c r="O96" s="65" t="str">
        <f>IF($C96="","",IF(COUNTIFS(UCRETLER!$B$7:$B$606,$B96,UCRETLER!$H$7:$H$606,"Aktif")&gt;0,"EVET","HAYIR"))</f>
        <v/>
      </c>
      <c r="P96" s="65" t="str">
        <f t="shared" si="4"/>
        <v/>
      </c>
      <c r="Q96" s="2"/>
      <c r="R96" s="2"/>
      <c r="S96" s="1"/>
      <c r="T96" s="1" t="str">
        <f t="shared" si="5"/>
        <v/>
      </c>
      <c r="U96" s="1" t="str">
        <f>IF($B96="","",COUNTIF($V$7:$V$156,"&gt;"&amp;$V96)+COUNTIF($V$7:$V96,$V96))</f>
        <v/>
      </c>
      <c r="V96" s="1" t="str">
        <f>IF($B96="","",MAX(0,$J96+SUMIFS(UCRETLER!$I$7:$I$606,UCRETLER!$B$7:$B$606,$B96)+SUMIFS(GELIR_GIDER!$G$7:$G$3001,GELIR_GIDER!$T$7:$T$3001,$B96)-SUMIFS(TAHSILAT!$F$7:$F$2503,TAHSILAT!$C$7:$C$2503,$B96)))</f>
        <v/>
      </c>
    </row>
    <row r="97" spans="1:22" ht="18" customHeight="1" x14ac:dyDescent="0.3">
      <c r="A97" s="2"/>
      <c r="B97" s="60"/>
      <c r="C97" s="61"/>
      <c r="D97" s="60"/>
      <c r="E97" s="61"/>
      <c r="F97" s="61"/>
      <c r="G97" s="61"/>
      <c r="H97" s="60"/>
      <c r="I97" s="62"/>
      <c r="J97" s="63"/>
      <c r="K97" s="64"/>
      <c r="L97" s="61"/>
      <c r="M97" s="61"/>
      <c r="N97" s="60"/>
      <c r="O97" s="65" t="str">
        <f>IF($C97="","",IF(COUNTIFS(UCRETLER!$B$7:$B$606,$B97,UCRETLER!$H$7:$H$606,"Aktif")&gt;0,"EVET","HAYIR"))</f>
        <v/>
      </c>
      <c r="P97" s="65" t="str">
        <f t="shared" si="4"/>
        <v/>
      </c>
      <c r="Q97" s="2"/>
      <c r="R97" s="2"/>
      <c r="S97" s="1"/>
      <c r="T97" s="1" t="str">
        <f t="shared" si="5"/>
        <v/>
      </c>
      <c r="U97" s="1" t="str">
        <f>IF($B97="","",COUNTIF($V$7:$V$156,"&gt;"&amp;$V97)+COUNTIF($V$7:$V97,$V97))</f>
        <v/>
      </c>
      <c r="V97" s="1" t="str">
        <f>IF($B97="","",MAX(0,$J97+SUMIFS(UCRETLER!$I$7:$I$606,UCRETLER!$B$7:$B$606,$B97)+SUMIFS(GELIR_GIDER!$G$7:$G$3001,GELIR_GIDER!$T$7:$T$3001,$B97)-SUMIFS(TAHSILAT!$F$7:$F$2503,TAHSILAT!$C$7:$C$2503,$B97)))</f>
        <v/>
      </c>
    </row>
    <row r="98" spans="1:22" ht="18" customHeight="1" x14ac:dyDescent="0.3">
      <c r="A98" s="2"/>
      <c r="B98" s="60"/>
      <c r="C98" s="61"/>
      <c r="D98" s="60"/>
      <c r="E98" s="61"/>
      <c r="F98" s="61"/>
      <c r="G98" s="61"/>
      <c r="H98" s="60"/>
      <c r="I98" s="62"/>
      <c r="J98" s="63"/>
      <c r="K98" s="64"/>
      <c r="L98" s="61"/>
      <c r="M98" s="61"/>
      <c r="N98" s="60"/>
      <c r="O98" s="65" t="str">
        <f>IF($C98="","",IF(COUNTIFS(UCRETLER!$B$7:$B$606,$B98,UCRETLER!$H$7:$H$606,"Aktif")&gt;0,"EVET","HAYIR"))</f>
        <v/>
      </c>
      <c r="P98" s="65" t="str">
        <f t="shared" si="4"/>
        <v/>
      </c>
      <c r="Q98" s="2"/>
      <c r="R98" s="2"/>
      <c r="S98" s="1"/>
      <c r="T98" s="1" t="str">
        <f t="shared" si="5"/>
        <v/>
      </c>
      <c r="U98" s="1" t="str">
        <f>IF($B98="","",COUNTIF($V$7:$V$156,"&gt;"&amp;$V98)+COUNTIF($V$7:$V98,$V98))</f>
        <v/>
      </c>
      <c r="V98" s="1" t="str">
        <f>IF($B98="","",MAX(0,$J98+SUMIFS(UCRETLER!$I$7:$I$606,UCRETLER!$B$7:$B$606,$B98)+SUMIFS(GELIR_GIDER!$G$7:$G$3001,GELIR_GIDER!$T$7:$T$3001,$B98)-SUMIFS(TAHSILAT!$F$7:$F$2503,TAHSILAT!$C$7:$C$2503,$B98)))</f>
        <v/>
      </c>
    </row>
    <row r="99" spans="1:22" ht="18" customHeight="1" x14ac:dyDescent="0.3">
      <c r="A99" s="2"/>
      <c r="B99" s="60"/>
      <c r="C99" s="61"/>
      <c r="D99" s="60"/>
      <c r="E99" s="61"/>
      <c r="F99" s="61"/>
      <c r="G99" s="61"/>
      <c r="H99" s="60"/>
      <c r="I99" s="62"/>
      <c r="J99" s="63"/>
      <c r="K99" s="64"/>
      <c r="L99" s="61"/>
      <c r="M99" s="61"/>
      <c r="N99" s="60"/>
      <c r="O99" s="65" t="str">
        <f>IF($C99="","",IF(COUNTIFS(UCRETLER!$B$7:$B$606,$B99,UCRETLER!$H$7:$H$606,"Aktif")&gt;0,"EVET","HAYIR"))</f>
        <v/>
      </c>
      <c r="P99" s="65" t="str">
        <f t="shared" si="4"/>
        <v/>
      </c>
      <c r="Q99" s="2"/>
      <c r="R99" s="2"/>
      <c r="S99" s="1"/>
      <c r="T99" s="1" t="str">
        <f t="shared" si="5"/>
        <v/>
      </c>
      <c r="U99" s="1" t="str">
        <f>IF($B99="","",COUNTIF($V$7:$V$156,"&gt;"&amp;$V99)+COUNTIF($V$7:$V99,$V99))</f>
        <v/>
      </c>
      <c r="V99" s="1" t="str">
        <f>IF($B99="","",MAX(0,$J99+SUMIFS(UCRETLER!$I$7:$I$606,UCRETLER!$B$7:$B$606,$B99)+SUMIFS(GELIR_GIDER!$G$7:$G$3001,GELIR_GIDER!$T$7:$T$3001,$B99)-SUMIFS(TAHSILAT!$F$7:$F$2503,TAHSILAT!$C$7:$C$2503,$B99)))</f>
        <v/>
      </c>
    </row>
    <row r="100" spans="1:22" ht="18" customHeight="1" x14ac:dyDescent="0.3">
      <c r="A100" s="2"/>
      <c r="B100" s="60"/>
      <c r="C100" s="61"/>
      <c r="D100" s="60"/>
      <c r="E100" s="61"/>
      <c r="F100" s="61"/>
      <c r="G100" s="61"/>
      <c r="H100" s="60"/>
      <c r="I100" s="62"/>
      <c r="J100" s="63"/>
      <c r="K100" s="64"/>
      <c r="L100" s="61"/>
      <c r="M100" s="61"/>
      <c r="N100" s="60"/>
      <c r="O100" s="65" t="str">
        <f>IF($C100="","",IF(COUNTIFS(UCRETLER!$B$7:$B$606,$B100,UCRETLER!$H$7:$H$606,"Aktif")&gt;0,"EVET","HAYIR"))</f>
        <v/>
      </c>
      <c r="P100" s="65" t="str">
        <f t="shared" si="4"/>
        <v/>
      </c>
      <c r="Q100" s="2"/>
      <c r="R100" s="2"/>
      <c r="S100" s="1"/>
      <c r="T100" s="1" t="str">
        <f t="shared" si="5"/>
        <v/>
      </c>
      <c r="U100" s="1" t="str">
        <f>IF($B100="","",COUNTIF($V$7:$V$156,"&gt;"&amp;$V100)+COUNTIF($V$7:$V100,$V100))</f>
        <v/>
      </c>
      <c r="V100" s="1" t="str">
        <f>IF($B100="","",MAX(0,$J100+SUMIFS(UCRETLER!$I$7:$I$606,UCRETLER!$B$7:$B$606,$B100)+SUMIFS(GELIR_GIDER!$G$7:$G$3001,GELIR_GIDER!$T$7:$T$3001,$B100)-SUMIFS(TAHSILAT!$F$7:$F$2503,TAHSILAT!$C$7:$C$2503,$B100)))</f>
        <v/>
      </c>
    </row>
    <row r="101" spans="1:22" ht="18" customHeight="1" x14ac:dyDescent="0.3">
      <c r="A101" s="2"/>
      <c r="B101" s="60"/>
      <c r="C101" s="61"/>
      <c r="D101" s="60"/>
      <c r="E101" s="61"/>
      <c r="F101" s="61"/>
      <c r="G101" s="61"/>
      <c r="H101" s="60"/>
      <c r="I101" s="62"/>
      <c r="J101" s="63"/>
      <c r="K101" s="64"/>
      <c r="L101" s="61"/>
      <c r="M101" s="61"/>
      <c r="N101" s="60"/>
      <c r="O101" s="65" t="str">
        <f>IF($C101="","",IF(COUNTIFS(UCRETLER!$B$7:$B$606,$B101,UCRETLER!$H$7:$H$606,"Aktif")&gt;0,"EVET","HAYIR"))</f>
        <v/>
      </c>
      <c r="P101" s="65" t="str">
        <f t="shared" si="4"/>
        <v/>
      </c>
      <c r="Q101" s="2"/>
      <c r="R101" s="2"/>
      <c r="S101" s="1"/>
      <c r="T101" s="1" t="str">
        <f t="shared" si="5"/>
        <v/>
      </c>
      <c r="U101" s="1" t="str">
        <f>IF($B101="","",COUNTIF($V$7:$V$156,"&gt;"&amp;$V101)+COUNTIF($V$7:$V101,$V101))</f>
        <v/>
      </c>
      <c r="V101" s="1" t="str">
        <f>IF($B101="","",MAX(0,$J101+SUMIFS(UCRETLER!$I$7:$I$606,UCRETLER!$B$7:$B$606,$B101)+SUMIFS(GELIR_GIDER!$G$7:$G$3001,GELIR_GIDER!$T$7:$T$3001,$B101)-SUMIFS(TAHSILAT!$F$7:$F$2503,TAHSILAT!$C$7:$C$2503,$B101)))</f>
        <v/>
      </c>
    </row>
    <row r="102" spans="1:22" ht="18" customHeight="1" x14ac:dyDescent="0.3">
      <c r="A102" s="2"/>
      <c r="B102" s="60"/>
      <c r="C102" s="61"/>
      <c r="D102" s="60"/>
      <c r="E102" s="61"/>
      <c r="F102" s="61"/>
      <c r="G102" s="61"/>
      <c r="H102" s="60"/>
      <c r="I102" s="62"/>
      <c r="J102" s="63"/>
      <c r="K102" s="64"/>
      <c r="L102" s="61"/>
      <c r="M102" s="61"/>
      <c r="N102" s="60"/>
      <c r="O102" s="65" t="str">
        <f>IF($C102="","",IF(COUNTIFS(UCRETLER!$B$7:$B$606,$B102,UCRETLER!$H$7:$H$606,"Aktif")&gt;0,"EVET","HAYIR"))</f>
        <v/>
      </c>
      <c r="P102" s="65" t="str">
        <f t="shared" si="4"/>
        <v/>
      </c>
      <c r="Q102" s="2"/>
      <c r="R102" s="2"/>
      <c r="S102" s="1"/>
      <c r="T102" s="1" t="str">
        <f t="shared" si="5"/>
        <v/>
      </c>
      <c r="U102" s="1" t="str">
        <f>IF($B102="","",COUNTIF($V$7:$V$156,"&gt;"&amp;$V102)+COUNTIF($V$7:$V102,$V102))</f>
        <v/>
      </c>
      <c r="V102" s="1" t="str">
        <f>IF($B102="","",MAX(0,$J102+SUMIFS(UCRETLER!$I$7:$I$606,UCRETLER!$B$7:$B$606,$B102)+SUMIFS(GELIR_GIDER!$G$7:$G$3001,GELIR_GIDER!$T$7:$T$3001,$B102)-SUMIFS(TAHSILAT!$F$7:$F$2503,TAHSILAT!$C$7:$C$2503,$B102)))</f>
        <v/>
      </c>
    </row>
    <row r="103" spans="1:22" ht="18" customHeight="1" x14ac:dyDescent="0.3">
      <c r="A103" s="2"/>
      <c r="B103" s="60"/>
      <c r="C103" s="61"/>
      <c r="D103" s="60"/>
      <c r="E103" s="61"/>
      <c r="F103" s="61"/>
      <c r="G103" s="61"/>
      <c r="H103" s="60"/>
      <c r="I103" s="62"/>
      <c r="J103" s="63"/>
      <c r="K103" s="64"/>
      <c r="L103" s="61"/>
      <c r="M103" s="61"/>
      <c r="N103" s="60"/>
      <c r="O103" s="65" t="str">
        <f>IF($C103="","",IF(COUNTIFS(UCRETLER!$B$7:$B$606,$B103,UCRETLER!$H$7:$H$606,"Aktif")&gt;0,"EVET","HAYIR"))</f>
        <v/>
      </c>
      <c r="P103" s="65" t="str">
        <f t="shared" ref="P103:P134" si="6"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2"/>
      <c r="R103" s="2"/>
      <c r="S103" s="1"/>
      <c r="T103" s="1" t="str">
        <f t="shared" ref="T103:T134" si="7"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 t="str">
        <f>IF($B103="","",COUNTIF($V$7:$V$156,"&gt;"&amp;$V103)+COUNTIF($V$7:$V103,$V103))</f>
        <v/>
      </c>
      <c r="V103" s="1" t="str">
        <f>IF($B103="","",MAX(0,$J103+SUMIFS(UCRETLER!$I$7:$I$606,UCRETLER!$B$7:$B$606,$B103)+SUMIFS(GELIR_GIDER!$G$7:$G$3001,GELIR_GIDER!$T$7:$T$3001,$B103)-SUMIFS(TAHSILAT!$F$7:$F$2503,TAHSILAT!$C$7:$C$2503,$B103)))</f>
        <v/>
      </c>
    </row>
    <row r="104" spans="1:22" ht="18" customHeight="1" x14ac:dyDescent="0.3">
      <c r="A104" s="2"/>
      <c r="B104" s="60"/>
      <c r="C104" s="61"/>
      <c r="D104" s="60"/>
      <c r="E104" s="61"/>
      <c r="F104" s="61"/>
      <c r="G104" s="61"/>
      <c r="H104" s="60"/>
      <c r="I104" s="62"/>
      <c r="J104" s="63"/>
      <c r="K104" s="64"/>
      <c r="L104" s="61"/>
      <c r="M104" s="61"/>
      <c r="N104" s="60"/>
      <c r="O104" s="65" t="str">
        <f>IF($C104="","",IF(COUNTIFS(UCRETLER!$B$7:$B$606,$B104,UCRETLER!$H$7:$H$606,"Aktif")&gt;0,"EVET","HAYIR"))</f>
        <v/>
      </c>
      <c r="P104" s="65" t="str">
        <f t="shared" si="6"/>
        <v/>
      </c>
      <c r="Q104" s="2"/>
      <c r="R104" s="2"/>
      <c r="S104" s="1"/>
      <c r="T104" s="1" t="str">
        <f t="shared" si="7"/>
        <v/>
      </c>
      <c r="U104" s="1" t="str">
        <f>IF($B104="","",COUNTIF($V$7:$V$156,"&gt;"&amp;$V104)+COUNTIF($V$7:$V104,$V104))</f>
        <v/>
      </c>
      <c r="V104" s="1" t="str">
        <f>IF($B104="","",MAX(0,$J104+SUMIFS(UCRETLER!$I$7:$I$606,UCRETLER!$B$7:$B$606,$B104)+SUMIFS(GELIR_GIDER!$G$7:$G$3001,GELIR_GIDER!$T$7:$T$3001,$B104)-SUMIFS(TAHSILAT!$F$7:$F$2503,TAHSILAT!$C$7:$C$2503,$B104)))</f>
        <v/>
      </c>
    </row>
    <row r="105" spans="1:22" ht="18" customHeight="1" x14ac:dyDescent="0.3">
      <c r="A105" s="2"/>
      <c r="B105" s="60"/>
      <c r="C105" s="61"/>
      <c r="D105" s="60"/>
      <c r="E105" s="61"/>
      <c r="F105" s="61"/>
      <c r="G105" s="61"/>
      <c r="H105" s="60"/>
      <c r="I105" s="62"/>
      <c r="J105" s="63"/>
      <c r="K105" s="64"/>
      <c r="L105" s="61"/>
      <c r="M105" s="61"/>
      <c r="N105" s="60"/>
      <c r="O105" s="65" t="str">
        <f>IF($C105="","",IF(COUNTIFS(UCRETLER!$B$7:$B$606,$B105,UCRETLER!$H$7:$H$606,"Aktif")&gt;0,"EVET","HAYIR"))</f>
        <v/>
      </c>
      <c r="P105" s="65" t="str">
        <f t="shared" si="6"/>
        <v/>
      </c>
      <c r="Q105" s="2"/>
      <c r="R105" s="2"/>
      <c r="S105" s="1"/>
      <c r="T105" s="1" t="str">
        <f t="shared" si="7"/>
        <v/>
      </c>
      <c r="U105" s="1" t="str">
        <f>IF($B105="","",COUNTIF($V$7:$V$156,"&gt;"&amp;$V105)+COUNTIF($V$7:$V105,$V105))</f>
        <v/>
      </c>
      <c r="V105" s="1" t="str">
        <f>IF($B105="","",MAX(0,$J105+SUMIFS(UCRETLER!$I$7:$I$606,UCRETLER!$B$7:$B$606,$B105)+SUMIFS(GELIR_GIDER!$G$7:$G$3001,GELIR_GIDER!$T$7:$T$3001,$B105)-SUMIFS(TAHSILAT!$F$7:$F$2503,TAHSILAT!$C$7:$C$2503,$B105)))</f>
        <v/>
      </c>
    </row>
    <row r="106" spans="1:22" ht="18" customHeight="1" x14ac:dyDescent="0.3">
      <c r="A106" s="2"/>
      <c r="B106" s="60"/>
      <c r="C106" s="61"/>
      <c r="D106" s="60"/>
      <c r="E106" s="61"/>
      <c r="F106" s="61"/>
      <c r="G106" s="61"/>
      <c r="H106" s="60"/>
      <c r="I106" s="62"/>
      <c r="J106" s="63"/>
      <c r="K106" s="64"/>
      <c r="L106" s="61"/>
      <c r="M106" s="61"/>
      <c r="N106" s="60"/>
      <c r="O106" s="65" t="str">
        <f>IF($C106="","",IF(COUNTIFS(UCRETLER!$B$7:$B$606,$B106,UCRETLER!$H$7:$H$606,"Aktif")&gt;0,"EVET","HAYIR"))</f>
        <v/>
      </c>
      <c r="P106" s="65" t="str">
        <f t="shared" si="6"/>
        <v/>
      </c>
      <c r="Q106" s="2"/>
      <c r="R106" s="2"/>
      <c r="S106" s="1"/>
      <c r="T106" s="1" t="str">
        <f t="shared" si="7"/>
        <v/>
      </c>
      <c r="U106" s="1" t="str">
        <f>IF($B106="","",COUNTIF($V$7:$V$156,"&gt;"&amp;$V106)+COUNTIF($V$7:$V106,$V106))</f>
        <v/>
      </c>
      <c r="V106" s="1" t="str">
        <f>IF($B106="","",MAX(0,$J106+SUMIFS(UCRETLER!$I$7:$I$606,UCRETLER!$B$7:$B$606,$B106)+SUMIFS(GELIR_GIDER!$G$7:$G$3001,GELIR_GIDER!$T$7:$T$3001,$B106)-SUMIFS(TAHSILAT!$F$7:$F$2503,TAHSILAT!$C$7:$C$2503,$B106)))</f>
        <v/>
      </c>
    </row>
    <row r="107" spans="1:22" ht="18" customHeight="1" x14ac:dyDescent="0.3">
      <c r="A107" s="2"/>
      <c r="B107" s="60"/>
      <c r="C107" s="61"/>
      <c r="D107" s="60"/>
      <c r="E107" s="61"/>
      <c r="F107" s="61"/>
      <c r="G107" s="61"/>
      <c r="H107" s="60"/>
      <c r="I107" s="62"/>
      <c r="J107" s="63"/>
      <c r="K107" s="64"/>
      <c r="L107" s="61"/>
      <c r="M107" s="61"/>
      <c r="N107" s="60"/>
      <c r="O107" s="65" t="str">
        <f>IF($C107="","",IF(COUNTIFS(UCRETLER!$B$7:$B$606,$B107,UCRETLER!$H$7:$H$606,"Aktif")&gt;0,"EVET","HAYIR"))</f>
        <v/>
      </c>
      <c r="P107" s="65" t="str">
        <f t="shared" si="6"/>
        <v/>
      </c>
      <c r="Q107" s="2"/>
      <c r="R107" s="2"/>
      <c r="S107" s="1"/>
      <c r="T107" s="1" t="str">
        <f t="shared" si="7"/>
        <v/>
      </c>
      <c r="U107" s="1" t="str">
        <f>IF($B107="","",COUNTIF($V$7:$V$156,"&gt;"&amp;$V107)+COUNTIF($V$7:$V107,$V107))</f>
        <v/>
      </c>
      <c r="V107" s="1" t="str">
        <f>IF($B107="","",MAX(0,$J107+SUMIFS(UCRETLER!$I$7:$I$606,UCRETLER!$B$7:$B$606,$B107)+SUMIFS(GELIR_GIDER!$G$7:$G$3001,GELIR_GIDER!$T$7:$T$3001,$B107)-SUMIFS(TAHSILAT!$F$7:$F$2503,TAHSILAT!$C$7:$C$2503,$B107)))</f>
        <v/>
      </c>
    </row>
    <row r="108" spans="1:22" ht="18" customHeight="1" x14ac:dyDescent="0.3">
      <c r="A108" s="2"/>
      <c r="B108" s="60"/>
      <c r="C108" s="61"/>
      <c r="D108" s="60"/>
      <c r="E108" s="61"/>
      <c r="F108" s="61"/>
      <c r="G108" s="61"/>
      <c r="H108" s="60"/>
      <c r="I108" s="62"/>
      <c r="J108" s="63"/>
      <c r="K108" s="64"/>
      <c r="L108" s="61"/>
      <c r="M108" s="61"/>
      <c r="N108" s="60"/>
      <c r="O108" s="65" t="str">
        <f>IF($C108="","",IF(COUNTIFS(UCRETLER!$B$7:$B$606,$B108,UCRETLER!$H$7:$H$606,"Aktif")&gt;0,"EVET","HAYIR"))</f>
        <v/>
      </c>
      <c r="P108" s="65" t="str">
        <f t="shared" si="6"/>
        <v/>
      </c>
      <c r="Q108" s="2"/>
      <c r="R108" s="2"/>
      <c r="S108" s="1"/>
      <c r="T108" s="1" t="str">
        <f t="shared" si="7"/>
        <v/>
      </c>
      <c r="U108" s="1" t="str">
        <f>IF($B108="","",COUNTIF($V$7:$V$156,"&gt;"&amp;$V108)+COUNTIF($V$7:$V108,$V108))</f>
        <v/>
      </c>
      <c r="V108" s="1" t="str">
        <f>IF($B108="","",MAX(0,$J108+SUMIFS(UCRETLER!$I$7:$I$606,UCRETLER!$B$7:$B$606,$B108)+SUMIFS(GELIR_GIDER!$G$7:$G$3001,GELIR_GIDER!$T$7:$T$3001,$B108)-SUMIFS(TAHSILAT!$F$7:$F$2503,TAHSILAT!$C$7:$C$2503,$B108)))</f>
        <v/>
      </c>
    </row>
    <row r="109" spans="1:22" ht="18" customHeight="1" x14ac:dyDescent="0.3">
      <c r="A109" s="2"/>
      <c r="B109" s="60"/>
      <c r="C109" s="61"/>
      <c r="D109" s="60"/>
      <c r="E109" s="61"/>
      <c r="F109" s="61"/>
      <c r="G109" s="61"/>
      <c r="H109" s="60"/>
      <c r="I109" s="62"/>
      <c r="J109" s="63"/>
      <c r="K109" s="64"/>
      <c r="L109" s="61"/>
      <c r="M109" s="61"/>
      <c r="N109" s="60"/>
      <c r="O109" s="65" t="str">
        <f>IF($C109="","",IF(COUNTIFS(UCRETLER!$B$7:$B$606,$B109,UCRETLER!$H$7:$H$606,"Aktif")&gt;0,"EVET","HAYIR"))</f>
        <v/>
      </c>
      <c r="P109" s="65" t="str">
        <f t="shared" si="6"/>
        <v/>
      </c>
      <c r="Q109" s="2"/>
      <c r="R109" s="2"/>
      <c r="S109" s="1"/>
      <c r="T109" s="1" t="str">
        <f t="shared" si="7"/>
        <v/>
      </c>
      <c r="U109" s="1" t="str">
        <f>IF($B109="","",COUNTIF($V$7:$V$156,"&gt;"&amp;$V109)+COUNTIF($V$7:$V109,$V109))</f>
        <v/>
      </c>
      <c r="V109" s="1" t="str">
        <f>IF($B109="","",MAX(0,$J109+SUMIFS(UCRETLER!$I$7:$I$606,UCRETLER!$B$7:$B$606,$B109)+SUMIFS(GELIR_GIDER!$G$7:$G$3001,GELIR_GIDER!$T$7:$T$3001,$B109)-SUMIFS(TAHSILAT!$F$7:$F$2503,TAHSILAT!$C$7:$C$2503,$B109)))</f>
        <v/>
      </c>
    </row>
    <row r="110" spans="1:22" ht="18" customHeight="1" x14ac:dyDescent="0.3">
      <c r="A110" s="2"/>
      <c r="B110" s="60"/>
      <c r="C110" s="61"/>
      <c r="D110" s="60"/>
      <c r="E110" s="61"/>
      <c r="F110" s="61"/>
      <c r="G110" s="61"/>
      <c r="H110" s="60"/>
      <c r="I110" s="62"/>
      <c r="J110" s="63"/>
      <c r="K110" s="64"/>
      <c r="L110" s="61"/>
      <c r="M110" s="61"/>
      <c r="N110" s="60"/>
      <c r="O110" s="65" t="str">
        <f>IF($C110="","",IF(COUNTIFS(UCRETLER!$B$7:$B$606,$B110,UCRETLER!$H$7:$H$606,"Aktif")&gt;0,"EVET","HAYIR"))</f>
        <v/>
      </c>
      <c r="P110" s="65" t="str">
        <f t="shared" si="6"/>
        <v/>
      </c>
      <c r="Q110" s="2"/>
      <c r="R110" s="2"/>
      <c r="S110" s="1"/>
      <c r="T110" s="1" t="str">
        <f t="shared" si="7"/>
        <v/>
      </c>
      <c r="U110" s="1" t="str">
        <f>IF($B110="","",COUNTIF($V$7:$V$156,"&gt;"&amp;$V110)+COUNTIF($V$7:$V110,$V110))</f>
        <v/>
      </c>
      <c r="V110" s="1" t="str">
        <f>IF($B110="","",MAX(0,$J110+SUMIFS(UCRETLER!$I$7:$I$606,UCRETLER!$B$7:$B$606,$B110)+SUMIFS(GELIR_GIDER!$G$7:$G$3001,GELIR_GIDER!$T$7:$T$3001,$B110)-SUMIFS(TAHSILAT!$F$7:$F$2503,TAHSILAT!$C$7:$C$2503,$B110)))</f>
        <v/>
      </c>
    </row>
    <row r="111" spans="1:22" ht="18" customHeight="1" x14ac:dyDescent="0.3">
      <c r="A111" s="2"/>
      <c r="B111" s="60"/>
      <c r="C111" s="61"/>
      <c r="D111" s="60"/>
      <c r="E111" s="61"/>
      <c r="F111" s="61"/>
      <c r="G111" s="61"/>
      <c r="H111" s="60"/>
      <c r="I111" s="62"/>
      <c r="J111" s="63"/>
      <c r="K111" s="64"/>
      <c r="L111" s="61"/>
      <c r="M111" s="61"/>
      <c r="N111" s="60"/>
      <c r="O111" s="65" t="str">
        <f>IF($C111="","",IF(COUNTIFS(UCRETLER!$B$7:$B$606,$B111,UCRETLER!$H$7:$H$606,"Aktif")&gt;0,"EVET","HAYIR"))</f>
        <v/>
      </c>
      <c r="P111" s="65" t="str">
        <f t="shared" si="6"/>
        <v/>
      </c>
      <c r="Q111" s="2"/>
      <c r="R111" s="2"/>
      <c r="S111" s="1"/>
      <c r="T111" s="1" t="str">
        <f t="shared" si="7"/>
        <v/>
      </c>
      <c r="U111" s="1" t="str">
        <f>IF($B111="","",COUNTIF($V$7:$V$156,"&gt;"&amp;$V111)+COUNTIF($V$7:$V111,$V111))</f>
        <v/>
      </c>
      <c r="V111" s="1" t="str">
        <f>IF($B111="","",MAX(0,$J111+SUMIFS(UCRETLER!$I$7:$I$606,UCRETLER!$B$7:$B$606,$B111)+SUMIFS(GELIR_GIDER!$G$7:$G$3001,GELIR_GIDER!$T$7:$T$3001,$B111)-SUMIFS(TAHSILAT!$F$7:$F$2503,TAHSILAT!$C$7:$C$2503,$B111)))</f>
        <v/>
      </c>
    </row>
    <row r="112" spans="1:22" ht="18" customHeight="1" x14ac:dyDescent="0.3">
      <c r="A112" s="2"/>
      <c r="B112" s="60"/>
      <c r="C112" s="61"/>
      <c r="D112" s="60"/>
      <c r="E112" s="61"/>
      <c r="F112" s="61"/>
      <c r="G112" s="61"/>
      <c r="H112" s="60"/>
      <c r="I112" s="62"/>
      <c r="J112" s="63"/>
      <c r="K112" s="64"/>
      <c r="L112" s="61"/>
      <c r="M112" s="61"/>
      <c r="N112" s="60"/>
      <c r="O112" s="65" t="str">
        <f>IF($C112="","",IF(COUNTIFS(UCRETLER!$B$7:$B$606,$B112,UCRETLER!$H$7:$H$606,"Aktif")&gt;0,"EVET","HAYIR"))</f>
        <v/>
      </c>
      <c r="P112" s="65" t="str">
        <f t="shared" si="6"/>
        <v/>
      </c>
      <c r="Q112" s="2"/>
      <c r="R112" s="2"/>
      <c r="S112" s="1"/>
      <c r="T112" s="1" t="str">
        <f t="shared" si="7"/>
        <v/>
      </c>
      <c r="U112" s="1" t="str">
        <f>IF($B112="","",COUNTIF($V$7:$V$156,"&gt;"&amp;$V112)+COUNTIF($V$7:$V112,$V112))</f>
        <v/>
      </c>
      <c r="V112" s="1" t="str">
        <f>IF($B112="","",MAX(0,$J112+SUMIFS(UCRETLER!$I$7:$I$606,UCRETLER!$B$7:$B$606,$B112)+SUMIFS(GELIR_GIDER!$G$7:$G$3001,GELIR_GIDER!$T$7:$T$3001,$B112)-SUMIFS(TAHSILAT!$F$7:$F$2503,TAHSILAT!$C$7:$C$2503,$B112)))</f>
        <v/>
      </c>
    </row>
    <row r="113" spans="1:22" ht="18" customHeight="1" x14ac:dyDescent="0.3">
      <c r="A113" s="2"/>
      <c r="B113" s="60"/>
      <c r="C113" s="61"/>
      <c r="D113" s="60"/>
      <c r="E113" s="61"/>
      <c r="F113" s="61"/>
      <c r="G113" s="61"/>
      <c r="H113" s="60"/>
      <c r="I113" s="62"/>
      <c r="J113" s="63"/>
      <c r="K113" s="64"/>
      <c r="L113" s="61"/>
      <c r="M113" s="61"/>
      <c r="N113" s="60"/>
      <c r="O113" s="65" t="str">
        <f>IF($C113="","",IF(COUNTIFS(UCRETLER!$B$7:$B$606,$B113,UCRETLER!$H$7:$H$606,"Aktif")&gt;0,"EVET","HAYIR"))</f>
        <v/>
      </c>
      <c r="P113" s="65" t="str">
        <f t="shared" si="6"/>
        <v/>
      </c>
      <c r="Q113" s="2"/>
      <c r="R113" s="2"/>
      <c r="S113" s="1"/>
      <c r="T113" s="1" t="str">
        <f t="shared" si="7"/>
        <v/>
      </c>
      <c r="U113" s="1" t="str">
        <f>IF($B113="","",COUNTIF($V$7:$V$156,"&gt;"&amp;$V113)+COUNTIF($V$7:$V113,$V113))</f>
        <v/>
      </c>
      <c r="V113" s="1" t="str">
        <f>IF($B113="","",MAX(0,$J113+SUMIFS(UCRETLER!$I$7:$I$606,UCRETLER!$B$7:$B$606,$B113)+SUMIFS(GELIR_GIDER!$G$7:$G$3001,GELIR_GIDER!$T$7:$T$3001,$B113)-SUMIFS(TAHSILAT!$F$7:$F$2503,TAHSILAT!$C$7:$C$2503,$B113)))</f>
        <v/>
      </c>
    </row>
    <row r="114" spans="1:22" ht="18" customHeight="1" x14ac:dyDescent="0.3">
      <c r="A114" s="2"/>
      <c r="B114" s="60"/>
      <c r="C114" s="61"/>
      <c r="D114" s="60"/>
      <c r="E114" s="61"/>
      <c r="F114" s="61"/>
      <c r="G114" s="61"/>
      <c r="H114" s="60"/>
      <c r="I114" s="62"/>
      <c r="J114" s="63"/>
      <c r="K114" s="64"/>
      <c r="L114" s="61"/>
      <c r="M114" s="61"/>
      <c r="N114" s="60"/>
      <c r="O114" s="65" t="str">
        <f>IF($C114="","",IF(COUNTIFS(UCRETLER!$B$7:$B$606,$B114,UCRETLER!$H$7:$H$606,"Aktif")&gt;0,"EVET","HAYIR"))</f>
        <v/>
      </c>
      <c r="P114" s="65" t="str">
        <f t="shared" si="6"/>
        <v/>
      </c>
      <c r="Q114" s="2"/>
      <c r="R114" s="2"/>
      <c r="S114" s="1"/>
      <c r="T114" s="1" t="str">
        <f t="shared" si="7"/>
        <v/>
      </c>
      <c r="U114" s="1" t="str">
        <f>IF($B114="","",COUNTIF($V$7:$V$156,"&gt;"&amp;$V114)+COUNTIF($V$7:$V114,$V114))</f>
        <v/>
      </c>
      <c r="V114" s="1" t="str">
        <f>IF($B114="","",MAX(0,$J114+SUMIFS(UCRETLER!$I$7:$I$606,UCRETLER!$B$7:$B$606,$B114)+SUMIFS(GELIR_GIDER!$G$7:$G$3001,GELIR_GIDER!$T$7:$T$3001,$B114)-SUMIFS(TAHSILAT!$F$7:$F$2503,TAHSILAT!$C$7:$C$2503,$B114)))</f>
        <v/>
      </c>
    </row>
    <row r="115" spans="1:22" ht="18" customHeight="1" x14ac:dyDescent="0.3">
      <c r="A115" s="2"/>
      <c r="B115" s="60"/>
      <c r="C115" s="61"/>
      <c r="D115" s="60"/>
      <c r="E115" s="61"/>
      <c r="F115" s="61"/>
      <c r="G115" s="61"/>
      <c r="H115" s="60"/>
      <c r="I115" s="62"/>
      <c r="J115" s="63"/>
      <c r="K115" s="64"/>
      <c r="L115" s="61"/>
      <c r="M115" s="61"/>
      <c r="N115" s="60"/>
      <c r="O115" s="65" t="str">
        <f>IF($C115="","",IF(COUNTIFS(UCRETLER!$B$7:$B$606,$B115,UCRETLER!$H$7:$H$606,"Aktif")&gt;0,"EVET","HAYIR"))</f>
        <v/>
      </c>
      <c r="P115" s="65" t="str">
        <f t="shared" si="6"/>
        <v/>
      </c>
      <c r="Q115" s="2"/>
      <c r="R115" s="2"/>
      <c r="S115" s="1"/>
      <c r="T115" s="1" t="str">
        <f t="shared" si="7"/>
        <v/>
      </c>
      <c r="U115" s="1" t="str">
        <f>IF($B115="","",COUNTIF($V$7:$V$156,"&gt;"&amp;$V115)+COUNTIF($V$7:$V115,$V115))</f>
        <v/>
      </c>
      <c r="V115" s="1" t="str">
        <f>IF($B115="","",MAX(0,$J115+SUMIFS(UCRETLER!$I$7:$I$606,UCRETLER!$B$7:$B$606,$B115)+SUMIFS(GELIR_GIDER!$G$7:$G$3001,GELIR_GIDER!$T$7:$T$3001,$B115)-SUMIFS(TAHSILAT!$F$7:$F$2503,TAHSILAT!$C$7:$C$2503,$B115)))</f>
        <v/>
      </c>
    </row>
    <row r="116" spans="1:22" ht="18" customHeight="1" x14ac:dyDescent="0.3">
      <c r="A116" s="2"/>
      <c r="B116" s="60"/>
      <c r="C116" s="61"/>
      <c r="D116" s="60"/>
      <c r="E116" s="61"/>
      <c r="F116" s="61"/>
      <c r="G116" s="61"/>
      <c r="H116" s="60"/>
      <c r="I116" s="62"/>
      <c r="J116" s="63"/>
      <c r="K116" s="64"/>
      <c r="L116" s="61"/>
      <c r="M116" s="61"/>
      <c r="N116" s="60"/>
      <c r="O116" s="65" t="str">
        <f>IF($C116="","",IF(COUNTIFS(UCRETLER!$B$7:$B$606,$B116,UCRETLER!$H$7:$H$606,"Aktif")&gt;0,"EVET","HAYIR"))</f>
        <v/>
      </c>
      <c r="P116" s="65" t="str">
        <f t="shared" si="6"/>
        <v/>
      </c>
      <c r="Q116" s="2"/>
      <c r="R116" s="2"/>
      <c r="S116" s="1"/>
      <c r="T116" s="1" t="str">
        <f t="shared" si="7"/>
        <v/>
      </c>
      <c r="U116" s="1" t="str">
        <f>IF($B116="","",COUNTIF($V$7:$V$156,"&gt;"&amp;$V116)+COUNTIF($V$7:$V116,$V116))</f>
        <v/>
      </c>
      <c r="V116" s="1" t="str">
        <f>IF($B116="","",MAX(0,$J116+SUMIFS(UCRETLER!$I$7:$I$606,UCRETLER!$B$7:$B$606,$B116)+SUMIFS(GELIR_GIDER!$G$7:$G$3001,GELIR_GIDER!$T$7:$T$3001,$B116)-SUMIFS(TAHSILAT!$F$7:$F$2503,TAHSILAT!$C$7:$C$2503,$B116)))</f>
        <v/>
      </c>
    </row>
    <row r="117" spans="1:22" ht="18" customHeight="1" x14ac:dyDescent="0.3">
      <c r="A117" s="2"/>
      <c r="B117" s="60"/>
      <c r="C117" s="61"/>
      <c r="D117" s="60"/>
      <c r="E117" s="61"/>
      <c r="F117" s="61"/>
      <c r="G117" s="61"/>
      <c r="H117" s="60"/>
      <c r="I117" s="62"/>
      <c r="J117" s="63"/>
      <c r="K117" s="64"/>
      <c r="L117" s="61"/>
      <c r="M117" s="61"/>
      <c r="N117" s="60"/>
      <c r="O117" s="65" t="str">
        <f>IF($C117="","",IF(COUNTIFS(UCRETLER!$B$7:$B$606,$B117,UCRETLER!$H$7:$H$606,"Aktif")&gt;0,"EVET","HAYIR"))</f>
        <v/>
      </c>
      <c r="P117" s="65" t="str">
        <f t="shared" si="6"/>
        <v/>
      </c>
      <c r="Q117" s="2"/>
      <c r="R117" s="2"/>
      <c r="S117" s="1"/>
      <c r="T117" s="1" t="str">
        <f t="shared" si="7"/>
        <v/>
      </c>
      <c r="U117" s="1" t="str">
        <f>IF($B117="","",COUNTIF($V$7:$V$156,"&gt;"&amp;$V117)+COUNTIF($V$7:$V117,$V117))</f>
        <v/>
      </c>
      <c r="V117" s="1" t="str">
        <f>IF($B117="","",MAX(0,$J117+SUMIFS(UCRETLER!$I$7:$I$606,UCRETLER!$B$7:$B$606,$B117)+SUMIFS(GELIR_GIDER!$G$7:$G$3001,GELIR_GIDER!$T$7:$T$3001,$B117)-SUMIFS(TAHSILAT!$F$7:$F$2503,TAHSILAT!$C$7:$C$2503,$B117)))</f>
        <v/>
      </c>
    </row>
    <row r="118" spans="1:22" ht="18" customHeight="1" x14ac:dyDescent="0.3">
      <c r="A118" s="2"/>
      <c r="B118" s="60"/>
      <c r="C118" s="61"/>
      <c r="D118" s="60"/>
      <c r="E118" s="61"/>
      <c r="F118" s="61"/>
      <c r="G118" s="61"/>
      <c r="H118" s="60"/>
      <c r="I118" s="62"/>
      <c r="J118" s="63"/>
      <c r="K118" s="64"/>
      <c r="L118" s="61"/>
      <c r="M118" s="61"/>
      <c r="N118" s="60"/>
      <c r="O118" s="65" t="str">
        <f>IF($C118="","",IF(COUNTIFS(UCRETLER!$B$7:$B$606,$B118,UCRETLER!$H$7:$H$606,"Aktif")&gt;0,"EVET","HAYIR"))</f>
        <v/>
      </c>
      <c r="P118" s="65" t="str">
        <f t="shared" si="6"/>
        <v/>
      </c>
      <c r="Q118" s="2"/>
      <c r="R118" s="2"/>
      <c r="S118" s="1"/>
      <c r="T118" s="1" t="str">
        <f t="shared" si="7"/>
        <v/>
      </c>
      <c r="U118" s="1" t="str">
        <f>IF($B118="","",COUNTIF($V$7:$V$156,"&gt;"&amp;$V118)+COUNTIF($V$7:$V118,$V118))</f>
        <v/>
      </c>
      <c r="V118" s="1" t="str">
        <f>IF($B118="","",MAX(0,$J118+SUMIFS(UCRETLER!$I$7:$I$606,UCRETLER!$B$7:$B$606,$B118)+SUMIFS(GELIR_GIDER!$G$7:$G$3001,GELIR_GIDER!$T$7:$T$3001,$B118)-SUMIFS(TAHSILAT!$F$7:$F$2503,TAHSILAT!$C$7:$C$2503,$B118)))</f>
        <v/>
      </c>
    </row>
    <row r="119" spans="1:22" ht="18" customHeight="1" x14ac:dyDescent="0.3">
      <c r="A119" s="2"/>
      <c r="B119" s="60"/>
      <c r="C119" s="61"/>
      <c r="D119" s="60"/>
      <c r="E119" s="61"/>
      <c r="F119" s="61"/>
      <c r="G119" s="61"/>
      <c r="H119" s="60"/>
      <c r="I119" s="62"/>
      <c r="J119" s="63"/>
      <c r="K119" s="64"/>
      <c r="L119" s="61"/>
      <c r="M119" s="61"/>
      <c r="N119" s="60"/>
      <c r="O119" s="65" t="str">
        <f>IF($C119="","",IF(COUNTIFS(UCRETLER!$B$7:$B$606,$B119,UCRETLER!$H$7:$H$606,"Aktif")&gt;0,"EVET","HAYIR"))</f>
        <v/>
      </c>
      <c r="P119" s="65" t="str">
        <f t="shared" si="6"/>
        <v/>
      </c>
      <c r="Q119" s="2"/>
      <c r="R119" s="2"/>
      <c r="S119" s="1"/>
      <c r="T119" s="1" t="str">
        <f t="shared" si="7"/>
        <v/>
      </c>
      <c r="U119" s="1" t="str">
        <f>IF($B119="","",COUNTIF($V$7:$V$156,"&gt;"&amp;$V119)+COUNTIF($V$7:$V119,$V119))</f>
        <v/>
      </c>
      <c r="V119" s="1" t="str">
        <f>IF($B119="","",MAX(0,$J119+SUMIFS(UCRETLER!$I$7:$I$606,UCRETLER!$B$7:$B$606,$B119)+SUMIFS(GELIR_GIDER!$G$7:$G$3001,GELIR_GIDER!$T$7:$T$3001,$B119)-SUMIFS(TAHSILAT!$F$7:$F$2503,TAHSILAT!$C$7:$C$2503,$B119)))</f>
        <v/>
      </c>
    </row>
    <row r="120" spans="1:22" ht="18" customHeight="1" x14ac:dyDescent="0.3">
      <c r="A120" s="2"/>
      <c r="B120" s="60"/>
      <c r="C120" s="61"/>
      <c r="D120" s="60"/>
      <c r="E120" s="61"/>
      <c r="F120" s="61"/>
      <c r="G120" s="61"/>
      <c r="H120" s="60"/>
      <c r="I120" s="62"/>
      <c r="J120" s="63"/>
      <c r="K120" s="64"/>
      <c r="L120" s="61"/>
      <c r="M120" s="61"/>
      <c r="N120" s="60"/>
      <c r="O120" s="65" t="str">
        <f>IF($C120="","",IF(COUNTIFS(UCRETLER!$B$7:$B$606,$B120,UCRETLER!$H$7:$H$606,"Aktif")&gt;0,"EVET","HAYIR"))</f>
        <v/>
      </c>
      <c r="P120" s="65" t="str">
        <f t="shared" si="6"/>
        <v/>
      </c>
      <c r="Q120" s="2"/>
      <c r="R120" s="2"/>
      <c r="S120" s="1"/>
      <c r="T120" s="1" t="str">
        <f t="shared" si="7"/>
        <v/>
      </c>
      <c r="U120" s="1" t="str">
        <f>IF($B120="","",COUNTIF($V$7:$V$156,"&gt;"&amp;$V120)+COUNTIF($V$7:$V120,$V120))</f>
        <v/>
      </c>
      <c r="V120" s="1" t="str">
        <f>IF($B120="","",MAX(0,$J120+SUMIFS(UCRETLER!$I$7:$I$606,UCRETLER!$B$7:$B$606,$B120)+SUMIFS(GELIR_GIDER!$G$7:$G$3001,GELIR_GIDER!$T$7:$T$3001,$B120)-SUMIFS(TAHSILAT!$F$7:$F$2503,TAHSILAT!$C$7:$C$2503,$B120)))</f>
        <v/>
      </c>
    </row>
    <row r="121" spans="1:22" ht="18" customHeight="1" x14ac:dyDescent="0.3">
      <c r="A121" s="2"/>
      <c r="B121" s="60"/>
      <c r="C121" s="61"/>
      <c r="D121" s="60"/>
      <c r="E121" s="61"/>
      <c r="F121" s="61"/>
      <c r="G121" s="61"/>
      <c r="H121" s="60"/>
      <c r="I121" s="62"/>
      <c r="J121" s="63"/>
      <c r="K121" s="64"/>
      <c r="L121" s="61"/>
      <c r="M121" s="61"/>
      <c r="N121" s="60"/>
      <c r="O121" s="65" t="str">
        <f>IF($C121="","",IF(COUNTIFS(UCRETLER!$B$7:$B$606,$B121,UCRETLER!$H$7:$H$606,"Aktif")&gt;0,"EVET","HAYIR"))</f>
        <v/>
      </c>
      <c r="P121" s="65" t="str">
        <f t="shared" si="6"/>
        <v/>
      </c>
      <c r="Q121" s="2"/>
      <c r="R121" s="2"/>
      <c r="S121" s="1"/>
      <c r="T121" s="1" t="str">
        <f t="shared" si="7"/>
        <v/>
      </c>
      <c r="U121" s="1" t="str">
        <f>IF($B121="","",COUNTIF($V$7:$V$156,"&gt;"&amp;$V121)+COUNTIF($V$7:$V121,$V121))</f>
        <v/>
      </c>
      <c r="V121" s="1" t="str">
        <f>IF($B121="","",MAX(0,$J121+SUMIFS(UCRETLER!$I$7:$I$606,UCRETLER!$B$7:$B$606,$B121)+SUMIFS(GELIR_GIDER!$G$7:$G$3001,GELIR_GIDER!$T$7:$T$3001,$B121)-SUMIFS(TAHSILAT!$F$7:$F$2503,TAHSILAT!$C$7:$C$2503,$B121)))</f>
        <v/>
      </c>
    </row>
    <row r="122" spans="1:22" ht="18" customHeight="1" x14ac:dyDescent="0.3">
      <c r="A122" s="2"/>
      <c r="B122" s="60"/>
      <c r="C122" s="61"/>
      <c r="D122" s="60"/>
      <c r="E122" s="61"/>
      <c r="F122" s="61"/>
      <c r="G122" s="61"/>
      <c r="H122" s="60"/>
      <c r="I122" s="62"/>
      <c r="J122" s="63"/>
      <c r="K122" s="64"/>
      <c r="L122" s="61"/>
      <c r="M122" s="61"/>
      <c r="N122" s="60"/>
      <c r="O122" s="65" t="str">
        <f>IF($C122="","",IF(COUNTIFS(UCRETLER!$B$7:$B$606,$B122,UCRETLER!$H$7:$H$606,"Aktif")&gt;0,"EVET","HAYIR"))</f>
        <v/>
      </c>
      <c r="P122" s="65" t="str">
        <f t="shared" si="6"/>
        <v/>
      </c>
      <c r="Q122" s="2"/>
      <c r="R122" s="2"/>
      <c r="S122" s="1"/>
      <c r="T122" s="1" t="str">
        <f t="shared" si="7"/>
        <v/>
      </c>
      <c r="U122" s="1" t="str">
        <f>IF($B122="","",COUNTIF($V$7:$V$156,"&gt;"&amp;$V122)+COUNTIF($V$7:$V122,$V122))</f>
        <v/>
      </c>
      <c r="V122" s="1" t="str">
        <f>IF($B122="","",MAX(0,$J122+SUMIFS(UCRETLER!$I$7:$I$606,UCRETLER!$B$7:$B$606,$B122)+SUMIFS(GELIR_GIDER!$G$7:$G$3001,GELIR_GIDER!$T$7:$T$3001,$B122)-SUMIFS(TAHSILAT!$F$7:$F$2503,TAHSILAT!$C$7:$C$2503,$B122)))</f>
        <v/>
      </c>
    </row>
    <row r="123" spans="1:22" ht="18" customHeight="1" x14ac:dyDescent="0.3">
      <c r="A123" s="2"/>
      <c r="B123" s="60"/>
      <c r="C123" s="61"/>
      <c r="D123" s="60"/>
      <c r="E123" s="61"/>
      <c r="F123" s="61"/>
      <c r="G123" s="61"/>
      <c r="H123" s="60"/>
      <c r="I123" s="62"/>
      <c r="J123" s="63"/>
      <c r="K123" s="64"/>
      <c r="L123" s="61"/>
      <c r="M123" s="61"/>
      <c r="N123" s="60"/>
      <c r="O123" s="65" t="str">
        <f>IF($C123="","",IF(COUNTIFS(UCRETLER!$B$7:$B$606,$B123,UCRETLER!$H$7:$H$606,"Aktif")&gt;0,"EVET","HAYIR"))</f>
        <v/>
      </c>
      <c r="P123" s="65" t="str">
        <f t="shared" si="6"/>
        <v/>
      </c>
      <c r="Q123" s="2"/>
      <c r="R123" s="2"/>
      <c r="S123" s="1"/>
      <c r="T123" s="1" t="str">
        <f t="shared" si="7"/>
        <v/>
      </c>
      <c r="U123" s="1" t="str">
        <f>IF($B123="","",COUNTIF($V$7:$V$156,"&gt;"&amp;$V123)+COUNTIF($V$7:$V123,$V123))</f>
        <v/>
      </c>
      <c r="V123" s="1" t="str">
        <f>IF($B123="","",MAX(0,$J123+SUMIFS(UCRETLER!$I$7:$I$606,UCRETLER!$B$7:$B$606,$B123)+SUMIFS(GELIR_GIDER!$G$7:$G$3001,GELIR_GIDER!$T$7:$T$3001,$B123)-SUMIFS(TAHSILAT!$F$7:$F$2503,TAHSILAT!$C$7:$C$2503,$B123)))</f>
        <v/>
      </c>
    </row>
    <row r="124" spans="1:22" ht="18" customHeight="1" x14ac:dyDescent="0.3">
      <c r="A124" s="2"/>
      <c r="B124" s="60"/>
      <c r="C124" s="61"/>
      <c r="D124" s="60"/>
      <c r="E124" s="61"/>
      <c r="F124" s="61"/>
      <c r="G124" s="61"/>
      <c r="H124" s="60"/>
      <c r="I124" s="62"/>
      <c r="J124" s="63"/>
      <c r="K124" s="64"/>
      <c r="L124" s="61"/>
      <c r="M124" s="61"/>
      <c r="N124" s="60"/>
      <c r="O124" s="65" t="str">
        <f>IF($C124="","",IF(COUNTIFS(UCRETLER!$B$7:$B$606,$B124,UCRETLER!$H$7:$H$606,"Aktif")&gt;0,"EVET","HAYIR"))</f>
        <v/>
      </c>
      <c r="P124" s="65" t="str">
        <f t="shared" si="6"/>
        <v/>
      </c>
      <c r="Q124" s="2"/>
      <c r="R124" s="2"/>
      <c r="S124" s="1"/>
      <c r="T124" s="1" t="str">
        <f t="shared" si="7"/>
        <v/>
      </c>
      <c r="U124" s="1" t="str">
        <f>IF($B124="","",COUNTIF($V$7:$V$156,"&gt;"&amp;$V124)+COUNTIF($V$7:$V124,$V124))</f>
        <v/>
      </c>
      <c r="V124" s="1" t="str">
        <f>IF($B124="","",MAX(0,$J124+SUMIFS(UCRETLER!$I$7:$I$606,UCRETLER!$B$7:$B$606,$B124)+SUMIFS(GELIR_GIDER!$G$7:$G$3001,GELIR_GIDER!$T$7:$T$3001,$B124)-SUMIFS(TAHSILAT!$F$7:$F$2503,TAHSILAT!$C$7:$C$2503,$B124)))</f>
        <v/>
      </c>
    </row>
    <row r="125" spans="1:22" ht="18" customHeight="1" x14ac:dyDescent="0.3">
      <c r="A125" s="2"/>
      <c r="B125" s="60"/>
      <c r="C125" s="61"/>
      <c r="D125" s="60"/>
      <c r="E125" s="61"/>
      <c r="F125" s="61"/>
      <c r="G125" s="61"/>
      <c r="H125" s="60"/>
      <c r="I125" s="62"/>
      <c r="J125" s="63"/>
      <c r="K125" s="64"/>
      <c r="L125" s="61"/>
      <c r="M125" s="61"/>
      <c r="N125" s="60"/>
      <c r="O125" s="65" t="str">
        <f>IF($C125="","",IF(COUNTIFS(UCRETLER!$B$7:$B$606,$B125,UCRETLER!$H$7:$H$606,"Aktif")&gt;0,"EVET","HAYIR"))</f>
        <v/>
      </c>
      <c r="P125" s="65" t="str">
        <f t="shared" si="6"/>
        <v/>
      </c>
      <c r="Q125" s="2"/>
      <c r="R125" s="2"/>
      <c r="S125" s="1"/>
      <c r="T125" s="1" t="str">
        <f t="shared" si="7"/>
        <v/>
      </c>
      <c r="U125" s="1" t="str">
        <f>IF($B125="","",COUNTIF($V$7:$V$156,"&gt;"&amp;$V125)+COUNTIF($V$7:$V125,$V125))</f>
        <v/>
      </c>
      <c r="V125" s="1" t="str">
        <f>IF($B125="","",MAX(0,$J125+SUMIFS(UCRETLER!$I$7:$I$606,UCRETLER!$B$7:$B$606,$B125)+SUMIFS(GELIR_GIDER!$G$7:$G$3001,GELIR_GIDER!$T$7:$T$3001,$B125)-SUMIFS(TAHSILAT!$F$7:$F$2503,TAHSILAT!$C$7:$C$2503,$B125)))</f>
        <v/>
      </c>
    </row>
    <row r="126" spans="1:22" ht="18" customHeight="1" x14ac:dyDescent="0.3">
      <c r="A126" s="2"/>
      <c r="B126" s="60"/>
      <c r="C126" s="61"/>
      <c r="D126" s="60"/>
      <c r="E126" s="61"/>
      <c r="F126" s="61"/>
      <c r="G126" s="61"/>
      <c r="H126" s="60"/>
      <c r="I126" s="62"/>
      <c r="J126" s="63"/>
      <c r="K126" s="64"/>
      <c r="L126" s="61"/>
      <c r="M126" s="61"/>
      <c r="N126" s="60"/>
      <c r="O126" s="65" t="str">
        <f>IF($C126="","",IF(COUNTIFS(UCRETLER!$B$7:$B$606,$B126,UCRETLER!$H$7:$H$606,"Aktif")&gt;0,"EVET","HAYIR"))</f>
        <v/>
      </c>
      <c r="P126" s="65" t="str">
        <f t="shared" si="6"/>
        <v/>
      </c>
      <c r="Q126" s="2"/>
      <c r="R126" s="2"/>
      <c r="S126" s="1"/>
      <c r="T126" s="1" t="str">
        <f t="shared" si="7"/>
        <v/>
      </c>
      <c r="U126" s="1" t="str">
        <f>IF($B126="","",COUNTIF($V$7:$V$156,"&gt;"&amp;$V126)+COUNTIF($V$7:$V126,$V126))</f>
        <v/>
      </c>
      <c r="V126" s="1" t="str">
        <f>IF($B126="","",MAX(0,$J126+SUMIFS(UCRETLER!$I$7:$I$606,UCRETLER!$B$7:$B$606,$B126)+SUMIFS(GELIR_GIDER!$G$7:$G$3001,GELIR_GIDER!$T$7:$T$3001,$B126)-SUMIFS(TAHSILAT!$F$7:$F$2503,TAHSILAT!$C$7:$C$2503,$B126)))</f>
        <v/>
      </c>
    </row>
    <row r="127" spans="1:22" ht="18" customHeight="1" x14ac:dyDescent="0.3">
      <c r="A127" s="2"/>
      <c r="B127" s="60"/>
      <c r="C127" s="61"/>
      <c r="D127" s="60"/>
      <c r="E127" s="61"/>
      <c r="F127" s="61"/>
      <c r="G127" s="61"/>
      <c r="H127" s="60"/>
      <c r="I127" s="62"/>
      <c r="J127" s="63"/>
      <c r="K127" s="64"/>
      <c r="L127" s="61"/>
      <c r="M127" s="61"/>
      <c r="N127" s="60"/>
      <c r="O127" s="65" t="str">
        <f>IF($C127="","",IF(COUNTIFS(UCRETLER!$B$7:$B$606,$B127,UCRETLER!$H$7:$H$606,"Aktif")&gt;0,"EVET","HAYIR"))</f>
        <v/>
      </c>
      <c r="P127" s="65" t="str">
        <f t="shared" si="6"/>
        <v/>
      </c>
      <c r="Q127" s="2"/>
      <c r="R127" s="2"/>
      <c r="S127" s="1"/>
      <c r="T127" s="1" t="str">
        <f t="shared" si="7"/>
        <v/>
      </c>
      <c r="U127" s="1" t="str">
        <f>IF($B127="","",COUNTIF($V$7:$V$156,"&gt;"&amp;$V127)+COUNTIF($V$7:$V127,$V127))</f>
        <v/>
      </c>
      <c r="V127" s="1" t="str">
        <f>IF($B127="","",MAX(0,$J127+SUMIFS(UCRETLER!$I$7:$I$606,UCRETLER!$B$7:$B$606,$B127)+SUMIFS(GELIR_GIDER!$G$7:$G$3001,GELIR_GIDER!$T$7:$T$3001,$B127)-SUMIFS(TAHSILAT!$F$7:$F$2503,TAHSILAT!$C$7:$C$2503,$B127)))</f>
        <v/>
      </c>
    </row>
    <row r="128" spans="1:22" ht="18" customHeight="1" x14ac:dyDescent="0.3">
      <c r="A128" s="2"/>
      <c r="B128" s="60"/>
      <c r="C128" s="61"/>
      <c r="D128" s="60"/>
      <c r="E128" s="61"/>
      <c r="F128" s="61"/>
      <c r="G128" s="61"/>
      <c r="H128" s="60"/>
      <c r="I128" s="62"/>
      <c r="J128" s="63"/>
      <c r="K128" s="64"/>
      <c r="L128" s="61"/>
      <c r="M128" s="61"/>
      <c r="N128" s="60"/>
      <c r="O128" s="65" t="str">
        <f>IF($C128="","",IF(COUNTIFS(UCRETLER!$B$7:$B$606,$B128,UCRETLER!$H$7:$H$606,"Aktif")&gt;0,"EVET","HAYIR"))</f>
        <v/>
      </c>
      <c r="P128" s="65" t="str">
        <f t="shared" si="6"/>
        <v/>
      </c>
      <c r="Q128" s="2"/>
      <c r="R128" s="2"/>
      <c r="S128" s="1"/>
      <c r="T128" s="1" t="str">
        <f t="shared" si="7"/>
        <v/>
      </c>
      <c r="U128" s="1" t="str">
        <f>IF($B128="","",COUNTIF($V$7:$V$156,"&gt;"&amp;$V128)+COUNTIF($V$7:$V128,$V128))</f>
        <v/>
      </c>
      <c r="V128" s="1" t="str">
        <f>IF($B128="","",MAX(0,$J128+SUMIFS(UCRETLER!$I$7:$I$606,UCRETLER!$B$7:$B$606,$B128)+SUMIFS(GELIR_GIDER!$G$7:$G$3001,GELIR_GIDER!$T$7:$T$3001,$B128)-SUMIFS(TAHSILAT!$F$7:$F$2503,TAHSILAT!$C$7:$C$2503,$B128)))</f>
        <v/>
      </c>
    </row>
    <row r="129" spans="1:22" ht="18" customHeight="1" x14ac:dyDescent="0.3">
      <c r="A129" s="2"/>
      <c r="B129" s="60"/>
      <c r="C129" s="61"/>
      <c r="D129" s="60"/>
      <c r="E129" s="61"/>
      <c r="F129" s="61"/>
      <c r="G129" s="61"/>
      <c r="H129" s="60"/>
      <c r="I129" s="62"/>
      <c r="J129" s="63"/>
      <c r="K129" s="64"/>
      <c r="L129" s="61"/>
      <c r="M129" s="61"/>
      <c r="N129" s="60"/>
      <c r="O129" s="65" t="str">
        <f>IF($C129="","",IF(COUNTIFS(UCRETLER!$B$7:$B$606,$B129,UCRETLER!$H$7:$H$606,"Aktif")&gt;0,"EVET","HAYIR"))</f>
        <v/>
      </c>
      <c r="P129" s="65" t="str">
        <f t="shared" si="6"/>
        <v/>
      </c>
      <c r="Q129" s="2"/>
      <c r="R129" s="2"/>
      <c r="S129" s="1"/>
      <c r="T129" s="1" t="str">
        <f t="shared" si="7"/>
        <v/>
      </c>
      <c r="U129" s="1" t="str">
        <f>IF($B129="","",COUNTIF($V$7:$V$156,"&gt;"&amp;$V129)+COUNTIF($V$7:$V129,$V129))</f>
        <v/>
      </c>
      <c r="V129" s="1" t="str">
        <f>IF($B129="","",MAX(0,$J129+SUMIFS(UCRETLER!$I$7:$I$606,UCRETLER!$B$7:$B$606,$B129)+SUMIFS(GELIR_GIDER!$G$7:$G$3001,GELIR_GIDER!$T$7:$T$3001,$B129)-SUMIFS(TAHSILAT!$F$7:$F$2503,TAHSILAT!$C$7:$C$2503,$B129)))</f>
        <v/>
      </c>
    </row>
    <row r="130" spans="1:22" ht="18" customHeight="1" x14ac:dyDescent="0.3">
      <c r="A130" s="2"/>
      <c r="B130" s="60"/>
      <c r="C130" s="61"/>
      <c r="D130" s="60"/>
      <c r="E130" s="61"/>
      <c r="F130" s="61"/>
      <c r="G130" s="61"/>
      <c r="H130" s="60"/>
      <c r="I130" s="62"/>
      <c r="J130" s="63"/>
      <c r="K130" s="64"/>
      <c r="L130" s="61"/>
      <c r="M130" s="61"/>
      <c r="N130" s="60"/>
      <c r="O130" s="65" t="str">
        <f>IF($C130="","",IF(COUNTIFS(UCRETLER!$B$7:$B$606,$B130,UCRETLER!$H$7:$H$606,"Aktif")&gt;0,"EVET","HAYIR"))</f>
        <v/>
      </c>
      <c r="P130" s="65" t="str">
        <f t="shared" si="6"/>
        <v/>
      </c>
      <c r="Q130" s="2"/>
      <c r="R130" s="2"/>
      <c r="S130" s="1"/>
      <c r="T130" s="1" t="str">
        <f t="shared" si="7"/>
        <v/>
      </c>
      <c r="U130" s="1" t="str">
        <f>IF($B130="","",COUNTIF($V$7:$V$156,"&gt;"&amp;$V130)+COUNTIF($V$7:$V130,$V130))</f>
        <v/>
      </c>
      <c r="V130" s="1" t="str">
        <f>IF($B130="","",MAX(0,$J130+SUMIFS(UCRETLER!$I$7:$I$606,UCRETLER!$B$7:$B$606,$B130)+SUMIFS(GELIR_GIDER!$G$7:$G$3001,GELIR_GIDER!$T$7:$T$3001,$B130)-SUMIFS(TAHSILAT!$F$7:$F$2503,TAHSILAT!$C$7:$C$2503,$B130)))</f>
        <v/>
      </c>
    </row>
    <row r="131" spans="1:22" ht="18" customHeight="1" x14ac:dyDescent="0.3">
      <c r="A131" s="2"/>
      <c r="B131" s="60"/>
      <c r="C131" s="61"/>
      <c r="D131" s="60"/>
      <c r="E131" s="61"/>
      <c r="F131" s="61"/>
      <c r="G131" s="61"/>
      <c r="H131" s="60"/>
      <c r="I131" s="62"/>
      <c r="J131" s="63"/>
      <c r="K131" s="64"/>
      <c r="L131" s="61"/>
      <c r="M131" s="61"/>
      <c r="N131" s="60"/>
      <c r="O131" s="65" t="str">
        <f>IF($C131="","",IF(COUNTIFS(UCRETLER!$B$7:$B$606,$B131,UCRETLER!$H$7:$H$606,"Aktif")&gt;0,"EVET","HAYIR"))</f>
        <v/>
      </c>
      <c r="P131" s="65" t="str">
        <f t="shared" si="6"/>
        <v/>
      </c>
      <c r="Q131" s="2"/>
      <c r="R131" s="2"/>
      <c r="S131" s="1"/>
      <c r="T131" s="1" t="str">
        <f t="shared" si="7"/>
        <v/>
      </c>
      <c r="U131" s="1" t="str">
        <f>IF($B131="","",COUNTIF($V$7:$V$156,"&gt;"&amp;$V131)+COUNTIF($V$7:$V131,$V131))</f>
        <v/>
      </c>
      <c r="V131" s="1" t="str">
        <f>IF($B131="","",MAX(0,$J131+SUMIFS(UCRETLER!$I$7:$I$606,UCRETLER!$B$7:$B$606,$B131)+SUMIFS(GELIR_GIDER!$G$7:$G$3001,GELIR_GIDER!$T$7:$T$3001,$B131)-SUMIFS(TAHSILAT!$F$7:$F$2503,TAHSILAT!$C$7:$C$2503,$B131)))</f>
        <v/>
      </c>
    </row>
    <row r="132" spans="1:22" ht="18" customHeight="1" x14ac:dyDescent="0.3">
      <c r="A132" s="2"/>
      <c r="B132" s="60"/>
      <c r="C132" s="61"/>
      <c r="D132" s="60"/>
      <c r="E132" s="61"/>
      <c r="F132" s="61"/>
      <c r="G132" s="61"/>
      <c r="H132" s="60"/>
      <c r="I132" s="62"/>
      <c r="J132" s="63"/>
      <c r="K132" s="64"/>
      <c r="L132" s="61"/>
      <c r="M132" s="61"/>
      <c r="N132" s="60"/>
      <c r="O132" s="65" t="str">
        <f>IF($C132="","",IF(COUNTIFS(UCRETLER!$B$7:$B$606,$B132,UCRETLER!$H$7:$H$606,"Aktif")&gt;0,"EVET","HAYIR"))</f>
        <v/>
      </c>
      <c r="P132" s="65" t="str">
        <f t="shared" si="6"/>
        <v/>
      </c>
      <c r="Q132" s="2"/>
      <c r="R132" s="2"/>
      <c r="S132" s="1"/>
      <c r="T132" s="1" t="str">
        <f t="shared" si="7"/>
        <v/>
      </c>
      <c r="U132" s="1" t="str">
        <f>IF($B132="","",COUNTIF($V$7:$V$156,"&gt;"&amp;$V132)+COUNTIF($V$7:$V132,$V132))</f>
        <v/>
      </c>
      <c r="V132" s="1" t="str">
        <f>IF($B132="","",MAX(0,$J132+SUMIFS(UCRETLER!$I$7:$I$606,UCRETLER!$B$7:$B$606,$B132)+SUMIFS(GELIR_GIDER!$G$7:$G$3001,GELIR_GIDER!$T$7:$T$3001,$B132)-SUMIFS(TAHSILAT!$F$7:$F$2503,TAHSILAT!$C$7:$C$2503,$B132)))</f>
        <v/>
      </c>
    </row>
    <row r="133" spans="1:22" ht="18" customHeight="1" x14ac:dyDescent="0.3">
      <c r="A133" s="2"/>
      <c r="B133" s="60"/>
      <c r="C133" s="61"/>
      <c r="D133" s="60"/>
      <c r="E133" s="61"/>
      <c r="F133" s="61"/>
      <c r="G133" s="61"/>
      <c r="H133" s="60"/>
      <c r="I133" s="62"/>
      <c r="J133" s="63"/>
      <c r="K133" s="64"/>
      <c r="L133" s="61"/>
      <c r="M133" s="61"/>
      <c r="N133" s="60"/>
      <c r="O133" s="65" t="str">
        <f>IF($C133="","",IF(COUNTIFS(UCRETLER!$B$7:$B$606,$B133,UCRETLER!$H$7:$H$606,"Aktif")&gt;0,"EVET","HAYIR"))</f>
        <v/>
      </c>
      <c r="P133" s="65" t="str">
        <f t="shared" si="6"/>
        <v/>
      </c>
      <c r="Q133" s="2"/>
      <c r="R133" s="2"/>
      <c r="S133" s="1"/>
      <c r="T133" s="1" t="str">
        <f t="shared" si="7"/>
        <v/>
      </c>
      <c r="U133" s="1" t="str">
        <f>IF($B133="","",COUNTIF($V$7:$V$156,"&gt;"&amp;$V133)+COUNTIF($V$7:$V133,$V133))</f>
        <v/>
      </c>
      <c r="V133" s="1" t="str">
        <f>IF($B133="","",MAX(0,$J133+SUMIFS(UCRETLER!$I$7:$I$606,UCRETLER!$B$7:$B$606,$B133)+SUMIFS(GELIR_GIDER!$G$7:$G$3001,GELIR_GIDER!$T$7:$T$3001,$B133)-SUMIFS(TAHSILAT!$F$7:$F$2503,TAHSILAT!$C$7:$C$2503,$B133)))</f>
        <v/>
      </c>
    </row>
    <row r="134" spans="1:22" ht="18" customHeight="1" x14ac:dyDescent="0.3">
      <c r="A134" s="2"/>
      <c r="B134" s="60"/>
      <c r="C134" s="61"/>
      <c r="D134" s="60"/>
      <c r="E134" s="61"/>
      <c r="F134" s="61"/>
      <c r="G134" s="61"/>
      <c r="H134" s="60"/>
      <c r="I134" s="62"/>
      <c r="J134" s="63"/>
      <c r="K134" s="64"/>
      <c r="L134" s="61"/>
      <c r="M134" s="61"/>
      <c r="N134" s="60"/>
      <c r="O134" s="65" t="str">
        <f>IF($C134="","",IF(COUNTIFS(UCRETLER!$B$7:$B$606,$B134,UCRETLER!$H$7:$H$606,"Aktif")&gt;0,"EVET","HAYIR"))</f>
        <v/>
      </c>
      <c r="P134" s="65" t="str">
        <f t="shared" si="6"/>
        <v/>
      </c>
      <c r="Q134" s="2"/>
      <c r="R134" s="2"/>
      <c r="S134" s="1"/>
      <c r="T134" s="1" t="str">
        <f t="shared" si="7"/>
        <v/>
      </c>
      <c r="U134" s="1" t="str">
        <f>IF($B134="","",COUNTIF($V$7:$V$156,"&gt;"&amp;$V134)+COUNTIF($V$7:$V134,$V134))</f>
        <v/>
      </c>
      <c r="V134" s="1" t="str">
        <f>IF($B134="","",MAX(0,$J134+SUMIFS(UCRETLER!$I$7:$I$606,UCRETLER!$B$7:$B$606,$B134)+SUMIFS(GELIR_GIDER!$G$7:$G$3001,GELIR_GIDER!$T$7:$T$3001,$B134)-SUMIFS(TAHSILAT!$F$7:$F$2503,TAHSILAT!$C$7:$C$2503,$B134)))</f>
        <v/>
      </c>
    </row>
    <row r="135" spans="1:22" ht="18" customHeight="1" x14ac:dyDescent="0.3">
      <c r="A135" s="2"/>
      <c r="B135" s="60"/>
      <c r="C135" s="61"/>
      <c r="D135" s="60"/>
      <c r="E135" s="61"/>
      <c r="F135" s="61"/>
      <c r="G135" s="61"/>
      <c r="H135" s="60"/>
      <c r="I135" s="62"/>
      <c r="J135" s="63"/>
      <c r="K135" s="64"/>
      <c r="L135" s="61"/>
      <c r="M135" s="61"/>
      <c r="N135" s="60"/>
      <c r="O135" s="65" t="str">
        <f>IF($C135="","",IF(COUNTIFS(UCRETLER!$B$7:$B$606,$B135,UCRETLER!$H$7:$H$606,"Aktif")&gt;0,"EVET","HAYIR"))</f>
        <v/>
      </c>
      <c r="P135" s="65" t="str">
        <f t="shared" ref="P135:P156" si="8"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2"/>
      <c r="R135" s="2"/>
      <c r="S135" s="1"/>
      <c r="T135" s="1" t="str">
        <f t="shared" ref="T135:T156" si="9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 t="str">
        <f>IF($B135="","",COUNTIF($V$7:$V$156,"&gt;"&amp;$V135)+COUNTIF($V$7:$V135,$V135))</f>
        <v/>
      </c>
      <c r="V135" s="1" t="str">
        <f>IF($B135="","",MAX(0,$J135+SUMIFS(UCRETLER!$I$7:$I$606,UCRETLER!$B$7:$B$606,$B135)+SUMIFS(GELIR_GIDER!$G$7:$G$3001,GELIR_GIDER!$T$7:$T$3001,$B135)-SUMIFS(TAHSILAT!$F$7:$F$2503,TAHSILAT!$C$7:$C$2503,$B135)))</f>
        <v/>
      </c>
    </row>
    <row r="136" spans="1:22" ht="18" customHeight="1" x14ac:dyDescent="0.3">
      <c r="A136" s="2"/>
      <c r="B136" s="60"/>
      <c r="C136" s="61"/>
      <c r="D136" s="60"/>
      <c r="E136" s="61"/>
      <c r="F136" s="61"/>
      <c r="G136" s="61"/>
      <c r="H136" s="60"/>
      <c r="I136" s="62"/>
      <c r="J136" s="63"/>
      <c r="K136" s="64"/>
      <c r="L136" s="61"/>
      <c r="M136" s="61"/>
      <c r="N136" s="60"/>
      <c r="O136" s="65" t="str">
        <f>IF($C136="","",IF(COUNTIFS(UCRETLER!$B$7:$B$606,$B136,UCRETLER!$H$7:$H$606,"Aktif")&gt;0,"EVET","HAYIR"))</f>
        <v/>
      </c>
      <c r="P136" s="65" t="str">
        <f t="shared" si="8"/>
        <v/>
      </c>
      <c r="Q136" s="2"/>
      <c r="R136" s="2"/>
      <c r="S136" s="1"/>
      <c r="T136" s="1" t="str">
        <f t="shared" si="9"/>
        <v/>
      </c>
      <c r="U136" s="1" t="str">
        <f>IF($B136="","",COUNTIF($V$7:$V$156,"&gt;"&amp;$V136)+COUNTIF($V$7:$V136,$V136))</f>
        <v/>
      </c>
      <c r="V136" s="1" t="str">
        <f>IF($B136="","",MAX(0,$J136+SUMIFS(UCRETLER!$I$7:$I$606,UCRETLER!$B$7:$B$606,$B136)+SUMIFS(GELIR_GIDER!$G$7:$G$3001,GELIR_GIDER!$T$7:$T$3001,$B136)-SUMIFS(TAHSILAT!$F$7:$F$2503,TAHSILAT!$C$7:$C$2503,$B136)))</f>
        <v/>
      </c>
    </row>
    <row r="137" spans="1:22" ht="18" customHeight="1" x14ac:dyDescent="0.3">
      <c r="A137" s="2"/>
      <c r="B137" s="60"/>
      <c r="C137" s="61"/>
      <c r="D137" s="60"/>
      <c r="E137" s="61"/>
      <c r="F137" s="61"/>
      <c r="G137" s="61"/>
      <c r="H137" s="60"/>
      <c r="I137" s="62"/>
      <c r="J137" s="63"/>
      <c r="K137" s="64"/>
      <c r="L137" s="61"/>
      <c r="M137" s="61"/>
      <c r="N137" s="60"/>
      <c r="O137" s="65" t="str">
        <f>IF($C137="","",IF(COUNTIFS(UCRETLER!$B$7:$B$606,$B137,UCRETLER!$H$7:$H$606,"Aktif")&gt;0,"EVET","HAYIR"))</f>
        <v/>
      </c>
      <c r="P137" s="65" t="str">
        <f t="shared" si="8"/>
        <v/>
      </c>
      <c r="Q137" s="2"/>
      <c r="R137" s="2"/>
      <c r="S137" s="1"/>
      <c r="T137" s="1" t="str">
        <f t="shared" si="9"/>
        <v/>
      </c>
      <c r="U137" s="1" t="str">
        <f>IF($B137="","",COUNTIF($V$7:$V$156,"&gt;"&amp;$V137)+COUNTIF($V$7:$V137,$V137))</f>
        <v/>
      </c>
      <c r="V137" s="1" t="str">
        <f>IF($B137="","",MAX(0,$J137+SUMIFS(UCRETLER!$I$7:$I$606,UCRETLER!$B$7:$B$606,$B137)+SUMIFS(GELIR_GIDER!$G$7:$G$3001,GELIR_GIDER!$T$7:$T$3001,$B137)-SUMIFS(TAHSILAT!$F$7:$F$2503,TAHSILAT!$C$7:$C$2503,$B137)))</f>
        <v/>
      </c>
    </row>
    <row r="138" spans="1:22" ht="18" customHeight="1" x14ac:dyDescent="0.3">
      <c r="A138" s="2"/>
      <c r="B138" s="60"/>
      <c r="C138" s="61"/>
      <c r="D138" s="60"/>
      <c r="E138" s="61"/>
      <c r="F138" s="61"/>
      <c r="G138" s="61"/>
      <c r="H138" s="60"/>
      <c r="I138" s="62"/>
      <c r="J138" s="63"/>
      <c r="K138" s="64"/>
      <c r="L138" s="61"/>
      <c r="M138" s="61"/>
      <c r="N138" s="60"/>
      <c r="O138" s="65" t="str">
        <f>IF($C138="","",IF(COUNTIFS(UCRETLER!$B$7:$B$606,$B138,UCRETLER!$H$7:$H$606,"Aktif")&gt;0,"EVET","HAYIR"))</f>
        <v/>
      </c>
      <c r="P138" s="65" t="str">
        <f t="shared" si="8"/>
        <v/>
      </c>
      <c r="Q138" s="2"/>
      <c r="R138" s="2"/>
      <c r="S138" s="1"/>
      <c r="T138" s="1" t="str">
        <f t="shared" si="9"/>
        <v/>
      </c>
      <c r="U138" s="1" t="str">
        <f>IF($B138="","",COUNTIF($V$7:$V$156,"&gt;"&amp;$V138)+COUNTIF($V$7:$V138,$V138))</f>
        <v/>
      </c>
      <c r="V138" s="1" t="str">
        <f>IF($B138="","",MAX(0,$J138+SUMIFS(UCRETLER!$I$7:$I$606,UCRETLER!$B$7:$B$606,$B138)+SUMIFS(GELIR_GIDER!$G$7:$G$3001,GELIR_GIDER!$T$7:$T$3001,$B138)-SUMIFS(TAHSILAT!$F$7:$F$2503,TAHSILAT!$C$7:$C$2503,$B138)))</f>
        <v/>
      </c>
    </row>
    <row r="139" spans="1:22" ht="18" customHeight="1" x14ac:dyDescent="0.3">
      <c r="A139" s="2"/>
      <c r="B139" s="60"/>
      <c r="C139" s="61"/>
      <c r="D139" s="60"/>
      <c r="E139" s="61"/>
      <c r="F139" s="61"/>
      <c r="G139" s="61"/>
      <c r="H139" s="60"/>
      <c r="I139" s="62"/>
      <c r="J139" s="63"/>
      <c r="K139" s="64"/>
      <c r="L139" s="61"/>
      <c r="M139" s="61"/>
      <c r="N139" s="60"/>
      <c r="O139" s="65" t="str">
        <f>IF($C139="","",IF(COUNTIFS(UCRETLER!$B$7:$B$606,$B139,UCRETLER!$H$7:$H$606,"Aktif")&gt;0,"EVET","HAYIR"))</f>
        <v/>
      </c>
      <c r="P139" s="65" t="str">
        <f t="shared" si="8"/>
        <v/>
      </c>
      <c r="Q139" s="2"/>
      <c r="R139" s="2"/>
      <c r="S139" s="1"/>
      <c r="T139" s="1" t="str">
        <f t="shared" si="9"/>
        <v/>
      </c>
      <c r="U139" s="1" t="str">
        <f>IF($B139="","",COUNTIF($V$7:$V$156,"&gt;"&amp;$V139)+COUNTIF($V$7:$V139,$V139))</f>
        <v/>
      </c>
      <c r="V139" s="1" t="str">
        <f>IF($B139="","",MAX(0,$J139+SUMIFS(UCRETLER!$I$7:$I$606,UCRETLER!$B$7:$B$606,$B139)+SUMIFS(GELIR_GIDER!$G$7:$G$3001,GELIR_GIDER!$T$7:$T$3001,$B139)-SUMIFS(TAHSILAT!$F$7:$F$2503,TAHSILAT!$C$7:$C$2503,$B139)))</f>
        <v/>
      </c>
    </row>
    <row r="140" spans="1:22" ht="18" customHeight="1" x14ac:dyDescent="0.3">
      <c r="A140" s="2"/>
      <c r="B140" s="60"/>
      <c r="C140" s="61"/>
      <c r="D140" s="60"/>
      <c r="E140" s="61"/>
      <c r="F140" s="61"/>
      <c r="G140" s="61"/>
      <c r="H140" s="60"/>
      <c r="I140" s="62"/>
      <c r="J140" s="63"/>
      <c r="K140" s="64"/>
      <c r="L140" s="61"/>
      <c r="M140" s="61"/>
      <c r="N140" s="60"/>
      <c r="O140" s="65" t="str">
        <f>IF($C140="","",IF(COUNTIFS(UCRETLER!$B$7:$B$606,$B140,UCRETLER!$H$7:$H$606,"Aktif")&gt;0,"EVET","HAYIR"))</f>
        <v/>
      </c>
      <c r="P140" s="65" t="str">
        <f t="shared" si="8"/>
        <v/>
      </c>
      <c r="Q140" s="2"/>
      <c r="R140" s="2"/>
      <c r="S140" s="1"/>
      <c r="T140" s="1" t="str">
        <f t="shared" si="9"/>
        <v/>
      </c>
      <c r="U140" s="1" t="str">
        <f>IF($B140="","",COUNTIF($V$7:$V$156,"&gt;"&amp;$V140)+COUNTIF($V$7:$V140,$V140))</f>
        <v/>
      </c>
      <c r="V140" s="1" t="str">
        <f>IF($B140="","",MAX(0,$J140+SUMIFS(UCRETLER!$I$7:$I$606,UCRETLER!$B$7:$B$606,$B140)+SUMIFS(GELIR_GIDER!$G$7:$G$3001,GELIR_GIDER!$T$7:$T$3001,$B140)-SUMIFS(TAHSILAT!$F$7:$F$2503,TAHSILAT!$C$7:$C$2503,$B140)))</f>
        <v/>
      </c>
    </row>
    <row r="141" spans="1:22" ht="18" customHeight="1" x14ac:dyDescent="0.3">
      <c r="A141" s="2"/>
      <c r="B141" s="60"/>
      <c r="C141" s="61"/>
      <c r="D141" s="60"/>
      <c r="E141" s="61"/>
      <c r="F141" s="61"/>
      <c r="G141" s="61"/>
      <c r="H141" s="60"/>
      <c r="I141" s="62"/>
      <c r="J141" s="63"/>
      <c r="K141" s="64"/>
      <c r="L141" s="61"/>
      <c r="M141" s="61"/>
      <c r="N141" s="60"/>
      <c r="O141" s="65" t="str">
        <f>IF($C141="","",IF(COUNTIFS(UCRETLER!$B$7:$B$606,$B141,UCRETLER!$H$7:$H$606,"Aktif")&gt;0,"EVET","HAYIR"))</f>
        <v/>
      </c>
      <c r="P141" s="65" t="str">
        <f t="shared" si="8"/>
        <v/>
      </c>
      <c r="Q141" s="2"/>
      <c r="R141" s="2"/>
      <c r="S141" s="1"/>
      <c r="T141" s="1" t="str">
        <f t="shared" si="9"/>
        <v/>
      </c>
      <c r="U141" s="1" t="str">
        <f>IF($B141="","",COUNTIF($V$7:$V$156,"&gt;"&amp;$V141)+COUNTIF($V$7:$V141,$V141))</f>
        <v/>
      </c>
      <c r="V141" s="1" t="str">
        <f>IF($B141="","",MAX(0,$J141+SUMIFS(UCRETLER!$I$7:$I$606,UCRETLER!$B$7:$B$606,$B141)+SUMIFS(GELIR_GIDER!$G$7:$G$3001,GELIR_GIDER!$T$7:$T$3001,$B141)-SUMIFS(TAHSILAT!$F$7:$F$2503,TAHSILAT!$C$7:$C$2503,$B141)))</f>
        <v/>
      </c>
    </row>
    <row r="142" spans="1:22" ht="18" customHeight="1" x14ac:dyDescent="0.3">
      <c r="A142" s="2"/>
      <c r="B142" s="60"/>
      <c r="C142" s="61"/>
      <c r="D142" s="60"/>
      <c r="E142" s="61"/>
      <c r="F142" s="61"/>
      <c r="G142" s="61"/>
      <c r="H142" s="60"/>
      <c r="I142" s="62"/>
      <c r="J142" s="63"/>
      <c r="K142" s="64"/>
      <c r="L142" s="61"/>
      <c r="M142" s="61"/>
      <c r="N142" s="60"/>
      <c r="O142" s="65" t="str">
        <f>IF($C142="","",IF(COUNTIFS(UCRETLER!$B$7:$B$606,$B142,UCRETLER!$H$7:$H$606,"Aktif")&gt;0,"EVET","HAYIR"))</f>
        <v/>
      </c>
      <c r="P142" s="65" t="str">
        <f t="shared" si="8"/>
        <v/>
      </c>
      <c r="Q142" s="2"/>
      <c r="R142" s="2"/>
      <c r="S142" s="1"/>
      <c r="T142" s="1" t="str">
        <f t="shared" si="9"/>
        <v/>
      </c>
      <c r="U142" s="1" t="str">
        <f>IF($B142="","",COUNTIF($V$7:$V$156,"&gt;"&amp;$V142)+COUNTIF($V$7:$V142,$V142))</f>
        <v/>
      </c>
      <c r="V142" s="1" t="str">
        <f>IF($B142="","",MAX(0,$J142+SUMIFS(UCRETLER!$I$7:$I$606,UCRETLER!$B$7:$B$606,$B142)+SUMIFS(GELIR_GIDER!$G$7:$G$3001,GELIR_GIDER!$T$7:$T$3001,$B142)-SUMIFS(TAHSILAT!$F$7:$F$2503,TAHSILAT!$C$7:$C$2503,$B142)))</f>
        <v/>
      </c>
    </row>
    <row r="143" spans="1:22" ht="18" customHeight="1" x14ac:dyDescent="0.3">
      <c r="A143" s="2"/>
      <c r="B143" s="60"/>
      <c r="C143" s="61"/>
      <c r="D143" s="60"/>
      <c r="E143" s="61"/>
      <c r="F143" s="61"/>
      <c r="G143" s="61"/>
      <c r="H143" s="60"/>
      <c r="I143" s="62"/>
      <c r="J143" s="63"/>
      <c r="K143" s="64"/>
      <c r="L143" s="61"/>
      <c r="M143" s="61"/>
      <c r="N143" s="60"/>
      <c r="O143" s="65" t="str">
        <f>IF($C143="","",IF(COUNTIFS(UCRETLER!$B$7:$B$606,$B143,UCRETLER!$H$7:$H$606,"Aktif")&gt;0,"EVET","HAYIR"))</f>
        <v/>
      </c>
      <c r="P143" s="65" t="str">
        <f t="shared" si="8"/>
        <v/>
      </c>
      <c r="Q143" s="2"/>
      <c r="R143" s="2"/>
      <c r="S143" s="1"/>
      <c r="T143" s="1" t="str">
        <f t="shared" si="9"/>
        <v/>
      </c>
      <c r="U143" s="1" t="str">
        <f>IF($B143="","",COUNTIF($V$7:$V$156,"&gt;"&amp;$V143)+COUNTIF($V$7:$V143,$V143))</f>
        <v/>
      </c>
      <c r="V143" s="1" t="str">
        <f>IF($B143="","",MAX(0,$J143+SUMIFS(UCRETLER!$I$7:$I$606,UCRETLER!$B$7:$B$606,$B143)+SUMIFS(GELIR_GIDER!$G$7:$G$3001,GELIR_GIDER!$T$7:$T$3001,$B143)-SUMIFS(TAHSILAT!$F$7:$F$2503,TAHSILAT!$C$7:$C$2503,$B143)))</f>
        <v/>
      </c>
    </row>
    <row r="144" spans="1:22" ht="18" customHeight="1" x14ac:dyDescent="0.3">
      <c r="A144" s="2"/>
      <c r="B144" s="60"/>
      <c r="C144" s="61"/>
      <c r="D144" s="60"/>
      <c r="E144" s="61"/>
      <c r="F144" s="61"/>
      <c r="G144" s="61"/>
      <c r="H144" s="60"/>
      <c r="I144" s="62"/>
      <c r="J144" s="63"/>
      <c r="K144" s="64"/>
      <c r="L144" s="61"/>
      <c r="M144" s="61"/>
      <c r="N144" s="60"/>
      <c r="O144" s="65" t="str">
        <f>IF($C144="","",IF(COUNTIFS(UCRETLER!$B$7:$B$606,$B144,UCRETLER!$H$7:$H$606,"Aktif")&gt;0,"EVET","HAYIR"))</f>
        <v/>
      </c>
      <c r="P144" s="65" t="str">
        <f t="shared" si="8"/>
        <v/>
      </c>
      <c r="Q144" s="2"/>
      <c r="R144" s="2"/>
      <c r="S144" s="1"/>
      <c r="T144" s="1" t="str">
        <f t="shared" si="9"/>
        <v/>
      </c>
      <c r="U144" s="1" t="str">
        <f>IF($B144="","",COUNTIF($V$7:$V$156,"&gt;"&amp;$V144)+COUNTIF($V$7:$V144,$V144))</f>
        <v/>
      </c>
      <c r="V144" s="1" t="str">
        <f>IF($B144="","",MAX(0,$J144+SUMIFS(UCRETLER!$I$7:$I$606,UCRETLER!$B$7:$B$606,$B144)+SUMIFS(GELIR_GIDER!$G$7:$G$3001,GELIR_GIDER!$T$7:$T$3001,$B144)-SUMIFS(TAHSILAT!$F$7:$F$2503,TAHSILAT!$C$7:$C$2503,$B144)))</f>
        <v/>
      </c>
    </row>
    <row r="145" spans="1:22" ht="18" customHeight="1" x14ac:dyDescent="0.3">
      <c r="A145" s="2"/>
      <c r="B145" s="60"/>
      <c r="C145" s="61"/>
      <c r="D145" s="60"/>
      <c r="E145" s="61"/>
      <c r="F145" s="61"/>
      <c r="G145" s="61"/>
      <c r="H145" s="60"/>
      <c r="I145" s="62"/>
      <c r="J145" s="63"/>
      <c r="K145" s="64"/>
      <c r="L145" s="61"/>
      <c r="M145" s="61"/>
      <c r="N145" s="60"/>
      <c r="O145" s="65" t="str">
        <f>IF($C145="","",IF(COUNTIFS(UCRETLER!$B$7:$B$606,$B145,UCRETLER!$H$7:$H$606,"Aktif")&gt;0,"EVET","HAYIR"))</f>
        <v/>
      </c>
      <c r="P145" s="65" t="str">
        <f t="shared" si="8"/>
        <v/>
      </c>
      <c r="Q145" s="2"/>
      <c r="R145" s="2"/>
      <c r="S145" s="1"/>
      <c r="T145" s="1" t="str">
        <f t="shared" si="9"/>
        <v/>
      </c>
      <c r="U145" s="1" t="str">
        <f>IF($B145="","",COUNTIF($V$7:$V$156,"&gt;"&amp;$V145)+COUNTIF($V$7:$V145,$V145))</f>
        <v/>
      </c>
      <c r="V145" s="1" t="str">
        <f>IF($B145="","",MAX(0,$J145+SUMIFS(UCRETLER!$I$7:$I$606,UCRETLER!$B$7:$B$606,$B145)+SUMIFS(GELIR_GIDER!$G$7:$G$3001,GELIR_GIDER!$T$7:$T$3001,$B145)-SUMIFS(TAHSILAT!$F$7:$F$2503,TAHSILAT!$C$7:$C$2503,$B145)))</f>
        <v/>
      </c>
    </row>
    <row r="146" spans="1:22" ht="18" customHeight="1" x14ac:dyDescent="0.3">
      <c r="A146" s="2"/>
      <c r="B146" s="60"/>
      <c r="C146" s="61"/>
      <c r="D146" s="60"/>
      <c r="E146" s="61"/>
      <c r="F146" s="61"/>
      <c r="G146" s="61"/>
      <c r="H146" s="60"/>
      <c r="I146" s="62"/>
      <c r="J146" s="63"/>
      <c r="K146" s="64"/>
      <c r="L146" s="61"/>
      <c r="M146" s="61"/>
      <c r="N146" s="60"/>
      <c r="O146" s="65" t="str">
        <f>IF($C146="","",IF(COUNTIFS(UCRETLER!$B$7:$B$606,$B146,UCRETLER!$H$7:$H$606,"Aktif")&gt;0,"EVET","HAYIR"))</f>
        <v/>
      </c>
      <c r="P146" s="65" t="str">
        <f t="shared" si="8"/>
        <v/>
      </c>
      <c r="Q146" s="2"/>
      <c r="R146" s="2"/>
      <c r="S146" s="1"/>
      <c r="T146" s="1" t="str">
        <f t="shared" si="9"/>
        <v/>
      </c>
      <c r="U146" s="1" t="str">
        <f>IF($B146="","",COUNTIF($V$7:$V$156,"&gt;"&amp;$V146)+COUNTIF($V$7:$V146,$V146))</f>
        <v/>
      </c>
      <c r="V146" s="1" t="str">
        <f>IF($B146="","",MAX(0,$J146+SUMIFS(UCRETLER!$I$7:$I$606,UCRETLER!$B$7:$B$606,$B146)+SUMIFS(GELIR_GIDER!$G$7:$G$3001,GELIR_GIDER!$T$7:$T$3001,$B146)-SUMIFS(TAHSILAT!$F$7:$F$2503,TAHSILAT!$C$7:$C$2503,$B146)))</f>
        <v/>
      </c>
    </row>
    <row r="147" spans="1:22" ht="18" customHeight="1" x14ac:dyDescent="0.3">
      <c r="A147" s="2"/>
      <c r="B147" s="60"/>
      <c r="C147" s="61"/>
      <c r="D147" s="60"/>
      <c r="E147" s="61"/>
      <c r="F147" s="61"/>
      <c r="G147" s="61"/>
      <c r="H147" s="60"/>
      <c r="I147" s="62"/>
      <c r="J147" s="63"/>
      <c r="K147" s="64"/>
      <c r="L147" s="61"/>
      <c r="M147" s="61"/>
      <c r="N147" s="60"/>
      <c r="O147" s="65" t="str">
        <f>IF($C147="","",IF(COUNTIFS(UCRETLER!$B$7:$B$606,$B147,UCRETLER!$H$7:$H$606,"Aktif")&gt;0,"EVET","HAYIR"))</f>
        <v/>
      </c>
      <c r="P147" s="65" t="str">
        <f t="shared" si="8"/>
        <v/>
      </c>
      <c r="Q147" s="2"/>
      <c r="R147" s="2"/>
      <c r="S147" s="1"/>
      <c r="T147" s="1" t="str">
        <f t="shared" si="9"/>
        <v/>
      </c>
      <c r="U147" s="1" t="str">
        <f>IF($B147="","",COUNTIF($V$7:$V$156,"&gt;"&amp;$V147)+COUNTIF($V$7:$V147,$V147))</f>
        <v/>
      </c>
      <c r="V147" s="1" t="str">
        <f>IF($B147="","",MAX(0,$J147+SUMIFS(UCRETLER!$I$7:$I$606,UCRETLER!$B$7:$B$606,$B147)+SUMIFS(GELIR_GIDER!$G$7:$G$3001,GELIR_GIDER!$T$7:$T$3001,$B147)-SUMIFS(TAHSILAT!$F$7:$F$2503,TAHSILAT!$C$7:$C$2503,$B147)))</f>
        <v/>
      </c>
    </row>
    <row r="148" spans="1:22" ht="18" customHeight="1" x14ac:dyDescent="0.3">
      <c r="A148" s="2"/>
      <c r="B148" s="60"/>
      <c r="C148" s="61"/>
      <c r="D148" s="60"/>
      <c r="E148" s="61"/>
      <c r="F148" s="61"/>
      <c r="G148" s="61"/>
      <c r="H148" s="60"/>
      <c r="I148" s="62"/>
      <c r="J148" s="63"/>
      <c r="K148" s="64"/>
      <c r="L148" s="61"/>
      <c r="M148" s="61"/>
      <c r="N148" s="60"/>
      <c r="O148" s="65" t="str">
        <f>IF($C148="","",IF(COUNTIFS(UCRETLER!$B$7:$B$606,$B148,UCRETLER!$H$7:$H$606,"Aktif")&gt;0,"EVET","HAYIR"))</f>
        <v/>
      </c>
      <c r="P148" s="65" t="str">
        <f t="shared" si="8"/>
        <v/>
      </c>
      <c r="Q148" s="2"/>
      <c r="R148" s="2"/>
      <c r="S148" s="1"/>
      <c r="T148" s="1" t="str">
        <f t="shared" si="9"/>
        <v/>
      </c>
      <c r="U148" s="1" t="str">
        <f>IF($B148="","",COUNTIF($V$7:$V$156,"&gt;"&amp;$V148)+COUNTIF($V$7:$V148,$V148))</f>
        <v/>
      </c>
      <c r="V148" s="1" t="str">
        <f>IF($B148="","",MAX(0,$J148+SUMIFS(UCRETLER!$I$7:$I$606,UCRETLER!$B$7:$B$606,$B148)+SUMIFS(GELIR_GIDER!$G$7:$G$3001,GELIR_GIDER!$T$7:$T$3001,$B148)-SUMIFS(TAHSILAT!$F$7:$F$2503,TAHSILAT!$C$7:$C$2503,$B148)))</f>
        <v/>
      </c>
    </row>
    <row r="149" spans="1:22" ht="18" customHeight="1" x14ac:dyDescent="0.3">
      <c r="A149" s="2"/>
      <c r="B149" s="60"/>
      <c r="C149" s="61"/>
      <c r="D149" s="60"/>
      <c r="E149" s="61"/>
      <c r="F149" s="61"/>
      <c r="G149" s="61"/>
      <c r="H149" s="60"/>
      <c r="I149" s="62"/>
      <c r="J149" s="63"/>
      <c r="K149" s="64"/>
      <c r="L149" s="61"/>
      <c r="M149" s="61"/>
      <c r="N149" s="60"/>
      <c r="O149" s="65" t="str">
        <f>IF($C149="","",IF(COUNTIFS(UCRETLER!$B$7:$B$606,$B149,UCRETLER!$H$7:$H$606,"Aktif")&gt;0,"EVET","HAYIR"))</f>
        <v/>
      </c>
      <c r="P149" s="65" t="str">
        <f t="shared" si="8"/>
        <v/>
      </c>
      <c r="Q149" s="2"/>
      <c r="R149" s="2"/>
      <c r="S149" s="1"/>
      <c r="T149" s="1" t="str">
        <f t="shared" si="9"/>
        <v/>
      </c>
      <c r="U149" s="1" t="str">
        <f>IF($B149="","",COUNTIF($V$7:$V$156,"&gt;"&amp;$V149)+COUNTIF($V$7:$V149,$V149))</f>
        <v/>
      </c>
      <c r="V149" s="1" t="str">
        <f>IF($B149="","",MAX(0,$J149+SUMIFS(UCRETLER!$I$7:$I$606,UCRETLER!$B$7:$B$606,$B149)+SUMIFS(GELIR_GIDER!$G$7:$G$3001,GELIR_GIDER!$T$7:$T$3001,$B149)-SUMIFS(TAHSILAT!$F$7:$F$2503,TAHSILAT!$C$7:$C$2503,$B149)))</f>
        <v/>
      </c>
    </row>
    <row r="150" spans="1:22" ht="18" customHeight="1" x14ac:dyDescent="0.3">
      <c r="A150" s="2"/>
      <c r="B150" s="60"/>
      <c r="C150" s="61"/>
      <c r="D150" s="60"/>
      <c r="E150" s="61"/>
      <c r="F150" s="61"/>
      <c r="G150" s="61"/>
      <c r="H150" s="60"/>
      <c r="I150" s="62"/>
      <c r="J150" s="63"/>
      <c r="K150" s="64"/>
      <c r="L150" s="61"/>
      <c r="M150" s="61"/>
      <c r="N150" s="60"/>
      <c r="O150" s="65" t="str">
        <f>IF($C150="","",IF(COUNTIFS(UCRETLER!$B$7:$B$606,$B150,UCRETLER!$H$7:$H$606,"Aktif")&gt;0,"EVET","HAYIR"))</f>
        <v/>
      </c>
      <c r="P150" s="65" t="str">
        <f t="shared" si="8"/>
        <v/>
      </c>
      <c r="Q150" s="2"/>
      <c r="R150" s="2"/>
      <c r="S150" s="1"/>
      <c r="T150" s="1" t="str">
        <f t="shared" si="9"/>
        <v/>
      </c>
      <c r="U150" s="1" t="str">
        <f>IF($B150="","",COUNTIF($V$7:$V$156,"&gt;"&amp;$V150)+COUNTIF($V$7:$V150,$V150))</f>
        <v/>
      </c>
      <c r="V150" s="1" t="str">
        <f>IF($B150="","",MAX(0,$J150+SUMIFS(UCRETLER!$I$7:$I$606,UCRETLER!$B$7:$B$606,$B150)+SUMIFS(GELIR_GIDER!$G$7:$G$3001,GELIR_GIDER!$T$7:$T$3001,$B150)-SUMIFS(TAHSILAT!$F$7:$F$2503,TAHSILAT!$C$7:$C$2503,$B150)))</f>
        <v/>
      </c>
    </row>
    <row r="151" spans="1:22" ht="18" customHeight="1" x14ac:dyDescent="0.3">
      <c r="A151" s="2"/>
      <c r="B151" s="60"/>
      <c r="C151" s="61"/>
      <c r="D151" s="60"/>
      <c r="E151" s="61"/>
      <c r="F151" s="61"/>
      <c r="G151" s="61"/>
      <c r="H151" s="60"/>
      <c r="I151" s="62"/>
      <c r="J151" s="63"/>
      <c r="K151" s="64"/>
      <c r="L151" s="61"/>
      <c r="M151" s="61"/>
      <c r="N151" s="60"/>
      <c r="O151" s="65" t="str">
        <f>IF($C151="","",IF(COUNTIFS(UCRETLER!$B$7:$B$606,$B151,UCRETLER!$H$7:$H$606,"Aktif")&gt;0,"EVET","HAYIR"))</f>
        <v/>
      </c>
      <c r="P151" s="65" t="str">
        <f t="shared" si="8"/>
        <v/>
      </c>
      <c r="Q151" s="2"/>
      <c r="R151" s="2"/>
      <c r="S151" s="1"/>
      <c r="T151" s="1" t="str">
        <f t="shared" si="9"/>
        <v/>
      </c>
      <c r="U151" s="1" t="str">
        <f>IF($B151="","",COUNTIF($V$7:$V$156,"&gt;"&amp;$V151)+COUNTIF($V$7:$V151,$V151))</f>
        <v/>
      </c>
      <c r="V151" s="1" t="str">
        <f>IF($B151="","",MAX(0,$J151+SUMIFS(UCRETLER!$I$7:$I$606,UCRETLER!$B$7:$B$606,$B151)+SUMIFS(GELIR_GIDER!$G$7:$G$3001,GELIR_GIDER!$T$7:$T$3001,$B151)-SUMIFS(TAHSILAT!$F$7:$F$2503,TAHSILAT!$C$7:$C$2503,$B151)))</f>
        <v/>
      </c>
    </row>
    <row r="152" spans="1:22" ht="18" customHeight="1" x14ac:dyDescent="0.3">
      <c r="A152" s="2"/>
      <c r="B152" s="60"/>
      <c r="C152" s="61"/>
      <c r="D152" s="60"/>
      <c r="E152" s="61"/>
      <c r="F152" s="61"/>
      <c r="G152" s="61"/>
      <c r="H152" s="60"/>
      <c r="I152" s="62"/>
      <c r="J152" s="63"/>
      <c r="K152" s="64"/>
      <c r="L152" s="61"/>
      <c r="M152" s="61"/>
      <c r="N152" s="60"/>
      <c r="O152" s="65" t="str">
        <f>IF($C152="","",IF(COUNTIFS(UCRETLER!$B$7:$B$606,$B152,UCRETLER!$H$7:$H$606,"Aktif")&gt;0,"EVET","HAYIR"))</f>
        <v/>
      </c>
      <c r="P152" s="65" t="str">
        <f t="shared" si="8"/>
        <v/>
      </c>
      <c r="Q152" s="2"/>
      <c r="R152" s="2"/>
      <c r="S152" s="1"/>
      <c r="T152" s="1" t="str">
        <f t="shared" si="9"/>
        <v/>
      </c>
      <c r="U152" s="1" t="str">
        <f>IF($B152="","",COUNTIF($V$7:$V$156,"&gt;"&amp;$V152)+COUNTIF($V$7:$V152,$V152))</f>
        <v/>
      </c>
      <c r="V152" s="1" t="str">
        <f>IF($B152="","",MAX(0,$J152+SUMIFS(UCRETLER!$I$7:$I$606,UCRETLER!$B$7:$B$606,$B152)+SUMIFS(GELIR_GIDER!$G$7:$G$3001,GELIR_GIDER!$T$7:$T$3001,$B152)-SUMIFS(TAHSILAT!$F$7:$F$2503,TAHSILAT!$C$7:$C$2503,$B152)))</f>
        <v/>
      </c>
    </row>
    <row r="153" spans="1:22" ht="18" customHeight="1" x14ac:dyDescent="0.3">
      <c r="A153" s="2"/>
      <c r="B153" s="60"/>
      <c r="C153" s="61"/>
      <c r="D153" s="60"/>
      <c r="E153" s="61"/>
      <c r="F153" s="61"/>
      <c r="G153" s="61"/>
      <c r="H153" s="60"/>
      <c r="I153" s="62"/>
      <c r="J153" s="63"/>
      <c r="K153" s="64"/>
      <c r="L153" s="61"/>
      <c r="M153" s="61"/>
      <c r="N153" s="60"/>
      <c r="O153" s="65" t="str">
        <f>IF($C153="","",IF(COUNTIFS(UCRETLER!$B$7:$B$606,$B153,UCRETLER!$H$7:$H$606,"Aktif")&gt;0,"EVET","HAYIR"))</f>
        <v/>
      </c>
      <c r="P153" s="65" t="str">
        <f t="shared" si="8"/>
        <v/>
      </c>
      <c r="Q153" s="2"/>
      <c r="R153" s="2"/>
      <c r="S153" s="1"/>
      <c r="T153" s="1" t="str">
        <f t="shared" si="9"/>
        <v/>
      </c>
      <c r="U153" s="1" t="str">
        <f>IF($B153="","",COUNTIF($V$7:$V$156,"&gt;"&amp;$V153)+COUNTIF($V$7:$V153,$V153))</f>
        <v/>
      </c>
      <c r="V153" s="1" t="str">
        <f>IF($B153="","",MAX(0,$J153+SUMIFS(UCRETLER!$I$7:$I$606,UCRETLER!$B$7:$B$606,$B153)+SUMIFS(GELIR_GIDER!$G$7:$G$3001,GELIR_GIDER!$T$7:$T$3001,$B153)-SUMIFS(TAHSILAT!$F$7:$F$2503,TAHSILAT!$C$7:$C$2503,$B153)))</f>
        <v/>
      </c>
    </row>
    <row r="154" spans="1:22" ht="18" customHeight="1" x14ac:dyDescent="0.3">
      <c r="A154" s="2"/>
      <c r="B154" s="60"/>
      <c r="C154" s="61"/>
      <c r="D154" s="60"/>
      <c r="E154" s="61"/>
      <c r="F154" s="61"/>
      <c r="G154" s="61"/>
      <c r="H154" s="60"/>
      <c r="I154" s="62"/>
      <c r="J154" s="63"/>
      <c r="K154" s="64"/>
      <c r="L154" s="61"/>
      <c r="M154" s="61"/>
      <c r="N154" s="60"/>
      <c r="O154" s="65" t="str">
        <f>IF($C154="","",IF(COUNTIFS(UCRETLER!$B$7:$B$606,$B154,UCRETLER!$H$7:$H$606,"Aktif")&gt;0,"EVET","HAYIR"))</f>
        <v/>
      </c>
      <c r="P154" s="65" t="str">
        <f t="shared" si="8"/>
        <v/>
      </c>
      <c r="Q154" s="2"/>
      <c r="R154" s="2"/>
      <c r="S154" s="1"/>
      <c r="T154" s="1" t="str">
        <f t="shared" si="9"/>
        <v/>
      </c>
      <c r="U154" s="1" t="str">
        <f>IF($B154="","",COUNTIF($V$7:$V$156,"&gt;"&amp;$V154)+COUNTIF($V$7:$V154,$V154))</f>
        <v/>
      </c>
      <c r="V154" s="1" t="str">
        <f>IF($B154="","",MAX(0,$J154+SUMIFS(UCRETLER!$I$7:$I$606,UCRETLER!$B$7:$B$606,$B154)+SUMIFS(GELIR_GIDER!$G$7:$G$3001,GELIR_GIDER!$T$7:$T$3001,$B154)-SUMIFS(TAHSILAT!$F$7:$F$2503,TAHSILAT!$C$7:$C$2503,$B154)))</f>
        <v/>
      </c>
    </row>
    <row r="155" spans="1:22" ht="18" customHeight="1" x14ac:dyDescent="0.3">
      <c r="A155" s="2"/>
      <c r="B155" s="60"/>
      <c r="C155" s="61"/>
      <c r="D155" s="60"/>
      <c r="E155" s="61"/>
      <c r="F155" s="61"/>
      <c r="G155" s="61"/>
      <c r="H155" s="60"/>
      <c r="I155" s="62"/>
      <c r="J155" s="63"/>
      <c r="K155" s="64"/>
      <c r="L155" s="61"/>
      <c r="M155" s="61"/>
      <c r="N155" s="60"/>
      <c r="O155" s="65" t="str">
        <f>IF($C155="","",IF(COUNTIFS(UCRETLER!$B$7:$B$606,$B155,UCRETLER!$H$7:$H$606,"Aktif")&gt;0,"EVET","HAYIR"))</f>
        <v/>
      </c>
      <c r="P155" s="65" t="str">
        <f t="shared" si="8"/>
        <v/>
      </c>
      <c r="Q155" s="2"/>
      <c r="R155" s="2"/>
      <c r="S155" s="1"/>
      <c r="T155" s="1" t="str">
        <f t="shared" si="9"/>
        <v/>
      </c>
      <c r="U155" s="1" t="str">
        <f>IF($B155="","",COUNTIF($V$7:$V$156,"&gt;"&amp;$V155)+COUNTIF($V$7:$V155,$V155))</f>
        <v/>
      </c>
      <c r="V155" s="1" t="str">
        <f>IF($B155="","",MAX(0,$J155+SUMIFS(UCRETLER!$I$7:$I$606,UCRETLER!$B$7:$B$606,$B155)+SUMIFS(GELIR_GIDER!$G$7:$G$3001,GELIR_GIDER!$T$7:$T$3001,$B155)-SUMIFS(TAHSILAT!$F$7:$F$2503,TAHSILAT!$C$7:$C$2503,$B155)))</f>
        <v/>
      </c>
    </row>
    <row r="156" spans="1:22" ht="18" customHeight="1" x14ac:dyDescent="0.3">
      <c r="A156" s="2"/>
      <c r="B156" s="60"/>
      <c r="C156" s="61"/>
      <c r="D156" s="60"/>
      <c r="E156" s="61"/>
      <c r="F156" s="61"/>
      <c r="G156" s="61"/>
      <c r="H156" s="60"/>
      <c r="I156" s="62"/>
      <c r="J156" s="63"/>
      <c r="K156" s="64"/>
      <c r="L156" s="61"/>
      <c r="M156" s="61"/>
      <c r="N156" s="60"/>
      <c r="O156" s="65" t="str">
        <f>IF($C156="","",IF(COUNTIFS(UCRETLER!$B$7:$B$606,$B156,UCRETLER!$H$7:$H$606,"Aktif")&gt;0,"EVET","HAYIR"))</f>
        <v/>
      </c>
      <c r="P156" s="65" t="str">
        <f t="shared" si="8"/>
        <v/>
      </c>
      <c r="Q156" s="2"/>
      <c r="R156" s="2"/>
      <c r="S156" s="1"/>
      <c r="T156" s="1" t="str">
        <f t="shared" si="9"/>
        <v/>
      </c>
      <c r="U156" s="1" t="str">
        <f>IF($B156="","",COUNTIF($V$7:$V$156,"&gt;"&amp;$V156)+COUNTIF($V$7:$V156,$V156))</f>
        <v/>
      </c>
      <c r="V156" s="1" t="str">
        <f>IF($B156="","",MAX(0,$J156+SUMIFS(UCRETLER!$I$7:$I$606,UCRETLER!$B$7:$B$606,$B156)+SUMIFS(GELIR_GIDER!$G$7:$G$3001,GELIR_GIDER!$T$7:$T$3001,$B156)-SUMIFS(TAHSILAT!$F$7:$F$2503,TAHSILAT!$C$7:$C$2503,$B156)))</f>
        <v/>
      </c>
    </row>
    <row r="157" spans="1:22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2"/>
      <c r="S157" s="1"/>
      <c r="T157" s="1"/>
      <c r="U157" s="1"/>
    </row>
    <row r="158" spans="1:22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2"/>
      <c r="S158" s="1"/>
      <c r="T158" s="1"/>
      <c r="U158" s="1"/>
    </row>
  </sheetData>
  <sheetProtection password="CC3D" sheet="1" formatCells="0" formatColumns="0" formatRows="0" sort="0" autoFilter="0"/>
  <autoFilter ref="B6:P156" xr:uid="{00000000-0009-0000-0000-000002000000}"/>
  <mergeCells count="3">
    <mergeCell ref="F1:P1"/>
    <mergeCell ref="A1:E1"/>
    <mergeCell ref="A2:P2"/>
  </mergeCells>
  <conditionalFormatting sqref="O7:O156">
    <cfRule type="expression" dxfId="83" priority="8">
      <formula>EXACT($O7,"EVET")</formula>
    </cfRule>
    <cfRule type="expression" dxfId="82" priority="9">
      <formula>EXACT($O7,"HAYIR")</formula>
    </cfRule>
  </conditionalFormatting>
  <conditionalFormatting sqref="P7:P156">
    <cfRule type="expression" dxfId="81" priority="2">
      <formula>EXACT($P7,"UYGUN")</formula>
    </cfRule>
    <cfRule type="expression" dxfId="80" priority="3">
      <formula>EXACT($P7,"DURUM EKSİK")</formula>
    </cfRule>
    <cfRule type="expression" dxfId="79" priority="4">
      <formula>EXACT($P7,"NO EKSİK")</formula>
    </cfRule>
    <cfRule type="expression" dxfId="78" priority="5">
      <formula>EXACT($P7,"NO TEKRARI")</formula>
    </cfRule>
    <cfRule type="expression" dxfId="77" priority="6">
      <formula>EXACT($P7,"UNVAN TEKRARI")</formula>
    </cfRule>
    <cfRule type="expression" dxfId="76" priority="7">
      <formula>EXACT($P7,"DEVİR TARİHİ EKSİK")</formula>
    </cfRule>
  </conditionalFormatting>
  <dataValidations count="3">
    <dataValidation type="list" allowBlank="1" showErrorMessage="1" errorTitle="Geçersiz durum" error="Listeden seçin." promptTitle="Geçersiz durum" prompt="Listeden seçin." sqref="D7:D156" xr:uid="{00000000-0002-0000-0200-000000000000}">
      <formula1>"Aktif,Beklemede,Pasif"</formula1>
      <formula2>0</formula2>
    </dataValidation>
    <dataValidation type="list" allowBlank="1" showErrorMessage="1" errorTitle="Geçersiz ödeme şekli" error="Listeden seçin." promptTitle="Geçersiz ödeme şekli" prompt="Listeden seçin." sqref="H7:H156" xr:uid="{00000000-0002-0000-0200-000001000000}">
      <formula1>"Nakit,Havale/EFT,Kredi Kartı,Çek,Mahsup"</formula1>
      <formula2>0</formula2>
    </dataValidation>
    <dataValidation type="list" allowBlank="1" showErrorMessage="1" errorTitle="Geçersiz değer" error="Listeden seçin." promptTitle="Geçersiz değer" prompt="Listeden seçin." sqref="N7:N156" xr:uid="{00000000-0002-0000-0200-000002000000}">
      <formula1>"Doğrulandı,Eksik,Ücret doğrulanmalı"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300-000000000000}">
  <sheetPr>
    <tabColor rgb="FF7355A3"/>
    <pageSetUpPr fitToPage="1"/>
  </sheetPr>
  <dimension ref="A1:AA6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7" sqref="E7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7.85546875" customWidth="1"/>
    <col min="4" max="4" width="14.85546875" customWidth="1"/>
    <col min="5" max="5" width="16.7109375" customWidth="1"/>
    <col min="6" max="7" width="13.85546875" customWidth="1"/>
    <col min="8" max="8" width="12" customWidth="1"/>
    <col min="9" max="9" width="14.85546875" customWidth="1"/>
    <col min="10" max="12" width="13.85546875" customWidth="1"/>
    <col min="13" max="13" width="12" customWidth="1"/>
    <col min="14" max="14" width="15.7109375" customWidth="1"/>
    <col min="15" max="15" width="13.85546875" customWidth="1"/>
    <col min="16" max="16" width="24.140625" customWidth="1"/>
    <col min="17" max="18" width="2.28515625" customWidth="1"/>
    <col min="19" max="27" width="12" hidden="1" customWidth="1"/>
  </cols>
  <sheetData>
    <row r="1" spans="1:27" ht="37.5" customHeight="1" x14ac:dyDescent="0.3">
      <c r="A1" s="209" t="s">
        <v>548</v>
      </c>
      <c r="B1" s="150"/>
      <c r="C1" s="150"/>
      <c r="D1" s="150"/>
      <c r="E1" s="150"/>
      <c r="F1" s="208" t="s">
        <v>681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3"/>
      <c r="R1" s="13"/>
      <c r="S1" s="1"/>
      <c r="T1" s="1"/>
      <c r="U1" s="1"/>
      <c r="V1" s="1"/>
      <c r="W1" s="1"/>
      <c r="X1" s="1"/>
      <c r="Y1" s="1"/>
      <c r="Z1" s="1"/>
    </row>
    <row r="2" spans="1:27" ht="21.75" customHeight="1" x14ac:dyDescent="0.3">
      <c r="A2" s="210" t="s">
        <v>682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"/>
      <c r="R2" s="14"/>
      <c r="S2" s="1"/>
      <c r="T2" s="1"/>
      <c r="U2" s="1"/>
      <c r="V2" s="1"/>
      <c r="W2" s="1"/>
      <c r="X2" s="1"/>
      <c r="Y2" s="1"/>
      <c r="Z2" s="1"/>
    </row>
    <row r="3" spans="1:27" ht="19.5" customHeight="1" x14ac:dyDescent="0.3">
      <c r="A3" s="2"/>
      <c r="B3" s="50" t="s">
        <v>683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</row>
    <row r="4" spans="1:27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HYPERLINK("#MUSTERILER!A1","Müşteriler")</f>
        <v>Müşteriler</v>
      </c>
      <c r="E4" s="2"/>
      <c r="F4" s="51" t="str">
        <f>HYPERLINK("#MUSTERI_360!A1","Müşteri 360")</f>
        <v>Müşteri 360</v>
      </c>
      <c r="G4" s="2"/>
      <c r="H4" s="52" t="s">
        <v>684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7" ht="25.5" customHeight="1" x14ac:dyDescent="0.3">
      <c r="A5" s="2"/>
      <c r="B5" s="53"/>
      <c r="C5" s="54" t="s">
        <v>685</v>
      </c>
      <c r="D5" s="53"/>
      <c r="E5" s="53"/>
      <c r="F5" s="53"/>
      <c r="G5" s="56">
        <f>SUMIFS($G$7:$G$606,$H$7:$H$606,"Aktif")</f>
        <v>210751</v>
      </c>
      <c r="H5" s="53"/>
      <c r="I5" s="56">
        <f ca="1">SUM($I$7:$I$606)</f>
        <v>3298007</v>
      </c>
      <c r="J5" s="53"/>
      <c r="K5" s="53"/>
      <c r="L5" s="53"/>
      <c r="M5" s="53"/>
      <c r="N5" s="53"/>
      <c r="O5" s="53"/>
      <c r="P5" s="53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7" ht="39.75" customHeight="1" x14ac:dyDescent="0.3">
      <c r="A6" s="2"/>
      <c r="B6" s="57" t="s">
        <v>19</v>
      </c>
      <c r="C6" s="58" t="s">
        <v>686</v>
      </c>
      <c r="D6" s="57" t="s">
        <v>687</v>
      </c>
      <c r="E6" s="57" t="s">
        <v>688</v>
      </c>
      <c r="F6" s="57" t="s">
        <v>689</v>
      </c>
      <c r="G6" s="59" t="s">
        <v>690</v>
      </c>
      <c r="H6" s="57" t="s">
        <v>691</v>
      </c>
      <c r="I6" s="59" t="s">
        <v>692</v>
      </c>
      <c r="J6" s="59" t="s">
        <v>693</v>
      </c>
      <c r="K6" s="59" t="s">
        <v>694</v>
      </c>
      <c r="L6" s="59" t="s">
        <v>695</v>
      </c>
      <c r="M6" s="57" t="s">
        <v>696</v>
      </c>
      <c r="N6" s="57" t="s">
        <v>697</v>
      </c>
      <c r="O6" s="57" t="s">
        <v>698</v>
      </c>
      <c r="P6" s="58" t="s">
        <v>699</v>
      </c>
      <c r="Q6" s="2"/>
      <c r="R6" s="2"/>
      <c r="S6" s="1"/>
      <c r="T6" s="1"/>
      <c r="U6" s="1"/>
      <c r="V6" s="1"/>
      <c r="W6" s="1"/>
      <c r="X6" s="1"/>
      <c r="Y6" s="1"/>
      <c r="Z6" s="1"/>
    </row>
    <row r="7" spans="1:27" ht="18" customHeight="1" x14ac:dyDescent="0.3">
      <c r="A7" s="2"/>
      <c r="B7" s="65" t="str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>M019</v>
      </c>
      <c r="C7" s="61" t="s">
        <v>570</v>
      </c>
      <c r="D7" s="66">
        <v>46023</v>
      </c>
      <c r="E7" s="66"/>
      <c r="F7" s="60" t="s">
        <v>700</v>
      </c>
      <c r="G7" s="67">
        <v>4000</v>
      </c>
      <c r="H7" s="60" t="s">
        <v>571</v>
      </c>
      <c r="I7" s="68">
        <f t="shared" ref="I7:I70" ca="1" si="0"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>28000</v>
      </c>
      <c r="J7" s="68">
        <f t="shared" ref="J7:J70" ca="1" si="1"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>28000</v>
      </c>
      <c r="K7" s="68">
        <f t="shared" ref="K7:K70" ca="1" si="2"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>28000</v>
      </c>
      <c r="L7" s="68">
        <f t="shared" ref="L7:L70" ca="1" si="3"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>24000</v>
      </c>
      <c r="M7" s="69">
        <f t="shared" ref="M7:M70" ca="1" si="4">IF($G7&gt;0,$I7/$G7,0)</f>
        <v>7</v>
      </c>
      <c r="N7" s="65" t="str">
        <f t="shared" ref="N7:N70" si="5">IF($C7="","",IF($B7="TANIMSIZ MÜŞTERİ","TANIMSIZ MÜŞTERİ",IF($F7="","MODEL SEÇİN",IF(OR($D7="",$G7&lt;=0),"EKSİK",IF(AND($E7&lt;&gt;"",$E7&lt;$D7),"TARİH HATASI",IF($H7="Pasif","KAPALI DÖNEM","UYGUN"))))))</f>
        <v>UYGUN</v>
      </c>
      <c r="O7" s="70">
        <f>IF(OR($C7="",$D7="",$F7=""),"",IF($F7="Aylık",EOMONTH($D7,0),($D7+MOD(SISTEM!$F$8-WEEKDAY($D7,2),7))))</f>
        <v>46053</v>
      </c>
      <c r="P7" s="61"/>
      <c r="Q7" s="2"/>
      <c r="R7" s="2"/>
      <c r="S7" s="1" t="str">
        <f>IF($B7="","",$B7&amp;"|"&amp;COUNTIFS($B$7:$B7,$B7))</f>
        <v>M019|1</v>
      </c>
      <c r="T7" s="1" t="str">
        <f t="shared" ref="T7:T70" si="6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71">
        <f t="shared" ref="U7:U70" si="7">IF($O7="",0,$O7)</f>
        <v>46053</v>
      </c>
      <c r="V7" s="1">
        <f t="shared" ref="V7:V70" si="8">IF($E7="",2958465,$E7)</f>
        <v>2958465</v>
      </c>
      <c r="W7" s="1">
        <f t="shared" ref="W7:W70" si="9">IF($F7="Haftalık",1,IF($F7="Aylık",2,0))</f>
        <v>2</v>
      </c>
      <c r="X7" s="1">
        <f t="shared" ref="X7:X70" si="10">IF($U7=0,0,(YEAR($U7)-1900)*12+MONTH($U7))</f>
        <v>1513</v>
      </c>
      <c r="Y7" s="1">
        <f t="shared" ref="Y7:Y70" si="11">(YEAR($V7)-1900)*12+MONTH($V7)</f>
        <v>97200</v>
      </c>
      <c r="Z7" s="1">
        <f t="shared" ref="Z7:Z70" si="12">IF($V7=EOMONTH($V7,0),1,0)</f>
        <v>1</v>
      </c>
      <c r="AA7" s="1">
        <f t="shared" ref="AA7:AA70" si="13">IF(OR($B7="",$H7&lt;&gt;"Aktif"),0,COUNTIFS($B$7:$B$606,$B7,$H$7:$H$606,"Aktif"))</f>
        <v>1</v>
      </c>
    </row>
    <row r="8" spans="1:27" ht="18" customHeight="1" x14ac:dyDescent="0.3">
      <c r="A8" s="2"/>
      <c r="B8" s="65" t="str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>M022</v>
      </c>
      <c r="C8" s="61" t="s">
        <v>574</v>
      </c>
      <c r="D8" s="66">
        <v>46023</v>
      </c>
      <c r="E8" s="66"/>
      <c r="F8" s="60" t="s">
        <v>700</v>
      </c>
      <c r="G8" s="67">
        <v>3000</v>
      </c>
      <c r="H8" s="60" t="s">
        <v>571</v>
      </c>
      <c r="I8" s="68">
        <f t="shared" ca="1" si="0"/>
        <v>21000</v>
      </c>
      <c r="J8" s="68">
        <f t="shared" ca="1" si="1"/>
        <v>21000</v>
      </c>
      <c r="K8" s="68">
        <f t="shared" ca="1" si="2"/>
        <v>21000</v>
      </c>
      <c r="L8" s="68">
        <f t="shared" ca="1" si="3"/>
        <v>18000</v>
      </c>
      <c r="M8" s="69">
        <f t="shared" ca="1" si="4"/>
        <v>7</v>
      </c>
      <c r="N8" s="65" t="str">
        <f t="shared" si="5"/>
        <v>UYGUN</v>
      </c>
      <c r="O8" s="70">
        <f>IF(OR($C8="",$D8="",$F8=""),"",IF($F8="Aylık",EOMONTH($D8,0),($D8+MOD(SISTEM!$F$8-WEEKDAY($D8,2),7))))</f>
        <v>46053</v>
      </c>
      <c r="P8" s="61"/>
      <c r="Q8" s="2"/>
      <c r="R8" s="2"/>
      <c r="S8" s="1" t="str">
        <f>IF($B8="","",$B8&amp;"|"&amp;COUNTIFS($B$7:$B8,$B8))</f>
        <v>M022|1</v>
      </c>
      <c r="T8" s="1" t="str">
        <f t="shared" si="6"/>
        <v>ADEMKARABENLI</v>
      </c>
      <c r="U8" s="71">
        <f t="shared" si="7"/>
        <v>46053</v>
      </c>
      <c r="V8" s="1">
        <f t="shared" si="8"/>
        <v>2958465</v>
      </c>
      <c r="W8" s="1">
        <f t="shared" si="9"/>
        <v>2</v>
      </c>
      <c r="X8" s="1">
        <f t="shared" si="10"/>
        <v>1513</v>
      </c>
      <c r="Y8" s="1">
        <f t="shared" si="11"/>
        <v>97200</v>
      </c>
      <c r="Z8" s="1">
        <f t="shared" si="12"/>
        <v>1</v>
      </c>
      <c r="AA8" s="1">
        <f t="shared" si="13"/>
        <v>1</v>
      </c>
    </row>
    <row r="9" spans="1:27" ht="18" customHeight="1" x14ac:dyDescent="0.3">
      <c r="A9" s="2"/>
      <c r="B9" s="65" t="str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>M023</v>
      </c>
      <c r="C9" s="61" t="s">
        <v>576</v>
      </c>
      <c r="D9" s="66">
        <v>46266</v>
      </c>
      <c r="E9" s="66"/>
      <c r="F9" s="60" t="s">
        <v>700</v>
      </c>
      <c r="G9" s="67">
        <v>10000</v>
      </c>
      <c r="H9" s="60" t="s">
        <v>571</v>
      </c>
      <c r="I9" s="68">
        <f t="shared" ca="1" si="0"/>
        <v>0</v>
      </c>
      <c r="J9" s="68">
        <f t="shared" ca="1" si="1"/>
        <v>0</v>
      </c>
      <c r="K9" s="68">
        <f t="shared" ca="1" si="2"/>
        <v>0</v>
      </c>
      <c r="L9" s="68">
        <f t="shared" ca="1" si="3"/>
        <v>0</v>
      </c>
      <c r="M9" s="69">
        <f t="shared" ca="1" si="4"/>
        <v>0</v>
      </c>
      <c r="N9" s="65" t="str">
        <f t="shared" si="5"/>
        <v>UYGUN</v>
      </c>
      <c r="O9" s="70">
        <f>IF(OR($C9="",$D9="",$F9=""),"",IF($F9="Aylık",EOMONTH($D9,0),($D9+MOD(SISTEM!$F$8-WEEKDAY($D9,2),7))))</f>
        <v>46295</v>
      </c>
      <c r="P9" s="61"/>
      <c r="Q9" s="2"/>
      <c r="R9" s="2"/>
      <c r="S9" s="1" t="str">
        <f>IF($B9="","",$B9&amp;"|"&amp;COUNTIFS($B$7:$B9,$B9))</f>
        <v>M023|1</v>
      </c>
      <c r="T9" s="1" t="str">
        <f t="shared" si="6"/>
        <v>ALTINELLTDSTI</v>
      </c>
      <c r="U9" s="71">
        <f t="shared" si="7"/>
        <v>46295</v>
      </c>
      <c r="V9" s="1">
        <f t="shared" si="8"/>
        <v>2958465</v>
      </c>
      <c r="W9" s="1">
        <f t="shared" si="9"/>
        <v>2</v>
      </c>
      <c r="X9" s="1">
        <f t="shared" si="10"/>
        <v>1521</v>
      </c>
      <c r="Y9" s="1">
        <f t="shared" si="11"/>
        <v>97200</v>
      </c>
      <c r="Z9" s="1">
        <f t="shared" si="12"/>
        <v>1</v>
      </c>
      <c r="AA9" s="1">
        <f t="shared" si="13"/>
        <v>1</v>
      </c>
    </row>
    <row r="10" spans="1:27" ht="18" customHeight="1" x14ac:dyDescent="0.3">
      <c r="A10" s="2"/>
      <c r="B10" s="65" t="str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>M001</v>
      </c>
      <c r="C10" s="61" t="s">
        <v>17</v>
      </c>
      <c r="D10" s="66">
        <v>46023</v>
      </c>
      <c r="E10" s="66"/>
      <c r="F10" s="60" t="s">
        <v>701</v>
      </c>
      <c r="G10" s="67">
        <v>4000</v>
      </c>
      <c r="H10" s="60" t="s">
        <v>571</v>
      </c>
      <c r="I10" s="68">
        <f t="shared" ca="1" si="0"/>
        <v>136000</v>
      </c>
      <c r="J10" s="68">
        <f t="shared" ca="1" si="1"/>
        <v>132000</v>
      </c>
      <c r="K10" s="68">
        <f t="shared" ca="1" si="2"/>
        <v>128000</v>
      </c>
      <c r="L10" s="68">
        <f t="shared" ca="1" si="3"/>
        <v>120000</v>
      </c>
      <c r="M10" s="69">
        <f t="shared" ca="1" si="4"/>
        <v>34</v>
      </c>
      <c r="N10" s="65" t="str">
        <f t="shared" si="5"/>
        <v>UYGUN</v>
      </c>
      <c r="O10" s="70">
        <f>IF(OR($C10="",$D10="",$F10=""),"",IF($F10="Aylık",EOMONTH($D10,0),($D10+MOD(SISTEM!$F$8-WEEKDAY($D10,2),7))))</f>
        <v>46025</v>
      </c>
      <c r="P10" s="61"/>
      <c r="Q10" s="2"/>
      <c r="R10" s="2"/>
      <c r="S10" s="1" t="str">
        <f>IF($B10="","",$B10&amp;"|"&amp;COUNTIFS($B$7:$B10,$B10))</f>
        <v>M001|1</v>
      </c>
      <c r="T10" s="1" t="str">
        <f t="shared" si="6"/>
        <v>ANKARAHAVANALTDSTI</v>
      </c>
      <c r="U10" s="71">
        <f t="shared" si="7"/>
        <v>46025</v>
      </c>
      <c r="V10" s="1">
        <f t="shared" si="8"/>
        <v>2958465</v>
      </c>
      <c r="W10" s="1">
        <f t="shared" si="9"/>
        <v>1</v>
      </c>
      <c r="X10" s="1">
        <f t="shared" si="10"/>
        <v>1513</v>
      </c>
      <c r="Y10" s="1">
        <f t="shared" si="11"/>
        <v>97200</v>
      </c>
      <c r="Z10" s="1">
        <f t="shared" si="12"/>
        <v>1</v>
      </c>
      <c r="AA10" s="1">
        <f t="shared" si="13"/>
        <v>1</v>
      </c>
    </row>
    <row r="11" spans="1:27" ht="18" customHeight="1" x14ac:dyDescent="0.3">
      <c r="A11" s="2"/>
      <c r="B11" s="65" t="str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>M024</v>
      </c>
      <c r="C11" s="61" t="s">
        <v>579</v>
      </c>
      <c r="D11" s="66">
        <v>46023</v>
      </c>
      <c r="E11" s="66"/>
      <c r="F11" s="60" t="s">
        <v>700</v>
      </c>
      <c r="G11" s="67">
        <v>3000</v>
      </c>
      <c r="H11" s="60" t="s">
        <v>571</v>
      </c>
      <c r="I11" s="68">
        <f t="shared" ca="1" si="0"/>
        <v>21000</v>
      </c>
      <c r="J11" s="68">
        <f t="shared" ca="1" si="1"/>
        <v>21000</v>
      </c>
      <c r="K11" s="68">
        <f t="shared" ca="1" si="2"/>
        <v>21000</v>
      </c>
      <c r="L11" s="68">
        <f t="shared" ca="1" si="3"/>
        <v>18000</v>
      </c>
      <c r="M11" s="69">
        <f t="shared" ca="1" si="4"/>
        <v>7</v>
      </c>
      <c r="N11" s="65" t="str">
        <f t="shared" si="5"/>
        <v>UYGUN</v>
      </c>
      <c r="O11" s="70">
        <f>IF(OR($C11="",$D11="",$F11=""),"",IF($F11="Aylık",EOMONTH($D11,0),($D11+MOD(SISTEM!$F$8-WEEKDAY($D11,2),7))))</f>
        <v>46053</v>
      </c>
      <c r="P11" s="61"/>
      <c r="Q11" s="2"/>
      <c r="R11" s="2"/>
      <c r="S11" s="1" t="str">
        <f>IF($B11="","",$B11&amp;"|"&amp;COUNTIFS($B$7:$B11,$B11))</f>
        <v>M024|1</v>
      </c>
      <c r="T11" s="1" t="str">
        <f t="shared" si="6"/>
        <v>ARMANDIK</v>
      </c>
      <c r="U11" s="71">
        <f t="shared" si="7"/>
        <v>46053</v>
      </c>
      <c r="V11" s="1">
        <f t="shared" si="8"/>
        <v>2958465</v>
      </c>
      <c r="W11" s="1">
        <f t="shared" si="9"/>
        <v>2</v>
      </c>
      <c r="X11" s="1">
        <f t="shared" si="10"/>
        <v>1513</v>
      </c>
      <c r="Y11" s="1">
        <f t="shared" si="11"/>
        <v>97200</v>
      </c>
      <c r="Z11" s="1">
        <f t="shared" si="12"/>
        <v>1</v>
      </c>
      <c r="AA11" s="1">
        <f t="shared" si="13"/>
        <v>1</v>
      </c>
    </row>
    <row r="12" spans="1:27" ht="18" customHeight="1" x14ac:dyDescent="0.3">
      <c r="A12" s="2"/>
      <c r="B12" s="65" t="str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>M021</v>
      </c>
      <c r="C12" s="61" t="s">
        <v>581</v>
      </c>
      <c r="D12" s="66">
        <v>46023</v>
      </c>
      <c r="E12" s="66"/>
      <c r="F12" s="60" t="s">
        <v>700</v>
      </c>
      <c r="G12" s="67">
        <v>10000</v>
      </c>
      <c r="H12" s="60" t="s">
        <v>571</v>
      </c>
      <c r="I12" s="68">
        <f t="shared" ca="1" si="0"/>
        <v>70000</v>
      </c>
      <c r="J12" s="68">
        <f t="shared" ca="1" si="1"/>
        <v>70000</v>
      </c>
      <c r="K12" s="68">
        <f t="shared" ca="1" si="2"/>
        <v>70000</v>
      </c>
      <c r="L12" s="68">
        <f t="shared" ca="1" si="3"/>
        <v>60000</v>
      </c>
      <c r="M12" s="69">
        <f t="shared" ca="1" si="4"/>
        <v>7</v>
      </c>
      <c r="N12" s="65" t="str">
        <f t="shared" si="5"/>
        <v>UYGUN</v>
      </c>
      <c r="O12" s="70">
        <f>IF(OR($C12="",$D12="",$F12=""),"",IF($F12="Aylık",EOMONTH($D12,0),($D12+MOD(SISTEM!$F$8-WEEKDAY($D12,2),7))))</f>
        <v>46053</v>
      </c>
      <c r="P12" s="61"/>
      <c r="Q12" s="2"/>
      <c r="R12" s="2"/>
      <c r="S12" s="1" t="str">
        <f>IF($B12="","",$B12&amp;"|"&amp;COUNTIFS($B$7:$B12,$B12))</f>
        <v>M021|1</v>
      </c>
      <c r="T12" s="1" t="str">
        <f t="shared" si="6"/>
        <v>ARONTOPTANLTDSTI</v>
      </c>
      <c r="U12" s="71">
        <f t="shared" si="7"/>
        <v>46053</v>
      </c>
      <c r="V12" s="1">
        <f t="shared" si="8"/>
        <v>2958465</v>
      </c>
      <c r="W12" s="1">
        <f t="shared" si="9"/>
        <v>2</v>
      </c>
      <c r="X12" s="1">
        <f t="shared" si="10"/>
        <v>1513</v>
      </c>
      <c r="Y12" s="1">
        <f t="shared" si="11"/>
        <v>97200</v>
      </c>
      <c r="Z12" s="1">
        <f t="shared" si="12"/>
        <v>1</v>
      </c>
      <c r="AA12" s="1">
        <f t="shared" si="13"/>
        <v>1</v>
      </c>
    </row>
    <row r="13" spans="1:27" ht="18" customHeight="1" x14ac:dyDescent="0.3">
      <c r="A13" s="2"/>
      <c r="B13" s="65" t="str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>M025</v>
      </c>
      <c r="C13" s="61" t="s">
        <v>583</v>
      </c>
      <c r="D13" s="66">
        <v>46023</v>
      </c>
      <c r="E13" s="66"/>
      <c r="F13" s="60" t="s">
        <v>701</v>
      </c>
      <c r="G13" s="67">
        <v>2000</v>
      </c>
      <c r="H13" s="60" t="s">
        <v>571</v>
      </c>
      <c r="I13" s="68">
        <f t="shared" ca="1" si="0"/>
        <v>68000</v>
      </c>
      <c r="J13" s="68">
        <f t="shared" ca="1" si="1"/>
        <v>66000</v>
      </c>
      <c r="K13" s="68">
        <f t="shared" ca="1" si="2"/>
        <v>64000</v>
      </c>
      <c r="L13" s="68">
        <f t="shared" ca="1" si="3"/>
        <v>60000</v>
      </c>
      <c r="M13" s="69">
        <f t="shared" ca="1" si="4"/>
        <v>34</v>
      </c>
      <c r="N13" s="65" t="str">
        <f t="shared" si="5"/>
        <v>UYGUN</v>
      </c>
      <c r="O13" s="70">
        <f>IF(OR($C13="",$D13="",$F13=""),"",IF($F13="Aylık",EOMONTH($D13,0),($D13+MOD(SISTEM!$F$8-WEEKDAY($D13,2),7))))</f>
        <v>46025</v>
      </c>
      <c r="P13" s="61"/>
      <c r="Q13" s="2"/>
      <c r="R13" s="2"/>
      <c r="S13" s="1" t="str">
        <f>IF($B13="","",$B13&amp;"|"&amp;COUNTIFS($B$7:$B13,$B13))</f>
        <v>M025|1</v>
      </c>
      <c r="T13" s="1" t="str">
        <f t="shared" si="6"/>
        <v>ASIMACIKGOZ</v>
      </c>
      <c r="U13" s="71">
        <f t="shared" si="7"/>
        <v>46025</v>
      </c>
      <c r="V13" s="1">
        <f t="shared" si="8"/>
        <v>2958465</v>
      </c>
      <c r="W13" s="1">
        <f t="shared" si="9"/>
        <v>1</v>
      </c>
      <c r="X13" s="1">
        <f t="shared" si="10"/>
        <v>1513</v>
      </c>
      <c r="Y13" s="1">
        <f t="shared" si="11"/>
        <v>97200</v>
      </c>
      <c r="Z13" s="1">
        <f t="shared" si="12"/>
        <v>1</v>
      </c>
      <c r="AA13" s="1">
        <f t="shared" si="13"/>
        <v>1</v>
      </c>
    </row>
    <row r="14" spans="1:27" ht="18" customHeight="1" x14ac:dyDescent="0.3">
      <c r="A14" s="2"/>
      <c r="B14" s="65" t="str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>M017</v>
      </c>
      <c r="C14" s="61" t="s">
        <v>585</v>
      </c>
      <c r="D14" s="66">
        <v>46023</v>
      </c>
      <c r="E14" s="66"/>
      <c r="F14" s="60" t="s">
        <v>701</v>
      </c>
      <c r="G14" s="67">
        <v>2500</v>
      </c>
      <c r="H14" s="60" t="s">
        <v>571</v>
      </c>
      <c r="I14" s="68">
        <f t="shared" ca="1" si="0"/>
        <v>85000</v>
      </c>
      <c r="J14" s="68">
        <f t="shared" ca="1" si="1"/>
        <v>82500</v>
      </c>
      <c r="K14" s="68">
        <f t="shared" ca="1" si="2"/>
        <v>80000</v>
      </c>
      <c r="L14" s="68">
        <f t="shared" ca="1" si="3"/>
        <v>75000</v>
      </c>
      <c r="M14" s="69">
        <f t="shared" ca="1" si="4"/>
        <v>34</v>
      </c>
      <c r="N14" s="65" t="str">
        <f t="shared" si="5"/>
        <v>UYGUN</v>
      </c>
      <c r="O14" s="70">
        <f>IF(OR($C14="",$D14="",$F14=""),"",IF($F14="Aylık",EOMONTH($D14,0),($D14+MOD(SISTEM!$F$8-WEEKDAY($D14,2),7))))</f>
        <v>46025</v>
      </c>
      <c r="P14" s="61"/>
      <c r="Q14" s="2"/>
      <c r="R14" s="2"/>
      <c r="S14" s="1" t="str">
        <f>IF($B14="","",$B14&amp;"|"&amp;COUNTIFS($B$7:$B14,$B14))</f>
        <v>M017|1</v>
      </c>
      <c r="T14" s="1" t="str">
        <f t="shared" si="6"/>
        <v>ASMEGLENCELTDSTI</v>
      </c>
      <c r="U14" s="71">
        <f t="shared" si="7"/>
        <v>46025</v>
      </c>
      <c r="V14" s="1">
        <f t="shared" si="8"/>
        <v>2958465</v>
      </c>
      <c r="W14" s="1">
        <f t="shared" si="9"/>
        <v>1</v>
      </c>
      <c r="X14" s="1">
        <f t="shared" si="10"/>
        <v>1513</v>
      </c>
      <c r="Y14" s="1">
        <f t="shared" si="11"/>
        <v>97200</v>
      </c>
      <c r="Z14" s="1">
        <f t="shared" si="12"/>
        <v>1</v>
      </c>
      <c r="AA14" s="1">
        <f t="shared" si="13"/>
        <v>1</v>
      </c>
    </row>
    <row r="15" spans="1:27" ht="18" customHeight="1" x14ac:dyDescent="0.3">
      <c r="A15" s="2"/>
      <c r="B15" s="65" t="str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>M026</v>
      </c>
      <c r="C15" s="61" t="s">
        <v>587</v>
      </c>
      <c r="D15" s="66">
        <v>46023</v>
      </c>
      <c r="E15" s="66"/>
      <c r="F15" s="60" t="s">
        <v>700</v>
      </c>
      <c r="G15" s="67">
        <v>7500</v>
      </c>
      <c r="H15" s="60" t="s">
        <v>571</v>
      </c>
      <c r="I15" s="68">
        <f t="shared" ca="1" si="0"/>
        <v>52500</v>
      </c>
      <c r="J15" s="68">
        <f t="shared" ca="1" si="1"/>
        <v>52500</v>
      </c>
      <c r="K15" s="68">
        <f t="shared" ca="1" si="2"/>
        <v>52500</v>
      </c>
      <c r="L15" s="68">
        <f t="shared" ca="1" si="3"/>
        <v>45000</v>
      </c>
      <c r="M15" s="69">
        <f t="shared" ca="1" si="4"/>
        <v>7</v>
      </c>
      <c r="N15" s="65" t="str">
        <f t="shared" si="5"/>
        <v>UYGUN</v>
      </c>
      <c r="O15" s="70">
        <f>IF(OR($C15="",$D15="",$F15=""),"",IF($F15="Aylık",EOMONTH($D15,0),($D15+MOD(SISTEM!$F$8-WEEKDAY($D15,2),7))))</f>
        <v>46053</v>
      </c>
      <c r="P15" s="61"/>
      <c r="Q15" s="2"/>
      <c r="R15" s="2"/>
      <c r="S15" s="1" t="str">
        <f>IF($B15="","",$B15&amp;"|"&amp;COUNTIFS($B$7:$B15,$B15))</f>
        <v>M026|1</v>
      </c>
      <c r="T15" s="1" t="str">
        <f t="shared" si="6"/>
        <v>AYDESLTDSTI</v>
      </c>
      <c r="U15" s="71">
        <f t="shared" si="7"/>
        <v>46053</v>
      </c>
      <c r="V15" s="1">
        <f t="shared" si="8"/>
        <v>2958465</v>
      </c>
      <c r="W15" s="1">
        <f t="shared" si="9"/>
        <v>2</v>
      </c>
      <c r="X15" s="1">
        <f t="shared" si="10"/>
        <v>1513</v>
      </c>
      <c r="Y15" s="1">
        <f t="shared" si="11"/>
        <v>97200</v>
      </c>
      <c r="Z15" s="1">
        <f t="shared" si="12"/>
        <v>1</v>
      </c>
      <c r="AA15" s="1">
        <f t="shared" si="13"/>
        <v>1</v>
      </c>
    </row>
    <row r="16" spans="1:27" ht="18" customHeight="1" x14ac:dyDescent="0.3">
      <c r="A16" s="2"/>
      <c r="B16" s="65" t="str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>M027</v>
      </c>
      <c r="C16" s="61" t="s">
        <v>591</v>
      </c>
      <c r="D16" s="66">
        <v>46023</v>
      </c>
      <c r="E16" s="66"/>
      <c r="F16" s="60" t="s">
        <v>700</v>
      </c>
      <c r="G16" s="67">
        <v>4000</v>
      </c>
      <c r="H16" s="60" t="s">
        <v>571</v>
      </c>
      <c r="I16" s="68">
        <f t="shared" ca="1" si="0"/>
        <v>28000</v>
      </c>
      <c r="J16" s="68">
        <f t="shared" ca="1" si="1"/>
        <v>28000</v>
      </c>
      <c r="K16" s="68">
        <f t="shared" ca="1" si="2"/>
        <v>28000</v>
      </c>
      <c r="L16" s="68">
        <f t="shared" ca="1" si="3"/>
        <v>24000</v>
      </c>
      <c r="M16" s="69">
        <f t="shared" ca="1" si="4"/>
        <v>7</v>
      </c>
      <c r="N16" s="65" t="str">
        <f t="shared" si="5"/>
        <v>UYGUN</v>
      </c>
      <c r="O16" s="70">
        <f>IF(OR($C16="",$D16="",$F16=""),"",IF($F16="Aylık",EOMONTH($D16,0),($D16+MOD(SISTEM!$F$8-WEEKDAY($D16,2),7))))</f>
        <v>46053</v>
      </c>
      <c r="P16" s="61"/>
      <c r="Q16" s="2"/>
      <c r="R16" s="2"/>
      <c r="S16" s="1" t="str">
        <f>IF($B16="","",$B16&amp;"|"&amp;COUNTIFS($B$7:$B16,$B16))</f>
        <v>M027|1</v>
      </c>
      <c r="T16" s="1" t="str">
        <f t="shared" si="6"/>
        <v>CERENDEMIRCI</v>
      </c>
      <c r="U16" s="71">
        <f t="shared" si="7"/>
        <v>46053</v>
      </c>
      <c r="V16" s="1">
        <f t="shared" si="8"/>
        <v>2958465</v>
      </c>
      <c r="W16" s="1">
        <f t="shared" si="9"/>
        <v>2</v>
      </c>
      <c r="X16" s="1">
        <f t="shared" si="10"/>
        <v>1513</v>
      </c>
      <c r="Y16" s="1">
        <f t="shared" si="11"/>
        <v>97200</v>
      </c>
      <c r="Z16" s="1">
        <f t="shared" si="12"/>
        <v>1</v>
      </c>
      <c r="AA16" s="1">
        <f t="shared" si="13"/>
        <v>1</v>
      </c>
    </row>
    <row r="17" spans="1:27" ht="18" customHeight="1" x14ac:dyDescent="0.3">
      <c r="A17" s="2"/>
      <c r="B17" s="65" t="str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>M015</v>
      </c>
      <c r="C17" s="61" t="s">
        <v>589</v>
      </c>
      <c r="D17" s="66">
        <v>46023</v>
      </c>
      <c r="E17" s="66"/>
      <c r="F17" s="60" t="s">
        <v>701</v>
      </c>
      <c r="G17" s="67">
        <v>3000</v>
      </c>
      <c r="H17" s="60" t="s">
        <v>571</v>
      </c>
      <c r="I17" s="68">
        <f t="shared" ca="1" si="0"/>
        <v>102000</v>
      </c>
      <c r="J17" s="68">
        <f t="shared" ca="1" si="1"/>
        <v>99000</v>
      </c>
      <c r="K17" s="68">
        <f t="shared" ca="1" si="2"/>
        <v>96000</v>
      </c>
      <c r="L17" s="68">
        <f t="shared" ca="1" si="3"/>
        <v>90000</v>
      </c>
      <c r="M17" s="69">
        <f t="shared" ca="1" si="4"/>
        <v>34</v>
      </c>
      <c r="N17" s="65" t="str">
        <f t="shared" si="5"/>
        <v>UYGUN</v>
      </c>
      <c r="O17" s="70">
        <f>IF(OR($C17="",$D17="",$F17=""),"",IF($F17="Aylık",EOMONTH($D17,0),($D17+MOD(SISTEM!$F$8-WEEKDAY($D17,2),7))))</f>
        <v>46025</v>
      </c>
      <c r="P17" s="61"/>
      <c r="Q17" s="2"/>
      <c r="R17" s="2"/>
      <c r="S17" s="1" t="str">
        <f>IF($B17="","",$B17&amp;"|"&amp;COUNTIFS($B$7:$B17,$B17))</f>
        <v>M015|1</v>
      </c>
      <c r="T17" s="1" t="str">
        <f t="shared" si="6"/>
        <v>CAYIRALANLTDSTI</v>
      </c>
      <c r="U17" s="71">
        <f t="shared" si="7"/>
        <v>46025</v>
      </c>
      <c r="V17" s="1">
        <f t="shared" si="8"/>
        <v>2958465</v>
      </c>
      <c r="W17" s="1">
        <f t="shared" si="9"/>
        <v>1</v>
      </c>
      <c r="X17" s="1">
        <f t="shared" si="10"/>
        <v>1513</v>
      </c>
      <c r="Y17" s="1">
        <f t="shared" si="11"/>
        <v>97200</v>
      </c>
      <c r="Z17" s="1">
        <f t="shared" si="12"/>
        <v>1</v>
      </c>
      <c r="AA17" s="1">
        <f t="shared" si="13"/>
        <v>1</v>
      </c>
    </row>
    <row r="18" spans="1:27" ht="18" customHeight="1" x14ac:dyDescent="0.3">
      <c r="A18" s="2"/>
      <c r="B18" s="65" t="str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>M018</v>
      </c>
      <c r="C18" s="61" t="s">
        <v>593</v>
      </c>
      <c r="D18" s="66">
        <v>46023</v>
      </c>
      <c r="E18" s="66">
        <v>46248</v>
      </c>
      <c r="F18" s="60" t="s">
        <v>701</v>
      </c>
      <c r="G18" s="67">
        <v>2500</v>
      </c>
      <c r="H18" s="60" t="s">
        <v>638</v>
      </c>
      <c r="I18" s="68">
        <f t="shared" ca="1" si="0"/>
        <v>80000</v>
      </c>
      <c r="J18" s="68">
        <f t="shared" ca="1" si="1"/>
        <v>80000</v>
      </c>
      <c r="K18" s="68">
        <f t="shared" ca="1" si="2"/>
        <v>80000</v>
      </c>
      <c r="L18" s="68">
        <f t="shared" ca="1" si="3"/>
        <v>75000</v>
      </c>
      <c r="M18" s="69">
        <f t="shared" ca="1" si="4"/>
        <v>32</v>
      </c>
      <c r="N18" s="65" t="str">
        <f t="shared" si="5"/>
        <v>KAPALI DÖNEM</v>
      </c>
      <c r="O18" s="70">
        <f>IF(OR($C18="",$D18="",$F18=""),"",IF($F18="Aylık",EOMONTH($D18,0),($D18+MOD(SISTEM!$F$8-WEEKDAY($D18,2),7))))</f>
        <v>46025</v>
      </c>
      <c r="P18" s="61"/>
      <c r="Q18" s="2"/>
      <c r="R18" s="2"/>
      <c r="S18" s="1" t="str">
        <f>IF($B18="","",$B18&amp;"|"&amp;COUNTIFS($B$7:$B18,$B18))</f>
        <v>M018|1</v>
      </c>
      <c r="T18" s="1" t="str">
        <f t="shared" si="6"/>
        <v>CINARHANLTDSTI</v>
      </c>
      <c r="U18" s="71">
        <f t="shared" si="7"/>
        <v>46025</v>
      </c>
      <c r="V18" s="71">
        <f t="shared" si="8"/>
        <v>46248</v>
      </c>
      <c r="W18" s="1">
        <f t="shared" si="9"/>
        <v>1</v>
      </c>
      <c r="X18" s="1">
        <f t="shared" si="10"/>
        <v>1513</v>
      </c>
      <c r="Y18" s="1">
        <f t="shared" si="11"/>
        <v>1520</v>
      </c>
      <c r="Z18" s="1">
        <f t="shared" si="12"/>
        <v>0</v>
      </c>
      <c r="AA18" s="1">
        <f t="shared" si="13"/>
        <v>0</v>
      </c>
    </row>
    <row r="19" spans="1:27" ht="18" customHeight="1" x14ac:dyDescent="0.3">
      <c r="A19" s="2"/>
      <c r="B19" s="65" t="str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>M028</v>
      </c>
      <c r="C19" s="61" t="s">
        <v>595</v>
      </c>
      <c r="D19" s="66">
        <v>46023</v>
      </c>
      <c r="E19" s="66"/>
      <c r="F19" s="60" t="s">
        <v>700</v>
      </c>
      <c r="G19" s="67">
        <v>10000</v>
      </c>
      <c r="H19" s="60" t="s">
        <v>571</v>
      </c>
      <c r="I19" s="68">
        <f t="shared" ca="1" si="0"/>
        <v>70000</v>
      </c>
      <c r="J19" s="68">
        <f t="shared" ca="1" si="1"/>
        <v>70000</v>
      </c>
      <c r="K19" s="68">
        <f t="shared" ca="1" si="2"/>
        <v>70000</v>
      </c>
      <c r="L19" s="68">
        <f t="shared" ca="1" si="3"/>
        <v>60000</v>
      </c>
      <c r="M19" s="69">
        <f t="shared" ca="1" si="4"/>
        <v>7</v>
      </c>
      <c r="N19" s="65" t="str">
        <f t="shared" si="5"/>
        <v>UYGUN</v>
      </c>
      <c r="O19" s="70">
        <f>IF(OR($C19="",$D19="",$F19=""),"",IF($F19="Aylık",EOMONTH($D19,0),($D19+MOD(SISTEM!$F$8-WEEKDAY($D19,2),7))))</f>
        <v>46053</v>
      </c>
      <c r="P19" s="61"/>
      <c r="Q19" s="2"/>
      <c r="R19" s="2"/>
      <c r="S19" s="1" t="str">
        <f>IF($B19="","",$B19&amp;"|"&amp;COUNTIFS($B$7:$B19,$B19))</f>
        <v>M028|1</v>
      </c>
      <c r="T19" s="1" t="str">
        <f t="shared" si="6"/>
        <v>DERVISHANLTDSTI</v>
      </c>
      <c r="U19" s="71">
        <f t="shared" si="7"/>
        <v>46053</v>
      </c>
      <c r="V19" s="1">
        <f t="shared" si="8"/>
        <v>2958465</v>
      </c>
      <c r="W19" s="1">
        <f t="shared" si="9"/>
        <v>2</v>
      </c>
      <c r="X19" s="1">
        <f t="shared" si="10"/>
        <v>1513</v>
      </c>
      <c r="Y19" s="1">
        <f t="shared" si="11"/>
        <v>97200</v>
      </c>
      <c r="Z19" s="1">
        <f t="shared" si="12"/>
        <v>1</v>
      </c>
      <c r="AA19" s="1">
        <f t="shared" si="13"/>
        <v>1</v>
      </c>
    </row>
    <row r="20" spans="1:27" ht="18" customHeight="1" x14ac:dyDescent="0.3">
      <c r="A20" s="2"/>
      <c r="B20" s="65" t="str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>M011</v>
      </c>
      <c r="C20" s="61" t="s">
        <v>597</v>
      </c>
      <c r="D20" s="66">
        <v>46039</v>
      </c>
      <c r="E20" s="66">
        <v>46109</v>
      </c>
      <c r="F20" s="60" t="s">
        <v>701</v>
      </c>
      <c r="G20" s="67">
        <v>3000</v>
      </c>
      <c r="H20" s="60" t="s">
        <v>638</v>
      </c>
      <c r="I20" s="68">
        <f t="shared" ca="1" si="0"/>
        <v>33000</v>
      </c>
      <c r="J20" s="68">
        <f t="shared" ca="1" si="1"/>
        <v>33000</v>
      </c>
      <c r="K20" s="68">
        <f t="shared" ca="1" si="2"/>
        <v>33000</v>
      </c>
      <c r="L20" s="68">
        <f t="shared" ca="1" si="3"/>
        <v>33000</v>
      </c>
      <c r="M20" s="69">
        <f t="shared" ca="1" si="4"/>
        <v>11</v>
      </c>
      <c r="N20" s="65" t="str">
        <f t="shared" si="5"/>
        <v>KAPALI DÖNEM</v>
      </c>
      <c r="O20" s="70">
        <f>IF(OR($C20="",$D20="",$F20=""),"",IF($F20="Aylık",EOMONTH($D20,0),($D20+MOD(SISTEM!$F$8-WEEKDAY($D20,2),7))))</f>
        <v>46039</v>
      </c>
      <c r="P20" s="61"/>
      <c r="Q20" s="2"/>
      <c r="R20" s="2"/>
      <c r="S20" s="1" t="str">
        <f>IF($B20="","",$B20&amp;"|"&amp;COUNTIFS($B$7:$B20,$B20))</f>
        <v>M011|1</v>
      </c>
      <c r="T20" s="1" t="str">
        <f t="shared" si="6"/>
        <v>EGLENGORLTDSTI</v>
      </c>
      <c r="U20" s="71">
        <f t="shared" si="7"/>
        <v>46039</v>
      </c>
      <c r="V20" s="71">
        <f t="shared" si="8"/>
        <v>46109</v>
      </c>
      <c r="W20" s="1">
        <f t="shared" si="9"/>
        <v>1</v>
      </c>
      <c r="X20" s="1">
        <f t="shared" si="10"/>
        <v>1513</v>
      </c>
      <c r="Y20" s="1">
        <f t="shared" si="11"/>
        <v>1515</v>
      </c>
      <c r="Z20" s="1">
        <f t="shared" si="12"/>
        <v>0</v>
      </c>
      <c r="AA20" s="1">
        <f t="shared" si="13"/>
        <v>0</v>
      </c>
    </row>
    <row r="21" spans="1:27" ht="18" customHeight="1" x14ac:dyDescent="0.3">
      <c r="A21" s="2"/>
      <c r="B21" s="65" t="str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>M029</v>
      </c>
      <c r="C21" s="61" t="s">
        <v>599</v>
      </c>
      <c r="D21" s="66">
        <v>46023</v>
      </c>
      <c r="E21" s="66"/>
      <c r="F21" s="60" t="s">
        <v>700</v>
      </c>
      <c r="G21" s="67">
        <v>2000</v>
      </c>
      <c r="H21" s="60" t="s">
        <v>571</v>
      </c>
      <c r="I21" s="68">
        <f t="shared" ca="1" si="0"/>
        <v>14000</v>
      </c>
      <c r="J21" s="68">
        <f t="shared" ca="1" si="1"/>
        <v>14000</v>
      </c>
      <c r="K21" s="68">
        <f t="shared" ca="1" si="2"/>
        <v>14000</v>
      </c>
      <c r="L21" s="68">
        <f t="shared" ca="1" si="3"/>
        <v>12000</v>
      </c>
      <c r="M21" s="69">
        <f t="shared" ca="1" si="4"/>
        <v>7</v>
      </c>
      <c r="N21" s="65" t="str">
        <f t="shared" si="5"/>
        <v>UYGUN</v>
      </c>
      <c r="O21" s="70">
        <f>IF(OR($C21="",$D21="",$F21=""),"",IF($F21="Aylık",EOMONTH($D21,0),($D21+MOD(SISTEM!$F$8-WEEKDAY($D21,2),7))))</f>
        <v>46053</v>
      </c>
      <c r="P21" s="61"/>
      <c r="Q21" s="2"/>
      <c r="R21" s="2"/>
      <c r="S21" s="1" t="str">
        <f>IF($B21="","",$B21&amp;"|"&amp;COUNTIFS($B$7:$B21,$B21))</f>
        <v>M029|1</v>
      </c>
      <c r="T21" s="1" t="str">
        <f t="shared" si="6"/>
        <v>EMRAHSAVURKAN</v>
      </c>
      <c r="U21" s="71">
        <f t="shared" si="7"/>
        <v>46053</v>
      </c>
      <c r="V21" s="1">
        <f t="shared" si="8"/>
        <v>2958465</v>
      </c>
      <c r="W21" s="1">
        <f t="shared" si="9"/>
        <v>2</v>
      </c>
      <c r="X21" s="1">
        <f t="shared" si="10"/>
        <v>1513</v>
      </c>
      <c r="Y21" s="1">
        <f t="shared" si="11"/>
        <v>97200</v>
      </c>
      <c r="Z21" s="1">
        <f t="shared" si="12"/>
        <v>1</v>
      </c>
      <c r="AA21" s="1">
        <f t="shared" si="13"/>
        <v>1</v>
      </c>
    </row>
    <row r="22" spans="1:27" ht="18" customHeight="1" x14ac:dyDescent="0.3">
      <c r="A22" s="2"/>
      <c r="B22" s="65" t="str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>M002</v>
      </c>
      <c r="C22" s="61" t="s">
        <v>601</v>
      </c>
      <c r="D22" s="66">
        <v>46023</v>
      </c>
      <c r="E22" s="66"/>
      <c r="F22" s="60" t="s">
        <v>701</v>
      </c>
      <c r="G22" s="67">
        <v>3500</v>
      </c>
      <c r="H22" s="60" t="s">
        <v>571</v>
      </c>
      <c r="I22" s="68">
        <f t="shared" ca="1" si="0"/>
        <v>119000</v>
      </c>
      <c r="J22" s="68">
        <f t="shared" ca="1" si="1"/>
        <v>115500</v>
      </c>
      <c r="K22" s="68">
        <f t="shared" ca="1" si="2"/>
        <v>112000</v>
      </c>
      <c r="L22" s="68">
        <f t="shared" ca="1" si="3"/>
        <v>105000</v>
      </c>
      <c r="M22" s="69">
        <f t="shared" ca="1" si="4"/>
        <v>34</v>
      </c>
      <c r="N22" s="65" t="str">
        <f t="shared" si="5"/>
        <v>UYGUN</v>
      </c>
      <c r="O22" s="70">
        <f>IF(OR($C22="",$D22="",$F22=""),"",IF($F22="Aylık",EOMONTH($D22,0),($D22+MOD(SISTEM!$F$8-WEEKDAY($D22,2),7))))</f>
        <v>46025</v>
      </c>
      <c r="P22" s="61"/>
      <c r="Q22" s="2"/>
      <c r="R22" s="2"/>
      <c r="S22" s="1" t="str">
        <f>IF($B22="","",$B22&amp;"|"&amp;COUNTIFS($B$7:$B22,$B22))</f>
        <v>M002|1</v>
      </c>
      <c r="T22" s="1" t="str">
        <f t="shared" si="6"/>
        <v>ESERLILTDSTI</v>
      </c>
      <c r="U22" s="71">
        <f t="shared" si="7"/>
        <v>46025</v>
      </c>
      <c r="V22" s="1">
        <f t="shared" si="8"/>
        <v>2958465</v>
      </c>
      <c r="W22" s="1">
        <f t="shared" si="9"/>
        <v>1</v>
      </c>
      <c r="X22" s="1">
        <f t="shared" si="10"/>
        <v>1513</v>
      </c>
      <c r="Y22" s="1">
        <f t="shared" si="11"/>
        <v>97200</v>
      </c>
      <c r="Z22" s="1">
        <f t="shared" si="12"/>
        <v>1</v>
      </c>
      <c r="AA22" s="1">
        <f t="shared" si="13"/>
        <v>1</v>
      </c>
    </row>
    <row r="23" spans="1:27" ht="18" customHeight="1" x14ac:dyDescent="0.3">
      <c r="A23" s="2"/>
      <c r="B23" s="65" t="str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>M030</v>
      </c>
      <c r="C23" s="61" t="s">
        <v>603</v>
      </c>
      <c r="D23" s="66">
        <v>46023</v>
      </c>
      <c r="E23" s="66"/>
      <c r="F23" s="60" t="s">
        <v>700</v>
      </c>
      <c r="G23" s="67">
        <v>2000</v>
      </c>
      <c r="H23" s="60" t="s">
        <v>571</v>
      </c>
      <c r="I23" s="68">
        <f t="shared" ca="1" si="0"/>
        <v>14000</v>
      </c>
      <c r="J23" s="68">
        <f t="shared" ca="1" si="1"/>
        <v>14000</v>
      </c>
      <c r="K23" s="68">
        <f t="shared" ca="1" si="2"/>
        <v>14000</v>
      </c>
      <c r="L23" s="68">
        <f t="shared" ca="1" si="3"/>
        <v>12000</v>
      </c>
      <c r="M23" s="69">
        <f t="shared" ca="1" si="4"/>
        <v>7</v>
      </c>
      <c r="N23" s="65" t="str">
        <f t="shared" si="5"/>
        <v>UYGUN</v>
      </c>
      <c r="O23" s="70">
        <f>IF(OR($C23="",$D23="",$F23=""),"",IF($F23="Aylık",EOMONTH($D23,0),($D23+MOD(SISTEM!$F$8-WEEKDAY($D23,2),7))))</f>
        <v>46053</v>
      </c>
      <c r="P23" s="61"/>
      <c r="Q23" s="2"/>
      <c r="R23" s="2"/>
      <c r="S23" s="1" t="str">
        <f>IF($B23="","",$B23&amp;"|"&amp;COUNTIFS($B$7:$B23,$B23))</f>
        <v>M030|1</v>
      </c>
      <c r="T23" s="1" t="str">
        <f t="shared" si="6"/>
        <v>FARUKDEMIRCI</v>
      </c>
      <c r="U23" s="71">
        <f t="shared" si="7"/>
        <v>46053</v>
      </c>
      <c r="V23" s="1">
        <f t="shared" si="8"/>
        <v>2958465</v>
      </c>
      <c r="W23" s="1">
        <f t="shared" si="9"/>
        <v>2</v>
      </c>
      <c r="X23" s="1">
        <f t="shared" si="10"/>
        <v>1513</v>
      </c>
      <c r="Y23" s="1">
        <f t="shared" si="11"/>
        <v>97200</v>
      </c>
      <c r="Z23" s="1">
        <f t="shared" si="12"/>
        <v>1</v>
      </c>
      <c r="AA23" s="1">
        <f t="shared" si="13"/>
        <v>1</v>
      </c>
    </row>
    <row r="24" spans="1:27" ht="18" customHeight="1" x14ac:dyDescent="0.3">
      <c r="A24" s="2"/>
      <c r="B24" s="65" t="str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>M014</v>
      </c>
      <c r="C24" s="61" t="s">
        <v>605</v>
      </c>
      <c r="D24" s="66">
        <v>46023</v>
      </c>
      <c r="E24" s="66">
        <v>46115</v>
      </c>
      <c r="F24" s="60" t="s">
        <v>701</v>
      </c>
      <c r="G24" s="67">
        <v>2000</v>
      </c>
      <c r="H24" s="60" t="s">
        <v>638</v>
      </c>
      <c r="I24" s="68">
        <f t="shared" ca="1" si="0"/>
        <v>26000</v>
      </c>
      <c r="J24" s="68">
        <f t="shared" ca="1" si="1"/>
        <v>26000</v>
      </c>
      <c r="K24" s="68">
        <f t="shared" ca="1" si="2"/>
        <v>26000</v>
      </c>
      <c r="L24" s="68">
        <f t="shared" ca="1" si="3"/>
        <v>26000</v>
      </c>
      <c r="M24" s="69">
        <f t="shared" ca="1" si="4"/>
        <v>13</v>
      </c>
      <c r="N24" s="65" t="str">
        <f t="shared" si="5"/>
        <v>KAPALI DÖNEM</v>
      </c>
      <c r="O24" s="70">
        <f>IF(OR($C24="",$D24="",$F24=""),"",IF($F24="Aylık",EOMONTH($D24,0),($D24+MOD(SISTEM!$F$8-WEEKDAY($D24,2),7))))</f>
        <v>46025</v>
      </c>
      <c r="P24" s="61"/>
      <c r="Q24" s="2"/>
      <c r="R24" s="2"/>
      <c r="S24" s="1" t="str">
        <f>IF($B24="","",$B24&amp;"|"&amp;COUNTIFS($B$7:$B24,$B24))</f>
        <v>M014|1</v>
      </c>
      <c r="T24" s="1" t="str">
        <f t="shared" si="6"/>
        <v>FINALSIYAHBEYAZLTDSTI</v>
      </c>
      <c r="U24" s="71">
        <f t="shared" si="7"/>
        <v>46025</v>
      </c>
      <c r="V24" s="71">
        <f t="shared" si="8"/>
        <v>46115</v>
      </c>
      <c r="W24" s="1">
        <f t="shared" si="9"/>
        <v>1</v>
      </c>
      <c r="X24" s="1">
        <f t="shared" si="10"/>
        <v>1513</v>
      </c>
      <c r="Y24" s="1">
        <f t="shared" si="11"/>
        <v>1516</v>
      </c>
      <c r="Z24" s="1">
        <f t="shared" si="12"/>
        <v>0</v>
      </c>
      <c r="AA24" s="1">
        <f t="shared" si="13"/>
        <v>0</v>
      </c>
    </row>
    <row r="25" spans="1:27" ht="18" customHeight="1" x14ac:dyDescent="0.3">
      <c r="A25" s="2"/>
      <c r="B25" s="65" t="str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>M031</v>
      </c>
      <c r="C25" s="61" t="s">
        <v>607</v>
      </c>
      <c r="D25" s="66">
        <v>46023</v>
      </c>
      <c r="E25" s="66"/>
      <c r="F25" s="60" t="s">
        <v>700</v>
      </c>
      <c r="G25" s="67">
        <v>3000</v>
      </c>
      <c r="H25" s="60" t="s">
        <v>571</v>
      </c>
      <c r="I25" s="68">
        <f t="shared" ca="1" si="0"/>
        <v>21000</v>
      </c>
      <c r="J25" s="68">
        <f t="shared" ca="1" si="1"/>
        <v>21000</v>
      </c>
      <c r="K25" s="68">
        <f t="shared" ca="1" si="2"/>
        <v>21000</v>
      </c>
      <c r="L25" s="68">
        <f t="shared" ca="1" si="3"/>
        <v>18000</v>
      </c>
      <c r="M25" s="69">
        <f t="shared" ca="1" si="4"/>
        <v>7</v>
      </c>
      <c r="N25" s="65" t="str">
        <f t="shared" si="5"/>
        <v>UYGUN</v>
      </c>
      <c r="O25" s="70">
        <f>IF(OR($C25="",$D25="",$F25=""),"",IF($F25="Aylık",EOMONTH($D25,0),($D25+MOD(SISTEM!$F$8-WEEKDAY($D25,2),7))))</f>
        <v>46053</v>
      </c>
      <c r="P25" s="61"/>
      <c r="Q25" s="2"/>
      <c r="R25" s="2"/>
      <c r="S25" s="1" t="str">
        <f>IF($B25="","",$B25&amp;"|"&amp;COUNTIFS($B$7:$B25,$B25))</f>
        <v>M031|1</v>
      </c>
      <c r="T25" s="1" t="str">
        <f t="shared" si="6"/>
        <v>HALILAVSAR</v>
      </c>
      <c r="U25" s="71">
        <f t="shared" si="7"/>
        <v>46053</v>
      </c>
      <c r="V25" s="1">
        <f t="shared" si="8"/>
        <v>2958465</v>
      </c>
      <c r="W25" s="1">
        <f t="shared" si="9"/>
        <v>2</v>
      </c>
      <c r="X25" s="1">
        <f t="shared" si="10"/>
        <v>1513</v>
      </c>
      <c r="Y25" s="1">
        <f t="shared" si="11"/>
        <v>97200</v>
      </c>
      <c r="Z25" s="1">
        <f t="shared" si="12"/>
        <v>1</v>
      </c>
      <c r="AA25" s="1">
        <f t="shared" si="13"/>
        <v>1</v>
      </c>
    </row>
    <row r="26" spans="1:27" ht="18" customHeight="1" x14ac:dyDescent="0.3">
      <c r="A26" s="2"/>
      <c r="B26" s="65" t="str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>M032</v>
      </c>
      <c r="C26" s="61" t="s">
        <v>609</v>
      </c>
      <c r="D26" s="66">
        <v>46023</v>
      </c>
      <c r="E26" s="66"/>
      <c r="F26" s="60" t="s">
        <v>700</v>
      </c>
      <c r="G26" s="67">
        <v>1000</v>
      </c>
      <c r="H26" s="60" t="s">
        <v>571</v>
      </c>
      <c r="I26" s="68">
        <f t="shared" ca="1" si="0"/>
        <v>7000</v>
      </c>
      <c r="J26" s="68">
        <f t="shared" ca="1" si="1"/>
        <v>7000</v>
      </c>
      <c r="K26" s="68">
        <f t="shared" ca="1" si="2"/>
        <v>7000</v>
      </c>
      <c r="L26" s="68">
        <f t="shared" ca="1" si="3"/>
        <v>6000</v>
      </c>
      <c r="M26" s="69">
        <f t="shared" ca="1" si="4"/>
        <v>7</v>
      </c>
      <c r="N26" s="65" t="str">
        <f t="shared" si="5"/>
        <v>UYGUN</v>
      </c>
      <c r="O26" s="70">
        <f>IF(OR($C26="",$D26="",$F26=""),"",IF($F26="Aylık",EOMONTH($D26,0),($D26+MOD(SISTEM!$F$8-WEEKDAY($D26,2),7))))</f>
        <v>46053</v>
      </c>
      <c r="P26" s="61"/>
      <c r="Q26" s="2"/>
      <c r="R26" s="2"/>
      <c r="S26" s="1" t="str">
        <f>IF($B26="","",$B26&amp;"|"&amp;COUNTIFS($B$7:$B26,$B26))</f>
        <v>M032|1</v>
      </c>
      <c r="T26" s="1" t="str">
        <f t="shared" si="6"/>
        <v>HAYDARKAYA</v>
      </c>
      <c r="U26" s="71">
        <f t="shared" si="7"/>
        <v>46053</v>
      </c>
      <c r="V26" s="1">
        <f t="shared" si="8"/>
        <v>2958465</v>
      </c>
      <c r="W26" s="1">
        <f t="shared" si="9"/>
        <v>2</v>
      </c>
      <c r="X26" s="1">
        <f t="shared" si="10"/>
        <v>1513</v>
      </c>
      <c r="Y26" s="1">
        <f t="shared" si="11"/>
        <v>97200</v>
      </c>
      <c r="Z26" s="1">
        <f t="shared" si="12"/>
        <v>1</v>
      </c>
      <c r="AA26" s="1">
        <f t="shared" si="13"/>
        <v>1</v>
      </c>
    </row>
    <row r="27" spans="1:27" ht="18" customHeight="1" x14ac:dyDescent="0.3">
      <c r="A27" s="2"/>
      <c r="B27" s="65" t="str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>M033</v>
      </c>
      <c r="C27" s="61" t="s">
        <v>617</v>
      </c>
      <c r="D27" s="66">
        <v>46023</v>
      </c>
      <c r="E27" s="66"/>
      <c r="F27" s="60" t="s">
        <v>700</v>
      </c>
      <c r="G27" s="67">
        <v>7500</v>
      </c>
      <c r="H27" s="60" t="s">
        <v>571</v>
      </c>
      <c r="I27" s="68">
        <f t="shared" ca="1" si="0"/>
        <v>52500</v>
      </c>
      <c r="J27" s="68">
        <f t="shared" ca="1" si="1"/>
        <v>52500</v>
      </c>
      <c r="K27" s="68">
        <f t="shared" ca="1" si="2"/>
        <v>52500</v>
      </c>
      <c r="L27" s="68">
        <f t="shared" ca="1" si="3"/>
        <v>45000</v>
      </c>
      <c r="M27" s="69">
        <f t="shared" ca="1" si="4"/>
        <v>7</v>
      </c>
      <c r="N27" s="65" t="str">
        <f t="shared" si="5"/>
        <v>UYGUN</v>
      </c>
      <c r="O27" s="70">
        <f>IF(OR($C27="",$D27="",$F27=""),"",IF($F27="Aylık",EOMONTH($D27,0),($D27+MOD(SISTEM!$F$8-WEEKDAY($D27,2),7))))</f>
        <v>46053</v>
      </c>
      <c r="P27" s="61"/>
      <c r="Q27" s="2"/>
      <c r="R27" s="2"/>
      <c r="S27" s="1" t="str">
        <f>IF($B27="","",$B27&amp;"|"&amp;COUNTIFS($B$7:$B27,$B27))</f>
        <v>M033|1</v>
      </c>
      <c r="T27" s="1" t="str">
        <f t="shared" si="6"/>
        <v>ISILGRUPLTDSTI</v>
      </c>
      <c r="U27" s="71">
        <f t="shared" si="7"/>
        <v>46053</v>
      </c>
      <c r="V27" s="1">
        <f t="shared" si="8"/>
        <v>2958465</v>
      </c>
      <c r="W27" s="1">
        <f t="shared" si="9"/>
        <v>2</v>
      </c>
      <c r="X27" s="1">
        <f t="shared" si="10"/>
        <v>1513</v>
      </c>
      <c r="Y27" s="1">
        <f t="shared" si="11"/>
        <v>97200</v>
      </c>
      <c r="Z27" s="1">
        <f t="shared" si="12"/>
        <v>1</v>
      </c>
      <c r="AA27" s="1">
        <f t="shared" si="13"/>
        <v>1</v>
      </c>
    </row>
    <row r="28" spans="1:27" ht="18" customHeight="1" x14ac:dyDescent="0.3">
      <c r="A28" s="2"/>
      <c r="B28" s="65" t="str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>M034</v>
      </c>
      <c r="C28" s="61" t="s">
        <v>611</v>
      </c>
      <c r="D28" s="66">
        <v>46023</v>
      </c>
      <c r="E28" s="66">
        <v>46081</v>
      </c>
      <c r="F28" s="60" t="s">
        <v>701</v>
      </c>
      <c r="G28" s="67">
        <v>1500</v>
      </c>
      <c r="H28" s="60" t="s">
        <v>638</v>
      </c>
      <c r="I28" s="68">
        <f t="shared" ca="1" si="0"/>
        <v>13500</v>
      </c>
      <c r="J28" s="68">
        <f t="shared" ca="1" si="1"/>
        <v>13500</v>
      </c>
      <c r="K28" s="68">
        <f t="shared" ca="1" si="2"/>
        <v>13500</v>
      </c>
      <c r="L28" s="68">
        <f t="shared" ca="1" si="3"/>
        <v>13500</v>
      </c>
      <c r="M28" s="69">
        <f t="shared" ca="1" si="4"/>
        <v>9</v>
      </c>
      <c r="N28" s="65" t="str">
        <f t="shared" si="5"/>
        <v>KAPALI DÖNEM</v>
      </c>
      <c r="O28" s="70">
        <f>IF(OR($C28="",$D28="",$F28=""),"",IF($F28="Aylık",EOMONTH($D28,0),($D28+MOD(SISTEM!$F$8-WEEKDAY($D28,2),7))))</f>
        <v>46025</v>
      </c>
      <c r="P28" s="61"/>
      <c r="Q28" s="2"/>
      <c r="R28" s="2"/>
      <c r="S28" s="1" t="str">
        <f>IF($B28="","",$B28&amp;"|"&amp;COUNTIFS($B$7:$B28,$B28))</f>
        <v>M034|1</v>
      </c>
      <c r="T28" s="1" t="str">
        <f t="shared" si="6"/>
        <v>IBRAHIMMALDAN</v>
      </c>
      <c r="U28" s="71">
        <f t="shared" si="7"/>
        <v>46025</v>
      </c>
      <c r="V28" s="71">
        <f t="shared" si="8"/>
        <v>46081</v>
      </c>
      <c r="W28" s="1">
        <f t="shared" si="9"/>
        <v>1</v>
      </c>
      <c r="X28" s="1">
        <f t="shared" si="10"/>
        <v>1513</v>
      </c>
      <c r="Y28" s="1">
        <f t="shared" si="11"/>
        <v>1514</v>
      </c>
      <c r="Z28" s="1">
        <f t="shared" si="12"/>
        <v>1</v>
      </c>
      <c r="AA28" s="1">
        <f t="shared" si="13"/>
        <v>0</v>
      </c>
    </row>
    <row r="29" spans="1:27" ht="18" customHeight="1" x14ac:dyDescent="0.3">
      <c r="A29" s="2"/>
      <c r="B29" s="65" t="str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>M012</v>
      </c>
      <c r="C29" s="61" t="s">
        <v>613</v>
      </c>
      <c r="D29" s="66">
        <v>46023</v>
      </c>
      <c r="E29" s="66">
        <v>46112</v>
      </c>
      <c r="F29" s="60" t="s">
        <v>701</v>
      </c>
      <c r="G29" s="67">
        <v>2000</v>
      </c>
      <c r="H29" s="60" t="s">
        <v>638</v>
      </c>
      <c r="I29" s="68">
        <f t="shared" ca="1" si="0"/>
        <v>26000</v>
      </c>
      <c r="J29" s="68">
        <f t="shared" ca="1" si="1"/>
        <v>26000</v>
      </c>
      <c r="K29" s="68">
        <f t="shared" ca="1" si="2"/>
        <v>26000</v>
      </c>
      <c r="L29" s="68">
        <f t="shared" ca="1" si="3"/>
        <v>26000</v>
      </c>
      <c r="M29" s="69">
        <f t="shared" ca="1" si="4"/>
        <v>13</v>
      </c>
      <c r="N29" s="65" t="str">
        <f t="shared" si="5"/>
        <v>KAPALI DÖNEM</v>
      </c>
      <c r="O29" s="70">
        <f>IF(OR($C29="",$D29="",$F29=""),"",IF($F29="Aylık",EOMONTH($D29,0),($D29+MOD(SISTEM!$F$8-WEEKDAY($D29,2),7))))</f>
        <v>46025</v>
      </c>
      <c r="P29" s="61"/>
      <c r="Q29" s="2"/>
      <c r="R29" s="2"/>
      <c r="S29" s="1" t="str">
        <f>IF($B29="","",$B29&amp;"|"&amp;COUNTIFS($B$7:$B29,$B29))</f>
        <v>M012|1</v>
      </c>
      <c r="T29" s="1" t="str">
        <f t="shared" si="6"/>
        <v>ILDESLTDSTI</v>
      </c>
      <c r="U29" s="71">
        <f t="shared" si="7"/>
        <v>46025</v>
      </c>
      <c r="V29" s="71">
        <f t="shared" si="8"/>
        <v>46112</v>
      </c>
      <c r="W29" s="1">
        <f t="shared" si="9"/>
        <v>1</v>
      </c>
      <c r="X29" s="1">
        <f t="shared" si="10"/>
        <v>1513</v>
      </c>
      <c r="Y29" s="1">
        <f t="shared" si="11"/>
        <v>1515</v>
      </c>
      <c r="Z29" s="1">
        <f t="shared" si="12"/>
        <v>1</v>
      </c>
      <c r="AA29" s="1">
        <f t="shared" si="13"/>
        <v>0</v>
      </c>
    </row>
    <row r="30" spans="1:27" ht="18" customHeight="1" x14ac:dyDescent="0.3">
      <c r="A30" s="2"/>
      <c r="B30" s="65" t="str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>M035</v>
      </c>
      <c r="C30" s="61" t="s">
        <v>615</v>
      </c>
      <c r="D30" s="66">
        <v>46023</v>
      </c>
      <c r="E30" s="66"/>
      <c r="F30" s="60" t="s">
        <v>700</v>
      </c>
      <c r="G30" s="67">
        <v>3500</v>
      </c>
      <c r="H30" s="60" t="s">
        <v>571</v>
      </c>
      <c r="I30" s="68">
        <f t="shared" ca="1" si="0"/>
        <v>24500</v>
      </c>
      <c r="J30" s="68">
        <f t="shared" ca="1" si="1"/>
        <v>24500</v>
      </c>
      <c r="K30" s="68">
        <f t="shared" ca="1" si="2"/>
        <v>24500</v>
      </c>
      <c r="L30" s="68">
        <f t="shared" ca="1" si="3"/>
        <v>21000</v>
      </c>
      <c r="M30" s="69">
        <f t="shared" ca="1" si="4"/>
        <v>7</v>
      </c>
      <c r="N30" s="65" t="str">
        <f t="shared" si="5"/>
        <v>UYGUN</v>
      </c>
      <c r="O30" s="70">
        <f>IF(OR($C30="",$D30="",$F30=""),"",IF($F30="Aylık",EOMONTH($D30,0),($D30+MOD(SISTEM!$F$8-WEEKDAY($D30,2),7))))</f>
        <v>46053</v>
      </c>
      <c r="P30" s="61"/>
      <c r="Q30" s="2"/>
      <c r="R30" s="2"/>
      <c r="S30" s="1" t="str">
        <f>IF($B30="","",$B30&amp;"|"&amp;COUNTIFS($B$7:$B30,$B30))</f>
        <v>M035|1</v>
      </c>
      <c r="T30" s="1" t="str">
        <f t="shared" si="6"/>
        <v>ISADEMIRCI</v>
      </c>
      <c r="U30" s="71">
        <f t="shared" si="7"/>
        <v>46053</v>
      </c>
      <c r="V30" s="1">
        <f t="shared" si="8"/>
        <v>2958465</v>
      </c>
      <c r="W30" s="1">
        <f t="shared" si="9"/>
        <v>2</v>
      </c>
      <c r="X30" s="1">
        <f t="shared" si="10"/>
        <v>1513</v>
      </c>
      <c r="Y30" s="1">
        <f t="shared" si="11"/>
        <v>97200</v>
      </c>
      <c r="Z30" s="1">
        <f t="shared" si="12"/>
        <v>1</v>
      </c>
      <c r="AA30" s="1">
        <f t="shared" si="13"/>
        <v>1</v>
      </c>
    </row>
    <row r="31" spans="1:27" ht="18" customHeight="1" x14ac:dyDescent="0.3">
      <c r="A31" s="2"/>
      <c r="B31" s="65" t="str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>M036</v>
      </c>
      <c r="C31" s="61" t="s">
        <v>619</v>
      </c>
      <c r="D31" s="66">
        <v>46023</v>
      </c>
      <c r="E31" s="66"/>
      <c r="F31" s="60" t="s">
        <v>700</v>
      </c>
      <c r="G31" s="67">
        <v>4000</v>
      </c>
      <c r="H31" s="60" t="s">
        <v>571</v>
      </c>
      <c r="I31" s="68">
        <f t="shared" ca="1" si="0"/>
        <v>28000</v>
      </c>
      <c r="J31" s="68">
        <f t="shared" ca="1" si="1"/>
        <v>28000</v>
      </c>
      <c r="K31" s="68">
        <f t="shared" ca="1" si="2"/>
        <v>28000</v>
      </c>
      <c r="L31" s="68">
        <f t="shared" ca="1" si="3"/>
        <v>24000</v>
      </c>
      <c r="M31" s="69">
        <f t="shared" ca="1" si="4"/>
        <v>7</v>
      </c>
      <c r="N31" s="65" t="str">
        <f t="shared" si="5"/>
        <v>UYGUN</v>
      </c>
      <c r="O31" s="70">
        <f>IF(OR($C31="",$D31="",$F31=""),"",IF($F31="Aylık",EOMONTH($D31,0),($D31+MOD(SISTEM!$F$8-WEEKDAY($D31,2),7))))</f>
        <v>46053</v>
      </c>
      <c r="P31" s="61"/>
      <c r="Q31" s="2"/>
      <c r="R31" s="2"/>
      <c r="S31" s="1" t="str">
        <f>IF($B31="","",$B31&amp;"|"&amp;COUNTIFS($B$7:$B31,$B31))</f>
        <v>M036|1</v>
      </c>
      <c r="T31" s="1" t="str">
        <f t="shared" si="6"/>
        <v>ISMAILAKPINAR</v>
      </c>
      <c r="U31" s="71">
        <f t="shared" si="7"/>
        <v>46053</v>
      </c>
      <c r="V31" s="1">
        <f t="shared" si="8"/>
        <v>2958465</v>
      </c>
      <c r="W31" s="1">
        <f t="shared" si="9"/>
        <v>2</v>
      </c>
      <c r="X31" s="1">
        <f t="shared" si="10"/>
        <v>1513</v>
      </c>
      <c r="Y31" s="1">
        <f t="shared" si="11"/>
        <v>97200</v>
      </c>
      <c r="Z31" s="1">
        <f t="shared" si="12"/>
        <v>1</v>
      </c>
      <c r="AA31" s="1">
        <f t="shared" si="13"/>
        <v>1</v>
      </c>
    </row>
    <row r="32" spans="1:27" ht="18" customHeight="1" x14ac:dyDescent="0.3">
      <c r="A32" s="2"/>
      <c r="B32" s="65" t="str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>M008</v>
      </c>
      <c r="C32" s="61" t="s">
        <v>621</v>
      </c>
      <c r="D32" s="66">
        <v>46023</v>
      </c>
      <c r="E32" s="66"/>
      <c r="F32" s="60" t="s">
        <v>701</v>
      </c>
      <c r="G32" s="67">
        <v>2500</v>
      </c>
      <c r="H32" s="60" t="s">
        <v>571</v>
      </c>
      <c r="I32" s="68">
        <f t="shared" ca="1" si="0"/>
        <v>85000</v>
      </c>
      <c r="J32" s="68">
        <f t="shared" ca="1" si="1"/>
        <v>82500</v>
      </c>
      <c r="K32" s="68">
        <f t="shared" ca="1" si="2"/>
        <v>80000</v>
      </c>
      <c r="L32" s="68">
        <f t="shared" ca="1" si="3"/>
        <v>75000</v>
      </c>
      <c r="M32" s="69">
        <f t="shared" ca="1" si="4"/>
        <v>34</v>
      </c>
      <c r="N32" s="65" t="str">
        <f t="shared" si="5"/>
        <v>UYGUN</v>
      </c>
      <c r="O32" s="70">
        <f>IF(OR($C32="",$D32="",$F32=""),"",IF($F32="Aylık",EOMONTH($D32,0),($D32+MOD(SISTEM!$F$8-WEEKDAY($D32,2),7))))</f>
        <v>46025</v>
      </c>
      <c r="P32" s="61"/>
      <c r="Q32" s="2"/>
      <c r="R32" s="2"/>
      <c r="S32" s="1" t="str">
        <f>IF($B32="","",$B32&amp;"|"&amp;COUNTIFS($B$7:$B32,$B32))</f>
        <v>M008|1</v>
      </c>
      <c r="T32" s="1" t="str">
        <f t="shared" si="6"/>
        <v>KOSKYUKSELENLTDSTI</v>
      </c>
      <c r="U32" s="71">
        <f t="shared" si="7"/>
        <v>46025</v>
      </c>
      <c r="V32" s="1">
        <f t="shared" si="8"/>
        <v>2958465</v>
      </c>
      <c r="W32" s="1">
        <f t="shared" si="9"/>
        <v>1</v>
      </c>
      <c r="X32" s="1">
        <f t="shared" si="10"/>
        <v>1513</v>
      </c>
      <c r="Y32" s="1">
        <f t="shared" si="11"/>
        <v>97200</v>
      </c>
      <c r="Z32" s="1">
        <f t="shared" si="12"/>
        <v>1</v>
      </c>
      <c r="AA32" s="1">
        <f t="shared" si="13"/>
        <v>1</v>
      </c>
    </row>
    <row r="33" spans="1:27" ht="18" customHeight="1" x14ac:dyDescent="0.3">
      <c r="A33" s="2"/>
      <c r="B33" s="65" t="str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>M020</v>
      </c>
      <c r="C33" s="61" t="s">
        <v>623</v>
      </c>
      <c r="D33" s="66">
        <v>46023</v>
      </c>
      <c r="E33" s="66"/>
      <c r="F33" s="60" t="s">
        <v>701</v>
      </c>
      <c r="G33" s="67">
        <v>3000</v>
      </c>
      <c r="H33" s="60" t="s">
        <v>571</v>
      </c>
      <c r="I33" s="68">
        <f t="shared" ca="1" si="0"/>
        <v>102000</v>
      </c>
      <c r="J33" s="68">
        <f t="shared" ca="1" si="1"/>
        <v>99000</v>
      </c>
      <c r="K33" s="68">
        <f t="shared" ca="1" si="2"/>
        <v>96000</v>
      </c>
      <c r="L33" s="68">
        <f t="shared" ca="1" si="3"/>
        <v>90000</v>
      </c>
      <c r="M33" s="69">
        <f t="shared" ca="1" si="4"/>
        <v>34</v>
      </c>
      <c r="N33" s="65" t="str">
        <f t="shared" si="5"/>
        <v>UYGUN</v>
      </c>
      <c r="O33" s="70">
        <f>IF(OR($C33="",$D33="",$F33=""),"",IF($F33="Aylık",EOMONTH($D33,0),($D33+MOD(SISTEM!$F$8-WEEKDAY($D33,2),7))))</f>
        <v>46025</v>
      </c>
      <c r="P33" s="61"/>
      <c r="Q33" s="2"/>
      <c r="R33" s="2"/>
      <c r="S33" s="1" t="str">
        <f>IF($B33="","",$B33&amp;"|"&amp;COUNTIFS($B$7:$B33,$B33))</f>
        <v>M020|1</v>
      </c>
      <c r="T33" s="1" t="str">
        <f t="shared" si="6"/>
        <v>KRISTALLTDSTI</v>
      </c>
      <c r="U33" s="71">
        <f t="shared" si="7"/>
        <v>46025</v>
      </c>
      <c r="V33" s="1">
        <f t="shared" si="8"/>
        <v>2958465</v>
      </c>
      <c r="W33" s="1">
        <f t="shared" si="9"/>
        <v>1</v>
      </c>
      <c r="X33" s="1">
        <f t="shared" si="10"/>
        <v>1513</v>
      </c>
      <c r="Y33" s="1">
        <f t="shared" si="11"/>
        <v>97200</v>
      </c>
      <c r="Z33" s="1">
        <f t="shared" si="12"/>
        <v>1</v>
      </c>
      <c r="AA33" s="1">
        <f t="shared" si="13"/>
        <v>1</v>
      </c>
    </row>
    <row r="34" spans="1:27" ht="18" customHeight="1" x14ac:dyDescent="0.3">
      <c r="A34" s="2"/>
      <c r="B34" s="65" t="str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>M037</v>
      </c>
      <c r="C34" s="61" t="s">
        <v>625</v>
      </c>
      <c r="D34" s="66">
        <v>46023</v>
      </c>
      <c r="E34" s="66"/>
      <c r="F34" s="60" t="s">
        <v>700</v>
      </c>
      <c r="G34" s="67">
        <v>2000</v>
      </c>
      <c r="H34" s="60" t="s">
        <v>571</v>
      </c>
      <c r="I34" s="68">
        <f t="shared" ca="1" si="0"/>
        <v>14000</v>
      </c>
      <c r="J34" s="68">
        <f t="shared" ca="1" si="1"/>
        <v>14000</v>
      </c>
      <c r="K34" s="68">
        <f t="shared" ca="1" si="2"/>
        <v>14000</v>
      </c>
      <c r="L34" s="68">
        <f t="shared" ca="1" si="3"/>
        <v>12000</v>
      </c>
      <c r="M34" s="69">
        <f t="shared" ca="1" si="4"/>
        <v>7</v>
      </c>
      <c r="N34" s="65" t="str">
        <f t="shared" si="5"/>
        <v>UYGUN</v>
      </c>
      <c r="O34" s="70">
        <f>IF(OR($C34="",$D34="",$F34=""),"",IF($F34="Aylık",EOMONTH($D34,0),($D34+MOD(SISTEM!$F$8-WEEKDAY($D34,2),7))))</f>
        <v>46053</v>
      </c>
      <c r="P34" s="61"/>
      <c r="Q34" s="2"/>
      <c r="R34" s="2"/>
      <c r="S34" s="1" t="str">
        <f>IF($B34="","",$B34&amp;"|"&amp;COUNTIFS($B$7:$B34,$B34))</f>
        <v>M037|1</v>
      </c>
      <c r="T34" s="1" t="str">
        <f t="shared" si="6"/>
        <v>MEHMETEVRENKILINC</v>
      </c>
      <c r="U34" s="71">
        <f t="shared" si="7"/>
        <v>46053</v>
      </c>
      <c r="V34" s="1">
        <f t="shared" si="8"/>
        <v>2958465</v>
      </c>
      <c r="W34" s="1">
        <f t="shared" si="9"/>
        <v>2</v>
      </c>
      <c r="X34" s="1">
        <f t="shared" si="10"/>
        <v>1513</v>
      </c>
      <c r="Y34" s="1">
        <f t="shared" si="11"/>
        <v>97200</v>
      </c>
      <c r="Z34" s="1">
        <f t="shared" si="12"/>
        <v>1</v>
      </c>
      <c r="AA34" s="1">
        <f t="shared" si="13"/>
        <v>1</v>
      </c>
    </row>
    <row r="35" spans="1:27" ht="18" customHeight="1" x14ac:dyDescent="0.3">
      <c r="A35" s="2"/>
      <c r="B35" s="65" t="str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>M038</v>
      </c>
      <c r="C35" s="61" t="s">
        <v>627</v>
      </c>
      <c r="D35" s="66">
        <v>46023</v>
      </c>
      <c r="E35" s="66"/>
      <c r="F35" s="60" t="s">
        <v>700</v>
      </c>
      <c r="G35" s="67">
        <v>3000</v>
      </c>
      <c r="H35" s="60" t="s">
        <v>571</v>
      </c>
      <c r="I35" s="68">
        <f t="shared" ca="1" si="0"/>
        <v>21000</v>
      </c>
      <c r="J35" s="68">
        <f t="shared" ca="1" si="1"/>
        <v>21000</v>
      </c>
      <c r="K35" s="68">
        <f t="shared" ca="1" si="2"/>
        <v>21000</v>
      </c>
      <c r="L35" s="68">
        <f t="shared" ca="1" si="3"/>
        <v>18000</v>
      </c>
      <c r="M35" s="69">
        <f t="shared" ca="1" si="4"/>
        <v>7</v>
      </c>
      <c r="N35" s="65" t="str">
        <f t="shared" si="5"/>
        <v>UYGUN</v>
      </c>
      <c r="O35" s="70">
        <f>IF(OR($C35="",$D35="",$F35=""),"",IF($F35="Aylık",EOMONTH($D35,0),($D35+MOD(SISTEM!$F$8-WEEKDAY($D35,2),7))))</f>
        <v>46053</v>
      </c>
      <c r="P35" s="61"/>
      <c r="Q35" s="2"/>
      <c r="R35" s="2"/>
      <c r="S35" s="1" t="str">
        <f>IF($B35="","",$B35&amp;"|"&amp;COUNTIFS($B$7:$B35,$B35))</f>
        <v>M038|1</v>
      </c>
      <c r="T35" s="1" t="str">
        <f t="shared" si="6"/>
        <v>MELEKGULER</v>
      </c>
      <c r="U35" s="71">
        <f t="shared" si="7"/>
        <v>46053</v>
      </c>
      <c r="V35" s="1">
        <f t="shared" si="8"/>
        <v>2958465</v>
      </c>
      <c r="W35" s="1">
        <f t="shared" si="9"/>
        <v>2</v>
      </c>
      <c r="X35" s="1">
        <f t="shared" si="10"/>
        <v>1513</v>
      </c>
      <c r="Y35" s="1">
        <f t="shared" si="11"/>
        <v>97200</v>
      </c>
      <c r="Z35" s="1">
        <f t="shared" si="12"/>
        <v>1</v>
      </c>
      <c r="AA35" s="1">
        <f t="shared" si="13"/>
        <v>1</v>
      </c>
    </row>
    <row r="36" spans="1:27" ht="18" customHeight="1" x14ac:dyDescent="0.3">
      <c r="A36" s="2"/>
      <c r="B36" s="65" t="str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>M039</v>
      </c>
      <c r="C36" s="61" t="s">
        <v>629</v>
      </c>
      <c r="D36" s="66">
        <v>46023</v>
      </c>
      <c r="E36" s="66"/>
      <c r="F36" s="60" t="s">
        <v>700</v>
      </c>
      <c r="G36" s="67">
        <v>3000</v>
      </c>
      <c r="H36" s="60" t="s">
        <v>571</v>
      </c>
      <c r="I36" s="68">
        <f t="shared" ca="1" si="0"/>
        <v>21000</v>
      </c>
      <c r="J36" s="68">
        <f t="shared" ca="1" si="1"/>
        <v>21000</v>
      </c>
      <c r="K36" s="68">
        <f t="shared" ca="1" si="2"/>
        <v>21000</v>
      </c>
      <c r="L36" s="68">
        <f t="shared" ca="1" si="3"/>
        <v>18000</v>
      </c>
      <c r="M36" s="69">
        <f t="shared" ca="1" si="4"/>
        <v>7</v>
      </c>
      <c r="N36" s="65" t="str">
        <f t="shared" si="5"/>
        <v>UYGUN</v>
      </c>
      <c r="O36" s="70">
        <f>IF(OR($C36="",$D36="",$F36=""),"",IF($F36="Aylık",EOMONTH($D36,0),($D36+MOD(SISTEM!$F$8-WEEKDAY($D36,2),7))))</f>
        <v>46053</v>
      </c>
      <c r="P36" s="61"/>
      <c r="Q36" s="2"/>
      <c r="R36" s="2"/>
      <c r="S36" s="1" t="str">
        <f>IF($B36="","",$B36&amp;"|"&amp;COUNTIFS($B$7:$B36,$B36))</f>
        <v>M039|1</v>
      </c>
      <c r="T36" s="1" t="str">
        <f t="shared" si="6"/>
        <v>MELISABEDIR</v>
      </c>
      <c r="U36" s="71">
        <f t="shared" si="7"/>
        <v>46053</v>
      </c>
      <c r="V36" s="1">
        <f t="shared" si="8"/>
        <v>2958465</v>
      </c>
      <c r="W36" s="1">
        <f t="shared" si="9"/>
        <v>2</v>
      </c>
      <c r="X36" s="1">
        <f t="shared" si="10"/>
        <v>1513</v>
      </c>
      <c r="Y36" s="1">
        <f t="shared" si="11"/>
        <v>97200</v>
      </c>
      <c r="Z36" s="1">
        <f t="shared" si="12"/>
        <v>1</v>
      </c>
      <c r="AA36" s="1">
        <f t="shared" si="13"/>
        <v>1</v>
      </c>
    </row>
    <row r="37" spans="1:27" ht="18" customHeight="1" x14ac:dyDescent="0.3">
      <c r="A37" s="2"/>
      <c r="B37" s="65" t="str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>M040</v>
      </c>
      <c r="C37" s="61" t="s">
        <v>631</v>
      </c>
      <c r="D37" s="66">
        <v>46023</v>
      </c>
      <c r="E37" s="66"/>
      <c r="F37" s="60" t="s">
        <v>700</v>
      </c>
      <c r="G37" s="67">
        <v>1500</v>
      </c>
      <c r="H37" s="60" t="s">
        <v>571</v>
      </c>
      <c r="I37" s="68">
        <f t="shared" ca="1" si="0"/>
        <v>10500</v>
      </c>
      <c r="J37" s="68">
        <f t="shared" ca="1" si="1"/>
        <v>10500</v>
      </c>
      <c r="K37" s="68">
        <f t="shared" ca="1" si="2"/>
        <v>10500</v>
      </c>
      <c r="L37" s="68">
        <f t="shared" ca="1" si="3"/>
        <v>9000</v>
      </c>
      <c r="M37" s="69">
        <f t="shared" ca="1" si="4"/>
        <v>7</v>
      </c>
      <c r="N37" s="65" t="str">
        <f t="shared" si="5"/>
        <v>UYGUN</v>
      </c>
      <c r="O37" s="70">
        <f>IF(OR($C37="",$D37="",$F37=""),"",IF($F37="Aylık",EOMONTH($D37,0),($D37+MOD(SISTEM!$F$8-WEEKDAY($D37,2),7))))</f>
        <v>46053</v>
      </c>
      <c r="P37" s="61"/>
      <c r="Q37" s="2"/>
      <c r="R37" s="2"/>
      <c r="S37" s="1" t="str">
        <f>IF($B37="","",$B37&amp;"|"&amp;COUNTIFS($B$7:$B37,$B37))</f>
        <v>M040|1</v>
      </c>
      <c r="T37" s="1" t="str">
        <f t="shared" si="6"/>
        <v>MENEKSEAKAN</v>
      </c>
      <c r="U37" s="71">
        <f t="shared" si="7"/>
        <v>46053</v>
      </c>
      <c r="V37" s="1">
        <f t="shared" si="8"/>
        <v>2958465</v>
      </c>
      <c r="W37" s="1">
        <f t="shared" si="9"/>
        <v>2</v>
      </c>
      <c r="X37" s="1">
        <f t="shared" si="10"/>
        <v>1513</v>
      </c>
      <c r="Y37" s="1">
        <f t="shared" si="11"/>
        <v>97200</v>
      </c>
      <c r="Z37" s="1">
        <f t="shared" si="12"/>
        <v>1</v>
      </c>
      <c r="AA37" s="1">
        <f t="shared" si="13"/>
        <v>1</v>
      </c>
    </row>
    <row r="38" spans="1:27" ht="18" customHeight="1" x14ac:dyDescent="0.3">
      <c r="A38" s="2"/>
      <c r="B38" s="65" t="str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>M041</v>
      </c>
      <c r="C38" s="61" t="s">
        <v>633</v>
      </c>
      <c r="D38" s="66">
        <v>46174</v>
      </c>
      <c r="E38" s="66"/>
      <c r="F38" s="60" t="s">
        <v>700</v>
      </c>
      <c r="G38" s="67">
        <v>5000</v>
      </c>
      <c r="H38" s="60" t="s">
        <v>571</v>
      </c>
      <c r="I38" s="68">
        <f t="shared" ca="1" si="0"/>
        <v>10000</v>
      </c>
      <c r="J38" s="68">
        <f t="shared" ca="1" si="1"/>
        <v>10000</v>
      </c>
      <c r="K38" s="68">
        <f t="shared" ca="1" si="2"/>
        <v>10000</v>
      </c>
      <c r="L38" s="68">
        <f t="shared" ca="1" si="3"/>
        <v>5000</v>
      </c>
      <c r="M38" s="69">
        <f t="shared" ca="1" si="4"/>
        <v>2</v>
      </c>
      <c r="N38" s="65" t="str">
        <f t="shared" si="5"/>
        <v>UYGUN</v>
      </c>
      <c r="O38" s="70">
        <f>IF(OR($C38="",$D38="",$F38=""),"",IF($F38="Aylık",EOMONTH($D38,0),($D38+MOD(SISTEM!$F$8-WEEKDAY($D38,2),7))))</f>
        <v>46203</v>
      </c>
      <c r="P38" s="61"/>
      <c r="Q38" s="2"/>
      <c r="R38" s="2"/>
      <c r="S38" s="1" t="str">
        <f>IF($B38="","",$B38&amp;"|"&amp;COUNTIFS($B$7:$B38,$B38))</f>
        <v>M041|1</v>
      </c>
      <c r="T38" s="1" t="str">
        <f t="shared" si="6"/>
        <v>MESUTKOKLU</v>
      </c>
      <c r="U38" s="71">
        <f t="shared" si="7"/>
        <v>46203</v>
      </c>
      <c r="V38" s="1">
        <f t="shared" si="8"/>
        <v>2958465</v>
      </c>
      <c r="W38" s="1">
        <f t="shared" si="9"/>
        <v>2</v>
      </c>
      <c r="X38" s="1">
        <f t="shared" si="10"/>
        <v>1518</v>
      </c>
      <c r="Y38" s="1">
        <f t="shared" si="11"/>
        <v>97200</v>
      </c>
      <c r="Z38" s="1">
        <f t="shared" si="12"/>
        <v>1</v>
      </c>
      <c r="AA38" s="1">
        <f t="shared" si="13"/>
        <v>1</v>
      </c>
    </row>
    <row r="39" spans="1:27" ht="18" customHeight="1" x14ac:dyDescent="0.3">
      <c r="A39" s="2"/>
      <c r="B39" s="65" t="str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>M007</v>
      </c>
      <c r="C39" s="61" t="s">
        <v>635</v>
      </c>
      <c r="D39" s="66">
        <v>46023</v>
      </c>
      <c r="E39" s="66"/>
      <c r="F39" s="60" t="s">
        <v>701</v>
      </c>
      <c r="G39" s="67">
        <v>3500</v>
      </c>
      <c r="H39" s="60" t="s">
        <v>571</v>
      </c>
      <c r="I39" s="68">
        <f t="shared" ca="1" si="0"/>
        <v>119000</v>
      </c>
      <c r="J39" s="68">
        <f t="shared" ca="1" si="1"/>
        <v>115500</v>
      </c>
      <c r="K39" s="68">
        <f t="shared" ca="1" si="2"/>
        <v>112000</v>
      </c>
      <c r="L39" s="68">
        <f t="shared" ca="1" si="3"/>
        <v>105000</v>
      </c>
      <c r="M39" s="69">
        <f t="shared" ca="1" si="4"/>
        <v>34</v>
      </c>
      <c r="N39" s="65" t="str">
        <f t="shared" si="5"/>
        <v>UYGUN</v>
      </c>
      <c r="O39" s="70">
        <f>IF(OR($C39="",$D39="",$F39=""),"",IF($F39="Aylık",EOMONTH($D39,0),($D39+MOD(SISTEM!$F$8-WEEKDAY($D39,2),7))))</f>
        <v>46025</v>
      </c>
      <c r="P39" s="61"/>
      <c r="Q39" s="2"/>
      <c r="R39" s="2"/>
      <c r="S39" s="1" t="str">
        <f>IF($B39="","",$B39&amp;"|"&amp;COUNTIFS($B$7:$B39,$B39))</f>
        <v>M007|1</v>
      </c>
      <c r="T39" s="1" t="str">
        <f t="shared" si="6"/>
        <v>MONAMOURLTDSTI</v>
      </c>
      <c r="U39" s="71">
        <f t="shared" si="7"/>
        <v>46025</v>
      </c>
      <c r="V39" s="1">
        <f t="shared" si="8"/>
        <v>2958465</v>
      </c>
      <c r="W39" s="1">
        <f t="shared" si="9"/>
        <v>1</v>
      </c>
      <c r="X39" s="1">
        <f t="shared" si="10"/>
        <v>1513</v>
      </c>
      <c r="Y39" s="1">
        <f t="shared" si="11"/>
        <v>97200</v>
      </c>
      <c r="Z39" s="1">
        <f t="shared" si="12"/>
        <v>1</v>
      </c>
      <c r="AA39" s="1">
        <f t="shared" si="13"/>
        <v>1</v>
      </c>
    </row>
    <row r="40" spans="1:27" ht="18" customHeight="1" x14ac:dyDescent="0.3">
      <c r="A40" s="2"/>
      <c r="B40" s="65" t="str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>M042</v>
      </c>
      <c r="C40" s="61" t="s">
        <v>637</v>
      </c>
      <c r="D40" s="66">
        <v>46023</v>
      </c>
      <c r="E40" s="66"/>
      <c r="F40" s="60" t="s">
        <v>700</v>
      </c>
      <c r="G40" s="67">
        <v>1</v>
      </c>
      <c r="H40" s="60" t="s">
        <v>571</v>
      </c>
      <c r="I40" s="68">
        <f t="shared" ca="1" si="0"/>
        <v>7</v>
      </c>
      <c r="J40" s="68">
        <f t="shared" ca="1" si="1"/>
        <v>7</v>
      </c>
      <c r="K40" s="68">
        <f t="shared" ca="1" si="2"/>
        <v>7</v>
      </c>
      <c r="L40" s="68">
        <f t="shared" ca="1" si="3"/>
        <v>6</v>
      </c>
      <c r="M40" s="69">
        <f t="shared" ca="1" si="4"/>
        <v>7</v>
      </c>
      <c r="N40" s="65" t="str">
        <f t="shared" si="5"/>
        <v>UYGUN</v>
      </c>
      <c r="O40" s="70">
        <f>IF(OR($C40="",$D40="",$F40=""),"",IF($F40="Aylık",EOMONTH($D40,0),($D40+MOD(SISTEM!$F$8-WEEKDAY($D40,2),7))))</f>
        <v>46053</v>
      </c>
      <c r="P40" s="61"/>
      <c r="Q40" s="2"/>
      <c r="R40" s="2"/>
      <c r="S40" s="1" t="str">
        <f>IF($B40="","",$B40&amp;"|"&amp;COUNTIFS($B$7:$B40,$B40))</f>
        <v>M042|1</v>
      </c>
      <c r="T40" s="1" t="str">
        <f t="shared" si="6"/>
        <v>MSTOPTANLTDSTI</v>
      </c>
      <c r="U40" s="71">
        <f t="shared" si="7"/>
        <v>46053</v>
      </c>
      <c r="V40" s="1">
        <f t="shared" si="8"/>
        <v>2958465</v>
      </c>
      <c r="W40" s="1">
        <f t="shared" si="9"/>
        <v>2</v>
      </c>
      <c r="X40" s="1">
        <f t="shared" si="10"/>
        <v>1513</v>
      </c>
      <c r="Y40" s="1">
        <f t="shared" si="11"/>
        <v>97200</v>
      </c>
      <c r="Z40" s="1">
        <f t="shared" si="12"/>
        <v>1</v>
      </c>
      <c r="AA40" s="1">
        <f t="shared" si="13"/>
        <v>1</v>
      </c>
    </row>
    <row r="41" spans="1:27" ht="18" customHeight="1" x14ac:dyDescent="0.3">
      <c r="A41" s="2"/>
      <c r="B41" s="65" t="str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>M044</v>
      </c>
      <c r="C41" s="61" t="s">
        <v>640</v>
      </c>
      <c r="D41" s="66">
        <v>46023</v>
      </c>
      <c r="E41" s="66"/>
      <c r="F41" s="60" t="s">
        <v>700</v>
      </c>
      <c r="G41" s="67">
        <v>3000</v>
      </c>
      <c r="H41" s="60" t="s">
        <v>571</v>
      </c>
      <c r="I41" s="68">
        <f t="shared" ca="1" si="0"/>
        <v>21000</v>
      </c>
      <c r="J41" s="68">
        <f t="shared" ca="1" si="1"/>
        <v>21000</v>
      </c>
      <c r="K41" s="68">
        <f t="shared" ca="1" si="2"/>
        <v>21000</v>
      </c>
      <c r="L41" s="68">
        <f t="shared" ca="1" si="3"/>
        <v>18000</v>
      </c>
      <c r="M41" s="69">
        <f t="shared" ca="1" si="4"/>
        <v>7</v>
      </c>
      <c r="N41" s="65" t="str">
        <f t="shared" si="5"/>
        <v>UYGUN</v>
      </c>
      <c r="O41" s="70">
        <f>IF(OR($C41="",$D41="",$F41=""),"",IF($F41="Aylık",EOMONTH($D41,0),($D41+MOD(SISTEM!$F$8-WEEKDAY($D41,2),7))))</f>
        <v>46053</v>
      </c>
      <c r="P41" s="61"/>
      <c r="Q41" s="2"/>
      <c r="R41" s="2"/>
      <c r="S41" s="1" t="str">
        <f>IF($B41="","",$B41&amp;"|"&amp;COUNTIFS($B$7:$B41,$B41))</f>
        <v>M044|1</v>
      </c>
      <c r="T41" s="1" t="str">
        <f t="shared" si="6"/>
        <v>MUSTAFAKOLBASI</v>
      </c>
      <c r="U41" s="71">
        <f t="shared" si="7"/>
        <v>46053</v>
      </c>
      <c r="V41" s="1">
        <f t="shared" si="8"/>
        <v>2958465</v>
      </c>
      <c r="W41" s="1">
        <f t="shared" si="9"/>
        <v>2</v>
      </c>
      <c r="X41" s="1">
        <f t="shared" si="10"/>
        <v>1513</v>
      </c>
      <c r="Y41" s="1">
        <f t="shared" si="11"/>
        <v>97200</v>
      </c>
      <c r="Z41" s="1">
        <f t="shared" si="12"/>
        <v>1</v>
      </c>
      <c r="AA41" s="1">
        <f t="shared" si="13"/>
        <v>1</v>
      </c>
    </row>
    <row r="42" spans="1:27" ht="18" customHeight="1" x14ac:dyDescent="0.3">
      <c r="A42" s="2"/>
      <c r="B42" s="65" t="str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>M043</v>
      </c>
      <c r="C42" s="61" t="s">
        <v>642</v>
      </c>
      <c r="D42" s="66">
        <v>46023</v>
      </c>
      <c r="E42" s="66"/>
      <c r="F42" s="60" t="s">
        <v>700</v>
      </c>
      <c r="G42" s="67">
        <v>2000</v>
      </c>
      <c r="H42" s="60" t="s">
        <v>571</v>
      </c>
      <c r="I42" s="68">
        <f t="shared" ca="1" si="0"/>
        <v>14000</v>
      </c>
      <c r="J42" s="68">
        <f t="shared" ca="1" si="1"/>
        <v>14000</v>
      </c>
      <c r="K42" s="68">
        <f t="shared" ca="1" si="2"/>
        <v>14000</v>
      </c>
      <c r="L42" s="68">
        <f t="shared" ca="1" si="3"/>
        <v>12000</v>
      </c>
      <c r="M42" s="69">
        <f t="shared" ca="1" si="4"/>
        <v>7</v>
      </c>
      <c r="N42" s="65" t="str">
        <f t="shared" si="5"/>
        <v>UYGUN</v>
      </c>
      <c r="O42" s="70">
        <f>IF(OR($C42="",$D42="",$F42=""),"",IF($F42="Aylık",EOMONTH($D42,0),($D42+MOD(SISTEM!$F$8-WEEKDAY($D42,2),7))))</f>
        <v>46053</v>
      </c>
      <c r="P42" s="61"/>
      <c r="Q42" s="2"/>
      <c r="R42" s="2"/>
      <c r="S42" s="1" t="str">
        <f>IF($B42="","",$B42&amp;"|"&amp;COUNTIFS($B$7:$B42,$B42))</f>
        <v>M043|1</v>
      </c>
      <c r="T42" s="1" t="str">
        <f t="shared" si="6"/>
        <v>MUSTAFAUMUTKOYUN</v>
      </c>
      <c r="U42" s="71">
        <f t="shared" si="7"/>
        <v>46053</v>
      </c>
      <c r="V42" s="1">
        <f t="shared" si="8"/>
        <v>2958465</v>
      </c>
      <c r="W42" s="1">
        <f t="shared" si="9"/>
        <v>2</v>
      </c>
      <c r="X42" s="1">
        <f t="shared" si="10"/>
        <v>1513</v>
      </c>
      <c r="Y42" s="1">
        <f t="shared" si="11"/>
        <v>97200</v>
      </c>
      <c r="Z42" s="1">
        <f t="shared" si="12"/>
        <v>1</v>
      </c>
      <c r="AA42" s="1">
        <f t="shared" si="13"/>
        <v>1</v>
      </c>
    </row>
    <row r="43" spans="1:27" ht="18" customHeight="1" x14ac:dyDescent="0.3">
      <c r="A43" s="2"/>
      <c r="B43" s="65" t="str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>M013</v>
      </c>
      <c r="C43" s="61" t="s">
        <v>644</v>
      </c>
      <c r="D43" s="66">
        <v>46023</v>
      </c>
      <c r="E43" s="66"/>
      <c r="F43" s="60" t="s">
        <v>701</v>
      </c>
      <c r="G43" s="67">
        <v>2000</v>
      </c>
      <c r="H43" s="60" t="s">
        <v>571</v>
      </c>
      <c r="I43" s="68">
        <f t="shared" ca="1" si="0"/>
        <v>68000</v>
      </c>
      <c r="J43" s="68">
        <f t="shared" ca="1" si="1"/>
        <v>66000</v>
      </c>
      <c r="K43" s="68">
        <f t="shared" ca="1" si="2"/>
        <v>64000</v>
      </c>
      <c r="L43" s="68">
        <f t="shared" ca="1" si="3"/>
        <v>60000</v>
      </c>
      <c r="M43" s="69">
        <f t="shared" ca="1" si="4"/>
        <v>34</v>
      </c>
      <c r="N43" s="65" t="str">
        <f t="shared" si="5"/>
        <v>UYGUN</v>
      </c>
      <c r="O43" s="70">
        <f>IF(OR($C43="",$D43="",$F43=""),"",IF($F43="Aylık",EOMONTH($D43,0),($D43+MOD(SISTEM!$F$8-WEEKDAY($D43,2),7))))</f>
        <v>46025</v>
      </c>
      <c r="P43" s="61"/>
      <c r="Q43" s="2"/>
      <c r="R43" s="2"/>
      <c r="S43" s="1" t="str">
        <f>IF($B43="","",$B43&amp;"|"&amp;COUNTIFS($B$7:$B43,$B43))</f>
        <v>M013|1</v>
      </c>
      <c r="T43" s="1" t="str">
        <f t="shared" si="6"/>
        <v>NAZ1GIDALTDSTI</v>
      </c>
      <c r="U43" s="71">
        <f t="shared" si="7"/>
        <v>46025</v>
      </c>
      <c r="V43" s="1">
        <f t="shared" si="8"/>
        <v>2958465</v>
      </c>
      <c r="W43" s="1">
        <f t="shared" si="9"/>
        <v>1</v>
      </c>
      <c r="X43" s="1">
        <f t="shared" si="10"/>
        <v>1513</v>
      </c>
      <c r="Y43" s="1">
        <f t="shared" si="11"/>
        <v>97200</v>
      </c>
      <c r="Z43" s="1">
        <f t="shared" si="12"/>
        <v>1</v>
      </c>
      <c r="AA43" s="1">
        <f t="shared" si="13"/>
        <v>1</v>
      </c>
    </row>
    <row r="44" spans="1:27" ht="18" customHeight="1" x14ac:dyDescent="0.3">
      <c r="A44" s="2"/>
      <c r="B44" s="65" t="str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>M045</v>
      </c>
      <c r="C44" s="61" t="s">
        <v>646</v>
      </c>
      <c r="D44" s="66">
        <v>46023</v>
      </c>
      <c r="E44" s="66"/>
      <c r="F44" s="60" t="s">
        <v>700</v>
      </c>
      <c r="G44" s="67">
        <v>7500</v>
      </c>
      <c r="H44" s="60" t="s">
        <v>571</v>
      </c>
      <c r="I44" s="68">
        <f t="shared" ca="1" si="0"/>
        <v>52500</v>
      </c>
      <c r="J44" s="68">
        <f t="shared" ca="1" si="1"/>
        <v>52500</v>
      </c>
      <c r="K44" s="68">
        <f t="shared" ca="1" si="2"/>
        <v>52500</v>
      </c>
      <c r="L44" s="68">
        <f t="shared" ca="1" si="3"/>
        <v>45000</v>
      </c>
      <c r="M44" s="69">
        <f t="shared" ca="1" si="4"/>
        <v>7</v>
      </c>
      <c r="N44" s="65" t="str">
        <f t="shared" si="5"/>
        <v>UYGUN</v>
      </c>
      <c r="O44" s="70">
        <f>IF(OR($C44="",$D44="",$F44=""),"",IF($F44="Aylık",EOMONTH($D44,0),($D44+MOD(SISTEM!$F$8-WEEKDAY($D44,2),7))))</f>
        <v>46053</v>
      </c>
      <c r="P44" s="61"/>
      <c r="Q44" s="2"/>
      <c r="R44" s="2"/>
      <c r="S44" s="1" t="str">
        <f>IF($B44="","",$B44&amp;"|"&amp;COUNTIFS($B$7:$B44,$B44))</f>
        <v>M045|1</v>
      </c>
      <c r="T44" s="1" t="str">
        <f t="shared" si="6"/>
        <v>NEROETICARETLTDSTI</v>
      </c>
      <c r="U44" s="71">
        <f t="shared" si="7"/>
        <v>46053</v>
      </c>
      <c r="V44" s="1">
        <f t="shared" si="8"/>
        <v>2958465</v>
      </c>
      <c r="W44" s="1">
        <f t="shared" si="9"/>
        <v>2</v>
      </c>
      <c r="X44" s="1">
        <f t="shared" si="10"/>
        <v>1513</v>
      </c>
      <c r="Y44" s="1">
        <f t="shared" si="11"/>
        <v>97200</v>
      </c>
      <c r="Z44" s="1">
        <f t="shared" si="12"/>
        <v>1</v>
      </c>
      <c r="AA44" s="1">
        <f t="shared" si="13"/>
        <v>1</v>
      </c>
    </row>
    <row r="45" spans="1:27" ht="18" customHeight="1" x14ac:dyDescent="0.3">
      <c r="A45" s="2"/>
      <c r="B45" s="65" t="str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>M046</v>
      </c>
      <c r="C45" s="61" t="s">
        <v>648</v>
      </c>
      <c r="D45" s="66">
        <v>46143</v>
      </c>
      <c r="E45" s="66"/>
      <c r="F45" s="60" t="s">
        <v>700</v>
      </c>
      <c r="G45" s="67">
        <v>3500</v>
      </c>
      <c r="H45" s="60" t="s">
        <v>571</v>
      </c>
      <c r="I45" s="68">
        <f t="shared" ca="1" si="0"/>
        <v>10500</v>
      </c>
      <c r="J45" s="68">
        <f t="shared" ca="1" si="1"/>
        <v>10500</v>
      </c>
      <c r="K45" s="68">
        <f t="shared" ca="1" si="2"/>
        <v>10500</v>
      </c>
      <c r="L45" s="68">
        <f t="shared" ca="1" si="3"/>
        <v>7000</v>
      </c>
      <c r="M45" s="69">
        <f t="shared" ca="1" si="4"/>
        <v>3</v>
      </c>
      <c r="N45" s="65" t="str">
        <f t="shared" si="5"/>
        <v>UYGUN</v>
      </c>
      <c r="O45" s="70">
        <f>IF(OR($C45="",$D45="",$F45=""),"",IF($F45="Aylık",EOMONTH($D45,0),($D45+MOD(SISTEM!$F$8-WEEKDAY($D45,2),7))))</f>
        <v>46173</v>
      </c>
      <c r="P45" s="61"/>
      <c r="Q45" s="2"/>
      <c r="R45" s="2"/>
      <c r="S45" s="1" t="str">
        <f>IF($B45="","",$B45&amp;"|"&amp;COUNTIFS($B$7:$B45,$B45))</f>
        <v>M046|1</v>
      </c>
      <c r="T45" s="1" t="str">
        <f t="shared" si="6"/>
        <v>OMERDEMIRCI</v>
      </c>
      <c r="U45" s="71">
        <f t="shared" si="7"/>
        <v>46173</v>
      </c>
      <c r="V45" s="1">
        <f t="shared" si="8"/>
        <v>2958465</v>
      </c>
      <c r="W45" s="1">
        <f t="shared" si="9"/>
        <v>2</v>
      </c>
      <c r="X45" s="1">
        <f t="shared" si="10"/>
        <v>1517</v>
      </c>
      <c r="Y45" s="1">
        <f t="shared" si="11"/>
        <v>97200</v>
      </c>
      <c r="Z45" s="1">
        <f t="shared" si="12"/>
        <v>1</v>
      </c>
      <c r="AA45" s="1">
        <f t="shared" si="13"/>
        <v>1</v>
      </c>
    </row>
    <row r="46" spans="1:27" ht="18" customHeight="1" x14ac:dyDescent="0.3">
      <c r="A46" s="2"/>
      <c r="B46" s="65" t="str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>M010</v>
      </c>
      <c r="C46" s="61" t="s">
        <v>650</v>
      </c>
      <c r="D46" s="66">
        <v>46023</v>
      </c>
      <c r="E46" s="66"/>
      <c r="F46" s="60" t="s">
        <v>701</v>
      </c>
      <c r="G46" s="67">
        <v>4000</v>
      </c>
      <c r="H46" s="60" t="s">
        <v>571</v>
      </c>
      <c r="I46" s="68">
        <f t="shared" ca="1" si="0"/>
        <v>136000</v>
      </c>
      <c r="J46" s="68">
        <f t="shared" ca="1" si="1"/>
        <v>132000</v>
      </c>
      <c r="K46" s="68">
        <f t="shared" ca="1" si="2"/>
        <v>128000</v>
      </c>
      <c r="L46" s="68">
        <f t="shared" ca="1" si="3"/>
        <v>120000</v>
      </c>
      <c r="M46" s="69">
        <f t="shared" ca="1" si="4"/>
        <v>34</v>
      </c>
      <c r="N46" s="65" t="str">
        <f t="shared" si="5"/>
        <v>UYGUN</v>
      </c>
      <c r="O46" s="70">
        <f>IF(OR($C46="",$D46="",$F46=""),"",IF($F46="Aylık",EOMONTH($D46,0),($D46+MOD(SISTEM!$F$8-WEEKDAY($D46,2),7))))</f>
        <v>46025</v>
      </c>
      <c r="P46" s="61"/>
      <c r="Q46" s="2"/>
      <c r="R46" s="2"/>
      <c r="S46" s="1" t="str">
        <f>IF($B46="","",$B46&amp;"|"&amp;COUNTIFS($B$7:$B46,$B46))</f>
        <v>M010|1</v>
      </c>
      <c r="T46" s="1" t="str">
        <f t="shared" si="6"/>
        <v>OZFIDANLARLTDSTI</v>
      </c>
      <c r="U46" s="71">
        <f t="shared" si="7"/>
        <v>46025</v>
      </c>
      <c r="V46" s="1">
        <f t="shared" si="8"/>
        <v>2958465</v>
      </c>
      <c r="W46" s="1">
        <f t="shared" si="9"/>
        <v>1</v>
      </c>
      <c r="X46" s="1">
        <f t="shared" si="10"/>
        <v>1513</v>
      </c>
      <c r="Y46" s="1">
        <f t="shared" si="11"/>
        <v>97200</v>
      </c>
      <c r="Z46" s="1">
        <f t="shared" si="12"/>
        <v>1</v>
      </c>
      <c r="AA46" s="1">
        <f t="shared" si="13"/>
        <v>1</v>
      </c>
    </row>
    <row r="47" spans="1:27" ht="18" customHeight="1" x14ac:dyDescent="0.3">
      <c r="A47" s="2"/>
      <c r="B47" s="65" t="str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>M009</v>
      </c>
      <c r="C47" s="61" t="s">
        <v>652</v>
      </c>
      <c r="D47" s="66">
        <v>46023</v>
      </c>
      <c r="E47" s="66"/>
      <c r="F47" s="60" t="s">
        <v>701</v>
      </c>
      <c r="G47" s="67">
        <v>4000</v>
      </c>
      <c r="H47" s="60" t="s">
        <v>571</v>
      </c>
      <c r="I47" s="68">
        <f t="shared" ca="1" si="0"/>
        <v>136000</v>
      </c>
      <c r="J47" s="68">
        <f t="shared" ca="1" si="1"/>
        <v>132000</v>
      </c>
      <c r="K47" s="68">
        <f t="shared" ca="1" si="2"/>
        <v>128000</v>
      </c>
      <c r="L47" s="68">
        <f t="shared" ca="1" si="3"/>
        <v>120000</v>
      </c>
      <c r="M47" s="69">
        <f t="shared" ca="1" si="4"/>
        <v>34</v>
      </c>
      <c r="N47" s="65" t="str">
        <f t="shared" si="5"/>
        <v>UYGUN</v>
      </c>
      <c r="O47" s="70">
        <f>IF(OR($C47="",$D47="",$F47=""),"",IF($F47="Aylık",EOMONTH($D47,0),($D47+MOD(SISTEM!$F$8-WEEKDAY($D47,2),7))))</f>
        <v>46025</v>
      </c>
      <c r="P47" s="61"/>
      <c r="Q47" s="2"/>
      <c r="R47" s="2"/>
      <c r="S47" s="1" t="str">
        <f>IF($B47="","",$B47&amp;"|"&amp;COUNTIFS($B$7:$B47,$B47))</f>
        <v>M009|1</v>
      </c>
      <c r="T47" s="1" t="str">
        <f t="shared" si="6"/>
        <v>PAKYILDIZLTDSTI</v>
      </c>
      <c r="U47" s="71">
        <f t="shared" si="7"/>
        <v>46025</v>
      </c>
      <c r="V47" s="1">
        <f t="shared" si="8"/>
        <v>2958465</v>
      </c>
      <c r="W47" s="1">
        <f t="shared" si="9"/>
        <v>1</v>
      </c>
      <c r="X47" s="1">
        <f t="shared" si="10"/>
        <v>1513</v>
      </c>
      <c r="Y47" s="1">
        <f t="shared" si="11"/>
        <v>97200</v>
      </c>
      <c r="Z47" s="1">
        <f t="shared" si="12"/>
        <v>1</v>
      </c>
      <c r="AA47" s="1">
        <f t="shared" si="13"/>
        <v>1</v>
      </c>
    </row>
    <row r="48" spans="1:27" ht="18" customHeight="1" x14ac:dyDescent="0.3">
      <c r="A48" s="2"/>
      <c r="B48" s="65" t="str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>M047</v>
      </c>
      <c r="C48" s="61" t="s">
        <v>654</v>
      </c>
      <c r="D48" s="66">
        <v>46023</v>
      </c>
      <c r="E48" s="66">
        <v>46178</v>
      </c>
      <c r="F48" s="60" t="s">
        <v>701</v>
      </c>
      <c r="G48" s="67">
        <v>4000</v>
      </c>
      <c r="H48" s="60" t="s">
        <v>638</v>
      </c>
      <c r="I48" s="68">
        <f t="shared" ca="1" si="0"/>
        <v>88000</v>
      </c>
      <c r="J48" s="68">
        <f t="shared" ca="1" si="1"/>
        <v>88000</v>
      </c>
      <c r="K48" s="68">
        <f t="shared" ca="1" si="2"/>
        <v>88000</v>
      </c>
      <c r="L48" s="68">
        <f t="shared" ca="1" si="3"/>
        <v>88000</v>
      </c>
      <c r="M48" s="69">
        <f t="shared" ca="1" si="4"/>
        <v>22</v>
      </c>
      <c r="N48" s="65" t="str">
        <f t="shared" si="5"/>
        <v>KAPALI DÖNEM</v>
      </c>
      <c r="O48" s="70">
        <f>IF(OR($C48="",$D48="",$F48=""),"",IF($F48="Aylık",EOMONTH($D48,0),($D48+MOD(SISTEM!$F$8-WEEKDAY($D48,2),7))))</f>
        <v>46025</v>
      </c>
      <c r="P48" s="61"/>
      <c r="Q48" s="2"/>
      <c r="R48" s="2"/>
      <c r="S48" s="1" t="str">
        <f>IF($B48="","",$B48&amp;"|"&amp;COUNTIFS($B$7:$B48,$B48))</f>
        <v>M047|1</v>
      </c>
      <c r="T48" s="1" t="str">
        <f t="shared" si="6"/>
        <v>PALAOGULLARILTDSTI</v>
      </c>
      <c r="U48" s="71">
        <f t="shared" si="7"/>
        <v>46025</v>
      </c>
      <c r="V48" s="71">
        <f t="shared" si="8"/>
        <v>46178</v>
      </c>
      <c r="W48" s="1">
        <f t="shared" si="9"/>
        <v>1</v>
      </c>
      <c r="X48" s="1">
        <f t="shared" si="10"/>
        <v>1513</v>
      </c>
      <c r="Y48" s="1">
        <f t="shared" si="11"/>
        <v>1518</v>
      </c>
      <c r="Z48" s="1">
        <f t="shared" si="12"/>
        <v>0</v>
      </c>
      <c r="AA48" s="1">
        <f t="shared" si="13"/>
        <v>0</v>
      </c>
    </row>
    <row r="49" spans="1:27" ht="18" customHeight="1" x14ac:dyDescent="0.3">
      <c r="A49" s="2"/>
      <c r="B49" s="65" t="str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>M048</v>
      </c>
      <c r="C49" s="61" t="s">
        <v>656</v>
      </c>
      <c r="D49" s="66">
        <v>46023</v>
      </c>
      <c r="E49" s="66"/>
      <c r="F49" s="60" t="s">
        <v>700</v>
      </c>
      <c r="G49" s="67">
        <v>3000</v>
      </c>
      <c r="H49" s="60" t="s">
        <v>571</v>
      </c>
      <c r="I49" s="68">
        <f t="shared" ca="1" si="0"/>
        <v>21000</v>
      </c>
      <c r="J49" s="68">
        <f t="shared" ca="1" si="1"/>
        <v>21000</v>
      </c>
      <c r="K49" s="68">
        <f t="shared" ca="1" si="2"/>
        <v>21000</v>
      </c>
      <c r="L49" s="68">
        <f t="shared" ca="1" si="3"/>
        <v>18000</v>
      </c>
      <c r="M49" s="69">
        <f t="shared" ca="1" si="4"/>
        <v>7</v>
      </c>
      <c r="N49" s="65" t="str">
        <f t="shared" si="5"/>
        <v>UYGUN</v>
      </c>
      <c r="O49" s="70">
        <f>IF(OR($C49="",$D49="",$F49=""),"",IF($F49="Aylık",EOMONTH($D49,0),($D49+MOD(SISTEM!$F$8-WEEKDAY($D49,2),7))))</f>
        <v>46053</v>
      </c>
      <c r="P49" s="61"/>
      <c r="Q49" s="2"/>
      <c r="R49" s="2"/>
      <c r="S49" s="1" t="str">
        <f>IF($B49="","",$B49&amp;"|"&amp;COUNTIFS($B$7:$B49,$B49))</f>
        <v>M048|1</v>
      </c>
      <c r="T49" s="1" t="str">
        <f t="shared" si="6"/>
        <v>RASIMDEMIRCI</v>
      </c>
      <c r="U49" s="71">
        <f t="shared" si="7"/>
        <v>46053</v>
      </c>
      <c r="V49" s="1">
        <f t="shared" si="8"/>
        <v>2958465</v>
      </c>
      <c r="W49" s="1">
        <f t="shared" si="9"/>
        <v>2</v>
      </c>
      <c r="X49" s="1">
        <f t="shared" si="10"/>
        <v>1513</v>
      </c>
      <c r="Y49" s="1">
        <f t="shared" si="11"/>
        <v>97200</v>
      </c>
      <c r="Z49" s="1">
        <f t="shared" si="12"/>
        <v>1</v>
      </c>
      <c r="AA49" s="1">
        <f t="shared" si="13"/>
        <v>1</v>
      </c>
    </row>
    <row r="50" spans="1:27" ht="18" customHeight="1" x14ac:dyDescent="0.3">
      <c r="A50" s="2"/>
      <c r="B50" s="65" t="str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>M016</v>
      </c>
      <c r="C50" s="61" t="s">
        <v>658</v>
      </c>
      <c r="D50" s="66">
        <v>46023</v>
      </c>
      <c r="E50" s="66"/>
      <c r="F50" s="60" t="s">
        <v>701</v>
      </c>
      <c r="G50" s="67">
        <v>3000</v>
      </c>
      <c r="H50" s="60" t="s">
        <v>571</v>
      </c>
      <c r="I50" s="68">
        <f t="shared" ca="1" si="0"/>
        <v>102000</v>
      </c>
      <c r="J50" s="68">
        <f t="shared" ca="1" si="1"/>
        <v>99000</v>
      </c>
      <c r="K50" s="68">
        <f t="shared" ca="1" si="2"/>
        <v>96000</v>
      </c>
      <c r="L50" s="68">
        <f t="shared" ca="1" si="3"/>
        <v>90000</v>
      </c>
      <c r="M50" s="69">
        <f t="shared" ca="1" si="4"/>
        <v>34</v>
      </c>
      <c r="N50" s="65" t="str">
        <f t="shared" si="5"/>
        <v>UYGUN</v>
      </c>
      <c r="O50" s="70">
        <f>IF(OR($C50="",$D50="",$F50=""),"",IF($F50="Aylık",EOMONTH($D50,0),($D50+MOD(SISTEM!$F$8-WEEKDAY($D50,2),7))))</f>
        <v>46025</v>
      </c>
      <c r="P50" s="61"/>
      <c r="Q50" s="2"/>
      <c r="R50" s="2"/>
      <c r="S50" s="1" t="str">
        <f>IF($B50="","",$B50&amp;"|"&amp;COUNTIFS($B$7:$B50,$B50))</f>
        <v>M016|1</v>
      </c>
      <c r="T50" s="1" t="str">
        <f t="shared" si="6"/>
        <v>RIXSOWLTDSTI</v>
      </c>
      <c r="U50" s="71">
        <f t="shared" si="7"/>
        <v>46025</v>
      </c>
      <c r="V50" s="1">
        <f t="shared" si="8"/>
        <v>2958465</v>
      </c>
      <c r="W50" s="1">
        <f t="shared" si="9"/>
        <v>1</v>
      </c>
      <c r="X50" s="1">
        <f t="shared" si="10"/>
        <v>1513</v>
      </c>
      <c r="Y50" s="1">
        <f t="shared" si="11"/>
        <v>97200</v>
      </c>
      <c r="Z50" s="1">
        <f t="shared" si="12"/>
        <v>1</v>
      </c>
      <c r="AA50" s="1">
        <f t="shared" si="13"/>
        <v>1</v>
      </c>
    </row>
    <row r="51" spans="1:27" ht="18" customHeight="1" x14ac:dyDescent="0.3">
      <c r="A51" s="2"/>
      <c r="B51" s="65" t="str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>M055</v>
      </c>
      <c r="C51" s="61" t="s">
        <v>660</v>
      </c>
      <c r="D51" s="66">
        <v>46023</v>
      </c>
      <c r="E51" s="66">
        <v>46173</v>
      </c>
      <c r="F51" s="60" t="s">
        <v>700</v>
      </c>
      <c r="G51" s="67">
        <v>2000</v>
      </c>
      <c r="H51" s="60" t="s">
        <v>638</v>
      </c>
      <c r="I51" s="68">
        <f t="shared" ca="1" si="0"/>
        <v>10000</v>
      </c>
      <c r="J51" s="68">
        <f t="shared" ca="1" si="1"/>
        <v>10000</v>
      </c>
      <c r="K51" s="68">
        <f t="shared" ca="1" si="2"/>
        <v>10000</v>
      </c>
      <c r="L51" s="68">
        <f t="shared" ca="1" si="3"/>
        <v>10000</v>
      </c>
      <c r="M51" s="69">
        <f t="shared" ca="1" si="4"/>
        <v>5</v>
      </c>
      <c r="N51" s="65" t="str">
        <f t="shared" si="5"/>
        <v>KAPALI DÖNEM</v>
      </c>
      <c r="O51" s="70">
        <f>IF(OR($C51="",$D51="",$F51=""),"",IF($F51="Aylık",EOMONTH($D51,0),($D51+MOD(SISTEM!$F$8-WEEKDAY($D51,2),7))))</f>
        <v>46053</v>
      </c>
      <c r="P51" s="61"/>
      <c r="Q51" s="2"/>
      <c r="R51" s="2"/>
      <c r="S51" s="1" t="str">
        <f>IF($B51="","",$B51&amp;"|"&amp;COUNTIFS($B$7:$B51,$B51))</f>
        <v>M055|1</v>
      </c>
      <c r="T51" s="1" t="str">
        <f t="shared" si="6"/>
        <v>SEMRAGUMUS</v>
      </c>
      <c r="U51" s="71">
        <f t="shared" si="7"/>
        <v>46053</v>
      </c>
      <c r="V51" s="71">
        <f t="shared" si="8"/>
        <v>46173</v>
      </c>
      <c r="W51" s="1">
        <f t="shared" si="9"/>
        <v>2</v>
      </c>
      <c r="X51" s="1">
        <f t="shared" si="10"/>
        <v>1513</v>
      </c>
      <c r="Y51" s="1">
        <f t="shared" si="11"/>
        <v>1517</v>
      </c>
      <c r="Z51" s="1">
        <f t="shared" si="12"/>
        <v>1</v>
      </c>
      <c r="AA51" s="1">
        <f t="shared" si="13"/>
        <v>0</v>
      </c>
    </row>
    <row r="52" spans="1:27" ht="18" customHeight="1" x14ac:dyDescent="0.3">
      <c r="A52" s="2"/>
      <c r="B52" s="65" t="str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>M049</v>
      </c>
      <c r="C52" s="61" t="s">
        <v>662</v>
      </c>
      <c r="D52" s="66">
        <v>46235</v>
      </c>
      <c r="E52" s="66"/>
      <c r="F52" s="60" t="s">
        <v>701</v>
      </c>
      <c r="G52" s="67">
        <v>3000</v>
      </c>
      <c r="H52" s="60" t="s">
        <v>571</v>
      </c>
      <c r="I52" s="68">
        <f t="shared" ca="1" si="0"/>
        <v>12000</v>
      </c>
      <c r="J52" s="68">
        <f t="shared" ca="1" si="1"/>
        <v>9000</v>
      </c>
      <c r="K52" s="68">
        <f t="shared" ca="1" si="2"/>
        <v>6000</v>
      </c>
      <c r="L52" s="68">
        <f t="shared" ca="1" si="3"/>
        <v>0</v>
      </c>
      <c r="M52" s="69">
        <f t="shared" ca="1" si="4"/>
        <v>4</v>
      </c>
      <c r="N52" s="65" t="str">
        <f t="shared" si="5"/>
        <v>UYGUN</v>
      </c>
      <c r="O52" s="70">
        <f>IF(OR($C52="",$D52="",$F52=""),"",IF($F52="Aylık",EOMONTH($D52,0),($D52+MOD(SISTEM!$F$8-WEEKDAY($D52,2),7))))</f>
        <v>46235</v>
      </c>
      <c r="P52" s="61"/>
      <c r="Q52" s="2"/>
      <c r="R52" s="2"/>
      <c r="S52" s="1" t="str">
        <f>IF($B52="","",$B52&amp;"|"&amp;COUNTIFS($B$7:$B52,$B52))</f>
        <v>M049|1</v>
      </c>
      <c r="T52" s="1" t="str">
        <f t="shared" si="6"/>
        <v>STARSOWLTDSTI</v>
      </c>
      <c r="U52" s="71">
        <f t="shared" si="7"/>
        <v>46235</v>
      </c>
      <c r="V52" s="1">
        <f t="shared" si="8"/>
        <v>2958465</v>
      </c>
      <c r="W52" s="1">
        <f t="shared" si="9"/>
        <v>1</v>
      </c>
      <c r="X52" s="1">
        <f t="shared" si="10"/>
        <v>1520</v>
      </c>
      <c r="Y52" s="1">
        <f t="shared" si="11"/>
        <v>97200</v>
      </c>
      <c r="Z52" s="1">
        <f t="shared" si="12"/>
        <v>1</v>
      </c>
      <c r="AA52" s="1">
        <f t="shared" si="13"/>
        <v>1</v>
      </c>
    </row>
    <row r="53" spans="1:27" ht="18" customHeight="1" x14ac:dyDescent="0.3">
      <c r="A53" s="2"/>
      <c r="B53" s="65" t="str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>M050</v>
      </c>
      <c r="C53" s="61" t="s">
        <v>664</v>
      </c>
      <c r="D53" s="66">
        <v>46023</v>
      </c>
      <c r="E53" s="66"/>
      <c r="F53" s="60" t="s">
        <v>701</v>
      </c>
      <c r="G53" s="67">
        <v>4000</v>
      </c>
      <c r="H53" s="60" t="s">
        <v>571</v>
      </c>
      <c r="I53" s="68">
        <f t="shared" ca="1" si="0"/>
        <v>136000</v>
      </c>
      <c r="J53" s="68">
        <f t="shared" ca="1" si="1"/>
        <v>132000</v>
      </c>
      <c r="K53" s="68">
        <f t="shared" ca="1" si="2"/>
        <v>128000</v>
      </c>
      <c r="L53" s="68">
        <f t="shared" ca="1" si="3"/>
        <v>120000</v>
      </c>
      <c r="M53" s="69">
        <f t="shared" ca="1" si="4"/>
        <v>34</v>
      </c>
      <c r="N53" s="65" t="str">
        <f t="shared" si="5"/>
        <v>UYGUN</v>
      </c>
      <c r="O53" s="70">
        <f>IF(OR($C53="",$D53="",$F53=""),"",IF($F53="Aylık",EOMONTH($D53,0),($D53+MOD(SISTEM!$F$8-WEEKDAY($D53,2),7))))</f>
        <v>46025</v>
      </c>
      <c r="P53" s="61"/>
      <c r="Q53" s="2"/>
      <c r="R53" s="2"/>
      <c r="S53" s="1" t="str">
        <f>IF($B53="","",$B53&amp;"|"&amp;COUNTIFS($B$7:$B53,$B53))</f>
        <v>M050|1</v>
      </c>
      <c r="T53" s="1" t="str">
        <f t="shared" si="6"/>
        <v>TANAKLTDSTI</v>
      </c>
      <c r="U53" s="71">
        <f t="shared" si="7"/>
        <v>46025</v>
      </c>
      <c r="V53" s="1">
        <f t="shared" si="8"/>
        <v>2958465</v>
      </c>
      <c r="W53" s="1">
        <f t="shared" si="9"/>
        <v>1</v>
      </c>
      <c r="X53" s="1">
        <f t="shared" si="10"/>
        <v>1513</v>
      </c>
      <c r="Y53" s="1">
        <f t="shared" si="11"/>
        <v>97200</v>
      </c>
      <c r="Z53" s="1">
        <f t="shared" si="12"/>
        <v>1</v>
      </c>
      <c r="AA53" s="1">
        <f t="shared" si="13"/>
        <v>1</v>
      </c>
    </row>
    <row r="54" spans="1:27" ht="18" customHeight="1" x14ac:dyDescent="0.3">
      <c r="A54" s="2"/>
      <c r="B54" s="65" t="str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>M003</v>
      </c>
      <c r="C54" s="61" t="s">
        <v>666</v>
      </c>
      <c r="D54" s="66">
        <v>46023</v>
      </c>
      <c r="E54" s="66"/>
      <c r="F54" s="60" t="s">
        <v>701</v>
      </c>
      <c r="G54" s="67">
        <v>4000</v>
      </c>
      <c r="H54" s="60" t="s">
        <v>571</v>
      </c>
      <c r="I54" s="68">
        <f t="shared" ca="1" si="0"/>
        <v>136000</v>
      </c>
      <c r="J54" s="68">
        <f t="shared" ca="1" si="1"/>
        <v>132000</v>
      </c>
      <c r="K54" s="68">
        <f t="shared" ca="1" si="2"/>
        <v>128000</v>
      </c>
      <c r="L54" s="68">
        <f t="shared" ca="1" si="3"/>
        <v>120000</v>
      </c>
      <c r="M54" s="69">
        <f t="shared" ca="1" si="4"/>
        <v>34</v>
      </c>
      <c r="N54" s="65" t="str">
        <f t="shared" si="5"/>
        <v>UYGUN</v>
      </c>
      <c r="O54" s="70">
        <f>IF(OR($C54="",$D54="",$F54=""),"",IF($F54="Aylık",EOMONTH($D54,0),($D54+MOD(SISTEM!$F$8-WEEKDAY($D54,2),7))))</f>
        <v>46025</v>
      </c>
      <c r="P54" s="61"/>
      <c r="Q54" s="2"/>
      <c r="R54" s="2"/>
      <c r="S54" s="1" t="str">
        <f>IF($B54="","",$B54&amp;"|"&amp;COUNTIFS($B$7:$B54,$B54))</f>
        <v>M003|1</v>
      </c>
      <c r="T54" s="1" t="str">
        <f t="shared" si="6"/>
        <v>TYANALTDSTI</v>
      </c>
      <c r="U54" s="71">
        <f t="shared" si="7"/>
        <v>46025</v>
      </c>
      <c r="V54" s="1">
        <f t="shared" si="8"/>
        <v>2958465</v>
      </c>
      <c r="W54" s="1">
        <f t="shared" si="9"/>
        <v>1</v>
      </c>
      <c r="X54" s="1">
        <f t="shared" si="10"/>
        <v>1513</v>
      </c>
      <c r="Y54" s="1">
        <f t="shared" si="11"/>
        <v>97200</v>
      </c>
      <c r="Z54" s="1">
        <f t="shared" si="12"/>
        <v>1</v>
      </c>
      <c r="AA54" s="1">
        <f t="shared" si="13"/>
        <v>1</v>
      </c>
    </row>
    <row r="55" spans="1:27" ht="18" customHeight="1" x14ac:dyDescent="0.3">
      <c r="A55" s="2"/>
      <c r="B55" s="65" t="str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>M051</v>
      </c>
      <c r="C55" s="61" t="s">
        <v>668</v>
      </c>
      <c r="D55" s="66">
        <v>46023</v>
      </c>
      <c r="E55" s="66"/>
      <c r="F55" s="60" t="s">
        <v>700</v>
      </c>
      <c r="G55" s="67">
        <v>3000</v>
      </c>
      <c r="H55" s="60" t="s">
        <v>571</v>
      </c>
      <c r="I55" s="68">
        <f t="shared" ca="1" si="0"/>
        <v>21000</v>
      </c>
      <c r="J55" s="68">
        <f t="shared" ca="1" si="1"/>
        <v>21000</v>
      </c>
      <c r="K55" s="68">
        <f t="shared" ca="1" si="2"/>
        <v>21000</v>
      </c>
      <c r="L55" s="68">
        <f t="shared" ca="1" si="3"/>
        <v>18000</v>
      </c>
      <c r="M55" s="69">
        <f t="shared" ca="1" si="4"/>
        <v>7</v>
      </c>
      <c r="N55" s="65" t="str">
        <f t="shared" si="5"/>
        <v>UYGUN</v>
      </c>
      <c r="O55" s="70">
        <f>IF(OR($C55="",$D55="",$F55=""),"",IF($F55="Aylık",EOMONTH($D55,0),($D55+MOD(SISTEM!$F$8-WEEKDAY($D55,2),7))))</f>
        <v>46053</v>
      </c>
      <c r="P55" s="61"/>
      <c r="Q55" s="2"/>
      <c r="R55" s="2"/>
      <c r="S55" s="1" t="str">
        <f>IF($B55="","",$B55&amp;"|"&amp;COUNTIFS($B$7:$B55,$B55))</f>
        <v>M051|1</v>
      </c>
      <c r="T55" s="1" t="str">
        <f t="shared" si="6"/>
        <v>UFUKYILMAZ</v>
      </c>
      <c r="U55" s="71">
        <f t="shared" si="7"/>
        <v>46053</v>
      </c>
      <c r="V55" s="1">
        <f t="shared" si="8"/>
        <v>2958465</v>
      </c>
      <c r="W55" s="1">
        <f t="shared" si="9"/>
        <v>2</v>
      </c>
      <c r="X55" s="1">
        <f t="shared" si="10"/>
        <v>1513</v>
      </c>
      <c r="Y55" s="1">
        <f t="shared" si="11"/>
        <v>97200</v>
      </c>
      <c r="Z55" s="1">
        <f t="shared" si="12"/>
        <v>1</v>
      </c>
      <c r="AA55" s="1">
        <f t="shared" si="13"/>
        <v>1</v>
      </c>
    </row>
    <row r="56" spans="1:27" ht="18" customHeight="1" x14ac:dyDescent="0.3">
      <c r="A56" s="2"/>
      <c r="B56" s="65" t="str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>M052</v>
      </c>
      <c r="C56" s="61" t="s">
        <v>670</v>
      </c>
      <c r="D56" s="66">
        <v>46204</v>
      </c>
      <c r="E56" s="66"/>
      <c r="F56" s="60" t="s">
        <v>700</v>
      </c>
      <c r="G56" s="67">
        <v>10000</v>
      </c>
      <c r="H56" s="60" t="s">
        <v>571</v>
      </c>
      <c r="I56" s="68">
        <f t="shared" ca="1" si="0"/>
        <v>10000</v>
      </c>
      <c r="J56" s="68">
        <f t="shared" ca="1" si="1"/>
        <v>10000</v>
      </c>
      <c r="K56" s="68">
        <f t="shared" ca="1" si="2"/>
        <v>10000</v>
      </c>
      <c r="L56" s="68">
        <f t="shared" ca="1" si="3"/>
        <v>0</v>
      </c>
      <c r="M56" s="69">
        <f t="shared" ca="1" si="4"/>
        <v>1</v>
      </c>
      <c r="N56" s="65" t="str">
        <f t="shared" si="5"/>
        <v>UYGUN</v>
      </c>
      <c r="O56" s="70">
        <f>IF(OR($C56="",$D56="",$F56=""),"",IF($F56="Aylık",EOMONTH($D56,0),($D56+MOD(SISTEM!$F$8-WEEKDAY($D56,2),7))))</f>
        <v>46234</v>
      </c>
      <c r="P56" s="61"/>
      <c r="Q56" s="2"/>
      <c r="R56" s="2"/>
      <c r="S56" s="1" t="str">
        <f>IF($B56="","",$B56&amp;"|"&amp;COUNTIFS($B$7:$B56,$B56))</f>
        <v>M052|1</v>
      </c>
      <c r="T56" s="1" t="str">
        <f t="shared" si="6"/>
        <v>VANOLYASULTDSTI</v>
      </c>
      <c r="U56" s="71">
        <f t="shared" si="7"/>
        <v>46234</v>
      </c>
      <c r="V56" s="1">
        <f t="shared" si="8"/>
        <v>2958465</v>
      </c>
      <c r="W56" s="1">
        <f t="shared" si="9"/>
        <v>2</v>
      </c>
      <c r="X56" s="1">
        <f t="shared" si="10"/>
        <v>1519</v>
      </c>
      <c r="Y56" s="1">
        <f t="shared" si="11"/>
        <v>97200</v>
      </c>
      <c r="Z56" s="1">
        <f t="shared" si="12"/>
        <v>1</v>
      </c>
      <c r="AA56" s="1">
        <f t="shared" si="13"/>
        <v>1</v>
      </c>
    </row>
    <row r="57" spans="1:27" ht="18" customHeight="1" x14ac:dyDescent="0.3">
      <c r="A57" s="2"/>
      <c r="B57" s="65" t="str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>M006</v>
      </c>
      <c r="C57" s="61" t="s">
        <v>672</v>
      </c>
      <c r="D57" s="66">
        <v>46023</v>
      </c>
      <c r="E57" s="66"/>
      <c r="F57" s="60" t="s">
        <v>701</v>
      </c>
      <c r="G57" s="67">
        <v>1000</v>
      </c>
      <c r="H57" s="60" t="s">
        <v>571</v>
      </c>
      <c r="I57" s="68">
        <f t="shared" ca="1" si="0"/>
        <v>34000</v>
      </c>
      <c r="J57" s="68">
        <f t="shared" ca="1" si="1"/>
        <v>33000</v>
      </c>
      <c r="K57" s="68">
        <f t="shared" ca="1" si="2"/>
        <v>32000</v>
      </c>
      <c r="L57" s="68">
        <f t="shared" ca="1" si="3"/>
        <v>30000</v>
      </c>
      <c r="M57" s="69">
        <f t="shared" ca="1" si="4"/>
        <v>34</v>
      </c>
      <c r="N57" s="65" t="str">
        <f t="shared" si="5"/>
        <v>UYGUN</v>
      </c>
      <c r="O57" s="70">
        <f>IF(OR($C57="",$D57="",$F57=""),"",IF($F57="Aylık",EOMONTH($D57,0),($D57+MOD(SISTEM!$F$8-WEEKDAY($D57,2),7))))</f>
        <v>46025</v>
      </c>
      <c r="P57" s="61"/>
      <c r="Q57" s="2"/>
      <c r="R57" s="2"/>
      <c r="S57" s="1" t="str">
        <f>IF($B57="","",$B57&amp;"|"&amp;COUNTIFS($B$7:$B57,$B57))</f>
        <v>M006|1</v>
      </c>
      <c r="T57" s="1" t="str">
        <f t="shared" si="6"/>
        <v>VOLKANACIK</v>
      </c>
      <c r="U57" s="71">
        <f t="shared" si="7"/>
        <v>46025</v>
      </c>
      <c r="V57" s="1">
        <f t="shared" si="8"/>
        <v>2958465</v>
      </c>
      <c r="W57" s="1">
        <f t="shared" si="9"/>
        <v>1</v>
      </c>
      <c r="X57" s="1">
        <f t="shared" si="10"/>
        <v>1513</v>
      </c>
      <c r="Y57" s="1">
        <f t="shared" si="11"/>
        <v>97200</v>
      </c>
      <c r="Z57" s="1">
        <f t="shared" si="12"/>
        <v>1</v>
      </c>
      <c r="AA57" s="1">
        <f t="shared" si="13"/>
        <v>1</v>
      </c>
    </row>
    <row r="58" spans="1:27" ht="18" customHeight="1" x14ac:dyDescent="0.3">
      <c r="A58" s="2"/>
      <c r="B58" s="65" t="str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>M054</v>
      </c>
      <c r="C58" s="61" t="s">
        <v>674</v>
      </c>
      <c r="D58" s="66">
        <v>46023</v>
      </c>
      <c r="E58" s="66">
        <v>46203</v>
      </c>
      <c r="F58" s="60" t="s">
        <v>701</v>
      </c>
      <c r="G58" s="67">
        <v>4000</v>
      </c>
      <c r="H58" s="60" t="s">
        <v>638</v>
      </c>
      <c r="I58" s="68">
        <f t="shared" ca="1" si="0"/>
        <v>104000</v>
      </c>
      <c r="J58" s="68">
        <f t="shared" ca="1" si="1"/>
        <v>104000</v>
      </c>
      <c r="K58" s="68">
        <f t="shared" ca="1" si="2"/>
        <v>104000</v>
      </c>
      <c r="L58" s="68">
        <f t="shared" ca="1" si="3"/>
        <v>104000</v>
      </c>
      <c r="M58" s="69">
        <f t="shared" ca="1" si="4"/>
        <v>26</v>
      </c>
      <c r="N58" s="65" t="str">
        <f t="shared" si="5"/>
        <v>KAPALI DÖNEM</v>
      </c>
      <c r="O58" s="70">
        <f>IF(OR($C58="",$D58="",$F58=""),"",IF($F58="Aylık",EOMONTH($D58,0),($D58+MOD(SISTEM!$F$8-WEEKDAY($D58,2),7))))</f>
        <v>46025</v>
      </c>
      <c r="P58" s="61"/>
      <c r="Q58" s="2"/>
      <c r="R58" s="2"/>
      <c r="S58" s="1" t="str">
        <f>IF($B58="","",$B58&amp;"|"&amp;COUNTIFS($B$7:$B58,$B58))</f>
        <v>M054|1</v>
      </c>
      <c r="T58" s="1" t="str">
        <f t="shared" si="6"/>
        <v>YALIKENTLTDSTI</v>
      </c>
      <c r="U58" s="71">
        <f t="shared" si="7"/>
        <v>46025</v>
      </c>
      <c r="V58" s="71">
        <f t="shared" si="8"/>
        <v>46203</v>
      </c>
      <c r="W58" s="1">
        <f t="shared" si="9"/>
        <v>1</v>
      </c>
      <c r="X58" s="1">
        <f t="shared" si="10"/>
        <v>1513</v>
      </c>
      <c r="Y58" s="1">
        <f t="shared" si="11"/>
        <v>1518</v>
      </c>
      <c r="Z58" s="1">
        <f t="shared" si="12"/>
        <v>1</v>
      </c>
      <c r="AA58" s="1">
        <f t="shared" si="13"/>
        <v>0</v>
      </c>
    </row>
    <row r="59" spans="1:27" ht="18" customHeight="1" x14ac:dyDescent="0.3">
      <c r="A59" s="2"/>
      <c r="B59" s="65" t="str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>M053</v>
      </c>
      <c r="C59" s="61" t="s">
        <v>676</v>
      </c>
      <c r="D59" s="66">
        <v>46023</v>
      </c>
      <c r="E59" s="66"/>
      <c r="F59" s="60" t="s">
        <v>700</v>
      </c>
      <c r="G59" s="67">
        <v>10000</v>
      </c>
      <c r="H59" s="60" t="s">
        <v>571</v>
      </c>
      <c r="I59" s="68">
        <f t="shared" ca="1" si="0"/>
        <v>70000</v>
      </c>
      <c r="J59" s="68">
        <f t="shared" ca="1" si="1"/>
        <v>70000</v>
      </c>
      <c r="K59" s="68">
        <f t="shared" ca="1" si="2"/>
        <v>70000</v>
      </c>
      <c r="L59" s="68">
        <f t="shared" ca="1" si="3"/>
        <v>60000</v>
      </c>
      <c r="M59" s="69">
        <f t="shared" ca="1" si="4"/>
        <v>7</v>
      </c>
      <c r="N59" s="65" t="str">
        <f t="shared" si="5"/>
        <v>UYGUN</v>
      </c>
      <c r="O59" s="70">
        <f>IF(OR($C59="",$D59="",$F59=""),"",IF($F59="Aylık",EOMONTH($D59,0),($D59+MOD(SISTEM!$F$8-WEEKDAY($D59,2),7))))</f>
        <v>46053</v>
      </c>
      <c r="P59" s="61"/>
      <c r="Q59" s="2"/>
      <c r="R59" s="2"/>
      <c r="S59" s="1" t="str">
        <f>IF($B59="","",$B59&amp;"|"&amp;COUNTIFS($B$7:$B59,$B59))</f>
        <v>M053|1</v>
      </c>
      <c r="T59" s="1" t="str">
        <f t="shared" si="6"/>
        <v>YEDIYIRMIDORTLTDSTI</v>
      </c>
      <c r="U59" s="71">
        <f t="shared" si="7"/>
        <v>46053</v>
      </c>
      <c r="V59" s="1">
        <f t="shared" si="8"/>
        <v>2958465</v>
      </c>
      <c r="W59" s="1">
        <f t="shared" si="9"/>
        <v>2</v>
      </c>
      <c r="X59" s="1">
        <f t="shared" si="10"/>
        <v>1513</v>
      </c>
      <c r="Y59" s="1">
        <f t="shared" si="11"/>
        <v>97200</v>
      </c>
      <c r="Z59" s="1">
        <f t="shared" si="12"/>
        <v>1</v>
      </c>
      <c r="AA59" s="1">
        <f t="shared" si="13"/>
        <v>1</v>
      </c>
    </row>
    <row r="60" spans="1:27" ht="18" customHeight="1" x14ac:dyDescent="0.3">
      <c r="A60" s="2"/>
      <c r="B60" s="65" t="str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>M004</v>
      </c>
      <c r="C60" s="61" t="s">
        <v>678</v>
      </c>
      <c r="D60" s="66">
        <v>46023</v>
      </c>
      <c r="E60" s="66"/>
      <c r="F60" s="60" t="s">
        <v>701</v>
      </c>
      <c r="G60" s="67">
        <v>3000</v>
      </c>
      <c r="H60" s="60" t="s">
        <v>571</v>
      </c>
      <c r="I60" s="68">
        <f t="shared" ca="1" si="0"/>
        <v>102000</v>
      </c>
      <c r="J60" s="68">
        <f t="shared" ca="1" si="1"/>
        <v>99000</v>
      </c>
      <c r="K60" s="68">
        <f t="shared" ca="1" si="2"/>
        <v>96000</v>
      </c>
      <c r="L60" s="68">
        <f t="shared" ca="1" si="3"/>
        <v>90000</v>
      </c>
      <c r="M60" s="69">
        <f t="shared" ca="1" si="4"/>
        <v>34</v>
      </c>
      <c r="N60" s="65" t="str">
        <f t="shared" si="5"/>
        <v>UYGUN</v>
      </c>
      <c r="O60" s="70">
        <f>IF(OR($C60="",$D60="",$F60=""),"",IF($F60="Aylık",EOMONTH($D60,0),($D60+MOD(SISTEM!$F$8-WEEKDAY($D60,2),7))))</f>
        <v>46025</v>
      </c>
      <c r="P60" s="61"/>
      <c r="Q60" s="2"/>
      <c r="R60" s="2"/>
      <c r="S60" s="1" t="str">
        <f>IF($B60="","",$B60&amp;"|"&amp;COUNTIFS($B$7:$B60,$B60))</f>
        <v>M004|1</v>
      </c>
      <c r="T60" s="1" t="str">
        <f t="shared" si="6"/>
        <v>ZUMRUTEGLENCELTDSTI</v>
      </c>
      <c r="U60" s="71">
        <f t="shared" si="7"/>
        <v>46025</v>
      </c>
      <c r="V60" s="1">
        <f t="shared" si="8"/>
        <v>2958465</v>
      </c>
      <c r="W60" s="1">
        <f t="shared" si="9"/>
        <v>1</v>
      </c>
      <c r="X60" s="1">
        <f t="shared" si="10"/>
        <v>1513</v>
      </c>
      <c r="Y60" s="1">
        <f t="shared" si="11"/>
        <v>97200</v>
      </c>
      <c r="Z60" s="1">
        <f t="shared" si="12"/>
        <v>1</v>
      </c>
      <c r="AA60" s="1">
        <f t="shared" si="13"/>
        <v>1</v>
      </c>
    </row>
    <row r="61" spans="1:27" ht="18" customHeight="1" x14ac:dyDescent="0.3">
      <c r="A61" s="2"/>
      <c r="B61" s="65" t="str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>M005</v>
      </c>
      <c r="C61" s="61" t="s">
        <v>680</v>
      </c>
      <c r="D61" s="66">
        <v>46023</v>
      </c>
      <c r="E61" s="66"/>
      <c r="F61" s="60" t="s">
        <v>701</v>
      </c>
      <c r="G61" s="67">
        <v>1750</v>
      </c>
      <c r="H61" s="60" t="s">
        <v>571</v>
      </c>
      <c r="I61" s="68">
        <f t="shared" ca="1" si="0"/>
        <v>59500</v>
      </c>
      <c r="J61" s="68">
        <f t="shared" ca="1" si="1"/>
        <v>57750</v>
      </c>
      <c r="K61" s="68">
        <f t="shared" ca="1" si="2"/>
        <v>56000</v>
      </c>
      <c r="L61" s="68">
        <f t="shared" ca="1" si="3"/>
        <v>52500</v>
      </c>
      <c r="M61" s="69">
        <f t="shared" ca="1" si="4"/>
        <v>34</v>
      </c>
      <c r="N61" s="65" t="str">
        <f t="shared" si="5"/>
        <v>UYGUN</v>
      </c>
      <c r="O61" s="70">
        <f>IF(OR($C61="",$D61="",$F61=""),"",IF($F61="Aylık",EOMONTH($D61,0),($D61+MOD(SISTEM!$F$8-WEEKDAY($D61,2),7))))</f>
        <v>46025</v>
      </c>
      <c r="P61" s="61"/>
      <c r="Q61" s="2"/>
      <c r="R61" s="2"/>
      <c r="S61" s="1" t="str">
        <f>IF($B61="","",$B61&amp;"|"&amp;COUNTIFS($B$7:$B61,$B61))</f>
        <v>M005|1</v>
      </c>
      <c r="T61" s="1" t="str">
        <f t="shared" si="6"/>
        <v>ZUMRUTGRUPLTDSTI</v>
      </c>
      <c r="U61" s="71">
        <f t="shared" si="7"/>
        <v>46025</v>
      </c>
      <c r="V61" s="1">
        <f t="shared" si="8"/>
        <v>2958465</v>
      </c>
      <c r="W61" s="1">
        <f t="shared" si="9"/>
        <v>1</v>
      </c>
      <c r="X61" s="1">
        <f t="shared" si="10"/>
        <v>1513</v>
      </c>
      <c r="Y61" s="1">
        <f t="shared" si="11"/>
        <v>97200</v>
      </c>
      <c r="Z61" s="1">
        <f t="shared" si="12"/>
        <v>1</v>
      </c>
      <c r="AA61" s="1">
        <f t="shared" si="13"/>
        <v>1</v>
      </c>
    </row>
    <row r="62" spans="1:27" ht="18" customHeight="1" x14ac:dyDescent="0.3">
      <c r="A62" s="2"/>
      <c r="B62" s="65" t="str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>M018</v>
      </c>
      <c r="C62" s="61" t="s">
        <v>593</v>
      </c>
      <c r="D62" s="66">
        <v>46249</v>
      </c>
      <c r="E62" s="66"/>
      <c r="F62" s="60" t="s">
        <v>701</v>
      </c>
      <c r="G62" s="67">
        <v>4000</v>
      </c>
      <c r="H62" s="60" t="s">
        <v>571</v>
      </c>
      <c r="I62" s="68">
        <f t="shared" ca="1" si="0"/>
        <v>8000</v>
      </c>
      <c r="J62" s="68">
        <f t="shared" ca="1" si="1"/>
        <v>4000</v>
      </c>
      <c r="K62" s="68">
        <f t="shared" ca="1" si="2"/>
        <v>0</v>
      </c>
      <c r="L62" s="68">
        <f t="shared" ca="1" si="3"/>
        <v>0</v>
      </c>
      <c r="M62" s="69">
        <f t="shared" ca="1" si="4"/>
        <v>2</v>
      </c>
      <c r="N62" s="65" t="str">
        <f t="shared" si="5"/>
        <v>UYGUN</v>
      </c>
      <c r="O62" s="70">
        <f>IF(OR($C62="",$D62="",$F62=""),"",IF($F62="Aylık",EOMONTH($D62,0),($D62+MOD(SISTEM!$F$8-WEEKDAY($D62,2),7))))</f>
        <v>46249</v>
      </c>
      <c r="P62" s="61"/>
      <c r="Q62" s="2"/>
      <c r="R62" s="2"/>
      <c r="S62" s="1" t="str">
        <f>IF($B62="","",$B62&amp;"|"&amp;COUNTIFS($B$7:$B62,$B62))</f>
        <v>M018|2</v>
      </c>
      <c r="T62" s="1" t="str">
        <f t="shared" si="6"/>
        <v>CINARHANLTDSTI</v>
      </c>
      <c r="U62" s="71">
        <f t="shared" si="7"/>
        <v>46249</v>
      </c>
      <c r="V62" s="1">
        <f t="shared" si="8"/>
        <v>2958465</v>
      </c>
      <c r="W62" s="1">
        <f t="shared" si="9"/>
        <v>1</v>
      </c>
      <c r="X62" s="1">
        <f t="shared" si="10"/>
        <v>1520</v>
      </c>
      <c r="Y62" s="1">
        <f t="shared" si="11"/>
        <v>97200</v>
      </c>
      <c r="Z62" s="1">
        <f t="shared" si="12"/>
        <v>1</v>
      </c>
      <c r="AA62" s="1">
        <f t="shared" si="13"/>
        <v>1</v>
      </c>
    </row>
    <row r="63" spans="1:27" ht="18" customHeight="1" x14ac:dyDescent="0.3">
      <c r="A63" s="2"/>
      <c r="B63" s="65" t="str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>M011</v>
      </c>
      <c r="C63" s="61" t="s">
        <v>597</v>
      </c>
      <c r="D63" s="66">
        <v>46110</v>
      </c>
      <c r="E63" s="66"/>
      <c r="F63" s="60" t="s">
        <v>701</v>
      </c>
      <c r="G63" s="67">
        <v>4000</v>
      </c>
      <c r="H63" s="60" t="s">
        <v>571</v>
      </c>
      <c r="I63" s="68">
        <f t="shared" ca="1" si="0"/>
        <v>84000</v>
      </c>
      <c r="J63" s="68">
        <f t="shared" ca="1" si="1"/>
        <v>80000</v>
      </c>
      <c r="K63" s="68">
        <f t="shared" ca="1" si="2"/>
        <v>76000</v>
      </c>
      <c r="L63" s="68">
        <f t="shared" ca="1" si="3"/>
        <v>68000</v>
      </c>
      <c r="M63" s="69">
        <f t="shared" ca="1" si="4"/>
        <v>21</v>
      </c>
      <c r="N63" s="65" t="str">
        <f t="shared" si="5"/>
        <v>UYGUN</v>
      </c>
      <c r="O63" s="70">
        <f>IF(OR($C63="",$D63="",$F63=""),"",IF($F63="Aylık",EOMONTH($D63,0),($D63+MOD(SISTEM!$F$8-WEEKDAY($D63,2),7))))</f>
        <v>46116</v>
      </c>
      <c r="P63" s="61"/>
      <c r="Q63" s="2"/>
      <c r="R63" s="2"/>
      <c r="S63" s="1" t="str">
        <f>IF($B63="","",$B63&amp;"|"&amp;COUNTIFS($B$7:$B63,$B63))</f>
        <v>M011|2</v>
      </c>
      <c r="T63" s="1" t="str">
        <f t="shared" si="6"/>
        <v>EGLENGORLTDSTI</v>
      </c>
      <c r="U63" s="71">
        <f t="shared" si="7"/>
        <v>46116</v>
      </c>
      <c r="V63" s="1">
        <f t="shared" si="8"/>
        <v>2958465</v>
      </c>
      <c r="W63" s="1">
        <f t="shared" si="9"/>
        <v>1</v>
      </c>
      <c r="X63" s="1">
        <f t="shared" si="10"/>
        <v>1516</v>
      </c>
      <c r="Y63" s="1">
        <f t="shared" si="11"/>
        <v>97200</v>
      </c>
      <c r="Z63" s="1">
        <f t="shared" si="12"/>
        <v>1</v>
      </c>
      <c r="AA63" s="1">
        <f t="shared" si="13"/>
        <v>1</v>
      </c>
    </row>
    <row r="64" spans="1:27" ht="18" customHeight="1" x14ac:dyDescent="0.3">
      <c r="A64" s="2"/>
      <c r="B64" s="65" t="str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>M014</v>
      </c>
      <c r="C64" s="61" t="s">
        <v>605</v>
      </c>
      <c r="D64" s="66">
        <v>46116</v>
      </c>
      <c r="E64" s="66"/>
      <c r="F64" s="60" t="s">
        <v>701</v>
      </c>
      <c r="G64" s="67">
        <v>4000</v>
      </c>
      <c r="H64" s="60" t="s">
        <v>571</v>
      </c>
      <c r="I64" s="68">
        <f t="shared" ca="1" si="0"/>
        <v>84000</v>
      </c>
      <c r="J64" s="68">
        <f t="shared" ca="1" si="1"/>
        <v>80000</v>
      </c>
      <c r="K64" s="68">
        <f t="shared" ca="1" si="2"/>
        <v>76000</v>
      </c>
      <c r="L64" s="68">
        <f t="shared" ca="1" si="3"/>
        <v>68000</v>
      </c>
      <c r="M64" s="69">
        <f t="shared" ca="1" si="4"/>
        <v>21</v>
      </c>
      <c r="N64" s="65" t="str">
        <f t="shared" si="5"/>
        <v>UYGUN</v>
      </c>
      <c r="O64" s="70">
        <f>IF(OR($C64="",$D64="",$F64=""),"",IF($F64="Aylık",EOMONTH($D64,0),($D64+MOD(SISTEM!$F$8-WEEKDAY($D64,2),7))))</f>
        <v>46116</v>
      </c>
      <c r="P64" s="61"/>
      <c r="Q64" s="2"/>
      <c r="R64" s="2"/>
      <c r="S64" s="1" t="str">
        <f>IF($B64="","",$B64&amp;"|"&amp;COUNTIFS($B$7:$B64,$B64))</f>
        <v>M014|2</v>
      </c>
      <c r="T64" s="1" t="str">
        <f t="shared" si="6"/>
        <v>FINALSIYAHBEYAZLTDSTI</v>
      </c>
      <c r="U64" s="71">
        <f t="shared" si="7"/>
        <v>46116</v>
      </c>
      <c r="V64" s="1">
        <f t="shared" si="8"/>
        <v>2958465</v>
      </c>
      <c r="W64" s="1">
        <f t="shared" si="9"/>
        <v>1</v>
      </c>
      <c r="X64" s="1">
        <f t="shared" si="10"/>
        <v>1516</v>
      </c>
      <c r="Y64" s="1">
        <f t="shared" si="11"/>
        <v>97200</v>
      </c>
      <c r="Z64" s="1">
        <f t="shared" si="12"/>
        <v>1</v>
      </c>
      <c r="AA64" s="1">
        <f t="shared" si="13"/>
        <v>1</v>
      </c>
    </row>
    <row r="65" spans="1:27" ht="18" customHeight="1" x14ac:dyDescent="0.3">
      <c r="A65" s="2"/>
      <c r="B65" s="65" t="str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>M034</v>
      </c>
      <c r="C65" s="61" t="s">
        <v>611</v>
      </c>
      <c r="D65" s="66">
        <v>46082</v>
      </c>
      <c r="E65" s="66"/>
      <c r="F65" s="60" t="s">
        <v>701</v>
      </c>
      <c r="G65" s="67">
        <v>4000</v>
      </c>
      <c r="H65" s="60" t="s">
        <v>571</v>
      </c>
      <c r="I65" s="68">
        <f t="shared" ca="1" si="0"/>
        <v>100000</v>
      </c>
      <c r="J65" s="68">
        <f t="shared" ca="1" si="1"/>
        <v>96000</v>
      </c>
      <c r="K65" s="68">
        <f t="shared" ca="1" si="2"/>
        <v>92000</v>
      </c>
      <c r="L65" s="68">
        <f t="shared" ca="1" si="3"/>
        <v>84000</v>
      </c>
      <c r="M65" s="69">
        <f t="shared" ca="1" si="4"/>
        <v>25</v>
      </c>
      <c r="N65" s="65" t="str">
        <f t="shared" si="5"/>
        <v>UYGUN</v>
      </c>
      <c r="O65" s="70">
        <f>IF(OR($C65="",$D65="",$F65=""),"",IF($F65="Aylık",EOMONTH($D65,0),($D65+MOD(SISTEM!$F$8-WEEKDAY($D65,2),7))))</f>
        <v>46088</v>
      </c>
      <c r="P65" s="61"/>
      <c r="Q65" s="2"/>
      <c r="R65" s="2"/>
      <c r="S65" s="1" t="str">
        <f>IF($B65="","",$B65&amp;"|"&amp;COUNTIFS($B$7:$B65,$B65))</f>
        <v>M034|2</v>
      </c>
      <c r="T65" s="1" t="str">
        <f t="shared" si="6"/>
        <v>IBRAHIMMALDAN</v>
      </c>
      <c r="U65" s="71">
        <f t="shared" si="7"/>
        <v>46088</v>
      </c>
      <c r="V65" s="1">
        <f t="shared" si="8"/>
        <v>2958465</v>
      </c>
      <c r="W65" s="1">
        <f t="shared" si="9"/>
        <v>1</v>
      </c>
      <c r="X65" s="1">
        <f t="shared" si="10"/>
        <v>1515</v>
      </c>
      <c r="Y65" s="1">
        <f t="shared" si="11"/>
        <v>97200</v>
      </c>
      <c r="Z65" s="1">
        <f t="shared" si="12"/>
        <v>1</v>
      </c>
      <c r="AA65" s="1">
        <f t="shared" si="13"/>
        <v>1</v>
      </c>
    </row>
    <row r="66" spans="1:27" ht="18" customHeight="1" x14ac:dyDescent="0.3">
      <c r="A66" s="2"/>
      <c r="B66" s="65" t="str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>M012</v>
      </c>
      <c r="C66" s="61" t="s">
        <v>613</v>
      </c>
      <c r="D66" s="66">
        <v>46113</v>
      </c>
      <c r="E66" s="66">
        <v>46173</v>
      </c>
      <c r="F66" s="60" t="s">
        <v>701</v>
      </c>
      <c r="G66" s="67">
        <v>4000</v>
      </c>
      <c r="H66" s="60" t="s">
        <v>638</v>
      </c>
      <c r="I66" s="68">
        <f t="shared" ca="1" si="0"/>
        <v>36000</v>
      </c>
      <c r="J66" s="68">
        <f t="shared" ca="1" si="1"/>
        <v>36000</v>
      </c>
      <c r="K66" s="68">
        <f t="shared" ca="1" si="2"/>
        <v>36000</v>
      </c>
      <c r="L66" s="68">
        <f t="shared" ca="1" si="3"/>
        <v>36000</v>
      </c>
      <c r="M66" s="69">
        <f t="shared" ca="1" si="4"/>
        <v>9</v>
      </c>
      <c r="N66" s="65" t="str">
        <f t="shared" si="5"/>
        <v>KAPALI DÖNEM</v>
      </c>
      <c r="O66" s="70">
        <f>IF(OR($C66="",$D66="",$F66=""),"",IF($F66="Aylık",EOMONTH($D66,0),($D66+MOD(SISTEM!$F$8-WEEKDAY($D66,2),7))))</f>
        <v>46116</v>
      </c>
      <c r="P66" s="61"/>
      <c r="Q66" s="2"/>
      <c r="R66" s="2"/>
      <c r="S66" s="1" t="str">
        <f>IF($B66="","",$B66&amp;"|"&amp;COUNTIFS($B$7:$B66,$B66))</f>
        <v>M012|2</v>
      </c>
      <c r="T66" s="1" t="str">
        <f t="shared" si="6"/>
        <v>ILDESLTDSTI</v>
      </c>
      <c r="U66" s="71">
        <f t="shared" si="7"/>
        <v>46116</v>
      </c>
      <c r="V66" s="71">
        <f t="shared" si="8"/>
        <v>46173</v>
      </c>
      <c r="W66" s="1">
        <f t="shared" si="9"/>
        <v>1</v>
      </c>
      <c r="X66" s="1">
        <f t="shared" si="10"/>
        <v>1516</v>
      </c>
      <c r="Y66" s="1">
        <f t="shared" si="11"/>
        <v>1517</v>
      </c>
      <c r="Z66" s="1">
        <f t="shared" si="12"/>
        <v>1</v>
      </c>
      <c r="AA66" s="1">
        <f t="shared" si="13"/>
        <v>0</v>
      </c>
    </row>
    <row r="67" spans="1:27" ht="18" customHeight="1" x14ac:dyDescent="0.3">
      <c r="A67" s="2"/>
      <c r="B67" s="65" t="str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>M047</v>
      </c>
      <c r="C67" s="61" t="s">
        <v>654</v>
      </c>
      <c r="D67" s="66">
        <v>46179</v>
      </c>
      <c r="E67" s="66"/>
      <c r="F67" s="60" t="s">
        <v>701</v>
      </c>
      <c r="G67" s="67">
        <v>5000</v>
      </c>
      <c r="H67" s="60" t="s">
        <v>571</v>
      </c>
      <c r="I67" s="68">
        <f t="shared" ca="1" si="0"/>
        <v>60000</v>
      </c>
      <c r="J67" s="68">
        <f t="shared" ca="1" si="1"/>
        <v>55000</v>
      </c>
      <c r="K67" s="68">
        <f t="shared" ca="1" si="2"/>
        <v>50000</v>
      </c>
      <c r="L67" s="68">
        <f t="shared" ca="1" si="3"/>
        <v>40000</v>
      </c>
      <c r="M67" s="69">
        <f t="shared" ca="1" si="4"/>
        <v>12</v>
      </c>
      <c r="N67" s="65" t="str">
        <f t="shared" si="5"/>
        <v>UYGUN</v>
      </c>
      <c r="O67" s="70">
        <f>IF(OR($C67="",$D67="",$F67=""),"",IF($F67="Aylık",EOMONTH($D67,0),($D67+MOD(SISTEM!$F$8-WEEKDAY($D67,2),7))))</f>
        <v>46179</v>
      </c>
      <c r="P67" s="61"/>
      <c r="Q67" s="2"/>
      <c r="R67" s="2"/>
      <c r="S67" s="1" t="str">
        <f>IF($B67="","",$B67&amp;"|"&amp;COUNTIFS($B$7:$B67,$B67))</f>
        <v>M047|2</v>
      </c>
      <c r="T67" s="1" t="str">
        <f t="shared" si="6"/>
        <v>PALAOGULLARILTDSTI</v>
      </c>
      <c r="U67" s="71">
        <f t="shared" si="7"/>
        <v>46179</v>
      </c>
      <c r="V67" s="1">
        <f t="shared" si="8"/>
        <v>2958465</v>
      </c>
      <c r="W67" s="1">
        <f t="shared" si="9"/>
        <v>1</v>
      </c>
      <c r="X67" s="1">
        <f t="shared" si="10"/>
        <v>1518</v>
      </c>
      <c r="Y67" s="1">
        <f t="shared" si="11"/>
        <v>97200</v>
      </c>
      <c r="Z67" s="1">
        <f t="shared" si="12"/>
        <v>1</v>
      </c>
      <c r="AA67" s="1">
        <f t="shared" si="13"/>
        <v>1</v>
      </c>
    </row>
    <row r="68" spans="1:27" ht="18" customHeight="1" x14ac:dyDescent="0.3">
      <c r="A68" s="2"/>
      <c r="B68" s="65" t="str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>M012</v>
      </c>
      <c r="C68" s="61" t="s">
        <v>613</v>
      </c>
      <c r="D68" s="66">
        <v>46174</v>
      </c>
      <c r="E68" s="66"/>
      <c r="F68" s="60" t="s">
        <v>701</v>
      </c>
      <c r="G68" s="67">
        <v>5000</v>
      </c>
      <c r="H68" s="60" t="s">
        <v>571</v>
      </c>
      <c r="I68" s="68">
        <f t="shared" ca="1" si="0"/>
        <v>60000</v>
      </c>
      <c r="J68" s="68">
        <f t="shared" ca="1" si="1"/>
        <v>55000</v>
      </c>
      <c r="K68" s="68">
        <f t="shared" ca="1" si="2"/>
        <v>50000</v>
      </c>
      <c r="L68" s="68">
        <f t="shared" ca="1" si="3"/>
        <v>40000</v>
      </c>
      <c r="M68" s="69">
        <f t="shared" ca="1" si="4"/>
        <v>12</v>
      </c>
      <c r="N68" s="65" t="str">
        <f t="shared" si="5"/>
        <v>UYGUN</v>
      </c>
      <c r="O68" s="70">
        <f>IF(OR($C68="",$D68="",$F68=""),"",IF($F68="Aylık",EOMONTH($D68,0),($D68+MOD(SISTEM!$F$8-WEEKDAY($D68,2),7))))</f>
        <v>46179</v>
      </c>
      <c r="P68" s="61"/>
      <c r="Q68" s="2"/>
      <c r="R68" s="2"/>
      <c r="S68" s="1" t="str">
        <f>IF($B68="","",$B68&amp;"|"&amp;COUNTIFS($B$7:$B68,$B68))</f>
        <v>M012|3</v>
      </c>
      <c r="T68" s="1" t="str">
        <f t="shared" si="6"/>
        <v>ILDESLTDSTI</v>
      </c>
      <c r="U68" s="71">
        <f t="shared" si="7"/>
        <v>46179</v>
      </c>
      <c r="V68" s="1">
        <f t="shared" si="8"/>
        <v>2958465</v>
      </c>
      <c r="W68" s="1">
        <f t="shared" si="9"/>
        <v>1</v>
      </c>
      <c r="X68" s="1">
        <f t="shared" si="10"/>
        <v>1518</v>
      </c>
      <c r="Y68" s="1">
        <f t="shared" si="11"/>
        <v>97200</v>
      </c>
      <c r="Z68" s="1">
        <f t="shared" si="12"/>
        <v>1</v>
      </c>
      <c r="AA68" s="1">
        <f t="shared" si="13"/>
        <v>1</v>
      </c>
    </row>
    <row r="69" spans="1:27" ht="18" customHeight="1" x14ac:dyDescent="0.3">
      <c r="A69" s="2"/>
      <c r="B69" s="65" t="str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61"/>
      <c r="D69" s="66"/>
      <c r="E69" s="66"/>
      <c r="F69" s="60"/>
      <c r="G69" s="67"/>
      <c r="H69" s="60"/>
      <c r="I69" s="68">
        <f t="shared" ca="1" si="0"/>
        <v>0</v>
      </c>
      <c r="J69" s="68">
        <f t="shared" ca="1" si="1"/>
        <v>0</v>
      </c>
      <c r="K69" s="68">
        <f t="shared" ca="1" si="2"/>
        <v>0</v>
      </c>
      <c r="L69" s="68">
        <f t="shared" ca="1" si="3"/>
        <v>0</v>
      </c>
      <c r="M69" s="69">
        <f t="shared" si="4"/>
        <v>0</v>
      </c>
      <c r="N69" s="65" t="str">
        <f t="shared" si="5"/>
        <v/>
      </c>
      <c r="O69" s="70" t="str">
        <f>IF(OR($C69="",$D69="",$F69=""),"",IF($F69="Aylık",EOMONTH($D69,0),($D69+MOD(SISTEM!$F$8-WEEKDAY($D69,2),7))))</f>
        <v/>
      </c>
      <c r="P69" s="61"/>
      <c r="Q69" s="2"/>
      <c r="R69" s="2"/>
      <c r="S69" s="1" t="str">
        <f>IF($B69="","",$B69&amp;"|"&amp;COUNTIFS($B$7:$B69,$B69))</f>
        <v/>
      </c>
      <c r="T69" s="1" t="str">
        <f t="shared" si="6"/>
        <v/>
      </c>
      <c r="U69" s="1">
        <f t="shared" si="7"/>
        <v>0</v>
      </c>
      <c r="V69" s="1">
        <f t="shared" si="8"/>
        <v>2958465</v>
      </c>
      <c r="W69" s="1">
        <f t="shared" si="9"/>
        <v>0</v>
      </c>
      <c r="X69" s="1">
        <f t="shared" si="10"/>
        <v>0</v>
      </c>
      <c r="Y69" s="1">
        <f t="shared" si="11"/>
        <v>97200</v>
      </c>
      <c r="Z69" s="1">
        <f t="shared" si="12"/>
        <v>1</v>
      </c>
      <c r="AA69" s="1">
        <f t="shared" si="13"/>
        <v>0</v>
      </c>
    </row>
    <row r="70" spans="1:27" ht="18" customHeight="1" x14ac:dyDescent="0.3">
      <c r="A70" s="2"/>
      <c r="B70" s="65" t="str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61"/>
      <c r="D70" s="66"/>
      <c r="E70" s="66"/>
      <c r="F70" s="60"/>
      <c r="G70" s="67"/>
      <c r="H70" s="60"/>
      <c r="I70" s="68">
        <f t="shared" ca="1" si="0"/>
        <v>0</v>
      </c>
      <c r="J70" s="68">
        <f t="shared" ca="1" si="1"/>
        <v>0</v>
      </c>
      <c r="K70" s="68">
        <f t="shared" ca="1" si="2"/>
        <v>0</v>
      </c>
      <c r="L70" s="68">
        <f t="shared" ca="1" si="3"/>
        <v>0</v>
      </c>
      <c r="M70" s="69">
        <f t="shared" si="4"/>
        <v>0</v>
      </c>
      <c r="N70" s="65" t="str">
        <f t="shared" si="5"/>
        <v/>
      </c>
      <c r="O70" s="70" t="str">
        <f>IF(OR($C70="",$D70="",$F70=""),"",IF($F70="Aylık",EOMONTH($D70,0),($D70+MOD(SISTEM!$F$8-WEEKDAY($D70,2),7))))</f>
        <v/>
      </c>
      <c r="P70" s="61"/>
      <c r="Q70" s="2"/>
      <c r="R70" s="2"/>
      <c r="S70" s="1" t="str">
        <f>IF($B70="","",$B70&amp;"|"&amp;COUNTIFS($B$7:$B70,$B70))</f>
        <v/>
      </c>
      <c r="T70" s="1" t="str">
        <f t="shared" si="6"/>
        <v/>
      </c>
      <c r="U70" s="1">
        <f t="shared" si="7"/>
        <v>0</v>
      </c>
      <c r="V70" s="1">
        <f t="shared" si="8"/>
        <v>2958465</v>
      </c>
      <c r="W70" s="1">
        <f t="shared" si="9"/>
        <v>0</v>
      </c>
      <c r="X70" s="1">
        <f t="shared" si="10"/>
        <v>0</v>
      </c>
      <c r="Y70" s="1">
        <f t="shared" si="11"/>
        <v>97200</v>
      </c>
      <c r="Z70" s="1">
        <f t="shared" si="12"/>
        <v>1</v>
      </c>
      <c r="AA70" s="1">
        <f t="shared" si="13"/>
        <v>0</v>
      </c>
    </row>
    <row r="71" spans="1:27" ht="18" customHeight="1" x14ac:dyDescent="0.3">
      <c r="A71" s="2"/>
      <c r="B71" s="65" t="str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61"/>
      <c r="D71" s="66"/>
      <c r="E71" s="66"/>
      <c r="F71" s="60"/>
      <c r="G71" s="67"/>
      <c r="H71" s="60"/>
      <c r="I71" s="68">
        <f t="shared" ref="I71:I134" ca="1" si="14"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>0</v>
      </c>
      <c r="J71" s="68">
        <f t="shared" ref="J71:J134" ca="1" si="15"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>0</v>
      </c>
      <c r="K71" s="68">
        <f t="shared" ref="K71:K134" ca="1" si="16"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>0</v>
      </c>
      <c r="L71" s="68">
        <f t="shared" ref="L71:L134" ca="1" si="17"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>0</v>
      </c>
      <c r="M71" s="69">
        <f t="shared" ref="M71:M134" si="18">IF($G71&gt;0,$I71/$G71,0)</f>
        <v>0</v>
      </c>
      <c r="N71" s="65" t="str">
        <f t="shared" ref="N71:N134" si="19"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70" t="str">
        <f>IF(OR($C71="",$D71="",$F71=""),"",IF($F71="Aylık",EOMONTH($D71,0),($D71+MOD(SISTEM!$F$8-WEEKDAY($D71,2),7))))</f>
        <v/>
      </c>
      <c r="P71" s="61"/>
      <c r="Q71" s="2"/>
      <c r="R71" s="2"/>
      <c r="S71" s="1" t="str">
        <f>IF($B71="","",$B71&amp;"|"&amp;COUNTIFS($B$7:$B71,$B71))</f>
        <v/>
      </c>
      <c r="T71" s="1" t="str">
        <f t="shared" ref="T71:T134" si="20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 t="shared" ref="U71:U134" si="21">IF($O71="",0,$O71)</f>
        <v>0</v>
      </c>
      <c r="V71" s="1">
        <f t="shared" ref="V71:V134" si="22">IF($E71="",2958465,$E71)</f>
        <v>2958465</v>
      </c>
      <c r="W71" s="1">
        <f t="shared" ref="W71:W134" si="23">IF($F71="Haftalık",1,IF($F71="Aylık",2,0))</f>
        <v>0</v>
      </c>
      <c r="X71" s="1">
        <f t="shared" ref="X71:X134" si="24">IF($U71=0,0,(YEAR($U71)-1900)*12+MONTH($U71))</f>
        <v>0</v>
      </c>
      <c r="Y71" s="1">
        <f t="shared" ref="Y71:Y134" si="25">(YEAR($V71)-1900)*12+MONTH($V71)</f>
        <v>97200</v>
      </c>
      <c r="Z71" s="1">
        <f t="shared" ref="Z71:Z134" si="26">IF($V71=EOMONTH($V71,0),1,0)</f>
        <v>1</v>
      </c>
      <c r="AA71" s="1">
        <f t="shared" ref="AA71:AA134" si="27">IF(OR($B71="",$H71&lt;&gt;"Aktif"),0,COUNTIFS($B$7:$B$606,$B71,$H$7:$H$606,"Aktif"))</f>
        <v>0</v>
      </c>
    </row>
    <row r="72" spans="1:27" ht="18" customHeight="1" x14ac:dyDescent="0.3">
      <c r="A72" s="2"/>
      <c r="B72" s="65" t="str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61"/>
      <c r="D72" s="66"/>
      <c r="E72" s="66"/>
      <c r="F72" s="60"/>
      <c r="G72" s="67"/>
      <c r="H72" s="60"/>
      <c r="I72" s="68">
        <f t="shared" ca="1" si="14"/>
        <v>0</v>
      </c>
      <c r="J72" s="68">
        <f t="shared" ca="1" si="15"/>
        <v>0</v>
      </c>
      <c r="K72" s="68">
        <f t="shared" ca="1" si="16"/>
        <v>0</v>
      </c>
      <c r="L72" s="68">
        <f t="shared" ca="1" si="17"/>
        <v>0</v>
      </c>
      <c r="M72" s="69">
        <f t="shared" si="18"/>
        <v>0</v>
      </c>
      <c r="N72" s="65" t="str">
        <f t="shared" si="19"/>
        <v/>
      </c>
      <c r="O72" s="70" t="str">
        <f>IF(OR($C72="",$D72="",$F72=""),"",IF($F72="Aylık",EOMONTH($D72,0),($D72+MOD(SISTEM!$F$8-WEEKDAY($D72,2),7))))</f>
        <v/>
      </c>
      <c r="P72" s="61"/>
      <c r="Q72" s="2"/>
      <c r="R72" s="2"/>
      <c r="S72" s="1" t="str">
        <f>IF($B72="","",$B72&amp;"|"&amp;COUNTIFS($B$7:$B72,$B72))</f>
        <v/>
      </c>
      <c r="T72" s="1" t="str">
        <f t="shared" si="20"/>
        <v/>
      </c>
      <c r="U72" s="1">
        <f t="shared" si="21"/>
        <v>0</v>
      </c>
      <c r="V72" s="1">
        <f t="shared" si="22"/>
        <v>2958465</v>
      </c>
      <c r="W72" s="1">
        <f t="shared" si="23"/>
        <v>0</v>
      </c>
      <c r="X72" s="1">
        <f t="shared" si="24"/>
        <v>0</v>
      </c>
      <c r="Y72" s="1">
        <f t="shared" si="25"/>
        <v>97200</v>
      </c>
      <c r="Z72" s="1">
        <f t="shared" si="26"/>
        <v>1</v>
      </c>
      <c r="AA72" s="1">
        <f t="shared" si="27"/>
        <v>0</v>
      </c>
    </row>
    <row r="73" spans="1:27" ht="18" customHeight="1" x14ac:dyDescent="0.3">
      <c r="A73" s="2"/>
      <c r="B73" s="65" t="str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61"/>
      <c r="D73" s="66"/>
      <c r="E73" s="66"/>
      <c r="F73" s="60"/>
      <c r="G73" s="67"/>
      <c r="H73" s="60"/>
      <c r="I73" s="68">
        <f t="shared" ca="1" si="14"/>
        <v>0</v>
      </c>
      <c r="J73" s="68">
        <f t="shared" ca="1" si="15"/>
        <v>0</v>
      </c>
      <c r="K73" s="68">
        <f t="shared" ca="1" si="16"/>
        <v>0</v>
      </c>
      <c r="L73" s="68">
        <f t="shared" ca="1" si="17"/>
        <v>0</v>
      </c>
      <c r="M73" s="69">
        <f t="shared" si="18"/>
        <v>0</v>
      </c>
      <c r="N73" s="65" t="str">
        <f t="shared" si="19"/>
        <v/>
      </c>
      <c r="O73" s="70" t="str">
        <f>IF(OR($C73="",$D73="",$F73=""),"",IF($F73="Aylık",EOMONTH($D73,0),($D73+MOD(SISTEM!$F$8-WEEKDAY($D73,2),7))))</f>
        <v/>
      </c>
      <c r="P73" s="61"/>
      <c r="Q73" s="2"/>
      <c r="R73" s="2"/>
      <c r="S73" s="1" t="str">
        <f>IF($B73="","",$B73&amp;"|"&amp;COUNTIFS($B$7:$B73,$B73))</f>
        <v/>
      </c>
      <c r="T73" s="1" t="str">
        <f t="shared" si="20"/>
        <v/>
      </c>
      <c r="U73" s="1">
        <f t="shared" si="21"/>
        <v>0</v>
      </c>
      <c r="V73" s="1">
        <f t="shared" si="22"/>
        <v>2958465</v>
      </c>
      <c r="W73" s="1">
        <f t="shared" si="23"/>
        <v>0</v>
      </c>
      <c r="X73" s="1">
        <f t="shared" si="24"/>
        <v>0</v>
      </c>
      <c r="Y73" s="1">
        <f t="shared" si="25"/>
        <v>97200</v>
      </c>
      <c r="Z73" s="1">
        <f t="shared" si="26"/>
        <v>1</v>
      </c>
      <c r="AA73" s="1">
        <f t="shared" si="27"/>
        <v>0</v>
      </c>
    </row>
    <row r="74" spans="1:27" ht="18" customHeight="1" x14ac:dyDescent="0.3">
      <c r="A74" s="2"/>
      <c r="B74" s="65" t="str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61"/>
      <c r="D74" s="66"/>
      <c r="E74" s="66"/>
      <c r="F74" s="60"/>
      <c r="G74" s="67"/>
      <c r="H74" s="60"/>
      <c r="I74" s="68">
        <f t="shared" ca="1" si="14"/>
        <v>0</v>
      </c>
      <c r="J74" s="68">
        <f t="shared" ca="1" si="15"/>
        <v>0</v>
      </c>
      <c r="K74" s="68">
        <f t="shared" ca="1" si="16"/>
        <v>0</v>
      </c>
      <c r="L74" s="68">
        <f t="shared" ca="1" si="17"/>
        <v>0</v>
      </c>
      <c r="M74" s="69">
        <f t="shared" si="18"/>
        <v>0</v>
      </c>
      <c r="N74" s="65" t="str">
        <f t="shared" si="19"/>
        <v/>
      </c>
      <c r="O74" s="70" t="str">
        <f>IF(OR($C74="",$D74="",$F74=""),"",IF($F74="Aylık",EOMONTH($D74,0),($D74+MOD(SISTEM!$F$8-WEEKDAY($D74,2),7))))</f>
        <v/>
      </c>
      <c r="P74" s="61"/>
      <c r="Q74" s="2"/>
      <c r="R74" s="2"/>
      <c r="S74" s="1" t="str">
        <f>IF($B74="","",$B74&amp;"|"&amp;COUNTIFS($B$7:$B74,$B74))</f>
        <v/>
      </c>
      <c r="T74" s="1" t="str">
        <f t="shared" si="20"/>
        <v/>
      </c>
      <c r="U74" s="1">
        <f t="shared" si="21"/>
        <v>0</v>
      </c>
      <c r="V74" s="1">
        <f t="shared" si="22"/>
        <v>2958465</v>
      </c>
      <c r="W74" s="1">
        <f t="shared" si="23"/>
        <v>0</v>
      </c>
      <c r="X74" s="1">
        <f t="shared" si="24"/>
        <v>0</v>
      </c>
      <c r="Y74" s="1">
        <f t="shared" si="25"/>
        <v>97200</v>
      </c>
      <c r="Z74" s="1">
        <f t="shared" si="26"/>
        <v>1</v>
      </c>
      <c r="AA74" s="1">
        <f t="shared" si="27"/>
        <v>0</v>
      </c>
    </row>
    <row r="75" spans="1:27" ht="18" customHeight="1" x14ac:dyDescent="0.3">
      <c r="A75" s="2"/>
      <c r="B75" s="65" t="str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61"/>
      <c r="D75" s="66"/>
      <c r="E75" s="66"/>
      <c r="F75" s="60"/>
      <c r="G75" s="67"/>
      <c r="H75" s="60"/>
      <c r="I75" s="68">
        <f t="shared" ca="1" si="14"/>
        <v>0</v>
      </c>
      <c r="J75" s="68">
        <f t="shared" ca="1" si="15"/>
        <v>0</v>
      </c>
      <c r="K75" s="68">
        <f t="shared" ca="1" si="16"/>
        <v>0</v>
      </c>
      <c r="L75" s="68">
        <f t="shared" ca="1" si="17"/>
        <v>0</v>
      </c>
      <c r="M75" s="69">
        <f t="shared" si="18"/>
        <v>0</v>
      </c>
      <c r="N75" s="65" t="str">
        <f t="shared" si="19"/>
        <v/>
      </c>
      <c r="O75" s="70" t="str">
        <f>IF(OR($C75="",$D75="",$F75=""),"",IF($F75="Aylık",EOMONTH($D75,0),($D75+MOD(SISTEM!$F$8-WEEKDAY($D75,2),7))))</f>
        <v/>
      </c>
      <c r="P75" s="61"/>
      <c r="Q75" s="2"/>
      <c r="R75" s="2"/>
      <c r="S75" s="1" t="str">
        <f>IF($B75="","",$B75&amp;"|"&amp;COUNTIFS($B$7:$B75,$B75))</f>
        <v/>
      </c>
      <c r="T75" s="1" t="str">
        <f t="shared" si="20"/>
        <v/>
      </c>
      <c r="U75" s="1">
        <f t="shared" si="21"/>
        <v>0</v>
      </c>
      <c r="V75" s="1">
        <f t="shared" si="22"/>
        <v>2958465</v>
      </c>
      <c r="W75" s="1">
        <f t="shared" si="23"/>
        <v>0</v>
      </c>
      <c r="X75" s="1">
        <f t="shared" si="24"/>
        <v>0</v>
      </c>
      <c r="Y75" s="1">
        <f t="shared" si="25"/>
        <v>97200</v>
      </c>
      <c r="Z75" s="1">
        <f t="shared" si="26"/>
        <v>1</v>
      </c>
      <c r="AA75" s="1">
        <f t="shared" si="27"/>
        <v>0</v>
      </c>
    </row>
    <row r="76" spans="1:27" ht="18" customHeight="1" x14ac:dyDescent="0.3">
      <c r="A76" s="2"/>
      <c r="B76" s="65" t="str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61"/>
      <c r="D76" s="66"/>
      <c r="E76" s="66"/>
      <c r="F76" s="60"/>
      <c r="G76" s="67"/>
      <c r="H76" s="60"/>
      <c r="I76" s="68">
        <f t="shared" ca="1" si="14"/>
        <v>0</v>
      </c>
      <c r="J76" s="68">
        <f t="shared" ca="1" si="15"/>
        <v>0</v>
      </c>
      <c r="K76" s="68">
        <f t="shared" ca="1" si="16"/>
        <v>0</v>
      </c>
      <c r="L76" s="68">
        <f t="shared" ca="1" si="17"/>
        <v>0</v>
      </c>
      <c r="M76" s="69">
        <f t="shared" si="18"/>
        <v>0</v>
      </c>
      <c r="N76" s="65" t="str">
        <f t="shared" si="19"/>
        <v/>
      </c>
      <c r="O76" s="70" t="str">
        <f>IF(OR($C76="",$D76="",$F76=""),"",IF($F76="Aylık",EOMONTH($D76,0),($D76+MOD(SISTEM!$F$8-WEEKDAY($D76,2),7))))</f>
        <v/>
      </c>
      <c r="P76" s="61"/>
      <c r="Q76" s="2"/>
      <c r="R76" s="2"/>
      <c r="S76" s="1" t="str">
        <f>IF($B76="","",$B76&amp;"|"&amp;COUNTIFS($B$7:$B76,$B76))</f>
        <v/>
      </c>
      <c r="T76" s="1" t="str">
        <f t="shared" si="20"/>
        <v/>
      </c>
      <c r="U76" s="1">
        <f t="shared" si="21"/>
        <v>0</v>
      </c>
      <c r="V76" s="1">
        <f t="shared" si="22"/>
        <v>2958465</v>
      </c>
      <c r="W76" s="1">
        <f t="shared" si="23"/>
        <v>0</v>
      </c>
      <c r="X76" s="1">
        <f t="shared" si="24"/>
        <v>0</v>
      </c>
      <c r="Y76" s="1">
        <f t="shared" si="25"/>
        <v>97200</v>
      </c>
      <c r="Z76" s="1">
        <f t="shared" si="26"/>
        <v>1</v>
      </c>
      <c r="AA76" s="1">
        <f t="shared" si="27"/>
        <v>0</v>
      </c>
    </row>
    <row r="77" spans="1:27" ht="18" customHeight="1" x14ac:dyDescent="0.3">
      <c r="A77" s="2"/>
      <c r="B77" s="65" t="str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61"/>
      <c r="D77" s="66"/>
      <c r="E77" s="66"/>
      <c r="F77" s="60"/>
      <c r="G77" s="67"/>
      <c r="H77" s="60"/>
      <c r="I77" s="68">
        <f t="shared" ca="1" si="14"/>
        <v>0</v>
      </c>
      <c r="J77" s="68">
        <f t="shared" ca="1" si="15"/>
        <v>0</v>
      </c>
      <c r="K77" s="68">
        <f t="shared" ca="1" si="16"/>
        <v>0</v>
      </c>
      <c r="L77" s="68">
        <f t="shared" ca="1" si="17"/>
        <v>0</v>
      </c>
      <c r="M77" s="69">
        <f t="shared" si="18"/>
        <v>0</v>
      </c>
      <c r="N77" s="65" t="str">
        <f t="shared" si="19"/>
        <v/>
      </c>
      <c r="O77" s="70" t="str">
        <f>IF(OR($C77="",$D77="",$F77=""),"",IF($F77="Aylık",EOMONTH($D77,0),($D77+MOD(SISTEM!$F$8-WEEKDAY($D77,2),7))))</f>
        <v/>
      </c>
      <c r="P77" s="61"/>
      <c r="Q77" s="2"/>
      <c r="R77" s="2"/>
      <c r="S77" s="1" t="str">
        <f>IF($B77="","",$B77&amp;"|"&amp;COUNTIFS($B$7:$B77,$B77))</f>
        <v/>
      </c>
      <c r="T77" s="1" t="str">
        <f t="shared" si="20"/>
        <v/>
      </c>
      <c r="U77" s="1">
        <f t="shared" si="21"/>
        <v>0</v>
      </c>
      <c r="V77" s="1">
        <f t="shared" si="22"/>
        <v>2958465</v>
      </c>
      <c r="W77" s="1">
        <f t="shared" si="23"/>
        <v>0</v>
      </c>
      <c r="X77" s="1">
        <f t="shared" si="24"/>
        <v>0</v>
      </c>
      <c r="Y77" s="1">
        <f t="shared" si="25"/>
        <v>97200</v>
      </c>
      <c r="Z77" s="1">
        <f t="shared" si="26"/>
        <v>1</v>
      </c>
      <c r="AA77" s="1">
        <f t="shared" si="27"/>
        <v>0</v>
      </c>
    </row>
    <row r="78" spans="1:27" ht="18" customHeight="1" x14ac:dyDescent="0.3">
      <c r="A78" s="2"/>
      <c r="B78" s="65" t="str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61"/>
      <c r="D78" s="66"/>
      <c r="E78" s="66"/>
      <c r="F78" s="60"/>
      <c r="G78" s="67"/>
      <c r="H78" s="60"/>
      <c r="I78" s="68">
        <f t="shared" ca="1" si="14"/>
        <v>0</v>
      </c>
      <c r="J78" s="68">
        <f t="shared" ca="1" si="15"/>
        <v>0</v>
      </c>
      <c r="K78" s="68">
        <f t="shared" ca="1" si="16"/>
        <v>0</v>
      </c>
      <c r="L78" s="68">
        <f t="shared" ca="1" si="17"/>
        <v>0</v>
      </c>
      <c r="M78" s="69">
        <f t="shared" si="18"/>
        <v>0</v>
      </c>
      <c r="N78" s="65" t="str">
        <f t="shared" si="19"/>
        <v/>
      </c>
      <c r="O78" s="70" t="str">
        <f>IF(OR($C78="",$D78="",$F78=""),"",IF($F78="Aylık",EOMONTH($D78,0),($D78+MOD(SISTEM!$F$8-WEEKDAY($D78,2),7))))</f>
        <v/>
      </c>
      <c r="P78" s="61"/>
      <c r="Q78" s="2"/>
      <c r="R78" s="2"/>
      <c r="S78" s="1" t="str">
        <f>IF($B78="","",$B78&amp;"|"&amp;COUNTIFS($B$7:$B78,$B78))</f>
        <v/>
      </c>
      <c r="T78" s="1" t="str">
        <f t="shared" si="20"/>
        <v/>
      </c>
      <c r="U78" s="1">
        <f t="shared" si="21"/>
        <v>0</v>
      </c>
      <c r="V78" s="1">
        <f t="shared" si="22"/>
        <v>2958465</v>
      </c>
      <c r="W78" s="1">
        <f t="shared" si="23"/>
        <v>0</v>
      </c>
      <c r="X78" s="1">
        <f t="shared" si="24"/>
        <v>0</v>
      </c>
      <c r="Y78" s="1">
        <f t="shared" si="25"/>
        <v>97200</v>
      </c>
      <c r="Z78" s="1">
        <f t="shared" si="26"/>
        <v>1</v>
      </c>
      <c r="AA78" s="1">
        <f t="shared" si="27"/>
        <v>0</v>
      </c>
    </row>
    <row r="79" spans="1:27" ht="18" customHeight="1" x14ac:dyDescent="0.3">
      <c r="A79" s="2"/>
      <c r="B79" s="65" t="str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61"/>
      <c r="D79" s="66"/>
      <c r="E79" s="66"/>
      <c r="F79" s="60"/>
      <c r="G79" s="67"/>
      <c r="H79" s="60"/>
      <c r="I79" s="68">
        <f t="shared" ca="1" si="14"/>
        <v>0</v>
      </c>
      <c r="J79" s="68">
        <f t="shared" ca="1" si="15"/>
        <v>0</v>
      </c>
      <c r="K79" s="68">
        <f t="shared" ca="1" si="16"/>
        <v>0</v>
      </c>
      <c r="L79" s="68">
        <f t="shared" ca="1" si="17"/>
        <v>0</v>
      </c>
      <c r="M79" s="69">
        <f t="shared" si="18"/>
        <v>0</v>
      </c>
      <c r="N79" s="65" t="str">
        <f t="shared" si="19"/>
        <v/>
      </c>
      <c r="O79" s="70" t="str">
        <f>IF(OR($C79="",$D79="",$F79=""),"",IF($F79="Aylık",EOMONTH($D79,0),($D79+MOD(SISTEM!$F$8-WEEKDAY($D79,2),7))))</f>
        <v/>
      </c>
      <c r="P79" s="61"/>
      <c r="Q79" s="2"/>
      <c r="R79" s="2"/>
      <c r="S79" s="1" t="str">
        <f>IF($B79="","",$B79&amp;"|"&amp;COUNTIFS($B$7:$B79,$B79))</f>
        <v/>
      </c>
      <c r="T79" s="1" t="str">
        <f t="shared" si="20"/>
        <v/>
      </c>
      <c r="U79" s="1">
        <f t="shared" si="21"/>
        <v>0</v>
      </c>
      <c r="V79" s="1">
        <f t="shared" si="22"/>
        <v>2958465</v>
      </c>
      <c r="W79" s="1">
        <f t="shared" si="23"/>
        <v>0</v>
      </c>
      <c r="X79" s="1">
        <f t="shared" si="24"/>
        <v>0</v>
      </c>
      <c r="Y79" s="1">
        <f t="shared" si="25"/>
        <v>97200</v>
      </c>
      <c r="Z79" s="1">
        <f t="shared" si="26"/>
        <v>1</v>
      </c>
      <c r="AA79" s="1">
        <f t="shared" si="27"/>
        <v>0</v>
      </c>
    </row>
    <row r="80" spans="1:27" ht="18" customHeight="1" x14ac:dyDescent="0.3">
      <c r="A80" s="2"/>
      <c r="B80" s="65" t="str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61"/>
      <c r="D80" s="66"/>
      <c r="E80" s="66"/>
      <c r="F80" s="60"/>
      <c r="G80" s="67"/>
      <c r="H80" s="60"/>
      <c r="I80" s="68">
        <f t="shared" ca="1" si="14"/>
        <v>0</v>
      </c>
      <c r="J80" s="68">
        <f t="shared" ca="1" si="15"/>
        <v>0</v>
      </c>
      <c r="K80" s="68">
        <f t="shared" ca="1" si="16"/>
        <v>0</v>
      </c>
      <c r="L80" s="68">
        <f t="shared" ca="1" si="17"/>
        <v>0</v>
      </c>
      <c r="M80" s="69">
        <f t="shared" si="18"/>
        <v>0</v>
      </c>
      <c r="N80" s="65" t="str">
        <f t="shared" si="19"/>
        <v/>
      </c>
      <c r="O80" s="70" t="str">
        <f>IF(OR($C80="",$D80="",$F80=""),"",IF($F80="Aylık",EOMONTH($D80,0),($D80+MOD(SISTEM!$F$8-WEEKDAY($D80,2),7))))</f>
        <v/>
      </c>
      <c r="P80" s="61"/>
      <c r="Q80" s="2"/>
      <c r="R80" s="2"/>
      <c r="S80" s="1" t="str">
        <f>IF($B80="","",$B80&amp;"|"&amp;COUNTIFS($B$7:$B80,$B80))</f>
        <v/>
      </c>
      <c r="T80" s="1" t="str">
        <f t="shared" si="20"/>
        <v/>
      </c>
      <c r="U80" s="1">
        <f t="shared" si="21"/>
        <v>0</v>
      </c>
      <c r="V80" s="1">
        <f t="shared" si="22"/>
        <v>2958465</v>
      </c>
      <c r="W80" s="1">
        <f t="shared" si="23"/>
        <v>0</v>
      </c>
      <c r="X80" s="1">
        <f t="shared" si="24"/>
        <v>0</v>
      </c>
      <c r="Y80" s="1">
        <f t="shared" si="25"/>
        <v>97200</v>
      </c>
      <c r="Z80" s="1">
        <f t="shared" si="26"/>
        <v>1</v>
      </c>
      <c r="AA80" s="1">
        <f t="shared" si="27"/>
        <v>0</v>
      </c>
    </row>
    <row r="81" spans="1:27" ht="18" customHeight="1" x14ac:dyDescent="0.3">
      <c r="A81" s="2"/>
      <c r="B81" s="65" t="str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61"/>
      <c r="D81" s="66"/>
      <c r="E81" s="66"/>
      <c r="F81" s="60"/>
      <c r="G81" s="67"/>
      <c r="H81" s="60"/>
      <c r="I81" s="68">
        <f t="shared" ca="1" si="14"/>
        <v>0</v>
      </c>
      <c r="J81" s="68">
        <f t="shared" ca="1" si="15"/>
        <v>0</v>
      </c>
      <c r="K81" s="68">
        <f t="shared" ca="1" si="16"/>
        <v>0</v>
      </c>
      <c r="L81" s="68">
        <f t="shared" ca="1" si="17"/>
        <v>0</v>
      </c>
      <c r="M81" s="69">
        <f t="shared" si="18"/>
        <v>0</v>
      </c>
      <c r="N81" s="65" t="str">
        <f t="shared" si="19"/>
        <v/>
      </c>
      <c r="O81" s="70" t="str">
        <f>IF(OR($C81="",$D81="",$F81=""),"",IF($F81="Aylık",EOMONTH($D81,0),($D81+MOD(SISTEM!$F$8-WEEKDAY($D81,2),7))))</f>
        <v/>
      </c>
      <c r="P81" s="61"/>
      <c r="Q81" s="2"/>
      <c r="R81" s="2"/>
      <c r="S81" s="1" t="str">
        <f>IF($B81="","",$B81&amp;"|"&amp;COUNTIFS($B$7:$B81,$B81))</f>
        <v/>
      </c>
      <c r="T81" s="1" t="str">
        <f t="shared" si="20"/>
        <v/>
      </c>
      <c r="U81" s="1">
        <f t="shared" si="21"/>
        <v>0</v>
      </c>
      <c r="V81" s="1">
        <f t="shared" si="22"/>
        <v>2958465</v>
      </c>
      <c r="W81" s="1">
        <f t="shared" si="23"/>
        <v>0</v>
      </c>
      <c r="X81" s="1">
        <f t="shared" si="24"/>
        <v>0</v>
      </c>
      <c r="Y81" s="1">
        <f t="shared" si="25"/>
        <v>97200</v>
      </c>
      <c r="Z81" s="1">
        <f t="shared" si="26"/>
        <v>1</v>
      </c>
      <c r="AA81" s="1">
        <f t="shared" si="27"/>
        <v>0</v>
      </c>
    </row>
    <row r="82" spans="1:27" ht="18" customHeight="1" x14ac:dyDescent="0.3">
      <c r="A82" s="2"/>
      <c r="B82" s="65" t="str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61"/>
      <c r="D82" s="66"/>
      <c r="E82" s="66"/>
      <c r="F82" s="60"/>
      <c r="G82" s="67"/>
      <c r="H82" s="60"/>
      <c r="I82" s="68">
        <f t="shared" ca="1" si="14"/>
        <v>0</v>
      </c>
      <c r="J82" s="68">
        <f t="shared" ca="1" si="15"/>
        <v>0</v>
      </c>
      <c r="K82" s="68">
        <f t="shared" ca="1" si="16"/>
        <v>0</v>
      </c>
      <c r="L82" s="68">
        <f t="shared" ca="1" si="17"/>
        <v>0</v>
      </c>
      <c r="M82" s="69">
        <f t="shared" si="18"/>
        <v>0</v>
      </c>
      <c r="N82" s="65" t="str">
        <f t="shared" si="19"/>
        <v/>
      </c>
      <c r="O82" s="70" t="str">
        <f>IF(OR($C82="",$D82="",$F82=""),"",IF($F82="Aylık",EOMONTH($D82,0),($D82+MOD(SISTEM!$F$8-WEEKDAY($D82,2),7))))</f>
        <v/>
      </c>
      <c r="P82" s="61"/>
      <c r="Q82" s="2"/>
      <c r="R82" s="2"/>
      <c r="S82" s="1" t="str">
        <f>IF($B82="","",$B82&amp;"|"&amp;COUNTIFS($B$7:$B82,$B82))</f>
        <v/>
      </c>
      <c r="T82" s="1" t="str">
        <f t="shared" si="20"/>
        <v/>
      </c>
      <c r="U82" s="1">
        <f t="shared" si="21"/>
        <v>0</v>
      </c>
      <c r="V82" s="1">
        <f t="shared" si="22"/>
        <v>2958465</v>
      </c>
      <c r="W82" s="1">
        <f t="shared" si="23"/>
        <v>0</v>
      </c>
      <c r="X82" s="1">
        <f t="shared" si="24"/>
        <v>0</v>
      </c>
      <c r="Y82" s="1">
        <f t="shared" si="25"/>
        <v>97200</v>
      </c>
      <c r="Z82" s="1">
        <f t="shared" si="26"/>
        <v>1</v>
      </c>
      <c r="AA82" s="1">
        <f t="shared" si="27"/>
        <v>0</v>
      </c>
    </row>
    <row r="83" spans="1:27" ht="18" customHeight="1" x14ac:dyDescent="0.3">
      <c r="A83" s="2"/>
      <c r="B83" s="65" t="str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61"/>
      <c r="D83" s="66"/>
      <c r="E83" s="66"/>
      <c r="F83" s="60"/>
      <c r="G83" s="67"/>
      <c r="H83" s="60"/>
      <c r="I83" s="68">
        <f t="shared" ca="1" si="14"/>
        <v>0</v>
      </c>
      <c r="J83" s="68">
        <f t="shared" ca="1" si="15"/>
        <v>0</v>
      </c>
      <c r="K83" s="68">
        <f t="shared" ca="1" si="16"/>
        <v>0</v>
      </c>
      <c r="L83" s="68">
        <f t="shared" ca="1" si="17"/>
        <v>0</v>
      </c>
      <c r="M83" s="69">
        <f t="shared" si="18"/>
        <v>0</v>
      </c>
      <c r="N83" s="65" t="str">
        <f t="shared" si="19"/>
        <v/>
      </c>
      <c r="O83" s="70" t="str">
        <f>IF(OR($C83="",$D83="",$F83=""),"",IF($F83="Aylık",EOMONTH($D83,0),($D83+MOD(SISTEM!$F$8-WEEKDAY($D83,2),7))))</f>
        <v/>
      </c>
      <c r="P83" s="61"/>
      <c r="Q83" s="2"/>
      <c r="R83" s="2"/>
      <c r="S83" s="1" t="str">
        <f>IF($B83="","",$B83&amp;"|"&amp;COUNTIFS($B$7:$B83,$B83))</f>
        <v/>
      </c>
      <c r="T83" s="1" t="str">
        <f t="shared" si="20"/>
        <v/>
      </c>
      <c r="U83" s="1">
        <f t="shared" si="21"/>
        <v>0</v>
      </c>
      <c r="V83" s="1">
        <f t="shared" si="22"/>
        <v>2958465</v>
      </c>
      <c r="W83" s="1">
        <f t="shared" si="23"/>
        <v>0</v>
      </c>
      <c r="X83" s="1">
        <f t="shared" si="24"/>
        <v>0</v>
      </c>
      <c r="Y83" s="1">
        <f t="shared" si="25"/>
        <v>97200</v>
      </c>
      <c r="Z83" s="1">
        <f t="shared" si="26"/>
        <v>1</v>
      </c>
      <c r="AA83" s="1">
        <f t="shared" si="27"/>
        <v>0</v>
      </c>
    </row>
    <row r="84" spans="1:27" ht="18" customHeight="1" x14ac:dyDescent="0.3">
      <c r="A84" s="2"/>
      <c r="B84" s="65" t="str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61"/>
      <c r="D84" s="66"/>
      <c r="E84" s="66"/>
      <c r="F84" s="60"/>
      <c r="G84" s="67"/>
      <c r="H84" s="60"/>
      <c r="I84" s="68">
        <f t="shared" ca="1" si="14"/>
        <v>0</v>
      </c>
      <c r="J84" s="68">
        <f t="shared" ca="1" si="15"/>
        <v>0</v>
      </c>
      <c r="K84" s="68">
        <f t="shared" ca="1" si="16"/>
        <v>0</v>
      </c>
      <c r="L84" s="68">
        <f t="shared" ca="1" si="17"/>
        <v>0</v>
      </c>
      <c r="M84" s="69">
        <f t="shared" si="18"/>
        <v>0</v>
      </c>
      <c r="N84" s="65" t="str">
        <f t="shared" si="19"/>
        <v/>
      </c>
      <c r="O84" s="70" t="str">
        <f>IF(OR($C84="",$D84="",$F84=""),"",IF($F84="Aylık",EOMONTH($D84,0),($D84+MOD(SISTEM!$F$8-WEEKDAY($D84,2),7))))</f>
        <v/>
      </c>
      <c r="P84" s="61"/>
      <c r="Q84" s="2"/>
      <c r="R84" s="2"/>
      <c r="S84" s="1" t="str">
        <f>IF($B84="","",$B84&amp;"|"&amp;COUNTIFS($B$7:$B84,$B84))</f>
        <v/>
      </c>
      <c r="T84" s="1" t="str">
        <f t="shared" si="20"/>
        <v/>
      </c>
      <c r="U84" s="1">
        <f t="shared" si="21"/>
        <v>0</v>
      </c>
      <c r="V84" s="1">
        <f t="shared" si="22"/>
        <v>2958465</v>
      </c>
      <c r="W84" s="1">
        <f t="shared" si="23"/>
        <v>0</v>
      </c>
      <c r="X84" s="1">
        <f t="shared" si="24"/>
        <v>0</v>
      </c>
      <c r="Y84" s="1">
        <f t="shared" si="25"/>
        <v>97200</v>
      </c>
      <c r="Z84" s="1">
        <f t="shared" si="26"/>
        <v>1</v>
      </c>
      <c r="AA84" s="1">
        <f t="shared" si="27"/>
        <v>0</v>
      </c>
    </row>
    <row r="85" spans="1:27" ht="18" customHeight="1" x14ac:dyDescent="0.3">
      <c r="A85" s="2"/>
      <c r="B85" s="65" t="str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61"/>
      <c r="D85" s="66"/>
      <c r="E85" s="66"/>
      <c r="F85" s="60"/>
      <c r="G85" s="67"/>
      <c r="H85" s="60"/>
      <c r="I85" s="68">
        <f t="shared" ca="1" si="14"/>
        <v>0</v>
      </c>
      <c r="J85" s="68">
        <f t="shared" ca="1" si="15"/>
        <v>0</v>
      </c>
      <c r="K85" s="68">
        <f t="shared" ca="1" si="16"/>
        <v>0</v>
      </c>
      <c r="L85" s="68">
        <f t="shared" ca="1" si="17"/>
        <v>0</v>
      </c>
      <c r="M85" s="69">
        <f t="shared" si="18"/>
        <v>0</v>
      </c>
      <c r="N85" s="65" t="str">
        <f t="shared" si="19"/>
        <v/>
      </c>
      <c r="O85" s="70" t="str">
        <f>IF(OR($C85="",$D85="",$F85=""),"",IF($F85="Aylık",EOMONTH($D85,0),($D85+MOD(SISTEM!$F$8-WEEKDAY($D85,2),7))))</f>
        <v/>
      </c>
      <c r="P85" s="61"/>
      <c r="Q85" s="2"/>
      <c r="R85" s="2"/>
      <c r="S85" s="1" t="str">
        <f>IF($B85="","",$B85&amp;"|"&amp;COUNTIFS($B$7:$B85,$B85))</f>
        <v/>
      </c>
      <c r="T85" s="1" t="str">
        <f t="shared" si="20"/>
        <v/>
      </c>
      <c r="U85" s="1">
        <f t="shared" si="21"/>
        <v>0</v>
      </c>
      <c r="V85" s="1">
        <f t="shared" si="22"/>
        <v>2958465</v>
      </c>
      <c r="W85" s="1">
        <f t="shared" si="23"/>
        <v>0</v>
      </c>
      <c r="X85" s="1">
        <f t="shared" si="24"/>
        <v>0</v>
      </c>
      <c r="Y85" s="1">
        <f t="shared" si="25"/>
        <v>97200</v>
      </c>
      <c r="Z85" s="1">
        <f t="shared" si="26"/>
        <v>1</v>
      </c>
      <c r="AA85" s="1">
        <f t="shared" si="27"/>
        <v>0</v>
      </c>
    </row>
    <row r="86" spans="1:27" ht="18" customHeight="1" x14ac:dyDescent="0.3">
      <c r="A86" s="2"/>
      <c r="B86" s="65" t="str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61"/>
      <c r="D86" s="66"/>
      <c r="E86" s="66"/>
      <c r="F86" s="60"/>
      <c r="G86" s="67"/>
      <c r="H86" s="60"/>
      <c r="I86" s="68">
        <f t="shared" ca="1" si="14"/>
        <v>0</v>
      </c>
      <c r="J86" s="68">
        <f t="shared" ca="1" si="15"/>
        <v>0</v>
      </c>
      <c r="K86" s="68">
        <f t="shared" ca="1" si="16"/>
        <v>0</v>
      </c>
      <c r="L86" s="68">
        <f t="shared" ca="1" si="17"/>
        <v>0</v>
      </c>
      <c r="M86" s="69">
        <f t="shared" si="18"/>
        <v>0</v>
      </c>
      <c r="N86" s="65" t="str">
        <f t="shared" si="19"/>
        <v/>
      </c>
      <c r="O86" s="70" t="str">
        <f>IF(OR($C86="",$D86="",$F86=""),"",IF($F86="Aylık",EOMONTH($D86,0),($D86+MOD(SISTEM!$F$8-WEEKDAY($D86,2),7))))</f>
        <v/>
      </c>
      <c r="P86" s="61"/>
      <c r="Q86" s="2"/>
      <c r="R86" s="2"/>
      <c r="S86" s="1" t="str">
        <f>IF($B86="","",$B86&amp;"|"&amp;COUNTIFS($B$7:$B86,$B86))</f>
        <v/>
      </c>
      <c r="T86" s="1" t="str">
        <f t="shared" si="20"/>
        <v/>
      </c>
      <c r="U86" s="1">
        <f t="shared" si="21"/>
        <v>0</v>
      </c>
      <c r="V86" s="1">
        <f t="shared" si="22"/>
        <v>2958465</v>
      </c>
      <c r="W86" s="1">
        <f t="shared" si="23"/>
        <v>0</v>
      </c>
      <c r="X86" s="1">
        <f t="shared" si="24"/>
        <v>0</v>
      </c>
      <c r="Y86" s="1">
        <f t="shared" si="25"/>
        <v>97200</v>
      </c>
      <c r="Z86" s="1">
        <f t="shared" si="26"/>
        <v>1</v>
      </c>
      <c r="AA86" s="1">
        <f t="shared" si="27"/>
        <v>0</v>
      </c>
    </row>
    <row r="87" spans="1:27" ht="18" customHeight="1" x14ac:dyDescent="0.3">
      <c r="A87" s="2"/>
      <c r="B87" s="65" t="str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61"/>
      <c r="D87" s="66"/>
      <c r="E87" s="66"/>
      <c r="F87" s="60"/>
      <c r="G87" s="67"/>
      <c r="H87" s="60"/>
      <c r="I87" s="68">
        <f t="shared" ca="1" si="14"/>
        <v>0</v>
      </c>
      <c r="J87" s="68">
        <f t="shared" ca="1" si="15"/>
        <v>0</v>
      </c>
      <c r="K87" s="68">
        <f t="shared" ca="1" si="16"/>
        <v>0</v>
      </c>
      <c r="L87" s="68">
        <f t="shared" ca="1" si="17"/>
        <v>0</v>
      </c>
      <c r="M87" s="69">
        <f t="shared" si="18"/>
        <v>0</v>
      </c>
      <c r="N87" s="65" t="str">
        <f t="shared" si="19"/>
        <v/>
      </c>
      <c r="O87" s="70" t="str">
        <f>IF(OR($C87="",$D87="",$F87=""),"",IF($F87="Aylık",EOMONTH($D87,0),($D87+MOD(SISTEM!$F$8-WEEKDAY($D87,2),7))))</f>
        <v/>
      </c>
      <c r="P87" s="61"/>
      <c r="Q87" s="2"/>
      <c r="R87" s="2"/>
      <c r="S87" s="1" t="str">
        <f>IF($B87="","",$B87&amp;"|"&amp;COUNTIFS($B$7:$B87,$B87))</f>
        <v/>
      </c>
      <c r="T87" s="1" t="str">
        <f t="shared" si="20"/>
        <v/>
      </c>
      <c r="U87" s="1">
        <f t="shared" si="21"/>
        <v>0</v>
      </c>
      <c r="V87" s="1">
        <f t="shared" si="22"/>
        <v>2958465</v>
      </c>
      <c r="W87" s="1">
        <f t="shared" si="23"/>
        <v>0</v>
      </c>
      <c r="X87" s="1">
        <f t="shared" si="24"/>
        <v>0</v>
      </c>
      <c r="Y87" s="1">
        <f t="shared" si="25"/>
        <v>97200</v>
      </c>
      <c r="Z87" s="1">
        <f t="shared" si="26"/>
        <v>1</v>
      </c>
      <c r="AA87" s="1">
        <f t="shared" si="27"/>
        <v>0</v>
      </c>
    </row>
    <row r="88" spans="1:27" ht="18" customHeight="1" x14ac:dyDescent="0.3">
      <c r="A88" s="2"/>
      <c r="B88" s="65" t="str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61"/>
      <c r="D88" s="66"/>
      <c r="E88" s="66"/>
      <c r="F88" s="60"/>
      <c r="G88" s="67"/>
      <c r="H88" s="60"/>
      <c r="I88" s="68">
        <f t="shared" ca="1" si="14"/>
        <v>0</v>
      </c>
      <c r="J88" s="68">
        <f t="shared" ca="1" si="15"/>
        <v>0</v>
      </c>
      <c r="K88" s="68">
        <f t="shared" ca="1" si="16"/>
        <v>0</v>
      </c>
      <c r="L88" s="68">
        <f t="shared" ca="1" si="17"/>
        <v>0</v>
      </c>
      <c r="M88" s="69">
        <f t="shared" si="18"/>
        <v>0</v>
      </c>
      <c r="N88" s="65" t="str">
        <f t="shared" si="19"/>
        <v/>
      </c>
      <c r="O88" s="70" t="str">
        <f>IF(OR($C88="",$D88="",$F88=""),"",IF($F88="Aylık",EOMONTH($D88,0),($D88+MOD(SISTEM!$F$8-WEEKDAY($D88,2),7))))</f>
        <v/>
      </c>
      <c r="P88" s="61"/>
      <c r="Q88" s="2"/>
      <c r="R88" s="2"/>
      <c r="S88" s="1" t="str">
        <f>IF($B88="","",$B88&amp;"|"&amp;COUNTIFS($B$7:$B88,$B88))</f>
        <v/>
      </c>
      <c r="T88" s="1" t="str">
        <f t="shared" si="20"/>
        <v/>
      </c>
      <c r="U88" s="1">
        <f t="shared" si="21"/>
        <v>0</v>
      </c>
      <c r="V88" s="1">
        <f t="shared" si="22"/>
        <v>2958465</v>
      </c>
      <c r="W88" s="1">
        <f t="shared" si="23"/>
        <v>0</v>
      </c>
      <c r="X88" s="1">
        <f t="shared" si="24"/>
        <v>0</v>
      </c>
      <c r="Y88" s="1">
        <f t="shared" si="25"/>
        <v>97200</v>
      </c>
      <c r="Z88" s="1">
        <f t="shared" si="26"/>
        <v>1</v>
      </c>
      <c r="AA88" s="1">
        <f t="shared" si="27"/>
        <v>0</v>
      </c>
    </row>
    <row r="89" spans="1:27" ht="18" customHeight="1" x14ac:dyDescent="0.3">
      <c r="A89" s="2"/>
      <c r="B89" s="65" t="str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61"/>
      <c r="D89" s="66"/>
      <c r="E89" s="66"/>
      <c r="F89" s="60"/>
      <c r="G89" s="67"/>
      <c r="H89" s="60"/>
      <c r="I89" s="68">
        <f t="shared" ca="1" si="14"/>
        <v>0</v>
      </c>
      <c r="J89" s="68">
        <f t="shared" ca="1" si="15"/>
        <v>0</v>
      </c>
      <c r="K89" s="68">
        <f t="shared" ca="1" si="16"/>
        <v>0</v>
      </c>
      <c r="L89" s="68">
        <f t="shared" ca="1" si="17"/>
        <v>0</v>
      </c>
      <c r="M89" s="69">
        <f t="shared" si="18"/>
        <v>0</v>
      </c>
      <c r="N89" s="65" t="str">
        <f t="shared" si="19"/>
        <v/>
      </c>
      <c r="O89" s="70" t="str">
        <f>IF(OR($C89="",$D89="",$F89=""),"",IF($F89="Aylık",EOMONTH($D89,0),($D89+MOD(SISTEM!$F$8-WEEKDAY($D89,2),7))))</f>
        <v/>
      </c>
      <c r="P89" s="61"/>
      <c r="Q89" s="2"/>
      <c r="R89" s="2"/>
      <c r="S89" s="1" t="str">
        <f>IF($B89="","",$B89&amp;"|"&amp;COUNTIFS($B$7:$B89,$B89))</f>
        <v/>
      </c>
      <c r="T89" s="1" t="str">
        <f t="shared" si="20"/>
        <v/>
      </c>
      <c r="U89" s="1">
        <f t="shared" si="21"/>
        <v>0</v>
      </c>
      <c r="V89" s="1">
        <f t="shared" si="22"/>
        <v>2958465</v>
      </c>
      <c r="W89" s="1">
        <f t="shared" si="23"/>
        <v>0</v>
      </c>
      <c r="X89" s="1">
        <f t="shared" si="24"/>
        <v>0</v>
      </c>
      <c r="Y89" s="1">
        <f t="shared" si="25"/>
        <v>97200</v>
      </c>
      <c r="Z89" s="1">
        <f t="shared" si="26"/>
        <v>1</v>
      </c>
      <c r="AA89" s="1">
        <f t="shared" si="27"/>
        <v>0</v>
      </c>
    </row>
    <row r="90" spans="1:27" ht="18" customHeight="1" x14ac:dyDescent="0.3">
      <c r="A90" s="2"/>
      <c r="B90" s="65" t="str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61"/>
      <c r="D90" s="66"/>
      <c r="E90" s="66"/>
      <c r="F90" s="60"/>
      <c r="G90" s="67"/>
      <c r="H90" s="60"/>
      <c r="I90" s="68">
        <f t="shared" ca="1" si="14"/>
        <v>0</v>
      </c>
      <c r="J90" s="68">
        <f t="shared" ca="1" si="15"/>
        <v>0</v>
      </c>
      <c r="K90" s="68">
        <f t="shared" ca="1" si="16"/>
        <v>0</v>
      </c>
      <c r="L90" s="68">
        <f t="shared" ca="1" si="17"/>
        <v>0</v>
      </c>
      <c r="M90" s="69">
        <f t="shared" si="18"/>
        <v>0</v>
      </c>
      <c r="N90" s="65" t="str">
        <f t="shared" si="19"/>
        <v/>
      </c>
      <c r="O90" s="70" t="str">
        <f>IF(OR($C90="",$D90="",$F90=""),"",IF($F90="Aylık",EOMONTH($D90,0),($D90+MOD(SISTEM!$F$8-WEEKDAY($D90,2),7))))</f>
        <v/>
      </c>
      <c r="P90" s="61"/>
      <c r="Q90" s="2"/>
      <c r="R90" s="2"/>
      <c r="S90" s="1" t="str">
        <f>IF($B90="","",$B90&amp;"|"&amp;COUNTIFS($B$7:$B90,$B90))</f>
        <v/>
      </c>
      <c r="T90" s="1" t="str">
        <f t="shared" si="20"/>
        <v/>
      </c>
      <c r="U90" s="1">
        <f t="shared" si="21"/>
        <v>0</v>
      </c>
      <c r="V90" s="1">
        <f t="shared" si="22"/>
        <v>2958465</v>
      </c>
      <c r="W90" s="1">
        <f t="shared" si="23"/>
        <v>0</v>
      </c>
      <c r="X90" s="1">
        <f t="shared" si="24"/>
        <v>0</v>
      </c>
      <c r="Y90" s="1">
        <f t="shared" si="25"/>
        <v>97200</v>
      </c>
      <c r="Z90" s="1">
        <f t="shared" si="26"/>
        <v>1</v>
      </c>
      <c r="AA90" s="1">
        <f t="shared" si="27"/>
        <v>0</v>
      </c>
    </row>
    <row r="91" spans="1:27" ht="18" customHeight="1" x14ac:dyDescent="0.3">
      <c r="A91" s="2"/>
      <c r="B91" s="65" t="str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61"/>
      <c r="D91" s="66"/>
      <c r="E91" s="66"/>
      <c r="F91" s="60"/>
      <c r="G91" s="67"/>
      <c r="H91" s="60"/>
      <c r="I91" s="68">
        <f t="shared" ca="1" si="14"/>
        <v>0</v>
      </c>
      <c r="J91" s="68">
        <f t="shared" ca="1" si="15"/>
        <v>0</v>
      </c>
      <c r="K91" s="68">
        <f t="shared" ca="1" si="16"/>
        <v>0</v>
      </c>
      <c r="L91" s="68">
        <f t="shared" ca="1" si="17"/>
        <v>0</v>
      </c>
      <c r="M91" s="69">
        <f t="shared" si="18"/>
        <v>0</v>
      </c>
      <c r="N91" s="65" t="str">
        <f t="shared" si="19"/>
        <v/>
      </c>
      <c r="O91" s="70" t="str">
        <f>IF(OR($C91="",$D91="",$F91=""),"",IF($F91="Aylık",EOMONTH($D91,0),($D91+MOD(SISTEM!$F$8-WEEKDAY($D91,2),7))))</f>
        <v/>
      </c>
      <c r="P91" s="61"/>
      <c r="Q91" s="2"/>
      <c r="R91" s="2"/>
      <c r="S91" s="1" t="str">
        <f>IF($B91="","",$B91&amp;"|"&amp;COUNTIFS($B$7:$B91,$B91))</f>
        <v/>
      </c>
      <c r="T91" s="1" t="str">
        <f t="shared" si="20"/>
        <v/>
      </c>
      <c r="U91" s="1">
        <f t="shared" si="21"/>
        <v>0</v>
      </c>
      <c r="V91" s="1">
        <f t="shared" si="22"/>
        <v>2958465</v>
      </c>
      <c r="W91" s="1">
        <f t="shared" si="23"/>
        <v>0</v>
      </c>
      <c r="X91" s="1">
        <f t="shared" si="24"/>
        <v>0</v>
      </c>
      <c r="Y91" s="1">
        <f t="shared" si="25"/>
        <v>97200</v>
      </c>
      <c r="Z91" s="1">
        <f t="shared" si="26"/>
        <v>1</v>
      </c>
      <c r="AA91" s="1">
        <f t="shared" si="27"/>
        <v>0</v>
      </c>
    </row>
    <row r="92" spans="1:27" ht="18" customHeight="1" x14ac:dyDescent="0.3">
      <c r="A92" s="2"/>
      <c r="B92" s="65" t="str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61"/>
      <c r="D92" s="66"/>
      <c r="E92" s="66"/>
      <c r="F92" s="60"/>
      <c r="G92" s="67"/>
      <c r="H92" s="60"/>
      <c r="I92" s="68">
        <f t="shared" ca="1" si="14"/>
        <v>0</v>
      </c>
      <c r="J92" s="68">
        <f t="shared" ca="1" si="15"/>
        <v>0</v>
      </c>
      <c r="K92" s="68">
        <f t="shared" ca="1" si="16"/>
        <v>0</v>
      </c>
      <c r="L92" s="68">
        <f t="shared" ca="1" si="17"/>
        <v>0</v>
      </c>
      <c r="M92" s="69">
        <f t="shared" si="18"/>
        <v>0</v>
      </c>
      <c r="N92" s="65" t="str">
        <f t="shared" si="19"/>
        <v/>
      </c>
      <c r="O92" s="70" t="str">
        <f>IF(OR($C92="",$D92="",$F92=""),"",IF($F92="Aylık",EOMONTH($D92,0),($D92+MOD(SISTEM!$F$8-WEEKDAY($D92,2),7))))</f>
        <v/>
      </c>
      <c r="P92" s="61"/>
      <c r="Q92" s="2"/>
      <c r="R92" s="2"/>
      <c r="S92" s="1" t="str">
        <f>IF($B92="","",$B92&amp;"|"&amp;COUNTIFS($B$7:$B92,$B92))</f>
        <v/>
      </c>
      <c r="T92" s="1" t="str">
        <f t="shared" si="20"/>
        <v/>
      </c>
      <c r="U92" s="1">
        <f t="shared" si="21"/>
        <v>0</v>
      </c>
      <c r="V92" s="1">
        <f t="shared" si="22"/>
        <v>2958465</v>
      </c>
      <c r="W92" s="1">
        <f t="shared" si="23"/>
        <v>0</v>
      </c>
      <c r="X92" s="1">
        <f t="shared" si="24"/>
        <v>0</v>
      </c>
      <c r="Y92" s="1">
        <f t="shared" si="25"/>
        <v>97200</v>
      </c>
      <c r="Z92" s="1">
        <f t="shared" si="26"/>
        <v>1</v>
      </c>
      <c r="AA92" s="1">
        <f t="shared" si="27"/>
        <v>0</v>
      </c>
    </row>
    <row r="93" spans="1:27" ht="18" customHeight="1" x14ac:dyDescent="0.3">
      <c r="A93" s="2"/>
      <c r="B93" s="65" t="str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61"/>
      <c r="D93" s="66"/>
      <c r="E93" s="66"/>
      <c r="F93" s="60"/>
      <c r="G93" s="67"/>
      <c r="H93" s="60"/>
      <c r="I93" s="68">
        <f t="shared" ca="1" si="14"/>
        <v>0</v>
      </c>
      <c r="J93" s="68">
        <f t="shared" ca="1" si="15"/>
        <v>0</v>
      </c>
      <c r="K93" s="68">
        <f t="shared" ca="1" si="16"/>
        <v>0</v>
      </c>
      <c r="L93" s="68">
        <f t="shared" ca="1" si="17"/>
        <v>0</v>
      </c>
      <c r="M93" s="69">
        <f t="shared" si="18"/>
        <v>0</v>
      </c>
      <c r="N93" s="65" t="str">
        <f t="shared" si="19"/>
        <v/>
      </c>
      <c r="O93" s="70" t="str">
        <f>IF(OR($C93="",$D93="",$F93=""),"",IF($F93="Aylık",EOMONTH($D93,0),($D93+MOD(SISTEM!$F$8-WEEKDAY($D93,2),7))))</f>
        <v/>
      </c>
      <c r="P93" s="61"/>
      <c r="Q93" s="2"/>
      <c r="R93" s="2"/>
      <c r="S93" s="1" t="str">
        <f>IF($B93="","",$B93&amp;"|"&amp;COUNTIFS($B$7:$B93,$B93))</f>
        <v/>
      </c>
      <c r="T93" s="1" t="str">
        <f t="shared" si="20"/>
        <v/>
      </c>
      <c r="U93" s="1">
        <f t="shared" si="21"/>
        <v>0</v>
      </c>
      <c r="V93" s="1">
        <f t="shared" si="22"/>
        <v>2958465</v>
      </c>
      <c r="W93" s="1">
        <f t="shared" si="23"/>
        <v>0</v>
      </c>
      <c r="X93" s="1">
        <f t="shared" si="24"/>
        <v>0</v>
      </c>
      <c r="Y93" s="1">
        <f t="shared" si="25"/>
        <v>97200</v>
      </c>
      <c r="Z93" s="1">
        <f t="shared" si="26"/>
        <v>1</v>
      </c>
      <c r="AA93" s="1">
        <f t="shared" si="27"/>
        <v>0</v>
      </c>
    </row>
    <row r="94" spans="1:27" ht="18" customHeight="1" x14ac:dyDescent="0.3">
      <c r="A94" s="2"/>
      <c r="B94" s="65" t="str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61"/>
      <c r="D94" s="66"/>
      <c r="E94" s="66"/>
      <c r="F94" s="60"/>
      <c r="G94" s="67"/>
      <c r="H94" s="60"/>
      <c r="I94" s="68">
        <f t="shared" ca="1" si="14"/>
        <v>0</v>
      </c>
      <c r="J94" s="68">
        <f t="shared" ca="1" si="15"/>
        <v>0</v>
      </c>
      <c r="K94" s="68">
        <f t="shared" ca="1" si="16"/>
        <v>0</v>
      </c>
      <c r="L94" s="68">
        <f t="shared" ca="1" si="17"/>
        <v>0</v>
      </c>
      <c r="M94" s="69">
        <f t="shared" si="18"/>
        <v>0</v>
      </c>
      <c r="N94" s="65" t="str">
        <f t="shared" si="19"/>
        <v/>
      </c>
      <c r="O94" s="70" t="str">
        <f>IF(OR($C94="",$D94="",$F94=""),"",IF($F94="Aylık",EOMONTH($D94,0),($D94+MOD(SISTEM!$F$8-WEEKDAY($D94,2),7))))</f>
        <v/>
      </c>
      <c r="P94" s="61"/>
      <c r="Q94" s="2"/>
      <c r="R94" s="2"/>
      <c r="S94" s="1" t="str">
        <f>IF($B94="","",$B94&amp;"|"&amp;COUNTIFS($B$7:$B94,$B94))</f>
        <v/>
      </c>
      <c r="T94" s="1" t="str">
        <f t="shared" si="20"/>
        <v/>
      </c>
      <c r="U94" s="1">
        <f t="shared" si="21"/>
        <v>0</v>
      </c>
      <c r="V94" s="1">
        <f t="shared" si="22"/>
        <v>2958465</v>
      </c>
      <c r="W94" s="1">
        <f t="shared" si="23"/>
        <v>0</v>
      </c>
      <c r="X94" s="1">
        <f t="shared" si="24"/>
        <v>0</v>
      </c>
      <c r="Y94" s="1">
        <f t="shared" si="25"/>
        <v>97200</v>
      </c>
      <c r="Z94" s="1">
        <f t="shared" si="26"/>
        <v>1</v>
      </c>
      <c r="AA94" s="1">
        <f t="shared" si="27"/>
        <v>0</v>
      </c>
    </row>
    <row r="95" spans="1:27" ht="18" customHeight="1" x14ac:dyDescent="0.3">
      <c r="A95" s="2"/>
      <c r="B95" s="65" t="str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61"/>
      <c r="D95" s="66"/>
      <c r="E95" s="66"/>
      <c r="F95" s="60"/>
      <c r="G95" s="67"/>
      <c r="H95" s="60"/>
      <c r="I95" s="68">
        <f t="shared" ca="1" si="14"/>
        <v>0</v>
      </c>
      <c r="J95" s="68">
        <f t="shared" ca="1" si="15"/>
        <v>0</v>
      </c>
      <c r="K95" s="68">
        <f t="shared" ca="1" si="16"/>
        <v>0</v>
      </c>
      <c r="L95" s="68">
        <f t="shared" ca="1" si="17"/>
        <v>0</v>
      </c>
      <c r="M95" s="69">
        <f t="shared" si="18"/>
        <v>0</v>
      </c>
      <c r="N95" s="65" t="str">
        <f t="shared" si="19"/>
        <v/>
      </c>
      <c r="O95" s="70" t="str">
        <f>IF(OR($C95="",$D95="",$F95=""),"",IF($F95="Aylık",EOMONTH($D95,0),($D95+MOD(SISTEM!$F$8-WEEKDAY($D95,2),7))))</f>
        <v/>
      </c>
      <c r="P95" s="61"/>
      <c r="Q95" s="2"/>
      <c r="R95" s="2"/>
      <c r="S95" s="1" t="str">
        <f>IF($B95="","",$B95&amp;"|"&amp;COUNTIFS($B$7:$B95,$B95))</f>
        <v/>
      </c>
      <c r="T95" s="1" t="str">
        <f t="shared" si="20"/>
        <v/>
      </c>
      <c r="U95" s="1">
        <f t="shared" si="21"/>
        <v>0</v>
      </c>
      <c r="V95" s="1">
        <f t="shared" si="22"/>
        <v>2958465</v>
      </c>
      <c r="W95" s="1">
        <f t="shared" si="23"/>
        <v>0</v>
      </c>
      <c r="X95" s="1">
        <f t="shared" si="24"/>
        <v>0</v>
      </c>
      <c r="Y95" s="1">
        <f t="shared" si="25"/>
        <v>97200</v>
      </c>
      <c r="Z95" s="1">
        <f t="shared" si="26"/>
        <v>1</v>
      </c>
      <c r="AA95" s="1">
        <f t="shared" si="27"/>
        <v>0</v>
      </c>
    </row>
    <row r="96" spans="1:27" ht="18" customHeight="1" x14ac:dyDescent="0.3">
      <c r="A96" s="2"/>
      <c r="B96" s="65" t="str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61"/>
      <c r="D96" s="66"/>
      <c r="E96" s="66"/>
      <c r="F96" s="60"/>
      <c r="G96" s="67"/>
      <c r="H96" s="60"/>
      <c r="I96" s="68">
        <f t="shared" ca="1" si="14"/>
        <v>0</v>
      </c>
      <c r="J96" s="68">
        <f t="shared" ca="1" si="15"/>
        <v>0</v>
      </c>
      <c r="K96" s="68">
        <f t="shared" ca="1" si="16"/>
        <v>0</v>
      </c>
      <c r="L96" s="68">
        <f t="shared" ca="1" si="17"/>
        <v>0</v>
      </c>
      <c r="M96" s="69">
        <f t="shared" si="18"/>
        <v>0</v>
      </c>
      <c r="N96" s="65" t="str">
        <f t="shared" si="19"/>
        <v/>
      </c>
      <c r="O96" s="70" t="str">
        <f>IF(OR($C96="",$D96="",$F96=""),"",IF($F96="Aylık",EOMONTH($D96,0),($D96+MOD(SISTEM!$F$8-WEEKDAY($D96,2),7))))</f>
        <v/>
      </c>
      <c r="P96" s="61"/>
      <c r="Q96" s="2"/>
      <c r="R96" s="2"/>
      <c r="S96" s="1" t="str">
        <f>IF($B96="","",$B96&amp;"|"&amp;COUNTIFS($B$7:$B96,$B96))</f>
        <v/>
      </c>
      <c r="T96" s="1" t="str">
        <f t="shared" si="20"/>
        <v/>
      </c>
      <c r="U96" s="1">
        <f t="shared" si="21"/>
        <v>0</v>
      </c>
      <c r="V96" s="1">
        <f t="shared" si="22"/>
        <v>2958465</v>
      </c>
      <c r="W96" s="1">
        <f t="shared" si="23"/>
        <v>0</v>
      </c>
      <c r="X96" s="1">
        <f t="shared" si="24"/>
        <v>0</v>
      </c>
      <c r="Y96" s="1">
        <f t="shared" si="25"/>
        <v>97200</v>
      </c>
      <c r="Z96" s="1">
        <f t="shared" si="26"/>
        <v>1</v>
      </c>
      <c r="AA96" s="1">
        <f t="shared" si="27"/>
        <v>0</v>
      </c>
    </row>
    <row r="97" spans="1:27" ht="18" customHeight="1" x14ac:dyDescent="0.3">
      <c r="A97" s="2"/>
      <c r="B97" s="65" t="str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61"/>
      <c r="D97" s="66"/>
      <c r="E97" s="66"/>
      <c r="F97" s="60"/>
      <c r="G97" s="67"/>
      <c r="H97" s="60"/>
      <c r="I97" s="68">
        <f t="shared" ca="1" si="14"/>
        <v>0</v>
      </c>
      <c r="J97" s="68">
        <f t="shared" ca="1" si="15"/>
        <v>0</v>
      </c>
      <c r="K97" s="68">
        <f t="shared" ca="1" si="16"/>
        <v>0</v>
      </c>
      <c r="L97" s="68">
        <f t="shared" ca="1" si="17"/>
        <v>0</v>
      </c>
      <c r="M97" s="69">
        <f t="shared" si="18"/>
        <v>0</v>
      </c>
      <c r="N97" s="65" t="str">
        <f t="shared" si="19"/>
        <v/>
      </c>
      <c r="O97" s="70" t="str">
        <f>IF(OR($C97="",$D97="",$F97=""),"",IF($F97="Aylık",EOMONTH($D97,0),($D97+MOD(SISTEM!$F$8-WEEKDAY($D97,2),7))))</f>
        <v/>
      </c>
      <c r="P97" s="61"/>
      <c r="Q97" s="2"/>
      <c r="R97" s="2"/>
      <c r="S97" s="1" t="str">
        <f>IF($B97="","",$B97&amp;"|"&amp;COUNTIFS($B$7:$B97,$B97))</f>
        <v/>
      </c>
      <c r="T97" s="1" t="str">
        <f t="shared" si="20"/>
        <v/>
      </c>
      <c r="U97" s="1">
        <f t="shared" si="21"/>
        <v>0</v>
      </c>
      <c r="V97" s="1">
        <f t="shared" si="22"/>
        <v>2958465</v>
      </c>
      <c r="W97" s="1">
        <f t="shared" si="23"/>
        <v>0</v>
      </c>
      <c r="X97" s="1">
        <f t="shared" si="24"/>
        <v>0</v>
      </c>
      <c r="Y97" s="1">
        <f t="shared" si="25"/>
        <v>97200</v>
      </c>
      <c r="Z97" s="1">
        <f t="shared" si="26"/>
        <v>1</v>
      </c>
      <c r="AA97" s="1">
        <f t="shared" si="27"/>
        <v>0</v>
      </c>
    </row>
    <row r="98" spans="1:27" ht="18" customHeight="1" x14ac:dyDescent="0.3">
      <c r="A98" s="2"/>
      <c r="B98" s="65" t="str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61"/>
      <c r="D98" s="66"/>
      <c r="E98" s="66"/>
      <c r="F98" s="60"/>
      <c r="G98" s="67"/>
      <c r="H98" s="60"/>
      <c r="I98" s="68">
        <f t="shared" ca="1" si="14"/>
        <v>0</v>
      </c>
      <c r="J98" s="68">
        <f t="shared" ca="1" si="15"/>
        <v>0</v>
      </c>
      <c r="K98" s="68">
        <f t="shared" ca="1" si="16"/>
        <v>0</v>
      </c>
      <c r="L98" s="68">
        <f t="shared" ca="1" si="17"/>
        <v>0</v>
      </c>
      <c r="M98" s="69">
        <f t="shared" si="18"/>
        <v>0</v>
      </c>
      <c r="N98" s="65" t="str">
        <f t="shared" si="19"/>
        <v/>
      </c>
      <c r="O98" s="70" t="str">
        <f>IF(OR($C98="",$D98="",$F98=""),"",IF($F98="Aylık",EOMONTH($D98,0),($D98+MOD(SISTEM!$F$8-WEEKDAY($D98,2),7))))</f>
        <v/>
      </c>
      <c r="P98" s="61"/>
      <c r="Q98" s="2"/>
      <c r="R98" s="2"/>
      <c r="S98" s="1" t="str">
        <f>IF($B98="","",$B98&amp;"|"&amp;COUNTIFS($B$7:$B98,$B98))</f>
        <v/>
      </c>
      <c r="T98" s="1" t="str">
        <f t="shared" si="20"/>
        <v/>
      </c>
      <c r="U98" s="1">
        <f t="shared" si="21"/>
        <v>0</v>
      </c>
      <c r="V98" s="1">
        <f t="shared" si="22"/>
        <v>2958465</v>
      </c>
      <c r="W98" s="1">
        <f t="shared" si="23"/>
        <v>0</v>
      </c>
      <c r="X98" s="1">
        <f t="shared" si="24"/>
        <v>0</v>
      </c>
      <c r="Y98" s="1">
        <f t="shared" si="25"/>
        <v>97200</v>
      </c>
      <c r="Z98" s="1">
        <f t="shared" si="26"/>
        <v>1</v>
      </c>
      <c r="AA98" s="1">
        <f t="shared" si="27"/>
        <v>0</v>
      </c>
    </row>
    <row r="99" spans="1:27" ht="18" customHeight="1" x14ac:dyDescent="0.3">
      <c r="A99" s="2"/>
      <c r="B99" s="65" t="str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61"/>
      <c r="D99" s="66"/>
      <c r="E99" s="66"/>
      <c r="F99" s="60"/>
      <c r="G99" s="67"/>
      <c r="H99" s="60"/>
      <c r="I99" s="68">
        <f t="shared" ca="1" si="14"/>
        <v>0</v>
      </c>
      <c r="J99" s="68">
        <f t="shared" ca="1" si="15"/>
        <v>0</v>
      </c>
      <c r="K99" s="68">
        <f t="shared" ca="1" si="16"/>
        <v>0</v>
      </c>
      <c r="L99" s="68">
        <f t="shared" ca="1" si="17"/>
        <v>0</v>
      </c>
      <c r="M99" s="69">
        <f t="shared" si="18"/>
        <v>0</v>
      </c>
      <c r="N99" s="65" t="str">
        <f t="shared" si="19"/>
        <v/>
      </c>
      <c r="O99" s="70" t="str">
        <f>IF(OR($C99="",$D99="",$F99=""),"",IF($F99="Aylık",EOMONTH($D99,0),($D99+MOD(SISTEM!$F$8-WEEKDAY($D99,2),7))))</f>
        <v/>
      </c>
      <c r="P99" s="61"/>
      <c r="Q99" s="2"/>
      <c r="R99" s="2"/>
      <c r="S99" s="1" t="str">
        <f>IF($B99="","",$B99&amp;"|"&amp;COUNTIFS($B$7:$B99,$B99))</f>
        <v/>
      </c>
      <c r="T99" s="1" t="str">
        <f t="shared" si="20"/>
        <v/>
      </c>
      <c r="U99" s="1">
        <f t="shared" si="21"/>
        <v>0</v>
      </c>
      <c r="V99" s="1">
        <f t="shared" si="22"/>
        <v>2958465</v>
      </c>
      <c r="W99" s="1">
        <f t="shared" si="23"/>
        <v>0</v>
      </c>
      <c r="X99" s="1">
        <f t="shared" si="24"/>
        <v>0</v>
      </c>
      <c r="Y99" s="1">
        <f t="shared" si="25"/>
        <v>97200</v>
      </c>
      <c r="Z99" s="1">
        <f t="shared" si="26"/>
        <v>1</v>
      </c>
      <c r="AA99" s="1">
        <f t="shared" si="27"/>
        <v>0</v>
      </c>
    </row>
    <row r="100" spans="1:27" ht="18" customHeight="1" x14ac:dyDescent="0.3">
      <c r="A100" s="2"/>
      <c r="B100" s="65" t="str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61"/>
      <c r="D100" s="66"/>
      <c r="E100" s="66"/>
      <c r="F100" s="60"/>
      <c r="G100" s="67"/>
      <c r="H100" s="60"/>
      <c r="I100" s="68">
        <f t="shared" ca="1" si="14"/>
        <v>0</v>
      </c>
      <c r="J100" s="68">
        <f t="shared" ca="1" si="15"/>
        <v>0</v>
      </c>
      <c r="K100" s="68">
        <f t="shared" ca="1" si="16"/>
        <v>0</v>
      </c>
      <c r="L100" s="68">
        <f t="shared" ca="1" si="17"/>
        <v>0</v>
      </c>
      <c r="M100" s="69">
        <f t="shared" si="18"/>
        <v>0</v>
      </c>
      <c r="N100" s="65" t="str">
        <f t="shared" si="19"/>
        <v/>
      </c>
      <c r="O100" s="70" t="str">
        <f>IF(OR($C100="",$D100="",$F100=""),"",IF($F100="Aylık",EOMONTH($D100,0),($D100+MOD(SISTEM!$F$8-WEEKDAY($D100,2),7))))</f>
        <v/>
      </c>
      <c r="P100" s="61"/>
      <c r="Q100" s="2"/>
      <c r="R100" s="2"/>
      <c r="S100" s="1" t="str">
        <f>IF($B100="","",$B100&amp;"|"&amp;COUNTIFS($B$7:$B100,$B100))</f>
        <v/>
      </c>
      <c r="T100" s="1" t="str">
        <f t="shared" si="20"/>
        <v/>
      </c>
      <c r="U100" s="1">
        <f t="shared" si="21"/>
        <v>0</v>
      </c>
      <c r="V100" s="1">
        <f t="shared" si="22"/>
        <v>2958465</v>
      </c>
      <c r="W100" s="1">
        <f t="shared" si="23"/>
        <v>0</v>
      </c>
      <c r="X100" s="1">
        <f t="shared" si="24"/>
        <v>0</v>
      </c>
      <c r="Y100" s="1">
        <f t="shared" si="25"/>
        <v>97200</v>
      </c>
      <c r="Z100" s="1">
        <f t="shared" si="26"/>
        <v>1</v>
      </c>
      <c r="AA100" s="1">
        <f t="shared" si="27"/>
        <v>0</v>
      </c>
    </row>
    <row r="101" spans="1:27" ht="18" customHeight="1" x14ac:dyDescent="0.3">
      <c r="A101" s="2"/>
      <c r="B101" s="65" t="str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61"/>
      <c r="D101" s="66"/>
      <c r="E101" s="66"/>
      <c r="F101" s="60"/>
      <c r="G101" s="67"/>
      <c r="H101" s="60"/>
      <c r="I101" s="68">
        <f t="shared" ca="1" si="14"/>
        <v>0</v>
      </c>
      <c r="J101" s="68">
        <f t="shared" ca="1" si="15"/>
        <v>0</v>
      </c>
      <c r="K101" s="68">
        <f t="shared" ca="1" si="16"/>
        <v>0</v>
      </c>
      <c r="L101" s="68">
        <f t="shared" ca="1" si="17"/>
        <v>0</v>
      </c>
      <c r="M101" s="69">
        <f t="shared" si="18"/>
        <v>0</v>
      </c>
      <c r="N101" s="65" t="str">
        <f t="shared" si="19"/>
        <v/>
      </c>
      <c r="O101" s="70" t="str">
        <f>IF(OR($C101="",$D101="",$F101=""),"",IF($F101="Aylık",EOMONTH($D101,0),($D101+MOD(SISTEM!$F$8-WEEKDAY($D101,2),7))))</f>
        <v/>
      </c>
      <c r="P101" s="61"/>
      <c r="Q101" s="2"/>
      <c r="R101" s="2"/>
      <c r="S101" s="1" t="str">
        <f>IF($B101="","",$B101&amp;"|"&amp;COUNTIFS($B$7:$B101,$B101))</f>
        <v/>
      </c>
      <c r="T101" s="1" t="str">
        <f t="shared" si="20"/>
        <v/>
      </c>
      <c r="U101" s="1">
        <f t="shared" si="21"/>
        <v>0</v>
      </c>
      <c r="V101" s="1">
        <f t="shared" si="22"/>
        <v>2958465</v>
      </c>
      <c r="W101" s="1">
        <f t="shared" si="23"/>
        <v>0</v>
      </c>
      <c r="X101" s="1">
        <f t="shared" si="24"/>
        <v>0</v>
      </c>
      <c r="Y101" s="1">
        <f t="shared" si="25"/>
        <v>97200</v>
      </c>
      <c r="Z101" s="1">
        <f t="shared" si="26"/>
        <v>1</v>
      </c>
      <c r="AA101" s="1">
        <f t="shared" si="27"/>
        <v>0</v>
      </c>
    </row>
    <row r="102" spans="1:27" ht="18" customHeight="1" x14ac:dyDescent="0.3">
      <c r="A102" s="2"/>
      <c r="B102" s="65" t="str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61"/>
      <c r="D102" s="66"/>
      <c r="E102" s="66"/>
      <c r="F102" s="60"/>
      <c r="G102" s="67"/>
      <c r="H102" s="60"/>
      <c r="I102" s="68">
        <f t="shared" ca="1" si="14"/>
        <v>0</v>
      </c>
      <c r="J102" s="68">
        <f t="shared" ca="1" si="15"/>
        <v>0</v>
      </c>
      <c r="K102" s="68">
        <f t="shared" ca="1" si="16"/>
        <v>0</v>
      </c>
      <c r="L102" s="68">
        <f t="shared" ca="1" si="17"/>
        <v>0</v>
      </c>
      <c r="M102" s="69">
        <f t="shared" si="18"/>
        <v>0</v>
      </c>
      <c r="N102" s="65" t="str">
        <f t="shared" si="19"/>
        <v/>
      </c>
      <c r="O102" s="70" t="str">
        <f>IF(OR($C102="",$D102="",$F102=""),"",IF($F102="Aylık",EOMONTH($D102,0),($D102+MOD(SISTEM!$F$8-WEEKDAY($D102,2),7))))</f>
        <v/>
      </c>
      <c r="P102" s="61"/>
      <c r="Q102" s="2"/>
      <c r="R102" s="2"/>
      <c r="S102" s="1" t="str">
        <f>IF($B102="","",$B102&amp;"|"&amp;COUNTIFS($B$7:$B102,$B102))</f>
        <v/>
      </c>
      <c r="T102" s="1" t="str">
        <f t="shared" si="20"/>
        <v/>
      </c>
      <c r="U102" s="1">
        <f t="shared" si="21"/>
        <v>0</v>
      </c>
      <c r="V102" s="1">
        <f t="shared" si="22"/>
        <v>2958465</v>
      </c>
      <c r="W102" s="1">
        <f t="shared" si="23"/>
        <v>0</v>
      </c>
      <c r="X102" s="1">
        <f t="shared" si="24"/>
        <v>0</v>
      </c>
      <c r="Y102" s="1">
        <f t="shared" si="25"/>
        <v>97200</v>
      </c>
      <c r="Z102" s="1">
        <f t="shared" si="26"/>
        <v>1</v>
      </c>
      <c r="AA102" s="1">
        <f t="shared" si="27"/>
        <v>0</v>
      </c>
    </row>
    <row r="103" spans="1:27" ht="18" customHeight="1" x14ac:dyDescent="0.3">
      <c r="A103" s="2"/>
      <c r="B103" s="65" t="str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61"/>
      <c r="D103" s="66"/>
      <c r="E103" s="66"/>
      <c r="F103" s="60"/>
      <c r="G103" s="67"/>
      <c r="H103" s="60"/>
      <c r="I103" s="68">
        <f t="shared" ca="1" si="14"/>
        <v>0</v>
      </c>
      <c r="J103" s="68">
        <f t="shared" ca="1" si="15"/>
        <v>0</v>
      </c>
      <c r="K103" s="68">
        <f t="shared" ca="1" si="16"/>
        <v>0</v>
      </c>
      <c r="L103" s="68">
        <f t="shared" ca="1" si="17"/>
        <v>0</v>
      </c>
      <c r="M103" s="69">
        <f t="shared" si="18"/>
        <v>0</v>
      </c>
      <c r="N103" s="65" t="str">
        <f t="shared" si="19"/>
        <v/>
      </c>
      <c r="O103" s="70" t="str">
        <f>IF(OR($C103="",$D103="",$F103=""),"",IF($F103="Aylık",EOMONTH($D103,0),($D103+MOD(SISTEM!$F$8-WEEKDAY($D103,2),7))))</f>
        <v/>
      </c>
      <c r="P103" s="61"/>
      <c r="Q103" s="2"/>
      <c r="R103" s="2"/>
      <c r="S103" s="1" t="str">
        <f>IF($B103="","",$B103&amp;"|"&amp;COUNTIFS($B$7:$B103,$B103))</f>
        <v/>
      </c>
      <c r="T103" s="1" t="str">
        <f t="shared" si="20"/>
        <v/>
      </c>
      <c r="U103" s="1">
        <f t="shared" si="21"/>
        <v>0</v>
      </c>
      <c r="V103" s="1">
        <f t="shared" si="22"/>
        <v>2958465</v>
      </c>
      <c r="W103" s="1">
        <f t="shared" si="23"/>
        <v>0</v>
      </c>
      <c r="X103" s="1">
        <f t="shared" si="24"/>
        <v>0</v>
      </c>
      <c r="Y103" s="1">
        <f t="shared" si="25"/>
        <v>97200</v>
      </c>
      <c r="Z103" s="1">
        <f t="shared" si="26"/>
        <v>1</v>
      </c>
      <c r="AA103" s="1">
        <f t="shared" si="27"/>
        <v>0</v>
      </c>
    </row>
    <row r="104" spans="1:27" ht="18" customHeight="1" x14ac:dyDescent="0.3">
      <c r="A104" s="2"/>
      <c r="B104" s="65" t="str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61"/>
      <c r="D104" s="66"/>
      <c r="E104" s="66"/>
      <c r="F104" s="60"/>
      <c r="G104" s="67"/>
      <c r="H104" s="60"/>
      <c r="I104" s="68">
        <f t="shared" ca="1" si="14"/>
        <v>0</v>
      </c>
      <c r="J104" s="68">
        <f t="shared" ca="1" si="15"/>
        <v>0</v>
      </c>
      <c r="K104" s="68">
        <f t="shared" ca="1" si="16"/>
        <v>0</v>
      </c>
      <c r="L104" s="68">
        <f t="shared" ca="1" si="17"/>
        <v>0</v>
      </c>
      <c r="M104" s="69">
        <f t="shared" si="18"/>
        <v>0</v>
      </c>
      <c r="N104" s="65" t="str">
        <f t="shared" si="19"/>
        <v/>
      </c>
      <c r="O104" s="70" t="str">
        <f>IF(OR($C104="",$D104="",$F104=""),"",IF($F104="Aylık",EOMONTH($D104,0),($D104+MOD(SISTEM!$F$8-WEEKDAY($D104,2),7))))</f>
        <v/>
      </c>
      <c r="P104" s="61"/>
      <c r="Q104" s="2"/>
      <c r="R104" s="2"/>
      <c r="S104" s="1" t="str">
        <f>IF($B104="","",$B104&amp;"|"&amp;COUNTIFS($B$7:$B104,$B104))</f>
        <v/>
      </c>
      <c r="T104" s="1" t="str">
        <f t="shared" si="20"/>
        <v/>
      </c>
      <c r="U104" s="1">
        <f t="shared" si="21"/>
        <v>0</v>
      </c>
      <c r="V104" s="1">
        <f t="shared" si="22"/>
        <v>2958465</v>
      </c>
      <c r="W104" s="1">
        <f t="shared" si="23"/>
        <v>0</v>
      </c>
      <c r="X104" s="1">
        <f t="shared" si="24"/>
        <v>0</v>
      </c>
      <c r="Y104" s="1">
        <f t="shared" si="25"/>
        <v>97200</v>
      </c>
      <c r="Z104" s="1">
        <f t="shared" si="26"/>
        <v>1</v>
      </c>
      <c r="AA104" s="1">
        <f t="shared" si="27"/>
        <v>0</v>
      </c>
    </row>
    <row r="105" spans="1:27" ht="18" customHeight="1" x14ac:dyDescent="0.3">
      <c r="A105" s="2"/>
      <c r="B105" s="65" t="str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61"/>
      <c r="D105" s="66"/>
      <c r="E105" s="66"/>
      <c r="F105" s="60"/>
      <c r="G105" s="67"/>
      <c r="H105" s="60"/>
      <c r="I105" s="68">
        <f t="shared" ca="1" si="14"/>
        <v>0</v>
      </c>
      <c r="J105" s="68">
        <f t="shared" ca="1" si="15"/>
        <v>0</v>
      </c>
      <c r="K105" s="68">
        <f t="shared" ca="1" si="16"/>
        <v>0</v>
      </c>
      <c r="L105" s="68">
        <f t="shared" ca="1" si="17"/>
        <v>0</v>
      </c>
      <c r="M105" s="69">
        <f t="shared" si="18"/>
        <v>0</v>
      </c>
      <c r="N105" s="65" t="str">
        <f t="shared" si="19"/>
        <v/>
      </c>
      <c r="O105" s="70" t="str">
        <f>IF(OR($C105="",$D105="",$F105=""),"",IF($F105="Aylık",EOMONTH($D105,0),($D105+MOD(SISTEM!$F$8-WEEKDAY($D105,2),7))))</f>
        <v/>
      </c>
      <c r="P105" s="61"/>
      <c r="Q105" s="2"/>
      <c r="R105" s="2"/>
      <c r="S105" s="1" t="str">
        <f>IF($B105="","",$B105&amp;"|"&amp;COUNTIFS($B$7:$B105,$B105))</f>
        <v/>
      </c>
      <c r="T105" s="1" t="str">
        <f t="shared" si="20"/>
        <v/>
      </c>
      <c r="U105" s="1">
        <f t="shared" si="21"/>
        <v>0</v>
      </c>
      <c r="V105" s="1">
        <f t="shared" si="22"/>
        <v>2958465</v>
      </c>
      <c r="W105" s="1">
        <f t="shared" si="23"/>
        <v>0</v>
      </c>
      <c r="X105" s="1">
        <f t="shared" si="24"/>
        <v>0</v>
      </c>
      <c r="Y105" s="1">
        <f t="shared" si="25"/>
        <v>97200</v>
      </c>
      <c r="Z105" s="1">
        <f t="shared" si="26"/>
        <v>1</v>
      </c>
      <c r="AA105" s="1">
        <f t="shared" si="27"/>
        <v>0</v>
      </c>
    </row>
    <row r="106" spans="1:27" ht="18" customHeight="1" x14ac:dyDescent="0.3">
      <c r="A106" s="2"/>
      <c r="B106" s="65" t="str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61"/>
      <c r="D106" s="66"/>
      <c r="E106" s="66"/>
      <c r="F106" s="60"/>
      <c r="G106" s="67"/>
      <c r="H106" s="60"/>
      <c r="I106" s="68">
        <f t="shared" ca="1" si="14"/>
        <v>0</v>
      </c>
      <c r="J106" s="68">
        <f t="shared" ca="1" si="15"/>
        <v>0</v>
      </c>
      <c r="K106" s="68">
        <f t="shared" ca="1" si="16"/>
        <v>0</v>
      </c>
      <c r="L106" s="68">
        <f t="shared" ca="1" si="17"/>
        <v>0</v>
      </c>
      <c r="M106" s="69">
        <f t="shared" si="18"/>
        <v>0</v>
      </c>
      <c r="N106" s="65" t="str">
        <f t="shared" si="19"/>
        <v/>
      </c>
      <c r="O106" s="70" t="str">
        <f>IF(OR($C106="",$D106="",$F106=""),"",IF($F106="Aylık",EOMONTH($D106,0),($D106+MOD(SISTEM!$F$8-WEEKDAY($D106,2),7))))</f>
        <v/>
      </c>
      <c r="P106" s="61"/>
      <c r="Q106" s="2"/>
      <c r="R106" s="2"/>
      <c r="S106" s="1" t="str">
        <f>IF($B106="","",$B106&amp;"|"&amp;COUNTIFS($B$7:$B106,$B106))</f>
        <v/>
      </c>
      <c r="T106" s="1" t="str">
        <f t="shared" si="20"/>
        <v/>
      </c>
      <c r="U106" s="1">
        <f t="shared" si="21"/>
        <v>0</v>
      </c>
      <c r="V106" s="1">
        <f t="shared" si="22"/>
        <v>2958465</v>
      </c>
      <c r="W106" s="1">
        <f t="shared" si="23"/>
        <v>0</v>
      </c>
      <c r="X106" s="1">
        <f t="shared" si="24"/>
        <v>0</v>
      </c>
      <c r="Y106" s="1">
        <f t="shared" si="25"/>
        <v>97200</v>
      </c>
      <c r="Z106" s="1">
        <f t="shared" si="26"/>
        <v>1</v>
      </c>
      <c r="AA106" s="1">
        <f t="shared" si="27"/>
        <v>0</v>
      </c>
    </row>
    <row r="107" spans="1:27" ht="18" customHeight="1" x14ac:dyDescent="0.3">
      <c r="A107" s="2"/>
      <c r="B107" s="65" t="str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61"/>
      <c r="D107" s="66"/>
      <c r="E107" s="66"/>
      <c r="F107" s="60"/>
      <c r="G107" s="67"/>
      <c r="H107" s="60"/>
      <c r="I107" s="68">
        <f t="shared" ca="1" si="14"/>
        <v>0</v>
      </c>
      <c r="J107" s="68">
        <f t="shared" ca="1" si="15"/>
        <v>0</v>
      </c>
      <c r="K107" s="68">
        <f t="shared" ca="1" si="16"/>
        <v>0</v>
      </c>
      <c r="L107" s="68">
        <f t="shared" ca="1" si="17"/>
        <v>0</v>
      </c>
      <c r="M107" s="69">
        <f t="shared" si="18"/>
        <v>0</v>
      </c>
      <c r="N107" s="65" t="str">
        <f t="shared" si="19"/>
        <v/>
      </c>
      <c r="O107" s="70" t="str">
        <f>IF(OR($C107="",$D107="",$F107=""),"",IF($F107="Aylık",EOMONTH($D107,0),($D107+MOD(SISTEM!$F$8-WEEKDAY($D107,2),7))))</f>
        <v/>
      </c>
      <c r="P107" s="61"/>
      <c r="Q107" s="2"/>
      <c r="R107" s="2"/>
      <c r="S107" s="1" t="str">
        <f>IF($B107="","",$B107&amp;"|"&amp;COUNTIFS($B$7:$B107,$B107))</f>
        <v/>
      </c>
      <c r="T107" s="1" t="str">
        <f t="shared" si="20"/>
        <v/>
      </c>
      <c r="U107" s="1">
        <f t="shared" si="21"/>
        <v>0</v>
      </c>
      <c r="V107" s="1">
        <f t="shared" si="22"/>
        <v>2958465</v>
      </c>
      <c r="W107" s="1">
        <f t="shared" si="23"/>
        <v>0</v>
      </c>
      <c r="X107" s="1">
        <f t="shared" si="24"/>
        <v>0</v>
      </c>
      <c r="Y107" s="1">
        <f t="shared" si="25"/>
        <v>97200</v>
      </c>
      <c r="Z107" s="1">
        <f t="shared" si="26"/>
        <v>1</v>
      </c>
      <c r="AA107" s="1">
        <f t="shared" si="27"/>
        <v>0</v>
      </c>
    </row>
    <row r="108" spans="1:27" ht="18" customHeight="1" x14ac:dyDescent="0.3">
      <c r="A108" s="2"/>
      <c r="B108" s="65" t="str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61"/>
      <c r="D108" s="66"/>
      <c r="E108" s="66"/>
      <c r="F108" s="60"/>
      <c r="G108" s="67"/>
      <c r="H108" s="60"/>
      <c r="I108" s="68">
        <f t="shared" ca="1" si="14"/>
        <v>0</v>
      </c>
      <c r="J108" s="68">
        <f t="shared" ca="1" si="15"/>
        <v>0</v>
      </c>
      <c r="K108" s="68">
        <f t="shared" ca="1" si="16"/>
        <v>0</v>
      </c>
      <c r="L108" s="68">
        <f t="shared" ca="1" si="17"/>
        <v>0</v>
      </c>
      <c r="M108" s="69">
        <f t="shared" si="18"/>
        <v>0</v>
      </c>
      <c r="N108" s="65" t="str">
        <f t="shared" si="19"/>
        <v/>
      </c>
      <c r="O108" s="70" t="str">
        <f>IF(OR($C108="",$D108="",$F108=""),"",IF($F108="Aylık",EOMONTH($D108,0),($D108+MOD(SISTEM!$F$8-WEEKDAY($D108,2),7))))</f>
        <v/>
      </c>
      <c r="P108" s="61"/>
      <c r="Q108" s="2"/>
      <c r="R108" s="2"/>
      <c r="S108" s="1" t="str">
        <f>IF($B108="","",$B108&amp;"|"&amp;COUNTIFS($B$7:$B108,$B108))</f>
        <v/>
      </c>
      <c r="T108" s="1" t="str">
        <f t="shared" si="20"/>
        <v/>
      </c>
      <c r="U108" s="1">
        <f t="shared" si="21"/>
        <v>0</v>
      </c>
      <c r="V108" s="1">
        <f t="shared" si="22"/>
        <v>2958465</v>
      </c>
      <c r="W108" s="1">
        <f t="shared" si="23"/>
        <v>0</v>
      </c>
      <c r="X108" s="1">
        <f t="shared" si="24"/>
        <v>0</v>
      </c>
      <c r="Y108" s="1">
        <f t="shared" si="25"/>
        <v>97200</v>
      </c>
      <c r="Z108" s="1">
        <f t="shared" si="26"/>
        <v>1</v>
      </c>
      <c r="AA108" s="1">
        <f t="shared" si="27"/>
        <v>0</v>
      </c>
    </row>
    <row r="109" spans="1:27" ht="18" customHeight="1" x14ac:dyDescent="0.3">
      <c r="A109" s="2"/>
      <c r="B109" s="65" t="str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61"/>
      <c r="D109" s="66"/>
      <c r="E109" s="66"/>
      <c r="F109" s="60"/>
      <c r="G109" s="67"/>
      <c r="H109" s="60"/>
      <c r="I109" s="68">
        <f t="shared" ca="1" si="14"/>
        <v>0</v>
      </c>
      <c r="J109" s="68">
        <f t="shared" ca="1" si="15"/>
        <v>0</v>
      </c>
      <c r="K109" s="68">
        <f t="shared" ca="1" si="16"/>
        <v>0</v>
      </c>
      <c r="L109" s="68">
        <f t="shared" ca="1" si="17"/>
        <v>0</v>
      </c>
      <c r="M109" s="69">
        <f t="shared" si="18"/>
        <v>0</v>
      </c>
      <c r="N109" s="65" t="str">
        <f t="shared" si="19"/>
        <v/>
      </c>
      <c r="O109" s="70" t="str">
        <f>IF(OR($C109="",$D109="",$F109=""),"",IF($F109="Aylık",EOMONTH($D109,0),($D109+MOD(SISTEM!$F$8-WEEKDAY($D109,2),7))))</f>
        <v/>
      </c>
      <c r="P109" s="61"/>
      <c r="Q109" s="2"/>
      <c r="R109" s="2"/>
      <c r="S109" s="1" t="str">
        <f>IF($B109="","",$B109&amp;"|"&amp;COUNTIFS($B$7:$B109,$B109))</f>
        <v/>
      </c>
      <c r="T109" s="1" t="str">
        <f t="shared" si="20"/>
        <v/>
      </c>
      <c r="U109" s="1">
        <f t="shared" si="21"/>
        <v>0</v>
      </c>
      <c r="V109" s="1">
        <f t="shared" si="22"/>
        <v>2958465</v>
      </c>
      <c r="W109" s="1">
        <f t="shared" si="23"/>
        <v>0</v>
      </c>
      <c r="X109" s="1">
        <f t="shared" si="24"/>
        <v>0</v>
      </c>
      <c r="Y109" s="1">
        <f t="shared" si="25"/>
        <v>97200</v>
      </c>
      <c r="Z109" s="1">
        <f t="shared" si="26"/>
        <v>1</v>
      </c>
      <c r="AA109" s="1">
        <f t="shared" si="27"/>
        <v>0</v>
      </c>
    </row>
    <row r="110" spans="1:27" ht="18" customHeight="1" x14ac:dyDescent="0.3">
      <c r="A110" s="2"/>
      <c r="B110" s="65" t="str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61"/>
      <c r="D110" s="66"/>
      <c r="E110" s="66"/>
      <c r="F110" s="60"/>
      <c r="G110" s="67"/>
      <c r="H110" s="60"/>
      <c r="I110" s="68">
        <f t="shared" ca="1" si="14"/>
        <v>0</v>
      </c>
      <c r="J110" s="68">
        <f t="shared" ca="1" si="15"/>
        <v>0</v>
      </c>
      <c r="K110" s="68">
        <f t="shared" ca="1" si="16"/>
        <v>0</v>
      </c>
      <c r="L110" s="68">
        <f t="shared" ca="1" si="17"/>
        <v>0</v>
      </c>
      <c r="M110" s="69">
        <f t="shared" si="18"/>
        <v>0</v>
      </c>
      <c r="N110" s="65" t="str">
        <f t="shared" si="19"/>
        <v/>
      </c>
      <c r="O110" s="70" t="str">
        <f>IF(OR($C110="",$D110="",$F110=""),"",IF($F110="Aylık",EOMONTH($D110,0),($D110+MOD(SISTEM!$F$8-WEEKDAY($D110,2),7))))</f>
        <v/>
      </c>
      <c r="P110" s="61"/>
      <c r="Q110" s="2"/>
      <c r="R110" s="2"/>
      <c r="S110" s="1" t="str">
        <f>IF($B110="","",$B110&amp;"|"&amp;COUNTIFS($B$7:$B110,$B110))</f>
        <v/>
      </c>
      <c r="T110" s="1" t="str">
        <f t="shared" si="20"/>
        <v/>
      </c>
      <c r="U110" s="1">
        <f t="shared" si="21"/>
        <v>0</v>
      </c>
      <c r="V110" s="1">
        <f t="shared" si="22"/>
        <v>2958465</v>
      </c>
      <c r="W110" s="1">
        <f t="shared" si="23"/>
        <v>0</v>
      </c>
      <c r="X110" s="1">
        <f t="shared" si="24"/>
        <v>0</v>
      </c>
      <c r="Y110" s="1">
        <f t="shared" si="25"/>
        <v>97200</v>
      </c>
      <c r="Z110" s="1">
        <f t="shared" si="26"/>
        <v>1</v>
      </c>
      <c r="AA110" s="1">
        <f t="shared" si="27"/>
        <v>0</v>
      </c>
    </row>
    <row r="111" spans="1:27" ht="18" customHeight="1" x14ac:dyDescent="0.3">
      <c r="A111" s="2"/>
      <c r="B111" s="65" t="str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61"/>
      <c r="D111" s="66"/>
      <c r="E111" s="66"/>
      <c r="F111" s="60"/>
      <c r="G111" s="67"/>
      <c r="H111" s="60"/>
      <c r="I111" s="68">
        <f t="shared" ca="1" si="14"/>
        <v>0</v>
      </c>
      <c r="J111" s="68">
        <f t="shared" ca="1" si="15"/>
        <v>0</v>
      </c>
      <c r="K111" s="68">
        <f t="shared" ca="1" si="16"/>
        <v>0</v>
      </c>
      <c r="L111" s="68">
        <f t="shared" ca="1" si="17"/>
        <v>0</v>
      </c>
      <c r="M111" s="69">
        <f t="shared" si="18"/>
        <v>0</v>
      </c>
      <c r="N111" s="65" t="str">
        <f t="shared" si="19"/>
        <v/>
      </c>
      <c r="O111" s="70" t="str">
        <f>IF(OR($C111="",$D111="",$F111=""),"",IF($F111="Aylık",EOMONTH($D111,0),($D111+MOD(SISTEM!$F$8-WEEKDAY($D111,2),7))))</f>
        <v/>
      </c>
      <c r="P111" s="61"/>
      <c r="Q111" s="2"/>
      <c r="R111" s="2"/>
      <c r="S111" s="1" t="str">
        <f>IF($B111="","",$B111&amp;"|"&amp;COUNTIFS($B$7:$B111,$B111))</f>
        <v/>
      </c>
      <c r="T111" s="1" t="str">
        <f t="shared" si="20"/>
        <v/>
      </c>
      <c r="U111" s="1">
        <f t="shared" si="21"/>
        <v>0</v>
      </c>
      <c r="V111" s="1">
        <f t="shared" si="22"/>
        <v>2958465</v>
      </c>
      <c r="W111" s="1">
        <f t="shared" si="23"/>
        <v>0</v>
      </c>
      <c r="X111" s="1">
        <f t="shared" si="24"/>
        <v>0</v>
      </c>
      <c r="Y111" s="1">
        <f t="shared" si="25"/>
        <v>97200</v>
      </c>
      <c r="Z111" s="1">
        <f t="shared" si="26"/>
        <v>1</v>
      </c>
      <c r="AA111" s="1">
        <f t="shared" si="27"/>
        <v>0</v>
      </c>
    </row>
    <row r="112" spans="1:27" ht="18" customHeight="1" x14ac:dyDescent="0.3">
      <c r="A112" s="2"/>
      <c r="B112" s="65" t="str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61"/>
      <c r="D112" s="66"/>
      <c r="E112" s="66"/>
      <c r="F112" s="60"/>
      <c r="G112" s="67"/>
      <c r="H112" s="60"/>
      <c r="I112" s="68">
        <f t="shared" ca="1" si="14"/>
        <v>0</v>
      </c>
      <c r="J112" s="68">
        <f t="shared" ca="1" si="15"/>
        <v>0</v>
      </c>
      <c r="K112" s="68">
        <f t="shared" ca="1" si="16"/>
        <v>0</v>
      </c>
      <c r="L112" s="68">
        <f t="shared" ca="1" si="17"/>
        <v>0</v>
      </c>
      <c r="M112" s="69">
        <f t="shared" si="18"/>
        <v>0</v>
      </c>
      <c r="N112" s="65" t="str">
        <f t="shared" si="19"/>
        <v/>
      </c>
      <c r="O112" s="70" t="str">
        <f>IF(OR($C112="",$D112="",$F112=""),"",IF($F112="Aylık",EOMONTH($D112,0),($D112+MOD(SISTEM!$F$8-WEEKDAY($D112,2),7))))</f>
        <v/>
      </c>
      <c r="P112" s="61"/>
      <c r="Q112" s="2"/>
      <c r="R112" s="2"/>
      <c r="S112" s="1" t="str">
        <f>IF($B112="","",$B112&amp;"|"&amp;COUNTIFS($B$7:$B112,$B112))</f>
        <v/>
      </c>
      <c r="T112" s="1" t="str">
        <f t="shared" si="20"/>
        <v/>
      </c>
      <c r="U112" s="1">
        <f t="shared" si="21"/>
        <v>0</v>
      </c>
      <c r="V112" s="1">
        <f t="shared" si="22"/>
        <v>2958465</v>
      </c>
      <c r="W112" s="1">
        <f t="shared" si="23"/>
        <v>0</v>
      </c>
      <c r="X112" s="1">
        <f t="shared" si="24"/>
        <v>0</v>
      </c>
      <c r="Y112" s="1">
        <f t="shared" si="25"/>
        <v>97200</v>
      </c>
      <c r="Z112" s="1">
        <f t="shared" si="26"/>
        <v>1</v>
      </c>
      <c r="AA112" s="1">
        <f t="shared" si="27"/>
        <v>0</v>
      </c>
    </row>
    <row r="113" spans="1:27" ht="18" customHeight="1" x14ac:dyDescent="0.3">
      <c r="A113" s="2"/>
      <c r="B113" s="65" t="str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61"/>
      <c r="D113" s="66"/>
      <c r="E113" s="66"/>
      <c r="F113" s="60"/>
      <c r="G113" s="67"/>
      <c r="H113" s="60"/>
      <c r="I113" s="68">
        <f t="shared" ca="1" si="14"/>
        <v>0</v>
      </c>
      <c r="J113" s="68">
        <f t="shared" ca="1" si="15"/>
        <v>0</v>
      </c>
      <c r="K113" s="68">
        <f t="shared" ca="1" si="16"/>
        <v>0</v>
      </c>
      <c r="L113" s="68">
        <f t="shared" ca="1" si="17"/>
        <v>0</v>
      </c>
      <c r="M113" s="69">
        <f t="shared" si="18"/>
        <v>0</v>
      </c>
      <c r="N113" s="65" t="str">
        <f t="shared" si="19"/>
        <v/>
      </c>
      <c r="O113" s="70" t="str">
        <f>IF(OR($C113="",$D113="",$F113=""),"",IF($F113="Aylık",EOMONTH($D113,0),($D113+MOD(SISTEM!$F$8-WEEKDAY($D113,2),7))))</f>
        <v/>
      </c>
      <c r="P113" s="61"/>
      <c r="Q113" s="2"/>
      <c r="R113" s="2"/>
      <c r="S113" s="1" t="str">
        <f>IF($B113="","",$B113&amp;"|"&amp;COUNTIFS($B$7:$B113,$B113))</f>
        <v/>
      </c>
      <c r="T113" s="1" t="str">
        <f t="shared" si="20"/>
        <v/>
      </c>
      <c r="U113" s="1">
        <f t="shared" si="21"/>
        <v>0</v>
      </c>
      <c r="V113" s="1">
        <f t="shared" si="22"/>
        <v>2958465</v>
      </c>
      <c r="W113" s="1">
        <f t="shared" si="23"/>
        <v>0</v>
      </c>
      <c r="X113" s="1">
        <f t="shared" si="24"/>
        <v>0</v>
      </c>
      <c r="Y113" s="1">
        <f t="shared" si="25"/>
        <v>97200</v>
      </c>
      <c r="Z113" s="1">
        <f t="shared" si="26"/>
        <v>1</v>
      </c>
      <c r="AA113" s="1">
        <f t="shared" si="27"/>
        <v>0</v>
      </c>
    </row>
    <row r="114" spans="1:27" ht="18" customHeight="1" x14ac:dyDescent="0.3">
      <c r="A114" s="2"/>
      <c r="B114" s="65" t="str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61"/>
      <c r="D114" s="66"/>
      <c r="E114" s="66"/>
      <c r="F114" s="60"/>
      <c r="G114" s="67"/>
      <c r="H114" s="60"/>
      <c r="I114" s="68">
        <f t="shared" ca="1" si="14"/>
        <v>0</v>
      </c>
      <c r="J114" s="68">
        <f t="shared" ca="1" si="15"/>
        <v>0</v>
      </c>
      <c r="K114" s="68">
        <f t="shared" ca="1" si="16"/>
        <v>0</v>
      </c>
      <c r="L114" s="68">
        <f t="shared" ca="1" si="17"/>
        <v>0</v>
      </c>
      <c r="M114" s="69">
        <f t="shared" si="18"/>
        <v>0</v>
      </c>
      <c r="N114" s="65" t="str">
        <f t="shared" si="19"/>
        <v/>
      </c>
      <c r="O114" s="70" t="str">
        <f>IF(OR($C114="",$D114="",$F114=""),"",IF($F114="Aylık",EOMONTH($D114,0),($D114+MOD(SISTEM!$F$8-WEEKDAY($D114,2),7))))</f>
        <v/>
      </c>
      <c r="P114" s="61"/>
      <c r="Q114" s="2"/>
      <c r="R114" s="2"/>
      <c r="S114" s="1" t="str">
        <f>IF($B114="","",$B114&amp;"|"&amp;COUNTIFS($B$7:$B114,$B114))</f>
        <v/>
      </c>
      <c r="T114" s="1" t="str">
        <f t="shared" si="20"/>
        <v/>
      </c>
      <c r="U114" s="1">
        <f t="shared" si="21"/>
        <v>0</v>
      </c>
      <c r="V114" s="1">
        <f t="shared" si="22"/>
        <v>2958465</v>
      </c>
      <c r="W114" s="1">
        <f t="shared" si="23"/>
        <v>0</v>
      </c>
      <c r="X114" s="1">
        <f t="shared" si="24"/>
        <v>0</v>
      </c>
      <c r="Y114" s="1">
        <f t="shared" si="25"/>
        <v>97200</v>
      </c>
      <c r="Z114" s="1">
        <f t="shared" si="26"/>
        <v>1</v>
      </c>
      <c r="AA114" s="1">
        <f t="shared" si="27"/>
        <v>0</v>
      </c>
    </row>
    <row r="115" spans="1:27" ht="18" customHeight="1" x14ac:dyDescent="0.3">
      <c r="A115" s="2"/>
      <c r="B115" s="65" t="str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61"/>
      <c r="D115" s="66"/>
      <c r="E115" s="66"/>
      <c r="F115" s="60"/>
      <c r="G115" s="67"/>
      <c r="H115" s="60"/>
      <c r="I115" s="68">
        <f t="shared" ca="1" si="14"/>
        <v>0</v>
      </c>
      <c r="J115" s="68">
        <f t="shared" ca="1" si="15"/>
        <v>0</v>
      </c>
      <c r="K115" s="68">
        <f t="shared" ca="1" si="16"/>
        <v>0</v>
      </c>
      <c r="L115" s="68">
        <f t="shared" ca="1" si="17"/>
        <v>0</v>
      </c>
      <c r="M115" s="69">
        <f t="shared" si="18"/>
        <v>0</v>
      </c>
      <c r="N115" s="65" t="str">
        <f t="shared" si="19"/>
        <v/>
      </c>
      <c r="O115" s="70" t="str">
        <f>IF(OR($C115="",$D115="",$F115=""),"",IF($F115="Aylık",EOMONTH($D115,0),($D115+MOD(SISTEM!$F$8-WEEKDAY($D115,2),7))))</f>
        <v/>
      </c>
      <c r="P115" s="61"/>
      <c r="Q115" s="2"/>
      <c r="R115" s="2"/>
      <c r="S115" s="1" t="str">
        <f>IF($B115="","",$B115&amp;"|"&amp;COUNTIFS($B$7:$B115,$B115))</f>
        <v/>
      </c>
      <c r="T115" s="1" t="str">
        <f t="shared" si="20"/>
        <v/>
      </c>
      <c r="U115" s="1">
        <f t="shared" si="21"/>
        <v>0</v>
      </c>
      <c r="V115" s="1">
        <f t="shared" si="22"/>
        <v>2958465</v>
      </c>
      <c r="W115" s="1">
        <f t="shared" si="23"/>
        <v>0</v>
      </c>
      <c r="X115" s="1">
        <f t="shared" si="24"/>
        <v>0</v>
      </c>
      <c r="Y115" s="1">
        <f t="shared" si="25"/>
        <v>97200</v>
      </c>
      <c r="Z115" s="1">
        <f t="shared" si="26"/>
        <v>1</v>
      </c>
      <c r="AA115" s="1">
        <f t="shared" si="27"/>
        <v>0</v>
      </c>
    </row>
    <row r="116" spans="1:27" ht="18" customHeight="1" x14ac:dyDescent="0.3">
      <c r="A116" s="2"/>
      <c r="B116" s="65" t="str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61"/>
      <c r="D116" s="66"/>
      <c r="E116" s="66"/>
      <c r="F116" s="60"/>
      <c r="G116" s="67"/>
      <c r="H116" s="60"/>
      <c r="I116" s="68">
        <f t="shared" ca="1" si="14"/>
        <v>0</v>
      </c>
      <c r="J116" s="68">
        <f t="shared" ca="1" si="15"/>
        <v>0</v>
      </c>
      <c r="K116" s="68">
        <f t="shared" ca="1" si="16"/>
        <v>0</v>
      </c>
      <c r="L116" s="68">
        <f t="shared" ca="1" si="17"/>
        <v>0</v>
      </c>
      <c r="M116" s="69">
        <f t="shared" si="18"/>
        <v>0</v>
      </c>
      <c r="N116" s="65" t="str">
        <f t="shared" si="19"/>
        <v/>
      </c>
      <c r="O116" s="70" t="str">
        <f>IF(OR($C116="",$D116="",$F116=""),"",IF($F116="Aylık",EOMONTH($D116,0),($D116+MOD(SISTEM!$F$8-WEEKDAY($D116,2),7))))</f>
        <v/>
      </c>
      <c r="P116" s="61"/>
      <c r="Q116" s="2"/>
      <c r="R116" s="2"/>
      <c r="S116" s="1" t="str">
        <f>IF($B116="","",$B116&amp;"|"&amp;COUNTIFS($B$7:$B116,$B116))</f>
        <v/>
      </c>
      <c r="T116" s="1" t="str">
        <f t="shared" si="20"/>
        <v/>
      </c>
      <c r="U116" s="1">
        <f t="shared" si="21"/>
        <v>0</v>
      </c>
      <c r="V116" s="1">
        <f t="shared" si="22"/>
        <v>2958465</v>
      </c>
      <c r="W116" s="1">
        <f t="shared" si="23"/>
        <v>0</v>
      </c>
      <c r="X116" s="1">
        <f t="shared" si="24"/>
        <v>0</v>
      </c>
      <c r="Y116" s="1">
        <f t="shared" si="25"/>
        <v>97200</v>
      </c>
      <c r="Z116" s="1">
        <f t="shared" si="26"/>
        <v>1</v>
      </c>
      <c r="AA116" s="1">
        <f t="shared" si="27"/>
        <v>0</v>
      </c>
    </row>
    <row r="117" spans="1:27" ht="18" customHeight="1" x14ac:dyDescent="0.3">
      <c r="A117" s="2"/>
      <c r="B117" s="65" t="str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61"/>
      <c r="D117" s="66"/>
      <c r="E117" s="66"/>
      <c r="F117" s="60"/>
      <c r="G117" s="67"/>
      <c r="H117" s="60"/>
      <c r="I117" s="68">
        <f t="shared" ca="1" si="14"/>
        <v>0</v>
      </c>
      <c r="J117" s="68">
        <f t="shared" ca="1" si="15"/>
        <v>0</v>
      </c>
      <c r="K117" s="68">
        <f t="shared" ca="1" si="16"/>
        <v>0</v>
      </c>
      <c r="L117" s="68">
        <f t="shared" ca="1" si="17"/>
        <v>0</v>
      </c>
      <c r="M117" s="69">
        <f t="shared" si="18"/>
        <v>0</v>
      </c>
      <c r="N117" s="65" t="str">
        <f t="shared" si="19"/>
        <v/>
      </c>
      <c r="O117" s="70" t="str">
        <f>IF(OR($C117="",$D117="",$F117=""),"",IF($F117="Aylık",EOMONTH($D117,0),($D117+MOD(SISTEM!$F$8-WEEKDAY($D117,2),7))))</f>
        <v/>
      </c>
      <c r="P117" s="61"/>
      <c r="Q117" s="2"/>
      <c r="R117" s="2"/>
      <c r="S117" s="1" t="str">
        <f>IF($B117="","",$B117&amp;"|"&amp;COUNTIFS($B$7:$B117,$B117))</f>
        <v/>
      </c>
      <c r="T117" s="1" t="str">
        <f t="shared" si="20"/>
        <v/>
      </c>
      <c r="U117" s="1">
        <f t="shared" si="21"/>
        <v>0</v>
      </c>
      <c r="V117" s="1">
        <f t="shared" si="22"/>
        <v>2958465</v>
      </c>
      <c r="W117" s="1">
        <f t="shared" si="23"/>
        <v>0</v>
      </c>
      <c r="X117" s="1">
        <f t="shared" si="24"/>
        <v>0</v>
      </c>
      <c r="Y117" s="1">
        <f t="shared" si="25"/>
        <v>97200</v>
      </c>
      <c r="Z117" s="1">
        <f t="shared" si="26"/>
        <v>1</v>
      </c>
      <c r="AA117" s="1">
        <f t="shared" si="27"/>
        <v>0</v>
      </c>
    </row>
    <row r="118" spans="1:27" ht="18" customHeight="1" x14ac:dyDescent="0.3">
      <c r="A118" s="2"/>
      <c r="B118" s="65" t="str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61"/>
      <c r="D118" s="66"/>
      <c r="E118" s="66"/>
      <c r="F118" s="60"/>
      <c r="G118" s="67"/>
      <c r="H118" s="60"/>
      <c r="I118" s="68">
        <f t="shared" ca="1" si="14"/>
        <v>0</v>
      </c>
      <c r="J118" s="68">
        <f t="shared" ca="1" si="15"/>
        <v>0</v>
      </c>
      <c r="K118" s="68">
        <f t="shared" ca="1" si="16"/>
        <v>0</v>
      </c>
      <c r="L118" s="68">
        <f t="shared" ca="1" si="17"/>
        <v>0</v>
      </c>
      <c r="M118" s="69">
        <f t="shared" si="18"/>
        <v>0</v>
      </c>
      <c r="N118" s="65" t="str">
        <f t="shared" si="19"/>
        <v/>
      </c>
      <c r="O118" s="70" t="str">
        <f>IF(OR($C118="",$D118="",$F118=""),"",IF($F118="Aylık",EOMONTH($D118,0),($D118+MOD(SISTEM!$F$8-WEEKDAY($D118,2),7))))</f>
        <v/>
      </c>
      <c r="P118" s="61"/>
      <c r="Q118" s="2"/>
      <c r="R118" s="2"/>
      <c r="S118" s="1" t="str">
        <f>IF($B118="","",$B118&amp;"|"&amp;COUNTIFS($B$7:$B118,$B118))</f>
        <v/>
      </c>
      <c r="T118" s="1" t="str">
        <f t="shared" si="20"/>
        <v/>
      </c>
      <c r="U118" s="1">
        <f t="shared" si="21"/>
        <v>0</v>
      </c>
      <c r="V118" s="1">
        <f t="shared" si="22"/>
        <v>2958465</v>
      </c>
      <c r="W118" s="1">
        <f t="shared" si="23"/>
        <v>0</v>
      </c>
      <c r="X118" s="1">
        <f t="shared" si="24"/>
        <v>0</v>
      </c>
      <c r="Y118" s="1">
        <f t="shared" si="25"/>
        <v>97200</v>
      </c>
      <c r="Z118" s="1">
        <f t="shared" si="26"/>
        <v>1</v>
      </c>
      <c r="AA118" s="1">
        <f t="shared" si="27"/>
        <v>0</v>
      </c>
    </row>
    <row r="119" spans="1:27" ht="18" customHeight="1" x14ac:dyDescent="0.3">
      <c r="A119" s="2"/>
      <c r="B119" s="65" t="str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61"/>
      <c r="D119" s="66"/>
      <c r="E119" s="66"/>
      <c r="F119" s="60"/>
      <c r="G119" s="67"/>
      <c r="H119" s="60"/>
      <c r="I119" s="68">
        <f t="shared" ca="1" si="14"/>
        <v>0</v>
      </c>
      <c r="J119" s="68">
        <f t="shared" ca="1" si="15"/>
        <v>0</v>
      </c>
      <c r="K119" s="68">
        <f t="shared" ca="1" si="16"/>
        <v>0</v>
      </c>
      <c r="L119" s="68">
        <f t="shared" ca="1" si="17"/>
        <v>0</v>
      </c>
      <c r="M119" s="69">
        <f t="shared" si="18"/>
        <v>0</v>
      </c>
      <c r="N119" s="65" t="str">
        <f t="shared" si="19"/>
        <v/>
      </c>
      <c r="O119" s="70" t="str">
        <f>IF(OR($C119="",$D119="",$F119=""),"",IF($F119="Aylık",EOMONTH($D119,0),($D119+MOD(SISTEM!$F$8-WEEKDAY($D119,2),7))))</f>
        <v/>
      </c>
      <c r="P119" s="61"/>
      <c r="Q119" s="2"/>
      <c r="R119" s="2"/>
      <c r="S119" s="1" t="str">
        <f>IF($B119="","",$B119&amp;"|"&amp;COUNTIFS($B$7:$B119,$B119))</f>
        <v/>
      </c>
      <c r="T119" s="1" t="str">
        <f t="shared" si="20"/>
        <v/>
      </c>
      <c r="U119" s="1">
        <f t="shared" si="21"/>
        <v>0</v>
      </c>
      <c r="V119" s="1">
        <f t="shared" si="22"/>
        <v>2958465</v>
      </c>
      <c r="W119" s="1">
        <f t="shared" si="23"/>
        <v>0</v>
      </c>
      <c r="X119" s="1">
        <f t="shared" si="24"/>
        <v>0</v>
      </c>
      <c r="Y119" s="1">
        <f t="shared" si="25"/>
        <v>97200</v>
      </c>
      <c r="Z119" s="1">
        <f t="shared" si="26"/>
        <v>1</v>
      </c>
      <c r="AA119" s="1">
        <f t="shared" si="27"/>
        <v>0</v>
      </c>
    </row>
    <row r="120" spans="1:27" ht="18" customHeight="1" x14ac:dyDescent="0.3">
      <c r="A120" s="2"/>
      <c r="B120" s="65" t="str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61"/>
      <c r="D120" s="66"/>
      <c r="E120" s="66"/>
      <c r="F120" s="60"/>
      <c r="G120" s="67"/>
      <c r="H120" s="60"/>
      <c r="I120" s="68">
        <f t="shared" ca="1" si="14"/>
        <v>0</v>
      </c>
      <c r="J120" s="68">
        <f t="shared" ca="1" si="15"/>
        <v>0</v>
      </c>
      <c r="K120" s="68">
        <f t="shared" ca="1" si="16"/>
        <v>0</v>
      </c>
      <c r="L120" s="68">
        <f t="shared" ca="1" si="17"/>
        <v>0</v>
      </c>
      <c r="M120" s="69">
        <f t="shared" si="18"/>
        <v>0</v>
      </c>
      <c r="N120" s="65" t="str">
        <f t="shared" si="19"/>
        <v/>
      </c>
      <c r="O120" s="70" t="str">
        <f>IF(OR($C120="",$D120="",$F120=""),"",IF($F120="Aylık",EOMONTH($D120,0),($D120+MOD(SISTEM!$F$8-WEEKDAY($D120,2),7))))</f>
        <v/>
      </c>
      <c r="P120" s="61"/>
      <c r="Q120" s="2"/>
      <c r="R120" s="2"/>
      <c r="S120" s="1" t="str">
        <f>IF($B120="","",$B120&amp;"|"&amp;COUNTIFS($B$7:$B120,$B120))</f>
        <v/>
      </c>
      <c r="T120" s="1" t="str">
        <f t="shared" si="20"/>
        <v/>
      </c>
      <c r="U120" s="1">
        <f t="shared" si="21"/>
        <v>0</v>
      </c>
      <c r="V120" s="1">
        <f t="shared" si="22"/>
        <v>2958465</v>
      </c>
      <c r="W120" s="1">
        <f t="shared" si="23"/>
        <v>0</v>
      </c>
      <c r="X120" s="1">
        <f t="shared" si="24"/>
        <v>0</v>
      </c>
      <c r="Y120" s="1">
        <f t="shared" si="25"/>
        <v>97200</v>
      </c>
      <c r="Z120" s="1">
        <f t="shared" si="26"/>
        <v>1</v>
      </c>
      <c r="AA120" s="1">
        <f t="shared" si="27"/>
        <v>0</v>
      </c>
    </row>
    <row r="121" spans="1:27" ht="18" customHeight="1" x14ac:dyDescent="0.3">
      <c r="A121" s="2"/>
      <c r="B121" s="65" t="str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61"/>
      <c r="D121" s="66"/>
      <c r="E121" s="66"/>
      <c r="F121" s="60"/>
      <c r="G121" s="67"/>
      <c r="H121" s="60"/>
      <c r="I121" s="68">
        <f t="shared" ca="1" si="14"/>
        <v>0</v>
      </c>
      <c r="J121" s="68">
        <f t="shared" ca="1" si="15"/>
        <v>0</v>
      </c>
      <c r="K121" s="68">
        <f t="shared" ca="1" si="16"/>
        <v>0</v>
      </c>
      <c r="L121" s="68">
        <f t="shared" ca="1" si="17"/>
        <v>0</v>
      </c>
      <c r="M121" s="69">
        <f t="shared" si="18"/>
        <v>0</v>
      </c>
      <c r="N121" s="65" t="str">
        <f t="shared" si="19"/>
        <v/>
      </c>
      <c r="O121" s="70" t="str">
        <f>IF(OR($C121="",$D121="",$F121=""),"",IF($F121="Aylık",EOMONTH($D121,0),($D121+MOD(SISTEM!$F$8-WEEKDAY($D121,2),7))))</f>
        <v/>
      </c>
      <c r="P121" s="61"/>
      <c r="Q121" s="2"/>
      <c r="R121" s="2"/>
      <c r="S121" s="1" t="str">
        <f>IF($B121="","",$B121&amp;"|"&amp;COUNTIFS($B$7:$B121,$B121))</f>
        <v/>
      </c>
      <c r="T121" s="1" t="str">
        <f t="shared" si="20"/>
        <v/>
      </c>
      <c r="U121" s="1">
        <f t="shared" si="21"/>
        <v>0</v>
      </c>
      <c r="V121" s="1">
        <f t="shared" si="22"/>
        <v>2958465</v>
      </c>
      <c r="W121" s="1">
        <f t="shared" si="23"/>
        <v>0</v>
      </c>
      <c r="X121" s="1">
        <f t="shared" si="24"/>
        <v>0</v>
      </c>
      <c r="Y121" s="1">
        <f t="shared" si="25"/>
        <v>97200</v>
      </c>
      <c r="Z121" s="1">
        <f t="shared" si="26"/>
        <v>1</v>
      </c>
      <c r="AA121" s="1">
        <f t="shared" si="27"/>
        <v>0</v>
      </c>
    </row>
    <row r="122" spans="1:27" ht="18" customHeight="1" x14ac:dyDescent="0.3">
      <c r="A122" s="2"/>
      <c r="B122" s="65" t="str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61"/>
      <c r="D122" s="66"/>
      <c r="E122" s="66"/>
      <c r="F122" s="60"/>
      <c r="G122" s="67"/>
      <c r="H122" s="60"/>
      <c r="I122" s="68">
        <f t="shared" ca="1" si="14"/>
        <v>0</v>
      </c>
      <c r="J122" s="68">
        <f t="shared" ca="1" si="15"/>
        <v>0</v>
      </c>
      <c r="K122" s="68">
        <f t="shared" ca="1" si="16"/>
        <v>0</v>
      </c>
      <c r="L122" s="68">
        <f t="shared" ca="1" si="17"/>
        <v>0</v>
      </c>
      <c r="M122" s="69">
        <f t="shared" si="18"/>
        <v>0</v>
      </c>
      <c r="N122" s="65" t="str">
        <f t="shared" si="19"/>
        <v/>
      </c>
      <c r="O122" s="70" t="str">
        <f>IF(OR($C122="",$D122="",$F122=""),"",IF($F122="Aylık",EOMONTH($D122,0),($D122+MOD(SISTEM!$F$8-WEEKDAY($D122,2),7))))</f>
        <v/>
      </c>
      <c r="P122" s="61"/>
      <c r="Q122" s="2"/>
      <c r="R122" s="2"/>
      <c r="S122" s="1" t="str">
        <f>IF($B122="","",$B122&amp;"|"&amp;COUNTIFS($B$7:$B122,$B122))</f>
        <v/>
      </c>
      <c r="T122" s="1" t="str">
        <f t="shared" si="20"/>
        <v/>
      </c>
      <c r="U122" s="1">
        <f t="shared" si="21"/>
        <v>0</v>
      </c>
      <c r="V122" s="1">
        <f t="shared" si="22"/>
        <v>2958465</v>
      </c>
      <c r="W122" s="1">
        <f t="shared" si="23"/>
        <v>0</v>
      </c>
      <c r="X122" s="1">
        <f t="shared" si="24"/>
        <v>0</v>
      </c>
      <c r="Y122" s="1">
        <f t="shared" si="25"/>
        <v>97200</v>
      </c>
      <c r="Z122" s="1">
        <f t="shared" si="26"/>
        <v>1</v>
      </c>
      <c r="AA122" s="1">
        <f t="shared" si="27"/>
        <v>0</v>
      </c>
    </row>
    <row r="123" spans="1:27" ht="18" customHeight="1" x14ac:dyDescent="0.3">
      <c r="A123" s="2"/>
      <c r="B123" s="65" t="str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61"/>
      <c r="D123" s="66"/>
      <c r="E123" s="66"/>
      <c r="F123" s="60"/>
      <c r="G123" s="67"/>
      <c r="H123" s="60"/>
      <c r="I123" s="68">
        <f t="shared" ca="1" si="14"/>
        <v>0</v>
      </c>
      <c r="J123" s="68">
        <f t="shared" ca="1" si="15"/>
        <v>0</v>
      </c>
      <c r="K123" s="68">
        <f t="shared" ca="1" si="16"/>
        <v>0</v>
      </c>
      <c r="L123" s="68">
        <f t="shared" ca="1" si="17"/>
        <v>0</v>
      </c>
      <c r="M123" s="69">
        <f t="shared" si="18"/>
        <v>0</v>
      </c>
      <c r="N123" s="65" t="str">
        <f t="shared" si="19"/>
        <v/>
      </c>
      <c r="O123" s="70" t="str">
        <f>IF(OR($C123="",$D123="",$F123=""),"",IF($F123="Aylık",EOMONTH($D123,0),($D123+MOD(SISTEM!$F$8-WEEKDAY($D123,2),7))))</f>
        <v/>
      </c>
      <c r="P123" s="61"/>
      <c r="Q123" s="2"/>
      <c r="R123" s="2"/>
      <c r="S123" s="1" t="str">
        <f>IF($B123="","",$B123&amp;"|"&amp;COUNTIFS($B$7:$B123,$B123))</f>
        <v/>
      </c>
      <c r="T123" s="1" t="str">
        <f t="shared" si="20"/>
        <v/>
      </c>
      <c r="U123" s="1">
        <f t="shared" si="21"/>
        <v>0</v>
      </c>
      <c r="V123" s="1">
        <f t="shared" si="22"/>
        <v>2958465</v>
      </c>
      <c r="W123" s="1">
        <f t="shared" si="23"/>
        <v>0</v>
      </c>
      <c r="X123" s="1">
        <f t="shared" si="24"/>
        <v>0</v>
      </c>
      <c r="Y123" s="1">
        <f t="shared" si="25"/>
        <v>97200</v>
      </c>
      <c r="Z123" s="1">
        <f t="shared" si="26"/>
        <v>1</v>
      </c>
      <c r="AA123" s="1">
        <f t="shared" si="27"/>
        <v>0</v>
      </c>
    </row>
    <row r="124" spans="1:27" ht="18" customHeight="1" x14ac:dyDescent="0.3">
      <c r="A124" s="2"/>
      <c r="B124" s="65" t="str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61"/>
      <c r="D124" s="66"/>
      <c r="E124" s="66"/>
      <c r="F124" s="60"/>
      <c r="G124" s="67"/>
      <c r="H124" s="60"/>
      <c r="I124" s="68">
        <f t="shared" ca="1" si="14"/>
        <v>0</v>
      </c>
      <c r="J124" s="68">
        <f t="shared" ca="1" si="15"/>
        <v>0</v>
      </c>
      <c r="K124" s="68">
        <f t="shared" ca="1" si="16"/>
        <v>0</v>
      </c>
      <c r="L124" s="68">
        <f t="shared" ca="1" si="17"/>
        <v>0</v>
      </c>
      <c r="M124" s="69">
        <f t="shared" si="18"/>
        <v>0</v>
      </c>
      <c r="N124" s="65" t="str">
        <f t="shared" si="19"/>
        <v/>
      </c>
      <c r="O124" s="70" t="str">
        <f>IF(OR($C124="",$D124="",$F124=""),"",IF($F124="Aylık",EOMONTH($D124,0),($D124+MOD(SISTEM!$F$8-WEEKDAY($D124,2),7))))</f>
        <v/>
      </c>
      <c r="P124" s="61"/>
      <c r="Q124" s="2"/>
      <c r="R124" s="2"/>
      <c r="S124" s="1" t="str">
        <f>IF($B124="","",$B124&amp;"|"&amp;COUNTIFS($B$7:$B124,$B124))</f>
        <v/>
      </c>
      <c r="T124" s="1" t="str">
        <f t="shared" si="20"/>
        <v/>
      </c>
      <c r="U124" s="1">
        <f t="shared" si="21"/>
        <v>0</v>
      </c>
      <c r="V124" s="1">
        <f t="shared" si="22"/>
        <v>2958465</v>
      </c>
      <c r="W124" s="1">
        <f t="shared" si="23"/>
        <v>0</v>
      </c>
      <c r="X124" s="1">
        <f t="shared" si="24"/>
        <v>0</v>
      </c>
      <c r="Y124" s="1">
        <f t="shared" si="25"/>
        <v>97200</v>
      </c>
      <c r="Z124" s="1">
        <f t="shared" si="26"/>
        <v>1</v>
      </c>
      <c r="AA124" s="1">
        <f t="shared" si="27"/>
        <v>0</v>
      </c>
    </row>
    <row r="125" spans="1:27" ht="18" customHeight="1" x14ac:dyDescent="0.3">
      <c r="A125" s="2"/>
      <c r="B125" s="65" t="str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61"/>
      <c r="D125" s="66"/>
      <c r="E125" s="66"/>
      <c r="F125" s="60"/>
      <c r="G125" s="67"/>
      <c r="H125" s="60"/>
      <c r="I125" s="68">
        <f t="shared" ca="1" si="14"/>
        <v>0</v>
      </c>
      <c r="J125" s="68">
        <f t="shared" ca="1" si="15"/>
        <v>0</v>
      </c>
      <c r="K125" s="68">
        <f t="shared" ca="1" si="16"/>
        <v>0</v>
      </c>
      <c r="L125" s="68">
        <f t="shared" ca="1" si="17"/>
        <v>0</v>
      </c>
      <c r="M125" s="69">
        <f t="shared" si="18"/>
        <v>0</v>
      </c>
      <c r="N125" s="65" t="str">
        <f t="shared" si="19"/>
        <v/>
      </c>
      <c r="O125" s="70" t="str">
        <f>IF(OR($C125="",$D125="",$F125=""),"",IF($F125="Aylık",EOMONTH($D125,0),($D125+MOD(SISTEM!$F$8-WEEKDAY($D125,2),7))))</f>
        <v/>
      </c>
      <c r="P125" s="61"/>
      <c r="Q125" s="2"/>
      <c r="R125" s="2"/>
      <c r="S125" s="1" t="str">
        <f>IF($B125="","",$B125&amp;"|"&amp;COUNTIFS($B$7:$B125,$B125))</f>
        <v/>
      </c>
      <c r="T125" s="1" t="str">
        <f t="shared" si="20"/>
        <v/>
      </c>
      <c r="U125" s="1">
        <f t="shared" si="21"/>
        <v>0</v>
      </c>
      <c r="V125" s="1">
        <f t="shared" si="22"/>
        <v>2958465</v>
      </c>
      <c r="W125" s="1">
        <f t="shared" si="23"/>
        <v>0</v>
      </c>
      <c r="X125" s="1">
        <f t="shared" si="24"/>
        <v>0</v>
      </c>
      <c r="Y125" s="1">
        <f t="shared" si="25"/>
        <v>97200</v>
      </c>
      <c r="Z125" s="1">
        <f t="shared" si="26"/>
        <v>1</v>
      </c>
      <c r="AA125" s="1">
        <f t="shared" si="27"/>
        <v>0</v>
      </c>
    </row>
    <row r="126" spans="1:27" ht="18" customHeight="1" x14ac:dyDescent="0.3">
      <c r="A126" s="2"/>
      <c r="B126" s="65" t="str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61"/>
      <c r="D126" s="66"/>
      <c r="E126" s="66"/>
      <c r="F126" s="60"/>
      <c r="G126" s="67"/>
      <c r="H126" s="60"/>
      <c r="I126" s="68">
        <f t="shared" ca="1" si="14"/>
        <v>0</v>
      </c>
      <c r="J126" s="68">
        <f t="shared" ca="1" si="15"/>
        <v>0</v>
      </c>
      <c r="K126" s="68">
        <f t="shared" ca="1" si="16"/>
        <v>0</v>
      </c>
      <c r="L126" s="68">
        <f t="shared" ca="1" si="17"/>
        <v>0</v>
      </c>
      <c r="M126" s="69">
        <f t="shared" si="18"/>
        <v>0</v>
      </c>
      <c r="N126" s="65" t="str">
        <f t="shared" si="19"/>
        <v/>
      </c>
      <c r="O126" s="70" t="str">
        <f>IF(OR($C126="",$D126="",$F126=""),"",IF($F126="Aylık",EOMONTH($D126,0),($D126+MOD(SISTEM!$F$8-WEEKDAY($D126,2),7))))</f>
        <v/>
      </c>
      <c r="P126" s="61"/>
      <c r="Q126" s="2"/>
      <c r="R126" s="2"/>
      <c r="S126" s="1" t="str">
        <f>IF($B126="","",$B126&amp;"|"&amp;COUNTIFS($B$7:$B126,$B126))</f>
        <v/>
      </c>
      <c r="T126" s="1" t="str">
        <f t="shared" si="20"/>
        <v/>
      </c>
      <c r="U126" s="1">
        <f t="shared" si="21"/>
        <v>0</v>
      </c>
      <c r="V126" s="1">
        <f t="shared" si="22"/>
        <v>2958465</v>
      </c>
      <c r="W126" s="1">
        <f t="shared" si="23"/>
        <v>0</v>
      </c>
      <c r="X126" s="1">
        <f t="shared" si="24"/>
        <v>0</v>
      </c>
      <c r="Y126" s="1">
        <f t="shared" si="25"/>
        <v>97200</v>
      </c>
      <c r="Z126" s="1">
        <f t="shared" si="26"/>
        <v>1</v>
      </c>
      <c r="AA126" s="1">
        <f t="shared" si="27"/>
        <v>0</v>
      </c>
    </row>
    <row r="127" spans="1:27" ht="18" customHeight="1" x14ac:dyDescent="0.3">
      <c r="A127" s="2"/>
      <c r="B127" s="65" t="str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61"/>
      <c r="D127" s="66"/>
      <c r="E127" s="66"/>
      <c r="F127" s="60"/>
      <c r="G127" s="67"/>
      <c r="H127" s="60"/>
      <c r="I127" s="68">
        <f t="shared" ca="1" si="14"/>
        <v>0</v>
      </c>
      <c r="J127" s="68">
        <f t="shared" ca="1" si="15"/>
        <v>0</v>
      </c>
      <c r="K127" s="68">
        <f t="shared" ca="1" si="16"/>
        <v>0</v>
      </c>
      <c r="L127" s="68">
        <f t="shared" ca="1" si="17"/>
        <v>0</v>
      </c>
      <c r="M127" s="69">
        <f t="shared" si="18"/>
        <v>0</v>
      </c>
      <c r="N127" s="65" t="str">
        <f t="shared" si="19"/>
        <v/>
      </c>
      <c r="O127" s="70" t="str">
        <f>IF(OR($C127="",$D127="",$F127=""),"",IF($F127="Aylık",EOMONTH($D127,0),($D127+MOD(SISTEM!$F$8-WEEKDAY($D127,2),7))))</f>
        <v/>
      </c>
      <c r="P127" s="61"/>
      <c r="Q127" s="2"/>
      <c r="R127" s="2"/>
      <c r="S127" s="1" t="str">
        <f>IF($B127="","",$B127&amp;"|"&amp;COUNTIFS($B$7:$B127,$B127))</f>
        <v/>
      </c>
      <c r="T127" s="1" t="str">
        <f t="shared" si="20"/>
        <v/>
      </c>
      <c r="U127" s="1">
        <f t="shared" si="21"/>
        <v>0</v>
      </c>
      <c r="V127" s="1">
        <f t="shared" si="22"/>
        <v>2958465</v>
      </c>
      <c r="W127" s="1">
        <f t="shared" si="23"/>
        <v>0</v>
      </c>
      <c r="X127" s="1">
        <f t="shared" si="24"/>
        <v>0</v>
      </c>
      <c r="Y127" s="1">
        <f t="shared" si="25"/>
        <v>97200</v>
      </c>
      <c r="Z127" s="1">
        <f t="shared" si="26"/>
        <v>1</v>
      </c>
      <c r="AA127" s="1">
        <f t="shared" si="27"/>
        <v>0</v>
      </c>
    </row>
    <row r="128" spans="1:27" ht="18" customHeight="1" x14ac:dyDescent="0.3">
      <c r="A128" s="2"/>
      <c r="B128" s="65" t="str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61"/>
      <c r="D128" s="66"/>
      <c r="E128" s="66"/>
      <c r="F128" s="60"/>
      <c r="G128" s="67"/>
      <c r="H128" s="60"/>
      <c r="I128" s="68">
        <f t="shared" ca="1" si="14"/>
        <v>0</v>
      </c>
      <c r="J128" s="68">
        <f t="shared" ca="1" si="15"/>
        <v>0</v>
      </c>
      <c r="K128" s="68">
        <f t="shared" ca="1" si="16"/>
        <v>0</v>
      </c>
      <c r="L128" s="68">
        <f t="shared" ca="1" si="17"/>
        <v>0</v>
      </c>
      <c r="M128" s="69">
        <f t="shared" si="18"/>
        <v>0</v>
      </c>
      <c r="N128" s="65" t="str">
        <f t="shared" si="19"/>
        <v/>
      </c>
      <c r="O128" s="70" t="str">
        <f>IF(OR($C128="",$D128="",$F128=""),"",IF($F128="Aylık",EOMONTH($D128,0),($D128+MOD(SISTEM!$F$8-WEEKDAY($D128,2),7))))</f>
        <v/>
      </c>
      <c r="P128" s="61"/>
      <c r="Q128" s="2"/>
      <c r="R128" s="2"/>
      <c r="S128" s="1" t="str">
        <f>IF($B128="","",$B128&amp;"|"&amp;COUNTIFS($B$7:$B128,$B128))</f>
        <v/>
      </c>
      <c r="T128" s="1" t="str">
        <f t="shared" si="20"/>
        <v/>
      </c>
      <c r="U128" s="1">
        <f t="shared" si="21"/>
        <v>0</v>
      </c>
      <c r="V128" s="1">
        <f t="shared" si="22"/>
        <v>2958465</v>
      </c>
      <c r="W128" s="1">
        <f t="shared" si="23"/>
        <v>0</v>
      </c>
      <c r="X128" s="1">
        <f t="shared" si="24"/>
        <v>0</v>
      </c>
      <c r="Y128" s="1">
        <f t="shared" si="25"/>
        <v>97200</v>
      </c>
      <c r="Z128" s="1">
        <f t="shared" si="26"/>
        <v>1</v>
      </c>
      <c r="AA128" s="1">
        <f t="shared" si="27"/>
        <v>0</v>
      </c>
    </row>
    <row r="129" spans="1:27" ht="18" customHeight="1" x14ac:dyDescent="0.3">
      <c r="A129" s="2"/>
      <c r="B129" s="65" t="str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61"/>
      <c r="D129" s="66"/>
      <c r="E129" s="66"/>
      <c r="F129" s="60"/>
      <c r="G129" s="67"/>
      <c r="H129" s="60"/>
      <c r="I129" s="68">
        <f t="shared" ca="1" si="14"/>
        <v>0</v>
      </c>
      <c r="J129" s="68">
        <f t="shared" ca="1" si="15"/>
        <v>0</v>
      </c>
      <c r="K129" s="68">
        <f t="shared" ca="1" si="16"/>
        <v>0</v>
      </c>
      <c r="L129" s="68">
        <f t="shared" ca="1" si="17"/>
        <v>0</v>
      </c>
      <c r="M129" s="69">
        <f t="shared" si="18"/>
        <v>0</v>
      </c>
      <c r="N129" s="65" t="str">
        <f t="shared" si="19"/>
        <v/>
      </c>
      <c r="O129" s="70" t="str">
        <f>IF(OR($C129="",$D129="",$F129=""),"",IF($F129="Aylık",EOMONTH($D129,0),($D129+MOD(SISTEM!$F$8-WEEKDAY($D129,2),7))))</f>
        <v/>
      </c>
      <c r="P129" s="61"/>
      <c r="Q129" s="2"/>
      <c r="R129" s="2"/>
      <c r="S129" s="1" t="str">
        <f>IF($B129="","",$B129&amp;"|"&amp;COUNTIFS($B$7:$B129,$B129))</f>
        <v/>
      </c>
      <c r="T129" s="1" t="str">
        <f t="shared" si="20"/>
        <v/>
      </c>
      <c r="U129" s="1">
        <f t="shared" si="21"/>
        <v>0</v>
      </c>
      <c r="V129" s="1">
        <f t="shared" si="22"/>
        <v>2958465</v>
      </c>
      <c r="W129" s="1">
        <f t="shared" si="23"/>
        <v>0</v>
      </c>
      <c r="X129" s="1">
        <f t="shared" si="24"/>
        <v>0</v>
      </c>
      <c r="Y129" s="1">
        <f t="shared" si="25"/>
        <v>97200</v>
      </c>
      <c r="Z129" s="1">
        <f t="shared" si="26"/>
        <v>1</v>
      </c>
      <c r="AA129" s="1">
        <f t="shared" si="27"/>
        <v>0</v>
      </c>
    </row>
    <row r="130" spans="1:27" ht="18" customHeight="1" x14ac:dyDescent="0.3">
      <c r="A130" s="2"/>
      <c r="B130" s="65" t="str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61"/>
      <c r="D130" s="66"/>
      <c r="E130" s="66"/>
      <c r="F130" s="60"/>
      <c r="G130" s="67"/>
      <c r="H130" s="60"/>
      <c r="I130" s="68">
        <f t="shared" ca="1" si="14"/>
        <v>0</v>
      </c>
      <c r="J130" s="68">
        <f t="shared" ca="1" si="15"/>
        <v>0</v>
      </c>
      <c r="K130" s="68">
        <f t="shared" ca="1" si="16"/>
        <v>0</v>
      </c>
      <c r="L130" s="68">
        <f t="shared" ca="1" si="17"/>
        <v>0</v>
      </c>
      <c r="M130" s="69">
        <f t="shared" si="18"/>
        <v>0</v>
      </c>
      <c r="N130" s="65" t="str">
        <f t="shared" si="19"/>
        <v/>
      </c>
      <c r="O130" s="70" t="str">
        <f>IF(OR($C130="",$D130="",$F130=""),"",IF($F130="Aylık",EOMONTH($D130,0),($D130+MOD(SISTEM!$F$8-WEEKDAY($D130,2),7))))</f>
        <v/>
      </c>
      <c r="P130" s="61"/>
      <c r="Q130" s="2"/>
      <c r="R130" s="2"/>
      <c r="S130" s="1" t="str">
        <f>IF($B130="","",$B130&amp;"|"&amp;COUNTIFS($B$7:$B130,$B130))</f>
        <v/>
      </c>
      <c r="T130" s="1" t="str">
        <f t="shared" si="20"/>
        <v/>
      </c>
      <c r="U130" s="1">
        <f t="shared" si="21"/>
        <v>0</v>
      </c>
      <c r="V130" s="1">
        <f t="shared" si="22"/>
        <v>2958465</v>
      </c>
      <c r="W130" s="1">
        <f t="shared" si="23"/>
        <v>0</v>
      </c>
      <c r="X130" s="1">
        <f t="shared" si="24"/>
        <v>0</v>
      </c>
      <c r="Y130" s="1">
        <f t="shared" si="25"/>
        <v>97200</v>
      </c>
      <c r="Z130" s="1">
        <f t="shared" si="26"/>
        <v>1</v>
      </c>
      <c r="AA130" s="1">
        <f t="shared" si="27"/>
        <v>0</v>
      </c>
    </row>
    <row r="131" spans="1:27" ht="18" customHeight="1" x14ac:dyDescent="0.3">
      <c r="A131" s="2"/>
      <c r="B131" s="65" t="str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61"/>
      <c r="D131" s="66"/>
      <c r="E131" s="66"/>
      <c r="F131" s="60"/>
      <c r="G131" s="67"/>
      <c r="H131" s="60"/>
      <c r="I131" s="68">
        <f t="shared" ca="1" si="14"/>
        <v>0</v>
      </c>
      <c r="J131" s="68">
        <f t="shared" ca="1" si="15"/>
        <v>0</v>
      </c>
      <c r="K131" s="68">
        <f t="shared" ca="1" si="16"/>
        <v>0</v>
      </c>
      <c r="L131" s="68">
        <f t="shared" ca="1" si="17"/>
        <v>0</v>
      </c>
      <c r="M131" s="69">
        <f t="shared" si="18"/>
        <v>0</v>
      </c>
      <c r="N131" s="65" t="str">
        <f t="shared" si="19"/>
        <v/>
      </c>
      <c r="O131" s="70" t="str">
        <f>IF(OR($C131="",$D131="",$F131=""),"",IF($F131="Aylık",EOMONTH($D131,0),($D131+MOD(SISTEM!$F$8-WEEKDAY($D131,2),7))))</f>
        <v/>
      </c>
      <c r="P131" s="61"/>
      <c r="Q131" s="2"/>
      <c r="R131" s="2"/>
      <c r="S131" s="1" t="str">
        <f>IF($B131="","",$B131&amp;"|"&amp;COUNTIFS($B$7:$B131,$B131))</f>
        <v/>
      </c>
      <c r="T131" s="1" t="str">
        <f t="shared" si="20"/>
        <v/>
      </c>
      <c r="U131" s="1">
        <f t="shared" si="21"/>
        <v>0</v>
      </c>
      <c r="V131" s="1">
        <f t="shared" si="22"/>
        <v>2958465</v>
      </c>
      <c r="W131" s="1">
        <f t="shared" si="23"/>
        <v>0</v>
      </c>
      <c r="X131" s="1">
        <f t="shared" si="24"/>
        <v>0</v>
      </c>
      <c r="Y131" s="1">
        <f t="shared" si="25"/>
        <v>97200</v>
      </c>
      <c r="Z131" s="1">
        <f t="shared" si="26"/>
        <v>1</v>
      </c>
      <c r="AA131" s="1">
        <f t="shared" si="27"/>
        <v>0</v>
      </c>
    </row>
    <row r="132" spans="1:27" ht="18" customHeight="1" x14ac:dyDescent="0.3">
      <c r="A132" s="2"/>
      <c r="B132" s="65" t="str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61"/>
      <c r="D132" s="66"/>
      <c r="E132" s="66"/>
      <c r="F132" s="60"/>
      <c r="G132" s="67"/>
      <c r="H132" s="60"/>
      <c r="I132" s="68">
        <f t="shared" ca="1" si="14"/>
        <v>0</v>
      </c>
      <c r="J132" s="68">
        <f t="shared" ca="1" si="15"/>
        <v>0</v>
      </c>
      <c r="K132" s="68">
        <f t="shared" ca="1" si="16"/>
        <v>0</v>
      </c>
      <c r="L132" s="68">
        <f t="shared" ca="1" si="17"/>
        <v>0</v>
      </c>
      <c r="M132" s="69">
        <f t="shared" si="18"/>
        <v>0</v>
      </c>
      <c r="N132" s="65" t="str">
        <f t="shared" si="19"/>
        <v/>
      </c>
      <c r="O132" s="70" t="str">
        <f>IF(OR($C132="",$D132="",$F132=""),"",IF($F132="Aylık",EOMONTH($D132,0),($D132+MOD(SISTEM!$F$8-WEEKDAY($D132,2),7))))</f>
        <v/>
      </c>
      <c r="P132" s="61"/>
      <c r="Q132" s="2"/>
      <c r="R132" s="2"/>
      <c r="S132" s="1" t="str">
        <f>IF($B132="","",$B132&amp;"|"&amp;COUNTIFS($B$7:$B132,$B132))</f>
        <v/>
      </c>
      <c r="T132" s="1" t="str">
        <f t="shared" si="20"/>
        <v/>
      </c>
      <c r="U132" s="1">
        <f t="shared" si="21"/>
        <v>0</v>
      </c>
      <c r="V132" s="1">
        <f t="shared" si="22"/>
        <v>2958465</v>
      </c>
      <c r="W132" s="1">
        <f t="shared" si="23"/>
        <v>0</v>
      </c>
      <c r="X132" s="1">
        <f t="shared" si="24"/>
        <v>0</v>
      </c>
      <c r="Y132" s="1">
        <f t="shared" si="25"/>
        <v>97200</v>
      </c>
      <c r="Z132" s="1">
        <f t="shared" si="26"/>
        <v>1</v>
      </c>
      <c r="AA132" s="1">
        <f t="shared" si="27"/>
        <v>0</v>
      </c>
    </row>
    <row r="133" spans="1:27" ht="18" customHeight="1" x14ac:dyDescent="0.3">
      <c r="A133" s="2"/>
      <c r="B133" s="65" t="str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61"/>
      <c r="D133" s="66"/>
      <c r="E133" s="66"/>
      <c r="F133" s="60"/>
      <c r="G133" s="67"/>
      <c r="H133" s="60"/>
      <c r="I133" s="68">
        <f t="shared" ca="1" si="14"/>
        <v>0</v>
      </c>
      <c r="J133" s="68">
        <f t="shared" ca="1" si="15"/>
        <v>0</v>
      </c>
      <c r="K133" s="68">
        <f t="shared" ca="1" si="16"/>
        <v>0</v>
      </c>
      <c r="L133" s="68">
        <f t="shared" ca="1" si="17"/>
        <v>0</v>
      </c>
      <c r="M133" s="69">
        <f t="shared" si="18"/>
        <v>0</v>
      </c>
      <c r="N133" s="65" t="str">
        <f t="shared" si="19"/>
        <v/>
      </c>
      <c r="O133" s="70" t="str">
        <f>IF(OR($C133="",$D133="",$F133=""),"",IF($F133="Aylık",EOMONTH($D133,0),($D133+MOD(SISTEM!$F$8-WEEKDAY($D133,2),7))))</f>
        <v/>
      </c>
      <c r="P133" s="61"/>
      <c r="Q133" s="2"/>
      <c r="R133" s="2"/>
      <c r="S133" s="1" t="str">
        <f>IF($B133="","",$B133&amp;"|"&amp;COUNTIFS($B$7:$B133,$B133))</f>
        <v/>
      </c>
      <c r="T133" s="1" t="str">
        <f t="shared" si="20"/>
        <v/>
      </c>
      <c r="U133" s="1">
        <f t="shared" si="21"/>
        <v>0</v>
      </c>
      <c r="V133" s="1">
        <f t="shared" si="22"/>
        <v>2958465</v>
      </c>
      <c r="W133" s="1">
        <f t="shared" si="23"/>
        <v>0</v>
      </c>
      <c r="X133" s="1">
        <f t="shared" si="24"/>
        <v>0</v>
      </c>
      <c r="Y133" s="1">
        <f t="shared" si="25"/>
        <v>97200</v>
      </c>
      <c r="Z133" s="1">
        <f t="shared" si="26"/>
        <v>1</v>
      </c>
      <c r="AA133" s="1">
        <f t="shared" si="27"/>
        <v>0</v>
      </c>
    </row>
    <row r="134" spans="1:27" ht="18" customHeight="1" x14ac:dyDescent="0.3">
      <c r="A134" s="2"/>
      <c r="B134" s="65" t="str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61"/>
      <c r="D134" s="66"/>
      <c r="E134" s="66"/>
      <c r="F134" s="60"/>
      <c r="G134" s="67"/>
      <c r="H134" s="60"/>
      <c r="I134" s="68">
        <f t="shared" ca="1" si="14"/>
        <v>0</v>
      </c>
      <c r="J134" s="68">
        <f t="shared" ca="1" si="15"/>
        <v>0</v>
      </c>
      <c r="K134" s="68">
        <f t="shared" ca="1" si="16"/>
        <v>0</v>
      </c>
      <c r="L134" s="68">
        <f t="shared" ca="1" si="17"/>
        <v>0</v>
      </c>
      <c r="M134" s="69">
        <f t="shared" si="18"/>
        <v>0</v>
      </c>
      <c r="N134" s="65" t="str">
        <f t="shared" si="19"/>
        <v/>
      </c>
      <c r="O134" s="70" t="str">
        <f>IF(OR($C134="",$D134="",$F134=""),"",IF($F134="Aylık",EOMONTH($D134,0),($D134+MOD(SISTEM!$F$8-WEEKDAY($D134,2),7))))</f>
        <v/>
      </c>
      <c r="P134" s="61"/>
      <c r="Q134" s="2"/>
      <c r="R134" s="2"/>
      <c r="S134" s="1" t="str">
        <f>IF($B134="","",$B134&amp;"|"&amp;COUNTIFS($B$7:$B134,$B134))</f>
        <v/>
      </c>
      <c r="T134" s="1" t="str">
        <f t="shared" si="20"/>
        <v/>
      </c>
      <c r="U134" s="1">
        <f t="shared" si="21"/>
        <v>0</v>
      </c>
      <c r="V134" s="1">
        <f t="shared" si="22"/>
        <v>2958465</v>
      </c>
      <c r="W134" s="1">
        <f t="shared" si="23"/>
        <v>0</v>
      </c>
      <c r="X134" s="1">
        <f t="shared" si="24"/>
        <v>0</v>
      </c>
      <c r="Y134" s="1">
        <f t="shared" si="25"/>
        <v>97200</v>
      </c>
      <c r="Z134" s="1">
        <f t="shared" si="26"/>
        <v>1</v>
      </c>
      <c r="AA134" s="1">
        <f t="shared" si="27"/>
        <v>0</v>
      </c>
    </row>
    <row r="135" spans="1:27" ht="18" customHeight="1" x14ac:dyDescent="0.3">
      <c r="A135" s="2"/>
      <c r="B135" s="65" t="str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61"/>
      <c r="D135" s="66"/>
      <c r="E135" s="66"/>
      <c r="F135" s="60"/>
      <c r="G135" s="67"/>
      <c r="H135" s="60"/>
      <c r="I135" s="68">
        <f t="shared" ref="I135:I198" ca="1" si="28"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>0</v>
      </c>
      <c r="J135" s="68">
        <f t="shared" ref="J135:J198" ca="1" si="29"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>0</v>
      </c>
      <c r="K135" s="68">
        <f t="shared" ref="K135:K198" ca="1" si="30"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>0</v>
      </c>
      <c r="L135" s="68">
        <f t="shared" ref="L135:L198" ca="1" si="31"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>0</v>
      </c>
      <c r="M135" s="69">
        <f t="shared" ref="M135:M198" si="32">IF($G135&gt;0,$I135/$G135,0)</f>
        <v>0</v>
      </c>
      <c r="N135" s="65" t="str">
        <f t="shared" ref="N135:N198" si="33"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70" t="str">
        <f>IF(OR($C135="",$D135="",$F135=""),"",IF($F135="Aylık",EOMONTH($D135,0),($D135+MOD(SISTEM!$F$8-WEEKDAY($D135,2),7))))</f>
        <v/>
      </c>
      <c r="P135" s="61"/>
      <c r="Q135" s="2"/>
      <c r="R135" s="2"/>
      <c r="S135" s="1" t="str">
        <f>IF($B135="","",$B135&amp;"|"&amp;COUNTIFS($B$7:$B135,$B135))</f>
        <v/>
      </c>
      <c r="T135" s="1" t="str">
        <f t="shared" ref="T135:T198" si="34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 t="shared" ref="U135:U198" si="35">IF($O135="",0,$O135)</f>
        <v>0</v>
      </c>
      <c r="V135" s="1">
        <f t="shared" ref="V135:V198" si="36">IF($E135="",2958465,$E135)</f>
        <v>2958465</v>
      </c>
      <c r="W135" s="1">
        <f t="shared" ref="W135:W198" si="37">IF($F135="Haftalık",1,IF($F135="Aylık",2,0))</f>
        <v>0</v>
      </c>
      <c r="X135" s="1">
        <f t="shared" ref="X135:X198" si="38">IF($U135=0,0,(YEAR($U135)-1900)*12+MONTH($U135))</f>
        <v>0</v>
      </c>
      <c r="Y135" s="1">
        <f t="shared" ref="Y135:Y198" si="39">(YEAR($V135)-1900)*12+MONTH($V135)</f>
        <v>97200</v>
      </c>
      <c r="Z135" s="1">
        <f t="shared" ref="Z135:Z198" si="40">IF($V135=EOMONTH($V135,0),1,0)</f>
        <v>1</v>
      </c>
      <c r="AA135" s="1">
        <f t="shared" ref="AA135:AA198" si="41">IF(OR($B135="",$H135&lt;&gt;"Aktif"),0,COUNTIFS($B$7:$B$606,$B135,$H$7:$H$606,"Aktif"))</f>
        <v>0</v>
      </c>
    </row>
    <row r="136" spans="1:27" ht="18" customHeight="1" x14ac:dyDescent="0.3">
      <c r="A136" s="2"/>
      <c r="B136" s="65" t="str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61"/>
      <c r="D136" s="66"/>
      <c r="E136" s="66"/>
      <c r="F136" s="60"/>
      <c r="G136" s="67"/>
      <c r="H136" s="60"/>
      <c r="I136" s="68">
        <f t="shared" ca="1" si="28"/>
        <v>0</v>
      </c>
      <c r="J136" s="68">
        <f t="shared" ca="1" si="29"/>
        <v>0</v>
      </c>
      <c r="K136" s="68">
        <f t="shared" ca="1" si="30"/>
        <v>0</v>
      </c>
      <c r="L136" s="68">
        <f t="shared" ca="1" si="31"/>
        <v>0</v>
      </c>
      <c r="M136" s="69">
        <f t="shared" si="32"/>
        <v>0</v>
      </c>
      <c r="N136" s="65" t="str">
        <f t="shared" si="33"/>
        <v/>
      </c>
      <c r="O136" s="70" t="str">
        <f>IF(OR($C136="",$D136="",$F136=""),"",IF($F136="Aylık",EOMONTH($D136,0),($D136+MOD(SISTEM!$F$8-WEEKDAY($D136,2),7))))</f>
        <v/>
      </c>
      <c r="P136" s="61"/>
      <c r="Q136" s="2"/>
      <c r="R136" s="2"/>
      <c r="S136" s="1" t="str">
        <f>IF($B136="","",$B136&amp;"|"&amp;COUNTIFS($B$7:$B136,$B136))</f>
        <v/>
      </c>
      <c r="T136" s="1" t="str">
        <f t="shared" si="34"/>
        <v/>
      </c>
      <c r="U136" s="1">
        <f t="shared" si="35"/>
        <v>0</v>
      </c>
      <c r="V136" s="1">
        <f t="shared" si="36"/>
        <v>2958465</v>
      </c>
      <c r="W136" s="1">
        <f t="shared" si="37"/>
        <v>0</v>
      </c>
      <c r="X136" s="1">
        <f t="shared" si="38"/>
        <v>0</v>
      </c>
      <c r="Y136" s="1">
        <f t="shared" si="39"/>
        <v>97200</v>
      </c>
      <c r="Z136" s="1">
        <f t="shared" si="40"/>
        <v>1</v>
      </c>
      <c r="AA136" s="1">
        <f t="shared" si="41"/>
        <v>0</v>
      </c>
    </row>
    <row r="137" spans="1:27" ht="18" customHeight="1" x14ac:dyDescent="0.3">
      <c r="A137" s="2"/>
      <c r="B137" s="65" t="str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61"/>
      <c r="D137" s="66"/>
      <c r="E137" s="66"/>
      <c r="F137" s="60"/>
      <c r="G137" s="67"/>
      <c r="H137" s="60"/>
      <c r="I137" s="68">
        <f t="shared" ca="1" si="28"/>
        <v>0</v>
      </c>
      <c r="J137" s="68">
        <f t="shared" ca="1" si="29"/>
        <v>0</v>
      </c>
      <c r="K137" s="68">
        <f t="shared" ca="1" si="30"/>
        <v>0</v>
      </c>
      <c r="L137" s="68">
        <f t="shared" ca="1" si="31"/>
        <v>0</v>
      </c>
      <c r="M137" s="69">
        <f t="shared" si="32"/>
        <v>0</v>
      </c>
      <c r="N137" s="65" t="str">
        <f t="shared" si="33"/>
        <v/>
      </c>
      <c r="O137" s="70" t="str">
        <f>IF(OR($C137="",$D137="",$F137=""),"",IF($F137="Aylık",EOMONTH($D137,0),($D137+MOD(SISTEM!$F$8-WEEKDAY($D137,2),7))))</f>
        <v/>
      </c>
      <c r="P137" s="61"/>
      <c r="Q137" s="2"/>
      <c r="R137" s="2"/>
      <c r="S137" s="1" t="str">
        <f>IF($B137="","",$B137&amp;"|"&amp;COUNTIFS($B$7:$B137,$B137))</f>
        <v/>
      </c>
      <c r="T137" s="1" t="str">
        <f t="shared" si="34"/>
        <v/>
      </c>
      <c r="U137" s="1">
        <f t="shared" si="35"/>
        <v>0</v>
      </c>
      <c r="V137" s="1">
        <f t="shared" si="36"/>
        <v>2958465</v>
      </c>
      <c r="W137" s="1">
        <f t="shared" si="37"/>
        <v>0</v>
      </c>
      <c r="X137" s="1">
        <f t="shared" si="38"/>
        <v>0</v>
      </c>
      <c r="Y137" s="1">
        <f t="shared" si="39"/>
        <v>97200</v>
      </c>
      <c r="Z137" s="1">
        <f t="shared" si="40"/>
        <v>1</v>
      </c>
      <c r="AA137" s="1">
        <f t="shared" si="41"/>
        <v>0</v>
      </c>
    </row>
    <row r="138" spans="1:27" ht="18" customHeight="1" x14ac:dyDescent="0.3">
      <c r="A138" s="2"/>
      <c r="B138" s="65" t="str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61"/>
      <c r="D138" s="66"/>
      <c r="E138" s="66"/>
      <c r="F138" s="60"/>
      <c r="G138" s="67"/>
      <c r="H138" s="60"/>
      <c r="I138" s="68">
        <f t="shared" ca="1" si="28"/>
        <v>0</v>
      </c>
      <c r="J138" s="68">
        <f t="shared" ca="1" si="29"/>
        <v>0</v>
      </c>
      <c r="K138" s="68">
        <f t="shared" ca="1" si="30"/>
        <v>0</v>
      </c>
      <c r="L138" s="68">
        <f t="shared" ca="1" si="31"/>
        <v>0</v>
      </c>
      <c r="M138" s="69">
        <f t="shared" si="32"/>
        <v>0</v>
      </c>
      <c r="N138" s="65" t="str">
        <f t="shared" si="33"/>
        <v/>
      </c>
      <c r="O138" s="70" t="str">
        <f>IF(OR($C138="",$D138="",$F138=""),"",IF($F138="Aylık",EOMONTH($D138,0),($D138+MOD(SISTEM!$F$8-WEEKDAY($D138,2),7))))</f>
        <v/>
      </c>
      <c r="P138" s="61"/>
      <c r="Q138" s="2"/>
      <c r="R138" s="2"/>
      <c r="S138" s="1" t="str">
        <f>IF($B138="","",$B138&amp;"|"&amp;COUNTIFS($B$7:$B138,$B138))</f>
        <v/>
      </c>
      <c r="T138" s="1" t="str">
        <f t="shared" si="34"/>
        <v/>
      </c>
      <c r="U138" s="1">
        <f t="shared" si="35"/>
        <v>0</v>
      </c>
      <c r="V138" s="1">
        <f t="shared" si="36"/>
        <v>2958465</v>
      </c>
      <c r="W138" s="1">
        <f t="shared" si="37"/>
        <v>0</v>
      </c>
      <c r="X138" s="1">
        <f t="shared" si="38"/>
        <v>0</v>
      </c>
      <c r="Y138" s="1">
        <f t="shared" si="39"/>
        <v>97200</v>
      </c>
      <c r="Z138" s="1">
        <f t="shared" si="40"/>
        <v>1</v>
      </c>
      <c r="AA138" s="1">
        <f t="shared" si="41"/>
        <v>0</v>
      </c>
    </row>
    <row r="139" spans="1:27" ht="18" customHeight="1" x14ac:dyDescent="0.3">
      <c r="A139" s="2"/>
      <c r="B139" s="65" t="str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61"/>
      <c r="D139" s="66"/>
      <c r="E139" s="66"/>
      <c r="F139" s="60"/>
      <c r="G139" s="67"/>
      <c r="H139" s="60"/>
      <c r="I139" s="68">
        <f t="shared" ca="1" si="28"/>
        <v>0</v>
      </c>
      <c r="J139" s="68">
        <f t="shared" ca="1" si="29"/>
        <v>0</v>
      </c>
      <c r="K139" s="68">
        <f t="shared" ca="1" si="30"/>
        <v>0</v>
      </c>
      <c r="L139" s="68">
        <f t="shared" ca="1" si="31"/>
        <v>0</v>
      </c>
      <c r="M139" s="69">
        <f t="shared" si="32"/>
        <v>0</v>
      </c>
      <c r="N139" s="65" t="str">
        <f t="shared" si="33"/>
        <v/>
      </c>
      <c r="O139" s="70" t="str">
        <f>IF(OR($C139="",$D139="",$F139=""),"",IF($F139="Aylık",EOMONTH($D139,0),($D139+MOD(SISTEM!$F$8-WEEKDAY($D139,2),7))))</f>
        <v/>
      </c>
      <c r="P139" s="61"/>
      <c r="Q139" s="2"/>
      <c r="R139" s="2"/>
      <c r="S139" s="1" t="str">
        <f>IF($B139="","",$B139&amp;"|"&amp;COUNTIFS($B$7:$B139,$B139))</f>
        <v/>
      </c>
      <c r="T139" s="1" t="str">
        <f t="shared" si="34"/>
        <v/>
      </c>
      <c r="U139" s="1">
        <f t="shared" si="35"/>
        <v>0</v>
      </c>
      <c r="V139" s="1">
        <f t="shared" si="36"/>
        <v>2958465</v>
      </c>
      <c r="W139" s="1">
        <f t="shared" si="37"/>
        <v>0</v>
      </c>
      <c r="X139" s="1">
        <f t="shared" si="38"/>
        <v>0</v>
      </c>
      <c r="Y139" s="1">
        <f t="shared" si="39"/>
        <v>97200</v>
      </c>
      <c r="Z139" s="1">
        <f t="shared" si="40"/>
        <v>1</v>
      </c>
      <c r="AA139" s="1">
        <f t="shared" si="41"/>
        <v>0</v>
      </c>
    </row>
    <row r="140" spans="1:27" ht="18" customHeight="1" x14ac:dyDescent="0.3">
      <c r="A140" s="2"/>
      <c r="B140" s="65" t="str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61"/>
      <c r="D140" s="66"/>
      <c r="E140" s="66"/>
      <c r="F140" s="60"/>
      <c r="G140" s="67"/>
      <c r="H140" s="60"/>
      <c r="I140" s="68">
        <f t="shared" ca="1" si="28"/>
        <v>0</v>
      </c>
      <c r="J140" s="68">
        <f t="shared" ca="1" si="29"/>
        <v>0</v>
      </c>
      <c r="K140" s="68">
        <f t="shared" ca="1" si="30"/>
        <v>0</v>
      </c>
      <c r="L140" s="68">
        <f t="shared" ca="1" si="31"/>
        <v>0</v>
      </c>
      <c r="M140" s="69">
        <f t="shared" si="32"/>
        <v>0</v>
      </c>
      <c r="N140" s="65" t="str">
        <f t="shared" si="33"/>
        <v/>
      </c>
      <c r="O140" s="70" t="str">
        <f>IF(OR($C140="",$D140="",$F140=""),"",IF($F140="Aylık",EOMONTH($D140,0),($D140+MOD(SISTEM!$F$8-WEEKDAY($D140,2),7))))</f>
        <v/>
      </c>
      <c r="P140" s="61"/>
      <c r="Q140" s="2"/>
      <c r="R140" s="2"/>
      <c r="S140" s="1" t="str">
        <f>IF($B140="","",$B140&amp;"|"&amp;COUNTIFS($B$7:$B140,$B140))</f>
        <v/>
      </c>
      <c r="T140" s="1" t="str">
        <f t="shared" si="34"/>
        <v/>
      </c>
      <c r="U140" s="1">
        <f t="shared" si="35"/>
        <v>0</v>
      </c>
      <c r="V140" s="1">
        <f t="shared" si="36"/>
        <v>2958465</v>
      </c>
      <c r="W140" s="1">
        <f t="shared" si="37"/>
        <v>0</v>
      </c>
      <c r="X140" s="1">
        <f t="shared" si="38"/>
        <v>0</v>
      </c>
      <c r="Y140" s="1">
        <f t="shared" si="39"/>
        <v>97200</v>
      </c>
      <c r="Z140" s="1">
        <f t="shared" si="40"/>
        <v>1</v>
      </c>
      <c r="AA140" s="1">
        <f t="shared" si="41"/>
        <v>0</v>
      </c>
    </row>
    <row r="141" spans="1:27" ht="18" customHeight="1" x14ac:dyDescent="0.3">
      <c r="A141" s="2"/>
      <c r="B141" s="65" t="str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61"/>
      <c r="D141" s="66"/>
      <c r="E141" s="66"/>
      <c r="F141" s="60"/>
      <c r="G141" s="67"/>
      <c r="H141" s="60"/>
      <c r="I141" s="68">
        <f t="shared" ca="1" si="28"/>
        <v>0</v>
      </c>
      <c r="J141" s="68">
        <f t="shared" ca="1" si="29"/>
        <v>0</v>
      </c>
      <c r="K141" s="68">
        <f t="shared" ca="1" si="30"/>
        <v>0</v>
      </c>
      <c r="L141" s="68">
        <f t="shared" ca="1" si="31"/>
        <v>0</v>
      </c>
      <c r="M141" s="69">
        <f t="shared" si="32"/>
        <v>0</v>
      </c>
      <c r="N141" s="65" t="str">
        <f t="shared" si="33"/>
        <v/>
      </c>
      <c r="O141" s="70" t="str">
        <f>IF(OR($C141="",$D141="",$F141=""),"",IF($F141="Aylık",EOMONTH($D141,0),($D141+MOD(SISTEM!$F$8-WEEKDAY($D141,2),7))))</f>
        <v/>
      </c>
      <c r="P141" s="61"/>
      <c r="Q141" s="2"/>
      <c r="R141" s="2"/>
      <c r="S141" s="1" t="str">
        <f>IF($B141="","",$B141&amp;"|"&amp;COUNTIFS($B$7:$B141,$B141))</f>
        <v/>
      </c>
      <c r="T141" s="1" t="str">
        <f t="shared" si="34"/>
        <v/>
      </c>
      <c r="U141" s="1">
        <f t="shared" si="35"/>
        <v>0</v>
      </c>
      <c r="V141" s="1">
        <f t="shared" si="36"/>
        <v>2958465</v>
      </c>
      <c r="W141" s="1">
        <f t="shared" si="37"/>
        <v>0</v>
      </c>
      <c r="X141" s="1">
        <f t="shared" si="38"/>
        <v>0</v>
      </c>
      <c r="Y141" s="1">
        <f t="shared" si="39"/>
        <v>97200</v>
      </c>
      <c r="Z141" s="1">
        <f t="shared" si="40"/>
        <v>1</v>
      </c>
      <c r="AA141" s="1">
        <f t="shared" si="41"/>
        <v>0</v>
      </c>
    </row>
    <row r="142" spans="1:27" ht="18" customHeight="1" x14ac:dyDescent="0.3">
      <c r="A142" s="2"/>
      <c r="B142" s="65" t="str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61"/>
      <c r="D142" s="66"/>
      <c r="E142" s="66"/>
      <c r="F142" s="60"/>
      <c r="G142" s="67"/>
      <c r="H142" s="60"/>
      <c r="I142" s="68">
        <f t="shared" ca="1" si="28"/>
        <v>0</v>
      </c>
      <c r="J142" s="68">
        <f t="shared" ca="1" si="29"/>
        <v>0</v>
      </c>
      <c r="K142" s="68">
        <f t="shared" ca="1" si="30"/>
        <v>0</v>
      </c>
      <c r="L142" s="68">
        <f t="shared" ca="1" si="31"/>
        <v>0</v>
      </c>
      <c r="M142" s="69">
        <f t="shared" si="32"/>
        <v>0</v>
      </c>
      <c r="N142" s="65" t="str">
        <f t="shared" si="33"/>
        <v/>
      </c>
      <c r="O142" s="70" t="str">
        <f>IF(OR($C142="",$D142="",$F142=""),"",IF($F142="Aylık",EOMONTH($D142,0),($D142+MOD(SISTEM!$F$8-WEEKDAY($D142,2),7))))</f>
        <v/>
      </c>
      <c r="P142" s="61"/>
      <c r="Q142" s="2"/>
      <c r="R142" s="2"/>
      <c r="S142" s="1" t="str">
        <f>IF($B142="","",$B142&amp;"|"&amp;COUNTIFS($B$7:$B142,$B142))</f>
        <v/>
      </c>
      <c r="T142" s="1" t="str">
        <f t="shared" si="34"/>
        <v/>
      </c>
      <c r="U142" s="1">
        <f t="shared" si="35"/>
        <v>0</v>
      </c>
      <c r="V142" s="1">
        <f t="shared" si="36"/>
        <v>2958465</v>
      </c>
      <c r="W142" s="1">
        <f t="shared" si="37"/>
        <v>0</v>
      </c>
      <c r="X142" s="1">
        <f t="shared" si="38"/>
        <v>0</v>
      </c>
      <c r="Y142" s="1">
        <f t="shared" si="39"/>
        <v>97200</v>
      </c>
      <c r="Z142" s="1">
        <f t="shared" si="40"/>
        <v>1</v>
      </c>
      <c r="AA142" s="1">
        <f t="shared" si="41"/>
        <v>0</v>
      </c>
    </row>
    <row r="143" spans="1:27" ht="18" customHeight="1" x14ac:dyDescent="0.3">
      <c r="A143" s="2"/>
      <c r="B143" s="65" t="str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61"/>
      <c r="D143" s="66"/>
      <c r="E143" s="66"/>
      <c r="F143" s="60"/>
      <c r="G143" s="67"/>
      <c r="H143" s="60"/>
      <c r="I143" s="68">
        <f t="shared" ca="1" si="28"/>
        <v>0</v>
      </c>
      <c r="J143" s="68">
        <f t="shared" ca="1" si="29"/>
        <v>0</v>
      </c>
      <c r="K143" s="68">
        <f t="shared" ca="1" si="30"/>
        <v>0</v>
      </c>
      <c r="L143" s="68">
        <f t="shared" ca="1" si="31"/>
        <v>0</v>
      </c>
      <c r="M143" s="69">
        <f t="shared" si="32"/>
        <v>0</v>
      </c>
      <c r="N143" s="65" t="str">
        <f t="shared" si="33"/>
        <v/>
      </c>
      <c r="O143" s="70" t="str">
        <f>IF(OR($C143="",$D143="",$F143=""),"",IF($F143="Aylık",EOMONTH($D143,0),($D143+MOD(SISTEM!$F$8-WEEKDAY($D143,2),7))))</f>
        <v/>
      </c>
      <c r="P143" s="61"/>
      <c r="Q143" s="2"/>
      <c r="R143" s="2"/>
      <c r="S143" s="1" t="str">
        <f>IF($B143="","",$B143&amp;"|"&amp;COUNTIFS($B$7:$B143,$B143))</f>
        <v/>
      </c>
      <c r="T143" s="1" t="str">
        <f t="shared" si="34"/>
        <v/>
      </c>
      <c r="U143" s="1">
        <f t="shared" si="35"/>
        <v>0</v>
      </c>
      <c r="V143" s="1">
        <f t="shared" si="36"/>
        <v>2958465</v>
      </c>
      <c r="W143" s="1">
        <f t="shared" si="37"/>
        <v>0</v>
      </c>
      <c r="X143" s="1">
        <f t="shared" si="38"/>
        <v>0</v>
      </c>
      <c r="Y143" s="1">
        <f t="shared" si="39"/>
        <v>97200</v>
      </c>
      <c r="Z143" s="1">
        <f t="shared" si="40"/>
        <v>1</v>
      </c>
      <c r="AA143" s="1">
        <f t="shared" si="41"/>
        <v>0</v>
      </c>
    </row>
    <row r="144" spans="1:27" ht="18" customHeight="1" x14ac:dyDescent="0.3">
      <c r="A144" s="2"/>
      <c r="B144" s="65" t="str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61"/>
      <c r="D144" s="66"/>
      <c r="E144" s="66"/>
      <c r="F144" s="60"/>
      <c r="G144" s="67"/>
      <c r="H144" s="60"/>
      <c r="I144" s="68">
        <f t="shared" ca="1" si="28"/>
        <v>0</v>
      </c>
      <c r="J144" s="68">
        <f t="shared" ca="1" si="29"/>
        <v>0</v>
      </c>
      <c r="K144" s="68">
        <f t="shared" ca="1" si="30"/>
        <v>0</v>
      </c>
      <c r="L144" s="68">
        <f t="shared" ca="1" si="31"/>
        <v>0</v>
      </c>
      <c r="M144" s="69">
        <f t="shared" si="32"/>
        <v>0</v>
      </c>
      <c r="N144" s="65" t="str">
        <f t="shared" si="33"/>
        <v/>
      </c>
      <c r="O144" s="70" t="str">
        <f>IF(OR($C144="",$D144="",$F144=""),"",IF($F144="Aylık",EOMONTH($D144,0),($D144+MOD(SISTEM!$F$8-WEEKDAY($D144,2),7))))</f>
        <v/>
      </c>
      <c r="P144" s="61"/>
      <c r="Q144" s="2"/>
      <c r="R144" s="2"/>
      <c r="S144" s="1" t="str">
        <f>IF($B144="","",$B144&amp;"|"&amp;COUNTIFS($B$7:$B144,$B144))</f>
        <v/>
      </c>
      <c r="T144" s="1" t="str">
        <f t="shared" si="34"/>
        <v/>
      </c>
      <c r="U144" s="1">
        <f t="shared" si="35"/>
        <v>0</v>
      </c>
      <c r="V144" s="1">
        <f t="shared" si="36"/>
        <v>2958465</v>
      </c>
      <c r="W144" s="1">
        <f t="shared" si="37"/>
        <v>0</v>
      </c>
      <c r="X144" s="1">
        <f t="shared" si="38"/>
        <v>0</v>
      </c>
      <c r="Y144" s="1">
        <f t="shared" si="39"/>
        <v>97200</v>
      </c>
      <c r="Z144" s="1">
        <f t="shared" si="40"/>
        <v>1</v>
      </c>
      <c r="AA144" s="1">
        <f t="shared" si="41"/>
        <v>0</v>
      </c>
    </row>
    <row r="145" spans="1:27" ht="18" customHeight="1" x14ac:dyDescent="0.3">
      <c r="A145" s="2"/>
      <c r="B145" s="65" t="str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61"/>
      <c r="D145" s="66"/>
      <c r="E145" s="66"/>
      <c r="F145" s="60"/>
      <c r="G145" s="67"/>
      <c r="H145" s="60"/>
      <c r="I145" s="68">
        <f t="shared" ca="1" si="28"/>
        <v>0</v>
      </c>
      <c r="J145" s="68">
        <f t="shared" ca="1" si="29"/>
        <v>0</v>
      </c>
      <c r="K145" s="68">
        <f t="shared" ca="1" si="30"/>
        <v>0</v>
      </c>
      <c r="L145" s="68">
        <f t="shared" ca="1" si="31"/>
        <v>0</v>
      </c>
      <c r="M145" s="69">
        <f t="shared" si="32"/>
        <v>0</v>
      </c>
      <c r="N145" s="65" t="str">
        <f t="shared" si="33"/>
        <v/>
      </c>
      <c r="O145" s="70" t="str">
        <f>IF(OR($C145="",$D145="",$F145=""),"",IF($F145="Aylık",EOMONTH($D145,0),($D145+MOD(SISTEM!$F$8-WEEKDAY($D145,2),7))))</f>
        <v/>
      </c>
      <c r="P145" s="61"/>
      <c r="Q145" s="2"/>
      <c r="R145" s="2"/>
      <c r="S145" s="1" t="str">
        <f>IF($B145="","",$B145&amp;"|"&amp;COUNTIFS($B$7:$B145,$B145))</f>
        <v/>
      </c>
      <c r="T145" s="1" t="str">
        <f t="shared" si="34"/>
        <v/>
      </c>
      <c r="U145" s="1">
        <f t="shared" si="35"/>
        <v>0</v>
      </c>
      <c r="V145" s="1">
        <f t="shared" si="36"/>
        <v>2958465</v>
      </c>
      <c r="W145" s="1">
        <f t="shared" si="37"/>
        <v>0</v>
      </c>
      <c r="X145" s="1">
        <f t="shared" si="38"/>
        <v>0</v>
      </c>
      <c r="Y145" s="1">
        <f t="shared" si="39"/>
        <v>97200</v>
      </c>
      <c r="Z145" s="1">
        <f t="shared" si="40"/>
        <v>1</v>
      </c>
      <c r="AA145" s="1">
        <f t="shared" si="41"/>
        <v>0</v>
      </c>
    </row>
    <row r="146" spans="1:27" ht="18" customHeight="1" x14ac:dyDescent="0.3">
      <c r="A146" s="2"/>
      <c r="B146" s="65" t="str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61"/>
      <c r="D146" s="66"/>
      <c r="E146" s="66"/>
      <c r="F146" s="60"/>
      <c r="G146" s="67"/>
      <c r="H146" s="60"/>
      <c r="I146" s="68">
        <f t="shared" ca="1" si="28"/>
        <v>0</v>
      </c>
      <c r="J146" s="68">
        <f t="shared" ca="1" si="29"/>
        <v>0</v>
      </c>
      <c r="K146" s="68">
        <f t="shared" ca="1" si="30"/>
        <v>0</v>
      </c>
      <c r="L146" s="68">
        <f t="shared" ca="1" si="31"/>
        <v>0</v>
      </c>
      <c r="M146" s="69">
        <f t="shared" si="32"/>
        <v>0</v>
      </c>
      <c r="N146" s="65" t="str">
        <f t="shared" si="33"/>
        <v/>
      </c>
      <c r="O146" s="70" t="str">
        <f>IF(OR($C146="",$D146="",$F146=""),"",IF($F146="Aylık",EOMONTH($D146,0),($D146+MOD(SISTEM!$F$8-WEEKDAY($D146,2),7))))</f>
        <v/>
      </c>
      <c r="P146" s="61"/>
      <c r="Q146" s="2"/>
      <c r="R146" s="2"/>
      <c r="S146" s="1" t="str">
        <f>IF($B146="","",$B146&amp;"|"&amp;COUNTIFS($B$7:$B146,$B146))</f>
        <v/>
      </c>
      <c r="T146" s="1" t="str">
        <f t="shared" si="34"/>
        <v/>
      </c>
      <c r="U146" s="1">
        <f t="shared" si="35"/>
        <v>0</v>
      </c>
      <c r="V146" s="1">
        <f t="shared" si="36"/>
        <v>2958465</v>
      </c>
      <c r="W146" s="1">
        <f t="shared" si="37"/>
        <v>0</v>
      </c>
      <c r="X146" s="1">
        <f t="shared" si="38"/>
        <v>0</v>
      </c>
      <c r="Y146" s="1">
        <f t="shared" si="39"/>
        <v>97200</v>
      </c>
      <c r="Z146" s="1">
        <f t="shared" si="40"/>
        <v>1</v>
      </c>
      <c r="AA146" s="1">
        <f t="shared" si="41"/>
        <v>0</v>
      </c>
    </row>
    <row r="147" spans="1:27" ht="18" customHeight="1" x14ac:dyDescent="0.3">
      <c r="A147" s="2"/>
      <c r="B147" s="65" t="str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61"/>
      <c r="D147" s="66"/>
      <c r="E147" s="66"/>
      <c r="F147" s="60"/>
      <c r="G147" s="67"/>
      <c r="H147" s="60"/>
      <c r="I147" s="68">
        <f t="shared" ca="1" si="28"/>
        <v>0</v>
      </c>
      <c r="J147" s="68">
        <f t="shared" ca="1" si="29"/>
        <v>0</v>
      </c>
      <c r="K147" s="68">
        <f t="shared" ca="1" si="30"/>
        <v>0</v>
      </c>
      <c r="L147" s="68">
        <f t="shared" ca="1" si="31"/>
        <v>0</v>
      </c>
      <c r="M147" s="69">
        <f t="shared" si="32"/>
        <v>0</v>
      </c>
      <c r="N147" s="65" t="str">
        <f t="shared" si="33"/>
        <v/>
      </c>
      <c r="O147" s="70" t="str">
        <f>IF(OR($C147="",$D147="",$F147=""),"",IF($F147="Aylık",EOMONTH($D147,0),($D147+MOD(SISTEM!$F$8-WEEKDAY($D147,2),7))))</f>
        <v/>
      </c>
      <c r="P147" s="61"/>
      <c r="Q147" s="2"/>
      <c r="R147" s="2"/>
      <c r="S147" s="1" t="str">
        <f>IF($B147="","",$B147&amp;"|"&amp;COUNTIFS($B$7:$B147,$B147))</f>
        <v/>
      </c>
      <c r="T147" s="1" t="str">
        <f t="shared" si="34"/>
        <v/>
      </c>
      <c r="U147" s="1">
        <f t="shared" si="35"/>
        <v>0</v>
      </c>
      <c r="V147" s="1">
        <f t="shared" si="36"/>
        <v>2958465</v>
      </c>
      <c r="W147" s="1">
        <f t="shared" si="37"/>
        <v>0</v>
      </c>
      <c r="X147" s="1">
        <f t="shared" si="38"/>
        <v>0</v>
      </c>
      <c r="Y147" s="1">
        <f t="shared" si="39"/>
        <v>97200</v>
      </c>
      <c r="Z147" s="1">
        <f t="shared" si="40"/>
        <v>1</v>
      </c>
      <c r="AA147" s="1">
        <f t="shared" si="41"/>
        <v>0</v>
      </c>
    </row>
    <row r="148" spans="1:27" ht="18" customHeight="1" x14ac:dyDescent="0.3">
      <c r="A148" s="2"/>
      <c r="B148" s="65" t="str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61"/>
      <c r="D148" s="66"/>
      <c r="E148" s="66"/>
      <c r="F148" s="60"/>
      <c r="G148" s="67"/>
      <c r="H148" s="60"/>
      <c r="I148" s="68">
        <f t="shared" ca="1" si="28"/>
        <v>0</v>
      </c>
      <c r="J148" s="68">
        <f t="shared" ca="1" si="29"/>
        <v>0</v>
      </c>
      <c r="K148" s="68">
        <f t="shared" ca="1" si="30"/>
        <v>0</v>
      </c>
      <c r="L148" s="68">
        <f t="shared" ca="1" si="31"/>
        <v>0</v>
      </c>
      <c r="M148" s="69">
        <f t="shared" si="32"/>
        <v>0</v>
      </c>
      <c r="N148" s="65" t="str">
        <f t="shared" si="33"/>
        <v/>
      </c>
      <c r="O148" s="70" t="str">
        <f>IF(OR($C148="",$D148="",$F148=""),"",IF($F148="Aylık",EOMONTH($D148,0),($D148+MOD(SISTEM!$F$8-WEEKDAY($D148,2),7))))</f>
        <v/>
      </c>
      <c r="P148" s="61"/>
      <c r="Q148" s="2"/>
      <c r="R148" s="2"/>
      <c r="S148" s="1" t="str">
        <f>IF($B148="","",$B148&amp;"|"&amp;COUNTIFS($B$7:$B148,$B148))</f>
        <v/>
      </c>
      <c r="T148" s="1" t="str">
        <f t="shared" si="34"/>
        <v/>
      </c>
      <c r="U148" s="1">
        <f t="shared" si="35"/>
        <v>0</v>
      </c>
      <c r="V148" s="1">
        <f t="shared" si="36"/>
        <v>2958465</v>
      </c>
      <c r="W148" s="1">
        <f t="shared" si="37"/>
        <v>0</v>
      </c>
      <c r="X148" s="1">
        <f t="shared" si="38"/>
        <v>0</v>
      </c>
      <c r="Y148" s="1">
        <f t="shared" si="39"/>
        <v>97200</v>
      </c>
      <c r="Z148" s="1">
        <f t="shared" si="40"/>
        <v>1</v>
      </c>
      <c r="AA148" s="1">
        <f t="shared" si="41"/>
        <v>0</v>
      </c>
    </row>
    <row r="149" spans="1:27" ht="18" customHeight="1" x14ac:dyDescent="0.3">
      <c r="A149" s="2"/>
      <c r="B149" s="65" t="str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61"/>
      <c r="D149" s="66"/>
      <c r="E149" s="66"/>
      <c r="F149" s="60"/>
      <c r="G149" s="67"/>
      <c r="H149" s="60"/>
      <c r="I149" s="68">
        <f t="shared" ca="1" si="28"/>
        <v>0</v>
      </c>
      <c r="J149" s="68">
        <f t="shared" ca="1" si="29"/>
        <v>0</v>
      </c>
      <c r="K149" s="68">
        <f t="shared" ca="1" si="30"/>
        <v>0</v>
      </c>
      <c r="L149" s="68">
        <f t="shared" ca="1" si="31"/>
        <v>0</v>
      </c>
      <c r="M149" s="69">
        <f t="shared" si="32"/>
        <v>0</v>
      </c>
      <c r="N149" s="65" t="str">
        <f t="shared" si="33"/>
        <v/>
      </c>
      <c r="O149" s="70" t="str">
        <f>IF(OR($C149="",$D149="",$F149=""),"",IF($F149="Aylık",EOMONTH($D149,0),($D149+MOD(SISTEM!$F$8-WEEKDAY($D149,2),7))))</f>
        <v/>
      </c>
      <c r="P149" s="61"/>
      <c r="Q149" s="2"/>
      <c r="R149" s="2"/>
      <c r="S149" s="1" t="str">
        <f>IF($B149="","",$B149&amp;"|"&amp;COUNTIFS($B$7:$B149,$B149))</f>
        <v/>
      </c>
      <c r="T149" s="1" t="str">
        <f t="shared" si="34"/>
        <v/>
      </c>
      <c r="U149" s="1">
        <f t="shared" si="35"/>
        <v>0</v>
      </c>
      <c r="V149" s="1">
        <f t="shared" si="36"/>
        <v>2958465</v>
      </c>
      <c r="W149" s="1">
        <f t="shared" si="37"/>
        <v>0</v>
      </c>
      <c r="X149" s="1">
        <f t="shared" si="38"/>
        <v>0</v>
      </c>
      <c r="Y149" s="1">
        <f t="shared" si="39"/>
        <v>97200</v>
      </c>
      <c r="Z149" s="1">
        <f t="shared" si="40"/>
        <v>1</v>
      </c>
      <c r="AA149" s="1">
        <f t="shared" si="41"/>
        <v>0</v>
      </c>
    </row>
    <row r="150" spans="1:27" ht="18" customHeight="1" x14ac:dyDescent="0.3">
      <c r="A150" s="2"/>
      <c r="B150" s="65" t="str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61"/>
      <c r="D150" s="66"/>
      <c r="E150" s="66"/>
      <c r="F150" s="60"/>
      <c r="G150" s="67"/>
      <c r="H150" s="60"/>
      <c r="I150" s="68">
        <f t="shared" ca="1" si="28"/>
        <v>0</v>
      </c>
      <c r="J150" s="68">
        <f t="shared" ca="1" si="29"/>
        <v>0</v>
      </c>
      <c r="K150" s="68">
        <f t="shared" ca="1" si="30"/>
        <v>0</v>
      </c>
      <c r="L150" s="68">
        <f t="shared" ca="1" si="31"/>
        <v>0</v>
      </c>
      <c r="M150" s="69">
        <f t="shared" si="32"/>
        <v>0</v>
      </c>
      <c r="N150" s="65" t="str">
        <f t="shared" si="33"/>
        <v/>
      </c>
      <c r="O150" s="70" t="str">
        <f>IF(OR($C150="",$D150="",$F150=""),"",IF($F150="Aylık",EOMONTH($D150,0),($D150+MOD(SISTEM!$F$8-WEEKDAY($D150,2),7))))</f>
        <v/>
      </c>
      <c r="P150" s="61"/>
      <c r="Q150" s="2"/>
      <c r="R150" s="2"/>
      <c r="S150" s="1" t="str">
        <f>IF($B150="","",$B150&amp;"|"&amp;COUNTIFS($B$7:$B150,$B150))</f>
        <v/>
      </c>
      <c r="T150" s="1" t="str">
        <f t="shared" si="34"/>
        <v/>
      </c>
      <c r="U150" s="1">
        <f t="shared" si="35"/>
        <v>0</v>
      </c>
      <c r="V150" s="1">
        <f t="shared" si="36"/>
        <v>2958465</v>
      </c>
      <c r="W150" s="1">
        <f t="shared" si="37"/>
        <v>0</v>
      </c>
      <c r="X150" s="1">
        <f t="shared" si="38"/>
        <v>0</v>
      </c>
      <c r="Y150" s="1">
        <f t="shared" si="39"/>
        <v>97200</v>
      </c>
      <c r="Z150" s="1">
        <f t="shared" si="40"/>
        <v>1</v>
      </c>
      <c r="AA150" s="1">
        <f t="shared" si="41"/>
        <v>0</v>
      </c>
    </row>
    <row r="151" spans="1:27" ht="18" customHeight="1" x14ac:dyDescent="0.3">
      <c r="A151" s="2"/>
      <c r="B151" s="65" t="str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61"/>
      <c r="D151" s="66"/>
      <c r="E151" s="66"/>
      <c r="F151" s="60"/>
      <c r="G151" s="67"/>
      <c r="H151" s="60"/>
      <c r="I151" s="68">
        <f t="shared" ca="1" si="28"/>
        <v>0</v>
      </c>
      <c r="J151" s="68">
        <f t="shared" ca="1" si="29"/>
        <v>0</v>
      </c>
      <c r="K151" s="68">
        <f t="shared" ca="1" si="30"/>
        <v>0</v>
      </c>
      <c r="L151" s="68">
        <f t="shared" ca="1" si="31"/>
        <v>0</v>
      </c>
      <c r="M151" s="69">
        <f t="shared" si="32"/>
        <v>0</v>
      </c>
      <c r="N151" s="65" t="str">
        <f t="shared" si="33"/>
        <v/>
      </c>
      <c r="O151" s="70" t="str">
        <f>IF(OR($C151="",$D151="",$F151=""),"",IF($F151="Aylık",EOMONTH($D151,0),($D151+MOD(SISTEM!$F$8-WEEKDAY($D151,2),7))))</f>
        <v/>
      </c>
      <c r="P151" s="61"/>
      <c r="Q151" s="2"/>
      <c r="R151" s="2"/>
      <c r="S151" s="1" t="str">
        <f>IF($B151="","",$B151&amp;"|"&amp;COUNTIFS($B$7:$B151,$B151))</f>
        <v/>
      </c>
      <c r="T151" s="1" t="str">
        <f t="shared" si="34"/>
        <v/>
      </c>
      <c r="U151" s="1">
        <f t="shared" si="35"/>
        <v>0</v>
      </c>
      <c r="V151" s="1">
        <f t="shared" si="36"/>
        <v>2958465</v>
      </c>
      <c r="W151" s="1">
        <f t="shared" si="37"/>
        <v>0</v>
      </c>
      <c r="X151" s="1">
        <f t="shared" si="38"/>
        <v>0</v>
      </c>
      <c r="Y151" s="1">
        <f t="shared" si="39"/>
        <v>97200</v>
      </c>
      <c r="Z151" s="1">
        <f t="shared" si="40"/>
        <v>1</v>
      </c>
      <c r="AA151" s="1">
        <f t="shared" si="41"/>
        <v>0</v>
      </c>
    </row>
    <row r="152" spans="1:27" ht="18" customHeight="1" x14ac:dyDescent="0.3">
      <c r="A152" s="2"/>
      <c r="B152" s="65" t="str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61"/>
      <c r="D152" s="66"/>
      <c r="E152" s="66"/>
      <c r="F152" s="60"/>
      <c r="G152" s="67"/>
      <c r="H152" s="60"/>
      <c r="I152" s="68">
        <f t="shared" ca="1" si="28"/>
        <v>0</v>
      </c>
      <c r="J152" s="68">
        <f t="shared" ca="1" si="29"/>
        <v>0</v>
      </c>
      <c r="K152" s="68">
        <f t="shared" ca="1" si="30"/>
        <v>0</v>
      </c>
      <c r="L152" s="68">
        <f t="shared" ca="1" si="31"/>
        <v>0</v>
      </c>
      <c r="M152" s="69">
        <f t="shared" si="32"/>
        <v>0</v>
      </c>
      <c r="N152" s="65" t="str">
        <f t="shared" si="33"/>
        <v/>
      </c>
      <c r="O152" s="70" t="str">
        <f>IF(OR($C152="",$D152="",$F152=""),"",IF($F152="Aylık",EOMONTH($D152,0),($D152+MOD(SISTEM!$F$8-WEEKDAY($D152,2),7))))</f>
        <v/>
      </c>
      <c r="P152" s="61"/>
      <c r="Q152" s="2"/>
      <c r="R152" s="2"/>
      <c r="S152" s="1" t="str">
        <f>IF($B152="","",$B152&amp;"|"&amp;COUNTIFS($B$7:$B152,$B152))</f>
        <v/>
      </c>
      <c r="T152" s="1" t="str">
        <f t="shared" si="34"/>
        <v/>
      </c>
      <c r="U152" s="1">
        <f t="shared" si="35"/>
        <v>0</v>
      </c>
      <c r="V152" s="1">
        <f t="shared" si="36"/>
        <v>2958465</v>
      </c>
      <c r="W152" s="1">
        <f t="shared" si="37"/>
        <v>0</v>
      </c>
      <c r="X152" s="1">
        <f t="shared" si="38"/>
        <v>0</v>
      </c>
      <c r="Y152" s="1">
        <f t="shared" si="39"/>
        <v>97200</v>
      </c>
      <c r="Z152" s="1">
        <f t="shared" si="40"/>
        <v>1</v>
      </c>
      <c r="AA152" s="1">
        <f t="shared" si="41"/>
        <v>0</v>
      </c>
    </row>
    <row r="153" spans="1:27" ht="18" customHeight="1" x14ac:dyDescent="0.3">
      <c r="A153" s="2"/>
      <c r="B153" s="65" t="str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61"/>
      <c r="D153" s="66"/>
      <c r="E153" s="66"/>
      <c r="F153" s="60"/>
      <c r="G153" s="67"/>
      <c r="H153" s="60"/>
      <c r="I153" s="68">
        <f t="shared" ca="1" si="28"/>
        <v>0</v>
      </c>
      <c r="J153" s="68">
        <f t="shared" ca="1" si="29"/>
        <v>0</v>
      </c>
      <c r="K153" s="68">
        <f t="shared" ca="1" si="30"/>
        <v>0</v>
      </c>
      <c r="L153" s="68">
        <f t="shared" ca="1" si="31"/>
        <v>0</v>
      </c>
      <c r="M153" s="69">
        <f t="shared" si="32"/>
        <v>0</v>
      </c>
      <c r="N153" s="65" t="str">
        <f t="shared" si="33"/>
        <v/>
      </c>
      <c r="O153" s="70" t="str">
        <f>IF(OR($C153="",$D153="",$F153=""),"",IF($F153="Aylık",EOMONTH($D153,0),($D153+MOD(SISTEM!$F$8-WEEKDAY($D153,2),7))))</f>
        <v/>
      </c>
      <c r="P153" s="61"/>
      <c r="Q153" s="2"/>
      <c r="R153" s="2"/>
      <c r="S153" s="1" t="str">
        <f>IF($B153="","",$B153&amp;"|"&amp;COUNTIFS($B$7:$B153,$B153))</f>
        <v/>
      </c>
      <c r="T153" s="1" t="str">
        <f t="shared" si="34"/>
        <v/>
      </c>
      <c r="U153" s="1">
        <f t="shared" si="35"/>
        <v>0</v>
      </c>
      <c r="V153" s="1">
        <f t="shared" si="36"/>
        <v>2958465</v>
      </c>
      <c r="W153" s="1">
        <f t="shared" si="37"/>
        <v>0</v>
      </c>
      <c r="X153" s="1">
        <f t="shared" si="38"/>
        <v>0</v>
      </c>
      <c r="Y153" s="1">
        <f t="shared" si="39"/>
        <v>97200</v>
      </c>
      <c r="Z153" s="1">
        <f t="shared" si="40"/>
        <v>1</v>
      </c>
      <c r="AA153" s="1">
        <f t="shared" si="41"/>
        <v>0</v>
      </c>
    </row>
    <row r="154" spans="1:27" ht="18" customHeight="1" x14ac:dyDescent="0.3">
      <c r="A154" s="2"/>
      <c r="B154" s="65" t="str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61"/>
      <c r="D154" s="66"/>
      <c r="E154" s="66"/>
      <c r="F154" s="60"/>
      <c r="G154" s="67"/>
      <c r="H154" s="60"/>
      <c r="I154" s="68">
        <f t="shared" ca="1" si="28"/>
        <v>0</v>
      </c>
      <c r="J154" s="68">
        <f t="shared" ca="1" si="29"/>
        <v>0</v>
      </c>
      <c r="K154" s="68">
        <f t="shared" ca="1" si="30"/>
        <v>0</v>
      </c>
      <c r="L154" s="68">
        <f t="shared" ca="1" si="31"/>
        <v>0</v>
      </c>
      <c r="M154" s="69">
        <f t="shared" si="32"/>
        <v>0</v>
      </c>
      <c r="N154" s="65" t="str">
        <f t="shared" si="33"/>
        <v/>
      </c>
      <c r="O154" s="70" t="str">
        <f>IF(OR($C154="",$D154="",$F154=""),"",IF($F154="Aylık",EOMONTH($D154,0),($D154+MOD(SISTEM!$F$8-WEEKDAY($D154,2),7))))</f>
        <v/>
      </c>
      <c r="P154" s="61"/>
      <c r="Q154" s="2"/>
      <c r="R154" s="2"/>
      <c r="S154" s="1" t="str">
        <f>IF($B154="","",$B154&amp;"|"&amp;COUNTIFS($B$7:$B154,$B154))</f>
        <v/>
      </c>
      <c r="T154" s="1" t="str">
        <f t="shared" si="34"/>
        <v/>
      </c>
      <c r="U154" s="1">
        <f t="shared" si="35"/>
        <v>0</v>
      </c>
      <c r="V154" s="1">
        <f t="shared" si="36"/>
        <v>2958465</v>
      </c>
      <c r="W154" s="1">
        <f t="shared" si="37"/>
        <v>0</v>
      </c>
      <c r="X154" s="1">
        <f t="shared" si="38"/>
        <v>0</v>
      </c>
      <c r="Y154" s="1">
        <f t="shared" si="39"/>
        <v>97200</v>
      </c>
      <c r="Z154" s="1">
        <f t="shared" si="40"/>
        <v>1</v>
      </c>
      <c r="AA154" s="1">
        <f t="shared" si="41"/>
        <v>0</v>
      </c>
    </row>
    <row r="155" spans="1:27" ht="18" customHeight="1" x14ac:dyDescent="0.3">
      <c r="A155" s="2"/>
      <c r="B155" s="65" t="str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61"/>
      <c r="D155" s="66"/>
      <c r="E155" s="66"/>
      <c r="F155" s="60"/>
      <c r="G155" s="67"/>
      <c r="H155" s="60"/>
      <c r="I155" s="68">
        <f t="shared" ca="1" si="28"/>
        <v>0</v>
      </c>
      <c r="J155" s="68">
        <f t="shared" ca="1" si="29"/>
        <v>0</v>
      </c>
      <c r="K155" s="68">
        <f t="shared" ca="1" si="30"/>
        <v>0</v>
      </c>
      <c r="L155" s="68">
        <f t="shared" ca="1" si="31"/>
        <v>0</v>
      </c>
      <c r="M155" s="69">
        <f t="shared" si="32"/>
        <v>0</v>
      </c>
      <c r="N155" s="65" t="str">
        <f t="shared" si="33"/>
        <v/>
      </c>
      <c r="O155" s="70" t="str">
        <f>IF(OR($C155="",$D155="",$F155=""),"",IF($F155="Aylık",EOMONTH($D155,0),($D155+MOD(SISTEM!$F$8-WEEKDAY($D155,2),7))))</f>
        <v/>
      </c>
      <c r="P155" s="61"/>
      <c r="Q155" s="2"/>
      <c r="R155" s="2"/>
      <c r="S155" s="1" t="str">
        <f>IF($B155="","",$B155&amp;"|"&amp;COUNTIFS($B$7:$B155,$B155))</f>
        <v/>
      </c>
      <c r="T155" s="1" t="str">
        <f t="shared" si="34"/>
        <v/>
      </c>
      <c r="U155" s="1">
        <f t="shared" si="35"/>
        <v>0</v>
      </c>
      <c r="V155" s="1">
        <f t="shared" si="36"/>
        <v>2958465</v>
      </c>
      <c r="W155" s="1">
        <f t="shared" si="37"/>
        <v>0</v>
      </c>
      <c r="X155" s="1">
        <f t="shared" si="38"/>
        <v>0</v>
      </c>
      <c r="Y155" s="1">
        <f t="shared" si="39"/>
        <v>97200</v>
      </c>
      <c r="Z155" s="1">
        <f t="shared" si="40"/>
        <v>1</v>
      </c>
      <c r="AA155" s="1">
        <f t="shared" si="41"/>
        <v>0</v>
      </c>
    </row>
    <row r="156" spans="1:27" ht="18" customHeight="1" x14ac:dyDescent="0.3">
      <c r="A156" s="2"/>
      <c r="B156" s="65" t="str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61"/>
      <c r="D156" s="66"/>
      <c r="E156" s="66"/>
      <c r="F156" s="60"/>
      <c r="G156" s="67"/>
      <c r="H156" s="60"/>
      <c r="I156" s="68">
        <f t="shared" ca="1" si="28"/>
        <v>0</v>
      </c>
      <c r="J156" s="68">
        <f t="shared" ca="1" si="29"/>
        <v>0</v>
      </c>
      <c r="K156" s="68">
        <f t="shared" ca="1" si="30"/>
        <v>0</v>
      </c>
      <c r="L156" s="68">
        <f t="shared" ca="1" si="31"/>
        <v>0</v>
      </c>
      <c r="M156" s="69">
        <f t="shared" si="32"/>
        <v>0</v>
      </c>
      <c r="N156" s="65" t="str">
        <f t="shared" si="33"/>
        <v/>
      </c>
      <c r="O156" s="70" t="str">
        <f>IF(OR($C156="",$D156="",$F156=""),"",IF($F156="Aylık",EOMONTH($D156,0),($D156+MOD(SISTEM!$F$8-WEEKDAY($D156,2),7))))</f>
        <v/>
      </c>
      <c r="P156" s="61"/>
      <c r="Q156" s="2"/>
      <c r="R156" s="2"/>
      <c r="S156" s="1" t="str">
        <f>IF($B156="","",$B156&amp;"|"&amp;COUNTIFS($B$7:$B156,$B156))</f>
        <v/>
      </c>
      <c r="T156" s="1" t="str">
        <f t="shared" si="34"/>
        <v/>
      </c>
      <c r="U156" s="1">
        <f t="shared" si="35"/>
        <v>0</v>
      </c>
      <c r="V156" s="1">
        <f t="shared" si="36"/>
        <v>2958465</v>
      </c>
      <c r="W156" s="1">
        <f t="shared" si="37"/>
        <v>0</v>
      </c>
      <c r="X156" s="1">
        <f t="shared" si="38"/>
        <v>0</v>
      </c>
      <c r="Y156" s="1">
        <f t="shared" si="39"/>
        <v>97200</v>
      </c>
      <c r="Z156" s="1">
        <f t="shared" si="40"/>
        <v>1</v>
      </c>
      <c r="AA156" s="1">
        <f t="shared" si="41"/>
        <v>0</v>
      </c>
    </row>
    <row r="157" spans="1:27" ht="18" customHeight="1" x14ac:dyDescent="0.3">
      <c r="A157" s="2"/>
      <c r="B157" s="65" t="str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61"/>
      <c r="D157" s="66"/>
      <c r="E157" s="66"/>
      <c r="F157" s="60"/>
      <c r="G157" s="67"/>
      <c r="H157" s="60"/>
      <c r="I157" s="68">
        <f t="shared" ca="1" si="28"/>
        <v>0</v>
      </c>
      <c r="J157" s="68">
        <f t="shared" ca="1" si="29"/>
        <v>0</v>
      </c>
      <c r="K157" s="68">
        <f t="shared" ca="1" si="30"/>
        <v>0</v>
      </c>
      <c r="L157" s="68">
        <f t="shared" ca="1" si="31"/>
        <v>0</v>
      </c>
      <c r="M157" s="69">
        <f t="shared" si="32"/>
        <v>0</v>
      </c>
      <c r="N157" s="65" t="str">
        <f t="shared" si="33"/>
        <v/>
      </c>
      <c r="O157" s="70" t="str">
        <f>IF(OR($C157="",$D157="",$F157=""),"",IF($F157="Aylık",EOMONTH($D157,0),($D157+MOD(SISTEM!$F$8-WEEKDAY($D157,2),7))))</f>
        <v/>
      </c>
      <c r="P157" s="61"/>
      <c r="Q157" s="2"/>
      <c r="R157" s="2"/>
      <c r="S157" s="1" t="str">
        <f>IF($B157="","",$B157&amp;"|"&amp;COUNTIFS($B$7:$B157,$B157))</f>
        <v/>
      </c>
      <c r="T157" s="1" t="str">
        <f t="shared" si="34"/>
        <v/>
      </c>
      <c r="U157" s="1">
        <f t="shared" si="35"/>
        <v>0</v>
      </c>
      <c r="V157" s="1">
        <f t="shared" si="36"/>
        <v>2958465</v>
      </c>
      <c r="W157" s="1">
        <f t="shared" si="37"/>
        <v>0</v>
      </c>
      <c r="X157" s="1">
        <f t="shared" si="38"/>
        <v>0</v>
      </c>
      <c r="Y157" s="1">
        <f t="shared" si="39"/>
        <v>97200</v>
      </c>
      <c r="Z157" s="1">
        <f t="shared" si="40"/>
        <v>1</v>
      </c>
      <c r="AA157" s="1">
        <f t="shared" si="41"/>
        <v>0</v>
      </c>
    </row>
    <row r="158" spans="1:27" ht="18" customHeight="1" x14ac:dyDescent="0.3">
      <c r="A158" s="2"/>
      <c r="B158" s="65" t="str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61"/>
      <c r="D158" s="66"/>
      <c r="E158" s="66"/>
      <c r="F158" s="60"/>
      <c r="G158" s="67"/>
      <c r="H158" s="60"/>
      <c r="I158" s="68">
        <f t="shared" ca="1" si="28"/>
        <v>0</v>
      </c>
      <c r="J158" s="68">
        <f t="shared" ca="1" si="29"/>
        <v>0</v>
      </c>
      <c r="K158" s="68">
        <f t="shared" ca="1" si="30"/>
        <v>0</v>
      </c>
      <c r="L158" s="68">
        <f t="shared" ca="1" si="31"/>
        <v>0</v>
      </c>
      <c r="M158" s="69">
        <f t="shared" si="32"/>
        <v>0</v>
      </c>
      <c r="N158" s="65" t="str">
        <f t="shared" si="33"/>
        <v/>
      </c>
      <c r="O158" s="70" t="str">
        <f>IF(OR($C158="",$D158="",$F158=""),"",IF($F158="Aylık",EOMONTH($D158,0),($D158+MOD(SISTEM!$F$8-WEEKDAY($D158,2),7))))</f>
        <v/>
      </c>
      <c r="P158" s="61"/>
      <c r="Q158" s="2"/>
      <c r="R158" s="2"/>
      <c r="S158" s="1" t="str">
        <f>IF($B158="","",$B158&amp;"|"&amp;COUNTIFS($B$7:$B158,$B158))</f>
        <v/>
      </c>
      <c r="T158" s="1" t="str">
        <f t="shared" si="34"/>
        <v/>
      </c>
      <c r="U158" s="1">
        <f t="shared" si="35"/>
        <v>0</v>
      </c>
      <c r="V158" s="1">
        <f t="shared" si="36"/>
        <v>2958465</v>
      </c>
      <c r="W158" s="1">
        <f t="shared" si="37"/>
        <v>0</v>
      </c>
      <c r="X158" s="1">
        <f t="shared" si="38"/>
        <v>0</v>
      </c>
      <c r="Y158" s="1">
        <f t="shared" si="39"/>
        <v>97200</v>
      </c>
      <c r="Z158" s="1">
        <f t="shared" si="40"/>
        <v>1</v>
      </c>
      <c r="AA158" s="1">
        <f t="shared" si="41"/>
        <v>0</v>
      </c>
    </row>
    <row r="159" spans="1:27" ht="18" customHeight="1" x14ac:dyDescent="0.3">
      <c r="A159" s="2"/>
      <c r="B159" s="65" t="str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61"/>
      <c r="D159" s="66"/>
      <c r="E159" s="66"/>
      <c r="F159" s="60"/>
      <c r="G159" s="67"/>
      <c r="H159" s="60"/>
      <c r="I159" s="68">
        <f t="shared" ca="1" si="28"/>
        <v>0</v>
      </c>
      <c r="J159" s="68">
        <f t="shared" ca="1" si="29"/>
        <v>0</v>
      </c>
      <c r="K159" s="68">
        <f t="shared" ca="1" si="30"/>
        <v>0</v>
      </c>
      <c r="L159" s="68">
        <f t="shared" ca="1" si="31"/>
        <v>0</v>
      </c>
      <c r="M159" s="69">
        <f t="shared" si="32"/>
        <v>0</v>
      </c>
      <c r="N159" s="65" t="str">
        <f t="shared" si="33"/>
        <v/>
      </c>
      <c r="O159" s="70" t="str">
        <f>IF(OR($C159="",$D159="",$F159=""),"",IF($F159="Aylık",EOMONTH($D159,0),($D159+MOD(SISTEM!$F$8-WEEKDAY($D159,2),7))))</f>
        <v/>
      </c>
      <c r="P159" s="61"/>
      <c r="Q159" s="2"/>
      <c r="R159" s="2"/>
      <c r="S159" s="1" t="str">
        <f>IF($B159="","",$B159&amp;"|"&amp;COUNTIFS($B$7:$B159,$B159))</f>
        <v/>
      </c>
      <c r="T159" s="1" t="str">
        <f t="shared" si="34"/>
        <v/>
      </c>
      <c r="U159" s="1">
        <f t="shared" si="35"/>
        <v>0</v>
      </c>
      <c r="V159" s="1">
        <f t="shared" si="36"/>
        <v>2958465</v>
      </c>
      <c r="W159" s="1">
        <f t="shared" si="37"/>
        <v>0</v>
      </c>
      <c r="X159" s="1">
        <f t="shared" si="38"/>
        <v>0</v>
      </c>
      <c r="Y159" s="1">
        <f t="shared" si="39"/>
        <v>97200</v>
      </c>
      <c r="Z159" s="1">
        <f t="shared" si="40"/>
        <v>1</v>
      </c>
      <c r="AA159" s="1">
        <f t="shared" si="41"/>
        <v>0</v>
      </c>
    </row>
    <row r="160" spans="1:27" ht="18" customHeight="1" x14ac:dyDescent="0.3">
      <c r="A160" s="2"/>
      <c r="B160" s="65" t="str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61"/>
      <c r="D160" s="66"/>
      <c r="E160" s="66"/>
      <c r="F160" s="60"/>
      <c r="G160" s="67"/>
      <c r="H160" s="60"/>
      <c r="I160" s="68">
        <f t="shared" ca="1" si="28"/>
        <v>0</v>
      </c>
      <c r="J160" s="68">
        <f t="shared" ca="1" si="29"/>
        <v>0</v>
      </c>
      <c r="K160" s="68">
        <f t="shared" ca="1" si="30"/>
        <v>0</v>
      </c>
      <c r="L160" s="68">
        <f t="shared" ca="1" si="31"/>
        <v>0</v>
      </c>
      <c r="M160" s="69">
        <f t="shared" si="32"/>
        <v>0</v>
      </c>
      <c r="N160" s="65" t="str">
        <f t="shared" si="33"/>
        <v/>
      </c>
      <c r="O160" s="70" t="str">
        <f>IF(OR($C160="",$D160="",$F160=""),"",IF($F160="Aylık",EOMONTH($D160,0),($D160+MOD(SISTEM!$F$8-WEEKDAY($D160,2),7))))</f>
        <v/>
      </c>
      <c r="P160" s="61"/>
      <c r="Q160" s="2"/>
      <c r="R160" s="2"/>
      <c r="S160" s="1" t="str">
        <f>IF($B160="","",$B160&amp;"|"&amp;COUNTIFS($B$7:$B160,$B160))</f>
        <v/>
      </c>
      <c r="T160" s="1" t="str">
        <f t="shared" si="34"/>
        <v/>
      </c>
      <c r="U160" s="1">
        <f t="shared" si="35"/>
        <v>0</v>
      </c>
      <c r="V160" s="1">
        <f t="shared" si="36"/>
        <v>2958465</v>
      </c>
      <c r="W160" s="1">
        <f t="shared" si="37"/>
        <v>0</v>
      </c>
      <c r="X160" s="1">
        <f t="shared" si="38"/>
        <v>0</v>
      </c>
      <c r="Y160" s="1">
        <f t="shared" si="39"/>
        <v>97200</v>
      </c>
      <c r="Z160" s="1">
        <f t="shared" si="40"/>
        <v>1</v>
      </c>
      <c r="AA160" s="1">
        <f t="shared" si="41"/>
        <v>0</v>
      </c>
    </row>
    <row r="161" spans="1:27" ht="18" customHeight="1" x14ac:dyDescent="0.3">
      <c r="A161" s="2"/>
      <c r="B161" s="65" t="str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61"/>
      <c r="D161" s="66"/>
      <c r="E161" s="66"/>
      <c r="F161" s="60"/>
      <c r="G161" s="67"/>
      <c r="H161" s="60"/>
      <c r="I161" s="68">
        <f t="shared" ca="1" si="28"/>
        <v>0</v>
      </c>
      <c r="J161" s="68">
        <f t="shared" ca="1" si="29"/>
        <v>0</v>
      </c>
      <c r="K161" s="68">
        <f t="shared" ca="1" si="30"/>
        <v>0</v>
      </c>
      <c r="L161" s="68">
        <f t="shared" ca="1" si="31"/>
        <v>0</v>
      </c>
      <c r="M161" s="69">
        <f t="shared" si="32"/>
        <v>0</v>
      </c>
      <c r="N161" s="65" t="str">
        <f t="shared" si="33"/>
        <v/>
      </c>
      <c r="O161" s="70" t="str">
        <f>IF(OR($C161="",$D161="",$F161=""),"",IF($F161="Aylık",EOMONTH($D161,0),($D161+MOD(SISTEM!$F$8-WEEKDAY($D161,2),7))))</f>
        <v/>
      </c>
      <c r="P161" s="61"/>
      <c r="Q161" s="2"/>
      <c r="R161" s="2"/>
      <c r="S161" s="1" t="str">
        <f>IF($B161="","",$B161&amp;"|"&amp;COUNTIFS($B$7:$B161,$B161))</f>
        <v/>
      </c>
      <c r="T161" s="1" t="str">
        <f t="shared" si="34"/>
        <v/>
      </c>
      <c r="U161" s="1">
        <f t="shared" si="35"/>
        <v>0</v>
      </c>
      <c r="V161" s="1">
        <f t="shared" si="36"/>
        <v>2958465</v>
      </c>
      <c r="W161" s="1">
        <f t="shared" si="37"/>
        <v>0</v>
      </c>
      <c r="X161" s="1">
        <f t="shared" si="38"/>
        <v>0</v>
      </c>
      <c r="Y161" s="1">
        <f t="shared" si="39"/>
        <v>97200</v>
      </c>
      <c r="Z161" s="1">
        <f t="shared" si="40"/>
        <v>1</v>
      </c>
      <c r="AA161" s="1">
        <f t="shared" si="41"/>
        <v>0</v>
      </c>
    </row>
    <row r="162" spans="1:27" ht="18" customHeight="1" x14ac:dyDescent="0.3">
      <c r="A162" s="2"/>
      <c r="B162" s="65" t="str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61"/>
      <c r="D162" s="66"/>
      <c r="E162" s="66"/>
      <c r="F162" s="60"/>
      <c r="G162" s="67"/>
      <c r="H162" s="60"/>
      <c r="I162" s="68">
        <f t="shared" ca="1" si="28"/>
        <v>0</v>
      </c>
      <c r="J162" s="68">
        <f t="shared" ca="1" si="29"/>
        <v>0</v>
      </c>
      <c r="K162" s="68">
        <f t="shared" ca="1" si="30"/>
        <v>0</v>
      </c>
      <c r="L162" s="68">
        <f t="shared" ca="1" si="31"/>
        <v>0</v>
      </c>
      <c r="M162" s="69">
        <f t="shared" si="32"/>
        <v>0</v>
      </c>
      <c r="N162" s="65" t="str">
        <f t="shared" si="33"/>
        <v/>
      </c>
      <c r="O162" s="70" t="str">
        <f>IF(OR($C162="",$D162="",$F162=""),"",IF($F162="Aylık",EOMONTH($D162,0),($D162+MOD(SISTEM!$F$8-WEEKDAY($D162,2),7))))</f>
        <v/>
      </c>
      <c r="P162" s="61"/>
      <c r="Q162" s="2"/>
      <c r="R162" s="2"/>
      <c r="S162" s="1" t="str">
        <f>IF($B162="","",$B162&amp;"|"&amp;COUNTIFS($B$7:$B162,$B162))</f>
        <v/>
      </c>
      <c r="T162" s="1" t="str">
        <f t="shared" si="34"/>
        <v/>
      </c>
      <c r="U162" s="1">
        <f t="shared" si="35"/>
        <v>0</v>
      </c>
      <c r="V162" s="1">
        <f t="shared" si="36"/>
        <v>2958465</v>
      </c>
      <c r="W162" s="1">
        <f t="shared" si="37"/>
        <v>0</v>
      </c>
      <c r="X162" s="1">
        <f t="shared" si="38"/>
        <v>0</v>
      </c>
      <c r="Y162" s="1">
        <f t="shared" si="39"/>
        <v>97200</v>
      </c>
      <c r="Z162" s="1">
        <f t="shared" si="40"/>
        <v>1</v>
      </c>
      <c r="AA162" s="1">
        <f t="shared" si="41"/>
        <v>0</v>
      </c>
    </row>
    <row r="163" spans="1:27" ht="18" customHeight="1" x14ac:dyDescent="0.3">
      <c r="A163" s="2"/>
      <c r="B163" s="65" t="str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61"/>
      <c r="D163" s="66"/>
      <c r="E163" s="66"/>
      <c r="F163" s="60"/>
      <c r="G163" s="67"/>
      <c r="H163" s="60"/>
      <c r="I163" s="68">
        <f t="shared" ca="1" si="28"/>
        <v>0</v>
      </c>
      <c r="J163" s="68">
        <f t="shared" ca="1" si="29"/>
        <v>0</v>
      </c>
      <c r="K163" s="68">
        <f t="shared" ca="1" si="30"/>
        <v>0</v>
      </c>
      <c r="L163" s="68">
        <f t="shared" ca="1" si="31"/>
        <v>0</v>
      </c>
      <c r="M163" s="69">
        <f t="shared" si="32"/>
        <v>0</v>
      </c>
      <c r="N163" s="65" t="str">
        <f t="shared" si="33"/>
        <v/>
      </c>
      <c r="O163" s="70" t="str">
        <f>IF(OR($C163="",$D163="",$F163=""),"",IF($F163="Aylık",EOMONTH($D163,0),($D163+MOD(SISTEM!$F$8-WEEKDAY($D163,2),7))))</f>
        <v/>
      </c>
      <c r="P163" s="61"/>
      <c r="Q163" s="2"/>
      <c r="R163" s="2"/>
      <c r="S163" s="1" t="str">
        <f>IF($B163="","",$B163&amp;"|"&amp;COUNTIFS($B$7:$B163,$B163))</f>
        <v/>
      </c>
      <c r="T163" s="1" t="str">
        <f t="shared" si="34"/>
        <v/>
      </c>
      <c r="U163" s="1">
        <f t="shared" si="35"/>
        <v>0</v>
      </c>
      <c r="V163" s="1">
        <f t="shared" si="36"/>
        <v>2958465</v>
      </c>
      <c r="W163" s="1">
        <f t="shared" si="37"/>
        <v>0</v>
      </c>
      <c r="X163" s="1">
        <f t="shared" si="38"/>
        <v>0</v>
      </c>
      <c r="Y163" s="1">
        <f t="shared" si="39"/>
        <v>97200</v>
      </c>
      <c r="Z163" s="1">
        <f t="shared" si="40"/>
        <v>1</v>
      </c>
      <c r="AA163" s="1">
        <f t="shared" si="41"/>
        <v>0</v>
      </c>
    </row>
    <row r="164" spans="1:27" ht="18" customHeight="1" x14ac:dyDescent="0.3">
      <c r="A164" s="2"/>
      <c r="B164" s="65" t="str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61"/>
      <c r="D164" s="66"/>
      <c r="E164" s="66"/>
      <c r="F164" s="60"/>
      <c r="G164" s="67"/>
      <c r="H164" s="60"/>
      <c r="I164" s="68">
        <f t="shared" ca="1" si="28"/>
        <v>0</v>
      </c>
      <c r="J164" s="68">
        <f t="shared" ca="1" si="29"/>
        <v>0</v>
      </c>
      <c r="K164" s="68">
        <f t="shared" ca="1" si="30"/>
        <v>0</v>
      </c>
      <c r="L164" s="68">
        <f t="shared" ca="1" si="31"/>
        <v>0</v>
      </c>
      <c r="M164" s="69">
        <f t="shared" si="32"/>
        <v>0</v>
      </c>
      <c r="N164" s="65" t="str">
        <f t="shared" si="33"/>
        <v/>
      </c>
      <c r="O164" s="70" t="str">
        <f>IF(OR($C164="",$D164="",$F164=""),"",IF($F164="Aylık",EOMONTH($D164,0),($D164+MOD(SISTEM!$F$8-WEEKDAY($D164,2),7))))</f>
        <v/>
      </c>
      <c r="P164" s="61"/>
      <c r="Q164" s="2"/>
      <c r="R164" s="2"/>
      <c r="S164" s="1" t="str">
        <f>IF($B164="","",$B164&amp;"|"&amp;COUNTIFS($B$7:$B164,$B164))</f>
        <v/>
      </c>
      <c r="T164" s="1" t="str">
        <f t="shared" si="34"/>
        <v/>
      </c>
      <c r="U164" s="1">
        <f t="shared" si="35"/>
        <v>0</v>
      </c>
      <c r="V164" s="1">
        <f t="shared" si="36"/>
        <v>2958465</v>
      </c>
      <c r="W164" s="1">
        <f t="shared" si="37"/>
        <v>0</v>
      </c>
      <c r="X164" s="1">
        <f t="shared" si="38"/>
        <v>0</v>
      </c>
      <c r="Y164" s="1">
        <f t="shared" si="39"/>
        <v>97200</v>
      </c>
      <c r="Z164" s="1">
        <f t="shared" si="40"/>
        <v>1</v>
      </c>
      <c r="AA164" s="1">
        <f t="shared" si="41"/>
        <v>0</v>
      </c>
    </row>
    <row r="165" spans="1:27" ht="18" customHeight="1" x14ac:dyDescent="0.3">
      <c r="A165" s="2"/>
      <c r="B165" s="65" t="str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61"/>
      <c r="D165" s="66"/>
      <c r="E165" s="66"/>
      <c r="F165" s="60"/>
      <c r="G165" s="67"/>
      <c r="H165" s="60"/>
      <c r="I165" s="68">
        <f t="shared" ca="1" si="28"/>
        <v>0</v>
      </c>
      <c r="J165" s="68">
        <f t="shared" ca="1" si="29"/>
        <v>0</v>
      </c>
      <c r="K165" s="68">
        <f t="shared" ca="1" si="30"/>
        <v>0</v>
      </c>
      <c r="L165" s="68">
        <f t="shared" ca="1" si="31"/>
        <v>0</v>
      </c>
      <c r="M165" s="69">
        <f t="shared" si="32"/>
        <v>0</v>
      </c>
      <c r="N165" s="65" t="str">
        <f t="shared" si="33"/>
        <v/>
      </c>
      <c r="O165" s="70" t="str">
        <f>IF(OR($C165="",$D165="",$F165=""),"",IF($F165="Aylık",EOMONTH($D165,0),($D165+MOD(SISTEM!$F$8-WEEKDAY($D165,2),7))))</f>
        <v/>
      </c>
      <c r="P165" s="61"/>
      <c r="Q165" s="2"/>
      <c r="R165" s="2"/>
      <c r="S165" s="1" t="str">
        <f>IF($B165="","",$B165&amp;"|"&amp;COUNTIFS($B$7:$B165,$B165))</f>
        <v/>
      </c>
      <c r="T165" s="1" t="str">
        <f t="shared" si="34"/>
        <v/>
      </c>
      <c r="U165" s="1">
        <f t="shared" si="35"/>
        <v>0</v>
      </c>
      <c r="V165" s="1">
        <f t="shared" si="36"/>
        <v>2958465</v>
      </c>
      <c r="W165" s="1">
        <f t="shared" si="37"/>
        <v>0</v>
      </c>
      <c r="X165" s="1">
        <f t="shared" si="38"/>
        <v>0</v>
      </c>
      <c r="Y165" s="1">
        <f t="shared" si="39"/>
        <v>97200</v>
      </c>
      <c r="Z165" s="1">
        <f t="shared" si="40"/>
        <v>1</v>
      </c>
      <c r="AA165" s="1">
        <f t="shared" si="41"/>
        <v>0</v>
      </c>
    </row>
    <row r="166" spans="1:27" ht="18" customHeight="1" x14ac:dyDescent="0.3">
      <c r="A166" s="2"/>
      <c r="B166" s="65" t="str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61"/>
      <c r="D166" s="66"/>
      <c r="E166" s="66"/>
      <c r="F166" s="60"/>
      <c r="G166" s="67"/>
      <c r="H166" s="60"/>
      <c r="I166" s="68">
        <f t="shared" ca="1" si="28"/>
        <v>0</v>
      </c>
      <c r="J166" s="68">
        <f t="shared" ca="1" si="29"/>
        <v>0</v>
      </c>
      <c r="K166" s="68">
        <f t="shared" ca="1" si="30"/>
        <v>0</v>
      </c>
      <c r="L166" s="68">
        <f t="shared" ca="1" si="31"/>
        <v>0</v>
      </c>
      <c r="M166" s="69">
        <f t="shared" si="32"/>
        <v>0</v>
      </c>
      <c r="N166" s="65" t="str">
        <f t="shared" si="33"/>
        <v/>
      </c>
      <c r="O166" s="70" t="str">
        <f>IF(OR($C166="",$D166="",$F166=""),"",IF($F166="Aylık",EOMONTH($D166,0),($D166+MOD(SISTEM!$F$8-WEEKDAY($D166,2),7))))</f>
        <v/>
      </c>
      <c r="P166" s="61"/>
      <c r="Q166" s="2"/>
      <c r="R166" s="2"/>
      <c r="S166" s="1" t="str">
        <f>IF($B166="","",$B166&amp;"|"&amp;COUNTIFS($B$7:$B166,$B166))</f>
        <v/>
      </c>
      <c r="T166" s="1" t="str">
        <f t="shared" si="34"/>
        <v/>
      </c>
      <c r="U166" s="1">
        <f t="shared" si="35"/>
        <v>0</v>
      </c>
      <c r="V166" s="1">
        <f t="shared" si="36"/>
        <v>2958465</v>
      </c>
      <c r="W166" s="1">
        <f t="shared" si="37"/>
        <v>0</v>
      </c>
      <c r="X166" s="1">
        <f t="shared" si="38"/>
        <v>0</v>
      </c>
      <c r="Y166" s="1">
        <f t="shared" si="39"/>
        <v>97200</v>
      </c>
      <c r="Z166" s="1">
        <f t="shared" si="40"/>
        <v>1</v>
      </c>
      <c r="AA166" s="1">
        <f t="shared" si="41"/>
        <v>0</v>
      </c>
    </row>
    <row r="167" spans="1:27" ht="18" customHeight="1" x14ac:dyDescent="0.3">
      <c r="A167" s="2"/>
      <c r="B167" s="65" t="str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61"/>
      <c r="D167" s="66"/>
      <c r="E167" s="66"/>
      <c r="F167" s="60"/>
      <c r="G167" s="67"/>
      <c r="H167" s="60"/>
      <c r="I167" s="68">
        <f t="shared" ca="1" si="28"/>
        <v>0</v>
      </c>
      <c r="J167" s="68">
        <f t="shared" ca="1" si="29"/>
        <v>0</v>
      </c>
      <c r="K167" s="68">
        <f t="shared" ca="1" si="30"/>
        <v>0</v>
      </c>
      <c r="L167" s="68">
        <f t="shared" ca="1" si="31"/>
        <v>0</v>
      </c>
      <c r="M167" s="69">
        <f t="shared" si="32"/>
        <v>0</v>
      </c>
      <c r="N167" s="65" t="str">
        <f t="shared" si="33"/>
        <v/>
      </c>
      <c r="O167" s="70" t="str">
        <f>IF(OR($C167="",$D167="",$F167=""),"",IF($F167="Aylık",EOMONTH($D167,0),($D167+MOD(SISTEM!$F$8-WEEKDAY($D167,2),7))))</f>
        <v/>
      </c>
      <c r="P167" s="61"/>
      <c r="Q167" s="2"/>
      <c r="R167" s="2"/>
      <c r="S167" s="1" t="str">
        <f>IF($B167="","",$B167&amp;"|"&amp;COUNTIFS($B$7:$B167,$B167))</f>
        <v/>
      </c>
      <c r="T167" s="1" t="str">
        <f t="shared" si="34"/>
        <v/>
      </c>
      <c r="U167" s="1">
        <f t="shared" si="35"/>
        <v>0</v>
      </c>
      <c r="V167" s="1">
        <f t="shared" si="36"/>
        <v>2958465</v>
      </c>
      <c r="W167" s="1">
        <f t="shared" si="37"/>
        <v>0</v>
      </c>
      <c r="X167" s="1">
        <f t="shared" si="38"/>
        <v>0</v>
      </c>
      <c r="Y167" s="1">
        <f t="shared" si="39"/>
        <v>97200</v>
      </c>
      <c r="Z167" s="1">
        <f t="shared" si="40"/>
        <v>1</v>
      </c>
      <c r="AA167" s="1">
        <f t="shared" si="41"/>
        <v>0</v>
      </c>
    </row>
    <row r="168" spans="1:27" ht="18" customHeight="1" x14ac:dyDescent="0.3">
      <c r="A168" s="2"/>
      <c r="B168" s="65" t="str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61"/>
      <c r="D168" s="66"/>
      <c r="E168" s="66"/>
      <c r="F168" s="60"/>
      <c r="G168" s="67"/>
      <c r="H168" s="60"/>
      <c r="I168" s="68">
        <f t="shared" ca="1" si="28"/>
        <v>0</v>
      </c>
      <c r="J168" s="68">
        <f t="shared" ca="1" si="29"/>
        <v>0</v>
      </c>
      <c r="K168" s="68">
        <f t="shared" ca="1" si="30"/>
        <v>0</v>
      </c>
      <c r="L168" s="68">
        <f t="shared" ca="1" si="31"/>
        <v>0</v>
      </c>
      <c r="M168" s="69">
        <f t="shared" si="32"/>
        <v>0</v>
      </c>
      <c r="N168" s="65" t="str">
        <f t="shared" si="33"/>
        <v/>
      </c>
      <c r="O168" s="70" t="str">
        <f>IF(OR($C168="",$D168="",$F168=""),"",IF($F168="Aylık",EOMONTH($D168,0),($D168+MOD(SISTEM!$F$8-WEEKDAY($D168,2),7))))</f>
        <v/>
      </c>
      <c r="P168" s="61"/>
      <c r="Q168" s="2"/>
      <c r="R168" s="2"/>
      <c r="S168" s="1" t="str">
        <f>IF($B168="","",$B168&amp;"|"&amp;COUNTIFS($B$7:$B168,$B168))</f>
        <v/>
      </c>
      <c r="T168" s="1" t="str">
        <f t="shared" si="34"/>
        <v/>
      </c>
      <c r="U168" s="1">
        <f t="shared" si="35"/>
        <v>0</v>
      </c>
      <c r="V168" s="1">
        <f t="shared" si="36"/>
        <v>2958465</v>
      </c>
      <c r="W168" s="1">
        <f t="shared" si="37"/>
        <v>0</v>
      </c>
      <c r="X168" s="1">
        <f t="shared" si="38"/>
        <v>0</v>
      </c>
      <c r="Y168" s="1">
        <f t="shared" si="39"/>
        <v>97200</v>
      </c>
      <c r="Z168" s="1">
        <f t="shared" si="40"/>
        <v>1</v>
      </c>
      <c r="AA168" s="1">
        <f t="shared" si="41"/>
        <v>0</v>
      </c>
    </row>
    <row r="169" spans="1:27" ht="18" customHeight="1" x14ac:dyDescent="0.3">
      <c r="A169" s="2"/>
      <c r="B169" s="65" t="str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61"/>
      <c r="D169" s="66"/>
      <c r="E169" s="66"/>
      <c r="F169" s="60"/>
      <c r="G169" s="67"/>
      <c r="H169" s="60"/>
      <c r="I169" s="68">
        <f t="shared" ca="1" si="28"/>
        <v>0</v>
      </c>
      <c r="J169" s="68">
        <f t="shared" ca="1" si="29"/>
        <v>0</v>
      </c>
      <c r="K169" s="68">
        <f t="shared" ca="1" si="30"/>
        <v>0</v>
      </c>
      <c r="L169" s="68">
        <f t="shared" ca="1" si="31"/>
        <v>0</v>
      </c>
      <c r="M169" s="69">
        <f t="shared" si="32"/>
        <v>0</v>
      </c>
      <c r="N169" s="65" t="str">
        <f t="shared" si="33"/>
        <v/>
      </c>
      <c r="O169" s="70" t="str">
        <f>IF(OR($C169="",$D169="",$F169=""),"",IF($F169="Aylık",EOMONTH($D169,0),($D169+MOD(SISTEM!$F$8-WEEKDAY($D169,2),7))))</f>
        <v/>
      </c>
      <c r="P169" s="61"/>
      <c r="Q169" s="2"/>
      <c r="R169" s="2"/>
      <c r="S169" s="1" t="str">
        <f>IF($B169="","",$B169&amp;"|"&amp;COUNTIFS($B$7:$B169,$B169))</f>
        <v/>
      </c>
      <c r="T169" s="1" t="str">
        <f t="shared" si="34"/>
        <v/>
      </c>
      <c r="U169" s="1">
        <f t="shared" si="35"/>
        <v>0</v>
      </c>
      <c r="V169" s="1">
        <f t="shared" si="36"/>
        <v>2958465</v>
      </c>
      <c r="W169" s="1">
        <f t="shared" si="37"/>
        <v>0</v>
      </c>
      <c r="X169" s="1">
        <f t="shared" si="38"/>
        <v>0</v>
      </c>
      <c r="Y169" s="1">
        <f t="shared" si="39"/>
        <v>97200</v>
      </c>
      <c r="Z169" s="1">
        <f t="shared" si="40"/>
        <v>1</v>
      </c>
      <c r="AA169" s="1">
        <f t="shared" si="41"/>
        <v>0</v>
      </c>
    </row>
    <row r="170" spans="1:27" ht="18" customHeight="1" x14ac:dyDescent="0.3">
      <c r="A170" s="2"/>
      <c r="B170" s="65" t="str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61"/>
      <c r="D170" s="66"/>
      <c r="E170" s="66"/>
      <c r="F170" s="60"/>
      <c r="G170" s="67"/>
      <c r="H170" s="60"/>
      <c r="I170" s="68">
        <f t="shared" ca="1" si="28"/>
        <v>0</v>
      </c>
      <c r="J170" s="68">
        <f t="shared" ca="1" si="29"/>
        <v>0</v>
      </c>
      <c r="K170" s="68">
        <f t="shared" ca="1" si="30"/>
        <v>0</v>
      </c>
      <c r="L170" s="68">
        <f t="shared" ca="1" si="31"/>
        <v>0</v>
      </c>
      <c r="M170" s="69">
        <f t="shared" si="32"/>
        <v>0</v>
      </c>
      <c r="N170" s="65" t="str">
        <f t="shared" si="33"/>
        <v/>
      </c>
      <c r="O170" s="70" t="str">
        <f>IF(OR($C170="",$D170="",$F170=""),"",IF($F170="Aylık",EOMONTH($D170,0),($D170+MOD(SISTEM!$F$8-WEEKDAY($D170,2),7))))</f>
        <v/>
      </c>
      <c r="P170" s="61"/>
      <c r="Q170" s="2"/>
      <c r="R170" s="2"/>
      <c r="S170" s="1" t="str">
        <f>IF($B170="","",$B170&amp;"|"&amp;COUNTIFS($B$7:$B170,$B170))</f>
        <v/>
      </c>
      <c r="T170" s="1" t="str">
        <f t="shared" si="34"/>
        <v/>
      </c>
      <c r="U170" s="1">
        <f t="shared" si="35"/>
        <v>0</v>
      </c>
      <c r="V170" s="1">
        <f t="shared" si="36"/>
        <v>2958465</v>
      </c>
      <c r="W170" s="1">
        <f t="shared" si="37"/>
        <v>0</v>
      </c>
      <c r="X170" s="1">
        <f t="shared" si="38"/>
        <v>0</v>
      </c>
      <c r="Y170" s="1">
        <f t="shared" si="39"/>
        <v>97200</v>
      </c>
      <c r="Z170" s="1">
        <f t="shared" si="40"/>
        <v>1</v>
      </c>
      <c r="AA170" s="1">
        <f t="shared" si="41"/>
        <v>0</v>
      </c>
    </row>
    <row r="171" spans="1:27" ht="18" customHeight="1" x14ac:dyDescent="0.3">
      <c r="A171" s="2"/>
      <c r="B171" s="65" t="str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61"/>
      <c r="D171" s="66"/>
      <c r="E171" s="66"/>
      <c r="F171" s="60"/>
      <c r="G171" s="67"/>
      <c r="H171" s="60"/>
      <c r="I171" s="68">
        <f t="shared" ca="1" si="28"/>
        <v>0</v>
      </c>
      <c r="J171" s="68">
        <f t="shared" ca="1" si="29"/>
        <v>0</v>
      </c>
      <c r="K171" s="68">
        <f t="shared" ca="1" si="30"/>
        <v>0</v>
      </c>
      <c r="L171" s="68">
        <f t="shared" ca="1" si="31"/>
        <v>0</v>
      </c>
      <c r="M171" s="69">
        <f t="shared" si="32"/>
        <v>0</v>
      </c>
      <c r="N171" s="65" t="str">
        <f t="shared" si="33"/>
        <v/>
      </c>
      <c r="O171" s="70" t="str">
        <f>IF(OR($C171="",$D171="",$F171=""),"",IF($F171="Aylık",EOMONTH($D171,0),($D171+MOD(SISTEM!$F$8-WEEKDAY($D171,2),7))))</f>
        <v/>
      </c>
      <c r="P171" s="61"/>
      <c r="Q171" s="2"/>
      <c r="R171" s="2"/>
      <c r="S171" s="1" t="str">
        <f>IF($B171="","",$B171&amp;"|"&amp;COUNTIFS($B$7:$B171,$B171))</f>
        <v/>
      </c>
      <c r="T171" s="1" t="str">
        <f t="shared" si="34"/>
        <v/>
      </c>
      <c r="U171" s="1">
        <f t="shared" si="35"/>
        <v>0</v>
      </c>
      <c r="V171" s="1">
        <f t="shared" si="36"/>
        <v>2958465</v>
      </c>
      <c r="W171" s="1">
        <f t="shared" si="37"/>
        <v>0</v>
      </c>
      <c r="X171" s="1">
        <f t="shared" si="38"/>
        <v>0</v>
      </c>
      <c r="Y171" s="1">
        <f t="shared" si="39"/>
        <v>97200</v>
      </c>
      <c r="Z171" s="1">
        <f t="shared" si="40"/>
        <v>1</v>
      </c>
      <c r="AA171" s="1">
        <f t="shared" si="41"/>
        <v>0</v>
      </c>
    </row>
    <row r="172" spans="1:27" ht="18" customHeight="1" x14ac:dyDescent="0.3">
      <c r="A172" s="2"/>
      <c r="B172" s="65" t="str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61"/>
      <c r="D172" s="66"/>
      <c r="E172" s="66"/>
      <c r="F172" s="60"/>
      <c r="G172" s="67"/>
      <c r="H172" s="60"/>
      <c r="I172" s="68">
        <f t="shared" ca="1" si="28"/>
        <v>0</v>
      </c>
      <c r="J172" s="68">
        <f t="shared" ca="1" si="29"/>
        <v>0</v>
      </c>
      <c r="K172" s="68">
        <f t="shared" ca="1" si="30"/>
        <v>0</v>
      </c>
      <c r="L172" s="68">
        <f t="shared" ca="1" si="31"/>
        <v>0</v>
      </c>
      <c r="M172" s="69">
        <f t="shared" si="32"/>
        <v>0</v>
      </c>
      <c r="N172" s="65" t="str">
        <f t="shared" si="33"/>
        <v/>
      </c>
      <c r="O172" s="70" t="str">
        <f>IF(OR($C172="",$D172="",$F172=""),"",IF($F172="Aylık",EOMONTH($D172,0),($D172+MOD(SISTEM!$F$8-WEEKDAY($D172,2),7))))</f>
        <v/>
      </c>
      <c r="P172" s="61"/>
      <c r="Q172" s="2"/>
      <c r="R172" s="2"/>
      <c r="S172" s="1" t="str">
        <f>IF($B172="","",$B172&amp;"|"&amp;COUNTIFS($B$7:$B172,$B172))</f>
        <v/>
      </c>
      <c r="T172" s="1" t="str">
        <f t="shared" si="34"/>
        <v/>
      </c>
      <c r="U172" s="1">
        <f t="shared" si="35"/>
        <v>0</v>
      </c>
      <c r="V172" s="1">
        <f t="shared" si="36"/>
        <v>2958465</v>
      </c>
      <c r="W172" s="1">
        <f t="shared" si="37"/>
        <v>0</v>
      </c>
      <c r="X172" s="1">
        <f t="shared" si="38"/>
        <v>0</v>
      </c>
      <c r="Y172" s="1">
        <f t="shared" si="39"/>
        <v>97200</v>
      </c>
      <c r="Z172" s="1">
        <f t="shared" si="40"/>
        <v>1</v>
      </c>
      <c r="AA172" s="1">
        <f t="shared" si="41"/>
        <v>0</v>
      </c>
    </row>
    <row r="173" spans="1:27" ht="18" customHeight="1" x14ac:dyDescent="0.3">
      <c r="A173" s="2"/>
      <c r="B173" s="65" t="str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61"/>
      <c r="D173" s="66"/>
      <c r="E173" s="66"/>
      <c r="F173" s="60"/>
      <c r="G173" s="67"/>
      <c r="H173" s="60"/>
      <c r="I173" s="68">
        <f t="shared" ca="1" si="28"/>
        <v>0</v>
      </c>
      <c r="J173" s="68">
        <f t="shared" ca="1" si="29"/>
        <v>0</v>
      </c>
      <c r="K173" s="68">
        <f t="shared" ca="1" si="30"/>
        <v>0</v>
      </c>
      <c r="L173" s="68">
        <f t="shared" ca="1" si="31"/>
        <v>0</v>
      </c>
      <c r="M173" s="69">
        <f t="shared" si="32"/>
        <v>0</v>
      </c>
      <c r="N173" s="65" t="str">
        <f t="shared" si="33"/>
        <v/>
      </c>
      <c r="O173" s="70" t="str">
        <f>IF(OR($C173="",$D173="",$F173=""),"",IF($F173="Aylık",EOMONTH($D173,0),($D173+MOD(SISTEM!$F$8-WEEKDAY($D173,2),7))))</f>
        <v/>
      </c>
      <c r="P173" s="61"/>
      <c r="Q173" s="2"/>
      <c r="R173" s="2"/>
      <c r="S173" s="1" t="str">
        <f>IF($B173="","",$B173&amp;"|"&amp;COUNTIFS($B$7:$B173,$B173))</f>
        <v/>
      </c>
      <c r="T173" s="1" t="str">
        <f t="shared" si="34"/>
        <v/>
      </c>
      <c r="U173" s="1">
        <f t="shared" si="35"/>
        <v>0</v>
      </c>
      <c r="V173" s="1">
        <f t="shared" si="36"/>
        <v>2958465</v>
      </c>
      <c r="W173" s="1">
        <f t="shared" si="37"/>
        <v>0</v>
      </c>
      <c r="X173" s="1">
        <f t="shared" si="38"/>
        <v>0</v>
      </c>
      <c r="Y173" s="1">
        <f t="shared" si="39"/>
        <v>97200</v>
      </c>
      <c r="Z173" s="1">
        <f t="shared" si="40"/>
        <v>1</v>
      </c>
      <c r="AA173" s="1">
        <f t="shared" si="41"/>
        <v>0</v>
      </c>
    </row>
    <row r="174" spans="1:27" ht="18" customHeight="1" x14ac:dyDescent="0.3">
      <c r="A174" s="2"/>
      <c r="B174" s="65" t="str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61"/>
      <c r="D174" s="66"/>
      <c r="E174" s="66"/>
      <c r="F174" s="60"/>
      <c r="G174" s="67"/>
      <c r="H174" s="60"/>
      <c r="I174" s="68">
        <f t="shared" ca="1" si="28"/>
        <v>0</v>
      </c>
      <c r="J174" s="68">
        <f t="shared" ca="1" si="29"/>
        <v>0</v>
      </c>
      <c r="K174" s="68">
        <f t="shared" ca="1" si="30"/>
        <v>0</v>
      </c>
      <c r="L174" s="68">
        <f t="shared" ca="1" si="31"/>
        <v>0</v>
      </c>
      <c r="M174" s="69">
        <f t="shared" si="32"/>
        <v>0</v>
      </c>
      <c r="N174" s="65" t="str">
        <f t="shared" si="33"/>
        <v/>
      </c>
      <c r="O174" s="70" t="str">
        <f>IF(OR($C174="",$D174="",$F174=""),"",IF($F174="Aylık",EOMONTH($D174,0),($D174+MOD(SISTEM!$F$8-WEEKDAY($D174,2),7))))</f>
        <v/>
      </c>
      <c r="P174" s="61"/>
      <c r="Q174" s="2"/>
      <c r="R174" s="2"/>
      <c r="S174" s="1" t="str">
        <f>IF($B174="","",$B174&amp;"|"&amp;COUNTIFS($B$7:$B174,$B174))</f>
        <v/>
      </c>
      <c r="T174" s="1" t="str">
        <f t="shared" si="34"/>
        <v/>
      </c>
      <c r="U174" s="1">
        <f t="shared" si="35"/>
        <v>0</v>
      </c>
      <c r="V174" s="1">
        <f t="shared" si="36"/>
        <v>2958465</v>
      </c>
      <c r="W174" s="1">
        <f t="shared" si="37"/>
        <v>0</v>
      </c>
      <c r="X174" s="1">
        <f t="shared" si="38"/>
        <v>0</v>
      </c>
      <c r="Y174" s="1">
        <f t="shared" si="39"/>
        <v>97200</v>
      </c>
      <c r="Z174" s="1">
        <f t="shared" si="40"/>
        <v>1</v>
      </c>
      <c r="AA174" s="1">
        <f t="shared" si="41"/>
        <v>0</v>
      </c>
    </row>
    <row r="175" spans="1:27" ht="18" customHeight="1" x14ac:dyDescent="0.3">
      <c r="A175" s="2"/>
      <c r="B175" s="65" t="str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61"/>
      <c r="D175" s="66"/>
      <c r="E175" s="66"/>
      <c r="F175" s="60"/>
      <c r="G175" s="67"/>
      <c r="H175" s="60"/>
      <c r="I175" s="68">
        <f t="shared" ca="1" si="28"/>
        <v>0</v>
      </c>
      <c r="J175" s="68">
        <f t="shared" ca="1" si="29"/>
        <v>0</v>
      </c>
      <c r="K175" s="68">
        <f t="shared" ca="1" si="30"/>
        <v>0</v>
      </c>
      <c r="L175" s="68">
        <f t="shared" ca="1" si="31"/>
        <v>0</v>
      </c>
      <c r="M175" s="69">
        <f t="shared" si="32"/>
        <v>0</v>
      </c>
      <c r="N175" s="65" t="str">
        <f t="shared" si="33"/>
        <v/>
      </c>
      <c r="O175" s="70" t="str">
        <f>IF(OR($C175="",$D175="",$F175=""),"",IF($F175="Aylık",EOMONTH($D175,0),($D175+MOD(SISTEM!$F$8-WEEKDAY($D175,2),7))))</f>
        <v/>
      </c>
      <c r="P175" s="61"/>
      <c r="Q175" s="2"/>
      <c r="R175" s="2"/>
      <c r="S175" s="1" t="str">
        <f>IF($B175="","",$B175&amp;"|"&amp;COUNTIFS($B$7:$B175,$B175))</f>
        <v/>
      </c>
      <c r="T175" s="1" t="str">
        <f t="shared" si="34"/>
        <v/>
      </c>
      <c r="U175" s="1">
        <f t="shared" si="35"/>
        <v>0</v>
      </c>
      <c r="V175" s="1">
        <f t="shared" si="36"/>
        <v>2958465</v>
      </c>
      <c r="W175" s="1">
        <f t="shared" si="37"/>
        <v>0</v>
      </c>
      <c r="X175" s="1">
        <f t="shared" si="38"/>
        <v>0</v>
      </c>
      <c r="Y175" s="1">
        <f t="shared" si="39"/>
        <v>97200</v>
      </c>
      <c r="Z175" s="1">
        <f t="shared" si="40"/>
        <v>1</v>
      </c>
      <c r="AA175" s="1">
        <f t="shared" si="41"/>
        <v>0</v>
      </c>
    </row>
    <row r="176" spans="1:27" ht="18" customHeight="1" x14ac:dyDescent="0.3">
      <c r="A176" s="2"/>
      <c r="B176" s="65" t="str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61"/>
      <c r="D176" s="66"/>
      <c r="E176" s="66"/>
      <c r="F176" s="60"/>
      <c r="G176" s="67"/>
      <c r="H176" s="60"/>
      <c r="I176" s="68">
        <f t="shared" ca="1" si="28"/>
        <v>0</v>
      </c>
      <c r="J176" s="68">
        <f t="shared" ca="1" si="29"/>
        <v>0</v>
      </c>
      <c r="K176" s="68">
        <f t="shared" ca="1" si="30"/>
        <v>0</v>
      </c>
      <c r="L176" s="68">
        <f t="shared" ca="1" si="31"/>
        <v>0</v>
      </c>
      <c r="M176" s="69">
        <f t="shared" si="32"/>
        <v>0</v>
      </c>
      <c r="N176" s="65" t="str">
        <f t="shared" si="33"/>
        <v/>
      </c>
      <c r="O176" s="70" t="str">
        <f>IF(OR($C176="",$D176="",$F176=""),"",IF($F176="Aylık",EOMONTH($D176,0),($D176+MOD(SISTEM!$F$8-WEEKDAY($D176,2),7))))</f>
        <v/>
      </c>
      <c r="P176" s="61"/>
      <c r="Q176" s="2"/>
      <c r="R176" s="2"/>
      <c r="S176" s="1" t="str">
        <f>IF($B176="","",$B176&amp;"|"&amp;COUNTIFS($B$7:$B176,$B176))</f>
        <v/>
      </c>
      <c r="T176" s="1" t="str">
        <f t="shared" si="34"/>
        <v/>
      </c>
      <c r="U176" s="1">
        <f t="shared" si="35"/>
        <v>0</v>
      </c>
      <c r="V176" s="1">
        <f t="shared" si="36"/>
        <v>2958465</v>
      </c>
      <c r="W176" s="1">
        <f t="shared" si="37"/>
        <v>0</v>
      </c>
      <c r="X176" s="1">
        <f t="shared" si="38"/>
        <v>0</v>
      </c>
      <c r="Y176" s="1">
        <f t="shared" si="39"/>
        <v>97200</v>
      </c>
      <c r="Z176" s="1">
        <f t="shared" si="40"/>
        <v>1</v>
      </c>
      <c r="AA176" s="1">
        <f t="shared" si="41"/>
        <v>0</v>
      </c>
    </row>
    <row r="177" spans="1:27" ht="18" customHeight="1" x14ac:dyDescent="0.3">
      <c r="A177" s="2"/>
      <c r="B177" s="65" t="str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61"/>
      <c r="D177" s="66"/>
      <c r="E177" s="66"/>
      <c r="F177" s="60"/>
      <c r="G177" s="67"/>
      <c r="H177" s="60"/>
      <c r="I177" s="68">
        <f t="shared" ca="1" si="28"/>
        <v>0</v>
      </c>
      <c r="J177" s="68">
        <f t="shared" ca="1" si="29"/>
        <v>0</v>
      </c>
      <c r="K177" s="68">
        <f t="shared" ca="1" si="30"/>
        <v>0</v>
      </c>
      <c r="L177" s="68">
        <f t="shared" ca="1" si="31"/>
        <v>0</v>
      </c>
      <c r="M177" s="69">
        <f t="shared" si="32"/>
        <v>0</v>
      </c>
      <c r="N177" s="65" t="str">
        <f t="shared" si="33"/>
        <v/>
      </c>
      <c r="O177" s="70" t="str">
        <f>IF(OR($C177="",$D177="",$F177=""),"",IF($F177="Aylık",EOMONTH($D177,0),($D177+MOD(SISTEM!$F$8-WEEKDAY($D177,2),7))))</f>
        <v/>
      </c>
      <c r="P177" s="61"/>
      <c r="Q177" s="2"/>
      <c r="R177" s="2"/>
      <c r="S177" s="1" t="str">
        <f>IF($B177="","",$B177&amp;"|"&amp;COUNTIFS($B$7:$B177,$B177))</f>
        <v/>
      </c>
      <c r="T177" s="1" t="str">
        <f t="shared" si="34"/>
        <v/>
      </c>
      <c r="U177" s="1">
        <f t="shared" si="35"/>
        <v>0</v>
      </c>
      <c r="V177" s="1">
        <f t="shared" si="36"/>
        <v>2958465</v>
      </c>
      <c r="W177" s="1">
        <f t="shared" si="37"/>
        <v>0</v>
      </c>
      <c r="X177" s="1">
        <f t="shared" si="38"/>
        <v>0</v>
      </c>
      <c r="Y177" s="1">
        <f t="shared" si="39"/>
        <v>97200</v>
      </c>
      <c r="Z177" s="1">
        <f t="shared" si="40"/>
        <v>1</v>
      </c>
      <c r="AA177" s="1">
        <f t="shared" si="41"/>
        <v>0</v>
      </c>
    </row>
    <row r="178" spans="1:27" ht="18" customHeight="1" x14ac:dyDescent="0.3">
      <c r="A178" s="2"/>
      <c r="B178" s="65" t="str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61"/>
      <c r="D178" s="66"/>
      <c r="E178" s="66"/>
      <c r="F178" s="60"/>
      <c r="G178" s="67"/>
      <c r="H178" s="60"/>
      <c r="I178" s="68">
        <f t="shared" ca="1" si="28"/>
        <v>0</v>
      </c>
      <c r="J178" s="68">
        <f t="shared" ca="1" si="29"/>
        <v>0</v>
      </c>
      <c r="K178" s="68">
        <f t="shared" ca="1" si="30"/>
        <v>0</v>
      </c>
      <c r="L178" s="68">
        <f t="shared" ca="1" si="31"/>
        <v>0</v>
      </c>
      <c r="M178" s="69">
        <f t="shared" si="32"/>
        <v>0</v>
      </c>
      <c r="N178" s="65" t="str">
        <f t="shared" si="33"/>
        <v/>
      </c>
      <c r="O178" s="70" t="str">
        <f>IF(OR($C178="",$D178="",$F178=""),"",IF($F178="Aylık",EOMONTH($D178,0),($D178+MOD(SISTEM!$F$8-WEEKDAY($D178,2),7))))</f>
        <v/>
      </c>
      <c r="P178" s="61"/>
      <c r="Q178" s="2"/>
      <c r="R178" s="2"/>
      <c r="S178" s="1" t="str">
        <f>IF($B178="","",$B178&amp;"|"&amp;COUNTIFS($B$7:$B178,$B178))</f>
        <v/>
      </c>
      <c r="T178" s="1" t="str">
        <f t="shared" si="34"/>
        <v/>
      </c>
      <c r="U178" s="1">
        <f t="shared" si="35"/>
        <v>0</v>
      </c>
      <c r="V178" s="1">
        <f t="shared" si="36"/>
        <v>2958465</v>
      </c>
      <c r="W178" s="1">
        <f t="shared" si="37"/>
        <v>0</v>
      </c>
      <c r="X178" s="1">
        <f t="shared" si="38"/>
        <v>0</v>
      </c>
      <c r="Y178" s="1">
        <f t="shared" si="39"/>
        <v>97200</v>
      </c>
      <c r="Z178" s="1">
        <f t="shared" si="40"/>
        <v>1</v>
      </c>
      <c r="AA178" s="1">
        <f t="shared" si="41"/>
        <v>0</v>
      </c>
    </row>
    <row r="179" spans="1:27" ht="18" customHeight="1" x14ac:dyDescent="0.3">
      <c r="A179" s="2"/>
      <c r="B179" s="65" t="str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61"/>
      <c r="D179" s="66"/>
      <c r="E179" s="66"/>
      <c r="F179" s="60"/>
      <c r="G179" s="67"/>
      <c r="H179" s="60"/>
      <c r="I179" s="68">
        <f t="shared" ca="1" si="28"/>
        <v>0</v>
      </c>
      <c r="J179" s="68">
        <f t="shared" ca="1" si="29"/>
        <v>0</v>
      </c>
      <c r="K179" s="68">
        <f t="shared" ca="1" si="30"/>
        <v>0</v>
      </c>
      <c r="L179" s="68">
        <f t="shared" ca="1" si="31"/>
        <v>0</v>
      </c>
      <c r="M179" s="69">
        <f t="shared" si="32"/>
        <v>0</v>
      </c>
      <c r="N179" s="65" t="str">
        <f t="shared" si="33"/>
        <v/>
      </c>
      <c r="O179" s="70" t="str">
        <f>IF(OR($C179="",$D179="",$F179=""),"",IF($F179="Aylık",EOMONTH($D179,0),($D179+MOD(SISTEM!$F$8-WEEKDAY($D179,2),7))))</f>
        <v/>
      </c>
      <c r="P179" s="61"/>
      <c r="Q179" s="2"/>
      <c r="R179" s="2"/>
      <c r="S179" s="1" t="str">
        <f>IF($B179="","",$B179&amp;"|"&amp;COUNTIFS($B$7:$B179,$B179))</f>
        <v/>
      </c>
      <c r="T179" s="1" t="str">
        <f t="shared" si="34"/>
        <v/>
      </c>
      <c r="U179" s="1">
        <f t="shared" si="35"/>
        <v>0</v>
      </c>
      <c r="V179" s="1">
        <f t="shared" si="36"/>
        <v>2958465</v>
      </c>
      <c r="W179" s="1">
        <f t="shared" si="37"/>
        <v>0</v>
      </c>
      <c r="X179" s="1">
        <f t="shared" si="38"/>
        <v>0</v>
      </c>
      <c r="Y179" s="1">
        <f t="shared" si="39"/>
        <v>97200</v>
      </c>
      <c r="Z179" s="1">
        <f t="shared" si="40"/>
        <v>1</v>
      </c>
      <c r="AA179" s="1">
        <f t="shared" si="41"/>
        <v>0</v>
      </c>
    </row>
    <row r="180" spans="1:27" ht="18" customHeight="1" x14ac:dyDescent="0.3">
      <c r="A180" s="2"/>
      <c r="B180" s="65" t="str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61"/>
      <c r="D180" s="66"/>
      <c r="E180" s="66"/>
      <c r="F180" s="60"/>
      <c r="G180" s="67"/>
      <c r="H180" s="60"/>
      <c r="I180" s="68">
        <f t="shared" ca="1" si="28"/>
        <v>0</v>
      </c>
      <c r="J180" s="68">
        <f t="shared" ca="1" si="29"/>
        <v>0</v>
      </c>
      <c r="K180" s="68">
        <f t="shared" ca="1" si="30"/>
        <v>0</v>
      </c>
      <c r="L180" s="68">
        <f t="shared" ca="1" si="31"/>
        <v>0</v>
      </c>
      <c r="M180" s="69">
        <f t="shared" si="32"/>
        <v>0</v>
      </c>
      <c r="N180" s="65" t="str">
        <f t="shared" si="33"/>
        <v/>
      </c>
      <c r="O180" s="70" t="str">
        <f>IF(OR($C180="",$D180="",$F180=""),"",IF($F180="Aylık",EOMONTH($D180,0),($D180+MOD(SISTEM!$F$8-WEEKDAY($D180,2),7))))</f>
        <v/>
      </c>
      <c r="P180" s="61"/>
      <c r="Q180" s="2"/>
      <c r="R180" s="2"/>
      <c r="S180" s="1" t="str">
        <f>IF($B180="","",$B180&amp;"|"&amp;COUNTIFS($B$7:$B180,$B180))</f>
        <v/>
      </c>
      <c r="T180" s="1" t="str">
        <f t="shared" si="34"/>
        <v/>
      </c>
      <c r="U180" s="1">
        <f t="shared" si="35"/>
        <v>0</v>
      </c>
      <c r="V180" s="1">
        <f t="shared" si="36"/>
        <v>2958465</v>
      </c>
      <c r="W180" s="1">
        <f t="shared" si="37"/>
        <v>0</v>
      </c>
      <c r="X180" s="1">
        <f t="shared" si="38"/>
        <v>0</v>
      </c>
      <c r="Y180" s="1">
        <f t="shared" si="39"/>
        <v>97200</v>
      </c>
      <c r="Z180" s="1">
        <f t="shared" si="40"/>
        <v>1</v>
      </c>
      <c r="AA180" s="1">
        <f t="shared" si="41"/>
        <v>0</v>
      </c>
    </row>
    <row r="181" spans="1:27" ht="18" customHeight="1" x14ac:dyDescent="0.3">
      <c r="A181" s="2"/>
      <c r="B181" s="65" t="str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61"/>
      <c r="D181" s="66"/>
      <c r="E181" s="66"/>
      <c r="F181" s="60"/>
      <c r="G181" s="67"/>
      <c r="H181" s="60"/>
      <c r="I181" s="68">
        <f t="shared" ca="1" si="28"/>
        <v>0</v>
      </c>
      <c r="J181" s="68">
        <f t="shared" ca="1" si="29"/>
        <v>0</v>
      </c>
      <c r="K181" s="68">
        <f t="shared" ca="1" si="30"/>
        <v>0</v>
      </c>
      <c r="L181" s="68">
        <f t="shared" ca="1" si="31"/>
        <v>0</v>
      </c>
      <c r="M181" s="69">
        <f t="shared" si="32"/>
        <v>0</v>
      </c>
      <c r="N181" s="65" t="str">
        <f t="shared" si="33"/>
        <v/>
      </c>
      <c r="O181" s="70" t="str">
        <f>IF(OR($C181="",$D181="",$F181=""),"",IF($F181="Aylık",EOMONTH($D181,0),($D181+MOD(SISTEM!$F$8-WEEKDAY($D181,2),7))))</f>
        <v/>
      </c>
      <c r="P181" s="61"/>
      <c r="Q181" s="2"/>
      <c r="R181" s="2"/>
      <c r="S181" s="1" t="str">
        <f>IF($B181="","",$B181&amp;"|"&amp;COUNTIFS($B$7:$B181,$B181))</f>
        <v/>
      </c>
      <c r="T181" s="1" t="str">
        <f t="shared" si="34"/>
        <v/>
      </c>
      <c r="U181" s="1">
        <f t="shared" si="35"/>
        <v>0</v>
      </c>
      <c r="V181" s="1">
        <f t="shared" si="36"/>
        <v>2958465</v>
      </c>
      <c r="W181" s="1">
        <f t="shared" si="37"/>
        <v>0</v>
      </c>
      <c r="X181" s="1">
        <f t="shared" si="38"/>
        <v>0</v>
      </c>
      <c r="Y181" s="1">
        <f t="shared" si="39"/>
        <v>97200</v>
      </c>
      <c r="Z181" s="1">
        <f t="shared" si="40"/>
        <v>1</v>
      </c>
      <c r="AA181" s="1">
        <f t="shared" si="41"/>
        <v>0</v>
      </c>
    </row>
    <row r="182" spans="1:27" ht="18" customHeight="1" x14ac:dyDescent="0.3">
      <c r="A182" s="2"/>
      <c r="B182" s="65" t="str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61"/>
      <c r="D182" s="66"/>
      <c r="E182" s="66"/>
      <c r="F182" s="60"/>
      <c r="G182" s="67"/>
      <c r="H182" s="60"/>
      <c r="I182" s="68">
        <f t="shared" ca="1" si="28"/>
        <v>0</v>
      </c>
      <c r="J182" s="68">
        <f t="shared" ca="1" si="29"/>
        <v>0</v>
      </c>
      <c r="K182" s="68">
        <f t="shared" ca="1" si="30"/>
        <v>0</v>
      </c>
      <c r="L182" s="68">
        <f t="shared" ca="1" si="31"/>
        <v>0</v>
      </c>
      <c r="M182" s="69">
        <f t="shared" si="32"/>
        <v>0</v>
      </c>
      <c r="N182" s="65" t="str">
        <f t="shared" si="33"/>
        <v/>
      </c>
      <c r="O182" s="70" t="str">
        <f>IF(OR($C182="",$D182="",$F182=""),"",IF($F182="Aylık",EOMONTH($D182,0),($D182+MOD(SISTEM!$F$8-WEEKDAY($D182,2),7))))</f>
        <v/>
      </c>
      <c r="P182" s="61"/>
      <c r="Q182" s="2"/>
      <c r="R182" s="2"/>
      <c r="S182" s="1" t="str">
        <f>IF($B182="","",$B182&amp;"|"&amp;COUNTIFS($B$7:$B182,$B182))</f>
        <v/>
      </c>
      <c r="T182" s="1" t="str">
        <f t="shared" si="34"/>
        <v/>
      </c>
      <c r="U182" s="1">
        <f t="shared" si="35"/>
        <v>0</v>
      </c>
      <c r="V182" s="1">
        <f t="shared" si="36"/>
        <v>2958465</v>
      </c>
      <c r="W182" s="1">
        <f t="shared" si="37"/>
        <v>0</v>
      </c>
      <c r="X182" s="1">
        <f t="shared" si="38"/>
        <v>0</v>
      </c>
      <c r="Y182" s="1">
        <f t="shared" si="39"/>
        <v>97200</v>
      </c>
      <c r="Z182" s="1">
        <f t="shared" si="40"/>
        <v>1</v>
      </c>
      <c r="AA182" s="1">
        <f t="shared" si="41"/>
        <v>0</v>
      </c>
    </row>
    <row r="183" spans="1:27" ht="18" customHeight="1" x14ac:dyDescent="0.3">
      <c r="A183" s="2"/>
      <c r="B183" s="65" t="str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61"/>
      <c r="D183" s="66"/>
      <c r="E183" s="66"/>
      <c r="F183" s="60"/>
      <c r="G183" s="67"/>
      <c r="H183" s="60"/>
      <c r="I183" s="68">
        <f t="shared" ca="1" si="28"/>
        <v>0</v>
      </c>
      <c r="J183" s="68">
        <f t="shared" ca="1" si="29"/>
        <v>0</v>
      </c>
      <c r="K183" s="68">
        <f t="shared" ca="1" si="30"/>
        <v>0</v>
      </c>
      <c r="L183" s="68">
        <f t="shared" ca="1" si="31"/>
        <v>0</v>
      </c>
      <c r="M183" s="69">
        <f t="shared" si="32"/>
        <v>0</v>
      </c>
      <c r="N183" s="65" t="str">
        <f t="shared" si="33"/>
        <v/>
      </c>
      <c r="O183" s="70" t="str">
        <f>IF(OR($C183="",$D183="",$F183=""),"",IF($F183="Aylık",EOMONTH($D183,0),($D183+MOD(SISTEM!$F$8-WEEKDAY($D183,2),7))))</f>
        <v/>
      </c>
      <c r="P183" s="61"/>
      <c r="Q183" s="2"/>
      <c r="R183" s="2"/>
      <c r="S183" s="1" t="str">
        <f>IF($B183="","",$B183&amp;"|"&amp;COUNTIFS($B$7:$B183,$B183))</f>
        <v/>
      </c>
      <c r="T183" s="1" t="str">
        <f t="shared" si="34"/>
        <v/>
      </c>
      <c r="U183" s="1">
        <f t="shared" si="35"/>
        <v>0</v>
      </c>
      <c r="V183" s="1">
        <f t="shared" si="36"/>
        <v>2958465</v>
      </c>
      <c r="W183" s="1">
        <f t="shared" si="37"/>
        <v>0</v>
      </c>
      <c r="X183" s="1">
        <f t="shared" si="38"/>
        <v>0</v>
      </c>
      <c r="Y183" s="1">
        <f t="shared" si="39"/>
        <v>97200</v>
      </c>
      <c r="Z183" s="1">
        <f t="shared" si="40"/>
        <v>1</v>
      </c>
      <c r="AA183" s="1">
        <f t="shared" si="41"/>
        <v>0</v>
      </c>
    </row>
    <row r="184" spans="1:27" ht="18" customHeight="1" x14ac:dyDescent="0.3">
      <c r="A184" s="2"/>
      <c r="B184" s="65" t="str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61"/>
      <c r="D184" s="66"/>
      <c r="E184" s="66"/>
      <c r="F184" s="60"/>
      <c r="G184" s="67"/>
      <c r="H184" s="60"/>
      <c r="I184" s="68">
        <f t="shared" ca="1" si="28"/>
        <v>0</v>
      </c>
      <c r="J184" s="68">
        <f t="shared" ca="1" si="29"/>
        <v>0</v>
      </c>
      <c r="K184" s="68">
        <f t="shared" ca="1" si="30"/>
        <v>0</v>
      </c>
      <c r="L184" s="68">
        <f t="shared" ca="1" si="31"/>
        <v>0</v>
      </c>
      <c r="M184" s="69">
        <f t="shared" si="32"/>
        <v>0</v>
      </c>
      <c r="N184" s="65" t="str">
        <f t="shared" si="33"/>
        <v/>
      </c>
      <c r="O184" s="70" t="str">
        <f>IF(OR($C184="",$D184="",$F184=""),"",IF($F184="Aylık",EOMONTH($D184,0),($D184+MOD(SISTEM!$F$8-WEEKDAY($D184,2),7))))</f>
        <v/>
      </c>
      <c r="P184" s="61"/>
      <c r="Q184" s="2"/>
      <c r="R184" s="2"/>
      <c r="S184" s="1" t="str">
        <f>IF($B184="","",$B184&amp;"|"&amp;COUNTIFS($B$7:$B184,$B184))</f>
        <v/>
      </c>
      <c r="T184" s="1" t="str">
        <f t="shared" si="34"/>
        <v/>
      </c>
      <c r="U184" s="1">
        <f t="shared" si="35"/>
        <v>0</v>
      </c>
      <c r="V184" s="1">
        <f t="shared" si="36"/>
        <v>2958465</v>
      </c>
      <c r="W184" s="1">
        <f t="shared" si="37"/>
        <v>0</v>
      </c>
      <c r="X184" s="1">
        <f t="shared" si="38"/>
        <v>0</v>
      </c>
      <c r="Y184" s="1">
        <f t="shared" si="39"/>
        <v>97200</v>
      </c>
      <c r="Z184" s="1">
        <f t="shared" si="40"/>
        <v>1</v>
      </c>
      <c r="AA184" s="1">
        <f t="shared" si="41"/>
        <v>0</v>
      </c>
    </row>
    <row r="185" spans="1:27" ht="18" customHeight="1" x14ac:dyDescent="0.3">
      <c r="A185" s="2"/>
      <c r="B185" s="65" t="str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61"/>
      <c r="D185" s="66"/>
      <c r="E185" s="66"/>
      <c r="F185" s="60"/>
      <c r="G185" s="67"/>
      <c r="H185" s="60"/>
      <c r="I185" s="68">
        <f t="shared" ca="1" si="28"/>
        <v>0</v>
      </c>
      <c r="J185" s="68">
        <f t="shared" ca="1" si="29"/>
        <v>0</v>
      </c>
      <c r="K185" s="68">
        <f t="shared" ca="1" si="30"/>
        <v>0</v>
      </c>
      <c r="L185" s="68">
        <f t="shared" ca="1" si="31"/>
        <v>0</v>
      </c>
      <c r="M185" s="69">
        <f t="shared" si="32"/>
        <v>0</v>
      </c>
      <c r="N185" s="65" t="str">
        <f t="shared" si="33"/>
        <v/>
      </c>
      <c r="O185" s="70" t="str">
        <f>IF(OR($C185="",$D185="",$F185=""),"",IF($F185="Aylık",EOMONTH($D185,0),($D185+MOD(SISTEM!$F$8-WEEKDAY($D185,2),7))))</f>
        <v/>
      </c>
      <c r="P185" s="61"/>
      <c r="Q185" s="2"/>
      <c r="R185" s="2"/>
      <c r="S185" s="1" t="str">
        <f>IF($B185="","",$B185&amp;"|"&amp;COUNTIFS($B$7:$B185,$B185))</f>
        <v/>
      </c>
      <c r="T185" s="1" t="str">
        <f t="shared" si="34"/>
        <v/>
      </c>
      <c r="U185" s="1">
        <f t="shared" si="35"/>
        <v>0</v>
      </c>
      <c r="V185" s="1">
        <f t="shared" si="36"/>
        <v>2958465</v>
      </c>
      <c r="W185" s="1">
        <f t="shared" si="37"/>
        <v>0</v>
      </c>
      <c r="X185" s="1">
        <f t="shared" si="38"/>
        <v>0</v>
      </c>
      <c r="Y185" s="1">
        <f t="shared" si="39"/>
        <v>97200</v>
      </c>
      <c r="Z185" s="1">
        <f t="shared" si="40"/>
        <v>1</v>
      </c>
      <c r="AA185" s="1">
        <f t="shared" si="41"/>
        <v>0</v>
      </c>
    </row>
    <row r="186" spans="1:27" ht="18" customHeight="1" x14ac:dyDescent="0.3">
      <c r="A186" s="2"/>
      <c r="B186" s="65" t="str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61"/>
      <c r="D186" s="66"/>
      <c r="E186" s="66"/>
      <c r="F186" s="60"/>
      <c r="G186" s="67"/>
      <c r="H186" s="60"/>
      <c r="I186" s="68">
        <f t="shared" ca="1" si="28"/>
        <v>0</v>
      </c>
      <c r="J186" s="68">
        <f t="shared" ca="1" si="29"/>
        <v>0</v>
      </c>
      <c r="K186" s="68">
        <f t="shared" ca="1" si="30"/>
        <v>0</v>
      </c>
      <c r="L186" s="68">
        <f t="shared" ca="1" si="31"/>
        <v>0</v>
      </c>
      <c r="M186" s="69">
        <f t="shared" si="32"/>
        <v>0</v>
      </c>
      <c r="N186" s="65" t="str">
        <f t="shared" si="33"/>
        <v/>
      </c>
      <c r="O186" s="70" t="str">
        <f>IF(OR($C186="",$D186="",$F186=""),"",IF($F186="Aylık",EOMONTH($D186,0),($D186+MOD(SISTEM!$F$8-WEEKDAY($D186,2),7))))</f>
        <v/>
      </c>
      <c r="P186" s="61"/>
      <c r="Q186" s="2"/>
      <c r="R186" s="2"/>
      <c r="S186" s="1" t="str">
        <f>IF($B186="","",$B186&amp;"|"&amp;COUNTIFS($B$7:$B186,$B186))</f>
        <v/>
      </c>
      <c r="T186" s="1" t="str">
        <f t="shared" si="34"/>
        <v/>
      </c>
      <c r="U186" s="1">
        <f t="shared" si="35"/>
        <v>0</v>
      </c>
      <c r="V186" s="1">
        <f t="shared" si="36"/>
        <v>2958465</v>
      </c>
      <c r="W186" s="1">
        <f t="shared" si="37"/>
        <v>0</v>
      </c>
      <c r="X186" s="1">
        <f t="shared" si="38"/>
        <v>0</v>
      </c>
      <c r="Y186" s="1">
        <f t="shared" si="39"/>
        <v>97200</v>
      </c>
      <c r="Z186" s="1">
        <f t="shared" si="40"/>
        <v>1</v>
      </c>
      <c r="AA186" s="1">
        <f t="shared" si="41"/>
        <v>0</v>
      </c>
    </row>
    <row r="187" spans="1:27" ht="18" customHeight="1" x14ac:dyDescent="0.3">
      <c r="A187" s="2"/>
      <c r="B187" s="65" t="str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61"/>
      <c r="D187" s="66"/>
      <c r="E187" s="66"/>
      <c r="F187" s="60"/>
      <c r="G187" s="67"/>
      <c r="H187" s="60"/>
      <c r="I187" s="68">
        <f t="shared" ca="1" si="28"/>
        <v>0</v>
      </c>
      <c r="J187" s="68">
        <f t="shared" ca="1" si="29"/>
        <v>0</v>
      </c>
      <c r="K187" s="68">
        <f t="shared" ca="1" si="30"/>
        <v>0</v>
      </c>
      <c r="L187" s="68">
        <f t="shared" ca="1" si="31"/>
        <v>0</v>
      </c>
      <c r="M187" s="69">
        <f t="shared" si="32"/>
        <v>0</v>
      </c>
      <c r="N187" s="65" t="str">
        <f t="shared" si="33"/>
        <v/>
      </c>
      <c r="O187" s="70" t="str">
        <f>IF(OR($C187="",$D187="",$F187=""),"",IF($F187="Aylık",EOMONTH($D187,0),($D187+MOD(SISTEM!$F$8-WEEKDAY($D187,2),7))))</f>
        <v/>
      </c>
      <c r="P187" s="61"/>
      <c r="Q187" s="2"/>
      <c r="R187" s="2"/>
      <c r="S187" s="1" t="str">
        <f>IF($B187="","",$B187&amp;"|"&amp;COUNTIFS($B$7:$B187,$B187))</f>
        <v/>
      </c>
      <c r="T187" s="1" t="str">
        <f t="shared" si="34"/>
        <v/>
      </c>
      <c r="U187" s="1">
        <f t="shared" si="35"/>
        <v>0</v>
      </c>
      <c r="V187" s="1">
        <f t="shared" si="36"/>
        <v>2958465</v>
      </c>
      <c r="W187" s="1">
        <f t="shared" si="37"/>
        <v>0</v>
      </c>
      <c r="X187" s="1">
        <f t="shared" si="38"/>
        <v>0</v>
      </c>
      <c r="Y187" s="1">
        <f t="shared" si="39"/>
        <v>97200</v>
      </c>
      <c r="Z187" s="1">
        <f t="shared" si="40"/>
        <v>1</v>
      </c>
      <c r="AA187" s="1">
        <f t="shared" si="41"/>
        <v>0</v>
      </c>
    </row>
    <row r="188" spans="1:27" ht="18" customHeight="1" x14ac:dyDescent="0.3">
      <c r="A188" s="2"/>
      <c r="B188" s="65" t="str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61"/>
      <c r="D188" s="66"/>
      <c r="E188" s="66"/>
      <c r="F188" s="60"/>
      <c r="G188" s="67"/>
      <c r="H188" s="60"/>
      <c r="I188" s="68">
        <f t="shared" ca="1" si="28"/>
        <v>0</v>
      </c>
      <c r="J188" s="68">
        <f t="shared" ca="1" si="29"/>
        <v>0</v>
      </c>
      <c r="K188" s="68">
        <f t="shared" ca="1" si="30"/>
        <v>0</v>
      </c>
      <c r="L188" s="68">
        <f t="shared" ca="1" si="31"/>
        <v>0</v>
      </c>
      <c r="M188" s="69">
        <f t="shared" si="32"/>
        <v>0</v>
      </c>
      <c r="N188" s="65" t="str">
        <f t="shared" si="33"/>
        <v/>
      </c>
      <c r="O188" s="70" t="str">
        <f>IF(OR($C188="",$D188="",$F188=""),"",IF($F188="Aylık",EOMONTH($D188,0),($D188+MOD(SISTEM!$F$8-WEEKDAY($D188,2),7))))</f>
        <v/>
      </c>
      <c r="P188" s="61"/>
      <c r="Q188" s="2"/>
      <c r="R188" s="2"/>
      <c r="S188" s="1" t="str">
        <f>IF($B188="","",$B188&amp;"|"&amp;COUNTIFS($B$7:$B188,$B188))</f>
        <v/>
      </c>
      <c r="T188" s="1" t="str">
        <f t="shared" si="34"/>
        <v/>
      </c>
      <c r="U188" s="1">
        <f t="shared" si="35"/>
        <v>0</v>
      </c>
      <c r="V188" s="1">
        <f t="shared" si="36"/>
        <v>2958465</v>
      </c>
      <c r="W188" s="1">
        <f t="shared" si="37"/>
        <v>0</v>
      </c>
      <c r="X188" s="1">
        <f t="shared" si="38"/>
        <v>0</v>
      </c>
      <c r="Y188" s="1">
        <f t="shared" si="39"/>
        <v>97200</v>
      </c>
      <c r="Z188" s="1">
        <f t="shared" si="40"/>
        <v>1</v>
      </c>
      <c r="AA188" s="1">
        <f t="shared" si="41"/>
        <v>0</v>
      </c>
    </row>
    <row r="189" spans="1:27" ht="18" customHeight="1" x14ac:dyDescent="0.3">
      <c r="A189" s="2"/>
      <c r="B189" s="65" t="str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61"/>
      <c r="D189" s="66"/>
      <c r="E189" s="66"/>
      <c r="F189" s="60"/>
      <c r="G189" s="67"/>
      <c r="H189" s="60"/>
      <c r="I189" s="68">
        <f t="shared" ca="1" si="28"/>
        <v>0</v>
      </c>
      <c r="J189" s="68">
        <f t="shared" ca="1" si="29"/>
        <v>0</v>
      </c>
      <c r="K189" s="68">
        <f t="shared" ca="1" si="30"/>
        <v>0</v>
      </c>
      <c r="L189" s="68">
        <f t="shared" ca="1" si="31"/>
        <v>0</v>
      </c>
      <c r="M189" s="69">
        <f t="shared" si="32"/>
        <v>0</v>
      </c>
      <c r="N189" s="65" t="str">
        <f t="shared" si="33"/>
        <v/>
      </c>
      <c r="O189" s="70" t="str">
        <f>IF(OR($C189="",$D189="",$F189=""),"",IF($F189="Aylık",EOMONTH($D189,0),($D189+MOD(SISTEM!$F$8-WEEKDAY($D189,2),7))))</f>
        <v/>
      </c>
      <c r="P189" s="61"/>
      <c r="Q189" s="2"/>
      <c r="R189" s="2"/>
      <c r="S189" s="1" t="str">
        <f>IF($B189="","",$B189&amp;"|"&amp;COUNTIFS($B$7:$B189,$B189))</f>
        <v/>
      </c>
      <c r="T189" s="1" t="str">
        <f t="shared" si="34"/>
        <v/>
      </c>
      <c r="U189" s="1">
        <f t="shared" si="35"/>
        <v>0</v>
      </c>
      <c r="V189" s="1">
        <f t="shared" si="36"/>
        <v>2958465</v>
      </c>
      <c r="W189" s="1">
        <f t="shared" si="37"/>
        <v>0</v>
      </c>
      <c r="X189" s="1">
        <f t="shared" si="38"/>
        <v>0</v>
      </c>
      <c r="Y189" s="1">
        <f t="shared" si="39"/>
        <v>97200</v>
      </c>
      <c r="Z189" s="1">
        <f t="shared" si="40"/>
        <v>1</v>
      </c>
      <c r="AA189" s="1">
        <f t="shared" si="41"/>
        <v>0</v>
      </c>
    </row>
    <row r="190" spans="1:27" ht="18" customHeight="1" x14ac:dyDescent="0.3">
      <c r="A190" s="2"/>
      <c r="B190" s="65" t="str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61"/>
      <c r="D190" s="66"/>
      <c r="E190" s="66"/>
      <c r="F190" s="60"/>
      <c r="G190" s="67"/>
      <c r="H190" s="60"/>
      <c r="I190" s="68">
        <f t="shared" ca="1" si="28"/>
        <v>0</v>
      </c>
      <c r="J190" s="68">
        <f t="shared" ca="1" si="29"/>
        <v>0</v>
      </c>
      <c r="K190" s="68">
        <f t="shared" ca="1" si="30"/>
        <v>0</v>
      </c>
      <c r="L190" s="68">
        <f t="shared" ca="1" si="31"/>
        <v>0</v>
      </c>
      <c r="M190" s="69">
        <f t="shared" si="32"/>
        <v>0</v>
      </c>
      <c r="N190" s="65" t="str">
        <f t="shared" si="33"/>
        <v/>
      </c>
      <c r="O190" s="70" t="str">
        <f>IF(OR($C190="",$D190="",$F190=""),"",IF($F190="Aylık",EOMONTH($D190,0),($D190+MOD(SISTEM!$F$8-WEEKDAY($D190,2),7))))</f>
        <v/>
      </c>
      <c r="P190" s="61"/>
      <c r="Q190" s="2"/>
      <c r="R190" s="2"/>
      <c r="S190" s="1" t="str">
        <f>IF($B190="","",$B190&amp;"|"&amp;COUNTIFS($B$7:$B190,$B190))</f>
        <v/>
      </c>
      <c r="T190" s="1" t="str">
        <f t="shared" si="34"/>
        <v/>
      </c>
      <c r="U190" s="1">
        <f t="shared" si="35"/>
        <v>0</v>
      </c>
      <c r="V190" s="1">
        <f t="shared" si="36"/>
        <v>2958465</v>
      </c>
      <c r="W190" s="1">
        <f t="shared" si="37"/>
        <v>0</v>
      </c>
      <c r="X190" s="1">
        <f t="shared" si="38"/>
        <v>0</v>
      </c>
      <c r="Y190" s="1">
        <f t="shared" si="39"/>
        <v>97200</v>
      </c>
      <c r="Z190" s="1">
        <f t="shared" si="40"/>
        <v>1</v>
      </c>
      <c r="AA190" s="1">
        <f t="shared" si="41"/>
        <v>0</v>
      </c>
    </row>
    <row r="191" spans="1:27" ht="18" customHeight="1" x14ac:dyDescent="0.3">
      <c r="A191" s="2"/>
      <c r="B191" s="65" t="str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61"/>
      <c r="D191" s="66"/>
      <c r="E191" s="66"/>
      <c r="F191" s="60"/>
      <c r="G191" s="67"/>
      <c r="H191" s="60"/>
      <c r="I191" s="68">
        <f t="shared" ca="1" si="28"/>
        <v>0</v>
      </c>
      <c r="J191" s="68">
        <f t="shared" ca="1" si="29"/>
        <v>0</v>
      </c>
      <c r="K191" s="68">
        <f t="shared" ca="1" si="30"/>
        <v>0</v>
      </c>
      <c r="L191" s="68">
        <f t="shared" ca="1" si="31"/>
        <v>0</v>
      </c>
      <c r="M191" s="69">
        <f t="shared" si="32"/>
        <v>0</v>
      </c>
      <c r="N191" s="65" t="str">
        <f t="shared" si="33"/>
        <v/>
      </c>
      <c r="O191" s="70" t="str">
        <f>IF(OR($C191="",$D191="",$F191=""),"",IF($F191="Aylık",EOMONTH($D191,0),($D191+MOD(SISTEM!$F$8-WEEKDAY($D191,2),7))))</f>
        <v/>
      </c>
      <c r="P191" s="61"/>
      <c r="Q191" s="2"/>
      <c r="R191" s="2"/>
      <c r="S191" s="1" t="str">
        <f>IF($B191="","",$B191&amp;"|"&amp;COUNTIFS($B$7:$B191,$B191))</f>
        <v/>
      </c>
      <c r="T191" s="1" t="str">
        <f t="shared" si="34"/>
        <v/>
      </c>
      <c r="U191" s="1">
        <f t="shared" si="35"/>
        <v>0</v>
      </c>
      <c r="V191" s="1">
        <f t="shared" si="36"/>
        <v>2958465</v>
      </c>
      <c r="W191" s="1">
        <f t="shared" si="37"/>
        <v>0</v>
      </c>
      <c r="X191" s="1">
        <f t="shared" si="38"/>
        <v>0</v>
      </c>
      <c r="Y191" s="1">
        <f t="shared" si="39"/>
        <v>97200</v>
      </c>
      <c r="Z191" s="1">
        <f t="shared" si="40"/>
        <v>1</v>
      </c>
      <c r="AA191" s="1">
        <f t="shared" si="41"/>
        <v>0</v>
      </c>
    </row>
    <row r="192" spans="1:27" ht="18" customHeight="1" x14ac:dyDescent="0.3">
      <c r="A192" s="2"/>
      <c r="B192" s="65" t="str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61"/>
      <c r="D192" s="66"/>
      <c r="E192" s="66"/>
      <c r="F192" s="60"/>
      <c r="G192" s="67"/>
      <c r="H192" s="60"/>
      <c r="I192" s="68">
        <f t="shared" ca="1" si="28"/>
        <v>0</v>
      </c>
      <c r="J192" s="68">
        <f t="shared" ca="1" si="29"/>
        <v>0</v>
      </c>
      <c r="K192" s="68">
        <f t="shared" ca="1" si="30"/>
        <v>0</v>
      </c>
      <c r="L192" s="68">
        <f t="shared" ca="1" si="31"/>
        <v>0</v>
      </c>
      <c r="M192" s="69">
        <f t="shared" si="32"/>
        <v>0</v>
      </c>
      <c r="N192" s="65" t="str">
        <f t="shared" si="33"/>
        <v/>
      </c>
      <c r="O192" s="70" t="str">
        <f>IF(OR($C192="",$D192="",$F192=""),"",IF($F192="Aylık",EOMONTH($D192,0),($D192+MOD(SISTEM!$F$8-WEEKDAY($D192,2),7))))</f>
        <v/>
      </c>
      <c r="P192" s="61"/>
      <c r="Q192" s="2"/>
      <c r="R192" s="2"/>
      <c r="S192" s="1" t="str">
        <f>IF($B192="","",$B192&amp;"|"&amp;COUNTIFS($B$7:$B192,$B192))</f>
        <v/>
      </c>
      <c r="T192" s="1" t="str">
        <f t="shared" si="34"/>
        <v/>
      </c>
      <c r="U192" s="1">
        <f t="shared" si="35"/>
        <v>0</v>
      </c>
      <c r="V192" s="1">
        <f t="shared" si="36"/>
        <v>2958465</v>
      </c>
      <c r="W192" s="1">
        <f t="shared" si="37"/>
        <v>0</v>
      </c>
      <c r="X192" s="1">
        <f t="shared" si="38"/>
        <v>0</v>
      </c>
      <c r="Y192" s="1">
        <f t="shared" si="39"/>
        <v>97200</v>
      </c>
      <c r="Z192" s="1">
        <f t="shared" si="40"/>
        <v>1</v>
      </c>
      <c r="AA192" s="1">
        <f t="shared" si="41"/>
        <v>0</v>
      </c>
    </row>
    <row r="193" spans="1:27" ht="18" customHeight="1" x14ac:dyDescent="0.3">
      <c r="A193" s="2"/>
      <c r="B193" s="65" t="str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61"/>
      <c r="D193" s="66"/>
      <c r="E193" s="66"/>
      <c r="F193" s="60"/>
      <c r="G193" s="67"/>
      <c r="H193" s="60"/>
      <c r="I193" s="68">
        <f t="shared" ca="1" si="28"/>
        <v>0</v>
      </c>
      <c r="J193" s="68">
        <f t="shared" ca="1" si="29"/>
        <v>0</v>
      </c>
      <c r="K193" s="68">
        <f t="shared" ca="1" si="30"/>
        <v>0</v>
      </c>
      <c r="L193" s="68">
        <f t="shared" ca="1" si="31"/>
        <v>0</v>
      </c>
      <c r="M193" s="69">
        <f t="shared" si="32"/>
        <v>0</v>
      </c>
      <c r="N193" s="65" t="str">
        <f t="shared" si="33"/>
        <v/>
      </c>
      <c r="O193" s="70" t="str">
        <f>IF(OR($C193="",$D193="",$F193=""),"",IF($F193="Aylık",EOMONTH($D193,0),($D193+MOD(SISTEM!$F$8-WEEKDAY($D193,2),7))))</f>
        <v/>
      </c>
      <c r="P193" s="61"/>
      <c r="Q193" s="2"/>
      <c r="R193" s="2"/>
      <c r="S193" s="1" t="str">
        <f>IF($B193="","",$B193&amp;"|"&amp;COUNTIFS($B$7:$B193,$B193))</f>
        <v/>
      </c>
      <c r="T193" s="1" t="str">
        <f t="shared" si="34"/>
        <v/>
      </c>
      <c r="U193" s="1">
        <f t="shared" si="35"/>
        <v>0</v>
      </c>
      <c r="V193" s="1">
        <f t="shared" si="36"/>
        <v>2958465</v>
      </c>
      <c r="W193" s="1">
        <f t="shared" si="37"/>
        <v>0</v>
      </c>
      <c r="X193" s="1">
        <f t="shared" si="38"/>
        <v>0</v>
      </c>
      <c r="Y193" s="1">
        <f t="shared" si="39"/>
        <v>97200</v>
      </c>
      <c r="Z193" s="1">
        <f t="shared" si="40"/>
        <v>1</v>
      </c>
      <c r="AA193" s="1">
        <f t="shared" si="41"/>
        <v>0</v>
      </c>
    </row>
    <row r="194" spans="1:27" ht="18" customHeight="1" x14ac:dyDescent="0.3">
      <c r="A194" s="2"/>
      <c r="B194" s="65" t="str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61"/>
      <c r="D194" s="66"/>
      <c r="E194" s="66"/>
      <c r="F194" s="60"/>
      <c r="G194" s="67"/>
      <c r="H194" s="60"/>
      <c r="I194" s="68">
        <f t="shared" ca="1" si="28"/>
        <v>0</v>
      </c>
      <c r="J194" s="68">
        <f t="shared" ca="1" si="29"/>
        <v>0</v>
      </c>
      <c r="K194" s="68">
        <f t="shared" ca="1" si="30"/>
        <v>0</v>
      </c>
      <c r="L194" s="68">
        <f t="shared" ca="1" si="31"/>
        <v>0</v>
      </c>
      <c r="M194" s="69">
        <f t="shared" si="32"/>
        <v>0</v>
      </c>
      <c r="N194" s="65" t="str">
        <f t="shared" si="33"/>
        <v/>
      </c>
      <c r="O194" s="70" t="str">
        <f>IF(OR($C194="",$D194="",$F194=""),"",IF($F194="Aylık",EOMONTH($D194,0),($D194+MOD(SISTEM!$F$8-WEEKDAY($D194,2),7))))</f>
        <v/>
      </c>
      <c r="P194" s="61"/>
      <c r="Q194" s="2"/>
      <c r="R194" s="2"/>
      <c r="S194" s="1" t="str">
        <f>IF($B194="","",$B194&amp;"|"&amp;COUNTIFS($B$7:$B194,$B194))</f>
        <v/>
      </c>
      <c r="T194" s="1" t="str">
        <f t="shared" si="34"/>
        <v/>
      </c>
      <c r="U194" s="1">
        <f t="shared" si="35"/>
        <v>0</v>
      </c>
      <c r="V194" s="1">
        <f t="shared" si="36"/>
        <v>2958465</v>
      </c>
      <c r="W194" s="1">
        <f t="shared" si="37"/>
        <v>0</v>
      </c>
      <c r="X194" s="1">
        <f t="shared" si="38"/>
        <v>0</v>
      </c>
      <c r="Y194" s="1">
        <f t="shared" si="39"/>
        <v>97200</v>
      </c>
      <c r="Z194" s="1">
        <f t="shared" si="40"/>
        <v>1</v>
      </c>
      <c r="AA194" s="1">
        <f t="shared" si="41"/>
        <v>0</v>
      </c>
    </row>
    <row r="195" spans="1:27" ht="18" customHeight="1" x14ac:dyDescent="0.3">
      <c r="A195" s="2"/>
      <c r="B195" s="65" t="str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61"/>
      <c r="D195" s="66"/>
      <c r="E195" s="66"/>
      <c r="F195" s="60"/>
      <c r="G195" s="67"/>
      <c r="H195" s="60"/>
      <c r="I195" s="68">
        <f t="shared" ca="1" si="28"/>
        <v>0</v>
      </c>
      <c r="J195" s="68">
        <f t="shared" ca="1" si="29"/>
        <v>0</v>
      </c>
      <c r="K195" s="68">
        <f t="shared" ca="1" si="30"/>
        <v>0</v>
      </c>
      <c r="L195" s="68">
        <f t="shared" ca="1" si="31"/>
        <v>0</v>
      </c>
      <c r="M195" s="69">
        <f t="shared" si="32"/>
        <v>0</v>
      </c>
      <c r="N195" s="65" t="str">
        <f t="shared" si="33"/>
        <v/>
      </c>
      <c r="O195" s="70" t="str">
        <f>IF(OR($C195="",$D195="",$F195=""),"",IF($F195="Aylık",EOMONTH($D195,0),($D195+MOD(SISTEM!$F$8-WEEKDAY($D195,2),7))))</f>
        <v/>
      </c>
      <c r="P195" s="61"/>
      <c r="Q195" s="2"/>
      <c r="R195" s="2"/>
      <c r="S195" s="1" t="str">
        <f>IF($B195="","",$B195&amp;"|"&amp;COUNTIFS($B$7:$B195,$B195))</f>
        <v/>
      </c>
      <c r="T195" s="1" t="str">
        <f t="shared" si="34"/>
        <v/>
      </c>
      <c r="U195" s="1">
        <f t="shared" si="35"/>
        <v>0</v>
      </c>
      <c r="V195" s="1">
        <f t="shared" si="36"/>
        <v>2958465</v>
      </c>
      <c r="W195" s="1">
        <f t="shared" si="37"/>
        <v>0</v>
      </c>
      <c r="X195" s="1">
        <f t="shared" si="38"/>
        <v>0</v>
      </c>
      <c r="Y195" s="1">
        <f t="shared" si="39"/>
        <v>97200</v>
      </c>
      <c r="Z195" s="1">
        <f t="shared" si="40"/>
        <v>1</v>
      </c>
      <c r="AA195" s="1">
        <f t="shared" si="41"/>
        <v>0</v>
      </c>
    </row>
    <row r="196" spans="1:27" ht="18" customHeight="1" x14ac:dyDescent="0.3">
      <c r="A196" s="2"/>
      <c r="B196" s="65" t="str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61"/>
      <c r="D196" s="66"/>
      <c r="E196" s="66"/>
      <c r="F196" s="60"/>
      <c r="G196" s="67"/>
      <c r="H196" s="60"/>
      <c r="I196" s="68">
        <f t="shared" ca="1" si="28"/>
        <v>0</v>
      </c>
      <c r="J196" s="68">
        <f t="shared" ca="1" si="29"/>
        <v>0</v>
      </c>
      <c r="K196" s="68">
        <f t="shared" ca="1" si="30"/>
        <v>0</v>
      </c>
      <c r="L196" s="68">
        <f t="shared" ca="1" si="31"/>
        <v>0</v>
      </c>
      <c r="M196" s="69">
        <f t="shared" si="32"/>
        <v>0</v>
      </c>
      <c r="N196" s="65" t="str">
        <f t="shared" si="33"/>
        <v/>
      </c>
      <c r="O196" s="70" t="str">
        <f>IF(OR($C196="",$D196="",$F196=""),"",IF($F196="Aylık",EOMONTH($D196,0),($D196+MOD(SISTEM!$F$8-WEEKDAY($D196,2),7))))</f>
        <v/>
      </c>
      <c r="P196" s="61"/>
      <c r="Q196" s="2"/>
      <c r="R196" s="2"/>
      <c r="S196" s="1" t="str">
        <f>IF($B196="","",$B196&amp;"|"&amp;COUNTIFS($B$7:$B196,$B196))</f>
        <v/>
      </c>
      <c r="T196" s="1" t="str">
        <f t="shared" si="34"/>
        <v/>
      </c>
      <c r="U196" s="1">
        <f t="shared" si="35"/>
        <v>0</v>
      </c>
      <c r="V196" s="1">
        <f t="shared" si="36"/>
        <v>2958465</v>
      </c>
      <c r="W196" s="1">
        <f t="shared" si="37"/>
        <v>0</v>
      </c>
      <c r="X196" s="1">
        <f t="shared" si="38"/>
        <v>0</v>
      </c>
      <c r="Y196" s="1">
        <f t="shared" si="39"/>
        <v>97200</v>
      </c>
      <c r="Z196" s="1">
        <f t="shared" si="40"/>
        <v>1</v>
      </c>
      <c r="AA196" s="1">
        <f t="shared" si="41"/>
        <v>0</v>
      </c>
    </row>
    <row r="197" spans="1:27" ht="18" customHeight="1" x14ac:dyDescent="0.3">
      <c r="A197" s="2"/>
      <c r="B197" s="65" t="str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61"/>
      <c r="D197" s="66"/>
      <c r="E197" s="66"/>
      <c r="F197" s="60"/>
      <c r="G197" s="67"/>
      <c r="H197" s="60"/>
      <c r="I197" s="68">
        <f t="shared" ca="1" si="28"/>
        <v>0</v>
      </c>
      <c r="J197" s="68">
        <f t="shared" ca="1" si="29"/>
        <v>0</v>
      </c>
      <c r="K197" s="68">
        <f t="shared" ca="1" si="30"/>
        <v>0</v>
      </c>
      <c r="L197" s="68">
        <f t="shared" ca="1" si="31"/>
        <v>0</v>
      </c>
      <c r="M197" s="69">
        <f t="shared" si="32"/>
        <v>0</v>
      </c>
      <c r="N197" s="65" t="str">
        <f t="shared" si="33"/>
        <v/>
      </c>
      <c r="O197" s="70" t="str">
        <f>IF(OR($C197="",$D197="",$F197=""),"",IF($F197="Aylık",EOMONTH($D197,0),($D197+MOD(SISTEM!$F$8-WEEKDAY($D197,2),7))))</f>
        <v/>
      </c>
      <c r="P197" s="61"/>
      <c r="Q197" s="2"/>
      <c r="R197" s="2"/>
      <c r="S197" s="1" t="str">
        <f>IF($B197="","",$B197&amp;"|"&amp;COUNTIFS($B$7:$B197,$B197))</f>
        <v/>
      </c>
      <c r="T197" s="1" t="str">
        <f t="shared" si="34"/>
        <v/>
      </c>
      <c r="U197" s="1">
        <f t="shared" si="35"/>
        <v>0</v>
      </c>
      <c r="V197" s="1">
        <f t="shared" si="36"/>
        <v>2958465</v>
      </c>
      <c r="W197" s="1">
        <f t="shared" si="37"/>
        <v>0</v>
      </c>
      <c r="X197" s="1">
        <f t="shared" si="38"/>
        <v>0</v>
      </c>
      <c r="Y197" s="1">
        <f t="shared" si="39"/>
        <v>97200</v>
      </c>
      <c r="Z197" s="1">
        <f t="shared" si="40"/>
        <v>1</v>
      </c>
      <c r="AA197" s="1">
        <f t="shared" si="41"/>
        <v>0</v>
      </c>
    </row>
    <row r="198" spans="1:27" ht="18" customHeight="1" x14ac:dyDescent="0.3">
      <c r="A198" s="2"/>
      <c r="B198" s="65" t="str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61"/>
      <c r="D198" s="66"/>
      <c r="E198" s="66"/>
      <c r="F198" s="60"/>
      <c r="G198" s="67"/>
      <c r="H198" s="60"/>
      <c r="I198" s="68">
        <f t="shared" ca="1" si="28"/>
        <v>0</v>
      </c>
      <c r="J198" s="68">
        <f t="shared" ca="1" si="29"/>
        <v>0</v>
      </c>
      <c r="K198" s="68">
        <f t="shared" ca="1" si="30"/>
        <v>0</v>
      </c>
      <c r="L198" s="68">
        <f t="shared" ca="1" si="31"/>
        <v>0</v>
      </c>
      <c r="M198" s="69">
        <f t="shared" si="32"/>
        <v>0</v>
      </c>
      <c r="N198" s="65" t="str">
        <f t="shared" si="33"/>
        <v/>
      </c>
      <c r="O198" s="70" t="str">
        <f>IF(OR($C198="",$D198="",$F198=""),"",IF($F198="Aylık",EOMONTH($D198,0),($D198+MOD(SISTEM!$F$8-WEEKDAY($D198,2),7))))</f>
        <v/>
      </c>
      <c r="P198" s="61"/>
      <c r="Q198" s="2"/>
      <c r="R198" s="2"/>
      <c r="S198" s="1" t="str">
        <f>IF($B198="","",$B198&amp;"|"&amp;COUNTIFS($B$7:$B198,$B198))</f>
        <v/>
      </c>
      <c r="T198" s="1" t="str">
        <f t="shared" si="34"/>
        <v/>
      </c>
      <c r="U198" s="1">
        <f t="shared" si="35"/>
        <v>0</v>
      </c>
      <c r="V198" s="1">
        <f t="shared" si="36"/>
        <v>2958465</v>
      </c>
      <c r="W198" s="1">
        <f t="shared" si="37"/>
        <v>0</v>
      </c>
      <c r="X198" s="1">
        <f t="shared" si="38"/>
        <v>0</v>
      </c>
      <c r="Y198" s="1">
        <f t="shared" si="39"/>
        <v>97200</v>
      </c>
      <c r="Z198" s="1">
        <f t="shared" si="40"/>
        <v>1</v>
      </c>
      <c r="AA198" s="1">
        <f t="shared" si="41"/>
        <v>0</v>
      </c>
    </row>
    <row r="199" spans="1:27" ht="18" customHeight="1" x14ac:dyDescent="0.3">
      <c r="A199" s="2"/>
      <c r="B199" s="65" t="str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61"/>
      <c r="D199" s="66"/>
      <c r="E199" s="66"/>
      <c r="F199" s="60"/>
      <c r="G199" s="67"/>
      <c r="H199" s="60"/>
      <c r="I199" s="68">
        <f t="shared" ref="I199:I262" ca="1" si="42"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>0</v>
      </c>
      <c r="J199" s="68">
        <f t="shared" ref="J199:J262" ca="1" si="43"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>0</v>
      </c>
      <c r="K199" s="68">
        <f t="shared" ref="K199:K262" ca="1" si="44"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>0</v>
      </c>
      <c r="L199" s="68">
        <f t="shared" ref="L199:L262" ca="1" si="45"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>0</v>
      </c>
      <c r="M199" s="69">
        <f t="shared" ref="M199:M262" si="46">IF($G199&gt;0,$I199/$G199,0)</f>
        <v>0</v>
      </c>
      <c r="N199" s="65" t="str">
        <f t="shared" ref="N199:N262" si="47"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70" t="str">
        <f>IF(OR($C199="",$D199="",$F199=""),"",IF($F199="Aylık",EOMONTH($D199,0),($D199+MOD(SISTEM!$F$8-WEEKDAY($D199,2),7))))</f>
        <v/>
      </c>
      <c r="P199" s="61"/>
      <c r="Q199" s="2"/>
      <c r="R199" s="2"/>
      <c r="S199" s="1" t="str">
        <f>IF($B199="","",$B199&amp;"|"&amp;COUNTIFS($B$7:$B199,$B199))</f>
        <v/>
      </c>
      <c r="T199" s="1" t="str">
        <f t="shared" ref="T199:T262" si="48"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">
        <f t="shared" ref="U199:U262" si="49">IF($O199="",0,$O199)</f>
        <v>0</v>
      </c>
      <c r="V199" s="1">
        <f t="shared" ref="V199:V262" si="50">IF($E199="",2958465,$E199)</f>
        <v>2958465</v>
      </c>
      <c r="W199" s="1">
        <f t="shared" ref="W199:W262" si="51">IF($F199="Haftalık",1,IF($F199="Aylık",2,0))</f>
        <v>0</v>
      </c>
      <c r="X199" s="1">
        <f t="shared" ref="X199:X262" si="52">IF($U199=0,0,(YEAR($U199)-1900)*12+MONTH($U199))</f>
        <v>0</v>
      </c>
      <c r="Y199" s="1">
        <f t="shared" ref="Y199:Y262" si="53">(YEAR($V199)-1900)*12+MONTH($V199)</f>
        <v>97200</v>
      </c>
      <c r="Z199" s="1">
        <f t="shared" ref="Z199:Z262" si="54">IF($V199=EOMONTH($V199,0),1,0)</f>
        <v>1</v>
      </c>
      <c r="AA199" s="1">
        <f t="shared" ref="AA199:AA262" si="55">IF(OR($B199="",$H199&lt;&gt;"Aktif"),0,COUNTIFS($B$7:$B$606,$B199,$H$7:$H$606,"Aktif"))</f>
        <v>0</v>
      </c>
    </row>
    <row r="200" spans="1:27" ht="18" customHeight="1" x14ac:dyDescent="0.3">
      <c r="A200" s="2"/>
      <c r="B200" s="65" t="str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61"/>
      <c r="D200" s="66"/>
      <c r="E200" s="66"/>
      <c r="F200" s="60"/>
      <c r="G200" s="67"/>
      <c r="H200" s="60"/>
      <c r="I200" s="68">
        <f t="shared" ca="1" si="42"/>
        <v>0</v>
      </c>
      <c r="J200" s="68">
        <f t="shared" ca="1" si="43"/>
        <v>0</v>
      </c>
      <c r="K200" s="68">
        <f t="shared" ca="1" si="44"/>
        <v>0</v>
      </c>
      <c r="L200" s="68">
        <f t="shared" ca="1" si="45"/>
        <v>0</v>
      </c>
      <c r="M200" s="69">
        <f t="shared" si="46"/>
        <v>0</v>
      </c>
      <c r="N200" s="65" t="str">
        <f t="shared" si="47"/>
        <v/>
      </c>
      <c r="O200" s="70" t="str">
        <f>IF(OR($C200="",$D200="",$F200=""),"",IF($F200="Aylık",EOMONTH($D200,0),($D200+MOD(SISTEM!$F$8-WEEKDAY($D200,2),7))))</f>
        <v/>
      </c>
      <c r="P200" s="61"/>
      <c r="Q200" s="2"/>
      <c r="R200" s="2"/>
      <c r="S200" s="1" t="str">
        <f>IF($B200="","",$B200&amp;"|"&amp;COUNTIFS($B$7:$B200,$B200))</f>
        <v/>
      </c>
      <c r="T200" s="1" t="str">
        <f t="shared" si="48"/>
        <v/>
      </c>
      <c r="U200" s="1">
        <f t="shared" si="49"/>
        <v>0</v>
      </c>
      <c r="V200" s="1">
        <f t="shared" si="50"/>
        <v>2958465</v>
      </c>
      <c r="W200" s="1">
        <f t="shared" si="51"/>
        <v>0</v>
      </c>
      <c r="X200" s="1">
        <f t="shared" si="52"/>
        <v>0</v>
      </c>
      <c r="Y200" s="1">
        <f t="shared" si="53"/>
        <v>97200</v>
      </c>
      <c r="Z200" s="1">
        <f t="shared" si="54"/>
        <v>1</v>
      </c>
      <c r="AA200" s="1">
        <f t="shared" si="55"/>
        <v>0</v>
      </c>
    </row>
    <row r="201" spans="1:27" ht="18" customHeight="1" x14ac:dyDescent="0.3">
      <c r="A201" s="2"/>
      <c r="B201" s="65" t="str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61"/>
      <c r="D201" s="66"/>
      <c r="E201" s="66"/>
      <c r="F201" s="60"/>
      <c r="G201" s="67"/>
      <c r="H201" s="60"/>
      <c r="I201" s="68">
        <f t="shared" ca="1" si="42"/>
        <v>0</v>
      </c>
      <c r="J201" s="68">
        <f t="shared" ca="1" si="43"/>
        <v>0</v>
      </c>
      <c r="K201" s="68">
        <f t="shared" ca="1" si="44"/>
        <v>0</v>
      </c>
      <c r="L201" s="68">
        <f t="shared" ca="1" si="45"/>
        <v>0</v>
      </c>
      <c r="M201" s="69">
        <f t="shared" si="46"/>
        <v>0</v>
      </c>
      <c r="N201" s="65" t="str">
        <f t="shared" si="47"/>
        <v/>
      </c>
      <c r="O201" s="70" t="str">
        <f>IF(OR($C201="",$D201="",$F201=""),"",IF($F201="Aylık",EOMONTH($D201,0),($D201+MOD(SISTEM!$F$8-WEEKDAY($D201,2),7))))</f>
        <v/>
      </c>
      <c r="P201" s="61"/>
      <c r="Q201" s="2"/>
      <c r="R201" s="2"/>
      <c r="S201" s="1" t="str">
        <f>IF($B201="","",$B201&amp;"|"&amp;COUNTIFS($B$7:$B201,$B201))</f>
        <v/>
      </c>
      <c r="T201" s="1" t="str">
        <f t="shared" si="48"/>
        <v/>
      </c>
      <c r="U201" s="1">
        <f t="shared" si="49"/>
        <v>0</v>
      </c>
      <c r="V201" s="1">
        <f t="shared" si="50"/>
        <v>2958465</v>
      </c>
      <c r="W201" s="1">
        <f t="shared" si="51"/>
        <v>0</v>
      </c>
      <c r="X201" s="1">
        <f t="shared" si="52"/>
        <v>0</v>
      </c>
      <c r="Y201" s="1">
        <f t="shared" si="53"/>
        <v>97200</v>
      </c>
      <c r="Z201" s="1">
        <f t="shared" si="54"/>
        <v>1</v>
      </c>
      <c r="AA201" s="1">
        <f t="shared" si="55"/>
        <v>0</v>
      </c>
    </row>
    <row r="202" spans="1:27" ht="18" customHeight="1" x14ac:dyDescent="0.3">
      <c r="A202" s="2"/>
      <c r="B202" s="65" t="str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61"/>
      <c r="D202" s="66"/>
      <c r="E202" s="66"/>
      <c r="F202" s="60"/>
      <c r="G202" s="67"/>
      <c r="H202" s="60"/>
      <c r="I202" s="68">
        <f t="shared" ca="1" si="42"/>
        <v>0</v>
      </c>
      <c r="J202" s="68">
        <f t="shared" ca="1" si="43"/>
        <v>0</v>
      </c>
      <c r="K202" s="68">
        <f t="shared" ca="1" si="44"/>
        <v>0</v>
      </c>
      <c r="L202" s="68">
        <f t="shared" ca="1" si="45"/>
        <v>0</v>
      </c>
      <c r="M202" s="69">
        <f t="shared" si="46"/>
        <v>0</v>
      </c>
      <c r="N202" s="65" t="str">
        <f t="shared" si="47"/>
        <v/>
      </c>
      <c r="O202" s="70" t="str">
        <f>IF(OR($C202="",$D202="",$F202=""),"",IF($F202="Aylık",EOMONTH($D202,0),($D202+MOD(SISTEM!$F$8-WEEKDAY($D202,2),7))))</f>
        <v/>
      </c>
      <c r="P202" s="61"/>
      <c r="Q202" s="2"/>
      <c r="R202" s="2"/>
      <c r="S202" s="1" t="str">
        <f>IF($B202="","",$B202&amp;"|"&amp;COUNTIFS($B$7:$B202,$B202))</f>
        <v/>
      </c>
      <c r="T202" s="1" t="str">
        <f t="shared" si="48"/>
        <v/>
      </c>
      <c r="U202" s="1">
        <f t="shared" si="49"/>
        <v>0</v>
      </c>
      <c r="V202" s="1">
        <f t="shared" si="50"/>
        <v>2958465</v>
      </c>
      <c r="W202" s="1">
        <f t="shared" si="51"/>
        <v>0</v>
      </c>
      <c r="X202" s="1">
        <f t="shared" si="52"/>
        <v>0</v>
      </c>
      <c r="Y202" s="1">
        <f t="shared" si="53"/>
        <v>97200</v>
      </c>
      <c r="Z202" s="1">
        <f t="shared" si="54"/>
        <v>1</v>
      </c>
      <c r="AA202" s="1">
        <f t="shared" si="55"/>
        <v>0</v>
      </c>
    </row>
    <row r="203" spans="1:27" ht="18" customHeight="1" x14ac:dyDescent="0.3">
      <c r="A203" s="2"/>
      <c r="B203" s="65" t="str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61"/>
      <c r="D203" s="66"/>
      <c r="E203" s="66"/>
      <c r="F203" s="60"/>
      <c r="G203" s="67"/>
      <c r="H203" s="60"/>
      <c r="I203" s="68">
        <f t="shared" ca="1" si="42"/>
        <v>0</v>
      </c>
      <c r="J203" s="68">
        <f t="shared" ca="1" si="43"/>
        <v>0</v>
      </c>
      <c r="K203" s="68">
        <f t="shared" ca="1" si="44"/>
        <v>0</v>
      </c>
      <c r="L203" s="68">
        <f t="shared" ca="1" si="45"/>
        <v>0</v>
      </c>
      <c r="M203" s="69">
        <f t="shared" si="46"/>
        <v>0</v>
      </c>
      <c r="N203" s="65" t="str">
        <f t="shared" si="47"/>
        <v/>
      </c>
      <c r="O203" s="70" t="str">
        <f>IF(OR($C203="",$D203="",$F203=""),"",IF($F203="Aylık",EOMONTH($D203,0),($D203+MOD(SISTEM!$F$8-WEEKDAY($D203,2),7))))</f>
        <v/>
      </c>
      <c r="P203" s="61"/>
      <c r="Q203" s="2"/>
      <c r="R203" s="2"/>
      <c r="S203" s="1" t="str">
        <f>IF($B203="","",$B203&amp;"|"&amp;COUNTIFS($B$7:$B203,$B203))</f>
        <v/>
      </c>
      <c r="T203" s="1" t="str">
        <f t="shared" si="48"/>
        <v/>
      </c>
      <c r="U203" s="1">
        <f t="shared" si="49"/>
        <v>0</v>
      </c>
      <c r="V203" s="1">
        <f t="shared" si="50"/>
        <v>2958465</v>
      </c>
      <c r="W203" s="1">
        <f t="shared" si="51"/>
        <v>0</v>
      </c>
      <c r="X203" s="1">
        <f t="shared" si="52"/>
        <v>0</v>
      </c>
      <c r="Y203" s="1">
        <f t="shared" si="53"/>
        <v>97200</v>
      </c>
      <c r="Z203" s="1">
        <f t="shared" si="54"/>
        <v>1</v>
      </c>
      <c r="AA203" s="1">
        <f t="shared" si="55"/>
        <v>0</v>
      </c>
    </row>
    <row r="204" spans="1:27" ht="18" customHeight="1" x14ac:dyDescent="0.3">
      <c r="A204" s="2"/>
      <c r="B204" s="65" t="str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61"/>
      <c r="D204" s="66"/>
      <c r="E204" s="66"/>
      <c r="F204" s="60"/>
      <c r="G204" s="67"/>
      <c r="H204" s="60"/>
      <c r="I204" s="68">
        <f t="shared" ca="1" si="42"/>
        <v>0</v>
      </c>
      <c r="J204" s="68">
        <f t="shared" ca="1" si="43"/>
        <v>0</v>
      </c>
      <c r="K204" s="68">
        <f t="shared" ca="1" si="44"/>
        <v>0</v>
      </c>
      <c r="L204" s="68">
        <f t="shared" ca="1" si="45"/>
        <v>0</v>
      </c>
      <c r="M204" s="69">
        <f t="shared" si="46"/>
        <v>0</v>
      </c>
      <c r="N204" s="65" t="str">
        <f t="shared" si="47"/>
        <v/>
      </c>
      <c r="O204" s="70" t="str">
        <f>IF(OR($C204="",$D204="",$F204=""),"",IF($F204="Aylık",EOMONTH($D204,0),($D204+MOD(SISTEM!$F$8-WEEKDAY($D204,2),7))))</f>
        <v/>
      </c>
      <c r="P204" s="61"/>
      <c r="Q204" s="2"/>
      <c r="R204" s="2"/>
      <c r="S204" s="1" t="str">
        <f>IF($B204="","",$B204&amp;"|"&amp;COUNTIFS($B$7:$B204,$B204))</f>
        <v/>
      </c>
      <c r="T204" s="1" t="str">
        <f t="shared" si="48"/>
        <v/>
      </c>
      <c r="U204" s="1">
        <f t="shared" si="49"/>
        <v>0</v>
      </c>
      <c r="V204" s="1">
        <f t="shared" si="50"/>
        <v>2958465</v>
      </c>
      <c r="W204" s="1">
        <f t="shared" si="51"/>
        <v>0</v>
      </c>
      <c r="X204" s="1">
        <f t="shared" si="52"/>
        <v>0</v>
      </c>
      <c r="Y204" s="1">
        <f t="shared" si="53"/>
        <v>97200</v>
      </c>
      <c r="Z204" s="1">
        <f t="shared" si="54"/>
        <v>1</v>
      </c>
      <c r="AA204" s="1">
        <f t="shared" si="55"/>
        <v>0</v>
      </c>
    </row>
    <row r="205" spans="1:27" ht="18" customHeight="1" x14ac:dyDescent="0.3">
      <c r="A205" s="2"/>
      <c r="B205" s="65" t="str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61"/>
      <c r="D205" s="66"/>
      <c r="E205" s="66"/>
      <c r="F205" s="60"/>
      <c r="G205" s="67"/>
      <c r="H205" s="60"/>
      <c r="I205" s="68">
        <f t="shared" ca="1" si="42"/>
        <v>0</v>
      </c>
      <c r="J205" s="68">
        <f t="shared" ca="1" si="43"/>
        <v>0</v>
      </c>
      <c r="K205" s="68">
        <f t="shared" ca="1" si="44"/>
        <v>0</v>
      </c>
      <c r="L205" s="68">
        <f t="shared" ca="1" si="45"/>
        <v>0</v>
      </c>
      <c r="M205" s="69">
        <f t="shared" si="46"/>
        <v>0</v>
      </c>
      <c r="N205" s="65" t="str">
        <f t="shared" si="47"/>
        <v/>
      </c>
      <c r="O205" s="70" t="str">
        <f>IF(OR($C205="",$D205="",$F205=""),"",IF($F205="Aylık",EOMONTH($D205,0),($D205+MOD(SISTEM!$F$8-WEEKDAY($D205,2),7))))</f>
        <v/>
      </c>
      <c r="P205" s="61"/>
      <c r="Q205" s="2"/>
      <c r="R205" s="2"/>
      <c r="S205" s="1" t="str">
        <f>IF($B205="","",$B205&amp;"|"&amp;COUNTIFS($B$7:$B205,$B205))</f>
        <v/>
      </c>
      <c r="T205" s="1" t="str">
        <f t="shared" si="48"/>
        <v/>
      </c>
      <c r="U205" s="1">
        <f t="shared" si="49"/>
        <v>0</v>
      </c>
      <c r="V205" s="1">
        <f t="shared" si="50"/>
        <v>2958465</v>
      </c>
      <c r="W205" s="1">
        <f t="shared" si="51"/>
        <v>0</v>
      </c>
      <c r="X205" s="1">
        <f t="shared" si="52"/>
        <v>0</v>
      </c>
      <c r="Y205" s="1">
        <f t="shared" si="53"/>
        <v>97200</v>
      </c>
      <c r="Z205" s="1">
        <f t="shared" si="54"/>
        <v>1</v>
      </c>
      <c r="AA205" s="1">
        <f t="shared" si="55"/>
        <v>0</v>
      </c>
    </row>
    <row r="206" spans="1:27" ht="18" customHeight="1" x14ac:dyDescent="0.3">
      <c r="A206" s="2"/>
      <c r="B206" s="65" t="str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61"/>
      <c r="D206" s="66"/>
      <c r="E206" s="66"/>
      <c r="F206" s="60"/>
      <c r="G206" s="67"/>
      <c r="H206" s="60"/>
      <c r="I206" s="68">
        <f t="shared" ca="1" si="42"/>
        <v>0</v>
      </c>
      <c r="J206" s="68">
        <f t="shared" ca="1" si="43"/>
        <v>0</v>
      </c>
      <c r="K206" s="68">
        <f t="shared" ca="1" si="44"/>
        <v>0</v>
      </c>
      <c r="L206" s="68">
        <f t="shared" ca="1" si="45"/>
        <v>0</v>
      </c>
      <c r="M206" s="69">
        <f t="shared" si="46"/>
        <v>0</v>
      </c>
      <c r="N206" s="65" t="str">
        <f t="shared" si="47"/>
        <v/>
      </c>
      <c r="O206" s="70" t="str">
        <f>IF(OR($C206="",$D206="",$F206=""),"",IF($F206="Aylık",EOMONTH($D206,0),($D206+MOD(SISTEM!$F$8-WEEKDAY($D206,2),7))))</f>
        <v/>
      </c>
      <c r="P206" s="61"/>
      <c r="Q206" s="2"/>
      <c r="R206" s="2"/>
      <c r="S206" s="1" t="str">
        <f>IF($B206="","",$B206&amp;"|"&amp;COUNTIFS($B$7:$B206,$B206))</f>
        <v/>
      </c>
      <c r="T206" s="1" t="str">
        <f t="shared" si="48"/>
        <v/>
      </c>
      <c r="U206" s="1">
        <f t="shared" si="49"/>
        <v>0</v>
      </c>
      <c r="V206" s="1">
        <f t="shared" si="50"/>
        <v>2958465</v>
      </c>
      <c r="W206" s="1">
        <f t="shared" si="51"/>
        <v>0</v>
      </c>
      <c r="X206" s="1">
        <f t="shared" si="52"/>
        <v>0</v>
      </c>
      <c r="Y206" s="1">
        <f t="shared" si="53"/>
        <v>97200</v>
      </c>
      <c r="Z206" s="1">
        <f t="shared" si="54"/>
        <v>1</v>
      </c>
      <c r="AA206" s="1">
        <f t="shared" si="55"/>
        <v>0</v>
      </c>
    </row>
    <row r="207" spans="1:27" ht="18" customHeight="1" x14ac:dyDescent="0.3">
      <c r="A207" s="2"/>
      <c r="B207" s="65" t="str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61"/>
      <c r="D207" s="66"/>
      <c r="E207" s="66"/>
      <c r="F207" s="60"/>
      <c r="G207" s="67"/>
      <c r="H207" s="60"/>
      <c r="I207" s="68">
        <f t="shared" ca="1" si="42"/>
        <v>0</v>
      </c>
      <c r="J207" s="68">
        <f t="shared" ca="1" si="43"/>
        <v>0</v>
      </c>
      <c r="K207" s="68">
        <f t="shared" ca="1" si="44"/>
        <v>0</v>
      </c>
      <c r="L207" s="68">
        <f t="shared" ca="1" si="45"/>
        <v>0</v>
      </c>
      <c r="M207" s="69">
        <f t="shared" si="46"/>
        <v>0</v>
      </c>
      <c r="N207" s="65" t="str">
        <f t="shared" si="47"/>
        <v/>
      </c>
      <c r="O207" s="70" t="str">
        <f>IF(OR($C207="",$D207="",$F207=""),"",IF($F207="Aylık",EOMONTH($D207,0),($D207+MOD(SISTEM!$F$8-WEEKDAY($D207,2),7))))</f>
        <v/>
      </c>
      <c r="P207" s="61"/>
      <c r="Q207" s="2"/>
      <c r="R207" s="2"/>
      <c r="S207" s="1" t="str">
        <f>IF($B207="","",$B207&amp;"|"&amp;COUNTIFS($B$7:$B207,$B207))</f>
        <v/>
      </c>
      <c r="T207" s="1" t="str">
        <f t="shared" si="48"/>
        <v/>
      </c>
      <c r="U207" s="1">
        <f t="shared" si="49"/>
        <v>0</v>
      </c>
      <c r="V207" s="1">
        <f t="shared" si="50"/>
        <v>2958465</v>
      </c>
      <c r="W207" s="1">
        <f t="shared" si="51"/>
        <v>0</v>
      </c>
      <c r="X207" s="1">
        <f t="shared" si="52"/>
        <v>0</v>
      </c>
      <c r="Y207" s="1">
        <f t="shared" si="53"/>
        <v>97200</v>
      </c>
      <c r="Z207" s="1">
        <f t="shared" si="54"/>
        <v>1</v>
      </c>
      <c r="AA207" s="1">
        <f t="shared" si="55"/>
        <v>0</v>
      </c>
    </row>
    <row r="208" spans="1:27" ht="18" customHeight="1" x14ac:dyDescent="0.3">
      <c r="A208" s="2"/>
      <c r="B208" s="65" t="str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61"/>
      <c r="D208" s="66"/>
      <c r="E208" s="66"/>
      <c r="F208" s="60"/>
      <c r="G208" s="67"/>
      <c r="H208" s="60"/>
      <c r="I208" s="68">
        <f t="shared" ca="1" si="42"/>
        <v>0</v>
      </c>
      <c r="J208" s="68">
        <f t="shared" ca="1" si="43"/>
        <v>0</v>
      </c>
      <c r="K208" s="68">
        <f t="shared" ca="1" si="44"/>
        <v>0</v>
      </c>
      <c r="L208" s="68">
        <f t="shared" ca="1" si="45"/>
        <v>0</v>
      </c>
      <c r="M208" s="69">
        <f t="shared" si="46"/>
        <v>0</v>
      </c>
      <c r="N208" s="65" t="str">
        <f t="shared" si="47"/>
        <v/>
      </c>
      <c r="O208" s="70" t="str">
        <f>IF(OR($C208="",$D208="",$F208=""),"",IF($F208="Aylık",EOMONTH($D208,0),($D208+MOD(SISTEM!$F$8-WEEKDAY($D208,2),7))))</f>
        <v/>
      </c>
      <c r="P208" s="61"/>
      <c r="Q208" s="2"/>
      <c r="R208" s="2"/>
      <c r="S208" s="1" t="str">
        <f>IF($B208="","",$B208&amp;"|"&amp;COUNTIFS($B$7:$B208,$B208))</f>
        <v/>
      </c>
      <c r="T208" s="1" t="str">
        <f t="shared" si="48"/>
        <v/>
      </c>
      <c r="U208" s="1">
        <f t="shared" si="49"/>
        <v>0</v>
      </c>
      <c r="V208" s="1">
        <f t="shared" si="50"/>
        <v>2958465</v>
      </c>
      <c r="W208" s="1">
        <f t="shared" si="51"/>
        <v>0</v>
      </c>
      <c r="X208" s="1">
        <f t="shared" si="52"/>
        <v>0</v>
      </c>
      <c r="Y208" s="1">
        <f t="shared" si="53"/>
        <v>97200</v>
      </c>
      <c r="Z208" s="1">
        <f t="shared" si="54"/>
        <v>1</v>
      </c>
      <c r="AA208" s="1">
        <f t="shared" si="55"/>
        <v>0</v>
      </c>
    </row>
    <row r="209" spans="1:27" ht="18" customHeight="1" x14ac:dyDescent="0.3">
      <c r="A209" s="2"/>
      <c r="B209" s="65" t="str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61"/>
      <c r="D209" s="66"/>
      <c r="E209" s="66"/>
      <c r="F209" s="60"/>
      <c r="G209" s="67"/>
      <c r="H209" s="60"/>
      <c r="I209" s="68">
        <f t="shared" ca="1" si="42"/>
        <v>0</v>
      </c>
      <c r="J209" s="68">
        <f t="shared" ca="1" si="43"/>
        <v>0</v>
      </c>
      <c r="K209" s="68">
        <f t="shared" ca="1" si="44"/>
        <v>0</v>
      </c>
      <c r="L209" s="68">
        <f t="shared" ca="1" si="45"/>
        <v>0</v>
      </c>
      <c r="M209" s="69">
        <f t="shared" si="46"/>
        <v>0</v>
      </c>
      <c r="N209" s="65" t="str">
        <f t="shared" si="47"/>
        <v/>
      </c>
      <c r="O209" s="70" t="str">
        <f>IF(OR($C209="",$D209="",$F209=""),"",IF($F209="Aylık",EOMONTH($D209,0),($D209+MOD(SISTEM!$F$8-WEEKDAY($D209,2),7))))</f>
        <v/>
      </c>
      <c r="P209" s="61"/>
      <c r="Q209" s="2"/>
      <c r="R209" s="2"/>
      <c r="S209" s="1" t="str">
        <f>IF($B209="","",$B209&amp;"|"&amp;COUNTIFS($B$7:$B209,$B209))</f>
        <v/>
      </c>
      <c r="T209" s="1" t="str">
        <f t="shared" si="48"/>
        <v/>
      </c>
      <c r="U209" s="1">
        <f t="shared" si="49"/>
        <v>0</v>
      </c>
      <c r="V209" s="1">
        <f t="shared" si="50"/>
        <v>2958465</v>
      </c>
      <c r="W209" s="1">
        <f t="shared" si="51"/>
        <v>0</v>
      </c>
      <c r="X209" s="1">
        <f t="shared" si="52"/>
        <v>0</v>
      </c>
      <c r="Y209" s="1">
        <f t="shared" si="53"/>
        <v>97200</v>
      </c>
      <c r="Z209" s="1">
        <f t="shared" si="54"/>
        <v>1</v>
      </c>
      <c r="AA209" s="1">
        <f t="shared" si="55"/>
        <v>0</v>
      </c>
    </row>
    <row r="210" spans="1:27" ht="18" customHeight="1" x14ac:dyDescent="0.3">
      <c r="A210" s="2"/>
      <c r="B210" s="65" t="str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61"/>
      <c r="D210" s="66"/>
      <c r="E210" s="66"/>
      <c r="F210" s="60"/>
      <c r="G210" s="67"/>
      <c r="H210" s="60"/>
      <c r="I210" s="68">
        <f t="shared" ca="1" si="42"/>
        <v>0</v>
      </c>
      <c r="J210" s="68">
        <f t="shared" ca="1" si="43"/>
        <v>0</v>
      </c>
      <c r="K210" s="68">
        <f t="shared" ca="1" si="44"/>
        <v>0</v>
      </c>
      <c r="L210" s="68">
        <f t="shared" ca="1" si="45"/>
        <v>0</v>
      </c>
      <c r="M210" s="69">
        <f t="shared" si="46"/>
        <v>0</v>
      </c>
      <c r="N210" s="65" t="str">
        <f t="shared" si="47"/>
        <v/>
      </c>
      <c r="O210" s="70" t="str">
        <f>IF(OR($C210="",$D210="",$F210=""),"",IF($F210="Aylık",EOMONTH($D210,0),($D210+MOD(SISTEM!$F$8-WEEKDAY($D210,2),7))))</f>
        <v/>
      </c>
      <c r="P210" s="61"/>
      <c r="Q210" s="2"/>
      <c r="R210" s="2"/>
      <c r="S210" s="1" t="str">
        <f>IF($B210="","",$B210&amp;"|"&amp;COUNTIFS($B$7:$B210,$B210))</f>
        <v/>
      </c>
      <c r="T210" s="1" t="str">
        <f t="shared" si="48"/>
        <v/>
      </c>
      <c r="U210" s="1">
        <f t="shared" si="49"/>
        <v>0</v>
      </c>
      <c r="V210" s="1">
        <f t="shared" si="50"/>
        <v>2958465</v>
      </c>
      <c r="W210" s="1">
        <f t="shared" si="51"/>
        <v>0</v>
      </c>
      <c r="X210" s="1">
        <f t="shared" si="52"/>
        <v>0</v>
      </c>
      <c r="Y210" s="1">
        <f t="shared" si="53"/>
        <v>97200</v>
      </c>
      <c r="Z210" s="1">
        <f t="shared" si="54"/>
        <v>1</v>
      </c>
      <c r="AA210" s="1">
        <f t="shared" si="55"/>
        <v>0</v>
      </c>
    </row>
    <row r="211" spans="1:27" ht="18" customHeight="1" x14ac:dyDescent="0.3">
      <c r="A211" s="2"/>
      <c r="B211" s="65" t="str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61"/>
      <c r="D211" s="66"/>
      <c r="E211" s="66"/>
      <c r="F211" s="60"/>
      <c r="G211" s="67"/>
      <c r="H211" s="60"/>
      <c r="I211" s="68">
        <f t="shared" ca="1" si="42"/>
        <v>0</v>
      </c>
      <c r="J211" s="68">
        <f t="shared" ca="1" si="43"/>
        <v>0</v>
      </c>
      <c r="K211" s="68">
        <f t="shared" ca="1" si="44"/>
        <v>0</v>
      </c>
      <c r="L211" s="68">
        <f t="shared" ca="1" si="45"/>
        <v>0</v>
      </c>
      <c r="M211" s="69">
        <f t="shared" si="46"/>
        <v>0</v>
      </c>
      <c r="N211" s="65" t="str">
        <f t="shared" si="47"/>
        <v/>
      </c>
      <c r="O211" s="70" t="str">
        <f>IF(OR($C211="",$D211="",$F211=""),"",IF($F211="Aylık",EOMONTH($D211,0),($D211+MOD(SISTEM!$F$8-WEEKDAY($D211,2),7))))</f>
        <v/>
      </c>
      <c r="P211" s="61"/>
      <c r="Q211" s="2"/>
      <c r="R211" s="2"/>
      <c r="S211" s="1" t="str">
        <f>IF($B211="","",$B211&amp;"|"&amp;COUNTIFS($B$7:$B211,$B211))</f>
        <v/>
      </c>
      <c r="T211" s="1" t="str">
        <f t="shared" si="48"/>
        <v/>
      </c>
      <c r="U211" s="1">
        <f t="shared" si="49"/>
        <v>0</v>
      </c>
      <c r="V211" s="1">
        <f t="shared" si="50"/>
        <v>2958465</v>
      </c>
      <c r="W211" s="1">
        <f t="shared" si="51"/>
        <v>0</v>
      </c>
      <c r="X211" s="1">
        <f t="shared" si="52"/>
        <v>0</v>
      </c>
      <c r="Y211" s="1">
        <f t="shared" si="53"/>
        <v>97200</v>
      </c>
      <c r="Z211" s="1">
        <f t="shared" si="54"/>
        <v>1</v>
      </c>
      <c r="AA211" s="1">
        <f t="shared" si="55"/>
        <v>0</v>
      </c>
    </row>
    <row r="212" spans="1:27" ht="18" customHeight="1" x14ac:dyDescent="0.3">
      <c r="A212" s="2"/>
      <c r="B212" s="65" t="str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61"/>
      <c r="D212" s="66"/>
      <c r="E212" s="66"/>
      <c r="F212" s="60"/>
      <c r="G212" s="67"/>
      <c r="H212" s="60"/>
      <c r="I212" s="68">
        <f t="shared" ca="1" si="42"/>
        <v>0</v>
      </c>
      <c r="J212" s="68">
        <f t="shared" ca="1" si="43"/>
        <v>0</v>
      </c>
      <c r="K212" s="68">
        <f t="shared" ca="1" si="44"/>
        <v>0</v>
      </c>
      <c r="L212" s="68">
        <f t="shared" ca="1" si="45"/>
        <v>0</v>
      </c>
      <c r="M212" s="69">
        <f t="shared" si="46"/>
        <v>0</v>
      </c>
      <c r="N212" s="65" t="str">
        <f t="shared" si="47"/>
        <v/>
      </c>
      <c r="O212" s="70" t="str">
        <f>IF(OR($C212="",$D212="",$F212=""),"",IF($F212="Aylık",EOMONTH($D212,0),($D212+MOD(SISTEM!$F$8-WEEKDAY($D212,2),7))))</f>
        <v/>
      </c>
      <c r="P212" s="61"/>
      <c r="Q212" s="2"/>
      <c r="R212" s="2"/>
      <c r="S212" s="1" t="str">
        <f>IF($B212="","",$B212&amp;"|"&amp;COUNTIFS($B$7:$B212,$B212))</f>
        <v/>
      </c>
      <c r="T212" s="1" t="str">
        <f t="shared" si="48"/>
        <v/>
      </c>
      <c r="U212" s="1">
        <f t="shared" si="49"/>
        <v>0</v>
      </c>
      <c r="V212" s="1">
        <f t="shared" si="50"/>
        <v>2958465</v>
      </c>
      <c r="W212" s="1">
        <f t="shared" si="51"/>
        <v>0</v>
      </c>
      <c r="X212" s="1">
        <f t="shared" si="52"/>
        <v>0</v>
      </c>
      <c r="Y212" s="1">
        <f t="shared" si="53"/>
        <v>97200</v>
      </c>
      <c r="Z212" s="1">
        <f t="shared" si="54"/>
        <v>1</v>
      </c>
      <c r="AA212" s="1">
        <f t="shared" si="55"/>
        <v>0</v>
      </c>
    </row>
    <row r="213" spans="1:27" ht="18" customHeight="1" x14ac:dyDescent="0.3">
      <c r="A213" s="2"/>
      <c r="B213" s="65" t="str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61"/>
      <c r="D213" s="66"/>
      <c r="E213" s="66"/>
      <c r="F213" s="60"/>
      <c r="G213" s="67"/>
      <c r="H213" s="60"/>
      <c r="I213" s="68">
        <f t="shared" ca="1" si="42"/>
        <v>0</v>
      </c>
      <c r="J213" s="68">
        <f t="shared" ca="1" si="43"/>
        <v>0</v>
      </c>
      <c r="K213" s="68">
        <f t="shared" ca="1" si="44"/>
        <v>0</v>
      </c>
      <c r="L213" s="68">
        <f t="shared" ca="1" si="45"/>
        <v>0</v>
      </c>
      <c r="M213" s="69">
        <f t="shared" si="46"/>
        <v>0</v>
      </c>
      <c r="N213" s="65" t="str">
        <f t="shared" si="47"/>
        <v/>
      </c>
      <c r="O213" s="70" t="str">
        <f>IF(OR($C213="",$D213="",$F213=""),"",IF($F213="Aylık",EOMONTH($D213,0),($D213+MOD(SISTEM!$F$8-WEEKDAY($D213,2),7))))</f>
        <v/>
      </c>
      <c r="P213" s="61"/>
      <c r="Q213" s="2"/>
      <c r="R213" s="2"/>
      <c r="S213" s="1" t="str">
        <f>IF($B213="","",$B213&amp;"|"&amp;COUNTIFS($B$7:$B213,$B213))</f>
        <v/>
      </c>
      <c r="T213" s="1" t="str">
        <f t="shared" si="48"/>
        <v/>
      </c>
      <c r="U213" s="1">
        <f t="shared" si="49"/>
        <v>0</v>
      </c>
      <c r="V213" s="1">
        <f t="shared" si="50"/>
        <v>2958465</v>
      </c>
      <c r="W213" s="1">
        <f t="shared" si="51"/>
        <v>0</v>
      </c>
      <c r="X213" s="1">
        <f t="shared" si="52"/>
        <v>0</v>
      </c>
      <c r="Y213" s="1">
        <f t="shared" si="53"/>
        <v>97200</v>
      </c>
      <c r="Z213" s="1">
        <f t="shared" si="54"/>
        <v>1</v>
      </c>
      <c r="AA213" s="1">
        <f t="shared" si="55"/>
        <v>0</v>
      </c>
    </row>
    <row r="214" spans="1:27" ht="18" customHeight="1" x14ac:dyDescent="0.3">
      <c r="A214" s="2"/>
      <c r="B214" s="65" t="str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61"/>
      <c r="D214" s="66"/>
      <c r="E214" s="66"/>
      <c r="F214" s="60"/>
      <c r="G214" s="67"/>
      <c r="H214" s="60"/>
      <c r="I214" s="68">
        <f t="shared" ca="1" si="42"/>
        <v>0</v>
      </c>
      <c r="J214" s="68">
        <f t="shared" ca="1" si="43"/>
        <v>0</v>
      </c>
      <c r="K214" s="68">
        <f t="shared" ca="1" si="44"/>
        <v>0</v>
      </c>
      <c r="L214" s="68">
        <f t="shared" ca="1" si="45"/>
        <v>0</v>
      </c>
      <c r="M214" s="69">
        <f t="shared" si="46"/>
        <v>0</v>
      </c>
      <c r="N214" s="65" t="str">
        <f t="shared" si="47"/>
        <v/>
      </c>
      <c r="O214" s="70" t="str">
        <f>IF(OR($C214="",$D214="",$F214=""),"",IF($F214="Aylık",EOMONTH($D214,0),($D214+MOD(SISTEM!$F$8-WEEKDAY($D214,2),7))))</f>
        <v/>
      </c>
      <c r="P214" s="61"/>
      <c r="Q214" s="2"/>
      <c r="R214" s="2"/>
      <c r="S214" s="1" t="str">
        <f>IF($B214="","",$B214&amp;"|"&amp;COUNTIFS($B$7:$B214,$B214))</f>
        <v/>
      </c>
      <c r="T214" s="1" t="str">
        <f t="shared" si="48"/>
        <v/>
      </c>
      <c r="U214" s="1">
        <f t="shared" si="49"/>
        <v>0</v>
      </c>
      <c r="V214" s="1">
        <f t="shared" si="50"/>
        <v>2958465</v>
      </c>
      <c r="W214" s="1">
        <f t="shared" si="51"/>
        <v>0</v>
      </c>
      <c r="X214" s="1">
        <f t="shared" si="52"/>
        <v>0</v>
      </c>
      <c r="Y214" s="1">
        <f t="shared" si="53"/>
        <v>97200</v>
      </c>
      <c r="Z214" s="1">
        <f t="shared" si="54"/>
        <v>1</v>
      </c>
      <c r="AA214" s="1">
        <f t="shared" si="55"/>
        <v>0</v>
      </c>
    </row>
    <row r="215" spans="1:27" ht="18" customHeight="1" x14ac:dyDescent="0.3">
      <c r="A215" s="2"/>
      <c r="B215" s="65" t="str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61"/>
      <c r="D215" s="66"/>
      <c r="E215" s="66"/>
      <c r="F215" s="60"/>
      <c r="G215" s="67"/>
      <c r="H215" s="60"/>
      <c r="I215" s="68">
        <f t="shared" ca="1" si="42"/>
        <v>0</v>
      </c>
      <c r="J215" s="68">
        <f t="shared" ca="1" si="43"/>
        <v>0</v>
      </c>
      <c r="K215" s="68">
        <f t="shared" ca="1" si="44"/>
        <v>0</v>
      </c>
      <c r="L215" s="68">
        <f t="shared" ca="1" si="45"/>
        <v>0</v>
      </c>
      <c r="M215" s="69">
        <f t="shared" si="46"/>
        <v>0</v>
      </c>
      <c r="N215" s="65" t="str">
        <f t="shared" si="47"/>
        <v/>
      </c>
      <c r="O215" s="70" t="str">
        <f>IF(OR($C215="",$D215="",$F215=""),"",IF($F215="Aylık",EOMONTH($D215,0),($D215+MOD(SISTEM!$F$8-WEEKDAY($D215,2),7))))</f>
        <v/>
      </c>
      <c r="P215" s="61"/>
      <c r="Q215" s="2"/>
      <c r="R215" s="2"/>
      <c r="S215" s="1" t="str">
        <f>IF($B215="","",$B215&amp;"|"&amp;COUNTIFS($B$7:$B215,$B215))</f>
        <v/>
      </c>
      <c r="T215" s="1" t="str">
        <f t="shared" si="48"/>
        <v/>
      </c>
      <c r="U215" s="1">
        <f t="shared" si="49"/>
        <v>0</v>
      </c>
      <c r="V215" s="1">
        <f t="shared" si="50"/>
        <v>2958465</v>
      </c>
      <c r="W215" s="1">
        <f t="shared" si="51"/>
        <v>0</v>
      </c>
      <c r="X215" s="1">
        <f t="shared" si="52"/>
        <v>0</v>
      </c>
      <c r="Y215" s="1">
        <f t="shared" si="53"/>
        <v>97200</v>
      </c>
      <c r="Z215" s="1">
        <f t="shared" si="54"/>
        <v>1</v>
      </c>
      <c r="AA215" s="1">
        <f t="shared" si="55"/>
        <v>0</v>
      </c>
    </row>
    <row r="216" spans="1:27" ht="18" customHeight="1" x14ac:dyDescent="0.3">
      <c r="A216" s="2"/>
      <c r="B216" s="65" t="str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61"/>
      <c r="D216" s="66"/>
      <c r="E216" s="66"/>
      <c r="F216" s="60"/>
      <c r="G216" s="67"/>
      <c r="H216" s="60"/>
      <c r="I216" s="68">
        <f t="shared" ca="1" si="42"/>
        <v>0</v>
      </c>
      <c r="J216" s="68">
        <f t="shared" ca="1" si="43"/>
        <v>0</v>
      </c>
      <c r="K216" s="68">
        <f t="shared" ca="1" si="44"/>
        <v>0</v>
      </c>
      <c r="L216" s="68">
        <f t="shared" ca="1" si="45"/>
        <v>0</v>
      </c>
      <c r="M216" s="69">
        <f t="shared" si="46"/>
        <v>0</v>
      </c>
      <c r="N216" s="65" t="str">
        <f t="shared" si="47"/>
        <v/>
      </c>
      <c r="O216" s="70" t="str">
        <f>IF(OR($C216="",$D216="",$F216=""),"",IF($F216="Aylık",EOMONTH($D216,0),($D216+MOD(SISTEM!$F$8-WEEKDAY($D216,2),7))))</f>
        <v/>
      </c>
      <c r="P216" s="61"/>
      <c r="Q216" s="2"/>
      <c r="R216" s="2"/>
      <c r="S216" s="1" t="str">
        <f>IF($B216="","",$B216&amp;"|"&amp;COUNTIFS($B$7:$B216,$B216))</f>
        <v/>
      </c>
      <c r="T216" s="1" t="str">
        <f t="shared" si="48"/>
        <v/>
      </c>
      <c r="U216" s="1">
        <f t="shared" si="49"/>
        <v>0</v>
      </c>
      <c r="V216" s="1">
        <f t="shared" si="50"/>
        <v>2958465</v>
      </c>
      <c r="W216" s="1">
        <f t="shared" si="51"/>
        <v>0</v>
      </c>
      <c r="X216" s="1">
        <f t="shared" si="52"/>
        <v>0</v>
      </c>
      <c r="Y216" s="1">
        <f t="shared" si="53"/>
        <v>97200</v>
      </c>
      <c r="Z216" s="1">
        <f t="shared" si="54"/>
        <v>1</v>
      </c>
      <c r="AA216" s="1">
        <f t="shared" si="55"/>
        <v>0</v>
      </c>
    </row>
    <row r="217" spans="1:27" ht="18" customHeight="1" x14ac:dyDescent="0.3">
      <c r="A217" s="2"/>
      <c r="B217" s="65" t="str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61"/>
      <c r="D217" s="66"/>
      <c r="E217" s="66"/>
      <c r="F217" s="60"/>
      <c r="G217" s="67"/>
      <c r="H217" s="60"/>
      <c r="I217" s="68">
        <f t="shared" ca="1" si="42"/>
        <v>0</v>
      </c>
      <c r="J217" s="68">
        <f t="shared" ca="1" si="43"/>
        <v>0</v>
      </c>
      <c r="K217" s="68">
        <f t="shared" ca="1" si="44"/>
        <v>0</v>
      </c>
      <c r="L217" s="68">
        <f t="shared" ca="1" si="45"/>
        <v>0</v>
      </c>
      <c r="M217" s="69">
        <f t="shared" si="46"/>
        <v>0</v>
      </c>
      <c r="N217" s="65" t="str">
        <f t="shared" si="47"/>
        <v/>
      </c>
      <c r="O217" s="70" t="str">
        <f>IF(OR($C217="",$D217="",$F217=""),"",IF($F217="Aylık",EOMONTH($D217,0),($D217+MOD(SISTEM!$F$8-WEEKDAY($D217,2),7))))</f>
        <v/>
      </c>
      <c r="P217" s="61"/>
      <c r="Q217" s="2"/>
      <c r="R217" s="2"/>
      <c r="S217" s="1" t="str">
        <f>IF($B217="","",$B217&amp;"|"&amp;COUNTIFS($B$7:$B217,$B217))</f>
        <v/>
      </c>
      <c r="T217" s="1" t="str">
        <f t="shared" si="48"/>
        <v/>
      </c>
      <c r="U217" s="1">
        <f t="shared" si="49"/>
        <v>0</v>
      </c>
      <c r="V217" s="1">
        <f t="shared" si="50"/>
        <v>2958465</v>
      </c>
      <c r="W217" s="1">
        <f t="shared" si="51"/>
        <v>0</v>
      </c>
      <c r="X217" s="1">
        <f t="shared" si="52"/>
        <v>0</v>
      </c>
      <c r="Y217" s="1">
        <f t="shared" si="53"/>
        <v>97200</v>
      </c>
      <c r="Z217" s="1">
        <f t="shared" si="54"/>
        <v>1</v>
      </c>
      <c r="AA217" s="1">
        <f t="shared" si="55"/>
        <v>0</v>
      </c>
    </row>
    <row r="218" spans="1:27" ht="18" customHeight="1" x14ac:dyDescent="0.3">
      <c r="A218" s="2"/>
      <c r="B218" s="65" t="str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61"/>
      <c r="D218" s="66"/>
      <c r="E218" s="66"/>
      <c r="F218" s="60"/>
      <c r="G218" s="67"/>
      <c r="H218" s="60"/>
      <c r="I218" s="68">
        <f t="shared" ca="1" si="42"/>
        <v>0</v>
      </c>
      <c r="J218" s="68">
        <f t="shared" ca="1" si="43"/>
        <v>0</v>
      </c>
      <c r="K218" s="68">
        <f t="shared" ca="1" si="44"/>
        <v>0</v>
      </c>
      <c r="L218" s="68">
        <f t="shared" ca="1" si="45"/>
        <v>0</v>
      </c>
      <c r="M218" s="69">
        <f t="shared" si="46"/>
        <v>0</v>
      </c>
      <c r="N218" s="65" t="str">
        <f t="shared" si="47"/>
        <v/>
      </c>
      <c r="O218" s="70" t="str">
        <f>IF(OR($C218="",$D218="",$F218=""),"",IF($F218="Aylık",EOMONTH($D218,0),($D218+MOD(SISTEM!$F$8-WEEKDAY($D218,2),7))))</f>
        <v/>
      </c>
      <c r="P218" s="61"/>
      <c r="Q218" s="2"/>
      <c r="R218" s="2"/>
      <c r="S218" s="1" t="str">
        <f>IF($B218="","",$B218&amp;"|"&amp;COUNTIFS($B$7:$B218,$B218))</f>
        <v/>
      </c>
      <c r="T218" s="1" t="str">
        <f t="shared" si="48"/>
        <v/>
      </c>
      <c r="U218" s="1">
        <f t="shared" si="49"/>
        <v>0</v>
      </c>
      <c r="V218" s="1">
        <f t="shared" si="50"/>
        <v>2958465</v>
      </c>
      <c r="W218" s="1">
        <f t="shared" si="51"/>
        <v>0</v>
      </c>
      <c r="X218" s="1">
        <f t="shared" si="52"/>
        <v>0</v>
      </c>
      <c r="Y218" s="1">
        <f t="shared" si="53"/>
        <v>97200</v>
      </c>
      <c r="Z218" s="1">
        <f t="shared" si="54"/>
        <v>1</v>
      </c>
      <c r="AA218" s="1">
        <f t="shared" si="55"/>
        <v>0</v>
      </c>
    </row>
    <row r="219" spans="1:27" ht="18" customHeight="1" x14ac:dyDescent="0.3">
      <c r="A219" s="2"/>
      <c r="B219" s="65" t="str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61"/>
      <c r="D219" s="66"/>
      <c r="E219" s="66"/>
      <c r="F219" s="60"/>
      <c r="G219" s="67"/>
      <c r="H219" s="60"/>
      <c r="I219" s="68">
        <f t="shared" ca="1" si="42"/>
        <v>0</v>
      </c>
      <c r="J219" s="68">
        <f t="shared" ca="1" si="43"/>
        <v>0</v>
      </c>
      <c r="K219" s="68">
        <f t="shared" ca="1" si="44"/>
        <v>0</v>
      </c>
      <c r="L219" s="68">
        <f t="shared" ca="1" si="45"/>
        <v>0</v>
      </c>
      <c r="M219" s="69">
        <f t="shared" si="46"/>
        <v>0</v>
      </c>
      <c r="N219" s="65" t="str">
        <f t="shared" si="47"/>
        <v/>
      </c>
      <c r="O219" s="70" t="str">
        <f>IF(OR($C219="",$D219="",$F219=""),"",IF($F219="Aylık",EOMONTH($D219,0),($D219+MOD(SISTEM!$F$8-WEEKDAY($D219,2),7))))</f>
        <v/>
      </c>
      <c r="P219" s="61"/>
      <c r="Q219" s="2"/>
      <c r="R219" s="2"/>
      <c r="S219" s="1" t="str">
        <f>IF($B219="","",$B219&amp;"|"&amp;COUNTIFS($B$7:$B219,$B219))</f>
        <v/>
      </c>
      <c r="T219" s="1" t="str">
        <f t="shared" si="48"/>
        <v/>
      </c>
      <c r="U219" s="1">
        <f t="shared" si="49"/>
        <v>0</v>
      </c>
      <c r="V219" s="1">
        <f t="shared" si="50"/>
        <v>2958465</v>
      </c>
      <c r="W219" s="1">
        <f t="shared" si="51"/>
        <v>0</v>
      </c>
      <c r="X219" s="1">
        <f t="shared" si="52"/>
        <v>0</v>
      </c>
      <c r="Y219" s="1">
        <f t="shared" si="53"/>
        <v>97200</v>
      </c>
      <c r="Z219" s="1">
        <f t="shared" si="54"/>
        <v>1</v>
      </c>
      <c r="AA219" s="1">
        <f t="shared" si="55"/>
        <v>0</v>
      </c>
    </row>
    <row r="220" spans="1:27" ht="18" customHeight="1" x14ac:dyDescent="0.3">
      <c r="A220" s="2"/>
      <c r="B220" s="65" t="str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61"/>
      <c r="D220" s="66"/>
      <c r="E220" s="66"/>
      <c r="F220" s="60"/>
      <c r="G220" s="67"/>
      <c r="H220" s="60"/>
      <c r="I220" s="68">
        <f t="shared" ca="1" si="42"/>
        <v>0</v>
      </c>
      <c r="J220" s="68">
        <f t="shared" ca="1" si="43"/>
        <v>0</v>
      </c>
      <c r="K220" s="68">
        <f t="shared" ca="1" si="44"/>
        <v>0</v>
      </c>
      <c r="L220" s="68">
        <f t="shared" ca="1" si="45"/>
        <v>0</v>
      </c>
      <c r="M220" s="69">
        <f t="shared" si="46"/>
        <v>0</v>
      </c>
      <c r="N220" s="65" t="str">
        <f t="shared" si="47"/>
        <v/>
      </c>
      <c r="O220" s="70" t="str">
        <f>IF(OR($C220="",$D220="",$F220=""),"",IF($F220="Aylık",EOMONTH($D220,0),($D220+MOD(SISTEM!$F$8-WEEKDAY($D220,2),7))))</f>
        <v/>
      </c>
      <c r="P220" s="61"/>
      <c r="Q220" s="2"/>
      <c r="R220" s="2"/>
      <c r="S220" s="1" t="str">
        <f>IF($B220="","",$B220&amp;"|"&amp;COUNTIFS($B$7:$B220,$B220))</f>
        <v/>
      </c>
      <c r="T220" s="1" t="str">
        <f t="shared" si="48"/>
        <v/>
      </c>
      <c r="U220" s="1">
        <f t="shared" si="49"/>
        <v>0</v>
      </c>
      <c r="V220" s="1">
        <f t="shared" si="50"/>
        <v>2958465</v>
      </c>
      <c r="W220" s="1">
        <f t="shared" si="51"/>
        <v>0</v>
      </c>
      <c r="X220" s="1">
        <f t="shared" si="52"/>
        <v>0</v>
      </c>
      <c r="Y220" s="1">
        <f t="shared" si="53"/>
        <v>97200</v>
      </c>
      <c r="Z220" s="1">
        <f t="shared" si="54"/>
        <v>1</v>
      </c>
      <c r="AA220" s="1">
        <f t="shared" si="55"/>
        <v>0</v>
      </c>
    </row>
    <row r="221" spans="1:27" ht="18" customHeight="1" x14ac:dyDescent="0.3">
      <c r="A221" s="2"/>
      <c r="B221" s="65" t="str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61"/>
      <c r="D221" s="66"/>
      <c r="E221" s="66"/>
      <c r="F221" s="60"/>
      <c r="G221" s="67"/>
      <c r="H221" s="60"/>
      <c r="I221" s="68">
        <f t="shared" ca="1" si="42"/>
        <v>0</v>
      </c>
      <c r="J221" s="68">
        <f t="shared" ca="1" si="43"/>
        <v>0</v>
      </c>
      <c r="K221" s="68">
        <f t="shared" ca="1" si="44"/>
        <v>0</v>
      </c>
      <c r="L221" s="68">
        <f t="shared" ca="1" si="45"/>
        <v>0</v>
      </c>
      <c r="M221" s="69">
        <f t="shared" si="46"/>
        <v>0</v>
      </c>
      <c r="N221" s="65" t="str">
        <f t="shared" si="47"/>
        <v/>
      </c>
      <c r="O221" s="70" t="str">
        <f>IF(OR($C221="",$D221="",$F221=""),"",IF($F221="Aylık",EOMONTH($D221,0),($D221+MOD(SISTEM!$F$8-WEEKDAY($D221,2),7))))</f>
        <v/>
      </c>
      <c r="P221" s="61"/>
      <c r="Q221" s="2"/>
      <c r="R221" s="2"/>
      <c r="S221" s="1" t="str">
        <f>IF($B221="","",$B221&amp;"|"&amp;COUNTIFS($B$7:$B221,$B221))</f>
        <v/>
      </c>
      <c r="T221" s="1" t="str">
        <f t="shared" si="48"/>
        <v/>
      </c>
      <c r="U221" s="1">
        <f t="shared" si="49"/>
        <v>0</v>
      </c>
      <c r="V221" s="1">
        <f t="shared" si="50"/>
        <v>2958465</v>
      </c>
      <c r="W221" s="1">
        <f t="shared" si="51"/>
        <v>0</v>
      </c>
      <c r="X221" s="1">
        <f t="shared" si="52"/>
        <v>0</v>
      </c>
      <c r="Y221" s="1">
        <f t="shared" si="53"/>
        <v>97200</v>
      </c>
      <c r="Z221" s="1">
        <f t="shared" si="54"/>
        <v>1</v>
      </c>
      <c r="AA221" s="1">
        <f t="shared" si="55"/>
        <v>0</v>
      </c>
    </row>
    <row r="222" spans="1:27" ht="18" customHeight="1" x14ac:dyDescent="0.3">
      <c r="A222" s="2"/>
      <c r="B222" s="65" t="str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61"/>
      <c r="D222" s="66"/>
      <c r="E222" s="66"/>
      <c r="F222" s="60"/>
      <c r="G222" s="67"/>
      <c r="H222" s="60"/>
      <c r="I222" s="68">
        <f t="shared" ca="1" si="42"/>
        <v>0</v>
      </c>
      <c r="J222" s="68">
        <f t="shared" ca="1" si="43"/>
        <v>0</v>
      </c>
      <c r="K222" s="68">
        <f t="shared" ca="1" si="44"/>
        <v>0</v>
      </c>
      <c r="L222" s="68">
        <f t="shared" ca="1" si="45"/>
        <v>0</v>
      </c>
      <c r="M222" s="69">
        <f t="shared" si="46"/>
        <v>0</v>
      </c>
      <c r="N222" s="65" t="str">
        <f t="shared" si="47"/>
        <v/>
      </c>
      <c r="O222" s="70" t="str">
        <f>IF(OR($C222="",$D222="",$F222=""),"",IF($F222="Aylık",EOMONTH($D222,0),($D222+MOD(SISTEM!$F$8-WEEKDAY($D222,2),7))))</f>
        <v/>
      </c>
      <c r="P222" s="61"/>
      <c r="Q222" s="2"/>
      <c r="R222" s="2"/>
      <c r="S222" s="1" t="str">
        <f>IF($B222="","",$B222&amp;"|"&amp;COUNTIFS($B$7:$B222,$B222))</f>
        <v/>
      </c>
      <c r="T222" s="1" t="str">
        <f t="shared" si="48"/>
        <v/>
      </c>
      <c r="U222" s="1">
        <f t="shared" si="49"/>
        <v>0</v>
      </c>
      <c r="V222" s="1">
        <f t="shared" si="50"/>
        <v>2958465</v>
      </c>
      <c r="W222" s="1">
        <f t="shared" si="51"/>
        <v>0</v>
      </c>
      <c r="X222" s="1">
        <f t="shared" si="52"/>
        <v>0</v>
      </c>
      <c r="Y222" s="1">
        <f t="shared" si="53"/>
        <v>97200</v>
      </c>
      <c r="Z222" s="1">
        <f t="shared" si="54"/>
        <v>1</v>
      </c>
      <c r="AA222" s="1">
        <f t="shared" si="55"/>
        <v>0</v>
      </c>
    </row>
    <row r="223" spans="1:27" ht="18" customHeight="1" x14ac:dyDescent="0.3">
      <c r="A223" s="2"/>
      <c r="B223" s="65" t="str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61"/>
      <c r="D223" s="66"/>
      <c r="E223" s="66"/>
      <c r="F223" s="60"/>
      <c r="G223" s="67"/>
      <c r="H223" s="60"/>
      <c r="I223" s="68">
        <f t="shared" ca="1" si="42"/>
        <v>0</v>
      </c>
      <c r="J223" s="68">
        <f t="shared" ca="1" si="43"/>
        <v>0</v>
      </c>
      <c r="K223" s="68">
        <f t="shared" ca="1" si="44"/>
        <v>0</v>
      </c>
      <c r="L223" s="68">
        <f t="shared" ca="1" si="45"/>
        <v>0</v>
      </c>
      <c r="M223" s="69">
        <f t="shared" si="46"/>
        <v>0</v>
      </c>
      <c r="N223" s="65" t="str">
        <f t="shared" si="47"/>
        <v/>
      </c>
      <c r="O223" s="70" t="str">
        <f>IF(OR($C223="",$D223="",$F223=""),"",IF($F223="Aylık",EOMONTH($D223,0),($D223+MOD(SISTEM!$F$8-WEEKDAY($D223,2),7))))</f>
        <v/>
      </c>
      <c r="P223" s="61"/>
      <c r="Q223" s="2"/>
      <c r="R223" s="2"/>
      <c r="S223" s="1" t="str">
        <f>IF($B223="","",$B223&amp;"|"&amp;COUNTIFS($B$7:$B223,$B223))</f>
        <v/>
      </c>
      <c r="T223" s="1" t="str">
        <f t="shared" si="48"/>
        <v/>
      </c>
      <c r="U223" s="1">
        <f t="shared" si="49"/>
        <v>0</v>
      </c>
      <c r="V223" s="1">
        <f t="shared" si="50"/>
        <v>2958465</v>
      </c>
      <c r="W223" s="1">
        <f t="shared" si="51"/>
        <v>0</v>
      </c>
      <c r="X223" s="1">
        <f t="shared" si="52"/>
        <v>0</v>
      </c>
      <c r="Y223" s="1">
        <f t="shared" si="53"/>
        <v>97200</v>
      </c>
      <c r="Z223" s="1">
        <f t="shared" si="54"/>
        <v>1</v>
      </c>
      <c r="AA223" s="1">
        <f t="shared" si="55"/>
        <v>0</v>
      </c>
    </row>
    <row r="224" spans="1:27" ht="18" customHeight="1" x14ac:dyDescent="0.3">
      <c r="A224" s="2"/>
      <c r="B224" s="65" t="str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61"/>
      <c r="D224" s="66"/>
      <c r="E224" s="66"/>
      <c r="F224" s="60"/>
      <c r="G224" s="67"/>
      <c r="H224" s="60"/>
      <c r="I224" s="68">
        <f t="shared" ca="1" si="42"/>
        <v>0</v>
      </c>
      <c r="J224" s="68">
        <f t="shared" ca="1" si="43"/>
        <v>0</v>
      </c>
      <c r="K224" s="68">
        <f t="shared" ca="1" si="44"/>
        <v>0</v>
      </c>
      <c r="L224" s="68">
        <f t="shared" ca="1" si="45"/>
        <v>0</v>
      </c>
      <c r="M224" s="69">
        <f t="shared" si="46"/>
        <v>0</v>
      </c>
      <c r="N224" s="65" t="str">
        <f t="shared" si="47"/>
        <v/>
      </c>
      <c r="O224" s="70" t="str">
        <f>IF(OR($C224="",$D224="",$F224=""),"",IF($F224="Aylık",EOMONTH($D224,0),($D224+MOD(SISTEM!$F$8-WEEKDAY($D224,2),7))))</f>
        <v/>
      </c>
      <c r="P224" s="61"/>
      <c r="Q224" s="2"/>
      <c r="R224" s="2"/>
      <c r="S224" s="1" t="str">
        <f>IF($B224="","",$B224&amp;"|"&amp;COUNTIFS($B$7:$B224,$B224))</f>
        <v/>
      </c>
      <c r="T224" s="1" t="str">
        <f t="shared" si="48"/>
        <v/>
      </c>
      <c r="U224" s="1">
        <f t="shared" si="49"/>
        <v>0</v>
      </c>
      <c r="V224" s="1">
        <f t="shared" si="50"/>
        <v>2958465</v>
      </c>
      <c r="W224" s="1">
        <f t="shared" si="51"/>
        <v>0</v>
      </c>
      <c r="X224" s="1">
        <f t="shared" si="52"/>
        <v>0</v>
      </c>
      <c r="Y224" s="1">
        <f t="shared" si="53"/>
        <v>97200</v>
      </c>
      <c r="Z224" s="1">
        <f t="shared" si="54"/>
        <v>1</v>
      </c>
      <c r="AA224" s="1">
        <f t="shared" si="55"/>
        <v>0</v>
      </c>
    </row>
    <row r="225" spans="1:27" ht="18" customHeight="1" x14ac:dyDescent="0.3">
      <c r="A225" s="2"/>
      <c r="B225" s="65" t="str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61"/>
      <c r="D225" s="66"/>
      <c r="E225" s="66"/>
      <c r="F225" s="60"/>
      <c r="G225" s="67"/>
      <c r="H225" s="60"/>
      <c r="I225" s="68">
        <f t="shared" ca="1" si="42"/>
        <v>0</v>
      </c>
      <c r="J225" s="68">
        <f t="shared" ca="1" si="43"/>
        <v>0</v>
      </c>
      <c r="K225" s="68">
        <f t="shared" ca="1" si="44"/>
        <v>0</v>
      </c>
      <c r="L225" s="68">
        <f t="shared" ca="1" si="45"/>
        <v>0</v>
      </c>
      <c r="M225" s="69">
        <f t="shared" si="46"/>
        <v>0</v>
      </c>
      <c r="N225" s="65" t="str">
        <f t="shared" si="47"/>
        <v/>
      </c>
      <c r="O225" s="70" t="str">
        <f>IF(OR($C225="",$D225="",$F225=""),"",IF($F225="Aylık",EOMONTH($D225,0),($D225+MOD(SISTEM!$F$8-WEEKDAY($D225,2),7))))</f>
        <v/>
      </c>
      <c r="P225" s="61"/>
      <c r="Q225" s="2"/>
      <c r="R225" s="2"/>
      <c r="S225" s="1" t="str">
        <f>IF($B225="","",$B225&amp;"|"&amp;COUNTIFS($B$7:$B225,$B225))</f>
        <v/>
      </c>
      <c r="T225" s="1" t="str">
        <f t="shared" si="48"/>
        <v/>
      </c>
      <c r="U225" s="1">
        <f t="shared" si="49"/>
        <v>0</v>
      </c>
      <c r="V225" s="1">
        <f t="shared" si="50"/>
        <v>2958465</v>
      </c>
      <c r="W225" s="1">
        <f t="shared" si="51"/>
        <v>0</v>
      </c>
      <c r="X225" s="1">
        <f t="shared" si="52"/>
        <v>0</v>
      </c>
      <c r="Y225" s="1">
        <f t="shared" si="53"/>
        <v>97200</v>
      </c>
      <c r="Z225" s="1">
        <f t="shared" si="54"/>
        <v>1</v>
      </c>
      <c r="AA225" s="1">
        <f t="shared" si="55"/>
        <v>0</v>
      </c>
    </row>
    <row r="226" spans="1:27" ht="18" customHeight="1" x14ac:dyDescent="0.3">
      <c r="A226" s="2"/>
      <c r="B226" s="65" t="str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61"/>
      <c r="D226" s="66"/>
      <c r="E226" s="66"/>
      <c r="F226" s="60"/>
      <c r="G226" s="67"/>
      <c r="H226" s="60"/>
      <c r="I226" s="68">
        <f t="shared" ca="1" si="42"/>
        <v>0</v>
      </c>
      <c r="J226" s="68">
        <f t="shared" ca="1" si="43"/>
        <v>0</v>
      </c>
      <c r="K226" s="68">
        <f t="shared" ca="1" si="44"/>
        <v>0</v>
      </c>
      <c r="L226" s="68">
        <f t="shared" ca="1" si="45"/>
        <v>0</v>
      </c>
      <c r="M226" s="69">
        <f t="shared" si="46"/>
        <v>0</v>
      </c>
      <c r="N226" s="65" t="str">
        <f t="shared" si="47"/>
        <v/>
      </c>
      <c r="O226" s="70" t="str">
        <f>IF(OR($C226="",$D226="",$F226=""),"",IF($F226="Aylık",EOMONTH($D226,0),($D226+MOD(SISTEM!$F$8-WEEKDAY($D226,2),7))))</f>
        <v/>
      </c>
      <c r="P226" s="61"/>
      <c r="Q226" s="2"/>
      <c r="R226" s="2"/>
      <c r="S226" s="1" t="str">
        <f>IF($B226="","",$B226&amp;"|"&amp;COUNTIFS($B$7:$B226,$B226))</f>
        <v/>
      </c>
      <c r="T226" s="1" t="str">
        <f t="shared" si="48"/>
        <v/>
      </c>
      <c r="U226" s="1">
        <f t="shared" si="49"/>
        <v>0</v>
      </c>
      <c r="V226" s="1">
        <f t="shared" si="50"/>
        <v>2958465</v>
      </c>
      <c r="W226" s="1">
        <f t="shared" si="51"/>
        <v>0</v>
      </c>
      <c r="X226" s="1">
        <f t="shared" si="52"/>
        <v>0</v>
      </c>
      <c r="Y226" s="1">
        <f t="shared" si="53"/>
        <v>97200</v>
      </c>
      <c r="Z226" s="1">
        <f t="shared" si="54"/>
        <v>1</v>
      </c>
      <c r="AA226" s="1">
        <f t="shared" si="55"/>
        <v>0</v>
      </c>
    </row>
    <row r="227" spans="1:27" ht="18" customHeight="1" x14ac:dyDescent="0.3">
      <c r="A227" s="2"/>
      <c r="B227" s="65" t="str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61"/>
      <c r="D227" s="66"/>
      <c r="E227" s="66"/>
      <c r="F227" s="60"/>
      <c r="G227" s="67"/>
      <c r="H227" s="60"/>
      <c r="I227" s="68">
        <f t="shared" ca="1" si="42"/>
        <v>0</v>
      </c>
      <c r="J227" s="68">
        <f t="shared" ca="1" si="43"/>
        <v>0</v>
      </c>
      <c r="K227" s="68">
        <f t="shared" ca="1" si="44"/>
        <v>0</v>
      </c>
      <c r="L227" s="68">
        <f t="shared" ca="1" si="45"/>
        <v>0</v>
      </c>
      <c r="M227" s="69">
        <f t="shared" si="46"/>
        <v>0</v>
      </c>
      <c r="N227" s="65" t="str">
        <f t="shared" si="47"/>
        <v/>
      </c>
      <c r="O227" s="70" t="str">
        <f>IF(OR($C227="",$D227="",$F227=""),"",IF($F227="Aylık",EOMONTH($D227,0),($D227+MOD(SISTEM!$F$8-WEEKDAY($D227,2),7))))</f>
        <v/>
      </c>
      <c r="P227" s="61"/>
      <c r="Q227" s="2"/>
      <c r="R227" s="2"/>
      <c r="S227" s="1" t="str">
        <f>IF($B227="","",$B227&amp;"|"&amp;COUNTIFS($B$7:$B227,$B227))</f>
        <v/>
      </c>
      <c r="T227" s="1" t="str">
        <f t="shared" si="48"/>
        <v/>
      </c>
      <c r="U227" s="1">
        <f t="shared" si="49"/>
        <v>0</v>
      </c>
      <c r="V227" s="1">
        <f t="shared" si="50"/>
        <v>2958465</v>
      </c>
      <c r="W227" s="1">
        <f t="shared" si="51"/>
        <v>0</v>
      </c>
      <c r="X227" s="1">
        <f t="shared" si="52"/>
        <v>0</v>
      </c>
      <c r="Y227" s="1">
        <f t="shared" si="53"/>
        <v>97200</v>
      </c>
      <c r="Z227" s="1">
        <f t="shared" si="54"/>
        <v>1</v>
      </c>
      <c r="AA227" s="1">
        <f t="shared" si="55"/>
        <v>0</v>
      </c>
    </row>
    <row r="228" spans="1:27" ht="18" customHeight="1" x14ac:dyDescent="0.3">
      <c r="A228" s="2"/>
      <c r="B228" s="65" t="str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61"/>
      <c r="D228" s="66"/>
      <c r="E228" s="66"/>
      <c r="F228" s="60"/>
      <c r="G228" s="67"/>
      <c r="H228" s="60"/>
      <c r="I228" s="68">
        <f t="shared" ca="1" si="42"/>
        <v>0</v>
      </c>
      <c r="J228" s="68">
        <f t="shared" ca="1" si="43"/>
        <v>0</v>
      </c>
      <c r="K228" s="68">
        <f t="shared" ca="1" si="44"/>
        <v>0</v>
      </c>
      <c r="L228" s="68">
        <f t="shared" ca="1" si="45"/>
        <v>0</v>
      </c>
      <c r="M228" s="69">
        <f t="shared" si="46"/>
        <v>0</v>
      </c>
      <c r="N228" s="65" t="str">
        <f t="shared" si="47"/>
        <v/>
      </c>
      <c r="O228" s="70" t="str">
        <f>IF(OR($C228="",$D228="",$F228=""),"",IF($F228="Aylık",EOMONTH($D228,0),($D228+MOD(SISTEM!$F$8-WEEKDAY($D228,2),7))))</f>
        <v/>
      </c>
      <c r="P228" s="61"/>
      <c r="Q228" s="2"/>
      <c r="R228" s="2"/>
      <c r="S228" s="1" t="str">
        <f>IF($B228="","",$B228&amp;"|"&amp;COUNTIFS($B$7:$B228,$B228))</f>
        <v/>
      </c>
      <c r="T228" s="1" t="str">
        <f t="shared" si="48"/>
        <v/>
      </c>
      <c r="U228" s="1">
        <f t="shared" si="49"/>
        <v>0</v>
      </c>
      <c r="V228" s="1">
        <f t="shared" si="50"/>
        <v>2958465</v>
      </c>
      <c r="W228" s="1">
        <f t="shared" si="51"/>
        <v>0</v>
      </c>
      <c r="X228" s="1">
        <f t="shared" si="52"/>
        <v>0</v>
      </c>
      <c r="Y228" s="1">
        <f t="shared" si="53"/>
        <v>97200</v>
      </c>
      <c r="Z228" s="1">
        <f t="shared" si="54"/>
        <v>1</v>
      </c>
      <c r="AA228" s="1">
        <f t="shared" si="55"/>
        <v>0</v>
      </c>
    </row>
    <row r="229" spans="1:27" ht="18" customHeight="1" x14ac:dyDescent="0.3">
      <c r="A229" s="2"/>
      <c r="B229" s="65" t="str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61"/>
      <c r="D229" s="66"/>
      <c r="E229" s="66"/>
      <c r="F229" s="60"/>
      <c r="G229" s="67"/>
      <c r="H229" s="60"/>
      <c r="I229" s="68">
        <f t="shared" ca="1" si="42"/>
        <v>0</v>
      </c>
      <c r="J229" s="68">
        <f t="shared" ca="1" si="43"/>
        <v>0</v>
      </c>
      <c r="K229" s="68">
        <f t="shared" ca="1" si="44"/>
        <v>0</v>
      </c>
      <c r="L229" s="68">
        <f t="shared" ca="1" si="45"/>
        <v>0</v>
      </c>
      <c r="M229" s="69">
        <f t="shared" si="46"/>
        <v>0</v>
      </c>
      <c r="N229" s="65" t="str">
        <f t="shared" si="47"/>
        <v/>
      </c>
      <c r="O229" s="70" t="str">
        <f>IF(OR($C229="",$D229="",$F229=""),"",IF($F229="Aylık",EOMONTH($D229,0),($D229+MOD(SISTEM!$F$8-WEEKDAY($D229,2),7))))</f>
        <v/>
      </c>
      <c r="P229" s="61"/>
      <c r="Q229" s="2"/>
      <c r="R229" s="2"/>
      <c r="S229" s="1" t="str">
        <f>IF($B229="","",$B229&amp;"|"&amp;COUNTIFS($B$7:$B229,$B229))</f>
        <v/>
      </c>
      <c r="T229" s="1" t="str">
        <f t="shared" si="48"/>
        <v/>
      </c>
      <c r="U229" s="1">
        <f t="shared" si="49"/>
        <v>0</v>
      </c>
      <c r="V229" s="1">
        <f t="shared" si="50"/>
        <v>2958465</v>
      </c>
      <c r="W229" s="1">
        <f t="shared" si="51"/>
        <v>0</v>
      </c>
      <c r="X229" s="1">
        <f t="shared" si="52"/>
        <v>0</v>
      </c>
      <c r="Y229" s="1">
        <f t="shared" si="53"/>
        <v>97200</v>
      </c>
      <c r="Z229" s="1">
        <f t="shared" si="54"/>
        <v>1</v>
      </c>
      <c r="AA229" s="1">
        <f t="shared" si="55"/>
        <v>0</v>
      </c>
    </row>
    <row r="230" spans="1:27" ht="18" customHeight="1" x14ac:dyDescent="0.3">
      <c r="A230" s="2"/>
      <c r="B230" s="65" t="str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61"/>
      <c r="D230" s="66"/>
      <c r="E230" s="66"/>
      <c r="F230" s="60"/>
      <c r="G230" s="67"/>
      <c r="H230" s="60"/>
      <c r="I230" s="68">
        <f t="shared" ca="1" si="42"/>
        <v>0</v>
      </c>
      <c r="J230" s="68">
        <f t="shared" ca="1" si="43"/>
        <v>0</v>
      </c>
      <c r="K230" s="68">
        <f t="shared" ca="1" si="44"/>
        <v>0</v>
      </c>
      <c r="L230" s="68">
        <f t="shared" ca="1" si="45"/>
        <v>0</v>
      </c>
      <c r="M230" s="69">
        <f t="shared" si="46"/>
        <v>0</v>
      </c>
      <c r="N230" s="65" t="str">
        <f t="shared" si="47"/>
        <v/>
      </c>
      <c r="O230" s="70" t="str">
        <f>IF(OR($C230="",$D230="",$F230=""),"",IF($F230="Aylık",EOMONTH($D230,0),($D230+MOD(SISTEM!$F$8-WEEKDAY($D230,2),7))))</f>
        <v/>
      </c>
      <c r="P230" s="61"/>
      <c r="Q230" s="2"/>
      <c r="R230" s="2"/>
      <c r="S230" s="1" t="str">
        <f>IF($B230="","",$B230&amp;"|"&amp;COUNTIFS($B$7:$B230,$B230))</f>
        <v/>
      </c>
      <c r="T230" s="1" t="str">
        <f t="shared" si="48"/>
        <v/>
      </c>
      <c r="U230" s="1">
        <f t="shared" si="49"/>
        <v>0</v>
      </c>
      <c r="V230" s="1">
        <f t="shared" si="50"/>
        <v>2958465</v>
      </c>
      <c r="W230" s="1">
        <f t="shared" si="51"/>
        <v>0</v>
      </c>
      <c r="X230" s="1">
        <f t="shared" si="52"/>
        <v>0</v>
      </c>
      <c r="Y230" s="1">
        <f t="shared" si="53"/>
        <v>97200</v>
      </c>
      <c r="Z230" s="1">
        <f t="shared" si="54"/>
        <v>1</v>
      </c>
      <c r="AA230" s="1">
        <f t="shared" si="55"/>
        <v>0</v>
      </c>
    </row>
    <row r="231" spans="1:27" ht="18" customHeight="1" x14ac:dyDescent="0.3">
      <c r="A231" s="2"/>
      <c r="B231" s="65" t="str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61"/>
      <c r="D231" s="66"/>
      <c r="E231" s="66"/>
      <c r="F231" s="60"/>
      <c r="G231" s="67"/>
      <c r="H231" s="60"/>
      <c r="I231" s="68">
        <f t="shared" ca="1" si="42"/>
        <v>0</v>
      </c>
      <c r="J231" s="68">
        <f t="shared" ca="1" si="43"/>
        <v>0</v>
      </c>
      <c r="K231" s="68">
        <f t="shared" ca="1" si="44"/>
        <v>0</v>
      </c>
      <c r="L231" s="68">
        <f t="shared" ca="1" si="45"/>
        <v>0</v>
      </c>
      <c r="M231" s="69">
        <f t="shared" si="46"/>
        <v>0</v>
      </c>
      <c r="N231" s="65" t="str">
        <f t="shared" si="47"/>
        <v/>
      </c>
      <c r="O231" s="70" t="str">
        <f>IF(OR($C231="",$D231="",$F231=""),"",IF($F231="Aylık",EOMONTH($D231,0),($D231+MOD(SISTEM!$F$8-WEEKDAY($D231,2),7))))</f>
        <v/>
      </c>
      <c r="P231" s="61"/>
      <c r="Q231" s="2"/>
      <c r="R231" s="2"/>
      <c r="S231" s="1" t="str">
        <f>IF($B231="","",$B231&amp;"|"&amp;COUNTIFS($B$7:$B231,$B231))</f>
        <v/>
      </c>
      <c r="T231" s="1" t="str">
        <f t="shared" si="48"/>
        <v/>
      </c>
      <c r="U231" s="1">
        <f t="shared" si="49"/>
        <v>0</v>
      </c>
      <c r="V231" s="1">
        <f t="shared" si="50"/>
        <v>2958465</v>
      </c>
      <c r="W231" s="1">
        <f t="shared" si="51"/>
        <v>0</v>
      </c>
      <c r="X231" s="1">
        <f t="shared" si="52"/>
        <v>0</v>
      </c>
      <c r="Y231" s="1">
        <f t="shared" si="53"/>
        <v>97200</v>
      </c>
      <c r="Z231" s="1">
        <f t="shared" si="54"/>
        <v>1</v>
      </c>
      <c r="AA231" s="1">
        <f t="shared" si="55"/>
        <v>0</v>
      </c>
    </row>
    <row r="232" spans="1:27" ht="18" customHeight="1" x14ac:dyDescent="0.3">
      <c r="A232" s="2"/>
      <c r="B232" s="65" t="str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61"/>
      <c r="D232" s="66"/>
      <c r="E232" s="66"/>
      <c r="F232" s="60"/>
      <c r="G232" s="67"/>
      <c r="H232" s="60"/>
      <c r="I232" s="68">
        <f t="shared" ca="1" si="42"/>
        <v>0</v>
      </c>
      <c r="J232" s="68">
        <f t="shared" ca="1" si="43"/>
        <v>0</v>
      </c>
      <c r="K232" s="68">
        <f t="shared" ca="1" si="44"/>
        <v>0</v>
      </c>
      <c r="L232" s="68">
        <f t="shared" ca="1" si="45"/>
        <v>0</v>
      </c>
      <c r="M232" s="69">
        <f t="shared" si="46"/>
        <v>0</v>
      </c>
      <c r="N232" s="65" t="str">
        <f t="shared" si="47"/>
        <v/>
      </c>
      <c r="O232" s="70" t="str">
        <f>IF(OR($C232="",$D232="",$F232=""),"",IF($F232="Aylık",EOMONTH($D232,0),($D232+MOD(SISTEM!$F$8-WEEKDAY($D232,2),7))))</f>
        <v/>
      </c>
      <c r="P232" s="61"/>
      <c r="Q232" s="2"/>
      <c r="R232" s="2"/>
      <c r="S232" s="1" t="str">
        <f>IF($B232="","",$B232&amp;"|"&amp;COUNTIFS($B$7:$B232,$B232))</f>
        <v/>
      </c>
      <c r="T232" s="1" t="str">
        <f t="shared" si="48"/>
        <v/>
      </c>
      <c r="U232" s="1">
        <f t="shared" si="49"/>
        <v>0</v>
      </c>
      <c r="V232" s="1">
        <f t="shared" si="50"/>
        <v>2958465</v>
      </c>
      <c r="W232" s="1">
        <f t="shared" si="51"/>
        <v>0</v>
      </c>
      <c r="X232" s="1">
        <f t="shared" si="52"/>
        <v>0</v>
      </c>
      <c r="Y232" s="1">
        <f t="shared" si="53"/>
        <v>97200</v>
      </c>
      <c r="Z232" s="1">
        <f t="shared" si="54"/>
        <v>1</v>
      </c>
      <c r="AA232" s="1">
        <f t="shared" si="55"/>
        <v>0</v>
      </c>
    </row>
    <row r="233" spans="1:27" ht="18" customHeight="1" x14ac:dyDescent="0.3">
      <c r="A233" s="2"/>
      <c r="B233" s="65" t="str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61"/>
      <c r="D233" s="66"/>
      <c r="E233" s="66"/>
      <c r="F233" s="60"/>
      <c r="G233" s="67"/>
      <c r="H233" s="60"/>
      <c r="I233" s="68">
        <f t="shared" ca="1" si="42"/>
        <v>0</v>
      </c>
      <c r="J233" s="68">
        <f t="shared" ca="1" si="43"/>
        <v>0</v>
      </c>
      <c r="K233" s="68">
        <f t="shared" ca="1" si="44"/>
        <v>0</v>
      </c>
      <c r="L233" s="68">
        <f t="shared" ca="1" si="45"/>
        <v>0</v>
      </c>
      <c r="M233" s="69">
        <f t="shared" si="46"/>
        <v>0</v>
      </c>
      <c r="N233" s="65" t="str">
        <f t="shared" si="47"/>
        <v/>
      </c>
      <c r="O233" s="70" t="str">
        <f>IF(OR($C233="",$D233="",$F233=""),"",IF($F233="Aylık",EOMONTH($D233,0),($D233+MOD(SISTEM!$F$8-WEEKDAY($D233,2),7))))</f>
        <v/>
      </c>
      <c r="P233" s="61"/>
      <c r="Q233" s="2"/>
      <c r="R233" s="2"/>
      <c r="S233" s="1" t="str">
        <f>IF($B233="","",$B233&amp;"|"&amp;COUNTIFS($B$7:$B233,$B233))</f>
        <v/>
      </c>
      <c r="T233" s="1" t="str">
        <f t="shared" si="48"/>
        <v/>
      </c>
      <c r="U233" s="1">
        <f t="shared" si="49"/>
        <v>0</v>
      </c>
      <c r="V233" s="1">
        <f t="shared" si="50"/>
        <v>2958465</v>
      </c>
      <c r="W233" s="1">
        <f t="shared" si="51"/>
        <v>0</v>
      </c>
      <c r="X233" s="1">
        <f t="shared" si="52"/>
        <v>0</v>
      </c>
      <c r="Y233" s="1">
        <f t="shared" si="53"/>
        <v>97200</v>
      </c>
      <c r="Z233" s="1">
        <f t="shared" si="54"/>
        <v>1</v>
      </c>
      <c r="AA233" s="1">
        <f t="shared" si="55"/>
        <v>0</v>
      </c>
    </row>
    <row r="234" spans="1:27" ht="18" customHeight="1" x14ac:dyDescent="0.3">
      <c r="A234" s="2"/>
      <c r="B234" s="65" t="str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61"/>
      <c r="D234" s="66"/>
      <c r="E234" s="66"/>
      <c r="F234" s="60"/>
      <c r="G234" s="67"/>
      <c r="H234" s="60"/>
      <c r="I234" s="68">
        <f t="shared" ca="1" si="42"/>
        <v>0</v>
      </c>
      <c r="J234" s="68">
        <f t="shared" ca="1" si="43"/>
        <v>0</v>
      </c>
      <c r="K234" s="68">
        <f t="shared" ca="1" si="44"/>
        <v>0</v>
      </c>
      <c r="L234" s="68">
        <f t="shared" ca="1" si="45"/>
        <v>0</v>
      </c>
      <c r="M234" s="69">
        <f t="shared" si="46"/>
        <v>0</v>
      </c>
      <c r="N234" s="65" t="str">
        <f t="shared" si="47"/>
        <v/>
      </c>
      <c r="O234" s="70" t="str">
        <f>IF(OR($C234="",$D234="",$F234=""),"",IF($F234="Aylık",EOMONTH($D234,0),($D234+MOD(SISTEM!$F$8-WEEKDAY($D234,2),7))))</f>
        <v/>
      </c>
      <c r="P234" s="61"/>
      <c r="Q234" s="2"/>
      <c r="R234" s="2"/>
      <c r="S234" s="1" t="str">
        <f>IF($B234="","",$B234&amp;"|"&amp;COUNTIFS($B$7:$B234,$B234))</f>
        <v/>
      </c>
      <c r="T234" s="1" t="str">
        <f t="shared" si="48"/>
        <v/>
      </c>
      <c r="U234" s="1">
        <f t="shared" si="49"/>
        <v>0</v>
      </c>
      <c r="V234" s="1">
        <f t="shared" si="50"/>
        <v>2958465</v>
      </c>
      <c r="W234" s="1">
        <f t="shared" si="51"/>
        <v>0</v>
      </c>
      <c r="X234" s="1">
        <f t="shared" si="52"/>
        <v>0</v>
      </c>
      <c r="Y234" s="1">
        <f t="shared" si="53"/>
        <v>97200</v>
      </c>
      <c r="Z234" s="1">
        <f t="shared" si="54"/>
        <v>1</v>
      </c>
      <c r="AA234" s="1">
        <f t="shared" si="55"/>
        <v>0</v>
      </c>
    </row>
    <row r="235" spans="1:27" ht="18" customHeight="1" x14ac:dyDescent="0.3">
      <c r="A235" s="2"/>
      <c r="B235" s="65" t="str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61"/>
      <c r="D235" s="66"/>
      <c r="E235" s="66"/>
      <c r="F235" s="60"/>
      <c r="G235" s="67"/>
      <c r="H235" s="60"/>
      <c r="I235" s="68">
        <f t="shared" ca="1" si="42"/>
        <v>0</v>
      </c>
      <c r="J235" s="68">
        <f t="shared" ca="1" si="43"/>
        <v>0</v>
      </c>
      <c r="K235" s="68">
        <f t="shared" ca="1" si="44"/>
        <v>0</v>
      </c>
      <c r="L235" s="68">
        <f t="shared" ca="1" si="45"/>
        <v>0</v>
      </c>
      <c r="M235" s="69">
        <f t="shared" si="46"/>
        <v>0</v>
      </c>
      <c r="N235" s="65" t="str">
        <f t="shared" si="47"/>
        <v/>
      </c>
      <c r="O235" s="70" t="str">
        <f>IF(OR($C235="",$D235="",$F235=""),"",IF($F235="Aylık",EOMONTH($D235,0),($D235+MOD(SISTEM!$F$8-WEEKDAY($D235,2),7))))</f>
        <v/>
      </c>
      <c r="P235" s="61"/>
      <c r="Q235" s="2"/>
      <c r="R235" s="2"/>
      <c r="S235" s="1" t="str">
        <f>IF($B235="","",$B235&amp;"|"&amp;COUNTIFS($B$7:$B235,$B235))</f>
        <v/>
      </c>
      <c r="T235" s="1" t="str">
        <f t="shared" si="48"/>
        <v/>
      </c>
      <c r="U235" s="1">
        <f t="shared" si="49"/>
        <v>0</v>
      </c>
      <c r="V235" s="1">
        <f t="shared" si="50"/>
        <v>2958465</v>
      </c>
      <c r="W235" s="1">
        <f t="shared" si="51"/>
        <v>0</v>
      </c>
      <c r="X235" s="1">
        <f t="shared" si="52"/>
        <v>0</v>
      </c>
      <c r="Y235" s="1">
        <f t="shared" si="53"/>
        <v>97200</v>
      </c>
      <c r="Z235" s="1">
        <f t="shared" si="54"/>
        <v>1</v>
      </c>
      <c r="AA235" s="1">
        <f t="shared" si="55"/>
        <v>0</v>
      </c>
    </row>
    <row r="236" spans="1:27" ht="18" customHeight="1" x14ac:dyDescent="0.3">
      <c r="A236" s="2"/>
      <c r="B236" s="65" t="str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61"/>
      <c r="D236" s="66"/>
      <c r="E236" s="66"/>
      <c r="F236" s="60"/>
      <c r="G236" s="67"/>
      <c r="H236" s="60"/>
      <c r="I236" s="68">
        <f t="shared" ca="1" si="42"/>
        <v>0</v>
      </c>
      <c r="J236" s="68">
        <f t="shared" ca="1" si="43"/>
        <v>0</v>
      </c>
      <c r="K236" s="68">
        <f t="shared" ca="1" si="44"/>
        <v>0</v>
      </c>
      <c r="L236" s="68">
        <f t="shared" ca="1" si="45"/>
        <v>0</v>
      </c>
      <c r="M236" s="69">
        <f t="shared" si="46"/>
        <v>0</v>
      </c>
      <c r="N236" s="65" t="str">
        <f t="shared" si="47"/>
        <v/>
      </c>
      <c r="O236" s="70" t="str">
        <f>IF(OR($C236="",$D236="",$F236=""),"",IF($F236="Aylık",EOMONTH($D236,0),($D236+MOD(SISTEM!$F$8-WEEKDAY($D236,2),7))))</f>
        <v/>
      </c>
      <c r="P236" s="61"/>
      <c r="Q236" s="2"/>
      <c r="R236" s="2"/>
      <c r="S236" s="1" t="str">
        <f>IF($B236="","",$B236&amp;"|"&amp;COUNTIFS($B$7:$B236,$B236))</f>
        <v/>
      </c>
      <c r="T236" s="1" t="str">
        <f t="shared" si="48"/>
        <v/>
      </c>
      <c r="U236" s="1">
        <f t="shared" si="49"/>
        <v>0</v>
      </c>
      <c r="V236" s="1">
        <f t="shared" si="50"/>
        <v>2958465</v>
      </c>
      <c r="W236" s="1">
        <f t="shared" si="51"/>
        <v>0</v>
      </c>
      <c r="X236" s="1">
        <f t="shared" si="52"/>
        <v>0</v>
      </c>
      <c r="Y236" s="1">
        <f t="shared" si="53"/>
        <v>97200</v>
      </c>
      <c r="Z236" s="1">
        <f t="shared" si="54"/>
        <v>1</v>
      </c>
      <c r="AA236" s="1">
        <f t="shared" si="55"/>
        <v>0</v>
      </c>
    </row>
    <row r="237" spans="1:27" ht="18" customHeight="1" x14ac:dyDescent="0.3">
      <c r="A237" s="2"/>
      <c r="B237" s="65" t="str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61"/>
      <c r="D237" s="66"/>
      <c r="E237" s="66"/>
      <c r="F237" s="60"/>
      <c r="G237" s="67"/>
      <c r="H237" s="60"/>
      <c r="I237" s="68">
        <f t="shared" ca="1" si="42"/>
        <v>0</v>
      </c>
      <c r="J237" s="68">
        <f t="shared" ca="1" si="43"/>
        <v>0</v>
      </c>
      <c r="K237" s="68">
        <f t="shared" ca="1" si="44"/>
        <v>0</v>
      </c>
      <c r="L237" s="68">
        <f t="shared" ca="1" si="45"/>
        <v>0</v>
      </c>
      <c r="M237" s="69">
        <f t="shared" si="46"/>
        <v>0</v>
      </c>
      <c r="N237" s="65" t="str">
        <f t="shared" si="47"/>
        <v/>
      </c>
      <c r="O237" s="70" t="str">
        <f>IF(OR($C237="",$D237="",$F237=""),"",IF($F237="Aylık",EOMONTH($D237,0),($D237+MOD(SISTEM!$F$8-WEEKDAY($D237,2),7))))</f>
        <v/>
      </c>
      <c r="P237" s="61"/>
      <c r="Q237" s="2"/>
      <c r="R237" s="2"/>
      <c r="S237" s="1" t="str">
        <f>IF($B237="","",$B237&amp;"|"&amp;COUNTIFS($B$7:$B237,$B237))</f>
        <v/>
      </c>
      <c r="T237" s="1" t="str">
        <f t="shared" si="48"/>
        <v/>
      </c>
      <c r="U237" s="1">
        <f t="shared" si="49"/>
        <v>0</v>
      </c>
      <c r="V237" s="1">
        <f t="shared" si="50"/>
        <v>2958465</v>
      </c>
      <c r="W237" s="1">
        <f t="shared" si="51"/>
        <v>0</v>
      </c>
      <c r="X237" s="1">
        <f t="shared" si="52"/>
        <v>0</v>
      </c>
      <c r="Y237" s="1">
        <f t="shared" si="53"/>
        <v>97200</v>
      </c>
      <c r="Z237" s="1">
        <f t="shared" si="54"/>
        <v>1</v>
      </c>
      <c r="AA237" s="1">
        <f t="shared" si="55"/>
        <v>0</v>
      </c>
    </row>
    <row r="238" spans="1:27" ht="18" customHeight="1" x14ac:dyDescent="0.3">
      <c r="A238" s="2"/>
      <c r="B238" s="65" t="str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61"/>
      <c r="D238" s="66"/>
      <c r="E238" s="66"/>
      <c r="F238" s="60"/>
      <c r="G238" s="67"/>
      <c r="H238" s="60"/>
      <c r="I238" s="68">
        <f t="shared" ca="1" si="42"/>
        <v>0</v>
      </c>
      <c r="J238" s="68">
        <f t="shared" ca="1" si="43"/>
        <v>0</v>
      </c>
      <c r="K238" s="68">
        <f t="shared" ca="1" si="44"/>
        <v>0</v>
      </c>
      <c r="L238" s="68">
        <f t="shared" ca="1" si="45"/>
        <v>0</v>
      </c>
      <c r="M238" s="69">
        <f t="shared" si="46"/>
        <v>0</v>
      </c>
      <c r="N238" s="65" t="str">
        <f t="shared" si="47"/>
        <v/>
      </c>
      <c r="O238" s="70" t="str">
        <f>IF(OR($C238="",$D238="",$F238=""),"",IF($F238="Aylık",EOMONTH($D238,0),($D238+MOD(SISTEM!$F$8-WEEKDAY($D238,2),7))))</f>
        <v/>
      </c>
      <c r="P238" s="61"/>
      <c r="Q238" s="2"/>
      <c r="R238" s="2"/>
      <c r="S238" s="1" t="str">
        <f>IF($B238="","",$B238&amp;"|"&amp;COUNTIFS($B$7:$B238,$B238))</f>
        <v/>
      </c>
      <c r="T238" s="1" t="str">
        <f t="shared" si="48"/>
        <v/>
      </c>
      <c r="U238" s="1">
        <f t="shared" si="49"/>
        <v>0</v>
      </c>
      <c r="V238" s="1">
        <f t="shared" si="50"/>
        <v>2958465</v>
      </c>
      <c r="W238" s="1">
        <f t="shared" si="51"/>
        <v>0</v>
      </c>
      <c r="X238" s="1">
        <f t="shared" si="52"/>
        <v>0</v>
      </c>
      <c r="Y238" s="1">
        <f t="shared" si="53"/>
        <v>97200</v>
      </c>
      <c r="Z238" s="1">
        <f t="shared" si="54"/>
        <v>1</v>
      </c>
      <c r="AA238" s="1">
        <f t="shared" si="55"/>
        <v>0</v>
      </c>
    </row>
    <row r="239" spans="1:27" ht="18" customHeight="1" x14ac:dyDescent="0.3">
      <c r="A239" s="2"/>
      <c r="B239" s="65" t="str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61"/>
      <c r="D239" s="66"/>
      <c r="E239" s="66"/>
      <c r="F239" s="60"/>
      <c r="G239" s="67"/>
      <c r="H239" s="60"/>
      <c r="I239" s="68">
        <f t="shared" ca="1" si="42"/>
        <v>0</v>
      </c>
      <c r="J239" s="68">
        <f t="shared" ca="1" si="43"/>
        <v>0</v>
      </c>
      <c r="K239" s="68">
        <f t="shared" ca="1" si="44"/>
        <v>0</v>
      </c>
      <c r="L239" s="68">
        <f t="shared" ca="1" si="45"/>
        <v>0</v>
      </c>
      <c r="M239" s="69">
        <f t="shared" si="46"/>
        <v>0</v>
      </c>
      <c r="N239" s="65" t="str">
        <f t="shared" si="47"/>
        <v/>
      </c>
      <c r="O239" s="70" t="str">
        <f>IF(OR($C239="",$D239="",$F239=""),"",IF($F239="Aylık",EOMONTH($D239,0),($D239+MOD(SISTEM!$F$8-WEEKDAY($D239,2),7))))</f>
        <v/>
      </c>
      <c r="P239" s="61"/>
      <c r="Q239" s="2"/>
      <c r="R239" s="2"/>
      <c r="S239" s="1" t="str">
        <f>IF($B239="","",$B239&amp;"|"&amp;COUNTIFS($B$7:$B239,$B239))</f>
        <v/>
      </c>
      <c r="T239" s="1" t="str">
        <f t="shared" si="48"/>
        <v/>
      </c>
      <c r="U239" s="1">
        <f t="shared" si="49"/>
        <v>0</v>
      </c>
      <c r="V239" s="1">
        <f t="shared" si="50"/>
        <v>2958465</v>
      </c>
      <c r="W239" s="1">
        <f t="shared" si="51"/>
        <v>0</v>
      </c>
      <c r="X239" s="1">
        <f t="shared" si="52"/>
        <v>0</v>
      </c>
      <c r="Y239" s="1">
        <f t="shared" si="53"/>
        <v>97200</v>
      </c>
      <c r="Z239" s="1">
        <f t="shared" si="54"/>
        <v>1</v>
      </c>
      <c r="AA239" s="1">
        <f t="shared" si="55"/>
        <v>0</v>
      </c>
    </row>
    <row r="240" spans="1:27" ht="18" customHeight="1" x14ac:dyDescent="0.3">
      <c r="A240" s="2"/>
      <c r="B240" s="65" t="str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61"/>
      <c r="D240" s="66"/>
      <c r="E240" s="66"/>
      <c r="F240" s="60"/>
      <c r="G240" s="67"/>
      <c r="H240" s="60"/>
      <c r="I240" s="68">
        <f t="shared" ca="1" si="42"/>
        <v>0</v>
      </c>
      <c r="J240" s="68">
        <f t="shared" ca="1" si="43"/>
        <v>0</v>
      </c>
      <c r="K240" s="68">
        <f t="shared" ca="1" si="44"/>
        <v>0</v>
      </c>
      <c r="L240" s="68">
        <f t="shared" ca="1" si="45"/>
        <v>0</v>
      </c>
      <c r="M240" s="69">
        <f t="shared" si="46"/>
        <v>0</v>
      </c>
      <c r="N240" s="65" t="str">
        <f t="shared" si="47"/>
        <v/>
      </c>
      <c r="O240" s="70" t="str">
        <f>IF(OR($C240="",$D240="",$F240=""),"",IF($F240="Aylık",EOMONTH($D240,0),($D240+MOD(SISTEM!$F$8-WEEKDAY($D240,2),7))))</f>
        <v/>
      </c>
      <c r="P240" s="61"/>
      <c r="Q240" s="2"/>
      <c r="R240" s="2"/>
      <c r="S240" s="1" t="str">
        <f>IF($B240="","",$B240&amp;"|"&amp;COUNTIFS($B$7:$B240,$B240))</f>
        <v/>
      </c>
      <c r="T240" s="1" t="str">
        <f t="shared" si="48"/>
        <v/>
      </c>
      <c r="U240" s="1">
        <f t="shared" si="49"/>
        <v>0</v>
      </c>
      <c r="V240" s="1">
        <f t="shared" si="50"/>
        <v>2958465</v>
      </c>
      <c r="W240" s="1">
        <f t="shared" si="51"/>
        <v>0</v>
      </c>
      <c r="X240" s="1">
        <f t="shared" si="52"/>
        <v>0</v>
      </c>
      <c r="Y240" s="1">
        <f t="shared" si="53"/>
        <v>97200</v>
      </c>
      <c r="Z240" s="1">
        <f t="shared" si="54"/>
        <v>1</v>
      </c>
      <c r="AA240" s="1">
        <f t="shared" si="55"/>
        <v>0</v>
      </c>
    </row>
    <row r="241" spans="1:27" ht="18" customHeight="1" x14ac:dyDescent="0.3">
      <c r="A241" s="2"/>
      <c r="B241" s="65" t="str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61"/>
      <c r="D241" s="66"/>
      <c r="E241" s="66"/>
      <c r="F241" s="60"/>
      <c r="G241" s="67"/>
      <c r="H241" s="60"/>
      <c r="I241" s="68">
        <f t="shared" ca="1" si="42"/>
        <v>0</v>
      </c>
      <c r="J241" s="68">
        <f t="shared" ca="1" si="43"/>
        <v>0</v>
      </c>
      <c r="K241" s="68">
        <f t="shared" ca="1" si="44"/>
        <v>0</v>
      </c>
      <c r="L241" s="68">
        <f t="shared" ca="1" si="45"/>
        <v>0</v>
      </c>
      <c r="M241" s="69">
        <f t="shared" si="46"/>
        <v>0</v>
      </c>
      <c r="N241" s="65" t="str">
        <f t="shared" si="47"/>
        <v/>
      </c>
      <c r="O241" s="70" t="str">
        <f>IF(OR($C241="",$D241="",$F241=""),"",IF($F241="Aylık",EOMONTH($D241,0),($D241+MOD(SISTEM!$F$8-WEEKDAY($D241,2),7))))</f>
        <v/>
      </c>
      <c r="P241" s="61"/>
      <c r="Q241" s="2"/>
      <c r="R241" s="2"/>
      <c r="S241" s="1" t="str">
        <f>IF($B241="","",$B241&amp;"|"&amp;COUNTIFS($B$7:$B241,$B241))</f>
        <v/>
      </c>
      <c r="T241" s="1" t="str">
        <f t="shared" si="48"/>
        <v/>
      </c>
      <c r="U241" s="1">
        <f t="shared" si="49"/>
        <v>0</v>
      </c>
      <c r="V241" s="1">
        <f t="shared" si="50"/>
        <v>2958465</v>
      </c>
      <c r="W241" s="1">
        <f t="shared" si="51"/>
        <v>0</v>
      </c>
      <c r="X241" s="1">
        <f t="shared" si="52"/>
        <v>0</v>
      </c>
      <c r="Y241" s="1">
        <f t="shared" si="53"/>
        <v>97200</v>
      </c>
      <c r="Z241" s="1">
        <f t="shared" si="54"/>
        <v>1</v>
      </c>
      <c r="AA241" s="1">
        <f t="shared" si="55"/>
        <v>0</v>
      </c>
    </row>
    <row r="242" spans="1:27" ht="18" customHeight="1" x14ac:dyDescent="0.3">
      <c r="A242" s="2"/>
      <c r="B242" s="65" t="str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61"/>
      <c r="D242" s="66"/>
      <c r="E242" s="66"/>
      <c r="F242" s="60"/>
      <c r="G242" s="67"/>
      <c r="H242" s="60"/>
      <c r="I242" s="68">
        <f t="shared" ca="1" si="42"/>
        <v>0</v>
      </c>
      <c r="J242" s="68">
        <f t="shared" ca="1" si="43"/>
        <v>0</v>
      </c>
      <c r="K242" s="68">
        <f t="shared" ca="1" si="44"/>
        <v>0</v>
      </c>
      <c r="L242" s="68">
        <f t="shared" ca="1" si="45"/>
        <v>0</v>
      </c>
      <c r="M242" s="69">
        <f t="shared" si="46"/>
        <v>0</v>
      </c>
      <c r="N242" s="65" t="str">
        <f t="shared" si="47"/>
        <v/>
      </c>
      <c r="O242" s="70" t="str">
        <f>IF(OR($C242="",$D242="",$F242=""),"",IF($F242="Aylık",EOMONTH($D242,0),($D242+MOD(SISTEM!$F$8-WEEKDAY($D242,2),7))))</f>
        <v/>
      </c>
      <c r="P242" s="61"/>
      <c r="Q242" s="2"/>
      <c r="R242" s="2"/>
      <c r="S242" s="1" t="str">
        <f>IF($B242="","",$B242&amp;"|"&amp;COUNTIFS($B$7:$B242,$B242))</f>
        <v/>
      </c>
      <c r="T242" s="1" t="str">
        <f t="shared" si="48"/>
        <v/>
      </c>
      <c r="U242" s="1">
        <f t="shared" si="49"/>
        <v>0</v>
      </c>
      <c r="V242" s="1">
        <f t="shared" si="50"/>
        <v>2958465</v>
      </c>
      <c r="W242" s="1">
        <f t="shared" si="51"/>
        <v>0</v>
      </c>
      <c r="X242" s="1">
        <f t="shared" si="52"/>
        <v>0</v>
      </c>
      <c r="Y242" s="1">
        <f t="shared" si="53"/>
        <v>97200</v>
      </c>
      <c r="Z242" s="1">
        <f t="shared" si="54"/>
        <v>1</v>
      </c>
      <c r="AA242" s="1">
        <f t="shared" si="55"/>
        <v>0</v>
      </c>
    </row>
    <row r="243" spans="1:27" ht="18" customHeight="1" x14ac:dyDescent="0.3">
      <c r="A243" s="2"/>
      <c r="B243" s="65" t="str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61"/>
      <c r="D243" s="66"/>
      <c r="E243" s="66"/>
      <c r="F243" s="60"/>
      <c r="G243" s="67"/>
      <c r="H243" s="60"/>
      <c r="I243" s="68">
        <f t="shared" ca="1" si="42"/>
        <v>0</v>
      </c>
      <c r="J243" s="68">
        <f t="shared" ca="1" si="43"/>
        <v>0</v>
      </c>
      <c r="K243" s="68">
        <f t="shared" ca="1" si="44"/>
        <v>0</v>
      </c>
      <c r="L243" s="68">
        <f t="shared" ca="1" si="45"/>
        <v>0</v>
      </c>
      <c r="M243" s="69">
        <f t="shared" si="46"/>
        <v>0</v>
      </c>
      <c r="N243" s="65" t="str">
        <f t="shared" si="47"/>
        <v/>
      </c>
      <c r="O243" s="70" t="str">
        <f>IF(OR($C243="",$D243="",$F243=""),"",IF($F243="Aylık",EOMONTH($D243,0),($D243+MOD(SISTEM!$F$8-WEEKDAY($D243,2),7))))</f>
        <v/>
      </c>
      <c r="P243" s="61"/>
      <c r="Q243" s="2"/>
      <c r="R243" s="2"/>
      <c r="S243" s="1" t="str">
        <f>IF($B243="","",$B243&amp;"|"&amp;COUNTIFS($B$7:$B243,$B243))</f>
        <v/>
      </c>
      <c r="T243" s="1" t="str">
        <f t="shared" si="48"/>
        <v/>
      </c>
      <c r="U243" s="1">
        <f t="shared" si="49"/>
        <v>0</v>
      </c>
      <c r="V243" s="1">
        <f t="shared" si="50"/>
        <v>2958465</v>
      </c>
      <c r="W243" s="1">
        <f t="shared" si="51"/>
        <v>0</v>
      </c>
      <c r="X243" s="1">
        <f t="shared" si="52"/>
        <v>0</v>
      </c>
      <c r="Y243" s="1">
        <f t="shared" si="53"/>
        <v>97200</v>
      </c>
      <c r="Z243" s="1">
        <f t="shared" si="54"/>
        <v>1</v>
      </c>
      <c r="AA243" s="1">
        <f t="shared" si="55"/>
        <v>0</v>
      </c>
    </row>
    <row r="244" spans="1:27" ht="18" customHeight="1" x14ac:dyDescent="0.3">
      <c r="A244" s="2"/>
      <c r="B244" s="65" t="str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61"/>
      <c r="D244" s="66"/>
      <c r="E244" s="66"/>
      <c r="F244" s="60"/>
      <c r="G244" s="67"/>
      <c r="H244" s="60"/>
      <c r="I244" s="68">
        <f t="shared" ca="1" si="42"/>
        <v>0</v>
      </c>
      <c r="J244" s="68">
        <f t="shared" ca="1" si="43"/>
        <v>0</v>
      </c>
      <c r="K244" s="68">
        <f t="shared" ca="1" si="44"/>
        <v>0</v>
      </c>
      <c r="L244" s="68">
        <f t="shared" ca="1" si="45"/>
        <v>0</v>
      </c>
      <c r="M244" s="69">
        <f t="shared" si="46"/>
        <v>0</v>
      </c>
      <c r="N244" s="65" t="str">
        <f t="shared" si="47"/>
        <v/>
      </c>
      <c r="O244" s="70" t="str">
        <f>IF(OR($C244="",$D244="",$F244=""),"",IF($F244="Aylık",EOMONTH($D244,0),($D244+MOD(SISTEM!$F$8-WEEKDAY($D244,2),7))))</f>
        <v/>
      </c>
      <c r="P244" s="61"/>
      <c r="Q244" s="2"/>
      <c r="R244" s="2"/>
      <c r="S244" s="1" t="str">
        <f>IF($B244="","",$B244&amp;"|"&amp;COUNTIFS($B$7:$B244,$B244))</f>
        <v/>
      </c>
      <c r="T244" s="1" t="str">
        <f t="shared" si="48"/>
        <v/>
      </c>
      <c r="U244" s="1">
        <f t="shared" si="49"/>
        <v>0</v>
      </c>
      <c r="V244" s="1">
        <f t="shared" si="50"/>
        <v>2958465</v>
      </c>
      <c r="W244" s="1">
        <f t="shared" si="51"/>
        <v>0</v>
      </c>
      <c r="X244" s="1">
        <f t="shared" si="52"/>
        <v>0</v>
      </c>
      <c r="Y244" s="1">
        <f t="shared" si="53"/>
        <v>97200</v>
      </c>
      <c r="Z244" s="1">
        <f t="shared" si="54"/>
        <v>1</v>
      </c>
      <c r="AA244" s="1">
        <f t="shared" si="55"/>
        <v>0</v>
      </c>
    </row>
    <row r="245" spans="1:27" ht="18" customHeight="1" x14ac:dyDescent="0.3">
      <c r="A245" s="2"/>
      <c r="B245" s="65" t="str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61"/>
      <c r="D245" s="66"/>
      <c r="E245" s="66"/>
      <c r="F245" s="60"/>
      <c r="G245" s="67"/>
      <c r="H245" s="60"/>
      <c r="I245" s="68">
        <f t="shared" ca="1" si="42"/>
        <v>0</v>
      </c>
      <c r="J245" s="68">
        <f t="shared" ca="1" si="43"/>
        <v>0</v>
      </c>
      <c r="K245" s="68">
        <f t="shared" ca="1" si="44"/>
        <v>0</v>
      </c>
      <c r="L245" s="68">
        <f t="shared" ca="1" si="45"/>
        <v>0</v>
      </c>
      <c r="M245" s="69">
        <f t="shared" si="46"/>
        <v>0</v>
      </c>
      <c r="N245" s="65" t="str">
        <f t="shared" si="47"/>
        <v/>
      </c>
      <c r="O245" s="70" t="str">
        <f>IF(OR($C245="",$D245="",$F245=""),"",IF($F245="Aylık",EOMONTH($D245,0),($D245+MOD(SISTEM!$F$8-WEEKDAY($D245,2),7))))</f>
        <v/>
      </c>
      <c r="P245" s="61"/>
      <c r="Q245" s="2"/>
      <c r="R245" s="2"/>
      <c r="S245" s="1" t="str">
        <f>IF($B245="","",$B245&amp;"|"&amp;COUNTIFS($B$7:$B245,$B245))</f>
        <v/>
      </c>
      <c r="T245" s="1" t="str">
        <f t="shared" si="48"/>
        <v/>
      </c>
      <c r="U245" s="1">
        <f t="shared" si="49"/>
        <v>0</v>
      </c>
      <c r="V245" s="1">
        <f t="shared" si="50"/>
        <v>2958465</v>
      </c>
      <c r="W245" s="1">
        <f t="shared" si="51"/>
        <v>0</v>
      </c>
      <c r="X245" s="1">
        <f t="shared" si="52"/>
        <v>0</v>
      </c>
      <c r="Y245" s="1">
        <f t="shared" si="53"/>
        <v>97200</v>
      </c>
      <c r="Z245" s="1">
        <f t="shared" si="54"/>
        <v>1</v>
      </c>
      <c r="AA245" s="1">
        <f t="shared" si="55"/>
        <v>0</v>
      </c>
    </row>
    <row r="246" spans="1:27" ht="18" customHeight="1" x14ac:dyDescent="0.3">
      <c r="A246" s="2"/>
      <c r="B246" s="65" t="str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61"/>
      <c r="D246" s="66"/>
      <c r="E246" s="66"/>
      <c r="F246" s="60"/>
      <c r="G246" s="67"/>
      <c r="H246" s="60"/>
      <c r="I246" s="68">
        <f t="shared" ca="1" si="42"/>
        <v>0</v>
      </c>
      <c r="J246" s="68">
        <f t="shared" ca="1" si="43"/>
        <v>0</v>
      </c>
      <c r="K246" s="68">
        <f t="shared" ca="1" si="44"/>
        <v>0</v>
      </c>
      <c r="L246" s="68">
        <f t="shared" ca="1" si="45"/>
        <v>0</v>
      </c>
      <c r="M246" s="69">
        <f t="shared" si="46"/>
        <v>0</v>
      </c>
      <c r="N246" s="65" t="str">
        <f t="shared" si="47"/>
        <v/>
      </c>
      <c r="O246" s="70" t="str">
        <f>IF(OR($C246="",$D246="",$F246=""),"",IF($F246="Aylık",EOMONTH($D246,0),($D246+MOD(SISTEM!$F$8-WEEKDAY($D246,2),7))))</f>
        <v/>
      </c>
      <c r="P246" s="61"/>
      <c r="Q246" s="2"/>
      <c r="R246" s="2"/>
      <c r="S246" s="1" t="str">
        <f>IF($B246="","",$B246&amp;"|"&amp;COUNTIFS($B$7:$B246,$B246))</f>
        <v/>
      </c>
      <c r="T246" s="1" t="str">
        <f t="shared" si="48"/>
        <v/>
      </c>
      <c r="U246" s="1">
        <f t="shared" si="49"/>
        <v>0</v>
      </c>
      <c r="V246" s="1">
        <f t="shared" si="50"/>
        <v>2958465</v>
      </c>
      <c r="W246" s="1">
        <f t="shared" si="51"/>
        <v>0</v>
      </c>
      <c r="X246" s="1">
        <f t="shared" si="52"/>
        <v>0</v>
      </c>
      <c r="Y246" s="1">
        <f t="shared" si="53"/>
        <v>97200</v>
      </c>
      <c r="Z246" s="1">
        <f t="shared" si="54"/>
        <v>1</v>
      </c>
      <c r="AA246" s="1">
        <f t="shared" si="55"/>
        <v>0</v>
      </c>
    </row>
    <row r="247" spans="1:27" ht="18" customHeight="1" x14ac:dyDescent="0.3">
      <c r="A247" s="2"/>
      <c r="B247" s="65" t="str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61"/>
      <c r="D247" s="66"/>
      <c r="E247" s="66"/>
      <c r="F247" s="60"/>
      <c r="G247" s="67"/>
      <c r="H247" s="60"/>
      <c r="I247" s="68">
        <f t="shared" ca="1" si="42"/>
        <v>0</v>
      </c>
      <c r="J247" s="68">
        <f t="shared" ca="1" si="43"/>
        <v>0</v>
      </c>
      <c r="K247" s="68">
        <f t="shared" ca="1" si="44"/>
        <v>0</v>
      </c>
      <c r="L247" s="68">
        <f t="shared" ca="1" si="45"/>
        <v>0</v>
      </c>
      <c r="M247" s="69">
        <f t="shared" si="46"/>
        <v>0</v>
      </c>
      <c r="N247" s="65" t="str">
        <f t="shared" si="47"/>
        <v/>
      </c>
      <c r="O247" s="70" t="str">
        <f>IF(OR($C247="",$D247="",$F247=""),"",IF($F247="Aylık",EOMONTH($D247,0),($D247+MOD(SISTEM!$F$8-WEEKDAY($D247,2),7))))</f>
        <v/>
      </c>
      <c r="P247" s="61"/>
      <c r="Q247" s="2"/>
      <c r="R247" s="2"/>
      <c r="S247" s="1" t="str">
        <f>IF($B247="","",$B247&amp;"|"&amp;COUNTIFS($B$7:$B247,$B247))</f>
        <v/>
      </c>
      <c r="T247" s="1" t="str">
        <f t="shared" si="48"/>
        <v/>
      </c>
      <c r="U247" s="1">
        <f t="shared" si="49"/>
        <v>0</v>
      </c>
      <c r="V247" s="1">
        <f t="shared" si="50"/>
        <v>2958465</v>
      </c>
      <c r="W247" s="1">
        <f t="shared" si="51"/>
        <v>0</v>
      </c>
      <c r="X247" s="1">
        <f t="shared" si="52"/>
        <v>0</v>
      </c>
      <c r="Y247" s="1">
        <f t="shared" si="53"/>
        <v>97200</v>
      </c>
      <c r="Z247" s="1">
        <f t="shared" si="54"/>
        <v>1</v>
      </c>
      <c r="AA247" s="1">
        <f t="shared" si="55"/>
        <v>0</v>
      </c>
    </row>
    <row r="248" spans="1:27" ht="18" customHeight="1" x14ac:dyDescent="0.3">
      <c r="A248" s="2"/>
      <c r="B248" s="65" t="str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61"/>
      <c r="D248" s="66"/>
      <c r="E248" s="66"/>
      <c r="F248" s="60"/>
      <c r="G248" s="67"/>
      <c r="H248" s="60"/>
      <c r="I248" s="68">
        <f t="shared" ca="1" si="42"/>
        <v>0</v>
      </c>
      <c r="J248" s="68">
        <f t="shared" ca="1" si="43"/>
        <v>0</v>
      </c>
      <c r="K248" s="68">
        <f t="shared" ca="1" si="44"/>
        <v>0</v>
      </c>
      <c r="L248" s="68">
        <f t="shared" ca="1" si="45"/>
        <v>0</v>
      </c>
      <c r="M248" s="69">
        <f t="shared" si="46"/>
        <v>0</v>
      </c>
      <c r="N248" s="65" t="str">
        <f t="shared" si="47"/>
        <v/>
      </c>
      <c r="O248" s="70" t="str">
        <f>IF(OR($C248="",$D248="",$F248=""),"",IF($F248="Aylık",EOMONTH($D248,0),($D248+MOD(SISTEM!$F$8-WEEKDAY($D248,2),7))))</f>
        <v/>
      </c>
      <c r="P248" s="61"/>
      <c r="Q248" s="2"/>
      <c r="R248" s="2"/>
      <c r="S248" s="1" t="str">
        <f>IF($B248="","",$B248&amp;"|"&amp;COUNTIFS($B$7:$B248,$B248))</f>
        <v/>
      </c>
      <c r="T248" s="1" t="str">
        <f t="shared" si="48"/>
        <v/>
      </c>
      <c r="U248" s="1">
        <f t="shared" si="49"/>
        <v>0</v>
      </c>
      <c r="V248" s="1">
        <f t="shared" si="50"/>
        <v>2958465</v>
      </c>
      <c r="W248" s="1">
        <f t="shared" si="51"/>
        <v>0</v>
      </c>
      <c r="X248" s="1">
        <f t="shared" si="52"/>
        <v>0</v>
      </c>
      <c r="Y248" s="1">
        <f t="shared" si="53"/>
        <v>97200</v>
      </c>
      <c r="Z248" s="1">
        <f t="shared" si="54"/>
        <v>1</v>
      </c>
      <c r="AA248" s="1">
        <f t="shared" si="55"/>
        <v>0</v>
      </c>
    </row>
    <row r="249" spans="1:27" ht="18" customHeight="1" x14ac:dyDescent="0.3">
      <c r="A249" s="2"/>
      <c r="B249" s="65" t="str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61"/>
      <c r="D249" s="66"/>
      <c r="E249" s="66"/>
      <c r="F249" s="60"/>
      <c r="G249" s="67"/>
      <c r="H249" s="60"/>
      <c r="I249" s="68">
        <f t="shared" ca="1" si="42"/>
        <v>0</v>
      </c>
      <c r="J249" s="68">
        <f t="shared" ca="1" si="43"/>
        <v>0</v>
      </c>
      <c r="K249" s="68">
        <f t="shared" ca="1" si="44"/>
        <v>0</v>
      </c>
      <c r="L249" s="68">
        <f t="shared" ca="1" si="45"/>
        <v>0</v>
      </c>
      <c r="M249" s="69">
        <f t="shared" si="46"/>
        <v>0</v>
      </c>
      <c r="N249" s="65" t="str">
        <f t="shared" si="47"/>
        <v/>
      </c>
      <c r="O249" s="70" t="str">
        <f>IF(OR($C249="",$D249="",$F249=""),"",IF($F249="Aylık",EOMONTH($D249,0),($D249+MOD(SISTEM!$F$8-WEEKDAY($D249,2),7))))</f>
        <v/>
      </c>
      <c r="P249" s="61"/>
      <c r="Q249" s="2"/>
      <c r="R249" s="2"/>
      <c r="S249" s="1" t="str">
        <f>IF($B249="","",$B249&amp;"|"&amp;COUNTIFS($B$7:$B249,$B249))</f>
        <v/>
      </c>
      <c r="T249" s="1" t="str">
        <f t="shared" si="48"/>
        <v/>
      </c>
      <c r="U249" s="1">
        <f t="shared" si="49"/>
        <v>0</v>
      </c>
      <c r="V249" s="1">
        <f t="shared" si="50"/>
        <v>2958465</v>
      </c>
      <c r="W249" s="1">
        <f t="shared" si="51"/>
        <v>0</v>
      </c>
      <c r="X249" s="1">
        <f t="shared" si="52"/>
        <v>0</v>
      </c>
      <c r="Y249" s="1">
        <f t="shared" si="53"/>
        <v>97200</v>
      </c>
      <c r="Z249" s="1">
        <f t="shared" si="54"/>
        <v>1</v>
      </c>
      <c r="AA249" s="1">
        <f t="shared" si="55"/>
        <v>0</v>
      </c>
    </row>
    <row r="250" spans="1:27" ht="18" customHeight="1" x14ac:dyDescent="0.3">
      <c r="A250" s="2"/>
      <c r="B250" s="65" t="str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61"/>
      <c r="D250" s="66"/>
      <c r="E250" s="66"/>
      <c r="F250" s="60"/>
      <c r="G250" s="67"/>
      <c r="H250" s="60"/>
      <c r="I250" s="68">
        <f t="shared" ca="1" si="42"/>
        <v>0</v>
      </c>
      <c r="J250" s="68">
        <f t="shared" ca="1" si="43"/>
        <v>0</v>
      </c>
      <c r="K250" s="68">
        <f t="shared" ca="1" si="44"/>
        <v>0</v>
      </c>
      <c r="L250" s="68">
        <f t="shared" ca="1" si="45"/>
        <v>0</v>
      </c>
      <c r="M250" s="69">
        <f t="shared" si="46"/>
        <v>0</v>
      </c>
      <c r="N250" s="65" t="str">
        <f t="shared" si="47"/>
        <v/>
      </c>
      <c r="O250" s="70" t="str">
        <f>IF(OR($C250="",$D250="",$F250=""),"",IF($F250="Aylık",EOMONTH($D250,0),($D250+MOD(SISTEM!$F$8-WEEKDAY($D250,2),7))))</f>
        <v/>
      </c>
      <c r="P250" s="61"/>
      <c r="Q250" s="2"/>
      <c r="R250" s="2"/>
      <c r="S250" s="1" t="str">
        <f>IF($B250="","",$B250&amp;"|"&amp;COUNTIFS($B$7:$B250,$B250))</f>
        <v/>
      </c>
      <c r="T250" s="1" t="str">
        <f t="shared" si="48"/>
        <v/>
      </c>
      <c r="U250" s="1">
        <f t="shared" si="49"/>
        <v>0</v>
      </c>
      <c r="V250" s="1">
        <f t="shared" si="50"/>
        <v>2958465</v>
      </c>
      <c r="W250" s="1">
        <f t="shared" si="51"/>
        <v>0</v>
      </c>
      <c r="X250" s="1">
        <f t="shared" si="52"/>
        <v>0</v>
      </c>
      <c r="Y250" s="1">
        <f t="shared" si="53"/>
        <v>97200</v>
      </c>
      <c r="Z250" s="1">
        <f t="shared" si="54"/>
        <v>1</v>
      </c>
      <c r="AA250" s="1">
        <f t="shared" si="55"/>
        <v>0</v>
      </c>
    </row>
    <row r="251" spans="1:27" ht="18" customHeight="1" x14ac:dyDescent="0.3">
      <c r="A251" s="2"/>
      <c r="B251" s="65" t="str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61"/>
      <c r="D251" s="66"/>
      <c r="E251" s="66"/>
      <c r="F251" s="60"/>
      <c r="G251" s="67"/>
      <c r="H251" s="60"/>
      <c r="I251" s="68">
        <f t="shared" ca="1" si="42"/>
        <v>0</v>
      </c>
      <c r="J251" s="68">
        <f t="shared" ca="1" si="43"/>
        <v>0</v>
      </c>
      <c r="K251" s="68">
        <f t="shared" ca="1" si="44"/>
        <v>0</v>
      </c>
      <c r="L251" s="68">
        <f t="shared" ca="1" si="45"/>
        <v>0</v>
      </c>
      <c r="M251" s="69">
        <f t="shared" si="46"/>
        <v>0</v>
      </c>
      <c r="N251" s="65" t="str">
        <f t="shared" si="47"/>
        <v/>
      </c>
      <c r="O251" s="70" t="str">
        <f>IF(OR($C251="",$D251="",$F251=""),"",IF($F251="Aylık",EOMONTH($D251,0),($D251+MOD(SISTEM!$F$8-WEEKDAY($D251,2),7))))</f>
        <v/>
      </c>
      <c r="P251" s="61"/>
      <c r="Q251" s="2"/>
      <c r="R251" s="2"/>
      <c r="S251" s="1" t="str">
        <f>IF($B251="","",$B251&amp;"|"&amp;COUNTIFS($B$7:$B251,$B251))</f>
        <v/>
      </c>
      <c r="T251" s="1" t="str">
        <f t="shared" si="48"/>
        <v/>
      </c>
      <c r="U251" s="1">
        <f t="shared" si="49"/>
        <v>0</v>
      </c>
      <c r="V251" s="1">
        <f t="shared" si="50"/>
        <v>2958465</v>
      </c>
      <c r="W251" s="1">
        <f t="shared" si="51"/>
        <v>0</v>
      </c>
      <c r="X251" s="1">
        <f t="shared" si="52"/>
        <v>0</v>
      </c>
      <c r="Y251" s="1">
        <f t="shared" si="53"/>
        <v>97200</v>
      </c>
      <c r="Z251" s="1">
        <f t="shared" si="54"/>
        <v>1</v>
      </c>
      <c r="AA251" s="1">
        <f t="shared" si="55"/>
        <v>0</v>
      </c>
    </row>
    <row r="252" spans="1:27" ht="18" customHeight="1" x14ac:dyDescent="0.3">
      <c r="A252" s="2"/>
      <c r="B252" s="65" t="str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61"/>
      <c r="D252" s="66"/>
      <c r="E252" s="66"/>
      <c r="F252" s="60"/>
      <c r="G252" s="67"/>
      <c r="H252" s="60"/>
      <c r="I252" s="68">
        <f t="shared" ca="1" si="42"/>
        <v>0</v>
      </c>
      <c r="J252" s="68">
        <f t="shared" ca="1" si="43"/>
        <v>0</v>
      </c>
      <c r="K252" s="68">
        <f t="shared" ca="1" si="44"/>
        <v>0</v>
      </c>
      <c r="L252" s="68">
        <f t="shared" ca="1" si="45"/>
        <v>0</v>
      </c>
      <c r="M252" s="69">
        <f t="shared" si="46"/>
        <v>0</v>
      </c>
      <c r="N252" s="65" t="str">
        <f t="shared" si="47"/>
        <v/>
      </c>
      <c r="O252" s="70" t="str">
        <f>IF(OR($C252="",$D252="",$F252=""),"",IF($F252="Aylık",EOMONTH($D252,0),($D252+MOD(SISTEM!$F$8-WEEKDAY($D252,2),7))))</f>
        <v/>
      </c>
      <c r="P252" s="61"/>
      <c r="Q252" s="2"/>
      <c r="R252" s="2"/>
      <c r="S252" s="1" t="str">
        <f>IF($B252="","",$B252&amp;"|"&amp;COUNTIFS($B$7:$B252,$B252))</f>
        <v/>
      </c>
      <c r="T252" s="1" t="str">
        <f t="shared" si="48"/>
        <v/>
      </c>
      <c r="U252" s="1">
        <f t="shared" si="49"/>
        <v>0</v>
      </c>
      <c r="V252" s="1">
        <f t="shared" si="50"/>
        <v>2958465</v>
      </c>
      <c r="W252" s="1">
        <f t="shared" si="51"/>
        <v>0</v>
      </c>
      <c r="X252" s="1">
        <f t="shared" si="52"/>
        <v>0</v>
      </c>
      <c r="Y252" s="1">
        <f t="shared" si="53"/>
        <v>97200</v>
      </c>
      <c r="Z252" s="1">
        <f t="shared" si="54"/>
        <v>1</v>
      </c>
      <c r="AA252" s="1">
        <f t="shared" si="55"/>
        <v>0</v>
      </c>
    </row>
    <row r="253" spans="1:27" ht="18" customHeight="1" x14ac:dyDescent="0.3">
      <c r="A253" s="2"/>
      <c r="B253" s="65" t="str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61"/>
      <c r="D253" s="66"/>
      <c r="E253" s="66"/>
      <c r="F253" s="60"/>
      <c r="G253" s="67"/>
      <c r="H253" s="60"/>
      <c r="I253" s="68">
        <f t="shared" ca="1" si="42"/>
        <v>0</v>
      </c>
      <c r="J253" s="68">
        <f t="shared" ca="1" si="43"/>
        <v>0</v>
      </c>
      <c r="K253" s="68">
        <f t="shared" ca="1" si="44"/>
        <v>0</v>
      </c>
      <c r="L253" s="68">
        <f t="shared" ca="1" si="45"/>
        <v>0</v>
      </c>
      <c r="M253" s="69">
        <f t="shared" si="46"/>
        <v>0</v>
      </c>
      <c r="N253" s="65" t="str">
        <f t="shared" si="47"/>
        <v/>
      </c>
      <c r="O253" s="70" t="str">
        <f>IF(OR($C253="",$D253="",$F253=""),"",IF($F253="Aylık",EOMONTH($D253,0),($D253+MOD(SISTEM!$F$8-WEEKDAY($D253,2),7))))</f>
        <v/>
      </c>
      <c r="P253" s="61"/>
      <c r="Q253" s="2"/>
      <c r="R253" s="2"/>
      <c r="S253" s="1" t="str">
        <f>IF($B253="","",$B253&amp;"|"&amp;COUNTIFS($B$7:$B253,$B253))</f>
        <v/>
      </c>
      <c r="T253" s="1" t="str">
        <f t="shared" si="48"/>
        <v/>
      </c>
      <c r="U253" s="1">
        <f t="shared" si="49"/>
        <v>0</v>
      </c>
      <c r="V253" s="1">
        <f t="shared" si="50"/>
        <v>2958465</v>
      </c>
      <c r="W253" s="1">
        <f t="shared" si="51"/>
        <v>0</v>
      </c>
      <c r="X253" s="1">
        <f t="shared" si="52"/>
        <v>0</v>
      </c>
      <c r="Y253" s="1">
        <f t="shared" si="53"/>
        <v>97200</v>
      </c>
      <c r="Z253" s="1">
        <f t="shared" si="54"/>
        <v>1</v>
      </c>
      <c r="AA253" s="1">
        <f t="shared" si="55"/>
        <v>0</v>
      </c>
    </row>
    <row r="254" spans="1:27" ht="18" customHeight="1" x14ac:dyDescent="0.3">
      <c r="A254" s="2"/>
      <c r="B254" s="65" t="str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61"/>
      <c r="D254" s="66"/>
      <c r="E254" s="66"/>
      <c r="F254" s="60"/>
      <c r="G254" s="67"/>
      <c r="H254" s="60"/>
      <c r="I254" s="68">
        <f t="shared" ca="1" si="42"/>
        <v>0</v>
      </c>
      <c r="J254" s="68">
        <f t="shared" ca="1" si="43"/>
        <v>0</v>
      </c>
      <c r="K254" s="68">
        <f t="shared" ca="1" si="44"/>
        <v>0</v>
      </c>
      <c r="L254" s="68">
        <f t="shared" ca="1" si="45"/>
        <v>0</v>
      </c>
      <c r="M254" s="69">
        <f t="shared" si="46"/>
        <v>0</v>
      </c>
      <c r="N254" s="65" t="str">
        <f t="shared" si="47"/>
        <v/>
      </c>
      <c r="O254" s="70" t="str">
        <f>IF(OR($C254="",$D254="",$F254=""),"",IF($F254="Aylık",EOMONTH($D254,0),($D254+MOD(SISTEM!$F$8-WEEKDAY($D254,2),7))))</f>
        <v/>
      </c>
      <c r="P254" s="61"/>
      <c r="Q254" s="2"/>
      <c r="R254" s="2"/>
      <c r="S254" s="1" t="str">
        <f>IF($B254="","",$B254&amp;"|"&amp;COUNTIFS($B$7:$B254,$B254))</f>
        <v/>
      </c>
      <c r="T254" s="1" t="str">
        <f t="shared" si="48"/>
        <v/>
      </c>
      <c r="U254" s="1">
        <f t="shared" si="49"/>
        <v>0</v>
      </c>
      <c r="V254" s="1">
        <f t="shared" si="50"/>
        <v>2958465</v>
      </c>
      <c r="W254" s="1">
        <f t="shared" si="51"/>
        <v>0</v>
      </c>
      <c r="X254" s="1">
        <f t="shared" si="52"/>
        <v>0</v>
      </c>
      <c r="Y254" s="1">
        <f t="shared" si="53"/>
        <v>97200</v>
      </c>
      <c r="Z254" s="1">
        <f t="shared" si="54"/>
        <v>1</v>
      </c>
      <c r="AA254" s="1">
        <f t="shared" si="55"/>
        <v>0</v>
      </c>
    </row>
    <row r="255" spans="1:27" ht="18" customHeight="1" x14ac:dyDescent="0.3">
      <c r="A255" s="2"/>
      <c r="B255" s="65" t="str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61"/>
      <c r="D255" s="66"/>
      <c r="E255" s="66"/>
      <c r="F255" s="60"/>
      <c r="G255" s="67"/>
      <c r="H255" s="60"/>
      <c r="I255" s="68">
        <f t="shared" ca="1" si="42"/>
        <v>0</v>
      </c>
      <c r="J255" s="68">
        <f t="shared" ca="1" si="43"/>
        <v>0</v>
      </c>
      <c r="K255" s="68">
        <f t="shared" ca="1" si="44"/>
        <v>0</v>
      </c>
      <c r="L255" s="68">
        <f t="shared" ca="1" si="45"/>
        <v>0</v>
      </c>
      <c r="M255" s="69">
        <f t="shared" si="46"/>
        <v>0</v>
      </c>
      <c r="N255" s="65" t="str">
        <f t="shared" si="47"/>
        <v/>
      </c>
      <c r="O255" s="70" t="str">
        <f>IF(OR($C255="",$D255="",$F255=""),"",IF($F255="Aylık",EOMONTH($D255,0),($D255+MOD(SISTEM!$F$8-WEEKDAY($D255,2),7))))</f>
        <v/>
      </c>
      <c r="P255" s="61"/>
      <c r="Q255" s="2"/>
      <c r="R255" s="2"/>
      <c r="S255" s="1" t="str">
        <f>IF($B255="","",$B255&amp;"|"&amp;COUNTIFS($B$7:$B255,$B255))</f>
        <v/>
      </c>
      <c r="T255" s="1" t="str">
        <f t="shared" si="48"/>
        <v/>
      </c>
      <c r="U255" s="1">
        <f t="shared" si="49"/>
        <v>0</v>
      </c>
      <c r="V255" s="1">
        <f t="shared" si="50"/>
        <v>2958465</v>
      </c>
      <c r="W255" s="1">
        <f t="shared" si="51"/>
        <v>0</v>
      </c>
      <c r="X255" s="1">
        <f t="shared" si="52"/>
        <v>0</v>
      </c>
      <c r="Y255" s="1">
        <f t="shared" si="53"/>
        <v>97200</v>
      </c>
      <c r="Z255" s="1">
        <f t="shared" si="54"/>
        <v>1</v>
      </c>
      <c r="AA255" s="1">
        <f t="shared" si="55"/>
        <v>0</v>
      </c>
    </row>
    <row r="256" spans="1:27" ht="18" customHeight="1" x14ac:dyDescent="0.3">
      <c r="A256" s="2"/>
      <c r="B256" s="65" t="str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61"/>
      <c r="D256" s="66"/>
      <c r="E256" s="66"/>
      <c r="F256" s="60"/>
      <c r="G256" s="67"/>
      <c r="H256" s="60"/>
      <c r="I256" s="68">
        <f t="shared" ca="1" si="42"/>
        <v>0</v>
      </c>
      <c r="J256" s="68">
        <f t="shared" ca="1" si="43"/>
        <v>0</v>
      </c>
      <c r="K256" s="68">
        <f t="shared" ca="1" si="44"/>
        <v>0</v>
      </c>
      <c r="L256" s="68">
        <f t="shared" ca="1" si="45"/>
        <v>0</v>
      </c>
      <c r="M256" s="69">
        <f t="shared" si="46"/>
        <v>0</v>
      </c>
      <c r="N256" s="65" t="str">
        <f t="shared" si="47"/>
        <v/>
      </c>
      <c r="O256" s="70" t="str">
        <f>IF(OR($C256="",$D256="",$F256=""),"",IF($F256="Aylık",EOMONTH($D256,0),($D256+MOD(SISTEM!$F$8-WEEKDAY($D256,2),7))))</f>
        <v/>
      </c>
      <c r="P256" s="61"/>
      <c r="Q256" s="2"/>
      <c r="R256" s="2"/>
      <c r="S256" s="1" t="str">
        <f>IF($B256="","",$B256&amp;"|"&amp;COUNTIFS($B$7:$B256,$B256))</f>
        <v/>
      </c>
      <c r="T256" s="1" t="str">
        <f t="shared" si="48"/>
        <v/>
      </c>
      <c r="U256" s="1">
        <f t="shared" si="49"/>
        <v>0</v>
      </c>
      <c r="V256" s="1">
        <f t="shared" si="50"/>
        <v>2958465</v>
      </c>
      <c r="W256" s="1">
        <f t="shared" si="51"/>
        <v>0</v>
      </c>
      <c r="X256" s="1">
        <f t="shared" si="52"/>
        <v>0</v>
      </c>
      <c r="Y256" s="1">
        <f t="shared" si="53"/>
        <v>97200</v>
      </c>
      <c r="Z256" s="1">
        <f t="shared" si="54"/>
        <v>1</v>
      </c>
      <c r="AA256" s="1">
        <f t="shared" si="55"/>
        <v>0</v>
      </c>
    </row>
    <row r="257" spans="1:27" ht="18" customHeight="1" x14ac:dyDescent="0.3">
      <c r="A257" s="2"/>
      <c r="B257" s="65" t="str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61"/>
      <c r="D257" s="66"/>
      <c r="E257" s="66"/>
      <c r="F257" s="60"/>
      <c r="G257" s="67"/>
      <c r="H257" s="60"/>
      <c r="I257" s="68">
        <f t="shared" ca="1" si="42"/>
        <v>0</v>
      </c>
      <c r="J257" s="68">
        <f t="shared" ca="1" si="43"/>
        <v>0</v>
      </c>
      <c r="K257" s="68">
        <f t="shared" ca="1" si="44"/>
        <v>0</v>
      </c>
      <c r="L257" s="68">
        <f t="shared" ca="1" si="45"/>
        <v>0</v>
      </c>
      <c r="M257" s="69">
        <f t="shared" si="46"/>
        <v>0</v>
      </c>
      <c r="N257" s="65" t="str">
        <f t="shared" si="47"/>
        <v/>
      </c>
      <c r="O257" s="70" t="str">
        <f>IF(OR($C257="",$D257="",$F257=""),"",IF($F257="Aylık",EOMONTH($D257,0),($D257+MOD(SISTEM!$F$8-WEEKDAY($D257,2),7))))</f>
        <v/>
      </c>
      <c r="P257" s="61"/>
      <c r="Q257" s="2"/>
      <c r="R257" s="2"/>
      <c r="S257" s="1" t="str">
        <f>IF($B257="","",$B257&amp;"|"&amp;COUNTIFS($B$7:$B257,$B257))</f>
        <v/>
      </c>
      <c r="T257" s="1" t="str">
        <f t="shared" si="48"/>
        <v/>
      </c>
      <c r="U257" s="1">
        <f t="shared" si="49"/>
        <v>0</v>
      </c>
      <c r="V257" s="1">
        <f t="shared" si="50"/>
        <v>2958465</v>
      </c>
      <c r="W257" s="1">
        <f t="shared" si="51"/>
        <v>0</v>
      </c>
      <c r="X257" s="1">
        <f t="shared" si="52"/>
        <v>0</v>
      </c>
      <c r="Y257" s="1">
        <f t="shared" si="53"/>
        <v>97200</v>
      </c>
      <c r="Z257" s="1">
        <f t="shared" si="54"/>
        <v>1</v>
      </c>
      <c r="AA257" s="1">
        <f t="shared" si="55"/>
        <v>0</v>
      </c>
    </row>
    <row r="258" spans="1:27" ht="18" customHeight="1" x14ac:dyDescent="0.3">
      <c r="A258" s="2"/>
      <c r="B258" s="65" t="str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61"/>
      <c r="D258" s="66"/>
      <c r="E258" s="66"/>
      <c r="F258" s="60"/>
      <c r="G258" s="67"/>
      <c r="H258" s="60"/>
      <c r="I258" s="68">
        <f t="shared" ca="1" si="42"/>
        <v>0</v>
      </c>
      <c r="J258" s="68">
        <f t="shared" ca="1" si="43"/>
        <v>0</v>
      </c>
      <c r="K258" s="68">
        <f t="shared" ca="1" si="44"/>
        <v>0</v>
      </c>
      <c r="L258" s="68">
        <f t="shared" ca="1" si="45"/>
        <v>0</v>
      </c>
      <c r="M258" s="69">
        <f t="shared" si="46"/>
        <v>0</v>
      </c>
      <c r="N258" s="65" t="str">
        <f t="shared" si="47"/>
        <v/>
      </c>
      <c r="O258" s="70" t="str">
        <f>IF(OR($C258="",$D258="",$F258=""),"",IF($F258="Aylık",EOMONTH($D258,0),($D258+MOD(SISTEM!$F$8-WEEKDAY($D258,2),7))))</f>
        <v/>
      </c>
      <c r="P258" s="61"/>
      <c r="Q258" s="2"/>
      <c r="R258" s="2"/>
      <c r="S258" s="1" t="str">
        <f>IF($B258="","",$B258&amp;"|"&amp;COUNTIFS($B$7:$B258,$B258))</f>
        <v/>
      </c>
      <c r="T258" s="1" t="str">
        <f t="shared" si="48"/>
        <v/>
      </c>
      <c r="U258" s="1">
        <f t="shared" si="49"/>
        <v>0</v>
      </c>
      <c r="V258" s="1">
        <f t="shared" si="50"/>
        <v>2958465</v>
      </c>
      <c r="W258" s="1">
        <f t="shared" si="51"/>
        <v>0</v>
      </c>
      <c r="X258" s="1">
        <f t="shared" si="52"/>
        <v>0</v>
      </c>
      <c r="Y258" s="1">
        <f t="shared" si="53"/>
        <v>97200</v>
      </c>
      <c r="Z258" s="1">
        <f t="shared" si="54"/>
        <v>1</v>
      </c>
      <c r="AA258" s="1">
        <f t="shared" si="55"/>
        <v>0</v>
      </c>
    </row>
    <row r="259" spans="1:27" ht="18" customHeight="1" x14ac:dyDescent="0.3">
      <c r="A259" s="2"/>
      <c r="B259" s="65" t="str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61"/>
      <c r="D259" s="66"/>
      <c r="E259" s="66"/>
      <c r="F259" s="60"/>
      <c r="G259" s="67"/>
      <c r="H259" s="60"/>
      <c r="I259" s="68">
        <f t="shared" ca="1" si="42"/>
        <v>0</v>
      </c>
      <c r="J259" s="68">
        <f t="shared" ca="1" si="43"/>
        <v>0</v>
      </c>
      <c r="K259" s="68">
        <f t="shared" ca="1" si="44"/>
        <v>0</v>
      </c>
      <c r="L259" s="68">
        <f t="shared" ca="1" si="45"/>
        <v>0</v>
      </c>
      <c r="M259" s="69">
        <f t="shared" si="46"/>
        <v>0</v>
      </c>
      <c r="N259" s="65" t="str">
        <f t="shared" si="47"/>
        <v/>
      </c>
      <c r="O259" s="70" t="str">
        <f>IF(OR($C259="",$D259="",$F259=""),"",IF($F259="Aylık",EOMONTH($D259,0),($D259+MOD(SISTEM!$F$8-WEEKDAY($D259,2),7))))</f>
        <v/>
      </c>
      <c r="P259" s="61"/>
      <c r="Q259" s="2"/>
      <c r="R259" s="2"/>
      <c r="S259" s="1" t="str">
        <f>IF($B259="","",$B259&amp;"|"&amp;COUNTIFS($B$7:$B259,$B259))</f>
        <v/>
      </c>
      <c r="T259" s="1" t="str">
        <f t="shared" si="48"/>
        <v/>
      </c>
      <c r="U259" s="1">
        <f t="shared" si="49"/>
        <v>0</v>
      </c>
      <c r="V259" s="1">
        <f t="shared" si="50"/>
        <v>2958465</v>
      </c>
      <c r="W259" s="1">
        <f t="shared" si="51"/>
        <v>0</v>
      </c>
      <c r="X259" s="1">
        <f t="shared" si="52"/>
        <v>0</v>
      </c>
      <c r="Y259" s="1">
        <f t="shared" si="53"/>
        <v>97200</v>
      </c>
      <c r="Z259" s="1">
        <f t="shared" si="54"/>
        <v>1</v>
      </c>
      <c r="AA259" s="1">
        <f t="shared" si="55"/>
        <v>0</v>
      </c>
    </row>
    <row r="260" spans="1:27" ht="18" customHeight="1" x14ac:dyDescent="0.3">
      <c r="A260" s="2"/>
      <c r="B260" s="65" t="str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61"/>
      <c r="D260" s="66"/>
      <c r="E260" s="66"/>
      <c r="F260" s="60"/>
      <c r="G260" s="67"/>
      <c r="H260" s="60"/>
      <c r="I260" s="68">
        <f t="shared" ca="1" si="42"/>
        <v>0</v>
      </c>
      <c r="J260" s="68">
        <f t="shared" ca="1" si="43"/>
        <v>0</v>
      </c>
      <c r="K260" s="68">
        <f t="shared" ca="1" si="44"/>
        <v>0</v>
      </c>
      <c r="L260" s="68">
        <f t="shared" ca="1" si="45"/>
        <v>0</v>
      </c>
      <c r="M260" s="69">
        <f t="shared" si="46"/>
        <v>0</v>
      </c>
      <c r="N260" s="65" t="str">
        <f t="shared" si="47"/>
        <v/>
      </c>
      <c r="O260" s="70" t="str">
        <f>IF(OR($C260="",$D260="",$F260=""),"",IF($F260="Aylık",EOMONTH($D260,0),($D260+MOD(SISTEM!$F$8-WEEKDAY($D260,2),7))))</f>
        <v/>
      </c>
      <c r="P260" s="61"/>
      <c r="Q260" s="2"/>
      <c r="R260" s="2"/>
      <c r="S260" s="1" t="str">
        <f>IF($B260="","",$B260&amp;"|"&amp;COUNTIFS($B$7:$B260,$B260))</f>
        <v/>
      </c>
      <c r="T260" s="1" t="str">
        <f t="shared" si="48"/>
        <v/>
      </c>
      <c r="U260" s="1">
        <f t="shared" si="49"/>
        <v>0</v>
      </c>
      <c r="V260" s="1">
        <f t="shared" si="50"/>
        <v>2958465</v>
      </c>
      <c r="W260" s="1">
        <f t="shared" si="51"/>
        <v>0</v>
      </c>
      <c r="X260" s="1">
        <f t="shared" si="52"/>
        <v>0</v>
      </c>
      <c r="Y260" s="1">
        <f t="shared" si="53"/>
        <v>97200</v>
      </c>
      <c r="Z260" s="1">
        <f t="shared" si="54"/>
        <v>1</v>
      </c>
      <c r="AA260" s="1">
        <f t="shared" si="55"/>
        <v>0</v>
      </c>
    </row>
    <row r="261" spans="1:27" ht="18" customHeight="1" x14ac:dyDescent="0.3">
      <c r="A261" s="2"/>
      <c r="B261" s="65" t="str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61"/>
      <c r="D261" s="66"/>
      <c r="E261" s="66"/>
      <c r="F261" s="60"/>
      <c r="G261" s="67"/>
      <c r="H261" s="60"/>
      <c r="I261" s="68">
        <f t="shared" ca="1" si="42"/>
        <v>0</v>
      </c>
      <c r="J261" s="68">
        <f t="shared" ca="1" si="43"/>
        <v>0</v>
      </c>
      <c r="K261" s="68">
        <f t="shared" ca="1" si="44"/>
        <v>0</v>
      </c>
      <c r="L261" s="68">
        <f t="shared" ca="1" si="45"/>
        <v>0</v>
      </c>
      <c r="M261" s="69">
        <f t="shared" si="46"/>
        <v>0</v>
      </c>
      <c r="N261" s="65" t="str">
        <f t="shared" si="47"/>
        <v/>
      </c>
      <c r="O261" s="70" t="str">
        <f>IF(OR($C261="",$D261="",$F261=""),"",IF($F261="Aylık",EOMONTH($D261,0),($D261+MOD(SISTEM!$F$8-WEEKDAY($D261,2),7))))</f>
        <v/>
      </c>
      <c r="P261" s="61"/>
      <c r="Q261" s="2"/>
      <c r="R261" s="2"/>
      <c r="S261" s="1" t="str">
        <f>IF($B261="","",$B261&amp;"|"&amp;COUNTIFS($B$7:$B261,$B261))</f>
        <v/>
      </c>
      <c r="T261" s="1" t="str">
        <f t="shared" si="48"/>
        <v/>
      </c>
      <c r="U261" s="1">
        <f t="shared" si="49"/>
        <v>0</v>
      </c>
      <c r="V261" s="1">
        <f t="shared" si="50"/>
        <v>2958465</v>
      </c>
      <c r="W261" s="1">
        <f t="shared" si="51"/>
        <v>0</v>
      </c>
      <c r="X261" s="1">
        <f t="shared" si="52"/>
        <v>0</v>
      </c>
      <c r="Y261" s="1">
        <f t="shared" si="53"/>
        <v>97200</v>
      </c>
      <c r="Z261" s="1">
        <f t="shared" si="54"/>
        <v>1</v>
      </c>
      <c r="AA261" s="1">
        <f t="shared" si="55"/>
        <v>0</v>
      </c>
    </row>
    <row r="262" spans="1:27" ht="18" customHeight="1" x14ac:dyDescent="0.3">
      <c r="A262" s="2"/>
      <c r="B262" s="65" t="str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61"/>
      <c r="D262" s="66"/>
      <c r="E262" s="66"/>
      <c r="F262" s="60"/>
      <c r="G262" s="67"/>
      <c r="H262" s="60"/>
      <c r="I262" s="68">
        <f t="shared" ca="1" si="42"/>
        <v>0</v>
      </c>
      <c r="J262" s="68">
        <f t="shared" ca="1" si="43"/>
        <v>0</v>
      </c>
      <c r="K262" s="68">
        <f t="shared" ca="1" si="44"/>
        <v>0</v>
      </c>
      <c r="L262" s="68">
        <f t="shared" ca="1" si="45"/>
        <v>0</v>
      </c>
      <c r="M262" s="69">
        <f t="shared" si="46"/>
        <v>0</v>
      </c>
      <c r="N262" s="65" t="str">
        <f t="shared" si="47"/>
        <v/>
      </c>
      <c r="O262" s="70" t="str">
        <f>IF(OR($C262="",$D262="",$F262=""),"",IF($F262="Aylık",EOMONTH($D262,0),($D262+MOD(SISTEM!$F$8-WEEKDAY($D262,2),7))))</f>
        <v/>
      </c>
      <c r="P262" s="61"/>
      <c r="Q262" s="2"/>
      <c r="R262" s="2"/>
      <c r="S262" s="1" t="str">
        <f>IF($B262="","",$B262&amp;"|"&amp;COUNTIFS($B$7:$B262,$B262))</f>
        <v/>
      </c>
      <c r="T262" s="1" t="str">
        <f t="shared" si="48"/>
        <v/>
      </c>
      <c r="U262" s="1">
        <f t="shared" si="49"/>
        <v>0</v>
      </c>
      <c r="V262" s="1">
        <f t="shared" si="50"/>
        <v>2958465</v>
      </c>
      <c r="W262" s="1">
        <f t="shared" si="51"/>
        <v>0</v>
      </c>
      <c r="X262" s="1">
        <f t="shared" si="52"/>
        <v>0</v>
      </c>
      <c r="Y262" s="1">
        <f t="shared" si="53"/>
        <v>97200</v>
      </c>
      <c r="Z262" s="1">
        <f t="shared" si="54"/>
        <v>1</v>
      </c>
      <c r="AA262" s="1">
        <f t="shared" si="55"/>
        <v>0</v>
      </c>
    </row>
    <row r="263" spans="1:27" ht="18" customHeight="1" x14ac:dyDescent="0.3">
      <c r="A263" s="2"/>
      <c r="B263" s="65" t="str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61"/>
      <c r="D263" s="66"/>
      <c r="E263" s="66"/>
      <c r="F263" s="60"/>
      <c r="G263" s="67"/>
      <c r="H263" s="60"/>
      <c r="I263" s="68">
        <f t="shared" ref="I263:I326" ca="1" si="56"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>0</v>
      </c>
      <c r="J263" s="68">
        <f t="shared" ref="J263:J326" ca="1" si="57"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>0</v>
      </c>
      <c r="K263" s="68">
        <f t="shared" ref="K263:K326" ca="1" si="58"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>0</v>
      </c>
      <c r="L263" s="68">
        <f t="shared" ref="L263:L326" ca="1" si="59"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>0</v>
      </c>
      <c r="M263" s="69">
        <f t="shared" ref="M263:M326" si="60">IF($G263&gt;0,$I263/$G263,0)</f>
        <v>0</v>
      </c>
      <c r="N263" s="65" t="str">
        <f t="shared" ref="N263:N326" si="61"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70" t="str">
        <f>IF(OR($C263="",$D263="",$F263=""),"",IF($F263="Aylık",EOMONTH($D263,0),($D263+MOD(SISTEM!$F$8-WEEKDAY($D263,2),7))))</f>
        <v/>
      </c>
      <c r="P263" s="61"/>
      <c r="Q263" s="2"/>
      <c r="R263" s="2"/>
      <c r="S263" s="1" t="str">
        <f>IF($B263="","",$B263&amp;"|"&amp;COUNTIFS($B$7:$B263,$B263))</f>
        <v/>
      </c>
      <c r="T263" s="1" t="str">
        <f t="shared" ref="T263:T326" si="62"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">
        <f t="shared" ref="U263:U326" si="63">IF($O263="",0,$O263)</f>
        <v>0</v>
      </c>
      <c r="V263" s="1">
        <f t="shared" ref="V263:V326" si="64">IF($E263="",2958465,$E263)</f>
        <v>2958465</v>
      </c>
      <c r="W263" s="1">
        <f t="shared" ref="W263:W326" si="65">IF($F263="Haftalık",1,IF($F263="Aylık",2,0))</f>
        <v>0</v>
      </c>
      <c r="X263" s="1">
        <f t="shared" ref="X263:X326" si="66">IF($U263=0,0,(YEAR($U263)-1900)*12+MONTH($U263))</f>
        <v>0</v>
      </c>
      <c r="Y263" s="1">
        <f t="shared" ref="Y263:Y326" si="67">(YEAR($V263)-1900)*12+MONTH($V263)</f>
        <v>97200</v>
      </c>
      <c r="Z263" s="1">
        <f t="shared" ref="Z263:Z326" si="68">IF($V263=EOMONTH($V263,0),1,0)</f>
        <v>1</v>
      </c>
      <c r="AA263" s="1">
        <f t="shared" ref="AA263:AA326" si="69">IF(OR($B263="",$H263&lt;&gt;"Aktif"),0,COUNTIFS($B$7:$B$606,$B263,$H$7:$H$606,"Aktif"))</f>
        <v>0</v>
      </c>
    </row>
    <row r="264" spans="1:27" ht="18" customHeight="1" x14ac:dyDescent="0.3">
      <c r="A264" s="2"/>
      <c r="B264" s="65" t="str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61"/>
      <c r="D264" s="66"/>
      <c r="E264" s="66"/>
      <c r="F264" s="60"/>
      <c r="G264" s="67"/>
      <c r="H264" s="60"/>
      <c r="I264" s="68">
        <f t="shared" ca="1" si="56"/>
        <v>0</v>
      </c>
      <c r="J264" s="68">
        <f t="shared" ca="1" si="57"/>
        <v>0</v>
      </c>
      <c r="K264" s="68">
        <f t="shared" ca="1" si="58"/>
        <v>0</v>
      </c>
      <c r="L264" s="68">
        <f t="shared" ca="1" si="59"/>
        <v>0</v>
      </c>
      <c r="M264" s="69">
        <f t="shared" si="60"/>
        <v>0</v>
      </c>
      <c r="N264" s="65" t="str">
        <f t="shared" si="61"/>
        <v/>
      </c>
      <c r="O264" s="70" t="str">
        <f>IF(OR($C264="",$D264="",$F264=""),"",IF($F264="Aylık",EOMONTH($D264,0),($D264+MOD(SISTEM!$F$8-WEEKDAY($D264,2),7))))</f>
        <v/>
      </c>
      <c r="P264" s="61"/>
      <c r="Q264" s="2"/>
      <c r="R264" s="2"/>
      <c r="S264" s="1" t="str">
        <f>IF($B264="","",$B264&amp;"|"&amp;COUNTIFS($B$7:$B264,$B264))</f>
        <v/>
      </c>
      <c r="T264" s="1" t="str">
        <f t="shared" si="62"/>
        <v/>
      </c>
      <c r="U264" s="1">
        <f t="shared" si="63"/>
        <v>0</v>
      </c>
      <c r="V264" s="1">
        <f t="shared" si="64"/>
        <v>2958465</v>
      </c>
      <c r="W264" s="1">
        <f t="shared" si="65"/>
        <v>0</v>
      </c>
      <c r="X264" s="1">
        <f t="shared" si="66"/>
        <v>0</v>
      </c>
      <c r="Y264" s="1">
        <f t="shared" si="67"/>
        <v>97200</v>
      </c>
      <c r="Z264" s="1">
        <f t="shared" si="68"/>
        <v>1</v>
      </c>
      <c r="AA264" s="1">
        <f t="shared" si="69"/>
        <v>0</v>
      </c>
    </row>
    <row r="265" spans="1:27" ht="18" customHeight="1" x14ac:dyDescent="0.3">
      <c r="A265" s="2"/>
      <c r="B265" s="65" t="str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61"/>
      <c r="D265" s="66"/>
      <c r="E265" s="66"/>
      <c r="F265" s="60"/>
      <c r="G265" s="67"/>
      <c r="H265" s="60"/>
      <c r="I265" s="68">
        <f t="shared" ca="1" si="56"/>
        <v>0</v>
      </c>
      <c r="J265" s="68">
        <f t="shared" ca="1" si="57"/>
        <v>0</v>
      </c>
      <c r="K265" s="68">
        <f t="shared" ca="1" si="58"/>
        <v>0</v>
      </c>
      <c r="L265" s="68">
        <f t="shared" ca="1" si="59"/>
        <v>0</v>
      </c>
      <c r="M265" s="69">
        <f t="shared" si="60"/>
        <v>0</v>
      </c>
      <c r="N265" s="65" t="str">
        <f t="shared" si="61"/>
        <v/>
      </c>
      <c r="O265" s="70" t="str">
        <f>IF(OR($C265="",$D265="",$F265=""),"",IF($F265="Aylık",EOMONTH($D265,0),($D265+MOD(SISTEM!$F$8-WEEKDAY($D265,2),7))))</f>
        <v/>
      </c>
      <c r="P265" s="61"/>
      <c r="Q265" s="2"/>
      <c r="R265" s="2"/>
      <c r="S265" s="1" t="str">
        <f>IF($B265="","",$B265&amp;"|"&amp;COUNTIFS($B$7:$B265,$B265))</f>
        <v/>
      </c>
      <c r="T265" s="1" t="str">
        <f t="shared" si="62"/>
        <v/>
      </c>
      <c r="U265" s="1">
        <f t="shared" si="63"/>
        <v>0</v>
      </c>
      <c r="V265" s="1">
        <f t="shared" si="64"/>
        <v>2958465</v>
      </c>
      <c r="W265" s="1">
        <f t="shared" si="65"/>
        <v>0</v>
      </c>
      <c r="X265" s="1">
        <f t="shared" si="66"/>
        <v>0</v>
      </c>
      <c r="Y265" s="1">
        <f t="shared" si="67"/>
        <v>97200</v>
      </c>
      <c r="Z265" s="1">
        <f t="shared" si="68"/>
        <v>1</v>
      </c>
      <c r="AA265" s="1">
        <f t="shared" si="69"/>
        <v>0</v>
      </c>
    </row>
    <row r="266" spans="1:27" ht="18" customHeight="1" x14ac:dyDescent="0.3">
      <c r="A266" s="2"/>
      <c r="B266" s="65" t="str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61"/>
      <c r="D266" s="66"/>
      <c r="E266" s="66"/>
      <c r="F266" s="60"/>
      <c r="G266" s="67"/>
      <c r="H266" s="60"/>
      <c r="I266" s="68">
        <f t="shared" ca="1" si="56"/>
        <v>0</v>
      </c>
      <c r="J266" s="68">
        <f t="shared" ca="1" si="57"/>
        <v>0</v>
      </c>
      <c r="K266" s="68">
        <f t="shared" ca="1" si="58"/>
        <v>0</v>
      </c>
      <c r="L266" s="68">
        <f t="shared" ca="1" si="59"/>
        <v>0</v>
      </c>
      <c r="M266" s="69">
        <f t="shared" si="60"/>
        <v>0</v>
      </c>
      <c r="N266" s="65" t="str">
        <f t="shared" si="61"/>
        <v/>
      </c>
      <c r="O266" s="70" t="str">
        <f>IF(OR($C266="",$D266="",$F266=""),"",IF($F266="Aylık",EOMONTH($D266,0),($D266+MOD(SISTEM!$F$8-WEEKDAY($D266,2),7))))</f>
        <v/>
      </c>
      <c r="P266" s="61"/>
      <c r="Q266" s="2"/>
      <c r="R266" s="2"/>
      <c r="S266" s="1" t="str">
        <f>IF($B266="","",$B266&amp;"|"&amp;COUNTIFS($B$7:$B266,$B266))</f>
        <v/>
      </c>
      <c r="T266" s="1" t="str">
        <f t="shared" si="62"/>
        <v/>
      </c>
      <c r="U266" s="1">
        <f t="shared" si="63"/>
        <v>0</v>
      </c>
      <c r="V266" s="1">
        <f t="shared" si="64"/>
        <v>2958465</v>
      </c>
      <c r="W266" s="1">
        <f t="shared" si="65"/>
        <v>0</v>
      </c>
      <c r="X266" s="1">
        <f t="shared" si="66"/>
        <v>0</v>
      </c>
      <c r="Y266" s="1">
        <f t="shared" si="67"/>
        <v>97200</v>
      </c>
      <c r="Z266" s="1">
        <f t="shared" si="68"/>
        <v>1</v>
      </c>
      <c r="AA266" s="1">
        <f t="shared" si="69"/>
        <v>0</v>
      </c>
    </row>
    <row r="267" spans="1:27" ht="18" customHeight="1" x14ac:dyDescent="0.3">
      <c r="A267" s="2"/>
      <c r="B267" s="65" t="str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61"/>
      <c r="D267" s="66"/>
      <c r="E267" s="66"/>
      <c r="F267" s="60"/>
      <c r="G267" s="67"/>
      <c r="H267" s="60"/>
      <c r="I267" s="68">
        <f t="shared" ca="1" si="56"/>
        <v>0</v>
      </c>
      <c r="J267" s="68">
        <f t="shared" ca="1" si="57"/>
        <v>0</v>
      </c>
      <c r="K267" s="68">
        <f t="shared" ca="1" si="58"/>
        <v>0</v>
      </c>
      <c r="L267" s="68">
        <f t="shared" ca="1" si="59"/>
        <v>0</v>
      </c>
      <c r="M267" s="69">
        <f t="shared" si="60"/>
        <v>0</v>
      </c>
      <c r="N267" s="65" t="str">
        <f t="shared" si="61"/>
        <v/>
      </c>
      <c r="O267" s="70" t="str">
        <f>IF(OR($C267="",$D267="",$F267=""),"",IF($F267="Aylık",EOMONTH($D267,0),($D267+MOD(SISTEM!$F$8-WEEKDAY($D267,2),7))))</f>
        <v/>
      </c>
      <c r="P267" s="61"/>
      <c r="Q267" s="2"/>
      <c r="R267" s="2"/>
      <c r="S267" s="1" t="str">
        <f>IF($B267="","",$B267&amp;"|"&amp;COUNTIFS($B$7:$B267,$B267))</f>
        <v/>
      </c>
      <c r="T267" s="1" t="str">
        <f t="shared" si="62"/>
        <v/>
      </c>
      <c r="U267" s="1">
        <f t="shared" si="63"/>
        <v>0</v>
      </c>
      <c r="V267" s="1">
        <f t="shared" si="64"/>
        <v>2958465</v>
      </c>
      <c r="W267" s="1">
        <f t="shared" si="65"/>
        <v>0</v>
      </c>
      <c r="X267" s="1">
        <f t="shared" si="66"/>
        <v>0</v>
      </c>
      <c r="Y267" s="1">
        <f t="shared" si="67"/>
        <v>97200</v>
      </c>
      <c r="Z267" s="1">
        <f t="shared" si="68"/>
        <v>1</v>
      </c>
      <c r="AA267" s="1">
        <f t="shared" si="69"/>
        <v>0</v>
      </c>
    </row>
    <row r="268" spans="1:27" ht="18" customHeight="1" x14ac:dyDescent="0.3">
      <c r="A268" s="2"/>
      <c r="B268" s="65" t="str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61"/>
      <c r="D268" s="66"/>
      <c r="E268" s="66"/>
      <c r="F268" s="60"/>
      <c r="G268" s="67"/>
      <c r="H268" s="60"/>
      <c r="I268" s="68">
        <f t="shared" ca="1" si="56"/>
        <v>0</v>
      </c>
      <c r="J268" s="68">
        <f t="shared" ca="1" si="57"/>
        <v>0</v>
      </c>
      <c r="K268" s="68">
        <f t="shared" ca="1" si="58"/>
        <v>0</v>
      </c>
      <c r="L268" s="68">
        <f t="shared" ca="1" si="59"/>
        <v>0</v>
      </c>
      <c r="M268" s="69">
        <f t="shared" si="60"/>
        <v>0</v>
      </c>
      <c r="N268" s="65" t="str">
        <f t="shared" si="61"/>
        <v/>
      </c>
      <c r="O268" s="70" t="str">
        <f>IF(OR($C268="",$D268="",$F268=""),"",IF($F268="Aylık",EOMONTH($D268,0),($D268+MOD(SISTEM!$F$8-WEEKDAY($D268,2),7))))</f>
        <v/>
      </c>
      <c r="P268" s="61"/>
      <c r="Q268" s="2"/>
      <c r="R268" s="2"/>
      <c r="S268" s="1" t="str">
        <f>IF($B268="","",$B268&amp;"|"&amp;COUNTIFS($B$7:$B268,$B268))</f>
        <v/>
      </c>
      <c r="T268" s="1" t="str">
        <f t="shared" si="62"/>
        <v/>
      </c>
      <c r="U268" s="1">
        <f t="shared" si="63"/>
        <v>0</v>
      </c>
      <c r="V268" s="1">
        <f t="shared" si="64"/>
        <v>2958465</v>
      </c>
      <c r="W268" s="1">
        <f t="shared" si="65"/>
        <v>0</v>
      </c>
      <c r="X268" s="1">
        <f t="shared" si="66"/>
        <v>0</v>
      </c>
      <c r="Y268" s="1">
        <f t="shared" si="67"/>
        <v>97200</v>
      </c>
      <c r="Z268" s="1">
        <f t="shared" si="68"/>
        <v>1</v>
      </c>
      <c r="AA268" s="1">
        <f t="shared" si="69"/>
        <v>0</v>
      </c>
    </row>
    <row r="269" spans="1:27" ht="18" customHeight="1" x14ac:dyDescent="0.3">
      <c r="A269" s="2"/>
      <c r="B269" s="65" t="str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61"/>
      <c r="D269" s="66"/>
      <c r="E269" s="66"/>
      <c r="F269" s="60"/>
      <c r="G269" s="67"/>
      <c r="H269" s="60"/>
      <c r="I269" s="68">
        <f t="shared" ca="1" si="56"/>
        <v>0</v>
      </c>
      <c r="J269" s="68">
        <f t="shared" ca="1" si="57"/>
        <v>0</v>
      </c>
      <c r="K269" s="68">
        <f t="shared" ca="1" si="58"/>
        <v>0</v>
      </c>
      <c r="L269" s="68">
        <f t="shared" ca="1" si="59"/>
        <v>0</v>
      </c>
      <c r="M269" s="69">
        <f t="shared" si="60"/>
        <v>0</v>
      </c>
      <c r="N269" s="65" t="str">
        <f t="shared" si="61"/>
        <v/>
      </c>
      <c r="O269" s="70" t="str">
        <f>IF(OR($C269="",$D269="",$F269=""),"",IF($F269="Aylık",EOMONTH($D269,0),($D269+MOD(SISTEM!$F$8-WEEKDAY($D269,2),7))))</f>
        <v/>
      </c>
      <c r="P269" s="61"/>
      <c r="Q269" s="2"/>
      <c r="R269" s="2"/>
      <c r="S269" s="1" t="str">
        <f>IF($B269="","",$B269&amp;"|"&amp;COUNTIFS($B$7:$B269,$B269))</f>
        <v/>
      </c>
      <c r="T269" s="1" t="str">
        <f t="shared" si="62"/>
        <v/>
      </c>
      <c r="U269" s="1">
        <f t="shared" si="63"/>
        <v>0</v>
      </c>
      <c r="V269" s="1">
        <f t="shared" si="64"/>
        <v>2958465</v>
      </c>
      <c r="W269" s="1">
        <f t="shared" si="65"/>
        <v>0</v>
      </c>
      <c r="X269" s="1">
        <f t="shared" si="66"/>
        <v>0</v>
      </c>
      <c r="Y269" s="1">
        <f t="shared" si="67"/>
        <v>97200</v>
      </c>
      <c r="Z269" s="1">
        <f t="shared" si="68"/>
        <v>1</v>
      </c>
      <c r="AA269" s="1">
        <f t="shared" si="69"/>
        <v>0</v>
      </c>
    </row>
    <row r="270" spans="1:27" ht="18" customHeight="1" x14ac:dyDescent="0.3">
      <c r="A270" s="2"/>
      <c r="B270" s="65" t="str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61"/>
      <c r="D270" s="66"/>
      <c r="E270" s="66"/>
      <c r="F270" s="60"/>
      <c r="G270" s="67"/>
      <c r="H270" s="60"/>
      <c r="I270" s="68">
        <f t="shared" ca="1" si="56"/>
        <v>0</v>
      </c>
      <c r="J270" s="68">
        <f t="shared" ca="1" si="57"/>
        <v>0</v>
      </c>
      <c r="K270" s="68">
        <f t="shared" ca="1" si="58"/>
        <v>0</v>
      </c>
      <c r="L270" s="68">
        <f t="shared" ca="1" si="59"/>
        <v>0</v>
      </c>
      <c r="M270" s="69">
        <f t="shared" si="60"/>
        <v>0</v>
      </c>
      <c r="N270" s="65" t="str">
        <f t="shared" si="61"/>
        <v/>
      </c>
      <c r="O270" s="70" t="str">
        <f>IF(OR($C270="",$D270="",$F270=""),"",IF($F270="Aylık",EOMONTH($D270,0),($D270+MOD(SISTEM!$F$8-WEEKDAY($D270,2),7))))</f>
        <v/>
      </c>
      <c r="P270" s="61"/>
      <c r="Q270" s="2"/>
      <c r="R270" s="2"/>
      <c r="S270" s="1" t="str">
        <f>IF($B270="","",$B270&amp;"|"&amp;COUNTIFS($B$7:$B270,$B270))</f>
        <v/>
      </c>
      <c r="T270" s="1" t="str">
        <f t="shared" si="62"/>
        <v/>
      </c>
      <c r="U270" s="1">
        <f t="shared" si="63"/>
        <v>0</v>
      </c>
      <c r="V270" s="1">
        <f t="shared" si="64"/>
        <v>2958465</v>
      </c>
      <c r="W270" s="1">
        <f t="shared" si="65"/>
        <v>0</v>
      </c>
      <c r="X270" s="1">
        <f t="shared" si="66"/>
        <v>0</v>
      </c>
      <c r="Y270" s="1">
        <f t="shared" si="67"/>
        <v>97200</v>
      </c>
      <c r="Z270" s="1">
        <f t="shared" si="68"/>
        <v>1</v>
      </c>
      <c r="AA270" s="1">
        <f t="shared" si="69"/>
        <v>0</v>
      </c>
    </row>
    <row r="271" spans="1:27" ht="18" customHeight="1" x14ac:dyDescent="0.3">
      <c r="A271" s="2"/>
      <c r="B271" s="65" t="str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61"/>
      <c r="D271" s="66"/>
      <c r="E271" s="66"/>
      <c r="F271" s="60"/>
      <c r="G271" s="67"/>
      <c r="H271" s="60"/>
      <c r="I271" s="68">
        <f t="shared" ca="1" si="56"/>
        <v>0</v>
      </c>
      <c r="J271" s="68">
        <f t="shared" ca="1" si="57"/>
        <v>0</v>
      </c>
      <c r="K271" s="68">
        <f t="shared" ca="1" si="58"/>
        <v>0</v>
      </c>
      <c r="L271" s="68">
        <f t="shared" ca="1" si="59"/>
        <v>0</v>
      </c>
      <c r="M271" s="69">
        <f t="shared" si="60"/>
        <v>0</v>
      </c>
      <c r="N271" s="65" t="str">
        <f t="shared" si="61"/>
        <v/>
      </c>
      <c r="O271" s="70" t="str">
        <f>IF(OR($C271="",$D271="",$F271=""),"",IF($F271="Aylık",EOMONTH($D271,0),($D271+MOD(SISTEM!$F$8-WEEKDAY($D271,2),7))))</f>
        <v/>
      </c>
      <c r="P271" s="61"/>
      <c r="Q271" s="2"/>
      <c r="R271" s="2"/>
      <c r="S271" s="1" t="str">
        <f>IF($B271="","",$B271&amp;"|"&amp;COUNTIFS($B$7:$B271,$B271))</f>
        <v/>
      </c>
      <c r="T271" s="1" t="str">
        <f t="shared" si="62"/>
        <v/>
      </c>
      <c r="U271" s="1">
        <f t="shared" si="63"/>
        <v>0</v>
      </c>
      <c r="V271" s="1">
        <f t="shared" si="64"/>
        <v>2958465</v>
      </c>
      <c r="W271" s="1">
        <f t="shared" si="65"/>
        <v>0</v>
      </c>
      <c r="X271" s="1">
        <f t="shared" si="66"/>
        <v>0</v>
      </c>
      <c r="Y271" s="1">
        <f t="shared" si="67"/>
        <v>97200</v>
      </c>
      <c r="Z271" s="1">
        <f t="shared" si="68"/>
        <v>1</v>
      </c>
      <c r="AA271" s="1">
        <f t="shared" si="69"/>
        <v>0</v>
      </c>
    </row>
    <row r="272" spans="1:27" ht="18" customHeight="1" x14ac:dyDescent="0.3">
      <c r="A272" s="2"/>
      <c r="B272" s="65" t="str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61"/>
      <c r="D272" s="66"/>
      <c r="E272" s="66"/>
      <c r="F272" s="60"/>
      <c r="G272" s="67"/>
      <c r="H272" s="60"/>
      <c r="I272" s="68">
        <f t="shared" ca="1" si="56"/>
        <v>0</v>
      </c>
      <c r="J272" s="68">
        <f t="shared" ca="1" si="57"/>
        <v>0</v>
      </c>
      <c r="K272" s="68">
        <f t="shared" ca="1" si="58"/>
        <v>0</v>
      </c>
      <c r="L272" s="68">
        <f t="shared" ca="1" si="59"/>
        <v>0</v>
      </c>
      <c r="M272" s="69">
        <f t="shared" si="60"/>
        <v>0</v>
      </c>
      <c r="N272" s="65" t="str">
        <f t="shared" si="61"/>
        <v/>
      </c>
      <c r="O272" s="70" t="str">
        <f>IF(OR($C272="",$D272="",$F272=""),"",IF($F272="Aylık",EOMONTH($D272,0),($D272+MOD(SISTEM!$F$8-WEEKDAY($D272,2),7))))</f>
        <v/>
      </c>
      <c r="P272" s="61"/>
      <c r="Q272" s="2"/>
      <c r="R272" s="2"/>
      <c r="S272" s="1" t="str">
        <f>IF($B272="","",$B272&amp;"|"&amp;COUNTIFS($B$7:$B272,$B272))</f>
        <v/>
      </c>
      <c r="T272" s="1" t="str">
        <f t="shared" si="62"/>
        <v/>
      </c>
      <c r="U272" s="1">
        <f t="shared" si="63"/>
        <v>0</v>
      </c>
      <c r="V272" s="1">
        <f t="shared" si="64"/>
        <v>2958465</v>
      </c>
      <c r="W272" s="1">
        <f t="shared" si="65"/>
        <v>0</v>
      </c>
      <c r="X272" s="1">
        <f t="shared" si="66"/>
        <v>0</v>
      </c>
      <c r="Y272" s="1">
        <f t="shared" si="67"/>
        <v>97200</v>
      </c>
      <c r="Z272" s="1">
        <f t="shared" si="68"/>
        <v>1</v>
      </c>
      <c r="AA272" s="1">
        <f t="shared" si="69"/>
        <v>0</v>
      </c>
    </row>
    <row r="273" spans="1:27" ht="18" customHeight="1" x14ac:dyDescent="0.3">
      <c r="A273" s="2"/>
      <c r="B273" s="65" t="str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61"/>
      <c r="D273" s="66"/>
      <c r="E273" s="66"/>
      <c r="F273" s="60"/>
      <c r="G273" s="67"/>
      <c r="H273" s="60"/>
      <c r="I273" s="68">
        <f t="shared" ca="1" si="56"/>
        <v>0</v>
      </c>
      <c r="J273" s="68">
        <f t="shared" ca="1" si="57"/>
        <v>0</v>
      </c>
      <c r="K273" s="68">
        <f t="shared" ca="1" si="58"/>
        <v>0</v>
      </c>
      <c r="L273" s="68">
        <f t="shared" ca="1" si="59"/>
        <v>0</v>
      </c>
      <c r="M273" s="69">
        <f t="shared" si="60"/>
        <v>0</v>
      </c>
      <c r="N273" s="65" t="str">
        <f t="shared" si="61"/>
        <v/>
      </c>
      <c r="O273" s="70" t="str">
        <f>IF(OR($C273="",$D273="",$F273=""),"",IF($F273="Aylık",EOMONTH($D273,0),($D273+MOD(SISTEM!$F$8-WEEKDAY($D273,2),7))))</f>
        <v/>
      </c>
      <c r="P273" s="61"/>
      <c r="Q273" s="2"/>
      <c r="R273" s="2"/>
      <c r="S273" s="1" t="str">
        <f>IF($B273="","",$B273&amp;"|"&amp;COUNTIFS($B$7:$B273,$B273))</f>
        <v/>
      </c>
      <c r="T273" s="1" t="str">
        <f t="shared" si="62"/>
        <v/>
      </c>
      <c r="U273" s="1">
        <f t="shared" si="63"/>
        <v>0</v>
      </c>
      <c r="V273" s="1">
        <f t="shared" si="64"/>
        <v>2958465</v>
      </c>
      <c r="W273" s="1">
        <f t="shared" si="65"/>
        <v>0</v>
      </c>
      <c r="X273" s="1">
        <f t="shared" si="66"/>
        <v>0</v>
      </c>
      <c r="Y273" s="1">
        <f t="shared" si="67"/>
        <v>97200</v>
      </c>
      <c r="Z273" s="1">
        <f t="shared" si="68"/>
        <v>1</v>
      </c>
      <c r="AA273" s="1">
        <f t="shared" si="69"/>
        <v>0</v>
      </c>
    </row>
    <row r="274" spans="1:27" ht="18" customHeight="1" x14ac:dyDescent="0.3">
      <c r="A274" s="2"/>
      <c r="B274" s="65" t="str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61"/>
      <c r="D274" s="66"/>
      <c r="E274" s="66"/>
      <c r="F274" s="60"/>
      <c r="G274" s="67"/>
      <c r="H274" s="60"/>
      <c r="I274" s="68">
        <f t="shared" ca="1" si="56"/>
        <v>0</v>
      </c>
      <c r="J274" s="68">
        <f t="shared" ca="1" si="57"/>
        <v>0</v>
      </c>
      <c r="K274" s="68">
        <f t="shared" ca="1" si="58"/>
        <v>0</v>
      </c>
      <c r="L274" s="68">
        <f t="shared" ca="1" si="59"/>
        <v>0</v>
      </c>
      <c r="M274" s="69">
        <f t="shared" si="60"/>
        <v>0</v>
      </c>
      <c r="N274" s="65" t="str">
        <f t="shared" si="61"/>
        <v/>
      </c>
      <c r="O274" s="70" t="str">
        <f>IF(OR($C274="",$D274="",$F274=""),"",IF($F274="Aylık",EOMONTH($D274,0),($D274+MOD(SISTEM!$F$8-WEEKDAY($D274,2),7))))</f>
        <v/>
      </c>
      <c r="P274" s="61"/>
      <c r="Q274" s="2"/>
      <c r="R274" s="2"/>
      <c r="S274" s="1" t="str">
        <f>IF($B274="","",$B274&amp;"|"&amp;COUNTIFS($B$7:$B274,$B274))</f>
        <v/>
      </c>
      <c r="T274" s="1" t="str">
        <f t="shared" si="62"/>
        <v/>
      </c>
      <c r="U274" s="1">
        <f t="shared" si="63"/>
        <v>0</v>
      </c>
      <c r="V274" s="1">
        <f t="shared" si="64"/>
        <v>2958465</v>
      </c>
      <c r="W274" s="1">
        <f t="shared" si="65"/>
        <v>0</v>
      </c>
      <c r="X274" s="1">
        <f t="shared" si="66"/>
        <v>0</v>
      </c>
      <c r="Y274" s="1">
        <f t="shared" si="67"/>
        <v>97200</v>
      </c>
      <c r="Z274" s="1">
        <f t="shared" si="68"/>
        <v>1</v>
      </c>
      <c r="AA274" s="1">
        <f t="shared" si="69"/>
        <v>0</v>
      </c>
    </row>
    <row r="275" spans="1:27" ht="18" customHeight="1" x14ac:dyDescent="0.3">
      <c r="A275" s="2"/>
      <c r="B275" s="65" t="str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61"/>
      <c r="D275" s="66"/>
      <c r="E275" s="66"/>
      <c r="F275" s="60"/>
      <c r="G275" s="67"/>
      <c r="H275" s="60"/>
      <c r="I275" s="68">
        <f t="shared" ca="1" si="56"/>
        <v>0</v>
      </c>
      <c r="J275" s="68">
        <f t="shared" ca="1" si="57"/>
        <v>0</v>
      </c>
      <c r="K275" s="68">
        <f t="shared" ca="1" si="58"/>
        <v>0</v>
      </c>
      <c r="L275" s="68">
        <f t="shared" ca="1" si="59"/>
        <v>0</v>
      </c>
      <c r="M275" s="69">
        <f t="shared" si="60"/>
        <v>0</v>
      </c>
      <c r="N275" s="65" t="str">
        <f t="shared" si="61"/>
        <v/>
      </c>
      <c r="O275" s="70" t="str">
        <f>IF(OR($C275="",$D275="",$F275=""),"",IF($F275="Aylık",EOMONTH($D275,0),($D275+MOD(SISTEM!$F$8-WEEKDAY($D275,2),7))))</f>
        <v/>
      </c>
      <c r="P275" s="61"/>
      <c r="Q275" s="2"/>
      <c r="R275" s="2"/>
      <c r="S275" s="1" t="str">
        <f>IF($B275="","",$B275&amp;"|"&amp;COUNTIFS($B$7:$B275,$B275))</f>
        <v/>
      </c>
      <c r="T275" s="1" t="str">
        <f t="shared" si="62"/>
        <v/>
      </c>
      <c r="U275" s="1">
        <f t="shared" si="63"/>
        <v>0</v>
      </c>
      <c r="V275" s="1">
        <f t="shared" si="64"/>
        <v>2958465</v>
      </c>
      <c r="W275" s="1">
        <f t="shared" si="65"/>
        <v>0</v>
      </c>
      <c r="X275" s="1">
        <f t="shared" si="66"/>
        <v>0</v>
      </c>
      <c r="Y275" s="1">
        <f t="shared" si="67"/>
        <v>97200</v>
      </c>
      <c r="Z275" s="1">
        <f t="shared" si="68"/>
        <v>1</v>
      </c>
      <c r="AA275" s="1">
        <f t="shared" si="69"/>
        <v>0</v>
      </c>
    </row>
    <row r="276" spans="1:27" ht="18" customHeight="1" x14ac:dyDescent="0.3">
      <c r="A276" s="2"/>
      <c r="B276" s="65" t="str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61"/>
      <c r="D276" s="66"/>
      <c r="E276" s="66"/>
      <c r="F276" s="60"/>
      <c r="G276" s="67"/>
      <c r="H276" s="60"/>
      <c r="I276" s="68">
        <f t="shared" ca="1" si="56"/>
        <v>0</v>
      </c>
      <c r="J276" s="68">
        <f t="shared" ca="1" si="57"/>
        <v>0</v>
      </c>
      <c r="K276" s="68">
        <f t="shared" ca="1" si="58"/>
        <v>0</v>
      </c>
      <c r="L276" s="68">
        <f t="shared" ca="1" si="59"/>
        <v>0</v>
      </c>
      <c r="M276" s="69">
        <f t="shared" si="60"/>
        <v>0</v>
      </c>
      <c r="N276" s="65" t="str">
        <f t="shared" si="61"/>
        <v/>
      </c>
      <c r="O276" s="70" t="str">
        <f>IF(OR($C276="",$D276="",$F276=""),"",IF($F276="Aylık",EOMONTH($D276,0),($D276+MOD(SISTEM!$F$8-WEEKDAY($D276,2),7))))</f>
        <v/>
      </c>
      <c r="P276" s="61"/>
      <c r="Q276" s="2"/>
      <c r="R276" s="2"/>
      <c r="S276" s="1" t="str">
        <f>IF($B276="","",$B276&amp;"|"&amp;COUNTIFS($B$7:$B276,$B276))</f>
        <v/>
      </c>
      <c r="T276" s="1" t="str">
        <f t="shared" si="62"/>
        <v/>
      </c>
      <c r="U276" s="1">
        <f t="shared" si="63"/>
        <v>0</v>
      </c>
      <c r="V276" s="1">
        <f t="shared" si="64"/>
        <v>2958465</v>
      </c>
      <c r="W276" s="1">
        <f t="shared" si="65"/>
        <v>0</v>
      </c>
      <c r="X276" s="1">
        <f t="shared" si="66"/>
        <v>0</v>
      </c>
      <c r="Y276" s="1">
        <f t="shared" si="67"/>
        <v>97200</v>
      </c>
      <c r="Z276" s="1">
        <f t="shared" si="68"/>
        <v>1</v>
      </c>
      <c r="AA276" s="1">
        <f t="shared" si="69"/>
        <v>0</v>
      </c>
    </row>
    <row r="277" spans="1:27" ht="18" customHeight="1" x14ac:dyDescent="0.3">
      <c r="A277" s="2"/>
      <c r="B277" s="65" t="str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61"/>
      <c r="D277" s="66"/>
      <c r="E277" s="66"/>
      <c r="F277" s="60"/>
      <c r="G277" s="67"/>
      <c r="H277" s="60"/>
      <c r="I277" s="68">
        <f t="shared" ca="1" si="56"/>
        <v>0</v>
      </c>
      <c r="J277" s="68">
        <f t="shared" ca="1" si="57"/>
        <v>0</v>
      </c>
      <c r="K277" s="68">
        <f t="shared" ca="1" si="58"/>
        <v>0</v>
      </c>
      <c r="L277" s="68">
        <f t="shared" ca="1" si="59"/>
        <v>0</v>
      </c>
      <c r="M277" s="69">
        <f t="shared" si="60"/>
        <v>0</v>
      </c>
      <c r="N277" s="65" t="str">
        <f t="shared" si="61"/>
        <v/>
      </c>
      <c r="O277" s="70" t="str">
        <f>IF(OR($C277="",$D277="",$F277=""),"",IF($F277="Aylık",EOMONTH($D277,0),($D277+MOD(SISTEM!$F$8-WEEKDAY($D277,2),7))))</f>
        <v/>
      </c>
      <c r="P277" s="61"/>
      <c r="Q277" s="2"/>
      <c r="R277" s="2"/>
      <c r="S277" s="1" t="str">
        <f>IF($B277="","",$B277&amp;"|"&amp;COUNTIFS($B$7:$B277,$B277))</f>
        <v/>
      </c>
      <c r="T277" s="1" t="str">
        <f t="shared" si="62"/>
        <v/>
      </c>
      <c r="U277" s="1">
        <f t="shared" si="63"/>
        <v>0</v>
      </c>
      <c r="V277" s="1">
        <f t="shared" si="64"/>
        <v>2958465</v>
      </c>
      <c r="W277" s="1">
        <f t="shared" si="65"/>
        <v>0</v>
      </c>
      <c r="X277" s="1">
        <f t="shared" si="66"/>
        <v>0</v>
      </c>
      <c r="Y277" s="1">
        <f t="shared" si="67"/>
        <v>97200</v>
      </c>
      <c r="Z277" s="1">
        <f t="shared" si="68"/>
        <v>1</v>
      </c>
      <c r="AA277" s="1">
        <f t="shared" si="69"/>
        <v>0</v>
      </c>
    </row>
    <row r="278" spans="1:27" ht="18" customHeight="1" x14ac:dyDescent="0.3">
      <c r="A278" s="2"/>
      <c r="B278" s="65" t="str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61"/>
      <c r="D278" s="66"/>
      <c r="E278" s="66"/>
      <c r="F278" s="60"/>
      <c r="G278" s="67"/>
      <c r="H278" s="60"/>
      <c r="I278" s="68">
        <f t="shared" ca="1" si="56"/>
        <v>0</v>
      </c>
      <c r="J278" s="68">
        <f t="shared" ca="1" si="57"/>
        <v>0</v>
      </c>
      <c r="K278" s="68">
        <f t="shared" ca="1" si="58"/>
        <v>0</v>
      </c>
      <c r="L278" s="68">
        <f t="shared" ca="1" si="59"/>
        <v>0</v>
      </c>
      <c r="M278" s="69">
        <f t="shared" si="60"/>
        <v>0</v>
      </c>
      <c r="N278" s="65" t="str">
        <f t="shared" si="61"/>
        <v/>
      </c>
      <c r="O278" s="70" t="str">
        <f>IF(OR($C278="",$D278="",$F278=""),"",IF($F278="Aylık",EOMONTH($D278,0),($D278+MOD(SISTEM!$F$8-WEEKDAY($D278,2),7))))</f>
        <v/>
      </c>
      <c r="P278" s="61"/>
      <c r="Q278" s="2"/>
      <c r="R278" s="2"/>
      <c r="S278" s="1" t="str">
        <f>IF($B278="","",$B278&amp;"|"&amp;COUNTIFS($B$7:$B278,$B278))</f>
        <v/>
      </c>
      <c r="T278" s="1" t="str">
        <f t="shared" si="62"/>
        <v/>
      </c>
      <c r="U278" s="1">
        <f t="shared" si="63"/>
        <v>0</v>
      </c>
      <c r="V278" s="1">
        <f t="shared" si="64"/>
        <v>2958465</v>
      </c>
      <c r="W278" s="1">
        <f t="shared" si="65"/>
        <v>0</v>
      </c>
      <c r="X278" s="1">
        <f t="shared" si="66"/>
        <v>0</v>
      </c>
      <c r="Y278" s="1">
        <f t="shared" si="67"/>
        <v>97200</v>
      </c>
      <c r="Z278" s="1">
        <f t="shared" si="68"/>
        <v>1</v>
      </c>
      <c r="AA278" s="1">
        <f t="shared" si="69"/>
        <v>0</v>
      </c>
    </row>
    <row r="279" spans="1:27" ht="18" customHeight="1" x14ac:dyDescent="0.3">
      <c r="A279" s="2"/>
      <c r="B279" s="65" t="str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61"/>
      <c r="D279" s="66"/>
      <c r="E279" s="66"/>
      <c r="F279" s="60"/>
      <c r="G279" s="67"/>
      <c r="H279" s="60"/>
      <c r="I279" s="68">
        <f t="shared" ca="1" si="56"/>
        <v>0</v>
      </c>
      <c r="J279" s="68">
        <f t="shared" ca="1" si="57"/>
        <v>0</v>
      </c>
      <c r="K279" s="68">
        <f t="shared" ca="1" si="58"/>
        <v>0</v>
      </c>
      <c r="L279" s="68">
        <f t="shared" ca="1" si="59"/>
        <v>0</v>
      </c>
      <c r="M279" s="69">
        <f t="shared" si="60"/>
        <v>0</v>
      </c>
      <c r="N279" s="65" t="str">
        <f t="shared" si="61"/>
        <v/>
      </c>
      <c r="O279" s="70" t="str">
        <f>IF(OR($C279="",$D279="",$F279=""),"",IF($F279="Aylık",EOMONTH($D279,0),($D279+MOD(SISTEM!$F$8-WEEKDAY($D279,2),7))))</f>
        <v/>
      </c>
      <c r="P279" s="61"/>
      <c r="Q279" s="2"/>
      <c r="R279" s="2"/>
      <c r="S279" s="1" t="str">
        <f>IF($B279="","",$B279&amp;"|"&amp;COUNTIFS($B$7:$B279,$B279))</f>
        <v/>
      </c>
      <c r="T279" s="1" t="str">
        <f t="shared" si="62"/>
        <v/>
      </c>
      <c r="U279" s="1">
        <f t="shared" si="63"/>
        <v>0</v>
      </c>
      <c r="V279" s="1">
        <f t="shared" si="64"/>
        <v>2958465</v>
      </c>
      <c r="W279" s="1">
        <f t="shared" si="65"/>
        <v>0</v>
      </c>
      <c r="X279" s="1">
        <f t="shared" si="66"/>
        <v>0</v>
      </c>
      <c r="Y279" s="1">
        <f t="shared" si="67"/>
        <v>97200</v>
      </c>
      <c r="Z279" s="1">
        <f t="shared" si="68"/>
        <v>1</v>
      </c>
      <c r="AA279" s="1">
        <f t="shared" si="69"/>
        <v>0</v>
      </c>
    </row>
    <row r="280" spans="1:27" ht="18" customHeight="1" x14ac:dyDescent="0.3">
      <c r="A280" s="2"/>
      <c r="B280" s="65" t="str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61"/>
      <c r="D280" s="66"/>
      <c r="E280" s="66"/>
      <c r="F280" s="60"/>
      <c r="G280" s="67"/>
      <c r="H280" s="60"/>
      <c r="I280" s="68">
        <f t="shared" ca="1" si="56"/>
        <v>0</v>
      </c>
      <c r="J280" s="68">
        <f t="shared" ca="1" si="57"/>
        <v>0</v>
      </c>
      <c r="K280" s="68">
        <f t="shared" ca="1" si="58"/>
        <v>0</v>
      </c>
      <c r="L280" s="68">
        <f t="shared" ca="1" si="59"/>
        <v>0</v>
      </c>
      <c r="M280" s="69">
        <f t="shared" si="60"/>
        <v>0</v>
      </c>
      <c r="N280" s="65" t="str">
        <f t="shared" si="61"/>
        <v/>
      </c>
      <c r="O280" s="70" t="str">
        <f>IF(OR($C280="",$D280="",$F280=""),"",IF($F280="Aylık",EOMONTH($D280,0),($D280+MOD(SISTEM!$F$8-WEEKDAY($D280,2),7))))</f>
        <v/>
      </c>
      <c r="P280" s="61"/>
      <c r="Q280" s="2"/>
      <c r="R280" s="2"/>
      <c r="S280" s="1" t="str">
        <f>IF($B280="","",$B280&amp;"|"&amp;COUNTIFS($B$7:$B280,$B280))</f>
        <v/>
      </c>
      <c r="T280" s="1" t="str">
        <f t="shared" si="62"/>
        <v/>
      </c>
      <c r="U280" s="1">
        <f t="shared" si="63"/>
        <v>0</v>
      </c>
      <c r="V280" s="1">
        <f t="shared" si="64"/>
        <v>2958465</v>
      </c>
      <c r="W280" s="1">
        <f t="shared" si="65"/>
        <v>0</v>
      </c>
      <c r="X280" s="1">
        <f t="shared" si="66"/>
        <v>0</v>
      </c>
      <c r="Y280" s="1">
        <f t="shared" si="67"/>
        <v>97200</v>
      </c>
      <c r="Z280" s="1">
        <f t="shared" si="68"/>
        <v>1</v>
      </c>
      <c r="AA280" s="1">
        <f t="shared" si="69"/>
        <v>0</v>
      </c>
    </row>
    <row r="281" spans="1:27" ht="18" customHeight="1" x14ac:dyDescent="0.3">
      <c r="A281" s="2"/>
      <c r="B281" s="65" t="str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61"/>
      <c r="D281" s="66"/>
      <c r="E281" s="66"/>
      <c r="F281" s="60"/>
      <c r="G281" s="67"/>
      <c r="H281" s="60"/>
      <c r="I281" s="68">
        <f t="shared" ca="1" si="56"/>
        <v>0</v>
      </c>
      <c r="J281" s="68">
        <f t="shared" ca="1" si="57"/>
        <v>0</v>
      </c>
      <c r="K281" s="68">
        <f t="shared" ca="1" si="58"/>
        <v>0</v>
      </c>
      <c r="L281" s="68">
        <f t="shared" ca="1" si="59"/>
        <v>0</v>
      </c>
      <c r="M281" s="69">
        <f t="shared" si="60"/>
        <v>0</v>
      </c>
      <c r="N281" s="65" t="str">
        <f t="shared" si="61"/>
        <v/>
      </c>
      <c r="O281" s="70" t="str">
        <f>IF(OR($C281="",$D281="",$F281=""),"",IF($F281="Aylık",EOMONTH($D281,0),($D281+MOD(SISTEM!$F$8-WEEKDAY($D281,2),7))))</f>
        <v/>
      </c>
      <c r="P281" s="61"/>
      <c r="Q281" s="2"/>
      <c r="R281" s="2"/>
      <c r="S281" s="1" t="str">
        <f>IF($B281="","",$B281&amp;"|"&amp;COUNTIFS($B$7:$B281,$B281))</f>
        <v/>
      </c>
      <c r="T281" s="1" t="str">
        <f t="shared" si="62"/>
        <v/>
      </c>
      <c r="U281" s="1">
        <f t="shared" si="63"/>
        <v>0</v>
      </c>
      <c r="V281" s="1">
        <f t="shared" si="64"/>
        <v>2958465</v>
      </c>
      <c r="W281" s="1">
        <f t="shared" si="65"/>
        <v>0</v>
      </c>
      <c r="X281" s="1">
        <f t="shared" si="66"/>
        <v>0</v>
      </c>
      <c r="Y281" s="1">
        <f t="shared" si="67"/>
        <v>97200</v>
      </c>
      <c r="Z281" s="1">
        <f t="shared" si="68"/>
        <v>1</v>
      </c>
      <c r="AA281" s="1">
        <f t="shared" si="69"/>
        <v>0</v>
      </c>
    </row>
    <row r="282" spans="1:27" ht="18" customHeight="1" x14ac:dyDescent="0.3">
      <c r="A282" s="2"/>
      <c r="B282" s="65" t="str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61"/>
      <c r="D282" s="66"/>
      <c r="E282" s="66"/>
      <c r="F282" s="60"/>
      <c r="G282" s="67"/>
      <c r="H282" s="60"/>
      <c r="I282" s="68">
        <f t="shared" ca="1" si="56"/>
        <v>0</v>
      </c>
      <c r="J282" s="68">
        <f t="shared" ca="1" si="57"/>
        <v>0</v>
      </c>
      <c r="K282" s="68">
        <f t="shared" ca="1" si="58"/>
        <v>0</v>
      </c>
      <c r="L282" s="68">
        <f t="shared" ca="1" si="59"/>
        <v>0</v>
      </c>
      <c r="M282" s="69">
        <f t="shared" si="60"/>
        <v>0</v>
      </c>
      <c r="N282" s="65" t="str">
        <f t="shared" si="61"/>
        <v/>
      </c>
      <c r="O282" s="70" t="str">
        <f>IF(OR($C282="",$D282="",$F282=""),"",IF($F282="Aylık",EOMONTH($D282,0),($D282+MOD(SISTEM!$F$8-WEEKDAY($D282,2),7))))</f>
        <v/>
      </c>
      <c r="P282" s="61"/>
      <c r="Q282" s="2"/>
      <c r="R282" s="2"/>
      <c r="S282" s="1" t="str">
        <f>IF($B282="","",$B282&amp;"|"&amp;COUNTIFS($B$7:$B282,$B282))</f>
        <v/>
      </c>
      <c r="T282" s="1" t="str">
        <f t="shared" si="62"/>
        <v/>
      </c>
      <c r="U282" s="1">
        <f t="shared" si="63"/>
        <v>0</v>
      </c>
      <c r="V282" s="1">
        <f t="shared" si="64"/>
        <v>2958465</v>
      </c>
      <c r="W282" s="1">
        <f t="shared" si="65"/>
        <v>0</v>
      </c>
      <c r="X282" s="1">
        <f t="shared" si="66"/>
        <v>0</v>
      </c>
      <c r="Y282" s="1">
        <f t="shared" si="67"/>
        <v>97200</v>
      </c>
      <c r="Z282" s="1">
        <f t="shared" si="68"/>
        <v>1</v>
      </c>
      <c r="AA282" s="1">
        <f t="shared" si="69"/>
        <v>0</v>
      </c>
    </row>
    <row r="283" spans="1:27" ht="18" customHeight="1" x14ac:dyDescent="0.3">
      <c r="A283" s="2"/>
      <c r="B283" s="65" t="str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61"/>
      <c r="D283" s="66"/>
      <c r="E283" s="66"/>
      <c r="F283" s="60"/>
      <c r="G283" s="67"/>
      <c r="H283" s="60"/>
      <c r="I283" s="68">
        <f t="shared" ca="1" si="56"/>
        <v>0</v>
      </c>
      <c r="J283" s="68">
        <f t="shared" ca="1" si="57"/>
        <v>0</v>
      </c>
      <c r="K283" s="68">
        <f t="shared" ca="1" si="58"/>
        <v>0</v>
      </c>
      <c r="L283" s="68">
        <f t="shared" ca="1" si="59"/>
        <v>0</v>
      </c>
      <c r="M283" s="69">
        <f t="shared" si="60"/>
        <v>0</v>
      </c>
      <c r="N283" s="65" t="str">
        <f t="shared" si="61"/>
        <v/>
      </c>
      <c r="O283" s="70" t="str">
        <f>IF(OR($C283="",$D283="",$F283=""),"",IF($F283="Aylık",EOMONTH($D283,0),($D283+MOD(SISTEM!$F$8-WEEKDAY($D283,2),7))))</f>
        <v/>
      </c>
      <c r="P283" s="61"/>
      <c r="Q283" s="2"/>
      <c r="R283" s="2"/>
      <c r="S283" s="1" t="str">
        <f>IF($B283="","",$B283&amp;"|"&amp;COUNTIFS($B$7:$B283,$B283))</f>
        <v/>
      </c>
      <c r="T283" s="1" t="str">
        <f t="shared" si="62"/>
        <v/>
      </c>
      <c r="U283" s="1">
        <f t="shared" si="63"/>
        <v>0</v>
      </c>
      <c r="V283" s="1">
        <f t="shared" si="64"/>
        <v>2958465</v>
      </c>
      <c r="W283" s="1">
        <f t="shared" si="65"/>
        <v>0</v>
      </c>
      <c r="X283" s="1">
        <f t="shared" si="66"/>
        <v>0</v>
      </c>
      <c r="Y283" s="1">
        <f t="shared" si="67"/>
        <v>97200</v>
      </c>
      <c r="Z283" s="1">
        <f t="shared" si="68"/>
        <v>1</v>
      </c>
      <c r="AA283" s="1">
        <f t="shared" si="69"/>
        <v>0</v>
      </c>
    </row>
    <row r="284" spans="1:27" ht="18" customHeight="1" x14ac:dyDescent="0.3">
      <c r="A284" s="2"/>
      <c r="B284" s="65" t="str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61"/>
      <c r="D284" s="66"/>
      <c r="E284" s="66"/>
      <c r="F284" s="60"/>
      <c r="G284" s="67"/>
      <c r="H284" s="60"/>
      <c r="I284" s="68">
        <f t="shared" ca="1" si="56"/>
        <v>0</v>
      </c>
      <c r="J284" s="68">
        <f t="shared" ca="1" si="57"/>
        <v>0</v>
      </c>
      <c r="K284" s="68">
        <f t="shared" ca="1" si="58"/>
        <v>0</v>
      </c>
      <c r="L284" s="68">
        <f t="shared" ca="1" si="59"/>
        <v>0</v>
      </c>
      <c r="M284" s="69">
        <f t="shared" si="60"/>
        <v>0</v>
      </c>
      <c r="N284" s="65" t="str">
        <f t="shared" si="61"/>
        <v/>
      </c>
      <c r="O284" s="70" t="str">
        <f>IF(OR($C284="",$D284="",$F284=""),"",IF($F284="Aylık",EOMONTH($D284,0),($D284+MOD(SISTEM!$F$8-WEEKDAY($D284,2),7))))</f>
        <v/>
      </c>
      <c r="P284" s="61"/>
      <c r="Q284" s="2"/>
      <c r="R284" s="2"/>
      <c r="S284" s="1" t="str">
        <f>IF($B284="","",$B284&amp;"|"&amp;COUNTIFS($B$7:$B284,$B284))</f>
        <v/>
      </c>
      <c r="T284" s="1" t="str">
        <f t="shared" si="62"/>
        <v/>
      </c>
      <c r="U284" s="1">
        <f t="shared" si="63"/>
        <v>0</v>
      </c>
      <c r="V284" s="1">
        <f t="shared" si="64"/>
        <v>2958465</v>
      </c>
      <c r="W284" s="1">
        <f t="shared" si="65"/>
        <v>0</v>
      </c>
      <c r="X284" s="1">
        <f t="shared" si="66"/>
        <v>0</v>
      </c>
      <c r="Y284" s="1">
        <f t="shared" si="67"/>
        <v>97200</v>
      </c>
      <c r="Z284" s="1">
        <f t="shared" si="68"/>
        <v>1</v>
      </c>
      <c r="AA284" s="1">
        <f t="shared" si="69"/>
        <v>0</v>
      </c>
    </row>
    <row r="285" spans="1:27" ht="18" customHeight="1" x14ac:dyDescent="0.3">
      <c r="A285" s="2"/>
      <c r="B285" s="65" t="str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61"/>
      <c r="D285" s="66"/>
      <c r="E285" s="66"/>
      <c r="F285" s="60"/>
      <c r="G285" s="67"/>
      <c r="H285" s="60"/>
      <c r="I285" s="68">
        <f t="shared" ca="1" si="56"/>
        <v>0</v>
      </c>
      <c r="J285" s="68">
        <f t="shared" ca="1" si="57"/>
        <v>0</v>
      </c>
      <c r="K285" s="68">
        <f t="shared" ca="1" si="58"/>
        <v>0</v>
      </c>
      <c r="L285" s="68">
        <f t="shared" ca="1" si="59"/>
        <v>0</v>
      </c>
      <c r="M285" s="69">
        <f t="shared" si="60"/>
        <v>0</v>
      </c>
      <c r="N285" s="65" t="str">
        <f t="shared" si="61"/>
        <v/>
      </c>
      <c r="O285" s="70" t="str">
        <f>IF(OR($C285="",$D285="",$F285=""),"",IF($F285="Aylık",EOMONTH($D285,0),($D285+MOD(SISTEM!$F$8-WEEKDAY($D285,2),7))))</f>
        <v/>
      </c>
      <c r="P285" s="61"/>
      <c r="Q285" s="2"/>
      <c r="R285" s="2"/>
      <c r="S285" s="1" t="str">
        <f>IF($B285="","",$B285&amp;"|"&amp;COUNTIFS($B$7:$B285,$B285))</f>
        <v/>
      </c>
      <c r="T285" s="1" t="str">
        <f t="shared" si="62"/>
        <v/>
      </c>
      <c r="U285" s="1">
        <f t="shared" si="63"/>
        <v>0</v>
      </c>
      <c r="V285" s="1">
        <f t="shared" si="64"/>
        <v>2958465</v>
      </c>
      <c r="W285" s="1">
        <f t="shared" si="65"/>
        <v>0</v>
      </c>
      <c r="X285" s="1">
        <f t="shared" si="66"/>
        <v>0</v>
      </c>
      <c r="Y285" s="1">
        <f t="shared" si="67"/>
        <v>97200</v>
      </c>
      <c r="Z285" s="1">
        <f t="shared" si="68"/>
        <v>1</v>
      </c>
      <c r="AA285" s="1">
        <f t="shared" si="69"/>
        <v>0</v>
      </c>
    </row>
    <row r="286" spans="1:27" ht="18" customHeight="1" x14ac:dyDescent="0.3">
      <c r="A286" s="2"/>
      <c r="B286" s="65" t="str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61"/>
      <c r="D286" s="66"/>
      <c r="E286" s="66"/>
      <c r="F286" s="60"/>
      <c r="G286" s="67"/>
      <c r="H286" s="60"/>
      <c r="I286" s="68">
        <f t="shared" ca="1" si="56"/>
        <v>0</v>
      </c>
      <c r="J286" s="68">
        <f t="shared" ca="1" si="57"/>
        <v>0</v>
      </c>
      <c r="K286" s="68">
        <f t="shared" ca="1" si="58"/>
        <v>0</v>
      </c>
      <c r="L286" s="68">
        <f t="shared" ca="1" si="59"/>
        <v>0</v>
      </c>
      <c r="M286" s="69">
        <f t="shared" si="60"/>
        <v>0</v>
      </c>
      <c r="N286" s="65" t="str">
        <f t="shared" si="61"/>
        <v/>
      </c>
      <c r="O286" s="70" t="str">
        <f>IF(OR($C286="",$D286="",$F286=""),"",IF($F286="Aylık",EOMONTH($D286,0),($D286+MOD(SISTEM!$F$8-WEEKDAY($D286,2),7))))</f>
        <v/>
      </c>
      <c r="P286" s="61"/>
      <c r="Q286" s="2"/>
      <c r="R286" s="2"/>
      <c r="S286" s="1" t="str">
        <f>IF($B286="","",$B286&amp;"|"&amp;COUNTIFS($B$7:$B286,$B286))</f>
        <v/>
      </c>
      <c r="T286" s="1" t="str">
        <f t="shared" si="62"/>
        <v/>
      </c>
      <c r="U286" s="1">
        <f t="shared" si="63"/>
        <v>0</v>
      </c>
      <c r="V286" s="1">
        <f t="shared" si="64"/>
        <v>2958465</v>
      </c>
      <c r="W286" s="1">
        <f t="shared" si="65"/>
        <v>0</v>
      </c>
      <c r="X286" s="1">
        <f t="shared" si="66"/>
        <v>0</v>
      </c>
      <c r="Y286" s="1">
        <f t="shared" si="67"/>
        <v>97200</v>
      </c>
      <c r="Z286" s="1">
        <f t="shared" si="68"/>
        <v>1</v>
      </c>
      <c r="AA286" s="1">
        <f t="shared" si="69"/>
        <v>0</v>
      </c>
    </row>
    <row r="287" spans="1:27" ht="18" customHeight="1" x14ac:dyDescent="0.3">
      <c r="A287" s="2"/>
      <c r="B287" s="65" t="str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61"/>
      <c r="D287" s="66"/>
      <c r="E287" s="66"/>
      <c r="F287" s="60"/>
      <c r="G287" s="67"/>
      <c r="H287" s="60"/>
      <c r="I287" s="68">
        <f t="shared" ca="1" si="56"/>
        <v>0</v>
      </c>
      <c r="J287" s="68">
        <f t="shared" ca="1" si="57"/>
        <v>0</v>
      </c>
      <c r="K287" s="68">
        <f t="shared" ca="1" si="58"/>
        <v>0</v>
      </c>
      <c r="L287" s="68">
        <f t="shared" ca="1" si="59"/>
        <v>0</v>
      </c>
      <c r="M287" s="69">
        <f t="shared" si="60"/>
        <v>0</v>
      </c>
      <c r="N287" s="65" t="str">
        <f t="shared" si="61"/>
        <v/>
      </c>
      <c r="O287" s="70" t="str">
        <f>IF(OR($C287="",$D287="",$F287=""),"",IF($F287="Aylık",EOMONTH($D287,0),($D287+MOD(SISTEM!$F$8-WEEKDAY($D287,2),7))))</f>
        <v/>
      </c>
      <c r="P287" s="61"/>
      <c r="Q287" s="2"/>
      <c r="R287" s="2"/>
      <c r="S287" s="1" t="str">
        <f>IF($B287="","",$B287&amp;"|"&amp;COUNTIFS($B$7:$B287,$B287))</f>
        <v/>
      </c>
      <c r="T287" s="1" t="str">
        <f t="shared" si="62"/>
        <v/>
      </c>
      <c r="U287" s="1">
        <f t="shared" si="63"/>
        <v>0</v>
      </c>
      <c r="V287" s="1">
        <f t="shared" si="64"/>
        <v>2958465</v>
      </c>
      <c r="W287" s="1">
        <f t="shared" si="65"/>
        <v>0</v>
      </c>
      <c r="X287" s="1">
        <f t="shared" si="66"/>
        <v>0</v>
      </c>
      <c r="Y287" s="1">
        <f t="shared" si="67"/>
        <v>97200</v>
      </c>
      <c r="Z287" s="1">
        <f t="shared" si="68"/>
        <v>1</v>
      </c>
      <c r="AA287" s="1">
        <f t="shared" si="69"/>
        <v>0</v>
      </c>
    </row>
    <row r="288" spans="1:27" ht="18" customHeight="1" x14ac:dyDescent="0.3">
      <c r="A288" s="2"/>
      <c r="B288" s="65" t="str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61"/>
      <c r="D288" s="66"/>
      <c r="E288" s="66"/>
      <c r="F288" s="60"/>
      <c r="G288" s="67"/>
      <c r="H288" s="60"/>
      <c r="I288" s="68">
        <f t="shared" ca="1" si="56"/>
        <v>0</v>
      </c>
      <c r="J288" s="68">
        <f t="shared" ca="1" si="57"/>
        <v>0</v>
      </c>
      <c r="K288" s="68">
        <f t="shared" ca="1" si="58"/>
        <v>0</v>
      </c>
      <c r="L288" s="68">
        <f t="shared" ca="1" si="59"/>
        <v>0</v>
      </c>
      <c r="M288" s="69">
        <f t="shared" si="60"/>
        <v>0</v>
      </c>
      <c r="N288" s="65" t="str">
        <f t="shared" si="61"/>
        <v/>
      </c>
      <c r="O288" s="70" t="str">
        <f>IF(OR($C288="",$D288="",$F288=""),"",IF($F288="Aylık",EOMONTH($D288,0),($D288+MOD(SISTEM!$F$8-WEEKDAY($D288,2),7))))</f>
        <v/>
      </c>
      <c r="P288" s="61"/>
      <c r="Q288" s="2"/>
      <c r="R288" s="2"/>
      <c r="S288" s="1" t="str">
        <f>IF($B288="","",$B288&amp;"|"&amp;COUNTIFS($B$7:$B288,$B288))</f>
        <v/>
      </c>
      <c r="T288" s="1" t="str">
        <f t="shared" si="62"/>
        <v/>
      </c>
      <c r="U288" s="1">
        <f t="shared" si="63"/>
        <v>0</v>
      </c>
      <c r="V288" s="1">
        <f t="shared" si="64"/>
        <v>2958465</v>
      </c>
      <c r="W288" s="1">
        <f t="shared" si="65"/>
        <v>0</v>
      </c>
      <c r="X288" s="1">
        <f t="shared" si="66"/>
        <v>0</v>
      </c>
      <c r="Y288" s="1">
        <f t="shared" si="67"/>
        <v>97200</v>
      </c>
      <c r="Z288" s="1">
        <f t="shared" si="68"/>
        <v>1</v>
      </c>
      <c r="AA288" s="1">
        <f t="shared" si="69"/>
        <v>0</v>
      </c>
    </row>
    <row r="289" spans="1:27" ht="18" customHeight="1" x14ac:dyDescent="0.3">
      <c r="A289" s="2"/>
      <c r="B289" s="65" t="str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61"/>
      <c r="D289" s="66"/>
      <c r="E289" s="66"/>
      <c r="F289" s="60"/>
      <c r="G289" s="67"/>
      <c r="H289" s="60"/>
      <c r="I289" s="68">
        <f t="shared" ca="1" si="56"/>
        <v>0</v>
      </c>
      <c r="J289" s="68">
        <f t="shared" ca="1" si="57"/>
        <v>0</v>
      </c>
      <c r="K289" s="68">
        <f t="shared" ca="1" si="58"/>
        <v>0</v>
      </c>
      <c r="L289" s="68">
        <f t="shared" ca="1" si="59"/>
        <v>0</v>
      </c>
      <c r="M289" s="69">
        <f t="shared" si="60"/>
        <v>0</v>
      </c>
      <c r="N289" s="65" t="str">
        <f t="shared" si="61"/>
        <v/>
      </c>
      <c r="O289" s="70" t="str">
        <f>IF(OR($C289="",$D289="",$F289=""),"",IF($F289="Aylık",EOMONTH($D289,0),($D289+MOD(SISTEM!$F$8-WEEKDAY($D289,2),7))))</f>
        <v/>
      </c>
      <c r="P289" s="61"/>
      <c r="Q289" s="2"/>
      <c r="R289" s="2"/>
      <c r="S289" s="1" t="str">
        <f>IF($B289="","",$B289&amp;"|"&amp;COUNTIFS($B$7:$B289,$B289))</f>
        <v/>
      </c>
      <c r="T289" s="1" t="str">
        <f t="shared" si="62"/>
        <v/>
      </c>
      <c r="U289" s="1">
        <f t="shared" si="63"/>
        <v>0</v>
      </c>
      <c r="V289" s="1">
        <f t="shared" si="64"/>
        <v>2958465</v>
      </c>
      <c r="W289" s="1">
        <f t="shared" si="65"/>
        <v>0</v>
      </c>
      <c r="X289" s="1">
        <f t="shared" si="66"/>
        <v>0</v>
      </c>
      <c r="Y289" s="1">
        <f t="shared" si="67"/>
        <v>97200</v>
      </c>
      <c r="Z289" s="1">
        <f t="shared" si="68"/>
        <v>1</v>
      </c>
      <c r="AA289" s="1">
        <f t="shared" si="69"/>
        <v>0</v>
      </c>
    </row>
    <row r="290" spans="1:27" ht="18" customHeight="1" x14ac:dyDescent="0.3">
      <c r="A290" s="2"/>
      <c r="B290" s="65" t="str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61"/>
      <c r="D290" s="66"/>
      <c r="E290" s="66"/>
      <c r="F290" s="60"/>
      <c r="G290" s="67"/>
      <c r="H290" s="60"/>
      <c r="I290" s="68">
        <f t="shared" ca="1" si="56"/>
        <v>0</v>
      </c>
      <c r="J290" s="68">
        <f t="shared" ca="1" si="57"/>
        <v>0</v>
      </c>
      <c r="K290" s="68">
        <f t="shared" ca="1" si="58"/>
        <v>0</v>
      </c>
      <c r="L290" s="68">
        <f t="shared" ca="1" si="59"/>
        <v>0</v>
      </c>
      <c r="M290" s="69">
        <f t="shared" si="60"/>
        <v>0</v>
      </c>
      <c r="N290" s="65" t="str">
        <f t="shared" si="61"/>
        <v/>
      </c>
      <c r="O290" s="70" t="str">
        <f>IF(OR($C290="",$D290="",$F290=""),"",IF($F290="Aylık",EOMONTH($D290,0),($D290+MOD(SISTEM!$F$8-WEEKDAY($D290,2),7))))</f>
        <v/>
      </c>
      <c r="P290" s="61"/>
      <c r="Q290" s="2"/>
      <c r="R290" s="2"/>
      <c r="S290" s="1" t="str">
        <f>IF($B290="","",$B290&amp;"|"&amp;COUNTIFS($B$7:$B290,$B290))</f>
        <v/>
      </c>
      <c r="T290" s="1" t="str">
        <f t="shared" si="62"/>
        <v/>
      </c>
      <c r="U290" s="1">
        <f t="shared" si="63"/>
        <v>0</v>
      </c>
      <c r="V290" s="1">
        <f t="shared" si="64"/>
        <v>2958465</v>
      </c>
      <c r="W290" s="1">
        <f t="shared" si="65"/>
        <v>0</v>
      </c>
      <c r="X290" s="1">
        <f t="shared" si="66"/>
        <v>0</v>
      </c>
      <c r="Y290" s="1">
        <f t="shared" si="67"/>
        <v>97200</v>
      </c>
      <c r="Z290" s="1">
        <f t="shared" si="68"/>
        <v>1</v>
      </c>
      <c r="AA290" s="1">
        <f t="shared" si="69"/>
        <v>0</v>
      </c>
    </row>
    <row r="291" spans="1:27" ht="18" customHeight="1" x14ac:dyDescent="0.3">
      <c r="A291" s="2"/>
      <c r="B291" s="65" t="str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61"/>
      <c r="D291" s="66"/>
      <c r="E291" s="66"/>
      <c r="F291" s="60"/>
      <c r="G291" s="67"/>
      <c r="H291" s="60"/>
      <c r="I291" s="68">
        <f t="shared" ca="1" si="56"/>
        <v>0</v>
      </c>
      <c r="J291" s="68">
        <f t="shared" ca="1" si="57"/>
        <v>0</v>
      </c>
      <c r="K291" s="68">
        <f t="shared" ca="1" si="58"/>
        <v>0</v>
      </c>
      <c r="L291" s="68">
        <f t="shared" ca="1" si="59"/>
        <v>0</v>
      </c>
      <c r="M291" s="69">
        <f t="shared" si="60"/>
        <v>0</v>
      </c>
      <c r="N291" s="65" t="str">
        <f t="shared" si="61"/>
        <v/>
      </c>
      <c r="O291" s="70" t="str">
        <f>IF(OR($C291="",$D291="",$F291=""),"",IF($F291="Aylık",EOMONTH($D291,0),($D291+MOD(SISTEM!$F$8-WEEKDAY($D291,2),7))))</f>
        <v/>
      </c>
      <c r="P291" s="61"/>
      <c r="Q291" s="2"/>
      <c r="R291" s="2"/>
      <c r="S291" s="1" t="str">
        <f>IF($B291="","",$B291&amp;"|"&amp;COUNTIFS($B$7:$B291,$B291))</f>
        <v/>
      </c>
      <c r="T291" s="1" t="str">
        <f t="shared" si="62"/>
        <v/>
      </c>
      <c r="U291" s="1">
        <f t="shared" si="63"/>
        <v>0</v>
      </c>
      <c r="V291" s="1">
        <f t="shared" si="64"/>
        <v>2958465</v>
      </c>
      <c r="W291" s="1">
        <f t="shared" si="65"/>
        <v>0</v>
      </c>
      <c r="X291" s="1">
        <f t="shared" si="66"/>
        <v>0</v>
      </c>
      <c r="Y291" s="1">
        <f t="shared" si="67"/>
        <v>97200</v>
      </c>
      <c r="Z291" s="1">
        <f t="shared" si="68"/>
        <v>1</v>
      </c>
      <c r="AA291" s="1">
        <f t="shared" si="69"/>
        <v>0</v>
      </c>
    </row>
    <row r="292" spans="1:27" ht="18" customHeight="1" x14ac:dyDescent="0.3">
      <c r="A292" s="2"/>
      <c r="B292" s="65" t="str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61"/>
      <c r="D292" s="66"/>
      <c r="E292" s="66"/>
      <c r="F292" s="60"/>
      <c r="G292" s="67"/>
      <c r="H292" s="60"/>
      <c r="I292" s="68">
        <f t="shared" ca="1" si="56"/>
        <v>0</v>
      </c>
      <c r="J292" s="68">
        <f t="shared" ca="1" si="57"/>
        <v>0</v>
      </c>
      <c r="K292" s="68">
        <f t="shared" ca="1" si="58"/>
        <v>0</v>
      </c>
      <c r="L292" s="68">
        <f t="shared" ca="1" si="59"/>
        <v>0</v>
      </c>
      <c r="M292" s="69">
        <f t="shared" si="60"/>
        <v>0</v>
      </c>
      <c r="N292" s="65" t="str">
        <f t="shared" si="61"/>
        <v/>
      </c>
      <c r="O292" s="70" t="str">
        <f>IF(OR($C292="",$D292="",$F292=""),"",IF($F292="Aylık",EOMONTH($D292,0),($D292+MOD(SISTEM!$F$8-WEEKDAY($D292,2),7))))</f>
        <v/>
      </c>
      <c r="P292" s="61"/>
      <c r="Q292" s="2"/>
      <c r="R292" s="2"/>
      <c r="S292" s="1" t="str">
        <f>IF($B292="","",$B292&amp;"|"&amp;COUNTIFS($B$7:$B292,$B292))</f>
        <v/>
      </c>
      <c r="T292" s="1" t="str">
        <f t="shared" si="62"/>
        <v/>
      </c>
      <c r="U292" s="1">
        <f t="shared" si="63"/>
        <v>0</v>
      </c>
      <c r="V292" s="1">
        <f t="shared" si="64"/>
        <v>2958465</v>
      </c>
      <c r="W292" s="1">
        <f t="shared" si="65"/>
        <v>0</v>
      </c>
      <c r="X292" s="1">
        <f t="shared" si="66"/>
        <v>0</v>
      </c>
      <c r="Y292" s="1">
        <f t="shared" si="67"/>
        <v>97200</v>
      </c>
      <c r="Z292" s="1">
        <f t="shared" si="68"/>
        <v>1</v>
      </c>
      <c r="AA292" s="1">
        <f t="shared" si="69"/>
        <v>0</v>
      </c>
    </row>
    <row r="293" spans="1:27" ht="18" customHeight="1" x14ac:dyDescent="0.3">
      <c r="A293" s="2"/>
      <c r="B293" s="65" t="str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61"/>
      <c r="D293" s="66"/>
      <c r="E293" s="66"/>
      <c r="F293" s="60"/>
      <c r="G293" s="67"/>
      <c r="H293" s="60"/>
      <c r="I293" s="68">
        <f t="shared" ca="1" si="56"/>
        <v>0</v>
      </c>
      <c r="J293" s="68">
        <f t="shared" ca="1" si="57"/>
        <v>0</v>
      </c>
      <c r="K293" s="68">
        <f t="shared" ca="1" si="58"/>
        <v>0</v>
      </c>
      <c r="L293" s="68">
        <f t="shared" ca="1" si="59"/>
        <v>0</v>
      </c>
      <c r="M293" s="69">
        <f t="shared" si="60"/>
        <v>0</v>
      </c>
      <c r="N293" s="65" t="str">
        <f t="shared" si="61"/>
        <v/>
      </c>
      <c r="O293" s="70" t="str">
        <f>IF(OR($C293="",$D293="",$F293=""),"",IF($F293="Aylık",EOMONTH($D293,0),($D293+MOD(SISTEM!$F$8-WEEKDAY($D293,2),7))))</f>
        <v/>
      </c>
      <c r="P293" s="61"/>
      <c r="Q293" s="2"/>
      <c r="R293" s="2"/>
      <c r="S293" s="1" t="str">
        <f>IF($B293="","",$B293&amp;"|"&amp;COUNTIFS($B$7:$B293,$B293))</f>
        <v/>
      </c>
      <c r="T293" s="1" t="str">
        <f t="shared" si="62"/>
        <v/>
      </c>
      <c r="U293" s="1">
        <f t="shared" si="63"/>
        <v>0</v>
      </c>
      <c r="V293" s="1">
        <f t="shared" si="64"/>
        <v>2958465</v>
      </c>
      <c r="W293" s="1">
        <f t="shared" si="65"/>
        <v>0</v>
      </c>
      <c r="X293" s="1">
        <f t="shared" si="66"/>
        <v>0</v>
      </c>
      <c r="Y293" s="1">
        <f t="shared" si="67"/>
        <v>97200</v>
      </c>
      <c r="Z293" s="1">
        <f t="shared" si="68"/>
        <v>1</v>
      </c>
      <c r="AA293" s="1">
        <f t="shared" si="69"/>
        <v>0</v>
      </c>
    </row>
    <row r="294" spans="1:27" ht="18" customHeight="1" x14ac:dyDescent="0.3">
      <c r="A294" s="2"/>
      <c r="B294" s="65" t="str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61"/>
      <c r="D294" s="66"/>
      <c r="E294" s="66"/>
      <c r="F294" s="60"/>
      <c r="G294" s="67"/>
      <c r="H294" s="60"/>
      <c r="I294" s="68">
        <f t="shared" ca="1" si="56"/>
        <v>0</v>
      </c>
      <c r="J294" s="68">
        <f t="shared" ca="1" si="57"/>
        <v>0</v>
      </c>
      <c r="K294" s="68">
        <f t="shared" ca="1" si="58"/>
        <v>0</v>
      </c>
      <c r="L294" s="68">
        <f t="shared" ca="1" si="59"/>
        <v>0</v>
      </c>
      <c r="M294" s="69">
        <f t="shared" si="60"/>
        <v>0</v>
      </c>
      <c r="N294" s="65" t="str">
        <f t="shared" si="61"/>
        <v/>
      </c>
      <c r="O294" s="70" t="str">
        <f>IF(OR($C294="",$D294="",$F294=""),"",IF($F294="Aylık",EOMONTH($D294,0),($D294+MOD(SISTEM!$F$8-WEEKDAY($D294,2),7))))</f>
        <v/>
      </c>
      <c r="P294" s="61"/>
      <c r="Q294" s="2"/>
      <c r="R294" s="2"/>
      <c r="S294" s="1" t="str">
        <f>IF($B294="","",$B294&amp;"|"&amp;COUNTIFS($B$7:$B294,$B294))</f>
        <v/>
      </c>
      <c r="T294" s="1" t="str">
        <f t="shared" si="62"/>
        <v/>
      </c>
      <c r="U294" s="1">
        <f t="shared" si="63"/>
        <v>0</v>
      </c>
      <c r="V294" s="1">
        <f t="shared" si="64"/>
        <v>2958465</v>
      </c>
      <c r="W294" s="1">
        <f t="shared" si="65"/>
        <v>0</v>
      </c>
      <c r="X294" s="1">
        <f t="shared" si="66"/>
        <v>0</v>
      </c>
      <c r="Y294" s="1">
        <f t="shared" si="67"/>
        <v>97200</v>
      </c>
      <c r="Z294" s="1">
        <f t="shared" si="68"/>
        <v>1</v>
      </c>
      <c r="AA294" s="1">
        <f t="shared" si="69"/>
        <v>0</v>
      </c>
    </row>
    <row r="295" spans="1:27" ht="18" customHeight="1" x14ac:dyDescent="0.3">
      <c r="A295" s="2"/>
      <c r="B295" s="65" t="str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61"/>
      <c r="D295" s="66"/>
      <c r="E295" s="66"/>
      <c r="F295" s="60"/>
      <c r="G295" s="67"/>
      <c r="H295" s="60"/>
      <c r="I295" s="68">
        <f t="shared" ca="1" si="56"/>
        <v>0</v>
      </c>
      <c r="J295" s="68">
        <f t="shared" ca="1" si="57"/>
        <v>0</v>
      </c>
      <c r="K295" s="68">
        <f t="shared" ca="1" si="58"/>
        <v>0</v>
      </c>
      <c r="L295" s="68">
        <f t="shared" ca="1" si="59"/>
        <v>0</v>
      </c>
      <c r="M295" s="69">
        <f t="shared" si="60"/>
        <v>0</v>
      </c>
      <c r="N295" s="65" t="str">
        <f t="shared" si="61"/>
        <v/>
      </c>
      <c r="O295" s="70" t="str">
        <f>IF(OR($C295="",$D295="",$F295=""),"",IF($F295="Aylık",EOMONTH($D295,0),($D295+MOD(SISTEM!$F$8-WEEKDAY($D295,2),7))))</f>
        <v/>
      </c>
      <c r="P295" s="61"/>
      <c r="Q295" s="2"/>
      <c r="R295" s="2"/>
      <c r="S295" s="1" t="str">
        <f>IF($B295="","",$B295&amp;"|"&amp;COUNTIFS($B$7:$B295,$B295))</f>
        <v/>
      </c>
      <c r="T295" s="1" t="str">
        <f t="shared" si="62"/>
        <v/>
      </c>
      <c r="U295" s="1">
        <f t="shared" si="63"/>
        <v>0</v>
      </c>
      <c r="V295" s="1">
        <f t="shared" si="64"/>
        <v>2958465</v>
      </c>
      <c r="W295" s="1">
        <f t="shared" si="65"/>
        <v>0</v>
      </c>
      <c r="X295" s="1">
        <f t="shared" si="66"/>
        <v>0</v>
      </c>
      <c r="Y295" s="1">
        <f t="shared" si="67"/>
        <v>97200</v>
      </c>
      <c r="Z295" s="1">
        <f t="shared" si="68"/>
        <v>1</v>
      </c>
      <c r="AA295" s="1">
        <f t="shared" si="69"/>
        <v>0</v>
      </c>
    </row>
    <row r="296" spans="1:27" ht="18" customHeight="1" x14ac:dyDescent="0.3">
      <c r="A296" s="2"/>
      <c r="B296" s="65" t="str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61"/>
      <c r="D296" s="66"/>
      <c r="E296" s="66"/>
      <c r="F296" s="60"/>
      <c r="G296" s="67"/>
      <c r="H296" s="60"/>
      <c r="I296" s="68">
        <f t="shared" ca="1" si="56"/>
        <v>0</v>
      </c>
      <c r="J296" s="68">
        <f t="shared" ca="1" si="57"/>
        <v>0</v>
      </c>
      <c r="K296" s="68">
        <f t="shared" ca="1" si="58"/>
        <v>0</v>
      </c>
      <c r="L296" s="68">
        <f t="shared" ca="1" si="59"/>
        <v>0</v>
      </c>
      <c r="M296" s="69">
        <f t="shared" si="60"/>
        <v>0</v>
      </c>
      <c r="N296" s="65" t="str">
        <f t="shared" si="61"/>
        <v/>
      </c>
      <c r="O296" s="70" t="str">
        <f>IF(OR($C296="",$D296="",$F296=""),"",IF($F296="Aylık",EOMONTH($D296,0),($D296+MOD(SISTEM!$F$8-WEEKDAY($D296,2),7))))</f>
        <v/>
      </c>
      <c r="P296" s="61"/>
      <c r="Q296" s="2"/>
      <c r="R296" s="2"/>
      <c r="S296" s="1" t="str">
        <f>IF($B296="","",$B296&amp;"|"&amp;COUNTIFS($B$7:$B296,$B296))</f>
        <v/>
      </c>
      <c r="T296" s="1" t="str">
        <f t="shared" si="62"/>
        <v/>
      </c>
      <c r="U296" s="1">
        <f t="shared" si="63"/>
        <v>0</v>
      </c>
      <c r="V296" s="1">
        <f t="shared" si="64"/>
        <v>2958465</v>
      </c>
      <c r="W296" s="1">
        <f t="shared" si="65"/>
        <v>0</v>
      </c>
      <c r="X296" s="1">
        <f t="shared" si="66"/>
        <v>0</v>
      </c>
      <c r="Y296" s="1">
        <f t="shared" si="67"/>
        <v>97200</v>
      </c>
      <c r="Z296" s="1">
        <f t="shared" si="68"/>
        <v>1</v>
      </c>
      <c r="AA296" s="1">
        <f t="shared" si="69"/>
        <v>0</v>
      </c>
    </row>
    <row r="297" spans="1:27" ht="18" customHeight="1" x14ac:dyDescent="0.3">
      <c r="A297" s="2"/>
      <c r="B297" s="65" t="str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61"/>
      <c r="D297" s="66"/>
      <c r="E297" s="66"/>
      <c r="F297" s="60"/>
      <c r="G297" s="67"/>
      <c r="H297" s="60"/>
      <c r="I297" s="68">
        <f t="shared" ca="1" si="56"/>
        <v>0</v>
      </c>
      <c r="J297" s="68">
        <f t="shared" ca="1" si="57"/>
        <v>0</v>
      </c>
      <c r="K297" s="68">
        <f t="shared" ca="1" si="58"/>
        <v>0</v>
      </c>
      <c r="L297" s="68">
        <f t="shared" ca="1" si="59"/>
        <v>0</v>
      </c>
      <c r="M297" s="69">
        <f t="shared" si="60"/>
        <v>0</v>
      </c>
      <c r="N297" s="65" t="str">
        <f t="shared" si="61"/>
        <v/>
      </c>
      <c r="O297" s="70" t="str">
        <f>IF(OR($C297="",$D297="",$F297=""),"",IF($F297="Aylık",EOMONTH($D297,0),($D297+MOD(SISTEM!$F$8-WEEKDAY($D297,2),7))))</f>
        <v/>
      </c>
      <c r="P297" s="61"/>
      <c r="Q297" s="2"/>
      <c r="R297" s="2"/>
      <c r="S297" s="1" t="str">
        <f>IF($B297="","",$B297&amp;"|"&amp;COUNTIFS($B$7:$B297,$B297))</f>
        <v/>
      </c>
      <c r="T297" s="1" t="str">
        <f t="shared" si="62"/>
        <v/>
      </c>
      <c r="U297" s="1">
        <f t="shared" si="63"/>
        <v>0</v>
      </c>
      <c r="V297" s="1">
        <f t="shared" si="64"/>
        <v>2958465</v>
      </c>
      <c r="W297" s="1">
        <f t="shared" si="65"/>
        <v>0</v>
      </c>
      <c r="X297" s="1">
        <f t="shared" si="66"/>
        <v>0</v>
      </c>
      <c r="Y297" s="1">
        <f t="shared" si="67"/>
        <v>97200</v>
      </c>
      <c r="Z297" s="1">
        <f t="shared" si="68"/>
        <v>1</v>
      </c>
      <c r="AA297" s="1">
        <f t="shared" si="69"/>
        <v>0</v>
      </c>
    </row>
    <row r="298" spans="1:27" ht="18" customHeight="1" x14ac:dyDescent="0.3">
      <c r="A298" s="2"/>
      <c r="B298" s="65" t="str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61"/>
      <c r="D298" s="66"/>
      <c r="E298" s="66"/>
      <c r="F298" s="60"/>
      <c r="G298" s="67"/>
      <c r="H298" s="60"/>
      <c r="I298" s="68">
        <f t="shared" ca="1" si="56"/>
        <v>0</v>
      </c>
      <c r="J298" s="68">
        <f t="shared" ca="1" si="57"/>
        <v>0</v>
      </c>
      <c r="K298" s="68">
        <f t="shared" ca="1" si="58"/>
        <v>0</v>
      </c>
      <c r="L298" s="68">
        <f t="shared" ca="1" si="59"/>
        <v>0</v>
      </c>
      <c r="M298" s="69">
        <f t="shared" si="60"/>
        <v>0</v>
      </c>
      <c r="N298" s="65" t="str">
        <f t="shared" si="61"/>
        <v/>
      </c>
      <c r="O298" s="70" t="str">
        <f>IF(OR($C298="",$D298="",$F298=""),"",IF($F298="Aylık",EOMONTH($D298,0),($D298+MOD(SISTEM!$F$8-WEEKDAY($D298,2),7))))</f>
        <v/>
      </c>
      <c r="P298" s="61"/>
      <c r="Q298" s="2"/>
      <c r="R298" s="2"/>
      <c r="S298" s="1" t="str">
        <f>IF($B298="","",$B298&amp;"|"&amp;COUNTIFS($B$7:$B298,$B298))</f>
        <v/>
      </c>
      <c r="T298" s="1" t="str">
        <f t="shared" si="62"/>
        <v/>
      </c>
      <c r="U298" s="1">
        <f t="shared" si="63"/>
        <v>0</v>
      </c>
      <c r="V298" s="1">
        <f t="shared" si="64"/>
        <v>2958465</v>
      </c>
      <c r="W298" s="1">
        <f t="shared" si="65"/>
        <v>0</v>
      </c>
      <c r="X298" s="1">
        <f t="shared" si="66"/>
        <v>0</v>
      </c>
      <c r="Y298" s="1">
        <f t="shared" si="67"/>
        <v>97200</v>
      </c>
      <c r="Z298" s="1">
        <f t="shared" si="68"/>
        <v>1</v>
      </c>
      <c r="AA298" s="1">
        <f t="shared" si="69"/>
        <v>0</v>
      </c>
    </row>
    <row r="299" spans="1:27" ht="18" customHeight="1" x14ac:dyDescent="0.3">
      <c r="A299" s="2"/>
      <c r="B299" s="65" t="str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61"/>
      <c r="D299" s="66"/>
      <c r="E299" s="66"/>
      <c r="F299" s="60"/>
      <c r="G299" s="67"/>
      <c r="H299" s="60"/>
      <c r="I299" s="68">
        <f t="shared" ca="1" si="56"/>
        <v>0</v>
      </c>
      <c r="J299" s="68">
        <f t="shared" ca="1" si="57"/>
        <v>0</v>
      </c>
      <c r="K299" s="68">
        <f t="shared" ca="1" si="58"/>
        <v>0</v>
      </c>
      <c r="L299" s="68">
        <f t="shared" ca="1" si="59"/>
        <v>0</v>
      </c>
      <c r="M299" s="69">
        <f t="shared" si="60"/>
        <v>0</v>
      </c>
      <c r="N299" s="65" t="str">
        <f t="shared" si="61"/>
        <v/>
      </c>
      <c r="O299" s="70" t="str">
        <f>IF(OR($C299="",$D299="",$F299=""),"",IF($F299="Aylık",EOMONTH($D299,0),($D299+MOD(SISTEM!$F$8-WEEKDAY($D299,2),7))))</f>
        <v/>
      </c>
      <c r="P299" s="61"/>
      <c r="Q299" s="2"/>
      <c r="R299" s="2"/>
      <c r="S299" s="1" t="str">
        <f>IF($B299="","",$B299&amp;"|"&amp;COUNTIFS($B$7:$B299,$B299))</f>
        <v/>
      </c>
      <c r="T299" s="1" t="str">
        <f t="shared" si="62"/>
        <v/>
      </c>
      <c r="U299" s="1">
        <f t="shared" si="63"/>
        <v>0</v>
      </c>
      <c r="V299" s="1">
        <f t="shared" si="64"/>
        <v>2958465</v>
      </c>
      <c r="W299" s="1">
        <f t="shared" si="65"/>
        <v>0</v>
      </c>
      <c r="X299" s="1">
        <f t="shared" si="66"/>
        <v>0</v>
      </c>
      <c r="Y299" s="1">
        <f t="shared" si="67"/>
        <v>97200</v>
      </c>
      <c r="Z299" s="1">
        <f t="shared" si="68"/>
        <v>1</v>
      </c>
      <c r="AA299" s="1">
        <f t="shared" si="69"/>
        <v>0</v>
      </c>
    </row>
    <row r="300" spans="1:27" ht="18" customHeight="1" x14ac:dyDescent="0.3">
      <c r="A300" s="2"/>
      <c r="B300" s="65" t="str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61"/>
      <c r="D300" s="66"/>
      <c r="E300" s="66"/>
      <c r="F300" s="60"/>
      <c r="G300" s="67"/>
      <c r="H300" s="60"/>
      <c r="I300" s="68">
        <f t="shared" ca="1" si="56"/>
        <v>0</v>
      </c>
      <c r="J300" s="68">
        <f t="shared" ca="1" si="57"/>
        <v>0</v>
      </c>
      <c r="K300" s="68">
        <f t="shared" ca="1" si="58"/>
        <v>0</v>
      </c>
      <c r="L300" s="68">
        <f t="shared" ca="1" si="59"/>
        <v>0</v>
      </c>
      <c r="M300" s="69">
        <f t="shared" si="60"/>
        <v>0</v>
      </c>
      <c r="N300" s="65" t="str">
        <f t="shared" si="61"/>
        <v/>
      </c>
      <c r="O300" s="70" t="str">
        <f>IF(OR($C300="",$D300="",$F300=""),"",IF($F300="Aylık",EOMONTH($D300,0),($D300+MOD(SISTEM!$F$8-WEEKDAY($D300,2),7))))</f>
        <v/>
      </c>
      <c r="P300" s="61"/>
      <c r="Q300" s="2"/>
      <c r="R300" s="2"/>
      <c r="S300" s="1" t="str">
        <f>IF($B300="","",$B300&amp;"|"&amp;COUNTIFS($B$7:$B300,$B300))</f>
        <v/>
      </c>
      <c r="T300" s="1" t="str">
        <f t="shared" si="62"/>
        <v/>
      </c>
      <c r="U300" s="1">
        <f t="shared" si="63"/>
        <v>0</v>
      </c>
      <c r="V300" s="1">
        <f t="shared" si="64"/>
        <v>2958465</v>
      </c>
      <c r="W300" s="1">
        <f t="shared" si="65"/>
        <v>0</v>
      </c>
      <c r="X300" s="1">
        <f t="shared" si="66"/>
        <v>0</v>
      </c>
      <c r="Y300" s="1">
        <f t="shared" si="67"/>
        <v>97200</v>
      </c>
      <c r="Z300" s="1">
        <f t="shared" si="68"/>
        <v>1</v>
      </c>
      <c r="AA300" s="1">
        <f t="shared" si="69"/>
        <v>0</v>
      </c>
    </row>
    <row r="301" spans="1:27" ht="18" customHeight="1" x14ac:dyDescent="0.3">
      <c r="A301" s="2"/>
      <c r="B301" s="65" t="str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61"/>
      <c r="D301" s="66"/>
      <c r="E301" s="66"/>
      <c r="F301" s="60"/>
      <c r="G301" s="67"/>
      <c r="H301" s="60"/>
      <c r="I301" s="68">
        <f t="shared" ca="1" si="56"/>
        <v>0</v>
      </c>
      <c r="J301" s="68">
        <f t="shared" ca="1" si="57"/>
        <v>0</v>
      </c>
      <c r="K301" s="68">
        <f t="shared" ca="1" si="58"/>
        <v>0</v>
      </c>
      <c r="L301" s="68">
        <f t="shared" ca="1" si="59"/>
        <v>0</v>
      </c>
      <c r="M301" s="69">
        <f t="shared" si="60"/>
        <v>0</v>
      </c>
      <c r="N301" s="65" t="str">
        <f t="shared" si="61"/>
        <v/>
      </c>
      <c r="O301" s="70" t="str">
        <f>IF(OR($C301="",$D301="",$F301=""),"",IF($F301="Aylık",EOMONTH($D301,0),($D301+MOD(SISTEM!$F$8-WEEKDAY($D301,2),7))))</f>
        <v/>
      </c>
      <c r="P301" s="61"/>
      <c r="Q301" s="2"/>
      <c r="R301" s="2"/>
      <c r="S301" s="1" t="str">
        <f>IF($B301="","",$B301&amp;"|"&amp;COUNTIFS($B$7:$B301,$B301))</f>
        <v/>
      </c>
      <c r="T301" s="1" t="str">
        <f t="shared" si="62"/>
        <v/>
      </c>
      <c r="U301" s="1">
        <f t="shared" si="63"/>
        <v>0</v>
      </c>
      <c r="V301" s="1">
        <f t="shared" si="64"/>
        <v>2958465</v>
      </c>
      <c r="W301" s="1">
        <f t="shared" si="65"/>
        <v>0</v>
      </c>
      <c r="X301" s="1">
        <f t="shared" si="66"/>
        <v>0</v>
      </c>
      <c r="Y301" s="1">
        <f t="shared" si="67"/>
        <v>97200</v>
      </c>
      <c r="Z301" s="1">
        <f t="shared" si="68"/>
        <v>1</v>
      </c>
      <c r="AA301" s="1">
        <f t="shared" si="69"/>
        <v>0</v>
      </c>
    </row>
    <row r="302" spans="1:27" ht="18" customHeight="1" x14ac:dyDescent="0.3">
      <c r="A302" s="2"/>
      <c r="B302" s="65" t="str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61"/>
      <c r="D302" s="66"/>
      <c r="E302" s="66"/>
      <c r="F302" s="60"/>
      <c r="G302" s="67"/>
      <c r="H302" s="60"/>
      <c r="I302" s="68">
        <f t="shared" ca="1" si="56"/>
        <v>0</v>
      </c>
      <c r="J302" s="68">
        <f t="shared" ca="1" si="57"/>
        <v>0</v>
      </c>
      <c r="K302" s="68">
        <f t="shared" ca="1" si="58"/>
        <v>0</v>
      </c>
      <c r="L302" s="68">
        <f t="shared" ca="1" si="59"/>
        <v>0</v>
      </c>
      <c r="M302" s="69">
        <f t="shared" si="60"/>
        <v>0</v>
      </c>
      <c r="N302" s="65" t="str">
        <f t="shared" si="61"/>
        <v/>
      </c>
      <c r="O302" s="70" t="str">
        <f>IF(OR($C302="",$D302="",$F302=""),"",IF($F302="Aylık",EOMONTH($D302,0),($D302+MOD(SISTEM!$F$8-WEEKDAY($D302,2),7))))</f>
        <v/>
      </c>
      <c r="P302" s="61"/>
      <c r="Q302" s="2"/>
      <c r="R302" s="2"/>
      <c r="S302" s="1" t="str">
        <f>IF($B302="","",$B302&amp;"|"&amp;COUNTIFS($B$7:$B302,$B302))</f>
        <v/>
      </c>
      <c r="T302" s="1" t="str">
        <f t="shared" si="62"/>
        <v/>
      </c>
      <c r="U302" s="1">
        <f t="shared" si="63"/>
        <v>0</v>
      </c>
      <c r="V302" s="1">
        <f t="shared" si="64"/>
        <v>2958465</v>
      </c>
      <c r="W302" s="1">
        <f t="shared" si="65"/>
        <v>0</v>
      </c>
      <c r="X302" s="1">
        <f t="shared" si="66"/>
        <v>0</v>
      </c>
      <c r="Y302" s="1">
        <f t="shared" si="67"/>
        <v>97200</v>
      </c>
      <c r="Z302" s="1">
        <f t="shared" si="68"/>
        <v>1</v>
      </c>
      <c r="AA302" s="1">
        <f t="shared" si="69"/>
        <v>0</v>
      </c>
    </row>
    <row r="303" spans="1:27" ht="18" customHeight="1" x14ac:dyDescent="0.3">
      <c r="A303" s="2"/>
      <c r="B303" s="65" t="str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61"/>
      <c r="D303" s="66"/>
      <c r="E303" s="66"/>
      <c r="F303" s="60"/>
      <c r="G303" s="67"/>
      <c r="H303" s="60"/>
      <c r="I303" s="68">
        <f t="shared" ca="1" si="56"/>
        <v>0</v>
      </c>
      <c r="J303" s="68">
        <f t="shared" ca="1" si="57"/>
        <v>0</v>
      </c>
      <c r="K303" s="68">
        <f t="shared" ca="1" si="58"/>
        <v>0</v>
      </c>
      <c r="L303" s="68">
        <f t="shared" ca="1" si="59"/>
        <v>0</v>
      </c>
      <c r="M303" s="69">
        <f t="shared" si="60"/>
        <v>0</v>
      </c>
      <c r="N303" s="65" t="str">
        <f t="shared" si="61"/>
        <v/>
      </c>
      <c r="O303" s="70" t="str">
        <f>IF(OR($C303="",$D303="",$F303=""),"",IF($F303="Aylık",EOMONTH($D303,0),($D303+MOD(SISTEM!$F$8-WEEKDAY($D303,2),7))))</f>
        <v/>
      </c>
      <c r="P303" s="61"/>
      <c r="Q303" s="2"/>
      <c r="R303" s="2"/>
      <c r="S303" s="1" t="str">
        <f>IF($B303="","",$B303&amp;"|"&amp;COUNTIFS($B$7:$B303,$B303))</f>
        <v/>
      </c>
      <c r="T303" s="1" t="str">
        <f t="shared" si="62"/>
        <v/>
      </c>
      <c r="U303" s="1">
        <f t="shared" si="63"/>
        <v>0</v>
      </c>
      <c r="V303" s="1">
        <f t="shared" si="64"/>
        <v>2958465</v>
      </c>
      <c r="W303" s="1">
        <f t="shared" si="65"/>
        <v>0</v>
      </c>
      <c r="X303" s="1">
        <f t="shared" si="66"/>
        <v>0</v>
      </c>
      <c r="Y303" s="1">
        <f t="shared" si="67"/>
        <v>97200</v>
      </c>
      <c r="Z303" s="1">
        <f t="shared" si="68"/>
        <v>1</v>
      </c>
      <c r="AA303" s="1">
        <f t="shared" si="69"/>
        <v>0</v>
      </c>
    </row>
    <row r="304" spans="1:27" ht="18" customHeight="1" x14ac:dyDescent="0.3">
      <c r="A304" s="2"/>
      <c r="B304" s="65" t="str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61"/>
      <c r="D304" s="66"/>
      <c r="E304" s="66"/>
      <c r="F304" s="60"/>
      <c r="G304" s="67"/>
      <c r="H304" s="60"/>
      <c r="I304" s="68">
        <f t="shared" ca="1" si="56"/>
        <v>0</v>
      </c>
      <c r="J304" s="68">
        <f t="shared" ca="1" si="57"/>
        <v>0</v>
      </c>
      <c r="K304" s="68">
        <f t="shared" ca="1" si="58"/>
        <v>0</v>
      </c>
      <c r="L304" s="68">
        <f t="shared" ca="1" si="59"/>
        <v>0</v>
      </c>
      <c r="M304" s="69">
        <f t="shared" si="60"/>
        <v>0</v>
      </c>
      <c r="N304" s="65" t="str">
        <f t="shared" si="61"/>
        <v/>
      </c>
      <c r="O304" s="70" t="str">
        <f>IF(OR($C304="",$D304="",$F304=""),"",IF($F304="Aylık",EOMONTH($D304,0),($D304+MOD(SISTEM!$F$8-WEEKDAY($D304,2),7))))</f>
        <v/>
      </c>
      <c r="P304" s="61"/>
      <c r="Q304" s="2"/>
      <c r="R304" s="2"/>
      <c r="S304" s="1" t="str">
        <f>IF($B304="","",$B304&amp;"|"&amp;COUNTIFS($B$7:$B304,$B304))</f>
        <v/>
      </c>
      <c r="T304" s="1" t="str">
        <f t="shared" si="62"/>
        <v/>
      </c>
      <c r="U304" s="1">
        <f t="shared" si="63"/>
        <v>0</v>
      </c>
      <c r="V304" s="1">
        <f t="shared" si="64"/>
        <v>2958465</v>
      </c>
      <c r="W304" s="1">
        <f t="shared" si="65"/>
        <v>0</v>
      </c>
      <c r="X304" s="1">
        <f t="shared" si="66"/>
        <v>0</v>
      </c>
      <c r="Y304" s="1">
        <f t="shared" si="67"/>
        <v>97200</v>
      </c>
      <c r="Z304" s="1">
        <f t="shared" si="68"/>
        <v>1</v>
      </c>
      <c r="AA304" s="1">
        <f t="shared" si="69"/>
        <v>0</v>
      </c>
    </row>
    <row r="305" spans="1:27" ht="18" customHeight="1" x14ac:dyDescent="0.3">
      <c r="A305" s="2"/>
      <c r="B305" s="65" t="str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61"/>
      <c r="D305" s="66"/>
      <c r="E305" s="66"/>
      <c r="F305" s="60"/>
      <c r="G305" s="67"/>
      <c r="H305" s="60"/>
      <c r="I305" s="68">
        <f t="shared" ca="1" si="56"/>
        <v>0</v>
      </c>
      <c r="J305" s="68">
        <f t="shared" ca="1" si="57"/>
        <v>0</v>
      </c>
      <c r="K305" s="68">
        <f t="shared" ca="1" si="58"/>
        <v>0</v>
      </c>
      <c r="L305" s="68">
        <f t="shared" ca="1" si="59"/>
        <v>0</v>
      </c>
      <c r="M305" s="69">
        <f t="shared" si="60"/>
        <v>0</v>
      </c>
      <c r="N305" s="65" t="str">
        <f t="shared" si="61"/>
        <v/>
      </c>
      <c r="O305" s="70" t="str">
        <f>IF(OR($C305="",$D305="",$F305=""),"",IF($F305="Aylık",EOMONTH($D305,0),($D305+MOD(SISTEM!$F$8-WEEKDAY($D305,2),7))))</f>
        <v/>
      </c>
      <c r="P305" s="61"/>
      <c r="Q305" s="2"/>
      <c r="R305" s="2"/>
      <c r="S305" s="1" t="str">
        <f>IF($B305="","",$B305&amp;"|"&amp;COUNTIFS($B$7:$B305,$B305))</f>
        <v/>
      </c>
      <c r="T305" s="1" t="str">
        <f t="shared" si="62"/>
        <v/>
      </c>
      <c r="U305" s="1">
        <f t="shared" si="63"/>
        <v>0</v>
      </c>
      <c r="V305" s="1">
        <f t="shared" si="64"/>
        <v>2958465</v>
      </c>
      <c r="W305" s="1">
        <f t="shared" si="65"/>
        <v>0</v>
      </c>
      <c r="X305" s="1">
        <f t="shared" si="66"/>
        <v>0</v>
      </c>
      <c r="Y305" s="1">
        <f t="shared" si="67"/>
        <v>97200</v>
      </c>
      <c r="Z305" s="1">
        <f t="shared" si="68"/>
        <v>1</v>
      </c>
      <c r="AA305" s="1">
        <f t="shared" si="69"/>
        <v>0</v>
      </c>
    </row>
    <row r="306" spans="1:27" ht="18" customHeight="1" x14ac:dyDescent="0.3">
      <c r="A306" s="2"/>
      <c r="B306" s="65" t="str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61"/>
      <c r="D306" s="66"/>
      <c r="E306" s="66"/>
      <c r="F306" s="60"/>
      <c r="G306" s="67"/>
      <c r="H306" s="60"/>
      <c r="I306" s="68">
        <f t="shared" ca="1" si="56"/>
        <v>0</v>
      </c>
      <c r="J306" s="68">
        <f t="shared" ca="1" si="57"/>
        <v>0</v>
      </c>
      <c r="K306" s="68">
        <f t="shared" ca="1" si="58"/>
        <v>0</v>
      </c>
      <c r="L306" s="68">
        <f t="shared" ca="1" si="59"/>
        <v>0</v>
      </c>
      <c r="M306" s="69">
        <f t="shared" si="60"/>
        <v>0</v>
      </c>
      <c r="N306" s="65" t="str">
        <f t="shared" si="61"/>
        <v/>
      </c>
      <c r="O306" s="70" t="str">
        <f>IF(OR($C306="",$D306="",$F306=""),"",IF($F306="Aylık",EOMONTH($D306,0),($D306+MOD(SISTEM!$F$8-WEEKDAY($D306,2),7))))</f>
        <v/>
      </c>
      <c r="P306" s="61"/>
      <c r="Q306" s="2"/>
      <c r="R306" s="2"/>
      <c r="S306" s="1" t="str">
        <f>IF($B306="","",$B306&amp;"|"&amp;COUNTIFS($B$7:$B306,$B306))</f>
        <v/>
      </c>
      <c r="T306" s="1" t="str">
        <f t="shared" si="62"/>
        <v/>
      </c>
      <c r="U306" s="1">
        <f t="shared" si="63"/>
        <v>0</v>
      </c>
      <c r="V306" s="1">
        <f t="shared" si="64"/>
        <v>2958465</v>
      </c>
      <c r="W306" s="1">
        <f t="shared" si="65"/>
        <v>0</v>
      </c>
      <c r="X306" s="1">
        <f t="shared" si="66"/>
        <v>0</v>
      </c>
      <c r="Y306" s="1">
        <f t="shared" si="67"/>
        <v>97200</v>
      </c>
      <c r="Z306" s="1">
        <f t="shared" si="68"/>
        <v>1</v>
      </c>
      <c r="AA306" s="1">
        <f t="shared" si="69"/>
        <v>0</v>
      </c>
    </row>
    <row r="307" spans="1:27" ht="18" customHeight="1" x14ac:dyDescent="0.3">
      <c r="A307" s="2"/>
      <c r="B307" s="65" t="str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61"/>
      <c r="D307" s="66"/>
      <c r="E307" s="66"/>
      <c r="F307" s="60"/>
      <c r="G307" s="67"/>
      <c r="H307" s="60"/>
      <c r="I307" s="68">
        <f t="shared" ca="1" si="56"/>
        <v>0</v>
      </c>
      <c r="J307" s="68">
        <f t="shared" ca="1" si="57"/>
        <v>0</v>
      </c>
      <c r="K307" s="68">
        <f t="shared" ca="1" si="58"/>
        <v>0</v>
      </c>
      <c r="L307" s="68">
        <f t="shared" ca="1" si="59"/>
        <v>0</v>
      </c>
      <c r="M307" s="69">
        <f t="shared" si="60"/>
        <v>0</v>
      </c>
      <c r="N307" s="65" t="str">
        <f t="shared" si="61"/>
        <v/>
      </c>
      <c r="O307" s="70" t="str">
        <f>IF(OR($C307="",$D307="",$F307=""),"",IF($F307="Aylık",EOMONTH($D307,0),($D307+MOD(SISTEM!$F$8-WEEKDAY($D307,2),7))))</f>
        <v/>
      </c>
      <c r="P307" s="61"/>
      <c r="Q307" s="2"/>
      <c r="R307" s="2"/>
      <c r="S307" s="1" t="str">
        <f>IF($B307="","",$B307&amp;"|"&amp;COUNTIFS($B$7:$B307,$B307))</f>
        <v/>
      </c>
      <c r="T307" s="1" t="str">
        <f t="shared" si="62"/>
        <v/>
      </c>
      <c r="U307" s="1">
        <f t="shared" si="63"/>
        <v>0</v>
      </c>
      <c r="V307" s="1">
        <f t="shared" si="64"/>
        <v>2958465</v>
      </c>
      <c r="W307" s="1">
        <f t="shared" si="65"/>
        <v>0</v>
      </c>
      <c r="X307" s="1">
        <f t="shared" si="66"/>
        <v>0</v>
      </c>
      <c r="Y307" s="1">
        <f t="shared" si="67"/>
        <v>97200</v>
      </c>
      <c r="Z307" s="1">
        <f t="shared" si="68"/>
        <v>1</v>
      </c>
      <c r="AA307" s="1">
        <f t="shared" si="69"/>
        <v>0</v>
      </c>
    </row>
    <row r="308" spans="1:27" ht="18" customHeight="1" x14ac:dyDescent="0.3">
      <c r="A308" s="2"/>
      <c r="B308" s="65" t="str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61"/>
      <c r="D308" s="66"/>
      <c r="E308" s="66"/>
      <c r="F308" s="60"/>
      <c r="G308" s="67"/>
      <c r="H308" s="60"/>
      <c r="I308" s="68">
        <f t="shared" ca="1" si="56"/>
        <v>0</v>
      </c>
      <c r="J308" s="68">
        <f t="shared" ca="1" si="57"/>
        <v>0</v>
      </c>
      <c r="K308" s="68">
        <f t="shared" ca="1" si="58"/>
        <v>0</v>
      </c>
      <c r="L308" s="68">
        <f t="shared" ca="1" si="59"/>
        <v>0</v>
      </c>
      <c r="M308" s="69">
        <f t="shared" si="60"/>
        <v>0</v>
      </c>
      <c r="N308" s="65" t="str">
        <f t="shared" si="61"/>
        <v/>
      </c>
      <c r="O308" s="70" t="str">
        <f>IF(OR($C308="",$D308="",$F308=""),"",IF($F308="Aylık",EOMONTH($D308,0),($D308+MOD(SISTEM!$F$8-WEEKDAY($D308,2),7))))</f>
        <v/>
      </c>
      <c r="P308" s="61"/>
      <c r="Q308" s="2"/>
      <c r="R308" s="2"/>
      <c r="S308" s="1" t="str">
        <f>IF($B308="","",$B308&amp;"|"&amp;COUNTIFS($B$7:$B308,$B308))</f>
        <v/>
      </c>
      <c r="T308" s="1" t="str">
        <f t="shared" si="62"/>
        <v/>
      </c>
      <c r="U308" s="1">
        <f t="shared" si="63"/>
        <v>0</v>
      </c>
      <c r="V308" s="1">
        <f t="shared" si="64"/>
        <v>2958465</v>
      </c>
      <c r="W308" s="1">
        <f t="shared" si="65"/>
        <v>0</v>
      </c>
      <c r="X308" s="1">
        <f t="shared" si="66"/>
        <v>0</v>
      </c>
      <c r="Y308" s="1">
        <f t="shared" si="67"/>
        <v>97200</v>
      </c>
      <c r="Z308" s="1">
        <f t="shared" si="68"/>
        <v>1</v>
      </c>
      <c r="AA308" s="1">
        <f t="shared" si="69"/>
        <v>0</v>
      </c>
    </row>
    <row r="309" spans="1:27" ht="18" customHeight="1" x14ac:dyDescent="0.3">
      <c r="A309" s="2"/>
      <c r="B309" s="65" t="str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61"/>
      <c r="D309" s="66"/>
      <c r="E309" s="66"/>
      <c r="F309" s="60"/>
      <c r="G309" s="67"/>
      <c r="H309" s="60"/>
      <c r="I309" s="68">
        <f t="shared" ca="1" si="56"/>
        <v>0</v>
      </c>
      <c r="J309" s="68">
        <f t="shared" ca="1" si="57"/>
        <v>0</v>
      </c>
      <c r="K309" s="68">
        <f t="shared" ca="1" si="58"/>
        <v>0</v>
      </c>
      <c r="L309" s="68">
        <f t="shared" ca="1" si="59"/>
        <v>0</v>
      </c>
      <c r="M309" s="69">
        <f t="shared" si="60"/>
        <v>0</v>
      </c>
      <c r="N309" s="65" t="str">
        <f t="shared" si="61"/>
        <v/>
      </c>
      <c r="O309" s="70" t="str">
        <f>IF(OR($C309="",$D309="",$F309=""),"",IF($F309="Aylık",EOMONTH($D309,0),($D309+MOD(SISTEM!$F$8-WEEKDAY($D309,2),7))))</f>
        <v/>
      </c>
      <c r="P309" s="61"/>
      <c r="Q309" s="2"/>
      <c r="R309" s="2"/>
      <c r="S309" s="1" t="str">
        <f>IF($B309="","",$B309&amp;"|"&amp;COUNTIFS($B$7:$B309,$B309))</f>
        <v/>
      </c>
      <c r="T309" s="1" t="str">
        <f t="shared" si="62"/>
        <v/>
      </c>
      <c r="U309" s="1">
        <f t="shared" si="63"/>
        <v>0</v>
      </c>
      <c r="V309" s="1">
        <f t="shared" si="64"/>
        <v>2958465</v>
      </c>
      <c r="W309" s="1">
        <f t="shared" si="65"/>
        <v>0</v>
      </c>
      <c r="X309" s="1">
        <f t="shared" si="66"/>
        <v>0</v>
      </c>
      <c r="Y309" s="1">
        <f t="shared" si="67"/>
        <v>97200</v>
      </c>
      <c r="Z309" s="1">
        <f t="shared" si="68"/>
        <v>1</v>
      </c>
      <c r="AA309" s="1">
        <f t="shared" si="69"/>
        <v>0</v>
      </c>
    </row>
    <row r="310" spans="1:27" ht="18" customHeight="1" x14ac:dyDescent="0.3">
      <c r="A310" s="2"/>
      <c r="B310" s="65" t="str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61"/>
      <c r="D310" s="66"/>
      <c r="E310" s="66"/>
      <c r="F310" s="60"/>
      <c r="G310" s="67"/>
      <c r="H310" s="60"/>
      <c r="I310" s="68">
        <f t="shared" ca="1" si="56"/>
        <v>0</v>
      </c>
      <c r="J310" s="68">
        <f t="shared" ca="1" si="57"/>
        <v>0</v>
      </c>
      <c r="K310" s="68">
        <f t="shared" ca="1" si="58"/>
        <v>0</v>
      </c>
      <c r="L310" s="68">
        <f t="shared" ca="1" si="59"/>
        <v>0</v>
      </c>
      <c r="M310" s="69">
        <f t="shared" si="60"/>
        <v>0</v>
      </c>
      <c r="N310" s="65" t="str">
        <f t="shared" si="61"/>
        <v/>
      </c>
      <c r="O310" s="70" t="str">
        <f>IF(OR($C310="",$D310="",$F310=""),"",IF($F310="Aylık",EOMONTH($D310,0),($D310+MOD(SISTEM!$F$8-WEEKDAY($D310,2),7))))</f>
        <v/>
      </c>
      <c r="P310" s="61"/>
      <c r="Q310" s="2"/>
      <c r="R310" s="2"/>
      <c r="S310" s="1" t="str">
        <f>IF($B310="","",$B310&amp;"|"&amp;COUNTIFS($B$7:$B310,$B310))</f>
        <v/>
      </c>
      <c r="T310" s="1" t="str">
        <f t="shared" si="62"/>
        <v/>
      </c>
      <c r="U310" s="1">
        <f t="shared" si="63"/>
        <v>0</v>
      </c>
      <c r="V310" s="1">
        <f t="shared" si="64"/>
        <v>2958465</v>
      </c>
      <c r="W310" s="1">
        <f t="shared" si="65"/>
        <v>0</v>
      </c>
      <c r="X310" s="1">
        <f t="shared" si="66"/>
        <v>0</v>
      </c>
      <c r="Y310" s="1">
        <f t="shared" si="67"/>
        <v>97200</v>
      </c>
      <c r="Z310" s="1">
        <f t="shared" si="68"/>
        <v>1</v>
      </c>
      <c r="AA310" s="1">
        <f t="shared" si="69"/>
        <v>0</v>
      </c>
    </row>
    <row r="311" spans="1:27" ht="18" customHeight="1" x14ac:dyDescent="0.3">
      <c r="A311" s="2"/>
      <c r="B311" s="65" t="str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61"/>
      <c r="D311" s="66"/>
      <c r="E311" s="66"/>
      <c r="F311" s="60"/>
      <c r="G311" s="67"/>
      <c r="H311" s="60"/>
      <c r="I311" s="68">
        <f t="shared" ca="1" si="56"/>
        <v>0</v>
      </c>
      <c r="J311" s="68">
        <f t="shared" ca="1" si="57"/>
        <v>0</v>
      </c>
      <c r="K311" s="68">
        <f t="shared" ca="1" si="58"/>
        <v>0</v>
      </c>
      <c r="L311" s="68">
        <f t="shared" ca="1" si="59"/>
        <v>0</v>
      </c>
      <c r="M311" s="69">
        <f t="shared" si="60"/>
        <v>0</v>
      </c>
      <c r="N311" s="65" t="str">
        <f t="shared" si="61"/>
        <v/>
      </c>
      <c r="O311" s="70" t="str">
        <f>IF(OR($C311="",$D311="",$F311=""),"",IF($F311="Aylık",EOMONTH($D311,0),($D311+MOD(SISTEM!$F$8-WEEKDAY($D311,2),7))))</f>
        <v/>
      </c>
      <c r="P311" s="61"/>
      <c r="Q311" s="2"/>
      <c r="R311" s="2"/>
      <c r="S311" s="1" t="str">
        <f>IF($B311="","",$B311&amp;"|"&amp;COUNTIFS($B$7:$B311,$B311))</f>
        <v/>
      </c>
      <c r="T311" s="1" t="str">
        <f t="shared" si="62"/>
        <v/>
      </c>
      <c r="U311" s="1">
        <f t="shared" si="63"/>
        <v>0</v>
      </c>
      <c r="V311" s="1">
        <f t="shared" si="64"/>
        <v>2958465</v>
      </c>
      <c r="W311" s="1">
        <f t="shared" si="65"/>
        <v>0</v>
      </c>
      <c r="X311" s="1">
        <f t="shared" si="66"/>
        <v>0</v>
      </c>
      <c r="Y311" s="1">
        <f t="shared" si="67"/>
        <v>97200</v>
      </c>
      <c r="Z311" s="1">
        <f t="shared" si="68"/>
        <v>1</v>
      </c>
      <c r="AA311" s="1">
        <f t="shared" si="69"/>
        <v>0</v>
      </c>
    </row>
    <row r="312" spans="1:27" ht="18" customHeight="1" x14ac:dyDescent="0.3">
      <c r="A312" s="2"/>
      <c r="B312" s="65" t="str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61"/>
      <c r="D312" s="66"/>
      <c r="E312" s="66"/>
      <c r="F312" s="60"/>
      <c r="G312" s="67"/>
      <c r="H312" s="60"/>
      <c r="I312" s="68">
        <f t="shared" ca="1" si="56"/>
        <v>0</v>
      </c>
      <c r="J312" s="68">
        <f t="shared" ca="1" si="57"/>
        <v>0</v>
      </c>
      <c r="K312" s="68">
        <f t="shared" ca="1" si="58"/>
        <v>0</v>
      </c>
      <c r="L312" s="68">
        <f t="shared" ca="1" si="59"/>
        <v>0</v>
      </c>
      <c r="M312" s="69">
        <f t="shared" si="60"/>
        <v>0</v>
      </c>
      <c r="N312" s="65" t="str">
        <f t="shared" si="61"/>
        <v/>
      </c>
      <c r="O312" s="70" t="str">
        <f>IF(OR($C312="",$D312="",$F312=""),"",IF($F312="Aylık",EOMONTH($D312,0),($D312+MOD(SISTEM!$F$8-WEEKDAY($D312,2),7))))</f>
        <v/>
      </c>
      <c r="P312" s="61"/>
      <c r="Q312" s="2"/>
      <c r="R312" s="2"/>
      <c r="S312" s="1" t="str">
        <f>IF($B312="","",$B312&amp;"|"&amp;COUNTIFS($B$7:$B312,$B312))</f>
        <v/>
      </c>
      <c r="T312" s="1" t="str">
        <f t="shared" si="62"/>
        <v/>
      </c>
      <c r="U312" s="1">
        <f t="shared" si="63"/>
        <v>0</v>
      </c>
      <c r="V312" s="1">
        <f t="shared" si="64"/>
        <v>2958465</v>
      </c>
      <c r="W312" s="1">
        <f t="shared" si="65"/>
        <v>0</v>
      </c>
      <c r="X312" s="1">
        <f t="shared" si="66"/>
        <v>0</v>
      </c>
      <c r="Y312" s="1">
        <f t="shared" si="67"/>
        <v>97200</v>
      </c>
      <c r="Z312" s="1">
        <f t="shared" si="68"/>
        <v>1</v>
      </c>
      <c r="AA312" s="1">
        <f t="shared" si="69"/>
        <v>0</v>
      </c>
    </row>
    <row r="313" spans="1:27" ht="18" customHeight="1" x14ac:dyDescent="0.3">
      <c r="A313" s="2"/>
      <c r="B313" s="65" t="str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61"/>
      <c r="D313" s="66"/>
      <c r="E313" s="66"/>
      <c r="F313" s="60"/>
      <c r="G313" s="67"/>
      <c r="H313" s="60"/>
      <c r="I313" s="68">
        <f t="shared" ca="1" si="56"/>
        <v>0</v>
      </c>
      <c r="J313" s="68">
        <f t="shared" ca="1" si="57"/>
        <v>0</v>
      </c>
      <c r="K313" s="68">
        <f t="shared" ca="1" si="58"/>
        <v>0</v>
      </c>
      <c r="L313" s="68">
        <f t="shared" ca="1" si="59"/>
        <v>0</v>
      </c>
      <c r="M313" s="69">
        <f t="shared" si="60"/>
        <v>0</v>
      </c>
      <c r="N313" s="65" t="str">
        <f t="shared" si="61"/>
        <v/>
      </c>
      <c r="O313" s="70" t="str">
        <f>IF(OR($C313="",$D313="",$F313=""),"",IF($F313="Aylık",EOMONTH($D313,0),($D313+MOD(SISTEM!$F$8-WEEKDAY($D313,2),7))))</f>
        <v/>
      </c>
      <c r="P313" s="61"/>
      <c r="Q313" s="2"/>
      <c r="R313" s="2"/>
      <c r="S313" s="1" t="str">
        <f>IF($B313="","",$B313&amp;"|"&amp;COUNTIFS($B$7:$B313,$B313))</f>
        <v/>
      </c>
      <c r="T313" s="1" t="str">
        <f t="shared" si="62"/>
        <v/>
      </c>
      <c r="U313" s="1">
        <f t="shared" si="63"/>
        <v>0</v>
      </c>
      <c r="V313" s="1">
        <f t="shared" si="64"/>
        <v>2958465</v>
      </c>
      <c r="W313" s="1">
        <f t="shared" si="65"/>
        <v>0</v>
      </c>
      <c r="X313" s="1">
        <f t="shared" si="66"/>
        <v>0</v>
      </c>
      <c r="Y313" s="1">
        <f t="shared" si="67"/>
        <v>97200</v>
      </c>
      <c r="Z313" s="1">
        <f t="shared" si="68"/>
        <v>1</v>
      </c>
      <c r="AA313" s="1">
        <f t="shared" si="69"/>
        <v>0</v>
      </c>
    </row>
    <row r="314" spans="1:27" ht="18" customHeight="1" x14ac:dyDescent="0.3">
      <c r="A314" s="2"/>
      <c r="B314" s="65" t="str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61"/>
      <c r="D314" s="66"/>
      <c r="E314" s="66"/>
      <c r="F314" s="60"/>
      <c r="G314" s="67"/>
      <c r="H314" s="60"/>
      <c r="I314" s="68">
        <f t="shared" ca="1" si="56"/>
        <v>0</v>
      </c>
      <c r="J314" s="68">
        <f t="shared" ca="1" si="57"/>
        <v>0</v>
      </c>
      <c r="K314" s="68">
        <f t="shared" ca="1" si="58"/>
        <v>0</v>
      </c>
      <c r="L314" s="68">
        <f t="shared" ca="1" si="59"/>
        <v>0</v>
      </c>
      <c r="M314" s="69">
        <f t="shared" si="60"/>
        <v>0</v>
      </c>
      <c r="N314" s="65" t="str">
        <f t="shared" si="61"/>
        <v/>
      </c>
      <c r="O314" s="70" t="str">
        <f>IF(OR($C314="",$D314="",$F314=""),"",IF($F314="Aylık",EOMONTH($D314,0),($D314+MOD(SISTEM!$F$8-WEEKDAY($D314,2),7))))</f>
        <v/>
      </c>
      <c r="P314" s="61"/>
      <c r="Q314" s="2"/>
      <c r="R314" s="2"/>
      <c r="S314" s="1" t="str">
        <f>IF($B314="","",$B314&amp;"|"&amp;COUNTIFS($B$7:$B314,$B314))</f>
        <v/>
      </c>
      <c r="T314" s="1" t="str">
        <f t="shared" si="62"/>
        <v/>
      </c>
      <c r="U314" s="1">
        <f t="shared" si="63"/>
        <v>0</v>
      </c>
      <c r="V314" s="1">
        <f t="shared" si="64"/>
        <v>2958465</v>
      </c>
      <c r="W314" s="1">
        <f t="shared" si="65"/>
        <v>0</v>
      </c>
      <c r="X314" s="1">
        <f t="shared" si="66"/>
        <v>0</v>
      </c>
      <c r="Y314" s="1">
        <f t="shared" si="67"/>
        <v>97200</v>
      </c>
      <c r="Z314" s="1">
        <f t="shared" si="68"/>
        <v>1</v>
      </c>
      <c r="AA314" s="1">
        <f t="shared" si="69"/>
        <v>0</v>
      </c>
    </row>
    <row r="315" spans="1:27" ht="18" customHeight="1" x14ac:dyDescent="0.3">
      <c r="A315" s="2"/>
      <c r="B315" s="65" t="str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61"/>
      <c r="D315" s="66"/>
      <c r="E315" s="66"/>
      <c r="F315" s="60"/>
      <c r="G315" s="67"/>
      <c r="H315" s="60"/>
      <c r="I315" s="68">
        <f t="shared" ca="1" si="56"/>
        <v>0</v>
      </c>
      <c r="J315" s="68">
        <f t="shared" ca="1" si="57"/>
        <v>0</v>
      </c>
      <c r="K315" s="68">
        <f t="shared" ca="1" si="58"/>
        <v>0</v>
      </c>
      <c r="L315" s="68">
        <f t="shared" ca="1" si="59"/>
        <v>0</v>
      </c>
      <c r="M315" s="69">
        <f t="shared" si="60"/>
        <v>0</v>
      </c>
      <c r="N315" s="65" t="str">
        <f t="shared" si="61"/>
        <v/>
      </c>
      <c r="O315" s="70" t="str">
        <f>IF(OR($C315="",$D315="",$F315=""),"",IF($F315="Aylık",EOMONTH($D315,0),($D315+MOD(SISTEM!$F$8-WEEKDAY($D315,2),7))))</f>
        <v/>
      </c>
      <c r="P315" s="61"/>
      <c r="Q315" s="2"/>
      <c r="R315" s="2"/>
      <c r="S315" s="1" t="str">
        <f>IF($B315="","",$B315&amp;"|"&amp;COUNTIFS($B$7:$B315,$B315))</f>
        <v/>
      </c>
      <c r="T315" s="1" t="str">
        <f t="shared" si="62"/>
        <v/>
      </c>
      <c r="U315" s="1">
        <f t="shared" si="63"/>
        <v>0</v>
      </c>
      <c r="V315" s="1">
        <f t="shared" si="64"/>
        <v>2958465</v>
      </c>
      <c r="W315" s="1">
        <f t="shared" si="65"/>
        <v>0</v>
      </c>
      <c r="X315" s="1">
        <f t="shared" si="66"/>
        <v>0</v>
      </c>
      <c r="Y315" s="1">
        <f t="shared" si="67"/>
        <v>97200</v>
      </c>
      <c r="Z315" s="1">
        <f t="shared" si="68"/>
        <v>1</v>
      </c>
      <c r="AA315" s="1">
        <f t="shared" si="69"/>
        <v>0</v>
      </c>
    </row>
    <row r="316" spans="1:27" ht="18" customHeight="1" x14ac:dyDescent="0.3">
      <c r="A316" s="2"/>
      <c r="B316" s="65" t="str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61"/>
      <c r="D316" s="66"/>
      <c r="E316" s="66"/>
      <c r="F316" s="60"/>
      <c r="G316" s="67"/>
      <c r="H316" s="60"/>
      <c r="I316" s="68">
        <f t="shared" ca="1" si="56"/>
        <v>0</v>
      </c>
      <c r="J316" s="68">
        <f t="shared" ca="1" si="57"/>
        <v>0</v>
      </c>
      <c r="K316" s="68">
        <f t="shared" ca="1" si="58"/>
        <v>0</v>
      </c>
      <c r="L316" s="68">
        <f t="shared" ca="1" si="59"/>
        <v>0</v>
      </c>
      <c r="M316" s="69">
        <f t="shared" si="60"/>
        <v>0</v>
      </c>
      <c r="N316" s="65" t="str">
        <f t="shared" si="61"/>
        <v/>
      </c>
      <c r="O316" s="70" t="str">
        <f>IF(OR($C316="",$D316="",$F316=""),"",IF($F316="Aylık",EOMONTH($D316,0),($D316+MOD(SISTEM!$F$8-WEEKDAY($D316,2),7))))</f>
        <v/>
      </c>
      <c r="P316" s="61"/>
      <c r="Q316" s="2"/>
      <c r="R316" s="2"/>
      <c r="S316" s="1" t="str">
        <f>IF($B316="","",$B316&amp;"|"&amp;COUNTIFS($B$7:$B316,$B316))</f>
        <v/>
      </c>
      <c r="T316" s="1" t="str">
        <f t="shared" si="62"/>
        <v/>
      </c>
      <c r="U316" s="1">
        <f t="shared" si="63"/>
        <v>0</v>
      </c>
      <c r="V316" s="1">
        <f t="shared" si="64"/>
        <v>2958465</v>
      </c>
      <c r="W316" s="1">
        <f t="shared" si="65"/>
        <v>0</v>
      </c>
      <c r="X316" s="1">
        <f t="shared" si="66"/>
        <v>0</v>
      </c>
      <c r="Y316" s="1">
        <f t="shared" si="67"/>
        <v>97200</v>
      </c>
      <c r="Z316" s="1">
        <f t="shared" si="68"/>
        <v>1</v>
      </c>
      <c r="AA316" s="1">
        <f t="shared" si="69"/>
        <v>0</v>
      </c>
    </row>
    <row r="317" spans="1:27" ht="18" customHeight="1" x14ac:dyDescent="0.3">
      <c r="A317" s="2"/>
      <c r="B317" s="65" t="str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61"/>
      <c r="D317" s="66"/>
      <c r="E317" s="66"/>
      <c r="F317" s="60"/>
      <c r="G317" s="67"/>
      <c r="H317" s="60"/>
      <c r="I317" s="68">
        <f t="shared" ca="1" si="56"/>
        <v>0</v>
      </c>
      <c r="J317" s="68">
        <f t="shared" ca="1" si="57"/>
        <v>0</v>
      </c>
      <c r="K317" s="68">
        <f t="shared" ca="1" si="58"/>
        <v>0</v>
      </c>
      <c r="L317" s="68">
        <f t="shared" ca="1" si="59"/>
        <v>0</v>
      </c>
      <c r="M317" s="69">
        <f t="shared" si="60"/>
        <v>0</v>
      </c>
      <c r="N317" s="65" t="str">
        <f t="shared" si="61"/>
        <v/>
      </c>
      <c r="O317" s="70" t="str">
        <f>IF(OR($C317="",$D317="",$F317=""),"",IF($F317="Aylık",EOMONTH($D317,0),($D317+MOD(SISTEM!$F$8-WEEKDAY($D317,2),7))))</f>
        <v/>
      </c>
      <c r="P317" s="61"/>
      <c r="Q317" s="2"/>
      <c r="R317" s="2"/>
      <c r="S317" s="1" t="str">
        <f>IF($B317="","",$B317&amp;"|"&amp;COUNTIFS($B$7:$B317,$B317))</f>
        <v/>
      </c>
      <c r="T317" s="1" t="str">
        <f t="shared" si="62"/>
        <v/>
      </c>
      <c r="U317" s="1">
        <f t="shared" si="63"/>
        <v>0</v>
      </c>
      <c r="V317" s="1">
        <f t="shared" si="64"/>
        <v>2958465</v>
      </c>
      <c r="W317" s="1">
        <f t="shared" si="65"/>
        <v>0</v>
      </c>
      <c r="X317" s="1">
        <f t="shared" si="66"/>
        <v>0</v>
      </c>
      <c r="Y317" s="1">
        <f t="shared" si="67"/>
        <v>97200</v>
      </c>
      <c r="Z317" s="1">
        <f t="shared" si="68"/>
        <v>1</v>
      </c>
      <c r="AA317" s="1">
        <f t="shared" si="69"/>
        <v>0</v>
      </c>
    </row>
    <row r="318" spans="1:27" ht="18" customHeight="1" x14ac:dyDescent="0.3">
      <c r="A318" s="2"/>
      <c r="B318" s="65" t="str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61"/>
      <c r="D318" s="66"/>
      <c r="E318" s="66"/>
      <c r="F318" s="60"/>
      <c r="G318" s="67"/>
      <c r="H318" s="60"/>
      <c r="I318" s="68">
        <f t="shared" ca="1" si="56"/>
        <v>0</v>
      </c>
      <c r="J318" s="68">
        <f t="shared" ca="1" si="57"/>
        <v>0</v>
      </c>
      <c r="K318" s="68">
        <f t="shared" ca="1" si="58"/>
        <v>0</v>
      </c>
      <c r="L318" s="68">
        <f t="shared" ca="1" si="59"/>
        <v>0</v>
      </c>
      <c r="M318" s="69">
        <f t="shared" si="60"/>
        <v>0</v>
      </c>
      <c r="N318" s="65" t="str">
        <f t="shared" si="61"/>
        <v/>
      </c>
      <c r="O318" s="70" t="str">
        <f>IF(OR($C318="",$D318="",$F318=""),"",IF($F318="Aylık",EOMONTH($D318,0),($D318+MOD(SISTEM!$F$8-WEEKDAY($D318,2),7))))</f>
        <v/>
      </c>
      <c r="P318" s="61"/>
      <c r="Q318" s="2"/>
      <c r="R318" s="2"/>
      <c r="S318" s="1" t="str">
        <f>IF($B318="","",$B318&amp;"|"&amp;COUNTIFS($B$7:$B318,$B318))</f>
        <v/>
      </c>
      <c r="T318" s="1" t="str">
        <f t="shared" si="62"/>
        <v/>
      </c>
      <c r="U318" s="1">
        <f t="shared" si="63"/>
        <v>0</v>
      </c>
      <c r="V318" s="1">
        <f t="shared" si="64"/>
        <v>2958465</v>
      </c>
      <c r="W318" s="1">
        <f t="shared" si="65"/>
        <v>0</v>
      </c>
      <c r="X318" s="1">
        <f t="shared" si="66"/>
        <v>0</v>
      </c>
      <c r="Y318" s="1">
        <f t="shared" si="67"/>
        <v>97200</v>
      </c>
      <c r="Z318" s="1">
        <f t="shared" si="68"/>
        <v>1</v>
      </c>
      <c r="AA318" s="1">
        <f t="shared" si="69"/>
        <v>0</v>
      </c>
    </row>
    <row r="319" spans="1:27" ht="18" customHeight="1" x14ac:dyDescent="0.3">
      <c r="A319" s="2"/>
      <c r="B319" s="65" t="str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61"/>
      <c r="D319" s="66"/>
      <c r="E319" s="66"/>
      <c r="F319" s="60"/>
      <c r="G319" s="67"/>
      <c r="H319" s="60"/>
      <c r="I319" s="68">
        <f t="shared" ca="1" si="56"/>
        <v>0</v>
      </c>
      <c r="J319" s="68">
        <f t="shared" ca="1" si="57"/>
        <v>0</v>
      </c>
      <c r="K319" s="68">
        <f t="shared" ca="1" si="58"/>
        <v>0</v>
      </c>
      <c r="L319" s="68">
        <f t="shared" ca="1" si="59"/>
        <v>0</v>
      </c>
      <c r="M319" s="69">
        <f t="shared" si="60"/>
        <v>0</v>
      </c>
      <c r="N319" s="65" t="str">
        <f t="shared" si="61"/>
        <v/>
      </c>
      <c r="O319" s="70" t="str">
        <f>IF(OR($C319="",$D319="",$F319=""),"",IF($F319="Aylık",EOMONTH($D319,0),($D319+MOD(SISTEM!$F$8-WEEKDAY($D319,2),7))))</f>
        <v/>
      </c>
      <c r="P319" s="61"/>
      <c r="Q319" s="2"/>
      <c r="R319" s="2"/>
      <c r="S319" s="1" t="str">
        <f>IF($B319="","",$B319&amp;"|"&amp;COUNTIFS($B$7:$B319,$B319))</f>
        <v/>
      </c>
      <c r="T319" s="1" t="str">
        <f t="shared" si="62"/>
        <v/>
      </c>
      <c r="U319" s="1">
        <f t="shared" si="63"/>
        <v>0</v>
      </c>
      <c r="V319" s="1">
        <f t="shared" si="64"/>
        <v>2958465</v>
      </c>
      <c r="W319" s="1">
        <f t="shared" si="65"/>
        <v>0</v>
      </c>
      <c r="X319" s="1">
        <f t="shared" si="66"/>
        <v>0</v>
      </c>
      <c r="Y319" s="1">
        <f t="shared" si="67"/>
        <v>97200</v>
      </c>
      <c r="Z319" s="1">
        <f t="shared" si="68"/>
        <v>1</v>
      </c>
      <c r="AA319" s="1">
        <f t="shared" si="69"/>
        <v>0</v>
      </c>
    </row>
    <row r="320" spans="1:27" ht="18" customHeight="1" x14ac:dyDescent="0.3">
      <c r="A320" s="2"/>
      <c r="B320" s="65" t="str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61"/>
      <c r="D320" s="66"/>
      <c r="E320" s="66"/>
      <c r="F320" s="60"/>
      <c r="G320" s="67"/>
      <c r="H320" s="60"/>
      <c r="I320" s="68">
        <f t="shared" ca="1" si="56"/>
        <v>0</v>
      </c>
      <c r="J320" s="68">
        <f t="shared" ca="1" si="57"/>
        <v>0</v>
      </c>
      <c r="K320" s="68">
        <f t="shared" ca="1" si="58"/>
        <v>0</v>
      </c>
      <c r="L320" s="68">
        <f t="shared" ca="1" si="59"/>
        <v>0</v>
      </c>
      <c r="M320" s="69">
        <f t="shared" si="60"/>
        <v>0</v>
      </c>
      <c r="N320" s="65" t="str">
        <f t="shared" si="61"/>
        <v/>
      </c>
      <c r="O320" s="70" t="str">
        <f>IF(OR($C320="",$D320="",$F320=""),"",IF($F320="Aylık",EOMONTH($D320,0),($D320+MOD(SISTEM!$F$8-WEEKDAY($D320,2),7))))</f>
        <v/>
      </c>
      <c r="P320" s="61"/>
      <c r="Q320" s="2"/>
      <c r="R320" s="2"/>
      <c r="S320" s="1" t="str">
        <f>IF($B320="","",$B320&amp;"|"&amp;COUNTIFS($B$7:$B320,$B320))</f>
        <v/>
      </c>
      <c r="T320" s="1" t="str">
        <f t="shared" si="62"/>
        <v/>
      </c>
      <c r="U320" s="1">
        <f t="shared" si="63"/>
        <v>0</v>
      </c>
      <c r="V320" s="1">
        <f t="shared" si="64"/>
        <v>2958465</v>
      </c>
      <c r="W320" s="1">
        <f t="shared" si="65"/>
        <v>0</v>
      </c>
      <c r="X320" s="1">
        <f t="shared" si="66"/>
        <v>0</v>
      </c>
      <c r="Y320" s="1">
        <f t="shared" si="67"/>
        <v>97200</v>
      </c>
      <c r="Z320" s="1">
        <f t="shared" si="68"/>
        <v>1</v>
      </c>
      <c r="AA320" s="1">
        <f t="shared" si="69"/>
        <v>0</v>
      </c>
    </row>
    <row r="321" spans="1:27" ht="18" customHeight="1" x14ac:dyDescent="0.3">
      <c r="A321" s="2"/>
      <c r="B321" s="65" t="str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61"/>
      <c r="D321" s="66"/>
      <c r="E321" s="66"/>
      <c r="F321" s="60"/>
      <c r="G321" s="67"/>
      <c r="H321" s="60"/>
      <c r="I321" s="68">
        <f t="shared" ca="1" si="56"/>
        <v>0</v>
      </c>
      <c r="J321" s="68">
        <f t="shared" ca="1" si="57"/>
        <v>0</v>
      </c>
      <c r="K321" s="68">
        <f t="shared" ca="1" si="58"/>
        <v>0</v>
      </c>
      <c r="L321" s="68">
        <f t="shared" ca="1" si="59"/>
        <v>0</v>
      </c>
      <c r="M321" s="69">
        <f t="shared" si="60"/>
        <v>0</v>
      </c>
      <c r="N321" s="65" t="str">
        <f t="shared" si="61"/>
        <v/>
      </c>
      <c r="O321" s="70" t="str">
        <f>IF(OR($C321="",$D321="",$F321=""),"",IF($F321="Aylık",EOMONTH($D321,0),($D321+MOD(SISTEM!$F$8-WEEKDAY($D321,2),7))))</f>
        <v/>
      </c>
      <c r="P321" s="61"/>
      <c r="Q321" s="2"/>
      <c r="R321" s="2"/>
      <c r="S321" s="1" t="str">
        <f>IF($B321="","",$B321&amp;"|"&amp;COUNTIFS($B$7:$B321,$B321))</f>
        <v/>
      </c>
      <c r="T321" s="1" t="str">
        <f t="shared" si="62"/>
        <v/>
      </c>
      <c r="U321" s="1">
        <f t="shared" si="63"/>
        <v>0</v>
      </c>
      <c r="V321" s="1">
        <f t="shared" si="64"/>
        <v>2958465</v>
      </c>
      <c r="W321" s="1">
        <f t="shared" si="65"/>
        <v>0</v>
      </c>
      <c r="X321" s="1">
        <f t="shared" si="66"/>
        <v>0</v>
      </c>
      <c r="Y321" s="1">
        <f t="shared" si="67"/>
        <v>97200</v>
      </c>
      <c r="Z321" s="1">
        <f t="shared" si="68"/>
        <v>1</v>
      </c>
      <c r="AA321" s="1">
        <f t="shared" si="69"/>
        <v>0</v>
      </c>
    </row>
    <row r="322" spans="1:27" ht="18" customHeight="1" x14ac:dyDescent="0.3">
      <c r="A322" s="2"/>
      <c r="B322" s="65" t="str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61"/>
      <c r="D322" s="66"/>
      <c r="E322" s="66"/>
      <c r="F322" s="60"/>
      <c r="G322" s="67"/>
      <c r="H322" s="60"/>
      <c r="I322" s="68">
        <f t="shared" ca="1" si="56"/>
        <v>0</v>
      </c>
      <c r="J322" s="68">
        <f t="shared" ca="1" si="57"/>
        <v>0</v>
      </c>
      <c r="K322" s="68">
        <f t="shared" ca="1" si="58"/>
        <v>0</v>
      </c>
      <c r="L322" s="68">
        <f t="shared" ca="1" si="59"/>
        <v>0</v>
      </c>
      <c r="M322" s="69">
        <f t="shared" si="60"/>
        <v>0</v>
      </c>
      <c r="N322" s="65" t="str">
        <f t="shared" si="61"/>
        <v/>
      </c>
      <c r="O322" s="70" t="str">
        <f>IF(OR($C322="",$D322="",$F322=""),"",IF($F322="Aylık",EOMONTH($D322,0),($D322+MOD(SISTEM!$F$8-WEEKDAY($D322,2),7))))</f>
        <v/>
      </c>
      <c r="P322" s="61"/>
      <c r="Q322" s="2"/>
      <c r="R322" s="2"/>
      <c r="S322" s="1" t="str">
        <f>IF($B322="","",$B322&amp;"|"&amp;COUNTIFS($B$7:$B322,$B322))</f>
        <v/>
      </c>
      <c r="T322" s="1" t="str">
        <f t="shared" si="62"/>
        <v/>
      </c>
      <c r="U322" s="1">
        <f t="shared" si="63"/>
        <v>0</v>
      </c>
      <c r="V322" s="1">
        <f t="shared" si="64"/>
        <v>2958465</v>
      </c>
      <c r="W322" s="1">
        <f t="shared" si="65"/>
        <v>0</v>
      </c>
      <c r="X322" s="1">
        <f t="shared" si="66"/>
        <v>0</v>
      </c>
      <c r="Y322" s="1">
        <f t="shared" si="67"/>
        <v>97200</v>
      </c>
      <c r="Z322" s="1">
        <f t="shared" si="68"/>
        <v>1</v>
      </c>
      <c r="AA322" s="1">
        <f t="shared" si="69"/>
        <v>0</v>
      </c>
    </row>
    <row r="323" spans="1:27" ht="18" customHeight="1" x14ac:dyDescent="0.3">
      <c r="A323" s="2"/>
      <c r="B323" s="65" t="str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61"/>
      <c r="D323" s="66"/>
      <c r="E323" s="66"/>
      <c r="F323" s="60"/>
      <c r="G323" s="67"/>
      <c r="H323" s="60"/>
      <c r="I323" s="68">
        <f t="shared" ca="1" si="56"/>
        <v>0</v>
      </c>
      <c r="J323" s="68">
        <f t="shared" ca="1" si="57"/>
        <v>0</v>
      </c>
      <c r="K323" s="68">
        <f t="shared" ca="1" si="58"/>
        <v>0</v>
      </c>
      <c r="L323" s="68">
        <f t="shared" ca="1" si="59"/>
        <v>0</v>
      </c>
      <c r="M323" s="69">
        <f t="shared" si="60"/>
        <v>0</v>
      </c>
      <c r="N323" s="65" t="str">
        <f t="shared" si="61"/>
        <v/>
      </c>
      <c r="O323" s="70" t="str">
        <f>IF(OR($C323="",$D323="",$F323=""),"",IF($F323="Aylık",EOMONTH($D323,0),($D323+MOD(SISTEM!$F$8-WEEKDAY($D323,2),7))))</f>
        <v/>
      </c>
      <c r="P323" s="61"/>
      <c r="Q323" s="2"/>
      <c r="R323" s="2"/>
      <c r="S323" s="1" t="str">
        <f>IF($B323="","",$B323&amp;"|"&amp;COUNTIFS($B$7:$B323,$B323))</f>
        <v/>
      </c>
      <c r="T323" s="1" t="str">
        <f t="shared" si="62"/>
        <v/>
      </c>
      <c r="U323" s="1">
        <f t="shared" si="63"/>
        <v>0</v>
      </c>
      <c r="V323" s="1">
        <f t="shared" si="64"/>
        <v>2958465</v>
      </c>
      <c r="W323" s="1">
        <f t="shared" si="65"/>
        <v>0</v>
      </c>
      <c r="X323" s="1">
        <f t="shared" si="66"/>
        <v>0</v>
      </c>
      <c r="Y323" s="1">
        <f t="shared" si="67"/>
        <v>97200</v>
      </c>
      <c r="Z323" s="1">
        <f t="shared" si="68"/>
        <v>1</v>
      </c>
      <c r="AA323" s="1">
        <f t="shared" si="69"/>
        <v>0</v>
      </c>
    </row>
    <row r="324" spans="1:27" ht="18" customHeight="1" x14ac:dyDescent="0.3">
      <c r="A324" s="2"/>
      <c r="B324" s="65" t="str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61"/>
      <c r="D324" s="66"/>
      <c r="E324" s="66"/>
      <c r="F324" s="60"/>
      <c r="G324" s="67"/>
      <c r="H324" s="60"/>
      <c r="I324" s="68">
        <f t="shared" ca="1" si="56"/>
        <v>0</v>
      </c>
      <c r="J324" s="68">
        <f t="shared" ca="1" si="57"/>
        <v>0</v>
      </c>
      <c r="K324" s="68">
        <f t="shared" ca="1" si="58"/>
        <v>0</v>
      </c>
      <c r="L324" s="68">
        <f t="shared" ca="1" si="59"/>
        <v>0</v>
      </c>
      <c r="M324" s="69">
        <f t="shared" si="60"/>
        <v>0</v>
      </c>
      <c r="N324" s="65" t="str">
        <f t="shared" si="61"/>
        <v/>
      </c>
      <c r="O324" s="70" t="str">
        <f>IF(OR($C324="",$D324="",$F324=""),"",IF($F324="Aylık",EOMONTH($D324,0),($D324+MOD(SISTEM!$F$8-WEEKDAY($D324,2),7))))</f>
        <v/>
      </c>
      <c r="P324" s="61"/>
      <c r="Q324" s="2"/>
      <c r="R324" s="2"/>
      <c r="S324" s="1" t="str">
        <f>IF($B324="","",$B324&amp;"|"&amp;COUNTIFS($B$7:$B324,$B324))</f>
        <v/>
      </c>
      <c r="T324" s="1" t="str">
        <f t="shared" si="62"/>
        <v/>
      </c>
      <c r="U324" s="1">
        <f t="shared" si="63"/>
        <v>0</v>
      </c>
      <c r="V324" s="1">
        <f t="shared" si="64"/>
        <v>2958465</v>
      </c>
      <c r="W324" s="1">
        <f t="shared" si="65"/>
        <v>0</v>
      </c>
      <c r="X324" s="1">
        <f t="shared" si="66"/>
        <v>0</v>
      </c>
      <c r="Y324" s="1">
        <f t="shared" si="67"/>
        <v>97200</v>
      </c>
      <c r="Z324" s="1">
        <f t="shared" si="68"/>
        <v>1</v>
      </c>
      <c r="AA324" s="1">
        <f t="shared" si="69"/>
        <v>0</v>
      </c>
    </row>
    <row r="325" spans="1:27" ht="18" customHeight="1" x14ac:dyDescent="0.3">
      <c r="A325" s="2"/>
      <c r="B325" s="65" t="str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61"/>
      <c r="D325" s="66"/>
      <c r="E325" s="66"/>
      <c r="F325" s="60"/>
      <c r="G325" s="67"/>
      <c r="H325" s="60"/>
      <c r="I325" s="68">
        <f t="shared" ca="1" si="56"/>
        <v>0</v>
      </c>
      <c r="J325" s="68">
        <f t="shared" ca="1" si="57"/>
        <v>0</v>
      </c>
      <c r="K325" s="68">
        <f t="shared" ca="1" si="58"/>
        <v>0</v>
      </c>
      <c r="L325" s="68">
        <f t="shared" ca="1" si="59"/>
        <v>0</v>
      </c>
      <c r="M325" s="69">
        <f t="shared" si="60"/>
        <v>0</v>
      </c>
      <c r="N325" s="65" t="str">
        <f t="shared" si="61"/>
        <v/>
      </c>
      <c r="O325" s="70" t="str">
        <f>IF(OR($C325="",$D325="",$F325=""),"",IF($F325="Aylık",EOMONTH($D325,0),($D325+MOD(SISTEM!$F$8-WEEKDAY($D325,2),7))))</f>
        <v/>
      </c>
      <c r="P325" s="61"/>
      <c r="Q325" s="2"/>
      <c r="R325" s="2"/>
      <c r="S325" s="1" t="str">
        <f>IF($B325="","",$B325&amp;"|"&amp;COUNTIFS($B$7:$B325,$B325))</f>
        <v/>
      </c>
      <c r="T325" s="1" t="str">
        <f t="shared" si="62"/>
        <v/>
      </c>
      <c r="U325" s="1">
        <f t="shared" si="63"/>
        <v>0</v>
      </c>
      <c r="V325" s="1">
        <f t="shared" si="64"/>
        <v>2958465</v>
      </c>
      <c r="W325" s="1">
        <f t="shared" si="65"/>
        <v>0</v>
      </c>
      <c r="X325" s="1">
        <f t="shared" si="66"/>
        <v>0</v>
      </c>
      <c r="Y325" s="1">
        <f t="shared" si="67"/>
        <v>97200</v>
      </c>
      <c r="Z325" s="1">
        <f t="shared" si="68"/>
        <v>1</v>
      </c>
      <c r="AA325" s="1">
        <f t="shared" si="69"/>
        <v>0</v>
      </c>
    </row>
    <row r="326" spans="1:27" ht="18" customHeight="1" x14ac:dyDescent="0.3">
      <c r="A326" s="2"/>
      <c r="B326" s="65" t="str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61"/>
      <c r="D326" s="66"/>
      <c r="E326" s="66"/>
      <c r="F326" s="60"/>
      <c r="G326" s="67"/>
      <c r="H326" s="60"/>
      <c r="I326" s="68">
        <f t="shared" ca="1" si="56"/>
        <v>0</v>
      </c>
      <c r="J326" s="68">
        <f t="shared" ca="1" si="57"/>
        <v>0</v>
      </c>
      <c r="K326" s="68">
        <f t="shared" ca="1" si="58"/>
        <v>0</v>
      </c>
      <c r="L326" s="68">
        <f t="shared" ca="1" si="59"/>
        <v>0</v>
      </c>
      <c r="M326" s="69">
        <f t="shared" si="60"/>
        <v>0</v>
      </c>
      <c r="N326" s="65" t="str">
        <f t="shared" si="61"/>
        <v/>
      </c>
      <c r="O326" s="70" t="str">
        <f>IF(OR($C326="",$D326="",$F326=""),"",IF($F326="Aylık",EOMONTH($D326,0),($D326+MOD(SISTEM!$F$8-WEEKDAY($D326,2),7))))</f>
        <v/>
      </c>
      <c r="P326" s="61"/>
      <c r="Q326" s="2"/>
      <c r="R326" s="2"/>
      <c r="S326" s="1" t="str">
        <f>IF($B326="","",$B326&amp;"|"&amp;COUNTIFS($B$7:$B326,$B326))</f>
        <v/>
      </c>
      <c r="T326" s="1" t="str">
        <f t="shared" si="62"/>
        <v/>
      </c>
      <c r="U326" s="1">
        <f t="shared" si="63"/>
        <v>0</v>
      </c>
      <c r="V326" s="1">
        <f t="shared" si="64"/>
        <v>2958465</v>
      </c>
      <c r="W326" s="1">
        <f t="shared" si="65"/>
        <v>0</v>
      </c>
      <c r="X326" s="1">
        <f t="shared" si="66"/>
        <v>0</v>
      </c>
      <c r="Y326" s="1">
        <f t="shared" si="67"/>
        <v>97200</v>
      </c>
      <c r="Z326" s="1">
        <f t="shared" si="68"/>
        <v>1</v>
      </c>
      <c r="AA326" s="1">
        <f t="shared" si="69"/>
        <v>0</v>
      </c>
    </row>
    <row r="327" spans="1:27" ht="18" customHeight="1" x14ac:dyDescent="0.3">
      <c r="A327" s="2"/>
      <c r="B327" s="65" t="str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61"/>
      <c r="D327" s="66"/>
      <c r="E327" s="66"/>
      <c r="F327" s="60"/>
      <c r="G327" s="67"/>
      <c r="H327" s="60"/>
      <c r="I327" s="68">
        <f t="shared" ref="I327:I390" ca="1" si="70"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>0</v>
      </c>
      <c r="J327" s="68">
        <f t="shared" ref="J327:J390" ca="1" si="71"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>0</v>
      </c>
      <c r="K327" s="68">
        <f t="shared" ref="K327:K390" ca="1" si="72"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>0</v>
      </c>
      <c r="L327" s="68">
        <f t="shared" ref="L327:L390" ca="1" si="73"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>0</v>
      </c>
      <c r="M327" s="69">
        <f t="shared" ref="M327:M390" si="74">IF($G327&gt;0,$I327/$G327,0)</f>
        <v>0</v>
      </c>
      <c r="N327" s="65" t="str">
        <f t="shared" ref="N327:N390" si="75"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70" t="str">
        <f>IF(OR($C327="",$D327="",$F327=""),"",IF($F327="Aylık",EOMONTH($D327,0),($D327+MOD(SISTEM!$F$8-WEEKDAY($D327,2),7))))</f>
        <v/>
      </c>
      <c r="P327" s="61"/>
      <c r="Q327" s="2"/>
      <c r="R327" s="2"/>
      <c r="S327" s="1" t="str">
        <f>IF($B327="","",$B327&amp;"|"&amp;COUNTIFS($B$7:$B327,$B327))</f>
        <v/>
      </c>
      <c r="T327" s="1" t="str">
        <f t="shared" ref="T327:T390" si="76"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">
        <f t="shared" ref="U327:U390" si="77">IF($O327="",0,$O327)</f>
        <v>0</v>
      </c>
      <c r="V327" s="1">
        <f t="shared" ref="V327:V390" si="78">IF($E327="",2958465,$E327)</f>
        <v>2958465</v>
      </c>
      <c r="W327" s="1">
        <f t="shared" ref="W327:W390" si="79">IF($F327="Haftalık",1,IF($F327="Aylık",2,0))</f>
        <v>0</v>
      </c>
      <c r="X327" s="1">
        <f t="shared" ref="X327:X390" si="80">IF($U327=0,0,(YEAR($U327)-1900)*12+MONTH($U327))</f>
        <v>0</v>
      </c>
      <c r="Y327" s="1">
        <f t="shared" ref="Y327:Y390" si="81">(YEAR($V327)-1900)*12+MONTH($V327)</f>
        <v>97200</v>
      </c>
      <c r="Z327" s="1">
        <f t="shared" ref="Z327:Z390" si="82">IF($V327=EOMONTH($V327,0),1,0)</f>
        <v>1</v>
      </c>
      <c r="AA327" s="1">
        <f t="shared" ref="AA327:AA390" si="83">IF(OR($B327="",$H327&lt;&gt;"Aktif"),0,COUNTIFS($B$7:$B$606,$B327,$H$7:$H$606,"Aktif"))</f>
        <v>0</v>
      </c>
    </row>
    <row r="328" spans="1:27" ht="18" customHeight="1" x14ac:dyDescent="0.3">
      <c r="A328" s="2"/>
      <c r="B328" s="65" t="str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61"/>
      <c r="D328" s="66"/>
      <c r="E328" s="66"/>
      <c r="F328" s="60"/>
      <c r="G328" s="67"/>
      <c r="H328" s="60"/>
      <c r="I328" s="68">
        <f t="shared" ca="1" si="70"/>
        <v>0</v>
      </c>
      <c r="J328" s="68">
        <f t="shared" ca="1" si="71"/>
        <v>0</v>
      </c>
      <c r="K328" s="68">
        <f t="shared" ca="1" si="72"/>
        <v>0</v>
      </c>
      <c r="L328" s="68">
        <f t="shared" ca="1" si="73"/>
        <v>0</v>
      </c>
      <c r="M328" s="69">
        <f t="shared" si="74"/>
        <v>0</v>
      </c>
      <c r="N328" s="65" t="str">
        <f t="shared" si="75"/>
        <v/>
      </c>
      <c r="O328" s="70" t="str">
        <f>IF(OR($C328="",$D328="",$F328=""),"",IF($F328="Aylık",EOMONTH($D328,0),($D328+MOD(SISTEM!$F$8-WEEKDAY($D328,2),7))))</f>
        <v/>
      </c>
      <c r="P328" s="61"/>
      <c r="Q328" s="2"/>
      <c r="R328" s="2"/>
      <c r="S328" s="1" t="str">
        <f>IF($B328="","",$B328&amp;"|"&amp;COUNTIFS($B$7:$B328,$B328))</f>
        <v/>
      </c>
      <c r="T328" s="1" t="str">
        <f t="shared" si="76"/>
        <v/>
      </c>
      <c r="U328" s="1">
        <f t="shared" si="77"/>
        <v>0</v>
      </c>
      <c r="V328" s="1">
        <f t="shared" si="78"/>
        <v>2958465</v>
      </c>
      <c r="W328" s="1">
        <f t="shared" si="79"/>
        <v>0</v>
      </c>
      <c r="X328" s="1">
        <f t="shared" si="80"/>
        <v>0</v>
      </c>
      <c r="Y328" s="1">
        <f t="shared" si="81"/>
        <v>97200</v>
      </c>
      <c r="Z328" s="1">
        <f t="shared" si="82"/>
        <v>1</v>
      </c>
      <c r="AA328" s="1">
        <f t="shared" si="83"/>
        <v>0</v>
      </c>
    </row>
    <row r="329" spans="1:27" ht="18" customHeight="1" x14ac:dyDescent="0.3">
      <c r="A329" s="2"/>
      <c r="B329" s="65" t="str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61"/>
      <c r="D329" s="66"/>
      <c r="E329" s="66"/>
      <c r="F329" s="60"/>
      <c r="G329" s="67"/>
      <c r="H329" s="60"/>
      <c r="I329" s="68">
        <f t="shared" ca="1" si="70"/>
        <v>0</v>
      </c>
      <c r="J329" s="68">
        <f t="shared" ca="1" si="71"/>
        <v>0</v>
      </c>
      <c r="K329" s="68">
        <f t="shared" ca="1" si="72"/>
        <v>0</v>
      </c>
      <c r="L329" s="68">
        <f t="shared" ca="1" si="73"/>
        <v>0</v>
      </c>
      <c r="M329" s="69">
        <f t="shared" si="74"/>
        <v>0</v>
      </c>
      <c r="N329" s="65" t="str">
        <f t="shared" si="75"/>
        <v/>
      </c>
      <c r="O329" s="70" t="str">
        <f>IF(OR($C329="",$D329="",$F329=""),"",IF($F329="Aylık",EOMONTH($D329,0),($D329+MOD(SISTEM!$F$8-WEEKDAY($D329,2),7))))</f>
        <v/>
      </c>
      <c r="P329" s="61"/>
      <c r="Q329" s="2"/>
      <c r="R329" s="2"/>
      <c r="S329" s="1" t="str">
        <f>IF($B329="","",$B329&amp;"|"&amp;COUNTIFS($B$7:$B329,$B329))</f>
        <v/>
      </c>
      <c r="T329" s="1" t="str">
        <f t="shared" si="76"/>
        <v/>
      </c>
      <c r="U329" s="1">
        <f t="shared" si="77"/>
        <v>0</v>
      </c>
      <c r="V329" s="1">
        <f t="shared" si="78"/>
        <v>2958465</v>
      </c>
      <c r="W329" s="1">
        <f t="shared" si="79"/>
        <v>0</v>
      </c>
      <c r="X329" s="1">
        <f t="shared" si="80"/>
        <v>0</v>
      </c>
      <c r="Y329" s="1">
        <f t="shared" si="81"/>
        <v>97200</v>
      </c>
      <c r="Z329" s="1">
        <f t="shared" si="82"/>
        <v>1</v>
      </c>
      <c r="AA329" s="1">
        <f t="shared" si="83"/>
        <v>0</v>
      </c>
    </row>
    <row r="330" spans="1:27" ht="18" customHeight="1" x14ac:dyDescent="0.3">
      <c r="A330" s="2"/>
      <c r="B330" s="65" t="str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61"/>
      <c r="D330" s="66"/>
      <c r="E330" s="66"/>
      <c r="F330" s="60"/>
      <c r="G330" s="67"/>
      <c r="H330" s="60"/>
      <c r="I330" s="68">
        <f t="shared" ca="1" si="70"/>
        <v>0</v>
      </c>
      <c r="J330" s="68">
        <f t="shared" ca="1" si="71"/>
        <v>0</v>
      </c>
      <c r="K330" s="68">
        <f t="shared" ca="1" si="72"/>
        <v>0</v>
      </c>
      <c r="L330" s="68">
        <f t="shared" ca="1" si="73"/>
        <v>0</v>
      </c>
      <c r="M330" s="69">
        <f t="shared" si="74"/>
        <v>0</v>
      </c>
      <c r="N330" s="65" t="str">
        <f t="shared" si="75"/>
        <v/>
      </c>
      <c r="O330" s="70" t="str">
        <f>IF(OR($C330="",$D330="",$F330=""),"",IF($F330="Aylık",EOMONTH($D330,0),($D330+MOD(SISTEM!$F$8-WEEKDAY($D330,2),7))))</f>
        <v/>
      </c>
      <c r="P330" s="61"/>
      <c r="Q330" s="2"/>
      <c r="R330" s="2"/>
      <c r="S330" s="1" t="str">
        <f>IF($B330="","",$B330&amp;"|"&amp;COUNTIFS($B$7:$B330,$B330))</f>
        <v/>
      </c>
      <c r="T330" s="1" t="str">
        <f t="shared" si="76"/>
        <v/>
      </c>
      <c r="U330" s="1">
        <f t="shared" si="77"/>
        <v>0</v>
      </c>
      <c r="V330" s="1">
        <f t="shared" si="78"/>
        <v>2958465</v>
      </c>
      <c r="W330" s="1">
        <f t="shared" si="79"/>
        <v>0</v>
      </c>
      <c r="X330" s="1">
        <f t="shared" si="80"/>
        <v>0</v>
      </c>
      <c r="Y330" s="1">
        <f t="shared" si="81"/>
        <v>97200</v>
      </c>
      <c r="Z330" s="1">
        <f t="shared" si="82"/>
        <v>1</v>
      </c>
      <c r="AA330" s="1">
        <f t="shared" si="83"/>
        <v>0</v>
      </c>
    </row>
    <row r="331" spans="1:27" ht="18" customHeight="1" x14ac:dyDescent="0.3">
      <c r="A331" s="2"/>
      <c r="B331" s="65" t="str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61"/>
      <c r="D331" s="66"/>
      <c r="E331" s="66"/>
      <c r="F331" s="60"/>
      <c r="G331" s="67"/>
      <c r="H331" s="60"/>
      <c r="I331" s="68">
        <f t="shared" ca="1" si="70"/>
        <v>0</v>
      </c>
      <c r="J331" s="68">
        <f t="shared" ca="1" si="71"/>
        <v>0</v>
      </c>
      <c r="K331" s="68">
        <f t="shared" ca="1" si="72"/>
        <v>0</v>
      </c>
      <c r="L331" s="68">
        <f t="shared" ca="1" si="73"/>
        <v>0</v>
      </c>
      <c r="M331" s="69">
        <f t="shared" si="74"/>
        <v>0</v>
      </c>
      <c r="N331" s="65" t="str">
        <f t="shared" si="75"/>
        <v/>
      </c>
      <c r="O331" s="70" t="str">
        <f>IF(OR($C331="",$D331="",$F331=""),"",IF($F331="Aylık",EOMONTH($D331,0),($D331+MOD(SISTEM!$F$8-WEEKDAY($D331,2),7))))</f>
        <v/>
      </c>
      <c r="P331" s="61"/>
      <c r="Q331" s="2"/>
      <c r="R331" s="2"/>
      <c r="S331" s="1" t="str">
        <f>IF($B331="","",$B331&amp;"|"&amp;COUNTIFS($B$7:$B331,$B331))</f>
        <v/>
      </c>
      <c r="T331" s="1" t="str">
        <f t="shared" si="76"/>
        <v/>
      </c>
      <c r="U331" s="1">
        <f t="shared" si="77"/>
        <v>0</v>
      </c>
      <c r="V331" s="1">
        <f t="shared" si="78"/>
        <v>2958465</v>
      </c>
      <c r="W331" s="1">
        <f t="shared" si="79"/>
        <v>0</v>
      </c>
      <c r="X331" s="1">
        <f t="shared" si="80"/>
        <v>0</v>
      </c>
      <c r="Y331" s="1">
        <f t="shared" si="81"/>
        <v>97200</v>
      </c>
      <c r="Z331" s="1">
        <f t="shared" si="82"/>
        <v>1</v>
      </c>
      <c r="AA331" s="1">
        <f t="shared" si="83"/>
        <v>0</v>
      </c>
    </row>
    <row r="332" spans="1:27" ht="18" customHeight="1" x14ac:dyDescent="0.3">
      <c r="A332" s="2"/>
      <c r="B332" s="65" t="str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61"/>
      <c r="D332" s="66"/>
      <c r="E332" s="66"/>
      <c r="F332" s="60"/>
      <c r="G332" s="67"/>
      <c r="H332" s="60"/>
      <c r="I332" s="68">
        <f t="shared" ca="1" si="70"/>
        <v>0</v>
      </c>
      <c r="J332" s="68">
        <f t="shared" ca="1" si="71"/>
        <v>0</v>
      </c>
      <c r="K332" s="68">
        <f t="shared" ca="1" si="72"/>
        <v>0</v>
      </c>
      <c r="L332" s="68">
        <f t="shared" ca="1" si="73"/>
        <v>0</v>
      </c>
      <c r="M332" s="69">
        <f t="shared" si="74"/>
        <v>0</v>
      </c>
      <c r="N332" s="65" t="str">
        <f t="shared" si="75"/>
        <v/>
      </c>
      <c r="O332" s="70" t="str">
        <f>IF(OR($C332="",$D332="",$F332=""),"",IF($F332="Aylık",EOMONTH($D332,0),($D332+MOD(SISTEM!$F$8-WEEKDAY($D332,2),7))))</f>
        <v/>
      </c>
      <c r="P332" s="61"/>
      <c r="Q332" s="2"/>
      <c r="R332" s="2"/>
      <c r="S332" s="1" t="str">
        <f>IF($B332="","",$B332&amp;"|"&amp;COUNTIFS($B$7:$B332,$B332))</f>
        <v/>
      </c>
      <c r="T332" s="1" t="str">
        <f t="shared" si="76"/>
        <v/>
      </c>
      <c r="U332" s="1">
        <f t="shared" si="77"/>
        <v>0</v>
      </c>
      <c r="V332" s="1">
        <f t="shared" si="78"/>
        <v>2958465</v>
      </c>
      <c r="W332" s="1">
        <f t="shared" si="79"/>
        <v>0</v>
      </c>
      <c r="X332" s="1">
        <f t="shared" si="80"/>
        <v>0</v>
      </c>
      <c r="Y332" s="1">
        <f t="shared" si="81"/>
        <v>97200</v>
      </c>
      <c r="Z332" s="1">
        <f t="shared" si="82"/>
        <v>1</v>
      </c>
      <c r="AA332" s="1">
        <f t="shared" si="83"/>
        <v>0</v>
      </c>
    </row>
    <row r="333" spans="1:27" ht="18" customHeight="1" x14ac:dyDescent="0.3">
      <c r="A333" s="2"/>
      <c r="B333" s="65" t="str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61"/>
      <c r="D333" s="66"/>
      <c r="E333" s="66"/>
      <c r="F333" s="60"/>
      <c r="G333" s="67"/>
      <c r="H333" s="60"/>
      <c r="I333" s="68">
        <f t="shared" ca="1" si="70"/>
        <v>0</v>
      </c>
      <c r="J333" s="68">
        <f t="shared" ca="1" si="71"/>
        <v>0</v>
      </c>
      <c r="K333" s="68">
        <f t="shared" ca="1" si="72"/>
        <v>0</v>
      </c>
      <c r="L333" s="68">
        <f t="shared" ca="1" si="73"/>
        <v>0</v>
      </c>
      <c r="M333" s="69">
        <f t="shared" si="74"/>
        <v>0</v>
      </c>
      <c r="N333" s="65" t="str">
        <f t="shared" si="75"/>
        <v/>
      </c>
      <c r="O333" s="70" t="str">
        <f>IF(OR($C333="",$D333="",$F333=""),"",IF($F333="Aylık",EOMONTH($D333,0),($D333+MOD(SISTEM!$F$8-WEEKDAY($D333,2),7))))</f>
        <v/>
      </c>
      <c r="P333" s="61"/>
      <c r="Q333" s="2"/>
      <c r="R333" s="2"/>
      <c r="S333" s="1" t="str">
        <f>IF($B333="","",$B333&amp;"|"&amp;COUNTIFS($B$7:$B333,$B333))</f>
        <v/>
      </c>
      <c r="T333" s="1" t="str">
        <f t="shared" si="76"/>
        <v/>
      </c>
      <c r="U333" s="1">
        <f t="shared" si="77"/>
        <v>0</v>
      </c>
      <c r="V333" s="1">
        <f t="shared" si="78"/>
        <v>2958465</v>
      </c>
      <c r="W333" s="1">
        <f t="shared" si="79"/>
        <v>0</v>
      </c>
      <c r="X333" s="1">
        <f t="shared" si="80"/>
        <v>0</v>
      </c>
      <c r="Y333" s="1">
        <f t="shared" si="81"/>
        <v>97200</v>
      </c>
      <c r="Z333" s="1">
        <f t="shared" si="82"/>
        <v>1</v>
      </c>
      <c r="AA333" s="1">
        <f t="shared" si="83"/>
        <v>0</v>
      </c>
    </row>
    <row r="334" spans="1:27" ht="18" customHeight="1" x14ac:dyDescent="0.3">
      <c r="A334" s="2"/>
      <c r="B334" s="65" t="str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61"/>
      <c r="D334" s="66"/>
      <c r="E334" s="66"/>
      <c r="F334" s="60"/>
      <c r="G334" s="67"/>
      <c r="H334" s="60"/>
      <c r="I334" s="68">
        <f t="shared" ca="1" si="70"/>
        <v>0</v>
      </c>
      <c r="J334" s="68">
        <f t="shared" ca="1" si="71"/>
        <v>0</v>
      </c>
      <c r="K334" s="68">
        <f t="shared" ca="1" si="72"/>
        <v>0</v>
      </c>
      <c r="L334" s="68">
        <f t="shared" ca="1" si="73"/>
        <v>0</v>
      </c>
      <c r="M334" s="69">
        <f t="shared" si="74"/>
        <v>0</v>
      </c>
      <c r="N334" s="65" t="str">
        <f t="shared" si="75"/>
        <v/>
      </c>
      <c r="O334" s="70" t="str">
        <f>IF(OR($C334="",$D334="",$F334=""),"",IF($F334="Aylık",EOMONTH($D334,0),($D334+MOD(SISTEM!$F$8-WEEKDAY($D334,2),7))))</f>
        <v/>
      </c>
      <c r="P334" s="61"/>
      <c r="Q334" s="2"/>
      <c r="R334" s="2"/>
      <c r="S334" s="1" t="str">
        <f>IF($B334="","",$B334&amp;"|"&amp;COUNTIFS($B$7:$B334,$B334))</f>
        <v/>
      </c>
      <c r="T334" s="1" t="str">
        <f t="shared" si="76"/>
        <v/>
      </c>
      <c r="U334" s="1">
        <f t="shared" si="77"/>
        <v>0</v>
      </c>
      <c r="V334" s="1">
        <f t="shared" si="78"/>
        <v>2958465</v>
      </c>
      <c r="W334" s="1">
        <f t="shared" si="79"/>
        <v>0</v>
      </c>
      <c r="X334" s="1">
        <f t="shared" si="80"/>
        <v>0</v>
      </c>
      <c r="Y334" s="1">
        <f t="shared" si="81"/>
        <v>97200</v>
      </c>
      <c r="Z334" s="1">
        <f t="shared" si="82"/>
        <v>1</v>
      </c>
      <c r="AA334" s="1">
        <f t="shared" si="83"/>
        <v>0</v>
      </c>
    </row>
    <row r="335" spans="1:27" ht="18" customHeight="1" x14ac:dyDescent="0.3">
      <c r="A335" s="2"/>
      <c r="B335" s="65" t="str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61"/>
      <c r="D335" s="66"/>
      <c r="E335" s="66"/>
      <c r="F335" s="60"/>
      <c r="G335" s="67"/>
      <c r="H335" s="60"/>
      <c r="I335" s="68">
        <f t="shared" ca="1" si="70"/>
        <v>0</v>
      </c>
      <c r="J335" s="68">
        <f t="shared" ca="1" si="71"/>
        <v>0</v>
      </c>
      <c r="K335" s="68">
        <f t="shared" ca="1" si="72"/>
        <v>0</v>
      </c>
      <c r="L335" s="68">
        <f t="shared" ca="1" si="73"/>
        <v>0</v>
      </c>
      <c r="M335" s="69">
        <f t="shared" si="74"/>
        <v>0</v>
      </c>
      <c r="N335" s="65" t="str">
        <f t="shared" si="75"/>
        <v/>
      </c>
      <c r="O335" s="70" t="str">
        <f>IF(OR($C335="",$D335="",$F335=""),"",IF($F335="Aylık",EOMONTH($D335,0),($D335+MOD(SISTEM!$F$8-WEEKDAY($D335,2),7))))</f>
        <v/>
      </c>
      <c r="P335" s="61"/>
      <c r="Q335" s="2"/>
      <c r="R335" s="2"/>
      <c r="S335" s="1" t="str">
        <f>IF($B335="","",$B335&amp;"|"&amp;COUNTIFS($B$7:$B335,$B335))</f>
        <v/>
      </c>
      <c r="T335" s="1" t="str">
        <f t="shared" si="76"/>
        <v/>
      </c>
      <c r="U335" s="1">
        <f t="shared" si="77"/>
        <v>0</v>
      </c>
      <c r="V335" s="1">
        <f t="shared" si="78"/>
        <v>2958465</v>
      </c>
      <c r="W335" s="1">
        <f t="shared" si="79"/>
        <v>0</v>
      </c>
      <c r="X335" s="1">
        <f t="shared" si="80"/>
        <v>0</v>
      </c>
      <c r="Y335" s="1">
        <f t="shared" si="81"/>
        <v>97200</v>
      </c>
      <c r="Z335" s="1">
        <f t="shared" si="82"/>
        <v>1</v>
      </c>
      <c r="AA335" s="1">
        <f t="shared" si="83"/>
        <v>0</v>
      </c>
    </row>
    <row r="336" spans="1:27" ht="18" customHeight="1" x14ac:dyDescent="0.3">
      <c r="A336" s="2"/>
      <c r="B336" s="65" t="str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61"/>
      <c r="D336" s="66"/>
      <c r="E336" s="66"/>
      <c r="F336" s="60"/>
      <c r="G336" s="67"/>
      <c r="H336" s="60"/>
      <c r="I336" s="68">
        <f t="shared" ca="1" si="70"/>
        <v>0</v>
      </c>
      <c r="J336" s="68">
        <f t="shared" ca="1" si="71"/>
        <v>0</v>
      </c>
      <c r="K336" s="68">
        <f t="shared" ca="1" si="72"/>
        <v>0</v>
      </c>
      <c r="L336" s="68">
        <f t="shared" ca="1" si="73"/>
        <v>0</v>
      </c>
      <c r="M336" s="69">
        <f t="shared" si="74"/>
        <v>0</v>
      </c>
      <c r="N336" s="65" t="str">
        <f t="shared" si="75"/>
        <v/>
      </c>
      <c r="O336" s="70" t="str">
        <f>IF(OR($C336="",$D336="",$F336=""),"",IF($F336="Aylık",EOMONTH($D336,0),($D336+MOD(SISTEM!$F$8-WEEKDAY($D336,2),7))))</f>
        <v/>
      </c>
      <c r="P336" s="61"/>
      <c r="Q336" s="2"/>
      <c r="R336" s="2"/>
      <c r="S336" s="1" t="str">
        <f>IF($B336="","",$B336&amp;"|"&amp;COUNTIFS($B$7:$B336,$B336))</f>
        <v/>
      </c>
      <c r="T336" s="1" t="str">
        <f t="shared" si="76"/>
        <v/>
      </c>
      <c r="U336" s="1">
        <f t="shared" si="77"/>
        <v>0</v>
      </c>
      <c r="V336" s="1">
        <f t="shared" si="78"/>
        <v>2958465</v>
      </c>
      <c r="W336" s="1">
        <f t="shared" si="79"/>
        <v>0</v>
      </c>
      <c r="X336" s="1">
        <f t="shared" si="80"/>
        <v>0</v>
      </c>
      <c r="Y336" s="1">
        <f t="shared" si="81"/>
        <v>97200</v>
      </c>
      <c r="Z336" s="1">
        <f t="shared" si="82"/>
        <v>1</v>
      </c>
      <c r="AA336" s="1">
        <f t="shared" si="83"/>
        <v>0</v>
      </c>
    </row>
    <row r="337" spans="1:27" ht="18" customHeight="1" x14ac:dyDescent="0.3">
      <c r="A337" s="2"/>
      <c r="B337" s="65" t="str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61"/>
      <c r="D337" s="66"/>
      <c r="E337" s="66"/>
      <c r="F337" s="60"/>
      <c r="G337" s="67"/>
      <c r="H337" s="60"/>
      <c r="I337" s="68">
        <f t="shared" ca="1" si="70"/>
        <v>0</v>
      </c>
      <c r="J337" s="68">
        <f t="shared" ca="1" si="71"/>
        <v>0</v>
      </c>
      <c r="K337" s="68">
        <f t="shared" ca="1" si="72"/>
        <v>0</v>
      </c>
      <c r="L337" s="68">
        <f t="shared" ca="1" si="73"/>
        <v>0</v>
      </c>
      <c r="M337" s="69">
        <f t="shared" si="74"/>
        <v>0</v>
      </c>
      <c r="N337" s="65" t="str">
        <f t="shared" si="75"/>
        <v/>
      </c>
      <c r="O337" s="70" t="str">
        <f>IF(OR($C337="",$D337="",$F337=""),"",IF($F337="Aylık",EOMONTH($D337,0),($D337+MOD(SISTEM!$F$8-WEEKDAY($D337,2),7))))</f>
        <v/>
      </c>
      <c r="P337" s="61"/>
      <c r="Q337" s="2"/>
      <c r="R337" s="2"/>
      <c r="S337" s="1" t="str">
        <f>IF($B337="","",$B337&amp;"|"&amp;COUNTIFS($B$7:$B337,$B337))</f>
        <v/>
      </c>
      <c r="T337" s="1" t="str">
        <f t="shared" si="76"/>
        <v/>
      </c>
      <c r="U337" s="1">
        <f t="shared" si="77"/>
        <v>0</v>
      </c>
      <c r="V337" s="1">
        <f t="shared" si="78"/>
        <v>2958465</v>
      </c>
      <c r="W337" s="1">
        <f t="shared" si="79"/>
        <v>0</v>
      </c>
      <c r="X337" s="1">
        <f t="shared" si="80"/>
        <v>0</v>
      </c>
      <c r="Y337" s="1">
        <f t="shared" si="81"/>
        <v>97200</v>
      </c>
      <c r="Z337" s="1">
        <f t="shared" si="82"/>
        <v>1</v>
      </c>
      <c r="AA337" s="1">
        <f t="shared" si="83"/>
        <v>0</v>
      </c>
    </row>
    <row r="338" spans="1:27" ht="18" customHeight="1" x14ac:dyDescent="0.3">
      <c r="A338" s="2"/>
      <c r="B338" s="65" t="str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61"/>
      <c r="D338" s="66"/>
      <c r="E338" s="66"/>
      <c r="F338" s="60"/>
      <c r="G338" s="67"/>
      <c r="H338" s="60"/>
      <c r="I338" s="68">
        <f t="shared" ca="1" si="70"/>
        <v>0</v>
      </c>
      <c r="J338" s="68">
        <f t="shared" ca="1" si="71"/>
        <v>0</v>
      </c>
      <c r="K338" s="68">
        <f t="shared" ca="1" si="72"/>
        <v>0</v>
      </c>
      <c r="L338" s="68">
        <f t="shared" ca="1" si="73"/>
        <v>0</v>
      </c>
      <c r="M338" s="69">
        <f t="shared" si="74"/>
        <v>0</v>
      </c>
      <c r="N338" s="65" t="str">
        <f t="shared" si="75"/>
        <v/>
      </c>
      <c r="O338" s="70" t="str">
        <f>IF(OR($C338="",$D338="",$F338=""),"",IF($F338="Aylık",EOMONTH($D338,0),($D338+MOD(SISTEM!$F$8-WEEKDAY($D338,2),7))))</f>
        <v/>
      </c>
      <c r="P338" s="61"/>
      <c r="Q338" s="2"/>
      <c r="R338" s="2"/>
      <c r="S338" s="1" t="str">
        <f>IF($B338="","",$B338&amp;"|"&amp;COUNTIFS($B$7:$B338,$B338))</f>
        <v/>
      </c>
      <c r="T338" s="1" t="str">
        <f t="shared" si="76"/>
        <v/>
      </c>
      <c r="U338" s="1">
        <f t="shared" si="77"/>
        <v>0</v>
      </c>
      <c r="V338" s="1">
        <f t="shared" si="78"/>
        <v>2958465</v>
      </c>
      <c r="W338" s="1">
        <f t="shared" si="79"/>
        <v>0</v>
      </c>
      <c r="X338" s="1">
        <f t="shared" si="80"/>
        <v>0</v>
      </c>
      <c r="Y338" s="1">
        <f t="shared" si="81"/>
        <v>97200</v>
      </c>
      <c r="Z338" s="1">
        <f t="shared" si="82"/>
        <v>1</v>
      </c>
      <c r="AA338" s="1">
        <f t="shared" si="83"/>
        <v>0</v>
      </c>
    </row>
    <row r="339" spans="1:27" ht="18" customHeight="1" x14ac:dyDescent="0.3">
      <c r="A339" s="2"/>
      <c r="B339" s="65" t="str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61"/>
      <c r="D339" s="66"/>
      <c r="E339" s="66"/>
      <c r="F339" s="60"/>
      <c r="G339" s="67"/>
      <c r="H339" s="60"/>
      <c r="I339" s="68">
        <f t="shared" ca="1" si="70"/>
        <v>0</v>
      </c>
      <c r="J339" s="68">
        <f t="shared" ca="1" si="71"/>
        <v>0</v>
      </c>
      <c r="K339" s="68">
        <f t="shared" ca="1" si="72"/>
        <v>0</v>
      </c>
      <c r="L339" s="68">
        <f t="shared" ca="1" si="73"/>
        <v>0</v>
      </c>
      <c r="M339" s="69">
        <f t="shared" si="74"/>
        <v>0</v>
      </c>
      <c r="N339" s="65" t="str">
        <f t="shared" si="75"/>
        <v/>
      </c>
      <c r="O339" s="70" t="str">
        <f>IF(OR($C339="",$D339="",$F339=""),"",IF($F339="Aylık",EOMONTH($D339,0),($D339+MOD(SISTEM!$F$8-WEEKDAY($D339,2),7))))</f>
        <v/>
      </c>
      <c r="P339" s="61"/>
      <c r="Q339" s="2"/>
      <c r="R339" s="2"/>
      <c r="S339" s="1" t="str">
        <f>IF($B339="","",$B339&amp;"|"&amp;COUNTIFS($B$7:$B339,$B339))</f>
        <v/>
      </c>
      <c r="T339" s="1" t="str">
        <f t="shared" si="76"/>
        <v/>
      </c>
      <c r="U339" s="1">
        <f t="shared" si="77"/>
        <v>0</v>
      </c>
      <c r="V339" s="1">
        <f t="shared" si="78"/>
        <v>2958465</v>
      </c>
      <c r="W339" s="1">
        <f t="shared" si="79"/>
        <v>0</v>
      </c>
      <c r="X339" s="1">
        <f t="shared" si="80"/>
        <v>0</v>
      </c>
      <c r="Y339" s="1">
        <f t="shared" si="81"/>
        <v>97200</v>
      </c>
      <c r="Z339" s="1">
        <f t="shared" si="82"/>
        <v>1</v>
      </c>
      <c r="AA339" s="1">
        <f t="shared" si="83"/>
        <v>0</v>
      </c>
    </row>
    <row r="340" spans="1:27" ht="18" customHeight="1" x14ac:dyDescent="0.3">
      <c r="A340" s="2"/>
      <c r="B340" s="65" t="str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61"/>
      <c r="D340" s="66"/>
      <c r="E340" s="66"/>
      <c r="F340" s="60"/>
      <c r="G340" s="67"/>
      <c r="H340" s="60"/>
      <c r="I340" s="68">
        <f t="shared" ca="1" si="70"/>
        <v>0</v>
      </c>
      <c r="J340" s="68">
        <f t="shared" ca="1" si="71"/>
        <v>0</v>
      </c>
      <c r="K340" s="68">
        <f t="shared" ca="1" si="72"/>
        <v>0</v>
      </c>
      <c r="L340" s="68">
        <f t="shared" ca="1" si="73"/>
        <v>0</v>
      </c>
      <c r="M340" s="69">
        <f t="shared" si="74"/>
        <v>0</v>
      </c>
      <c r="N340" s="65" t="str">
        <f t="shared" si="75"/>
        <v/>
      </c>
      <c r="O340" s="70" t="str">
        <f>IF(OR($C340="",$D340="",$F340=""),"",IF($F340="Aylık",EOMONTH($D340,0),($D340+MOD(SISTEM!$F$8-WEEKDAY($D340,2),7))))</f>
        <v/>
      </c>
      <c r="P340" s="61"/>
      <c r="Q340" s="2"/>
      <c r="R340" s="2"/>
      <c r="S340" s="1" t="str">
        <f>IF($B340="","",$B340&amp;"|"&amp;COUNTIFS($B$7:$B340,$B340))</f>
        <v/>
      </c>
      <c r="T340" s="1" t="str">
        <f t="shared" si="76"/>
        <v/>
      </c>
      <c r="U340" s="1">
        <f t="shared" si="77"/>
        <v>0</v>
      </c>
      <c r="V340" s="1">
        <f t="shared" si="78"/>
        <v>2958465</v>
      </c>
      <c r="W340" s="1">
        <f t="shared" si="79"/>
        <v>0</v>
      </c>
      <c r="X340" s="1">
        <f t="shared" si="80"/>
        <v>0</v>
      </c>
      <c r="Y340" s="1">
        <f t="shared" si="81"/>
        <v>97200</v>
      </c>
      <c r="Z340" s="1">
        <f t="shared" si="82"/>
        <v>1</v>
      </c>
      <c r="AA340" s="1">
        <f t="shared" si="83"/>
        <v>0</v>
      </c>
    </row>
    <row r="341" spans="1:27" ht="18" customHeight="1" x14ac:dyDescent="0.3">
      <c r="A341" s="2"/>
      <c r="B341" s="65" t="str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61"/>
      <c r="D341" s="66"/>
      <c r="E341" s="66"/>
      <c r="F341" s="60"/>
      <c r="G341" s="67"/>
      <c r="H341" s="60"/>
      <c r="I341" s="68">
        <f t="shared" ca="1" si="70"/>
        <v>0</v>
      </c>
      <c r="J341" s="68">
        <f t="shared" ca="1" si="71"/>
        <v>0</v>
      </c>
      <c r="K341" s="68">
        <f t="shared" ca="1" si="72"/>
        <v>0</v>
      </c>
      <c r="L341" s="68">
        <f t="shared" ca="1" si="73"/>
        <v>0</v>
      </c>
      <c r="M341" s="69">
        <f t="shared" si="74"/>
        <v>0</v>
      </c>
      <c r="N341" s="65" t="str">
        <f t="shared" si="75"/>
        <v/>
      </c>
      <c r="O341" s="70" t="str">
        <f>IF(OR($C341="",$D341="",$F341=""),"",IF($F341="Aylık",EOMONTH($D341,0),($D341+MOD(SISTEM!$F$8-WEEKDAY($D341,2),7))))</f>
        <v/>
      </c>
      <c r="P341" s="61"/>
      <c r="Q341" s="2"/>
      <c r="R341" s="2"/>
      <c r="S341" s="1" t="str">
        <f>IF($B341="","",$B341&amp;"|"&amp;COUNTIFS($B$7:$B341,$B341))</f>
        <v/>
      </c>
      <c r="T341" s="1" t="str">
        <f t="shared" si="76"/>
        <v/>
      </c>
      <c r="U341" s="1">
        <f t="shared" si="77"/>
        <v>0</v>
      </c>
      <c r="V341" s="1">
        <f t="shared" si="78"/>
        <v>2958465</v>
      </c>
      <c r="W341" s="1">
        <f t="shared" si="79"/>
        <v>0</v>
      </c>
      <c r="X341" s="1">
        <f t="shared" si="80"/>
        <v>0</v>
      </c>
      <c r="Y341" s="1">
        <f t="shared" si="81"/>
        <v>97200</v>
      </c>
      <c r="Z341" s="1">
        <f t="shared" si="82"/>
        <v>1</v>
      </c>
      <c r="AA341" s="1">
        <f t="shared" si="83"/>
        <v>0</v>
      </c>
    </row>
    <row r="342" spans="1:27" ht="18" customHeight="1" x14ac:dyDescent="0.3">
      <c r="A342" s="2"/>
      <c r="B342" s="65" t="str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61"/>
      <c r="D342" s="66"/>
      <c r="E342" s="66"/>
      <c r="F342" s="60"/>
      <c r="G342" s="67"/>
      <c r="H342" s="60"/>
      <c r="I342" s="68">
        <f t="shared" ca="1" si="70"/>
        <v>0</v>
      </c>
      <c r="J342" s="68">
        <f t="shared" ca="1" si="71"/>
        <v>0</v>
      </c>
      <c r="K342" s="68">
        <f t="shared" ca="1" si="72"/>
        <v>0</v>
      </c>
      <c r="L342" s="68">
        <f t="shared" ca="1" si="73"/>
        <v>0</v>
      </c>
      <c r="M342" s="69">
        <f t="shared" si="74"/>
        <v>0</v>
      </c>
      <c r="N342" s="65" t="str">
        <f t="shared" si="75"/>
        <v/>
      </c>
      <c r="O342" s="70" t="str">
        <f>IF(OR($C342="",$D342="",$F342=""),"",IF($F342="Aylık",EOMONTH($D342,0),($D342+MOD(SISTEM!$F$8-WEEKDAY($D342,2),7))))</f>
        <v/>
      </c>
      <c r="P342" s="61"/>
      <c r="Q342" s="2"/>
      <c r="R342" s="2"/>
      <c r="S342" s="1" t="str">
        <f>IF($B342="","",$B342&amp;"|"&amp;COUNTIFS($B$7:$B342,$B342))</f>
        <v/>
      </c>
      <c r="T342" s="1" t="str">
        <f t="shared" si="76"/>
        <v/>
      </c>
      <c r="U342" s="1">
        <f t="shared" si="77"/>
        <v>0</v>
      </c>
      <c r="V342" s="1">
        <f t="shared" si="78"/>
        <v>2958465</v>
      </c>
      <c r="W342" s="1">
        <f t="shared" si="79"/>
        <v>0</v>
      </c>
      <c r="X342" s="1">
        <f t="shared" si="80"/>
        <v>0</v>
      </c>
      <c r="Y342" s="1">
        <f t="shared" si="81"/>
        <v>97200</v>
      </c>
      <c r="Z342" s="1">
        <f t="shared" si="82"/>
        <v>1</v>
      </c>
      <c r="AA342" s="1">
        <f t="shared" si="83"/>
        <v>0</v>
      </c>
    </row>
    <row r="343" spans="1:27" ht="18" customHeight="1" x14ac:dyDescent="0.3">
      <c r="A343" s="2"/>
      <c r="B343" s="65" t="str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61"/>
      <c r="D343" s="66"/>
      <c r="E343" s="66"/>
      <c r="F343" s="60"/>
      <c r="G343" s="67"/>
      <c r="H343" s="60"/>
      <c r="I343" s="68">
        <f t="shared" ca="1" si="70"/>
        <v>0</v>
      </c>
      <c r="J343" s="68">
        <f t="shared" ca="1" si="71"/>
        <v>0</v>
      </c>
      <c r="K343" s="68">
        <f t="shared" ca="1" si="72"/>
        <v>0</v>
      </c>
      <c r="L343" s="68">
        <f t="shared" ca="1" si="73"/>
        <v>0</v>
      </c>
      <c r="M343" s="69">
        <f t="shared" si="74"/>
        <v>0</v>
      </c>
      <c r="N343" s="65" t="str">
        <f t="shared" si="75"/>
        <v/>
      </c>
      <c r="O343" s="70" t="str">
        <f>IF(OR($C343="",$D343="",$F343=""),"",IF($F343="Aylık",EOMONTH($D343,0),($D343+MOD(SISTEM!$F$8-WEEKDAY($D343,2),7))))</f>
        <v/>
      </c>
      <c r="P343" s="61"/>
      <c r="Q343" s="2"/>
      <c r="R343" s="2"/>
      <c r="S343" s="1" t="str">
        <f>IF($B343="","",$B343&amp;"|"&amp;COUNTIFS($B$7:$B343,$B343))</f>
        <v/>
      </c>
      <c r="T343" s="1" t="str">
        <f t="shared" si="76"/>
        <v/>
      </c>
      <c r="U343" s="1">
        <f t="shared" si="77"/>
        <v>0</v>
      </c>
      <c r="V343" s="1">
        <f t="shared" si="78"/>
        <v>2958465</v>
      </c>
      <c r="W343" s="1">
        <f t="shared" si="79"/>
        <v>0</v>
      </c>
      <c r="X343" s="1">
        <f t="shared" si="80"/>
        <v>0</v>
      </c>
      <c r="Y343" s="1">
        <f t="shared" si="81"/>
        <v>97200</v>
      </c>
      <c r="Z343" s="1">
        <f t="shared" si="82"/>
        <v>1</v>
      </c>
      <c r="AA343" s="1">
        <f t="shared" si="83"/>
        <v>0</v>
      </c>
    </row>
    <row r="344" spans="1:27" ht="18" customHeight="1" x14ac:dyDescent="0.3">
      <c r="A344" s="2"/>
      <c r="B344" s="65" t="str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61"/>
      <c r="D344" s="66"/>
      <c r="E344" s="66"/>
      <c r="F344" s="60"/>
      <c r="G344" s="67"/>
      <c r="H344" s="60"/>
      <c r="I344" s="68">
        <f t="shared" ca="1" si="70"/>
        <v>0</v>
      </c>
      <c r="J344" s="68">
        <f t="shared" ca="1" si="71"/>
        <v>0</v>
      </c>
      <c r="K344" s="68">
        <f t="shared" ca="1" si="72"/>
        <v>0</v>
      </c>
      <c r="L344" s="68">
        <f t="shared" ca="1" si="73"/>
        <v>0</v>
      </c>
      <c r="M344" s="69">
        <f t="shared" si="74"/>
        <v>0</v>
      </c>
      <c r="N344" s="65" t="str">
        <f t="shared" si="75"/>
        <v/>
      </c>
      <c r="O344" s="70" t="str">
        <f>IF(OR($C344="",$D344="",$F344=""),"",IF($F344="Aylık",EOMONTH($D344,0),($D344+MOD(SISTEM!$F$8-WEEKDAY($D344,2),7))))</f>
        <v/>
      </c>
      <c r="P344" s="61"/>
      <c r="Q344" s="2"/>
      <c r="R344" s="2"/>
      <c r="S344" s="1" t="str">
        <f>IF($B344="","",$B344&amp;"|"&amp;COUNTIFS($B$7:$B344,$B344))</f>
        <v/>
      </c>
      <c r="T344" s="1" t="str">
        <f t="shared" si="76"/>
        <v/>
      </c>
      <c r="U344" s="1">
        <f t="shared" si="77"/>
        <v>0</v>
      </c>
      <c r="V344" s="1">
        <f t="shared" si="78"/>
        <v>2958465</v>
      </c>
      <c r="W344" s="1">
        <f t="shared" si="79"/>
        <v>0</v>
      </c>
      <c r="X344" s="1">
        <f t="shared" si="80"/>
        <v>0</v>
      </c>
      <c r="Y344" s="1">
        <f t="shared" si="81"/>
        <v>97200</v>
      </c>
      <c r="Z344" s="1">
        <f t="shared" si="82"/>
        <v>1</v>
      </c>
      <c r="AA344" s="1">
        <f t="shared" si="83"/>
        <v>0</v>
      </c>
    </row>
    <row r="345" spans="1:27" ht="18" customHeight="1" x14ac:dyDescent="0.3">
      <c r="A345" s="2"/>
      <c r="B345" s="65" t="str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61"/>
      <c r="D345" s="66"/>
      <c r="E345" s="66"/>
      <c r="F345" s="60"/>
      <c r="G345" s="67"/>
      <c r="H345" s="60"/>
      <c r="I345" s="68">
        <f t="shared" ca="1" si="70"/>
        <v>0</v>
      </c>
      <c r="J345" s="68">
        <f t="shared" ca="1" si="71"/>
        <v>0</v>
      </c>
      <c r="K345" s="68">
        <f t="shared" ca="1" si="72"/>
        <v>0</v>
      </c>
      <c r="L345" s="68">
        <f t="shared" ca="1" si="73"/>
        <v>0</v>
      </c>
      <c r="M345" s="69">
        <f t="shared" si="74"/>
        <v>0</v>
      </c>
      <c r="N345" s="65" t="str">
        <f t="shared" si="75"/>
        <v/>
      </c>
      <c r="O345" s="70" t="str">
        <f>IF(OR($C345="",$D345="",$F345=""),"",IF($F345="Aylık",EOMONTH($D345,0),($D345+MOD(SISTEM!$F$8-WEEKDAY($D345,2),7))))</f>
        <v/>
      </c>
      <c r="P345" s="61"/>
      <c r="Q345" s="2"/>
      <c r="R345" s="2"/>
      <c r="S345" s="1" t="str">
        <f>IF($B345="","",$B345&amp;"|"&amp;COUNTIFS($B$7:$B345,$B345))</f>
        <v/>
      </c>
      <c r="T345" s="1" t="str">
        <f t="shared" si="76"/>
        <v/>
      </c>
      <c r="U345" s="1">
        <f t="shared" si="77"/>
        <v>0</v>
      </c>
      <c r="V345" s="1">
        <f t="shared" si="78"/>
        <v>2958465</v>
      </c>
      <c r="W345" s="1">
        <f t="shared" si="79"/>
        <v>0</v>
      </c>
      <c r="X345" s="1">
        <f t="shared" si="80"/>
        <v>0</v>
      </c>
      <c r="Y345" s="1">
        <f t="shared" si="81"/>
        <v>97200</v>
      </c>
      <c r="Z345" s="1">
        <f t="shared" si="82"/>
        <v>1</v>
      </c>
      <c r="AA345" s="1">
        <f t="shared" si="83"/>
        <v>0</v>
      </c>
    </row>
    <row r="346" spans="1:27" ht="18" customHeight="1" x14ac:dyDescent="0.3">
      <c r="A346" s="2"/>
      <c r="B346" s="65" t="str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61"/>
      <c r="D346" s="66"/>
      <c r="E346" s="66"/>
      <c r="F346" s="60"/>
      <c r="G346" s="67"/>
      <c r="H346" s="60"/>
      <c r="I346" s="68">
        <f t="shared" ca="1" si="70"/>
        <v>0</v>
      </c>
      <c r="J346" s="68">
        <f t="shared" ca="1" si="71"/>
        <v>0</v>
      </c>
      <c r="K346" s="68">
        <f t="shared" ca="1" si="72"/>
        <v>0</v>
      </c>
      <c r="L346" s="68">
        <f t="shared" ca="1" si="73"/>
        <v>0</v>
      </c>
      <c r="M346" s="69">
        <f t="shared" si="74"/>
        <v>0</v>
      </c>
      <c r="N346" s="65" t="str">
        <f t="shared" si="75"/>
        <v/>
      </c>
      <c r="O346" s="70" t="str">
        <f>IF(OR($C346="",$D346="",$F346=""),"",IF($F346="Aylık",EOMONTH($D346,0),($D346+MOD(SISTEM!$F$8-WEEKDAY($D346,2),7))))</f>
        <v/>
      </c>
      <c r="P346" s="61"/>
      <c r="Q346" s="2"/>
      <c r="R346" s="2"/>
      <c r="S346" s="1" t="str">
        <f>IF($B346="","",$B346&amp;"|"&amp;COUNTIFS($B$7:$B346,$B346))</f>
        <v/>
      </c>
      <c r="T346" s="1" t="str">
        <f t="shared" si="76"/>
        <v/>
      </c>
      <c r="U346" s="1">
        <f t="shared" si="77"/>
        <v>0</v>
      </c>
      <c r="V346" s="1">
        <f t="shared" si="78"/>
        <v>2958465</v>
      </c>
      <c r="W346" s="1">
        <f t="shared" si="79"/>
        <v>0</v>
      </c>
      <c r="X346" s="1">
        <f t="shared" si="80"/>
        <v>0</v>
      </c>
      <c r="Y346" s="1">
        <f t="shared" si="81"/>
        <v>97200</v>
      </c>
      <c r="Z346" s="1">
        <f t="shared" si="82"/>
        <v>1</v>
      </c>
      <c r="AA346" s="1">
        <f t="shared" si="83"/>
        <v>0</v>
      </c>
    </row>
    <row r="347" spans="1:27" ht="18" customHeight="1" x14ac:dyDescent="0.3">
      <c r="A347" s="2"/>
      <c r="B347" s="65" t="str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61"/>
      <c r="D347" s="66"/>
      <c r="E347" s="66"/>
      <c r="F347" s="60"/>
      <c r="G347" s="67"/>
      <c r="H347" s="60"/>
      <c r="I347" s="68">
        <f t="shared" ca="1" si="70"/>
        <v>0</v>
      </c>
      <c r="J347" s="68">
        <f t="shared" ca="1" si="71"/>
        <v>0</v>
      </c>
      <c r="K347" s="68">
        <f t="shared" ca="1" si="72"/>
        <v>0</v>
      </c>
      <c r="L347" s="68">
        <f t="shared" ca="1" si="73"/>
        <v>0</v>
      </c>
      <c r="M347" s="69">
        <f t="shared" si="74"/>
        <v>0</v>
      </c>
      <c r="N347" s="65" t="str">
        <f t="shared" si="75"/>
        <v/>
      </c>
      <c r="O347" s="70" t="str">
        <f>IF(OR($C347="",$D347="",$F347=""),"",IF($F347="Aylık",EOMONTH($D347,0),($D347+MOD(SISTEM!$F$8-WEEKDAY($D347,2),7))))</f>
        <v/>
      </c>
      <c r="P347" s="61"/>
      <c r="Q347" s="2"/>
      <c r="R347" s="2"/>
      <c r="S347" s="1" t="str">
        <f>IF($B347="","",$B347&amp;"|"&amp;COUNTIFS($B$7:$B347,$B347))</f>
        <v/>
      </c>
      <c r="T347" s="1" t="str">
        <f t="shared" si="76"/>
        <v/>
      </c>
      <c r="U347" s="1">
        <f t="shared" si="77"/>
        <v>0</v>
      </c>
      <c r="V347" s="1">
        <f t="shared" si="78"/>
        <v>2958465</v>
      </c>
      <c r="W347" s="1">
        <f t="shared" si="79"/>
        <v>0</v>
      </c>
      <c r="X347" s="1">
        <f t="shared" si="80"/>
        <v>0</v>
      </c>
      <c r="Y347" s="1">
        <f t="shared" si="81"/>
        <v>97200</v>
      </c>
      <c r="Z347" s="1">
        <f t="shared" si="82"/>
        <v>1</v>
      </c>
      <c r="AA347" s="1">
        <f t="shared" si="83"/>
        <v>0</v>
      </c>
    </row>
    <row r="348" spans="1:27" ht="18" customHeight="1" x14ac:dyDescent="0.3">
      <c r="A348" s="2"/>
      <c r="B348" s="65" t="str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61"/>
      <c r="D348" s="66"/>
      <c r="E348" s="66"/>
      <c r="F348" s="60"/>
      <c r="G348" s="67"/>
      <c r="H348" s="60"/>
      <c r="I348" s="68">
        <f t="shared" ca="1" si="70"/>
        <v>0</v>
      </c>
      <c r="J348" s="68">
        <f t="shared" ca="1" si="71"/>
        <v>0</v>
      </c>
      <c r="K348" s="68">
        <f t="shared" ca="1" si="72"/>
        <v>0</v>
      </c>
      <c r="L348" s="68">
        <f t="shared" ca="1" si="73"/>
        <v>0</v>
      </c>
      <c r="M348" s="69">
        <f t="shared" si="74"/>
        <v>0</v>
      </c>
      <c r="N348" s="65" t="str">
        <f t="shared" si="75"/>
        <v/>
      </c>
      <c r="O348" s="70" t="str">
        <f>IF(OR($C348="",$D348="",$F348=""),"",IF($F348="Aylık",EOMONTH($D348,0),($D348+MOD(SISTEM!$F$8-WEEKDAY($D348,2),7))))</f>
        <v/>
      </c>
      <c r="P348" s="61"/>
      <c r="Q348" s="2"/>
      <c r="R348" s="2"/>
      <c r="S348" s="1" t="str">
        <f>IF($B348="","",$B348&amp;"|"&amp;COUNTIFS($B$7:$B348,$B348))</f>
        <v/>
      </c>
      <c r="T348" s="1" t="str">
        <f t="shared" si="76"/>
        <v/>
      </c>
      <c r="U348" s="1">
        <f t="shared" si="77"/>
        <v>0</v>
      </c>
      <c r="V348" s="1">
        <f t="shared" si="78"/>
        <v>2958465</v>
      </c>
      <c r="W348" s="1">
        <f t="shared" si="79"/>
        <v>0</v>
      </c>
      <c r="X348" s="1">
        <f t="shared" si="80"/>
        <v>0</v>
      </c>
      <c r="Y348" s="1">
        <f t="shared" si="81"/>
        <v>97200</v>
      </c>
      <c r="Z348" s="1">
        <f t="shared" si="82"/>
        <v>1</v>
      </c>
      <c r="AA348" s="1">
        <f t="shared" si="83"/>
        <v>0</v>
      </c>
    </row>
    <row r="349" spans="1:27" ht="18" customHeight="1" x14ac:dyDescent="0.3">
      <c r="A349" s="2"/>
      <c r="B349" s="65" t="str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61"/>
      <c r="D349" s="66"/>
      <c r="E349" s="66"/>
      <c r="F349" s="60"/>
      <c r="G349" s="67"/>
      <c r="H349" s="60"/>
      <c r="I349" s="68">
        <f t="shared" ca="1" si="70"/>
        <v>0</v>
      </c>
      <c r="J349" s="68">
        <f t="shared" ca="1" si="71"/>
        <v>0</v>
      </c>
      <c r="K349" s="68">
        <f t="shared" ca="1" si="72"/>
        <v>0</v>
      </c>
      <c r="L349" s="68">
        <f t="shared" ca="1" si="73"/>
        <v>0</v>
      </c>
      <c r="M349" s="69">
        <f t="shared" si="74"/>
        <v>0</v>
      </c>
      <c r="N349" s="65" t="str">
        <f t="shared" si="75"/>
        <v/>
      </c>
      <c r="O349" s="70" t="str">
        <f>IF(OR($C349="",$D349="",$F349=""),"",IF($F349="Aylık",EOMONTH($D349,0),($D349+MOD(SISTEM!$F$8-WEEKDAY($D349,2),7))))</f>
        <v/>
      </c>
      <c r="P349" s="61"/>
      <c r="Q349" s="2"/>
      <c r="R349" s="2"/>
      <c r="S349" s="1" t="str">
        <f>IF($B349="","",$B349&amp;"|"&amp;COUNTIFS($B$7:$B349,$B349))</f>
        <v/>
      </c>
      <c r="T349" s="1" t="str">
        <f t="shared" si="76"/>
        <v/>
      </c>
      <c r="U349" s="1">
        <f t="shared" si="77"/>
        <v>0</v>
      </c>
      <c r="V349" s="1">
        <f t="shared" si="78"/>
        <v>2958465</v>
      </c>
      <c r="W349" s="1">
        <f t="shared" si="79"/>
        <v>0</v>
      </c>
      <c r="X349" s="1">
        <f t="shared" si="80"/>
        <v>0</v>
      </c>
      <c r="Y349" s="1">
        <f t="shared" si="81"/>
        <v>97200</v>
      </c>
      <c r="Z349" s="1">
        <f t="shared" si="82"/>
        <v>1</v>
      </c>
      <c r="AA349" s="1">
        <f t="shared" si="83"/>
        <v>0</v>
      </c>
    </row>
    <row r="350" spans="1:27" ht="18" customHeight="1" x14ac:dyDescent="0.3">
      <c r="A350" s="2"/>
      <c r="B350" s="65" t="str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61"/>
      <c r="D350" s="66"/>
      <c r="E350" s="66"/>
      <c r="F350" s="60"/>
      <c r="G350" s="67"/>
      <c r="H350" s="60"/>
      <c r="I350" s="68">
        <f t="shared" ca="1" si="70"/>
        <v>0</v>
      </c>
      <c r="J350" s="68">
        <f t="shared" ca="1" si="71"/>
        <v>0</v>
      </c>
      <c r="K350" s="68">
        <f t="shared" ca="1" si="72"/>
        <v>0</v>
      </c>
      <c r="L350" s="68">
        <f t="shared" ca="1" si="73"/>
        <v>0</v>
      </c>
      <c r="M350" s="69">
        <f t="shared" si="74"/>
        <v>0</v>
      </c>
      <c r="N350" s="65" t="str">
        <f t="shared" si="75"/>
        <v/>
      </c>
      <c r="O350" s="70" t="str">
        <f>IF(OR($C350="",$D350="",$F350=""),"",IF($F350="Aylık",EOMONTH($D350,0),($D350+MOD(SISTEM!$F$8-WEEKDAY($D350,2),7))))</f>
        <v/>
      </c>
      <c r="P350" s="61"/>
      <c r="Q350" s="2"/>
      <c r="R350" s="2"/>
      <c r="S350" s="1" t="str">
        <f>IF($B350="","",$B350&amp;"|"&amp;COUNTIFS($B$7:$B350,$B350))</f>
        <v/>
      </c>
      <c r="T350" s="1" t="str">
        <f t="shared" si="76"/>
        <v/>
      </c>
      <c r="U350" s="1">
        <f t="shared" si="77"/>
        <v>0</v>
      </c>
      <c r="V350" s="1">
        <f t="shared" si="78"/>
        <v>2958465</v>
      </c>
      <c r="W350" s="1">
        <f t="shared" si="79"/>
        <v>0</v>
      </c>
      <c r="X350" s="1">
        <f t="shared" si="80"/>
        <v>0</v>
      </c>
      <c r="Y350" s="1">
        <f t="shared" si="81"/>
        <v>97200</v>
      </c>
      <c r="Z350" s="1">
        <f t="shared" si="82"/>
        <v>1</v>
      </c>
      <c r="AA350" s="1">
        <f t="shared" si="83"/>
        <v>0</v>
      </c>
    </row>
    <row r="351" spans="1:27" ht="18" customHeight="1" x14ac:dyDescent="0.3">
      <c r="A351" s="2"/>
      <c r="B351" s="65" t="str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61"/>
      <c r="D351" s="66"/>
      <c r="E351" s="66"/>
      <c r="F351" s="60"/>
      <c r="G351" s="67"/>
      <c r="H351" s="60"/>
      <c r="I351" s="68">
        <f t="shared" ca="1" si="70"/>
        <v>0</v>
      </c>
      <c r="J351" s="68">
        <f t="shared" ca="1" si="71"/>
        <v>0</v>
      </c>
      <c r="K351" s="68">
        <f t="shared" ca="1" si="72"/>
        <v>0</v>
      </c>
      <c r="L351" s="68">
        <f t="shared" ca="1" si="73"/>
        <v>0</v>
      </c>
      <c r="M351" s="69">
        <f t="shared" si="74"/>
        <v>0</v>
      </c>
      <c r="N351" s="65" t="str">
        <f t="shared" si="75"/>
        <v/>
      </c>
      <c r="O351" s="70" t="str">
        <f>IF(OR($C351="",$D351="",$F351=""),"",IF($F351="Aylık",EOMONTH($D351,0),($D351+MOD(SISTEM!$F$8-WEEKDAY($D351,2),7))))</f>
        <v/>
      </c>
      <c r="P351" s="61"/>
      <c r="Q351" s="2"/>
      <c r="R351" s="2"/>
      <c r="S351" s="1" t="str">
        <f>IF($B351="","",$B351&amp;"|"&amp;COUNTIFS($B$7:$B351,$B351))</f>
        <v/>
      </c>
      <c r="T351" s="1" t="str">
        <f t="shared" si="76"/>
        <v/>
      </c>
      <c r="U351" s="1">
        <f t="shared" si="77"/>
        <v>0</v>
      </c>
      <c r="V351" s="1">
        <f t="shared" si="78"/>
        <v>2958465</v>
      </c>
      <c r="W351" s="1">
        <f t="shared" si="79"/>
        <v>0</v>
      </c>
      <c r="X351" s="1">
        <f t="shared" si="80"/>
        <v>0</v>
      </c>
      <c r="Y351" s="1">
        <f t="shared" si="81"/>
        <v>97200</v>
      </c>
      <c r="Z351" s="1">
        <f t="shared" si="82"/>
        <v>1</v>
      </c>
      <c r="AA351" s="1">
        <f t="shared" si="83"/>
        <v>0</v>
      </c>
    </row>
    <row r="352" spans="1:27" ht="18" customHeight="1" x14ac:dyDescent="0.3">
      <c r="A352" s="2"/>
      <c r="B352" s="65" t="str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61"/>
      <c r="D352" s="66"/>
      <c r="E352" s="66"/>
      <c r="F352" s="60"/>
      <c r="G352" s="67"/>
      <c r="H352" s="60"/>
      <c r="I352" s="68">
        <f t="shared" ca="1" si="70"/>
        <v>0</v>
      </c>
      <c r="J352" s="68">
        <f t="shared" ca="1" si="71"/>
        <v>0</v>
      </c>
      <c r="K352" s="68">
        <f t="shared" ca="1" si="72"/>
        <v>0</v>
      </c>
      <c r="L352" s="68">
        <f t="shared" ca="1" si="73"/>
        <v>0</v>
      </c>
      <c r="M352" s="69">
        <f t="shared" si="74"/>
        <v>0</v>
      </c>
      <c r="N352" s="65" t="str">
        <f t="shared" si="75"/>
        <v/>
      </c>
      <c r="O352" s="70" t="str">
        <f>IF(OR($C352="",$D352="",$F352=""),"",IF($F352="Aylık",EOMONTH($D352,0),($D352+MOD(SISTEM!$F$8-WEEKDAY($D352,2),7))))</f>
        <v/>
      </c>
      <c r="P352" s="61"/>
      <c r="Q352" s="2"/>
      <c r="R352" s="2"/>
      <c r="S352" s="1" t="str">
        <f>IF($B352="","",$B352&amp;"|"&amp;COUNTIFS($B$7:$B352,$B352))</f>
        <v/>
      </c>
      <c r="T352" s="1" t="str">
        <f t="shared" si="76"/>
        <v/>
      </c>
      <c r="U352" s="1">
        <f t="shared" si="77"/>
        <v>0</v>
      </c>
      <c r="V352" s="1">
        <f t="shared" si="78"/>
        <v>2958465</v>
      </c>
      <c r="W352" s="1">
        <f t="shared" si="79"/>
        <v>0</v>
      </c>
      <c r="X352" s="1">
        <f t="shared" si="80"/>
        <v>0</v>
      </c>
      <c r="Y352" s="1">
        <f t="shared" si="81"/>
        <v>97200</v>
      </c>
      <c r="Z352" s="1">
        <f t="shared" si="82"/>
        <v>1</v>
      </c>
      <c r="AA352" s="1">
        <f t="shared" si="83"/>
        <v>0</v>
      </c>
    </row>
    <row r="353" spans="1:27" ht="18" customHeight="1" x14ac:dyDescent="0.3">
      <c r="A353" s="2"/>
      <c r="B353" s="65" t="str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61"/>
      <c r="D353" s="66"/>
      <c r="E353" s="66"/>
      <c r="F353" s="60"/>
      <c r="G353" s="67"/>
      <c r="H353" s="60"/>
      <c r="I353" s="68">
        <f t="shared" ca="1" si="70"/>
        <v>0</v>
      </c>
      <c r="J353" s="68">
        <f t="shared" ca="1" si="71"/>
        <v>0</v>
      </c>
      <c r="K353" s="68">
        <f t="shared" ca="1" si="72"/>
        <v>0</v>
      </c>
      <c r="L353" s="68">
        <f t="shared" ca="1" si="73"/>
        <v>0</v>
      </c>
      <c r="M353" s="69">
        <f t="shared" si="74"/>
        <v>0</v>
      </c>
      <c r="N353" s="65" t="str">
        <f t="shared" si="75"/>
        <v/>
      </c>
      <c r="O353" s="70" t="str">
        <f>IF(OR($C353="",$D353="",$F353=""),"",IF($F353="Aylık",EOMONTH($D353,0),($D353+MOD(SISTEM!$F$8-WEEKDAY($D353,2),7))))</f>
        <v/>
      </c>
      <c r="P353" s="61"/>
      <c r="Q353" s="2"/>
      <c r="R353" s="2"/>
      <c r="S353" s="1" t="str">
        <f>IF($B353="","",$B353&amp;"|"&amp;COUNTIFS($B$7:$B353,$B353))</f>
        <v/>
      </c>
      <c r="T353" s="1" t="str">
        <f t="shared" si="76"/>
        <v/>
      </c>
      <c r="U353" s="1">
        <f t="shared" si="77"/>
        <v>0</v>
      </c>
      <c r="V353" s="1">
        <f t="shared" si="78"/>
        <v>2958465</v>
      </c>
      <c r="W353" s="1">
        <f t="shared" si="79"/>
        <v>0</v>
      </c>
      <c r="X353" s="1">
        <f t="shared" si="80"/>
        <v>0</v>
      </c>
      <c r="Y353" s="1">
        <f t="shared" si="81"/>
        <v>97200</v>
      </c>
      <c r="Z353" s="1">
        <f t="shared" si="82"/>
        <v>1</v>
      </c>
      <c r="AA353" s="1">
        <f t="shared" si="83"/>
        <v>0</v>
      </c>
    </row>
    <row r="354" spans="1:27" ht="18" customHeight="1" x14ac:dyDescent="0.3">
      <c r="A354" s="2"/>
      <c r="B354" s="65" t="str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61"/>
      <c r="D354" s="66"/>
      <c r="E354" s="66"/>
      <c r="F354" s="60"/>
      <c r="G354" s="67"/>
      <c r="H354" s="60"/>
      <c r="I354" s="68">
        <f t="shared" ca="1" si="70"/>
        <v>0</v>
      </c>
      <c r="J354" s="68">
        <f t="shared" ca="1" si="71"/>
        <v>0</v>
      </c>
      <c r="K354" s="68">
        <f t="shared" ca="1" si="72"/>
        <v>0</v>
      </c>
      <c r="L354" s="68">
        <f t="shared" ca="1" si="73"/>
        <v>0</v>
      </c>
      <c r="M354" s="69">
        <f t="shared" si="74"/>
        <v>0</v>
      </c>
      <c r="N354" s="65" t="str">
        <f t="shared" si="75"/>
        <v/>
      </c>
      <c r="O354" s="70" t="str">
        <f>IF(OR($C354="",$D354="",$F354=""),"",IF($F354="Aylık",EOMONTH($D354,0),($D354+MOD(SISTEM!$F$8-WEEKDAY($D354,2),7))))</f>
        <v/>
      </c>
      <c r="P354" s="61"/>
      <c r="Q354" s="2"/>
      <c r="R354" s="2"/>
      <c r="S354" s="1" t="str">
        <f>IF($B354="","",$B354&amp;"|"&amp;COUNTIFS($B$7:$B354,$B354))</f>
        <v/>
      </c>
      <c r="T354" s="1" t="str">
        <f t="shared" si="76"/>
        <v/>
      </c>
      <c r="U354" s="1">
        <f t="shared" si="77"/>
        <v>0</v>
      </c>
      <c r="V354" s="1">
        <f t="shared" si="78"/>
        <v>2958465</v>
      </c>
      <c r="W354" s="1">
        <f t="shared" si="79"/>
        <v>0</v>
      </c>
      <c r="X354" s="1">
        <f t="shared" si="80"/>
        <v>0</v>
      </c>
      <c r="Y354" s="1">
        <f t="shared" si="81"/>
        <v>97200</v>
      </c>
      <c r="Z354" s="1">
        <f t="shared" si="82"/>
        <v>1</v>
      </c>
      <c r="AA354" s="1">
        <f t="shared" si="83"/>
        <v>0</v>
      </c>
    </row>
    <row r="355" spans="1:27" ht="18" customHeight="1" x14ac:dyDescent="0.3">
      <c r="A355" s="2"/>
      <c r="B355" s="65" t="str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61"/>
      <c r="D355" s="66"/>
      <c r="E355" s="66"/>
      <c r="F355" s="60"/>
      <c r="G355" s="67"/>
      <c r="H355" s="60"/>
      <c r="I355" s="68">
        <f t="shared" ca="1" si="70"/>
        <v>0</v>
      </c>
      <c r="J355" s="68">
        <f t="shared" ca="1" si="71"/>
        <v>0</v>
      </c>
      <c r="K355" s="68">
        <f t="shared" ca="1" si="72"/>
        <v>0</v>
      </c>
      <c r="L355" s="68">
        <f t="shared" ca="1" si="73"/>
        <v>0</v>
      </c>
      <c r="M355" s="69">
        <f t="shared" si="74"/>
        <v>0</v>
      </c>
      <c r="N355" s="65" t="str">
        <f t="shared" si="75"/>
        <v/>
      </c>
      <c r="O355" s="70" t="str">
        <f>IF(OR($C355="",$D355="",$F355=""),"",IF($F355="Aylık",EOMONTH($D355,0),($D355+MOD(SISTEM!$F$8-WEEKDAY($D355,2),7))))</f>
        <v/>
      </c>
      <c r="P355" s="61"/>
      <c r="Q355" s="2"/>
      <c r="R355" s="2"/>
      <c r="S355" s="1" t="str">
        <f>IF($B355="","",$B355&amp;"|"&amp;COUNTIFS($B$7:$B355,$B355))</f>
        <v/>
      </c>
      <c r="T355" s="1" t="str">
        <f t="shared" si="76"/>
        <v/>
      </c>
      <c r="U355" s="1">
        <f t="shared" si="77"/>
        <v>0</v>
      </c>
      <c r="V355" s="1">
        <f t="shared" si="78"/>
        <v>2958465</v>
      </c>
      <c r="W355" s="1">
        <f t="shared" si="79"/>
        <v>0</v>
      </c>
      <c r="X355" s="1">
        <f t="shared" si="80"/>
        <v>0</v>
      </c>
      <c r="Y355" s="1">
        <f t="shared" si="81"/>
        <v>97200</v>
      </c>
      <c r="Z355" s="1">
        <f t="shared" si="82"/>
        <v>1</v>
      </c>
      <c r="AA355" s="1">
        <f t="shared" si="83"/>
        <v>0</v>
      </c>
    </row>
    <row r="356" spans="1:27" ht="18" customHeight="1" x14ac:dyDescent="0.3">
      <c r="A356" s="2"/>
      <c r="B356" s="65" t="str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61"/>
      <c r="D356" s="66"/>
      <c r="E356" s="66"/>
      <c r="F356" s="60"/>
      <c r="G356" s="67"/>
      <c r="H356" s="60"/>
      <c r="I356" s="68">
        <f t="shared" ca="1" si="70"/>
        <v>0</v>
      </c>
      <c r="J356" s="68">
        <f t="shared" ca="1" si="71"/>
        <v>0</v>
      </c>
      <c r="K356" s="68">
        <f t="shared" ca="1" si="72"/>
        <v>0</v>
      </c>
      <c r="L356" s="68">
        <f t="shared" ca="1" si="73"/>
        <v>0</v>
      </c>
      <c r="M356" s="69">
        <f t="shared" si="74"/>
        <v>0</v>
      </c>
      <c r="N356" s="65" t="str">
        <f t="shared" si="75"/>
        <v/>
      </c>
      <c r="O356" s="70" t="str">
        <f>IF(OR($C356="",$D356="",$F356=""),"",IF($F356="Aylık",EOMONTH($D356,0),($D356+MOD(SISTEM!$F$8-WEEKDAY($D356,2),7))))</f>
        <v/>
      </c>
      <c r="P356" s="61"/>
      <c r="Q356" s="2"/>
      <c r="R356" s="2"/>
      <c r="S356" s="1" t="str">
        <f>IF($B356="","",$B356&amp;"|"&amp;COUNTIFS($B$7:$B356,$B356))</f>
        <v/>
      </c>
      <c r="T356" s="1" t="str">
        <f t="shared" si="76"/>
        <v/>
      </c>
      <c r="U356" s="1">
        <f t="shared" si="77"/>
        <v>0</v>
      </c>
      <c r="V356" s="1">
        <f t="shared" si="78"/>
        <v>2958465</v>
      </c>
      <c r="W356" s="1">
        <f t="shared" si="79"/>
        <v>0</v>
      </c>
      <c r="X356" s="1">
        <f t="shared" si="80"/>
        <v>0</v>
      </c>
      <c r="Y356" s="1">
        <f t="shared" si="81"/>
        <v>97200</v>
      </c>
      <c r="Z356" s="1">
        <f t="shared" si="82"/>
        <v>1</v>
      </c>
      <c r="AA356" s="1">
        <f t="shared" si="83"/>
        <v>0</v>
      </c>
    </row>
    <row r="357" spans="1:27" ht="18" customHeight="1" x14ac:dyDescent="0.3">
      <c r="A357" s="2"/>
      <c r="B357" s="65" t="str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61"/>
      <c r="D357" s="66"/>
      <c r="E357" s="66"/>
      <c r="F357" s="60"/>
      <c r="G357" s="67"/>
      <c r="H357" s="60"/>
      <c r="I357" s="68">
        <f t="shared" ca="1" si="70"/>
        <v>0</v>
      </c>
      <c r="J357" s="68">
        <f t="shared" ca="1" si="71"/>
        <v>0</v>
      </c>
      <c r="K357" s="68">
        <f t="shared" ca="1" si="72"/>
        <v>0</v>
      </c>
      <c r="L357" s="68">
        <f t="shared" ca="1" si="73"/>
        <v>0</v>
      </c>
      <c r="M357" s="69">
        <f t="shared" si="74"/>
        <v>0</v>
      </c>
      <c r="N357" s="65" t="str">
        <f t="shared" si="75"/>
        <v/>
      </c>
      <c r="O357" s="70" t="str">
        <f>IF(OR($C357="",$D357="",$F357=""),"",IF($F357="Aylık",EOMONTH($D357,0),($D357+MOD(SISTEM!$F$8-WEEKDAY($D357,2),7))))</f>
        <v/>
      </c>
      <c r="P357" s="61"/>
      <c r="Q357" s="2"/>
      <c r="R357" s="2"/>
      <c r="S357" s="1" t="str">
        <f>IF($B357="","",$B357&amp;"|"&amp;COUNTIFS($B$7:$B357,$B357))</f>
        <v/>
      </c>
      <c r="T357" s="1" t="str">
        <f t="shared" si="76"/>
        <v/>
      </c>
      <c r="U357" s="1">
        <f t="shared" si="77"/>
        <v>0</v>
      </c>
      <c r="V357" s="1">
        <f t="shared" si="78"/>
        <v>2958465</v>
      </c>
      <c r="W357" s="1">
        <f t="shared" si="79"/>
        <v>0</v>
      </c>
      <c r="X357" s="1">
        <f t="shared" si="80"/>
        <v>0</v>
      </c>
      <c r="Y357" s="1">
        <f t="shared" si="81"/>
        <v>97200</v>
      </c>
      <c r="Z357" s="1">
        <f t="shared" si="82"/>
        <v>1</v>
      </c>
      <c r="AA357" s="1">
        <f t="shared" si="83"/>
        <v>0</v>
      </c>
    </row>
    <row r="358" spans="1:27" ht="18" customHeight="1" x14ac:dyDescent="0.3">
      <c r="A358" s="2"/>
      <c r="B358" s="65" t="str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61"/>
      <c r="D358" s="66"/>
      <c r="E358" s="66"/>
      <c r="F358" s="60"/>
      <c r="G358" s="67"/>
      <c r="H358" s="60"/>
      <c r="I358" s="68">
        <f t="shared" ca="1" si="70"/>
        <v>0</v>
      </c>
      <c r="J358" s="68">
        <f t="shared" ca="1" si="71"/>
        <v>0</v>
      </c>
      <c r="K358" s="68">
        <f t="shared" ca="1" si="72"/>
        <v>0</v>
      </c>
      <c r="L358" s="68">
        <f t="shared" ca="1" si="73"/>
        <v>0</v>
      </c>
      <c r="M358" s="69">
        <f t="shared" si="74"/>
        <v>0</v>
      </c>
      <c r="N358" s="65" t="str">
        <f t="shared" si="75"/>
        <v/>
      </c>
      <c r="O358" s="70" t="str">
        <f>IF(OR($C358="",$D358="",$F358=""),"",IF($F358="Aylık",EOMONTH($D358,0),($D358+MOD(SISTEM!$F$8-WEEKDAY($D358,2),7))))</f>
        <v/>
      </c>
      <c r="P358" s="61"/>
      <c r="Q358" s="2"/>
      <c r="R358" s="2"/>
      <c r="S358" s="1" t="str">
        <f>IF($B358="","",$B358&amp;"|"&amp;COUNTIFS($B$7:$B358,$B358))</f>
        <v/>
      </c>
      <c r="T358" s="1" t="str">
        <f t="shared" si="76"/>
        <v/>
      </c>
      <c r="U358" s="1">
        <f t="shared" si="77"/>
        <v>0</v>
      </c>
      <c r="V358" s="1">
        <f t="shared" si="78"/>
        <v>2958465</v>
      </c>
      <c r="W358" s="1">
        <f t="shared" si="79"/>
        <v>0</v>
      </c>
      <c r="X358" s="1">
        <f t="shared" si="80"/>
        <v>0</v>
      </c>
      <c r="Y358" s="1">
        <f t="shared" si="81"/>
        <v>97200</v>
      </c>
      <c r="Z358" s="1">
        <f t="shared" si="82"/>
        <v>1</v>
      </c>
      <c r="AA358" s="1">
        <f t="shared" si="83"/>
        <v>0</v>
      </c>
    </row>
    <row r="359" spans="1:27" ht="18" customHeight="1" x14ac:dyDescent="0.3">
      <c r="A359" s="2"/>
      <c r="B359" s="65" t="str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61"/>
      <c r="D359" s="66"/>
      <c r="E359" s="66"/>
      <c r="F359" s="60"/>
      <c r="G359" s="67"/>
      <c r="H359" s="60"/>
      <c r="I359" s="68">
        <f t="shared" ca="1" si="70"/>
        <v>0</v>
      </c>
      <c r="J359" s="68">
        <f t="shared" ca="1" si="71"/>
        <v>0</v>
      </c>
      <c r="K359" s="68">
        <f t="shared" ca="1" si="72"/>
        <v>0</v>
      </c>
      <c r="L359" s="68">
        <f t="shared" ca="1" si="73"/>
        <v>0</v>
      </c>
      <c r="M359" s="69">
        <f t="shared" si="74"/>
        <v>0</v>
      </c>
      <c r="N359" s="65" t="str">
        <f t="shared" si="75"/>
        <v/>
      </c>
      <c r="O359" s="70" t="str">
        <f>IF(OR($C359="",$D359="",$F359=""),"",IF($F359="Aylık",EOMONTH($D359,0),($D359+MOD(SISTEM!$F$8-WEEKDAY($D359,2),7))))</f>
        <v/>
      </c>
      <c r="P359" s="61"/>
      <c r="Q359" s="2"/>
      <c r="R359" s="2"/>
      <c r="S359" s="1" t="str">
        <f>IF($B359="","",$B359&amp;"|"&amp;COUNTIFS($B$7:$B359,$B359))</f>
        <v/>
      </c>
      <c r="T359" s="1" t="str">
        <f t="shared" si="76"/>
        <v/>
      </c>
      <c r="U359" s="1">
        <f t="shared" si="77"/>
        <v>0</v>
      </c>
      <c r="V359" s="1">
        <f t="shared" si="78"/>
        <v>2958465</v>
      </c>
      <c r="W359" s="1">
        <f t="shared" si="79"/>
        <v>0</v>
      </c>
      <c r="X359" s="1">
        <f t="shared" si="80"/>
        <v>0</v>
      </c>
      <c r="Y359" s="1">
        <f t="shared" si="81"/>
        <v>97200</v>
      </c>
      <c r="Z359" s="1">
        <f t="shared" si="82"/>
        <v>1</v>
      </c>
      <c r="AA359" s="1">
        <f t="shared" si="83"/>
        <v>0</v>
      </c>
    </row>
    <row r="360" spans="1:27" ht="18" customHeight="1" x14ac:dyDescent="0.3">
      <c r="A360" s="2"/>
      <c r="B360" s="65" t="str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61"/>
      <c r="D360" s="66"/>
      <c r="E360" s="66"/>
      <c r="F360" s="60"/>
      <c r="G360" s="67"/>
      <c r="H360" s="60"/>
      <c r="I360" s="68">
        <f t="shared" ca="1" si="70"/>
        <v>0</v>
      </c>
      <c r="J360" s="68">
        <f t="shared" ca="1" si="71"/>
        <v>0</v>
      </c>
      <c r="K360" s="68">
        <f t="shared" ca="1" si="72"/>
        <v>0</v>
      </c>
      <c r="L360" s="68">
        <f t="shared" ca="1" si="73"/>
        <v>0</v>
      </c>
      <c r="M360" s="69">
        <f t="shared" si="74"/>
        <v>0</v>
      </c>
      <c r="N360" s="65" t="str">
        <f t="shared" si="75"/>
        <v/>
      </c>
      <c r="O360" s="70" t="str">
        <f>IF(OR($C360="",$D360="",$F360=""),"",IF($F360="Aylık",EOMONTH($D360,0),($D360+MOD(SISTEM!$F$8-WEEKDAY($D360,2),7))))</f>
        <v/>
      </c>
      <c r="P360" s="61"/>
      <c r="Q360" s="2"/>
      <c r="R360" s="2"/>
      <c r="S360" s="1" t="str">
        <f>IF($B360="","",$B360&amp;"|"&amp;COUNTIFS($B$7:$B360,$B360))</f>
        <v/>
      </c>
      <c r="T360" s="1" t="str">
        <f t="shared" si="76"/>
        <v/>
      </c>
      <c r="U360" s="1">
        <f t="shared" si="77"/>
        <v>0</v>
      </c>
      <c r="V360" s="1">
        <f t="shared" si="78"/>
        <v>2958465</v>
      </c>
      <c r="W360" s="1">
        <f t="shared" si="79"/>
        <v>0</v>
      </c>
      <c r="X360" s="1">
        <f t="shared" si="80"/>
        <v>0</v>
      </c>
      <c r="Y360" s="1">
        <f t="shared" si="81"/>
        <v>97200</v>
      </c>
      <c r="Z360" s="1">
        <f t="shared" si="82"/>
        <v>1</v>
      </c>
      <c r="AA360" s="1">
        <f t="shared" si="83"/>
        <v>0</v>
      </c>
    </row>
    <row r="361" spans="1:27" ht="18" customHeight="1" x14ac:dyDescent="0.3">
      <c r="A361" s="2"/>
      <c r="B361" s="65" t="str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61"/>
      <c r="D361" s="66"/>
      <c r="E361" s="66"/>
      <c r="F361" s="60"/>
      <c r="G361" s="67"/>
      <c r="H361" s="60"/>
      <c r="I361" s="68">
        <f t="shared" ca="1" si="70"/>
        <v>0</v>
      </c>
      <c r="J361" s="68">
        <f t="shared" ca="1" si="71"/>
        <v>0</v>
      </c>
      <c r="K361" s="68">
        <f t="shared" ca="1" si="72"/>
        <v>0</v>
      </c>
      <c r="L361" s="68">
        <f t="shared" ca="1" si="73"/>
        <v>0</v>
      </c>
      <c r="M361" s="69">
        <f t="shared" si="74"/>
        <v>0</v>
      </c>
      <c r="N361" s="65" t="str">
        <f t="shared" si="75"/>
        <v/>
      </c>
      <c r="O361" s="70" t="str">
        <f>IF(OR($C361="",$D361="",$F361=""),"",IF($F361="Aylık",EOMONTH($D361,0),($D361+MOD(SISTEM!$F$8-WEEKDAY($D361,2),7))))</f>
        <v/>
      </c>
      <c r="P361" s="61"/>
      <c r="Q361" s="2"/>
      <c r="R361" s="2"/>
      <c r="S361" s="1" t="str">
        <f>IF($B361="","",$B361&amp;"|"&amp;COUNTIFS($B$7:$B361,$B361))</f>
        <v/>
      </c>
      <c r="T361" s="1" t="str">
        <f t="shared" si="76"/>
        <v/>
      </c>
      <c r="U361" s="1">
        <f t="shared" si="77"/>
        <v>0</v>
      </c>
      <c r="V361" s="1">
        <f t="shared" si="78"/>
        <v>2958465</v>
      </c>
      <c r="W361" s="1">
        <f t="shared" si="79"/>
        <v>0</v>
      </c>
      <c r="X361" s="1">
        <f t="shared" si="80"/>
        <v>0</v>
      </c>
      <c r="Y361" s="1">
        <f t="shared" si="81"/>
        <v>97200</v>
      </c>
      <c r="Z361" s="1">
        <f t="shared" si="82"/>
        <v>1</v>
      </c>
      <c r="AA361" s="1">
        <f t="shared" si="83"/>
        <v>0</v>
      </c>
    </row>
    <row r="362" spans="1:27" ht="18" customHeight="1" x14ac:dyDescent="0.3">
      <c r="A362" s="2"/>
      <c r="B362" s="65" t="str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61"/>
      <c r="D362" s="66"/>
      <c r="E362" s="66"/>
      <c r="F362" s="60"/>
      <c r="G362" s="67"/>
      <c r="H362" s="60"/>
      <c r="I362" s="68">
        <f t="shared" ca="1" si="70"/>
        <v>0</v>
      </c>
      <c r="J362" s="68">
        <f t="shared" ca="1" si="71"/>
        <v>0</v>
      </c>
      <c r="K362" s="68">
        <f t="shared" ca="1" si="72"/>
        <v>0</v>
      </c>
      <c r="L362" s="68">
        <f t="shared" ca="1" si="73"/>
        <v>0</v>
      </c>
      <c r="M362" s="69">
        <f t="shared" si="74"/>
        <v>0</v>
      </c>
      <c r="N362" s="65" t="str">
        <f t="shared" si="75"/>
        <v/>
      </c>
      <c r="O362" s="70" t="str">
        <f>IF(OR($C362="",$D362="",$F362=""),"",IF($F362="Aylık",EOMONTH($D362,0),($D362+MOD(SISTEM!$F$8-WEEKDAY($D362,2),7))))</f>
        <v/>
      </c>
      <c r="P362" s="61"/>
      <c r="Q362" s="2"/>
      <c r="R362" s="2"/>
      <c r="S362" s="1" t="str">
        <f>IF($B362="","",$B362&amp;"|"&amp;COUNTIFS($B$7:$B362,$B362))</f>
        <v/>
      </c>
      <c r="T362" s="1" t="str">
        <f t="shared" si="76"/>
        <v/>
      </c>
      <c r="U362" s="1">
        <f t="shared" si="77"/>
        <v>0</v>
      </c>
      <c r="V362" s="1">
        <f t="shared" si="78"/>
        <v>2958465</v>
      </c>
      <c r="W362" s="1">
        <f t="shared" si="79"/>
        <v>0</v>
      </c>
      <c r="X362" s="1">
        <f t="shared" si="80"/>
        <v>0</v>
      </c>
      <c r="Y362" s="1">
        <f t="shared" si="81"/>
        <v>97200</v>
      </c>
      <c r="Z362" s="1">
        <f t="shared" si="82"/>
        <v>1</v>
      </c>
      <c r="AA362" s="1">
        <f t="shared" si="83"/>
        <v>0</v>
      </c>
    </row>
    <row r="363" spans="1:27" ht="18" customHeight="1" x14ac:dyDescent="0.3">
      <c r="A363" s="2"/>
      <c r="B363" s="65" t="str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61"/>
      <c r="D363" s="66"/>
      <c r="E363" s="66"/>
      <c r="F363" s="60"/>
      <c r="G363" s="67"/>
      <c r="H363" s="60"/>
      <c r="I363" s="68">
        <f t="shared" ca="1" si="70"/>
        <v>0</v>
      </c>
      <c r="J363" s="68">
        <f t="shared" ca="1" si="71"/>
        <v>0</v>
      </c>
      <c r="K363" s="68">
        <f t="shared" ca="1" si="72"/>
        <v>0</v>
      </c>
      <c r="L363" s="68">
        <f t="shared" ca="1" si="73"/>
        <v>0</v>
      </c>
      <c r="M363" s="69">
        <f t="shared" si="74"/>
        <v>0</v>
      </c>
      <c r="N363" s="65" t="str">
        <f t="shared" si="75"/>
        <v/>
      </c>
      <c r="O363" s="70" t="str">
        <f>IF(OR($C363="",$D363="",$F363=""),"",IF($F363="Aylık",EOMONTH($D363,0),($D363+MOD(SISTEM!$F$8-WEEKDAY($D363,2),7))))</f>
        <v/>
      </c>
      <c r="P363" s="61"/>
      <c r="Q363" s="2"/>
      <c r="R363" s="2"/>
      <c r="S363" s="1" t="str">
        <f>IF($B363="","",$B363&amp;"|"&amp;COUNTIFS($B$7:$B363,$B363))</f>
        <v/>
      </c>
      <c r="T363" s="1" t="str">
        <f t="shared" si="76"/>
        <v/>
      </c>
      <c r="U363" s="1">
        <f t="shared" si="77"/>
        <v>0</v>
      </c>
      <c r="V363" s="1">
        <f t="shared" si="78"/>
        <v>2958465</v>
      </c>
      <c r="W363" s="1">
        <f t="shared" si="79"/>
        <v>0</v>
      </c>
      <c r="X363" s="1">
        <f t="shared" si="80"/>
        <v>0</v>
      </c>
      <c r="Y363" s="1">
        <f t="shared" si="81"/>
        <v>97200</v>
      </c>
      <c r="Z363" s="1">
        <f t="shared" si="82"/>
        <v>1</v>
      </c>
      <c r="AA363" s="1">
        <f t="shared" si="83"/>
        <v>0</v>
      </c>
    </row>
    <row r="364" spans="1:27" ht="18" customHeight="1" x14ac:dyDescent="0.3">
      <c r="A364" s="2"/>
      <c r="B364" s="65" t="str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61"/>
      <c r="D364" s="66"/>
      <c r="E364" s="66"/>
      <c r="F364" s="60"/>
      <c r="G364" s="67"/>
      <c r="H364" s="60"/>
      <c r="I364" s="68">
        <f t="shared" ca="1" si="70"/>
        <v>0</v>
      </c>
      <c r="J364" s="68">
        <f t="shared" ca="1" si="71"/>
        <v>0</v>
      </c>
      <c r="K364" s="68">
        <f t="shared" ca="1" si="72"/>
        <v>0</v>
      </c>
      <c r="L364" s="68">
        <f t="shared" ca="1" si="73"/>
        <v>0</v>
      </c>
      <c r="M364" s="69">
        <f t="shared" si="74"/>
        <v>0</v>
      </c>
      <c r="N364" s="65" t="str">
        <f t="shared" si="75"/>
        <v/>
      </c>
      <c r="O364" s="70" t="str">
        <f>IF(OR($C364="",$D364="",$F364=""),"",IF($F364="Aylık",EOMONTH($D364,0),($D364+MOD(SISTEM!$F$8-WEEKDAY($D364,2),7))))</f>
        <v/>
      </c>
      <c r="P364" s="61"/>
      <c r="Q364" s="2"/>
      <c r="R364" s="2"/>
      <c r="S364" s="1" t="str">
        <f>IF($B364="","",$B364&amp;"|"&amp;COUNTIFS($B$7:$B364,$B364))</f>
        <v/>
      </c>
      <c r="T364" s="1" t="str">
        <f t="shared" si="76"/>
        <v/>
      </c>
      <c r="U364" s="1">
        <f t="shared" si="77"/>
        <v>0</v>
      </c>
      <c r="V364" s="1">
        <f t="shared" si="78"/>
        <v>2958465</v>
      </c>
      <c r="W364" s="1">
        <f t="shared" si="79"/>
        <v>0</v>
      </c>
      <c r="X364" s="1">
        <f t="shared" si="80"/>
        <v>0</v>
      </c>
      <c r="Y364" s="1">
        <f t="shared" si="81"/>
        <v>97200</v>
      </c>
      <c r="Z364" s="1">
        <f t="shared" si="82"/>
        <v>1</v>
      </c>
      <c r="AA364" s="1">
        <f t="shared" si="83"/>
        <v>0</v>
      </c>
    </row>
    <row r="365" spans="1:27" ht="18" customHeight="1" x14ac:dyDescent="0.3">
      <c r="A365" s="2"/>
      <c r="B365" s="65" t="str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61"/>
      <c r="D365" s="66"/>
      <c r="E365" s="66"/>
      <c r="F365" s="60"/>
      <c r="G365" s="67"/>
      <c r="H365" s="60"/>
      <c r="I365" s="68">
        <f t="shared" ca="1" si="70"/>
        <v>0</v>
      </c>
      <c r="J365" s="68">
        <f t="shared" ca="1" si="71"/>
        <v>0</v>
      </c>
      <c r="K365" s="68">
        <f t="shared" ca="1" si="72"/>
        <v>0</v>
      </c>
      <c r="L365" s="68">
        <f t="shared" ca="1" si="73"/>
        <v>0</v>
      </c>
      <c r="M365" s="69">
        <f t="shared" si="74"/>
        <v>0</v>
      </c>
      <c r="N365" s="65" t="str">
        <f t="shared" si="75"/>
        <v/>
      </c>
      <c r="O365" s="70" t="str">
        <f>IF(OR($C365="",$D365="",$F365=""),"",IF($F365="Aylık",EOMONTH($D365,0),($D365+MOD(SISTEM!$F$8-WEEKDAY($D365,2),7))))</f>
        <v/>
      </c>
      <c r="P365" s="61"/>
      <c r="Q365" s="2"/>
      <c r="R365" s="2"/>
      <c r="S365" s="1" t="str">
        <f>IF($B365="","",$B365&amp;"|"&amp;COUNTIFS($B$7:$B365,$B365))</f>
        <v/>
      </c>
      <c r="T365" s="1" t="str">
        <f t="shared" si="76"/>
        <v/>
      </c>
      <c r="U365" s="1">
        <f t="shared" si="77"/>
        <v>0</v>
      </c>
      <c r="V365" s="1">
        <f t="shared" si="78"/>
        <v>2958465</v>
      </c>
      <c r="W365" s="1">
        <f t="shared" si="79"/>
        <v>0</v>
      </c>
      <c r="X365" s="1">
        <f t="shared" si="80"/>
        <v>0</v>
      </c>
      <c r="Y365" s="1">
        <f t="shared" si="81"/>
        <v>97200</v>
      </c>
      <c r="Z365" s="1">
        <f t="shared" si="82"/>
        <v>1</v>
      </c>
      <c r="AA365" s="1">
        <f t="shared" si="83"/>
        <v>0</v>
      </c>
    </row>
    <row r="366" spans="1:27" ht="18" customHeight="1" x14ac:dyDescent="0.3">
      <c r="A366" s="2"/>
      <c r="B366" s="65" t="str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61"/>
      <c r="D366" s="66"/>
      <c r="E366" s="66"/>
      <c r="F366" s="60"/>
      <c r="G366" s="67"/>
      <c r="H366" s="60"/>
      <c r="I366" s="68">
        <f t="shared" ca="1" si="70"/>
        <v>0</v>
      </c>
      <c r="J366" s="68">
        <f t="shared" ca="1" si="71"/>
        <v>0</v>
      </c>
      <c r="K366" s="68">
        <f t="shared" ca="1" si="72"/>
        <v>0</v>
      </c>
      <c r="L366" s="68">
        <f t="shared" ca="1" si="73"/>
        <v>0</v>
      </c>
      <c r="M366" s="69">
        <f t="shared" si="74"/>
        <v>0</v>
      </c>
      <c r="N366" s="65" t="str">
        <f t="shared" si="75"/>
        <v/>
      </c>
      <c r="O366" s="70" t="str">
        <f>IF(OR($C366="",$D366="",$F366=""),"",IF($F366="Aylık",EOMONTH($D366,0),($D366+MOD(SISTEM!$F$8-WEEKDAY($D366,2),7))))</f>
        <v/>
      </c>
      <c r="P366" s="61"/>
      <c r="Q366" s="2"/>
      <c r="R366" s="2"/>
      <c r="S366" s="1" t="str">
        <f>IF($B366="","",$B366&amp;"|"&amp;COUNTIFS($B$7:$B366,$B366))</f>
        <v/>
      </c>
      <c r="T366" s="1" t="str">
        <f t="shared" si="76"/>
        <v/>
      </c>
      <c r="U366" s="1">
        <f t="shared" si="77"/>
        <v>0</v>
      </c>
      <c r="V366" s="1">
        <f t="shared" si="78"/>
        <v>2958465</v>
      </c>
      <c r="W366" s="1">
        <f t="shared" si="79"/>
        <v>0</v>
      </c>
      <c r="X366" s="1">
        <f t="shared" si="80"/>
        <v>0</v>
      </c>
      <c r="Y366" s="1">
        <f t="shared" si="81"/>
        <v>97200</v>
      </c>
      <c r="Z366" s="1">
        <f t="shared" si="82"/>
        <v>1</v>
      </c>
      <c r="AA366" s="1">
        <f t="shared" si="83"/>
        <v>0</v>
      </c>
    </row>
    <row r="367" spans="1:27" ht="18" customHeight="1" x14ac:dyDescent="0.3">
      <c r="A367" s="2"/>
      <c r="B367" s="65" t="str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61"/>
      <c r="D367" s="66"/>
      <c r="E367" s="66"/>
      <c r="F367" s="60"/>
      <c r="G367" s="67"/>
      <c r="H367" s="60"/>
      <c r="I367" s="68">
        <f t="shared" ca="1" si="70"/>
        <v>0</v>
      </c>
      <c r="J367" s="68">
        <f t="shared" ca="1" si="71"/>
        <v>0</v>
      </c>
      <c r="K367" s="68">
        <f t="shared" ca="1" si="72"/>
        <v>0</v>
      </c>
      <c r="L367" s="68">
        <f t="shared" ca="1" si="73"/>
        <v>0</v>
      </c>
      <c r="M367" s="69">
        <f t="shared" si="74"/>
        <v>0</v>
      </c>
      <c r="N367" s="65" t="str">
        <f t="shared" si="75"/>
        <v/>
      </c>
      <c r="O367" s="70" t="str">
        <f>IF(OR($C367="",$D367="",$F367=""),"",IF($F367="Aylık",EOMONTH($D367,0),($D367+MOD(SISTEM!$F$8-WEEKDAY($D367,2),7))))</f>
        <v/>
      </c>
      <c r="P367" s="61"/>
      <c r="Q367" s="2"/>
      <c r="R367" s="2"/>
      <c r="S367" s="1" t="str">
        <f>IF($B367="","",$B367&amp;"|"&amp;COUNTIFS($B$7:$B367,$B367))</f>
        <v/>
      </c>
      <c r="T367" s="1" t="str">
        <f t="shared" si="76"/>
        <v/>
      </c>
      <c r="U367" s="1">
        <f t="shared" si="77"/>
        <v>0</v>
      </c>
      <c r="V367" s="1">
        <f t="shared" si="78"/>
        <v>2958465</v>
      </c>
      <c r="W367" s="1">
        <f t="shared" si="79"/>
        <v>0</v>
      </c>
      <c r="X367" s="1">
        <f t="shared" si="80"/>
        <v>0</v>
      </c>
      <c r="Y367" s="1">
        <f t="shared" si="81"/>
        <v>97200</v>
      </c>
      <c r="Z367" s="1">
        <f t="shared" si="82"/>
        <v>1</v>
      </c>
      <c r="AA367" s="1">
        <f t="shared" si="83"/>
        <v>0</v>
      </c>
    </row>
    <row r="368" spans="1:27" ht="18" customHeight="1" x14ac:dyDescent="0.3">
      <c r="A368" s="2"/>
      <c r="B368" s="65" t="str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61"/>
      <c r="D368" s="66"/>
      <c r="E368" s="66"/>
      <c r="F368" s="60"/>
      <c r="G368" s="67"/>
      <c r="H368" s="60"/>
      <c r="I368" s="68">
        <f t="shared" ca="1" si="70"/>
        <v>0</v>
      </c>
      <c r="J368" s="68">
        <f t="shared" ca="1" si="71"/>
        <v>0</v>
      </c>
      <c r="K368" s="68">
        <f t="shared" ca="1" si="72"/>
        <v>0</v>
      </c>
      <c r="L368" s="68">
        <f t="shared" ca="1" si="73"/>
        <v>0</v>
      </c>
      <c r="M368" s="69">
        <f t="shared" si="74"/>
        <v>0</v>
      </c>
      <c r="N368" s="65" t="str">
        <f t="shared" si="75"/>
        <v/>
      </c>
      <c r="O368" s="70" t="str">
        <f>IF(OR($C368="",$D368="",$F368=""),"",IF($F368="Aylık",EOMONTH($D368,0),($D368+MOD(SISTEM!$F$8-WEEKDAY($D368,2),7))))</f>
        <v/>
      </c>
      <c r="P368" s="61"/>
      <c r="Q368" s="2"/>
      <c r="R368" s="2"/>
      <c r="S368" s="1" t="str">
        <f>IF($B368="","",$B368&amp;"|"&amp;COUNTIFS($B$7:$B368,$B368))</f>
        <v/>
      </c>
      <c r="T368" s="1" t="str">
        <f t="shared" si="76"/>
        <v/>
      </c>
      <c r="U368" s="1">
        <f t="shared" si="77"/>
        <v>0</v>
      </c>
      <c r="V368" s="1">
        <f t="shared" si="78"/>
        <v>2958465</v>
      </c>
      <c r="W368" s="1">
        <f t="shared" si="79"/>
        <v>0</v>
      </c>
      <c r="X368" s="1">
        <f t="shared" si="80"/>
        <v>0</v>
      </c>
      <c r="Y368" s="1">
        <f t="shared" si="81"/>
        <v>97200</v>
      </c>
      <c r="Z368" s="1">
        <f t="shared" si="82"/>
        <v>1</v>
      </c>
      <c r="AA368" s="1">
        <f t="shared" si="83"/>
        <v>0</v>
      </c>
    </row>
    <row r="369" spans="1:27" ht="18" customHeight="1" x14ac:dyDescent="0.3">
      <c r="A369" s="2"/>
      <c r="B369" s="65" t="str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61"/>
      <c r="D369" s="66"/>
      <c r="E369" s="66"/>
      <c r="F369" s="60"/>
      <c r="G369" s="67"/>
      <c r="H369" s="60"/>
      <c r="I369" s="68">
        <f t="shared" ca="1" si="70"/>
        <v>0</v>
      </c>
      <c r="J369" s="68">
        <f t="shared" ca="1" si="71"/>
        <v>0</v>
      </c>
      <c r="K369" s="68">
        <f t="shared" ca="1" si="72"/>
        <v>0</v>
      </c>
      <c r="L369" s="68">
        <f t="shared" ca="1" si="73"/>
        <v>0</v>
      </c>
      <c r="M369" s="69">
        <f t="shared" si="74"/>
        <v>0</v>
      </c>
      <c r="N369" s="65" t="str">
        <f t="shared" si="75"/>
        <v/>
      </c>
      <c r="O369" s="70" t="str">
        <f>IF(OR($C369="",$D369="",$F369=""),"",IF($F369="Aylık",EOMONTH($D369,0),($D369+MOD(SISTEM!$F$8-WEEKDAY($D369,2),7))))</f>
        <v/>
      </c>
      <c r="P369" s="61"/>
      <c r="Q369" s="2"/>
      <c r="R369" s="2"/>
      <c r="S369" s="1" t="str">
        <f>IF($B369="","",$B369&amp;"|"&amp;COUNTIFS($B$7:$B369,$B369))</f>
        <v/>
      </c>
      <c r="T369" s="1" t="str">
        <f t="shared" si="76"/>
        <v/>
      </c>
      <c r="U369" s="1">
        <f t="shared" si="77"/>
        <v>0</v>
      </c>
      <c r="V369" s="1">
        <f t="shared" si="78"/>
        <v>2958465</v>
      </c>
      <c r="W369" s="1">
        <f t="shared" si="79"/>
        <v>0</v>
      </c>
      <c r="X369" s="1">
        <f t="shared" si="80"/>
        <v>0</v>
      </c>
      <c r="Y369" s="1">
        <f t="shared" si="81"/>
        <v>97200</v>
      </c>
      <c r="Z369" s="1">
        <f t="shared" si="82"/>
        <v>1</v>
      </c>
      <c r="AA369" s="1">
        <f t="shared" si="83"/>
        <v>0</v>
      </c>
    </row>
    <row r="370" spans="1:27" ht="18" customHeight="1" x14ac:dyDescent="0.3">
      <c r="A370" s="2"/>
      <c r="B370" s="65" t="str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61"/>
      <c r="D370" s="66"/>
      <c r="E370" s="66"/>
      <c r="F370" s="60"/>
      <c r="G370" s="67"/>
      <c r="H370" s="60"/>
      <c r="I370" s="68">
        <f t="shared" ca="1" si="70"/>
        <v>0</v>
      </c>
      <c r="J370" s="68">
        <f t="shared" ca="1" si="71"/>
        <v>0</v>
      </c>
      <c r="K370" s="68">
        <f t="shared" ca="1" si="72"/>
        <v>0</v>
      </c>
      <c r="L370" s="68">
        <f t="shared" ca="1" si="73"/>
        <v>0</v>
      </c>
      <c r="M370" s="69">
        <f t="shared" si="74"/>
        <v>0</v>
      </c>
      <c r="N370" s="65" t="str">
        <f t="shared" si="75"/>
        <v/>
      </c>
      <c r="O370" s="70" t="str">
        <f>IF(OR($C370="",$D370="",$F370=""),"",IF($F370="Aylık",EOMONTH($D370,0),($D370+MOD(SISTEM!$F$8-WEEKDAY($D370,2),7))))</f>
        <v/>
      </c>
      <c r="P370" s="61"/>
      <c r="Q370" s="2"/>
      <c r="R370" s="2"/>
      <c r="S370" s="1" t="str">
        <f>IF($B370="","",$B370&amp;"|"&amp;COUNTIFS($B$7:$B370,$B370))</f>
        <v/>
      </c>
      <c r="T370" s="1" t="str">
        <f t="shared" si="76"/>
        <v/>
      </c>
      <c r="U370" s="1">
        <f t="shared" si="77"/>
        <v>0</v>
      </c>
      <c r="V370" s="1">
        <f t="shared" si="78"/>
        <v>2958465</v>
      </c>
      <c r="W370" s="1">
        <f t="shared" si="79"/>
        <v>0</v>
      </c>
      <c r="X370" s="1">
        <f t="shared" si="80"/>
        <v>0</v>
      </c>
      <c r="Y370" s="1">
        <f t="shared" si="81"/>
        <v>97200</v>
      </c>
      <c r="Z370" s="1">
        <f t="shared" si="82"/>
        <v>1</v>
      </c>
      <c r="AA370" s="1">
        <f t="shared" si="83"/>
        <v>0</v>
      </c>
    </row>
    <row r="371" spans="1:27" ht="18" customHeight="1" x14ac:dyDescent="0.3">
      <c r="A371" s="2"/>
      <c r="B371" s="65" t="str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61"/>
      <c r="D371" s="66"/>
      <c r="E371" s="66"/>
      <c r="F371" s="60"/>
      <c r="G371" s="67"/>
      <c r="H371" s="60"/>
      <c r="I371" s="68">
        <f t="shared" ca="1" si="70"/>
        <v>0</v>
      </c>
      <c r="J371" s="68">
        <f t="shared" ca="1" si="71"/>
        <v>0</v>
      </c>
      <c r="K371" s="68">
        <f t="shared" ca="1" si="72"/>
        <v>0</v>
      </c>
      <c r="L371" s="68">
        <f t="shared" ca="1" si="73"/>
        <v>0</v>
      </c>
      <c r="M371" s="69">
        <f t="shared" si="74"/>
        <v>0</v>
      </c>
      <c r="N371" s="65" t="str">
        <f t="shared" si="75"/>
        <v/>
      </c>
      <c r="O371" s="70" t="str">
        <f>IF(OR($C371="",$D371="",$F371=""),"",IF($F371="Aylık",EOMONTH($D371,0),($D371+MOD(SISTEM!$F$8-WEEKDAY($D371,2),7))))</f>
        <v/>
      </c>
      <c r="P371" s="61"/>
      <c r="Q371" s="2"/>
      <c r="R371" s="2"/>
      <c r="S371" s="1" t="str">
        <f>IF($B371="","",$B371&amp;"|"&amp;COUNTIFS($B$7:$B371,$B371))</f>
        <v/>
      </c>
      <c r="T371" s="1" t="str">
        <f t="shared" si="76"/>
        <v/>
      </c>
      <c r="U371" s="1">
        <f t="shared" si="77"/>
        <v>0</v>
      </c>
      <c r="V371" s="1">
        <f t="shared" si="78"/>
        <v>2958465</v>
      </c>
      <c r="W371" s="1">
        <f t="shared" si="79"/>
        <v>0</v>
      </c>
      <c r="X371" s="1">
        <f t="shared" si="80"/>
        <v>0</v>
      </c>
      <c r="Y371" s="1">
        <f t="shared" si="81"/>
        <v>97200</v>
      </c>
      <c r="Z371" s="1">
        <f t="shared" si="82"/>
        <v>1</v>
      </c>
      <c r="AA371" s="1">
        <f t="shared" si="83"/>
        <v>0</v>
      </c>
    </row>
    <row r="372" spans="1:27" ht="18" customHeight="1" x14ac:dyDescent="0.3">
      <c r="A372" s="2"/>
      <c r="B372" s="65" t="str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61"/>
      <c r="D372" s="66"/>
      <c r="E372" s="66"/>
      <c r="F372" s="60"/>
      <c r="G372" s="67"/>
      <c r="H372" s="60"/>
      <c r="I372" s="68">
        <f t="shared" ca="1" si="70"/>
        <v>0</v>
      </c>
      <c r="J372" s="68">
        <f t="shared" ca="1" si="71"/>
        <v>0</v>
      </c>
      <c r="K372" s="68">
        <f t="shared" ca="1" si="72"/>
        <v>0</v>
      </c>
      <c r="L372" s="68">
        <f t="shared" ca="1" si="73"/>
        <v>0</v>
      </c>
      <c r="M372" s="69">
        <f t="shared" si="74"/>
        <v>0</v>
      </c>
      <c r="N372" s="65" t="str">
        <f t="shared" si="75"/>
        <v/>
      </c>
      <c r="O372" s="70" t="str">
        <f>IF(OR($C372="",$D372="",$F372=""),"",IF($F372="Aylık",EOMONTH($D372,0),($D372+MOD(SISTEM!$F$8-WEEKDAY($D372,2),7))))</f>
        <v/>
      </c>
      <c r="P372" s="61"/>
      <c r="Q372" s="2"/>
      <c r="R372" s="2"/>
      <c r="S372" s="1" t="str">
        <f>IF($B372="","",$B372&amp;"|"&amp;COUNTIFS($B$7:$B372,$B372))</f>
        <v/>
      </c>
      <c r="T372" s="1" t="str">
        <f t="shared" si="76"/>
        <v/>
      </c>
      <c r="U372" s="1">
        <f t="shared" si="77"/>
        <v>0</v>
      </c>
      <c r="V372" s="1">
        <f t="shared" si="78"/>
        <v>2958465</v>
      </c>
      <c r="W372" s="1">
        <f t="shared" si="79"/>
        <v>0</v>
      </c>
      <c r="X372" s="1">
        <f t="shared" si="80"/>
        <v>0</v>
      </c>
      <c r="Y372" s="1">
        <f t="shared" si="81"/>
        <v>97200</v>
      </c>
      <c r="Z372" s="1">
        <f t="shared" si="82"/>
        <v>1</v>
      </c>
      <c r="AA372" s="1">
        <f t="shared" si="83"/>
        <v>0</v>
      </c>
    </row>
    <row r="373" spans="1:27" ht="18" customHeight="1" x14ac:dyDescent="0.3">
      <c r="A373" s="2"/>
      <c r="B373" s="65" t="str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61"/>
      <c r="D373" s="66"/>
      <c r="E373" s="66"/>
      <c r="F373" s="60"/>
      <c r="G373" s="67"/>
      <c r="H373" s="60"/>
      <c r="I373" s="68">
        <f t="shared" ca="1" si="70"/>
        <v>0</v>
      </c>
      <c r="J373" s="68">
        <f t="shared" ca="1" si="71"/>
        <v>0</v>
      </c>
      <c r="K373" s="68">
        <f t="shared" ca="1" si="72"/>
        <v>0</v>
      </c>
      <c r="L373" s="68">
        <f t="shared" ca="1" si="73"/>
        <v>0</v>
      </c>
      <c r="M373" s="69">
        <f t="shared" si="74"/>
        <v>0</v>
      </c>
      <c r="N373" s="65" t="str">
        <f t="shared" si="75"/>
        <v/>
      </c>
      <c r="O373" s="70" t="str">
        <f>IF(OR($C373="",$D373="",$F373=""),"",IF($F373="Aylık",EOMONTH($D373,0),($D373+MOD(SISTEM!$F$8-WEEKDAY($D373,2),7))))</f>
        <v/>
      </c>
      <c r="P373" s="61"/>
      <c r="Q373" s="2"/>
      <c r="R373" s="2"/>
      <c r="S373" s="1" t="str">
        <f>IF($B373="","",$B373&amp;"|"&amp;COUNTIFS($B$7:$B373,$B373))</f>
        <v/>
      </c>
      <c r="T373" s="1" t="str">
        <f t="shared" si="76"/>
        <v/>
      </c>
      <c r="U373" s="1">
        <f t="shared" si="77"/>
        <v>0</v>
      </c>
      <c r="V373" s="1">
        <f t="shared" si="78"/>
        <v>2958465</v>
      </c>
      <c r="W373" s="1">
        <f t="shared" si="79"/>
        <v>0</v>
      </c>
      <c r="X373" s="1">
        <f t="shared" si="80"/>
        <v>0</v>
      </c>
      <c r="Y373" s="1">
        <f t="shared" si="81"/>
        <v>97200</v>
      </c>
      <c r="Z373" s="1">
        <f t="shared" si="82"/>
        <v>1</v>
      </c>
      <c r="AA373" s="1">
        <f t="shared" si="83"/>
        <v>0</v>
      </c>
    </row>
    <row r="374" spans="1:27" ht="18" customHeight="1" x14ac:dyDescent="0.3">
      <c r="A374" s="2"/>
      <c r="B374" s="65" t="str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61"/>
      <c r="D374" s="66"/>
      <c r="E374" s="66"/>
      <c r="F374" s="60"/>
      <c r="G374" s="67"/>
      <c r="H374" s="60"/>
      <c r="I374" s="68">
        <f t="shared" ca="1" si="70"/>
        <v>0</v>
      </c>
      <c r="J374" s="68">
        <f t="shared" ca="1" si="71"/>
        <v>0</v>
      </c>
      <c r="K374" s="68">
        <f t="shared" ca="1" si="72"/>
        <v>0</v>
      </c>
      <c r="L374" s="68">
        <f t="shared" ca="1" si="73"/>
        <v>0</v>
      </c>
      <c r="M374" s="69">
        <f t="shared" si="74"/>
        <v>0</v>
      </c>
      <c r="N374" s="65" t="str">
        <f t="shared" si="75"/>
        <v/>
      </c>
      <c r="O374" s="70" t="str">
        <f>IF(OR($C374="",$D374="",$F374=""),"",IF($F374="Aylık",EOMONTH($D374,0),($D374+MOD(SISTEM!$F$8-WEEKDAY($D374,2),7))))</f>
        <v/>
      </c>
      <c r="P374" s="61"/>
      <c r="Q374" s="2"/>
      <c r="R374" s="2"/>
      <c r="S374" s="1" t="str">
        <f>IF($B374="","",$B374&amp;"|"&amp;COUNTIFS($B$7:$B374,$B374))</f>
        <v/>
      </c>
      <c r="T374" s="1" t="str">
        <f t="shared" si="76"/>
        <v/>
      </c>
      <c r="U374" s="1">
        <f t="shared" si="77"/>
        <v>0</v>
      </c>
      <c r="V374" s="1">
        <f t="shared" si="78"/>
        <v>2958465</v>
      </c>
      <c r="W374" s="1">
        <f t="shared" si="79"/>
        <v>0</v>
      </c>
      <c r="X374" s="1">
        <f t="shared" si="80"/>
        <v>0</v>
      </c>
      <c r="Y374" s="1">
        <f t="shared" si="81"/>
        <v>97200</v>
      </c>
      <c r="Z374" s="1">
        <f t="shared" si="82"/>
        <v>1</v>
      </c>
      <c r="AA374" s="1">
        <f t="shared" si="83"/>
        <v>0</v>
      </c>
    </row>
    <row r="375" spans="1:27" ht="18" customHeight="1" x14ac:dyDescent="0.3">
      <c r="A375" s="2"/>
      <c r="B375" s="65" t="str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61"/>
      <c r="D375" s="66"/>
      <c r="E375" s="66"/>
      <c r="F375" s="60"/>
      <c r="G375" s="67"/>
      <c r="H375" s="60"/>
      <c r="I375" s="68">
        <f t="shared" ca="1" si="70"/>
        <v>0</v>
      </c>
      <c r="J375" s="68">
        <f t="shared" ca="1" si="71"/>
        <v>0</v>
      </c>
      <c r="K375" s="68">
        <f t="shared" ca="1" si="72"/>
        <v>0</v>
      </c>
      <c r="L375" s="68">
        <f t="shared" ca="1" si="73"/>
        <v>0</v>
      </c>
      <c r="M375" s="69">
        <f t="shared" si="74"/>
        <v>0</v>
      </c>
      <c r="N375" s="65" t="str">
        <f t="shared" si="75"/>
        <v/>
      </c>
      <c r="O375" s="70" t="str">
        <f>IF(OR($C375="",$D375="",$F375=""),"",IF($F375="Aylık",EOMONTH($D375,0),($D375+MOD(SISTEM!$F$8-WEEKDAY($D375,2),7))))</f>
        <v/>
      </c>
      <c r="P375" s="61"/>
      <c r="Q375" s="2"/>
      <c r="R375" s="2"/>
      <c r="S375" s="1" t="str">
        <f>IF($B375="","",$B375&amp;"|"&amp;COUNTIFS($B$7:$B375,$B375))</f>
        <v/>
      </c>
      <c r="T375" s="1" t="str">
        <f t="shared" si="76"/>
        <v/>
      </c>
      <c r="U375" s="1">
        <f t="shared" si="77"/>
        <v>0</v>
      </c>
      <c r="V375" s="1">
        <f t="shared" si="78"/>
        <v>2958465</v>
      </c>
      <c r="W375" s="1">
        <f t="shared" si="79"/>
        <v>0</v>
      </c>
      <c r="X375" s="1">
        <f t="shared" si="80"/>
        <v>0</v>
      </c>
      <c r="Y375" s="1">
        <f t="shared" si="81"/>
        <v>97200</v>
      </c>
      <c r="Z375" s="1">
        <f t="shared" si="82"/>
        <v>1</v>
      </c>
      <c r="AA375" s="1">
        <f t="shared" si="83"/>
        <v>0</v>
      </c>
    </row>
    <row r="376" spans="1:27" ht="18" customHeight="1" x14ac:dyDescent="0.3">
      <c r="A376" s="2"/>
      <c r="B376" s="65" t="str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61"/>
      <c r="D376" s="66"/>
      <c r="E376" s="66"/>
      <c r="F376" s="60"/>
      <c r="G376" s="67"/>
      <c r="H376" s="60"/>
      <c r="I376" s="68">
        <f t="shared" ca="1" si="70"/>
        <v>0</v>
      </c>
      <c r="J376" s="68">
        <f t="shared" ca="1" si="71"/>
        <v>0</v>
      </c>
      <c r="K376" s="68">
        <f t="shared" ca="1" si="72"/>
        <v>0</v>
      </c>
      <c r="L376" s="68">
        <f t="shared" ca="1" si="73"/>
        <v>0</v>
      </c>
      <c r="M376" s="69">
        <f t="shared" si="74"/>
        <v>0</v>
      </c>
      <c r="N376" s="65" t="str">
        <f t="shared" si="75"/>
        <v/>
      </c>
      <c r="O376" s="70" t="str">
        <f>IF(OR($C376="",$D376="",$F376=""),"",IF($F376="Aylık",EOMONTH($D376,0),($D376+MOD(SISTEM!$F$8-WEEKDAY($D376,2),7))))</f>
        <v/>
      </c>
      <c r="P376" s="61"/>
      <c r="Q376" s="2"/>
      <c r="R376" s="2"/>
      <c r="S376" s="1" t="str">
        <f>IF($B376="","",$B376&amp;"|"&amp;COUNTIFS($B$7:$B376,$B376))</f>
        <v/>
      </c>
      <c r="T376" s="1" t="str">
        <f t="shared" si="76"/>
        <v/>
      </c>
      <c r="U376" s="1">
        <f t="shared" si="77"/>
        <v>0</v>
      </c>
      <c r="V376" s="1">
        <f t="shared" si="78"/>
        <v>2958465</v>
      </c>
      <c r="W376" s="1">
        <f t="shared" si="79"/>
        <v>0</v>
      </c>
      <c r="X376" s="1">
        <f t="shared" si="80"/>
        <v>0</v>
      </c>
      <c r="Y376" s="1">
        <f t="shared" si="81"/>
        <v>97200</v>
      </c>
      <c r="Z376" s="1">
        <f t="shared" si="82"/>
        <v>1</v>
      </c>
      <c r="AA376" s="1">
        <f t="shared" si="83"/>
        <v>0</v>
      </c>
    </row>
    <row r="377" spans="1:27" ht="18" customHeight="1" x14ac:dyDescent="0.3">
      <c r="A377" s="2"/>
      <c r="B377" s="65" t="str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61"/>
      <c r="D377" s="66"/>
      <c r="E377" s="66"/>
      <c r="F377" s="60"/>
      <c r="G377" s="67"/>
      <c r="H377" s="60"/>
      <c r="I377" s="68">
        <f t="shared" ca="1" si="70"/>
        <v>0</v>
      </c>
      <c r="J377" s="68">
        <f t="shared" ca="1" si="71"/>
        <v>0</v>
      </c>
      <c r="K377" s="68">
        <f t="shared" ca="1" si="72"/>
        <v>0</v>
      </c>
      <c r="L377" s="68">
        <f t="shared" ca="1" si="73"/>
        <v>0</v>
      </c>
      <c r="M377" s="69">
        <f t="shared" si="74"/>
        <v>0</v>
      </c>
      <c r="N377" s="65" t="str">
        <f t="shared" si="75"/>
        <v/>
      </c>
      <c r="O377" s="70" t="str">
        <f>IF(OR($C377="",$D377="",$F377=""),"",IF($F377="Aylık",EOMONTH($D377,0),($D377+MOD(SISTEM!$F$8-WEEKDAY($D377,2),7))))</f>
        <v/>
      </c>
      <c r="P377" s="61"/>
      <c r="Q377" s="2"/>
      <c r="R377" s="2"/>
      <c r="S377" s="1" t="str">
        <f>IF($B377="","",$B377&amp;"|"&amp;COUNTIFS($B$7:$B377,$B377))</f>
        <v/>
      </c>
      <c r="T377" s="1" t="str">
        <f t="shared" si="76"/>
        <v/>
      </c>
      <c r="U377" s="1">
        <f t="shared" si="77"/>
        <v>0</v>
      </c>
      <c r="V377" s="1">
        <f t="shared" si="78"/>
        <v>2958465</v>
      </c>
      <c r="W377" s="1">
        <f t="shared" si="79"/>
        <v>0</v>
      </c>
      <c r="X377" s="1">
        <f t="shared" si="80"/>
        <v>0</v>
      </c>
      <c r="Y377" s="1">
        <f t="shared" si="81"/>
        <v>97200</v>
      </c>
      <c r="Z377" s="1">
        <f t="shared" si="82"/>
        <v>1</v>
      </c>
      <c r="AA377" s="1">
        <f t="shared" si="83"/>
        <v>0</v>
      </c>
    </row>
    <row r="378" spans="1:27" ht="18" customHeight="1" x14ac:dyDescent="0.3">
      <c r="A378" s="2"/>
      <c r="B378" s="65" t="str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61"/>
      <c r="D378" s="66"/>
      <c r="E378" s="66"/>
      <c r="F378" s="60"/>
      <c r="G378" s="67"/>
      <c r="H378" s="60"/>
      <c r="I378" s="68">
        <f t="shared" ca="1" si="70"/>
        <v>0</v>
      </c>
      <c r="J378" s="68">
        <f t="shared" ca="1" si="71"/>
        <v>0</v>
      </c>
      <c r="K378" s="68">
        <f t="shared" ca="1" si="72"/>
        <v>0</v>
      </c>
      <c r="L378" s="68">
        <f t="shared" ca="1" si="73"/>
        <v>0</v>
      </c>
      <c r="M378" s="69">
        <f t="shared" si="74"/>
        <v>0</v>
      </c>
      <c r="N378" s="65" t="str">
        <f t="shared" si="75"/>
        <v/>
      </c>
      <c r="O378" s="70" t="str">
        <f>IF(OR($C378="",$D378="",$F378=""),"",IF($F378="Aylık",EOMONTH($D378,0),($D378+MOD(SISTEM!$F$8-WEEKDAY($D378,2),7))))</f>
        <v/>
      </c>
      <c r="P378" s="61"/>
      <c r="Q378" s="2"/>
      <c r="R378" s="2"/>
      <c r="S378" s="1" t="str">
        <f>IF($B378="","",$B378&amp;"|"&amp;COUNTIFS($B$7:$B378,$B378))</f>
        <v/>
      </c>
      <c r="T378" s="1" t="str">
        <f t="shared" si="76"/>
        <v/>
      </c>
      <c r="U378" s="1">
        <f t="shared" si="77"/>
        <v>0</v>
      </c>
      <c r="V378" s="1">
        <f t="shared" si="78"/>
        <v>2958465</v>
      </c>
      <c r="W378" s="1">
        <f t="shared" si="79"/>
        <v>0</v>
      </c>
      <c r="X378" s="1">
        <f t="shared" si="80"/>
        <v>0</v>
      </c>
      <c r="Y378" s="1">
        <f t="shared" si="81"/>
        <v>97200</v>
      </c>
      <c r="Z378" s="1">
        <f t="shared" si="82"/>
        <v>1</v>
      </c>
      <c r="AA378" s="1">
        <f t="shared" si="83"/>
        <v>0</v>
      </c>
    </row>
    <row r="379" spans="1:27" ht="18" customHeight="1" x14ac:dyDescent="0.3">
      <c r="A379" s="2"/>
      <c r="B379" s="65" t="str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61"/>
      <c r="D379" s="66"/>
      <c r="E379" s="66"/>
      <c r="F379" s="60"/>
      <c r="G379" s="67"/>
      <c r="H379" s="60"/>
      <c r="I379" s="68">
        <f t="shared" ca="1" si="70"/>
        <v>0</v>
      </c>
      <c r="J379" s="68">
        <f t="shared" ca="1" si="71"/>
        <v>0</v>
      </c>
      <c r="K379" s="68">
        <f t="shared" ca="1" si="72"/>
        <v>0</v>
      </c>
      <c r="L379" s="68">
        <f t="shared" ca="1" si="73"/>
        <v>0</v>
      </c>
      <c r="M379" s="69">
        <f t="shared" si="74"/>
        <v>0</v>
      </c>
      <c r="N379" s="65" t="str">
        <f t="shared" si="75"/>
        <v/>
      </c>
      <c r="O379" s="70" t="str">
        <f>IF(OR($C379="",$D379="",$F379=""),"",IF($F379="Aylık",EOMONTH($D379,0),($D379+MOD(SISTEM!$F$8-WEEKDAY($D379,2),7))))</f>
        <v/>
      </c>
      <c r="P379" s="61"/>
      <c r="Q379" s="2"/>
      <c r="R379" s="2"/>
      <c r="S379" s="1" t="str">
        <f>IF($B379="","",$B379&amp;"|"&amp;COUNTIFS($B$7:$B379,$B379))</f>
        <v/>
      </c>
      <c r="T379" s="1" t="str">
        <f t="shared" si="76"/>
        <v/>
      </c>
      <c r="U379" s="1">
        <f t="shared" si="77"/>
        <v>0</v>
      </c>
      <c r="V379" s="1">
        <f t="shared" si="78"/>
        <v>2958465</v>
      </c>
      <c r="W379" s="1">
        <f t="shared" si="79"/>
        <v>0</v>
      </c>
      <c r="X379" s="1">
        <f t="shared" si="80"/>
        <v>0</v>
      </c>
      <c r="Y379" s="1">
        <f t="shared" si="81"/>
        <v>97200</v>
      </c>
      <c r="Z379" s="1">
        <f t="shared" si="82"/>
        <v>1</v>
      </c>
      <c r="AA379" s="1">
        <f t="shared" si="83"/>
        <v>0</v>
      </c>
    </row>
    <row r="380" spans="1:27" ht="18" customHeight="1" x14ac:dyDescent="0.3">
      <c r="A380" s="2"/>
      <c r="B380" s="65" t="str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61"/>
      <c r="D380" s="66"/>
      <c r="E380" s="66"/>
      <c r="F380" s="60"/>
      <c r="G380" s="67"/>
      <c r="H380" s="60"/>
      <c r="I380" s="68">
        <f t="shared" ca="1" si="70"/>
        <v>0</v>
      </c>
      <c r="J380" s="68">
        <f t="shared" ca="1" si="71"/>
        <v>0</v>
      </c>
      <c r="K380" s="68">
        <f t="shared" ca="1" si="72"/>
        <v>0</v>
      </c>
      <c r="L380" s="68">
        <f t="shared" ca="1" si="73"/>
        <v>0</v>
      </c>
      <c r="M380" s="69">
        <f t="shared" si="74"/>
        <v>0</v>
      </c>
      <c r="N380" s="65" t="str">
        <f t="shared" si="75"/>
        <v/>
      </c>
      <c r="O380" s="70" t="str">
        <f>IF(OR($C380="",$D380="",$F380=""),"",IF($F380="Aylık",EOMONTH($D380,0),($D380+MOD(SISTEM!$F$8-WEEKDAY($D380,2),7))))</f>
        <v/>
      </c>
      <c r="P380" s="61"/>
      <c r="Q380" s="2"/>
      <c r="R380" s="2"/>
      <c r="S380" s="1" t="str">
        <f>IF($B380="","",$B380&amp;"|"&amp;COUNTIFS($B$7:$B380,$B380))</f>
        <v/>
      </c>
      <c r="T380" s="1" t="str">
        <f t="shared" si="76"/>
        <v/>
      </c>
      <c r="U380" s="1">
        <f t="shared" si="77"/>
        <v>0</v>
      </c>
      <c r="V380" s="1">
        <f t="shared" si="78"/>
        <v>2958465</v>
      </c>
      <c r="W380" s="1">
        <f t="shared" si="79"/>
        <v>0</v>
      </c>
      <c r="X380" s="1">
        <f t="shared" si="80"/>
        <v>0</v>
      </c>
      <c r="Y380" s="1">
        <f t="shared" si="81"/>
        <v>97200</v>
      </c>
      <c r="Z380" s="1">
        <f t="shared" si="82"/>
        <v>1</v>
      </c>
      <c r="AA380" s="1">
        <f t="shared" si="83"/>
        <v>0</v>
      </c>
    </row>
    <row r="381" spans="1:27" ht="18" customHeight="1" x14ac:dyDescent="0.3">
      <c r="A381" s="2"/>
      <c r="B381" s="65" t="str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61"/>
      <c r="D381" s="66"/>
      <c r="E381" s="66"/>
      <c r="F381" s="60"/>
      <c r="G381" s="67"/>
      <c r="H381" s="60"/>
      <c r="I381" s="68">
        <f t="shared" ca="1" si="70"/>
        <v>0</v>
      </c>
      <c r="J381" s="68">
        <f t="shared" ca="1" si="71"/>
        <v>0</v>
      </c>
      <c r="K381" s="68">
        <f t="shared" ca="1" si="72"/>
        <v>0</v>
      </c>
      <c r="L381" s="68">
        <f t="shared" ca="1" si="73"/>
        <v>0</v>
      </c>
      <c r="M381" s="69">
        <f t="shared" si="74"/>
        <v>0</v>
      </c>
      <c r="N381" s="65" t="str">
        <f t="shared" si="75"/>
        <v/>
      </c>
      <c r="O381" s="70" t="str">
        <f>IF(OR($C381="",$D381="",$F381=""),"",IF($F381="Aylık",EOMONTH($D381,0),($D381+MOD(SISTEM!$F$8-WEEKDAY($D381,2),7))))</f>
        <v/>
      </c>
      <c r="P381" s="61"/>
      <c r="Q381" s="2"/>
      <c r="R381" s="2"/>
      <c r="S381" s="1" t="str">
        <f>IF($B381="","",$B381&amp;"|"&amp;COUNTIFS($B$7:$B381,$B381))</f>
        <v/>
      </c>
      <c r="T381" s="1" t="str">
        <f t="shared" si="76"/>
        <v/>
      </c>
      <c r="U381" s="1">
        <f t="shared" si="77"/>
        <v>0</v>
      </c>
      <c r="V381" s="1">
        <f t="shared" si="78"/>
        <v>2958465</v>
      </c>
      <c r="W381" s="1">
        <f t="shared" si="79"/>
        <v>0</v>
      </c>
      <c r="X381" s="1">
        <f t="shared" si="80"/>
        <v>0</v>
      </c>
      <c r="Y381" s="1">
        <f t="shared" si="81"/>
        <v>97200</v>
      </c>
      <c r="Z381" s="1">
        <f t="shared" si="82"/>
        <v>1</v>
      </c>
      <c r="AA381" s="1">
        <f t="shared" si="83"/>
        <v>0</v>
      </c>
    </row>
    <row r="382" spans="1:27" ht="18" customHeight="1" x14ac:dyDescent="0.3">
      <c r="A382" s="2"/>
      <c r="B382" s="65" t="str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61"/>
      <c r="D382" s="66"/>
      <c r="E382" s="66"/>
      <c r="F382" s="60"/>
      <c r="G382" s="67"/>
      <c r="H382" s="60"/>
      <c r="I382" s="68">
        <f t="shared" ca="1" si="70"/>
        <v>0</v>
      </c>
      <c r="J382" s="68">
        <f t="shared" ca="1" si="71"/>
        <v>0</v>
      </c>
      <c r="K382" s="68">
        <f t="shared" ca="1" si="72"/>
        <v>0</v>
      </c>
      <c r="L382" s="68">
        <f t="shared" ca="1" si="73"/>
        <v>0</v>
      </c>
      <c r="M382" s="69">
        <f t="shared" si="74"/>
        <v>0</v>
      </c>
      <c r="N382" s="65" t="str">
        <f t="shared" si="75"/>
        <v/>
      </c>
      <c r="O382" s="70" t="str">
        <f>IF(OR($C382="",$D382="",$F382=""),"",IF($F382="Aylık",EOMONTH($D382,0),($D382+MOD(SISTEM!$F$8-WEEKDAY($D382,2),7))))</f>
        <v/>
      </c>
      <c r="P382" s="61"/>
      <c r="Q382" s="2"/>
      <c r="R382" s="2"/>
      <c r="S382" s="1" t="str">
        <f>IF($B382="","",$B382&amp;"|"&amp;COUNTIFS($B$7:$B382,$B382))</f>
        <v/>
      </c>
      <c r="T382" s="1" t="str">
        <f t="shared" si="76"/>
        <v/>
      </c>
      <c r="U382" s="1">
        <f t="shared" si="77"/>
        <v>0</v>
      </c>
      <c r="V382" s="1">
        <f t="shared" si="78"/>
        <v>2958465</v>
      </c>
      <c r="W382" s="1">
        <f t="shared" si="79"/>
        <v>0</v>
      </c>
      <c r="X382" s="1">
        <f t="shared" si="80"/>
        <v>0</v>
      </c>
      <c r="Y382" s="1">
        <f t="shared" si="81"/>
        <v>97200</v>
      </c>
      <c r="Z382" s="1">
        <f t="shared" si="82"/>
        <v>1</v>
      </c>
      <c r="AA382" s="1">
        <f t="shared" si="83"/>
        <v>0</v>
      </c>
    </row>
    <row r="383" spans="1:27" ht="18" customHeight="1" x14ac:dyDescent="0.3">
      <c r="A383" s="2"/>
      <c r="B383" s="65" t="str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61"/>
      <c r="D383" s="66"/>
      <c r="E383" s="66"/>
      <c r="F383" s="60"/>
      <c r="G383" s="67"/>
      <c r="H383" s="60"/>
      <c r="I383" s="68">
        <f t="shared" ca="1" si="70"/>
        <v>0</v>
      </c>
      <c r="J383" s="68">
        <f t="shared" ca="1" si="71"/>
        <v>0</v>
      </c>
      <c r="K383" s="68">
        <f t="shared" ca="1" si="72"/>
        <v>0</v>
      </c>
      <c r="L383" s="68">
        <f t="shared" ca="1" si="73"/>
        <v>0</v>
      </c>
      <c r="M383" s="69">
        <f t="shared" si="74"/>
        <v>0</v>
      </c>
      <c r="N383" s="65" t="str">
        <f t="shared" si="75"/>
        <v/>
      </c>
      <c r="O383" s="70" t="str">
        <f>IF(OR($C383="",$D383="",$F383=""),"",IF($F383="Aylık",EOMONTH($D383,0),($D383+MOD(SISTEM!$F$8-WEEKDAY($D383,2),7))))</f>
        <v/>
      </c>
      <c r="P383" s="61"/>
      <c r="Q383" s="2"/>
      <c r="R383" s="2"/>
      <c r="S383" s="1" t="str">
        <f>IF($B383="","",$B383&amp;"|"&amp;COUNTIFS($B$7:$B383,$B383))</f>
        <v/>
      </c>
      <c r="T383" s="1" t="str">
        <f t="shared" si="76"/>
        <v/>
      </c>
      <c r="U383" s="1">
        <f t="shared" si="77"/>
        <v>0</v>
      </c>
      <c r="V383" s="1">
        <f t="shared" si="78"/>
        <v>2958465</v>
      </c>
      <c r="W383" s="1">
        <f t="shared" si="79"/>
        <v>0</v>
      </c>
      <c r="X383" s="1">
        <f t="shared" si="80"/>
        <v>0</v>
      </c>
      <c r="Y383" s="1">
        <f t="shared" si="81"/>
        <v>97200</v>
      </c>
      <c r="Z383" s="1">
        <f t="shared" si="82"/>
        <v>1</v>
      </c>
      <c r="AA383" s="1">
        <f t="shared" si="83"/>
        <v>0</v>
      </c>
    </row>
    <row r="384" spans="1:27" ht="18" customHeight="1" x14ac:dyDescent="0.3">
      <c r="A384" s="2"/>
      <c r="B384" s="65" t="str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61"/>
      <c r="D384" s="66"/>
      <c r="E384" s="66"/>
      <c r="F384" s="60"/>
      <c r="G384" s="67"/>
      <c r="H384" s="60"/>
      <c r="I384" s="68">
        <f t="shared" ca="1" si="70"/>
        <v>0</v>
      </c>
      <c r="J384" s="68">
        <f t="shared" ca="1" si="71"/>
        <v>0</v>
      </c>
      <c r="K384" s="68">
        <f t="shared" ca="1" si="72"/>
        <v>0</v>
      </c>
      <c r="L384" s="68">
        <f t="shared" ca="1" si="73"/>
        <v>0</v>
      </c>
      <c r="M384" s="69">
        <f t="shared" si="74"/>
        <v>0</v>
      </c>
      <c r="N384" s="65" t="str">
        <f t="shared" si="75"/>
        <v/>
      </c>
      <c r="O384" s="70" t="str">
        <f>IF(OR($C384="",$D384="",$F384=""),"",IF($F384="Aylık",EOMONTH($D384,0),($D384+MOD(SISTEM!$F$8-WEEKDAY($D384,2),7))))</f>
        <v/>
      </c>
      <c r="P384" s="61"/>
      <c r="Q384" s="2"/>
      <c r="R384" s="2"/>
      <c r="S384" s="1" t="str">
        <f>IF($B384="","",$B384&amp;"|"&amp;COUNTIFS($B$7:$B384,$B384))</f>
        <v/>
      </c>
      <c r="T384" s="1" t="str">
        <f t="shared" si="76"/>
        <v/>
      </c>
      <c r="U384" s="1">
        <f t="shared" si="77"/>
        <v>0</v>
      </c>
      <c r="V384" s="1">
        <f t="shared" si="78"/>
        <v>2958465</v>
      </c>
      <c r="W384" s="1">
        <f t="shared" si="79"/>
        <v>0</v>
      </c>
      <c r="X384" s="1">
        <f t="shared" si="80"/>
        <v>0</v>
      </c>
      <c r="Y384" s="1">
        <f t="shared" si="81"/>
        <v>97200</v>
      </c>
      <c r="Z384" s="1">
        <f t="shared" si="82"/>
        <v>1</v>
      </c>
      <c r="AA384" s="1">
        <f t="shared" si="83"/>
        <v>0</v>
      </c>
    </row>
    <row r="385" spans="1:27" ht="18" customHeight="1" x14ac:dyDescent="0.3">
      <c r="A385" s="2"/>
      <c r="B385" s="65" t="str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61"/>
      <c r="D385" s="66"/>
      <c r="E385" s="66"/>
      <c r="F385" s="60"/>
      <c r="G385" s="67"/>
      <c r="H385" s="60"/>
      <c r="I385" s="68">
        <f t="shared" ca="1" si="70"/>
        <v>0</v>
      </c>
      <c r="J385" s="68">
        <f t="shared" ca="1" si="71"/>
        <v>0</v>
      </c>
      <c r="K385" s="68">
        <f t="shared" ca="1" si="72"/>
        <v>0</v>
      </c>
      <c r="L385" s="68">
        <f t="shared" ca="1" si="73"/>
        <v>0</v>
      </c>
      <c r="M385" s="69">
        <f t="shared" si="74"/>
        <v>0</v>
      </c>
      <c r="N385" s="65" t="str">
        <f t="shared" si="75"/>
        <v/>
      </c>
      <c r="O385" s="70" t="str">
        <f>IF(OR($C385="",$D385="",$F385=""),"",IF($F385="Aylık",EOMONTH($D385,0),($D385+MOD(SISTEM!$F$8-WEEKDAY($D385,2),7))))</f>
        <v/>
      </c>
      <c r="P385" s="61"/>
      <c r="Q385" s="2"/>
      <c r="R385" s="2"/>
      <c r="S385" s="1" t="str">
        <f>IF($B385="","",$B385&amp;"|"&amp;COUNTIFS($B$7:$B385,$B385))</f>
        <v/>
      </c>
      <c r="T385" s="1" t="str">
        <f t="shared" si="76"/>
        <v/>
      </c>
      <c r="U385" s="1">
        <f t="shared" si="77"/>
        <v>0</v>
      </c>
      <c r="V385" s="1">
        <f t="shared" si="78"/>
        <v>2958465</v>
      </c>
      <c r="W385" s="1">
        <f t="shared" si="79"/>
        <v>0</v>
      </c>
      <c r="X385" s="1">
        <f t="shared" si="80"/>
        <v>0</v>
      </c>
      <c r="Y385" s="1">
        <f t="shared" si="81"/>
        <v>97200</v>
      </c>
      <c r="Z385" s="1">
        <f t="shared" si="82"/>
        <v>1</v>
      </c>
      <c r="AA385" s="1">
        <f t="shared" si="83"/>
        <v>0</v>
      </c>
    </row>
    <row r="386" spans="1:27" ht="18" customHeight="1" x14ac:dyDescent="0.3">
      <c r="A386" s="2"/>
      <c r="B386" s="65" t="str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61"/>
      <c r="D386" s="66"/>
      <c r="E386" s="66"/>
      <c r="F386" s="60"/>
      <c r="G386" s="67"/>
      <c r="H386" s="60"/>
      <c r="I386" s="68">
        <f t="shared" ca="1" si="70"/>
        <v>0</v>
      </c>
      <c r="J386" s="68">
        <f t="shared" ca="1" si="71"/>
        <v>0</v>
      </c>
      <c r="K386" s="68">
        <f t="shared" ca="1" si="72"/>
        <v>0</v>
      </c>
      <c r="L386" s="68">
        <f t="shared" ca="1" si="73"/>
        <v>0</v>
      </c>
      <c r="M386" s="69">
        <f t="shared" si="74"/>
        <v>0</v>
      </c>
      <c r="N386" s="65" t="str">
        <f t="shared" si="75"/>
        <v/>
      </c>
      <c r="O386" s="70" t="str">
        <f>IF(OR($C386="",$D386="",$F386=""),"",IF($F386="Aylık",EOMONTH($D386,0),($D386+MOD(SISTEM!$F$8-WEEKDAY($D386,2),7))))</f>
        <v/>
      </c>
      <c r="P386" s="61"/>
      <c r="Q386" s="2"/>
      <c r="R386" s="2"/>
      <c r="S386" s="1" t="str">
        <f>IF($B386="","",$B386&amp;"|"&amp;COUNTIFS($B$7:$B386,$B386))</f>
        <v/>
      </c>
      <c r="T386" s="1" t="str">
        <f t="shared" si="76"/>
        <v/>
      </c>
      <c r="U386" s="1">
        <f t="shared" si="77"/>
        <v>0</v>
      </c>
      <c r="V386" s="1">
        <f t="shared" si="78"/>
        <v>2958465</v>
      </c>
      <c r="W386" s="1">
        <f t="shared" si="79"/>
        <v>0</v>
      </c>
      <c r="X386" s="1">
        <f t="shared" si="80"/>
        <v>0</v>
      </c>
      <c r="Y386" s="1">
        <f t="shared" si="81"/>
        <v>97200</v>
      </c>
      <c r="Z386" s="1">
        <f t="shared" si="82"/>
        <v>1</v>
      </c>
      <c r="AA386" s="1">
        <f t="shared" si="83"/>
        <v>0</v>
      </c>
    </row>
    <row r="387" spans="1:27" ht="18" customHeight="1" x14ac:dyDescent="0.3">
      <c r="A387" s="2"/>
      <c r="B387" s="65" t="str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61"/>
      <c r="D387" s="66"/>
      <c r="E387" s="66"/>
      <c r="F387" s="60"/>
      <c r="G387" s="67"/>
      <c r="H387" s="60"/>
      <c r="I387" s="68">
        <f t="shared" ca="1" si="70"/>
        <v>0</v>
      </c>
      <c r="J387" s="68">
        <f t="shared" ca="1" si="71"/>
        <v>0</v>
      </c>
      <c r="K387" s="68">
        <f t="shared" ca="1" si="72"/>
        <v>0</v>
      </c>
      <c r="L387" s="68">
        <f t="shared" ca="1" si="73"/>
        <v>0</v>
      </c>
      <c r="M387" s="69">
        <f t="shared" si="74"/>
        <v>0</v>
      </c>
      <c r="N387" s="65" t="str">
        <f t="shared" si="75"/>
        <v/>
      </c>
      <c r="O387" s="70" t="str">
        <f>IF(OR($C387="",$D387="",$F387=""),"",IF($F387="Aylık",EOMONTH($D387,0),($D387+MOD(SISTEM!$F$8-WEEKDAY($D387,2),7))))</f>
        <v/>
      </c>
      <c r="P387" s="61"/>
      <c r="Q387" s="2"/>
      <c r="R387" s="2"/>
      <c r="S387" s="1" t="str">
        <f>IF($B387="","",$B387&amp;"|"&amp;COUNTIFS($B$7:$B387,$B387))</f>
        <v/>
      </c>
      <c r="T387" s="1" t="str">
        <f t="shared" si="76"/>
        <v/>
      </c>
      <c r="U387" s="1">
        <f t="shared" si="77"/>
        <v>0</v>
      </c>
      <c r="V387" s="1">
        <f t="shared" si="78"/>
        <v>2958465</v>
      </c>
      <c r="W387" s="1">
        <f t="shared" si="79"/>
        <v>0</v>
      </c>
      <c r="X387" s="1">
        <f t="shared" si="80"/>
        <v>0</v>
      </c>
      <c r="Y387" s="1">
        <f t="shared" si="81"/>
        <v>97200</v>
      </c>
      <c r="Z387" s="1">
        <f t="shared" si="82"/>
        <v>1</v>
      </c>
      <c r="AA387" s="1">
        <f t="shared" si="83"/>
        <v>0</v>
      </c>
    </row>
    <row r="388" spans="1:27" ht="18" customHeight="1" x14ac:dyDescent="0.3">
      <c r="A388" s="2"/>
      <c r="B388" s="65" t="str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61"/>
      <c r="D388" s="66"/>
      <c r="E388" s="66"/>
      <c r="F388" s="60"/>
      <c r="G388" s="67"/>
      <c r="H388" s="60"/>
      <c r="I388" s="68">
        <f t="shared" ca="1" si="70"/>
        <v>0</v>
      </c>
      <c r="J388" s="68">
        <f t="shared" ca="1" si="71"/>
        <v>0</v>
      </c>
      <c r="K388" s="68">
        <f t="shared" ca="1" si="72"/>
        <v>0</v>
      </c>
      <c r="L388" s="68">
        <f t="shared" ca="1" si="73"/>
        <v>0</v>
      </c>
      <c r="M388" s="69">
        <f t="shared" si="74"/>
        <v>0</v>
      </c>
      <c r="N388" s="65" t="str">
        <f t="shared" si="75"/>
        <v/>
      </c>
      <c r="O388" s="70" t="str">
        <f>IF(OR($C388="",$D388="",$F388=""),"",IF($F388="Aylık",EOMONTH($D388,0),($D388+MOD(SISTEM!$F$8-WEEKDAY($D388,2),7))))</f>
        <v/>
      </c>
      <c r="P388" s="61"/>
      <c r="Q388" s="2"/>
      <c r="R388" s="2"/>
      <c r="S388" s="1" t="str">
        <f>IF($B388="","",$B388&amp;"|"&amp;COUNTIFS($B$7:$B388,$B388))</f>
        <v/>
      </c>
      <c r="T388" s="1" t="str">
        <f t="shared" si="76"/>
        <v/>
      </c>
      <c r="U388" s="1">
        <f t="shared" si="77"/>
        <v>0</v>
      </c>
      <c r="V388" s="1">
        <f t="shared" si="78"/>
        <v>2958465</v>
      </c>
      <c r="W388" s="1">
        <f t="shared" si="79"/>
        <v>0</v>
      </c>
      <c r="X388" s="1">
        <f t="shared" si="80"/>
        <v>0</v>
      </c>
      <c r="Y388" s="1">
        <f t="shared" si="81"/>
        <v>97200</v>
      </c>
      <c r="Z388" s="1">
        <f t="shared" si="82"/>
        <v>1</v>
      </c>
      <c r="AA388" s="1">
        <f t="shared" si="83"/>
        <v>0</v>
      </c>
    </row>
    <row r="389" spans="1:27" ht="18" customHeight="1" x14ac:dyDescent="0.3">
      <c r="A389" s="2"/>
      <c r="B389" s="65" t="str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61"/>
      <c r="D389" s="66"/>
      <c r="E389" s="66"/>
      <c r="F389" s="60"/>
      <c r="G389" s="67"/>
      <c r="H389" s="60"/>
      <c r="I389" s="68">
        <f t="shared" ca="1" si="70"/>
        <v>0</v>
      </c>
      <c r="J389" s="68">
        <f t="shared" ca="1" si="71"/>
        <v>0</v>
      </c>
      <c r="K389" s="68">
        <f t="shared" ca="1" si="72"/>
        <v>0</v>
      </c>
      <c r="L389" s="68">
        <f t="shared" ca="1" si="73"/>
        <v>0</v>
      </c>
      <c r="M389" s="69">
        <f t="shared" si="74"/>
        <v>0</v>
      </c>
      <c r="N389" s="65" t="str">
        <f t="shared" si="75"/>
        <v/>
      </c>
      <c r="O389" s="70" t="str">
        <f>IF(OR($C389="",$D389="",$F389=""),"",IF($F389="Aylık",EOMONTH($D389,0),($D389+MOD(SISTEM!$F$8-WEEKDAY($D389,2),7))))</f>
        <v/>
      </c>
      <c r="P389" s="61"/>
      <c r="Q389" s="2"/>
      <c r="R389" s="2"/>
      <c r="S389" s="1" t="str">
        <f>IF($B389="","",$B389&amp;"|"&amp;COUNTIFS($B$7:$B389,$B389))</f>
        <v/>
      </c>
      <c r="T389" s="1" t="str">
        <f t="shared" si="76"/>
        <v/>
      </c>
      <c r="U389" s="1">
        <f t="shared" si="77"/>
        <v>0</v>
      </c>
      <c r="V389" s="1">
        <f t="shared" si="78"/>
        <v>2958465</v>
      </c>
      <c r="W389" s="1">
        <f t="shared" si="79"/>
        <v>0</v>
      </c>
      <c r="X389" s="1">
        <f t="shared" si="80"/>
        <v>0</v>
      </c>
      <c r="Y389" s="1">
        <f t="shared" si="81"/>
        <v>97200</v>
      </c>
      <c r="Z389" s="1">
        <f t="shared" si="82"/>
        <v>1</v>
      </c>
      <c r="AA389" s="1">
        <f t="shared" si="83"/>
        <v>0</v>
      </c>
    </row>
    <row r="390" spans="1:27" ht="18" customHeight="1" x14ac:dyDescent="0.3">
      <c r="A390" s="2"/>
      <c r="B390" s="65" t="str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61"/>
      <c r="D390" s="66"/>
      <c r="E390" s="66"/>
      <c r="F390" s="60"/>
      <c r="G390" s="67"/>
      <c r="H390" s="60"/>
      <c r="I390" s="68">
        <f t="shared" ca="1" si="70"/>
        <v>0</v>
      </c>
      <c r="J390" s="68">
        <f t="shared" ca="1" si="71"/>
        <v>0</v>
      </c>
      <c r="K390" s="68">
        <f t="shared" ca="1" si="72"/>
        <v>0</v>
      </c>
      <c r="L390" s="68">
        <f t="shared" ca="1" si="73"/>
        <v>0</v>
      </c>
      <c r="M390" s="69">
        <f t="shared" si="74"/>
        <v>0</v>
      </c>
      <c r="N390" s="65" t="str">
        <f t="shared" si="75"/>
        <v/>
      </c>
      <c r="O390" s="70" t="str">
        <f>IF(OR($C390="",$D390="",$F390=""),"",IF($F390="Aylık",EOMONTH($D390,0),($D390+MOD(SISTEM!$F$8-WEEKDAY($D390,2),7))))</f>
        <v/>
      </c>
      <c r="P390" s="61"/>
      <c r="Q390" s="2"/>
      <c r="R390" s="2"/>
      <c r="S390" s="1" t="str">
        <f>IF($B390="","",$B390&amp;"|"&amp;COUNTIFS($B$7:$B390,$B390))</f>
        <v/>
      </c>
      <c r="T390" s="1" t="str">
        <f t="shared" si="76"/>
        <v/>
      </c>
      <c r="U390" s="1">
        <f t="shared" si="77"/>
        <v>0</v>
      </c>
      <c r="V390" s="1">
        <f t="shared" si="78"/>
        <v>2958465</v>
      </c>
      <c r="W390" s="1">
        <f t="shared" si="79"/>
        <v>0</v>
      </c>
      <c r="X390" s="1">
        <f t="shared" si="80"/>
        <v>0</v>
      </c>
      <c r="Y390" s="1">
        <f t="shared" si="81"/>
        <v>97200</v>
      </c>
      <c r="Z390" s="1">
        <f t="shared" si="82"/>
        <v>1</v>
      </c>
      <c r="AA390" s="1">
        <f t="shared" si="83"/>
        <v>0</v>
      </c>
    </row>
    <row r="391" spans="1:27" ht="18" customHeight="1" x14ac:dyDescent="0.3">
      <c r="A391" s="2"/>
      <c r="B391" s="65" t="str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61"/>
      <c r="D391" s="66"/>
      <c r="E391" s="66"/>
      <c r="F391" s="60"/>
      <c r="G391" s="67"/>
      <c r="H391" s="60"/>
      <c r="I391" s="68">
        <f t="shared" ref="I391:I454" ca="1" si="84"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>0</v>
      </c>
      <c r="J391" s="68">
        <f t="shared" ref="J391:J454" ca="1" si="85"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>0</v>
      </c>
      <c r="K391" s="68">
        <f t="shared" ref="K391:K454" ca="1" si="86"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>0</v>
      </c>
      <c r="L391" s="68">
        <f t="shared" ref="L391:L454" ca="1" si="87"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>0</v>
      </c>
      <c r="M391" s="69">
        <f t="shared" ref="M391:M454" si="88">IF($G391&gt;0,$I391/$G391,0)</f>
        <v>0</v>
      </c>
      <c r="N391" s="65" t="str">
        <f t="shared" ref="N391:N454" si="89"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70" t="str">
        <f>IF(OR($C391="",$D391="",$F391=""),"",IF($F391="Aylık",EOMONTH($D391,0),($D391+MOD(SISTEM!$F$8-WEEKDAY($D391,2),7))))</f>
        <v/>
      </c>
      <c r="P391" s="61"/>
      <c r="Q391" s="2"/>
      <c r="R391" s="2"/>
      <c r="S391" s="1" t="str">
        <f>IF($B391="","",$B391&amp;"|"&amp;COUNTIFS($B$7:$B391,$B391))</f>
        <v/>
      </c>
      <c r="T391" s="1" t="str">
        <f t="shared" ref="T391:T454" si="90"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">
        <f t="shared" ref="U391:U454" si="91">IF($O391="",0,$O391)</f>
        <v>0</v>
      </c>
      <c r="V391" s="1">
        <f t="shared" ref="V391:V454" si="92">IF($E391="",2958465,$E391)</f>
        <v>2958465</v>
      </c>
      <c r="W391" s="1">
        <f t="shared" ref="W391:W454" si="93">IF($F391="Haftalık",1,IF($F391="Aylık",2,0))</f>
        <v>0</v>
      </c>
      <c r="X391" s="1">
        <f t="shared" ref="X391:X454" si="94">IF($U391=0,0,(YEAR($U391)-1900)*12+MONTH($U391))</f>
        <v>0</v>
      </c>
      <c r="Y391" s="1">
        <f t="shared" ref="Y391:Y454" si="95">(YEAR($V391)-1900)*12+MONTH($V391)</f>
        <v>97200</v>
      </c>
      <c r="Z391" s="1">
        <f t="shared" ref="Z391:Z454" si="96">IF($V391=EOMONTH($V391,0),1,0)</f>
        <v>1</v>
      </c>
      <c r="AA391" s="1">
        <f t="shared" ref="AA391:AA454" si="97">IF(OR($B391="",$H391&lt;&gt;"Aktif"),0,COUNTIFS($B$7:$B$606,$B391,$H$7:$H$606,"Aktif"))</f>
        <v>0</v>
      </c>
    </row>
    <row r="392" spans="1:27" ht="18" customHeight="1" x14ac:dyDescent="0.3">
      <c r="A392" s="2"/>
      <c r="B392" s="65" t="str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61"/>
      <c r="D392" s="66"/>
      <c r="E392" s="66"/>
      <c r="F392" s="60"/>
      <c r="G392" s="67"/>
      <c r="H392" s="60"/>
      <c r="I392" s="68">
        <f t="shared" ca="1" si="84"/>
        <v>0</v>
      </c>
      <c r="J392" s="68">
        <f t="shared" ca="1" si="85"/>
        <v>0</v>
      </c>
      <c r="K392" s="68">
        <f t="shared" ca="1" si="86"/>
        <v>0</v>
      </c>
      <c r="L392" s="68">
        <f t="shared" ca="1" si="87"/>
        <v>0</v>
      </c>
      <c r="M392" s="69">
        <f t="shared" si="88"/>
        <v>0</v>
      </c>
      <c r="N392" s="65" t="str">
        <f t="shared" si="89"/>
        <v/>
      </c>
      <c r="O392" s="70" t="str">
        <f>IF(OR($C392="",$D392="",$F392=""),"",IF($F392="Aylık",EOMONTH($D392,0),($D392+MOD(SISTEM!$F$8-WEEKDAY($D392,2),7))))</f>
        <v/>
      </c>
      <c r="P392" s="61"/>
      <c r="Q392" s="2"/>
      <c r="R392" s="2"/>
      <c r="S392" s="1" t="str">
        <f>IF($B392="","",$B392&amp;"|"&amp;COUNTIFS($B$7:$B392,$B392))</f>
        <v/>
      </c>
      <c r="T392" s="1" t="str">
        <f t="shared" si="90"/>
        <v/>
      </c>
      <c r="U392" s="1">
        <f t="shared" si="91"/>
        <v>0</v>
      </c>
      <c r="V392" s="1">
        <f t="shared" si="92"/>
        <v>2958465</v>
      </c>
      <c r="W392" s="1">
        <f t="shared" si="93"/>
        <v>0</v>
      </c>
      <c r="X392" s="1">
        <f t="shared" si="94"/>
        <v>0</v>
      </c>
      <c r="Y392" s="1">
        <f t="shared" si="95"/>
        <v>97200</v>
      </c>
      <c r="Z392" s="1">
        <f t="shared" si="96"/>
        <v>1</v>
      </c>
      <c r="AA392" s="1">
        <f t="shared" si="97"/>
        <v>0</v>
      </c>
    </row>
    <row r="393" spans="1:27" ht="18" customHeight="1" x14ac:dyDescent="0.3">
      <c r="A393" s="2"/>
      <c r="B393" s="65" t="str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61"/>
      <c r="D393" s="66"/>
      <c r="E393" s="66"/>
      <c r="F393" s="60"/>
      <c r="G393" s="67"/>
      <c r="H393" s="60"/>
      <c r="I393" s="68">
        <f t="shared" ca="1" si="84"/>
        <v>0</v>
      </c>
      <c r="J393" s="68">
        <f t="shared" ca="1" si="85"/>
        <v>0</v>
      </c>
      <c r="K393" s="68">
        <f t="shared" ca="1" si="86"/>
        <v>0</v>
      </c>
      <c r="L393" s="68">
        <f t="shared" ca="1" si="87"/>
        <v>0</v>
      </c>
      <c r="M393" s="69">
        <f t="shared" si="88"/>
        <v>0</v>
      </c>
      <c r="N393" s="65" t="str">
        <f t="shared" si="89"/>
        <v/>
      </c>
      <c r="O393" s="70" t="str">
        <f>IF(OR($C393="",$D393="",$F393=""),"",IF($F393="Aylık",EOMONTH($D393,0),($D393+MOD(SISTEM!$F$8-WEEKDAY($D393,2),7))))</f>
        <v/>
      </c>
      <c r="P393" s="61"/>
      <c r="Q393" s="2"/>
      <c r="R393" s="2"/>
      <c r="S393" s="1" t="str">
        <f>IF($B393="","",$B393&amp;"|"&amp;COUNTIFS($B$7:$B393,$B393))</f>
        <v/>
      </c>
      <c r="T393" s="1" t="str">
        <f t="shared" si="90"/>
        <v/>
      </c>
      <c r="U393" s="1">
        <f t="shared" si="91"/>
        <v>0</v>
      </c>
      <c r="V393" s="1">
        <f t="shared" si="92"/>
        <v>2958465</v>
      </c>
      <c r="W393" s="1">
        <f t="shared" si="93"/>
        <v>0</v>
      </c>
      <c r="X393" s="1">
        <f t="shared" si="94"/>
        <v>0</v>
      </c>
      <c r="Y393" s="1">
        <f t="shared" si="95"/>
        <v>97200</v>
      </c>
      <c r="Z393" s="1">
        <f t="shared" si="96"/>
        <v>1</v>
      </c>
      <c r="AA393" s="1">
        <f t="shared" si="97"/>
        <v>0</v>
      </c>
    </row>
    <row r="394" spans="1:27" ht="18" customHeight="1" x14ac:dyDescent="0.3">
      <c r="A394" s="2"/>
      <c r="B394" s="65" t="str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61"/>
      <c r="D394" s="66"/>
      <c r="E394" s="66"/>
      <c r="F394" s="60"/>
      <c r="G394" s="67"/>
      <c r="H394" s="60"/>
      <c r="I394" s="68">
        <f t="shared" ca="1" si="84"/>
        <v>0</v>
      </c>
      <c r="J394" s="68">
        <f t="shared" ca="1" si="85"/>
        <v>0</v>
      </c>
      <c r="K394" s="68">
        <f t="shared" ca="1" si="86"/>
        <v>0</v>
      </c>
      <c r="L394" s="68">
        <f t="shared" ca="1" si="87"/>
        <v>0</v>
      </c>
      <c r="M394" s="69">
        <f t="shared" si="88"/>
        <v>0</v>
      </c>
      <c r="N394" s="65" t="str">
        <f t="shared" si="89"/>
        <v/>
      </c>
      <c r="O394" s="70" t="str">
        <f>IF(OR($C394="",$D394="",$F394=""),"",IF($F394="Aylık",EOMONTH($D394,0),($D394+MOD(SISTEM!$F$8-WEEKDAY($D394,2),7))))</f>
        <v/>
      </c>
      <c r="P394" s="61"/>
      <c r="Q394" s="2"/>
      <c r="R394" s="2"/>
      <c r="S394" s="1" t="str">
        <f>IF($B394="","",$B394&amp;"|"&amp;COUNTIFS($B$7:$B394,$B394))</f>
        <v/>
      </c>
      <c r="T394" s="1" t="str">
        <f t="shared" si="90"/>
        <v/>
      </c>
      <c r="U394" s="1">
        <f t="shared" si="91"/>
        <v>0</v>
      </c>
      <c r="V394" s="1">
        <f t="shared" si="92"/>
        <v>2958465</v>
      </c>
      <c r="W394" s="1">
        <f t="shared" si="93"/>
        <v>0</v>
      </c>
      <c r="X394" s="1">
        <f t="shared" si="94"/>
        <v>0</v>
      </c>
      <c r="Y394" s="1">
        <f t="shared" si="95"/>
        <v>97200</v>
      </c>
      <c r="Z394" s="1">
        <f t="shared" si="96"/>
        <v>1</v>
      </c>
      <c r="AA394" s="1">
        <f t="shared" si="97"/>
        <v>0</v>
      </c>
    </row>
    <row r="395" spans="1:27" ht="18" customHeight="1" x14ac:dyDescent="0.3">
      <c r="A395" s="2"/>
      <c r="B395" s="65" t="str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61"/>
      <c r="D395" s="66"/>
      <c r="E395" s="66"/>
      <c r="F395" s="60"/>
      <c r="G395" s="67"/>
      <c r="H395" s="60"/>
      <c r="I395" s="68">
        <f t="shared" ca="1" si="84"/>
        <v>0</v>
      </c>
      <c r="J395" s="68">
        <f t="shared" ca="1" si="85"/>
        <v>0</v>
      </c>
      <c r="K395" s="68">
        <f t="shared" ca="1" si="86"/>
        <v>0</v>
      </c>
      <c r="L395" s="68">
        <f t="shared" ca="1" si="87"/>
        <v>0</v>
      </c>
      <c r="M395" s="69">
        <f t="shared" si="88"/>
        <v>0</v>
      </c>
      <c r="N395" s="65" t="str">
        <f t="shared" si="89"/>
        <v/>
      </c>
      <c r="O395" s="70" t="str">
        <f>IF(OR($C395="",$D395="",$F395=""),"",IF($F395="Aylık",EOMONTH($D395,0),($D395+MOD(SISTEM!$F$8-WEEKDAY($D395,2),7))))</f>
        <v/>
      </c>
      <c r="P395" s="61"/>
      <c r="Q395" s="2"/>
      <c r="R395" s="2"/>
      <c r="S395" s="1" t="str">
        <f>IF($B395="","",$B395&amp;"|"&amp;COUNTIFS($B$7:$B395,$B395))</f>
        <v/>
      </c>
      <c r="T395" s="1" t="str">
        <f t="shared" si="90"/>
        <v/>
      </c>
      <c r="U395" s="1">
        <f t="shared" si="91"/>
        <v>0</v>
      </c>
      <c r="V395" s="1">
        <f t="shared" si="92"/>
        <v>2958465</v>
      </c>
      <c r="W395" s="1">
        <f t="shared" si="93"/>
        <v>0</v>
      </c>
      <c r="X395" s="1">
        <f t="shared" si="94"/>
        <v>0</v>
      </c>
      <c r="Y395" s="1">
        <f t="shared" si="95"/>
        <v>97200</v>
      </c>
      <c r="Z395" s="1">
        <f t="shared" si="96"/>
        <v>1</v>
      </c>
      <c r="AA395" s="1">
        <f t="shared" si="97"/>
        <v>0</v>
      </c>
    </row>
    <row r="396" spans="1:27" ht="18" customHeight="1" x14ac:dyDescent="0.3">
      <c r="A396" s="2"/>
      <c r="B396" s="65" t="str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61"/>
      <c r="D396" s="66"/>
      <c r="E396" s="66"/>
      <c r="F396" s="60"/>
      <c r="G396" s="67"/>
      <c r="H396" s="60"/>
      <c r="I396" s="68">
        <f t="shared" ca="1" si="84"/>
        <v>0</v>
      </c>
      <c r="J396" s="68">
        <f t="shared" ca="1" si="85"/>
        <v>0</v>
      </c>
      <c r="K396" s="68">
        <f t="shared" ca="1" si="86"/>
        <v>0</v>
      </c>
      <c r="L396" s="68">
        <f t="shared" ca="1" si="87"/>
        <v>0</v>
      </c>
      <c r="M396" s="69">
        <f t="shared" si="88"/>
        <v>0</v>
      </c>
      <c r="N396" s="65" t="str">
        <f t="shared" si="89"/>
        <v/>
      </c>
      <c r="O396" s="70" t="str">
        <f>IF(OR($C396="",$D396="",$F396=""),"",IF($F396="Aylık",EOMONTH($D396,0),($D396+MOD(SISTEM!$F$8-WEEKDAY($D396,2),7))))</f>
        <v/>
      </c>
      <c r="P396" s="61"/>
      <c r="Q396" s="2"/>
      <c r="R396" s="2"/>
      <c r="S396" s="1" t="str">
        <f>IF($B396="","",$B396&amp;"|"&amp;COUNTIFS($B$7:$B396,$B396))</f>
        <v/>
      </c>
      <c r="T396" s="1" t="str">
        <f t="shared" si="90"/>
        <v/>
      </c>
      <c r="U396" s="1">
        <f t="shared" si="91"/>
        <v>0</v>
      </c>
      <c r="V396" s="1">
        <f t="shared" si="92"/>
        <v>2958465</v>
      </c>
      <c r="W396" s="1">
        <f t="shared" si="93"/>
        <v>0</v>
      </c>
      <c r="X396" s="1">
        <f t="shared" si="94"/>
        <v>0</v>
      </c>
      <c r="Y396" s="1">
        <f t="shared" si="95"/>
        <v>97200</v>
      </c>
      <c r="Z396" s="1">
        <f t="shared" si="96"/>
        <v>1</v>
      </c>
      <c r="AA396" s="1">
        <f t="shared" si="97"/>
        <v>0</v>
      </c>
    </row>
    <row r="397" spans="1:27" ht="18" customHeight="1" x14ac:dyDescent="0.3">
      <c r="A397" s="2"/>
      <c r="B397" s="65" t="str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61"/>
      <c r="D397" s="66"/>
      <c r="E397" s="66"/>
      <c r="F397" s="60"/>
      <c r="G397" s="67"/>
      <c r="H397" s="60"/>
      <c r="I397" s="68">
        <f t="shared" ca="1" si="84"/>
        <v>0</v>
      </c>
      <c r="J397" s="68">
        <f t="shared" ca="1" si="85"/>
        <v>0</v>
      </c>
      <c r="K397" s="68">
        <f t="shared" ca="1" si="86"/>
        <v>0</v>
      </c>
      <c r="L397" s="68">
        <f t="shared" ca="1" si="87"/>
        <v>0</v>
      </c>
      <c r="M397" s="69">
        <f t="shared" si="88"/>
        <v>0</v>
      </c>
      <c r="N397" s="65" t="str">
        <f t="shared" si="89"/>
        <v/>
      </c>
      <c r="O397" s="70" t="str">
        <f>IF(OR($C397="",$D397="",$F397=""),"",IF($F397="Aylık",EOMONTH($D397,0),($D397+MOD(SISTEM!$F$8-WEEKDAY($D397,2),7))))</f>
        <v/>
      </c>
      <c r="P397" s="61"/>
      <c r="Q397" s="2"/>
      <c r="R397" s="2"/>
      <c r="S397" s="1" t="str">
        <f>IF($B397="","",$B397&amp;"|"&amp;COUNTIFS($B$7:$B397,$B397))</f>
        <v/>
      </c>
      <c r="T397" s="1" t="str">
        <f t="shared" si="90"/>
        <v/>
      </c>
      <c r="U397" s="1">
        <f t="shared" si="91"/>
        <v>0</v>
      </c>
      <c r="V397" s="1">
        <f t="shared" si="92"/>
        <v>2958465</v>
      </c>
      <c r="W397" s="1">
        <f t="shared" si="93"/>
        <v>0</v>
      </c>
      <c r="X397" s="1">
        <f t="shared" si="94"/>
        <v>0</v>
      </c>
      <c r="Y397" s="1">
        <f t="shared" si="95"/>
        <v>97200</v>
      </c>
      <c r="Z397" s="1">
        <f t="shared" si="96"/>
        <v>1</v>
      </c>
      <c r="AA397" s="1">
        <f t="shared" si="97"/>
        <v>0</v>
      </c>
    </row>
    <row r="398" spans="1:27" ht="18" customHeight="1" x14ac:dyDescent="0.3">
      <c r="A398" s="2"/>
      <c r="B398" s="65" t="str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61"/>
      <c r="D398" s="66"/>
      <c r="E398" s="66"/>
      <c r="F398" s="60"/>
      <c r="G398" s="67"/>
      <c r="H398" s="60"/>
      <c r="I398" s="68">
        <f t="shared" ca="1" si="84"/>
        <v>0</v>
      </c>
      <c r="J398" s="68">
        <f t="shared" ca="1" si="85"/>
        <v>0</v>
      </c>
      <c r="K398" s="68">
        <f t="shared" ca="1" si="86"/>
        <v>0</v>
      </c>
      <c r="L398" s="68">
        <f t="shared" ca="1" si="87"/>
        <v>0</v>
      </c>
      <c r="M398" s="69">
        <f t="shared" si="88"/>
        <v>0</v>
      </c>
      <c r="N398" s="65" t="str">
        <f t="shared" si="89"/>
        <v/>
      </c>
      <c r="O398" s="70" t="str">
        <f>IF(OR($C398="",$D398="",$F398=""),"",IF($F398="Aylık",EOMONTH($D398,0),($D398+MOD(SISTEM!$F$8-WEEKDAY($D398,2),7))))</f>
        <v/>
      </c>
      <c r="P398" s="61"/>
      <c r="Q398" s="2"/>
      <c r="R398" s="2"/>
      <c r="S398" s="1" t="str">
        <f>IF($B398="","",$B398&amp;"|"&amp;COUNTIFS($B$7:$B398,$B398))</f>
        <v/>
      </c>
      <c r="T398" s="1" t="str">
        <f t="shared" si="90"/>
        <v/>
      </c>
      <c r="U398" s="1">
        <f t="shared" si="91"/>
        <v>0</v>
      </c>
      <c r="V398" s="1">
        <f t="shared" si="92"/>
        <v>2958465</v>
      </c>
      <c r="W398" s="1">
        <f t="shared" si="93"/>
        <v>0</v>
      </c>
      <c r="X398" s="1">
        <f t="shared" si="94"/>
        <v>0</v>
      </c>
      <c r="Y398" s="1">
        <f t="shared" si="95"/>
        <v>97200</v>
      </c>
      <c r="Z398" s="1">
        <f t="shared" si="96"/>
        <v>1</v>
      </c>
      <c r="AA398" s="1">
        <f t="shared" si="97"/>
        <v>0</v>
      </c>
    </row>
    <row r="399" spans="1:27" ht="18" customHeight="1" x14ac:dyDescent="0.3">
      <c r="A399" s="2"/>
      <c r="B399" s="65" t="str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61"/>
      <c r="D399" s="66"/>
      <c r="E399" s="66"/>
      <c r="F399" s="60"/>
      <c r="G399" s="67"/>
      <c r="H399" s="60"/>
      <c r="I399" s="68">
        <f t="shared" ca="1" si="84"/>
        <v>0</v>
      </c>
      <c r="J399" s="68">
        <f t="shared" ca="1" si="85"/>
        <v>0</v>
      </c>
      <c r="K399" s="68">
        <f t="shared" ca="1" si="86"/>
        <v>0</v>
      </c>
      <c r="L399" s="68">
        <f t="shared" ca="1" si="87"/>
        <v>0</v>
      </c>
      <c r="M399" s="69">
        <f t="shared" si="88"/>
        <v>0</v>
      </c>
      <c r="N399" s="65" t="str">
        <f t="shared" si="89"/>
        <v/>
      </c>
      <c r="O399" s="70" t="str">
        <f>IF(OR($C399="",$D399="",$F399=""),"",IF($F399="Aylık",EOMONTH($D399,0),($D399+MOD(SISTEM!$F$8-WEEKDAY($D399,2),7))))</f>
        <v/>
      </c>
      <c r="P399" s="61"/>
      <c r="Q399" s="2"/>
      <c r="R399" s="2"/>
      <c r="S399" s="1" t="str">
        <f>IF($B399="","",$B399&amp;"|"&amp;COUNTIFS($B$7:$B399,$B399))</f>
        <v/>
      </c>
      <c r="T399" s="1" t="str">
        <f t="shared" si="90"/>
        <v/>
      </c>
      <c r="U399" s="1">
        <f t="shared" si="91"/>
        <v>0</v>
      </c>
      <c r="V399" s="1">
        <f t="shared" si="92"/>
        <v>2958465</v>
      </c>
      <c r="W399" s="1">
        <f t="shared" si="93"/>
        <v>0</v>
      </c>
      <c r="X399" s="1">
        <f t="shared" si="94"/>
        <v>0</v>
      </c>
      <c r="Y399" s="1">
        <f t="shared" si="95"/>
        <v>97200</v>
      </c>
      <c r="Z399" s="1">
        <f t="shared" si="96"/>
        <v>1</v>
      </c>
      <c r="AA399" s="1">
        <f t="shared" si="97"/>
        <v>0</v>
      </c>
    </row>
    <row r="400" spans="1:27" ht="18" customHeight="1" x14ac:dyDescent="0.3">
      <c r="A400" s="2"/>
      <c r="B400" s="65" t="str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61"/>
      <c r="D400" s="66"/>
      <c r="E400" s="66"/>
      <c r="F400" s="60"/>
      <c r="G400" s="67"/>
      <c r="H400" s="60"/>
      <c r="I400" s="68">
        <f t="shared" ca="1" si="84"/>
        <v>0</v>
      </c>
      <c r="J400" s="68">
        <f t="shared" ca="1" si="85"/>
        <v>0</v>
      </c>
      <c r="K400" s="68">
        <f t="shared" ca="1" si="86"/>
        <v>0</v>
      </c>
      <c r="L400" s="68">
        <f t="shared" ca="1" si="87"/>
        <v>0</v>
      </c>
      <c r="M400" s="69">
        <f t="shared" si="88"/>
        <v>0</v>
      </c>
      <c r="N400" s="65" t="str">
        <f t="shared" si="89"/>
        <v/>
      </c>
      <c r="O400" s="70" t="str">
        <f>IF(OR($C400="",$D400="",$F400=""),"",IF($F400="Aylık",EOMONTH($D400,0),($D400+MOD(SISTEM!$F$8-WEEKDAY($D400,2),7))))</f>
        <v/>
      </c>
      <c r="P400" s="61"/>
      <c r="Q400" s="2"/>
      <c r="R400" s="2"/>
      <c r="S400" s="1" t="str">
        <f>IF($B400="","",$B400&amp;"|"&amp;COUNTIFS($B$7:$B400,$B400))</f>
        <v/>
      </c>
      <c r="T400" s="1" t="str">
        <f t="shared" si="90"/>
        <v/>
      </c>
      <c r="U400" s="1">
        <f t="shared" si="91"/>
        <v>0</v>
      </c>
      <c r="V400" s="1">
        <f t="shared" si="92"/>
        <v>2958465</v>
      </c>
      <c r="W400" s="1">
        <f t="shared" si="93"/>
        <v>0</v>
      </c>
      <c r="X400" s="1">
        <f t="shared" si="94"/>
        <v>0</v>
      </c>
      <c r="Y400" s="1">
        <f t="shared" si="95"/>
        <v>97200</v>
      </c>
      <c r="Z400" s="1">
        <f t="shared" si="96"/>
        <v>1</v>
      </c>
      <c r="AA400" s="1">
        <f t="shared" si="97"/>
        <v>0</v>
      </c>
    </row>
    <row r="401" spans="1:27" ht="18" customHeight="1" x14ac:dyDescent="0.3">
      <c r="A401" s="2"/>
      <c r="B401" s="65" t="str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61"/>
      <c r="D401" s="66"/>
      <c r="E401" s="66"/>
      <c r="F401" s="60"/>
      <c r="G401" s="67"/>
      <c r="H401" s="60"/>
      <c r="I401" s="68">
        <f t="shared" ca="1" si="84"/>
        <v>0</v>
      </c>
      <c r="J401" s="68">
        <f t="shared" ca="1" si="85"/>
        <v>0</v>
      </c>
      <c r="K401" s="68">
        <f t="shared" ca="1" si="86"/>
        <v>0</v>
      </c>
      <c r="L401" s="68">
        <f t="shared" ca="1" si="87"/>
        <v>0</v>
      </c>
      <c r="M401" s="69">
        <f t="shared" si="88"/>
        <v>0</v>
      </c>
      <c r="N401" s="65" t="str">
        <f t="shared" si="89"/>
        <v/>
      </c>
      <c r="O401" s="70" t="str">
        <f>IF(OR($C401="",$D401="",$F401=""),"",IF($F401="Aylık",EOMONTH($D401,0),($D401+MOD(SISTEM!$F$8-WEEKDAY($D401,2),7))))</f>
        <v/>
      </c>
      <c r="P401" s="61"/>
      <c r="Q401" s="2"/>
      <c r="R401" s="2"/>
      <c r="S401" s="1" t="str">
        <f>IF($B401="","",$B401&amp;"|"&amp;COUNTIFS($B$7:$B401,$B401))</f>
        <v/>
      </c>
      <c r="T401" s="1" t="str">
        <f t="shared" si="90"/>
        <v/>
      </c>
      <c r="U401" s="1">
        <f t="shared" si="91"/>
        <v>0</v>
      </c>
      <c r="V401" s="1">
        <f t="shared" si="92"/>
        <v>2958465</v>
      </c>
      <c r="W401" s="1">
        <f t="shared" si="93"/>
        <v>0</v>
      </c>
      <c r="X401" s="1">
        <f t="shared" si="94"/>
        <v>0</v>
      </c>
      <c r="Y401" s="1">
        <f t="shared" si="95"/>
        <v>97200</v>
      </c>
      <c r="Z401" s="1">
        <f t="shared" si="96"/>
        <v>1</v>
      </c>
      <c r="AA401" s="1">
        <f t="shared" si="97"/>
        <v>0</v>
      </c>
    </row>
    <row r="402" spans="1:27" ht="18" customHeight="1" x14ac:dyDescent="0.3">
      <c r="A402" s="2"/>
      <c r="B402" s="65" t="str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61"/>
      <c r="D402" s="66"/>
      <c r="E402" s="66"/>
      <c r="F402" s="60"/>
      <c r="G402" s="67"/>
      <c r="H402" s="60"/>
      <c r="I402" s="68">
        <f t="shared" ca="1" si="84"/>
        <v>0</v>
      </c>
      <c r="J402" s="68">
        <f t="shared" ca="1" si="85"/>
        <v>0</v>
      </c>
      <c r="K402" s="68">
        <f t="shared" ca="1" si="86"/>
        <v>0</v>
      </c>
      <c r="L402" s="68">
        <f t="shared" ca="1" si="87"/>
        <v>0</v>
      </c>
      <c r="M402" s="69">
        <f t="shared" si="88"/>
        <v>0</v>
      </c>
      <c r="N402" s="65" t="str">
        <f t="shared" si="89"/>
        <v/>
      </c>
      <c r="O402" s="70" t="str">
        <f>IF(OR($C402="",$D402="",$F402=""),"",IF($F402="Aylık",EOMONTH($D402,0),($D402+MOD(SISTEM!$F$8-WEEKDAY($D402,2),7))))</f>
        <v/>
      </c>
      <c r="P402" s="61"/>
      <c r="Q402" s="2"/>
      <c r="R402" s="2"/>
      <c r="S402" s="1" t="str">
        <f>IF($B402="","",$B402&amp;"|"&amp;COUNTIFS($B$7:$B402,$B402))</f>
        <v/>
      </c>
      <c r="T402" s="1" t="str">
        <f t="shared" si="90"/>
        <v/>
      </c>
      <c r="U402" s="1">
        <f t="shared" si="91"/>
        <v>0</v>
      </c>
      <c r="V402" s="1">
        <f t="shared" si="92"/>
        <v>2958465</v>
      </c>
      <c r="W402" s="1">
        <f t="shared" si="93"/>
        <v>0</v>
      </c>
      <c r="X402" s="1">
        <f t="shared" si="94"/>
        <v>0</v>
      </c>
      <c r="Y402" s="1">
        <f t="shared" si="95"/>
        <v>97200</v>
      </c>
      <c r="Z402" s="1">
        <f t="shared" si="96"/>
        <v>1</v>
      </c>
      <c r="AA402" s="1">
        <f t="shared" si="97"/>
        <v>0</v>
      </c>
    </row>
    <row r="403" spans="1:27" ht="18" customHeight="1" x14ac:dyDescent="0.3">
      <c r="A403" s="2"/>
      <c r="B403" s="65" t="str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61"/>
      <c r="D403" s="66"/>
      <c r="E403" s="66"/>
      <c r="F403" s="60"/>
      <c r="G403" s="67"/>
      <c r="H403" s="60"/>
      <c r="I403" s="68">
        <f t="shared" ca="1" si="84"/>
        <v>0</v>
      </c>
      <c r="J403" s="68">
        <f t="shared" ca="1" si="85"/>
        <v>0</v>
      </c>
      <c r="K403" s="68">
        <f t="shared" ca="1" si="86"/>
        <v>0</v>
      </c>
      <c r="L403" s="68">
        <f t="shared" ca="1" si="87"/>
        <v>0</v>
      </c>
      <c r="M403" s="69">
        <f t="shared" si="88"/>
        <v>0</v>
      </c>
      <c r="N403" s="65" t="str">
        <f t="shared" si="89"/>
        <v/>
      </c>
      <c r="O403" s="70" t="str">
        <f>IF(OR($C403="",$D403="",$F403=""),"",IF($F403="Aylık",EOMONTH($D403,0),($D403+MOD(SISTEM!$F$8-WEEKDAY($D403,2),7))))</f>
        <v/>
      </c>
      <c r="P403" s="61"/>
      <c r="Q403" s="2"/>
      <c r="R403" s="2"/>
      <c r="S403" s="1" t="str">
        <f>IF($B403="","",$B403&amp;"|"&amp;COUNTIFS($B$7:$B403,$B403))</f>
        <v/>
      </c>
      <c r="T403" s="1" t="str">
        <f t="shared" si="90"/>
        <v/>
      </c>
      <c r="U403" s="1">
        <f t="shared" si="91"/>
        <v>0</v>
      </c>
      <c r="V403" s="1">
        <f t="shared" si="92"/>
        <v>2958465</v>
      </c>
      <c r="W403" s="1">
        <f t="shared" si="93"/>
        <v>0</v>
      </c>
      <c r="X403" s="1">
        <f t="shared" si="94"/>
        <v>0</v>
      </c>
      <c r="Y403" s="1">
        <f t="shared" si="95"/>
        <v>97200</v>
      </c>
      <c r="Z403" s="1">
        <f t="shared" si="96"/>
        <v>1</v>
      </c>
      <c r="AA403" s="1">
        <f t="shared" si="97"/>
        <v>0</v>
      </c>
    </row>
    <row r="404" spans="1:27" ht="18" customHeight="1" x14ac:dyDescent="0.3">
      <c r="A404" s="2"/>
      <c r="B404" s="65" t="str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61"/>
      <c r="D404" s="66"/>
      <c r="E404" s="66"/>
      <c r="F404" s="60"/>
      <c r="G404" s="67"/>
      <c r="H404" s="60"/>
      <c r="I404" s="68">
        <f t="shared" ca="1" si="84"/>
        <v>0</v>
      </c>
      <c r="J404" s="68">
        <f t="shared" ca="1" si="85"/>
        <v>0</v>
      </c>
      <c r="K404" s="68">
        <f t="shared" ca="1" si="86"/>
        <v>0</v>
      </c>
      <c r="L404" s="68">
        <f t="shared" ca="1" si="87"/>
        <v>0</v>
      </c>
      <c r="M404" s="69">
        <f t="shared" si="88"/>
        <v>0</v>
      </c>
      <c r="N404" s="65" t="str">
        <f t="shared" si="89"/>
        <v/>
      </c>
      <c r="O404" s="70" t="str">
        <f>IF(OR($C404="",$D404="",$F404=""),"",IF($F404="Aylık",EOMONTH($D404,0),($D404+MOD(SISTEM!$F$8-WEEKDAY($D404,2),7))))</f>
        <v/>
      </c>
      <c r="P404" s="61"/>
      <c r="Q404" s="2"/>
      <c r="R404" s="2"/>
      <c r="S404" s="1" t="str">
        <f>IF($B404="","",$B404&amp;"|"&amp;COUNTIFS($B$7:$B404,$B404))</f>
        <v/>
      </c>
      <c r="T404" s="1" t="str">
        <f t="shared" si="90"/>
        <v/>
      </c>
      <c r="U404" s="1">
        <f t="shared" si="91"/>
        <v>0</v>
      </c>
      <c r="V404" s="1">
        <f t="shared" si="92"/>
        <v>2958465</v>
      </c>
      <c r="W404" s="1">
        <f t="shared" si="93"/>
        <v>0</v>
      </c>
      <c r="X404" s="1">
        <f t="shared" si="94"/>
        <v>0</v>
      </c>
      <c r="Y404" s="1">
        <f t="shared" si="95"/>
        <v>97200</v>
      </c>
      <c r="Z404" s="1">
        <f t="shared" si="96"/>
        <v>1</v>
      </c>
      <c r="AA404" s="1">
        <f t="shared" si="97"/>
        <v>0</v>
      </c>
    </row>
    <row r="405" spans="1:27" ht="18" customHeight="1" x14ac:dyDescent="0.3">
      <c r="A405" s="2"/>
      <c r="B405" s="65" t="str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61"/>
      <c r="D405" s="66"/>
      <c r="E405" s="66"/>
      <c r="F405" s="60"/>
      <c r="G405" s="67"/>
      <c r="H405" s="60"/>
      <c r="I405" s="68">
        <f t="shared" ca="1" si="84"/>
        <v>0</v>
      </c>
      <c r="J405" s="68">
        <f t="shared" ca="1" si="85"/>
        <v>0</v>
      </c>
      <c r="K405" s="68">
        <f t="shared" ca="1" si="86"/>
        <v>0</v>
      </c>
      <c r="L405" s="68">
        <f t="shared" ca="1" si="87"/>
        <v>0</v>
      </c>
      <c r="M405" s="69">
        <f t="shared" si="88"/>
        <v>0</v>
      </c>
      <c r="N405" s="65" t="str">
        <f t="shared" si="89"/>
        <v/>
      </c>
      <c r="O405" s="70" t="str">
        <f>IF(OR($C405="",$D405="",$F405=""),"",IF($F405="Aylık",EOMONTH($D405,0),($D405+MOD(SISTEM!$F$8-WEEKDAY($D405,2),7))))</f>
        <v/>
      </c>
      <c r="P405" s="61"/>
      <c r="Q405" s="2"/>
      <c r="R405" s="2"/>
      <c r="S405" s="1" t="str">
        <f>IF($B405="","",$B405&amp;"|"&amp;COUNTIFS($B$7:$B405,$B405))</f>
        <v/>
      </c>
      <c r="T405" s="1" t="str">
        <f t="shared" si="90"/>
        <v/>
      </c>
      <c r="U405" s="1">
        <f t="shared" si="91"/>
        <v>0</v>
      </c>
      <c r="V405" s="1">
        <f t="shared" si="92"/>
        <v>2958465</v>
      </c>
      <c r="W405" s="1">
        <f t="shared" si="93"/>
        <v>0</v>
      </c>
      <c r="X405" s="1">
        <f t="shared" si="94"/>
        <v>0</v>
      </c>
      <c r="Y405" s="1">
        <f t="shared" si="95"/>
        <v>97200</v>
      </c>
      <c r="Z405" s="1">
        <f t="shared" si="96"/>
        <v>1</v>
      </c>
      <c r="AA405" s="1">
        <f t="shared" si="97"/>
        <v>0</v>
      </c>
    </row>
    <row r="406" spans="1:27" ht="18" customHeight="1" x14ac:dyDescent="0.3">
      <c r="A406" s="2"/>
      <c r="B406" s="65" t="str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61"/>
      <c r="D406" s="66"/>
      <c r="E406" s="66"/>
      <c r="F406" s="60"/>
      <c r="G406" s="67"/>
      <c r="H406" s="60"/>
      <c r="I406" s="68">
        <f t="shared" ca="1" si="84"/>
        <v>0</v>
      </c>
      <c r="J406" s="68">
        <f t="shared" ca="1" si="85"/>
        <v>0</v>
      </c>
      <c r="K406" s="68">
        <f t="shared" ca="1" si="86"/>
        <v>0</v>
      </c>
      <c r="L406" s="68">
        <f t="shared" ca="1" si="87"/>
        <v>0</v>
      </c>
      <c r="M406" s="69">
        <f t="shared" si="88"/>
        <v>0</v>
      </c>
      <c r="N406" s="65" t="str">
        <f t="shared" si="89"/>
        <v/>
      </c>
      <c r="O406" s="70" t="str">
        <f>IF(OR($C406="",$D406="",$F406=""),"",IF($F406="Aylık",EOMONTH($D406,0),($D406+MOD(SISTEM!$F$8-WEEKDAY($D406,2),7))))</f>
        <v/>
      </c>
      <c r="P406" s="61"/>
      <c r="Q406" s="2"/>
      <c r="R406" s="2"/>
      <c r="S406" s="1" t="str">
        <f>IF($B406="","",$B406&amp;"|"&amp;COUNTIFS($B$7:$B406,$B406))</f>
        <v/>
      </c>
      <c r="T406" s="1" t="str">
        <f t="shared" si="90"/>
        <v/>
      </c>
      <c r="U406" s="1">
        <f t="shared" si="91"/>
        <v>0</v>
      </c>
      <c r="V406" s="1">
        <f t="shared" si="92"/>
        <v>2958465</v>
      </c>
      <c r="W406" s="1">
        <f t="shared" si="93"/>
        <v>0</v>
      </c>
      <c r="X406" s="1">
        <f t="shared" si="94"/>
        <v>0</v>
      </c>
      <c r="Y406" s="1">
        <f t="shared" si="95"/>
        <v>97200</v>
      </c>
      <c r="Z406" s="1">
        <f t="shared" si="96"/>
        <v>1</v>
      </c>
      <c r="AA406" s="1">
        <f t="shared" si="97"/>
        <v>0</v>
      </c>
    </row>
    <row r="407" spans="1:27" ht="18" customHeight="1" x14ac:dyDescent="0.3">
      <c r="A407" s="2"/>
      <c r="B407" s="65" t="str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61"/>
      <c r="D407" s="66"/>
      <c r="E407" s="66"/>
      <c r="F407" s="60"/>
      <c r="G407" s="67"/>
      <c r="H407" s="60"/>
      <c r="I407" s="68">
        <f t="shared" ca="1" si="84"/>
        <v>0</v>
      </c>
      <c r="J407" s="68">
        <f t="shared" ca="1" si="85"/>
        <v>0</v>
      </c>
      <c r="K407" s="68">
        <f t="shared" ca="1" si="86"/>
        <v>0</v>
      </c>
      <c r="L407" s="68">
        <f t="shared" ca="1" si="87"/>
        <v>0</v>
      </c>
      <c r="M407" s="69">
        <f t="shared" si="88"/>
        <v>0</v>
      </c>
      <c r="N407" s="65" t="str">
        <f t="shared" si="89"/>
        <v/>
      </c>
      <c r="O407" s="70" t="str">
        <f>IF(OR($C407="",$D407="",$F407=""),"",IF($F407="Aylık",EOMONTH($D407,0),($D407+MOD(SISTEM!$F$8-WEEKDAY($D407,2),7))))</f>
        <v/>
      </c>
      <c r="P407" s="61"/>
      <c r="Q407" s="2"/>
      <c r="R407" s="2"/>
      <c r="S407" s="1" t="str">
        <f>IF($B407="","",$B407&amp;"|"&amp;COUNTIFS($B$7:$B407,$B407))</f>
        <v/>
      </c>
      <c r="T407" s="1" t="str">
        <f t="shared" si="90"/>
        <v/>
      </c>
      <c r="U407" s="1">
        <f t="shared" si="91"/>
        <v>0</v>
      </c>
      <c r="V407" s="1">
        <f t="shared" si="92"/>
        <v>2958465</v>
      </c>
      <c r="W407" s="1">
        <f t="shared" si="93"/>
        <v>0</v>
      </c>
      <c r="X407" s="1">
        <f t="shared" si="94"/>
        <v>0</v>
      </c>
      <c r="Y407" s="1">
        <f t="shared" si="95"/>
        <v>97200</v>
      </c>
      <c r="Z407" s="1">
        <f t="shared" si="96"/>
        <v>1</v>
      </c>
      <c r="AA407" s="1">
        <f t="shared" si="97"/>
        <v>0</v>
      </c>
    </row>
    <row r="408" spans="1:27" ht="18" customHeight="1" x14ac:dyDescent="0.3">
      <c r="A408" s="2"/>
      <c r="B408" s="65" t="str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61"/>
      <c r="D408" s="66"/>
      <c r="E408" s="66"/>
      <c r="F408" s="60"/>
      <c r="G408" s="67"/>
      <c r="H408" s="60"/>
      <c r="I408" s="68">
        <f t="shared" ca="1" si="84"/>
        <v>0</v>
      </c>
      <c r="J408" s="68">
        <f t="shared" ca="1" si="85"/>
        <v>0</v>
      </c>
      <c r="K408" s="68">
        <f t="shared" ca="1" si="86"/>
        <v>0</v>
      </c>
      <c r="L408" s="68">
        <f t="shared" ca="1" si="87"/>
        <v>0</v>
      </c>
      <c r="M408" s="69">
        <f t="shared" si="88"/>
        <v>0</v>
      </c>
      <c r="N408" s="65" t="str">
        <f t="shared" si="89"/>
        <v/>
      </c>
      <c r="O408" s="70" t="str">
        <f>IF(OR($C408="",$D408="",$F408=""),"",IF($F408="Aylık",EOMONTH($D408,0),($D408+MOD(SISTEM!$F$8-WEEKDAY($D408,2),7))))</f>
        <v/>
      </c>
      <c r="P408" s="61"/>
      <c r="Q408" s="2"/>
      <c r="R408" s="2"/>
      <c r="S408" s="1" t="str">
        <f>IF($B408="","",$B408&amp;"|"&amp;COUNTIFS($B$7:$B408,$B408))</f>
        <v/>
      </c>
      <c r="T408" s="1" t="str">
        <f t="shared" si="90"/>
        <v/>
      </c>
      <c r="U408" s="1">
        <f t="shared" si="91"/>
        <v>0</v>
      </c>
      <c r="V408" s="1">
        <f t="shared" si="92"/>
        <v>2958465</v>
      </c>
      <c r="W408" s="1">
        <f t="shared" si="93"/>
        <v>0</v>
      </c>
      <c r="X408" s="1">
        <f t="shared" si="94"/>
        <v>0</v>
      </c>
      <c r="Y408" s="1">
        <f t="shared" si="95"/>
        <v>97200</v>
      </c>
      <c r="Z408" s="1">
        <f t="shared" si="96"/>
        <v>1</v>
      </c>
      <c r="AA408" s="1">
        <f t="shared" si="97"/>
        <v>0</v>
      </c>
    </row>
    <row r="409" spans="1:27" ht="18" customHeight="1" x14ac:dyDescent="0.3">
      <c r="A409" s="2"/>
      <c r="B409" s="65" t="str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61"/>
      <c r="D409" s="66"/>
      <c r="E409" s="66"/>
      <c r="F409" s="60"/>
      <c r="G409" s="67"/>
      <c r="H409" s="60"/>
      <c r="I409" s="68">
        <f t="shared" ca="1" si="84"/>
        <v>0</v>
      </c>
      <c r="J409" s="68">
        <f t="shared" ca="1" si="85"/>
        <v>0</v>
      </c>
      <c r="K409" s="68">
        <f t="shared" ca="1" si="86"/>
        <v>0</v>
      </c>
      <c r="L409" s="68">
        <f t="shared" ca="1" si="87"/>
        <v>0</v>
      </c>
      <c r="M409" s="69">
        <f t="shared" si="88"/>
        <v>0</v>
      </c>
      <c r="N409" s="65" t="str">
        <f t="shared" si="89"/>
        <v/>
      </c>
      <c r="O409" s="70" t="str">
        <f>IF(OR($C409="",$D409="",$F409=""),"",IF($F409="Aylık",EOMONTH($D409,0),($D409+MOD(SISTEM!$F$8-WEEKDAY($D409,2),7))))</f>
        <v/>
      </c>
      <c r="P409" s="61"/>
      <c r="Q409" s="2"/>
      <c r="R409" s="2"/>
      <c r="S409" s="1" t="str">
        <f>IF($B409="","",$B409&amp;"|"&amp;COUNTIFS($B$7:$B409,$B409))</f>
        <v/>
      </c>
      <c r="T409" s="1" t="str">
        <f t="shared" si="90"/>
        <v/>
      </c>
      <c r="U409" s="1">
        <f t="shared" si="91"/>
        <v>0</v>
      </c>
      <c r="V409" s="1">
        <f t="shared" si="92"/>
        <v>2958465</v>
      </c>
      <c r="W409" s="1">
        <f t="shared" si="93"/>
        <v>0</v>
      </c>
      <c r="X409" s="1">
        <f t="shared" si="94"/>
        <v>0</v>
      </c>
      <c r="Y409" s="1">
        <f t="shared" si="95"/>
        <v>97200</v>
      </c>
      <c r="Z409" s="1">
        <f t="shared" si="96"/>
        <v>1</v>
      </c>
      <c r="AA409" s="1">
        <f t="shared" si="97"/>
        <v>0</v>
      </c>
    </row>
    <row r="410" spans="1:27" ht="18" customHeight="1" x14ac:dyDescent="0.3">
      <c r="A410" s="2"/>
      <c r="B410" s="65" t="str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61"/>
      <c r="D410" s="66"/>
      <c r="E410" s="66"/>
      <c r="F410" s="60"/>
      <c r="G410" s="67"/>
      <c r="H410" s="60"/>
      <c r="I410" s="68">
        <f t="shared" ca="1" si="84"/>
        <v>0</v>
      </c>
      <c r="J410" s="68">
        <f t="shared" ca="1" si="85"/>
        <v>0</v>
      </c>
      <c r="K410" s="68">
        <f t="shared" ca="1" si="86"/>
        <v>0</v>
      </c>
      <c r="L410" s="68">
        <f t="shared" ca="1" si="87"/>
        <v>0</v>
      </c>
      <c r="M410" s="69">
        <f t="shared" si="88"/>
        <v>0</v>
      </c>
      <c r="N410" s="65" t="str">
        <f t="shared" si="89"/>
        <v/>
      </c>
      <c r="O410" s="70" t="str">
        <f>IF(OR($C410="",$D410="",$F410=""),"",IF($F410="Aylık",EOMONTH($D410,0),($D410+MOD(SISTEM!$F$8-WEEKDAY($D410,2),7))))</f>
        <v/>
      </c>
      <c r="P410" s="61"/>
      <c r="Q410" s="2"/>
      <c r="R410" s="2"/>
      <c r="S410" s="1" t="str">
        <f>IF($B410="","",$B410&amp;"|"&amp;COUNTIFS($B$7:$B410,$B410))</f>
        <v/>
      </c>
      <c r="T410" s="1" t="str">
        <f t="shared" si="90"/>
        <v/>
      </c>
      <c r="U410" s="1">
        <f t="shared" si="91"/>
        <v>0</v>
      </c>
      <c r="V410" s="1">
        <f t="shared" si="92"/>
        <v>2958465</v>
      </c>
      <c r="W410" s="1">
        <f t="shared" si="93"/>
        <v>0</v>
      </c>
      <c r="X410" s="1">
        <f t="shared" si="94"/>
        <v>0</v>
      </c>
      <c r="Y410" s="1">
        <f t="shared" si="95"/>
        <v>97200</v>
      </c>
      <c r="Z410" s="1">
        <f t="shared" si="96"/>
        <v>1</v>
      </c>
      <c r="AA410" s="1">
        <f t="shared" si="97"/>
        <v>0</v>
      </c>
    </row>
    <row r="411" spans="1:27" ht="18" customHeight="1" x14ac:dyDescent="0.3">
      <c r="A411" s="2"/>
      <c r="B411" s="65" t="str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61"/>
      <c r="D411" s="66"/>
      <c r="E411" s="66"/>
      <c r="F411" s="60"/>
      <c r="G411" s="67"/>
      <c r="H411" s="60"/>
      <c r="I411" s="68">
        <f t="shared" ca="1" si="84"/>
        <v>0</v>
      </c>
      <c r="J411" s="68">
        <f t="shared" ca="1" si="85"/>
        <v>0</v>
      </c>
      <c r="K411" s="68">
        <f t="shared" ca="1" si="86"/>
        <v>0</v>
      </c>
      <c r="L411" s="68">
        <f t="shared" ca="1" si="87"/>
        <v>0</v>
      </c>
      <c r="M411" s="69">
        <f t="shared" si="88"/>
        <v>0</v>
      </c>
      <c r="N411" s="65" t="str">
        <f t="shared" si="89"/>
        <v/>
      </c>
      <c r="O411" s="70" t="str">
        <f>IF(OR($C411="",$D411="",$F411=""),"",IF($F411="Aylık",EOMONTH($D411,0),($D411+MOD(SISTEM!$F$8-WEEKDAY($D411,2),7))))</f>
        <v/>
      </c>
      <c r="P411" s="61"/>
      <c r="Q411" s="2"/>
      <c r="R411" s="2"/>
      <c r="S411" s="1" t="str">
        <f>IF($B411="","",$B411&amp;"|"&amp;COUNTIFS($B$7:$B411,$B411))</f>
        <v/>
      </c>
      <c r="T411" s="1" t="str">
        <f t="shared" si="90"/>
        <v/>
      </c>
      <c r="U411" s="1">
        <f t="shared" si="91"/>
        <v>0</v>
      </c>
      <c r="V411" s="1">
        <f t="shared" si="92"/>
        <v>2958465</v>
      </c>
      <c r="W411" s="1">
        <f t="shared" si="93"/>
        <v>0</v>
      </c>
      <c r="X411" s="1">
        <f t="shared" si="94"/>
        <v>0</v>
      </c>
      <c r="Y411" s="1">
        <f t="shared" si="95"/>
        <v>97200</v>
      </c>
      <c r="Z411" s="1">
        <f t="shared" si="96"/>
        <v>1</v>
      </c>
      <c r="AA411" s="1">
        <f t="shared" si="97"/>
        <v>0</v>
      </c>
    </row>
    <row r="412" spans="1:27" ht="18" customHeight="1" x14ac:dyDescent="0.3">
      <c r="A412" s="2"/>
      <c r="B412" s="65" t="str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61"/>
      <c r="D412" s="66"/>
      <c r="E412" s="66"/>
      <c r="F412" s="60"/>
      <c r="G412" s="67"/>
      <c r="H412" s="60"/>
      <c r="I412" s="68">
        <f t="shared" ca="1" si="84"/>
        <v>0</v>
      </c>
      <c r="J412" s="68">
        <f t="shared" ca="1" si="85"/>
        <v>0</v>
      </c>
      <c r="K412" s="68">
        <f t="shared" ca="1" si="86"/>
        <v>0</v>
      </c>
      <c r="L412" s="68">
        <f t="shared" ca="1" si="87"/>
        <v>0</v>
      </c>
      <c r="M412" s="69">
        <f t="shared" si="88"/>
        <v>0</v>
      </c>
      <c r="N412" s="65" t="str">
        <f t="shared" si="89"/>
        <v/>
      </c>
      <c r="O412" s="70" t="str">
        <f>IF(OR($C412="",$D412="",$F412=""),"",IF($F412="Aylık",EOMONTH($D412,0),($D412+MOD(SISTEM!$F$8-WEEKDAY($D412,2),7))))</f>
        <v/>
      </c>
      <c r="P412" s="61"/>
      <c r="Q412" s="2"/>
      <c r="R412" s="2"/>
      <c r="S412" s="1" t="str">
        <f>IF($B412="","",$B412&amp;"|"&amp;COUNTIFS($B$7:$B412,$B412))</f>
        <v/>
      </c>
      <c r="T412" s="1" t="str">
        <f t="shared" si="90"/>
        <v/>
      </c>
      <c r="U412" s="1">
        <f t="shared" si="91"/>
        <v>0</v>
      </c>
      <c r="V412" s="1">
        <f t="shared" si="92"/>
        <v>2958465</v>
      </c>
      <c r="W412" s="1">
        <f t="shared" si="93"/>
        <v>0</v>
      </c>
      <c r="X412" s="1">
        <f t="shared" si="94"/>
        <v>0</v>
      </c>
      <c r="Y412" s="1">
        <f t="shared" si="95"/>
        <v>97200</v>
      </c>
      <c r="Z412" s="1">
        <f t="shared" si="96"/>
        <v>1</v>
      </c>
      <c r="AA412" s="1">
        <f t="shared" si="97"/>
        <v>0</v>
      </c>
    </row>
    <row r="413" spans="1:27" ht="18" customHeight="1" x14ac:dyDescent="0.3">
      <c r="A413" s="2"/>
      <c r="B413" s="65" t="str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61"/>
      <c r="D413" s="66"/>
      <c r="E413" s="66"/>
      <c r="F413" s="60"/>
      <c r="G413" s="67"/>
      <c r="H413" s="60"/>
      <c r="I413" s="68">
        <f t="shared" ca="1" si="84"/>
        <v>0</v>
      </c>
      <c r="J413" s="68">
        <f t="shared" ca="1" si="85"/>
        <v>0</v>
      </c>
      <c r="K413" s="68">
        <f t="shared" ca="1" si="86"/>
        <v>0</v>
      </c>
      <c r="L413" s="68">
        <f t="shared" ca="1" si="87"/>
        <v>0</v>
      </c>
      <c r="M413" s="69">
        <f t="shared" si="88"/>
        <v>0</v>
      </c>
      <c r="N413" s="65" t="str">
        <f t="shared" si="89"/>
        <v/>
      </c>
      <c r="O413" s="70" t="str">
        <f>IF(OR($C413="",$D413="",$F413=""),"",IF($F413="Aylık",EOMONTH($D413,0),($D413+MOD(SISTEM!$F$8-WEEKDAY($D413,2),7))))</f>
        <v/>
      </c>
      <c r="P413" s="61"/>
      <c r="Q413" s="2"/>
      <c r="R413" s="2"/>
      <c r="S413" s="1" t="str">
        <f>IF($B413="","",$B413&amp;"|"&amp;COUNTIFS($B$7:$B413,$B413))</f>
        <v/>
      </c>
      <c r="T413" s="1" t="str">
        <f t="shared" si="90"/>
        <v/>
      </c>
      <c r="U413" s="1">
        <f t="shared" si="91"/>
        <v>0</v>
      </c>
      <c r="V413" s="1">
        <f t="shared" si="92"/>
        <v>2958465</v>
      </c>
      <c r="W413" s="1">
        <f t="shared" si="93"/>
        <v>0</v>
      </c>
      <c r="X413" s="1">
        <f t="shared" si="94"/>
        <v>0</v>
      </c>
      <c r="Y413" s="1">
        <f t="shared" si="95"/>
        <v>97200</v>
      </c>
      <c r="Z413" s="1">
        <f t="shared" si="96"/>
        <v>1</v>
      </c>
      <c r="AA413" s="1">
        <f t="shared" si="97"/>
        <v>0</v>
      </c>
    </row>
    <row r="414" spans="1:27" ht="18" customHeight="1" x14ac:dyDescent="0.3">
      <c r="A414" s="2"/>
      <c r="B414" s="65" t="str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61"/>
      <c r="D414" s="66"/>
      <c r="E414" s="66"/>
      <c r="F414" s="60"/>
      <c r="G414" s="67"/>
      <c r="H414" s="60"/>
      <c r="I414" s="68">
        <f t="shared" ca="1" si="84"/>
        <v>0</v>
      </c>
      <c r="J414" s="68">
        <f t="shared" ca="1" si="85"/>
        <v>0</v>
      </c>
      <c r="K414" s="68">
        <f t="shared" ca="1" si="86"/>
        <v>0</v>
      </c>
      <c r="L414" s="68">
        <f t="shared" ca="1" si="87"/>
        <v>0</v>
      </c>
      <c r="M414" s="69">
        <f t="shared" si="88"/>
        <v>0</v>
      </c>
      <c r="N414" s="65" t="str">
        <f t="shared" si="89"/>
        <v/>
      </c>
      <c r="O414" s="70" t="str">
        <f>IF(OR($C414="",$D414="",$F414=""),"",IF($F414="Aylık",EOMONTH($D414,0),($D414+MOD(SISTEM!$F$8-WEEKDAY($D414,2),7))))</f>
        <v/>
      </c>
      <c r="P414" s="61"/>
      <c r="Q414" s="2"/>
      <c r="R414" s="2"/>
      <c r="S414" s="1" t="str">
        <f>IF($B414="","",$B414&amp;"|"&amp;COUNTIFS($B$7:$B414,$B414))</f>
        <v/>
      </c>
      <c r="T414" s="1" t="str">
        <f t="shared" si="90"/>
        <v/>
      </c>
      <c r="U414" s="1">
        <f t="shared" si="91"/>
        <v>0</v>
      </c>
      <c r="V414" s="1">
        <f t="shared" si="92"/>
        <v>2958465</v>
      </c>
      <c r="W414" s="1">
        <f t="shared" si="93"/>
        <v>0</v>
      </c>
      <c r="X414" s="1">
        <f t="shared" si="94"/>
        <v>0</v>
      </c>
      <c r="Y414" s="1">
        <f t="shared" si="95"/>
        <v>97200</v>
      </c>
      <c r="Z414" s="1">
        <f t="shared" si="96"/>
        <v>1</v>
      </c>
      <c r="AA414" s="1">
        <f t="shared" si="97"/>
        <v>0</v>
      </c>
    </row>
    <row r="415" spans="1:27" ht="18" customHeight="1" x14ac:dyDescent="0.3">
      <c r="A415" s="2"/>
      <c r="B415" s="65" t="str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61"/>
      <c r="D415" s="66"/>
      <c r="E415" s="66"/>
      <c r="F415" s="60"/>
      <c r="G415" s="67"/>
      <c r="H415" s="60"/>
      <c r="I415" s="68">
        <f t="shared" ca="1" si="84"/>
        <v>0</v>
      </c>
      <c r="J415" s="68">
        <f t="shared" ca="1" si="85"/>
        <v>0</v>
      </c>
      <c r="K415" s="68">
        <f t="shared" ca="1" si="86"/>
        <v>0</v>
      </c>
      <c r="L415" s="68">
        <f t="shared" ca="1" si="87"/>
        <v>0</v>
      </c>
      <c r="M415" s="69">
        <f t="shared" si="88"/>
        <v>0</v>
      </c>
      <c r="N415" s="65" t="str">
        <f t="shared" si="89"/>
        <v/>
      </c>
      <c r="O415" s="70" t="str">
        <f>IF(OR($C415="",$D415="",$F415=""),"",IF($F415="Aylık",EOMONTH($D415,0),($D415+MOD(SISTEM!$F$8-WEEKDAY($D415,2),7))))</f>
        <v/>
      </c>
      <c r="P415" s="61"/>
      <c r="Q415" s="2"/>
      <c r="R415" s="2"/>
      <c r="S415" s="1" t="str">
        <f>IF($B415="","",$B415&amp;"|"&amp;COUNTIFS($B$7:$B415,$B415))</f>
        <v/>
      </c>
      <c r="T415" s="1" t="str">
        <f t="shared" si="90"/>
        <v/>
      </c>
      <c r="U415" s="1">
        <f t="shared" si="91"/>
        <v>0</v>
      </c>
      <c r="V415" s="1">
        <f t="shared" si="92"/>
        <v>2958465</v>
      </c>
      <c r="W415" s="1">
        <f t="shared" si="93"/>
        <v>0</v>
      </c>
      <c r="X415" s="1">
        <f t="shared" si="94"/>
        <v>0</v>
      </c>
      <c r="Y415" s="1">
        <f t="shared" si="95"/>
        <v>97200</v>
      </c>
      <c r="Z415" s="1">
        <f t="shared" si="96"/>
        <v>1</v>
      </c>
      <c r="AA415" s="1">
        <f t="shared" si="97"/>
        <v>0</v>
      </c>
    </row>
    <row r="416" spans="1:27" ht="18" customHeight="1" x14ac:dyDescent="0.3">
      <c r="A416" s="2"/>
      <c r="B416" s="65" t="str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61"/>
      <c r="D416" s="66"/>
      <c r="E416" s="66"/>
      <c r="F416" s="60"/>
      <c r="G416" s="67"/>
      <c r="H416" s="60"/>
      <c r="I416" s="68">
        <f t="shared" ca="1" si="84"/>
        <v>0</v>
      </c>
      <c r="J416" s="68">
        <f t="shared" ca="1" si="85"/>
        <v>0</v>
      </c>
      <c r="K416" s="68">
        <f t="shared" ca="1" si="86"/>
        <v>0</v>
      </c>
      <c r="L416" s="68">
        <f t="shared" ca="1" si="87"/>
        <v>0</v>
      </c>
      <c r="M416" s="69">
        <f t="shared" si="88"/>
        <v>0</v>
      </c>
      <c r="N416" s="65" t="str">
        <f t="shared" si="89"/>
        <v/>
      </c>
      <c r="O416" s="70" t="str">
        <f>IF(OR($C416="",$D416="",$F416=""),"",IF($F416="Aylık",EOMONTH($D416,0),($D416+MOD(SISTEM!$F$8-WEEKDAY($D416,2),7))))</f>
        <v/>
      </c>
      <c r="P416" s="61"/>
      <c r="Q416" s="2"/>
      <c r="R416" s="2"/>
      <c r="S416" s="1" t="str">
        <f>IF($B416="","",$B416&amp;"|"&amp;COUNTIFS($B$7:$B416,$B416))</f>
        <v/>
      </c>
      <c r="T416" s="1" t="str">
        <f t="shared" si="90"/>
        <v/>
      </c>
      <c r="U416" s="1">
        <f t="shared" si="91"/>
        <v>0</v>
      </c>
      <c r="V416" s="1">
        <f t="shared" si="92"/>
        <v>2958465</v>
      </c>
      <c r="W416" s="1">
        <f t="shared" si="93"/>
        <v>0</v>
      </c>
      <c r="X416" s="1">
        <f t="shared" si="94"/>
        <v>0</v>
      </c>
      <c r="Y416" s="1">
        <f t="shared" si="95"/>
        <v>97200</v>
      </c>
      <c r="Z416" s="1">
        <f t="shared" si="96"/>
        <v>1</v>
      </c>
      <c r="AA416" s="1">
        <f t="shared" si="97"/>
        <v>0</v>
      </c>
    </row>
    <row r="417" spans="1:27" ht="18" customHeight="1" x14ac:dyDescent="0.3">
      <c r="A417" s="2"/>
      <c r="B417" s="65" t="str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61"/>
      <c r="D417" s="66"/>
      <c r="E417" s="66"/>
      <c r="F417" s="60"/>
      <c r="G417" s="67"/>
      <c r="H417" s="60"/>
      <c r="I417" s="68">
        <f t="shared" ca="1" si="84"/>
        <v>0</v>
      </c>
      <c r="J417" s="68">
        <f t="shared" ca="1" si="85"/>
        <v>0</v>
      </c>
      <c r="K417" s="68">
        <f t="shared" ca="1" si="86"/>
        <v>0</v>
      </c>
      <c r="L417" s="68">
        <f t="shared" ca="1" si="87"/>
        <v>0</v>
      </c>
      <c r="M417" s="69">
        <f t="shared" si="88"/>
        <v>0</v>
      </c>
      <c r="N417" s="65" t="str">
        <f t="shared" si="89"/>
        <v/>
      </c>
      <c r="O417" s="70" t="str">
        <f>IF(OR($C417="",$D417="",$F417=""),"",IF($F417="Aylık",EOMONTH($D417,0),($D417+MOD(SISTEM!$F$8-WEEKDAY($D417,2),7))))</f>
        <v/>
      </c>
      <c r="P417" s="61"/>
      <c r="Q417" s="2"/>
      <c r="R417" s="2"/>
      <c r="S417" s="1" t="str">
        <f>IF($B417="","",$B417&amp;"|"&amp;COUNTIFS($B$7:$B417,$B417))</f>
        <v/>
      </c>
      <c r="T417" s="1" t="str">
        <f t="shared" si="90"/>
        <v/>
      </c>
      <c r="U417" s="1">
        <f t="shared" si="91"/>
        <v>0</v>
      </c>
      <c r="V417" s="1">
        <f t="shared" si="92"/>
        <v>2958465</v>
      </c>
      <c r="W417" s="1">
        <f t="shared" si="93"/>
        <v>0</v>
      </c>
      <c r="X417" s="1">
        <f t="shared" si="94"/>
        <v>0</v>
      </c>
      <c r="Y417" s="1">
        <f t="shared" si="95"/>
        <v>97200</v>
      </c>
      <c r="Z417" s="1">
        <f t="shared" si="96"/>
        <v>1</v>
      </c>
      <c r="AA417" s="1">
        <f t="shared" si="97"/>
        <v>0</v>
      </c>
    </row>
    <row r="418" spans="1:27" ht="18" customHeight="1" x14ac:dyDescent="0.3">
      <c r="A418" s="2"/>
      <c r="B418" s="65" t="str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61"/>
      <c r="D418" s="66"/>
      <c r="E418" s="66"/>
      <c r="F418" s="60"/>
      <c r="G418" s="67"/>
      <c r="H418" s="60"/>
      <c r="I418" s="68">
        <f t="shared" ca="1" si="84"/>
        <v>0</v>
      </c>
      <c r="J418" s="68">
        <f t="shared" ca="1" si="85"/>
        <v>0</v>
      </c>
      <c r="K418" s="68">
        <f t="shared" ca="1" si="86"/>
        <v>0</v>
      </c>
      <c r="L418" s="68">
        <f t="shared" ca="1" si="87"/>
        <v>0</v>
      </c>
      <c r="M418" s="69">
        <f t="shared" si="88"/>
        <v>0</v>
      </c>
      <c r="N418" s="65" t="str">
        <f t="shared" si="89"/>
        <v/>
      </c>
      <c r="O418" s="70" t="str">
        <f>IF(OR($C418="",$D418="",$F418=""),"",IF($F418="Aylık",EOMONTH($D418,0),($D418+MOD(SISTEM!$F$8-WEEKDAY($D418,2),7))))</f>
        <v/>
      </c>
      <c r="P418" s="61"/>
      <c r="Q418" s="2"/>
      <c r="R418" s="2"/>
      <c r="S418" s="1" t="str">
        <f>IF($B418="","",$B418&amp;"|"&amp;COUNTIFS($B$7:$B418,$B418))</f>
        <v/>
      </c>
      <c r="T418" s="1" t="str">
        <f t="shared" si="90"/>
        <v/>
      </c>
      <c r="U418" s="1">
        <f t="shared" si="91"/>
        <v>0</v>
      </c>
      <c r="V418" s="1">
        <f t="shared" si="92"/>
        <v>2958465</v>
      </c>
      <c r="W418" s="1">
        <f t="shared" si="93"/>
        <v>0</v>
      </c>
      <c r="X418" s="1">
        <f t="shared" si="94"/>
        <v>0</v>
      </c>
      <c r="Y418" s="1">
        <f t="shared" si="95"/>
        <v>97200</v>
      </c>
      <c r="Z418" s="1">
        <f t="shared" si="96"/>
        <v>1</v>
      </c>
      <c r="AA418" s="1">
        <f t="shared" si="97"/>
        <v>0</v>
      </c>
    </row>
    <row r="419" spans="1:27" ht="18" customHeight="1" x14ac:dyDescent="0.3">
      <c r="A419" s="2"/>
      <c r="B419" s="65" t="str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61"/>
      <c r="D419" s="66"/>
      <c r="E419" s="66"/>
      <c r="F419" s="60"/>
      <c r="G419" s="67"/>
      <c r="H419" s="60"/>
      <c r="I419" s="68">
        <f t="shared" ca="1" si="84"/>
        <v>0</v>
      </c>
      <c r="J419" s="68">
        <f t="shared" ca="1" si="85"/>
        <v>0</v>
      </c>
      <c r="K419" s="68">
        <f t="shared" ca="1" si="86"/>
        <v>0</v>
      </c>
      <c r="L419" s="68">
        <f t="shared" ca="1" si="87"/>
        <v>0</v>
      </c>
      <c r="M419" s="69">
        <f t="shared" si="88"/>
        <v>0</v>
      </c>
      <c r="N419" s="65" t="str">
        <f t="shared" si="89"/>
        <v/>
      </c>
      <c r="O419" s="70" t="str">
        <f>IF(OR($C419="",$D419="",$F419=""),"",IF($F419="Aylık",EOMONTH($D419,0),($D419+MOD(SISTEM!$F$8-WEEKDAY($D419,2),7))))</f>
        <v/>
      </c>
      <c r="P419" s="61"/>
      <c r="Q419" s="2"/>
      <c r="R419" s="2"/>
      <c r="S419" s="1" t="str">
        <f>IF($B419="","",$B419&amp;"|"&amp;COUNTIFS($B$7:$B419,$B419))</f>
        <v/>
      </c>
      <c r="T419" s="1" t="str">
        <f t="shared" si="90"/>
        <v/>
      </c>
      <c r="U419" s="1">
        <f t="shared" si="91"/>
        <v>0</v>
      </c>
      <c r="V419" s="1">
        <f t="shared" si="92"/>
        <v>2958465</v>
      </c>
      <c r="W419" s="1">
        <f t="shared" si="93"/>
        <v>0</v>
      </c>
      <c r="X419" s="1">
        <f t="shared" si="94"/>
        <v>0</v>
      </c>
      <c r="Y419" s="1">
        <f t="shared" si="95"/>
        <v>97200</v>
      </c>
      <c r="Z419" s="1">
        <f t="shared" si="96"/>
        <v>1</v>
      </c>
      <c r="AA419" s="1">
        <f t="shared" si="97"/>
        <v>0</v>
      </c>
    </row>
    <row r="420" spans="1:27" ht="18" customHeight="1" x14ac:dyDescent="0.3">
      <c r="A420" s="2"/>
      <c r="B420" s="65" t="str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61"/>
      <c r="D420" s="66"/>
      <c r="E420" s="66"/>
      <c r="F420" s="60"/>
      <c r="G420" s="67"/>
      <c r="H420" s="60"/>
      <c r="I420" s="68">
        <f t="shared" ca="1" si="84"/>
        <v>0</v>
      </c>
      <c r="J420" s="68">
        <f t="shared" ca="1" si="85"/>
        <v>0</v>
      </c>
      <c r="K420" s="68">
        <f t="shared" ca="1" si="86"/>
        <v>0</v>
      </c>
      <c r="L420" s="68">
        <f t="shared" ca="1" si="87"/>
        <v>0</v>
      </c>
      <c r="M420" s="69">
        <f t="shared" si="88"/>
        <v>0</v>
      </c>
      <c r="N420" s="65" t="str">
        <f t="shared" si="89"/>
        <v/>
      </c>
      <c r="O420" s="70" t="str">
        <f>IF(OR($C420="",$D420="",$F420=""),"",IF($F420="Aylık",EOMONTH($D420,0),($D420+MOD(SISTEM!$F$8-WEEKDAY($D420,2),7))))</f>
        <v/>
      </c>
      <c r="P420" s="61"/>
      <c r="Q420" s="2"/>
      <c r="R420" s="2"/>
      <c r="S420" s="1" t="str">
        <f>IF($B420="","",$B420&amp;"|"&amp;COUNTIFS($B$7:$B420,$B420))</f>
        <v/>
      </c>
      <c r="T420" s="1" t="str">
        <f t="shared" si="90"/>
        <v/>
      </c>
      <c r="U420" s="1">
        <f t="shared" si="91"/>
        <v>0</v>
      </c>
      <c r="V420" s="1">
        <f t="shared" si="92"/>
        <v>2958465</v>
      </c>
      <c r="W420" s="1">
        <f t="shared" si="93"/>
        <v>0</v>
      </c>
      <c r="X420" s="1">
        <f t="shared" si="94"/>
        <v>0</v>
      </c>
      <c r="Y420" s="1">
        <f t="shared" si="95"/>
        <v>97200</v>
      </c>
      <c r="Z420" s="1">
        <f t="shared" si="96"/>
        <v>1</v>
      </c>
      <c r="AA420" s="1">
        <f t="shared" si="97"/>
        <v>0</v>
      </c>
    </row>
    <row r="421" spans="1:27" ht="18" customHeight="1" x14ac:dyDescent="0.3">
      <c r="A421" s="2"/>
      <c r="B421" s="65" t="str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61"/>
      <c r="D421" s="66"/>
      <c r="E421" s="66"/>
      <c r="F421" s="60"/>
      <c r="G421" s="67"/>
      <c r="H421" s="60"/>
      <c r="I421" s="68">
        <f t="shared" ca="1" si="84"/>
        <v>0</v>
      </c>
      <c r="J421" s="68">
        <f t="shared" ca="1" si="85"/>
        <v>0</v>
      </c>
      <c r="K421" s="68">
        <f t="shared" ca="1" si="86"/>
        <v>0</v>
      </c>
      <c r="L421" s="68">
        <f t="shared" ca="1" si="87"/>
        <v>0</v>
      </c>
      <c r="M421" s="69">
        <f t="shared" si="88"/>
        <v>0</v>
      </c>
      <c r="N421" s="65" t="str">
        <f t="shared" si="89"/>
        <v/>
      </c>
      <c r="O421" s="70" t="str">
        <f>IF(OR($C421="",$D421="",$F421=""),"",IF($F421="Aylık",EOMONTH($D421,0),($D421+MOD(SISTEM!$F$8-WEEKDAY($D421,2),7))))</f>
        <v/>
      </c>
      <c r="P421" s="61"/>
      <c r="Q421" s="2"/>
      <c r="R421" s="2"/>
      <c r="S421" s="1" t="str">
        <f>IF($B421="","",$B421&amp;"|"&amp;COUNTIFS($B$7:$B421,$B421))</f>
        <v/>
      </c>
      <c r="T421" s="1" t="str">
        <f t="shared" si="90"/>
        <v/>
      </c>
      <c r="U421" s="1">
        <f t="shared" si="91"/>
        <v>0</v>
      </c>
      <c r="V421" s="1">
        <f t="shared" si="92"/>
        <v>2958465</v>
      </c>
      <c r="W421" s="1">
        <f t="shared" si="93"/>
        <v>0</v>
      </c>
      <c r="X421" s="1">
        <f t="shared" si="94"/>
        <v>0</v>
      </c>
      <c r="Y421" s="1">
        <f t="shared" si="95"/>
        <v>97200</v>
      </c>
      <c r="Z421" s="1">
        <f t="shared" si="96"/>
        <v>1</v>
      </c>
      <c r="AA421" s="1">
        <f t="shared" si="97"/>
        <v>0</v>
      </c>
    </row>
    <row r="422" spans="1:27" ht="18" customHeight="1" x14ac:dyDescent="0.3">
      <c r="A422" s="2"/>
      <c r="B422" s="65" t="str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61"/>
      <c r="D422" s="66"/>
      <c r="E422" s="66"/>
      <c r="F422" s="60"/>
      <c r="G422" s="67"/>
      <c r="H422" s="60"/>
      <c r="I422" s="68">
        <f t="shared" ca="1" si="84"/>
        <v>0</v>
      </c>
      <c r="J422" s="68">
        <f t="shared" ca="1" si="85"/>
        <v>0</v>
      </c>
      <c r="K422" s="68">
        <f t="shared" ca="1" si="86"/>
        <v>0</v>
      </c>
      <c r="L422" s="68">
        <f t="shared" ca="1" si="87"/>
        <v>0</v>
      </c>
      <c r="M422" s="69">
        <f t="shared" si="88"/>
        <v>0</v>
      </c>
      <c r="N422" s="65" t="str">
        <f t="shared" si="89"/>
        <v/>
      </c>
      <c r="O422" s="70" t="str">
        <f>IF(OR($C422="",$D422="",$F422=""),"",IF($F422="Aylık",EOMONTH($D422,0),($D422+MOD(SISTEM!$F$8-WEEKDAY($D422,2),7))))</f>
        <v/>
      </c>
      <c r="P422" s="61"/>
      <c r="Q422" s="2"/>
      <c r="R422" s="2"/>
      <c r="S422" s="1" t="str">
        <f>IF($B422="","",$B422&amp;"|"&amp;COUNTIFS($B$7:$B422,$B422))</f>
        <v/>
      </c>
      <c r="T422" s="1" t="str">
        <f t="shared" si="90"/>
        <v/>
      </c>
      <c r="U422" s="1">
        <f t="shared" si="91"/>
        <v>0</v>
      </c>
      <c r="V422" s="1">
        <f t="shared" si="92"/>
        <v>2958465</v>
      </c>
      <c r="W422" s="1">
        <f t="shared" si="93"/>
        <v>0</v>
      </c>
      <c r="X422" s="1">
        <f t="shared" si="94"/>
        <v>0</v>
      </c>
      <c r="Y422" s="1">
        <f t="shared" si="95"/>
        <v>97200</v>
      </c>
      <c r="Z422" s="1">
        <f t="shared" si="96"/>
        <v>1</v>
      </c>
      <c r="AA422" s="1">
        <f t="shared" si="97"/>
        <v>0</v>
      </c>
    </row>
    <row r="423" spans="1:27" ht="18" customHeight="1" x14ac:dyDescent="0.3">
      <c r="A423" s="2"/>
      <c r="B423" s="65" t="str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61"/>
      <c r="D423" s="66"/>
      <c r="E423" s="66"/>
      <c r="F423" s="60"/>
      <c r="G423" s="67"/>
      <c r="H423" s="60"/>
      <c r="I423" s="68">
        <f t="shared" ca="1" si="84"/>
        <v>0</v>
      </c>
      <c r="J423" s="68">
        <f t="shared" ca="1" si="85"/>
        <v>0</v>
      </c>
      <c r="K423" s="68">
        <f t="shared" ca="1" si="86"/>
        <v>0</v>
      </c>
      <c r="L423" s="68">
        <f t="shared" ca="1" si="87"/>
        <v>0</v>
      </c>
      <c r="M423" s="69">
        <f t="shared" si="88"/>
        <v>0</v>
      </c>
      <c r="N423" s="65" t="str">
        <f t="shared" si="89"/>
        <v/>
      </c>
      <c r="O423" s="70" t="str">
        <f>IF(OR($C423="",$D423="",$F423=""),"",IF($F423="Aylık",EOMONTH($D423,0),($D423+MOD(SISTEM!$F$8-WEEKDAY($D423,2),7))))</f>
        <v/>
      </c>
      <c r="P423" s="61"/>
      <c r="Q423" s="2"/>
      <c r="R423" s="2"/>
      <c r="S423" s="1" t="str">
        <f>IF($B423="","",$B423&amp;"|"&amp;COUNTIFS($B$7:$B423,$B423))</f>
        <v/>
      </c>
      <c r="T423" s="1" t="str">
        <f t="shared" si="90"/>
        <v/>
      </c>
      <c r="U423" s="1">
        <f t="shared" si="91"/>
        <v>0</v>
      </c>
      <c r="V423" s="1">
        <f t="shared" si="92"/>
        <v>2958465</v>
      </c>
      <c r="W423" s="1">
        <f t="shared" si="93"/>
        <v>0</v>
      </c>
      <c r="X423" s="1">
        <f t="shared" si="94"/>
        <v>0</v>
      </c>
      <c r="Y423" s="1">
        <f t="shared" si="95"/>
        <v>97200</v>
      </c>
      <c r="Z423" s="1">
        <f t="shared" si="96"/>
        <v>1</v>
      </c>
      <c r="AA423" s="1">
        <f t="shared" si="97"/>
        <v>0</v>
      </c>
    </row>
    <row r="424" spans="1:27" ht="18" customHeight="1" x14ac:dyDescent="0.3">
      <c r="A424" s="2"/>
      <c r="B424" s="65" t="str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61"/>
      <c r="D424" s="66"/>
      <c r="E424" s="66"/>
      <c r="F424" s="60"/>
      <c r="G424" s="67"/>
      <c r="H424" s="60"/>
      <c r="I424" s="68">
        <f t="shared" ca="1" si="84"/>
        <v>0</v>
      </c>
      <c r="J424" s="68">
        <f t="shared" ca="1" si="85"/>
        <v>0</v>
      </c>
      <c r="K424" s="68">
        <f t="shared" ca="1" si="86"/>
        <v>0</v>
      </c>
      <c r="L424" s="68">
        <f t="shared" ca="1" si="87"/>
        <v>0</v>
      </c>
      <c r="M424" s="69">
        <f t="shared" si="88"/>
        <v>0</v>
      </c>
      <c r="N424" s="65" t="str">
        <f t="shared" si="89"/>
        <v/>
      </c>
      <c r="O424" s="70" t="str">
        <f>IF(OR($C424="",$D424="",$F424=""),"",IF($F424="Aylık",EOMONTH($D424,0),($D424+MOD(SISTEM!$F$8-WEEKDAY($D424,2),7))))</f>
        <v/>
      </c>
      <c r="P424" s="61"/>
      <c r="Q424" s="2"/>
      <c r="R424" s="2"/>
      <c r="S424" s="1" t="str">
        <f>IF($B424="","",$B424&amp;"|"&amp;COUNTIFS($B$7:$B424,$B424))</f>
        <v/>
      </c>
      <c r="T424" s="1" t="str">
        <f t="shared" si="90"/>
        <v/>
      </c>
      <c r="U424" s="1">
        <f t="shared" si="91"/>
        <v>0</v>
      </c>
      <c r="V424" s="1">
        <f t="shared" si="92"/>
        <v>2958465</v>
      </c>
      <c r="W424" s="1">
        <f t="shared" si="93"/>
        <v>0</v>
      </c>
      <c r="X424" s="1">
        <f t="shared" si="94"/>
        <v>0</v>
      </c>
      <c r="Y424" s="1">
        <f t="shared" si="95"/>
        <v>97200</v>
      </c>
      <c r="Z424" s="1">
        <f t="shared" si="96"/>
        <v>1</v>
      </c>
      <c r="AA424" s="1">
        <f t="shared" si="97"/>
        <v>0</v>
      </c>
    </row>
    <row r="425" spans="1:27" ht="18" customHeight="1" x14ac:dyDescent="0.3">
      <c r="A425" s="2"/>
      <c r="B425" s="65" t="str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61"/>
      <c r="D425" s="66"/>
      <c r="E425" s="66"/>
      <c r="F425" s="60"/>
      <c r="G425" s="67"/>
      <c r="H425" s="60"/>
      <c r="I425" s="68">
        <f t="shared" ca="1" si="84"/>
        <v>0</v>
      </c>
      <c r="J425" s="68">
        <f t="shared" ca="1" si="85"/>
        <v>0</v>
      </c>
      <c r="K425" s="68">
        <f t="shared" ca="1" si="86"/>
        <v>0</v>
      </c>
      <c r="L425" s="68">
        <f t="shared" ca="1" si="87"/>
        <v>0</v>
      </c>
      <c r="M425" s="69">
        <f t="shared" si="88"/>
        <v>0</v>
      </c>
      <c r="N425" s="65" t="str">
        <f t="shared" si="89"/>
        <v/>
      </c>
      <c r="O425" s="70" t="str">
        <f>IF(OR($C425="",$D425="",$F425=""),"",IF($F425="Aylık",EOMONTH($D425,0),($D425+MOD(SISTEM!$F$8-WEEKDAY($D425,2),7))))</f>
        <v/>
      </c>
      <c r="P425" s="61"/>
      <c r="Q425" s="2"/>
      <c r="R425" s="2"/>
      <c r="S425" s="1" t="str">
        <f>IF($B425="","",$B425&amp;"|"&amp;COUNTIFS($B$7:$B425,$B425))</f>
        <v/>
      </c>
      <c r="T425" s="1" t="str">
        <f t="shared" si="90"/>
        <v/>
      </c>
      <c r="U425" s="1">
        <f t="shared" si="91"/>
        <v>0</v>
      </c>
      <c r="V425" s="1">
        <f t="shared" si="92"/>
        <v>2958465</v>
      </c>
      <c r="W425" s="1">
        <f t="shared" si="93"/>
        <v>0</v>
      </c>
      <c r="X425" s="1">
        <f t="shared" si="94"/>
        <v>0</v>
      </c>
      <c r="Y425" s="1">
        <f t="shared" si="95"/>
        <v>97200</v>
      </c>
      <c r="Z425" s="1">
        <f t="shared" si="96"/>
        <v>1</v>
      </c>
      <c r="AA425" s="1">
        <f t="shared" si="97"/>
        <v>0</v>
      </c>
    </row>
    <row r="426" spans="1:27" ht="18" customHeight="1" x14ac:dyDescent="0.3">
      <c r="A426" s="2"/>
      <c r="B426" s="65" t="str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61"/>
      <c r="D426" s="66"/>
      <c r="E426" s="66"/>
      <c r="F426" s="60"/>
      <c r="G426" s="67"/>
      <c r="H426" s="60"/>
      <c r="I426" s="68">
        <f t="shared" ca="1" si="84"/>
        <v>0</v>
      </c>
      <c r="J426" s="68">
        <f t="shared" ca="1" si="85"/>
        <v>0</v>
      </c>
      <c r="K426" s="68">
        <f t="shared" ca="1" si="86"/>
        <v>0</v>
      </c>
      <c r="L426" s="68">
        <f t="shared" ca="1" si="87"/>
        <v>0</v>
      </c>
      <c r="M426" s="69">
        <f t="shared" si="88"/>
        <v>0</v>
      </c>
      <c r="N426" s="65" t="str">
        <f t="shared" si="89"/>
        <v/>
      </c>
      <c r="O426" s="70" t="str">
        <f>IF(OR($C426="",$D426="",$F426=""),"",IF($F426="Aylık",EOMONTH($D426,0),($D426+MOD(SISTEM!$F$8-WEEKDAY($D426,2),7))))</f>
        <v/>
      </c>
      <c r="P426" s="61"/>
      <c r="Q426" s="2"/>
      <c r="R426" s="2"/>
      <c r="S426" s="1" t="str">
        <f>IF($B426="","",$B426&amp;"|"&amp;COUNTIFS($B$7:$B426,$B426))</f>
        <v/>
      </c>
      <c r="T426" s="1" t="str">
        <f t="shared" si="90"/>
        <v/>
      </c>
      <c r="U426" s="1">
        <f t="shared" si="91"/>
        <v>0</v>
      </c>
      <c r="V426" s="1">
        <f t="shared" si="92"/>
        <v>2958465</v>
      </c>
      <c r="W426" s="1">
        <f t="shared" si="93"/>
        <v>0</v>
      </c>
      <c r="X426" s="1">
        <f t="shared" si="94"/>
        <v>0</v>
      </c>
      <c r="Y426" s="1">
        <f t="shared" si="95"/>
        <v>97200</v>
      </c>
      <c r="Z426" s="1">
        <f t="shared" si="96"/>
        <v>1</v>
      </c>
      <c r="AA426" s="1">
        <f t="shared" si="97"/>
        <v>0</v>
      </c>
    </row>
    <row r="427" spans="1:27" ht="18" customHeight="1" x14ac:dyDescent="0.3">
      <c r="A427" s="2"/>
      <c r="B427" s="65" t="str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61"/>
      <c r="D427" s="66"/>
      <c r="E427" s="66"/>
      <c r="F427" s="60"/>
      <c r="G427" s="67"/>
      <c r="H427" s="60"/>
      <c r="I427" s="68">
        <f t="shared" ca="1" si="84"/>
        <v>0</v>
      </c>
      <c r="J427" s="68">
        <f t="shared" ca="1" si="85"/>
        <v>0</v>
      </c>
      <c r="K427" s="68">
        <f t="shared" ca="1" si="86"/>
        <v>0</v>
      </c>
      <c r="L427" s="68">
        <f t="shared" ca="1" si="87"/>
        <v>0</v>
      </c>
      <c r="M427" s="69">
        <f t="shared" si="88"/>
        <v>0</v>
      </c>
      <c r="N427" s="65" t="str">
        <f t="shared" si="89"/>
        <v/>
      </c>
      <c r="O427" s="70" t="str">
        <f>IF(OR($C427="",$D427="",$F427=""),"",IF($F427="Aylık",EOMONTH($D427,0),($D427+MOD(SISTEM!$F$8-WEEKDAY($D427,2),7))))</f>
        <v/>
      </c>
      <c r="P427" s="61"/>
      <c r="Q427" s="2"/>
      <c r="R427" s="2"/>
      <c r="S427" s="1" t="str">
        <f>IF($B427="","",$B427&amp;"|"&amp;COUNTIFS($B$7:$B427,$B427))</f>
        <v/>
      </c>
      <c r="T427" s="1" t="str">
        <f t="shared" si="90"/>
        <v/>
      </c>
      <c r="U427" s="1">
        <f t="shared" si="91"/>
        <v>0</v>
      </c>
      <c r="V427" s="1">
        <f t="shared" si="92"/>
        <v>2958465</v>
      </c>
      <c r="W427" s="1">
        <f t="shared" si="93"/>
        <v>0</v>
      </c>
      <c r="X427" s="1">
        <f t="shared" si="94"/>
        <v>0</v>
      </c>
      <c r="Y427" s="1">
        <f t="shared" si="95"/>
        <v>97200</v>
      </c>
      <c r="Z427" s="1">
        <f t="shared" si="96"/>
        <v>1</v>
      </c>
      <c r="AA427" s="1">
        <f t="shared" si="97"/>
        <v>0</v>
      </c>
    </row>
    <row r="428" spans="1:27" ht="18" customHeight="1" x14ac:dyDescent="0.3">
      <c r="A428" s="2"/>
      <c r="B428" s="65" t="str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61"/>
      <c r="D428" s="66"/>
      <c r="E428" s="66"/>
      <c r="F428" s="60"/>
      <c r="G428" s="67"/>
      <c r="H428" s="60"/>
      <c r="I428" s="68">
        <f t="shared" ca="1" si="84"/>
        <v>0</v>
      </c>
      <c r="J428" s="68">
        <f t="shared" ca="1" si="85"/>
        <v>0</v>
      </c>
      <c r="K428" s="68">
        <f t="shared" ca="1" si="86"/>
        <v>0</v>
      </c>
      <c r="L428" s="68">
        <f t="shared" ca="1" si="87"/>
        <v>0</v>
      </c>
      <c r="M428" s="69">
        <f t="shared" si="88"/>
        <v>0</v>
      </c>
      <c r="N428" s="65" t="str">
        <f t="shared" si="89"/>
        <v/>
      </c>
      <c r="O428" s="70" t="str">
        <f>IF(OR($C428="",$D428="",$F428=""),"",IF($F428="Aylık",EOMONTH($D428,0),($D428+MOD(SISTEM!$F$8-WEEKDAY($D428,2),7))))</f>
        <v/>
      </c>
      <c r="P428" s="61"/>
      <c r="Q428" s="2"/>
      <c r="R428" s="2"/>
      <c r="S428" s="1" t="str">
        <f>IF($B428="","",$B428&amp;"|"&amp;COUNTIFS($B$7:$B428,$B428))</f>
        <v/>
      </c>
      <c r="T428" s="1" t="str">
        <f t="shared" si="90"/>
        <v/>
      </c>
      <c r="U428" s="1">
        <f t="shared" si="91"/>
        <v>0</v>
      </c>
      <c r="V428" s="1">
        <f t="shared" si="92"/>
        <v>2958465</v>
      </c>
      <c r="W428" s="1">
        <f t="shared" si="93"/>
        <v>0</v>
      </c>
      <c r="X428" s="1">
        <f t="shared" si="94"/>
        <v>0</v>
      </c>
      <c r="Y428" s="1">
        <f t="shared" si="95"/>
        <v>97200</v>
      </c>
      <c r="Z428" s="1">
        <f t="shared" si="96"/>
        <v>1</v>
      </c>
      <c r="AA428" s="1">
        <f t="shared" si="97"/>
        <v>0</v>
      </c>
    </row>
    <row r="429" spans="1:27" ht="18" customHeight="1" x14ac:dyDescent="0.3">
      <c r="A429" s="2"/>
      <c r="B429" s="65" t="str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61"/>
      <c r="D429" s="66"/>
      <c r="E429" s="66"/>
      <c r="F429" s="60"/>
      <c r="G429" s="67"/>
      <c r="H429" s="60"/>
      <c r="I429" s="68">
        <f t="shared" ca="1" si="84"/>
        <v>0</v>
      </c>
      <c r="J429" s="68">
        <f t="shared" ca="1" si="85"/>
        <v>0</v>
      </c>
      <c r="K429" s="68">
        <f t="shared" ca="1" si="86"/>
        <v>0</v>
      </c>
      <c r="L429" s="68">
        <f t="shared" ca="1" si="87"/>
        <v>0</v>
      </c>
      <c r="M429" s="69">
        <f t="shared" si="88"/>
        <v>0</v>
      </c>
      <c r="N429" s="65" t="str">
        <f t="shared" si="89"/>
        <v/>
      </c>
      <c r="O429" s="70" t="str">
        <f>IF(OR($C429="",$D429="",$F429=""),"",IF($F429="Aylık",EOMONTH($D429,0),($D429+MOD(SISTEM!$F$8-WEEKDAY($D429,2),7))))</f>
        <v/>
      </c>
      <c r="P429" s="61"/>
      <c r="Q429" s="2"/>
      <c r="R429" s="2"/>
      <c r="S429" s="1" t="str">
        <f>IF($B429="","",$B429&amp;"|"&amp;COUNTIFS($B$7:$B429,$B429))</f>
        <v/>
      </c>
      <c r="T429" s="1" t="str">
        <f t="shared" si="90"/>
        <v/>
      </c>
      <c r="U429" s="1">
        <f t="shared" si="91"/>
        <v>0</v>
      </c>
      <c r="V429" s="1">
        <f t="shared" si="92"/>
        <v>2958465</v>
      </c>
      <c r="W429" s="1">
        <f t="shared" si="93"/>
        <v>0</v>
      </c>
      <c r="X429" s="1">
        <f t="shared" si="94"/>
        <v>0</v>
      </c>
      <c r="Y429" s="1">
        <f t="shared" si="95"/>
        <v>97200</v>
      </c>
      <c r="Z429" s="1">
        <f t="shared" si="96"/>
        <v>1</v>
      </c>
      <c r="AA429" s="1">
        <f t="shared" si="97"/>
        <v>0</v>
      </c>
    </row>
    <row r="430" spans="1:27" ht="18" customHeight="1" x14ac:dyDescent="0.3">
      <c r="A430" s="2"/>
      <c r="B430" s="65" t="str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61"/>
      <c r="D430" s="66"/>
      <c r="E430" s="66"/>
      <c r="F430" s="60"/>
      <c r="G430" s="67"/>
      <c r="H430" s="60"/>
      <c r="I430" s="68">
        <f t="shared" ca="1" si="84"/>
        <v>0</v>
      </c>
      <c r="J430" s="68">
        <f t="shared" ca="1" si="85"/>
        <v>0</v>
      </c>
      <c r="K430" s="68">
        <f t="shared" ca="1" si="86"/>
        <v>0</v>
      </c>
      <c r="L430" s="68">
        <f t="shared" ca="1" si="87"/>
        <v>0</v>
      </c>
      <c r="M430" s="69">
        <f t="shared" si="88"/>
        <v>0</v>
      </c>
      <c r="N430" s="65" t="str">
        <f t="shared" si="89"/>
        <v/>
      </c>
      <c r="O430" s="70" t="str">
        <f>IF(OR($C430="",$D430="",$F430=""),"",IF($F430="Aylık",EOMONTH($D430,0),($D430+MOD(SISTEM!$F$8-WEEKDAY($D430,2),7))))</f>
        <v/>
      </c>
      <c r="P430" s="61"/>
      <c r="Q430" s="2"/>
      <c r="R430" s="2"/>
      <c r="S430" s="1" t="str">
        <f>IF($B430="","",$B430&amp;"|"&amp;COUNTIFS($B$7:$B430,$B430))</f>
        <v/>
      </c>
      <c r="T430" s="1" t="str">
        <f t="shared" si="90"/>
        <v/>
      </c>
      <c r="U430" s="1">
        <f t="shared" si="91"/>
        <v>0</v>
      </c>
      <c r="V430" s="1">
        <f t="shared" si="92"/>
        <v>2958465</v>
      </c>
      <c r="W430" s="1">
        <f t="shared" si="93"/>
        <v>0</v>
      </c>
      <c r="X430" s="1">
        <f t="shared" si="94"/>
        <v>0</v>
      </c>
      <c r="Y430" s="1">
        <f t="shared" si="95"/>
        <v>97200</v>
      </c>
      <c r="Z430" s="1">
        <f t="shared" si="96"/>
        <v>1</v>
      </c>
      <c r="AA430" s="1">
        <f t="shared" si="97"/>
        <v>0</v>
      </c>
    </row>
    <row r="431" spans="1:27" ht="18" customHeight="1" x14ac:dyDescent="0.3">
      <c r="A431" s="2"/>
      <c r="B431" s="65" t="str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61"/>
      <c r="D431" s="66"/>
      <c r="E431" s="66"/>
      <c r="F431" s="60"/>
      <c r="G431" s="67"/>
      <c r="H431" s="60"/>
      <c r="I431" s="68">
        <f t="shared" ca="1" si="84"/>
        <v>0</v>
      </c>
      <c r="J431" s="68">
        <f t="shared" ca="1" si="85"/>
        <v>0</v>
      </c>
      <c r="K431" s="68">
        <f t="shared" ca="1" si="86"/>
        <v>0</v>
      </c>
      <c r="L431" s="68">
        <f t="shared" ca="1" si="87"/>
        <v>0</v>
      </c>
      <c r="M431" s="69">
        <f t="shared" si="88"/>
        <v>0</v>
      </c>
      <c r="N431" s="65" t="str">
        <f t="shared" si="89"/>
        <v/>
      </c>
      <c r="O431" s="70" t="str">
        <f>IF(OR($C431="",$D431="",$F431=""),"",IF($F431="Aylık",EOMONTH($D431,0),($D431+MOD(SISTEM!$F$8-WEEKDAY($D431,2),7))))</f>
        <v/>
      </c>
      <c r="P431" s="61"/>
      <c r="Q431" s="2"/>
      <c r="R431" s="2"/>
      <c r="S431" s="1" t="str">
        <f>IF($B431="","",$B431&amp;"|"&amp;COUNTIFS($B$7:$B431,$B431))</f>
        <v/>
      </c>
      <c r="T431" s="1" t="str">
        <f t="shared" si="90"/>
        <v/>
      </c>
      <c r="U431" s="1">
        <f t="shared" si="91"/>
        <v>0</v>
      </c>
      <c r="V431" s="1">
        <f t="shared" si="92"/>
        <v>2958465</v>
      </c>
      <c r="W431" s="1">
        <f t="shared" si="93"/>
        <v>0</v>
      </c>
      <c r="X431" s="1">
        <f t="shared" si="94"/>
        <v>0</v>
      </c>
      <c r="Y431" s="1">
        <f t="shared" si="95"/>
        <v>97200</v>
      </c>
      <c r="Z431" s="1">
        <f t="shared" si="96"/>
        <v>1</v>
      </c>
      <c r="AA431" s="1">
        <f t="shared" si="97"/>
        <v>0</v>
      </c>
    </row>
    <row r="432" spans="1:27" ht="18" customHeight="1" x14ac:dyDescent="0.3">
      <c r="A432" s="2"/>
      <c r="B432" s="65" t="str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61"/>
      <c r="D432" s="66"/>
      <c r="E432" s="66"/>
      <c r="F432" s="60"/>
      <c r="G432" s="67"/>
      <c r="H432" s="60"/>
      <c r="I432" s="68">
        <f t="shared" ca="1" si="84"/>
        <v>0</v>
      </c>
      <c r="J432" s="68">
        <f t="shared" ca="1" si="85"/>
        <v>0</v>
      </c>
      <c r="K432" s="68">
        <f t="shared" ca="1" si="86"/>
        <v>0</v>
      </c>
      <c r="L432" s="68">
        <f t="shared" ca="1" si="87"/>
        <v>0</v>
      </c>
      <c r="M432" s="69">
        <f t="shared" si="88"/>
        <v>0</v>
      </c>
      <c r="N432" s="65" t="str">
        <f t="shared" si="89"/>
        <v/>
      </c>
      <c r="O432" s="70" t="str">
        <f>IF(OR($C432="",$D432="",$F432=""),"",IF($F432="Aylık",EOMONTH($D432,0),($D432+MOD(SISTEM!$F$8-WEEKDAY($D432,2),7))))</f>
        <v/>
      </c>
      <c r="P432" s="61"/>
      <c r="Q432" s="2"/>
      <c r="R432" s="2"/>
      <c r="S432" s="1" t="str">
        <f>IF($B432="","",$B432&amp;"|"&amp;COUNTIFS($B$7:$B432,$B432))</f>
        <v/>
      </c>
      <c r="T432" s="1" t="str">
        <f t="shared" si="90"/>
        <v/>
      </c>
      <c r="U432" s="1">
        <f t="shared" si="91"/>
        <v>0</v>
      </c>
      <c r="V432" s="1">
        <f t="shared" si="92"/>
        <v>2958465</v>
      </c>
      <c r="W432" s="1">
        <f t="shared" si="93"/>
        <v>0</v>
      </c>
      <c r="X432" s="1">
        <f t="shared" si="94"/>
        <v>0</v>
      </c>
      <c r="Y432" s="1">
        <f t="shared" si="95"/>
        <v>97200</v>
      </c>
      <c r="Z432" s="1">
        <f t="shared" si="96"/>
        <v>1</v>
      </c>
      <c r="AA432" s="1">
        <f t="shared" si="97"/>
        <v>0</v>
      </c>
    </row>
    <row r="433" spans="1:27" ht="18" customHeight="1" x14ac:dyDescent="0.3">
      <c r="A433" s="2"/>
      <c r="B433" s="65" t="str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61"/>
      <c r="D433" s="66"/>
      <c r="E433" s="66"/>
      <c r="F433" s="60"/>
      <c r="G433" s="67"/>
      <c r="H433" s="60"/>
      <c r="I433" s="68">
        <f t="shared" ca="1" si="84"/>
        <v>0</v>
      </c>
      <c r="J433" s="68">
        <f t="shared" ca="1" si="85"/>
        <v>0</v>
      </c>
      <c r="K433" s="68">
        <f t="shared" ca="1" si="86"/>
        <v>0</v>
      </c>
      <c r="L433" s="68">
        <f t="shared" ca="1" si="87"/>
        <v>0</v>
      </c>
      <c r="M433" s="69">
        <f t="shared" si="88"/>
        <v>0</v>
      </c>
      <c r="N433" s="65" t="str">
        <f t="shared" si="89"/>
        <v/>
      </c>
      <c r="O433" s="70" t="str">
        <f>IF(OR($C433="",$D433="",$F433=""),"",IF($F433="Aylık",EOMONTH($D433,0),($D433+MOD(SISTEM!$F$8-WEEKDAY($D433,2),7))))</f>
        <v/>
      </c>
      <c r="P433" s="61"/>
      <c r="Q433" s="2"/>
      <c r="R433" s="2"/>
      <c r="S433" s="1" t="str">
        <f>IF($B433="","",$B433&amp;"|"&amp;COUNTIFS($B$7:$B433,$B433))</f>
        <v/>
      </c>
      <c r="T433" s="1" t="str">
        <f t="shared" si="90"/>
        <v/>
      </c>
      <c r="U433" s="1">
        <f t="shared" si="91"/>
        <v>0</v>
      </c>
      <c r="V433" s="1">
        <f t="shared" si="92"/>
        <v>2958465</v>
      </c>
      <c r="W433" s="1">
        <f t="shared" si="93"/>
        <v>0</v>
      </c>
      <c r="X433" s="1">
        <f t="shared" si="94"/>
        <v>0</v>
      </c>
      <c r="Y433" s="1">
        <f t="shared" si="95"/>
        <v>97200</v>
      </c>
      <c r="Z433" s="1">
        <f t="shared" si="96"/>
        <v>1</v>
      </c>
      <c r="AA433" s="1">
        <f t="shared" si="97"/>
        <v>0</v>
      </c>
    </row>
    <row r="434" spans="1:27" ht="18" customHeight="1" x14ac:dyDescent="0.3">
      <c r="A434" s="2"/>
      <c r="B434" s="65" t="str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61"/>
      <c r="D434" s="66"/>
      <c r="E434" s="66"/>
      <c r="F434" s="60"/>
      <c r="G434" s="67"/>
      <c r="H434" s="60"/>
      <c r="I434" s="68">
        <f t="shared" ca="1" si="84"/>
        <v>0</v>
      </c>
      <c r="J434" s="68">
        <f t="shared" ca="1" si="85"/>
        <v>0</v>
      </c>
      <c r="K434" s="68">
        <f t="shared" ca="1" si="86"/>
        <v>0</v>
      </c>
      <c r="L434" s="68">
        <f t="shared" ca="1" si="87"/>
        <v>0</v>
      </c>
      <c r="M434" s="69">
        <f t="shared" si="88"/>
        <v>0</v>
      </c>
      <c r="N434" s="65" t="str">
        <f t="shared" si="89"/>
        <v/>
      </c>
      <c r="O434" s="70" t="str">
        <f>IF(OR($C434="",$D434="",$F434=""),"",IF($F434="Aylık",EOMONTH($D434,0),($D434+MOD(SISTEM!$F$8-WEEKDAY($D434,2),7))))</f>
        <v/>
      </c>
      <c r="P434" s="61"/>
      <c r="Q434" s="2"/>
      <c r="R434" s="2"/>
      <c r="S434" s="1" t="str">
        <f>IF($B434="","",$B434&amp;"|"&amp;COUNTIFS($B$7:$B434,$B434))</f>
        <v/>
      </c>
      <c r="T434" s="1" t="str">
        <f t="shared" si="90"/>
        <v/>
      </c>
      <c r="U434" s="1">
        <f t="shared" si="91"/>
        <v>0</v>
      </c>
      <c r="V434" s="1">
        <f t="shared" si="92"/>
        <v>2958465</v>
      </c>
      <c r="W434" s="1">
        <f t="shared" si="93"/>
        <v>0</v>
      </c>
      <c r="X434" s="1">
        <f t="shared" si="94"/>
        <v>0</v>
      </c>
      <c r="Y434" s="1">
        <f t="shared" si="95"/>
        <v>97200</v>
      </c>
      <c r="Z434" s="1">
        <f t="shared" si="96"/>
        <v>1</v>
      </c>
      <c r="AA434" s="1">
        <f t="shared" si="97"/>
        <v>0</v>
      </c>
    </row>
    <row r="435" spans="1:27" ht="18" customHeight="1" x14ac:dyDescent="0.3">
      <c r="A435" s="2"/>
      <c r="B435" s="65" t="str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61"/>
      <c r="D435" s="66"/>
      <c r="E435" s="66"/>
      <c r="F435" s="60"/>
      <c r="G435" s="67"/>
      <c r="H435" s="60"/>
      <c r="I435" s="68">
        <f t="shared" ca="1" si="84"/>
        <v>0</v>
      </c>
      <c r="J435" s="68">
        <f t="shared" ca="1" si="85"/>
        <v>0</v>
      </c>
      <c r="K435" s="68">
        <f t="shared" ca="1" si="86"/>
        <v>0</v>
      </c>
      <c r="L435" s="68">
        <f t="shared" ca="1" si="87"/>
        <v>0</v>
      </c>
      <c r="M435" s="69">
        <f t="shared" si="88"/>
        <v>0</v>
      </c>
      <c r="N435" s="65" t="str">
        <f t="shared" si="89"/>
        <v/>
      </c>
      <c r="O435" s="70" t="str">
        <f>IF(OR($C435="",$D435="",$F435=""),"",IF($F435="Aylık",EOMONTH($D435,0),($D435+MOD(SISTEM!$F$8-WEEKDAY($D435,2),7))))</f>
        <v/>
      </c>
      <c r="P435" s="61"/>
      <c r="Q435" s="2"/>
      <c r="R435" s="2"/>
      <c r="S435" s="1" t="str">
        <f>IF($B435="","",$B435&amp;"|"&amp;COUNTIFS($B$7:$B435,$B435))</f>
        <v/>
      </c>
      <c r="T435" s="1" t="str">
        <f t="shared" si="90"/>
        <v/>
      </c>
      <c r="U435" s="1">
        <f t="shared" si="91"/>
        <v>0</v>
      </c>
      <c r="V435" s="1">
        <f t="shared" si="92"/>
        <v>2958465</v>
      </c>
      <c r="W435" s="1">
        <f t="shared" si="93"/>
        <v>0</v>
      </c>
      <c r="X435" s="1">
        <f t="shared" si="94"/>
        <v>0</v>
      </c>
      <c r="Y435" s="1">
        <f t="shared" si="95"/>
        <v>97200</v>
      </c>
      <c r="Z435" s="1">
        <f t="shared" si="96"/>
        <v>1</v>
      </c>
      <c r="AA435" s="1">
        <f t="shared" si="97"/>
        <v>0</v>
      </c>
    </row>
    <row r="436" spans="1:27" ht="18" customHeight="1" x14ac:dyDescent="0.3">
      <c r="A436" s="2"/>
      <c r="B436" s="65" t="str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61"/>
      <c r="D436" s="66"/>
      <c r="E436" s="66"/>
      <c r="F436" s="60"/>
      <c r="G436" s="67"/>
      <c r="H436" s="60"/>
      <c r="I436" s="68">
        <f t="shared" ca="1" si="84"/>
        <v>0</v>
      </c>
      <c r="J436" s="68">
        <f t="shared" ca="1" si="85"/>
        <v>0</v>
      </c>
      <c r="K436" s="68">
        <f t="shared" ca="1" si="86"/>
        <v>0</v>
      </c>
      <c r="L436" s="68">
        <f t="shared" ca="1" si="87"/>
        <v>0</v>
      </c>
      <c r="M436" s="69">
        <f t="shared" si="88"/>
        <v>0</v>
      </c>
      <c r="N436" s="65" t="str">
        <f t="shared" si="89"/>
        <v/>
      </c>
      <c r="O436" s="70" t="str">
        <f>IF(OR($C436="",$D436="",$F436=""),"",IF($F436="Aylık",EOMONTH($D436,0),($D436+MOD(SISTEM!$F$8-WEEKDAY($D436,2),7))))</f>
        <v/>
      </c>
      <c r="P436" s="61"/>
      <c r="Q436" s="2"/>
      <c r="R436" s="2"/>
      <c r="S436" s="1" t="str">
        <f>IF($B436="","",$B436&amp;"|"&amp;COUNTIFS($B$7:$B436,$B436))</f>
        <v/>
      </c>
      <c r="T436" s="1" t="str">
        <f t="shared" si="90"/>
        <v/>
      </c>
      <c r="U436" s="1">
        <f t="shared" si="91"/>
        <v>0</v>
      </c>
      <c r="V436" s="1">
        <f t="shared" si="92"/>
        <v>2958465</v>
      </c>
      <c r="W436" s="1">
        <f t="shared" si="93"/>
        <v>0</v>
      </c>
      <c r="X436" s="1">
        <f t="shared" si="94"/>
        <v>0</v>
      </c>
      <c r="Y436" s="1">
        <f t="shared" si="95"/>
        <v>97200</v>
      </c>
      <c r="Z436" s="1">
        <f t="shared" si="96"/>
        <v>1</v>
      </c>
      <c r="AA436" s="1">
        <f t="shared" si="97"/>
        <v>0</v>
      </c>
    </row>
    <row r="437" spans="1:27" ht="18" customHeight="1" x14ac:dyDescent="0.3">
      <c r="A437" s="2"/>
      <c r="B437" s="65" t="str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61"/>
      <c r="D437" s="66"/>
      <c r="E437" s="66"/>
      <c r="F437" s="60"/>
      <c r="G437" s="67"/>
      <c r="H437" s="60"/>
      <c r="I437" s="68">
        <f t="shared" ca="1" si="84"/>
        <v>0</v>
      </c>
      <c r="J437" s="68">
        <f t="shared" ca="1" si="85"/>
        <v>0</v>
      </c>
      <c r="K437" s="68">
        <f t="shared" ca="1" si="86"/>
        <v>0</v>
      </c>
      <c r="L437" s="68">
        <f t="shared" ca="1" si="87"/>
        <v>0</v>
      </c>
      <c r="M437" s="69">
        <f t="shared" si="88"/>
        <v>0</v>
      </c>
      <c r="N437" s="65" t="str">
        <f t="shared" si="89"/>
        <v/>
      </c>
      <c r="O437" s="70" t="str">
        <f>IF(OR($C437="",$D437="",$F437=""),"",IF($F437="Aylık",EOMONTH($D437,0),($D437+MOD(SISTEM!$F$8-WEEKDAY($D437,2),7))))</f>
        <v/>
      </c>
      <c r="P437" s="61"/>
      <c r="Q437" s="2"/>
      <c r="R437" s="2"/>
      <c r="S437" s="1" t="str">
        <f>IF($B437="","",$B437&amp;"|"&amp;COUNTIFS($B$7:$B437,$B437))</f>
        <v/>
      </c>
      <c r="T437" s="1" t="str">
        <f t="shared" si="90"/>
        <v/>
      </c>
      <c r="U437" s="1">
        <f t="shared" si="91"/>
        <v>0</v>
      </c>
      <c r="V437" s="1">
        <f t="shared" si="92"/>
        <v>2958465</v>
      </c>
      <c r="W437" s="1">
        <f t="shared" si="93"/>
        <v>0</v>
      </c>
      <c r="X437" s="1">
        <f t="shared" si="94"/>
        <v>0</v>
      </c>
      <c r="Y437" s="1">
        <f t="shared" si="95"/>
        <v>97200</v>
      </c>
      <c r="Z437" s="1">
        <f t="shared" si="96"/>
        <v>1</v>
      </c>
      <c r="AA437" s="1">
        <f t="shared" si="97"/>
        <v>0</v>
      </c>
    </row>
    <row r="438" spans="1:27" ht="18" customHeight="1" x14ac:dyDescent="0.3">
      <c r="A438" s="2"/>
      <c r="B438" s="65" t="str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61"/>
      <c r="D438" s="66"/>
      <c r="E438" s="66"/>
      <c r="F438" s="60"/>
      <c r="G438" s="67"/>
      <c r="H438" s="60"/>
      <c r="I438" s="68">
        <f t="shared" ca="1" si="84"/>
        <v>0</v>
      </c>
      <c r="J438" s="68">
        <f t="shared" ca="1" si="85"/>
        <v>0</v>
      </c>
      <c r="K438" s="68">
        <f t="shared" ca="1" si="86"/>
        <v>0</v>
      </c>
      <c r="L438" s="68">
        <f t="shared" ca="1" si="87"/>
        <v>0</v>
      </c>
      <c r="M438" s="69">
        <f t="shared" si="88"/>
        <v>0</v>
      </c>
      <c r="N438" s="65" t="str">
        <f t="shared" si="89"/>
        <v/>
      </c>
      <c r="O438" s="70" t="str">
        <f>IF(OR($C438="",$D438="",$F438=""),"",IF($F438="Aylık",EOMONTH($D438,0),($D438+MOD(SISTEM!$F$8-WEEKDAY($D438,2),7))))</f>
        <v/>
      </c>
      <c r="P438" s="61"/>
      <c r="Q438" s="2"/>
      <c r="R438" s="2"/>
      <c r="S438" s="1" t="str">
        <f>IF($B438="","",$B438&amp;"|"&amp;COUNTIFS($B$7:$B438,$B438))</f>
        <v/>
      </c>
      <c r="T438" s="1" t="str">
        <f t="shared" si="90"/>
        <v/>
      </c>
      <c r="U438" s="1">
        <f t="shared" si="91"/>
        <v>0</v>
      </c>
      <c r="V438" s="1">
        <f t="shared" si="92"/>
        <v>2958465</v>
      </c>
      <c r="W438" s="1">
        <f t="shared" si="93"/>
        <v>0</v>
      </c>
      <c r="X438" s="1">
        <f t="shared" si="94"/>
        <v>0</v>
      </c>
      <c r="Y438" s="1">
        <f t="shared" si="95"/>
        <v>97200</v>
      </c>
      <c r="Z438" s="1">
        <f t="shared" si="96"/>
        <v>1</v>
      </c>
      <c r="AA438" s="1">
        <f t="shared" si="97"/>
        <v>0</v>
      </c>
    </row>
    <row r="439" spans="1:27" ht="18" customHeight="1" x14ac:dyDescent="0.3">
      <c r="A439" s="2"/>
      <c r="B439" s="65" t="str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61"/>
      <c r="D439" s="66"/>
      <c r="E439" s="66"/>
      <c r="F439" s="60"/>
      <c r="G439" s="67"/>
      <c r="H439" s="60"/>
      <c r="I439" s="68">
        <f t="shared" ca="1" si="84"/>
        <v>0</v>
      </c>
      <c r="J439" s="68">
        <f t="shared" ca="1" si="85"/>
        <v>0</v>
      </c>
      <c r="K439" s="68">
        <f t="shared" ca="1" si="86"/>
        <v>0</v>
      </c>
      <c r="L439" s="68">
        <f t="shared" ca="1" si="87"/>
        <v>0</v>
      </c>
      <c r="M439" s="69">
        <f t="shared" si="88"/>
        <v>0</v>
      </c>
      <c r="N439" s="65" t="str">
        <f t="shared" si="89"/>
        <v/>
      </c>
      <c r="O439" s="70" t="str">
        <f>IF(OR($C439="",$D439="",$F439=""),"",IF($F439="Aylık",EOMONTH($D439,0),($D439+MOD(SISTEM!$F$8-WEEKDAY($D439,2),7))))</f>
        <v/>
      </c>
      <c r="P439" s="61"/>
      <c r="Q439" s="2"/>
      <c r="R439" s="2"/>
      <c r="S439" s="1" t="str">
        <f>IF($B439="","",$B439&amp;"|"&amp;COUNTIFS($B$7:$B439,$B439))</f>
        <v/>
      </c>
      <c r="T439" s="1" t="str">
        <f t="shared" si="90"/>
        <v/>
      </c>
      <c r="U439" s="1">
        <f t="shared" si="91"/>
        <v>0</v>
      </c>
      <c r="V439" s="1">
        <f t="shared" si="92"/>
        <v>2958465</v>
      </c>
      <c r="W439" s="1">
        <f t="shared" si="93"/>
        <v>0</v>
      </c>
      <c r="X439" s="1">
        <f t="shared" si="94"/>
        <v>0</v>
      </c>
      <c r="Y439" s="1">
        <f t="shared" si="95"/>
        <v>97200</v>
      </c>
      <c r="Z439" s="1">
        <f t="shared" si="96"/>
        <v>1</v>
      </c>
      <c r="AA439" s="1">
        <f t="shared" si="97"/>
        <v>0</v>
      </c>
    </row>
    <row r="440" spans="1:27" ht="18" customHeight="1" x14ac:dyDescent="0.3">
      <c r="A440" s="2"/>
      <c r="B440" s="65" t="str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61"/>
      <c r="D440" s="66"/>
      <c r="E440" s="66"/>
      <c r="F440" s="60"/>
      <c r="G440" s="67"/>
      <c r="H440" s="60"/>
      <c r="I440" s="68">
        <f t="shared" ca="1" si="84"/>
        <v>0</v>
      </c>
      <c r="J440" s="68">
        <f t="shared" ca="1" si="85"/>
        <v>0</v>
      </c>
      <c r="K440" s="68">
        <f t="shared" ca="1" si="86"/>
        <v>0</v>
      </c>
      <c r="L440" s="68">
        <f t="shared" ca="1" si="87"/>
        <v>0</v>
      </c>
      <c r="M440" s="69">
        <f t="shared" si="88"/>
        <v>0</v>
      </c>
      <c r="N440" s="65" t="str">
        <f t="shared" si="89"/>
        <v/>
      </c>
      <c r="O440" s="70" t="str">
        <f>IF(OR($C440="",$D440="",$F440=""),"",IF($F440="Aylık",EOMONTH($D440,0),($D440+MOD(SISTEM!$F$8-WEEKDAY($D440,2),7))))</f>
        <v/>
      </c>
      <c r="P440" s="61"/>
      <c r="Q440" s="2"/>
      <c r="R440" s="2"/>
      <c r="S440" s="1" t="str">
        <f>IF($B440="","",$B440&amp;"|"&amp;COUNTIFS($B$7:$B440,$B440))</f>
        <v/>
      </c>
      <c r="T440" s="1" t="str">
        <f t="shared" si="90"/>
        <v/>
      </c>
      <c r="U440" s="1">
        <f t="shared" si="91"/>
        <v>0</v>
      </c>
      <c r="V440" s="1">
        <f t="shared" si="92"/>
        <v>2958465</v>
      </c>
      <c r="W440" s="1">
        <f t="shared" si="93"/>
        <v>0</v>
      </c>
      <c r="X440" s="1">
        <f t="shared" si="94"/>
        <v>0</v>
      </c>
      <c r="Y440" s="1">
        <f t="shared" si="95"/>
        <v>97200</v>
      </c>
      <c r="Z440" s="1">
        <f t="shared" si="96"/>
        <v>1</v>
      </c>
      <c r="AA440" s="1">
        <f t="shared" si="97"/>
        <v>0</v>
      </c>
    </row>
    <row r="441" spans="1:27" ht="18" customHeight="1" x14ac:dyDescent="0.3">
      <c r="A441" s="2"/>
      <c r="B441" s="65" t="str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61"/>
      <c r="D441" s="66"/>
      <c r="E441" s="66"/>
      <c r="F441" s="60"/>
      <c r="G441" s="67"/>
      <c r="H441" s="60"/>
      <c r="I441" s="68">
        <f t="shared" ca="1" si="84"/>
        <v>0</v>
      </c>
      <c r="J441" s="68">
        <f t="shared" ca="1" si="85"/>
        <v>0</v>
      </c>
      <c r="K441" s="68">
        <f t="shared" ca="1" si="86"/>
        <v>0</v>
      </c>
      <c r="L441" s="68">
        <f t="shared" ca="1" si="87"/>
        <v>0</v>
      </c>
      <c r="M441" s="69">
        <f t="shared" si="88"/>
        <v>0</v>
      </c>
      <c r="N441" s="65" t="str">
        <f t="shared" si="89"/>
        <v/>
      </c>
      <c r="O441" s="70" t="str">
        <f>IF(OR($C441="",$D441="",$F441=""),"",IF($F441="Aylık",EOMONTH($D441,0),($D441+MOD(SISTEM!$F$8-WEEKDAY($D441,2),7))))</f>
        <v/>
      </c>
      <c r="P441" s="61"/>
      <c r="Q441" s="2"/>
      <c r="R441" s="2"/>
      <c r="S441" s="1" t="str">
        <f>IF($B441="","",$B441&amp;"|"&amp;COUNTIFS($B$7:$B441,$B441))</f>
        <v/>
      </c>
      <c r="T441" s="1" t="str">
        <f t="shared" si="90"/>
        <v/>
      </c>
      <c r="U441" s="1">
        <f t="shared" si="91"/>
        <v>0</v>
      </c>
      <c r="V441" s="1">
        <f t="shared" si="92"/>
        <v>2958465</v>
      </c>
      <c r="W441" s="1">
        <f t="shared" si="93"/>
        <v>0</v>
      </c>
      <c r="X441" s="1">
        <f t="shared" si="94"/>
        <v>0</v>
      </c>
      <c r="Y441" s="1">
        <f t="shared" si="95"/>
        <v>97200</v>
      </c>
      <c r="Z441" s="1">
        <f t="shared" si="96"/>
        <v>1</v>
      </c>
      <c r="AA441" s="1">
        <f t="shared" si="97"/>
        <v>0</v>
      </c>
    </row>
    <row r="442" spans="1:27" ht="18" customHeight="1" x14ac:dyDescent="0.3">
      <c r="A442" s="2"/>
      <c r="B442" s="65" t="str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61"/>
      <c r="D442" s="66"/>
      <c r="E442" s="66"/>
      <c r="F442" s="60"/>
      <c r="G442" s="67"/>
      <c r="H442" s="60"/>
      <c r="I442" s="68">
        <f t="shared" ca="1" si="84"/>
        <v>0</v>
      </c>
      <c r="J442" s="68">
        <f t="shared" ca="1" si="85"/>
        <v>0</v>
      </c>
      <c r="K442" s="68">
        <f t="shared" ca="1" si="86"/>
        <v>0</v>
      </c>
      <c r="L442" s="68">
        <f t="shared" ca="1" si="87"/>
        <v>0</v>
      </c>
      <c r="M442" s="69">
        <f t="shared" si="88"/>
        <v>0</v>
      </c>
      <c r="N442" s="65" t="str">
        <f t="shared" si="89"/>
        <v/>
      </c>
      <c r="O442" s="70" t="str">
        <f>IF(OR($C442="",$D442="",$F442=""),"",IF($F442="Aylık",EOMONTH($D442,0),($D442+MOD(SISTEM!$F$8-WEEKDAY($D442,2),7))))</f>
        <v/>
      </c>
      <c r="P442" s="61"/>
      <c r="Q442" s="2"/>
      <c r="R442" s="2"/>
      <c r="S442" s="1" t="str">
        <f>IF($B442="","",$B442&amp;"|"&amp;COUNTIFS($B$7:$B442,$B442))</f>
        <v/>
      </c>
      <c r="T442" s="1" t="str">
        <f t="shared" si="90"/>
        <v/>
      </c>
      <c r="U442" s="1">
        <f t="shared" si="91"/>
        <v>0</v>
      </c>
      <c r="V442" s="1">
        <f t="shared" si="92"/>
        <v>2958465</v>
      </c>
      <c r="W442" s="1">
        <f t="shared" si="93"/>
        <v>0</v>
      </c>
      <c r="X442" s="1">
        <f t="shared" si="94"/>
        <v>0</v>
      </c>
      <c r="Y442" s="1">
        <f t="shared" si="95"/>
        <v>97200</v>
      </c>
      <c r="Z442" s="1">
        <f t="shared" si="96"/>
        <v>1</v>
      </c>
      <c r="AA442" s="1">
        <f t="shared" si="97"/>
        <v>0</v>
      </c>
    </row>
    <row r="443" spans="1:27" ht="18" customHeight="1" x14ac:dyDescent="0.3">
      <c r="A443" s="2"/>
      <c r="B443" s="65" t="str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61"/>
      <c r="D443" s="66"/>
      <c r="E443" s="66"/>
      <c r="F443" s="60"/>
      <c r="G443" s="67"/>
      <c r="H443" s="60"/>
      <c r="I443" s="68">
        <f t="shared" ca="1" si="84"/>
        <v>0</v>
      </c>
      <c r="J443" s="68">
        <f t="shared" ca="1" si="85"/>
        <v>0</v>
      </c>
      <c r="K443" s="68">
        <f t="shared" ca="1" si="86"/>
        <v>0</v>
      </c>
      <c r="L443" s="68">
        <f t="shared" ca="1" si="87"/>
        <v>0</v>
      </c>
      <c r="M443" s="69">
        <f t="shared" si="88"/>
        <v>0</v>
      </c>
      <c r="N443" s="65" t="str">
        <f t="shared" si="89"/>
        <v/>
      </c>
      <c r="O443" s="70" t="str">
        <f>IF(OR($C443="",$D443="",$F443=""),"",IF($F443="Aylık",EOMONTH($D443,0),($D443+MOD(SISTEM!$F$8-WEEKDAY($D443,2),7))))</f>
        <v/>
      </c>
      <c r="P443" s="61"/>
      <c r="Q443" s="2"/>
      <c r="R443" s="2"/>
      <c r="S443" s="1" t="str">
        <f>IF($B443="","",$B443&amp;"|"&amp;COUNTIFS($B$7:$B443,$B443))</f>
        <v/>
      </c>
      <c r="T443" s="1" t="str">
        <f t="shared" si="90"/>
        <v/>
      </c>
      <c r="U443" s="1">
        <f t="shared" si="91"/>
        <v>0</v>
      </c>
      <c r="V443" s="1">
        <f t="shared" si="92"/>
        <v>2958465</v>
      </c>
      <c r="W443" s="1">
        <f t="shared" si="93"/>
        <v>0</v>
      </c>
      <c r="X443" s="1">
        <f t="shared" si="94"/>
        <v>0</v>
      </c>
      <c r="Y443" s="1">
        <f t="shared" si="95"/>
        <v>97200</v>
      </c>
      <c r="Z443" s="1">
        <f t="shared" si="96"/>
        <v>1</v>
      </c>
      <c r="AA443" s="1">
        <f t="shared" si="97"/>
        <v>0</v>
      </c>
    </row>
    <row r="444" spans="1:27" ht="18" customHeight="1" x14ac:dyDescent="0.3">
      <c r="A444" s="2"/>
      <c r="B444" s="65" t="str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61"/>
      <c r="D444" s="66"/>
      <c r="E444" s="66"/>
      <c r="F444" s="60"/>
      <c r="G444" s="67"/>
      <c r="H444" s="60"/>
      <c r="I444" s="68">
        <f t="shared" ca="1" si="84"/>
        <v>0</v>
      </c>
      <c r="J444" s="68">
        <f t="shared" ca="1" si="85"/>
        <v>0</v>
      </c>
      <c r="K444" s="68">
        <f t="shared" ca="1" si="86"/>
        <v>0</v>
      </c>
      <c r="L444" s="68">
        <f t="shared" ca="1" si="87"/>
        <v>0</v>
      </c>
      <c r="M444" s="69">
        <f t="shared" si="88"/>
        <v>0</v>
      </c>
      <c r="N444" s="65" t="str">
        <f t="shared" si="89"/>
        <v/>
      </c>
      <c r="O444" s="70" t="str">
        <f>IF(OR($C444="",$D444="",$F444=""),"",IF($F444="Aylık",EOMONTH($D444,0),($D444+MOD(SISTEM!$F$8-WEEKDAY($D444,2),7))))</f>
        <v/>
      </c>
      <c r="P444" s="61"/>
      <c r="Q444" s="2"/>
      <c r="R444" s="2"/>
      <c r="S444" s="1" t="str">
        <f>IF($B444="","",$B444&amp;"|"&amp;COUNTIFS($B$7:$B444,$B444))</f>
        <v/>
      </c>
      <c r="T444" s="1" t="str">
        <f t="shared" si="90"/>
        <v/>
      </c>
      <c r="U444" s="1">
        <f t="shared" si="91"/>
        <v>0</v>
      </c>
      <c r="V444" s="1">
        <f t="shared" si="92"/>
        <v>2958465</v>
      </c>
      <c r="W444" s="1">
        <f t="shared" si="93"/>
        <v>0</v>
      </c>
      <c r="X444" s="1">
        <f t="shared" si="94"/>
        <v>0</v>
      </c>
      <c r="Y444" s="1">
        <f t="shared" si="95"/>
        <v>97200</v>
      </c>
      <c r="Z444" s="1">
        <f t="shared" si="96"/>
        <v>1</v>
      </c>
      <c r="AA444" s="1">
        <f t="shared" si="97"/>
        <v>0</v>
      </c>
    </row>
    <row r="445" spans="1:27" ht="18" customHeight="1" x14ac:dyDescent="0.3">
      <c r="A445" s="2"/>
      <c r="B445" s="65" t="str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61"/>
      <c r="D445" s="66"/>
      <c r="E445" s="66"/>
      <c r="F445" s="60"/>
      <c r="G445" s="67"/>
      <c r="H445" s="60"/>
      <c r="I445" s="68">
        <f t="shared" ca="1" si="84"/>
        <v>0</v>
      </c>
      <c r="J445" s="68">
        <f t="shared" ca="1" si="85"/>
        <v>0</v>
      </c>
      <c r="K445" s="68">
        <f t="shared" ca="1" si="86"/>
        <v>0</v>
      </c>
      <c r="L445" s="68">
        <f t="shared" ca="1" si="87"/>
        <v>0</v>
      </c>
      <c r="M445" s="69">
        <f t="shared" si="88"/>
        <v>0</v>
      </c>
      <c r="N445" s="65" t="str">
        <f t="shared" si="89"/>
        <v/>
      </c>
      <c r="O445" s="70" t="str">
        <f>IF(OR($C445="",$D445="",$F445=""),"",IF($F445="Aylık",EOMONTH($D445,0),($D445+MOD(SISTEM!$F$8-WEEKDAY($D445,2),7))))</f>
        <v/>
      </c>
      <c r="P445" s="61"/>
      <c r="Q445" s="2"/>
      <c r="R445" s="2"/>
      <c r="S445" s="1" t="str">
        <f>IF($B445="","",$B445&amp;"|"&amp;COUNTIFS($B$7:$B445,$B445))</f>
        <v/>
      </c>
      <c r="T445" s="1" t="str">
        <f t="shared" si="90"/>
        <v/>
      </c>
      <c r="U445" s="1">
        <f t="shared" si="91"/>
        <v>0</v>
      </c>
      <c r="V445" s="1">
        <f t="shared" si="92"/>
        <v>2958465</v>
      </c>
      <c r="W445" s="1">
        <f t="shared" si="93"/>
        <v>0</v>
      </c>
      <c r="X445" s="1">
        <f t="shared" si="94"/>
        <v>0</v>
      </c>
      <c r="Y445" s="1">
        <f t="shared" si="95"/>
        <v>97200</v>
      </c>
      <c r="Z445" s="1">
        <f t="shared" si="96"/>
        <v>1</v>
      </c>
      <c r="AA445" s="1">
        <f t="shared" si="97"/>
        <v>0</v>
      </c>
    </row>
    <row r="446" spans="1:27" ht="18" customHeight="1" x14ac:dyDescent="0.3">
      <c r="A446" s="2"/>
      <c r="B446" s="65" t="str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61"/>
      <c r="D446" s="66"/>
      <c r="E446" s="66"/>
      <c r="F446" s="60"/>
      <c r="G446" s="67"/>
      <c r="H446" s="60"/>
      <c r="I446" s="68">
        <f t="shared" ca="1" si="84"/>
        <v>0</v>
      </c>
      <c r="J446" s="68">
        <f t="shared" ca="1" si="85"/>
        <v>0</v>
      </c>
      <c r="K446" s="68">
        <f t="shared" ca="1" si="86"/>
        <v>0</v>
      </c>
      <c r="L446" s="68">
        <f t="shared" ca="1" si="87"/>
        <v>0</v>
      </c>
      <c r="M446" s="69">
        <f t="shared" si="88"/>
        <v>0</v>
      </c>
      <c r="N446" s="65" t="str">
        <f t="shared" si="89"/>
        <v/>
      </c>
      <c r="O446" s="70" t="str">
        <f>IF(OR($C446="",$D446="",$F446=""),"",IF($F446="Aylık",EOMONTH($D446,0),($D446+MOD(SISTEM!$F$8-WEEKDAY($D446,2),7))))</f>
        <v/>
      </c>
      <c r="P446" s="61"/>
      <c r="Q446" s="2"/>
      <c r="R446" s="2"/>
      <c r="S446" s="1" t="str">
        <f>IF($B446="","",$B446&amp;"|"&amp;COUNTIFS($B$7:$B446,$B446))</f>
        <v/>
      </c>
      <c r="T446" s="1" t="str">
        <f t="shared" si="90"/>
        <v/>
      </c>
      <c r="U446" s="1">
        <f t="shared" si="91"/>
        <v>0</v>
      </c>
      <c r="V446" s="1">
        <f t="shared" si="92"/>
        <v>2958465</v>
      </c>
      <c r="W446" s="1">
        <f t="shared" si="93"/>
        <v>0</v>
      </c>
      <c r="X446" s="1">
        <f t="shared" si="94"/>
        <v>0</v>
      </c>
      <c r="Y446" s="1">
        <f t="shared" si="95"/>
        <v>97200</v>
      </c>
      <c r="Z446" s="1">
        <f t="shared" si="96"/>
        <v>1</v>
      </c>
      <c r="AA446" s="1">
        <f t="shared" si="97"/>
        <v>0</v>
      </c>
    </row>
    <row r="447" spans="1:27" ht="18" customHeight="1" x14ac:dyDescent="0.3">
      <c r="A447" s="2"/>
      <c r="B447" s="65" t="str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61"/>
      <c r="D447" s="66"/>
      <c r="E447" s="66"/>
      <c r="F447" s="60"/>
      <c r="G447" s="67"/>
      <c r="H447" s="60"/>
      <c r="I447" s="68">
        <f t="shared" ca="1" si="84"/>
        <v>0</v>
      </c>
      <c r="J447" s="68">
        <f t="shared" ca="1" si="85"/>
        <v>0</v>
      </c>
      <c r="K447" s="68">
        <f t="shared" ca="1" si="86"/>
        <v>0</v>
      </c>
      <c r="L447" s="68">
        <f t="shared" ca="1" si="87"/>
        <v>0</v>
      </c>
      <c r="M447" s="69">
        <f t="shared" si="88"/>
        <v>0</v>
      </c>
      <c r="N447" s="65" t="str">
        <f t="shared" si="89"/>
        <v/>
      </c>
      <c r="O447" s="70" t="str">
        <f>IF(OR($C447="",$D447="",$F447=""),"",IF($F447="Aylık",EOMONTH($D447,0),($D447+MOD(SISTEM!$F$8-WEEKDAY($D447,2),7))))</f>
        <v/>
      </c>
      <c r="P447" s="61"/>
      <c r="Q447" s="2"/>
      <c r="R447" s="2"/>
      <c r="S447" s="1" t="str">
        <f>IF($B447="","",$B447&amp;"|"&amp;COUNTIFS($B$7:$B447,$B447))</f>
        <v/>
      </c>
      <c r="T447" s="1" t="str">
        <f t="shared" si="90"/>
        <v/>
      </c>
      <c r="U447" s="1">
        <f t="shared" si="91"/>
        <v>0</v>
      </c>
      <c r="V447" s="1">
        <f t="shared" si="92"/>
        <v>2958465</v>
      </c>
      <c r="W447" s="1">
        <f t="shared" si="93"/>
        <v>0</v>
      </c>
      <c r="X447" s="1">
        <f t="shared" si="94"/>
        <v>0</v>
      </c>
      <c r="Y447" s="1">
        <f t="shared" si="95"/>
        <v>97200</v>
      </c>
      <c r="Z447" s="1">
        <f t="shared" si="96"/>
        <v>1</v>
      </c>
      <c r="AA447" s="1">
        <f t="shared" si="97"/>
        <v>0</v>
      </c>
    </row>
    <row r="448" spans="1:27" ht="18" customHeight="1" x14ac:dyDescent="0.3">
      <c r="A448" s="2"/>
      <c r="B448" s="65" t="str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61"/>
      <c r="D448" s="66"/>
      <c r="E448" s="66"/>
      <c r="F448" s="60"/>
      <c r="G448" s="67"/>
      <c r="H448" s="60"/>
      <c r="I448" s="68">
        <f t="shared" ca="1" si="84"/>
        <v>0</v>
      </c>
      <c r="J448" s="68">
        <f t="shared" ca="1" si="85"/>
        <v>0</v>
      </c>
      <c r="K448" s="68">
        <f t="shared" ca="1" si="86"/>
        <v>0</v>
      </c>
      <c r="L448" s="68">
        <f t="shared" ca="1" si="87"/>
        <v>0</v>
      </c>
      <c r="M448" s="69">
        <f t="shared" si="88"/>
        <v>0</v>
      </c>
      <c r="N448" s="65" t="str">
        <f t="shared" si="89"/>
        <v/>
      </c>
      <c r="O448" s="70" t="str">
        <f>IF(OR($C448="",$D448="",$F448=""),"",IF($F448="Aylık",EOMONTH($D448,0),($D448+MOD(SISTEM!$F$8-WEEKDAY($D448,2),7))))</f>
        <v/>
      </c>
      <c r="P448" s="61"/>
      <c r="Q448" s="2"/>
      <c r="R448" s="2"/>
      <c r="S448" s="1" t="str">
        <f>IF($B448="","",$B448&amp;"|"&amp;COUNTIFS($B$7:$B448,$B448))</f>
        <v/>
      </c>
      <c r="T448" s="1" t="str">
        <f t="shared" si="90"/>
        <v/>
      </c>
      <c r="U448" s="1">
        <f t="shared" si="91"/>
        <v>0</v>
      </c>
      <c r="V448" s="1">
        <f t="shared" si="92"/>
        <v>2958465</v>
      </c>
      <c r="W448" s="1">
        <f t="shared" si="93"/>
        <v>0</v>
      </c>
      <c r="X448" s="1">
        <f t="shared" si="94"/>
        <v>0</v>
      </c>
      <c r="Y448" s="1">
        <f t="shared" si="95"/>
        <v>97200</v>
      </c>
      <c r="Z448" s="1">
        <f t="shared" si="96"/>
        <v>1</v>
      </c>
      <c r="AA448" s="1">
        <f t="shared" si="97"/>
        <v>0</v>
      </c>
    </row>
    <row r="449" spans="1:27" ht="18" customHeight="1" x14ac:dyDescent="0.3">
      <c r="A449" s="2"/>
      <c r="B449" s="65" t="str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61"/>
      <c r="D449" s="66"/>
      <c r="E449" s="66"/>
      <c r="F449" s="60"/>
      <c r="G449" s="67"/>
      <c r="H449" s="60"/>
      <c r="I449" s="68">
        <f t="shared" ca="1" si="84"/>
        <v>0</v>
      </c>
      <c r="J449" s="68">
        <f t="shared" ca="1" si="85"/>
        <v>0</v>
      </c>
      <c r="K449" s="68">
        <f t="shared" ca="1" si="86"/>
        <v>0</v>
      </c>
      <c r="L449" s="68">
        <f t="shared" ca="1" si="87"/>
        <v>0</v>
      </c>
      <c r="M449" s="69">
        <f t="shared" si="88"/>
        <v>0</v>
      </c>
      <c r="N449" s="65" t="str">
        <f t="shared" si="89"/>
        <v/>
      </c>
      <c r="O449" s="70" t="str">
        <f>IF(OR($C449="",$D449="",$F449=""),"",IF($F449="Aylık",EOMONTH($D449,0),($D449+MOD(SISTEM!$F$8-WEEKDAY($D449,2),7))))</f>
        <v/>
      </c>
      <c r="P449" s="61"/>
      <c r="Q449" s="2"/>
      <c r="R449" s="2"/>
      <c r="S449" s="1" t="str">
        <f>IF($B449="","",$B449&amp;"|"&amp;COUNTIFS($B$7:$B449,$B449))</f>
        <v/>
      </c>
      <c r="T449" s="1" t="str">
        <f t="shared" si="90"/>
        <v/>
      </c>
      <c r="U449" s="1">
        <f t="shared" si="91"/>
        <v>0</v>
      </c>
      <c r="V449" s="1">
        <f t="shared" si="92"/>
        <v>2958465</v>
      </c>
      <c r="W449" s="1">
        <f t="shared" si="93"/>
        <v>0</v>
      </c>
      <c r="X449" s="1">
        <f t="shared" si="94"/>
        <v>0</v>
      </c>
      <c r="Y449" s="1">
        <f t="shared" si="95"/>
        <v>97200</v>
      </c>
      <c r="Z449" s="1">
        <f t="shared" si="96"/>
        <v>1</v>
      </c>
      <c r="AA449" s="1">
        <f t="shared" si="97"/>
        <v>0</v>
      </c>
    </row>
    <row r="450" spans="1:27" ht="18" customHeight="1" x14ac:dyDescent="0.3">
      <c r="A450" s="2"/>
      <c r="B450" s="65" t="str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61"/>
      <c r="D450" s="66"/>
      <c r="E450" s="66"/>
      <c r="F450" s="60"/>
      <c r="G450" s="67"/>
      <c r="H450" s="60"/>
      <c r="I450" s="68">
        <f t="shared" ca="1" si="84"/>
        <v>0</v>
      </c>
      <c r="J450" s="68">
        <f t="shared" ca="1" si="85"/>
        <v>0</v>
      </c>
      <c r="K450" s="68">
        <f t="shared" ca="1" si="86"/>
        <v>0</v>
      </c>
      <c r="L450" s="68">
        <f t="shared" ca="1" si="87"/>
        <v>0</v>
      </c>
      <c r="M450" s="69">
        <f t="shared" si="88"/>
        <v>0</v>
      </c>
      <c r="N450" s="65" t="str">
        <f t="shared" si="89"/>
        <v/>
      </c>
      <c r="O450" s="70" t="str">
        <f>IF(OR($C450="",$D450="",$F450=""),"",IF($F450="Aylık",EOMONTH($D450,0),($D450+MOD(SISTEM!$F$8-WEEKDAY($D450,2),7))))</f>
        <v/>
      </c>
      <c r="P450" s="61"/>
      <c r="Q450" s="2"/>
      <c r="R450" s="2"/>
      <c r="S450" s="1" t="str">
        <f>IF($B450="","",$B450&amp;"|"&amp;COUNTIFS($B$7:$B450,$B450))</f>
        <v/>
      </c>
      <c r="T450" s="1" t="str">
        <f t="shared" si="90"/>
        <v/>
      </c>
      <c r="U450" s="1">
        <f t="shared" si="91"/>
        <v>0</v>
      </c>
      <c r="V450" s="1">
        <f t="shared" si="92"/>
        <v>2958465</v>
      </c>
      <c r="W450" s="1">
        <f t="shared" si="93"/>
        <v>0</v>
      </c>
      <c r="X450" s="1">
        <f t="shared" si="94"/>
        <v>0</v>
      </c>
      <c r="Y450" s="1">
        <f t="shared" si="95"/>
        <v>97200</v>
      </c>
      <c r="Z450" s="1">
        <f t="shared" si="96"/>
        <v>1</v>
      </c>
      <c r="AA450" s="1">
        <f t="shared" si="97"/>
        <v>0</v>
      </c>
    </row>
    <row r="451" spans="1:27" ht="18" customHeight="1" x14ac:dyDescent="0.3">
      <c r="A451" s="2"/>
      <c r="B451" s="65" t="str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61"/>
      <c r="D451" s="66"/>
      <c r="E451" s="66"/>
      <c r="F451" s="60"/>
      <c r="G451" s="67"/>
      <c r="H451" s="60"/>
      <c r="I451" s="68">
        <f t="shared" ca="1" si="84"/>
        <v>0</v>
      </c>
      <c r="J451" s="68">
        <f t="shared" ca="1" si="85"/>
        <v>0</v>
      </c>
      <c r="K451" s="68">
        <f t="shared" ca="1" si="86"/>
        <v>0</v>
      </c>
      <c r="L451" s="68">
        <f t="shared" ca="1" si="87"/>
        <v>0</v>
      </c>
      <c r="M451" s="69">
        <f t="shared" si="88"/>
        <v>0</v>
      </c>
      <c r="N451" s="65" t="str">
        <f t="shared" si="89"/>
        <v/>
      </c>
      <c r="O451" s="70" t="str">
        <f>IF(OR($C451="",$D451="",$F451=""),"",IF($F451="Aylık",EOMONTH($D451,0),($D451+MOD(SISTEM!$F$8-WEEKDAY($D451,2),7))))</f>
        <v/>
      </c>
      <c r="P451" s="61"/>
      <c r="Q451" s="2"/>
      <c r="R451" s="2"/>
      <c r="S451" s="1" t="str">
        <f>IF($B451="","",$B451&amp;"|"&amp;COUNTIFS($B$7:$B451,$B451))</f>
        <v/>
      </c>
      <c r="T451" s="1" t="str">
        <f t="shared" si="90"/>
        <v/>
      </c>
      <c r="U451" s="1">
        <f t="shared" si="91"/>
        <v>0</v>
      </c>
      <c r="V451" s="1">
        <f t="shared" si="92"/>
        <v>2958465</v>
      </c>
      <c r="W451" s="1">
        <f t="shared" si="93"/>
        <v>0</v>
      </c>
      <c r="X451" s="1">
        <f t="shared" si="94"/>
        <v>0</v>
      </c>
      <c r="Y451" s="1">
        <f t="shared" si="95"/>
        <v>97200</v>
      </c>
      <c r="Z451" s="1">
        <f t="shared" si="96"/>
        <v>1</v>
      </c>
      <c r="AA451" s="1">
        <f t="shared" si="97"/>
        <v>0</v>
      </c>
    </row>
    <row r="452" spans="1:27" ht="18" customHeight="1" x14ac:dyDescent="0.3">
      <c r="A452" s="2"/>
      <c r="B452" s="65" t="str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61"/>
      <c r="D452" s="66"/>
      <c r="E452" s="66"/>
      <c r="F452" s="60"/>
      <c r="G452" s="67"/>
      <c r="H452" s="60"/>
      <c r="I452" s="68">
        <f t="shared" ca="1" si="84"/>
        <v>0</v>
      </c>
      <c r="J452" s="68">
        <f t="shared" ca="1" si="85"/>
        <v>0</v>
      </c>
      <c r="K452" s="68">
        <f t="shared" ca="1" si="86"/>
        <v>0</v>
      </c>
      <c r="L452" s="68">
        <f t="shared" ca="1" si="87"/>
        <v>0</v>
      </c>
      <c r="M452" s="69">
        <f t="shared" si="88"/>
        <v>0</v>
      </c>
      <c r="N452" s="65" t="str">
        <f t="shared" si="89"/>
        <v/>
      </c>
      <c r="O452" s="70" t="str">
        <f>IF(OR($C452="",$D452="",$F452=""),"",IF($F452="Aylık",EOMONTH($D452,0),($D452+MOD(SISTEM!$F$8-WEEKDAY($D452,2),7))))</f>
        <v/>
      </c>
      <c r="P452" s="61"/>
      <c r="Q452" s="2"/>
      <c r="R452" s="2"/>
      <c r="S452" s="1" t="str">
        <f>IF($B452="","",$B452&amp;"|"&amp;COUNTIFS($B$7:$B452,$B452))</f>
        <v/>
      </c>
      <c r="T452" s="1" t="str">
        <f t="shared" si="90"/>
        <v/>
      </c>
      <c r="U452" s="1">
        <f t="shared" si="91"/>
        <v>0</v>
      </c>
      <c r="V452" s="1">
        <f t="shared" si="92"/>
        <v>2958465</v>
      </c>
      <c r="W452" s="1">
        <f t="shared" si="93"/>
        <v>0</v>
      </c>
      <c r="X452" s="1">
        <f t="shared" si="94"/>
        <v>0</v>
      </c>
      <c r="Y452" s="1">
        <f t="shared" si="95"/>
        <v>97200</v>
      </c>
      <c r="Z452" s="1">
        <f t="shared" si="96"/>
        <v>1</v>
      </c>
      <c r="AA452" s="1">
        <f t="shared" si="97"/>
        <v>0</v>
      </c>
    </row>
    <row r="453" spans="1:27" ht="18" customHeight="1" x14ac:dyDescent="0.3">
      <c r="A453" s="2"/>
      <c r="B453" s="65" t="str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61"/>
      <c r="D453" s="66"/>
      <c r="E453" s="66"/>
      <c r="F453" s="60"/>
      <c r="G453" s="67"/>
      <c r="H453" s="60"/>
      <c r="I453" s="68">
        <f t="shared" ca="1" si="84"/>
        <v>0</v>
      </c>
      <c r="J453" s="68">
        <f t="shared" ca="1" si="85"/>
        <v>0</v>
      </c>
      <c r="K453" s="68">
        <f t="shared" ca="1" si="86"/>
        <v>0</v>
      </c>
      <c r="L453" s="68">
        <f t="shared" ca="1" si="87"/>
        <v>0</v>
      </c>
      <c r="M453" s="69">
        <f t="shared" si="88"/>
        <v>0</v>
      </c>
      <c r="N453" s="65" t="str">
        <f t="shared" si="89"/>
        <v/>
      </c>
      <c r="O453" s="70" t="str">
        <f>IF(OR($C453="",$D453="",$F453=""),"",IF($F453="Aylık",EOMONTH($D453,0),($D453+MOD(SISTEM!$F$8-WEEKDAY($D453,2),7))))</f>
        <v/>
      </c>
      <c r="P453" s="61"/>
      <c r="Q453" s="2"/>
      <c r="R453" s="2"/>
      <c r="S453" s="1" t="str">
        <f>IF($B453="","",$B453&amp;"|"&amp;COUNTIFS($B$7:$B453,$B453))</f>
        <v/>
      </c>
      <c r="T453" s="1" t="str">
        <f t="shared" si="90"/>
        <v/>
      </c>
      <c r="U453" s="1">
        <f t="shared" si="91"/>
        <v>0</v>
      </c>
      <c r="V453" s="1">
        <f t="shared" si="92"/>
        <v>2958465</v>
      </c>
      <c r="W453" s="1">
        <f t="shared" si="93"/>
        <v>0</v>
      </c>
      <c r="X453" s="1">
        <f t="shared" si="94"/>
        <v>0</v>
      </c>
      <c r="Y453" s="1">
        <f t="shared" si="95"/>
        <v>97200</v>
      </c>
      <c r="Z453" s="1">
        <f t="shared" si="96"/>
        <v>1</v>
      </c>
      <c r="AA453" s="1">
        <f t="shared" si="97"/>
        <v>0</v>
      </c>
    </row>
    <row r="454" spans="1:27" ht="18" customHeight="1" x14ac:dyDescent="0.3">
      <c r="A454" s="2"/>
      <c r="B454" s="65" t="str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61"/>
      <c r="D454" s="66"/>
      <c r="E454" s="66"/>
      <c r="F454" s="60"/>
      <c r="G454" s="67"/>
      <c r="H454" s="60"/>
      <c r="I454" s="68">
        <f t="shared" ca="1" si="84"/>
        <v>0</v>
      </c>
      <c r="J454" s="68">
        <f t="shared" ca="1" si="85"/>
        <v>0</v>
      </c>
      <c r="K454" s="68">
        <f t="shared" ca="1" si="86"/>
        <v>0</v>
      </c>
      <c r="L454" s="68">
        <f t="shared" ca="1" si="87"/>
        <v>0</v>
      </c>
      <c r="M454" s="69">
        <f t="shared" si="88"/>
        <v>0</v>
      </c>
      <c r="N454" s="65" t="str">
        <f t="shared" si="89"/>
        <v/>
      </c>
      <c r="O454" s="70" t="str">
        <f>IF(OR($C454="",$D454="",$F454=""),"",IF($F454="Aylık",EOMONTH($D454,0),($D454+MOD(SISTEM!$F$8-WEEKDAY($D454,2),7))))</f>
        <v/>
      </c>
      <c r="P454" s="61"/>
      <c r="Q454" s="2"/>
      <c r="R454" s="2"/>
      <c r="S454" s="1" t="str">
        <f>IF($B454="","",$B454&amp;"|"&amp;COUNTIFS($B$7:$B454,$B454))</f>
        <v/>
      </c>
      <c r="T454" s="1" t="str">
        <f t="shared" si="90"/>
        <v/>
      </c>
      <c r="U454" s="1">
        <f t="shared" si="91"/>
        <v>0</v>
      </c>
      <c r="V454" s="1">
        <f t="shared" si="92"/>
        <v>2958465</v>
      </c>
      <c r="W454" s="1">
        <f t="shared" si="93"/>
        <v>0</v>
      </c>
      <c r="X454" s="1">
        <f t="shared" si="94"/>
        <v>0</v>
      </c>
      <c r="Y454" s="1">
        <f t="shared" si="95"/>
        <v>97200</v>
      </c>
      <c r="Z454" s="1">
        <f t="shared" si="96"/>
        <v>1</v>
      </c>
      <c r="AA454" s="1">
        <f t="shared" si="97"/>
        <v>0</v>
      </c>
    </row>
    <row r="455" spans="1:27" ht="18" customHeight="1" x14ac:dyDescent="0.3">
      <c r="A455" s="2"/>
      <c r="B455" s="65" t="str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61"/>
      <c r="D455" s="66"/>
      <c r="E455" s="66"/>
      <c r="F455" s="60"/>
      <c r="G455" s="67"/>
      <c r="H455" s="60"/>
      <c r="I455" s="68">
        <f t="shared" ref="I455:I518" ca="1" si="98"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>0</v>
      </c>
      <c r="J455" s="68">
        <f t="shared" ref="J455:J518" ca="1" si="99"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>0</v>
      </c>
      <c r="K455" s="68">
        <f t="shared" ref="K455:K518" ca="1" si="100"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>0</v>
      </c>
      <c r="L455" s="68">
        <f t="shared" ref="L455:L518" ca="1" si="101"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>0</v>
      </c>
      <c r="M455" s="69">
        <f t="shared" ref="M455:M518" si="102">IF($G455&gt;0,$I455/$G455,0)</f>
        <v>0</v>
      </c>
      <c r="N455" s="65" t="str">
        <f t="shared" ref="N455:N518" si="103"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70" t="str">
        <f>IF(OR($C455="",$D455="",$F455=""),"",IF($F455="Aylık",EOMONTH($D455,0),($D455+MOD(SISTEM!$F$8-WEEKDAY($D455,2),7))))</f>
        <v/>
      </c>
      <c r="P455" s="61"/>
      <c r="Q455" s="2"/>
      <c r="R455" s="2"/>
      <c r="S455" s="1" t="str">
        <f>IF($B455="","",$B455&amp;"|"&amp;COUNTIFS($B$7:$B455,$B455))</f>
        <v/>
      </c>
      <c r="T455" s="1" t="str">
        <f t="shared" ref="T455:T518" si="104"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">
        <f t="shared" ref="U455:U518" si="105">IF($O455="",0,$O455)</f>
        <v>0</v>
      </c>
      <c r="V455" s="1">
        <f t="shared" ref="V455:V518" si="106">IF($E455="",2958465,$E455)</f>
        <v>2958465</v>
      </c>
      <c r="W455" s="1">
        <f t="shared" ref="W455:W518" si="107">IF($F455="Haftalık",1,IF($F455="Aylık",2,0))</f>
        <v>0</v>
      </c>
      <c r="X455" s="1">
        <f t="shared" ref="X455:X518" si="108">IF($U455=0,0,(YEAR($U455)-1900)*12+MONTH($U455))</f>
        <v>0</v>
      </c>
      <c r="Y455" s="1">
        <f t="shared" ref="Y455:Y518" si="109">(YEAR($V455)-1900)*12+MONTH($V455)</f>
        <v>97200</v>
      </c>
      <c r="Z455" s="1">
        <f t="shared" ref="Z455:Z518" si="110">IF($V455=EOMONTH($V455,0),1,0)</f>
        <v>1</v>
      </c>
      <c r="AA455" s="1">
        <f t="shared" ref="AA455:AA518" si="111">IF(OR($B455="",$H455&lt;&gt;"Aktif"),0,COUNTIFS($B$7:$B$606,$B455,$H$7:$H$606,"Aktif"))</f>
        <v>0</v>
      </c>
    </row>
    <row r="456" spans="1:27" ht="18" customHeight="1" x14ac:dyDescent="0.3">
      <c r="A456" s="2"/>
      <c r="B456" s="65" t="str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61"/>
      <c r="D456" s="66"/>
      <c r="E456" s="66"/>
      <c r="F456" s="60"/>
      <c r="G456" s="67"/>
      <c r="H456" s="60"/>
      <c r="I456" s="68">
        <f t="shared" ca="1" si="98"/>
        <v>0</v>
      </c>
      <c r="J456" s="68">
        <f t="shared" ca="1" si="99"/>
        <v>0</v>
      </c>
      <c r="K456" s="68">
        <f t="shared" ca="1" si="100"/>
        <v>0</v>
      </c>
      <c r="L456" s="68">
        <f t="shared" ca="1" si="101"/>
        <v>0</v>
      </c>
      <c r="M456" s="69">
        <f t="shared" si="102"/>
        <v>0</v>
      </c>
      <c r="N456" s="65" t="str">
        <f t="shared" si="103"/>
        <v/>
      </c>
      <c r="O456" s="70" t="str">
        <f>IF(OR($C456="",$D456="",$F456=""),"",IF($F456="Aylık",EOMONTH($D456,0),($D456+MOD(SISTEM!$F$8-WEEKDAY($D456,2),7))))</f>
        <v/>
      </c>
      <c r="P456" s="61"/>
      <c r="Q456" s="2"/>
      <c r="R456" s="2"/>
      <c r="S456" s="1" t="str">
        <f>IF($B456="","",$B456&amp;"|"&amp;COUNTIFS($B$7:$B456,$B456))</f>
        <v/>
      </c>
      <c r="T456" s="1" t="str">
        <f t="shared" si="104"/>
        <v/>
      </c>
      <c r="U456" s="1">
        <f t="shared" si="105"/>
        <v>0</v>
      </c>
      <c r="V456" s="1">
        <f t="shared" si="106"/>
        <v>2958465</v>
      </c>
      <c r="W456" s="1">
        <f t="shared" si="107"/>
        <v>0</v>
      </c>
      <c r="X456" s="1">
        <f t="shared" si="108"/>
        <v>0</v>
      </c>
      <c r="Y456" s="1">
        <f t="shared" si="109"/>
        <v>97200</v>
      </c>
      <c r="Z456" s="1">
        <f t="shared" si="110"/>
        <v>1</v>
      </c>
      <c r="AA456" s="1">
        <f t="shared" si="111"/>
        <v>0</v>
      </c>
    </row>
    <row r="457" spans="1:27" ht="18" customHeight="1" x14ac:dyDescent="0.3">
      <c r="A457" s="2"/>
      <c r="B457" s="65" t="str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61"/>
      <c r="D457" s="66"/>
      <c r="E457" s="66"/>
      <c r="F457" s="60"/>
      <c r="G457" s="67"/>
      <c r="H457" s="60"/>
      <c r="I457" s="68">
        <f t="shared" ca="1" si="98"/>
        <v>0</v>
      </c>
      <c r="J457" s="68">
        <f t="shared" ca="1" si="99"/>
        <v>0</v>
      </c>
      <c r="K457" s="68">
        <f t="shared" ca="1" si="100"/>
        <v>0</v>
      </c>
      <c r="L457" s="68">
        <f t="shared" ca="1" si="101"/>
        <v>0</v>
      </c>
      <c r="M457" s="69">
        <f t="shared" si="102"/>
        <v>0</v>
      </c>
      <c r="N457" s="65" t="str">
        <f t="shared" si="103"/>
        <v/>
      </c>
      <c r="O457" s="70" t="str">
        <f>IF(OR($C457="",$D457="",$F457=""),"",IF($F457="Aylık",EOMONTH($D457,0),($D457+MOD(SISTEM!$F$8-WEEKDAY($D457,2),7))))</f>
        <v/>
      </c>
      <c r="P457" s="61"/>
      <c r="Q457" s="2"/>
      <c r="R457" s="2"/>
      <c r="S457" s="1" t="str">
        <f>IF($B457="","",$B457&amp;"|"&amp;COUNTIFS($B$7:$B457,$B457))</f>
        <v/>
      </c>
      <c r="T457" s="1" t="str">
        <f t="shared" si="104"/>
        <v/>
      </c>
      <c r="U457" s="1">
        <f t="shared" si="105"/>
        <v>0</v>
      </c>
      <c r="V457" s="1">
        <f t="shared" si="106"/>
        <v>2958465</v>
      </c>
      <c r="W457" s="1">
        <f t="shared" si="107"/>
        <v>0</v>
      </c>
      <c r="X457" s="1">
        <f t="shared" si="108"/>
        <v>0</v>
      </c>
      <c r="Y457" s="1">
        <f t="shared" si="109"/>
        <v>97200</v>
      </c>
      <c r="Z457" s="1">
        <f t="shared" si="110"/>
        <v>1</v>
      </c>
      <c r="AA457" s="1">
        <f t="shared" si="111"/>
        <v>0</v>
      </c>
    </row>
    <row r="458" spans="1:27" ht="18" customHeight="1" x14ac:dyDescent="0.3">
      <c r="A458" s="2"/>
      <c r="B458" s="65" t="str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61"/>
      <c r="D458" s="66"/>
      <c r="E458" s="66"/>
      <c r="F458" s="60"/>
      <c r="G458" s="67"/>
      <c r="H458" s="60"/>
      <c r="I458" s="68">
        <f t="shared" ca="1" si="98"/>
        <v>0</v>
      </c>
      <c r="J458" s="68">
        <f t="shared" ca="1" si="99"/>
        <v>0</v>
      </c>
      <c r="K458" s="68">
        <f t="shared" ca="1" si="100"/>
        <v>0</v>
      </c>
      <c r="L458" s="68">
        <f t="shared" ca="1" si="101"/>
        <v>0</v>
      </c>
      <c r="M458" s="69">
        <f t="shared" si="102"/>
        <v>0</v>
      </c>
      <c r="N458" s="65" t="str">
        <f t="shared" si="103"/>
        <v/>
      </c>
      <c r="O458" s="70" t="str">
        <f>IF(OR($C458="",$D458="",$F458=""),"",IF($F458="Aylık",EOMONTH($D458,0),($D458+MOD(SISTEM!$F$8-WEEKDAY($D458,2),7))))</f>
        <v/>
      </c>
      <c r="P458" s="61"/>
      <c r="Q458" s="2"/>
      <c r="R458" s="2"/>
      <c r="S458" s="1" t="str">
        <f>IF($B458="","",$B458&amp;"|"&amp;COUNTIFS($B$7:$B458,$B458))</f>
        <v/>
      </c>
      <c r="T458" s="1" t="str">
        <f t="shared" si="104"/>
        <v/>
      </c>
      <c r="U458" s="1">
        <f t="shared" si="105"/>
        <v>0</v>
      </c>
      <c r="V458" s="1">
        <f t="shared" si="106"/>
        <v>2958465</v>
      </c>
      <c r="W458" s="1">
        <f t="shared" si="107"/>
        <v>0</v>
      </c>
      <c r="X458" s="1">
        <f t="shared" si="108"/>
        <v>0</v>
      </c>
      <c r="Y458" s="1">
        <f t="shared" si="109"/>
        <v>97200</v>
      </c>
      <c r="Z458" s="1">
        <f t="shared" si="110"/>
        <v>1</v>
      </c>
      <c r="AA458" s="1">
        <f t="shared" si="111"/>
        <v>0</v>
      </c>
    </row>
    <row r="459" spans="1:27" ht="18" customHeight="1" x14ac:dyDescent="0.3">
      <c r="A459" s="2"/>
      <c r="B459" s="65" t="str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61"/>
      <c r="D459" s="66"/>
      <c r="E459" s="66"/>
      <c r="F459" s="60"/>
      <c r="G459" s="67"/>
      <c r="H459" s="60"/>
      <c r="I459" s="68">
        <f t="shared" ca="1" si="98"/>
        <v>0</v>
      </c>
      <c r="J459" s="68">
        <f t="shared" ca="1" si="99"/>
        <v>0</v>
      </c>
      <c r="K459" s="68">
        <f t="shared" ca="1" si="100"/>
        <v>0</v>
      </c>
      <c r="L459" s="68">
        <f t="shared" ca="1" si="101"/>
        <v>0</v>
      </c>
      <c r="M459" s="69">
        <f t="shared" si="102"/>
        <v>0</v>
      </c>
      <c r="N459" s="65" t="str">
        <f t="shared" si="103"/>
        <v/>
      </c>
      <c r="O459" s="70" t="str">
        <f>IF(OR($C459="",$D459="",$F459=""),"",IF($F459="Aylık",EOMONTH($D459,0),($D459+MOD(SISTEM!$F$8-WEEKDAY($D459,2),7))))</f>
        <v/>
      </c>
      <c r="P459" s="61"/>
      <c r="Q459" s="2"/>
      <c r="R459" s="2"/>
      <c r="S459" s="1" t="str">
        <f>IF($B459="","",$B459&amp;"|"&amp;COUNTIFS($B$7:$B459,$B459))</f>
        <v/>
      </c>
      <c r="T459" s="1" t="str">
        <f t="shared" si="104"/>
        <v/>
      </c>
      <c r="U459" s="1">
        <f t="shared" si="105"/>
        <v>0</v>
      </c>
      <c r="V459" s="1">
        <f t="shared" si="106"/>
        <v>2958465</v>
      </c>
      <c r="W459" s="1">
        <f t="shared" si="107"/>
        <v>0</v>
      </c>
      <c r="X459" s="1">
        <f t="shared" si="108"/>
        <v>0</v>
      </c>
      <c r="Y459" s="1">
        <f t="shared" si="109"/>
        <v>97200</v>
      </c>
      <c r="Z459" s="1">
        <f t="shared" si="110"/>
        <v>1</v>
      </c>
      <c r="AA459" s="1">
        <f t="shared" si="111"/>
        <v>0</v>
      </c>
    </row>
    <row r="460" spans="1:27" ht="18" customHeight="1" x14ac:dyDescent="0.3">
      <c r="A460" s="2"/>
      <c r="B460" s="65" t="str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61"/>
      <c r="D460" s="66"/>
      <c r="E460" s="66"/>
      <c r="F460" s="60"/>
      <c r="G460" s="67"/>
      <c r="H460" s="60"/>
      <c r="I460" s="68">
        <f t="shared" ca="1" si="98"/>
        <v>0</v>
      </c>
      <c r="J460" s="68">
        <f t="shared" ca="1" si="99"/>
        <v>0</v>
      </c>
      <c r="K460" s="68">
        <f t="shared" ca="1" si="100"/>
        <v>0</v>
      </c>
      <c r="L460" s="68">
        <f t="shared" ca="1" si="101"/>
        <v>0</v>
      </c>
      <c r="M460" s="69">
        <f t="shared" si="102"/>
        <v>0</v>
      </c>
      <c r="N460" s="65" t="str">
        <f t="shared" si="103"/>
        <v/>
      </c>
      <c r="O460" s="70" t="str">
        <f>IF(OR($C460="",$D460="",$F460=""),"",IF($F460="Aylık",EOMONTH($D460,0),($D460+MOD(SISTEM!$F$8-WEEKDAY($D460,2),7))))</f>
        <v/>
      </c>
      <c r="P460" s="61"/>
      <c r="Q460" s="2"/>
      <c r="R460" s="2"/>
      <c r="S460" s="1" t="str">
        <f>IF($B460="","",$B460&amp;"|"&amp;COUNTIFS($B$7:$B460,$B460))</f>
        <v/>
      </c>
      <c r="T460" s="1" t="str">
        <f t="shared" si="104"/>
        <v/>
      </c>
      <c r="U460" s="1">
        <f t="shared" si="105"/>
        <v>0</v>
      </c>
      <c r="V460" s="1">
        <f t="shared" si="106"/>
        <v>2958465</v>
      </c>
      <c r="W460" s="1">
        <f t="shared" si="107"/>
        <v>0</v>
      </c>
      <c r="X460" s="1">
        <f t="shared" si="108"/>
        <v>0</v>
      </c>
      <c r="Y460" s="1">
        <f t="shared" si="109"/>
        <v>97200</v>
      </c>
      <c r="Z460" s="1">
        <f t="shared" si="110"/>
        <v>1</v>
      </c>
      <c r="AA460" s="1">
        <f t="shared" si="111"/>
        <v>0</v>
      </c>
    </row>
    <row r="461" spans="1:27" ht="18" customHeight="1" x14ac:dyDescent="0.3">
      <c r="A461" s="2"/>
      <c r="B461" s="65" t="str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61"/>
      <c r="D461" s="66"/>
      <c r="E461" s="66"/>
      <c r="F461" s="60"/>
      <c r="G461" s="67"/>
      <c r="H461" s="60"/>
      <c r="I461" s="68">
        <f t="shared" ca="1" si="98"/>
        <v>0</v>
      </c>
      <c r="J461" s="68">
        <f t="shared" ca="1" si="99"/>
        <v>0</v>
      </c>
      <c r="K461" s="68">
        <f t="shared" ca="1" si="100"/>
        <v>0</v>
      </c>
      <c r="L461" s="68">
        <f t="shared" ca="1" si="101"/>
        <v>0</v>
      </c>
      <c r="M461" s="69">
        <f t="shared" si="102"/>
        <v>0</v>
      </c>
      <c r="N461" s="65" t="str">
        <f t="shared" si="103"/>
        <v/>
      </c>
      <c r="O461" s="70" t="str">
        <f>IF(OR($C461="",$D461="",$F461=""),"",IF($F461="Aylık",EOMONTH($D461,0),($D461+MOD(SISTEM!$F$8-WEEKDAY($D461,2),7))))</f>
        <v/>
      </c>
      <c r="P461" s="61"/>
      <c r="Q461" s="2"/>
      <c r="R461" s="2"/>
      <c r="S461" s="1" t="str">
        <f>IF($B461="","",$B461&amp;"|"&amp;COUNTIFS($B$7:$B461,$B461))</f>
        <v/>
      </c>
      <c r="T461" s="1" t="str">
        <f t="shared" si="104"/>
        <v/>
      </c>
      <c r="U461" s="1">
        <f t="shared" si="105"/>
        <v>0</v>
      </c>
      <c r="V461" s="1">
        <f t="shared" si="106"/>
        <v>2958465</v>
      </c>
      <c r="W461" s="1">
        <f t="shared" si="107"/>
        <v>0</v>
      </c>
      <c r="X461" s="1">
        <f t="shared" si="108"/>
        <v>0</v>
      </c>
      <c r="Y461" s="1">
        <f t="shared" si="109"/>
        <v>97200</v>
      </c>
      <c r="Z461" s="1">
        <f t="shared" si="110"/>
        <v>1</v>
      </c>
      <c r="AA461" s="1">
        <f t="shared" si="111"/>
        <v>0</v>
      </c>
    </row>
    <row r="462" spans="1:27" ht="18" customHeight="1" x14ac:dyDescent="0.3">
      <c r="A462" s="2"/>
      <c r="B462" s="65" t="str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61"/>
      <c r="D462" s="66"/>
      <c r="E462" s="66"/>
      <c r="F462" s="60"/>
      <c r="G462" s="67"/>
      <c r="H462" s="60"/>
      <c r="I462" s="68">
        <f t="shared" ca="1" si="98"/>
        <v>0</v>
      </c>
      <c r="J462" s="68">
        <f t="shared" ca="1" si="99"/>
        <v>0</v>
      </c>
      <c r="K462" s="68">
        <f t="shared" ca="1" si="100"/>
        <v>0</v>
      </c>
      <c r="L462" s="68">
        <f t="shared" ca="1" si="101"/>
        <v>0</v>
      </c>
      <c r="M462" s="69">
        <f t="shared" si="102"/>
        <v>0</v>
      </c>
      <c r="N462" s="65" t="str">
        <f t="shared" si="103"/>
        <v/>
      </c>
      <c r="O462" s="70" t="str">
        <f>IF(OR($C462="",$D462="",$F462=""),"",IF($F462="Aylık",EOMONTH($D462,0),($D462+MOD(SISTEM!$F$8-WEEKDAY($D462,2),7))))</f>
        <v/>
      </c>
      <c r="P462" s="61"/>
      <c r="Q462" s="2"/>
      <c r="R462" s="2"/>
      <c r="S462" s="1" t="str">
        <f>IF($B462="","",$B462&amp;"|"&amp;COUNTIFS($B$7:$B462,$B462))</f>
        <v/>
      </c>
      <c r="T462" s="1" t="str">
        <f t="shared" si="104"/>
        <v/>
      </c>
      <c r="U462" s="1">
        <f t="shared" si="105"/>
        <v>0</v>
      </c>
      <c r="V462" s="1">
        <f t="shared" si="106"/>
        <v>2958465</v>
      </c>
      <c r="W462" s="1">
        <f t="shared" si="107"/>
        <v>0</v>
      </c>
      <c r="X462" s="1">
        <f t="shared" si="108"/>
        <v>0</v>
      </c>
      <c r="Y462" s="1">
        <f t="shared" si="109"/>
        <v>97200</v>
      </c>
      <c r="Z462" s="1">
        <f t="shared" si="110"/>
        <v>1</v>
      </c>
      <c r="AA462" s="1">
        <f t="shared" si="111"/>
        <v>0</v>
      </c>
    </row>
    <row r="463" spans="1:27" ht="18" customHeight="1" x14ac:dyDescent="0.3">
      <c r="A463" s="2"/>
      <c r="B463" s="65" t="str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61"/>
      <c r="D463" s="66"/>
      <c r="E463" s="66"/>
      <c r="F463" s="60"/>
      <c r="G463" s="67"/>
      <c r="H463" s="60"/>
      <c r="I463" s="68">
        <f t="shared" ca="1" si="98"/>
        <v>0</v>
      </c>
      <c r="J463" s="68">
        <f t="shared" ca="1" si="99"/>
        <v>0</v>
      </c>
      <c r="K463" s="68">
        <f t="shared" ca="1" si="100"/>
        <v>0</v>
      </c>
      <c r="L463" s="68">
        <f t="shared" ca="1" si="101"/>
        <v>0</v>
      </c>
      <c r="M463" s="69">
        <f t="shared" si="102"/>
        <v>0</v>
      </c>
      <c r="N463" s="65" t="str">
        <f t="shared" si="103"/>
        <v/>
      </c>
      <c r="O463" s="70" t="str">
        <f>IF(OR($C463="",$D463="",$F463=""),"",IF($F463="Aylık",EOMONTH($D463,0),($D463+MOD(SISTEM!$F$8-WEEKDAY($D463,2),7))))</f>
        <v/>
      </c>
      <c r="P463" s="61"/>
      <c r="Q463" s="2"/>
      <c r="R463" s="2"/>
      <c r="S463" s="1" t="str">
        <f>IF($B463="","",$B463&amp;"|"&amp;COUNTIFS($B$7:$B463,$B463))</f>
        <v/>
      </c>
      <c r="T463" s="1" t="str">
        <f t="shared" si="104"/>
        <v/>
      </c>
      <c r="U463" s="1">
        <f t="shared" si="105"/>
        <v>0</v>
      </c>
      <c r="V463" s="1">
        <f t="shared" si="106"/>
        <v>2958465</v>
      </c>
      <c r="W463" s="1">
        <f t="shared" si="107"/>
        <v>0</v>
      </c>
      <c r="X463" s="1">
        <f t="shared" si="108"/>
        <v>0</v>
      </c>
      <c r="Y463" s="1">
        <f t="shared" si="109"/>
        <v>97200</v>
      </c>
      <c r="Z463" s="1">
        <f t="shared" si="110"/>
        <v>1</v>
      </c>
      <c r="AA463" s="1">
        <f t="shared" si="111"/>
        <v>0</v>
      </c>
    </row>
    <row r="464" spans="1:27" ht="18" customHeight="1" x14ac:dyDescent="0.3">
      <c r="A464" s="2"/>
      <c r="B464" s="65" t="str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61"/>
      <c r="D464" s="66"/>
      <c r="E464" s="66"/>
      <c r="F464" s="60"/>
      <c r="G464" s="67"/>
      <c r="H464" s="60"/>
      <c r="I464" s="68">
        <f t="shared" ca="1" si="98"/>
        <v>0</v>
      </c>
      <c r="J464" s="68">
        <f t="shared" ca="1" si="99"/>
        <v>0</v>
      </c>
      <c r="K464" s="68">
        <f t="shared" ca="1" si="100"/>
        <v>0</v>
      </c>
      <c r="L464" s="68">
        <f t="shared" ca="1" si="101"/>
        <v>0</v>
      </c>
      <c r="M464" s="69">
        <f t="shared" si="102"/>
        <v>0</v>
      </c>
      <c r="N464" s="65" t="str">
        <f t="shared" si="103"/>
        <v/>
      </c>
      <c r="O464" s="70" t="str">
        <f>IF(OR($C464="",$D464="",$F464=""),"",IF($F464="Aylık",EOMONTH($D464,0),($D464+MOD(SISTEM!$F$8-WEEKDAY($D464,2),7))))</f>
        <v/>
      </c>
      <c r="P464" s="61"/>
      <c r="Q464" s="2"/>
      <c r="R464" s="2"/>
      <c r="S464" s="1" t="str">
        <f>IF($B464="","",$B464&amp;"|"&amp;COUNTIFS($B$7:$B464,$B464))</f>
        <v/>
      </c>
      <c r="T464" s="1" t="str">
        <f t="shared" si="104"/>
        <v/>
      </c>
      <c r="U464" s="1">
        <f t="shared" si="105"/>
        <v>0</v>
      </c>
      <c r="V464" s="1">
        <f t="shared" si="106"/>
        <v>2958465</v>
      </c>
      <c r="W464" s="1">
        <f t="shared" si="107"/>
        <v>0</v>
      </c>
      <c r="X464" s="1">
        <f t="shared" si="108"/>
        <v>0</v>
      </c>
      <c r="Y464" s="1">
        <f t="shared" si="109"/>
        <v>97200</v>
      </c>
      <c r="Z464" s="1">
        <f t="shared" si="110"/>
        <v>1</v>
      </c>
      <c r="AA464" s="1">
        <f t="shared" si="111"/>
        <v>0</v>
      </c>
    </row>
    <row r="465" spans="1:27" ht="18" customHeight="1" x14ac:dyDescent="0.3">
      <c r="A465" s="2"/>
      <c r="B465" s="65" t="str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61"/>
      <c r="D465" s="66"/>
      <c r="E465" s="66"/>
      <c r="F465" s="60"/>
      <c r="G465" s="67"/>
      <c r="H465" s="60"/>
      <c r="I465" s="68">
        <f t="shared" ca="1" si="98"/>
        <v>0</v>
      </c>
      <c r="J465" s="68">
        <f t="shared" ca="1" si="99"/>
        <v>0</v>
      </c>
      <c r="K465" s="68">
        <f t="shared" ca="1" si="100"/>
        <v>0</v>
      </c>
      <c r="L465" s="68">
        <f t="shared" ca="1" si="101"/>
        <v>0</v>
      </c>
      <c r="M465" s="69">
        <f t="shared" si="102"/>
        <v>0</v>
      </c>
      <c r="N465" s="65" t="str">
        <f t="shared" si="103"/>
        <v/>
      </c>
      <c r="O465" s="70" t="str">
        <f>IF(OR($C465="",$D465="",$F465=""),"",IF($F465="Aylık",EOMONTH($D465,0),($D465+MOD(SISTEM!$F$8-WEEKDAY($D465,2),7))))</f>
        <v/>
      </c>
      <c r="P465" s="61"/>
      <c r="Q465" s="2"/>
      <c r="R465" s="2"/>
      <c r="S465" s="1" t="str">
        <f>IF($B465="","",$B465&amp;"|"&amp;COUNTIFS($B$7:$B465,$B465))</f>
        <v/>
      </c>
      <c r="T465" s="1" t="str">
        <f t="shared" si="104"/>
        <v/>
      </c>
      <c r="U465" s="1">
        <f t="shared" si="105"/>
        <v>0</v>
      </c>
      <c r="V465" s="1">
        <f t="shared" si="106"/>
        <v>2958465</v>
      </c>
      <c r="W465" s="1">
        <f t="shared" si="107"/>
        <v>0</v>
      </c>
      <c r="X465" s="1">
        <f t="shared" si="108"/>
        <v>0</v>
      </c>
      <c r="Y465" s="1">
        <f t="shared" si="109"/>
        <v>97200</v>
      </c>
      <c r="Z465" s="1">
        <f t="shared" si="110"/>
        <v>1</v>
      </c>
      <c r="AA465" s="1">
        <f t="shared" si="111"/>
        <v>0</v>
      </c>
    </row>
    <row r="466" spans="1:27" ht="18" customHeight="1" x14ac:dyDescent="0.3">
      <c r="A466" s="2"/>
      <c r="B466" s="65" t="str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61"/>
      <c r="D466" s="66"/>
      <c r="E466" s="66"/>
      <c r="F466" s="60"/>
      <c r="G466" s="67"/>
      <c r="H466" s="60"/>
      <c r="I466" s="68">
        <f t="shared" ca="1" si="98"/>
        <v>0</v>
      </c>
      <c r="J466" s="68">
        <f t="shared" ca="1" si="99"/>
        <v>0</v>
      </c>
      <c r="K466" s="68">
        <f t="shared" ca="1" si="100"/>
        <v>0</v>
      </c>
      <c r="L466" s="68">
        <f t="shared" ca="1" si="101"/>
        <v>0</v>
      </c>
      <c r="M466" s="69">
        <f t="shared" si="102"/>
        <v>0</v>
      </c>
      <c r="N466" s="65" t="str">
        <f t="shared" si="103"/>
        <v/>
      </c>
      <c r="O466" s="70" t="str">
        <f>IF(OR($C466="",$D466="",$F466=""),"",IF($F466="Aylık",EOMONTH($D466,0),($D466+MOD(SISTEM!$F$8-WEEKDAY($D466,2),7))))</f>
        <v/>
      </c>
      <c r="P466" s="61"/>
      <c r="Q466" s="2"/>
      <c r="R466" s="2"/>
      <c r="S466" s="1" t="str">
        <f>IF($B466="","",$B466&amp;"|"&amp;COUNTIFS($B$7:$B466,$B466))</f>
        <v/>
      </c>
      <c r="T466" s="1" t="str">
        <f t="shared" si="104"/>
        <v/>
      </c>
      <c r="U466" s="1">
        <f t="shared" si="105"/>
        <v>0</v>
      </c>
      <c r="V466" s="1">
        <f t="shared" si="106"/>
        <v>2958465</v>
      </c>
      <c r="W466" s="1">
        <f t="shared" si="107"/>
        <v>0</v>
      </c>
      <c r="X466" s="1">
        <f t="shared" si="108"/>
        <v>0</v>
      </c>
      <c r="Y466" s="1">
        <f t="shared" si="109"/>
        <v>97200</v>
      </c>
      <c r="Z466" s="1">
        <f t="shared" si="110"/>
        <v>1</v>
      </c>
      <c r="AA466" s="1">
        <f t="shared" si="111"/>
        <v>0</v>
      </c>
    </row>
    <row r="467" spans="1:27" ht="18" customHeight="1" x14ac:dyDescent="0.3">
      <c r="A467" s="2"/>
      <c r="B467" s="65" t="str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61"/>
      <c r="D467" s="66"/>
      <c r="E467" s="66"/>
      <c r="F467" s="60"/>
      <c r="G467" s="67"/>
      <c r="H467" s="60"/>
      <c r="I467" s="68">
        <f t="shared" ca="1" si="98"/>
        <v>0</v>
      </c>
      <c r="J467" s="68">
        <f t="shared" ca="1" si="99"/>
        <v>0</v>
      </c>
      <c r="K467" s="68">
        <f t="shared" ca="1" si="100"/>
        <v>0</v>
      </c>
      <c r="L467" s="68">
        <f t="shared" ca="1" si="101"/>
        <v>0</v>
      </c>
      <c r="M467" s="69">
        <f t="shared" si="102"/>
        <v>0</v>
      </c>
      <c r="N467" s="65" t="str">
        <f t="shared" si="103"/>
        <v/>
      </c>
      <c r="O467" s="70" t="str">
        <f>IF(OR($C467="",$D467="",$F467=""),"",IF($F467="Aylık",EOMONTH($D467,0),($D467+MOD(SISTEM!$F$8-WEEKDAY($D467,2),7))))</f>
        <v/>
      </c>
      <c r="P467" s="61"/>
      <c r="Q467" s="2"/>
      <c r="R467" s="2"/>
      <c r="S467" s="1" t="str">
        <f>IF($B467="","",$B467&amp;"|"&amp;COUNTIFS($B$7:$B467,$B467))</f>
        <v/>
      </c>
      <c r="T467" s="1" t="str">
        <f t="shared" si="104"/>
        <v/>
      </c>
      <c r="U467" s="1">
        <f t="shared" si="105"/>
        <v>0</v>
      </c>
      <c r="V467" s="1">
        <f t="shared" si="106"/>
        <v>2958465</v>
      </c>
      <c r="W467" s="1">
        <f t="shared" si="107"/>
        <v>0</v>
      </c>
      <c r="X467" s="1">
        <f t="shared" si="108"/>
        <v>0</v>
      </c>
      <c r="Y467" s="1">
        <f t="shared" si="109"/>
        <v>97200</v>
      </c>
      <c r="Z467" s="1">
        <f t="shared" si="110"/>
        <v>1</v>
      </c>
      <c r="AA467" s="1">
        <f t="shared" si="111"/>
        <v>0</v>
      </c>
    </row>
    <row r="468" spans="1:27" ht="18" customHeight="1" x14ac:dyDescent="0.3">
      <c r="A468" s="2"/>
      <c r="B468" s="65" t="str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61"/>
      <c r="D468" s="66"/>
      <c r="E468" s="66"/>
      <c r="F468" s="60"/>
      <c r="G468" s="67"/>
      <c r="H468" s="60"/>
      <c r="I468" s="68">
        <f t="shared" ca="1" si="98"/>
        <v>0</v>
      </c>
      <c r="J468" s="68">
        <f t="shared" ca="1" si="99"/>
        <v>0</v>
      </c>
      <c r="K468" s="68">
        <f t="shared" ca="1" si="100"/>
        <v>0</v>
      </c>
      <c r="L468" s="68">
        <f t="shared" ca="1" si="101"/>
        <v>0</v>
      </c>
      <c r="M468" s="69">
        <f t="shared" si="102"/>
        <v>0</v>
      </c>
      <c r="N468" s="65" t="str">
        <f t="shared" si="103"/>
        <v/>
      </c>
      <c r="O468" s="70" t="str">
        <f>IF(OR($C468="",$D468="",$F468=""),"",IF($F468="Aylık",EOMONTH($D468,0),($D468+MOD(SISTEM!$F$8-WEEKDAY($D468,2),7))))</f>
        <v/>
      </c>
      <c r="P468" s="61"/>
      <c r="Q468" s="2"/>
      <c r="R468" s="2"/>
      <c r="S468" s="1" t="str">
        <f>IF($B468="","",$B468&amp;"|"&amp;COUNTIFS($B$7:$B468,$B468))</f>
        <v/>
      </c>
      <c r="T468" s="1" t="str">
        <f t="shared" si="104"/>
        <v/>
      </c>
      <c r="U468" s="1">
        <f t="shared" si="105"/>
        <v>0</v>
      </c>
      <c r="V468" s="1">
        <f t="shared" si="106"/>
        <v>2958465</v>
      </c>
      <c r="W468" s="1">
        <f t="shared" si="107"/>
        <v>0</v>
      </c>
      <c r="X468" s="1">
        <f t="shared" si="108"/>
        <v>0</v>
      </c>
      <c r="Y468" s="1">
        <f t="shared" si="109"/>
        <v>97200</v>
      </c>
      <c r="Z468" s="1">
        <f t="shared" si="110"/>
        <v>1</v>
      </c>
      <c r="AA468" s="1">
        <f t="shared" si="111"/>
        <v>0</v>
      </c>
    </row>
    <row r="469" spans="1:27" ht="18" customHeight="1" x14ac:dyDescent="0.3">
      <c r="A469" s="2"/>
      <c r="B469" s="65" t="str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61"/>
      <c r="D469" s="66"/>
      <c r="E469" s="66"/>
      <c r="F469" s="60"/>
      <c r="G469" s="67"/>
      <c r="H469" s="60"/>
      <c r="I469" s="68">
        <f t="shared" ca="1" si="98"/>
        <v>0</v>
      </c>
      <c r="J469" s="68">
        <f t="shared" ca="1" si="99"/>
        <v>0</v>
      </c>
      <c r="K469" s="68">
        <f t="shared" ca="1" si="100"/>
        <v>0</v>
      </c>
      <c r="L469" s="68">
        <f t="shared" ca="1" si="101"/>
        <v>0</v>
      </c>
      <c r="M469" s="69">
        <f t="shared" si="102"/>
        <v>0</v>
      </c>
      <c r="N469" s="65" t="str">
        <f t="shared" si="103"/>
        <v/>
      </c>
      <c r="O469" s="70" t="str">
        <f>IF(OR($C469="",$D469="",$F469=""),"",IF($F469="Aylık",EOMONTH($D469,0),($D469+MOD(SISTEM!$F$8-WEEKDAY($D469,2),7))))</f>
        <v/>
      </c>
      <c r="P469" s="61"/>
      <c r="Q469" s="2"/>
      <c r="R469" s="2"/>
      <c r="S469" s="1" t="str">
        <f>IF($B469="","",$B469&amp;"|"&amp;COUNTIFS($B$7:$B469,$B469))</f>
        <v/>
      </c>
      <c r="T469" s="1" t="str">
        <f t="shared" si="104"/>
        <v/>
      </c>
      <c r="U469" s="1">
        <f t="shared" si="105"/>
        <v>0</v>
      </c>
      <c r="V469" s="1">
        <f t="shared" si="106"/>
        <v>2958465</v>
      </c>
      <c r="W469" s="1">
        <f t="shared" si="107"/>
        <v>0</v>
      </c>
      <c r="X469" s="1">
        <f t="shared" si="108"/>
        <v>0</v>
      </c>
      <c r="Y469" s="1">
        <f t="shared" si="109"/>
        <v>97200</v>
      </c>
      <c r="Z469" s="1">
        <f t="shared" si="110"/>
        <v>1</v>
      </c>
      <c r="AA469" s="1">
        <f t="shared" si="111"/>
        <v>0</v>
      </c>
    </row>
    <row r="470" spans="1:27" ht="18" customHeight="1" x14ac:dyDescent="0.3">
      <c r="A470" s="2"/>
      <c r="B470" s="65" t="str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61"/>
      <c r="D470" s="66"/>
      <c r="E470" s="66"/>
      <c r="F470" s="60"/>
      <c r="G470" s="67"/>
      <c r="H470" s="60"/>
      <c r="I470" s="68">
        <f t="shared" ca="1" si="98"/>
        <v>0</v>
      </c>
      <c r="J470" s="68">
        <f t="shared" ca="1" si="99"/>
        <v>0</v>
      </c>
      <c r="K470" s="68">
        <f t="shared" ca="1" si="100"/>
        <v>0</v>
      </c>
      <c r="L470" s="68">
        <f t="shared" ca="1" si="101"/>
        <v>0</v>
      </c>
      <c r="M470" s="69">
        <f t="shared" si="102"/>
        <v>0</v>
      </c>
      <c r="N470" s="65" t="str">
        <f t="shared" si="103"/>
        <v/>
      </c>
      <c r="O470" s="70" t="str">
        <f>IF(OR($C470="",$D470="",$F470=""),"",IF($F470="Aylık",EOMONTH($D470,0),($D470+MOD(SISTEM!$F$8-WEEKDAY($D470,2),7))))</f>
        <v/>
      </c>
      <c r="P470" s="61"/>
      <c r="Q470" s="2"/>
      <c r="R470" s="2"/>
      <c r="S470" s="1" t="str">
        <f>IF($B470="","",$B470&amp;"|"&amp;COUNTIFS($B$7:$B470,$B470))</f>
        <v/>
      </c>
      <c r="T470" s="1" t="str">
        <f t="shared" si="104"/>
        <v/>
      </c>
      <c r="U470" s="1">
        <f t="shared" si="105"/>
        <v>0</v>
      </c>
      <c r="V470" s="1">
        <f t="shared" si="106"/>
        <v>2958465</v>
      </c>
      <c r="W470" s="1">
        <f t="shared" si="107"/>
        <v>0</v>
      </c>
      <c r="X470" s="1">
        <f t="shared" si="108"/>
        <v>0</v>
      </c>
      <c r="Y470" s="1">
        <f t="shared" si="109"/>
        <v>97200</v>
      </c>
      <c r="Z470" s="1">
        <f t="shared" si="110"/>
        <v>1</v>
      </c>
      <c r="AA470" s="1">
        <f t="shared" si="111"/>
        <v>0</v>
      </c>
    </row>
    <row r="471" spans="1:27" ht="18" customHeight="1" x14ac:dyDescent="0.3">
      <c r="A471" s="2"/>
      <c r="B471" s="65" t="str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61"/>
      <c r="D471" s="66"/>
      <c r="E471" s="66"/>
      <c r="F471" s="60"/>
      <c r="G471" s="67"/>
      <c r="H471" s="60"/>
      <c r="I471" s="68">
        <f t="shared" ca="1" si="98"/>
        <v>0</v>
      </c>
      <c r="J471" s="68">
        <f t="shared" ca="1" si="99"/>
        <v>0</v>
      </c>
      <c r="K471" s="68">
        <f t="shared" ca="1" si="100"/>
        <v>0</v>
      </c>
      <c r="L471" s="68">
        <f t="shared" ca="1" si="101"/>
        <v>0</v>
      </c>
      <c r="M471" s="69">
        <f t="shared" si="102"/>
        <v>0</v>
      </c>
      <c r="N471" s="65" t="str">
        <f t="shared" si="103"/>
        <v/>
      </c>
      <c r="O471" s="70" t="str">
        <f>IF(OR($C471="",$D471="",$F471=""),"",IF($F471="Aylık",EOMONTH($D471,0),($D471+MOD(SISTEM!$F$8-WEEKDAY($D471,2),7))))</f>
        <v/>
      </c>
      <c r="P471" s="61"/>
      <c r="Q471" s="2"/>
      <c r="R471" s="2"/>
      <c r="S471" s="1" t="str">
        <f>IF($B471="","",$B471&amp;"|"&amp;COUNTIFS($B$7:$B471,$B471))</f>
        <v/>
      </c>
      <c r="T471" s="1" t="str">
        <f t="shared" si="104"/>
        <v/>
      </c>
      <c r="U471" s="1">
        <f t="shared" si="105"/>
        <v>0</v>
      </c>
      <c r="V471" s="1">
        <f t="shared" si="106"/>
        <v>2958465</v>
      </c>
      <c r="W471" s="1">
        <f t="shared" si="107"/>
        <v>0</v>
      </c>
      <c r="X471" s="1">
        <f t="shared" si="108"/>
        <v>0</v>
      </c>
      <c r="Y471" s="1">
        <f t="shared" si="109"/>
        <v>97200</v>
      </c>
      <c r="Z471" s="1">
        <f t="shared" si="110"/>
        <v>1</v>
      </c>
      <c r="AA471" s="1">
        <f t="shared" si="111"/>
        <v>0</v>
      </c>
    </row>
    <row r="472" spans="1:27" ht="18" customHeight="1" x14ac:dyDescent="0.3">
      <c r="A472" s="2"/>
      <c r="B472" s="65" t="str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61"/>
      <c r="D472" s="66"/>
      <c r="E472" s="66"/>
      <c r="F472" s="60"/>
      <c r="G472" s="67"/>
      <c r="H472" s="60"/>
      <c r="I472" s="68">
        <f t="shared" ca="1" si="98"/>
        <v>0</v>
      </c>
      <c r="J472" s="68">
        <f t="shared" ca="1" si="99"/>
        <v>0</v>
      </c>
      <c r="K472" s="68">
        <f t="shared" ca="1" si="100"/>
        <v>0</v>
      </c>
      <c r="L472" s="68">
        <f t="shared" ca="1" si="101"/>
        <v>0</v>
      </c>
      <c r="M472" s="69">
        <f t="shared" si="102"/>
        <v>0</v>
      </c>
      <c r="N472" s="65" t="str">
        <f t="shared" si="103"/>
        <v/>
      </c>
      <c r="O472" s="70" t="str">
        <f>IF(OR($C472="",$D472="",$F472=""),"",IF($F472="Aylık",EOMONTH($D472,0),($D472+MOD(SISTEM!$F$8-WEEKDAY($D472,2),7))))</f>
        <v/>
      </c>
      <c r="P472" s="61"/>
      <c r="Q472" s="2"/>
      <c r="R472" s="2"/>
      <c r="S472" s="1" t="str">
        <f>IF($B472="","",$B472&amp;"|"&amp;COUNTIFS($B$7:$B472,$B472))</f>
        <v/>
      </c>
      <c r="T472" s="1" t="str">
        <f t="shared" si="104"/>
        <v/>
      </c>
      <c r="U472" s="1">
        <f t="shared" si="105"/>
        <v>0</v>
      </c>
      <c r="V472" s="1">
        <f t="shared" si="106"/>
        <v>2958465</v>
      </c>
      <c r="W472" s="1">
        <f t="shared" si="107"/>
        <v>0</v>
      </c>
      <c r="X472" s="1">
        <f t="shared" si="108"/>
        <v>0</v>
      </c>
      <c r="Y472" s="1">
        <f t="shared" si="109"/>
        <v>97200</v>
      </c>
      <c r="Z472" s="1">
        <f t="shared" si="110"/>
        <v>1</v>
      </c>
      <c r="AA472" s="1">
        <f t="shared" si="111"/>
        <v>0</v>
      </c>
    </row>
    <row r="473" spans="1:27" ht="18" customHeight="1" x14ac:dyDescent="0.3">
      <c r="A473" s="2"/>
      <c r="B473" s="65" t="str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61"/>
      <c r="D473" s="66"/>
      <c r="E473" s="66"/>
      <c r="F473" s="60"/>
      <c r="G473" s="67"/>
      <c r="H473" s="60"/>
      <c r="I473" s="68">
        <f t="shared" ca="1" si="98"/>
        <v>0</v>
      </c>
      <c r="J473" s="68">
        <f t="shared" ca="1" si="99"/>
        <v>0</v>
      </c>
      <c r="K473" s="68">
        <f t="shared" ca="1" si="100"/>
        <v>0</v>
      </c>
      <c r="L473" s="68">
        <f t="shared" ca="1" si="101"/>
        <v>0</v>
      </c>
      <c r="M473" s="69">
        <f t="shared" si="102"/>
        <v>0</v>
      </c>
      <c r="N473" s="65" t="str">
        <f t="shared" si="103"/>
        <v/>
      </c>
      <c r="O473" s="70" t="str">
        <f>IF(OR($C473="",$D473="",$F473=""),"",IF($F473="Aylık",EOMONTH($D473,0),($D473+MOD(SISTEM!$F$8-WEEKDAY($D473,2),7))))</f>
        <v/>
      </c>
      <c r="P473" s="61"/>
      <c r="Q473" s="2"/>
      <c r="R473" s="2"/>
      <c r="S473" s="1" t="str">
        <f>IF($B473="","",$B473&amp;"|"&amp;COUNTIFS($B$7:$B473,$B473))</f>
        <v/>
      </c>
      <c r="T473" s="1" t="str">
        <f t="shared" si="104"/>
        <v/>
      </c>
      <c r="U473" s="1">
        <f t="shared" si="105"/>
        <v>0</v>
      </c>
      <c r="V473" s="1">
        <f t="shared" si="106"/>
        <v>2958465</v>
      </c>
      <c r="W473" s="1">
        <f t="shared" si="107"/>
        <v>0</v>
      </c>
      <c r="X473" s="1">
        <f t="shared" si="108"/>
        <v>0</v>
      </c>
      <c r="Y473" s="1">
        <f t="shared" si="109"/>
        <v>97200</v>
      </c>
      <c r="Z473" s="1">
        <f t="shared" si="110"/>
        <v>1</v>
      </c>
      <c r="AA473" s="1">
        <f t="shared" si="111"/>
        <v>0</v>
      </c>
    </row>
    <row r="474" spans="1:27" ht="18" customHeight="1" x14ac:dyDescent="0.3">
      <c r="A474" s="2"/>
      <c r="B474" s="65" t="str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61"/>
      <c r="D474" s="66"/>
      <c r="E474" s="66"/>
      <c r="F474" s="60"/>
      <c r="G474" s="67"/>
      <c r="H474" s="60"/>
      <c r="I474" s="68">
        <f t="shared" ca="1" si="98"/>
        <v>0</v>
      </c>
      <c r="J474" s="68">
        <f t="shared" ca="1" si="99"/>
        <v>0</v>
      </c>
      <c r="K474" s="68">
        <f t="shared" ca="1" si="100"/>
        <v>0</v>
      </c>
      <c r="L474" s="68">
        <f t="shared" ca="1" si="101"/>
        <v>0</v>
      </c>
      <c r="M474" s="69">
        <f t="shared" si="102"/>
        <v>0</v>
      </c>
      <c r="N474" s="65" t="str">
        <f t="shared" si="103"/>
        <v/>
      </c>
      <c r="O474" s="70" t="str">
        <f>IF(OR($C474="",$D474="",$F474=""),"",IF($F474="Aylık",EOMONTH($D474,0),($D474+MOD(SISTEM!$F$8-WEEKDAY($D474,2),7))))</f>
        <v/>
      </c>
      <c r="P474" s="61"/>
      <c r="Q474" s="2"/>
      <c r="R474" s="2"/>
      <c r="S474" s="1" t="str">
        <f>IF($B474="","",$B474&amp;"|"&amp;COUNTIFS($B$7:$B474,$B474))</f>
        <v/>
      </c>
      <c r="T474" s="1" t="str">
        <f t="shared" si="104"/>
        <v/>
      </c>
      <c r="U474" s="1">
        <f t="shared" si="105"/>
        <v>0</v>
      </c>
      <c r="V474" s="1">
        <f t="shared" si="106"/>
        <v>2958465</v>
      </c>
      <c r="W474" s="1">
        <f t="shared" si="107"/>
        <v>0</v>
      </c>
      <c r="X474" s="1">
        <f t="shared" si="108"/>
        <v>0</v>
      </c>
      <c r="Y474" s="1">
        <f t="shared" si="109"/>
        <v>97200</v>
      </c>
      <c r="Z474" s="1">
        <f t="shared" si="110"/>
        <v>1</v>
      </c>
      <c r="AA474" s="1">
        <f t="shared" si="111"/>
        <v>0</v>
      </c>
    </row>
    <row r="475" spans="1:27" ht="18" customHeight="1" x14ac:dyDescent="0.3">
      <c r="A475" s="2"/>
      <c r="B475" s="65" t="str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61"/>
      <c r="D475" s="66"/>
      <c r="E475" s="66"/>
      <c r="F475" s="60"/>
      <c r="G475" s="67"/>
      <c r="H475" s="60"/>
      <c r="I475" s="68">
        <f t="shared" ca="1" si="98"/>
        <v>0</v>
      </c>
      <c r="J475" s="68">
        <f t="shared" ca="1" si="99"/>
        <v>0</v>
      </c>
      <c r="K475" s="68">
        <f t="shared" ca="1" si="100"/>
        <v>0</v>
      </c>
      <c r="L475" s="68">
        <f t="shared" ca="1" si="101"/>
        <v>0</v>
      </c>
      <c r="M475" s="69">
        <f t="shared" si="102"/>
        <v>0</v>
      </c>
      <c r="N475" s="65" t="str">
        <f t="shared" si="103"/>
        <v/>
      </c>
      <c r="O475" s="70" t="str">
        <f>IF(OR($C475="",$D475="",$F475=""),"",IF($F475="Aylık",EOMONTH($D475,0),($D475+MOD(SISTEM!$F$8-WEEKDAY($D475,2),7))))</f>
        <v/>
      </c>
      <c r="P475" s="61"/>
      <c r="Q475" s="2"/>
      <c r="R475" s="2"/>
      <c r="S475" s="1" t="str">
        <f>IF($B475="","",$B475&amp;"|"&amp;COUNTIFS($B$7:$B475,$B475))</f>
        <v/>
      </c>
      <c r="T475" s="1" t="str">
        <f t="shared" si="104"/>
        <v/>
      </c>
      <c r="U475" s="1">
        <f t="shared" si="105"/>
        <v>0</v>
      </c>
      <c r="V475" s="1">
        <f t="shared" si="106"/>
        <v>2958465</v>
      </c>
      <c r="W475" s="1">
        <f t="shared" si="107"/>
        <v>0</v>
      </c>
      <c r="X475" s="1">
        <f t="shared" si="108"/>
        <v>0</v>
      </c>
      <c r="Y475" s="1">
        <f t="shared" si="109"/>
        <v>97200</v>
      </c>
      <c r="Z475" s="1">
        <f t="shared" si="110"/>
        <v>1</v>
      </c>
      <c r="AA475" s="1">
        <f t="shared" si="111"/>
        <v>0</v>
      </c>
    </row>
    <row r="476" spans="1:27" ht="18" customHeight="1" x14ac:dyDescent="0.3">
      <c r="A476" s="2"/>
      <c r="B476" s="65" t="str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61"/>
      <c r="D476" s="66"/>
      <c r="E476" s="66"/>
      <c r="F476" s="60"/>
      <c r="G476" s="67"/>
      <c r="H476" s="60"/>
      <c r="I476" s="68">
        <f t="shared" ca="1" si="98"/>
        <v>0</v>
      </c>
      <c r="J476" s="68">
        <f t="shared" ca="1" si="99"/>
        <v>0</v>
      </c>
      <c r="K476" s="68">
        <f t="shared" ca="1" si="100"/>
        <v>0</v>
      </c>
      <c r="L476" s="68">
        <f t="shared" ca="1" si="101"/>
        <v>0</v>
      </c>
      <c r="M476" s="69">
        <f t="shared" si="102"/>
        <v>0</v>
      </c>
      <c r="N476" s="65" t="str">
        <f t="shared" si="103"/>
        <v/>
      </c>
      <c r="O476" s="70" t="str">
        <f>IF(OR($C476="",$D476="",$F476=""),"",IF($F476="Aylık",EOMONTH($D476,0),($D476+MOD(SISTEM!$F$8-WEEKDAY($D476,2),7))))</f>
        <v/>
      </c>
      <c r="P476" s="61"/>
      <c r="Q476" s="2"/>
      <c r="R476" s="2"/>
      <c r="S476" s="1" t="str">
        <f>IF($B476="","",$B476&amp;"|"&amp;COUNTIFS($B$7:$B476,$B476))</f>
        <v/>
      </c>
      <c r="T476" s="1" t="str">
        <f t="shared" si="104"/>
        <v/>
      </c>
      <c r="U476" s="1">
        <f t="shared" si="105"/>
        <v>0</v>
      </c>
      <c r="V476" s="1">
        <f t="shared" si="106"/>
        <v>2958465</v>
      </c>
      <c r="W476" s="1">
        <f t="shared" si="107"/>
        <v>0</v>
      </c>
      <c r="X476" s="1">
        <f t="shared" si="108"/>
        <v>0</v>
      </c>
      <c r="Y476" s="1">
        <f t="shared" si="109"/>
        <v>97200</v>
      </c>
      <c r="Z476" s="1">
        <f t="shared" si="110"/>
        <v>1</v>
      </c>
      <c r="AA476" s="1">
        <f t="shared" si="111"/>
        <v>0</v>
      </c>
    </row>
    <row r="477" spans="1:27" ht="18" customHeight="1" x14ac:dyDescent="0.3">
      <c r="A477" s="2"/>
      <c r="B477" s="65" t="str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61"/>
      <c r="D477" s="66"/>
      <c r="E477" s="66"/>
      <c r="F477" s="60"/>
      <c r="G477" s="67"/>
      <c r="H477" s="60"/>
      <c r="I477" s="68">
        <f t="shared" ca="1" si="98"/>
        <v>0</v>
      </c>
      <c r="J477" s="68">
        <f t="shared" ca="1" si="99"/>
        <v>0</v>
      </c>
      <c r="K477" s="68">
        <f t="shared" ca="1" si="100"/>
        <v>0</v>
      </c>
      <c r="L477" s="68">
        <f t="shared" ca="1" si="101"/>
        <v>0</v>
      </c>
      <c r="M477" s="69">
        <f t="shared" si="102"/>
        <v>0</v>
      </c>
      <c r="N477" s="65" t="str">
        <f t="shared" si="103"/>
        <v/>
      </c>
      <c r="O477" s="70" t="str">
        <f>IF(OR($C477="",$D477="",$F477=""),"",IF($F477="Aylık",EOMONTH($D477,0),($D477+MOD(SISTEM!$F$8-WEEKDAY($D477,2),7))))</f>
        <v/>
      </c>
      <c r="P477" s="61"/>
      <c r="Q477" s="2"/>
      <c r="R477" s="2"/>
      <c r="S477" s="1" t="str">
        <f>IF($B477="","",$B477&amp;"|"&amp;COUNTIFS($B$7:$B477,$B477))</f>
        <v/>
      </c>
      <c r="T477" s="1" t="str">
        <f t="shared" si="104"/>
        <v/>
      </c>
      <c r="U477" s="1">
        <f t="shared" si="105"/>
        <v>0</v>
      </c>
      <c r="V477" s="1">
        <f t="shared" si="106"/>
        <v>2958465</v>
      </c>
      <c r="W477" s="1">
        <f t="shared" si="107"/>
        <v>0</v>
      </c>
      <c r="X477" s="1">
        <f t="shared" si="108"/>
        <v>0</v>
      </c>
      <c r="Y477" s="1">
        <f t="shared" si="109"/>
        <v>97200</v>
      </c>
      <c r="Z477" s="1">
        <f t="shared" si="110"/>
        <v>1</v>
      </c>
      <c r="AA477" s="1">
        <f t="shared" si="111"/>
        <v>0</v>
      </c>
    </row>
    <row r="478" spans="1:27" ht="18" customHeight="1" x14ac:dyDescent="0.3">
      <c r="A478" s="2"/>
      <c r="B478" s="65" t="str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61"/>
      <c r="D478" s="66"/>
      <c r="E478" s="66"/>
      <c r="F478" s="60"/>
      <c r="G478" s="67"/>
      <c r="H478" s="60"/>
      <c r="I478" s="68">
        <f t="shared" ca="1" si="98"/>
        <v>0</v>
      </c>
      <c r="J478" s="68">
        <f t="shared" ca="1" si="99"/>
        <v>0</v>
      </c>
      <c r="K478" s="68">
        <f t="shared" ca="1" si="100"/>
        <v>0</v>
      </c>
      <c r="L478" s="68">
        <f t="shared" ca="1" si="101"/>
        <v>0</v>
      </c>
      <c r="M478" s="69">
        <f t="shared" si="102"/>
        <v>0</v>
      </c>
      <c r="N478" s="65" t="str">
        <f t="shared" si="103"/>
        <v/>
      </c>
      <c r="O478" s="70" t="str">
        <f>IF(OR($C478="",$D478="",$F478=""),"",IF($F478="Aylık",EOMONTH($D478,0),($D478+MOD(SISTEM!$F$8-WEEKDAY($D478,2),7))))</f>
        <v/>
      </c>
      <c r="P478" s="61"/>
      <c r="Q478" s="2"/>
      <c r="R478" s="2"/>
      <c r="S478" s="1" t="str">
        <f>IF($B478="","",$B478&amp;"|"&amp;COUNTIFS($B$7:$B478,$B478))</f>
        <v/>
      </c>
      <c r="T478" s="1" t="str">
        <f t="shared" si="104"/>
        <v/>
      </c>
      <c r="U478" s="1">
        <f t="shared" si="105"/>
        <v>0</v>
      </c>
      <c r="V478" s="1">
        <f t="shared" si="106"/>
        <v>2958465</v>
      </c>
      <c r="W478" s="1">
        <f t="shared" si="107"/>
        <v>0</v>
      </c>
      <c r="X478" s="1">
        <f t="shared" si="108"/>
        <v>0</v>
      </c>
      <c r="Y478" s="1">
        <f t="shared" si="109"/>
        <v>97200</v>
      </c>
      <c r="Z478" s="1">
        <f t="shared" si="110"/>
        <v>1</v>
      </c>
      <c r="AA478" s="1">
        <f t="shared" si="111"/>
        <v>0</v>
      </c>
    </row>
    <row r="479" spans="1:27" ht="18" customHeight="1" x14ac:dyDescent="0.3">
      <c r="A479" s="2"/>
      <c r="B479" s="65" t="str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61"/>
      <c r="D479" s="66"/>
      <c r="E479" s="66"/>
      <c r="F479" s="60"/>
      <c r="G479" s="67"/>
      <c r="H479" s="60"/>
      <c r="I479" s="68">
        <f t="shared" ca="1" si="98"/>
        <v>0</v>
      </c>
      <c r="J479" s="68">
        <f t="shared" ca="1" si="99"/>
        <v>0</v>
      </c>
      <c r="K479" s="68">
        <f t="shared" ca="1" si="100"/>
        <v>0</v>
      </c>
      <c r="L479" s="68">
        <f t="shared" ca="1" si="101"/>
        <v>0</v>
      </c>
      <c r="M479" s="69">
        <f t="shared" si="102"/>
        <v>0</v>
      </c>
      <c r="N479" s="65" t="str">
        <f t="shared" si="103"/>
        <v/>
      </c>
      <c r="O479" s="70" t="str">
        <f>IF(OR($C479="",$D479="",$F479=""),"",IF($F479="Aylık",EOMONTH($D479,0),($D479+MOD(SISTEM!$F$8-WEEKDAY($D479,2),7))))</f>
        <v/>
      </c>
      <c r="P479" s="61"/>
      <c r="Q479" s="2"/>
      <c r="R479" s="2"/>
      <c r="S479" s="1" t="str">
        <f>IF($B479="","",$B479&amp;"|"&amp;COUNTIFS($B$7:$B479,$B479))</f>
        <v/>
      </c>
      <c r="T479" s="1" t="str">
        <f t="shared" si="104"/>
        <v/>
      </c>
      <c r="U479" s="1">
        <f t="shared" si="105"/>
        <v>0</v>
      </c>
      <c r="V479" s="1">
        <f t="shared" si="106"/>
        <v>2958465</v>
      </c>
      <c r="W479" s="1">
        <f t="shared" si="107"/>
        <v>0</v>
      </c>
      <c r="X479" s="1">
        <f t="shared" si="108"/>
        <v>0</v>
      </c>
      <c r="Y479" s="1">
        <f t="shared" si="109"/>
        <v>97200</v>
      </c>
      <c r="Z479" s="1">
        <f t="shared" si="110"/>
        <v>1</v>
      </c>
      <c r="AA479" s="1">
        <f t="shared" si="111"/>
        <v>0</v>
      </c>
    </row>
    <row r="480" spans="1:27" ht="18" customHeight="1" x14ac:dyDescent="0.3">
      <c r="A480" s="2"/>
      <c r="B480" s="65" t="str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61"/>
      <c r="D480" s="66"/>
      <c r="E480" s="66"/>
      <c r="F480" s="60"/>
      <c r="G480" s="67"/>
      <c r="H480" s="60"/>
      <c r="I480" s="68">
        <f t="shared" ca="1" si="98"/>
        <v>0</v>
      </c>
      <c r="J480" s="68">
        <f t="shared" ca="1" si="99"/>
        <v>0</v>
      </c>
      <c r="K480" s="68">
        <f t="shared" ca="1" si="100"/>
        <v>0</v>
      </c>
      <c r="L480" s="68">
        <f t="shared" ca="1" si="101"/>
        <v>0</v>
      </c>
      <c r="M480" s="69">
        <f t="shared" si="102"/>
        <v>0</v>
      </c>
      <c r="N480" s="65" t="str">
        <f t="shared" si="103"/>
        <v/>
      </c>
      <c r="O480" s="70" t="str">
        <f>IF(OR($C480="",$D480="",$F480=""),"",IF($F480="Aylık",EOMONTH($D480,0),($D480+MOD(SISTEM!$F$8-WEEKDAY($D480,2),7))))</f>
        <v/>
      </c>
      <c r="P480" s="61"/>
      <c r="Q480" s="2"/>
      <c r="R480" s="2"/>
      <c r="S480" s="1" t="str">
        <f>IF($B480="","",$B480&amp;"|"&amp;COUNTIFS($B$7:$B480,$B480))</f>
        <v/>
      </c>
      <c r="T480" s="1" t="str">
        <f t="shared" si="104"/>
        <v/>
      </c>
      <c r="U480" s="1">
        <f t="shared" si="105"/>
        <v>0</v>
      </c>
      <c r="V480" s="1">
        <f t="shared" si="106"/>
        <v>2958465</v>
      </c>
      <c r="W480" s="1">
        <f t="shared" si="107"/>
        <v>0</v>
      </c>
      <c r="X480" s="1">
        <f t="shared" si="108"/>
        <v>0</v>
      </c>
      <c r="Y480" s="1">
        <f t="shared" si="109"/>
        <v>97200</v>
      </c>
      <c r="Z480" s="1">
        <f t="shared" si="110"/>
        <v>1</v>
      </c>
      <c r="AA480" s="1">
        <f t="shared" si="111"/>
        <v>0</v>
      </c>
    </row>
    <row r="481" spans="1:27" ht="18" customHeight="1" x14ac:dyDescent="0.3">
      <c r="A481" s="2"/>
      <c r="B481" s="65" t="str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61"/>
      <c r="D481" s="66"/>
      <c r="E481" s="66"/>
      <c r="F481" s="60"/>
      <c r="G481" s="67"/>
      <c r="H481" s="60"/>
      <c r="I481" s="68">
        <f t="shared" ca="1" si="98"/>
        <v>0</v>
      </c>
      <c r="J481" s="68">
        <f t="shared" ca="1" si="99"/>
        <v>0</v>
      </c>
      <c r="K481" s="68">
        <f t="shared" ca="1" si="100"/>
        <v>0</v>
      </c>
      <c r="L481" s="68">
        <f t="shared" ca="1" si="101"/>
        <v>0</v>
      </c>
      <c r="M481" s="69">
        <f t="shared" si="102"/>
        <v>0</v>
      </c>
      <c r="N481" s="65" t="str">
        <f t="shared" si="103"/>
        <v/>
      </c>
      <c r="O481" s="70" t="str">
        <f>IF(OR($C481="",$D481="",$F481=""),"",IF($F481="Aylık",EOMONTH($D481,0),($D481+MOD(SISTEM!$F$8-WEEKDAY($D481,2),7))))</f>
        <v/>
      </c>
      <c r="P481" s="61"/>
      <c r="Q481" s="2"/>
      <c r="R481" s="2"/>
      <c r="S481" s="1" t="str">
        <f>IF($B481="","",$B481&amp;"|"&amp;COUNTIFS($B$7:$B481,$B481))</f>
        <v/>
      </c>
      <c r="T481" s="1" t="str">
        <f t="shared" si="104"/>
        <v/>
      </c>
      <c r="U481" s="1">
        <f t="shared" si="105"/>
        <v>0</v>
      </c>
      <c r="V481" s="1">
        <f t="shared" si="106"/>
        <v>2958465</v>
      </c>
      <c r="W481" s="1">
        <f t="shared" si="107"/>
        <v>0</v>
      </c>
      <c r="X481" s="1">
        <f t="shared" si="108"/>
        <v>0</v>
      </c>
      <c r="Y481" s="1">
        <f t="shared" si="109"/>
        <v>97200</v>
      </c>
      <c r="Z481" s="1">
        <f t="shared" si="110"/>
        <v>1</v>
      </c>
      <c r="AA481" s="1">
        <f t="shared" si="111"/>
        <v>0</v>
      </c>
    </row>
    <row r="482" spans="1:27" ht="18" customHeight="1" x14ac:dyDescent="0.3">
      <c r="A482" s="2"/>
      <c r="B482" s="65" t="str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61"/>
      <c r="D482" s="66"/>
      <c r="E482" s="66"/>
      <c r="F482" s="60"/>
      <c r="G482" s="67"/>
      <c r="H482" s="60"/>
      <c r="I482" s="68">
        <f t="shared" ca="1" si="98"/>
        <v>0</v>
      </c>
      <c r="J482" s="68">
        <f t="shared" ca="1" si="99"/>
        <v>0</v>
      </c>
      <c r="K482" s="68">
        <f t="shared" ca="1" si="100"/>
        <v>0</v>
      </c>
      <c r="L482" s="68">
        <f t="shared" ca="1" si="101"/>
        <v>0</v>
      </c>
      <c r="M482" s="69">
        <f t="shared" si="102"/>
        <v>0</v>
      </c>
      <c r="N482" s="65" t="str">
        <f t="shared" si="103"/>
        <v/>
      </c>
      <c r="O482" s="70" t="str">
        <f>IF(OR($C482="",$D482="",$F482=""),"",IF($F482="Aylık",EOMONTH($D482,0),($D482+MOD(SISTEM!$F$8-WEEKDAY($D482,2),7))))</f>
        <v/>
      </c>
      <c r="P482" s="61"/>
      <c r="Q482" s="2"/>
      <c r="R482" s="2"/>
      <c r="S482" s="1" t="str">
        <f>IF($B482="","",$B482&amp;"|"&amp;COUNTIFS($B$7:$B482,$B482))</f>
        <v/>
      </c>
      <c r="T482" s="1" t="str">
        <f t="shared" si="104"/>
        <v/>
      </c>
      <c r="U482" s="1">
        <f t="shared" si="105"/>
        <v>0</v>
      </c>
      <c r="V482" s="1">
        <f t="shared" si="106"/>
        <v>2958465</v>
      </c>
      <c r="W482" s="1">
        <f t="shared" si="107"/>
        <v>0</v>
      </c>
      <c r="X482" s="1">
        <f t="shared" si="108"/>
        <v>0</v>
      </c>
      <c r="Y482" s="1">
        <f t="shared" si="109"/>
        <v>97200</v>
      </c>
      <c r="Z482" s="1">
        <f t="shared" si="110"/>
        <v>1</v>
      </c>
      <c r="AA482" s="1">
        <f t="shared" si="111"/>
        <v>0</v>
      </c>
    </row>
    <row r="483" spans="1:27" ht="18" customHeight="1" x14ac:dyDescent="0.3">
      <c r="A483" s="2"/>
      <c r="B483" s="65" t="str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61"/>
      <c r="D483" s="66"/>
      <c r="E483" s="66"/>
      <c r="F483" s="60"/>
      <c r="G483" s="67"/>
      <c r="H483" s="60"/>
      <c r="I483" s="68">
        <f t="shared" ca="1" si="98"/>
        <v>0</v>
      </c>
      <c r="J483" s="68">
        <f t="shared" ca="1" si="99"/>
        <v>0</v>
      </c>
      <c r="K483" s="68">
        <f t="shared" ca="1" si="100"/>
        <v>0</v>
      </c>
      <c r="L483" s="68">
        <f t="shared" ca="1" si="101"/>
        <v>0</v>
      </c>
      <c r="M483" s="69">
        <f t="shared" si="102"/>
        <v>0</v>
      </c>
      <c r="N483" s="65" t="str">
        <f t="shared" si="103"/>
        <v/>
      </c>
      <c r="O483" s="70" t="str">
        <f>IF(OR($C483="",$D483="",$F483=""),"",IF($F483="Aylık",EOMONTH($D483,0),($D483+MOD(SISTEM!$F$8-WEEKDAY($D483,2),7))))</f>
        <v/>
      </c>
      <c r="P483" s="61"/>
      <c r="Q483" s="2"/>
      <c r="R483" s="2"/>
      <c r="S483" s="1" t="str">
        <f>IF($B483="","",$B483&amp;"|"&amp;COUNTIFS($B$7:$B483,$B483))</f>
        <v/>
      </c>
      <c r="T483" s="1" t="str">
        <f t="shared" si="104"/>
        <v/>
      </c>
      <c r="U483" s="1">
        <f t="shared" si="105"/>
        <v>0</v>
      </c>
      <c r="V483" s="1">
        <f t="shared" si="106"/>
        <v>2958465</v>
      </c>
      <c r="W483" s="1">
        <f t="shared" si="107"/>
        <v>0</v>
      </c>
      <c r="X483" s="1">
        <f t="shared" si="108"/>
        <v>0</v>
      </c>
      <c r="Y483" s="1">
        <f t="shared" si="109"/>
        <v>97200</v>
      </c>
      <c r="Z483" s="1">
        <f t="shared" si="110"/>
        <v>1</v>
      </c>
      <c r="AA483" s="1">
        <f t="shared" si="111"/>
        <v>0</v>
      </c>
    </row>
    <row r="484" spans="1:27" ht="18" customHeight="1" x14ac:dyDescent="0.3">
      <c r="A484" s="2"/>
      <c r="B484" s="65" t="str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61"/>
      <c r="D484" s="66"/>
      <c r="E484" s="66"/>
      <c r="F484" s="60"/>
      <c r="G484" s="67"/>
      <c r="H484" s="60"/>
      <c r="I484" s="68">
        <f t="shared" ca="1" si="98"/>
        <v>0</v>
      </c>
      <c r="J484" s="68">
        <f t="shared" ca="1" si="99"/>
        <v>0</v>
      </c>
      <c r="K484" s="68">
        <f t="shared" ca="1" si="100"/>
        <v>0</v>
      </c>
      <c r="L484" s="68">
        <f t="shared" ca="1" si="101"/>
        <v>0</v>
      </c>
      <c r="M484" s="69">
        <f t="shared" si="102"/>
        <v>0</v>
      </c>
      <c r="N484" s="65" t="str">
        <f t="shared" si="103"/>
        <v/>
      </c>
      <c r="O484" s="70" t="str">
        <f>IF(OR($C484="",$D484="",$F484=""),"",IF($F484="Aylık",EOMONTH($D484,0),($D484+MOD(SISTEM!$F$8-WEEKDAY($D484,2),7))))</f>
        <v/>
      </c>
      <c r="P484" s="61"/>
      <c r="Q484" s="2"/>
      <c r="R484" s="2"/>
      <c r="S484" s="1" t="str">
        <f>IF($B484="","",$B484&amp;"|"&amp;COUNTIFS($B$7:$B484,$B484))</f>
        <v/>
      </c>
      <c r="T484" s="1" t="str">
        <f t="shared" si="104"/>
        <v/>
      </c>
      <c r="U484" s="1">
        <f t="shared" si="105"/>
        <v>0</v>
      </c>
      <c r="V484" s="1">
        <f t="shared" si="106"/>
        <v>2958465</v>
      </c>
      <c r="W484" s="1">
        <f t="shared" si="107"/>
        <v>0</v>
      </c>
      <c r="X484" s="1">
        <f t="shared" si="108"/>
        <v>0</v>
      </c>
      <c r="Y484" s="1">
        <f t="shared" si="109"/>
        <v>97200</v>
      </c>
      <c r="Z484" s="1">
        <f t="shared" si="110"/>
        <v>1</v>
      </c>
      <c r="AA484" s="1">
        <f t="shared" si="111"/>
        <v>0</v>
      </c>
    </row>
    <row r="485" spans="1:27" ht="18" customHeight="1" x14ac:dyDescent="0.3">
      <c r="A485" s="2"/>
      <c r="B485" s="65" t="str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61"/>
      <c r="D485" s="66"/>
      <c r="E485" s="66"/>
      <c r="F485" s="60"/>
      <c r="G485" s="67"/>
      <c r="H485" s="60"/>
      <c r="I485" s="68">
        <f t="shared" ca="1" si="98"/>
        <v>0</v>
      </c>
      <c r="J485" s="68">
        <f t="shared" ca="1" si="99"/>
        <v>0</v>
      </c>
      <c r="K485" s="68">
        <f t="shared" ca="1" si="100"/>
        <v>0</v>
      </c>
      <c r="L485" s="68">
        <f t="shared" ca="1" si="101"/>
        <v>0</v>
      </c>
      <c r="M485" s="69">
        <f t="shared" si="102"/>
        <v>0</v>
      </c>
      <c r="N485" s="65" t="str">
        <f t="shared" si="103"/>
        <v/>
      </c>
      <c r="O485" s="70" t="str">
        <f>IF(OR($C485="",$D485="",$F485=""),"",IF($F485="Aylık",EOMONTH($D485,0),($D485+MOD(SISTEM!$F$8-WEEKDAY($D485,2),7))))</f>
        <v/>
      </c>
      <c r="P485" s="61"/>
      <c r="Q485" s="2"/>
      <c r="R485" s="2"/>
      <c r="S485" s="1" t="str">
        <f>IF($B485="","",$B485&amp;"|"&amp;COUNTIFS($B$7:$B485,$B485))</f>
        <v/>
      </c>
      <c r="T485" s="1" t="str">
        <f t="shared" si="104"/>
        <v/>
      </c>
      <c r="U485" s="1">
        <f t="shared" si="105"/>
        <v>0</v>
      </c>
      <c r="V485" s="1">
        <f t="shared" si="106"/>
        <v>2958465</v>
      </c>
      <c r="W485" s="1">
        <f t="shared" si="107"/>
        <v>0</v>
      </c>
      <c r="X485" s="1">
        <f t="shared" si="108"/>
        <v>0</v>
      </c>
      <c r="Y485" s="1">
        <f t="shared" si="109"/>
        <v>97200</v>
      </c>
      <c r="Z485" s="1">
        <f t="shared" si="110"/>
        <v>1</v>
      </c>
      <c r="AA485" s="1">
        <f t="shared" si="111"/>
        <v>0</v>
      </c>
    </row>
    <row r="486" spans="1:27" ht="18" customHeight="1" x14ac:dyDescent="0.3">
      <c r="A486" s="2"/>
      <c r="B486" s="65" t="str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61"/>
      <c r="D486" s="66"/>
      <c r="E486" s="66"/>
      <c r="F486" s="60"/>
      <c r="G486" s="67"/>
      <c r="H486" s="60"/>
      <c r="I486" s="68">
        <f t="shared" ca="1" si="98"/>
        <v>0</v>
      </c>
      <c r="J486" s="68">
        <f t="shared" ca="1" si="99"/>
        <v>0</v>
      </c>
      <c r="K486" s="68">
        <f t="shared" ca="1" si="100"/>
        <v>0</v>
      </c>
      <c r="L486" s="68">
        <f t="shared" ca="1" si="101"/>
        <v>0</v>
      </c>
      <c r="M486" s="69">
        <f t="shared" si="102"/>
        <v>0</v>
      </c>
      <c r="N486" s="65" t="str">
        <f t="shared" si="103"/>
        <v/>
      </c>
      <c r="O486" s="70" t="str">
        <f>IF(OR($C486="",$D486="",$F486=""),"",IF($F486="Aylık",EOMONTH($D486,0),($D486+MOD(SISTEM!$F$8-WEEKDAY($D486,2),7))))</f>
        <v/>
      </c>
      <c r="P486" s="61"/>
      <c r="Q486" s="2"/>
      <c r="R486" s="2"/>
      <c r="S486" s="1" t="str">
        <f>IF($B486="","",$B486&amp;"|"&amp;COUNTIFS($B$7:$B486,$B486))</f>
        <v/>
      </c>
      <c r="T486" s="1" t="str">
        <f t="shared" si="104"/>
        <v/>
      </c>
      <c r="U486" s="1">
        <f t="shared" si="105"/>
        <v>0</v>
      </c>
      <c r="V486" s="1">
        <f t="shared" si="106"/>
        <v>2958465</v>
      </c>
      <c r="W486" s="1">
        <f t="shared" si="107"/>
        <v>0</v>
      </c>
      <c r="X486" s="1">
        <f t="shared" si="108"/>
        <v>0</v>
      </c>
      <c r="Y486" s="1">
        <f t="shared" si="109"/>
        <v>97200</v>
      </c>
      <c r="Z486" s="1">
        <f t="shared" si="110"/>
        <v>1</v>
      </c>
      <c r="AA486" s="1">
        <f t="shared" si="111"/>
        <v>0</v>
      </c>
    </row>
    <row r="487" spans="1:27" ht="18" customHeight="1" x14ac:dyDescent="0.3">
      <c r="A487" s="2"/>
      <c r="B487" s="65" t="str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61"/>
      <c r="D487" s="66"/>
      <c r="E487" s="66"/>
      <c r="F487" s="60"/>
      <c r="G487" s="67"/>
      <c r="H487" s="60"/>
      <c r="I487" s="68">
        <f t="shared" ca="1" si="98"/>
        <v>0</v>
      </c>
      <c r="J487" s="68">
        <f t="shared" ca="1" si="99"/>
        <v>0</v>
      </c>
      <c r="K487" s="68">
        <f t="shared" ca="1" si="100"/>
        <v>0</v>
      </c>
      <c r="L487" s="68">
        <f t="shared" ca="1" si="101"/>
        <v>0</v>
      </c>
      <c r="M487" s="69">
        <f t="shared" si="102"/>
        <v>0</v>
      </c>
      <c r="N487" s="65" t="str">
        <f t="shared" si="103"/>
        <v/>
      </c>
      <c r="O487" s="70" t="str">
        <f>IF(OR($C487="",$D487="",$F487=""),"",IF($F487="Aylık",EOMONTH($D487,0),($D487+MOD(SISTEM!$F$8-WEEKDAY($D487,2),7))))</f>
        <v/>
      </c>
      <c r="P487" s="61"/>
      <c r="Q487" s="2"/>
      <c r="R487" s="2"/>
      <c r="S487" s="1" t="str">
        <f>IF($B487="","",$B487&amp;"|"&amp;COUNTIFS($B$7:$B487,$B487))</f>
        <v/>
      </c>
      <c r="T487" s="1" t="str">
        <f t="shared" si="104"/>
        <v/>
      </c>
      <c r="U487" s="1">
        <f t="shared" si="105"/>
        <v>0</v>
      </c>
      <c r="V487" s="1">
        <f t="shared" si="106"/>
        <v>2958465</v>
      </c>
      <c r="W487" s="1">
        <f t="shared" si="107"/>
        <v>0</v>
      </c>
      <c r="X487" s="1">
        <f t="shared" si="108"/>
        <v>0</v>
      </c>
      <c r="Y487" s="1">
        <f t="shared" si="109"/>
        <v>97200</v>
      </c>
      <c r="Z487" s="1">
        <f t="shared" si="110"/>
        <v>1</v>
      </c>
      <c r="AA487" s="1">
        <f t="shared" si="111"/>
        <v>0</v>
      </c>
    </row>
    <row r="488" spans="1:27" ht="18" customHeight="1" x14ac:dyDescent="0.3">
      <c r="A488" s="2"/>
      <c r="B488" s="65" t="str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61"/>
      <c r="D488" s="66"/>
      <c r="E488" s="66"/>
      <c r="F488" s="60"/>
      <c r="G488" s="67"/>
      <c r="H488" s="60"/>
      <c r="I488" s="68">
        <f t="shared" ca="1" si="98"/>
        <v>0</v>
      </c>
      <c r="J488" s="68">
        <f t="shared" ca="1" si="99"/>
        <v>0</v>
      </c>
      <c r="K488" s="68">
        <f t="shared" ca="1" si="100"/>
        <v>0</v>
      </c>
      <c r="L488" s="68">
        <f t="shared" ca="1" si="101"/>
        <v>0</v>
      </c>
      <c r="M488" s="69">
        <f t="shared" si="102"/>
        <v>0</v>
      </c>
      <c r="N488" s="65" t="str">
        <f t="shared" si="103"/>
        <v/>
      </c>
      <c r="O488" s="70" t="str">
        <f>IF(OR($C488="",$D488="",$F488=""),"",IF($F488="Aylık",EOMONTH($D488,0),($D488+MOD(SISTEM!$F$8-WEEKDAY($D488,2),7))))</f>
        <v/>
      </c>
      <c r="P488" s="61"/>
      <c r="Q488" s="2"/>
      <c r="R488" s="2"/>
      <c r="S488" s="1" t="str">
        <f>IF($B488="","",$B488&amp;"|"&amp;COUNTIFS($B$7:$B488,$B488))</f>
        <v/>
      </c>
      <c r="T488" s="1" t="str">
        <f t="shared" si="104"/>
        <v/>
      </c>
      <c r="U488" s="1">
        <f t="shared" si="105"/>
        <v>0</v>
      </c>
      <c r="V488" s="1">
        <f t="shared" si="106"/>
        <v>2958465</v>
      </c>
      <c r="W488" s="1">
        <f t="shared" si="107"/>
        <v>0</v>
      </c>
      <c r="X488" s="1">
        <f t="shared" si="108"/>
        <v>0</v>
      </c>
      <c r="Y488" s="1">
        <f t="shared" si="109"/>
        <v>97200</v>
      </c>
      <c r="Z488" s="1">
        <f t="shared" si="110"/>
        <v>1</v>
      </c>
      <c r="AA488" s="1">
        <f t="shared" si="111"/>
        <v>0</v>
      </c>
    </row>
    <row r="489" spans="1:27" ht="18" customHeight="1" x14ac:dyDescent="0.3">
      <c r="A489" s="2"/>
      <c r="B489" s="65" t="str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61"/>
      <c r="D489" s="66"/>
      <c r="E489" s="66"/>
      <c r="F489" s="60"/>
      <c r="G489" s="67"/>
      <c r="H489" s="60"/>
      <c r="I489" s="68">
        <f t="shared" ca="1" si="98"/>
        <v>0</v>
      </c>
      <c r="J489" s="68">
        <f t="shared" ca="1" si="99"/>
        <v>0</v>
      </c>
      <c r="K489" s="68">
        <f t="shared" ca="1" si="100"/>
        <v>0</v>
      </c>
      <c r="L489" s="68">
        <f t="shared" ca="1" si="101"/>
        <v>0</v>
      </c>
      <c r="M489" s="69">
        <f t="shared" si="102"/>
        <v>0</v>
      </c>
      <c r="N489" s="65" t="str">
        <f t="shared" si="103"/>
        <v/>
      </c>
      <c r="O489" s="70" t="str">
        <f>IF(OR($C489="",$D489="",$F489=""),"",IF($F489="Aylık",EOMONTH($D489,0),($D489+MOD(SISTEM!$F$8-WEEKDAY($D489,2),7))))</f>
        <v/>
      </c>
      <c r="P489" s="61"/>
      <c r="Q489" s="2"/>
      <c r="R489" s="2"/>
      <c r="S489" s="1" t="str">
        <f>IF($B489="","",$B489&amp;"|"&amp;COUNTIFS($B$7:$B489,$B489))</f>
        <v/>
      </c>
      <c r="T489" s="1" t="str">
        <f t="shared" si="104"/>
        <v/>
      </c>
      <c r="U489" s="1">
        <f t="shared" si="105"/>
        <v>0</v>
      </c>
      <c r="V489" s="1">
        <f t="shared" si="106"/>
        <v>2958465</v>
      </c>
      <c r="W489" s="1">
        <f t="shared" si="107"/>
        <v>0</v>
      </c>
      <c r="X489" s="1">
        <f t="shared" si="108"/>
        <v>0</v>
      </c>
      <c r="Y489" s="1">
        <f t="shared" si="109"/>
        <v>97200</v>
      </c>
      <c r="Z489" s="1">
        <f t="shared" si="110"/>
        <v>1</v>
      </c>
      <c r="AA489" s="1">
        <f t="shared" si="111"/>
        <v>0</v>
      </c>
    </row>
    <row r="490" spans="1:27" ht="18" customHeight="1" x14ac:dyDescent="0.3">
      <c r="A490" s="2"/>
      <c r="B490" s="65" t="str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61"/>
      <c r="D490" s="66"/>
      <c r="E490" s="66"/>
      <c r="F490" s="60"/>
      <c r="G490" s="67"/>
      <c r="H490" s="60"/>
      <c r="I490" s="68">
        <f t="shared" ca="1" si="98"/>
        <v>0</v>
      </c>
      <c r="J490" s="68">
        <f t="shared" ca="1" si="99"/>
        <v>0</v>
      </c>
      <c r="K490" s="68">
        <f t="shared" ca="1" si="100"/>
        <v>0</v>
      </c>
      <c r="L490" s="68">
        <f t="shared" ca="1" si="101"/>
        <v>0</v>
      </c>
      <c r="M490" s="69">
        <f t="shared" si="102"/>
        <v>0</v>
      </c>
      <c r="N490" s="65" t="str">
        <f t="shared" si="103"/>
        <v/>
      </c>
      <c r="O490" s="70" t="str">
        <f>IF(OR($C490="",$D490="",$F490=""),"",IF($F490="Aylık",EOMONTH($D490,0),($D490+MOD(SISTEM!$F$8-WEEKDAY($D490,2),7))))</f>
        <v/>
      </c>
      <c r="P490" s="61"/>
      <c r="Q490" s="2"/>
      <c r="R490" s="2"/>
      <c r="S490" s="1" t="str">
        <f>IF($B490="","",$B490&amp;"|"&amp;COUNTIFS($B$7:$B490,$B490))</f>
        <v/>
      </c>
      <c r="T490" s="1" t="str">
        <f t="shared" si="104"/>
        <v/>
      </c>
      <c r="U490" s="1">
        <f t="shared" si="105"/>
        <v>0</v>
      </c>
      <c r="V490" s="1">
        <f t="shared" si="106"/>
        <v>2958465</v>
      </c>
      <c r="W490" s="1">
        <f t="shared" si="107"/>
        <v>0</v>
      </c>
      <c r="X490" s="1">
        <f t="shared" si="108"/>
        <v>0</v>
      </c>
      <c r="Y490" s="1">
        <f t="shared" si="109"/>
        <v>97200</v>
      </c>
      <c r="Z490" s="1">
        <f t="shared" si="110"/>
        <v>1</v>
      </c>
      <c r="AA490" s="1">
        <f t="shared" si="111"/>
        <v>0</v>
      </c>
    </row>
    <row r="491" spans="1:27" ht="18" customHeight="1" x14ac:dyDescent="0.3">
      <c r="A491" s="2"/>
      <c r="B491" s="65" t="str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61"/>
      <c r="D491" s="66"/>
      <c r="E491" s="66"/>
      <c r="F491" s="60"/>
      <c r="G491" s="67"/>
      <c r="H491" s="60"/>
      <c r="I491" s="68">
        <f t="shared" ca="1" si="98"/>
        <v>0</v>
      </c>
      <c r="J491" s="68">
        <f t="shared" ca="1" si="99"/>
        <v>0</v>
      </c>
      <c r="K491" s="68">
        <f t="shared" ca="1" si="100"/>
        <v>0</v>
      </c>
      <c r="L491" s="68">
        <f t="shared" ca="1" si="101"/>
        <v>0</v>
      </c>
      <c r="M491" s="69">
        <f t="shared" si="102"/>
        <v>0</v>
      </c>
      <c r="N491" s="65" t="str">
        <f t="shared" si="103"/>
        <v/>
      </c>
      <c r="O491" s="70" t="str">
        <f>IF(OR($C491="",$D491="",$F491=""),"",IF($F491="Aylık",EOMONTH($D491,0),($D491+MOD(SISTEM!$F$8-WEEKDAY($D491,2),7))))</f>
        <v/>
      </c>
      <c r="P491" s="61"/>
      <c r="Q491" s="2"/>
      <c r="R491" s="2"/>
      <c r="S491" s="1" t="str">
        <f>IF($B491="","",$B491&amp;"|"&amp;COUNTIFS($B$7:$B491,$B491))</f>
        <v/>
      </c>
      <c r="T491" s="1" t="str">
        <f t="shared" si="104"/>
        <v/>
      </c>
      <c r="U491" s="1">
        <f t="shared" si="105"/>
        <v>0</v>
      </c>
      <c r="V491" s="1">
        <f t="shared" si="106"/>
        <v>2958465</v>
      </c>
      <c r="W491" s="1">
        <f t="shared" si="107"/>
        <v>0</v>
      </c>
      <c r="X491" s="1">
        <f t="shared" si="108"/>
        <v>0</v>
      </c>
      <c r="Y491" s="1">
        <f t="shared" si="109"/>
        <v>97200</v>
      </c>
      <c r="Z491" s="1">
        <f t="shared" si="110"/>
        <v>1</v>
      </c>
      <c r="AA491" s="1">
        <f t="shared" si="111"/>
        <v>0</v>
      </c>
    </row>
    <row r="492" spans="1:27" ht="18" customHeight="1" x14ac:dyDescent="0.3">
      <c r="A492" s="2"/>
      <c r="B492" s="65" t="str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61"/>
      <c r="D492" s="66"/>
      <c r="E492" s="66"/>
      <c r="F492" s="60"/>
      <c r="G492" s="67"/>
      <c r="H492" s="60"/>
      <c r="I492" s="68">
        <f t="shared" ca="1" si="98"/>
        <v>0</v>
      </c>
      <c r="J492" s="68">
        <f t="shared" ca="1" si="99"/>
        <v>0</v>
      </c>
      <c r="K492" s="68">
        <f t="shared" ca="1" si="100"/>
        <v>0</v>
      </c>
      <c r="L492" s="68">
        <f t="shared" ca="1" si="101"/>
        <v>0</v>
      </c>
      <c r="M492" s="69">
        <f t="shared" si="102"/>
        <v>0</v>
      </c>
      <c r="N492" s="65" t="str">
        <f t="shared" si="103"/>
        <v/>
      </c>
      <c r="O492" s="70" t="str">
        <f>IF(OR($C492="",$D492="",$F492=""),"",IF($F492="Aylık",EOMONTH($D492,0),($D492+MOD(SISTEM!$F$8-WEEKDAY($D492,2),7))))</f>
        <v/>
      </c>
      <c r="P492" s="61"/>
      <c r="Q492" s="2"/>
      <c r="R492" s="2"/>
      <c r="S492" s="1" t="str">
        <f>IF($B492="","",$B492&amp;"|"&amp;COUNTIFS($B$7:$B492,$B492))</f>
        <v/>
      </c>
      <c r="T492" s="1" t="str">
        <f t="shared" si="104"/>
        <v/>
      </c>
      <c r="U492" s="1">
        <f t="shared" si="105"/>
        <v>0</v>
      </c>
      <c r="V492" s="1">
        <f t="shared" si="106"/>
        <v>2958465</v>
      </c>
      <c r="W492" s="1">
        <f t="shared" si="107"/>
        <v>0</v>
      </c>
      <c r="X492" s="1">
        <f t="shared" si="108"/>
        <v>0</v>
      </c>
      <c r="Y492" s="1">
        <f t="shared" si="109"/>
        <v>97200</v>
      </c>
      <c r="Z492" s="1">
        <f t="shared" si="110"/>
        <v>1</v>
      </c>
      <c r="AA492" s="1">
        <f t="shared" si="111"/>
        <v>0</v>
      </c>
    </row>
    <row r="493" spans="1:27" ht="18" customHeight="1" x14ac:dyDescent="0.3">
      <c r="A493" s="2"/>
      <c r="B493" s="65" t="str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61"/>
      <c r="D493" s="66"/>
      <c r="E493" s="66"/>
      <c r="F493" s="60"/>
      <c r="G493" s="67"/>
      <c r="H493" s="60"/>
      <c r="I493" s="68">
        <f t="shared" ca="1" si="98"/>
        <v>0</v>
      </c>
      <c r="J493" s="68">
        <f t="shared" ca="1" si="99"/>
        <v>0</v>
      </c>
      <c r="K493" s="68">
        <f t="shared" ca="1" si="100"/>
        <v>0</v>
      </c>
      <c r="L493" s="68">
        <f t="shared" ca="1" si="101"/>
        <v>0</v>
      </c>
      <c r="M493" s="69">
        <f t="shared" si="102"/>
        <v>0</v>
      </c>
      <c r="N493" s="65" t="str">
        <f t="shared" si="103"/>
        <v/>
      </c>
      <c r="O493" s="70" t="str">
        <f>IF(OR($C493="",$D493="",$F493=""),"",IF($F493="Aylık",EOMONTH($D493,0),($D493+MOD(SISTEM!$F$8-WEEKDAY($D493,2),7))))</f>
        <v/>
      </c>
      <c r="P493" s="61"/>
      <c r="Q493" s="2"/>
      <c r="R493" s="2"/>
      <c r="S493" s="1" t="str">
        <f>IF($B493="","",$B493&amp;"|"&amp;COUNTIFS($B$7:$B493,$B493))</f>
        <v/>
      </c>
      <c r="T493" s="1" t="str">
        <f t="shared" si="104"/>
        <v/>
      </c>
      <c r="U493" s="1">
        <f t="shared" si="105"/>
        <v>0</v>
      </c>
      <c r="V493" s="1">
        <f t="shared" si="106"/>
        <v>2958465</v>
      </c>
      <c r="W493" s="1">
        <f t="shared" si="107"/>
        <v>0</v>
      </c>
      <c r="X493" s="1">
        <f t="shared" si="108"/>
        <v>0</v>
      </c>
      <c r="Y493" s="1">
        <f t="shared" si="109"/>
        <v>97200</v>
      </c>
      <c r="Z493" s="1">
        <f t="shared" si="110"/>
        <v>1</v>
      </c>
      <c r="AA493" s="1">
        <f t="shared" si="111"/>
        <v>0</v>
      </c>
    </row>
    <row r="494" spans="1:27" ht="18" customHeight="1" x14ac:dyDescent="0.3">
      <c r="A494" s="2"/>
      <c r="B494" s="65" t="str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61"/>
      <c r="D494" s="66"/>
      <c r="E494" s="66"/>
      <c r="F494" s="60"/>
      <c r="G494" s="67"/>
      <c r="H494" s="60"/>
      <c r="I494" s="68">
        <f t="shared" ca="1" si="98"/>
        <v>0</v>
      </c>
      <c r="J494" s="68">
        <f t="shared" ca="1" si="99"/>
        <v>0</v>
      </c>
      <c r="K494" s="68">
        <f t="shared" ca="1" si="100"/>
        <v>0</v>
      </c>
      <c r="L494" s="68">
        <f t="shared" ca="1" si="101"/>
        <v>0</v>
      </c>
      <c r="M494" s="69">
        <f t="shared" si="102"/>
        <v>0</v>
      </c>
      <c r="N494" s="65" t="str">
        <f t="shared" si="103"/>
        <v/>
      </c>
      <c r="O494" s="70" t="str">
        <f>IF(OR($C494="",$D494="",$F494=""),"",IF($F494="Aylık",EOMONTH($D494,0),($D494+MOD(SISTEM!$F$8-WEEKDAY($D494,2),7))))</f>
        <v/>
      </c>
      <c r="P494" s="61"/>
      <c r="Q494" s="2"/>
      <c r="R494" s="2"/>
      <c r="S494" s="1" t="str">
        <f>IF($B494="","",$B494&amp;"|"&amp;COUNTIFS($B$7:$B494,$B494))</f>
        <v/>
      </c>
      <c r="T494" s="1" t="str">
        <f t="shared" si="104"/>
        <v/>
      </c>
      <c r="U494" s="1">
        <f t="shared" si="105"/>
        <v>0</v>
      </c>
      <c r="V494" s="1">
        <f t="shared" si="106"/>
        <v>2958465</v>
      </c>
      <c r="W494" s="1">
        <f t="shared" si="107"/>
        <v>0</v>
      </c>
      <c r="X494" s="1">
        <f t="shared" si="108"/>
        <v>0</v>
      </c>
      <c r="Y494" s="1">
        <f t="shared" si="109"/>
        <v>97200</v>
      </c>
      <c r="Z494" s="1">
        <f t="shared" si="110"/>
        <v>1</v>
      </c>
      <c r="AA494" s="1">
        <f t="shared" si="111"/>
        <v>0</v>
      </c>
    </row>
    <row r="495" spans="1:27" ht="18" customHeight="1" x14ac:dyDescent="0.3">
      <c r="A495" s="2"/>
      <c r="B495" s="65" t="str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61"/>
      <c r="D495" s="66"/>
      <c r="E495" s="66"/>
      <c r="F495" s="60"/>
      <c r="G495" s="67"/>
      <c r="H495" s="60"/>
      <c r="I495" s="68">
        <f t="shared" ca="1" si="98"/>
        <v>0</v>
      </c>
      <c r="J495" s="68">
        <f t="shared" ca="1" si="99"/>
        <v>0</v>
      </c>
      <c r="K495" s="68">
        <f t="shared" ca="1" si="100"/>
        <v>0</v>
      </c>
      <c r="L495" s="68">
        <f t="shared" ca="1" si="101"/>
        <v>0</v>
      </c>
      <c r="M495" s="69">
        <f t="shared" si="102"/>
        <v>0</v>
      </c>
      <c r="N495" s="65" t="str">
        <f t="shared" si="103"/>
        <v/>
      </c>
      <c r="O495" s="70" t="str">
        <f>IF(OR($C495="",$D495="",$F495=""),"",IF($F495="Aylık",EOMONTH($D495,0),($D495+MOD(SISTEM!$F$8-WEEKDAY($D495,2),7))))</f>
        <v/>
      </c>
      <c r="P495" s="61"/>
      <c r="Q495" s="2"/>
      <c r="R495" s="2"/>
      <c r="S495" s="1" t="str">
        <f>IF($B495="","",$B495&amp;"|"&amp;COUNTIFS($B$7:$B495,$B495))</f>
        <v/>
      </c>
      <c r="T495" s="1" t="str">
        <f t="shared" si="104"/>
        <v/>
      </c>
      <c r="U495" s="1">
        <f t="shared" si="105"/>
        <v>0</v>
      </c>
      <c r="V495" s="1">
        <f t="shared" si="106"/>
        <v>2958465</v>
      </c>
      <c r="W495" s="1">
        <f t="shared" si="107"/>
        <v>0</v>
      </c>
      <c r="X495" s="1">
        <f t="shared" si="108"/>
        <v>0</v>
      </c>
      <c r="Y495" s="1">
        <f t="shared" si="109"/>
        <v>97200</v>
      </c>
      <c r="Z495" s="1">
        <f t="shared" si="110"/>
        <v>1</v>
      </c>
      <c r="AA495" s="1">
        <f t="shared" si="111"/>
        <v>0</v>
      </c>
    </row>
    <row r="496" spans="1:27" ht="18" customHeight="1" x14ac:dyDescent="0.3">
      <c r="A496" s="2"/>
      <c r="B496" s="65" t="str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61"/>
      <c r="D496" s="66"/>
      <c r="E496" s="66"/>
      <c r="F496" s="60"/>
      <c r="G496" s="67"/>
      <c r="H496" s="60"/>
      <c r="I496" s="68">
        <f t="shared" ca="1" si="98"/>
        <v>0</v>
      </c>
      <c r="J496" s="68">
        <f t="shared" ca="1" si="99"/>
        <v>0</v>
      </c>
      <c r="K496" s="68">
        <f t="shared" ca="1" si="100"/>
        <v>0</v>
      </c>
      <c r="L496" s="68">
        <f t="shared" ca="1" si="101"/>
        <v>0</v>
      </c>
      <c r="M496" s="69">
        <f t="shared" si="102"/>
        <v>0</v>
      </c>
      <c r="N496" s="65" t="str">
        <f t="shared" si="103"/>
        <v/>
      </c>
      <c r="O496" s="70" t="str">
        <f>IF(OR($C496="",$D496="",$F496=""),"",IF($F496="Aylık",EOMONTH($D496,0),($D496+MOD(SISTEM!$F$8-WEEKDAY($D496,2),7))))</f>
        <v/>
      </c>
      <c r="P496" s="61"/>
      <c r="Q496" s="2"/>
      <c r="R496" s="2"/>
      <c r="S496" s="1" t="str">
        <f>IF($B496="","",$B496&amp;"|"&amp;COUNTIFS($B$7:$B496,$B496))</f>
        <v/>
      </c>
      <c r="T496" s="1" t="str">
        <f t="shared" si="104"/>
        <v/>
      </c>
      <c r="U496" s="1">
        <f t="shared" si="105"/>
        <v>0</v>
      </c>
      <c r="V496" s="1">
        <f t="shared" si="106"/>
        <v>2958465</v>
      </c>
      <c r="W496" s="1">
        <f t="shared" si="107"/>
        <v>0</v>
      </c>
      <c r="X496" s="1">
        <f t="shared" si="108"/>
        <v>0</v>
      </c>
      <c r="Y496" s="1">
        <f t="shared" si="109"/>
        <v>97200</v>
      </c>
      <c r="Z496" s="1">
        <f t="shared" si="110"/>
        <v>1</v>
      </c>
      <c r="AA496" s="1">
        <f t="shared" si="111"/>
        <v>0</v>
      </c>
    </row>
    <row r="497" spans="1:27" ht="18" customHeight="1" x14ac:dyDescent="0.3">
      <c r="A497" s="2"/>
      <c r="B497" s="65" t="str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61"/>
      <c r="D497" s="66"/>
      <c r="E497" s="66"/>
      <c r="F497" s="60"/>
      <c r="G497" s="67"/>
      <c r="H497" s="60"/>
      <c r="I497" s="68">
        <f t="shared" ca="1" si="98"/>
        <v>0</v>
      </c>
      <c r="J497" s="68">
        <f t="shared" ca="1" si="99"/>
        <v>0</v>
      </c>
      <c r="K497" s="68">
        <f t="shared" ca="1" si="100"/>
        <v>0</v>
      </c>
      <c r="L497" s="68">
        <f t="shared" ca="1" si="101"/>
        <v>0</v>
      </c>
      <c r="M497" s="69">
        <f t="shared" si="102"/>
        <v>0</v>
      </c>
      <c r="N497" s="65" t="str">
        <f t="shared" si="103"/>
        <v/>
      </c>
      <c r="O497" s="70" t="str">
        <f>IF(OR($C497="",$D497="",$F497=""),"",IF($F497="Aylık",EOMONTH($D497,0),($D497+MOD(SISTEM!$F$8-WEEKDAY($D497,2),7))))</f>
        <v/>
      </c>
      <c r="P497" s="61"/>
      <c r="Q497" s="2"/>
      <c r="R497" s="2"/>
      <c r="S497" s="1" t="str">
        <f>IF($B497="","",$B497&amp;"|"&amp;COUNTIFS($B$7:$B497,$B497))</f>
        <v/>
      </c>
      <c r="T497" s="1" t="str">
        <f t="shared" si="104"/>
        <v/>
      </c>
      <c r="U497" s="1">
        <f t="shared" si="105"/>
        <v>0</v>
      </c>
      <c r="V497" s="1">
        <f t="shared" si="106"/>
        <v>2958465</v>
      </c>
      <c r="W497" s="1">
        <f t="shared" si="107"/>
        <v>0</v>
      </c>
      <c r="X497" s="1">
        <f t="shared" si="108"/>
        <v>0</v>
      </c>
      <c r="Y497" s="1">
        <f t="shared" si="109"/>
        <v>97200</v>
      </c>
      <c r="Z497" s="1">
        <f t="shared" si="110"/>
        <v>1</v>
      </c>
      <c r="AA497" s="1">
        <f t="shared" si="111"/>
        <v>0</v>
      </c>
    </row>
    <row r="498" spans="1:27" ht="18" customHeight="1" x14ac:dyDescent="0.3">
      <c r="A498" s="2"/>
      <c r="B498" s="65" t="str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61"/>
      <c r="D498" s="66"/>
      <c r="E498" s="66"/>
      <c r="F498" s="60"/>
      <c r="G498" s="67"/>
      <c r="H498" s="60"/>
      <c r="I498" s="68">
        <f t="shared" ca="1" si="98"/>
        <v>0</v>
      </c>
      <c r="J498" s="68">
        <f t="shared" ca="1" si="99"/>
        <v>0</v>
      </c>
      <c r="K498" s="68">
        <f t="shared" ca="1" si="100"/>
        <v>0</v>
      </c>
      <c r="L498" s="68">
        <f t="shared" ca="1" si="101"/>
        <v>0</v>
      </c>
      <c r="M498" s="69">
        <f t="shared" si="102"/>
        <v>0</v>
      </c>
      <c r="N498" s="65" t="str">
        <f t="shared" si="103"/>
        <v/>
      </c>
      <c r="O498" s="70" t="str">
        <f>IF(OR($C498="",$D498="",$F498=""),"",IF($F498="Aylık",EOMONTH($D498,0),($D498+MOD(SISTEM!$F$8-WEEKDAY($D498,2),7))))</f>
        <v/>
      </c>
      <c r="P498" s="61"/>
      <c r="Q498" s="2"/>
      <c r="R498" s="2"/>
      <c r="S498" s="1" t="str">
        <f>IF($B498="","",$B498&amp;"|"&amp;COUNTIFS($B$7:$B498,$B498))</f>
        <v/>
      </c>
      <c r="T498" s="1" t="str">
        <f t="shared" si="104"/>
        <v/>
      </c>
      <c r="U498" s="1">
        <f t="shared" si="105"/>
        <v>0</v>
      </c>
      <c r="V498" s="1">
        <f t="shared" si="106"/>
        <v>2958465</v>
      </c>
      <c r="W498" s="1">
        <f t="shared" si="107"/>
        <v>0</v>
      </c>
      <c r="X498" s="1">
        <f t="shared" si="108"/>
        <v>0</v>
      </c>
      <c r="Y498" s="1">
        <f t="shared" si="109"/>
        <v>97200</v>
      </c>
      <c r="Z498" s="1">
        <f t="shared" si="110"/>
        <v>1</v>
      </c>
      <c r="AA498" s="1">
        <f t="shared" si="111"/>
        <v>0</v>
      </c>
    </row>
    <row r="499" spans="1:27" ht="18" customHeight="1" x14ac:dyDescent="0.3">
      <c r="A499" s="2"/>
      <c r="B499" s="65" t="str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61"/>
      <c r="D499" s="66"/>
      <c r="E499" s="66"/>
      <c r="F499" s="60"/>
      <c r="G499" s="67"/>
      <c r="H499" s="60"/>
      <c r="I499" s="68">
        <f t="shared" ca="1" si="98"/>
        <v>0</v>
      </c>
      <c r="J499" s="68">
        <f t="shared" ca="1" si="99"/>
        <v>0</v>
      </c>
      <c r="K499" s="68">
        <f t="shared" ca="1" si="100"/>
        <v>0</v>
      </c>
      <c r="L499" s="68">
        <f t="shared" ca="1" si="101"/>
        <v>0</v>
      </c>
      <c r="M499" s="69">
        <f t="shared" si="102"/>
        <v>0</v>
      </c>
      <c r="N499" s="65" t="str">
        <f t="shared" si="103"/>
        <v/>
      </c>
      <c r="O499" s="70" t="str">
        <f>IF(OR($C499="",$D499="",$F499=""),"",IF($F499="Aylık",EOMONTH($D499,0),($D499+MOD(SISTEM!$F$8-WEEKDAY($D499,2),7))))</f>
        <v/>
      </c>
      <c r="P499" s="61"/>
      <c r="Q499" s="2"/>
      <c r="R499" s="2"/>
      <c r="S499" s="1" t="str">
        <f>IF($B499="","",$B499&amp;"|"&amp;COUNTIFS($B$7:$B499,$B499))</f>
        <v/>
      </c>
      <c r="T499" s="1" t="str">
        <f t="shared" si="104"/>
        <v/>
      </c>
      <c r="U499" s="1">
        <f t="shared" si="105"/>
        <v>0</v>
      </c>
      <c r="V499" s="1">
        <f t="shared" si="106"/>
        <v>2958465</v>
      </c>
      <c r="W499" s="1">
        <f t="shared" si="107"/>
        <v>0</v>
      </c>
      <c r="X499" s="1">
        <f t="shared" si="108"/>
        <v>0</v>
      </c>
      <c r="Y499" s="1">
        <f t="shared" si="109"/>
        <v>97200</v>
      </c>
      <c r="Z499" s="1">
        <f t="shared" si="110"/>
        <v>1</v>
      </c>
      <c r="AA499" s="1">
        <f t="shared" si="111"/>
        <v>0</v>
      </c>
    </row>
    <row r="500" spans="1:27" ht="18" customHeight="1" x14ac:dyDescent="0.3">
      <c r="A500" s="2"/>
      <c r="B500" s="65" t="str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61"/>
      <c r="D500" s="66"/>
      <c r="E500" s="66"/>
      <c r="F500" s="60"/>
      <c r="G500" s="67"/>
      <c r="H500" s="60"/>
      <c r="I500" s="68">
        <f t="shared" ca="1" si="98"/>
        <v>0</v>
      </c>
      <c r="J500" s="68">
        <f t="shared" ca="1" si="99"/>
        <v>0</v>
      </c>
      <c r="K500" s="68">
        <f t="shared" ca="1" si="100"/>
        <v>0</v>
      </c>
      <c r="L500" s="68">
        <f t="shared" ca="1" si="101"/>
        <v>0</v>
      </c>
      <c r="M500" s="69">
        <f t="shared" si="102"/>
        <v>0</v>
      </c>
      <c r="N500" s="65" t="str">
        <f t="shared" si="103"/>
        <v/>
      </c>
      <c r="O500" s="70" t="str">
        <f>IF(OR($C500="",$D500="",$F500=""),"",IF($F500="Aylık",EOMONTH($D500,0),($D500+MOD(SISTEM!$F$8-WEEKDAY($D500,2),7))))</f>
        <v/>
      </c>
      <c r="P500" s="61"/>
      <c r="Q500" s="2"/>
      <c r="R500" s="2"/>
      <c r="S500" s="1" t="str">
        <f>IF($B500="","",$B500&amp;"|"&amp;COUNTIFS($B$7:$B500,$B500))</f>
        <v/>
      </c>
      <c r="T500" s="1" t="str">
        <f t="shared" si="104"/>
        <v/>
      </c>
      <c r="U500" s="1">
        <f t="shared" si="105"/>
        <v>0</v>
      </c>
      <c r="V500" s="1">
        <f t="shared" si="106"/>
        <v>2958465</v>
      </c>
      <c r="W500" s="1">
        <f t="shared" si="107"/>
        <v>0</v>
      </c>
      <c r="X500" s="1">
        <f t="shared" si="108"/>
        <v>0</v>
      </c>
      <c r="Y500" s="1">
        <f t="shared" si="109"/>
        <v>97200</v>
      </c>
      <c r="Z500" s="1">
        <f t="shared" si="110"/>
        <v>1</v>
      </c>
      <c r="AA500" s="1">
        <f t="shared" si="111"/>
        <v>0</v>
      </c>
    </row>
    <row r="501" spans="1:27" ht="18" customHeight="1" x14ac:dyDescent="0.3">
      <c r="A501" s="2"/>
      <c r="B501" s="65" t="str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61"/>
      <c r="D501" s="66"/>
      <c r="E501" s="66"/>
      <c r="F501" s="60"/>
      <c r="G501" s="67"/>
      <c r="H501" s="60"/>
      <c r="I501" s="68">
        <f t="shared" ca="1" si="98"/>
        <v>0</v>
      </c>
      <c r="J501" s="68">
        <f t="shared" ca="1" si="99"/>
        <v>0</v>
      </c>
      <c r="K501" s="68">
        <f t="shared" ca="1" si="100"/>
        <v>0</v>
      </c>
      <c r="L501" s="68">
        <f t="shared" ca="1" si="101"/>
        <v>0</v>
      </c>
      <c r="M501" s="69">
        <f t="shared" si="102"/>
        <v>0</v>
      </c>
      <c r="N501" s="65" t="str">
        <f t="shared" si="103"/>
        <v/>
      </c>
      <c r="O501" s="70" t="str">
        <f>IF(OR($C501="",$D501="",$F501=""),"",IF($F501="Aylık",EOMONTH($D501,0),($D501+MOD(SISTEM!$F$8-WEEKDAY($D501,2),7))))</f>
        <v/>
      </c>
      <c r="P501" s="61"/>
      <c r="Q501" s="2"/>
      <c r="R501" s="2"/>
      <c r="S501" s="1" t="str">
        <f>IF($B501="","",$B501&amp;"|"&amp;COUNTIFS($B$7:$B501,$B501))</f>
        <v/>
      </c>
      <c r="T501" s="1" t="str">
        <f t="shared" si="104"/>
        <v/>
      </c>
      <c r="U501" s="1">
        <f t="shared" si="105"/>
        <v>0</v>
      </c>
      <c r="V501" s="1">
        <f t="shared" si="106"/>
        <v>2958465</v>
      </c>
      <c r="W501" s="1">
        <f t="shared" si="107"/>
        <v>0</v>
      </c>
      <c r="X501" s="1">
        <f t="shared" si="108"/>
        <v>0</v>
      </c>
      <c r="Y501" s="1">
        <f t="shared" si="109"/>
        <v>97200</v>
      </c>
      <c r="Z501" s="1">
        <f t="shared" si="110"/>
        <v>1</v>
      </c>
      <c r="AA501" s="1">
        <f t="shared" si="111"/>
        <v>0</v>
      </c>
    </row>
    <row r="502" spans="1:27" ht="18" customHeight="1" x14ac:dyDescent="0.3">
      <c r="A502" s="2"/>
      <c r="B502" s="65" t="str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61"/>
      <c r="D502" s="66"/>
      <c r="E502" s="66"/>
      <c r="F502" s="60"/>
      <c r="G502" s="67"/>
      <c r="H502" s="60"/>
      <c r="I502" s="68">
        <f t="shared" ca="1" si="98"/>
        <v>0</v>
      </c>
      <c r="J502" s="68">
        <f t="shared" ca="1" si="99"/>
        <v>0</v>
      </c>
      <c r="K502" s="68">
        <f t="shared" ca="1" si="100"/>
        <v>0</v>
      </c>
      <c r="L502" s="68">
        <f t="shared" ca="1" si="101"/>
        <v>0</v>
      </c>
      <c r="M502" s="69">
        <f t="shared" si="102"/>
        <v>0</v>
      </c>
      <c r="N502" s="65" t="str">
        <f t="shared" si="103"/>
        <v/>
      </c>
      <c r="O502" s="70" t="str">
        <f>IF(OR($C502="",$D502="",$F502=""),"",IF($F502="Aylık",EOMONTH($D502,0),($D502+MOD(SISTEM!$F$8-WEEKDAY($D502,2),7))))</f>
        <v/>
      </c>
      <c r="P502" s="61"/>
      <c r="Q502" s="2"/>
      <c r="R502" s="2"/>
      <c r="S502" s="1" t="str">
        <f>IF($B502="","",$B502&amp;"|"&amp;COUNTIFS($B$7:$B502,$B502))</f>
        <v/>
      </c>
      <c r="T502" s="1" t="str">
        <f t="shared" si="104"/>
        <v/>
      </c>
      <c r="U502" s="1">
        <f t="shared" si="105"/>
        <v>0</v>
      </c>
      <c r="V502" s="1">
        <f t="shared" si="106"/>
        <v>2958465</v>
      </c>
      <c r="W502" s="1">
        <f t="shared" si="107"/>
        <v>0</v>
      </c>
      <c r="X502" s="1">
        <f t="shared" si="108"/>
        <v>0</v>
      </c>
      <c r="Y502" s="1">
        <f t="shared" si="109"/>
        <v>97200</v>
      </c>
      <c r="Z502" s="1">
        <f t="shared" si="110"/>
        <v>1</v>
      </c>
      <c r="AA502" s="1">
        <f t="shared" si="111"/>
        <v>0</v>
      </c>
    </row>
    <row r="503" spans="1:27" ht="18" customHeight="1" x14ac:dyDescent="0.3">
      <c r="A503" s="2"/>
      <c r="B503" s="65" t="str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61"/>
      <c r="D503" s="66"/>
      <c r="E503" s="66"/>
      <c r="F503" s="60"/>
      <c r="G503" s="67"/>
      <c r="H503" s="60"/>
      <c r="I503" s="68">
        <f t="shared" ca="1" si="98"/>
        <v>0</v>
      </c>
      <c r="J503" s="68">
        <f t="shared" ca="1" si="99"/>
        <v>0</v>
      </c>
      <c r="K503" s="68">
        <f t="shared" ca="1" si="100"/>
        <v>0</v>
      </c>
      <c r="L503" s="68">
        <f t="shared" ca="1" si="101"/>
        <v>0</v>
      </c>
      <c r="M503" s="69">
        <f t="shared" si="102"/>
        <v>0</v>
      </c>
      <c r="N503" s="65" t="str">
        <f t="shared" si="103"/>
        <v/>
      </c>
      <c r="O503" s="70" t="str">
        <f>IF(OR($C503="",$D503="",$F503=""),"",IF($F503="Aylık",EOMONTH($D503,0),($D503+MOD(SISTEM!$F$8-WEEKDAY($D503,2),7))))</f>
        <v/>
      </c>
      <c r="P503" s="61"/>
      <c r="Q503" s="2"/>
      <c r="R503" s="2"/>
      <c r="S503" s="1" t="str">
        <f>IF($B503="","",$B503&amp;"|"&amp;COUNTIFS($B$7:$B503,$B503))</f>
        <v/>
      </c>
      <c r="T503" s="1" t="str">
        <f t="shared" si="104"/>
        <v/>
      </c>
      <c r="U503" s="1">
        <f t="shared" si="105"/>
        <v>0</v>
      </c>
      <c r="V503" s="1">
        <f t="shared" si="106"/>
        <v>2958465</v>
      </c>
      <c r="W503" s="1">
        <f t="shared" si="107"/>
        <v>0</v>
      </c>
      <c r="X503" s="1">
        <f t="shared" si="108"/>
        <v>0</v>
      </c>
      <c r="Y503" s="1">
        <f t="shared" si="109"/>
        <v>97200</v>
      </c>
      <c r="Z503" s="1">
        <f t="shared" si="110"/>
        <v>1</v>
      </c>
      <c r="AA503" s="1">
        <f t="shared" si="111"/>
        <v>0</v>
      </c>
    </row>
    <row r="504" spans="1:27" ht="18" customHeight="1" x14ac:dyDescent="0.3">
      <c r="A504" s="2"/>
      <c r="B504" s="65" t="str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61"/>
      <c r="D504" s="66"/>
      <c r="E504" s="66"/>
      <c r="F504" s="60"/>
      <c r="G504" s="67"/>
      <c r="H504" s="60"/>
      <c r="I504" s="68">
        <f t="shared" ca="1" si="98"/>
        <v>0</v>
      </c>
      <c r="J504" s="68">
        <f t="shared" ca="1" si="99"/>
        <v>0</v>
      </c>
      <c r="K504" s="68">
        <f t="shared" ca="1" si="100"/>
        <v>0</v>
      </c>
      <c r="L504" s="68">
        <f t="shared" ca="1" si="101"/>
        <v>0</v>
      </c>
      <c r="M504" s="69">
        <f t="shared" si="102"/>
        <v>0</v>
      </c>
      <c r="N504" s="65" t="str">
        <f t="shared" si="103"/>
        <v/>
      </c>
      <c r="O504" s="70" t="str">
        <f>IF(OR($C504="",$D504="",$F504=""),"",IF($F504="Aylık",EOMONTH($D504,0),($D504+MOD(SISTEM!$F$8-WEEKDAY($D504,2),7))))</f>
        <v/>
      </c>
      <c r="P504" s="61"/>
      <c r="Q504" s="2"/>
      <c r="R504" s="2"/>
      <c r="S504" s="1" t="str">
        <f>IF($B504="","",$B504&amp;"|"&amp;COUNTIFS($B$7:$B504,$B504))</f>
        <v/>
      </c>
      <c r="T504" s="1" t="str">
        <f t="shared" si="104"/>
        <v/>
      </c>
      <c r="U504" s="1">
        <f t="shared" si="105"/>
        <v>0</v>
      </c>
      <c r="V504" s="1">
        <f t="shared" si="106"/>
        <v>2958465</v>
      </c>
      <c r="W504" s="1">
        <f t="shared" si="107"/>
        <v>0</v>
      </c>
      <c r="X504" s="1">
        <f t="shared" si="108"/>
        <v>0</v>
      </c>
      <c r="Y504" s="1">
        <f t="shared" si="109"/>
        <v>97200</v>
      </c>
      <c r="Z504" s="1">
        <f t="shared" si="110"/>
        <v>1</v>
      </c>
      <c r="AA504" s="1">
        <f t="shared" si="111"/>
        <v>0</v>
      </c>
    </row>
    <row r="505" spans="1:27" ht="18" customHeight="1" x14ac:dyDescent="0.3">
      <c r="A505" s="2"/>
      <c r="B505" s="65" t="str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61"/>
      <c r="D505" s="66"/>
      <c r="E505" s="66"/>
      <c r="F505" s="60"/>
      <c r="G505" s="67"/>
      <c r="H505" s="60"/>
      <c r="I505" s="68">
        <f t="shared" ca="1" si="98"/>
        <v>0</v>
      </c>
      <c r="J505" s="68">
        <f t="shared" ca="1" si="99"/>
        <v>0</v>
      </c>
      <c r="K505" s="68">
        <f t="shared" ca="1" si="100"/>
        <v>0</v>
      </c>
      <c r="L505" s="68">
        <f t="shared" ca="1" si="101"/>
        <v>0</v>
      </c>
      <c r="M505" s="69">
        <f t="shared" si="102"/>
        <v>0</v>
      </c>
      <c r="N505" s="65" t="str">
        <f t="shared" si="103"/>
        <v/>
      </c>
      <c r="O505" s="70" t="str">
        <f>IF(OR($C505="",$D505="",$F505=""),"",IF($F505="Aylık",EOMONTH($D505,0),($D505+MOD(SISTEM!$F$8-WEEKDAY($D505,2),7))))</f>
        <v/>
      </c>
      <c r="P505" s="61"/>
      <c r="Q505" s="2"/>
      <c r="R505" s="2"/>
      <c r="S505" s="1" t="str">
        <f>IF($B505="","",$B505&amp;"|"&amp;COUNTIFS($B$7:$B505,$B505))</f>
        <v/>
      </c>
      <c r="T505" s="1" t="str">
        <f t="shared" si="104"/>
        <v/>
      </c>
      <c r="U505" s="1">
        <f t="shared" si="105"/>
        <v>0</v>
      </c>
      <c r="V505" s="1">
        <f t="shared" si="106"/>
        <v>2958465</v>
      </c>
      <c r="W505" s="1">
        <f t="shared" si="107"/>
        <v>0</v>
      </c>
      <c r="X505" s="1">
        <f t="shared" si="108"/>
        <v>0</v>
      </c>
      <c r="Y505" s="1">
        <f t="shared" si="109"/>
        <v>97200</v>
      </c>
      <c r="Z505" s="1">
        <f t="shared" si="110"/>
        <v>1</v>
      </c>
      <c r="AA505" s="1">
        <f t="shared" si="111"/>
        <v>0</v>
      </c>
    </row>
    <row r="506" spans="1:27" ht="18" customHeight="1" x14ac:dyDescent="0.3">
      <c r="A506" s="2"/>
      <c r="B506" s="65" t="str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61"/>
      <c r="D506" s="66"/>
      <c r="E506" s="66"/>
      <c r="F506" s="60"/>
      <c r="G506" s="67"/>
      <c r="H506" s="60"/>
      <c r="I506" s="68">
        <f t="shared" ca="1" si="98"/>
        <v>0</v>
      </c>
      <c r="J506" s="68">
        <f t="shared" ca="1" si="99"/>
        <v>0</v>
      </c>
      <c r="K506" s="68">
        <f t="shared" ca="1" si="100"/>
        <v>0</v>
      </c>
      <c r="L506" s="68">
        <f t="shared" ca="1" si="101"/>
        <v>0</v>
      </c>
      <c r="M506" s="69">
        <f t="shared" si="102"/>
        <v>0</v>
      </c>
      <c r="N506" s="65" t="str">
        <f t="shared" si="103"/>
        <v/>
      </c>
      <c r="O506" s="70" t="str">
        <f>IF(OR($C506="",$D506="",$F506=""),"",IF($F506="Aylık",EOMONTH($D506,0),($D506+MOD(SISTEM!$F$8-WEEKDAY($D506,2),7))))</f>
        <v/>
      </c>
      <c r="P506" s="61"/>
      <c r="Q506" s="2"/>
      <c r="R506" s="2"/>
      <c r="S506" s="1" t="str">
        <f>IF($B506="","",$B506&amp;"|"&amp;COUNTIFS($B$7:$B506,$B506))</f>
        <v/>
      </c>
      <c r="T506" s="1" t="str">
        <f t="shared" si="104"/>
        <v/>
      </c>
      <c r="U506" s="1">
        <f t="shared" si="105"/>
        <v>0</v>
      </c>
      <c r="V506" s="1">
        <f t="shared" si="106"/>
        <v>2958465</v>
      </c>
      <c r="W506" s="1">
        <f t="shared" si="107"/>
        <v>0</v>
      </c>
      <c r="X506" s="1">
        <f t="shared" si="108"/>
        <v>0</v>
      </c>
      <c r="Y506" s="1">
        <f t="shared" si="109"/>
        <v>97200</v>
      </c>
      <c r="Z506" s="1">
        <f t="shared" si="110"/>
        <v>1</v>
      </c>
      <c r="AA506" s="1">
        <f t="shared" si="111"/>
        <v>0</v>
      </c>
    </row>
    <row r="507" spans="1:27" ht="18" customHeight="1" x14ac:dyDescent="0.3">
      <c r="A507" s="2"/>
      <c r="B507" s="65" t="str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61"/>
      <c r="D507" s="66"/>
      <c r="E507" s="66"/>
      <c r="F507" s="60"/>
      <c r="G507" s="67"/>
      <c r="H507" s="60"/>
      <c r="I507" s="68">
        <f t="shared" ca="1" si="98"/>
        <v>0</v>
      </c>
      <c r="J507" s="68">
        <f t="shared" ca="1" si="99"/>
        <v>0</v>
      </c>
      <c r="K507" s="68">
        <f t="shared" ca="1" si="100"/>
        <v>0</v>
      </c>
      <c r="L507" s="68">
        <f t="shared" ca="1" si="101"/>
        <v>0</v>
      </c>
      <c r="M507" s="69">
        <f t="shared" si="102"/>
        <v>0</v>
      </c>
      <c r="N507" s="65" t="str">
        <f t="shared" si="103"/>
        <v/>
      </c>
      <c r="O507" s="70" t="str">
        <f>IF(OR($C507="",$D507="",$F507=""),"",IF($F507="Aylık",EOMONTH($D507,0),($D507+MOD(SISTEM!$F$8-WEEKDAY($D507,2),7))))</f>
        <v/>
      </c>
      <c r="P507" s="61"/>
      <c r="Q507" s="2"/>
      <c r="R507" s="2"/>
      <c r="S507" s="1" t="str">
        <f>IF($B507="","",$B507&amp;"|"&amp;COUNTIFS($B$7:$B507,$B507))</f>
        <v/>
      </c>
      <c r="T507" s="1" t="str">
        <f t="shared" si="104"/>
        <v/>
      </c>
      <c r="U507" s="1">
        <f t="shared" si="105"/>
        <v>0</v>
      </c>
      <c r="V507" s="1">
        <f t="shared" si="106"/>
        <v>2958465</v>
      </c>
      <c r="W507" s="1">
        <f t="shared" si="107"/>
        <v>0</v>
      </c>
      <c r="X507" s="1">
        <f t="shared" si="108"/>
        <v>0</v>
      </c>
      <c r="Y507" s="1">
        <f t="shared" si="109"/>
        <v>97200</v>
      </c>
      <c r="Z507" s="1">
        <f t="shared" si="110"/>
        <v>1</v>
      </c>
      <c r="AA507" s="1">
        <f t="shared" si="111"/>
        <v>0</v>
      </c>
    </row>
    <row r="508" spans="1:27" ht="18" customHeight="1" x14ac:dyDescent="0.3">
      <c r="A508" s="2"/>
      <c r="B508" s="65" t="str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61"/>
      <c r="D508" s="66"/>
      <c r="E508" s="66"/>
      <c r="F508" s="60"/>
      <c r="G508" s="67"/>
      <c r="H508" s="60"/>
      <c r="I508" s="68">
        <f t="shared" ca="1" si="98"/>
        <v>0</v>
      </c>
      <c r="J508" s="68">
        <f t="shared" ca="1" si="99"/>
        <v>0</v>
      </c>
      <c r="K508" s="68">
        <f t="shared" ca="1" si="100"/>
        <v>0</v>
      </c>
      <c r="L508" s="68">
        <f t="shared" ca="1" si="101"/>
        <v>0</v>
      </c>
      <c r="M508" s="69">
        <f t="shared" si="102"/>
        <v>0</v>
      </c>
      <c r="N508" s="65" t="str">
        <f t="shared" si="103"/>
        <v/>
      </c>
      <c r="O508" s="70" t="str">
        <f>IF(OR($C508="",$D508="",$F508=""),"",IF($F508="Aylık",EOMONTH($D508,0),($D508+MOD(SISTEM!$F$8-WEEKDAY($D508,2),7))))</f>
        <v/>
      </c>
      <c r="P508" s="61"/>
      <c r="Q508" s="2"/>
      <c r="R508" s="2"/>
      <c r="S508" s="1" t="str">
        <f>IF($B508="","",$B508&amp;"|"&amp;COUNTIFS($B$7:$B508,$B508))</f>
        <v/>
      </c>
      <c r="T508" s="1" t="str">
        <f t="shared" si="104"/>
        <v/>
      </c>
      <c r="U508" s="1">
        <f t="shared" si="105"/>
        <v>0</v>
      </c>
      <c r="V508" s="1">
        <f t="shared" si="106"/>
        <v>2958465</v>
      </c>
      <c r="W508" s="1">
        <f t="shared" si="107"/>
        <v>0</v>
      </c>
      <c r="X508" s="1">
        <f t="shared" si="108"/>
        <v>0</v>
      </c>
      <c r="Y508" s="1">
        <f t="shared" si="109"/>
        <v>97200</v>
      </c>
      <c r="Z508" s="1">
        <f t="shared" si="110"/>
        <v>1</v>
      </c>
      <c r="AA508" s="1">
        <f t="shared" si="111"/>
        <v>0</v>
      </c>
    </row>
    <row r="509" spans="1:27" ht="18" customHeight="1" x14ac:dyDescent="0.3">
      <c r="A509" s="2"/>
      <c r="B509" s="65" t="str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61"/>
      <c r="D509" s="66"/>
      <c r="E509" s="66"/>
      <c r="F509" s="60"/>
      <c r="G509" s="67"/>
      <c r="H509" s="60"/>
      <c r="I509" s="68">
        <f t="shared" ca="1" si="98"/>
        <v>0</v>
      </c>
      <c r="J509" s="68">
        <f t="shared" ca="1" si="99"/>
        <v>0</v>
      </c>
      <c r="K509" s="68">
        <f t="shared" ca="1" si="100"/>
        <v>0</v>
      </c>
      <c r="L509" s="68">
        <f t="shared" ca="1" si="101"/>
        <v>0</v>
      </c>
      <c r="M509" s="69">
        <f t="shared" si="102"/>
        <v>0</v>
      </c>
      <c r="N509" s="65" t="str">
        <f t="shared" si="103"/>
        <v/>
      </c>
      <c r="O509" s="70" t="str">
        <f>IF(OR($C509="",$D509="",$F509=""),"",IF($F509="Aylık",EOMONTH($D509,0),($D509+MOD(SISTEM!$F$8-WEEKDAY($D509,2),7))))</f>
        <v/>
      </c>
      <c r="P509" s="61"/>
      <c r="Q509" s="2"/>
      <c r="R509" s="2"/>
      <c r="S509" s="1" t="str">
        <f>IF($B509="","",$B509&amp;"|"&amp;COUNTIFS($B$7:$B509,$B509))</f>
        <v/>
      </c>
      <c r="T509" s="1" t="str">
        <f t="shared" si="104"/>
        <v/>
      </c>
      <c r="U509" s="1">
        <f t="shared" si="105"/>
        <v>0</v>
      </c>
      <c r="V509" s="1">
        <f t="shared" si="106"/>
        <v>2958465</v>
      </c>
      <c r="W509" s="1">
        <f t="shared" si="107"/>
        <v>0</v>
      </c>
      <c r="X509" s="1">
        <f t="shared" si="108"/>
        <v>0</v>
      </c>
      <c r="Y509" s="1">
        <f t="shared" si="109"/>
        <v>97200</v>
      </c>
      <c r="Z509" s="1">
        <f t="shared" si="110"/>
        <v>1</v>
      </c>
      <c r="AA509" s="1">
        <f t="shared" si="111"/>
        <v>0</v>
      </c>
    </row>
    <row r="510" spans="1:27" ht="18" customHeight="1" x14ac:dyDescent="0.3">
      <c r="A510" s="2"/>
      <c r="B510" s="65" t="str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61"/>
      <c r="D510" s="66"/>
      <c r="E510" s="66"/>
      <c r="F510" s="60"/>
      <c r="G510" s="67"/>
      <c r="H510" s="60"/>
      <c r="I510" s="68">
        <f t="shared" ca="1" si="98"/>
        <v>0</v>
      </c>
      <c r="J510" s="68">
        <f t="shared" ca="1" si="99"/>
        <v>0</v>
      </c>
      <c r="K510" s="68">
        <f t="shared" ca="1" si="100"/>
        <v>0</v>
      </c>
      <c r="L510" s="68">
        <f t="shared" ca="1" si="101"/>
        <v>0</v>
      </c>
      <c r="M510" s="69">
        <f t="shared" si="102"/>
        <v>0</v>
      </c>
      <c r="N510" s="65" t="str">
        <f t="shared" si="103"/>
        <v/>
      </c>
      <c r="O510" s="70" t="str">
        <f>IF(OR($C510="",$D510="",$F510=""),"",IF($F510="Aylık",EOMONTH($D510,0),($D510+MOD(SISTEM!$F$8-WEEKDAY($D510,2),7))))</f>
        <v/>
      </c>
      <c r="P510" s="61"/>
      <c r="Q510" s="2"/>
      <c r="R510" s="2"/>
      <c r="S510" s="1" t="str">
        <f>IF($B510="","",$B510&amp;"|"&amp;COUNTIFS($B$7:$B510,$B510))</f>
        <v/>
      </c>
      <c r="T510" s="1" t="str">
        <f t="shared" si="104"/>
        <v/>
      </c>
      <c r="U510" s="1">
        <f t="shared" si="105"/>
        <v>0</v>
      </c>
      <c r="V510" s="1">
        <f t="shared" si="106"/>
        <v>2958465</v>
      </c>
      <c r="W510" s="1">
        <f t="shared" si="107"/>
        <v>0</v>
      </c>
      <c r="X510" s="1">
        <f t="shared" si="108"/>
        <v>0</v>
      </c>
      <c r="Y510" s="1">
        <f t="shared" si="109"/>
        <v>97200</v>
      </c>
      <c r="Z510" s="1">
        <f t="shared" si="110"/>
        <v>1</v>
      </c>
      <c r="AA510" s="1">
        <f t="shared" si="111"/>
        <v>0</v>
      </c>
    </row>
    <row r="511" spans="1:27" ht="18" customHeight="1" x14ac:dyDescent="0.3">
      <c r="A511" s="2"/>
      <c r="B511" s="65" t="str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61"/>
      <c r="D511" s="66"/>
      <c r="E511" s="66"/>
      <c r="F511" s="60"/>
      <c r="G511" s="67"/>
      <c r="H511" s="60"/>
      <c r="I511" s="68">
        <f t="shared" ca="1" si="98"/>
        <v>0</v>
      </c>
      <c r="J511" s="68">
        <f t="shared" ca="1" si="99"/>
        <v>0</v>
      </c>
      <c r="K511" s="68">
        <f t="shared" ca="1" si="100"/>
        <v>0</v>
      </c>
      <c r="L511" s="68">
        <f t="shared" ca="1" si="101"/>
        <v>0</v>
      </c>
      <c r="M511" s="69">
        <f t="shared" si="102"/>
        <v>0</v>
      </c>
      <c r="N511" s="65" t="str">
        <f t="shared" si="103"/>
        <v/>
      </c>
      <c r="O511" s="70" t="str">
        <f>IF(OR($C511="",$D511="",$F511=""),"",IF($F511="Aylık",EOMONTH($D511,0),($D511+MOD(SISTEM!$F$8-WEEKDAY($D511,2),7))))</f>
        <v/>
      </c>
      <c r="P511" s="61"/>
      <c r="Q511" s="2"/>
      <c r="R511" s="2"/>
      <c r="S511" s="1" t="str">
        <f>IF($B511="","",$B511&amp;"|"&amp;COUNTIFS($B$7:$B511,$B511))</f>
        <v/>
      </c>
      <c r="T511" s="1" t="str">
        <f t="shared" si="104"/>
        <v/>
      </c>
      <c r="U511" s="1">
        <f t="shared" si="105"/>
        <v>0</v>
      </c>
      <c r="V511" s="1">
        <f t="shared" si="106"/>
        <v>2958465</v>
      </c>
      <c r="W511" s="1">
        <f t="shared" si="107"/>
        <v>0</v>
      </c>
      <c r="X511" s="1">
        <f t="shared" si="108"/>
        <v>0</v>
      </c>
      <c r="Y511" s="1">
        <f t="shared" si="109"/>
        <v>97200</v>
      </c>
      <c r="Z511" s="1">
        <f t="shared" si="110"/>
        <v>1</v>
      </c>
      <c r="AA511" s="1">
        <f t="shared" si="111"/>
        <v>0</v>
      </c>
    </row>
    <row r="512" spans="1:27" ht="18" customHeight="1" x14ac:dyDescent="0.3">
      <c r="A512" s="2"/>
      <c r="B512" s="65" t="str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61"/>
      <c r="D512" s="66"/>
      <c r="E512" s="66"/>
      <c r="F512" s="60"/>
      <c r="G512" s="67"/>
      <c r="H512" s="60"/>
      <c r="I512" s="68">
        <f t="shared" ca="1" si="98"/>
        <v>0</v>
      </c>
      <c r="J512" s="68">
        <f t="shared" ca="1" si="99"/>
        <v>0</v>
      </c>
      <c r="K512" s="68">
        <f t="shared" ca="1" si="100"/>
        <v>0</v>
      </c>
      <c r="L512" s="68">
        <f t="shared" ca="1" si="101"/>
        <v>0</v>
      </c>
      <c r="M512" s="69">
        <f t="shared" si="102"/>
        <v>0</v>
      </c>
      <c r="N512" s="65" t="str">
        <f t="shared" si="103"/>
        <v/>
      </c>
      <c r="O512" s="70" t="str">
        <f>IF(OR($C512="",$D512="",$F512=""),"",IF($F512="Aylık",EOMONTH($D512,0),($D512+MOD(SISTEM!$F$8-WEEKDAY($D512,2),7))))</f>
        <v/>
      </c>
      <c r="P512" s="61"/>
      <c r="Q512" s="2"/>
      <c r="R512" s="2"/>
      <c r="S512" s="1" t="str">
        <f>IF($B512="","",$B512&amp;"|"&amp;COUNTIFS($B$7:$B512,$B512))</f>
        <v/>
      </c>
      <c r="T512" s="1" t="str">
        <f t="shared" si="104"/>
        <v/>
      </c>
      <c r="U512" s="1">
        <f t="shared" si="105"/>
        <v>0</v>
      </c>
      <c r="V512" s="1">
        <f t="shared" si="106"/>
        <v>2958465</v>
      </c>
      <c r="W512" s="1">
        <f t="shared" si="107"/>
        <v>0</v>
      </c>
      <c r="X512" s="1">
        <f t="shared" si="108"/>
        <v>0</v>
      </c>
      <c r="Y512" s="1">
        <f t="shared" si="109"/>
        <v>97200</v>
      </c>
      <c r="Z512" s="1">
        <f t="shared" si="110"/>
        <v>1</v>
      </c>
      <c r="AA512" s="1">
        <f t="shared" si="111"/>
        <v>0</v>
      </c>
    </row>
    <row r="513" spans="1:27" ht="18" customHeight="1" x14ac:dyDescent="0.3">
      <c r="A513" s="2"/>
      <c r="B513" s="65" t="str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61"/>
      <c r="D513" s="66"/>
      <c r="E513" s="66"/>
      <c r="F513" s="60"/>
      <c r="G513" s="67"/>
      <c r="H513" s="60"/>
      <c r="I513" s="68">
        <f t="shared" ca="1" si="98"/>
        <v>0</v>
      </c>
      <c r="J513" s="68">
        <f t="shared" ca="1" si="99"/>
        <v>0</v>
      </c>
      <c r="K513" s="68">
        <f t="shared" ca="1" si="100"/>
        <v>0</v>
      </c>
      <c r="L513" s="68">
        <f t="shared" ca="1" si="101"/>
        <v>0</v>
      </c>
      <c r="M513" s="69">
        <f t="shared" si="102"/>
        <v>0</v>
      </c>
      <c r="N513" s="65" t="str">
        <f t="shared" si="103"/>
        <v/>
      </c>
      <c r="O513" s="70" t="str">
        <f>IF(OR($C513="",$D513="",$F513=""),"",IF($F513="Aylık",EOMONTH($D513,0),($D513+MOD(SISTEM!$F$8-WEEKDAY($D513,2),7))))</f>
        <v/>
      </c>
      <c r="P513" s="61"/>
      <c r="Q513" s="2"/>
      <c r="R513" s="2"/>
      <c r="S513" s="1" t="str">
        <f>IF($B513="","",$B513&amp;"|"&amp;COUNTIFS($B$7:$B513,$B513))</f>
        <v/>
      </c>
      <c r="T513" s="1" t="str">
        <f t="shared" si="104"/>
        <v/>
      </c>
      <c r="U513" s="1">
        <f t="shared" si="105"/>
        <v>0</v>
      </c>
      <c r="V513" s="1">
        <f t="shared" si="106"/>
        <v>2958465</v>
      </c>
      <c r="W513" s="1">
        <f t="shared" si="107"/>
        <v>0</v>
      </c>
      <c r="X513" s="1">
        <f t="shared" si="108"/>
        <v>0</v>
      </c>
      <c r="Y513" s="1">
        <f t="shared" si="109"/>
        <v>97200</v>
      </c>
      <c r="Z513" s="1">
        <f t="shared" si="110"/>
        <v>1</v>
      </c>
      <c r="AA513" s="1">
        <f t="shared" si="111"/>
        <v>0</v>
      </c>
    </row>
    <row r="514" spans="1:27" ht="18" customHeight="1" x14ac:dyDescent="0.3">
      <c r="A514" s="2"/>
      <c r="B514" s="65" t="str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61"/>
      <c r="D514" s="66"/>
      <c r="E514" s="66"/>
      <c r="F514" s="60"/>
      <c r="G514" s="67"/>
      <c r="H514" s="60"/>
      <c r="I514" s="68">
        <f t="shared" ca="1" si="98"/>
        <v>0</v>
      </c>
      <c r="J514" s="68">
        <f t="shared" ca="1" si="99"/>
        <v>0</v>
      </c>
      <c r="K514" s="68">
        <f t="shared" ca="1" si="100"/>
        <v>0</v>
      </c>
      <c r="L514" s="68">
        <f t="shared" ca="1" si="101"/>
        <v>0</v>
      </c>
      <c r="M514" s="69">
        <f t="shared" si="102"/>
        <v>0</v>
      </c>
      <c r="N514" s="65" t="str">
        <f t="shared" si="103"/>
        <v/>
      </c>
      <c r="O514" s="70" t="str">
        <f>IF(OR($C514="",$D514="",$F514=""),"",IF($F514="Aylık",EOMONTH($D514,0),($D514+MOD(SISTEM!$F$8-WEEKDAY($D514,2),7))))</f>
        <v/>
      </c>
      <c r="P514" s="61"/>
      <c r="Q514" s="2"/>
      <c r="R514" s="2"/>
      <c r="S514" s="1" t="str">
        <f>IF($B514="","",$B514&amp;"|"&amp;COUNTIFS($B$7:$B514,$B514))</f>
        <v/>
      </c>
      <c r="T514" s="1" t="str">
        <f t="shared" si="104"/>
        <v/>
      </c>
      <c r="U514" s="1">
        <f t="shared" si="105"/>
        <v>0</v>
      </c>
      <c r="V514" s="1">
        <f t="shared" si="106"/>
        <v>2958465</v>
      </c>
      <c r="W514" s="1">
        <f t="shared" si="107"/>
        <v>0</v>
      </c>
      <c r="X514" s="1">
        <f t="shared" si="108"/>
        <v>0</v>
      </c>
      <c r="Y514" s="1">
        <f t="shared" si="109"/>
        <v>97200</v>
      </c>
      <c r="Z514" s="1">
        <f t="shared" si="110"/>
        <v>1</v>
      </c>
      <c r="AA514" s="1">
        <f t="shared" si="111"/>
        <v>0</v>
      </c>
    </row>
    <row r="515" spans="1:27" ht="18" customHeight="1" x14ac:dyDescent="0.3">
      <c r="A515" s="2"/>
      <c r="B515" s="65" t="str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61"/>
      <c r="D515" s="66"/>
      <c r="E515" s="66"/>
      <c r="F515" s="60"/>
      <c r="G515" s="67"/>
      <c r="H515" s="60"/>
      <c r="I515" s="68">
        <f t="shared" ca="1" si="98"/>
        <v>0</v>
      </c>
      <c r="J515" s="68">
        <f t="shared" ca="1" si="99"/>
        <v>0</v>
      </c>
      <c r="K515" s="68">
        <f t="shared" ca="1" si="100"/>
        <v>0</v>
      </c>
      <c r="L515" s="68">
        <f t="shared" ca="1" si="101"/>
        <v>0</v>
      </c>
      <c r="M515" s="69">
        <f t="shared" si="102"/>
        <v>0</v>
      </c>
      <c r="N515" s="65" t="str">
        <f t="shared" si="103"/>
        <v/>
      </c>
      <c r="O515" s="70" t="str">
        <f>IF(OR($C515="",$D515="",$F515=""),"",IF($F515="Aylık",EOMONTH($D515,0),($D515+MOD(SISTEM!$F$8-WEEKDAY($D515,2),7))))</f>
        <v/>
      </c>
      <c r="P515" s="61"/>
      <c r="Q515" s="2"/>
      <c r="R515" s="2"/>
      <c r="S515" s="1" t="str">
        <f>IF($B515="","",$B515&amp;"|"&amp;COUNTIFS($B$7:$B515,$B515))</f>
        <v/>
      </c>
      <c r="T515" s="1" t="str">
        <f t="shared" si="104"/>
        <v/>
      </c>
      <c r="U515" s="1">
        <f t="shared" si="105"/>
        <v>0</v>
      </c>
      <c r="V515" s="1">
        <f t="shared" si="106"/>
        <v>2958465</v>
      </c>
      <c r="W515" s="1">
        <f t="shared" si="107"/>
        <v>0</v>
      </c>
      <c r="X515" s="1">
        <f t="shared" si="108"/>
        <v>0</v>
      </c>
      <c r="Y515" s="1">
        <f t="shared" si="109"/>
        <v>97200</v>
      </c>
      <c r="Z515" s="1">
        <f t="shared" si="110"/>
        <v>1</v>
      </c>
      <c r="AA515" s="1">
        <f t="shared" si="111"/>
        <v>0</v>
      </c>
    </row>
    <row r="516" spans="1:27" ht="18" customHeight="1" x14ac:dyDescent="0.3">
      <c r="A516" s="2"/>
      <c r="B516" s="65" t="str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61"/>
      <c r="D516" s="66"/>
      <c r="E516" s="66"/>
      <c r="F516" s="60"/>
      <c r="G516" s="67"/>
      <c r="H516" s="60"/>
      <c r="I516" s="68">
        <f t="shared" ca="1" si="98"/>
        <v>0</v>
      </c>
      <c r="J516" s="68">
        <f t="shared" ca="1" si="99"/>
        <v>0</v>
      </c>
      <c r="K516" s="68">
        <f t="shared" ca="1" si="100"/>
        <v>0</v>
      </c>
      <c r="L516" s="68">
        <f t="shared" ca="1" si="101"/>
        <v>0</v>
      </c>
      <c r="M516" s="69">
        <f t="shared" si="102"/>
        <v>0</v>
      </c>
      <c r="N516" s="65" t="str">
        <f t="shared" si="103"/>
        <v/>
      </c>
      <c r="O516" s="70" t="str">
        <f>IF(OR($C516="",$D516="",$F516=""),"",IF($F516="Aylık",EOMONTH($D516,0),($D516+MOD(SISTEM!$F$8-WEEKDAY($D516,2),7))))</f>
        <v/>
      </c>
      <c r="P516" s="61"/>
      <c r="Q516" s="2"/>
      <c r="R516" s="2"/>
      <c r="S516" s="1" t="str">
        <f>IF($B516="","",$B516&amp;"|"&amp;COUNTIFS($B$7:$B516,$B516))</f>
        <v/>
      </c>
      <c r="T516" s="1" t="str">
        <f t="shared" si="104"/>
        <v/>
      </c>
      <c r="U516" s="1">
        <f t="shared" si="105"/>
        <v>0</v>
      </c>
      <c r="V516" s="1">
        <f t="shared" si="106"/>
        <v>2958465</v>
      </c>
      <c r="W516" s="1">
        <f t="shared" si="107"/>
        <v>0</v>
      </c>
      <c r="X516" s="1">
        <f t="shared" si="108"/>
        <v>0</v>
      </c>
      <c r="Y516" s="1">
        <f t="shared" si="109"/>
        <v>97200</v>
      </c>
      <c r="Z516" s="1">
        <f t="shared" si="110"/>
        <v>1</v>
      </c>
      <c r="AA516" s="1">
        <f t="shared" si="111"/>
        <v>0</v>
      </c>
    </row>
    <row r="517" spans="1:27" ht="18" customHeight="1" x14ac:dyDescent="0.3">
      <c r="A517" s="2"/>
      <c r="B517" s="65" t="str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61"/>
      <c r="D517" s="66"/>
      <c r="E517" s="66"/>
      <c r="F517" s="60"/>
      <c r="G517" s="67"/>
      <c r="H517" s="60"/>
      <c r="I517" s="68">
        <f t="shared" ca="1" si="98"/>
        <v>0</v>
      </c>
      <c r="J517" s="68">
        <f t="shared" ca="1" si="99"/>
        <v>0</v>
      </c>
      <c r="K517" s="68">
        <f t="shared" ca="1" si="100"/>
        <v>0</v>
      </c>
      <c r="L517" s="68">
        <f t="shared" ca="1" si="101"/>
        <v>0</v>
      </c>
      <c r="M517" s="69">
        <f t="shared" si="102"/>
        <v>0</v>
      </c>
      <c r="N517" s="65" t="str">
        <f t="shared" si="103"/>
        <v/>
      </c>
      <c r="O517" s="70" t="str">
        <f>IF(OR($C517="",$D517="",$F517=""),"",IF($F517="Aylık",EOMONTH($D517,0),($D517+MOD(SISTEM!$F$8-WEEKDAY($D517,2),7))))</f>
        <v/>
      </c>
      <c r="P517" s="61"/>
      <c r="Q517" s="2"/>
      <c r="R517" s="2"/>
      <c r="S517" s="1" t="str">
        <f>IF($B517="","",$B517&amp;"|"&amp;COUNTIFS($B$7:$B517,$B517))</f>
        <v/>
      </c>
      <c r="T517" s="1" t="str">
        <f t="shared" si="104"/>
        <v/>
      </c>
      <c r="U517" s="1">
        <f t="shared" si="105"/>
        <v>0</v>
      </c>
      <c r="V517" s="1">
        <f t="shared" si="106"/>
        <v>2958465</v>
      </c>
      <c r="W517" s="1">
        <f t="shared" si="107"/>
        <v>0</v>
      </c>
      <c r="X517" s="1">
        <f t="shared" si="108"/>
        <v>0</v>
      </c>
      <c r="Y517" s="1">
        <f t="shared" si="109"/>
        <v>97200</v>
      </c>
      <c r="Z517" s="1">
        <f t="shared" si="110"/>
        <v>1</v>
      </c>
      <c r="AA517" s="1">
        <f t="shared" si="111"/>
        <v>0</v>
      </c>
    </row>
    <row r="518" spans="1:27" ht="18" customHeight="1" x14ac:dyDescent="0.3">
      <c r="A518" s="2"/>
      <c r="B518" s="65" t="str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61"/>
      <c r="D518" s="66"/>
      <c r="E518" s="66"/>
      <c r="F518" s="60"/>
      <c r="G518" s="67"/>
      <c r="H518" s="60"/>
      <c r="I518" s="68">
        <f t="shared" ca="1" si="98"/>
        <v>0</v>
      </c>
      <c r="J518" s="68">
        <f t="shared" ca="1" si="99"/>
        <v>0</v>
      </c>
      <c r="K518" s="68">
        <f t="shared" ca="1" si="100"/>
        <v>0</v>
      </c>
      <c r="L518" s="68">
        <f t="shared" ca="1" si="101"/>
        <v>0</v>
      </c>
      <c r="M518" s="69">
        <f t="shared" si="102"/>
        <v>0</v>
      </c>
      <c r="N518" s="65" t="str">
        <f t="shared" si="103"/>
        <v/>
      </c>
      <c r="O518" s="70" t="str">
        <f>IF(OR($C518="",$D518="",$F518=""),"",IF($F518="Aylık",EOMONTH($D518,0),($D518+MOD(SISTEM!$F$8-WEEKDAY($D518,2),7))))</f>
        <v/>
      </c>
      <c r="P518" s="61"/>
      <c r="Q518" s="2"/>
      <c r="R518" s="2"/>
      <c r="S518" s="1" t="str">
        <f>IF($B518="","",$B518&amp;"|"&amp;COUNTIFS($B$7:$B518,$B518))</f>
        <v/>
      </c>
      <c r="T518" s="1" t="str">
        <f t="shared" si="104"/>
        <v/>
      </c>
      <c r="U518" s="1">
        <f t="shared" si="105"/>
        <v>0</v>
      </c>
      <c r="V518" s="1">
        <f t="shared" si="106"/>
        <v>2958465</v>
      </c>
      <c r="W518" s="1">
        <f t="shared" si="107"/>
        <v>0</v>
      </c>
      <c r="X518" s="1">
        <f t="shared" si="108"/>
        <v>0</v>
      </c>
      <c r="Y518" s="1">
        <f t="shared" si="109"/>
        <v>97200</v>
      </c>
      <c r="Z518" s="1">
        <f t="shared" si="110"/>
        <v>1</v>
      </c>
      <c r="AA518" s="1">
        <f t="shared" si="111"/>
        <v>0</v>
      </c>
    </row>
    <row r="519" spans="1:27" ht="18" customHeight="1" x14ac:dyDescent="0.3">
      <c r="A519" s="2"/>
      <c r="B519" s="65" t="str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61"/>
      <c r="D519" s="66"/>
      <c r="E519" s="66"/>
      <c r="F519" s="60"/>
      <c r="G519" s="67"/>
      <c r="H519" s="60"/>
      <c r="I519" s="68">
        <f t="shared" ref="I519:I582" ca="1" si="112"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>0</v>
      </c>
      <c r="J519" s="68">
        <f t="shared" ref="J519:J582" ca="1" si="113"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>0</v>
      </c>
      <c r="K519" s="68">
        <f t="shared" ref="K519:K582" ca="1" si="114"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>0</v>
      </c>
      <c r="L519" s="68">
        <f t="shared" ref="L519:L582" ca="1" si="115"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>0</v>
      </c>
      <c r="M519" s="69">
        <f t="shared" ref="M519:M582" si="116">IF($G519&gt;0,$I519/$G519,0)</f>
        <v>0</v>
      </c>
      <c r="N519" s="65" t="str">
        <f t="shared" ref="N519:N582" si="117"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70" t="str">
        <f>IF(OR($C519="",$D519="",$F519=""),"",IF($F519="Aylık",EOMONTH($D519,0),($D519+MOD(SISTEM!$F$8-WEEKDAY($D519,2),7))))</f>
        <v/>
      </c>
      <c r="P519" s="61"/>
      <c r="Q519" s="2"/>
      <c r="R519" s="2"/>
      <c r="S519" s="1" t="str">
        <f>IF($B519="","",$B519&amp;"|"&amp;COUNTIFS($B$7:$B519,$B519))</f>
        <v/>
      </c>
      <c r="T519" s="1" t="str">
        <f t="shared" ref="T519:T582" si="118"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">
        <f t="shared" ref="U519:U582" si="119">IF($O519="",0,$O519)</f>
        <v>0</v>
      </c>
      <c r="V519" s="1">
        <f t="shared" ref="V519:V582" si="120">IF($E519="",2958465,$E519)</f>
        <v>2958465</v>
      </c>
      <c r="W519" s="1">
        <f t="shared" ref="W519:W582" si="121">IF($F519="Haftalık",1,IF($F519="Aylık",2,0))</f>
        <v>0</v>
      </c>
      <c r="X519" s="1">
        <f t="shared" ref="X519:X582" si="122">IF($U519=0,0,(YEAR($U519)-1900)*12+MONTH($U519))</f>
        <v>0</v>
      </c>
      <c r="Y519" s="1">
        <f t="shared" ref="Y519:Y582" si="123">(YEAR($V519)-1900)*12+MONTH($V519)</f>
        <v>97200</v>
      </c>
      <c r="Z519" s="1">
        <f t="shared" ref="Z519:Z582" si="124">IF($V519=EOMONTH($V519,0),1,0)</f>
        <v>1</v>
      </c>
      <c r="AA519" s="1">
        <f t="shared" ref="AA519:AA582" si="125">IF(OR($B519="",$H519&lt;&gt;"Aktif"),0,COUNTIFS($B$7:$B$606,$B519,$H$7:$H$606,"Aktif"))</f>
        <v>0</v>
      </c>
    </row>
    <row r="520" spans="1:27" ht="18" customHeight="1" x14ac:dyDescent="0.3">
      <c r="A520" s="2"/>
      <c r="B520" s="65" t="str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61"/>
      <c r="D520" s="66"/>
      <c r="E520" s="66"/>
      <c r="F520" s="60"/>
      <c r="G520" s="67"/>
      <c r="H520" s="60"/>
      <c r="I520" s="68">
        <f t="shared" ca="1" si="112"/>
        <v>0</v>
      </c>
      <c r="J520" s="68">
        <f t="shared" ca="1" si="113"/>
        <v>0</v>
      </c>
      <c r="K520" s="68">
        <f t="shared" ca="1" si="114"/>
        <v>0</v>
      </c>
      <c r="L520" s="68">
        <f t="shared" ca="1" si="115"/>
        <v>0</v>
      </c>
      <c r="M520" s="69">
        <f t="shared" si="116"/>
        <v>0</v>
      </c>
      <c r="N520" s="65" t="str">
        <f t="shared" si="117"/>
        <v/>
      </c>
      <c r="O520" s="70" t="str">
        <f>IF(OR($C520="",$D520="",$F520=""),"",IF($F520="Aylık",EOMONTH($D520,0),($D520+MOD(SISTEM!$F$8-WEEKDAY($D520,2),7))))</f>
        <v/>
      </c>
      <c r="P520" s="61"/>
      <c r="Q520" s="2"/>
      <c r="R520" s="2"/>
      <c r="S520" s="1" t="str">
        <f>IF($B520="","",$B520&amp;"|"&amp;COUNTIFS($B$7:$B520,$B520))</f>
        <v/>
      </c>
      <c r="T520" s="1" t="str">
        <f t="shared" si="118"/>
        <v/>
      </c>
      <c r="U520" s="1">
        <f t="shared" si="119"/>
        <v>0</v>
      </c>
      <c r="V520" s="1">
        <f t="shared" si="120"/>
        <v>2958465</v>
      </c>
      <c r="W520" s="1">
        <f t="shared" si="121"/>
        <v>0</v>
      </c>
      <c r="X520" s="1">
        <f t="shared" si="122"/>
        <v>0</v>
      </c>
      <c r="Y520" s="1">
        <f t="shared" si="123"/>
        <v>97200</v>
      </c>
      <c r="Z520" s="1">
        <f t="shared" si="124"/>
        <v>1</v>
      </c>
      <c r="AA520" s="1">
        <f t="shared" si="125"/>
        <v>0</v>
      </c>
    </row>
    <row r="521" spans="1:27" ht="18" customHeight="1" x14ac:dyDescent="0.3">
      <c r="A521" s="2"/>
      <c r="B521" s="65" t="str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61"/>
      <c r="D521" s="66"/>
      <c r="E521" s="66"/>
      <c r="F521" s="60"/>
      <c r="G521" s="67"/>
      <c r="H521" s="60"/>
      <c r="I521" s="68">
        <f t="shared" ca="1" si="112"/>
        <v>0</v>
      </c>
      <c r="J521" s="68">
        <f t="shared" ca="1" si="113"/>
        <v>0</v>
      </c>
      <c r="K521" s="68">
        <f t="shared" ca="1" si="114"/>
        <v>0</v>
      </c>
      <c r="L521" s="68">
        <f t="shared" ca="1" si="115"/>
        <v>0</v>
      </c>
      <c r="M521" s="69">
        <f t="shared" si="116"/>
        <v>0</v>
      </c>
      <c r="N521" s="65" t="str">
        <f t="shared" si="117"/>
        <v/>
      </c>
      <c r="O521" s="70" t="str">
        <f>IF(OR($C521="",$D521="",$F521=""),"",IF($F521="Aylık",EOMONTH($D521,0),($D521+MOD(SISTEM!$F$8-WEEKDAY($D521,2),7))))</f>
        <v/>
      </c>
      <c r="P521" s="61"/>
      <c r="Q521" s="2"/>
      <c r="R521" s="2"/>
      <c r="S521" s="1" t="str">
        <f>IF($B521="","",$B521&amp;"|"&amp;COUNTIFS($B$7:$B521,$B521))</f>
        <v/>
      </c>
      <c r="T521" s="1" t="str">
        <f t="shared" si="118"/>
        <v/>
      </c>
      <c r="U521" s="1">
        <f t="shared" si="119"/>
        <v>0</v>
      </c>
      <c r="V521" s="1">
        <f t="shared" si="120"/>
        <v>2958465</v>
      </c>
      <c r="W521" s="1">
        <f t="shared" si="121"/>
        <v>0</v>
      </c>
      <c r="X521" s="1">
        <f t="shared" si="122"/>
        <v>0</v>
      </c>
      <c r="Y521" s="1">
        <f t="shared" si="123"/>
        <v>97200</v>
      </c>
      <c r="Z521" s="1">
        <f t="shared" si="124"/>
        <v>1</v>
      </c>
      <c r="AA521" s="1">
        <f t="shared" si="125"/>
        <v>0</v>
      </c>
    </row>
    <row r="522" spans="1:27" ht="18" customHeight="1" x14ac:dyDescent="0.3">
      <c r="A522" s="2"/>
      <c r="B522" s="65" t="str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61"/>
      <c r="D522" s="66"/>
      <c r="E522" s="66"/>
      <c r="F522" s="60"/>
      <c r="G522" s="67"/>
      <c r="H522" s="60"/>
      <c r="I522" s="68">
        <f t="shared" ca="1" si="112"/>
        <v>0</v>
      </c>
      <c r="J522" s="68">
        <f t="shared" ca="1" si="113"/>
        <v>0</v>
      </c>
      <c r="K522" s="68">
        <f t="shared" ca="1" si="114"/>
        <v>0</v>
      </c>
      <c r="L522" s="68">
        <f t="shared" ca="1" si="115"/>
        <v>0</v>
      </c>
      <c r="M522" s="69">
        <f t="shared" si="116"/>
        <v>0</v>
      </c>
      <c r="N522" s="65" t="str">
        <f t="shared" si="117"/>
        <v/>
      </c>
      <c r="O522" s="70" t="str">
        <f>IF(OR($C522="",$D522="",$F522=""),"",IF($F522="Aylık",EOMONTH($D522,0),($D522+MOD(SISTEM!$F$8-WEEKDAY($D522,2),7))))</f>
        <v/>
      </c>
      <c r="P522" s="61"/>
      <c r="Q522" s="2"/>
      <c r="R522" s="2"/>
      <c r="S522" s="1" t="str">
        <f>IF($B522="","",$B522&amp;"|"&amp;COUNTIFS($B$7:$B522,$B522))</f>
        <v/>
      </c>
      <c r="T522" s="1" t="str">
        <f t="shared" si="118"/>
        <v/>
      </c>
      <c r="U522" s="1">
        <f t="shared" si="119"/>
        <v>0</v>
      </c>
      <c r="V522" s="1">
        <f t="shared" si="120"/>
        <v>2958465</v>
      </c>
      <c r="W522" s="1">
        <f t="shared" si="121"/>
        <v>0</v>
      </c>
      <c r="X522" s="1">
        <f t="shared" si="122"/>
        <v>0</v>
      </c>
      <c r="Y522" s="1">
        <f t="shared" si="123"/>
        <v>97200</v>
      </c>
      <c r="Z522" s="1">
        <f t="shared" si="124"/>
        <v>1</v>
      </c>
      <c r="AA522" s="1">
        <f t="shared" si="125"/>
        <v>0</v>
      </c>
    </row>
    <row r="523" spans="1:27" ht="18" customHeight="1" x14ac:dyDescent="0.3">
      <c r="A523" s="2"/>
      <c r="B523" s="65" t="str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61"/>
      <c r="D523" s="66"/>
      <c r="E523" s="66"/>
      <c r="F523" s="60"/>
      <c r="G523" s="67"/>
      <c r="H523" s="60"/>
      <c r="I523" s="68">
        <f t="shared" ca="1" si="112"/>
        <v>0</v>
      </c>
      <c r="J523" s="68">
        <f t="shared" ca="1" si="113"/>
        <v>0</v>
      </c>
      <c r="K523" s="68">
        <f t="shared" ca="1" si="114"/>
        <v>0</v>
      </c>
      <c r="L523" s="68">
        <f t="shared" ca="1" si="115"/>
        <v>0</v>
      </c>
      <c r="M523" s="69">
        <f t="shared" si="116"/>
        <v>0</v>
      </c>
      <c r="N523" s="65" t="str">
        <f t="shared" si="117"/>
        <v/>
      </c>
      <c r="O523" s="70" t="str">
        <f>IF(OR($C523="",$D523="",$F523=""),"",IF($F523="Aylık",EOMONTH($D523,0),($D523+MOD(SISTEM!$F$8-WEEKDAY($D523,2),7))))</f>
        <v/>
      </c>
      <c r="P523" s="61"/>
      <c r="Q523" s="2"/>
      <c r="R523" s="2"/>
      <c r="S523" s="1" t="str">
        <f>IF($B523="","",$B523&amp;"|"&amp;COUNTIFS($B$7:$B523,$B523))</f>
        <v/>
      </c>
      <c r="T523" s="1" t="str">
        <f t="shared" si="118"/>
        <v/>
      </c>
      <c r="U523" s="1">
        <f t="shared" si="119"/>
        <v>0</v>
      </c>
      <c r="V523" s="1">
        <f t="shared" si="120"/>
        <v>2958465</v>
      </c>
      <c r="W523" s="1">
        <f t="shared" si="121"/>
        <v>0</v>
      </c>
      <c r="X523" s="1">
        <f t="shared" si="122"/>
        <v>0</v>
      </c>
      <c r="Y523" s="1">
        <f t="shared" si="123"/>
        <v>97200</v>
      </c>
      <c r="Z523" s="1">
        <f t="shared" si="124"/>
        <v>1</v>
      </c>
      <c r="AA523" s="1">
        <f t="shared" si="125"/>
        <v>0</v>
      </c>
    </row>
    <row r="524" spans="1:27" ht="18" customHeight="1" x14ac:dyDescent="0.3">
      <c r="A524" s="2"/>
      <c r="B524" s="65" t="str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61"/>
      <c r="D524" s="66"/>
      <c r="E524" s="66"/>
      <c r="F524" s="60"/>
      <c r="G524" s="67"/>
      <c r="H524" s="60"/>
      <c r="I524" s="68">
        <f t="shared" ca="1" si="112"/>
        <v>0</v>
      </c>
      <c r="J524" s="68">
        <f t="shared" ca="1" si="113"/>
        <v>0</v>
      </c>
      <c r="K524" s="68">
        <f t="shared" ca="1" si="114"/>
        <v>0</v>
      </c>
      <c r="L524" s="68">
        <f t="shared" ca="1" si="115"/>
        <v>0</v>
      </c>
      <c r="M524" s="69">
        <f t="shared" si="116"/>
        <v>0</v>
      </c>
      <c r="N524" s="65" t="str">
        <f t="shared" si="117"/>
        <v/>
      </c>
      <c r="O524" s="70" t="str">
        <f>IF(OR($C524="",$D524="",$F524=""),"",IF($F524="Aylık",EOMONTH($D524,0),($D524+MOD(SISTEM!$F$8-WEEKDAY($D524,2),7))))</f>
        <v/>
      </c>
      <c r="P524" s="61"/>
      <c r="Q524" s="2"/>
      <c r="R524" s="2"/>
      <c r="S524" s="1" t="str">
        <f>IF($B524="","",$B524&amp;"|"&amp;COUNTIFS($B$7:$B524,$B524))</f>
        <v/>
      </c>
      <c r="T524" s="1" t="str">
        <f t="shared" si="118"/>
        <v/>
      </c>
      <c r="U524" s="1">
        <f t="shared" si="119"/>
        <v>0</v>
      </c>
      <c r="V524" s="1">
        <f t="shared" si="120"/>
        <v>2958465</v>
      </c>
      <c r="W524" s="1">
        <f t="shared" si="121"/>
        <v>0</v>
      </c>
      <c r="X524" s="1">
        <f t="shared" si="122"/>
        <v>0</v>
      </c>
      <c r="Y524" s="1">
        <f t="shared" si="123"/>
        <v>97200</v>
      </c>
      <c r="Z524" s="1">
        <f t="shared" si="124"/>
        <v>1</v>
      </c>
      <c r="AA524" s="1">
        <f t="shared" si="125"/>
        <v>0</v>
      </c>
    </row>
    <row r="525" spans="1:27" ht="18" customHeight="1" x14ac:dyDescent="0.3">
      <c r="A525" s="2"/>
      <c r="B525" s="65" t="str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61"/>
      <c r="D525" s="66"/>
      <c r="E525" s="66"/>
      <c r="F525" s="60"/>
      <c r="G525" s="67"/>
      <c r="H525" s="60"/>
      <c r="I525" s="68">
        <f t="shared" ca="1" si="112"/>
        <v>0</v>
      </c>
      <c r="J525" s="68">
        <f t="shared" ca="1" si="113"/>
        <v>0</v>
      </c>
      <c r="K525" s="68">
        <f t="shared" ca="1" si="114"/>
        <v>0</v>
      </c>
      <c r="L525" s="68">
        <f t="shared" ca="1" si="115"/>
        <v>0</v>
      </c>
      <c r="M525" s="69">
        <f t="shared" si="116"/>
        <v>0</v>
      </c>
      <c r="N525" s="65" t="str">
        <f t="shared" si="117"/>
        <v/>
      </c>
      <c r="O525" s="70" t="str">
        <f>IF(OR($C525="",$D525="",$F525=""),"",IF($F525="Aylık",EOMONTH($D525,0),($D525+MOD(SISTEM!$F$8-WEEKDAY($D525,2),7))))</f>
        <v/>
      </c>
      <c r="P525" s="61"/>
      <c r="Q525" s="2"/>
      <c r="R525" s="2"/>
      <c r="S525" s="1" t="str">
        <f>IF($B525="","",$B525&amp;"|"&amp;COUNTIFS($B$7:$B525,$B525))</f>
        <v/>
      </c>
      <c r="T525" s="1" t="str">
        <f t="shared" si="118"/>
        <v/>
      </c>
      <c r="U525" s="1">
        <f t="shared" si="119"/>
        <v>0</v>
      </c>
      <c r="V525" s="1">
        <f t="shared" si="120"/>
        <v>2958465</v>
      </c>
      <c r="W525" s="1">
        <f t="shared" si="121"/>
        <v>0</v>
      </c>
      <c r="X525" s="1">
        <f t="shared" si="122"/>
        <v>0</v>
      </c>
      <c r="Y525" s="1">
        <f t="shared" si="123"/>
        <v>97200</v>
      </c>
      <c r="Z525" s="1">
        <f t="shared" si="124"/>
        <v>1</v>
      </c>
      <c r="AA525" s="1">
        <f t="shared" si="125"/>
        <v>0</v>
      </c>
    </row>
    <row r="526" spans="1:27" ht="18" customHeight="1" x14ac:dyDescent="0.3">
      <c r="A526" s="2"/>
      <c r="B526" s="65" t="str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61"/>
      <c r="D526" s="66"/>
      <c r="E526" s="66"/>
      <c r="F526" s="60"/>
      <c r="G526" s="67"/>
      <c r="H526" s="60"/>
      <c r="I526" s="68">
        <f t="shared" ca="1" si="112"/>
        <v>0</v>
      </c>
      <c r="J526" s="68">
        <f t="shared" ca="1" si="113"/>
        <v>0</v>
      </c>
      <c r="K526" s="68">
        <f t="shared" ca="1" si="114"/>
        <v>0</v>
      </c>
      <c r="L526" s="68">
        <f t="shared" ca="1" si="115"/>
        <v>0</v>
      </c>
      <c r="M526" s="69">
        <f t="shared" si="116"/>
        <v>0</v>
      </c>
      <c r="N526" s="65" t="str">
        <f t="shared" si="117"/>
        <v/>
      </c>
      <c r="O526" s="70" t="str">
        <f>IF(OR($C526="",$D526="",$F526=""),"",IF($F526="Aylık",EOMONTH($D526,0),($D526+MOD(SISTEM!$F$8-WEEKDAY($D526,2),7))))</f>
        <v/>
      </c>
      <c r="P526" s="61"/>
      <c r="Q526" s="2"/>
      <c r="R526" s="2"/>
      <c r="S526" s="1" t="str">
        <f>IF($B526="","",$B526&amp;"|"&amp;COUNTIFS($B$7:$B526,$B526))</f>
        <v/>
      </c>
      <c r="T526" s="1" t="str">
        <f t="shared" si="118"/>
        <v/>
      </c>
      <c r="U526" s="1">
        <f t="shared" si="119"/>
        <v>0</v>
      </c>
      <c r="V526" s="1">
        <f t="shared" si="120"/>
        <v>2958465</v>
      </c>
      <c r="W526" s="1">
        <f t="shared" si="121"/>
        <v>0</v>
      </c>
      <c r="X526" s="1">
        <f t="shared" si="122"/>
        <v>0</v>
      </c>
      <c r="Y526" s="1">
        <f t="shared" si="123"/>
        <v>97200</v>
      </c>
      <c r="Z526" s="1">
        <f t="shared" si="124"/>
        <v>1</v>
      </c>
      <c r="AA526" s="1">
        <f t="shared" si="125"/>
        <v>0</v>
      </c>
    </row>
    <row r="527" spans="1:27" ht="18" customHeight="1" x14ac:dyDescent="0.3">
      <c r="A527" s="2"/>
      <c r="B527" s="65" t="str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61"/>
      <c r="D527" s="66"/>
      <c r="E527" s="66"/>
      <c r="F527" s="60"/>
      <c r="G527" s="67"/>
      <c r="H527" s="60"/>
      <c r="I527" s="68">
        <f t="shared" ca="1" si="112"/>
        <v>0</v>
      </c>
      <c r="J527" s="68">
        <f t="shared" ca="1" si="113"/>
        <v>0</v>
      </c>
      <c r="K527" s="68">
        <f t="shared" ca="1" si="114"/>
        <v>0</v>
      </c>
      <c r="L527" s="68">
        <f t="shared" ca="1" si="115"/>
        <v>0</v>
      </c>
      <c r="M527" s="69">
        <f t="shared" si="116"/>
        <v>0</v>
      </c>
      <c r="N527" s="65" t="str">
        <f t="shared" si="117"/>
        <v/>
      </c>
      <c r="O527" s="70" t="str">
        <f>IF(OR($C527="",$D527="",$F527=""),"",IF($F527="Aylık",EOMONTH($D527,0),($D527+MOD(SISTEM!$F$8-WEEKDAY($D527,2),7))))</f>
        <v/>
      </c>
      <c r="P527" s="61"/>
      <c r="Q527" s="2"/>
      <c r="R527" s="2"/>
      <c r="S527" s="1" t="str">
        <f>IF($B527="","",$B527&amp;"|"&amp;COUNTIFS($B$7:$B527,$B527))</f>
        <v/>
      </c>
      <c r="T527" s="1" t="str">
        <f t="shared" si="118"/>
        <v/>
      </c>
      <c r="U527" s="1">
        <f t="shared" si="119"/>
        <v>0</v>
      </c>
      <c r="V527" s="1">
        <f t="shared" si="120"/>
        <v>2958465</v>
      </c>
      <c r="W527" s="1">
        <f t="shared" si="121"/>
        <v>0</v>
      </c>
      <c r="X527" s="1">
        <f t="shared" si="122"/>
        <v>0</v>
      </c>
      <c r="Y527" s="1">
        <f t="shared" si="123"/>
        <v>97200</v>
      </c>
      <c r="Z527" s="1">
        <f t="shared" si="124"/>
        <v>1</v>
      </c>
      <c r="AA527" s="1">
        <f t="shared" si="125"/>
        <v>0</v>
      </c>
    </row>
    <row r="528" spans="1:27" ht="18" customHeight="1" x14ac:dyDescent="0.3">
      <c r="A528" s="2"/>
      <c r="B528" s="65" t="str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61"/>
      <c r="D528" s="66"/>
      <c r="E528" s="66"/>
      <c r="F528" s="60"/>
      <c r="G528" s="67"/>
      <c r="H528" s="60"/>
      <c r="I528" s="68">
        <f t="shared" ca="1" si="112"/>
        <v>0</v>
      </c>
      <c r="J528" s="68">
        <f t="shared" ca="1" si="113"/>
        <v>0</v>
      </c>
      <c r="K528" s="68">
        <f t="shared" ca="1" si="114"/>
        <v>0</v>
      </c>
      <c r="L528" s="68">
        <f t="shared" ca="1" si="115"/>
        <v>0</v>
      </c>
      <c r="M528" s="69">
        <f t="shared" si="116"/>
        <v>0</v>
      </c>
      <c r="N528" s="65" t="str">
        <f t="shared" si="117"/>
        <v/>
      </c>
      <c r="O528" s="70" t="str">
        <f>IF(OR($C528="",$D528="",$F528=""),"",IF($F528="Aylık",EOMONTH($D528,0),($D528+MOD(SISTEM!$F$8-WEEKDAY($D528,2),7))))</f>
        <v/>
      </c>
      <c r="P528" s="61"/>
      <c r="Q528" s="2"/>
      <c r="R528" s="2"/>
      <c r="S528" s="1" t="str">
        <f>IF($B528="","",$B528&amp;"|"&amp;COUNTIFS($B$7:$B528,$B528))</f>
        <v/>
      </c>
      <c r="T528" s="1" t="str">
        <f t="shared" si="118"/>
        <v/>
      </c>
      <c r="U528" s="1">
        <f t="shared" si="119"/>
        <v>0</v>
      </c>
      <c r="V528" s="1">
        <f t="shared" si="120"/>
        <v>2958465</v>
      </c>
      <c r="W528" s="1">
        <f t="shared" si="121"/>
        <v>0</v>
      </c>
      <c r="X528" s="1">
        <f t="shared" si="122"/>
        <v>0</v>
      </c>
      <c r="Y528" s="1">
        <f t="shared" si="123"/>
        <v>97200</v>
      </c>
      <c r="Z528" s="1">
        <f t="shared" si="124"/>
        <v>1</v>
      </c>
      <c r="AA528" s="1">
        <f t="shared" si="125"/>
        <v>0</v>
      </c>
    </row>
    <row r="529" spans="1:27" ht="18" customHeight="1" x14ac:dyDescent="0.3">
      <c r="A529" s="2"/>
      <c r="B529" s="65" t="str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61"/>
      <c r="D529" s="66"/>
      <c r="E529" s="66"/>
      <c r="F529" s="60"/>
      <c r="G529" s="67"/>
      <c r="H529" s="60"/>
      <c r="I529" s="68">
        <f t="shared" ca="1" si="112"/>
        <v>0</v>
      </c>
      <c r="J529" s="68">
        <f t="shared" ca="1" si="113"/>
        <v>0</v>
      </c>
      <c r="K529" s="68">
        <f t="shared" ca="1" si="114"/>
        <v>0</v>
      </c>
      <c r="L529" s="68">
        <f t="shared" ca="1" si="115"/>
        <v>0</v>
      </c>
      <c r="M529" s="69">
        <f t="shared" si="116"/>
        <v>0</v>
      </c>
      <c r="N529" s="65" t="str">
        <f t="shared" si="117"/>
        <v/>
      </c>
      <c r="O529" s="70" t="str">
        <f>IF(OR($C529="",$D529="",$F529=""),"",IF($F529="Aylık",EOMONTH($D529,0),($D529+MOD(SISTEM!$F$8-WEEKDAY($D529,2),7))))</f>
        <v/>
      </c>
      <c r="P529" s="61"/>
      <c r="Q529" s="2"/>
      <c r="R529" s="2"/>
      <c r="S529" s="1" t="str">
        <f>IF($B529="","",$B529&amp;"|"&amp;COUNTIFS($B$7:$B529,$B529))</f>
        <v/>
      </c>
      <c r="T529" s="1" t="str">
        <f t="shared" si="118"/>
        <v/>
      </c>
      <c r="U529" s="1">
        <f t="shared" si="119"/>
        <v>0</v>
      </c>
      <c r="V529" s="1">
        <f t="shared" si="120"/>
        <v>2958465</v>
      </c>
      <c r="W529" s="1">
        <f t="shared" si="121"/>
        <v>0</v>
      </c>
      <c r="X529" s="1">
        <f t="shared" si="122"/>
        <v>0</v>
      </c>
      <c r="Y529" s="1">
        <f t="shared" si="123"/>
        <v>97200</v>
      </c>
      <c r="Z529" s="1">
        <f t="shared" si="124"/>
        <v>1</v>
      </c>
      <c r="AA529" s="1">
        <f t="shared" si="125"/>
        <v>0</v>
      </c>
    </row>
    <row r="530" spans="1:27" ht="18" customHeight="1" x14ac:dyDescent="0.3">
      <c r="A530" s="2"/>
      <c r="B530" s="65" t="str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61"/>
      <c r="D530" s="66"/>
      <c r="E530" s="66"/>
      <c r="F530" s="60"/>
      <c r="G530" s="67"/>
      <c r="H530" s="60"/>
      <c r="I530" s="68">
        <f t="shared" ca="1" si="112"/>
        <v>0</v>
      </c>
      <c r="J530" s="68">
        <f t="shared" ca="1" si="113"/>
        <v>0</v>
      </c>
      <c r="K530" s="68">
        <f t="shared" ca="1" si="114"/>
        <v>0</v>
      </c>
      <c r="L530" s="68">
        <f t="shared" ca="1" si="115"/>
        <v>0</v>
      </c>
      <c r="M530" s="69">
        <f t="shared" si="116"/>
        <v>0</v>
      </c>
      <c r="N530" s="65" t="str">
        <f t="shared" si="117"/>
        <v/>
      </c>
      <c r="O530" s="70" t="str">
        <f>IF(OR($C530="",$D530="",$F530=""),"",IF($F530="Aylık",EOMONTH($D530,0),($D530+MOD(SISTEM!$F$8-WEEKDAY($D530,2),7))))</f>
        <v/>
      </c>
      <c r="P530" s="61"/>
      <c r="Q530" s="2"/>
      <c r="R530" s="2"/>
      <c r="S530" s="1" t="str">
        <f>IF($B530="","",$B530&amp;"|"&amp;COUNTIFS($B$7:$B530,$B530))</f>
        <v/>
      </c>
      <c r="T530" s="1" t="str">
        <f t="shared" si="118"/>
        <v/>
      </c>
      <c r="U530" s="1">
        <f t="shared" si="119"/>
        <v>0</v>
      </c>
      <c r="V530" s="1">
        <f t="shared" si="120"/>
        <v>2958465</v>
      </c>
      <c r="W530" s="1">
        <f t="shared" si="121"/>
        <v>0</v>
      </c>
      <c r="X530" s="1">
        <f t="shared" si="122"/>
        <v>0</v>
      </c>
      <c r="Y530" s="1">
        <f t="shared" si="123"/>
        <v>97200</v>
      </c>
      <c r="Z530" s="1">
        <f t="shared" si="124"/>
        <v>1</v>
      </c>
      <c r="AA530" s="1">
        <f t="shared" si="125"/>
        <v>0</v>
      </c>
    </row>
    <row r="531" spans="1:27" ht="18" customHeight="1" x14ac:dyDescent="0.3">
      <c r="A531" s="2"/>
      <c r="B531" s="65" t="str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61"/>
      <c r="D531" s="66"/>
      <c r="E531" s="66"/>
      <c r="F531" s="60"/>
      <c r="G531" s="67"/>
      <c r="H531" s="60"/>
      <c r="I531" s="68">
        <f t="shared" ca="1" si="112"/>
        <v>0</v>
      </c>
      <c r="J531" s="68">
        <f t="shared" ca="1" si="113"/>
        <v>0</v>
      </c>
      <c r="K531" s="68">
        <f t="shared" ca="1" si="114"/>
        <v>0</v>
      </c>
      <c r="L531" s="68">
        <f t="shared" ca="1" si="115"/>
        <v>0</v>
      </c>
      <c r="M531" s="69">
        <f t="shared" si="116"/>
        <v>0</v>
      </c>
      <c r="N531" s="65" t="str">
        <f t="shared" si="117"/>
        <v/>
      </c>
      <c r="O531" s="70" t="str">
        <f>IF(OR($C531="",$D531="",$F531=""),"",IF($F531="Aylık",EOMONTH($D531,0),($D531+MOD(SISTEM!$F$8-WEEKDAY($D531,2),7))))</f>
        <v/>
      </c>
      <c r="P531" s="61"/>
      <c r="Q531" s="2"/>
      <c r="R531" s="2"/>
      <c r="S531" s="1" t="str">
        <f>IF($B531="","",$B531&amp;"|"&amp;COUNTIFS($B$7:$B531,$B531))</f>
        <v/>
      </c>
      <c r="T531" s="1" t="str">
        <f t="shared" si="118"/>
        <v/>
      </c>
      <c r="U531" s="1">
        <f t="shared" si="119"/>
        <v>0</v>
      </c>
      <c r="V531" s="1">
        <f t="shared" si="120"/>
        <v>2958465</v>
      </c>
      <c r="W531" s="1">
        <f t="shared" si="121"/>
        <v>0</v>
      </c>
      <c r="X531" s="1">
        <f t="shared" si="122"/>
        <v>0</v>
      </c>
      <c r="Y531" s="1">
        <f t="shared" si="123"/>
        <v>97200</v>
      </c>
      <c r="Z531" s="1">
        <f t="shared" si="124"/>
        <v>1</v>
      </c>
      <c r="AA531" s="1">
        <f t="shared" si="125"/>
        <v>0</v>
      </c>
    </row>
    <row r="532" spans="1:27" ht="18" customHeight="1" x14ac:dyDescent="0.3">
      <c r="A532" s="2"/>
      <c r="B532" s="65" t="str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61"/>
      <c r="D532" s="66"/>
      <c r="E532" s="66"/>
      <c r="F532" s="60"/>
      <c r="G532" s="67"/>
      <c r="H532" s="60"/>
      <c r="I532" s="68">
        <f t="shared" ca="1" si="112"/>
        <v>0</v>
      </c>
      <c r="J532" s="68">
        <f t="shared" ca="1" si="113"/>
        <v>0</v>
      </c>
      <c r="K532" s="68">
        <f t="shared" ca="1" si="114"/>
        <v>0</v>
      </c>
      <c r="L532" s="68">
        <f t="shared" ca="1" si="115"/>
        <v>0</v>
      </c>
      <c r="M532" s="69">
        <f t="shared" si="116"/>
        <v>0</v>
      </c>
      <c r="N532" s="65" t="str">
        <f t="shared" si="117"/>
        <v/>
      </c>
      <c r="O532" s="70" t="str">
        <f>IF(OR($C532="",$D532="",$F532=""),"",IF($F532="Aylık",EOMONTH($D532,0),($D532+MOD(SISTEM!$F$8-WEEKDAY($D532,2),7))))</f>
        <v/>
      </c>
      <c r="P532" s="61"/>
      <c r="Q532" s="2"/>
      <c r="R532" s="2"/>
      <c r="S532" s="1" t="str">
        <f>IF($B532="","",$B532&amp;"|"&amp;COUNTIFS($B$7:$B532,$B532))</f>
        <v/>
      </c>
      <c r="T532" s="1" t="str">
        <f t="shared" si="118"/>
        <v/>
      </c>
      <c r="U532" s="1">
        <f t="shared" si="119"/>
        <v>0</v>
      </c>
      <c r="V532" s="1">
        <f t="shared" si="120"/>
        <v>2958465</v>
      </c>
      <c r="W532" s="1">
        <f t="shared" si="121"/>
        <v>0</v>
      </c>
      <c r="X532" s="1">
        <f t="shared" si="122"/>
        <v>0</v>
      </c>
      <c r="Y532" s="1">
        <f t="shared" si="123"/>
        <v>97200</v>
      </c>
      <c r="Z532" s="1">
        <f t="shared" si="124"/>
        <v>1</v>
      </c>
      <c r="AA532" s="1">
        <f t="shared" si="125"/>
        <v>0</v>
      </c>
    </row>
    <row r="533" spans="1:27" ht="18" customHeight="1" x14ac:dyDescent="0.3">
      <c r="A533" s="2"/>
      <c r="B533" s="65" t="str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61"/>
      <c r="D533" s="66"/>
      <c r="E533" s="66"/>
      <c r="F533" s="60"/>
      <c r="G533" s="67"/>
      <c r="H533" s="60"/>
      <c r="I533" s="68">
        <f t="shared" ca="1" si="112"/>
        <v>0</v>
      </c>
      <c r="J533" s="68">
        <f t="shared" ca="1" si="113"/>
        <v>0</v>
      </c>
      <c r="K533" s="68">
        <f t="shared" ca="1" si="114"/>
        <v>0</v>
      </c>
      <c r="L533" s="68">
        <f t="shared" ca="1" si="115"/>
        <v>0</v>
      </c>
      <c r="M533" s="69">
        <f t="shared" si="116"/>
        <v>0</v>
      </c>
      <c r="N533" s="65" t="str">
        <f t="shared" si="117"/>
        <v/>
      </c>
      <c r="O533" s="70" t="str">
        <f>IF(OR($C533="",$D533="",$F533=""),"",IF($F533="Aylık",EOMONTH($D533,0),($D533+MOD(SISTEM!$F$8-WEEKDAY($D533,2),7))))</f>
        <v/>
      </c>
      <c r="P533" s="61"/>
      <c r="Q533" s="2"/>
      <c r="R533" s="2"/>
      <c r="S533" s="1" t="str">
        <f>IF($B533="","",$B533&amp;"|"&amp;COUNTIFS($B$7:$B533,$B533))</f>
        <v/>
      </c>
      <c r="T533" s="1" t="str">
        <f t="shared" si="118"/>
        <v/>
      </c>
      <c r="U533" s="1">
        <f t="shared" si="119"/>
        <v>0</v>
      </c>
      <c r="V533" s="1">
        <f t="shared" si="120"/>
        <v>2958465</v>
      </c>
      <c r="W533" s="1">
        <f t="shared" si="121"/>
        <v>0</v>
      </c>
      <c r="X533" s="1">
        <f t="shared" si="122"/>
        <v>0</v>
      </c>
      <c r="Y533" s="1">
        <f t="shared" si="123"/>
        <v>97200</v>
      </c>
      <c r="Z533" s="1">
        <f t="shared" si="124"/>
        <v>1</v>
      </c>
      <c r="AA533" s="1">
        <f t="shared" si="125"/>
        <v>0</v>
      </c>
    </row>
    <row r="534" spans="1:27" ht="18" customHeight="1" x14ac:dyDescent="0.3">
      <c r="A534" s="2"/>
      <c r="B534" s="65" t="str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61"/>
      <c r="D534" s="66"/>
      <c r="E534" s="66"/>
      <c r="F534" s="60"/>
      <c r="G534" s="67"/>
      <c r="H534" s="60"/>
      <c r="I534" s="68">
        <f t="shared" ca="1" si="112"/>
        <v>0</v>
      </c>
      <c r="J534" s="68">
        <f t="shared" ca="1" si="113"/>
        <v>0</v>
      </c>
      <c r="K534" s="68">
        <f t="shared" ca="1" si="114"/>
        <v>0</v>
      </c>
      <c r="L534" s="68">
        <f t="shared" ca="1" si="115"/>
        <v>0</v>
      </c>
      <c r="M534" s="69">
        <f t="shared" si="116"/>
        <v>0</v>
      </c>
      <c r="N534" s="65" t="str">
        <f t="shared" si="117"/>
        <v/>
      </c>
      <c r="O534" s="70" t="str">
        <f>IF(OR($C534="",$D534="",$F534=""),"",IF($F534="Aylık",EOMONTH($D534,0),($D534+MOD(SISTEM!$F$8-WEEKDAY($D534,2),7))))</f>
        <v/>
      </c>
      <c r="P534" s="61"/>
      <c r="Q534" s="2"/>
      <c r="R534" s="2"/>
      <c r="S534" s="1" t="str">
        <f>IF($B534="","",$B534&amp;"|"&amp;COUNTIFS($B$7:$B534,$B534))</f>
        <v/>
      </c>
      <c r="T534" s="1" t="str">
        <f t="shared" si="118"/>
        <v/>
      </c>
      <c r="U534" s="1">
        <f t="shared" si="119"/>
        <v>0</v>
      </c>
      <c r="V534" s="1">
        <f t="shared" si="120"/>
        <v>2958465</v>
      </c>
      <c r="W534" s="1">
        <f t="shared" si="121"/>
        <v>0</v>
      </c>
      <c r="X534" s="1">
        <f t="shared" si="122"/>
        <v>0</v>
      </c>
      <c r="Y534" s="1">
        <f t="shared" si="123"/>
        <v>97200</v>
      </c>
      <c r="Z534" s="1">
        <f t="shared" si="124"/>
        <v>1</v>
      </c>
      <c r="AA534" s="1">
        <f t="shared" si="125"/>
        <v>0</v>
      </c>
    </row>
    <row r="535" spans="1:27" ht="18" customHeight="1" x14ac:dyDescent="0.3">
      <c r="A535" s="2"/>
      <c r="B535" s="65" t="str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61"/>
      <c r="D535" s="66"/>
      <c r="E535" s="66"/>
      <c r="F535" s="60"/>
      <c r="G535" s="67"/>
      <c r="H535" s="60"/>
      <c r="I535" s="68">
        <f t="shared" ca="1" si="112"/>
        <v>0</v>
      </c>
      <c r="J535" s="68">
        <f t="shared" ca="1" si="113"/>
        <v>0</v>
      </c>
      <c r="K535" s="68">
        <f t="shared" ca="1" si="114"/>
        <v>0</v>
      </c>
      <c r="L535" s="68">
        <f t="shared" ca="1" si="115"/>
        <v>0</v>
      </c>
      <c r="M535" s="69">
        <f t="shared" si="116"/>
        <v>0</v>
      </c>
      <c r="N535" s="65" t="str">
        <f t="shared" si="117"/>
        <v/>
      </c>
      <c r="O535" s="70" t="str">
        <f>IF(OR($C535="",$D535="",$F535=""),"",IF($F535="Aylık",EOMONTH($D535,0),($D535+MOD(SISTEM!$F$8-WEEKDAY($D535,2),7))))</f>
        <v/>
      </c>
      <c r="P535" s="61"/>
      <c r="Q535" s="2"/>
      <c r="R535" s="2"/>
      <c r="S535" s="1" t="str">
        <f>IF($B535="","",$B535&amp;"|"&amp;COUNTIFS($B$7:$B535,$B535))</f>
        <v/>
      </c>
      <c r="T535" s="1" t="str">
        <f t="shared" si="118"/>
        <v/>
      </c>
      <c r="U535" s="1">
        <f t="shared" si="119"/>
        <v>0</v>
      </c>
      <c r="V535" s="1">
        <f t="shared" si="120"/>
        <v>2958465</v>
      </c>
      <c r="W535" s="1">
        <f t="shared" si="121"/>
        <v>0</v>
      </c>
      <c r="X535" s="1">
        <f t="shared" si="122"/>
        <v>0</v>
      </c>
      <c r="Y535" s="1">
        <f t="shared" si="123"/>
        <v>97200</v>
      </c>
      <c r="Z535" s="1">
        <f t="shared" si="124"/>
        <v>1</v>
      </c>
      <c r="AA535" s="1">
        <f t="shared" si="125"/>
        <v>0</v>
      </c>
    </row>
    <row r="536" spans="1:27" ht="18" customHeight="1" x14ac:dyDescent="0.3">
      <c r="A536" s="2"/>
      <c r="B536" s="65" t="str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61"/>
      <c r="D536" s="66"/>
      <c r="E536" s="66"/>
      <c r="F536" s="60"/>
      <c r="G536" s="67"/>
      <c r="H536" s="60"/>
      <c r="I536" s="68">
        <f t="shared" ca="1" si="112"/>
        <v>0</v>
      </c>
      <c r="J536" s="68">
        <f t="shared" ca="1" si="113"/>
        <v>0</v>
      </c>
      <c r="K536" s="68">
        <f t="shared" ca="1" si="114"/>
        <v>0</v>
      </c>
      <c r="L536" s="68">
        <f t="shared" ca="1" si="115"/>
        <v>0</v>
      </c>
      <c r="M536" s="69">
        <f t="shared" si="116"/>
        <v>0</v>
      </c>
      <c r="N536" s="65" t="str">
        <f t="shared" si="117"/>
        <v/>
      </c>
      <c r="O536" s="70" t="str">
        <f>IF(OR($C536="",$D536="",$F536=""),"",IF($F536="Aylık",EOMONTH($D536,0),($D536+MOD(SISTEM!$F$8-WEEKDAY($D536,2),7))))</f>
        <v/>
      </c>
      <c r="P536" s="61"/>
      <c r="Q536" s="2"/>
      <c r="R536" s="2"/>
      <c r="S536" s="1" t="str">
        <f>IF($B536="","",$B536&amp;"|"&amp;COUNTIFS($B$7:$B536,$B536))</f>
        <v/>
      </c>
      <c r="T536" s="1" t="str">
        <f t="shared" si="118"/>
        <v/>
      </c>
      <c r="U536" s="1">
        <f t="shared" si="119"/>
        <v>0</v>
      </c>
      <c r="V536" s="1">
        <f t="shared" si="120"/>
        <v>2958465</v>
      </c>
      <c r="W536" s="1">
        <f t="shared" si="121"/>
        <v>0</v>
      </c>
      <c r="X536" s="1">
        <f t="shared" si="122"/>
        <v>0</v>
      </c>
      <c r="Y536" s="1">
        <f t="shared" si="123"/>
        <v>97200</v>
      </c>
      <c r="Z536" s="1">
        <f t="shared" si="124"/>
        <v>1</v>
      </c>
      <c r="AA536" s="1">
        <f t="shared" si="125"/>
        <v>0</v>
      </c>
    </row>
    <row r="537" spans="1:27" ht="18" customHeight="1" x14ac:dyDescent="0.3">
      <c r="A537" s="2"/>
      <c r="B537" s="65" t="str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61"/>
      <c r="D537" s="66"/>
      <c r="E537" s="66"/>
      <c r="F537" s="60"/>
      <c r="G537" s="67"/>
      <c r="H537" s="60"/>
      <c r="I537" s="68">
        <f t="shared" ca="1" si="112"/>
        <v>0</v>
      </c>
      <c r="J537" s="68">
        <f t="shared" ca="1" si="113"/>
        <v>0</v>
      </c>
      <c r="K537" s="68">
        <f t="shared" ca="1" si="114"/>
        <v>0</v>
      </c>
      <c r="L537" s="68">
        <f t="shared" ca="1" si="115"/>
        <v>0</v>
      </c>
      <c r="M537" s="69">
        <f t="shared" si="116"/>
        <v>0</v>
      </c>
      <c r="N537" s="65" t="str">
        <f t="shared" si="117"/>
        <v/>
      </c>
      <c r="O537" s="70" t="str">
        <f>IF(OR($C537="",$D537="",$F537=""),"",IF($F537="Aylık",EOMONTH($D537,0),($D537+MOD(SISTEM!$F$8-WEEKDAY($D537,2),7))))</f>
        <v/>
      </c>
      <c r="P537" s="61"/>
      <c r="Q537" s="2"/>
      <c r="R537" s="2"/>
      <c r="S537" s="1" t="str">
        <f>IF($B537="","",$B537&amp;"|"&amp;COUNTIFS($B$7:$B537,$B537))</f>
        <v/>
      </c>
      <c r="T537" s="1" t="str">
        <f t="shared" si="118"/>
        <v/>
      </c>
      <c r="U537" s="1">
        <f t="shared" si="119"/>
        <v>0</v>
      </c>
      <c r="V537" s="1">
        <f t="shared" si="120"/>
        <v>2958465</v>
      </c>
      <c r="W537" s="1">
        <f t="shared" si="121"/>
        <v>0</v>
      </c>
      <c r="X537" s="1">
        <f t="shared" si="122"/>
        <v>0</v>
      </c>
      <c r="Y537" s="1">
        <f t="shared" si="123"/>
        <v>97200</v>
      </c>
      <c r="Z537" s="1">
        <f t="shared" si="124"/>
        <v>1</v>
      </c>
      <c r="AA537" s="1">
        <f t="shared" si="125"/>
        <v>0</v>
      </c>
    </row>
    <row r="538" spans="1:27" ht="18" customHeight="1" x14ac:dyDescent="0.3">
      <c r="A538" s="2"/>
      <c r="B538" s="65" t="str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61"/>
      <c r="D538" s="66"/>
      <c r="E538" s="66"/>
      <c r="F538" s="60"/>
      <c r="G538" s="67"/>
      <c r="H538" s="60"/>
      <c r="I538" s="68">
        <f t="shared" ca="1" si="112"/>
        <v>0</v>
      </c>
      <c r="J538" s="68">
        <f t="shared" ca="1" si="113"/>
        <v>0</v>
      </c>
      <c r="K538" s="68">
        <f t="shared" ca="1" si="114"/>
        <v>0</v>
      </c>
      <c r="L538" s="68">
        <f t="shared" ca="1" si="115"/>
        <v>0</v>
      </c>
      <c r="M538" s="69">
        <f t="shared" si="116"/>
        <v>0</v>
      </c>
      <c r="N538" s="65" t="str">
        <f t="shared" si="117"/>
        <v/>
      </c>
      <c r="O538" s="70" t="str">
        <f>IF(OR($C538="",$D538="",$F538=""),"",IF($F538="Aylık",EOMONTH($D538,0),($D538+MOD(SISTEM!$F$8-WEEKDAY($D538,2),7))))</f>
        <v/>
      </c>
      <c r="P538" s="61"/>
      <c r="Q538" s="2"/>
      <c r="R538" s="2"/>
      <c r="S538" s="1" t="str">
        <f>IF($B538="","",$B538&amp;"|"&amp;COUNTIFS($B$7:$B538,$B538))</f>
        <v/>
      </c>
      <c r="T538" s="1" t="str">
        <f t="shared" si="118"/>
        <v/>
      </c>
      <c r="U538" s="1">
        <f t="shared" si="119"/>
        <v>0</v>
      </c>
      <c r="V538" s="1">
        <f t="shared" si="120"/>
        <v>2958465</v>
      </c>
      <c r="W538" s="1">
        <f t="shared" si="121"/>
        <v>0</v>
      </c>
      <c r="X538" s="1">
        <f t="shared" si="122"/>
        <v>0</v>
      </c>
      <c r="Y538" s="1">
        <f t="shared" si="123"/>
        <v>97200</v>
      </c>
      <c r="Z538" s="1">
        <f t="shared" si="124"/>
        <v>1</v>
      </c>
      <c r="AA538" s="1">
        <f t="shared" si="125"/>
        <v>0</v>
      </c>
    </row>
    <row r="539" spans="1:27" ht="18" customHeight="1" x14ac:dyDescent="0.3">
      <c r="A539" s="2"/>
      <c r="B539" s="65" t="str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61"/>
      <c r="D539" s="66"/>
      <c r="E539" s="66"/>
      <c r="F539" s="60"/>
      <c r="G539" s="67"/>
      <c r="H539" s="60"/>
      <c r="I539" s="68">
        <f t="shared" ca="1" si="112"/>
        <v>0</v>
      </c>
      <c r="J539" s="68">
        <f t="shared" ca="1" si="113"/>
        <v>0</v>
      </c>
      <c r="K539" s="68">
        <f t="shared" ca="1" si="114"/>
        <v>0</v>
      </c>
      <c r="L539" s="68">
        <f t="shared" ca="1" si="115"/>
        <v>0</v>
      </c>
      <c r="M539" s="69">
        <f t="shared" si="116"/>
        <v>0</v>
      </c>
      <c r="N539" s="65" t="str">
        <f t="shared" si="117"/>
        <v/>
      </c>
      <c r="O539" s="70" t="str">
        <f>IF(OR($C539="",$D539="",$F539=""),"",IF($F539="Aylık",EOMONTH($D539,0),($D539+MOD(SISTEM!$F$8-WEEKDAY($D539,2),7))))</f>
        <v/>
      </c>
      <c r="P539" s="61"/>
      <c r="Q539" s="2"/>
      <c r="R539" s="2"/>
      <c r="S539" s="1" t="str">
        <f>IF($B539="","",$B539&amp;"|"&amp;COUNTIFS($B$7:$B539,$B539))</f>
        <v/>
      </c>
      <c r="T539" s="1" t="str">
        <f t="shared" si="118"/>
        <v/>
      </c>
      <c r="U539" s="1">
        <f t="shared" si="119"/>
        <v>0</v>
      </c>
      <c r="V539" s="1">
        <f t="shared" si="120"/>
        <v>2958465</v>
      </c>
      <c r="W539" s="1">
        <f t="shared" si="121"/>
        <v>0</v>
      </c>
      <c r="X539" s="1">
        <f t="shared" si="122"/>
        <v>0</v>
      </c>
      <c r="Y539" s="1">
        <f t="shared" si="123"/>
        <v>97200</v>
      </c>
      <c r="Z539" s="1">
        <f t="shared" si="124"/>
        <v>1</v>
      </c>
      <c r="AA539" s="1">
        <f t="shared" si="125"/>
        <v>0</v>
      </c>
    </row>
    <row r="540" spans="1:27" ht="18" customHeight="1" x14ac:dyDescent="0.3">
      <c r="A540" s="2"/>
      <c r="B540" s="65" t="str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61"/>
      <c r="D540" s="66"/>
      <c r="E540" s="66"/>
      <c r="F540" s="60"/>
      <c r="G540" s="67"/>
      <c r="H540" s="60"/>
      <c r="I540" s="68">
        <f t="shared" ca="1" si="112"/>
        <v>0</v>
      </c>
      <c r="J540" s="68">
        <f t="shared" ca="1" si="113"/>
        <v>0</v>
      </c>
      <c r="K540" s="68">
        <f t="shared" ca="1" si="114"/>
        <v>0</v>
      </c>
      <c r="L540" s="68">
        <f t="shared" ca="1" si="115"/>
        <v>0</v>
      </c>
      <c r="M540" s="69">
        <f t="shared" si="116"/>
        <v>0</v>
      </c>
      <c r="N540" s="65" t="str">
        <f t="shared" si="117"/>
        <v/>
      </c>
      <c r="O540" s="70" t="str">
        <f>IF(OR($C540="",$D540="",$F540=""),"",IF($F540="Aylık",EOMONTH($D540,0),($D540+MOD(SISTEM!$F$8-WEEKDAY($D540,2),7))))</f>
        <v/>
      </c>
      <c r="P540" s="61"/>
      <c r="Q540" s="2"/>
      <c r="R540" s="2"/>
      <c r="S540" s="1" t="str">
        <f>IF($B540="","",$B540&amp;"|"&amp;COUNTIFS($B$7:$B540,$B540))</f>
        <v/>
      </c>
      <c r="T540" s="1" t="str">
        <f t="shared" si="118"/>
        <v/>
      </c>
      <c r="U540" s="1">
        <f t="shared" si="119"/>
        <v>0</v>
      </c>
      <c r="V540" s="1">
        <f t="shared" si="120"/>
        <v>2958465</v>
      </c>
      <c r="W540" s="1">
        <f t="shared" si="121"/>
        <v>0</v>
      </c>
      <c r="X540" s="1">
        <f t="shared" si="122"/>
        <v>0</v>
      </c>
      <c r="Y540" s="1">
        <f t="shared" si="123"/>
        <v>97200</v>
      </c>
      <c r="Z540" s="1">
        <f t="shared" si="124"/>
        <v>1</v>
      </c>
      <c r="AA540" s="1">
        <f t="shared" si="125"/>
        <v>0</v>
      </c>
    </row>
    <row r="541" spans="1:27" ht="18" customHeight="1" x14ac:dyDescent="0.3">
      <c r="A541" s="2"/>
      <c r="B541" s="65" t="str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61"/>
      <c r="D541" s="66"/>
      <c r="E541" s="66"/>
      <c r="F541" s="60"/>
      <c r="G541" s="67"/>
      <c r="H541" s="60"/>
      <c r="I541" s="68">
        <f t="shared" ca="1" si="112"/>
        <v>0</v>
      </c>
      <c r="J541" s="68">
        <f t="shared" ca="1" si="113"/>
        <v>0</v>
      </c>
      <c r="K541" s="68">
        <f t="shared" ca="1" si="114"/>
        <v>0</v>
      </c>
      <c r="L541" s="68">
        <f t="shared" ca="1" si="115"/>
        <v>0</v>
      </c>
      <c r="M541" s="69">
        <f t="shared" si="116"/>
        <v>0</v>
      </c>
      <c r="N541" s="65" t="str">
        <f t="shared" si="117"/>
        <v/>
      </c>
      <c r="O541" s="70" t="str">
        <f>IF(OR($C541="",$D541="",$F541=""),"",IF($F541="Aylık",EOMONTH($D541,0),($D541+MOD(SISTEM!$F$8-WEEKDAY($D541,2),7))))</f>
        <v/>
      </c>
      <c r="P541" s="61"/>
      <c r="Q541" s="2"/>
      <c r="R541" s="2"/>
      <c r="S541" s="1" t="str">
        <f>IF($B541="","",$B541&amp;"|"&amp;COUNTIFS($B$7:$B541,$B541))</f>
        <v/>
      </c>
      <c r="T541" s="1" t="str">
        <f t="shared" si="118"/>
        <v/>
      </c>
      <c r="U541" s="1">
        <f t="shared" si="119"/>
        <v>0</v>
      </c>
      <c r="V541" s="1">
        <f t="shared" si="120"/>
        <v>2958465</v>
      </c>
      <c r="W541" s="1">
        <f t="shared" si="121"/>
        <v>0</v>
      </c>
      <c r="X541" s="1">
        <f t="shared" si="122"/>
        <v>0</v>
      </c>
      <c r="Y541" s="1">
        <f t="shared" si="123"/>
        <v>97200</v>
      </c>
      <c r="Z541" s="1">
        <f t="shared" si="124"/>
        <v>1</v>
      </c>
      <c r="AA541" s="1">
        <f t="shared" si="125"/>
        <v>0</v>
      </c>
    </row>
    <row r="542" spans="1:27" ht="18" customHeight="1" x14ac:dyDescent="0.3">
      <c r="A542" s="2"/>
      <c r="B542" s="65" t="str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61"/>
      <c r="D542" s="66"/>
      <c r="E542" s="66"/>
      <c r="F542" s="60"/>
      <c r="G542" s="67"/>
      <c r="H542" s="60"/>
      <c r="I542" s="68">
        <f t="shared" ca="1" si="112"/>
        <v>0</v>
      </c>
      <c r="J542" s="68">
        <f t="shared" ca="1" si="113"/>
        <v>0</v>
      </c>
      <c r="K542" s="68">
        <f t="shared" ca="1" si="114"/>
        <v>0</v>
      </c>
      <c r="L542" s="68">
        <f t="shared" ca="1" si="115"/>
        <v>0</v>
      </c>
      <c r="M542" s="69">
        <f t="shared" si="116"/>
        <v>0</v>
      </c>
      <c r="N542" s="65" t="str">
        <f t="shared" si="117"/>
        <v/>
      </c>
      <c r="O542" s="70" t="str">
        <f>IF(OR($C542="",$D542="",$F542=""),"",IF($F542="Aylık",EOMONTH($D542,0),($D542+MOD(SISTEM!$F$8-WEEKDAY($D542,2),7))))</f>
        <v/>
      </c>
      <c r="P542" s="61"/>
      <c r="Q542" s="2"/>
      <c r="R542" s="2"/>
      <c r="S542" s="1" t="str">
        <f>IF($B542="","",$B542&amp;"|"&amp;COUNTIFS($B$7:$B542,$B542))</f>
        <v/>
      </c>
      <c r="T542" s="1" t="str">
        <f t="shared" si="118"/>
        <v/>
      </c>
      <c r="U542" s="1">
        <f t="shared" si="119"/>
        <v>0</v>
      </c>
      <c r="V542" s="1">
        <f t="shared" si="120"/>
        <v>2958465</v>
      </c>
      <c r="W542" s="1">
        <f t="shared" si="121"/>
        <v>0</v>
      </c>
      <c r="X542" s="1">
        <f t="shared" si="122"/>
        <v>0</v>
      </c>
      <c r="Y542" s="1">
        <f t="shared" si="123"/>
        <v>97200</v>
      </c>
      <c r="Z542" s="1">
        <f t="shared" si="124"/>
        <v>1</v>
      </c>
      <c r="AA542" s="1">
        <f t="shared" si="125"/>
        <v>0</v>
      </c>
    </row>
    <row r="543" spans="1:27" ht="18" customHeight="1" x14ac:dyDescent="0.3">
      <c r="A543" s="2"/>
      <c r="B543" s="65" t="str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61"/>
      <c r="D543" s="66"/>
      <c r="E543" s="66"/>
      <c r="F543" s="60"/>
      <c r="G543" s="67"/>
      <c r="H543" s="60"/>
      <c r="I543" s="68">
        <f t="shared" ca="1" si="112"/>
        <v>0</v>
      </c>
      <c r="J543" s="68">
        <f t="shared" ca="1" si="113"/>
        <v>0</v>
      </c>
      <c r="K543" s="68">
        <f t="shared" ca="1" si="114"/>
        <v>0</v>
      </c>
      <c r="L543" s="68">
        <f t="shared" ca="1" si="115"/>
        <v>0</v>
      </c>
      <c r="M543" s="69">
        <f t="shared" si="116"/>
        <v>0</v>
      </c>
      <c r="N543" s="65" t="str">
        <f t="shared" si="117"/>
        <v/>
      </c>
      <c r="O543" s="70" t="str">
        <f>IF(OR($C543="",$D543="",$F543=""),"",IF($F543="Aylık",EOMONTH($D543,0),($D543+MOD(SISTEM!$F$8-WEEKDAY($D543,2),7))))</f>
        <v/>
      </c>
      <c r="P543" s="61"/>
      <c r="Q543" s="2"/>
      <c r="R543" s="2"/>
      <c r="S543" s="1" t="str">
        <f>IF($B543="","",$B543&amp;"|"&amp;COUNTIFS($B$7:$B543,$B543))</f>
        <v/>
      </c>
      <c r="T543" s="1" t="str">
        <f t="shared" si="118"/>
        <v/>
      </c>
      <c r="U543" s="1">
        <f t="shared" si="119"/>
        <v>0</v>
      </c>
      <c r="V543" s="1">
        <f t="shared" si="120"/>
        <v>2958465</v>
      </c>
      <c r="W543" s="1">
        <f t="shared" si="121"/>
        <v>0</v>
      </c>
      <c r="X543" s="1">
        <f t="shared" si="122"/>
        <v>0</v>
      </c>
      <c r="Y543" s="1">
        <f t="shared" si="123"/>
        <v>97200</v>
      </c>
      <c r="Z543" s="1">
        <f t="shared" si="124"/>
        <v>1</v>
      </c>
      <c r="AA543" s="1">
        <f t="shared" si="125"/>
        <v>0</v>
      </c>
    </row>
    <row r="544" spans="1:27" ht="18" customHeight="1" x14ac:dyDescent="0.3">
      <c r="A544" s="2"/>
      <c r="B544" s="65" t="str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61"/>
      <c r="D544" s="66"/>
      <c r="E544" s="66"/>
      <c r="F544" s="60"/>
      <c r="G544" s="67"/>
      <c r="H544" s="60"/>
      <c r="I544" s="68">
        <f t="shared" ca="1" si="112"/>
        <v>0</v>
      </c>
      <c r="J544" s="68">
        <f t="shared" ca="1" si="113"/>
        <v>0</v>
      </c>
      <c r="K544" s="68">
        <f t="shared" ca="1" si="114"/>
        <v>0</v>
      </c>
      <c r="L544" s="68">
        <f t="shared" ca="1" si="115"/>
        <v>0</v>
      </c>
      <c r="M544" s="69">
        <f t="shared" si="116"/>
        <v>0</v>
      </c>
      <c r="N544" s="65" t="str">
        <f t="shared" si="117"/>
        <v/>
      </c>
      <c r="O544" s="70" t="str">
        <f>IF(OR($C544="",$D544="",$F544=""),"",IF($F544="Aylık",EOMONTH($D544,0),($D544+MOD(SISTEM!$F$8-WEEKDAY($D544,2),7))))</f>
        <v/>
      </c>
      <c r="P544" s="61"/>
      <c r="Q544" s="2"/>
      <c r="R544" s="2"/>
      <c r="S544" s="1" t="str">
        <f>IF($B544="","",$B544&amp;"|"&amp;COUNTIFS($B$7:$B544,$B544))</f>
        <v/>
      </c>
      <c r="T544" s="1" t="str">
        <f t="shared" si="118"/>
        <v/>
      </c>
      <c r="U544" s="1">
        <f t="shared" si="119"/>
        <v>0</v>
      </c>
      <c r="V544" s="1">
        <f t="shared" si="120"/>
        <v>2958465</v>
      </c>
      <c r="W544" s="1">
        <f t="shared" si="121"/>
        <v>0</v>
      </c>
      <c r="X544" s="1">
        <f t="shared" si="122"/>
        <v>0</v>
      </c>
      <c r="Y544" s="1">
        <f t="shared" si="123"/>
        <v>97200</v>
      </c>
      <c r="Z544" s="1">
        <f t="shared" si="124"/>
        <v>1</v>
      </c>
      <c r="AA544" s="1">
        <f t="shared" si="125"/>
        <v>0</v>
      </c>
    </row>
    <row r="545" spans="1:27" ht="18" customHeight="1" x14ac:dyDescent="0.3">
      <c r="A545" s="2"/>
      <c r="B545" s="65" t="str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61"/>
      <c r="D545" s="66"/>
      <c r="E545" s="66"/>
      <c r="F545" s="60"/>
      <c r="G545" s="67"/>
      <c r="H545" s="60"/>
      <c r="I545" s="68">
        <f t="shared" ca="1" si="112"/>
        <v>0</v>
      </c>
      <c r="J545" s="68">
        <f t="shared" ca="1" si="113"/>
        <v>0</v>
      </c>
      <c r="K545" s="68">
        <f t="shared" ca="1" si="114"/>
        <v>0</v>
      </c>
      <c r="L545" s="68">
        <f t="shared" ca="1" si="115"/>
        <v>0</v>
      </c>
      <c r="M545" s="69">
        <f t="shared" si="116"/>
        <v>0</v>
      </c>
      <c r="N545" s="65" t="str">
        <f t="shared" si="117"/>
        <v/>
      </c>
      <c r="O545" s="70" t="str">
        <f>IF(OR($C545="",$D545="",$F545=""),"",IF($F545="Aylık",EOMONTH($D545,0),($D545+MOD(SISTEM!$F$8-WEEKDAY($D545,2),7))))</f>
        <v/>
      </c>
      <c r="P545" s="61"/>
      <c r="Q545" s="2"/>
      <c r="R545" s="2"/>
      <c r="S545" s="1" t="str">
        <f>IF($B545="","",$B545&amp;"|"&amp;COUNTIFS($B$7:$B545,$B545))</f>
        <v/>
      </c>
      <c r="T545" s="1" t="str">
        <f t="shared" si="118"/>
        <v/>
      </c>
      <c r="U545" s="1">
        <f t="shared" si="119"/>
        <v>0</v>
      </c>
      <c r="V545" s="1">
        <f t="shared" si="120"/>
        <v>2958465</v>
      </c>
      <c r="W545" s="1">
        <f t="shared" si="121"/>
        <v>0</v>
      </c>
      <c r="X545" s="1">
        <f t="shared" si="122"/>
        <v>0</v>
      </c>
      <c r="Y545" s="1">
        <f t="shared" si="123"/>
        <v>97200</v>
      </c>
      <c r="Z545" s="1">
        <f t="shared" si="124"/>
        <v>1</v>
      </c>
      <c r="AA545" s="1">
        <f t="shared" si="125"/>
        <v>0</v>
      </c>
    </row>
    <row r="546" spans="1:27" ht="18" customHeight="1" x14ac:dyDescent="0.3">
      <c r="A546" s="2"/>
      <c r="B546" s="65" t="str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61"/>
      <c r="D546" s="66"/>
      <c r="E546" s="66"/>
      <c r="F546" s="60"/>
      <c r="G546" s="67"/>
      <c r="H546" s="60"/>
      <c r="I546" s="68">
        <f t="shared" ca="1" si="112"/>
        <v>0</v>
      </c>
      <c r="J546" s="68">
        <f t="shared" ca="1" si="113"/>
        <v>0</v>
      </c>
      <c r="K546" s="68">
        <f t="shared" ca="1" si="114"/>
        <v>0</v>
      </c>
      <c r="L546" s="68">
        <f t="shared" ca="1" si="115"/>
        <v>0</v>
      </c>
      <c r="M546" s="69">
        <f t="shared" si="116"/>
        <v>0</v>
      </c>
      <c r="N546" s="65" t="str">
        <f t="shared" si="117"/>
        <v/>
      </c>
      <c r="O546" s="70" t="str">
        <f>IF(OR($C546="",$D546="",$F546=""),"",IF($F546="Aylık",EOMONTH($D546,0),($D546+MOD(SISTEM!$F$8-WEEKDAY($D546,2),7))))</f>
        <v/>
      </c>
      <c r="P546" s="61"/>
      <c r="Q546" s="2"/>
      <c r="R546" s="2"/>
      <c r="S546" s="1" t="str">
        <f>IF($B546="","",$B546&amp;"|"&amp;COUNTIFS($B$7:$B546,$B546))</f>
        <v/>
      </c>
      <c r="T546" s="1" t="str">
        <f t="shared" si="118"/>
        <v/>
      </c>
      <c r="U546" s="1">
        <f t="shared" si="119"/>
        <v>0</v>
      </c>
      <c r="V546" s="1">
        <f t="shared" si="120"/>
        <v>2958465</v>
      </c>
      <c r="W546" s="1">
        <f t="shared" si="121"/>
        <v>0</v>
      </c>
      <c r="X546" s="1">
        <f t="shared" si="122"/>
        <v>0</v>
      </c>
      <c r="Y546" s="1">
        <f t="shared" si="123"/>
        <v>97200</v>
      </c>
      <c r="Z546" s="1">
        <f t="shared" si="124"/>
        <v>1</v>
      </c>
      <c r="AA546" s="1">
        <f t="shared" si="125"/>
        <v>0</v>
      </c>
    </row>
    <row r="547" spans="1:27" ht="18" customHeight="1" x14ac:dyDescent="0.3">
      <c r="A547" s="2"/>
      <c r="B547" s="65" t="str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61"/>
      <c r="D547" s="66"/>
      <c r="E547" s="66"/>
      <c r="F547" s="60"/>
      <c r="G547" s="67"/>
      <c r="H547" s="60"/>
      <c r="I547" s="68">
        <f t="shared" ca="1" si="112"/>
        <v>0</v>
      </c>
      <c r="J547" s="68">
        <f t="shared" ca="1" si="113"/>
        <v>0</v>
      </c>
      <c r="K547" s="68">
        <f t="shared" ca="1" si="114"/>
        <v>0</v>
      </c>
      <c r="L547" s="68">
        <f t="shared" ca="1" si="115"/>
        <v>0</v>
      </c>
      <c r="M547" s="69">
        <f t="shared" si="116"/>
        <v>0</v>
      </c>
      <c r="N547" s="65" t="str">
        <f t="shared" si="117"/>
        <v/>
      </c>
      <c r="O547" s="70" t="str">
        <f>IF(OR($C547="",$D547="",$F547=""),"",IF($F547="Aylık",EOMONTH($D547,0),($D547+MOD(SISTEM!$F$8-WEEKDAY($D547,2),7))))</f>
        <v/>
      </c>
      <c r="P547" s="61"/>
      <c r="Q547" s="2"/>
      <c r="R547" s="2"/>
      <c r="S547" s="1" t="str">
        <f>IF($B547="","",$B547&amp;"|"&amp;COUNTIFS($B$7:$B547,$B547))</f>
        <v/>
      </c>
      <c r="T547" s="1" t="str">
        <f t="shared" si="118"/>
        <v/>
      </c>
      <c r="U547" s="1">
        <f t="shared" si="119"/>
        <v>0</v>
      </c>
      <c r="V547" s="1">
        <f t="shared" si="120"/>
        <v>2958465</v>
      </c>
      <c r="W547" s="1">
        <f t="shared" si="121"/>
        <v>0</v>
      </c>
      <c r="X547" s="1">
        <f t="shared" si="122"/>
        <v>0</v>
      </c>
      <c r="Y547" s="1">
        <f t="shared" si="123"/>
        <v>97200</v>
      </c>
      <c r="Z547" s="1">
        <f t="shared" si="124"/>
        <v>1</v>
      </c>
      <c r="AA547" s="1">
        <f t="shared" si="125"/>
        <v>0</v>
      </c>
    </row>
    <row r="548" spans="1:27" ht="18" customHeight="1" x14ac:dyDescent="0.3">
      <c r="A548" s="2"/>
      <c r="B548" s="65" t="str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61"/>
      <c r="D548" s="66"/>
      <c r="E548" s="66"/>
      <c r="F548" s="60"/>
      <c r="G548" s="67"/>
      <c r="H548" s="60"/>
      <c r="I548" s="68">
        <f t="shared" ca="1" si="112"/>
        <v>0</v>
      </c>
      <c r="J548" s="68">
        <f t="shared" ca="1" si="113"/>
        <v>0</v>
      </c>
      <c r="K548" s="68">
        <f t="shared" ca="1" si="114"/>
        <v>0</v>
      </c>
      <c r="L548" s="68">
        <f t="shared" ca="1" si="115"/>
        <v>0</v>
      </c>
      <c r="M548" s="69">
        <f t="shared" si="116"/>
        <v>0</v>
      </c>
      <c r="N548" s="65" t="str">
        <f t="shared" si="117"/>
        <v/>
      </c>
      <c r="O548" s="70" t="str">
        <f>IF(OR($C548="",$D548="",$F548=""),"",IF($F548="Aylık",EOMONTH($D548,0),($D548+MOD(SISTEM!$F$8-WEEKDAY($D548,2),7))))</f>
        <v/>
      </c>
      <c r="P548" s="61"/>
      <c r="Q548" s="2"/>
      <c r="R548" s="2"/>
      <c r="S548" s="1" t="str">
        <f>IF($B548="","",$B548&amp;"|"&amp;COUNTIFS($B$7:$B548,$B548))</f>
        <v/>
      </c>
      <c r="T548" s="1" t="str">
        <f t="shared" si="118"/>
        <v/>
      </c>
      <c r="U548" s="1">
        <f t="shared" si="119"/>
        <v>0</v>
      </c>
      <c r="V548" s="1">
        <f t="shared" si="120"/>
        <v>2958465</v>
      </c>
      <c r="W548" s="1">
        <f t="shared" si="121"/>
        <v>0</v>
      </c>
      <c r="X548" s="1">
        <f t="shared" si="122"/>
        <v>0</v>
      </c>
      <c r="Y548" s="1">
        <f t="shared" si="123"/>
        <v>97200</v>
      </c>
      <c r="Z548" s="1">
        <f t="shared" si="124"/>
        <v>1</v>
      </c>
      <c r="AA548" s="1">
        <f t="shared" si="125"/>
        <v>0</v>
      </c>
    </row>
    <row r="549" spans="1:27" ht="18" customHeight="1" x14ac:dyDescent="0.3">
      <c r="A549" s="2"/>
      <c r="B549" s="65" t="str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61"/>
      <c r="D549" s="66"/>
      <c r="E549" s="66"/>
      <c r="F549" s="60"/>
      <c r="G549" s="67"/>
      <c r="H549" s="60"/>
      <c r="I549" s="68">
        <f t="shared" ca="1" si="112"/>
        <v>0</v>
      </c>
      <c r="J549" s="68">
        <f t="shared" ca="1" si="113"/>
        <v>0</v>
      </c>
      <c r="K549" s="68">
        <f t="shared" ca="1" si="114"/>
        <v>0</v>
      </c>
      <c r="L549" s="68">
        <f t="shared" ca="1" si="115"/>
        <v>0</v>
      </c>
      <c r="M549" s="69">
        <f t="shared" si="116"/>
        <v>0</v>
      </c>
      <c r="N549" s="65" t="str">
        <f t="shared" si="117"/>
        <v/>
      </c>
      <c r="O549" s="70" t="str">
        <f>IF(OR($C549="",$D549="",$F549=""),"",IF($F549="Aylık",EOMONTH($D549,0),($D549+MOD(SISTEM!$F$8-WEEKDAY($D549,2),7))))</f>
        <v/>
      </c>
      <c r="P549" s="61"/>
      <c r="Q549" s="2"/>
      <c r="R549" s="2"/>
      <c r="S549" s="1" t="str">
        <f>IF($B549="","",$B549&amp;"|"&amp;COUNTIFS($B$7:$B549,$B549))</f>
        <v/>
      </c>
      <c r="T549" s="1" t="str">
        <f t="shared" si="118"/>
        <v/>
      </c>
      <c r="U549" s="1">
        <f t="shared" si="119"/>
        <v>0</v>
      </c>
      <c r="V549" s="1">
        <f t="shared" si="120"/>
        <v>2958465</v>
      </c>
      <c r="W549" s="1">
        <f t="shared" si="121"/>
        <v>0</v>
      </c>
      <c r="X549" s="1">
        <f t="shared" si="122"/>
        <v>0</v>
      </c>
      <c r="Y549" s="1">
        <f t="shared" si="123"/>
        <v>97200</v>
      </c>
      <c r="Z549" s="1">
        <f t="shared" si="124"/>
        <v>1</v>
      </c>
      <c r="AA549" s="1">
        <f t="shared" si="125"/>
        <v>0</v>
      </c>
    </row>
    <row r="550" spans="1:27" ht="18" customHeight="1" x14ac:dyDescent="0.3">
      <c r="A550" s="2"/>
      <c r="B550" s="65" t="str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61"/>
      <c r="D550" s="66"/>
      <c r="E550" s="66"/>
      <c r="F550" s="60"/>
      <c r="G550" s="67"/>
      <c r="H550" s="60"/>
      <c r="I550" s="68">
        <f t="shared" ca="1" si="112"/>
        <v>0</v>
      </c>
      <c r="J550" s="68">
        <f t="shared" ca="1" si="113"/>
        <v>0</v>
      </c>
      <c r="K550" s="68">
        <f t="shared" ca="1" si="114"/>
        <v>0</v>
      </c>
      <c r="L550" s="68">
        <f t="shared" ca="1" si="115"/>
        <v>0</v>
      </c>
      <c r="M550" s="69">
        <f t="shared" si="116"/>
        <v>0</v>
      </c>
      <c r="N550" s="65" t="str">
        <f t="shared" si="117"/>
        <v/>
      </c>
      <c r="O550" s="70" t="str">
        <f>IF(OR($C550="",$D550="",$F550=""),"",IF($F550="Aylık",EOMONTH($D550,0),($D550+MOD(SISTEM!$F$8-WEEKDAY($D550,2),7))))</f>
        <v/>
      </c>
      <c r="P550" s="61"/>
      <c r="Q550" s="2"/>
      <c r="R550" s="2"/>
      <c r="S550" s="1" t="str">
        <f>IF($B550="","",$B550&amp;"|"&amp;COUNTIFS($B$7:$B550,$B550))</f>
        <v/>
      </c>
      <c r="T550" s="1" t="str">
        <f t="shared" si="118"/>
        <v/>
      </c>
      <c r="U550" s="1">
        <f t="shared" si="119"/>
        <v>0</v>
      </c>
      <c r="V550" s="1">
        <f t="shared" si="120"/>
        <v>2958465</v>
      </c>
      <c r="W550" s="1">
        <f t="shared" si="121"/>
        <v>0</v>
      </c>
      <c r="X550" s="1">
        <f t="shared" si="122"/>
        <v>0</v>
      </c>
      <c r="Y550" s="1">
        <f t="shared" si="123"/>
        <v>97200</v>
      </c>
      <c r="Z550" s="1">
        <f t="shared" si="124"/>
        <v>1</v>
      </c>
      <c r="AA550" s="1">
        <f t="shared" si="125"/>
        <v>0</v>
      </c>
    </row>
    <row r="551" spans="1:27" ht="18" customHeight="1" x14ac:dyDescent="0.3">
      <c r="A551" s="2"/>
      <c r="B551" s="65" t="str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61"/>
      <c r="D551" s="66"/>
      <c r="E551" s="66"/>
      <c r="F551" s="60"/>
      <c r="G551" s="67"/>
      <c r="H551" s="60"/>
      <c r="I551" s="68">
        <f t="shared" ca="1" si="112"/>
        <v>0</v>
      </c>
      <c r="J551" s="68">
        <f t="shared" ca="1" si="113"/>
        <v>0</v>
      </c>
      <c r="K551" s="68">
        <f t="shared" ca="1" si="114"/>
        <v>0</v>
      </c>
      <c r="L551" s="68">
        <f t="shared" ca="1" si="115"/>
        <v>0</v>
      </c>
      <c r="M551" s="69">
        <f t="shared" si="116"/>
        <v>0</v>
      </c>
      <c r="N551" s="65" t="str">
        <f t="shared" si="117"/>
        <v/>
      </c>
      <c r="O551" s="70" t="str">
        <f>IF(OR($C551="",$D551="",$F551=""),"",IF($F551="Aylık",EOMONTH($D551,0),($D551+MOD(SISTEM!$F$8-WEEKDAY($D551,2),7))))</f>
        <v/>
      </c>
      <c r="P551" s="61"/>
      <c r="Q551" s="2"/>
      <c r="R551" s="2"/>
      <c r="S551" s="1" t="str">
        <f>IF($B551="","",$B551&amp;"|"&amp;COUNTIFS($B$7:$B551,$B551))</f>
        <v/>
      </c>
      <c r="T551" s="1" t="str">
        <f t="shared" si="118"/>
        <v/>
      </c>
      <c r="U551" s="1">
        <f t="shared" si="119"/>
        <v>0</v>
      </c>
      <c r="V551" s="1">
        <f t="shared" si="120"/>
        <v>2958465</v>
      </c>
      <c r="W551" s="1">
        <f t="shared" si="121"/>
        <v>0</v>
      </c>
      <c r="X551" s="1">
        <f t="shared" si="122"/>
        <v>0</v>
      </c>
      <c r="Y551" s="1">
        <f t="shared" si="123"/>
        <v>97200</v>
      </c>
      <c r="Z551" s="1">
        <f t="shared" si="124"/>
        <v>1</v>
      </c>
      <c r="AA551" s="1">
        <f t="shared" si="125"/>
        <v>0</v>
      </c>
    </row>
    <row r="552" spans="1:27" ht="18" customHeight="1" x14ac:dyDescent="0.3">
      <c r="A552" s="2"/>
      <c r="B552" s="65" t="str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61"/>
      <c r="D552" s="66"/>
      <c r="E552" s="66"/>
      <c r="F552" s="60"/>
      <c r="G552" s="67"/>
      <c r="H552" s="60"/>
      <c r="I552" s="68">
        <f t="shared" ca="1" si="112"/>
        <v>0</v>
      </c>
      <c r="J552" s="68">
        <f t="shared" ca="1" si="113"/>
        <v>0</v>
      </c>
      <c r="K552" s="68">
        <f t="shared" ca="1" si="114"/>
        <v>0</v>
      </c>
      <c r="L552" s="68">
        <f t="shared" ca="1" si="115"/>
        <v>0</v>
      </c>
      <c r="M552" s="69">
        <f t="shared" si="116"/>
        <v>0</v>
      </c>
      <c r="N552" s="65" t="str">
        <f t="shared" si="117"/>
        <v/>
      </c>
      <c r="O552" s="70" t="str">
        <f>IF(OR($C552="",$D552="",$F552=""),"",IF($F552="Aylık",EOMONTH($D552,0),($D552+MOD(SISTEM!$F$8-WEEKDAY($D552,2),7))))</f>
        <v/>
      </c>
      <c r="P552" s="61"/>
      <c r="Q552" s="2"/>
      <c r="R552" s="2"/>
      <c r="S552" s="1" t="str">
        <f>IF($B552="","",$B552&amp;"|"&amp;COUNTIFS($B$7:$B552,$B552))</f>
        <v/>
      </c>
      <c r="T552" s="1" t="str">
        <f t="shared" si="118"/>
        <v/>
      </c>
      <c r="U552" s="1">
        <f t="shared" si="119"/>
        <v>0</v>
      </c>
      <c r="V552" s="1">
        <f t="shared" si="120"/>
        <v>2958465</v>
      </c>
      <c r="W552" s="1">
        <f t="shared" si="121"/>
        <v>0</v>
      </c>
      <c r="X552" s="1">
        <f t="shared" si="122"/>
        <v>0</v>
      </c>
      <c r="Y552" s="1">
        <f t="shared" si="123"/>
        <v>97200</v>
      </c>
      <c r="Z552" s="1">
        <f t="shared" si="124"/>
        <v>1</v>
      </c>
      <c r="AA552" s="1">
        <f t="shared" si="125"/>
        <v>0</v>
      </c>
    </row>
    <row r="553" spans="1:27" ht="18" customHeight="1" x14ac:dyDescent="0.3">
      <c r="A553" s="2"/>
      <c r="B553" s="65" t="str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61"/>
      <c r="D553" s="66"/>
      <c r="E553" s="66"/>
      <c r="F553" s="60"/>
      <c r="G553" s="67"/>
      <c r="H553" s="60"/>
      <c r="I553" s="68">
        <f t="shared" ca="1" si="112"/>
        <v>0</v>
      </c>
      <c r="J553" s="68">
        <f t="shared" ca="1" si="113"/>
        <v>0</v>
      </c>
      <c r="K553" s="68">
        <f t="shared" ca="1" si="114"/>
        <v>0</v>
      </c>
      <c r="L553" s="68">
        <f t="shared" ca="1" si="115"/>
        <v>0</v>
      </c>
      <c r="M553" s="69">
        <f t="shared" si="116"/>
        <v>0</v>
      </c>
      <c r="N553" s="65" t="str">
        <f t="shared" si="117"/>
        <v/>
      </c>
      <c r="O553" s="70" t="str">
        <f>IF(OR($C553="",$D553="",$F553=""),"",IF($F553="Aylık",EOMONTH($D553,0),($D553+MOD(SISTEM!$F$8-WEEKDAY($D553,2),7))))</f>
        <v/>
      </c>
      <c r="P553" s="61"/>
      <c r="Q553" s="2"/>
      <c r="R553" s="2"/>
      <c r="S553" s="1" t="str">
        <f>IF($B553="","",$B553&amp;"|"&amp;COUNTIFS($B$7:$B553,$B553))</f>
        <v/>
      </c>
      <c r="T553" s="1" t="str">
        <f t="shared" si="118"/>
        <v/>
      </c>
      <c r="U553" s="1">
        <f t="shared" si="119"/>
        <v>0</v>
      </c>
      <c r="V553" s="1">
        <f t="shared" si="120"/>
        <v>2958465</v>
      </c>
      <c r="W553" s="1">
        <f t="shared" si="121"/>
        <v>0</v>
      </c>
      <c r="X553" s="1">
        <f t="shared" si="122"/>
        <v>0</v>
      </c>
      <c r="Y553" s="1">
        <f t="shared" si="123"/>
        <v>97200</v>
      </c>
      <c r="Z553" s="1">
        <f t="shared" si="124"/>
        <v>1</v>
      </c>
      <c r="AA553" s="1">
        <f t="shared" si="125"/>
        <v>0</v>
      </c>
    </row>
    <row r="554" spans="1:27" ht="18" customHeight="1" x14ac:dyDescent="0.3">
      <c r="A554" s="2"/>
      <c r="B554" s="65" t="str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61"/>
      <c r="D554" s="66"/>
      <c r="E554" s="66"/>
      <c r="F554" s="60"/>
      <c r="G554" s="67"/>
      <c r="H554" s="60"/>
      <c r="I554" s="68">
        <f t="shared" ca="1" si="112"/>
        <v>0</v>
      </c>
      <c r="J554" s="68">
        <f t="shared" ca="1" si="113"/>
        <v>0</v>
      </c>
      <c r="K554" s="68">
        <f t="shared" ca="1" si="114"/>
        <v>0</v>
      </c>
      <c r="L554" s="68">
        <f t="shared" ca="1" si="115"/>
        <v>0</v>
      </c>
      <c r="M554" s="69">
        <f t="shared" si="116"/>
        <v>0</v>
      </c>
      <c r="N554" s="65" t="str">
        <f t="shared" si="117"/>
        <v/>
      </c>
      <c r="O554" s="70" t="str">
        <f>IF(OR($C554="",$D554="",$F554=""),"",IF($F554="Aylık",EOMONTH($D554,0),($D554+MOD(SISTEM!$F$8-WEEKDAY($D554,2),7))))</f>
        <v/>
      </c>
      <c r="P554" s="61"/>
      <c r="Q554" s="2"/>
      <c r="R554" s="2"/>
      <c r="S554" s="1" t="str">
        <f>IF($B554="","",$B554&amp;"|"&amp;COUNTIFS($B$7:$B554,$B554))</f>
        <v/>
      </c>
      <c r="T554" s="1" t="str">
        <f t="shared" si="118"/>
        <v/>
      </c>
      <c r="U554" s="1">
        <f t="shared" si="119"/>
        <v>0</v>
      </c>
      <c r="V554" s="1">
        <f t="shared" si="120"/>
        <v>2958465</v>
      </c>
      <c r="W554" s="1">
        <f t="shared" si="121"/>
        <v>0</v>
      </c>
      <c r="X554" s="1">
        <f t="shared" si="122"/>
        <v>0</v>
      </c>
      <c r="Y554" s="1">
        <f t="shared" si="123"/>
        <v>97200</v>
      </c>
      <c r="Z554" s="1">
        <f t="shared" si="124"/>
        <v>1</v>
      </c>
      <c r="AA554" s="1">
        <f t="shared" si="125"/>
        <v>0</v>
      </c>
    </row>
    <row r="555" spans="1:27" ht="18" customHeight="1" x14ac:dyDescent="0.3">
      <c r="A555" s="2"/>
      <c r="B555" s="65" t="str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61"/>
      <c r="D555" s="66"/>
      <c r="E555" s="66"/>
      <c r="F555" s="60"/>
      <c r="G555" s="67"/>
      <c r="H555" s="60"/>
      <c r="I555" s="68">
        <f t="shared" ca="1" si="112"/>
        <v>0</v>
      </c>
      <c r="J555" s="68">
        <f t="shared" ca="1" si="113"/>
        <v>0</v>
      </c>
      <c r="K555" s="68">
        <f t="shared" ca="1" si="114"/>
        <v>0</v>
      </c>
      <c r="L555" s="68">
        <f t="shared" ca="1" si="115"/>
        <v>0</v>
      </c>
      <c r="M555" s="69">
        <f t="shared" si="116"/>
        <v>0</v>
      </c>
      <c r="N555" s="65" t="str">
        <f t="shared" si="117"/>
        <v/>
      </c>
      <c r="O555" s="70" t="str">
        <f>IF(OR($C555="",$D555="",$F555=""),"",IF($F555="Aylık",EOMONTH($D555,0),($D555+MOD(SISTEM!$F$8-WEEKDAY($D555,2),7))))</f>
        <v/>
      </c>
      <c r="P555" s="61"/>
      <c r="Q555" s="2"/>
      <c r="R555" s="2"/>
      <c r="S555" s="1" t="str">
        <f>IF($B555="","",$B555&amp;"|"&amp;COUNTIFS($B$7:$B555,$B555))</f>
        <v/>
      </c>
      <c r="T555" s="1" t="str">
        <f t="shared" si="118"/>
        <v/>
      </c>
      <c r="U555" s="1">
        <f t="shared" si="119"/>
        <v>0</v>
      </c>
      <c r="V555" s="1">
        <f t="shared" si="120"/>
        <v>2958465</v>
      </c>
      <c r="W555" s="1">
        <f t="shared" si="121"/>
        <v>0</v>
      </c>
      <c r="X555" s="1">
        <f t="shared" si="122"/>
        <v>0</v>
      </c>
      <c r="Y555" s="1">
        <f t="shared" si="123"/>
        <v>97200</v>
      </c>
      <c r="Z555" s="1">
        <f t="shared" si="124"/>
        <v>1</v>
      </c>
      <c r="AA555" s="1">
        <f t="shared" si="125"/>
        <v>0</v>
      </c>
    </row>
    <row r="556" spans="1:27" ht="18" customHeight="1" x14ac:dyDescent="0.3">
      <c r="A556" s="2"/>
      <c r="B556" s="65" t="str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61"/>
      <c r="D556" s="66"/>
      <c r="E556" s="66"/>
      <c r="F556" s="60"/>
      <c r="G556" s="67"/>
      <c r="H556" s="60"/>
      <c r="I556" s="68">
        <f t="shared" ca="1" si="112"/>
        <v>0</v>
      </c>
      <c r="J556" s="68">
        <f t="shared" ca="1" si="113"/>
        <v>0</v>
      </c>
      <c r="K556" s="68">
        <f t="shared" ca="1" si="114"/>
        <v>0</v>
      </c>
      <c r="L556" s="68">
        <f t="shared" ca="1" si="115"/>
        <v>0</v>
      </c>
      <c r="M556" s="69">
        <f t="shared" si="116"/>
        <v>0</v>
      </c>
      <c r="N556" s="65" t="str">
        <f t="shared" si="117"/>
        <v/>
      </c>
      <c r="O556" s="70" t="str">
        <f>IF(OR($C556="",$D556="",$F556=""),"",IF($F556="Aylık",EOMONTH($D556,0),($D556+MOD(SISTEM!$F$8-WEEKDAY($D556,2),7))))</f>
        <v/>
      </c>
      <c r="P556" s="61"/>
      <c r="Q556" s="2"/>
      <c r="R556" s="2"/>
      <c r="S556" s="1" t="str">
        <f>IF($B556="","",$B556&amp;"|"&amp;COUNTIFS($B$7:$B556,$B556))</f>
        <v/>
      </c>
      <c r="T556" s="1" t="str">
        <f t="shared" si="118"/>
        <v/>
      </c>
      <c r="U556" s="1">
        <f t="shared" si="119"/>
        <v>0</v>
      </c>
      <c r="V556" s="1">
        <f t="shared" si="120"/>
        <v>2958465</v>
      </c>
      <c r="W556" s="1">
        <f t="shared" si="121"/>
        <v>0</v>
      </c>
      <c r="X556" s="1">
        <f t="shared" si="122"/>
        <v>0</v>
      </c>
      <c r="Y556" s="1">
        <f t="shared" si="123"/>
        <v>97200</v>
      </c>
      <c r="Z556" s="1">
        <f t="shared" si="124"/>
        <v>1</v>
      </c>
      <c r="AA556" s="1">
        <f t="shared" si="125"/>
        <v>0</v>
      </c>
    </row>
    <row r="557" spans="1:27" ht="18" customHeight="1" x14ac:dyDescent="0.3">
      <c r="A557" s="2"/>
      <c r="B557" s="65" t="str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61"/>
      <c r="D557" s="66"/>
      <c r="E557" s="66"/>
      <c r="F557" s="60"/>
      <c r="G557" s="67"/>
      <c r="H557" s="60"/>
      <c r="I557" s="68">
        <f t="shared" ca="1" si="112"/>
        <v>0</v>
      </c>
      <c r="J557" s="68">
        <f t="shared" ca="1" si="113"/>
        <v>0</v>
      </c>
      <c r="K557" s="68">
        <f t="shared" ca="1" si="114"/>
        <v>0</v>
      </c>
      <c r="L557" s="68">
        <f t="shared" ca="1" si="115"/>
        <v>0</v>
      </c>
      <c r="M557" s="69">
        <f t="shared" si="116"/>
        <v>0</v>
      </c>
      <c r="N557" s="65" t="str">
        <f t="shared" si="117"/>
        <v/>
      </c>
      <c r="O557" s="70" t="str">
        <f>IF(OR($C557="",$D557="",$F557=""),"",IF($F557="Aylık",EOMONTH($D557,0),($D557+MOD(SISTEM!$F$8-WEEKDAY($D557,2),7))))</f>
        <v/>
      </c>
      <c r="P557" s="61"/>
      <c r="Q557" s="2"/>
      <c r="R557" s="2"/>
      <c r="S557" s="1" t="str">
        <f>IF($B557="","",$B557&amp;"|"&amp;COUNTIFS($B$7:$B557,$B557))</f>
        <v/>
      </c>
      <c r="T557" s="1" t="str">
        <f t="shared" si="118"/>
        <v/>
      </c>
      <c r="U557" s="1">
        <f t="shared" si="119"/>
        <v>0</v>
      </c>
      <c r="V557" s="1">
        <f t="shared" si="120"/>
        <v>2958465</v>
      </c>
      <c r="W557" s="1">
        <f t="shared" si="121"/>
        <v>0</v>
      </c>
      <c r="X557" s="1">
        <f t="shared" si="122"/>
        <v>0</v>
      </c>
      <c r="Y557" s="1">
        <f t="shared" si="123"/>
        <v>97200</v>
      </c>
      <c r="Z557" s="1">
        <f t="shared" si="124"/>
        <v>1</v>
      </c>
      <c r="AA557" s="1">
        <f t="shared" si="125"/>
        <v>0</v>
      </c>
    </row>
    <row r="558" spans="1:27" ht="18" customHeight="1" x14ac:dyDescent="0.3">
      <c r="A558" s="2"/>
      <c r="B558" s="65" t="str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61"/>
      <c r="D558" s="66"/>
      <c r="E558" s="66"/>
      <c r="F558" s="60"/>
      <c r="G558" s="67"/>
      <c r="H558" s="60"/>
      <c r="I558" s="68">
        <f t="shared" ca="1" si="112"/>
        <v>0</v>
      </c>
      <c r="J558" s="68">
        <f t="shared" ca="1" si="113"/>
        <v>0</v>
      </c>
      <c r="K558" s="68">
        <f t="shared" ca="1" si="114"/>
        <v>0</v>
      </c>
      <c r="L558" s="68">
        <f t="shared" ca="1" si="115"/>
        <v>0</v>
      </c>
      <c r="M558" s="69">
        <f t="shared" si="116"/>
        <v>0</v>
      </c>
      <c r="N558" s="65" t="str">
        <f t="shared" si="117"/>
        <v/>
      </c>
      <c r="O558" s="70" t="str">
        <f>IF(OR($C558="",$D558="",$F558=""),"",IF($F558="Aylık",EOMONTH($D558,0),($D558+MOD(SISTEM!$F$8-WEEKDAY($D558,2),7))))</f>
        <v/>
      </c>
      <c r="P558" s="61"/>
      <c r="Q558" s="2"/>
      <c r="R558" s="2"/>
      <c r="S558" s="1" t="str">
        <f>IF($B558="","",$B558&amp;"|"&amp;COUNTIFS($B$7:$B558,$B558))</f>
        <v/>
      </c>
      <c r="T558" s="1" t="str">
        <f t="shared" si="118"/>
        <v/>
      </c>
      <c r="U558" s="1">
        <f t="shared" si="119"/>
        <v>0</v>
      </c>
      <c r="V558" s="1">
        <f t="shared" si="120"/>
        <v>2958465</v>
      </c>
      <c r="W558" s="1">
        <f t="shared" si="121"/>
        <v>0</v>
      </c>
      <c r="X558" s="1">
        <f t="shared" si="122"/>
        <v>0</v>
      </c>
      <c r="Y558" s="1">
        <f t="shared" si="123"/>
        <v>97200</v>
      </c>
      <c r="Z558" s="1">
        <f t="shared" si="124"/>
        <v>1</v>
      </c>
      <c r="AA558" s="1">
        <f t="shared" si="125"/>
        <v>0</v>
      </c>
    </row>
    <row r="559" spans="1:27" ht="18" customHeight="1" x14ac:dyDescent="0.3">
      <c r="A559" s="2"/>
      <c r="B559" s="65" t="str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61"/>
      <c r="D559" s="66"/>
      <c r="E559" s="66"/>
      <c r="F559" s="60"/>
      <c r="G559" s="67"/>
      <c r="H559" s="60"/>
      <c r="I559" s="68">
        <f t="shared" ca="1" si="112"/>
        <v>0</v>
      </c>
      <c r="J559" s="68">
        <f t="shared" ca="1" si="113"/>
        <v>0</v>
      </c>
      <c r="K559" s="68">
        <f t="shared" ca="1" si="114"/>
        <v>0</v>
      </c>
      <c r="L559" s="68">
        <f t="shared" ca="1" si="115"/>
        <v>0</v>
      </c>
      <c r="M559" s="69">
        <f t="shared" si="116"/>
        <v>0</v>
      </c>
      <c r="N559" s="65" t="str">
        <f t="shared" si="117"/>
        <v/>
      </c>
      <c r="O559" s="70" t="str">
        <f>IF(OR($C559="",$D559="",$F559=""),"",IF($F559="Aylık",EOMONTH($D559,0),($D559+MOD(SISTEM!$F$8-WEEKDAY($D559,2),7))))</f>
        <v/>
      </c>
      <c r="P559" s="61"/>
      <c r="Q559" s="2"/>
      <c r="R559" s="2"/>
      <c r="S559" s="1" t="str">
        <f>IF($B559="","",$B559&amp;"|"&amp;COUNTIFS($B$7:$B559,$B559))</f>
        <v/>
      </c>
      <c r="T559" s="1" t="str">
        <f t="shared" si="118"/>
        <v/>
      </c>
      <c r="U559" s="1">
        <f t="shared" si="119"/>
        <v>0</v>
      </c>
      <c r="V559" s="1">
        <f t="shared" si="120"/>
        <v>2958465</v>
      </c>
      <c r="W559" s="1">
        <f t="shared" si="121"/>
        <v>0</v>
      </c>
      <c r="X559" s="1">
        <f t="shared" si="122"/>
        <v>0</v>
      </c>
      <c r="Y559" s="1">
        <f t="shared" si="123"/>
        <v>97200</v>
      </c>
      <c r="Z559" s="1">
        <f t="shared" si="124"/>
        <v>1</v>
      </c>
      <c r="AA559" s="1">
        <f t="shared" si="125"/>
        <v>0</v>
      </c>
    </row>
    <row r="560" spans="1:27" ht="18" customHeight="1" x14ac:dyDescent="0.3">
      <c r="A560" s="2"/>
      <c r="B560" s="65" t="str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61"/>
      <c r="D560" s="66"/>
      <c r="E560" s="66"/>
      <c r="F560" s="60"/>
      <c r="G560" s="67"/>
      <c r="H560" s="60"/>
      <c r="I560" s="68">
        <f t="shared" ca="1" si="112"/>
        <v>0</v>
      </c>
      <c r="J560" s="68">
        <f t="shared" ca="1" si="113"/>
        <v>0</v>
      </c>
      <c r="K560" s="68">
        <f t="shared" ca="1" si="114"/>
        <v>0</v>
      </c>
      <c r="L560" s="68">
        <f t="shared" ca="1" si="115"/>
        <v>0</v>
      </c>
      <c r="M560" s="69">
        <f t="shared" si="116"/>
        <v>0</v>
      </c>
      <c r="N560" s="65" t="str">
        <f t="shared" si="117"/>
        <v/>
      </c>
      <c r="O560" s="70" t="str">
        <f>IF(OR($C560="",$D560="",$F560=""),"",IF($F560="Aylık",EOMONTH($D560,0),($D560+MOD(SISTEM!$F$8-WEEKDAY($D560,2),7))))</f>
        <v/>
      </c>
      <c r="P560" s="61"/>
      <c r="Q560" s="2"/>
      <c r="R560" s="2"/>
      <c r="S560" s="1" t="str">
        <f>IF($B560="","",$B560&amp;"|"&amp;COUNTIFS($B$7:$B560,$B560))</f>
        <v/>
      </c>
      <c r="T560" s="1" t="str">
        <f t="shared" si="118"/>
        <v/>
      </c>
      <c r="U560" s="1">
        <f t="shared" si="119"/>
        <v>0</v>
      </c>
      <c r="V560" s="1">
        <f t="shared" si="120"/>
        <v>2958465</v>
      </c>
      <c r="W560" s="1">
        <f t="shared" si="121"/>
        <v>0</v>
      </c>
      <c r="X560" s="1">
        <f t="shared" si="122"/>
        <v>0</v>
      </c>
      <c r="Y560" s="1">
        <f t="shared" si="123"/>
        <v>97200</v>
      </c>
      <c r="Z560" s="1">
        <f t="shared" si="124"/>
        <v>1</v>
      </c>
      <c r="AA560" s="1">
        <f t="shared" si="125"/>
        <v>0</v>
      </c>
    </row>
    <row r="561" spans="1:27" ht="18" customHeight="1" x14ac:dyDescent="0.3">
      <c r="A561" s="2"/>
      <c r="B561" s="65" t="str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61"/>
      <c r="D561" s="66"/>
      <c r="E561" s="66"/>
      <c r="F561" s="60"/>
      <c r="G561" s="67"/>
      <c r="H561" s="60"/>
      <c r="I561" s="68">
        <f t="shared" ca="1" si="112"/>
        <v>0</v>
      </c>
      <c r="J561" s="68">
        <f t="shared" ca="1" si="113"/>
        <v>0</v>
      </c>
      <c r="K561" s="68">
        <f t="shared" ca="1" si="114"/>
        <v>0</v>
      </c>
      <c r="L561" s="68">
        <f t="shared" ca="1" si="115"/>
        <v>0</v>
      </c>
      <c r="M561" s="69">
        <f t="shared" si="116"/>
        <v>0</v>
      </c>
      <c r="N561" s="65" t="str">
        <f t="shared" si="117"/>
        <v/>
      </c>
      <c r="O561" s="70" t="str">
        <f>IF(OR($C561="",$D561="",$F561=""),"",IF($F561="Aylık",EOMONTH($D561,0),($D561+MOD(SISTEM!$F$8-WEEKDAY($D561,2),7))))</f>
        <v/>
      </c>
      <c r="P561" s="61"/>
      <c r="Q561" s="2"/>
      <c r="R561" s="2"/>
      <c r="S561" s="1" t="str">
        <f>IF($B561="","",$B561&amp;"|"&amp;COUNTIFS($B$7:$B561,$B561))</f>
        <v/>
      </c>
      <c r="T561" s="1" t="str">
        <f t="shared" si="118"/>
        <v/>
      </c>
      <c r="U561" s="1">
        <f t="shared" si="119"/>
        <v>0</v>
      </c>
      <c r="V561" s="1">
        <f t="shared" si="120"/>
        <v>2958465</v>
      </c>
      <c r="W561" s="1">
        <f t="shared" si="121"/>
        <v>0</v>
      </c>
      <c r="X561" s="1">
        <f t="shared" si="122"/>
        <v>0</v>
      </c>
      <c r="Y561" s="1">
        <f t="shared" si="123"/>
        <v>97200</v>
      </c>
      <c r="Z561" s="1">
        <f t="shared" si="124"/>
        <v>1</v>
      </c>
      <c r="AA561" s="1">
        <f t="shared" si="125"/>
        <v>0</v>
      </c>
    </row>
    <row r="562" spans="1:27" ht="18" customHeight="1" x14ac:dyDescent="0.3">
      <c r="A562" s="2"/>
      <c r="B562" s="65" t="str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61"/>
      <c r="D562" s="66"/>
      <c r="E562" s="66"/>
      <c r="F562" s="60"/>
      <c r="G562" s="67"/>
      <c r="H562" s="60"/>
      <c r="I562" s="68">
        <f t="shared" ca="1" si="112"/>
        <v>0</v>
      </c>
      <c r="J562" s="68">
        <f t="shared" ca="1" si="113"/>
        <v>0</v>
      </c>
      <c r="K562" s="68">
        <f t="shared" ca="1" si="114"/>
        <v>0</v>
      </c>
      <c r="L562" s="68">
        <f t="shared" ca="1" si="115"/>
        <v>0</v>
      </c>
      <c r="M562" s="69">
        <f t="shared" si="116"/>
        <v>0</v>
      </c>
      <c r="N562" s="65" t="str">
        <f t="shared" si="117"/>
        <v/>
      </c>
      <c r="O562" s="70" t="str">
        <f>IF(OR($C562="",$D562="",$F562=""),"",IF($F562="Aylık",EOMONTH($D562,0),($D562+MOD(SISTEM!$F$8-WEEKDAY($D562,2),7))))</f>
        <v/>
      </c>
      <c r="P562" s="61"/>
      <c r="Q562" s="2"/>
      <c r="R562" s="2"/>
      <c r="S562" s="1" t="str">
        <f>IF($B562="","",$B562&amp;"|"&amp;COUNTIFS($B$7:$B562,$B562))</f>
        <v/>
      </c>
      <c r="T562" s="1" t="str">
        <f t="shared" si="118"/>
        <v/>
      </c>
      <c r="U562" s="1">
        <f t="shared" si="119"/>
        <v>0</v>
      </c>
      <c r="V562" s="1">
        <f t="shared" si="120"/>
        <v>2958465</v>
      </c>
      <c r="W562" s="1">
        <f t="shared" si="121"/>
        <v>0</v>
      </c>
      <c r="X562" s="1">
        <f t="shared" si="122"/>
        <v>0</v>
      </c>
      <c r="Y562" s="1">
        <f t="shared" si="123"/>
        <v>97200</v>
      </c>
      <c r="Z562" s="1">
        <f t="shared" si="124"/>
        <v>1</v>
      </c>
      <c r="AA562" s="1">
        <f t="shared" si="125"/>
        <v>0</v>
      </c>
    </row>
    <row r="563" spans="1:27" ht="18" customHeight="1" x14ac:dyDescent="0.3">
      <c r="A563" s="2"/>
      <c r="B563" s="65" t="str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61"/>
      <c r="D563" s="66"/>
      <c r="E563" s="66"/>
      <c r="F563" s="60"/>
      <c r="G563" s="67"/>
      <c r="H563" s="60"/>
      <c r="I563" s="68">
        <f t="shared" ca="1" si="112"/>
        <v>0</v>
      </c>
      <c r="J563" s="68">
        <f t="shared" ca="1" si="113"/>
        <v>0</v>
      </c>
      <c r="K563" s="68">
        <f t="shared" ca="1" si="114"/>
        <v>0</v>
      </c>
      <c r="L563" s="68">
        <f t="shared" ca="1" si="115"/>
        <v>0</v>
      </c>
      <c r="M563" s="69">
        <f t="shared" si="116"/>
        <v>0</v>
      </c>
      <c r="N563" s="65" t="str">
        <f t="shared" si="117"/>
        <v/>
      </c>
      <c r="O563" s="70" t="str">
        <f>IF(OR($C563="",$D563="",$F563=""),"",IF($F563="Aylık",EOMONTH($D563,0),($D563+MOD(SISTEM!$F$8-WEEKDAY($D563,2),7))))</f>
        <v/>
      </c>
      <c r="P563" s="61"/>
      <c r="Q563" s="2"/>
      <c r="R563" s="2"/>
      <c r="S563" s="1" t="str">
        <f>IF($B563="","",$B563&amp;"|"&amp;COUNTIFS($B$7:$B563,$B563))</f>
        <v/>
      </c>
      <c r="T563" s="1" t="str">
        <f t="shared" si="118"/>
        <v/>
      </c>
      <c r="U563" s="1">
        <f t="shared" si="119"/>
        <v>0</v>
      </c>
      <c r="V563" s="1">
        <f t="shared" si="120"/>
        <v>2958465</v>
      </c>
      <c r="W563" s="1">
        <f t="shared" si="121"/>
        <v>0</v>
      </c>
      <c r="X563" s="1">
        <f t="shared" si="122"/>
        <v>0</v>
      </c>
      <c r="Y563" s="1">
        <f t="shared" si="123"/>
        <v>97200</v>
      </c>
      <c r="Z563" s="1">
        <f t="shared" si="124"/>
        <v>1</v>
      </c>
      <c r="AA563" s="1">
        <f t="shared" si="125"/>
        <v>0</v>
      </c>
    </row>
    <row r="564" spans="1:27" ht="18" customHeight="1" x14ac:dyDescent="0.3">
      <c r="A564" s="2"/>
      <c r="B564" s="65" t="str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61"/>
      <c r="D564" s="66"/>
      <c r="E564" s="66"/>
      <c r="F564" s="60"/>
      <c r="G564" s="67"/>
      <c r="H564" s="60"/>
      <c r="I564" s="68">
        <f t="shared" ca="1" si="112"/>
        <v>0</v>
      </c>
      <c r="J564" s="68">
        <f t="shared" ca="1" si="113"/>
        <v>0</v>
      </c>
      <c r="K564" s="68">
        <f t="shared" ca="1" si="114"/>
        <v>0</v>
      </c>
      <c r="L564" s="68">
        <f t="shared" ca="1" si="115"/>
        <v>0</v>
      </c>
      <c r="M564" s="69">
        <f t="shared" si="116"/>
        <v>0</v>
      </c>
      <c r="N564" s="65" t="str">
        <f t="shared" si="117"/>
        <v/>
      </c>
      <c r="O564" s="70" t="str">
        <f>IF(OR($C564="",$D564="",$F564=""),"",IF($F564="Aylık",EOMONTH($D564,0),($D564+MOD(SISTEM!$F$8-WEEKDAY($D564,2),7))))</f>
        <v/>
      </c>
      <c r="P564" s="61"/>
      <c r="Q564" s="2"/>
      <c r="R564" s="2"/>
      <c r="S564" s="1" t="str">
        <f>IF($B564="","",$B564&amp;"|"&amp;COUNTIFS($B$7:$B564,$B564))</f>
        <v/>
      </c>
      <c r="T564" s="1" t="str">
        <f t="shared" si="118"/>
        <v/>
      </c>
      <c r="U564" s="1">
        <f t="shared" si="119"/>
        <v>0</v>
      </c>
      <c r="V564" s="1">
        <f t="shared" si="120"/>
        <v>2958465</v>
      </c>
      <c r="W564" s="1">
        <f t="shared" si="121"/>
        <v>0</v>
      </c>
      <c r="X564" s="1">
        <f t="shared" si="122"/>
        <v>0</v>
      </c>
      <c r="Y564" s="1">
        <f t="shared" si="123"/>
        <v>97200</v>
      </c>
      <c r="Z564" s="1">
        <f t="shared" si="124"/>
        <v>1</v>
      </c>
      <c r="AA564" s="1">
        <f t="shared" si="125"/>
        <v>0</v>
      </c>
    </row>
    <row r="565" spans="1:27" ht="18" customHeight="1" x14ac:dyDescent="0.3">
      <c r="A565" s="2"/>
      <c r="B565" s="65" t="str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61"/>
      <c r="D565" s="66"/>
      <c r="E565" s="66"/>
      <c r="F565" s="60"/>
      <c r="G565" s="67"/>
      <c r="H565" s="60"/>
      <c r="I565" s="68">
        <f t="shared" ca="1" si="112"/>
        <v>0</v>
      </c>
      <c r="J565" s="68">
        <f t="shared" ca="1" si="113"/>
        <v>0</v>
      </c>
      <c r="K565" s="68">
        <f t="shared" ca="1" si="114"/>
        <v>0</v>
      </c>
      <c r="L565" s="68">
        <f t="shared" ca="1" si="115"/>
        <v>0</v>
      </c>
      <c r="M565" s="69">
        <f t="shared" si="116"/>
        <v>0</v>
      </c>
      <c r="N565" s="65" t="str">
        <f t="shared" si="117"/>
        <v/>
      </c>
      <c r="O565" s="70" t="str">
        <f>IF(OR($C565="",$D565="",$F565=""),"",IF($F565="Aylık",EOMONTH($D565,0),($D565+MOD(SISTEM!$F$8-WEEKDAY($D565,2),7))))</f>
        <v/>
      </c>
      <c r="P565" s="61"/>
      <c r="Q565" s="2"/>
      <c r="R565" s="2"/>
      <c r="S565" s="1" t="str">
        <f>IF($B565="","",$B565&amp;"|"&amp;COUNTIFS($B$7:$B565,$B565))</f>
        <v/>
      </c>
      <c r="T565" s="1" t="str">
        <f t="shared" si="118"/>
        <v/>
      </c>
      <c r="U565" s="1">
        <f t="shared" si="119"/>
        <v>0</v>
      </c>
      <c r="V565" s="1">
        <f t="shared" si="120"/>
        <v>2958465</v>
      </c>
      <c r="W565" s="1">
        <f t="shared" si="121"/>
        <v>0</v>
      </c>
      <c r="X565" s="1">
        <f t="shared" si="122"/>
        <v>0</v>
      </c>
      <c r="Y565" s="1">
        <f t="shared" si="123"/>
        <v>97200</v>
      </c>
      <c r="Z565" s="1">
        <f t="shared" si="124"/>
        <v>1</v>
      </c>
      <c r="AA565" s="1">
        <f t="shared" si="125"/>
        <v>0</v>
      </c>
    </row>
    <row r="566" spans="1:27" ht="18" customHeight="1" x14ac:dyDescent="0.3">
      <c r="A566" s="2"/>
      <c r="B566" s="65" t="str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61"/>
      <c r="D566" s="66"/>
      <c r="E566" s="66"/>
      <c r="F566" s="60"/>
      <c r="G566" s="67"/>
      <c r="H566" s="60"/>
      <c r="I566" s="68">
        <f t="shared" ca="1" si="112"/>
        <v>0</v>
      </c>
      <c r="J566" s="68">
        <f t="shared" ca="1" si="113"/>
        <v>0</v>
      </c>
      <c r="K566" s="68">
        <f t="shared" ca="1" si="114"/>
        <v>0</v>
      </c>
      <c r="L566" s="68">
        <f t="shared" ca="1" si="115"/>
        <v>0</v>
      </c>
      <c r="M566" s="69">
        <f t="shared" si="116"/>
        <v>0</v>
      </c>
      <c r="N566" s="65" t="str">
        <f t="shared" si="117"/>
        <v/>
      </c>
      <c r="O566" s="70" t="str">
        <f>IF(OR($C566="",$D566="",$F566=""),"",IF($F566="Aylık",EOMONTH($D566,0),($D566+MOD(SISTEM!$F$8-WEEKDAY($D566,2),7))))</f>
        <v/>
      </c>
      <c r="P566" s="61"/>
      <c r="Q566" s="2"/>
      <c r="R566" s="2"/>
      <c r="S566" s="1" t="str">
        <f>IF($B566="","",$B566&amp;"|"&amp;COUNTIFS($B$7:$B566,$B566))</f>
        <v/>
      </c>
      <c r="T566" s="1" t="str">
        <f t="shared" si="118"/>
        <v/>
      </c>
      <c r="U566" s="1">
        <f t="shared" si="119"/>
        <v>0</v>
      </c>
      <c r="V566" s="1">
        <f t="shared" si="120"/>
        <v>2958465</v>
      </c>
      <c r="W566" s="1">
        <f t="shared" si="121"/>
        <v>0</v>
      </c>
      <c r="X566" s="1">
        <f t="shared" si="122"/>
        <v>0</v>
      </c>
      <c r="Y566" s="1">
        <f t="shared" si="123"/>
        <v>97200</v>
      </c>
      <c r="Z566" s="1">
        <f t="shared" si="124"/>
        <v>1</v>
      </c>
      <c r="AA566" s="1">
        <f t="shared" si="125"/>
        <v>0</v>
      </c>
    </row>
    <row r="567" spans="1:27" ht="18" customHeight="1" x14ac:dyDescent="0.3">
      <c r="A567" s="2"/>
      <c r="B567" s="65" t="str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61"/>
      <c r="D567" s="66"/>
      <c r="E567" s="66"/>
      <c r="F567" s="60"/>
      <c r="G567" s="67"/>
      <c r="H567" s="60"/>
      <c r="I567" s="68">
        <f t="shared" ca="1" si="112"/>
        <v>0</v>
      </c>
      <c r="J567" s="68">
        <f t="shared" ca="1" si="113"/>
        <v>0</v>
      </c>
      <c r="K567" s="68">
        <f t="shared" ca="1" si="114"/>
        <v>0</v>
      </c>
      <c r="L567" s="68">
        <f t="shared" ca="1" si="115"/>
        <v>0</v>
      </c>
      <c r="M567" s="69">
        <f t="shared" si="116"/>
        <v>0</v>
      </c>
      <c r="N567" s="65" t="str">
        <f t="shared" si="117"/>
        <v/>
      </c>
      <c r="O567" s="70" t="str">
        <f>IF(OR($C567="",$D567="",$F567=""),"",IF($F567="Aylık",EOMONTH($D567,0),($D567+MOD(SISTEM!$F$8-WEEKDAY($D567,2),7))))</f>
        <v/>
      </c>
      <c r="P567" s="61"/>
      <c r="Q567" s="2"/>
      <c r="R567" s="2"/>
      <c r="S567" s="1" t="str">
        <f>IF($B567="","",$B567&amp;"|"&amp;COUNTIFS($B$7:$B567,$B567))</f>
        <v/>
      </c>
      <c r="T567" s="1" t="str">
        <f t="shared" si="118"/>
        <v/>
      </c>
      <c r="U567" s="1">
        <f t="shared" si="119"/>
        <v>0</v>
      </c>
      <c r="V567" s="1">
        <f t="shared" si="120"/>
        <v>2958465</v>
      </c>
      <c r="W567" s="1">
        <f t="shared" si="121"/>
        <v>0</v>
      </c>
      <c r="X567" s="1">
        <f t="shared" si="122"/>
        <v>0</v>
      </c>
      <c r="Y567" s="1">
        <f t="shared" si="123"/>
        <v>97200</v>
      </c>
      <c r="Z567" s="1">
        <f t="shared" si="124"/>
        <v>1</v>
      </c>
      <c r="AA567" s="1">
        <f t="shared" si="125"/>
        <v>0</v>
      </c>
    </row>
    <row r="568" spans="1:27" ht="18" customHeight="1" x14ac:dyDescent="0.3">
      <c r="A568" s="2"/>
      <c r="B568" s="65" t="str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61"/>
      <c r="D568" s="66"/>
      <c r="E568" s="66"/>
      <c r="F568" s="60"/>
      <c r="G568" s="67"/>
      <c r="H568" s="60"/>
      <c r="I568" s="68">
        <f t="shared" ca="1" si="112"/>
        <v>0</v>
      </c>
      <c r="J568" s="68">
        <f t="shared" ca="1" si="113"/>
        <v>0</v>
      </c>
      <c r="K568" s="68">
        <f t="shared" ca="1" si="114"/>
        <v>0</v>
      </c>
      <c r="L568" s="68">
        <f t="shared" ca="1" si="115"/>
        <v>0</v>
      </c>
      <c r="M568" s="69">
        <f t="shared" si="116"/>
        <v>0</v>
      </c>
      <c r="N568" s="65" t="str">
        <f t="shared" si="117"/>
        <v/>
      </c>
      <c r="O568" s="70" t="str">
        <f>IF(OR($C568="",$D568="",$F568=""),"",IF($F568="Aylık",EOMONTH($D568,0),($D568+MOD(SISTEM!$F$8-WEEKDAY($D568,2),7))))</f>
        <v/>
      </c>
      <c r="P568" s="61"/>
      <c r="Q568" s="2"/>
      <c r="R568" s="2"/>
      <c r="S568" s="1" t="str">
        <f>IF($B568="","",$B568&amp;"|"&amp;COUNTIFS($B$7:$B568,$B568))</f>
        <v/>
      </c>
      <c r="T568" s="1" t="str">
        <f t="shared" si="118"/>
        <v/>
      </c>
      <c r="U568" s="1">
        <f t="shared" si="119"/>
        <v>0</v>
      </c>
      <c r="V568" s="1">
        <f t="shared" si="120"/>
        <v>2958465</v>
      </c>
      <c r="W568" s="1">
        <f t="shared" si="121"/>
        <v>0</v>
      </c>
      <c r="X568" s="1">
        <f t="shared" si="122"/>
        <v>0</v>
      </c>
      <c r="Y568" s="1">
        <f t="shared" si="123"/>
        <v>97200</v>
      </c>
      <c r="Z568" s="1">
        <f t="shared" si="124"/>
        <v>1</v>
      </c>
      <c r="AA568" s="1">
        <f t="shared" si="125"/>
        <v>0</v>
      </c>
    </row>
    <row r="569" spans="1:27" ht="18" customHeight="1" x14ac:dyDescent="0.3">
      <c r="A569" s="2"/>
      <c r="B569" s="65" t="str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61"/>
      <c r="D569" s="66"/>
      <c r="E569" s="66"/>
      <c r="F569" s="60"/>
      <c r="G569" s="67"/>
      <c r="H569" s="60"/>
      <c r="I569" s="68">
        <f t="shared" ca="1" si="112"/>
        <v>0</v>
      </c>
      <c r="J569" s="68">
        <f t="shared" ca="1" si="113"/>
        <v>0</v>
      </c>
      <c r="K569" s="68">
        <f t="shared" ca="1" si="114"/>
        <v>0</v>
      </c>
      <c r="L569" s="68">
        <f t="shared" ca="1" si="115"/>
        <v>0</v>
      </c>
      <c r="M569" s="69">
        <f t="shared" si="116"/>
        <v>0</v>
      </c>
      <c r="N569" s="65" t="str">
        <f t="shared" si="117"/>
        <v/>
      </c>
      <c r="O569" s="70" t="str">
        <f>IF(OR($C569="",$D569="",$F569=""),"",IF($F569="Aylık",EOMONTH($D569,0),($D569+MOD(SISTEM!$F$8-WEEKDAY($D569,2),7))))</f>
        <v/>
      </c>
      <c r="P569" s="61"/>
      <c r="Q569" s="2"/>
      <c r="R569" s="2"/>
      <c r="S569" s="1" t="str">
        <f>IF($B569="","",$B569&amp;"|"&amp;COUNTIFS($B$7:$B569,$B569))</f>
        <v/>
      </c>
      <c r="T569" s="1" t="str">
        <f t="shared" si="118"/>
        <v/>
      </c>
      <c r="U569" s="1">
        <f t="shared" si="119"/>
        <v>0</v>
      </c>
      <c r="V569" s="1">
        <f t="shared" si="120"/>
        <v>2958465</v>
      </c>
      <c r="W569" s="1">
        <f t="shared" si="121"/>
        <v>0</v>
      </c>
      <c r="X569" s="1">
        <f t="shared" si="122"/>
        <v>0</v>
      </c>
      <c r="Y569" s="1">
        <f t="shared" si="123"/>
        <v>97200</v>
      </c>
      <c r="Z569" s="1">
        <f t="shared" si="124"/>
        <v>1</v>
      </c>
      <c r="AA569" s="1">
        <f t="shared" si="125"/>
        <v>0</v>
      </c>
    </row>
    <row r="570" spans="1:27" ht="18" customHeight="1" x14ac:dyDescent="0.3">
      <c r="A570" s="2"/>
      <c r="B570" s="65" t="str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61"/>
      <c r="D570" s="66"/>
      <c r="E570" s="66"/>
      <c r="F570" s="60"/>
      <c r="G570" s="67"/>
      <c r="H570" s="60"/>
      <c r="I570" s="68">
        <f t="shared" ca="1" si="112"/>
        <v>0</v>
      </c>
      <c r="J570" s="68">
        <f t="shared" ca="1" si="113"/>
        <v>0</v>
      </c>
      <c r="K570" s="68">
        <f t="shared" ca="1" si="114"/>
        <v>0</v>
      </c>
      <c r="L570" s="68">
        <f t="shared" ca="1" si="115"/>
        <v>0</v>
      </c>
      <c r="M570" s="69">
        <f t="shared" si="116"/>
        <v>0</v>
      </c>
      <c r="N570" s="65" t="str">
        <f t="shared" si="117"/>
        <v/>
      </c>
      <c r="O570" s="70" t="str">
        <f>IF(OR($C570="",$D570="",$F570=""),"",IF($F570="Aylık",EOMONTH($D570,0),($D570+MOD(SISTEM!$F$8-WEEKDAY($D570,2),7))))</f>
        <v/>
      </c>
      <c r="P570" s="61"/>
      <c r="Q570" s="2"/>
      <c r="R570" s="2"/>
      <c r="S570" s="1" t="str">
        <f>IF($B570="","",$B570&amp;"|"&amp;COUNTIFS($B$7:$B570,$B570))</f>
        <v/>
      </c>
      <c r="T570" s="1" t="str">
        <f t="shared" si="118"/>
        <v/>
      </c>
      <c r="U570" s="1">
        <f t="shared" si="119"/>
        <v>0</v>
      </c>
      <c r="V570" s="1">
        <f t="shared" si="120"/>
        <v>2958465</v>
      </c>
      <c r="W570" s="1">
        <f t="shared" si="121"/>
        <v>0</v>
      </c>
      <c r="X570" s="1">
        <f t="shared" si="122"/>
        <v>0</v>
      </c>
      <c r="Y570" s="1">
        <f t="shared" si="123"/>
        <v>97200</v>
      </c>
      <c r="Z570" s="1">
        <f t="shared" si="124"/>
        <v>1</v>
      </c>
      <c r="AA570" s="1">
        <f t="shared" si="125"/>
        <v>0</v>
      </c>
    </row>
    <row r="571" spans="1:27" ht="18" customHeight="1" x14ac:dyDescent="0.3">
      <c r="A571" s="2"/>
      <c r="B571" s="65" t="str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61"/>
      <c r="D571" s="66"/>
      <c r="E571" s="66"/>
      <c r="F571" s="60"/>
      <c r="G571" s="67"/>
      <c r="H571" s="60"/>
      <c r="I571" s="68">
        <f t="shared" ca="1" si="112"/>
        <v>0</v>
      </c>
      <c r="J571" s="68">
        <f t="shared" ca="1" si="113"/>
        <v>0</v>
      </c>
      <c r="K571" s="68">
        <f t="shared" ca="1" si="114"/>
        <v>0</v>
      </c>
      <c r="L571" s="68">
        <f t="shared" ca="1" si="115"/>
        <v>0</v>
      </c>
      <c r="M571" s="69">
        <f t="shared" si="116"/>
        <v>0</v>
      </c>
      <c r="N571" s="65" t="str">
        <f t="shared" si="117"/>
        <v/>
      </c>
      <c r="O571" s="70" t="str">
        <f>IF(OR($C571="",$D571="",$F571=""),"",IF($F571="Aylık",EOMONTH($D571,0),($D571+MOD(SISTEM!$F$8-WEEKDAY($D571,2),7))))</f>
        <v/>
      </c>
      <c r="P571" s="61"/>
      <c r="Q571" s="2"/>
      <c r="R571" s="2"/>
      <c r="S571" s="1" t="str">
        <f>IF($B571="","",$B571&amp;"|"&amp;COUNTIFS($B$7:$B571,$B571))</f>
        <v/>
      </c>
      <c r="T571" s="1" t="str">
        <f t="shared" si="118"/>
        <v/>
      </c>
      <c r="U571" s="1">
        <f t="shared" si="119"/>
        <v>0</v>
      </c>
      <c r="V571" s="1">
        <f t="shared" si="120"/>
        <v>2958465</v>
      </c>
      <c r="W571" s="1">
        <f t="shared" si="121"/>
        <v>0</v>
      </c>
      <c r="X571" s="1">
        <f t="shared" si="122"/>
        <v>0</v>
      </c>
      <c r="Y571" s="1">
        <f t="shared" si="123"/>
        <v>97200</v>
      </c>
      <c r="Z571" s="1">
        <f t="shared" si="124"/>
        <v>1</v>
      </c>
      <c r="AA571" s="1">
        <f t="shared" si="125"/>
        <v>0</v>
      </c>
    </row>
    <row r="572" spans="1:27" ht="18" customHeight="1" x14ac:dyDescent="0.3">
      <c r="A572" s="2"/>
      <c r="B572" s="65" t="str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61"/>
      <c r="D572" s="66"/>
      <c r="E572" s="66"/>
      <c r="F572" s="60"/>
      <c r="G572" s="67"/>
      <c r="H572" s="60"/>
      <c r="I572" s="68">
        <f t="shared" ca="1" si="112"/>
        <v>0</v>
      </c>
      <c r="J572" s="68">
        <f t="shared" ca="1" si="113"/>
        <v>0</v>
      </c>
      <c r="K572" s="68">
        <f t="shared" ca="1" si="114"/>
        <v>0</v>
      </c>
      <c r="L572" s="68">
        <f t="shared" ca="1" si="115"/>
        <v>0</v>
      </c>
      <c r="M572" s="69">
        <f t="shared" si="116"/>
        <v>0</v>
      </c>
      <c r="N572" s="65" t="str">
        <f t="shared" si="117"/>
        <v/>
      </c>
      <c r="O572" s="70" t="str">
        <f>IF(OR($C572="",$D572="",$F572=""),"",IF($F572="Aylık",EOMONTH($D572,0),($D572+MOD(SISTEM!$F$8-WEEKDAY($D572,2),7))))</f>
        <v/>
      </c>
      <c r="P572" s="61"/>
      <c r="Q572" s="2"/>
      <c r="R572" s="2"/>
      <c r="S572" s="1" t="str">
        <f>IF($B572="","",$B572&amp;"|"&amp;COUNTIFS($B$7:$B572,$B572))</f>
        <v/>
      </c>
      <c r="T572" s="1" t="str">
        <f t="shared" si="118"/>
        <v/>
      </c>
      <c r="U572" s="1">
        <f t="shared" si="119"/>
        <v>0</v>
      </c>
      <c r="V572" s="1">
        <f t="shared" si="120"/>
        <v>2958465</v>
      </c>
      <c r="W572" s="1">
        <f t="shared" si="121"/>
        <v>0</v>
      </c>
      <c r="X572" s="1">
        <f t="shared" si="122"/>
        <v>0</v>
      </c>
      <c r="Y572" s="1">
        <f t="shared" si="123"/>
        <v>97200</v>
      </c>
      <c r="Z572" s="1">
        <f t="shared" si="124"/>
        <v>1</v>
      </c>
      <c r="AA572" s="1">
        <f t="shared" si="125"/>
        <v>0</v>
      </c>
    </row>
    <row r="573" spans="1:27" ht="18" customHeight="1" x14ac:dyDescent="0.3">
      <c r="A573" s="2"/>
      <c r="B573" s="65" t="str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61"/>
      <c r="D573" s="66"/>
      <c r="E573" s="66"/>
      <c r="F573" s="60"/>
      <c r="G573" s="67"/>
      <c r="H573" s="60"/>
      <c r="I573" s="68">
        <f t="shared" ca="1" si="112"/>
        <v>0</v>
      </c>
      <c r="J573" s="68">
        <f t="shared" ca="1" si="113"/>
        <v>0</v>
      </c>
      <c r="K573" s="68">
        <f t="shared" ca="1" si="114"/>
        <v>0</v>
      </c>
      <c r="L573" s="68">
        <f t="shared" ca="1" si="115"/>
        <v>0</v>
      </c>
      <c r="M573" s="69">
        <f t="shared" si="116"/>
        <v>0</v>
      </c>
      <c r="N573" s="65" t="str">
        <f t="shared" si="117"/>
        <v/>
      </c>
      <c r="O573" s="70" t="str">
        <f>IF(OR($C573="",$D573="",$F573=""),"",IF($F573="Aylık",EOMONTH($D573,0),($D573+MOD(SISTEM!$F$8-WEEKDAY($D573,2),7))))</f>
        <v/>
      </c>
      <c r="P573" s="61"/>
      <c r="Q573" s="2"/>
      <c r="R573" s="2"/>
      <c r="S573" s="1" t="str">
        <f>IF($B573="","",$B573&amp;"|"&amp;COUNTIFS($B$7:$B573,$B573))</f>
        <v/>
      </c>
      <c r="T573" s="1" t="str">
        <f t="shared" si="118"/>
        <v/>
      </c>
      <c r="U573" s="1">
        <f t="shared" si="119"/>
        <v>0</v>
      </c>
      <c r="V573" s="1">
        <f t="shared" si="120"/>
        <v>2958465</v>
      </c>
      <c r="W573" s="1">
        <f t="shared" si="121"/>
        <v>0</v>
      </c>
      <c r="X573" s="1">
        <f t="shared" si="122"/>
        <v>0</v>
      </c>
      <c r="Y573" s="1">
        <f t="shared" si="123"/>
        <v>97200</v>
      </c>
      <c r="Z573" s="1">
        <f t="shared" si="124"/>
        <v>1</v>
      </c>
      <c r="AA573" s="1">
        <f t="shared" si="125"/>
        <v>0</v>
      </c>
    </row>
    <row r="574" spans="1:27" ht="18" customHeight="1" x14ac:dyDescent="0.3">
      <c r="A574" s="2"/>
      <c r="B574" s="65" t="str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61"/>
      <c r="D574" s="66"/>
      <c r="E574" s="66"/>
      <c r="F574" s="60"/>
      <c r="G574" s="67"/>
      <c r="H574" s="60"/>
      <c r="I574" s="68">
        <f t="shared" ca="1" si="112"/>
        <v>0</v>
      </c>
      <c r="J574" s="68">
        <f t="shared" ca="1" si="113"/>
        <v>0</v>
      </c>
      <c r="K574" s="68">
        <f t="shared" ca="1" si="114"/>
        <v>0</v>
      </c>
      <c r="L574" s="68">
        <f t="shared" ca="1" si="115"/>
        <v>0</v>
      </c>
      <c r="M574" s="69">
        <f t="shared" si="116"/>
        <v>0</v>
      </c>
      <c r="N574" s="65" t="str">
        <f t="shared" si="117"/>
        <v/>
      </c>
      <c r="O574" s="70" t="str">
        <f>IF(OR($C574="",$D574="",$F574=""),"",IF($F574="Aylık",EOMONTH($D574,0),($D574+MOD(SISTEM!$F$8-WEEKDAY($D574,2),7))))</f>
        <v/>
      </c>
      <c r="P574" s="61"/>
      <c r="Q574" s="2"/>
      <c r="R574" s="2"/>
      <c r="S574" s="1" t="str">
        <f>IF($B574="","",$B574&amp;"|"&amp;COUNTIFS($B$7:$B574,$B574))</f>
        <v/>
      </c>
      <c r="T574" s="1" t="str">
        <f t="shared" si="118"/>
        <v/>
      </c>
      <c r="U574" s="1">
        <f t="shared" si="119"/>
        <v>0</v>
      </c>
      <c r="V574" s="1">
        <f t="shared" si="120"/>
        <v>2958465</v>
      </c>
      <c r="W574" s="1">
        <f t="shared" si="121"/>
        <v>0</v>
      </c>
      <c r="X574" s="1">
        <f t="shared" si="122"/>
        <v>0</v>
      </c>
      <c r="Y574" s="1">
        <f t="shared" si="123"/>
        <v>97200</v>
      </c>
      <c r="Z574" s="1">
        <f t="shared" si="124"/>
        <v>1</v>
      </c>
      <c r="AA574" s="1">
        <f t="shared" si="125"/>
        <v>0</v>
      </c>
    </row>
    <row r="575" spans="1:27" ht="18" customHeight="1" x14ac:dyDescent="0.3">
      <c r="A575" s="2"/>
      <c r="B575" s="65" t="str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61"/>
      <c r="D575" s="66"/>
      <c r="E575" s="66"/>
      <c r="F575" s="60"/>
      <c r="G575" s="67"/>
      <c r="H575" s="60"/>
      <c r="I575" s="68">
        <f t="shared" ca="1" si="112"/>
        <v>0</v>
      </c>
      <c r="J575" s="68">
        <f t="shared" ca="1" si="113"/>
        <v>0</v>
      </c>
      <c r="K575" s="68">
        <f t="shared" ca="1" si="114"/>
        <v>0</v>
      </c>
      <c r="L575" s="68">
        <f t="shared" ca="1" si="115"/>
        <v>0</v>
      </c>
      <c r="M575" s="69">
        <f t="shared" si="116"/>
        <v>0</v>
      </c>
      <c r="N575" s="65" t="str">
        <f t="shared" si="117"/>
        <v/>
      </c>
      <c r="O575" s="70" t="str">
        <f>IF(OR($C575="",$D575="",$F575=""),"",IF($F575="Aylık",EOMONTH($D575,0),($D575+MOD(SISTEM!$F$8-WEEKDAY($D575,2),7))))</f>
        <v/>
      </c>
      <c r="P575" s="61"/>
      <c r="Q575" s="2"/>
      <c r="R575" s="2"/>
      <c r="S575" s="1" t="str">
        <f>IF($B575="","",$B575&amp;"|"&amp;COUNTIFS($B$7:$B575,$B575))</f>
        <v/>
      </c>
      <c r="T575" s="1" t="str">
        <f t="shared" si="118"/>
        <v/>
      </c>
      <c r="U575" s="1">
        <f t="shared" si="119"/>
        <v>0</v>
      </c>
      <c r="V575" s="1">
        <f t="shared" si="120"/>
        <v>2958465</v>
      </c>
      <c r="W575" s="1">
        <f t="shared" si="121"/>
        <v>0</v>
      </c>
      <c r="X575" s="1">
        <f t="shared" si="122"/>
        <v>0</v>
      </c>
      <c r="Y575" s="1">
        <f t="shared" si="123"/>
        <v>97200</v>
      </c>
      <c r="Z575" s="1">
        <f t="shared" si="124"/>
        <v>1</v>
      </c>
      <c r="AA575" s="1">
        <f t="shared" si="125"/>
        <v>0</v>
      </c>
    </row>
    <row r="576" spans="1:27" ht="18" customHeight="1" x14ac:dyDescent="0.3">
      <c r="A576" s="2"/>
      <c r="B576" s="65" t="str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61"/>
      <c r="D576" s="66"/>
      <c r="E576" s="66"/>
      <c r="F576" s="60"/>
      <c r="G576" s="67"/>
      <c r="H576" s="60"/>
      <c r="I576" s="68">
        <f t="shared" ca="1" si="112"/>
        <v>0</v>
      </c>
      <c r="J576" s="68">
        <f t="shared" ca="1" si="113"/>
        <v>0</v>
      </c>
      <c r="K576" s="68">
        <f t="shared" ca="1" si="114"/>
        <v>0</v>
      </c>
      <c r="L576" s="68">
        <f t="shared" ca="1" si="115"/>
        <v>0</v>
      </c>
      <c r="M576" s="69">
        <f t="shared" si="116"/>
        <v>0</v>
      </c>
      <c r="N576" s="65" t="str">
        <f t="shared" si="117"/>
        <v/>
      </c>
      <c r="O576" s="70" t="str">
        <f>IF(OR($C576="",$D576="",$F576=""),"",IF($F576="Aylık",EOMONTH($D576,0),($D576+MOD(SISTEM!$F$8-WEEKDAY($D576,2),7))))</f>
        <v/>
      </c>
      <c r="P576" s="61"/>
      <c r="Q576" s="2"/>
      <c r="R576" s="2"/>
      <c r="S576" s="1" t="str">
        <f>IF($B576="","",$B576&amp;"|"&amp;COUNTIFS($B$7:$B576,$B576))</f>
        <v/>
      </c>
      <c r="T576" s="1" t="str">
        <f t="shared" si="118"/>
        <v/>
      </c>
      <c r="U576" s="1">
        <f t="shared" si="119"/>
        <v>0</v>
      </c>
      <c r="V576" s="1">
        <f t="shared" si="120"/>
        <v>2958465</v>
      </c>
      <c r="W576" s="1">
        <f t="shared" si="121"/>
        <v>0</v>
      </c>
      <c r="X576" s="1">
        <f t="shared" si="122"/>
        <v>0</v>
      </c>
      <c r="Y576" s="1">
        <f t="shared" si="123"/>
        <v>97200</v>
      </c>
      <c r="Z576" s="1">
        <f t="shared" si="124"/>
        <v>1</v>
      </c>
      <c r="AA576" s="1">
        <f t="shared" si="125"/>
        <v>0</v>
      </c>
    </row>
    <row r="577" spans="1:27" ht="18" customHeight="1" x14ac:dyDescent="0.3">
      <c r="A577" s="2"/>
      <c r="B577" s="65" t="str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61"/>
      <c r="D577" s="66"/>
      <c r="E577" s="66"/>
      <c r="F577" s="60"/>
      <c r="G577" s="67"/>
      <c r="H577" s="60"/>
      <c r="I577" s="68">
        <f t="shared" ca="1" si="112"/>
        <v>0</v>
      </c>
      <c r="J577" s="68">
        <f t="shared" ca="1" si="113"/>
        <v>0</v>
      </c>
      <c r="K577" s="68">
        <f t="shared" ca="1" si="114"/>
        <v>0</v>
      </c>
      <c r="L577" s="68">
        <f t="shared" ca="1" si="115"/>
        <v>0</v>
      </c>
      <c r="M577" s="69">
        <f t="shared" si="116"/>
        <v>0</v>
      </c>
      <c r="N577" s="65" t="str">
        <f t="shared" si="117"/>
        <v/>
      </c>
      <c r="O577" s="70" t="str">
        <f>IF(OR($C577="",$D577="",$F577=""),"",IF($F577="Aylık",EOMONTH($D577,0),($D577+MOD(SISTEM!$F$8-WEEKDAY($D577,2),7))))</f>
        <v/>
      </c>
      <c r="P577" s="61"/>
      <c r="Q577" s="2"/>
      <c r="R577" s="2"/>
      <c r="S577" s="1" t="str">
        <f>IF($B577="","",$B577&amp;"|"&amp;COUNTIFS($B$7:$B577,$B577))</f>
        <v/>
      </c>
      <c r="T577" s="1" t="str">
        <f t="shared" si="118"/>
        <v/>
      </c>
      <c r="U577" s="1">
        <f t="shared" si="119"/>
        <v>0</v>
      </c>
      <c r="V577" s="1">
        <f t="shared" si="120"/>
        <v>2958465</v>
      </c>
      <c r="W577" s="1">
        <f t="shared" si="121"/>
        <v>0</v>
      </c>
      <c r="X577" s="1">
        <f t="shared" si="122"/>
        <v>0</v>
      </c>
      <c r="Y577" s="1">
        <f t="shared" si="123"/>
        <v>97200</v>
      </c>
      <c r="Z577" s="1">
        <f t="shared" si="124"/>
        <v>1</v>
      </c>
      <c r="AA577" s="1">
        <f t="shared" si="125"/>
        <v>0</v>
      </c>
    </row>
    <row r="578" spans="1:27" ht="18" customHeight="1" x14ac:dyDescent="0.3">
      <c r="A578" s="2"/>
      <c r="B578" s="65" t="str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61"/>
      <c r="D578" s="66"/>
      <c r="E578" s="66"/>
      <c r="F578" s="60"/>
      <c r="G578" s="67"/>
      <c r="H578" s="60"/>
      <c r="I578" s="68">
        <f t="shared" ca="1" si="112"/>
        <v>0</v>
      </c>
      <c r="J578" s="68">
        <f t="shared" ca="1" si="113"/>
        <v>0</v>
      </c>
      <c r="K578" s="68">
        <f t="shared" ca="1" si="114"/>
        <v>0</v>
      </c>
      <c r="L578" s="68">
        <f t="shared" ca="1" si="115"/>
        <v>0</v>
      </c>
      <c r="M578" s="69">
        <f t="shared" si="116"/>
        <v>0</v>
      </c>
      <c r="N578" s="65" t="str">
        <f t="shared" si="117"/>
        <v/>
      </c>
      <c r="O578" s="70" t="str">
        <f>IF(OR($C578="",$D578="",$F578=""),"",IF($F578="Aylık",EOMONTH($D578,0),($D578+MOD(SISTEM!$F$8-WEEKDAY($D578,2),7))))</f>
        <v/>
      </c>
      <c r="P578" s="61"/>
      <c r="Q578" s="2"/>
      <c r="R578" s="2"/>
      <c r="S578" s="1" t="str">
        <f>IF($B578="","",$B578&amp;"|"&amp;COUNTIFS($B$7:$B578,$B578))</f>
        <v/>
      </c>
      <c r="T578" s="1" t="str">
        <f t="shared" si="118"/>
        <v/>
      </c>
      <c r="U578" s="1">
        <f t="shared" si="119"/>
        <v>0</v>
      </c>
      <c r="V578" s="1">
        <f t="shared" si="120"/>
        <v>2958465</v>
      </c>
      <c r="W578" s="1">
        <f t="shared" si="121"/>
        <v>0</v>
      </c>
      <c r="X578" s="1">
        <f t="shared" si="122"/>
        <v>0</v>
      </c>
      <c r="Y578" s="1">
        <f t="shared" si="123"/>
        <v>97200</v>
      </c>
      <c r="Z578" s="1">
        <f t="shared" si="124"/>
        <v>1</v>
      </c>
      <c r="AA578" s="1">
        <f t="shared" si="125"/>
        <v>0</v>
      </c>
    </row>
    <row r="579" spans="1:27" ht="18" customHeight="1" x14ac:dyDescent="0.3">
      <c r="A579" s="2"/>
      <c r="B579" s="65" t="str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61"/>
      <c r="D579" s="66"/>
      <c r="E579" s="66"/>
      <c r="F579" s="60"/>
      <c r="G579" s="67"/>
      <c r="H579" s="60"/>
      <c r="I579" s="68">
        <f t="shared" ca="1" si="112"/>
        <v>0</v>
      </c>
      <c r="J579" s="68">
        <f t="shared" ca="1" si="113"/>
        <v>0</v>
      </c>
      <c r="K579" s="68">
        <f t="shared" ca="1" si="114"/>
        <v>0</v>
      </c>
      <c r="L579" s="68">
        <f t="shared" ca="1" si="115"/>
        <v>0</v>
      </c>
      <c r="M579" s="69">
        <f t="shared" si="116"/>
        <v>0</v>
      </c>
      <c r="N579" s="65" t="str">
        <f t="shared" si="117"/>
        <v/>
      </c>
      <c r="O579" s="70" t="str">
        <f>IF(OR($C579="",$D579="",$F579=""),"",IF($F579="Aylık",EOMONTH($D579,0),($D579+MOD(SISTEM!$F$8-WEEKDAY($D579,2),7))))</f>
        <v/>
      </c>
      <c r="P579" s="61"/>
      <c r="Q579" s="2"/>
      <c r="R579" s="2"/>
      <c r="S579" s="1" t="str">
        <f>IF($B579="","",$B579&amp;"|"&amp;COUNTIFS($B$7:$B579,$B579))</f>
        <v/>
      </c>
      <c r="T579" s="1" t="str">
        <f t="shared" si="118"/>
        <v/>
      </c>
      <c r="U579" s="1">
        <f t="shared" si="119"/>
        <v>0</v>
      </c>
      <c r="V579" s="1">
        <f t="shared" si="120"/>
        <v>2958465</v>
      </c>
      <c r="W579" s="1">
        <f t="shared" si="121"/>
        <v>0</v>
      </c>
      <c r="X579" s="1">
        <f t="shared" si="122"/>
        <v>0</v>
      </c>
      <c r="Y579" s="1">
        <f t="shared" si="123"/>
        <v>97200</v>
      </c>
      <c r="Z579" s="1">
        <f t="shared" si="124"/>
        <v>1</v>
      </c>
      <c r="AA579" s="1">
        <f t="shared" si="125"/>
        <v>0</v>
      </c>
    </row>
    <row r="580" spans="1:27" ht="18" customHeight="1" x14ac:dyDescent="0.3">
      <c r="A580" s="2"/>
      <c r="B580" s="65" t="str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61"/>
      <c r="D580" s="66"/>
      <c r="E580" s="66"/>
      <c r="F580" s="60"/>
      <c r="G580" s="67"/>
      <c r="H580" s="60"/>
      <c r="I580" s="68">
        <f t="shared" ca="1" si="112"/>
        <v>0</v>
      </c>
      <c r="J580" s="68">
        <f t="shared" ca="1" si="113"/>
        <v>0</v>
      </c>
      <c r="K580" s="68">
        <f t="shared" ca="1" si="114"/>
        <v>0</v>
      </c>
      <c r="L580" s="68">
        <f t="shared" ca="1" si="115"/>
        <v>0</v>
      </c>
      <c r="M580" s="69">
        <f t="shared" si="116"/>
        <v>0</v>
      </c>
      <c r="N580" s="65" t="str">
        <f t="shared" si="117"/>
        <v/>
      </c>
      <c r="O580" s="70" t="str">
        <f>IF(OR($C580="",$D580="",$F580=""),"",IF($F580="Aylık",EOMONTH($D580,0),($D580+MOD(SISTEM!$F$8-WEEKDAY($D580,2),7))))</f>
        <v/>
      </c>
      <c r="P580" s="61"/>
      <c r="Q580" s="2"/>
      <c r="R580" s="2"/>
      <c r="S580" s="1" t="str">
        <f>IF($B580="","",$B580&amp;"|"&amp;COUNTIFS($B$7:$B580,$B580))</f>
        <v/>
      </c>
      <c r="T580" s="1" t="str">
        <f t="shared" si="118"/>
        <v/>
      </c>
      <c r="U580" s="1">
        <f t="shared" si="119"/>
        <v>0</v>
      </c>
      <c r="V580" s="1">
        <f t="shared" si="120"/>
        <v>2958465</v>
      </c>
      <c r="W580" s="1">
        <f t="shared" si="121"/>
        <v>0</v>
      </c>
      <c r="X580" s="1">
        <f t="shared" si="122"/>
        <v>0</v>
      </c>
      <c r="Y580" s="1">
        <f t="shared" si="123"/>
        <v>97200</v>
      </c>
      <c r="Z580" s="1">
        <f t="shared" si="124"/>
        <v>1</v>
      </c>
      <c r="AA580" s="1">
        <f t="shared" si="125"/>
        <v>0</v>
      </c>
    </row>
    <row r="581" spans="1:27" ht="18" customHeight="1" x14ac:dyDescent="0.3">
      <c r="A581" s="2"/>
      <c r="B581" s="65" t="str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61"/>
      <c r="D581" s="66"/>
      <c r="E581" s="66"/>
      <c r="F581" s="60"/>
      <c r="G581" s="67"/>
      <c r="H581" s="60"/>
      <c r="I581" s="68">
        <f t="shared" ca="1" si="112"/>
        <v>0</v>
      </c>
      <c r="J581" s="68">
        <f t="shared" ca="1" si="113"/>
        <v>0</v>
      </c>
      <c r="K581" s="68">
        <f t="shared" ca="1" si="114"/>
        <v>0</v>
      </c>
      <c r="L581" s="68">
        <f t="shared" ca="1" si="115"/>
        <v>0</v>
      </c>
      <c r="M581" s="69">
        <f t="shared" si="116"/>
        <v>0</v>
      </c>
      <c r="N581" s="65" t="str">
        <f t="shared" si="117"/>
        <v/>
      </c>
      <c r="O581" s="70" t="str">
        <f>IF(OR($C581="",$D581="",$F581=""),"",IF($F581="Aylık",EOMONTH($D581,0),($D581+MOD(SISTEM!$F$8-WEEKDAY($D581,2),7))))</f>
        <v/>
      </c>
      <c r="P581" s="61"/>
      <c r="Q581" s="2"/>
      <c r="R581" s="2"/>
      <c r="S581" s="1" t="str">
        <f>IF($B581="","",$B581&amp;"|"&amp;COUNTIFS($B$7:$B581,$B581))</f>
        <v/>
      </c>
      <c r="T581" s="1" t="str">
        <f t="shared" si="118"/>
        <v/>
      </c>
      <c r="U581" s="1">
        <f t="shared" si="119"/>
        <v>0</v>
      </c>
      <c r="V581" s="1">
        <f t="shared" si="120"/>
        <v>2958465</v>
      </c>
      <c r="W581" s="1">
        <f t="shared" si="121"/>
        <v>0</v>
      </c>
      <c r="X581" s="1">
        <f t="shared" si="122"/>
        <v>0</v>
      </c>
      <c r="Y581" s="1">
        <f t="shared" si="123"/>
        <v>97200</v>
      </c>
      <c r="Z581" s="1">
        <f t="shared" si="124"/>
        <v>1</v>
      </c>
      <c r="AA581" s="1">
        <f t="shared" si="125"/>
        <v>0</v>
      </c>
    </row>
    <row r="582" spans="1:27" ht="18" customHeight="1" x14ac:dyDescent="0.3">
      <c r="A582" s="2"/>
      <c r="B582" s="65" t="str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61"/>
      <c r="D582" s="66"/>
      <c r="E582" s="66"/>
      <c r="F582" s="60"/>
      <c r="G582" s="67"/>
      <c r="H582" s="60"/>
      <c r="I582" s="68">
        <f t="shared" ca="1" si="112"/>
        <v>0</v>
      </c>
      <c r="J582" s="68">
        <f t="shared" ca="1" si="113"/>
        <v>0</v>
      </c>
      <c r="K582" s="68">
        <f t="shared" ca="1" si="114"/>
        <v>0</v>
      </c>
      <c r="L582" s="68">
        <f t="shared" ca="1" si="115"/>
        <v>0</v>
      </c>
      <c r="M582" s="69">
        <f t="shared" si="116"/>
        <v>0</v>
      </c>
      <c r="N582" s="65" t="str">
        <f t="shared" si="117"/>
        <v/>
      </c>
      <c r="O582" s="70" t="str">
        <f>IF(OR($C582="",$D582="",$F582=""),"",IF($F582="Aylık",EOMONTH($D582,0),($D582+MOD(SISTEM!$F$8-WEEKDAY($D582,2),7))))</f>
        <v/>
      </c>
      <c r="P582" s="61"/>
      <c r="Q582" s="2"/>
      <c r="R582" s="2"/>
      <c r="S582" s="1" t="str">
        <f>IF($B582="","",$B582&amp;"|"&amp;COUNTIFS($B$7:$B582,$B582))</f>
        <v/>
      </c>
      <c r="T582" s="1" t="str">
        <f t="shared" si="118"/>
        <v/>
      </c>
      <c r="U582" s="1">
        <f t="shared" si="119"/>
        <v>0</v>
      </c>
      <c r="V582" s="1">
        <f t="shared" si="120"/>
        <v>2958465</v>
      </c>
      <c r="W582" s="1">
        <f t="shared" si="121"/>
        <v>0</v>
      </c>
      <c r="X582" s="1">
        <f t="shared" si="122"/>
        <v>0</v>
      </c>
      <c r="Y582" s="1">
        <f t="shared" si="123"/>
        <v>97200</v>
      </c>
      <c r="Z582" s="1">
        <f t="shared" si="124"/>
        <v>1</v>
      </c>
      <c r="AA582" s="1">
        <f t="shared" si="125"/>
        <v>0</v>
      </c>
    </row>
    <row r="583" spans="1:27" ht="18" customHeight="1" x14ac:dyDescent="0.3">
      <c r="A583" s="2"/>
      <c r="B583" s="65" t="str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61"/>
      <c r="D583" s="66"/>
      <c r="E583" s="66"/>
      <c r="F583" s="60"/>
      <c r="G583" s="67"/>
      <c r="H583" s="60"/>
      <c r="I583" s="68">
        <f t="shared" ref="I583:I606" ca="1" si="126"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>0</v>
      </c>
      <c r="J583" s="68">
        <f t="shared" ref="J583:J606" ca="1" si="127"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>0</v>
      </c>
      <c r="K583" s="68">
        <f t="shared" ref="K583:K606" ca="1" si="128"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>0</v>
      </c>
      <c r="L583" s="68">
        <f t="shared" ref="L583:L606" ca="1" si="129"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>0</v>
      </c>
      <c r="M583" s="69">
        <f t="shared" ref="M583:M606" si="130">IF($G583&gt;0,$I583/$G583,0)</f>
        <v>0</v>
      </c>
      <c r="N583" s="65" t="str">
        <f t="shared" ref="N583:N606" si="131"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70" t="str">
        <f>IF(OR($C583="",$D583="",$F583=""),"",IF($F583="Aylık",EOMONTH($D583,0),($D583+MOD(SISTEM!$F$8-WEEKDAY($D583,2),7))))</f>
        <v/>
      </c>
      <c r="P583" s="61"/>
      <c r="Q583" s="2"/>
      <c r="R583" s="2"/>
      <c r="S583" s="1" t="str">
        <f>IF($B583="","",$B583&amp;"|"&amp;COUNTIFS($B$7:$B583,$B583))</f>
        <v/>
      </c>
      <c r="T583" s="1" t="str">
        <f t="shared" ref="T583:T606" si="132"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">
        <f t="shared" ref="U583:U606" si="133">IF($O583="",0,$O583)</f>
        <v>0</v>
      </c>
      <c r="V583" s="1">
        <f t="shared" ref="V583:V606" si="134">IF($E583="",2958465,$E583)</f>
        <v>2958465</v>
      </c>
      <c r="W583" s="1">
        <f t="shared" ref="W583:W606" si="135">IF($F583="Haftalık",1,IF($F583="Aylık",2,0))</f>
        <v>0</v>
      </c>
      <c r="X583" s="1">
        <f t="shared" ref="X583:X606" si="136">IF($U583=0,0,(YEAR($U583)-1900)*12+MONTH($U583))</f>
        <v>0</v>
      </c>
      <c r="Y583" s="1">
        <f t="shared" ref="Y583:Y606" si="137">(YEAR($V583)-1900)*12+MONTH($V583)</f>
        <v>97200</v>
      </c>
      <c r="Z583" s="1">
        <f t="shared" ref="Z583:Z606" si="138">IF($V583=EOMONTH($V583,0),1,0)</f>
        <v>1</v>
      </c>
      <c r="AA583" s="1">
        <f t="shared" ref="AA583:AA606" si="139">IF(OR($B583="",$H583&lt;&gt;"Aktif"),0,COUNTIFS($B$7:$B$606,$B583,$H$7:$H$606,"Aktif"))</f>
        <v>0</v>
      </c>
    </row>
    <row r="584" spans="1:27" ht="18" customHeight="1" x14ac:dyDescent="0.3">
      <c r="A584" s="2"/>
      <c r="B584" s="65" t="str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61"/>
      <c r="D584" s="66"/>
      <c r="E584" s="66"/>
      <c r="F584" s="60"/>
      <c r="G584" s="67"/>
      <c r="H584" s="60"/>
      <c r="I584" s="68">
        <f t="shared" ca="1" si="126"/>
        <v>0</v>
      </c>
      <c r="J584" s="68">
        <f t="shared" ca="1" si="127"/>
        <v>0</v>
      </c>
      <c r="K584" s="68">
        <f t="shared" ca="1" si="128"/>
        <v>0</v>
      </c>
      <c r="L584" s="68">
        <f t="shared" ca="1" si="129"/>
        <v>0</v>
      </c>
      <c r="M584" s="69">
        <f t="shared" si="130"/>
        <v>0</v>
      </c>
      <c r="N584" s="65" t="str">
        <f t="shared" si="131"/>
        <v/>
      </c>
      <c r="O584" s="70" t="str">
        <f>IF(OR($C584="",$D584="",$F584=""),"",IF($F584="Aylık",EOMONTH($D584,0),($D584+MOD(SISTEM!$F$8-WEEKDAY($D584,2),7))))</f>
        <v/>
      </c>
      <c r="P584" s="61"/>
      <c r="Q584" s="2"/>
      <c r="R584" s="2"/>
      <c r="S584" s="1" t="str">
        <f>IF($B584="","",$B584&amp;"|"&amp;COUNTIFS($B$7:$B584,$B584))</f>
        <v/>
      </c>
      <c r="T584" s="1" t="str">
        <f t="shared" si="132"/>
        <v/>
      </c>
      <c r="U584" s="1">
        <f t="shared" si="133"/>
        <v>0</v>
      </c>
      <c r="V584" s="1">
        <f t="shared" si="134"/>
        <v>2958465</v>
      </c>
      <c r="W584" s="1">
        <f t="shared" si="135"/>
        <v>0</v>
      </c>
      <c r="X584" s="1">
        <f t="shared" si="136"/>
        <v>0</v>
      </c>
      <c r="Y584" s="1">
        <f t="shared" si="137"/>
        <v>97200</v>
      </c>
      <c r="Z584" s="1">
        <f t="shared" si="138"/>
        <v>1</v>
      </c>
      <c r="AA584" s="1">
        <f t="shared" si="139"/>
        <v>0</v>
      </c>
    </row>
    <row r="585" spans="1:27" ht="18" customHeight="1" x14ac:dyDescent="0.3">
      <c r="A585" s="2"/>
      <c r="B585" s="65" t="str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61"/>
      <c r="D585" s="66"/>
      <c r="E585" s="66"/>
      <c r="F585" s="60"/>
      <c r="G585" s="67"/>
      <c r="H585" s="60"/>
      <c r="I585" s="68">
        <f t="shared" ca="1" si="126"/>
        <v>0</v>
      </c>
      <c r="J585" s="68">
        <f t="shared" ca="1" si="127"/>
        <v>0</v>
      </c>
      <c r="K585" s="68">
        <f t="shared" ca="1" si="128"/>
        <v>0</v>
      </c>
      <c r="L585" s="68">
        <f t="shared" ca="1" si="129"/>
        <v>0</v>
      </c>
      <c r="M585" s="69">
        <f t="shared" si="130"/>
        <v>0</v>
      </c>
      <c r="N585" s="65" t="str">
        <f t="shared" si="131"/>
        <v/>
      </c>
      <c r="O585" s="70" t="str">
        <f>IF(OR($C585="",$D585="",$F585=""),"",IF($F585="Aylık",EOMONTH($D585,0),($D585+MOD(SISTEM!$F$8-WEEKDAY($D585,2),7))))</f>
        <v/>
      </c>
      <c r="P585" s="61"/>
      <c r="Q585" s="2"/>
      <c r="R585" s="2"/>
      <c r="S585" s="1" t="str">
        <f>IF($B585="","",$B585&amp;"|"&amp;COUNTIFS($B$7:$B585,$B585))</f>
        <v/>
      </c>
      <c r="T585" s="1" t="str">
        <f t="shared" si="132"/>
        <v/>
      </c>
      <c r="U585" s="1">
        <f t="shared" si="133"/>
        <v>0</v>
      </c>
      <c r="V585" s="1">
        <f t="shared" si="134"/>
        <v>2958465</v>
      </c>
      <c r="W585" s="1">
        <f t="shared" si="135"/>
        <v>0</v>
      </c>
      <c r="X585" s="1">
        <f t="shared" si="136"/>
        <v>0</v>
      </c>
      <c r="Y585" s="1">
        <f t="shared" si="137"/>
        <v>97200</v>
      </c>
      <c r="Z585" s="1">
        <f t="shared" si="138"/>
        <v>1</v>
      </c>
      <c r="AA585" s="1">
        <f t="shared" si="139"/>
        <v>0</v>
      </c>
    </row>
    <row r="586" spans="1:27" ht="18" customHeight="1" x14ac:dyDescent="0.3">
      <c r="A586" s="2"/>
      <c r="B586" s="65" t="str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61"/>
      <c r="D586" s="66"/>
      <c r="E586" s="66"/>
      <c r="F586" s="60"/>
      <c r="G586" s="67"/>
      <c r="H586" s="60"/>
      <c r="I586" s="68">
        <f t="shared" ca="1" si="126"/>
        <v>0</v>
      </c>
      <c r="J586" s="68">
        <f t="shared" ca="1" si="127"/>
        <v>0</v>
      </c>
      <c r="K586" s="68">
        <f t="shared" ca="1" si="128"/>
        <v>0</v>
      </c>
      <c r="L586" s="68">
        <f t="shared" ca="1" si="129"/>
        <v>0</v>
      </c>
      <c r="M586" s="69">
        <f t="shared" si="130"/>
        <v>0</v>
      </c>
      <c r="N586" s="65" t="str">
        <f t="shared" si="131"/>
        <v/>
      </c>
      <c r="O586" s="70" t="str">
        <f>IF(OR($C586="",$D586="",$F586=""),"",IF($F586="Aylık",EOMONTH($D586,0),($D586+MOD(SISTEM!$F$8-WEEKDAY($D586,2),7))))</f>
        <v/>
      </c>
      <c r="P586" s="61"/>
      <c r="Q586" s="2"/>
      <c r="R586" s="2"/>
      <c r="S586" s="1" t="str">
        <f>IF($B586="","",$B586&amp;"|"&amp;COUNTIFS($B$7:$B586,$B586))</f>
        <v/>
      </c>
      <c r="T586" s="1" t="str">
        <f t="shared" si="132"/>
        <v/>
      </c>
      <c r="U586" s="1">
        <f t="shared" si="133"/>
        <v>0</v>
      </c>
      <c r="V586" s="1">
        <f t="shared" si="134"/>
        <v>2958465</v>
      </c>
      <c r="W586" s="1">
        <f t="shared" si="135"/>
        <v>0</v>
      </c>
      <c r="X586" s="1">
        <f t="shared" si="136"/>
        <v>0</v>
      </c>
      <c r="Y586" s="1">
        <f t="shared" si="137"/>
        <v>97200</v>
      </c>
      <c r="Z586" s="1">
        <f t="shared" si="138"/>
        <v>1</v>
      </c>
      <c r="AA586" s="1">
        <f t="shared" si="139"/>
        <v>0</v>
      </c>
    </row>
    <row r="587" spans="1:27" ht="18" customHeight="1" x14ac:dyDescent="0.3">
      <c r="A587" s="2"/>
      <c r="B587" s="65" t="str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61"/>
      <c r="D587" s="66"/>
      <c r="E587" s="66"/>
      <c r="F587" s="60"/>
      <c r="G587" s="67"/>
      <c r="H587" s="60"/>
      <c r="I587" s="68">
        <f t="shared" ca="1" si="126"/>
        <v>0</v>
      </c>
      <c r="J587" s="68">
        <f t="shared" ca="1" si="127"/>
        <v>0</v>
      </c>
      <c r="K587" s="68">
        <f t="shared" ca="1" si="128"/>
        <v>0</v>
      </c>
      <c r="L587" s="68">
        <f t="shared" ca="1" si="129"/>
        <v>0</v>
      </c>
      <c r="M587" s="69">
        <f t="shared" si="130"/>
        <v>0</v>
      </c>
      <c r="N587" s="65" t="str">
        <f t="shared" si="131"/>
        <v/>
      </c>
      <c r="O587" s="70" t="str">
        <f>IF(OR($C587="",$D587="",$F587=""),"",IF($F587="Aylık",EOMONTH($D587,0),($D587+MOD(SISTEM!$F$8-WEEKDAY($D587,2),7))))</f>
        <v/>
      </c>
      <c r="P587" s="61"/>
      <c r="Q587" s="2"/>
      <c r="R587" s="2"/>
      <c r="S587" s="1" t="str">
        <f>IF($B587="","",$B587&amp;"|"&amp;COUNTIFS($B$7:$B587,$B587))</f>
        <v/>
      </c>
      <c r="T587" s="1" t="str">
        <f t="shared" si="132"/>
        <v/>
      </c>
      <c r="U587" s="1">
        <f t="shared" si="133"/>
        <v>0</v>
      </c>
      <c r="V587" s="1">
        <f t="shared" si="134"/>
        <v>2958465</v>
      </c>
      <c r="W587" s="1">
        <f t="shared" si="135"/>
        <v>0</v>
      </c>
      <c r="X587" s="1">
        <f t="shared" si="136"/>
        <v>0</v>
      </c>
      <c r="Y587" s="1">
        <f t="shared" si="137"/>
        <v>97200</v>
      </c>
      <c r="Z587" s="1">
        <f t="shared" si="138"/>
        <v>1</v>
      </c>
      <c r="AA587" s="1">
        <f t="shared" si="139"/>
        <v>0</v>
      </c>
    </row>
    <row r="588" spans="1:27" ht="18" customHeight="1" x14ac:dyDescent="0.3">
      <c r="A588" s="2"/>
      <c r="B588" s="65" t="str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61"/>
      <c r="D588" s="66"/>
      <c r="E588" s="66"/>
      <c r="F588" s="60"/>
      <c r="G588" s="67"/>
      <c r="H588" s="60"/>
      <c r="I588" s="68">
        <f t="shared" ca="1" si="126"/>
        <v>0</v>
      </c>
      <c r="J588" s="68">
        <f t="shared" ca="1" si="127"/>
        <v>0</v>
      </c>
      <c r="K588" s="68">
        <f t="shared" ca="1" si="128"/>
        <v>0</v>
      </c>
      <c r="L588" s="68">
        <f t="shared" ca="1" si="129"/>
        <v>0</v>
      </c>
      <c r="M588" s="69">
        <f t="shared" si="130"/>
        <v>0</v>
      </c>
      <c r="N588" s="65" t="str">
        <f t="shared" si="131"/>
        <v/>
      </c>
      <c r="O588" s="70" t="str">
        <f>IF(OR($C588="",$D588="",$F588=""),"",IF($F588="Aylık",EOMONTH($D588,0),($D588+MOD(SISTEM!$F$8-WEEKDAY($D588,2),7))))</f>
        <v/>
      </c>
      <c r="P588" s="61"/>
      <c r="Q588" s="2"/>
      <c r="R588" s="2"/>
      <c r="S588" s="1" t="str">
        <f>IF($B588="","",$B588&amp;"|"&amp;COUNTIFS($B$7:$B588,$B588))</f>
        <v/>
      </c>
      <c r="T588" s="1" t="str">
        <f t="shared" si="132"/>
        <v/>
      </c>
      <c r="U588" s="1">
        <f t="shared" si="133"/>
        <v>0</v>
      </c>
      <c r="V588" s="1">
        <f t="shared" si="134"/>
        <v>2958465</v>
      </c>
      <c r="W588" s="1">
        <f t="shared" si="135"/>
        <v>0</v>
      </c>
      <c r="X588" s="1">
        <f t="shared" si="136"/>
        <v>0</v>
      </c>
      <c r="Y588" s="1">
        <f t="shared" si="137"/>
        <v>97200</v>
      </c>
      <c r="Z588" s="1">
        <f t="shared" si="138"/>
        <v>1</v>
      </c>
      <c r="AA588" s="1">
        <f t="shared" si="139"/>
        <v>0</v>
      </c>
    </row>
    <row r="589" spans="1:27" ht="18" customHeight="1" x14ac:dyDescent="0.3">
      <c r="A589" s="2"/>
      <c r="B589" s="65" t="str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61"/>
      <c r="D589" s="66"/>
      <c r="E589" s="66"/>
      <c r="F589" s="60"/>
      <c r="G589" s="67"/>
      <c r="H589" s="60"/>
      <c r="I589" s="68">
        <f t="shared" ca="1" si="126"/>
        <v>0</v>
      </c>
      <c r="J589" s="68">
        <f t="shared" ca="1" si="127"/>
        <v>0</v>
      </c>
      <c r="K589" s="68">
        <f t="shared" ca="1" si="128"/>
        <v>0</v>
      </c>
      <c r="L589" s="68">
        <f t="shared" ca="1" si="129"/>
        <v>0</v>
      </c>
      <c r="M589" s="69">
        <f t="shared" si="130"/>
        <v>0</v>
      </c>
      <c r="N589" s="65" t="str">
        <f t="shared" si="131"/>
        <v/>
      </c>
      <c r="O589" s="70" t="str">
        <f>IF(OR($C589="",$D589="",$F589=""),"",IF($F589="Aylık",EOMONTH($D589,0),($D589+MOD(SISTEM!$F$8-WEEKDAY($D589,2),7))))</f>
        <v/>
      </c>
      <c r="P589" s="61"/>
      <c r="Q589" s="2"/>
      <c r="R589" s="2"/>
      <c r="S589" s="1" t="str">
        <f>IF($B589="","",$B589&amp;"|"&amp;COUNTIFS($B$7:$B589,$B589))</f>
        <v/>
      </c>
      <c r="T589" s="1" t="str">
        <f t="shared" si="132"/>
        <v/>
      </c>
      <c r="U589" s="1">
        <f t="shared" si="133"/>
        <v>0</v>
      </c>
      <c r="V589" s="1">
        <f t="shared" si="134"/>
        <v>2958465</v>
      </c>
      <c r="W589" s="1">
        <f t="shared" si="135"/>
        <v>0</v>
      </c>
      <c r="X589" s="1">
        <f t="shared" si="136"/>
        <v>0</v>
      </c>
      <c r="Y589" s="1">
        <f t="shared" si="137"/>
        <v>97200</v>
      </c>
      <c r="Z589" s="1">
        <f t="shared" si="138"/>
        <v>1</v>
      </c>
      <c r="AA589" s="1">
        <f t="shared" si="139"/>
        <v>0</v>
      </c>
    </row>
    <row r="590" spans="1:27" ht="18" customHeight="1" x14ac:dyDescent="0.3">
      <c r="A590" s="2"/>
      <c r="B590" s="65" t="str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61"/>
      <c r="D590" s="66"/>
      <c r="E590" s="66"/>
      <c r="F590" s="60"/>
      <c r="G590" s="67"/>
      <c r="H590" s="60"/>
      <c r="I590" s="68">
        <f t="shared" ca="1" si="126"/>
        <v>0</v>
      </c>
      <c r="J590" s="68">
        <f t="shared" ca="1" si="127"/>
        <v>0</v>
      </c>
      <c r="K590" s="68">
        <f t="shared" ca="1" si="128"/>
        <v>0</v>
      </c>
      <c r="L590" s="68">
        <f t="shared" ca="1" si="129"/>
        <v>0</v>
      </c>
      <c r="M590" s="69">
        <f t="shared" si="130"/>
        <v>0</v>
      </c>
      <c r="N590" s="65" t="str">
        <f t="shared" si="131"/>
        <v/>
      </c>
      <c r="O590" s="70" t="str">
        <f>IF(OR($C590="",$D590="",$F590=""),"",IF($F590="Aylık",EOMONTH($D590,0),($D590+MOD(SISTEM!$F$8-WEEKDAY($D590,2),7))))</f>
        <v/>
      </c>
      <c r="P590" s="61"/>
      <c r="Q590" s="2"/>
      <c r="R590" s="2"/>
      <c r="S590" s="1" t="str">
        <f>IF($B590="","",$B590&amp;"|"&amp;COUNTIFS($B$7:$B590,$B590))</f>
        <v/>
      </c>
      <c r="T590" s="1" t="str">
        <f t="shared" si="132"/>
        <v/>
      </c>
      <c r="U590" s="1">
        <f t="shared" si="133"/>
        <v>0</v>
      </c>
      <c r="V590" s="1">
        <f t="shared" si="134"/>
        <v>2958465</v>
      </c>
      <c r="W590" s="1">
        <f t="shared" si="135"/>
        <v>0</v>
      </c>
      <c r="X590" s="1">
        <f t="shared" si="136"/>
        <v>0</v>
      </c>
      <c r="Y590" s="1">
        <f t="shared" si="137"/>
        <v>97200</v>
      </c>
      <c r="Z590" s="1">
        <f t="shared" si="138"/>
        <v>1</v>
      </c>
      <c r="AA590" s="1">
        <f t="shared" si="139"/>
        <v>0</v>
      </c>
    </row>
    <row r="591" spans="1:27" ht="18" customHeight="1" x14ac:dyDescent="0.3">
      <c r="A591" s="2"/>
      <c r="B591" s="65" t="str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61"/>
      <c r="D591" s="66"/>
      <c r="E591" s="66"/>
      <c r="F591" s="60"/>
      <c r="G591" s="67"/>
      <c r="H591" s="60"/>
      <c r="I591" s="68">
        <f t="shared" ca="1" si="126"/>
        <v>0</v>
      </c>
      <c r="J591" s="68">
        <f t="shared" ca="1" si="127"/>
        <v>0</v>
      </c>
      <c r="K591" s="68">
        <f t="shared" ca="1" si="128"/>
        <v>0</v>
      </c>
      <c r="L591" s="68">
        <f t="shared" ca="1" si="129"/>
        <v>0</v>
      </c>
      <c r="M591" s="69">
        <f t="shared" si="130"/>
        <v>0</v>
      </c>
      <c r="N591" s="65" t="str">
        <f t="shared" si="131"/>
        <v/>
      </c>
      <c r="O591" s="70" t="str">
        <f>IF(OR($C591="",$D591="",$F591=""),"",IF($F591="Aylık",EOMONTH($D591,0),($D591+MOD(SISTEM!$F$8-WEEKDAY($D591,2),7))))</f>
        <v/>
      </c>
      <c r="P591" s="61"/>
      <c r="Q591" s="2"/>
      <c r="R591" s="2"/>
      <c r="S591" s="1" t="str">
        <f>IF($B591="","",$B591&amp;"|"&amp;COUNTIFS($B$7:$B591,$B591))</f>
        <v/>
      </c>
      <c r="T591" s="1" t="str">
        <f t="shared" si="132"/>
        <v/>
      </c>
      <c r="U591" s="1">
        <f t="shared" si="133"/>
        <v>0</v>
      </c>
      <c r="V591" s="1">
        <f t="shared" si="134"/>
        <v>2958465</v>
      </c>
      <c r="W591" s="1">
        <f t="shared" si="135"/>
        <v>0</v>
      </c>
      <c r="X591" s="1">
        <f t="shared" si="136"/>
        <v>0</v>
      </c>
      <c r="Y591" s="1">
        <f t="shared" si="137"/>
        <v>97200</v>
      </c>
      <c r="Z591" s="1">
        <f t="shared" si="138"/>
        <v>1</v>
      </c>
      <c r="AA591" s="1">
        <f t="shared" si="139"/>
        <v>0</v>
      </c>
    </row>
    <row r="592" spans="1:27" ht="18" customHeight="1" x14ac:dyDescent="0.3">
      <c r="A592" s="2"/>
      <c r="B592" s="65" t="str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61"/>
      <c r="D592" s="66"/>
      <c r="E592" s="66"/>
      <c r="F592" s="60"/>
      <c r="G592" s="67"/>
      <c r="H592" s="60"/>
      <c r="I592" s="68">
        <f t="shared" ca="1" si="126"/>
        <v>0</v>
      </c>
      <c r="J592" s="68">
        <f t="shared" ca="1" si="127"/>
        <v>0</v>
      </c>
      <c r="K592" s="68">
        <f t="shared" ca="1" si="128"/>
        <v>0</v>
      </c>
      <c r="L592" s="68">
        <f t="shared" ca="1" si="129"/>
        <v>0</v>
      </c>
      <c r="M592" s="69">
        <f t="shared" si="130"/>
        <v>0</v>
      </c>
      <c r="N592" s="65" t="str">
        <f t="shared" si="131"/>
        <v/>
      </c>
      <c r="O592" s="70" t="str">
        <f>IF(OR($C592="",$D592="",$F592=""),"",IF($F592="Aylık",EOMONTH($D592,0),($D592+MOD(SISTEM!$F$8-WEEKDAY($D592,2),7))))</f>
        <v/>
      </c>
      <c r="P592" s="61"/>
      <c r="Q592" s="2"/>
      <c r="R592" s="2"/>
      <c r="S592" s="1" t="str">
        <f>IF($B592="","",$B592&amp;"|"&amp;COUNTIFS($B$7:$B592,$B592))</f>
        <v/>
      </c>
      <c r="T592" s="1" t="str">
        <f t="shared" si="132"/>
        <v/>
      </c>
      <c r="U592" s="1">
        <f t="shared" si="133"/>
        <v>0</v>
      </c>
      <c r="V592" s="1">
        <f t="shared" si="134"/>
        <v>2958465</v>
      </c>
      <c r="W592" s="1">
        <f t="shared" si="135"/>
        <v>0</v>
      </c>
      <c r="X592" s="1">
        <f t="shared" si="136"/>
        <v>0</v>
      </c>
      <c r="Y592" s="1">
        <f t="shared" si="137"/>
        <v>97200</v>
      </c>
      <c r="Z592" s="1">
        <f t="shared" si="138"/>
        <v>1</v>
      </c>
      <c r="AA592" s="1">
        <f t="shared" si="139"/>
        <v>0</v>
      </c>
    </row>
    <row r="593" spans="1:27" ht="18" customHeight="1" x14ac:dyDescent="0.3">
      <c r="A593" s="2"/>
      <c r="B593" s="65" t="str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61"/>
      <c r="D593" s="66"/>
      <c r="E593" s="66"/>
      <c r="F593" s="60"/>
      <c r="G593" s="67"/>
      <c r="H593" s="60"/>
      <c r="I593" s="68">
        <f t="shared" ca="1" si="126"/>
        <v>0</v>
      </c>
      <c r="J593" s="68">
        <f t="shared" ca="1" si="127"/>
        <v>0</v>
      </c>
      <c r="K593" s="68">
        <f t="shared" ca="1" si="128"/>
        <v>0</v>
      </c>
      <c r="L593" s="68">
        <f t="shared" ca="1" si="129"/>
        <v>0</v>
      </c>
      <c r="M593" s="69">
        <f t="shared" si="130"/>
        <v>0</v>
      </c>
      <c r="N593" s="65" t="str">
        <f t="shared" si="131"/>
        <v/>
      </c>
      <c r="O593" s="70" t="str">
        <f>IF(OR($C593="",$D593="",$F593=""),"",IF($F593="Aylık",EOMONTH($D593,0),($D593+MOD(SISTEM!$F$8-WEEKDAY($D593,2),7))))</f>
        <v/>
      </c>
      <c r="P593" s="61"/>
      <c r="Q593" s="2"/>
      <c r="R593" s="2"/>
      <c r="S593" s="1" t="str">
        <f>IF($B593="","",$B593&amp;"|"&amp;COUNTIFS($B$7:$B593,$B593))</f>
        <v/>
      </c>
      <c r="T593" s="1" t="str">
        <f t="shared" si="132"/>
        <v/>
      </c>
      <c r="U593" s="1">
        <f t="shared" si="133"/>
        <v>0</v>
      </c>
      <c r="V593" s="1">
        <f t="shared" si="134"/>
        <v>2958465</v>
      </c>
      <c r="W593" s="1">
        <f t="shared" si="135"/>
        <v>0</v>
      </c>
      <c r="X593" s="1">
        <f t="shared" si="136"/>
        <v>0</v>
      </c>
      <c r="Y593" s="1">
        <f t="shared" si="137"/>
        <v>97200</v>
      </c>
      <c r="Z593" s="1">
        <f t="shared" si="138"/>
        <v>1</v>
      </c>
      <c r="AA593" s="1">
        <f t="shared" si="139"/>
        <v>0</v>
      </c>
    </row>
    <row r="594" spans="1:27" ht="18" customHeight="1" x14ac:dyDescent="0.3">
      <c r="A594" s="2"/>
      <c r="B594" s="65" t="str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61"/>
      <c r="D594" s="66"/>
      <c r="E594" s="66"/>
      <c r="F594" s="60"/>
      <c r="G594" s="67"/>
      <c r="H594" s="60"/>
      <c r="I594" s="68">
        <f t="shared" ca="1" si="126"/>
        <v>0</v>
      </c>
      <c r="J594" s="68">
        <f t="shared" ca="1" si="127"/>
        <v>0</v>
      </c>
      <c r="K594" s="68">
        <f t="shared" ca="1" si="128"/>
        <v>0</v>
      </c>
      <c r="L594" s="68">
        <f t="shared" ca="1" si="129"/>
        <v>0</v>
      </c>
      <c r="M594" s="69">
        <f t="shared" si="130"/>
        <v>0</v>
      </c>
      <c r="N594" s="65" t="str">
        <f t="shared" si="131"/>
        <v/>
      </c>
      <c r="O594" s="70" t="str">
        <f>IF(OR($C594="",$D594="",$F594=""),"",IF($F594="Aylık",EOMONTH($D594,0),($D594+MOD(SISTEM!$F$8-WEEKDAY($D594,2),7))))</f>
        <v/>
      </c>
      <c r="P594" s="61"/>
      <c r="Q594" s="2"/>
      <c r="R594" s="2"/>
      <c r="S594" s="1" t="str">
        <f>IF($B594="","",$B594&amp;"|"&amp;COUNTIFS($B$7:$B594,$B594))</f>
        <v/>
      </c>
      <c r="T594" s="1" t="str">
        <f t="shared" si="132"/>
        <v/>
      </c>
      <c r="U594" s="1">
        <f t="shared" si="133"/>
        <v>0</v>
      </c>
      <c r="V594" s="1">
        <f t="shared" si="134"/>
        <v>2958465</v>
      </c>
      <c r="W594" s="1">
        <f t="shared" si="135"/>
        <v>0</v>
      </c>
      <c r="X594" s="1">
        <f t="shared" si="136"/>
        <v>0</v>
      </c>
      <c r="Y594" s="1">
        <f t="shared" si="137"/>
        <v>97200</v>
      </c>
      <c r="Z594" s="1">
        <f t="shared" si="138"/>
        <v>1</v>
      </c>
      <c r="AA594" s="1">
        <f t="shared" si="139"/>
        <v>0</v>
      </c>
    </row>
    <row r="595" spans="1:27" ht="18" customHeight="1" x14ac:dyDescent="0.3">
      <c r="A595" s="2"/>
      <c r="B595" s="65" t="str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61"/>
      <c r="D595" s="66"/>
      <c r="E595" s="66"/>
      <c r="F595" s="60"/>
      <c r="G595" s="67"/>
      <c r="H595" s="60"/>
      <c r="I595" s="68">
        <f t="shared" ca="1" si="126"/>
        <v>0</v>
      </c>
      <c r="J595" s="68">
        <f t="shared" ca="1" si="127"/>
        <v>0</v>
      </c>
      <c r="K595" s="68">
        <f t="shared" ca="1" si="128"/>
        <v>0</v>
      </c>
      <c r="L595" s="68">
        <f t="shared" ca="1" si="129"/>
        <v>0</v>
      </c>
      <c r="M595" s="69">
        <f t="shared" si="130"/>
        <v>0</v>
      </c>
      <c r="N595" s="65" t="str">
        <f t="shared" si="131"/>
        <v/>
      </c>
      <c r="O595" s="70" t="str">
        <f>IF(OR($C595="",$D595="",$F595=""),"",IF($F595="Aylık",EOMONTH($D595,0),($D595+MOD(SISTEM!$F$8-WEEKDAY($D595,2),7))))</f>
        <v/>
      </c>
      <c r="P595" s="61"/>
      <c r="Q595" s="2"/>
      <c r="R595" s="2"/>
      <c r="S595" s="1" t="str">
        <f>IF($B595="","",$B595&amp;"|"&amp;COUNTIFS($B$7:$B595,$B595))</f>
        <v/>
      </c>
      <c r="T595" s="1" t="str">
        <f t="shared" si="132"/>
        <v/>
      </c>
      <c r="U595" s="1">
        <f t="shared" si="133"/>
        <v>0</v>
      </c>
      <c r="V595" s="1">
        <f t="shared" si="134"/>
        <v>2958465</v>
      </c>
      <c r="W595" s="1">
        <f t="shared" si="135"/>
        <v>0</v>
      </c>
      <c r="X595" s="1">
        <f t="shared" si="136"/>
        <v>0</v>
      </c>
      <c r="Y595" s="1">
        <f t="shared" si="137"/>
        <v>97200</v>
      </c>
      <c r="Z595" s="1">
        <f t="shared" si="138"/>
        <v>1</v>
      </c>
      <c r="AA595" s="1">
        <f t="shared" si="139"/>
        <v>0</v>
      </c>
    </row>
    <row r="596" spans="1:27" ht="18" customHeight="1" x14ac:dyDescent="0.3">
      <c r="A596" s="2"/>
      <c r="B596" s="65" t="str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61"/>
      <c r="D596" s="66"/>
      <c r="E596" s="66"/>
      <c r="F596" s="60"/>
      <c r="G596" s="67"/>
      <c r="H596" s="60"/>
      <c r="I596" s="68">
        <f t="shared" ca="1" si="126"/>
        <v>0</v>
      </c>
      <c r="J596" s="68">
        <f t="shared" ca="1" si="127"/>
        <v>0</v>
      </c>
      <c r="K596" s="68">
        <f t="shared" ca="1" si="128"/>
        <v>0</v>
      </c>
      <c r="L596" s="68">
        <f t="shared" ca="1" si="129"/>
        <v>0</v>
      </c>
      <c r="M596" s="69">
        <f t="shared" si="130"/>
        <v>0</v>
      </c>
      <c r="N596" s="65" t="str">
        <f t="shared" si="131"/>
        <v/>
      </c>
      <c r="O596" s="70" t="str">
        <f>IF(OR($C596="",$D596="",$F596=""),"",IF($F596="Aylık",EOMONTH($D596,0),($D596+MOD(SISTEM!$F$8-WEEKDAY($D596,2),7))))</f>
        <v/>
      </c>
      <c r="P596" s="61"/>
      <c r="Q596" s="2"/>
      <c r="R596" s="2"/>
      <c r="S596" s="1" t="str">
        <f>IF($B596="","",$B596&amp;"|"&amp;COUNTIFS($B$7:$B596,$B596))</f>
        <v/>
      </c>
      <c r="T596" s="1" t="str">
        <f t="shared" si="132"/>
        <v/>
      </c>
      <c r="U596" s="1">
        <f t="shared" si="133"/>
        <v>0</v>
      </c>
      <c r="V596" s="1">
        <f t="shared" si="134"/>
        <v>2958465</v>
      </c>
      <c r="W596" s="1">
        <f t="shared" si="135"/>
        <v>0</v>
      </c>
      <c r="X596" s="1">
        <f t="shared" si="136"/>
        <v>0</v>
      </c>
      <c r="Y596" s="1">
        <f t="shared" si="137"/>
        <v>97200</v>
      </c>
      <c r="Z596" s="1">
        <f t="shared" si="138"/>
        <v>1</v>
      </c>
      <c r="AA596" s="1">
        <f t="shared" si="139"/>
        <v>0</v>
      </c>
    </row>
    <row r="597" spans="1:27" ht="18" customHeight="1" x14ac:dyDescent="0.3">
      <c r="A597" s="2"/>
      <c r="B597" s="65" t="str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61"/>
      <c r="D597" s="66"/>
      <c r="E597" s="66"/>
      <c r="F597" s="60"/>
      <c r="G597" s="67"/>
      <c r="H597" s="60"/>
      <c r="I597" s="68">
        <f t="shared" ca="1" si="126"/>
        <v>0</v>
      </c>
      <c r="J597" s="68">
        <f t="shared" ca="1" si="127"/>
        <v>0</v>
      </c>
      <c r="K597" s="68">
        <f t="shared" ca="1" si="128"/>
        <v>0</v>
      </c>
      <c r="L597" s="68">
        <f t="shared" ca="1" si="129"/>
        <v>0</v>
      </c>
      <c r="M597" s="69">
        <f t="shared" si="130"/>
        <v>0</v>
      </c>
      <c r="N597" s="65" t="str">
        <f t="shared" si="131"/>
        <v/>
      </c>
      <c r="O597" s="70" t="str">
        <f>IF(OR($C597="",$D597="",$F597=""),"",IF($F597="Aylık",EOMONTH($D597,0),($D597+MOD(SISTEM!$F$8-WEEKDAY($D597,2),7))))</f>
        <v/>
      </c>
      <c r="P597" s="61"/>
      <c r="Q597" s="2"/>
      <c r="R597" s="2"/>
      <c r="S597" s="1" t="str">
        <f>IF($B597="","",$B597&amp;"|"&amp;COUNTIFS($B$7:$B597,$B597))</f>
        <v/>
      </c>
      <c r="T597" s="1" t="str">
        <f t="shared" si="132"/>
        <v/>
      </c>
      <c r="U597" s="1">
        <f t="shared" si="133"/>
        <v>0</v>
      </c>
      <c r="V597" s="1">
        <f t="shared" si="134"/>
        <v>2958465</v>
      </c>
      <c r="W597" s="1">
        <f t="shared" si="135"/>
        <v>0</v>
      </c>
      <c r="X597" s="1">
        <f t="shared" si="136"/>
        <v>0</v>
      </c>
      <c r="Y597" s="1">
        <f t="shared" si="137"/>
        <v>97200</v>
      </c>
      <c r="Z597" s="1">
        <f t="shared" si="138"/>
        <v>1</v>
      </c>
      <c r="AA597" s="1">
        <f t="shared" si="139"/>
        <v>0</v>
      </c>
    </row>
    <row r="598" spans="1:27" ht="18" customHeight="1" x14ac:dyDescent="0.3">
      <c r="A598" s="2"/>
      <c r="B598" s="65" t="str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61"/>
      <c r="D598" s="66"/>
      <c r="E598" s="66"/>
      <c r="F598" s="60"/>
      <c r="G598" s="67"/>
      <c r="H598" s="60"/>
      <c r="I598" s="68">
        <f t="shared" ca="1" si="126"/>
        <v>0</v>
      </c>
      <c r="J598" s="68">
        <f t="shared" ca="1" si="127"/>
        <v>0</v>
      </c>
      <c r="K598" s="68">
        <f t="shared" ca="1" si="128"/>
        <v>0</v>
      </c>
      <c r="L598" s="68">
        <f t="shared" ca="1" si="129"/>
        <v>0</v>
      </c>
      <c r="M598" s="69">
        <f t="shared" si="130"/>
        <v>0</v>
      </c>
      <c r="N598" s="65" t="str">
        <f t="shared" si="131"/>
        <v/>
      </c>
      <c r="O598" s="70" t="str">
        <f>IF(OR($C598="",$D598="",$F598=""),"",IF($F598="Aylık",EOMONTH($D598,0),($D598+MOD(SISTEM!$F$8-WEEKDAY($D598,2),7))))</f>
        <v/>
      </c>
      <c r="P598" s="61"/>
      <c r="Q598" s="2"/>
      <c r="R598" s="2"/>
      <c r="S598" s="1" t="str">
        <f>IF($B598="","",$B598&amp;"|"&amp;COUNTIFS($B$7:$B598,$B598))</f>
        <v/>
      </c>
      <c r="T598" s="1" t="str">
        <f t="shared" si="132"/>
        <v/>
      </c>
      <c r="U598" s="1">
        <f t="shared" si="133"/>
        <v>0</v>
      </c>
      <c r="V598" s="1">
        <f t="shared" si="134"/>
        <v>2958465</v>
      </c>
      <c r="W598" s="1">
        <f t="shared" si="135"/>
        <v>0</v>
      </c>
      <c r="X598" s="1">
        <f t="shared" si="136"/>
        <v>0</v>
      </c>
      <c r="Y598" s="1">
        <f t="shared" si="137"/>
        <v>97200</v>
      </c>
      <c r="Z598" s="1">
        <f t="shared" si="138"/>
        <v>1</v>
      </c>
      <c r="AA598" s="1">
        <f t="shared" si="139"/>
        <v>0</v>
      </c>
    </row>
    <row r="599" spans="1:27" ht="18" customHeight="1" x14ac:dyDescent="0.3">
      <c r="A599" s="2"/>
      <c r="B599" s="65" t="str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61"/>
      <c r="D599" s="66"/>
      <c r="E599" s="66"/>
      <c r="F599" s="60"/>
      <c r="G599" s="67"/>
      <c r="H599" s="60"/>
      <c r="I599" s="68">
        <f t="shared" ca="1" si="126"/>
        <v>0</v>
      </c>
      <c r="J599" s="68">
        <f t="shared" ca="1" si="127"/>
        <v>0</v>
      </c>
      <c r="K599" s="68">
        <f t="shared" ca="1" si="128"/>
        <v>0</v>
      </c>
      <c r="L599" s="68">
        <f t="shared" ca="1" si="129"/>
        <v>0</v>
      </c>
      <c r="M599" s="69">
        <f t="shared" si="130"/>
        <v>0</v>
      </c>
      <c r="N599" s="65" t="str">
        <f t="shared" si="131"/>
        <v/>
      </c>
      <c r="O599" s="70" t="str">
        <f>IF(OR($C599="",$D599="",$F599=""),"",IF($F599="Aylık",EOMONTH($D599,0),($D599+MOD(SISTEM!$F$8-WEEKDAY($D599,2),7))))</f>
        <v/>
      </c>
      <c r="P599" s="61"/>
      <c r="Q599" s="2"/>
      <c r="R599" s="2"/>
      <c r="S599" s="1" t="str">
        <f>IF($B599="","",$B599&amp;"|"&amp;COUNTIFS($B$7:$B599,$B599))</f>
        <v/>
      </c>
      <c r="T599" s="1" t="str">
        <f t="shared" si="132"/>
        <v/>
      </c>
      <c r="U599" s="1">
        <f t="shared" si="133"/>
        <v>0</v>
      </c>
      <c r="V599" s="1">
        <f t="shared" si="134"/>
        <v>2958465</v>
      </c>
      <c r="W599" s="1">
        <f t="shared" si="135"/>
        <v>0</v>
      </c>
      <c r="X599" s="1">
        <f t="shared" si="136"/>
        <v>0</v>
      </c>
      <c r="Y599" s="1">
        <f t="shared" si="137"/>
        <v>97200</v>
      </c>
      <c r="Z599" s="1">
        <f t="shared" si="138"/>
        <v>1</v>
      </c>
      <c r="AA599" s="1">
        <f t="shared" si="139"/>
        <v>0</v>
      </c>
    </row>
    <row r="600" spans="1:27" ht="18" customHeight="1" x14ac:dyDescent="0.3">
      <c r="A600" s="2"/>
      <c r="B600" s="65" t="str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61"/>
      <c r="D600" s="66"/>
      <c r="E600" s="66"/>
      <c r="F600" s="60"/>
      <c r="G600" s="67"/>
      <c r="H600" s="60"/>
      <c r="I600" s="68">
        <f t="shared" ca="1" si="126"/>
        <v>0</v>
      </c>
      <c r="J600" s="68">
        <f t="shared" ca="1" si="127"/>
        <v>0</v>
      </c>
      <c r="K600" s="68">
        <f t="shared" ca="1" si="128"/>
        <v>0</v>
      </c>
      <c r="L600" s="68">
        <f t="shared" ca="1" si="129"/>
        <v>0</v>
      </c>
      <c r="M600" s="69">
        <f t="shared" si="130"/>
        <v>0</v>
      </c>
      <c r="N600" s="65" t="str">
        <f t="shared" si="131"/>
        <v/>
      </c>
      <c r="O600" s="70" t="str">
        <f>IF(OR($C600="",$D600="",$F600=""),"",IF($F600="Aylık",EOMONTH($D600,0),($D600+MOD(SISTEM!$F$8-WEEKDAY($D600,2),7))))</f>
        <v/>
      </c>
      <c r="P600" s="61"/>
      <c r="Q600" s="2"/>
      <c r="R600" s="2"/>
      <c r="S600" s="1" t="str">
        <f>IF($B600="","",$B600&amp;"|"&amp;COUNTIFS($B$7:$B600,$B600))</f>
        <v/>
      </c>
      <c r="T600" s="1" t="str">
        <f t="shared" si="132"/>
        <v/>
      </c>
      <c r="U600" s="1">
        <f t="shared" si="133"/>
        <v>0</v>
      </c>
      <c r="V600" s="1">
        <f t="shared" si="134"/>
        <v>2958465</v>
      </c>
      <c r="W600" s="1">
        <f t="shared" si="135"/>
        <v>0</v>
      </c>
      <c r="X600" s="1">
        <f t="shared" si="136"/>
        <v>0</v>
      </c>
      <c r="Y600" s="1">
        <f t="shared" si="137"/>
        <v>97200</v>
      </c>
      <c r="Z600" s="1">
        <f t="shared" si="138"/>
        <v>1</v>
      </c>
      <c r="AA600" s="1">
        <f t="shared" si="139"/>
        <v>0</v>
      </c>
    </row>
    <row r="601" spans="1:27" ht="18" customHeight="1" x14ac:dyDescent="0.3">
      <c r="A601" s="2"/>
      <c r="B601" s="65" t="str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61"/>
      <c r="D601" s="66"/>
      <c r="E601" s="66"/>
      <c r="F601" s="60"/>
      <c r="G601" s="67"/>
      <c r="H601" s="60"/>
      <c r="I601" s="68">
        <f t="shared" ca="1" si="126"/>
        <v>0</v>
      </c>
      <c r="J601" s="68">
        <f t="shared" ca="1" si="127"/>
        <v>0</v>
      </c>
      <c r="K601" s="68">
        <f t="shared" ca="1" si="128"/>
        <v>0</v>
      </c>
      <c r="L601" s="68">
        <f t="shared" ca="1" si="129"/>
        <v>0</v>
      </c>
      <c r="M601" s="69">
        <f t="shared" si="130"/>
        <v>0</v>
      </c>
      <c r="N601" s="65" t="str">
        <f t="shared" si="131"/>
        <v/>
      </c>
      <c r="O601" s="70" t="str">
        <f>IF(OR($C601="",$D601="",$F601=""),"",IF($F601="Aylık",EOMONTH($D601,0),($D601+MOD(SISTEM!$F$8-WEEKDAY($D601,2),7))))</f>
        <v/>
      </c>
      <c r="P601" s="61"/>
      <c r="Q601" s="2"/>
      <c r="R601" s="2"/>
      <c r="S601" s="1" t="str">
        <f>IF($B601="","",$B601&amp;"|"&amp;COUNTIFS($B$7:$B601,$B601))</f>
        <v/>
      </c>
      <c r="T601" s="1" t="str">
        <f t="shared" si="132"/>
        <v/>
      </c>
      <c r="U601" s="1">
        <f t="shared" si="133"/>
        <v>0</v>
      </c>
      <c r="V601" s="1">
        <f t="shared" si="134"/>
        <v>2958465</v>
      </c>
      <c r="W601" s="1">
        <f t="shared" si="135"/>
        <v>0</v>
      </c>
      <c r="X601" s="1">
        <f t="shared" si="136"/>
        <v>0</v>
      </c>
      <c r="Y601" s="1">
        <f t="shared" si="137"/>
        <v>97200</v>
      </c>
      <c r="Z601" s="1">
        <f t="shared" si="138"/>
        <v>1</v>
      </c>
      <c r="AA601" s="1">
        <f t="shared" si="139"/>
        <v>0</v>
      </c>
    </row>
    <row r="602" spans="1:27" ht="18" customHeight="1" x14ac:dyDescent="0.3">
      <c r="A602" s="2"/>
      <c r="B602" s="65" t="str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61"/>
      <c r="D602" s="66"/>
      <c r="E602" s="66"/>
      <c r="F602" s="60"/>
      <c r="G602" s="67"/>
      <c r="H602" s="60"/>
      <c r="I602" s="68">
        <f t="shared" ca="1" si="126"/>
        <v>0</v>
      </c>
      <c r="J602" s="68">
        <f t="shared" ca="1" si="127"/>
        <v>0</v>
      </c>
      <c r="K602" s="68">
        <f t="shared" ca="1" si="128"/>
        <v>0</v>
      </c>
      <c r="L602" s="68">
        <f t="shared" ca="1" si="129"/>
        <v>0</v>
      </c>
      <c r="M602" s="69">
        <f t="shared" si="130"/>
        <v>0</v>
      </c>
      <c r="N602" s="65" t="str">
        <f t="shared" si="131"/>
        <v/>
      </c>
      <c r="O602" s="70" t="str">
        <f>IF(OR($C602="",$D602="",$F602=""),"",IF($F602="Aylık",EOMONTH($D602,0),($D602+MOD(SISTEM!$F$8-WEEKDAY($D602,2),7))))</f>
        <v/>
      </c>
      <c r="P602" s="61"/>
      <c r="Q602" s="2"/>
      <c r="R602" s="2"/>
      <c r="S602" s="1" t="str">
        <f>IF($B602="","",$B602&amp;"|"&amp;COUNTIFS($B$7:$B602,$B602))</f>
        <v/>
      </c>
      <c r="T602" s="1" t="str">
        <f t="shared" si="132"/>
        <v/>
      </c>
      <c r="U602" s="1">
        <f t="shared" si="133"/>
        <v>0</v>
      </c>
      <c r="V602" s="1">
        <f t="shared" si="134"/>
        <v>2958465</v>
      </c>
      <c r="W602" s="1">
        <f t="shared" si="135"/>
        <v>0</v>
      </c>
      <c r="X602" s="1">
        <f t="shared" si="136"/>
        <v>0</v>
      </c>
      <c r="Y602" s="1">
        <f t="shared" si="137"/>
        <v>97200</v>
      </c>
      <c r="Z602" s="1">
        <f t="shared" si="138"/>
        <v>1</v>
      </c>
      <c r="AA602" s="1">
        <f t="shared" si="139"/>
        <v>0</v>
      </c>
    </row>
    <row r="603" spans="1:27" ht="18" customHeight="1" x14ac:dyDescent="0.3">
      <c r="A603" s="2"/>
      <c r="B603" s="65" t="str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61"/>
      <c r="D603" s="66"/>
      <c r="E603" s="66"/>
      <c r="F603" s="60"/>
      <c r="G603" s="67"/>
      <c r="H603" s="60"/>
      <c r="I603" s="68">
        <f t="shared" ca="1" si="126"/>
        <v>0</v>
      </c>
      <c r="J603" s="68">
        <f t="shared" ca="1" si="127"/>
        <v>0</v>
      </c>
      <c r="K603" s="68">
        <f t="shared" ca="1" si="128"/>
        <v>0</v>
      </c>
      <c r="L603" s="68">
        <f t="shared" ca="1" si="129"/>
        <v>0</v>
      </c>
      <c r="M603" s="69">
        <f t="shared" si="130"/>
        <v>0</v>
      </c>
      <c r="N603" s="65" t="str">
        <f t="shared" si="131"/>
        <v/>
      </c>
      <c r="O603" s="70" t="str">
        <f>IF(OR($C603="",$D603="",$F603=""),"",IF($F603="Aylık",EOMONTH($D603,0),($D603+MOD(SISTEM!$F$8-WEEKDAY($D603,2),7))))</f>
        <v/>
      </c>
      <c r="P603" s="61"/>
      <c r="Q603" s="2"/>
      <c r="R603" s="2"/>
      <c r="S603" s="1" t="str">
        <f>IF($B603="","",$B603&amp;"|"&amp;COUNTIFS($B$7:$B603,$B603))</f>
        <v/>
      </c>
      <c r="T603" s="1" t="str">
        <f t="shared" si="132"/>
        <v/>
      </c>
      <c r="U603" s="1">
        <f t="shared" si="133"/>
        <v>0</v>
      </c>
      <c r="V603" s="1">
        <f t="shared" si="134"/>
        <v>2958465</v>
      </c>
      <c r="W603" s="1">
        <f t="shared" si="135"/>
        <v>0</v>
      </c>
      <c r="X603" s="1">
        <f t="shared" si="136"/>
        <v>0</v>
      </c>
      <c r="Y603" s="1">
        <f t="shared" si="137"/>
        <v>97200</v>
      </c>
      <c r="Z603" s="1">
        <f t="shared" si="138"/>
        <v>1</v>
      </c>
      <c r="AA603" s="1">
        <f t="shared" si="139"/>
        <v>0</v>
      </c>
    </row>
    <row r="604" spans="1:27" ht="18" customHeight="1" x14ac:dyDescent="0.3">
      <c r="A604" s="2"/>
      <c r="B604" s="65" t="str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61"/>
      <c r="D604" s="66"/>
      <c r="E604" s="66"/>
      <c r="F604" s="60"/>
      <c r="G604" s="67"/>
      <c r="H604" s="60"/>
      <c r="I604" s="68">
        <f t="shared" ca="1" si="126"/>
        <v>0</v>
      </c>
      <c r="J604" s="68">
        <f t="shared" ca="1" si="127"/>
        <v>0</v>
      </c>
      <c r="K604" s="68">
        <f t="shared" ca="1" si="128"/>
        <v>0</v>
      </c>
      <c r="L604" s="68">
        <f t="shared" ca="1" si="129"/>
        <v>0</v>
      </c>
      <c r="M604" s="69">
        <f t="shared" si="130"/>
        <v>0</v>
      </c>
      <c r="N604" s="65" t="str">
        <f t="shared" si="131"/>
        <v/>
      </c>
      <c r="O604" s="70" t="str">
        <f>IF(OR($C604="",$D604="",$F604=""),"",IF($F604="Aylık",EOMONTH($D604,0),($D604+MOD(SISTEM!$F$8-WEEKDAY($D604,2),7))))</f>
        <v/>
      </c>
      <c r="P604" s="61"/>
      <c r="Q604" s="2"/>
      <c r="R604" s="2"/>
      <c r="S604" s="1" t="str">
        <f>IF($B604="","",$B604&amp;"|"&amp;COUNTIFS($B$7:$B604,$B604))</f>
        <v/>
      </c>
      <c r="T604" s="1" t="str">
        <f t="shared" si="132"/>
        <v/>
      </c>
      <c r="U604" s="1">
        <f t="shared" si="133"/>
        <v>0</v>
      </c>
      <c r="V604" s="1">
        <f t="shared" si="134"/>
        <v>2958465</v>
      </c>
      <c r="W604" s="1">
        <f t="shared" si="135"/>
        <v>0</v>
      </c>
      <c r="X604" s="1">
        <f t="shared" si="136"/>
        <v>0</v>
      </c>
      <c r="Y604" s="1">
        <f t="shared" si="137"/>
        <v>97200</v>
      </c>
      <c r="Z604" s="1">
        <f t="shared" si="138"/>
        <v>1</v>
      </c>
      <c r="AA604" s="1">
        <f t="shared" si="139"/>
        <v>0</v>
      </c>
    </row>
    <row r="605" spans="1:27" ht="18" customHeight="1" x14ac:dyDescent="0.3">
      <c r="A605" s="2"/>
      <c r="B605" s="65" t="str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61"/>
      <c r="D605" s="66"/>
      <c r="E605" s="66"/>
      <c r="F605" s="60"/>
      <c r="G605" s="67"/>
      <c r="H605" s="60"/>
      <c r="I605" s="68">
        <f t="shared" ca="1" si="126"/>
        <v>0</v>
      </c>
      <c r="J605" s="68">
        <f t="shared" ca="1" si="127"/>
        <v>0</v>
      </c>
      <c r="K605" s="68">
        <f t="shared" ca="1" si="128"/>
        <v>0</v>
      </c>
      <c r="L605" s="68">
        <f t="shared" ca="1" si="129"/>
        <v>0</v>
      </c>
      <c r="M605" s="69">
        <f t="shared" si="130"/>
        <v>0</v>
      </c>
      <c r="N605" s="65" t="str">
        <f t="shared" si="131"/>
        <v/>
      </c>
      <c r="O605" s="70" t="str">
        <f>IF(OR($C605="",$D605="",$F605=""),"",IF($F605="Aylık",EOMONTH($D605,0),($D605+MOD(SISTEM!$F$8-WEEKDAY($D605,2),7))))</f>
        <v/>
      </c>
      <c r="P605" s="61"/>
      <c r="Q605" s="2"/>
      <c r="R605" s="2"/>
      <c r="S605" s="1" t="str">
        <f>IF($B605="","",$B605&amp;"|"&amp;COUNTIFS($B$7:$B605,$B605))</f>
        <v/>
      </c>
      <c r="T605" s="1" t="str">
        <f t="shared" si="132"/>
        <v/>
      </c>
      <c r="U605" s="1">
        <f t="shared" si="133"/>
        <v>0</v>
      </c>
      <c r="V605" s="1">
        <f t="shared" si="134"/>
        <v>2958465</v>
      </c>
      <c r="W605" s="1">
        <f t="shared" si="135"/>
        <v>0</v>
      </c>
      <c r="X605" s="1">
        <f t="shared" si="136"/>
        <v>0</v>
      </c>
      <c r="Y605" s="1">
        <f t="shared" si="137"/>
        <v>97200</v>
      </c>
      <c r="Z605" s="1">
        <f t="shared" si="138"/>
        <v>1</v>
      </c>
      <c r="AA605" s="1">
        <f t="shared" si="139"/>
        <v>0</v>
      </c>
    </row>
    <row r="606" spans="1:27" ht="18" customHeight="1" x14ac:dyDescent="0.3">
      <c r="A606" s="2"/>
      <c r="B606" s="65" t="str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61"/>
      <c r="D606" s="66"/>
      <c r="E606" s="66"/>
      <c r="F606" s="60"/>
      <c r="G606" s="67"/>
      <c r="H606" s="60"/>
      <c r="I606" s="68">
        <f t="shared" ca="1" si="126"/>
        <v>0</v>
      </c>
      <c r="J606" s="68">
        <f t="shared" ca="1" si="127"/>
        <v>0</v>
      </c>
      <c r="K606" s="68">
        <f t="shared" ca="1" si="128"/>
        <v>0</v>
      </c>
      <c r="L606" s="68">
        <f t="shared" ca="1" si="129"/>
        <v>0</v>
      </c>
      <c r="M606" s="69">
        <f t="shared" si="130"/>
        <v>0</v>
      </c>
      <c r="N606" s="65" t="str">
        <f t="shared" si="131"/>
        <v/>
      </c>
      <c r="O606" s="70" t="str">
        <f>IF(OR($C606="",$D606="",$F606=""),"",IF($F606="Aylık",EOMONTH($D606,0),($D606+MOD(SISTEM!$F$8-WEEKDAY($D606,2),7))))</f>
        <v/>
      </c>
      <c r="P606" s="61"/>
      <c r="Q606" s="2"/>
      <c r="R606" s="2"/>
      <c r="S606" s="1" t="str">
        <f>IF($B606="","",$B606&amp;"|"&amp;COUNTIFS($B$7:$B606,$B606))</f>
        <v/>
      </c>
      <c r="T606" s="1" t="str">
        <f t="shared" si="132"/>
        <v/>
      </c>
      <c r="U606" s="1">
        <f t="shared" si="133"/>
        <v>0</v>
      </c>
      <c r="V606" s="1">
        <f t="shared" si="134"/>
        <v>2958465</v>
      </c>
      <c r="W606" s="1">
        <f t="shared" si="135"/>
        <v>0</v>
      </c>
      <c r="X606" s="1">
        <f t="shared" si="136"/>
        <v>0</v>
      </c>
      <c r="Y606" s="1">
        <f t="shared" si="137"/>
        <v>97200</v>
      </c>
      <c r="Z606" s="1">
        <f t="shared" si="138"/>
        <v>1</v>
      </c>
      <c r="AA606" s="1">
        <f t="shared" si="139"/>
        <v>0</v>
      </c>
    </row>
    <row r="607" spans="1:27" ht="18" customHeight="1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"/>
      <c r="R607" s="2"/>
      <c r="S607" s="1"/>
      <c r="T607" s="1"/>
      <c r="U607" s="1"/>
      <c r="V607" s="1"/>
      <c r="W607" s="1"/>
      <c r="X607" s="1"/>
      <c r="Y607" s="1"/>
      <c r="Z607" s="1"/>
    </row>
    <row r="608" spans="1:27" ht="18" customHeight="1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"/>
      <c r="R608" s="2"/>
      <c r="S608" s="1"/>
      <c r="T608" s="1"/>
      <c r="U608" s="1"/>
      <c r="V608" s="1"/>
      <c r="W608" s="1"/>
      <c r="X608" s="1"/>
      <c r="Y608" s="1"/>
      <c r="Z608" s="1"/>
    </row>
  </sheetData>
  <sheetProtection password="CC3D" sheet="1" formatCells="0" formatColumns="0" formatRows="0" sort="0" autoFilter="0"/>
  <autoFilter ref="B6:P606" xr:uid="{00000000-0009-0000-0000-000003000000}"/>
  <mergeCells count="3">
    <mergeCell ref="F1:P1"/>
    <mergeCell ref="A1:E1"/>
    <mergeCell ref="A2:P2"/>
  </mergeCells>
  <conditionalFormatting sqref="N7:N606">
    <cfRule type="expression" dxfId="75" priority="2">
      <formula>EXACT($N7,"UYGUN")</formula>
    </cfRule>
    <cfRule type="expression" dxfId="74" priority="3">
      <formula>EXACT($N7,"EKSİK")</formula>
    </cfRule>
    <cfRule type="expression" dxfId="73" priority="4">
      <formula>EXACT($N7,"MODEL SEÇİN")</formula>
    </cfRule>
    <cfRule type="expression" dxfId="72" priority="5">
      <formula>EXACT($N7,"TANIMSIZ MÜŞTERİ")</formula>
    </cfRule>
    <cfRule type="expression" dxfId="71" priority="6">
      <formula>EXACT($N7,"TARİH HATASI")</formula>
    </cfRule>
    <cfRule type="expression" dxfId="70" priority="7">
      <formula>EXACT($N7,"KAPALI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C7:C606" xr:uid="{00000000-0002-0000-0300-000000000000}">
      <formula1>LST_MUSTERI_ADI</formula1>
      <formula2>0</formula2>
    </dataValidation>
    <dataValidation type="list" allowBlank="1" showErrorMessage="1" errorTitle="Geçersiz tahakkuk modeli" error="Haftalık veya Aylık seçin." promptTitle="Geçersiz tahakkuk modeli" prompt="Haftalık veya Aylık seçin." sqref="F7:F606" xr:uid="{00000000-0002-0000-0300-000001000000}">
      <formula1>"Haftalık,Aylık"</formula1>
      <formula2>0</formula2>
    </dataValidation>
    <dataValidation type="list" allowBlank="1" showErrorMessage="1" errorTitle="Geçersiz dönem durumu" error="Aktif veya Pasif seçin." promptTitle="Geçersiz dönem durumu" prompt="Aktif veya Pasif seçin." sqref="H7:H606" xr:uid="{00000000-0002-0000-0300-000002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400-000000000000}">
  <sheetPr>
    <tabColor rgb="FF236CC8"/>
    <pageSetUpPr fitToPage="1"/>
  </sheetPr>
  <dimension ref="A1:U2505"/>
  <sheetViews>
    <sheetView showGridLines="0" zoomScaleNormal="100" workbookViewId="0">
      <pane xSplit="4" ySplit="6" topLeftCell="E540" activePane="bottomRight" state="frozen"/>
      <selection pane="topRight" activeCell="E1" sqref="E1"/>
      <selection pane="bottomLeft" activeCell="A469" sqref="A469"/>
      <selection pane="bottomRight" activeCell="D558" sqref="D558"/>
    </sheetView>
  </sheetViews>
  <sheetFormatPr defaultColWidth="8" defaultRowHeight="14.25" customHeight="1" x14ac:dyDescent="0.25"/>
  <cols>
    <col min="1" max="1" width="2.28515625" customWidth="1"/>
    <col min="2" max="3" width="11.140625" customWidth="1"/>
    <col min="4" max="4" width="29.7109375" customWidth="1"/>
    <col min="5" max="5" width="12" customWidth="1"/>
    <col min="6" max="6" width="14.85546875" customWidth="1"/>
    <col min="7" max="7" width="16.7109375" customWidth="1"/>
    <col min="8" max="8" width="13.85546875" customWidth="1"/>
    <col min="9" max="9" width="13" customWidth="1"/>
    <col min="10" max="10" width="27.85546875" customWidth="1"/>
    <col min="11" max="11" width="14.85546875" customWidth="1"/>
    <col min="12" max="12" width="14.42578125" bestFit="1" customWidth="1"/>
    <col min="13" max="13" width="13.85546875" customWidth="1"/>
    <col min="14" max="14" width="27.85546875" customWidth="1"/>
    <col min="15" max="16" width="2.28515625" customWidth="1"/>
    <col min="17" max="20" width="12" hidden="1" customWidth="1"/>
  </cols>
  <sheetData>
    <row r="1" spans="1:21" ht="37.5" customHeight="1" x14ac:dyDescent="0.3">
      <c r="A1" s="209" t="s">
        <v>548</v>
      </c>
      <c r="B1" s="150"/>
      <c r="C1" s="150"/>
      <c r="D1" s="150"/>
      <c r="E1" s="150"/>
      <c r="F1" s="208" t="s">
        <v>702</v>
      </c>
      <c r="G1" s="150"/>
      <c r="H1" s="150"/>
      <c r="I1" s="150"/>
      <c r="J1" s="150"/>
      <c r="K1" s="150"/>
      <c r="L1" s="150"/>
      <c r="M1" s="150"/>
      <c r="N1" s="150"/>
      <c r="O1" s="150"/>
      <c r="P1" s="13"/>
      <c r="Q1" s="1"/>
      <c r="R1" s="1"/>
      <c r="S1" s="1"/>
      <c r="T1" s="1"/>
    </row>
    <row r="2" spans="1:21" ht="21.75" customHeight="1" x14ac:dyDescent="0.3">
      <c r="A2" s="210" t="s">
        <v>703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"/>
      <c r="Q2" s="1"/>
      <c r="R2" s="1"/>
      <c r="S2" s="1"/>
      <c r="T2" s="1"/>
    </row>
    <row r="3" spans="1:21" ht="19.5" customHeight="1" x14ac:dyDescent="0.3">
      <c r="A3" s="2"/>
      <c r="B3" s="50" t="s">
        <v>704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</row>
    <row r="4" spans="1:2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HYPERLINK("#MUSTERI_360!A1","Müşteri 360")</f>
        <v>Müşteri 360</v>
      </c>
      <c r="E4" s="2"/>
      <c r="F4" s="51" t="str">
        <f>HYPERLINK("#HESAPLAR!A1","Hesaplar")</f>
        <v>Hesaplar</v>
      </c>
      <c r="G4" s="2"/>
      <c r="H4" s="52" t="s">
        <v>705</v>
      </c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</row>
    <row r="5" spans="1:21" ht="25.5" customHeight="1" x14ac:dyDescent="0.3">
      <c r="A5" s="2"/>
      <c r="B5" s="72">
        <f>COUNTIF($D$7:$D$2503,"&lt;&gt;")</f>
        <v>551</v>
      </c>
      <c r="C5" s="54" t="s">
        <v>706</v>
      </c>
      <c r="D5" s="53"/>
      <c r="E5" s="53"/>
      <c r="F5" s="56">
        <f>SUM($F$7:$F$2503)</f>
        <v>2299500</v>
      </c>
      <c r="G5" s="53"/>
      <c r="H5" s="53"/>
      <c r="I5" s="53"/>
      <c r="J5" s="53"/>
      <c r="K5" s="53"/>
      <c r="L5" s="53"/>
      <c r="M5" s="53"/>
      <c r="N5" s="53"/>
      <c r="O5" s="2"/>
      <c r="P5" s="2"/>
      <c r="Q5" s="1"/>
      <c r="R5" s="1"/>
      <c r="S5" s="1"/>
      <c r="T5" s="1"/>
    </row>
    <row r="6" spans="1:21" ht="39.75" customHeight="1" x14ac:dyDescent="0.3">
      <c r="A6" s="2"/>
      <c r="B6" s="57" t="s">
        <v>707</v>
      </c>
      <c r="C6" s="57" t="s">
        <v>19</v>
      </c>
      <c r="D6" s="58" t="s">
        <v>708</v>
      </c>
      <c r="E6" s="57" t="s">
        <v>709</v>
      </c>
      <c r="F6" s="59" t="s">
        <v>710</v>
      </c>
      <c r="G6" s="57" t="s">
        <v>711</v>
      </c>
      <c r="H6" s="57" t="s">
        <v>712</v>
      </c>
      <c r="I6" s="58" t="s">
        <v>713</v>
      </c>
      <c r="J6" s="58" t="s">
        <v>54</v>
      </c>
      <c r="K6" s="58" t="s">
        <v>714</v>
      </c>
      <c r="L6" s="57" t="s">
        <v>715</v>
      </c>
      <c r="M6" s="57" t="s">
        <v>566</v>
      </c>
      <c r="N6" s="58" t="s">
        <v>716</v>
      </c>
      <c r="O6" s="2"/>
      <c r="P6" s="2"/>
      <c r="Q6" s="1"/>
      <c r="R6" s="1"/>
      <c r="S6" s="1"/>
      <c r="T6" s="1"/>
      <c r="U6" s="1"/>
    </row>
    <row r="7" spans="1:21" ht="18" customHeight="1" x14ac:dyDescent="0.3">
      <c r="A7" s="2"/>
      <c r="B7" s="65" t="str">
        <f>IF($D7="","","T"&amp;TEXT(ROW()-6,"00000"))</f>
        <v>T00001</v>
      </c>
      <c r="C7" s="65" t="str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>M047</v>
      </c>
      <c r="D7" s="61" t="s">
        <v>654</v>
      </c>
      <c r="E7" s="66">
        <v>46023</v>
      </c>
      <c r="F7" s="67">
        <v>27000</v>
      </c>
      <c r="G7" s="60" t="s">
        <v>717</v>
      </c>
      <c r="H7" s="60" t="s">
        <v>572</v>
      </c>
      <c r="I7" s="61"/>
      <c r="J7" s="61" t="s">
        <v>718</v>
      </c>
      <c r="K7" s="61"/>
      <c r="L7" s="73">
        <f>IF($E7="","",DATE(YEAR($E7),MONTH($E7),1))</f>
        <v>46023</v>
      </c>
      <c r="M7" s="65" t="str">
        <f ca="1">IF($D7="","",IF($C7="TANIMSIZ MÜŞTERİ","HATA",IF(OR($E7="",$F7&lt;=0,$G7=""),"EKSİK",IF($E7&gt;TODAY(),"İLERİ TARİH",IF(COUNTIF($S$7:$S$2503,$S7)&gt;1,"MÜKERRER?",IF($T7&gt;0,"KAPALI DÖNEM","UYGUN"))))))</f>
        <v>UYGUN</v>
      </c>
      <c r="N7" s="74" t="str">
        <f>IF($C7="","",IF($C7="TANIMSIZ MÜŞTERİ","—",INDEX(MUSTERILER!$C$7:$C$156,MATCH($C7,MUSTERILER!$B$7:$B$156,0))))</f>
        <v>PALAOĞULLARI LTD.ŞTİ.</v>
      </c>
      <c r="O7" s="2"/>
      <c r="P7" s="2"/>
      <c r="Q7" s="1" t="str">
        <f>IF($D7="","",$C7&amp;"|"&amp;COUNTIFS($C$7:$C7,$C7))</f>
        <v>M047|1</v>
      </c>
      <c r="R7" s="1" t="str">
        <f t="shared" ref="R7:R70" si="0"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>PALAOGULLARILTDSTI</v>
      </c>
      <c r="S7" s="1" t="str">
        <f t="shared" ref="S7:S70" si="1">IF($D7="","",$C7&amp;"|"&amp;TEXT($E7,"0")&amp;"|"&amp;TEXT($F7,"0")&amp;"|"&amp;$I7)</f>
        <v>M047|46023|27000|</v>
      </c>
      <c r="T7" s="1">
        <f>IF($E7="",0,SUMPRODUCT((AY_SONU!$O$7:$O$42="Evet")*(AY_SONU!$B$7:$B$42=DATE(YEAR($E7),MONTH($E7),1))))</f>
        <v>0</v>
      </c>
      <c r="U7" s="1" t="str">
        <f>IF(OR($G7="",$H7="Mahsup"),"",$G7&amp;"|"&amp;COUNTIFS($G$7:$G7,$G7,$H$7:$H7,"&lt;&gt;Mahsup"))</f>
        <v>MERKEZ KASA|1</v>
      </c>
    </row>
    <row r="8" spans="1:21" ht="18" customHeight="1" x14ac:dyDescent="0.3">
      <c r="A8" s="2"/>
      <c r="B8" s="65" t="str">
        <f>IF($D8="","","T"&amp;TEXT(ROW()-6,"00000"))</f>
        <v>T00002</v>
      </c>
      <c r="C8" s="65" t="str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>M016</v>
      </c>
      <c r="D8" s="61" t="s">
        <v>658</v>
      </c>
      <c r="E8" s="66">
        <v>46023</v>
      </c>
      <c r="F8" s="67">
        <v>17200</v>
      </c>
      <c r="G8" s="60" t="s">
        <v>717</v>
      </c>
      <c r="H8" s="60" t="s">
        <v>572</v>
      </c>
      <c r="I8" s="61"/>
      <c r="J8" s="61" t="s">
        <v>718</v>
      </c>
      <c r="K8" s="61"/>
      <c r="L8" s="73">
        <f>IF($E8="","",DATE(YEAR($E8),MONTH($E8),1))</f>
        <v>46023</v>
      </c>
      <c r="M8" s="65" t="str">
        <f ca="1">IF($D8="","",IF($C8="TANIMSIZ MÜŞTERİ","HATA",IF(OR($E8="",$F8&lt;=0,$G8=""),"EKSİK",IF($E8&gt;TODAY(),"İLERİ TARİH",IF(COUNTIF($S$7:$S$2503,$S8)&gt;1,"MÜKERRER?",IF($T8&gt;0,"KAPALI DÖNEM","UYGUN"))))))</f>
        <v>UYGUN</v>
      </c>
      <c r="N8" s="74" t="str">
        <f>IF($C8="","",IF($C8="TANIMSIZ MÜŞTERİ","—",INDEX(MUSTERILER!$C$7:$C$156,MATCH($C8,MUSTERILER!$B$7:$B$156,0))))</f>
        <v>RİX ŞOW LTD.ŞTİ.</v>
      </c>
      <c r="O8" s="2"/>
      <c r="P8" s="2"/>
      <c r="Q8" s="1" t="str">
        <f>IF($D8="","",$C8&amp;"|"&amp;COUNTIFS($C$7:$C8,$C8))</f>
        <v>M016|1</v>
      </c>
      <c r="R8" s="1" t="str">
        <f t="shared" si="0"/>
        <v>RIXSOWLTDSTI</v>
      </c>
      <c r="S8" s="1" t="str">
        <f t="shared" si="1"/>
        <v>M016|46023|17200|</v>
      </c>
      <c r="T8" s="1">
        <f>IF($E8="",0,SUMPRODUCT((AY_SONU!$O$7:$O$42="Evet")*(AY_SONU!$B$7:$B$42=DATE(YEAR($E8),MONTH($E8),1))))</f>
        <v>0</v>
      </c>
      <c r="U8" s="1" t="str">
        <f>IF(OR($G8="",$H8="Mahsup"),"",$G8&amp;"|"&amp;COUNTIFS($G$7:$G8,$G8,$H$7:$H8,"&lt;&gt;Mahsup"))</f>
        <v>MERKEZ KASA|2</v>
      </c>
    </row>
    <row r="9" spans="1:21" ht="18" customHeight="1" x14ac:dyDescent="0.3">
      <c r="A9" s="2"/>
      <c r="B9" s="65" t="str">
        <f>IF($D9="","","T"&amp;TEXT(ROW()-6,"00000"))</f>
        <v>T00003</v>
      </c>
      <c r="C9" s="65" t="str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>M015</v>
      </c>
      <c r="D9" s="61" t="s">
        <v>719</v>
      </c>
      <c r="E9" s="66">
        <v>46023</v>
      </c>
      <c r="F9" s="67">
        <v>5000</v>
      </c>
      <c r="G9" s="60" t="s">
        <v>717</v>
      </c>
      <c r="H9" s="60" t="s">
        <v>572</v>
      </c>
      <c r="I9" s="61"/>
      <c r="J9" s="61" t="s">
        <v>720</v>
      </c>
      <c r="K9" s="61"/>
      <c r="L9" s="73">
        <f>IF($E9="","",DATE(YEAR($E9),MONTH($E9),1))</f>
        <v>46023</v>
      </c>
      <c r="M9" s="65" t="str">
        <f ca="1">IF($D9="","",IF($C9="TANIMSIZ MÜŞTERİ","HATA",IF(OR($E9="",$F9&lt;=0,$G9=""),"EKSİK",IF($E9&gt;TODAY(),"İLERİ TARİH",IF(COUNTIF($S$7:$S$2503,$S9)&gt;1,"MÜKERRER?",IF($T9&gt;0,"KAPALI DÖNEM","UYGUN"))))))</f>
        <v>UYGUN</v>
      </c>
      <c r="N9" s="74" t="str">
        <f>IF($C9="","",IF($C9="TANIMSIZ MÜŞTERİ","—",INDEX(MUSTERILER!$C$7:$C$156,MATCH($C9,MUSTERILER!$B$7:$B$156,0))))</f>
        <v>ÇAYIRALAN LTD.ŞTİ.</v>
      </c>
      <c r="O9" s="2"/>
      <c r="P9" s="2"/>
      <c r="Q9" s="1" t="str">
        <f>IF($D9="","",$C9&amp;"|"&amp;COUNTIFS($C$7:$C9,$C9))</f>
        <v>M015|1</v>
      </c>
      <c r="R9" s="1" t="str">
        <f t="shared" si="0"/>
        <v>CAYIRALANLTDSTI</v>
      </c>
      <c r="S9" s="1" t="str">
        <f t="shared" si="1"/>
        <v>M015|46023|5000|</v>
      </c>
      <c r="T9" s="1">
        <f>IF($E9="",0,SUMPRODUCT((AY_SONU!$O$7:$O$42="Evet")*(AY_SONU!$B$7:$B$42=DATE(YEAR($E9),MONTH($E9),1))))</f>
        <v>0</v>
      </c>
      <c r="U9" s="1" t="str">
        <f>IF(OR($G9="",$H9="Mahsup"),"",$G9&amp;"|"&amp;COUNTIFS($G$7:$G9,$G9,$H$7:$H9,"&lt;&gt;Mahsup"))</f>
        <v>MERKEZ KASA|3</v>
      </c>
    </row>
    <row r="10" spans="1:21" ht="18" customHeight="1" x14ac:dyDescent="0.3">
      <c r="A10" s="2"/>
      <c r="B10" s="65" t="str">
        <f>IF($D10="","","T"&amp;TEXT(ROW()-6,"00000"))</f>
        <v>T00004</v>
      </c>
      <c r="C10" s="65" t="str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>M012</v>
      </c>
      <c r="D10" s="61" t="s">
        <v>721</v>
      </c>
      <c r="E10" s="66">
        <v>46023</v>
      </c>
      <c r="F10" s="67">
        <v>3000</v>
      </c>
      <c r="G10" s="60" t="s">
        <v>717</v>
      </c>
      <c r="H10" s="60" t="s">
        <v>572</v>
      </c>
      <c r="I10" s="61"/>
      <c r="J10" s="61" t="s">
        <v>720</v>
      </c>
      <c r="K10" s="61"/>
      <c r="L10" s="73">
        <f>IF($E10="","",DATE(YEAR($E10),MONTH($E10),1))</f>
        <v>46023</v>
      </c>
      <c r="M10" s="65" t="str">
        <f ca="1">IF($D10="","",IF($C10="TANIMSIZ MÜŞTERİ","HATA",IF(OR($E10="",$F10&lt;=0,$G10=""),"EKSİK",IF($E10&gt;TODAY(),"İLERİ TARİH",IF(COUNTIF($S$7:$S$2503,$S10)&gt;1,"MÜKERRER?",IF($T10&gt;0,"KAPALI DÖNEM","UYGUN"))))))</f>
        <v>UYGUN</v>
      </c>
      <c r="N10" s="74" t="str">
        <f>IF($C10="","",IF($C10="TANIMSIZ MÜŞTERİ","—",INDEX(MUSTERILER!$C$7:$C$156,MATCH($C10,MUSTERILER!$B$7:$B$156,0))))</f>
        <v>İLDEŞ LTD.ŞTİ.</v>
      </c>
      <c r="O10" s="2"/>
      <c r="P10" s="2"/>
      <c r="Q10" s="1" t="str">
        <f>IF($D10="","",$C10&amp;"|"&amp;COUNTIFS($C$7:$C10,$C10))</f>
        <v>M012|1</v>
      </c>
      <c r="R10" s="1" t="str">
        <f t="shared" si="0"/>
        <v>ILDESLTDSTI</v>
      </c>
      <c r="S10" s="1" t="str">
        <f t="shared" si="1"/>
        <v>M012|46023|3000|</v>
      </c>
      <c r="T10" s="1">
        <f>IF($E10="",0,SUMPRODUCT((AY_SONU!$O$7:$O$42="Evet")*(AY_SONU!$B$7:$B$42=DATE(YEAR($E10),MONTH($E10),1))))</f>
        <v>0</v>
      </c>
      <c r="U10" s="1" t="str">
        <f>IF(OR($G10="",$H10="Mahsup"),"",$G10&amp;"|"&amp;COUNTIFS($G$7:$G10,$G10,$H$7:$H10,"&lt;&gt;Mahsup"))</f>
        <v>MERKEZ KASA|4</v>
      </c>
    </row>
    <row r="11" spans="1:21" ht="18" customHeight="1" x14ac:dyDescent="0.3">
      <c r="A11" s="2"/>
      <c r="B11" s="65" t="str">
        <f>IF($D11="","","T"&amp;TEXT(ROW()-6,"00000"))</f>
        <v>T00005</v>
      </c>
      <c r="C11" s="65" t="str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>M025</v>
      </c>
      <c r="D11" s="61" t="s">
        <v>583</v>
      </c>
      <c r="E11" s="66">
        <v>46023</v>
      </c>
      <c r="F11" s="67">
        <v>8000</v>
      </c>
      <c r="G11" s="60" t="s">
        <v>717</v>
      </c>
      <c r="H11" s="60" t="s">
        <v>572</v>
      </c>
      <c r="I11" s="61"/>
      <c r="J11" s="61" t="s">
        <v>720</v>
      </c>
      <c r="K11" s="61"/>
      <c r="L11" s="73">
        <f>IF($E11="","",DATE(YEAR($E11),MONTH($E11),1))</f>
        <v>46023</v>
      </c>
      <c r="M11" s="65" t="str">
        <f ca="1">IF($D11="","",IF($C11="TANIMSIZ MÜŞTERİ","HATA",IF(OR($E11="",$F11&lt;=0,$G11=""),"EKSİK",IF($E11&gt;TODAY(),"İLERİ TARİH",IF(COUNTIF($S$7:$S$2503,$S11)&gt;1,"MÜKERRER?",IF($T11&gt;0,"KAPALI DÖNEM","UYGUN"))))))</f>
        <v>UYGUN</v>
      </c>
      <c r="N11" s="74" t="str">
        <f>IF($C11="","",IF($C11="TANIMSIZ MÜŞTERİ","—",INDEX(MUSTERILER!$C$7:$C$156,MATCH($C11,MUSTERILER!$B$7:$B$156,0))))</f>
        <v>ASIM AÇIKGÖZ</v>
      </c>
      <c r="O11" s="2"/>
      <c r="P11" s="2"/>
      <c r="Q11" s="1" t="str">
        <f>IF($D11="","",$C11&amp;"|"&amp;COUNTIFS($C$7:$C11,$C11))</f>
        <v>M025|1</v>
      </c>
      <c r="R11" s="1" t="str">
        <f t="shared" si="0"/>
        <v>ASIMACIKGOZ</v>
      </c>
      <c r="S11" s="1" t="str">
        <f t="shared" si="1"/>
        <v>M025|46023|8000|</v>
      </c>
      <c r="T11" s="1">
        <f>IF($E11="",0,SUMPRODUCT((AY_SONU!$O$7:$O$42="Evet")*(AY_SONU!$B$7:$B$42=DATE(YEAR($E11),MONTH($E11),1))))</f>
        <v>0</v>
      </c>
      <c r="U11" s="1" t="str">
        <f>IF(OR($G11="",$H11="Mahsup"),"",$G11&amp;"|"&amp;COUNTIFS($G$7:$G11,$G11,$H$7:$H11,"&lt;&gt;Mahsup"))</f>
        <v>MERKEZ KASA|5</v>
      </c>
    </row>
    <row r="12" spans="1:21" ht="18" customHeight="1" x14ac:dyDescent="0.3">
      <c r="A12" s="2"/>
      <c r="B12" s="65" t="str">
        <f>IF($D12="","","T"&amp;TEXT(ROW()-6,"00000"))</f>
        <v>T00006</v>
      </c>
      <c r="C12" s="65" t="str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>M017</v>
      </c>
      <c r="D12" s="61" t="s">
        <v>585</v>
      </c>
      <c r="E12" s="66">
        <v>46023</v>
      </c>
      <c r="F12" s="67">
        <v>10000</v>
      </c>
      <c r="G12" s="60" t="s">
        <v>717</v>
      </c>
      <c r="H12" s="60" t="s">
        <v>572</v>
      </c>
      <c r="I12" s="61"/>
      <c r="J12" s="61" t="s">
        <v>720</v>
      </c>
      <c r="K12" s="61"/>
      <c r="L12" s="73">
        <f>IF($E12="","",DATE(YEAR($E12),MONTH($E12),1))</f>
        <v>46023</v>
      </c>
      <c r="M12" s="65" t="str">
        <f ca="1">IF($D12="","",IF($C12="TANIMSIZ MÜŞTERİ","HATA",IF(OR($E12="",$F12&lt;=0,$G12=""),"EKSİK",IF($E12&gt;TODAY(),"İLERİ TARİH",IF(COUNTIF($S$7:$S$2503,$S12)&gt;1,"MÜKERRER?",IF($T12&gt;0,"KAPALI DÖNEM","UYGUN"))))))</f>
        <v>UYGUN</v>
      </c>
      <c r="N12" s="74" t="str">
        <f>IF($C12="","",IF($C12="TANIMSIZ MÜŞTERİ","—",INDEX(MUSTERILER!$C$7:$C$156,MATCH($C12,MUSTERILER!$B$7:$B$156,0))))</f>
        <v>ASM EĞLENCE LTD.ŞTİ.</v>
      </c>
      <c r="O12" s="2"/>
      <c r="P12" s="2"/>
      <c r="Q12" s="1" t="str">
        <f>IF($D12="","",$C12&amp;"|"&amp;COUNTIFS($C$7:$C12,$C12))</f>
        <v>M017|1</v>
      </c>
      <c r="R12" s="1" t="str">
        <f t="shared" si="0"/>
        <v>ASMEGLENCELTDSTI</v>
      </c>
      <c r="S12" s="1" t="str">
        <f t="shared" si="1"/>
        <v>M017|46023|10000|</v>
      </c>
      <c r="T12" s="1">
        <f>IF($E12="",0,SUMPRODUCT((AY_SONU!$O$7:$O$42="Evet")*(AY_SONU!$B$7:$B$42=DATE(YEAR($E12),MONTH($E12),1))))</f>
        <v>0</v>
      </c>
      <c r="U12" s="1" t="str">
        <f>IF(OR($G12="",$H12="Mahsup"),"",$G12&amp;"|"&amp;COUNTIFS($G$7:$G12,$G12,$H$7:$H12,"&lt;&gt;Mahsup"))</f>
        <v>MERKEZ KASA|6</v>
      </c>
    </row>
    <row r="13" spans="1:21" ht="18" customHeight="1" x14ac:dyDescent="0.3">
      <c r="A13" s="2"/>
      <c r="B13" s="65" t="str">
        <f>IF($D13="","","T"&amp;TEXT(ROW()-6,"00000"))</f>
        <v>T00007</v>
      </c>
      <c r="C13" s="65" t="str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>M018</v>
      </c>
      <c r="D13" s="61" t="s">
        <v>593</v>
      </c>
      <c r="E13" s="66">
        <v>46023</v>
      </c>
      <c r="F13" s="67">
        <v>4500</v>
      </c>
      <c r="G13" s="60" t="s">
        <v>717</v>
      </c>
      <c r="H13" s="60" t="s">
        <v>572</v>
      </c>
      <c r="I13" s="61"/>
      <c r="J13" s="61" t="s">
        <v>720</v>
      </c>
      <c r="K13" s="61"/>
      <c r="L13" s="73">
        <f>IF($E13="","",DATE(YEAR($E13),MONTH($E13),1))</f>
        <v>46023</v>
      </c>
      <c r="M13" s="65" t="str">
        <f ca="1">IF($D13="","",IF($C13="TANIMSIZ MÜŞTERİ","HATA",IF(OR($E13="",$F13&lt;=0,$G13=""),"EKSİK",IF($E13&gt;TODAY(),"İLERİ TARİH",IF(COUNTIF($S$7:$S$2503,$S13)&gt;1,"MÜKERRER?",IF($T13&gt;0,"KAPALI DÖNEM","UYGUN"))))))</f>
        <v>UYGUN</v>
      </c>
      <c r="N13" s="74" t="str">
        <f>IF($C13="","",IF($C13="TANIMSIZ MÜŞTERİ","—",INDEX(MUSTERILER!$C$7:$C$156,MATCH($C13,MUSTERILER!$B$7:$B$156,0))))</f>
        <v>ÇINARHAN LTD.ŞTİ.</v>
      </c>
      <c r="O13" s="2"/>
      <c r="P13" s="2"/>
      <c r="Q13" s="1" t="str">
        <f>IF($D13="","",$C13&amp;"|"&amp;COUNTIFS($C$7:$C13,$C13))</f>
        <v>M018|1</v>
      </c>
      <c r="R13" s="1" t="str">
        <f t="shared" si="0"/>
        <v>CINARHANLTDSTI</v>
      </c>
      <c r="S13" s="1" t="str">
        <f t="shared" si="1"/>
        <v>M018|46023|4500|</v>
      </c>
      <c r="T13" s="1">
        <f>IF($E13="",0,SUMPRODUCT((AY_SONU!$O$7:$O$42="Evet")*(AY_SONU!$B$7:$B$42=DATE(YEAR($E13),MONTH($E13),1))))</f>
        <v>0</v>
      </c>
      <c r="U13" s="1" t="str">
        <f>IF(OR($G13="",$H13="Mahsup"),"",$G13&amp;"|"&amp;COUNTIFS($G$7:$G13,$G13,$H$7:$H13,"&lt;&gt;Mahsup"))</f>
        <v>MERKEZ KASA|7</v>
      </c>
    </row>
    <row r="14" spans="1:21" ht="18" customHeight="1" x14ac:dyDescent="0.3">
      <c r="A14" s="2"/>
      <c r="B14" s="65" t="str">
        <f>IF($D14="","","T"&amp;TEXT(ROW()-6,"00000"))</f>
        <v>T00008</v>
      </c>
      <c r="C14" s="65" t="str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>M005</v>
      </c>
      <c r="D14" s="61" t="s">
        <v>722</v>
      </c>
      <c r="E14" s="66">
        <v>46023</v>
      </c>
      <c r="F14" s="67">
        <v>15750</v>
      </c>
      <c r="G14" s="60" t="s">
        <v>717</v>
      </c>
      <c r="H14" s="60" t="s">
        <v>572</v>
      </c>
      <c r="I14" s="61"/>
      <c r="J14" s="61" t="s">
        <v>720</v>
      </c>
      <c r="K14" s="61"/>
      <c r="L14" s="73">
        <f>IF($E14="","",DATE(YEAR($E14),MONTH($E14),1))</f>
        <v>46023</v>
      </c>
      <c r="M14" s="65" t="str">
        <f ca="1">IF($D14="","",IF($C14="TANIMSIZ MÜŞTERİ","HATA",IF(OR($E14="",$F14&lt;=0,$G14=""),"EKSİK",IF($E14&gt;TODAY(),"İLERİ TARİH",IF(COUNTIF($S$7:$S$2503,$S14)&gt;1,"MÜKERRER?",IF($T14&gt;0,"KAPALI DÖNEM","UYGUN"))))))</f>
        <v>UYGUN</v>
      </c>
      <c r="N14" s="74" t="str">
        <f>IF($C14="","",IF($C14="TANIMSIZ MÜŞTERİ","—",INDEX(MUSTERILER!$C$7:$C$156,MATCH($C14,MUSTERILER!$B$7:$B$156,0))))</f>
        <v>ZÜMRÜT GRUP LTD.ŞTİ.</v>
      </c>
      <c r="O14" s="2"/>
      <c r="P14" s="2"/>
      <c r="Q14" s="1" t="str">
        <f>IF($D14="","",$C14&amp;"|"&amp;COUNTIFS($C$7:$C14,$C14))</f>
        <v>M005|1</v>
      </c>
      <c r="R14" s="1" t="str">
        <f t="shared" si="0"/>
        <v>ZUMRUTGRUPLTDSTI</v>
      </c>
      <c r="S14" s="1" t="str">
        <f t="shared" si="1"/>
        <v>M005|46023|15750|</v>
      </c>
      <c r="T14" s="1">
        <f>IF($E14="",0,SUMPRODUCT((AY_SONU!$O$7:$O$42="Evet")*(AY_SONU!$B$7:$B$42=DATE(YEAR($E14),MONTH($E14),1))))</f>
        <v>0</v>
      </c>
      <c r="U14" s="1" t="str">
        <f>IF(OR($G14="",$H14="Mahsup"),"",$G14&amp;"|"&amp;COUNTIFS($G$7:$G14,$G14,$H$7:$H14,"&lt;&gt;Mahsup"))</f>
        <v>MERKEZ KASA|8</v>
      </c>
    </row>
    <row r="15" spans="1:21" ht="18" customHeight="1" x14ac:dyDescent="0.3">
      <c r="A15" s="2"/>
      <c r="B15" s="65" t="str">
        <f>IF($D15="","","T"&amp;TEXT(ROW()-6,"00000"))</f>
        <v>T00009</v>
      </c>
      <c r="C15" s="65" t="str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>M011</v>
      </c>
      <c r="D15" s="61" t="s">
        <v>597</v>
      </c>
      <c r="E15" s="66">
        <v>46025</v>
      </c>
      <c r="F15" s="67">
        <v>3000</v>
      </c>
      <c r="G15" s="60" t="s">
        <v>723</v>
      </c>
      <c r="H15" s="60" t="s">
        <v>572</v>
      </c>
      <c r="I15" s="61"/>
      <c r="J15" s="61" t="s">
        <v>724</v>
      </c>
      <c r="K15" s="61"/>
      <c r="L15" s="73">
        <f>IF($E15="","",DATE(YEAR($E15),MONTH($E15),1))</f>
        <v>46023</v>
      </c>
      <c r="M15" s="65" t="str">
        <f ca="1">IF($D15="","",IF($C15="TANIMSIZ MÜŞTERİ","HATA",IF(OR($E15="",$F15&lt;=0,$G15=""),"EKSİK",IF($E15&gt;TODAY(),"İLERİ TARİH",IF(COUNTIF($S$7:$S$2503,$S15)&gt;1,"MÜKERRER?",IF($T15&gt;0,"KAPALI DÖNEM","UYGUN"))))))</f>
        <v>UYGUN</v>
      </c>
      <c r="N15" s="74" t="str">
        <f>IF($C15="","",IF($C15="TANIMSIZ MÜŞTERİ","—",INDEX(MUSTERILER!$C$7:$C$156,MATCH($C15,MUSTERILER!$B$7:$B$156,0))))</f>
        <v>EĞLENGÖR LTD.ŞTİ.</v>
      </c>
      <c r="O15" s="2"/>
      <c r="P15" s="2"/>
      <c r="Q15" s="1" t="str">
        <f>IF($D15="","",$C15&amp;"|"&amp;COUNTIFS($C$7:$C15,$C15))</f>
        <v>M011|1</v>
      </c>
      <c r="R15" s="1" t="str">
        <f t="shared" si="0"/>
        <v>EGLENGORLTDSTI</v>
      </c>
      <c r="S15" s="1" t="str">
        <f t="shared" si="1"/>
        <v>M011|46025|3000|</v>
      </c>
      <c r="T15" s="1">
        <f>IF($E15="",0,SUMPRODUCT((AY_SONU!$O$7:$O$42="Evet")*(AY_SONU!$B$7:$B$42=DATE(YEAR($E15),MONTH($E15),1))))</f>
        <v>0</v>
      </c>
      <c r="U15" s="1" t="str">
        <f>IF(OR($G15="",$H15="Mahsup"),"",$G15&amp;"|"&amp;COUNTIFS($G$7:$G15,$G15,$H$7:$H15,"&lt;&gt;Mahsup"))</f>
        <v>ÖMER KARTAL|1</v>
      </c>
    </row>
    <row r="16" spans="1:21" ht="18" customHeight="1" x14ac:dyDescent="0.3">
      <c r="A16" s="2"/>
      <c r="B16" s="65" t="str">
        <f>IF($D16="","","T"&amp;TEXT(ROW()-6,"00000"))</f>
        <v>T00010</v>
      </c>
      <c r="C16" s="65" t="str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>M010</v>
      </c>
      <c r="D16" s="61" t="s">
        <v>650</v>
      </c>
      <c r="E16" s="66">
        <v>46025</v>
      </c>
      <c r="F16" s="67">
        <v>2000</v>
      </c>
      <c r="G16" s="60" t="s">
        <v>723</v>
      </c>
      <c r="H16" s="60" t="s">
        <v>572</v>
      </c>
      <c r="I16" s="61"/>
      <c r="J16" s="61" t="s">
        <v>724</v>
      </c>
      <c r="K16" s="61"/>
      <c r="L16" s="73">
        <f>IF($E16="","",DATE(YEAR($E16),MONTH($E16),1))</f>
        <v>46023</v>
      </c>
      <c r="M16" s="65" t="str">
        <f ca="1">IF($D16="","",IF($C16="TANIMSIZ MÜŞTERİ","HATA",IF(OR($E16="",$F16&lt;=0,$G16=""),"EKSİK",IF($E16&gt;TODAY(),"İLERİ TARİH",IF(COUNTIF($S$7:$S$2503,$S16)&gt;1,"MÜKERRER?",IF($T16&gt;0,"KAPALI DÖNEM","UYGUN"))))))</f>
        <v>UYGUN</v>
      </c>
      <c r="N16" s="74" t="str">
        <f>IF($C16="","",IF($C16="TANIMSIZ MÜŞTERİ","—",INDEX(MUSTERILER!$C$7:$C$156,MATCH($C16,MUSTERILER!$B$7:$B$156,0))))</f>
        <v>ÖZFİDANLAR LTD.ŞTİ.</v>
      </c>
      <c r="O16" s="2"/>
      <c r="P16" s="2"/>
      <c r="Q16" s="1" t="str">
        <f>IF($D16="","",$C16&amp;"|"&amp;COUNTIFS($C$7:$C16,$C16))</f>
        <v>M010|1</v>
      </c>
      <c r="R16" s="1" t="str">
        <f t="shared" si="0"/>
        <v>OZFIDANLARLTDSTI</v>
      </c>
      <c r="S16" s="1" t="str">
        <f t="shared" si="1"/>
        <v>M010|46025|2000|</v>
      </c>
      <c r="T16" s="1">
        <f>IF($E16="",0,SUMPRODUCT((AY_SONU!$O$7:$O$42="Evet")*(AY_SONU!$B$7:$B$42=DATE(YEAR($E16),MONTH($E16),1))))</f>
        <v>0</v>
      </c>
      <c r="U16" s="1" t="str">
        <f>IF(OR($G16="",$H16="Mahsup"),"",$G16&amp;"|"&amp;COUNTIFS($G$7:$G16,$G16,$H$7:$H16,"&lt;&gt;Mahsup"))</f>
        <v>ÖMER KARTAL|2</v>
      </c>
    </row>
    <row r="17" spans="1:21" ht="18" customHeight="1" x14ac:dyDescent="0.3">
      <c r="A17" s="2"/>
      <c r="B17" s="65" t="str">
        <f>IF($D17="","","T"&amp;TEXT(ROW()-6,"00000"))</f>
        <v>T00011</v>
      </c>
      <c r="C17" s="65" t="str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>M009</v>
      </c>
      <c r="D17" s="61" t="s">
        <v>652</v>
      </c>
      <c r="E17" s="66">
        <v>46025</v>
      </c>
      <c r="F17" s="67">
        <v>2000</v>
      </c>
      <c r="G17" s="60" t="s">
        <v>723</v>
      </c>
      <c r="H17" s="60" t="s">
        <v>572</v>
      </c>
      <c r="I17" s="61"/>
      <c r="J17" s="61" t="s">
        <v>724</v>
      </c>
      <c r="K17" s="61"/>
      <c r="L17" s="73">
        <f>IF($E17="","",DATE(YEAR($E17),MONTH($E17),1))</f>
        <v>46023</v>
      </c>
      <c r="M17" s="65" t="str">
        <f ca="1">IF($D17="","",IF($C17="TANIMSIZ MÜŞTERİ","HATA",IF(OR($E17="",$F17&lt;=0,$G17=""),"EKSİK",IF($E17&gt;TODAY(),"İLERİ TARİH",IF(COUNTIF($S$7:$S$2503,$S17)&gt;1,"MÜKERRER?",IF($T17&gt;0,"KAPALI DÖNEM","UYGUN"))))))</f>
        <v>UYGUN</v>
      </c>
      <c r="N17" s="74" t="str">
        <f>IF($C17="","",IF($C17="TANIMSIZ MÜŞTERİ","—",INDEX(MUSTERILER!$C$7:$C$156,MATCH($C17,MUSTERILER!$B$7:$B$156,0))))</f>
        <v>PAKYILDIZ LTD.ŞTİ.</v>
      </c>
      <c r="O17" s="2"/>
      <c r="P17" s="2"/>
      <c r="Q17" s="1" t="str">
        <f>IF($D17="","",$C17&amp;"|"&amp;COUNTIFS($C$7:$C17,$C17))</f>
        <v>M009|1</v>
      </c>
      <c r="R17" s="1" t="str">
        <f t="shared" si="0"/>
        <v>PAKYILDIZLTDSTI</v>
      </c>
      <c r="S17" s="1" t="str">
        <f t="shared" si="1"/>
        <v>M009|46025|2000|</v>
      </c>
      <c r="T17" s="1">
        <f>IF($E17="",0,SUMPRODUCT((AY_SONU!$O$7:$O$42="Evet")*(AY_SONU!$B$7:$B$42=DATE(YEAR($E17),MONTH($E17),1))))</f>
        <v>0</v>
      </c>
      <c r="U17" s="1" t="str">
        <f>IF(OR($G17="",$H17="Mahsup"),"",$G17&amp;"|"&amp;COUNTIFS($G$7:$G17,$G17,$H$7:$H17,"&lt;&gt;Mahsup"))</f>
        <v>ÖMER KARTAL|3</v>
      </c>
    </row>
    <row r="18" spans="1:21" ht="18" customHeight="1" x14ac:dyDescent="0.3">
      <c r="A18" s="2"/>
      <c r="B18" s="65" t="str">
        <f>IF($D18="","","T"&amp;TEXT(ROW()-6,"00000"))</f>
        <v>T00012</v>
      </c>
      <c r="C18" s="65" t="str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>M005</v>
      </c>
      <c r="D18" s="61" t="s">
        <v>680</v>
      </c>
      <c r="E18" s="66">
        <v>46025</v>
      </c>
      <c r="F18" s="67">
        <v>1750</v>
      </c>
      <c r="G18" s="60" t="s">
        <v>723</v>
      </c>
      <c r="H18" s="60" t="s">
        <v>572</v>
      </c>
      <c r="I18" s="61"/>
      <c r="J18" s="61" t="s">
        <v>724</v>
      </c>
      <c r="K18" s="61"/>
      <c r="L18" s="73">
        <f>IF($E18="","",DATE(YEAR($E18),MONTH($E18),1))</f>
        <v>46023</v>
      </c>
      <c r="M18" s="65" t="str">
        <f ca="1">IF($D18="","",IF($C18="TANIMSIZ MÜŞTERİ","HATA",IF(OR($E18="",$F18&lt;=0,$G18=""),"EKSİK",IF($E18&gt;TODAY(),"İLERİ TARİH",IF(COUNTIF($S$7:$S$2503,$S18)&gt;1,"MÜKERRER?",IF($T18&gt;0,"KAPALI DÖNEM","UYGUN"))))))</f>
        <v>UYGUN</v>
      </c>
      <c r="N18" s="74" t="str">
        <f>IF($C18="","",IF($C18="TANIMSIZ MÜŞTERİ","—",INDEX(MUSTERILER!$C$7:$C$156,MATCH($C18,MUSTERILER!$B$7:$B$156,0))))</f>
        <v>ZÜMRÜT GRUP LTD.ŞTİ.</v>
      </c>
      <c r="O18" s="2"/>
      <c r="P18" s="2"/>
      <c r="Q18" s="1" t="str">
        <f>IF($D18="","",$C18&amp;"|"&amp;COUNTIFS($C$7:$C18,$C18))</f>
        <v>M005|2</v>
      </c>
      <c r="R18" s="1" t="str">
        <f t="shared" si="0"/>
        <v>ZUMRUTGRUPLTDSTI</v>
      </c>
      <c r="S18" s="1" t="str">
        <f t="shared" si="1"/>
        <v>M005|46025|1750|</v>
      </c>
      <c r="T18" s="1">
        <f>IF($E18="",0,SUMPRODUCT((AY_SONU!$O$7:$O$42="Evet")*(AY_SONU!$B$7:$B$42=DATE(YEAR($E18),MONTH($E18),1))))</f>
        <v>0</v>
      </c>
      <c r="U18" s="1" t="str">
        <f>IF(OR($G18="",$H18="Mahsup"),"",$G18&amp;"|"&amp;COUNTIFS($G$7:$G18,$G18,$H$7:$H18,"&lt;&gt;Mahsup"))</f>
        <v>ÖMER KARTAL|4</v>
      </c>
    </row>
    <row r="19" spans="1:21" ht="18" customHeight="1" x14ac:dyDescent="0.3">
      <c r="A19" s="2"/>
      <c r="B19" s="65" t="str">
        <f>IF($D19="","","T"&amp;TEXT(ROW()-6,"00000"))</f>
        <v>T00013</v>
      </c>
      <c r="C19" s="65" t="str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>M001</v>
      </c>
      <c r="D19" s="61" t="s">
        <v>17</v>
      </c>
      <c r="E19" s="66">
        <v>46032</v>
      </c>
      <c r="F19" s="67">
        <v>4000</v>
      </c>
      <c r="G19" s="60" t="s">
        <v>723</v>
      </c>
      <c r="H19" s="60" t="s">
        <v>572</v>
      </c>
      <c r="I19" s="61"/>
      <c r="J19" s="61" t="s">
        <v>724</v>
      </c>
      <c r="K19" s="61"/>
      <c r="L19" s="73">
        <f>IF($E19="","",DATE(YEAR($E19),MONTH($E19),1))</f>
        <v>46023</v>
      </c>
      <c r="M19" s="65" t="str">
        <f ca="1">IF($D19="","",IF($C19="TANIMSIZ MÜŞTERİ","HATA",IF(OR($E19="",$F19&lt;=0,$G19=""),"EKSİK",IF($E19&gt;TODAY(),"İLERİ TARİH",IF(COUNTIF($S$7:$S$2503,$S19)&gt;1,"MÜKERRER?",IF($T19&gt;0,"KAPALI DÖNEM","UYGUN"))))))</f>
        <v>UYGUN</v>
      </c>
      <c r="N19" s="74" t="str">
        <f>IF($C19="","",IF($C19="TANIMSIZ MÜŞTERİ","—",INDEX(MUSTERILER!$C$7:$C$156,MATCH($C19,MUSTERILER!$B$7:$B$156,0))))</f>
        <v>ANKARA HAVANA LTD.ŞTİ.</v>
      </c>
      <c r="O19" s="2"/>
      <c r="P19" s="2"/>
      <c r="Q19" s="1" t="str">
        <f>IF($D19="","",$C19&amp;"|"&amp;COUNTIFS($C$7:$C19,$C19))</f>
        <v>M001|1</v>
      </c>
      <c r="R19" s="1" t="str">
        <f t="shared" si="0"/>
        <v>ANKARAHAVANALTDSTI</v>
      </c>
      <c r="S19" s="1" t="str">
        <f t="shared" si="1"/>
        <v>M001|46032|4000|</v>
      </c>
      <c r="T19" s="1">
        <f>IF($E19="",0,SUMPRODUCT((AY_SONU!$O$7:$O$42="Evet")*(AY_SONU!$B$7:$B$42=DATE(YEAR($E19),MONTH($E19),1))))</f>
        <v>0</v>
      </c>
      <c r="U19" s="1" t="str">
        <f>IF(OR($G19="",$H19="Mahsup"),"",$G19&amp;"|"&amp;COUNTIFS($G$7:$G19,$G19,$H$7:$H19,"&lt;&gt;Mahsup"))</f>
        <v>ÖMER KARTAL|5</v>
      </c>
    </row>
    <row r="20" spans="1:21" ht="18" customHeight="1" x14ac:dyDescent="0.3">
      <c r="A20" s="2"/>
      <c r="B20" s="65" t="str">
        <f>IF($D20="","","T"&amp;TEXT(ROW()-6,"00000"))</f>
        <v>T00014</v>
      </c>
      <c r="C20" s="65" t="str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>M011</v>
      </c>
      <c r="D20" s="61" t="s">
        <v>597</v>
      </c>
      <c r="E20" s="66">
        <v>46032</v>
      </c>
      <c r="F20" s="67">
        <v>3000</v>
      </c>
      <c r="G20" s="60" t="s">
        <v>723</v>
      </c>
      <c r="H20" s="60" t="s">
        <v>572</v>
      </c>
      <c r="I20" s="61"/>
      <c r="J20" s="61" t="s">
        <v>724</v>
      </c>
      <c r="K20" s="61"/>
      <c r="L20" s="73">
        <f>IF($E20="","",DATE(YEAR($E20),MONTH($E20),1))</f>
        <v>46023</v>
      </c>
      <c r="M20" s="65" t="str">
        <f ca="1">IF($D20="","",IF($C20="TANIMSIZ MÜŞTERİ","HATA",IF(OR($E20="",$F20&lt;=0,$G20=""),"EKSİK",IF($E20&gt;TODAY(),"İLERİ TARİH",IF(COUNTIF($S$7:$S$2503,$S20)&gt;1,"MÜKERRER?",IF($T20&gt;0,"KAPALI DÖNEM","UYGUN"))))))</f>
        <v>UYGUN</v>
      </c>
      <c r="N20" s="74" t="str">
        <f>IF($C20="","",IF($C20="TANIMSIZ MÜŞTERİ","—",INDEX(MUSTERILER!$C$7:$C$156,MATCH($C20,MUSTERILER!$B$7:$B$156,0))))</f>
        <v>EĞLENGÖR LTD.ŞTİ.</v>
      </c>
      <c r="O20" s="2"/>
      <c r="P20" s="2"/>
      <c r="Q20" s="1" t="str">
        <f>IF($D20="","",$C20&amp;"|"&amp;COUNTIFS($C$7:$C20,$C20))</f>
        <v>M011|2</v>
      </c>
      <c r="R20" s="1" t="str">
        <f t="shared" si="0"/>
        <v>EGLENGORLTDSTI</v>
      </c>
      <c r="S20" s="1" t="str">
        <f t="shared" si="1"/>
        <v>M011|46032|3000|</v>
      </c>
      <c r="T20" s="1">
        <f>IF($E20="",0,SUMPRODUCT((AY_SONU!$O$7:$O$42="Evet")*(AY_SONU!$B$7:$B$42=DATE(YEAR($E20),MONTH($E20),1))))</f>
        <v>0</v>
      </c>
      <c r="U20" s="1" t="str">
        <f>IF(OR($G20="",$H20="Mahsup"),"",$G20&amp;"|"&amp;COUNTIFS($G$7:$G20,$G20,$H$7:$H20,"&lt;&gt;Mahsup"))</f>
        <v>ÖMER KARTAL|6</v>
      </c>
    </row>
    <row r="21" spans="1:21" ht="18" customHeight="1" x14ac:dyDescent="0.3">
      <c r="A21" s="2"/>
      <c r="B21" s="65" t="str">
        <f>IF($D21="","","T"&amp;TEXT(ROW()-6,"00000"))</f>
        <v>T00015</v>
      </c>
      <c r="C21" s="65" t="str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>M014</v>
      </c>
      <c r="D21" s="61" t="s">
        <v>605</v>
      </c>
      <c r="E21" s="66">
        <v>46032</v>
      </c>
      <c r="F21" s="67">
        <v>4000</v>
      </c>
      <c r="G21" s="60" t="s">
        <v>723</v>
      </c>
      <c r="H21" s="60" t="s">
        <v>572</v>
      </c>
      <c r="I21" s="61"/>
      <c r="J21" s="61" t="s">
        <v>724</v>
      </c>
      <c r="K21" s="61"/>
      <c r="L21" s="73">
        <f>IF($E21="","",DATE(YEAR($E21),MONTH($E21),1))</f>
        <v>46023</v>
      </c>
      <c r="M21" s="65" t="str">
        <f ca="1">IF($D21="","",IF($C21="TANIMSIZ MÜŞTERİ","HATA",IF(OR($E21="",$F21&lt;=0,$G21=""),"EKSİK",IF($E21&gt;TODAY(),"İLERİ TARİH",IF(COUNTIF($S$7:$S$2503,$S21)&gt;1,"MÜKERRER?",IF($T21&gt;0,"KAPALI DÖNEM","UYGUN"))))))</f>
        <v>UYGUN</v>
      </c>
      <c r="N21" s="74" t="str">
        <f>IF($C21="","",IF($C21="TANIMSIZ MÜŞTERİ","—",INDEX(MUSTERILER!$C$7:$C$156,MATCH($C21,MUSTERILER!$B$7:$B$156,0))))</f>
        <v>FİNAL SİYAH BEYAZ LTD.ŞTİ.</v>
      </c>
      <c r="O21" s="2"/>
      <c r="P21" s="2"/>
      <c r="Q21" s="1" t="str">
        <f>IF($D21="","",$C21&amp;"|"&amp;COUNTIFS($C$7:$C21,$C21))</f>
        <v>M014|1</v>
      </c>
      <c r="R21" s="1" t="str">
        <f t="shared" si="0"/>
        <v>FINALSIYAHBEYAZLTDSTI</v>
      </c>
      <c r="S21" s="1" t="str">
        <f t="shared" si="1"/>
        <v>M014|46032|4000|</v>
      </c>
      <c r="T21" s="1">
        <f>IF($E21="",0,SUMPRODUCT((AY_SONU!$O$7:$O$42="Evet")*(AY_SONU!$B$7:$B$42=DATE(YEAR($E21),MONTH($E21),1))))</f>
        <v>0</v>
      </c>
      <c r="U21" s="1" t="str">
        <f>IF(OR($G21="",$H21="Mahsup"),"",$G21&amp;"|"&amp;COUNTIFS($G$7:$G21,$G21,$H$7:$H21,"&lt;&gt;Mahsup"))</f>
        <v>ÖMER KARTAL|7</v>
      </c>
    </row>
    <row r="22" spans="1:21" ht="18" customHeight="1" x14ac:dyDescent="0.3">
      <c r="A22" s="2"/>
      <c r="B22" s="65" t="str">
        <f>IF($D22="","","T"&amp;TEXT(ROW()-6,"00000"))</f>
        <v>T00016</v>
      </c>
      <c r="C22" s="65" t="str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>M012</v>
      </c>
      <c r="D22" s="61" t="s">
        <v>613</v>
      </c>
      <c r="E22" s="66">
        <v>46032</v>
      </c>
      <c r="F22" s="67">
        <v>4000</v>
      </c>
      <c r="G22" s="60" t="s">
        <v>723</v>
      </c>
      <c r="H22" s="60" t="s">
        <v>572</v>
      </c>
      <c r="I22" s="61"/>
      <c r="J22" s="61" t="s">
        <v>724</v>
      </c>
      <c r="K22" s="61"/>
      <c r="L22" s="73">
        <f>IF($E22="","",DATE(YEAR($E22),MONTH($E22),1))</f>
        <v>46023</v>
      </c>
      <c r="M22" s="65" t="str">
        <f ca="1">IF($D22="","",IF($C22="TANIMSIZ MÜŞTERİ","HATA",IF(OR($E22="",$F22&lt;=0,$G22=""),"EKSİK",IF($E22&gt;TODAY(),"İLERİ TARİH",IF(COUNTIF($S$7:$S$2503,$S22)&gt;1,"MÜKERRER?",IF($T22&gt;0,"KAPALI DÖNEM","UYGUN"))))))</f>
        <v>UYGUN</v>
      </c>
      <c r="N22" s="74" t="str">
        <f>IF($C22="","",IF($C22="TANIMSIZ MÜŞTERİ","—",INDEX(MUSTERILER!$C$7:$C$156,MATCH($C22,MUSTERILER!$B$7:$B$156,0))))</f>
        <v>İLDEŞ LTD.ŞTİ.</v>
      </c>
      <c r="O22" s="2"/>
      <c r="P22" s="2"/>
      <c r="Q22" s="1" t="str">
        <f>IF($D22="","",$C22&amp;"|"&amp;COUNTIFS($C$7:$C22,$C22))</f>
        <v>M012|2</v>
      </c>
      <c r="R22" s="1" t="str">
        <f t="shared" si="0"/>
        <v>ILDESLTDSTI</v>
      </c>
      <c r="S22" s="1" t="str">
        <f t="shared" si="1"/>
        <v>M012|46032|4000|</v>
      </c>
      <c r="T22" s="1">
        <f>IF($E22="",0,SUMPRODUCT((AY_SONU!$O$7:$O$42="Evet")*(AY_SONU!$B$7:$B$42=DATE(YEAR($E22),MONTH($E22),1))))</f>
        <v>0</v>
      </c>
      <c r="U22" s="1" t="str">
        <f>IF(OR($G22="",$H22="Mahsup"),"",$G22&amp;"|"&amp;COUNTIFS($G$7:$G22,$G22,$H$7:$H22,"&lt;&gt;Mahsup"))</f>
        <v>ÖMER KARTAL|8</v>
      </c>
    </row>
    <row r="23" spans="1:21" ht="18" customHeight="1" x14ac:dyDescent="0.3">
      <c r="A23" s="2"/>
      <c r="B23" s="65" t="str">
        <f>IF($D23="","","T"&amp;TEXT(ROW()-6,"00000"))</f>
        <v>T00017</v>
      </c>
      <c r="C23" s="65" t="str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>M007</v>
      </c>
      <c r="D23" s="61" t="s">
        <v>635</v>
      </c>
      <c r="E23" s="66">
        <v>46032</v>
      </c>
      <c r="F23" s="67">
        <v>3500</v>
      </c>
      <c r="G23" s="60" t="s">
        <v>723</v>
      </c>
      <c r="H23" s="60" t="s">
        <v>572</v>
      </c>
      <c r="I23" s="61"/>
      <c r="J23" s="61" t="s">
        <v>724</v>
      </c>
      <c r="K23" s="61"/>
      <c r="L23" s="73">
        <f>IF($E23="","",DATE(YEAR($E23),MONTH($E23),1))</f>
        <v>46023</v>
      </c>
      <c r="M23" s="65" t="str">
        <f ca="1">IF($D23="","",IF($C23="TANIMSIZ MÜŞTERİ","HATA",IF(OR($E23="",$F23&lt;=0,$G23=""),"EKSİK",IF($E23&gt;TODAY(),"İLERİ TARİH",IF(COUNTIF($S$7:$S$2503,$S23)&gt;1,"MÜKERRER?",IF($T23&gt;0,"KAPALI DÖNEM","UYGUN"))))))</f>
        <v>UYGUN</v>
      </c>
      <c r="N23" s="74" t="str">
        <f>IF($C23="","",IF($C23="TANIMSIZ MÜŞTERİ","—",INDEX(MUSTERILER!$C$7:$C$156,MATCH($C23,MUSTERILER!$B$7:$B$156,0))))</f>
        <v>MONAMOUR LTD.ŞTİ.</v>
      </c>
      <c r="O23" s="2"/>
      <c r="P23" s="2"/>
      <c r="Q23" s="1" t="str">
        <f>IF($D23="","",$C23&amp;"|"&amp;COUNTIFS($C$7:$C23,$C23))</f>
        <v>M007|1</v>
      </c>
      <c r="R23" s="1" t="str">
        <f t="shared" si="0"/>
        <v>MONAMOURLTDSTI</v>
      </c>
      <c r="S23" s="1" t="str">
        <f t="shared" si="1"/>
        <v>M007|46032|3500|</v>
      </c>
      <c r="T23" s="1">
        <f>IF($E23="",0,SUMPRODUCT((AY_SONU!$O$7:$O$42="Evet")*(AY_SONU!$B$7:$B$42=DATE(YEAR($E23),MONTH($E23),1))))</f>
        <v>0</v>
      </c>
      <c r="U23" s="1" t="str">
        <f>IF(OR($G23="",$H23="Mahsup"),"",$G23&amp;"|"&amp;COUNTIFS($G$7:$G23,$G23,$H$7:$H23,"&lt;&gt;Mahsup"))</f>
        <v>ÖMER KARTAL|9</v>
      </c>
    </row>
    <row r="24" spans="1:21" ht="18" customHeight="1" x14ac:dyDescent="0.3">
      <c r="A24" s="2"/>
      <c r="B24" s="65" t="str">
        <f>IF($D24="","","T"&amp;TEXT(ROW()-6,"00000"))</f>
        <v>T00018</v>
      </c>
      <c r="C24" s="65" t="str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>M013</v>
      </c>
      <c r="D24" s="61" t="s">
        <v>644</v>
      </c>
      <c r="E24" s="66">
        <v>46032</v>
      </c>
      <c r="F24" s="67">
        <v>13150</v>
      </c>
      <c r="G24" s="60" t="s">
        <v>723</v>
      </c>
      <c r="H24" s="60" t="s">
        <v>572</v>
      </c>
      <c r="I24" s="61"/>
      <c r="J24" s="61" t="s">
        <v>724</v>
      </c>
      <c r="K24" s="61"/>
      <c r="L24" s="73">
        <f>IF($E24="","",DATE(YEAR($E24),MONTH($E24),1))</f>
        <v>46023</v>
      </c>
      <c r="M24" s="65" t="str">
        <f ca="1">IF($D24="","",IF($C24="TANIMSIZ MÜŞTERİ","HATA",IF(OR($E24="",$F24&lt;=0,$G24=""),"EKSİK",IF($E24&gt;TODAY(),"İLERİ TARİH",IF(COUNTIF($S$7:$S$2503,$S24)&gt;1,"MÜKERRER?",IF($T24&gt;0,"KAPALI DÖNEM","UYGUN"))))))</f>
        <v>UYGUN</v>
      </c>
      <c r="N24" s="74" t="str">
        <f>IF($C24="","",IF($C24="TANIMSIZ MÜŞTERİ","—",INDEX(MUSTERILER!$C$7:$C$156,MATCH($C24,MUSTERILER!$B$7:$B$156,0))))</f>
        <v>NAZ 1 GIDA LTD.ŞTİ.</v>
      </c>
      <c r="O24" s="2"/>
      <c r="P24" s="2"/>
      <c r="Q24" s="1" t="str">
        <f>IF($D24="","",$C24&amp;"|"&amp;COUNTIFS($C$7:$C24,$C24))</f>
        <v>M013|1</v>
      </c>
      <c r="R24" s="1" t="str">
        <f t="shared" si="0"/>
        <v>NAZ1GIDALTDSTI</v>
      </c>
      <c r="S24" s="1" t="str">
        <f t="shared" si="1"/>
        <v>M013|46032|13150|</v>
      </c>
      <c r="T24" s="1">
        <f>IF($E24="",0,SUMPRODUCT((AY_SONU!$O$7:$O$42="Evet")*(AY_SONU!$B$7:$B$42=DATE(YEAR($E24),MONTH($E24),1))))</f>
        <v>0</v>
      </c>
      <c r="U24" s="1" t="str">
        <f>IF(OR($G24="",$H24="Mahsup"),"",$G24&amp;"|"&amp;COUNTIFS($G$7:$G24,$G24,$H$7:$H24,"&lt;&gt;Mahsup"))</f>
        <v>ÖMER KARTAL|10</v>
      </c>
    </row>
    <row r="25" spans="1:21" ht="18" customHeight="1" x14ac:dyDescent="0.3">
      <c r="A25" s="2"/>
      <c r="B25" s="65" t="str">
        <f>IF($D25="","","T"&amp;TEXT(ROW()-6,"00000"))</f>
        <v>T00019</v>
      </c>
      <c r="C25" s="65" t="str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>M010</v>
      </c>
      <c r="D25" s="61" t="s">
        <v>650</v>
      </c>
      <c r="E25" s="66">
        <v>46032</v>
      </c>
      <c r="F25" s="67">
        <v>4000</v>
      </c>
      <c r="G25" s="60" t="s">
        <v>723</v>
      </c>
      <c r="H25" s="60" t="s">
        <v>572</v>
      </c>
      <c r="I25" s="61"/>
      <c r="J25" s="61" t="s">
        <v>724</v>
      </c>
      <c r="K25" s="61"/>
      <c r="L25" s="73">
        <f>IF($E25="","",DATE(YEAR($E25),MONTH($E25),1))</f>
        <v>46023</v>
      </c>
      <c r="M25" s="65" t="str">
        <f ca="1">IF($D25="","",IF($C25="TANIMSIZ MÜŞTERİ","HATA",IF(OR($E25="",$F25&lt;=0,$G25=""),"EKSİK",IF($E25&gt;TODAY(),"İLERİ TARİH",IF(COUNTIF($S$7:$S$2503,$S25)&gt;1,"MÜKERRER?",IF($T25&gt;0,"KAPALI DÖNEM","UYGUN"))))))</f>
        <v>UYGUN</v>
      </c>
      <c r="N25" s="74" t="str">
        <f>IF($C25="","",IF($C25="TANIMSIZ MÜŞTERİ","—",INDEX(MUSTERILER!$C$7:$C$156,MATCH($C25,MUSTERILER!$B$7:$B$156,0))))</f>
        <v>ÖZFİDANLAR LTD.ŞTİ.</v>
      </c>
      <c r="O25" s="2"/>
      <c r="P25" s="2"/>
      <c r="Q25" s="1" t="str">
        <f>IF($D25="","",$C25&amp;"|"&amp;COUNTIFS($C$7:$C25,$C25))</f>
        <v>M010|2</v>
      </c>
      <c r="R25" s="1" t="str">
        <f t="shared" si="0"/>
        <v>OZFIDANLARLTDSTI</v>
      </c>
      <c r="S25" s="1" t="str">
        <f t="shared" si="1"/>
        <v>M010|46032|4000|</v>
      </c>
      <c r="T25" s="1">
        <f>IF($E25="",0,SUMPRODUCT((AY_SONU!$O$7:$O$42="Evet")*(AY_SONU!$B$7:$B$42=DATE(YEAR($E25),MONTH($E25),1))))</f>
        <v>0</v>
      </c>
      <c r="U25" s="1" t="str">
        <f>IF(OR($G25="",$H25="Mahsup"),"",$G25&amp;"|"&amp;COUNTIFS($G$7:$G25,$G25,$H$7:$H25,"&lt;&gt;Mahsup"))</f>
        <v>ÖMER KARTAL|11</v>
      </c>
    </row>
    <row r="26" spans="1:21" ht="18" customHeight="1" x14ac:dyDescent="0.3">
      <c r="A26" s="2"/>
      <c r="B26" s="65" t="str">
        <f>IF($D26="","","T"&amp;TEXT(ROW()-6,"00000"))</f>
        <v>T00020</v>
      </c>
      <c r="C26" s="65" t="str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>M005</v>
      </c>
      <c r="D26" s="61" t="s">
        <v>680</v>
      </c>
      <c r="E26" s="66">
        <v>46032</v>
      </c>
      <c r="F26" s="67">
        <v>1750</v>
      </c>
      <c r="G26" s="60" t="s">
        <v>723</v>
      </c>
      <c r="H26" s="60" t="s">
        <v>572</v>
      </c>
      <c r="I26" s="61"/>
      <c r="J26" s="61" t="s">
        <v>724</v>
      </c>
      <c r="K26" s="61"/>
      <c r="L26" s="73">
        <f>IF($E26="","",DATE(YEAR($E26),MONTH($E26),1))</f>
        <v>46023</v>
      </c>
      <c r="M26" s="65" t="str">
        <f ca="1">IF($D26="","",IF($C26="TANIMSIZ MÜŞTERİ","HATA",IF(OR($E26="",$F26&lt;=0,$G26=""),"EKSİK",IF($E26&gt;TODAY(),"İLERİ TARİH",IF(COUNTIF($S$7:$S$2503,$S26)&gt;1,"MÜKERRER?",IF($T26&gt;0,"KAPALI DÖNEM","UYGUN"))))))</f>
        <v>UYGUN</v>
      </c>
      <c r="N26" s="74" t="str">
        <f>IF($C26="","",IF($C26="TANIMSIZ MÜŞTERİ","—",INDEX(MUSTERILER!$C$7:$C$156,MATCH($C26,MUSTERILER!$B$7:$B$156,0))))</f>
        <v>ZÜMRÜT GRUP LTD.ŞTİ.</v>
      </c>
      <c r="O26" s="2"/>
      <c r="P26" s="2"/>
      <c r="Q26" s="1" t="str">
        <f>IF($D26="","",$C26&amp;"|"&amp;COUNTIFS($C$7:$C26,$C26))</f>
        <v>M005|3</v>
      </c>
      <c r="R26" s="1" t="str">
        <f t="shared" si="0"/>
        <v>ZUMRUTGRUPLTDSTI</v>
      </c>
      <c r="S26" s="1" t="str">
        <f t="shared" si="1"/>
        <v>M005|46032|1750|</v>
      </c>
      <c r="T26" s="1">
        <f>IF($E26="",0,SUMPRODUCT((AY_SONU!$O$7:$O$42="Evet")*(AY_SONU!$B$7:$B$42=DATE(YEAR($E26),MONTH($E26),1))))</f>
        <v>0</v>
      </c>
      <c r="U26" s="1" t="str">
        <f>IF(OR($G26="",$H26="Mahsup"),"",$G26&amp;"|"&amp;COUNTIFS($G$7:$G26,$G26,$H$7:$H26,"&lt;&gt;Mahsup"))</f>
        <v>ÖMER KARTAL|12</v>
      </c>
    </row>
    <row r="27" spans="1:21" ht="18" customHeight="1" x14ac:dyDescent="0.3">
      <c r="A27" s="2"/>
      <c r="B27" s="65" t="str">
        <f>IF($D27="","","T"&amp;TEXT(ROW()-6,"00000"))</f>
        <v>T00021</v>
      </c>
      <c r="C27" s="65" t="str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>M015</v>
      </c>
      <c r="D27" s="61" t="s">
        <v>589</v>
      </c>
      <c r="E27" s="66">
        <v>46034</v>
      </c>
      <c r="F27" s="67">
        <v>6000</v>
      </c>
      <c r="G27" s="60" t="s">
        <v>723</v>
      </c>
      <c r="H27" s="60" t="s">
        <v>572</v>
      </c>
      <c r="I27" s="61"/>
      <c r="J27" s="61" t="s">
        <v>724</v>
      </c>
      <c r="K27" s="61"/>
      <c r="L27" s="73">
        <f>IF($E27="","",DATE(YEAR($E27),MONTH($E27),1))</f>
        <v>46023</v>
      </c>
      <c r="M27" s="65" t="str">
        <f ca="1">IF($D27="","",IF($C27="TANIMSIZ MÜŞTERİ","HATA",IF(OR($E27="",$F27&lt;=0,$G27=""),"EKSİK",IF($E27&gt;TODAY(),"İLERİ TARİH",IF(COUNTIF($S$7:$S$2503,$S27)&gt;1,"MÜKERRER?",IF($T27&gt;0,"KAPALI DÖNEM","UYGUN"))))))</f>
        <v>UYGUN</v>
      </c>
      <c r="N27" s="74" t="str">
        <f>IF($C27="","",IF($C27="TANIMSIZ MÜŞTERİ","—",INDEX(MUSTERILER!$C$7:$C$156,MATCH($C27,MUSTERILER!$B$7:$B$156,0))))</f>
        <v>ÇAYIRALAN LTD.ŞTİ.</v>
      </c>
      <c r="O27" s="2"/>
      <c r="P27" s="2"/>
      <c r="Q27" s="1" t="str">
        <f>IF($D27="","",$C27&amp;"|"&amp;COUNTIFS($C$7:$C27,$C27))</f>
        <v>M015|2</v>
      </c>
      <c r="R27" s="1" t="str">
        <f t="shared" si="0"/>
        <v>CAYIRALANLTDSTI</v>
      </c>
      <c r="S27" s="1" t="str">
        <f t="shared" si="1"/>
        <v>M015|46034|6000|</v>
      </c>
      <c r="T27" s="1">
        <f>IF($E27="",0,SUMPRODUCT((AY_SONU!$O$7:$O$42="Evet")*(AY_SONU!$B$7:$B$42=DATE(YEAR($E27),MONTH($E27),1))))</f>
        <v>0</v>
      </c>
      <c r="U27" s="1" t="str">
        <f>IF(OR($G27="",$H27="Mahsup"),"",$G27&amp;"|"&amp;COUNTIFS($G$7:$G27,$G27,$H$7:$H27,"&lt;&gt;Mahsup"))</f>
        <v>ÖMER KARTAL|13</v>
      </c>
    </row>
    <row r="28" spans="1:21" ht="18" customHeight="1" x14ac:dyDescent="0.3">
      <c r="A28" s="2"/>
      <c r="B28" s="65" t="str">
        <f>IF($D28="","","T"&amp;TEXT(ROW()-6,"00000"))</f>
        <v>T00022</v>
      </c>
      <c r="C28" s="65" t="str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>M034</v>
      </c>
      <c r="D28" s="61" t="s">
        <v>611</v>
      </c>
      <c r="E28" s="66">
        <v>46034</v>
      </c>
      <c r="F28" s="67">
        <v>3000</v>
      </c>
      <c r="G28" s="60" t="s">
        <v>723</v>
      </c>
      <c r="H28" s="60" t="s">
        <v>572</v>
      </c>
      <c r="I28" s="61"/>
      <c r="J28" s="61" t="s">
        <v>724</v>
      </c>
      <c r="K28" s="61"/>
      <c r="L28" s="73">
        <f>IF($E28="","",DATE(YEAR($E28),MONTH($E28),1))</f>
        <v>46023</v>
      </c>
      <c r="M28" s="65" t="str">
        <f ca="1">IF($D28="","",IF($C28="TANIMSIZ MÜŞTERİ","HATA",IF(OR($E28="",$F28&lt;=0,$G28=""),"EKSİK",IF($E28&gt;TODAY(),"İLERİ TARİH",IF(COUNTIF($S$7:$S$2503,$S28)&gt;1,"MÜKERRER?",IF($T28&gt;0,"KAPALI DÖNEM","UYGUN"))))))</f>
        <v>UYGUN</v>
      </c>
      <c r="N28" s="74" t="str">
        <f>IF($C28="","",IF($C28="TANIMSIZ MÜŞTERİ","—",INDEX(MUSTERILER!$C$7:$C$156,MATCH($C28,MUSTERILER!$B$7:$B$156,0))))</f>
        <v>İBRAHİM MALDAN</v>
      </c>
      <c r="O28" s="2"/>
      <c r="P28" s="2"/>
      <c r="Q28" s="1" t="str">
        <f>IF($D28="","",$C28&amp;"|"&amp;COUNTIFS($C$7:$C28,$C28))</f>
        <v>M034|1</v>
      </c>
      <c r="R28" s="1" t="str">
        <f t="shared" si="0"/>
        <v>IBRAHIMMALDAN</v>
      </c>
      <c r="S28" s="1" t="str">
        <f t="shared" si="1"/>
        <v>M034|46034|3000|</v>
      </c>
      <c r="T28" s="1">
        <f>IF($E28="",0,SUMPRODUCT((AY_SONU!$O$7:$O$42="Evet")*(AY_SONU!$B$7:$B$42=DATE(YEAR($E28),MONTH($E28),1))))</f>
        <v>0</v>
      </c>
      <c r="U28" s="1" t="str">
        <f>IF(OR($G28="",$H28="Mahsup"),"",$G28&amp;"|"&amp;COUNTIFS($G$7:$G28,$G28,$H$7:$H28,"&lt;&gt;Mahsup"))</f>
        <v>ÖMER KARTAL|14</v>
      </c>
    </row>
    <row r="29" spans="1:21" ht="18" customHeight="1" x14ac:dyDescent="0.3">
      <c r="A29" s="2"/>
      <c r="B29" s="65" t="str">
        <f>IF($D29="","","T"&amp;TEXT(ROW()-6,"00000"))</f>
        <v>T00023</v>
      </c>
      <c r="C29" s="65" t="str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>M016</v>
      </c>
      <c r="D29" s="61" t="s">
        <v>658</v>
      </c>
      <c r="E29" s="66">
        <v>46034</v>
      </c>
      <c r="F29" s="67">
        <v>4000</v>
      </c>
      <c r="G29" s="60" t="s">
        <v>723</v>
      </c>
      <c r="H29" s="60" t="s">
        <v>572</v>
      </c>
      <c r="I29" s="61"/>
      <c r="J29" s="61" t="s">
        <v>724</v>
      </c>
      <c r="K29" s="61"/>
      <c r="L29" s="73">
        <f>IF($E29="","",DATE(YEAR($E29),MONTH($E29),1))</f>
        <v>46023</v>
      </c>
      <c r="M29" s="65" t="str">
        <f ca="1">IF($D29="","",IF($C29="TANIMSIZ MÜŞTERİ","HATA",IF(OR($E29="",$F29&lt;=0,$G29=""),"EKSİK",IF($E29&gt;TODAY(),"İLERİ TARİH",IF(COUNTIF($S$7:$S$2503,$S29)&gt;1,"MÜKERRER?",IF($T29&gt;0,"KAPALI DÖNEM","UYGUN"))))))</f>
        <v>UYGUN</v>
      </c>
      <c r="N29" s="74" t="str">
        <f>IF($C29="","",IF($C29="TANIMSIZ MÜŞTERİ","—",INDEX(MUSTERILER!$C$7:$C$156,MATCH($C29,MUSTERILER!$B$7:$B$156,0))))</f>
        <v>RİX ŞOW LTD.ŞTİ.</v>
      </c>
      <c r="O29" s="2"/>
      <c r="P29" s="2"/>
      <c r="Q29" s="1" t="str">
        <f>IF($D29="","",$C29&amp;"|"&amp;COUNTIFS($C$7:$C29,$C29))</f>
        <v>M016|2</v>
      </c>
      <c r="R29" s="1" t="str">
        <f t="shared" si="0"/>
        <v>RIXSOWLTDSTI</v>
      </c>
      <c r="S29" s="1" t="str">
        <f t="shared" si="1"/>
        <v>M016|46034|4000|</v>
      </c>
      <c r="T29" s="1">
        <f>IF($E29="",0,SUMPRODUCT((AY_SONU!$O$7:$O$42="Evet")*(AY_SONU!$B$7:$B$42=DATE(YEAR($E29),MONTH($E29),1))))</f>
        <v>0</v>
      </c>
      <c r="U29" s="1" t="str">
        <f>IF(OR($G29="",$H29="Mahsup"),"",$G29&amp;"|"&amp;COUNTIFS($G$7:$G29,$G29,$H$7:$H29,"&lt;&gt;Mahsup"))</f>
        <v>ÖMER KARTAL|15</v>
      </c>
    </row>
    <row r="30" spans="1:21" ht="18" customHeight="1" x14ac:dyDescent="0.3">
      <c r="A30" s="2"/>
      <c r="B30" s="65" t="str">
        <f>IF($D30="","","T"&amp;TEXT(ROW()-6,"00000"))</f>
        <v>T00024</v>
      </c>
      <c r="C30" s="65" t="str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>M004</v>
      </c>
      <c r="D30" s="61" t="s">
        <v>678</v>
      </c>
      <c r="E30" s="66">
        <v>46034</v>
      </c>
      <c r="F30" s="67">
        <v>6000</v>
      </c>
      <c r="G30" s="60" t="s">
        <v>723</v>
      </c>
      <c r="H30" s="60" t="s">
        <v>572</v>
      </c>
      <c r="I30" s="61"/>
      <c r="J30" s="61" t="s">
        <v>724</v>
      </c>
      <c r="K30" s="61"/>
      <c r="L30" s="73">
        <f>IF($E30="","",DATE(YEAR($E30),MONTH($E30),1))</f>
        <v>46023</v>
      </c>
      <c r="M30" s="65" t="str">
        <f ca="1">IF($D30="","",IF($C30="TANIMSIZ MÜŞTERİ","HATA",IF(OR($E30="",$F30&lt;=0,$G30=""),"EKSİK",IF($E30&gt;TODAY(),"İLERİ TARİH",IF(COUNTIF($S$7:$S$2503,$S30)&gt;1,"MÜKERRER?",IF($T30&gt;0,"KAPALI DÖNEM","UYGUN"))))))</f>
        <v>UYGUN</v>
      </c>
      <c r="N30" s="74" t="str">
        <f>IF($C30="","",IF($C30="TANIMSIZ MÜŞTERİ","—",INDEX(MUSTERILER!$C$7:$C$156,MATCH($C30,MUSTERILER!$B$7:$B$156,0))))</f>
        <v>ZÜMRÜT EĞLENCE LTD.ŞTİ.</v>
      </c>
      <c r="O30" s="2"/>
      <c r="P30" s="2"/>
      <c r="Q30" s="1" t="str">
        <f>IF($D30="","",$C30&amp;"|"&amp;COUNTIFS($C$7:$C30,$C30))</f>
        <v>M004|1</v>
      </c>
      <c r="R30" s="1" t="str">
        <f t="shared" si="0"/>
        <v>ZUMRUTEGLENCELTDSTI</v>
      </c>
      <c r="S30" s="1" t="str">
        <f t="shared" si="1"/>
        <v>M004|46034|6000|</v>
      </c>
      <c r="T30" s="1">
        <f>IF($E30="",0,SUMPRODUCT((AY_SONU!$O$7:$O$42="Evet")*(AY_SONU!$B$7:$B$42=DATE(YEAR($E30),MONTH($E30),1))))</f>
        <v>0</v>
      </c>
      <c r="U30" s="1" t="str">
        <f>IF(OR($G30="",$H30="Mahsup"),"",$G30&amp;"|"&amp;COUNTIFS($G$7:$G30,$G30,$H$7:$H30,"&lt;&gt;Mahsup"))</f>
        <v>ÖMER KARTAL|16</v>
      </c>
    </row>
    <row r="31" spans="1:21" ht="18" customHeight="1" x14ac:dyDescent="0.3">
      <c r="A31" s="2"/>
      <c r="B31" s="65" t="str">
        <f>IF($D31="","","T"&amp;TEXT(ROW()-6,"00000"))</f>
        <v>T00025</v>
      </c>
      <c r="C31" s="65" t="str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>M051</v>
      </c>
      <c r="D31" s="61" t="s">
        <v>668</v>
      </c>
      <c r="E31" s="66">
        <v>46035</v>
      </c>
      <c r="F31" s="67">
        <v>3000</v>
      </c>
      <c r="G31" s="60" t="s">
        <v>723</v>
      </c>
      <c r="H31" s="60" t="s">
        <v>572</v>
      </c>
      <c r="I31" s="61"/>
      <c r="J31" s="61" t="s">
        <v>720</v>
      </c>
      <c r="K31" s="61"/>
      <c r="L31" s="73">
        <f>IF($E31="","",DATE(YEAR($E31),MONTH($E31),1))</f>
        <v>46023</v>
      </c>
      <c r="M31" s="65" t="str">
        <f ca="1">IF($D31="","",IF($C31="TANIMSIZ MÜŞTERİ","HATA",IF(OR($E31="",$F31&lt;=0,$G31=""),"EKSİK",IF($E31&gt;TODAY(),"İLERİ TARİH",IF(COUNTIF($S$7:$S$2503,$S31)&gt;1,"MÜKERRER?",IF($T31&gt;0,"KAPALI DÖNEM","UYGUN"))))))</f>
        <v>UYGUN</v>
      </c>
      <c r="N31" s="74" t="str">
        <f>IF($C31="","",IF($C31="TANIMSIZ MÜŞTERİ","—",INDEX(MUSTERILER!$C$7:$C$156,MATCH($C31,MUSTERILER!$B$7:$B$156,0))))</f>
        <v>UFUK YILMAZ</v>
      </c>
      <c r="O31" s="2"/>
      <c r="P31" s="2"/>
      <c r="Q31" s="1" t="str">
        <f>IF($D31="","",$C31&amp;"|"&amp;COUNTIFS($C$7:$C31,$C31))</f>
        <v>M051|1</v>
      </c>
      <c r="R31" s="1" t="str">
        <f t="shared" si="0"/>
        <v>UFUKYILMAZ</v>
      </c>
      <c r="S31" s="1" t="str">
        <f t="shared" si="1"/>
        <v>M051|46035|3000|</v>
      </c>
      <c r="T31" s="1">
        <f>IF($E31="",0,SUMPRODUCT((AY_SONU!$O$7:$O$42="Evet")*(AY_SONU!$B$7:$B$42=DATE(YEAR($E31),MONTH($E31),1))))</f>
        <v>0</v>
      </c>
      <c r="U31" s="1" t="str">
        <f>IF(OR($G31="",$H31="Mahsup"),"",$G31&amp;"|"&amp;COUNTIFS($G$7:$G31,$G31,$H$7:$H31,"&lt;&gt;Mahsup"))</f>
        <v>ÖMER KARTAL|17</v>
      </c>
    </row>
    <row r="32" spans="1:21" ht="18" customHeight="1" x14ac:dyDescent="0.3">
      <c r="A32" s="2"/>
      <c r="B32" s="65" t="str">
        <f>IF($D32="","","T"&amp;TEXT(ROW()-6,"00000"))</f>
        <v>T00026</v>
      </c>
      <c r="C32" s="65" t="str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>M025</v>
      </c>
      <c r="D32" s="61" t="s">
        <v>583</v>
      </c>
      <c r="E32" s="66">
        <v>46039</v>
      </c>
      <c r="F32" s="67">
        <v>6000</v>
      </c>
      <c r="G32" s="60" t="s">
        <v>717</v>
      </c>
      <c r="H32" s="60" t="s">
        <v>572</v>
      </c>
      <c r="I32" s="61"/>
      <c r="J32" s="61" t="s">
        <v>720</v>
      </c>
      <c r="K32" s="61"/>
      <c r="L32" s="73">
        <f>IF($E32="","",DATE(YEAR($E32),MONTH($E32),1))</f>
        <v>46023</v>
      </c>
      <c r="M32" s="65" t="str">
        <f ca="1">IF($D32="","",IF($C32="TANIMSIZ MÜŞTERİ","HATA",IF(OR($E32="",$F32&lt;=0,$G32=""),"EKSİK",IF($E32&gt;TODAY(),"İLERİ TARİH",IF(COUNTIF($S$7:$S$2503,$S32)&gt;1,"MÜKERRER?",IF($T32&gt;0,"KAPALI DÖNEM","UYGUN"))))))</f>
        <v>UYGUN</v>
      </c>
      <c r="N32" s="74" t="str">
        <f>IF($C32="","",IF($C32="TANIMSIZ MÜŞTERİ","—",INDEX(MUSTERILER!$C$7:$C$156,MATCH($C32,MUSTERILER!$B$7:$B$156,0))))</f>
        <v>ASIM AÇIKGÖZ</v>
      </c>
      <c r="O32" s="2"/>
      <c r="P32" s="2"/>
      <c r="Q32" s="1" t="str">
        <f>IF($D32="","",$C32&amp;"|"&amp;COUNTIFS($C$7:$C32,$C32))</f>
        <v>M025|2</v>
      </c>
      <c r="R32" s="1" t="str">
        <f t="shared" si="0"/>
        <v>ASIMACIKGOZ</v>
      </c>
      <c r="S32" s="1" t="str">
        <f t="shared" si="1"/>
        <v>M025|46039|6000|</v>
      </c>
      <c r="T32" s="1">
        <f>IF($E32="",0,SUMPRODUCT((AY_SONU!$O$7:$O$42="Evet")*(AY_SONU!$B$7:$B$42=DATE(YEAR($E32),MONTH($E32),1))))</f>
        <v>0</v>
      </c>
      <c r="U32" s="1" t="str">
        <f>IF(OR($G32="",$H32="Mahsup"),"",$G32&amp;"|"&amp;COUNTIFS($G$7:$G32,$G32,$H$7:$H32,"&lt;&gt;Mahsup"))</f>
        <v>MERKEZ KASA|9</v>
      </c>
    </row>
    <row r="33" spans="1:21" ht="18" customHeight="1" x14ac:dyDescent="0.3">
      <c r="A33" s="2"/>
      <c r="B33" s="65" t="str">
        <f>IF($D33="","","T"&amp;TEXT(ROW()-6,"00000"))</f>
        <v>T00027</v>
      </c>
      <c r="C33" s="65" t="str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>M017</v>
      </c>
      <c r="D33" s="61" t="s">
        <v>585</v>
      </c>
      <c r="E33" s="66">
        <v>46039</v>
      </c>
      <c r="F33" s="67">
        <v>5000</v>
      </c>
      <c r="G33" s="60" t="s">
        <v>717</v>
      </c>
      <c r="H33" s="60" t="s">
        <v>572</v>
      </c>
      <c r="I33" s="61"/>
      <c r="J33" s="61" t="s">
        <v>720</v>
      </c>
      <c r="K33" s="61"/>
      <c r="L33" s="73">
        <f>IF($E33="","",DATE(YEAR($E33),MONTH($E33),1))</f>
        <v>46023</v>
      </c>
      <c r="M33" s="65" t="str">
        <f ca="1">IF($D33="","",IF($C33="TANIMSIZ MÜŞTERİ","HATA",IF(OR($E33="",$F33&lt;=0,$G33=""),"EKSİK",IF($E33&gt;TODAY(),"İLERİ TARİH",IF(COUNTIF($S$7:$S$2503,$S33)&gt;1,"MÜKERRER?",IF($T33&gt;0,"KAPALI DÖNEM","UYGUN"))))))</f>
        <v>UYGUN</v>
      </c>
      <c r="N33" s="74" t="str">
        <f>IF($C33="","",IF($C33="TANIMSIZ MÜŞTERİ","—",INDEX(MUSTERILER!$C$7:$C$156,MATCH($C33,MUSTERILER!$B$7:$B$156,0))))</f>
        <v>ASM EĞLENCE LTD.ŞTİ.</v>
      </c>
      <c r="O33" s="2"/>
      <c r="P33" s="2"/>
      <c r="Q33" s="1" t="str">
        <f>IF($D33="","",$C33&amp;"|"&amp;COUNTIFS($C$7:$C33,$C33))</f>
        <v>M017|2</v>
      </c>
      <c r="R33" s="1" t="str">
        <f t="shared" si="0"/>
        <v>ASMEGLENCELTDSTI</v>
      </c>
      <c r="S33" s="1" t="str">
        <f t="shared" si="1"/>
        <v>M017|46039|5000|</v>
      </c>
      <c r="T33" s="1">
        <f>IF($E33="",0,SUMPRODUCT((AY_SONU!$O$7:$O$42="Evet")*(AY_SONU!$B$7:$B$42=DATE(YEAR($E33),MONTH($E33),1))))</f>
        <v>0</v>
      </c>
      <c r="U33" s="1" t="str">
        <f>IF(OR($G33="",$H33="Mahsup"),"",$G33&amp;"|"&amp;COUNTIFS($G$7:$G33,$G33,$H$7:$H33,"&lt;&gt;Mahsup"))</f>
        <v>MERKEZ KASA|10</v>
      </c>
    </row>
    <row r="34" spans="1:21" ht="18" customHeight="1" x14ac:dyDescent="0.3">
      <c r="A34" s="2"/>
      <c r="B34" s="65" t="str">
        <f>IF($D34="","","T"&amp;TEXT(ROW()-6,"00000"))</f>
        <v>T00028</v>
      </c>
      <c r="C34" s="65" t="str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>M015</v>
      </c>
      <c r="D34" s="61" t="s">
        <v>589</v>
      </c>
      <c r="E34" s="66">
        <v>46039</v>
      </c>
      <c r="F34" s="67">
        <v>3000</v>
      </c>
      <c r="G34" s="60" t="s">
        <v>717</v>
      </c>
      <c r="H34" s="60" t="s">
        <v>572</v>
      </c>
      <c r="I34" s="61"/>
      <c r="J34" s="61" t="s">
        <v>720</v>
      </c>
      <c r="K34" s="61"/>
      <c r="L34" s="73">
        <f>IF($E34="","",DATE(YEAR($E34),MONTH($E34),1))</f>
        <v>46023</v>
      </c>
      <c r="M34" s="65" t="str">
        <f ca="1">IF($D34="","",IF($C34="TANIMSIZ MÜŞTERİ","HATA",IF(OR($E34="",$F34&lt;=0,$G34=""),"EKSİK",IF($E34&gt;TODAY(),"İLERİ TARİH",IF(COUNTIF($S$7:$S$2503,$S34)&gt;1,"MÜKERRER?",IF($T34&gt;0,"KAPALI DÖNEM","UYGUN"))))))</f>
        <v>UYGUN</v>
      </c>
      <c r="N34" s="74" t="str">
        <f>IF($C34="","",IF($C34="TANIMSIZ MÜŞTERİ","—",INDEX(MUSTERILER!$C$7:$C$156,MATCH($C34,MUSTERILER!$B$7:$B$156,0))))</f>
        <v>ÇAYIRALAN LTD.ŞTİ.</v>
      </c>
      <c r="O34" s="2"/>
      <c r="P34" s="2"/>
      <c r="Q34" s="1" t="str">
        <f>IF($D34="","",$C34&amp;"|"&amp;COUNTIFS($C$7:$C34,$C34))</f>
        <v>M015|3</v>
      </c>
      <c r="R34" s="1" t="str">
        <f t="shared" si="0"/>
        <v>CAYIRALANLTDSTI</v>
      </c>
      <c r="S34" s="1" t="str">
        <f t="shared" si="1"/>
        <v>M015|46039|3000|</v>
      </c>
      <c r="T34" s="1">
        <f>IF($E34="",0,SUMPRODUCT((AY_SONU!$O$7:$O$42="Evet")*(AY_SONU!$B$7:$B$42=DATE(YEAR($E34),MONTH($E34),1))))</f>
        <v>0</v>
      </c>
      <c r="U34" s="1" t="str">
        <f>IF(OR($G34="",$H34="Mahsup"),"",$G34&amp;"|"&amp;COUNTIFS($G$7:$G34,$G34,$H$7:$H34,"&lt;&gt;Mahsup"))</f>
        <v>MERKEZ KASA|11</v>
      </c>
    </row>
    <row r="35" spans="1:21" ht="18" customHeight="1" x14ac:dyDescent="0.3">
      <c r="A35" s="2"/>
      <c r="B35" s="65" t="str">
        <f>IF($D35="","","T"&amp;TEXT(ROW()-6,"00000"))</f>
        <v>T00029</v>
      </c>
      <c r="C35" s="65" t="str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>M034</v>
      </c>
      <c r="D35" s="61" t="s">
        <v>611</v>
      </c>
      <c r="E35" s="66">
        <v>46039</v>
      </c>
      <c r="F35" s="67">
        <v>1500</v>
      </c>
      <c r="G35" s="60" t="s">
        <v>717</v>
      </c>
      <c r="H35" s="60" t="s">
        <v>572</v>
      </c>
      <c r="I35" s="61"/>
      <c r="J35" s="61" t="s">
        <v>720</v>
      </c>
      <c r="K35" s="61"/>
      <c r="L35" s="73">
        <f>IF($E35="","",DATE(YEAR($E35),MONTH($E35),1))</f>
        <v>46023</v>
      </c>
      <c r="M35" s="65" t="str">
        <f ca="1">IF($D35="","",IF($C35="TANIMSIZ MÜŞTERİ","HATA",IF(OR($E35="",$F35&lt;=0,$G35=""),"EKSİK",IF($E35&gt;TODAY(),"İLERİ TARİH",IF(COUNTIF($S$7:$S$2503,$S35)&gt;1,"MÜKERRER?",IF($T35&gt;0,"KAPALI DÖNEM","UYGUN"))))))</f>
        <v>UYGUN</v>
      </c>
      <c r="N35" s="74" t="str">
        <f>IF($C35="","",IF($C35="TANIMSIZ MÜŞTERİ","—",INDEX(MUSTERILER!$C$7:$C$156,MATCH($C35,MUSTERILER!$B$7:$B$156,0))))</f>
        <v>İBRAHİM MALDAN</v>
      </c>
      <c r="O35" s="2"/>
      <c r="P35" s="2"/>
      <c r="Q35" s="1" t="str">
        <f>IF($D35="","",$C35&amp;"|"&amp;COUNTIFS($C$7:$C35,$C35))</f>
        <v>M034|2</v>
      </c>
      <c r="R35" s="1" t="str">
        <f t="shared" si="0"/>
        <v>IBRAHIMMALDAN</v>
      </c>
      <c r="S35" s="1" t="str">
        <f t="shared" si="1"/>
        <v>M034|46039|1500|</v>
      </c>
      <c r="T35" s="1">
        <f>IF($E35="",0,SUMPRODUCT((AY_SONU!$O$7:$O$42="Evet")*(AY_SONU!$B$7:$B$42=DATE(YEAR($E35),MONTH($E35),1))))</f>
        <v>0</v>
      </c>
      <c r="U35" s="1" t="str">
        <f>IF(OR($G35="",$H35="Mahsup"),"",$G35&amp;"|"&amp;COUNTIFS($G$7:$G35,$G35,$H$7:$H35,"&lt;&gt;Mahsup"))</f>
        <v>MERKEZ KASA|12</v>
      </c>
    </row>
    <row r="36" spans="1:21" ht="18" customHeight="1" x14ac:dyDescent="0.3">
      <c r="A36" s="2"/>
      <c r="B36" s="65" t="str">
        <f>IF($D36="","","T"&amp;TEXT(ROW()-6,"00000"))</f>
        <v>T00030</v>
      </c>
      <c r="C36" s="65" t="str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>M008</v>
      </c>
      <c r="D36" s="61" t="s">
        <v>621</v>
      </c>
      <c r="E36" s="66">
        <v>46039</v>
      </c>
      <c r="F36" s="67">
        <v>3500</v>
      </c>
      <c r="G36" s="60" t="s">
        <v>717</v>
      </c>
      <c r="H36" s="60" t="s">
        <v>572</v>
      </c>
      <c r="I36" s="61"/>
      <c r="J36" s="61" t="s">
        <v>720</v>
      </c>
      <c r="K36" s="61"/>
      <c r="L36" s="73">
        <f>IF($E36="","",DATE(YEAR($E36),MONTH($E36),1))</f>
        <v>46023</v>
      </c>
      <c r="M36" s="65" t="str">
        <f ca="1">IF($D36="","",IF($C36="TANIMSIZ MÜŞTERİ","HATA",IF(OR($E36="",$F36&lt;=0,$G36=""),"EKSİK",IF($E36&gt;TODAY(),"İLERİ TARİH",IF(COUNTIF($S$7:$S$2503,$S36)&gt;1,"MÜKERRER?",IF($T36&gt;0,"KAPALI DÖNEM","UYGUN"))))))</f>
        <v>UYGUN</v>
      </c>
      <c r="N36" s="74" t="str">
        <f>IF($C36="","",IF($C36="TANIMSIZ MÜŞTERİ","—",INDEX(MUSTERILER!$C$7:$C$156,MATCH($C36,MUSTERILER!$B$7:$B$156,0))))</f>
        <v>KÖŞK YÜKSELEN LTD.ŞTİ.</v>
      </c>
      <c r="O36" s="2"/>
      <c r="P36" s="2"/>
      <c r="Q36" s="1" t="str">
        <f>IF($D36="","",$C36&amp;"|"&amp;COUNTIFS($C$7:$C36,$C36))</f>
        <v>M008|1</v>
      </c>
      <c r="R36" s="1" t="str">
        <f t="shared" si="0"/>
        <v>KOSKYUKSELENLTDSTI</v>
      </c>
      <c r="S36" s="1" t="str">
        <f t="shared" si="1"/>
        <v>M008|46039|3500|</v>
      </c>
      <c r="T36" s="1">
        <f>IF($E36="",0,SUMPRODUCT((AY_SONU!$O$7:$O$42="Evet")*(AY_SONU!$B$7:$B$42=DATE(YEAR($E36),MONTH($E36),1))))</f>
        <v>0</v>
      </c>
      <c r="U36" s="1" t="str">
        <f>IF(OR($G36="",$H36="Mahsup"),"",$G36&amp;"|"&amp;COUNTIFS($G$7:$G36,$G36,$H$7:$H36,"&lt;&gt;Mahsup"))</f>
        <v>MERKEZ KASA|13</v>
      </c>
    </row>
    <row r="37" spans="1:21" ht="18" customHeight="1" x14ac:dyDescent="0.3">
      <c r="A37" s="2"/>
      <c r="B37" s="65" t="str">
        <f>IF($D37="","","T"&amp;TEXT(ROW()-6,"00000"))</f>
        <v>T00031</v>
      </c>
      <c r="C37" s="65" t="str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>M007</v>
      </c>
      <c r="D37" s="61" t="s">
        <v>635</v>
      </c>
      <c r="E37" s="66">
        <v>46039</v>
      </c>
      <c r="F37" s="67">
        <v>2000</v>
      </c>
      <c r="G37" s="60" t="s">
        <v>717</v>
      </c>
      <c r="H37" s="60" t="s">
        <v>572</v>
      </c>
      <c r="I37" s="61"/>
      <c r="J37" s="61" t="s">
        <v>720</v>
      </c>
      <c r="K37" s="61"/>
      <c r="L37" s="73">
        <f>IF($E37="","",DATE(YEAR($E37),MONTH($E37),1))</f>
        <v>46023</v>
      </c>
      <c r="M37" s="65" t="str">
        <f ca="1">IF($D37="","",IF($C37="TANIMSIZ MÜŞTERİ","HATA",IF(OR($E37="",$F37&lt;=0,$G37=""),"EKSİK",IF($E37&gt;TODAY(),"İLERİ TARİH",IF(COUNTIF($S$7:$S$2503,$S37)&gt;1,"MÜKERRER?",IF($T37&gt;0,"KAPALI DÖNEM","UYGUN"))))))</f>
        <v>UYGUN</v>
      </c>
      <c r="N37" s="74" t="str">
        <f>IF($C37="","",IF($C37="TANIMSIZ MÜŞTERİ","—",INDEX(MUSTERILER!$C$7:$C$156,MATCH($C37,MUSTERILER!$B$7:$B$156,0))))</f>
        <v>MONAMOUR LTD.ŞTİ.</v>
      </c>
      <c r="O37" s="2"/>
      <c r="P37" s="2"/>
      <c r="Q37" s="1" t="str">
        <f>IF($D37="","",$C37&amp;"|"&amp;COUNTIFS($C$7:$C37,$C37))</f>
        <v>M007|2</v>
      </c>
      <c r="R37" s="1" t="str">
        <f t="shared" si="0"/>
        <v>MONAMOURLTDSTI</v>
      </c>
      <c r="S37" s="1" t="str">
        <f t="shared" si="1"/>
        <v>M007|46039|2000|</v>
      </c>
      <c r="T37" s="1">
        <f>IF($E37="",0,SUMPRODUCT((AY_SONU!$O$7:$O$42="Evet")*(AY_SONU!$B$7:$B$42=DATE(YEAR($E37),MONTH($E37),1))))</f>
        <v>0</v>
      </c>
      <c r="U37" s="1" t="str">
        <f>IF(OR($G37="",$H37="Mahsup"),"",$G37&amp;"|"&amp;COUNTIFS($G$7:$G37,$G37,$H$7:$H37,"&lt;&gt;Mahsup"))</f>
        <v>MERKEZ KASA|14</v>
      </c>
    </row>
    <row r="38" spans="1:21" ht="18" customHeight="1" x14ac:dyDescent="0.3">
      <c r="A38" s="2"/>
      <c r="B38" s="65" t="str">
        <f>IF($D38="","","T"&amp;TEXT(ROW()-6,"00000"))</f>
        <v>T00032</v>
      </c>
      <c r="C38" s="65" t="str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>M007</v>
      </c>
      <c r="D38" s="61" t="s">
        <v>635</v>
      </c>
      <c r="E38" s="66">
        <v>46039</v>
      </c>
      <c r="F38" s="67">
        <v>3500</v>
      </c>
      <c r="G38" s="60" t="s">
        <v>717</v>
      </c>
      <c r="H38" s="60" t="s">
        <v>572</v>
      </c>
      <c r="I38" s="61"/>
      <c r="J38" s="61" t="s">
        <v>720</v>
      </c>
      <c r="K38" s="61"/>
      <c r="L38" s="73">
        <f>IF($E38="","",DATE(YEAR($E38),MONTH($E38),1))</f>
        <v>46023</v>
      </c>
      <c r="M38" s="65" t="str">
        <f ca="1">IF($D38="","",IF($C38="TANIMSIZ MÜŞTERİ","HATA",IF(OR($E38="",$F38&lt;=0,$G38=""),"EKSİK",IF($E38&gt;TODAY(),"İLERİ TARİH",IF(COUNTIF($S$7:$S$2503,$S38)&gt;1,"MÜKERRER?",IF($T38&gt;0,"KAPALI DÖNEM","UYGUN"))))))</f>
        <v>UYGUN</v>
      </c>
      <c r="N38" s="74" t="str">
        <f>IF($C38="","",IF($C38="TANIMSIZ MÜŞTERİ","—",INDEX(MUSTERILER!$C$7:$C$156,MATCH($C38,MUSTERILER!$B$7:$B$156,0))))</f>
        <v>MONAMOUR LTD.ŞTİ.</v>
      </c>
      <c r="O38" s="2"/>
      <c r="P38" s="2"/>
      <c r="Q38" s="1" t="str">
        <f>IF($D38="","",$C38&amp;"|"&amp;COUNTIFS($C$7:$C38,$C38))</f>
        <v>M007|3</v>
      </c>
      <c r="R38" s="1" t="str">
        <f t="shared" si="0"/>
        <v>MONAMOURLTDSTI</v>
      </c>
      <c r="S38" s="1" t="str">
        <f t="shared" si="1"/>
        <v>M007|46039|3500|</v>
      </c>
      <c r="T38" s="1">
        <f>IF($E38="",0,SUMPRODUCT((AY_SONU!$O$7:$O$42="Evet")*(AY_SONU!$B$7:$B$42=DATE(YEAR($E38),MONTH($E38),1))))</f>
        <v>0</v>
      </c>
      <c r="U38" s="1" t="str">
        <f>IF(OR($G38="",$H38="Mahsup"),"",$G38&amp;"|"&amp;COUNTIFS($G$7:$G38,$G38,$H$7:$H38,"&lt;&gt;Mahsup"))</f>
        <v>MERKEZ KASA|15</v>
      </c>
    </row>
    <row r="39" spans="1:21" ht="18" customHeight="1" x14ac:dyDescent="0.3">
      <c r="A39" s="2"/>
      <c r="B39" s="65" t="str">
        <f>IF($D39="","","T"&amp;TEXT(ROW()-6,"00000"))</f>
        <v>T00033</v>
      </c>
      <c r="C39" s="65" t="str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>M013</v>
      </c>
      <c r="D39" s="61" t="s">
        <v>644</v>
      </c>
      <c r="E39" s="66">
        <v>46039</v>
      </c>
      <c r="F39" s="67">
        <v>2000</v>
      </c>
      <c r="G39" s="60" t="s">
        <v>717</v>
      </c>
      <c r="H39" s="60" t="s">
        <v>572</v>
      </c>
      <c r="I39" s="61"/>
      <c r="J39" s="61" t="s">
        <v>720</v>
      </c>
      <c r="K39" s="61"/>
      <c r="L39" s="73">
        <f>IF($E39="","",DATE(YEAR($E39),MONTH($E39),1))</f>
        <v>46023</v>
      </c>
      <c r="M39" s="65" t="str">
        <f ca="1">IF($D39="","",IF($C39="TANIMSIZ MÜŞTERİ","HATA",IF(OR($E39="",$F39&lt;=0,$G39=""),"EKSİK",IF($E39&gt;TODAY(),"İLERİ TARİH",IF(COUNTIF($S$7:$S$2503,$S39)&gt;1,"MÜKERRER?",IF($T39&gt;0,"KAPALI DÖNEM","UYGUN"))))))</f>
        <v>UYGUN</v>
      </c>
      <c r="N39" s="74" t="str">
        <f>IF($C39="","",IF($C39="TANIMSIZ MÜŞTERİ","—",INDEX(MUSTERILER!$C$7:$C$156,MATCH($C39,MUSTERILER!$B$7:$B$156,0))))</f>
        <v>NAZ 1 GIDA LTD.ŞTİ.</v>
      </c>
      <c r="O39" s="2"/>
      <c r="P39" s="2"/>
      <c r="Q39" s="1" t="str">
        <f>IF($D39="","",$C39&amp;"|"&amp;COUNTIFS($C$7:$C39,$C39))</f>
        <v>M013|2</v>
      </c>
      <c r="R39" s="1" t="str">
        <f t="shared" si="0"/>
        <v>NAZ1GIDALTDSTI</v>
      </c>
      <c r="S39" s="1" t="str">
        <f t="shared" si="1"/>
        <v>M013|46039|2000|</v>
      </c>
      <c r="T39" s="1">
        <f>IF($E39="",0,SUMPRODUCT((AY_SONU!$O$7:$O$42="Evet")*(AY_SONU!$B$7:$B$42=DATE(YEAR($E39),MONTH($E39),1))))</f>
        <v>0</v>
      </c>
      <c r="U39" s="1" t="str">
        <f>IF(OR($G39="",$H39="Mahsup"),"",$G39&amp;"|"&amp;COUNTIFS($G$7:$G39,$G39,$H$7:$H39,"&lt;&gt;Mahsup"))</f>
        <v>MERKEZ KASA|16</v>
      </c>
    </row>
    <row r="40" spans="1:21" ht="18" customHeight="1" x14ac:dyDescent="0.3">
      <c r="A40" s="2"/>
      <c r="B40" s="65" t="str">
        <f>IF($D40="","","T"&amp;TEXT(ROW()-6,"00000"))</f>
        <v>T00034</v>
      </c>
      <c r="C40" s="65" t="str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>M016</v>
      </c>
      <c r="D40" s="61" t="s">
        <v>658</v>
      </c>
      <c r="E40" s="66">
        <v>46039</v>
      </c>
      <c r="F40" s="67">
        <v>2000</v>
      </c>
      <c r="G40" s="60" t="s">
        <v>717</v>
      </c>
      <c r="H40" s="60" t="s">
        <v>572</v>
      </c>
      <c r="I40" s="61"/>
      <c r="J40" s="61" t="s">
        <v>720</v>
      </c>
      <c r="K40" s="61"/>
      <c r="L40" s="73">
        <f>IF($E40="","",DATE(YEAR($E40),MONTH($E40),1))</f>
        <v>46023</v>
      </c>
      <c r="M40" s="65" t="str">
        <f ca="1">IF($D40="","",IF($C40="TANIMSIZ MÜŞTERİ","HATA",IF(OR($E40="",$F40&lt;=0,$G40=""),"EKSİK",IF($E40&gt;TODAY(),"İLERİ TARİH",IF(COUNTIF($S$7:$S$2503,$S40)&gt;1,"MÜKERRER?",IF($T40&gt;0,"KAPALI DÖNEM","UYGUN"))))))</f>
        <v>UYGUN</v>
      </c>
      <c r="N40" s="74" t="str">
        <f>IF($C40="","",IF($C40="TANIMSIZ MÜŞTERİ","—",INDEX(MUSTERILER!$C$7:$C$156,MATCH($C40,MUSTERILER!$B$7:$B$156,0))))</f>
        <v>RİX ŞOW LTD.ŞTİ.</v>
      </c>
      <c r="O40" s="2"/>
      <c r="P40" s="2"/>
      <c r="Q40" s="1" t="str">
        <f>IF($D40="","",$C40&amp;"|"&amp;COUNTIFS($C$7:$C40,$C40))</f>
        <v>M016|3</v>
      </c>
      <c r="R40" s="1" t="str">
        <f t="shared" si="0"/>
        <v>RIXSOWLTDSTI</v>
      </c>
      <c r="S40" s="1" t="str">
        <f t="shared" si="1"/>
        <v>M016|46039|2000|</v>
      </c>
      <c r="T40" s="1">
        <f>IF($E40="",0,SUMPRODUCT((AY_SONU!$O$7:$O$42="Evet")*(AY_SONU!$B$7:$B$42=DATE(YEAR($E40),MONTH($E40),1))))</f>
        <v>0</v>
      </c>
      <c r="U40" s="1" t="str">
        <f>IF(OR($G40="",$H40="Mahsup"),"",$G40&amp;"|"&amp;COUNTIFS($G$7:$G40,$G40,$H$7:$H40,"&lt;&gt;Mahsup"))</f>
        <v>MERKEZ KASA|17</v>
      </c>
    </row>
    <row r="41" spans="1:21" ht="18" customHeight="1" x14ac:dyDescent="0.3">
      <c r="A41" s="2"/>
      <c r="B41" s="65" t="str">
        <f>IF($D41="","","T"&amp;TEXT(ROW()-6,"00000"))</f>
        <v>T00035</v>
      </c>
      <c r="C41" s="65" t="str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>M003</v>
      </c>
      <c r="D41" s="61" t="s">
        <v>666</v>
      </c>
      <c r="E41" s="66">
        <v>46039</v>
      </c>
      <c r="F41" s="67">
        <v>4000</v>
      </c>
      <c r="G41" s="60" t="s">
        <v>717</v>
      </c>
      <c r="H41" s="60" t="s">
        <v>572</v>
      </c>
      <c r="I41" s="61"/>
      <c r="J41" s="61" t="s">
        <v>720</v>
      </c>
      <c r="K41" s="61"/>
      <c r="L41" s="73">
        <f>IF($E41="","",DATE(YEAR($E41),MONTH($E41),1))</f>
        <v>46023</v>
      </c>
      <c r="M41" s="65" t="str">
        <f ca="1">IF($D41="","",IF($C41="TANIMSIZ MÜŞTERİ","HATA",IF(OR($E41="",$F41&lt;=0,$G41=""),"EKSİK",IF($E41&gt;TODAY(),"İLERİ TARİH",IF(COUNTIF($S$7:$S$2503,$S41)&gt;1,"MÜKERRER?",IF($T41&gt;0,"KAPALI DÖNEM","UYGUN"))))))</f>
        <v>UYGUN</v>
      </c>
      <c r="N41" s="74" t="str">
        <f>IF($C41="","",IF($C41="TANIMSIZ MÜŞTERİ","—",INDEX(MUSTERILER!$C$7:$C$156,MATCH($C41,MUSTERILER!$B$7:$B$156,0))))</f>
        <v>TYANA LTD.ŞTİ.</v>
      </c>
      <c r="O41" s="2"/>
      <c r="P41" s="2"/>
      <c r="Q41" s="1" t="str">
        <f>IF($D41="","",$C41&amp;"|"&amp;COUNTIFS($C$7:$C41,$C41))</f>
        <v>M003|1</v>
      </c>
      <c r="R41" s="1" t="str">
        <f t="shared" si="0"/>
        <v>TYANALTDSTI</v>
      </c>
      <c r="S41" s="1" t="str">
        <f t="shared" si="1"/>
        <v>M003|46039|4000|</v>
      </c>
      <c r="T41" s="1">
        <f>IF($E41="",0,SUMPRODUCT((AY_SONU!$O$7:$O$42="Evet")*(AY_SONU!$B$7:$B$42=DATE(YEAR($E41),MONTH($E41),1))))</f>
        <v>0</v>
      </c>
      <c r="U41" s="1" t="str">
        <f>IF(OR($G41="",$H41="Mahsup"),"",$G41&amp;"|"&amp;COUNTIFS($G$7:$G41,$G41,$H$7:$H41,"&lt;&gt;Mahsup"))</f>
        <v>MERKEZ KASA|18</v>
      </c>
    </row>
    <row r="42" spans="1:21" ht="18" customHeight="1" x14ac:dyDescent="0.3">
      <c r="A42" s="2"/>
      <c r="B42" s="65" t="str">
        <f>IF($D42="","","T"&amp;TEXT(ROW()-6,"00000"))</f>
        <v>T00036</v>
      </c>
      <c r="C42" s="65" t="str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>M004</v>
      </c>
      <c r="D42" s="61" t="s">
        <v>678</v>
      </c>
      <c r="E42" s="66">
        <v>46039</v>
      </c>
      <c r="F42" s="67">
        <v>3000</v>
      </c>
      <c r="G42" s="60" t="s">
        <v>717</v>
      </c>
      <c r="H42" s="60" t="s">
        <v>572</v>
      </c>
      <c r="I42" s="61"/>
      <c r="J42" s="61" t="s">
        <v>720</v>
      </c>
      <c r="K42" s="61"/>
      <c r="L42" s="73">
        <f>IF($E42="","",DATE(YEAR($E42),MONTH($E42),1))</f>
        <v>46023</v>
      </c>
      <c r="M42" s="65" t="str">
        <f ca="1">IF($D42="","",IF($C42="TANIMSIZ MÜŞTERİ","HATA",IF(OR($E42="",$F42&lt;=0,$G42=""),"EKSİK",IF($E42&gt;TODAY(),"İLERİ TARİH",IF(COUNTIF($S$7:$S$2503,$S42)&gt;1,"MÜKERRER?",IF($T42&gt;0,"KAPALI DÖNEM","UYGUN"))))))</f>
        <v>UYGUN</v>
      </c>
      <c r="N42" s="74" t="str">
        <f>IF($C42="","",IF($C42="TANIMSIZ MÜŞTERİ","—",INDEX(MUSTERILER!$C$7:$C$156,MATCH($C42,MUSTERILER!$B$7:$B$156,0))))</f>
        <v>ZÜMRÜT EĞLENCE LTD.ŞTİ.</v>
      </c>
      <c r="O42" s="2"/>
      <c r="P42" s="2"/>
      <c r="Q42" s="1" t="str">
        <f>IF($D42="","",$C42&amp;"|"&amp;COUNTIFS($C$7:$C42,$C42))</f>
        <v>M004|2</v>
      </c>
      <c r="R42" s="1" t="str">
        <f t="shared" si="0"/>
        <v>ZUMRUTEGLENCELTDSTI</v>
      </c>
      <c r="S42" s="1" t="str">
        <f t="shared" si="1"/>
        <v>M004|46039|3000|</v>
      </c>
      <c r="T42" s="1">
        <f>IF($E42="",0,SUMPRODUCT((AY_SONU!$O$7:$O$42="Evet")*(AY_SONU!$B$7:$B$42=DATE(YEAR($E42),MONTH($E42),1))))</f>
        <v>0</v>
      </c>
      <c r="U42" s="1" t="str">
        <f>IF(OR($G42="",$H42="Mahsup"),"",$G42&amp;"|"&amp;COUNTIFS($G$7:$G42,$G42,$H$7:$H42,"&lt;&gt;Mahsup"))</f>
        <v>MERKEZ KASA|19</v>
      </c>
    </row>
    <row r="43" spans="1:21" ht="18" customHeight="1" x14ac:dyDescent="0.3">
      <c r="A43" s="2"/>
      <c r="B43" s="65" t="str">
        <f>IF($D43="","","T"&amp;TEXT(ROW()-6,"00000"))</f>
        <v>T00037</v>
      </c>
      <c r="C43" s="65" t="str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>M020</v>
      </c>
      <c r="D43" s="61" t="s">
        <v>623</v>
      </c>
      <c r="E43" s="66">
        <v>46039</v>
      </c>
      <c r="F43" s="67">
        <v>6000</v>
      </c>
      <c r="G43" s="60" t="s">
        <v>717</v>
      </c>
      <c r="H43" s="60" t="s">
        <v>572</v>
      </c>
      <c r="I43" s="61"/>
      <c r="J43" s="61" t="s">
        <v>720</v>
      </c>
      <c r="K43" s="61"/>
      <c r="L43" s="73">
        <f>IF($E43="","",DATE(YEAR($E43),MONTH($E43),1))</f>
        <v>46023</v>
      </c>
      <c r="M43" s="65" t="str">
        <f ca="1">IF($D43="","",IF($C43="TANIMSIZ MÜŞTERİ","HATA",IF(OR($E43="",$F43&lt;=0,$G43=""),"EKSİK",IF($E43&gt;TODAY(),"İLERİ TARİH",IF(COUNTIF($S$7:$S$2503,$S43)&gt;1,"MÜKERRER?",IF($T43&gt;0,"KAPALI DÖNEM","UYGUN"))))))</f>
        <v>UYGUN</v>
      </c>
      <c r="N43" s="74" t="str">
        <f>IF($C43="","",IF($C43="TANIMSIZ MÜŞTERİ","—",INDEX(MUSTERILER!$C$7:$C$156,MATCH($C43,MUSTERILER!$B$7:$B$156,0))))</f>
        <v>KRİSTAL LTD.ŞTİ.</v>
      </c>
      <c r="O43" s="2"/>
      <c r="P43" s="2"/>
      <c r="Q43" s="1" t="str">
        <f>IF($D43="","",$C43&amp;"|"&amp;COUNTIFS($C$7:$C43,$C43))</f>
        <v>M020|1</v>
      </c>
      <c r="R43" s="1" t="str">
        <f t="shared" si="0"/>
        <v>KRISTALLTDSTI</v>
      </c>
      <c r="S43" s="1" t="str">
        <f t="shared" si="1"/>
        <v>M020|46039|6000|</v>
      </c>
      <c r="T43" s="1">
        <f>IF($E43="",0,SUMPRODUCT((AY_SONU!$O$7:$O$42="Evet")*(AY_SONU!$B$7:$B$42=DATE(YEAR($E43),MONTH($E43),1))))</f>
        <v>0</v>
      </c>
      <c r="U43" s="1" t="str">
        <f>IF(OR($G43="",$H43="Mahsup"),"",$G43&amp;"|"&amp;COUNTIFS($G$7:$G43,$G43,$H$7:$H43,"&lt;&gt;Mahsup"))</f>
        <v>MERKEZ KASA|20</v>
      </c>
    </row>
    <row r="44" spans="1:21" ht="18" customHeight="1" x14ac:dyDescent="0.3">
      <c r="A44" s="2"/>
      <c r="B44" s="65" t="str">
        <f>IF($D44="","","T"&amp;TEXT(ROW()-6,"00000"))</f>
        <v>T00038</v>
      </c>
      <c r="C44" s="65" t="str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>M020</v>
      </c>
      <c r="D44" s="61" t="s">
        <v>623</v>
      </c>
      <c r="E44" s="66">
        <v>46039</v>
      </c>
      <c r="F44" s="67">
        <v>3000</v>
      </c>
      <c r="G44" s="60" t="s">
        <v>717</v>
      </c>
      <c r="H44" s="60" t="s">
        <v>572</v>
      </c>
      <c r="I44" s="61"/>
      <c r="J44" s="61" t="s">
        <v>720</v>
      </c>
      <c r="K44" s="61"/>
      <c r="L44" s="73">
        <f>IF($E44="","",DATE(YEAR($E44),MONTH($E44),1))</f>
        <v>46023</v>
      </c>
      <c r="M44" s="65" t="str">
        <f ca="1">IF($D44="","",IF($C44="TANIMSIZ MÜŞTERİ","HATA",IF(OR($E44="",$F44&lt;=0,$G44=""),"EKSİK",IF($E44&gt;TODAY(),"İLERİ TARİH",IF(COUNTIF($S$7:$S$2503,$S44)&gt;1,"MÜKERRER?",IF($T44&gt;0,"KAPALI DÖNEM","UYGUN"))))))</f>
        <v>UYGUN</v>
      </c>
      <c r="N44" s="74" t="str">
        <f>IF($C44="","",IF($C44="TANIMSIZ MÜŞTERİ","—",INDEX(MUSTERILER!$C$7:$C$156,MATCH($C44,MUSTERILER!$B$7:$B$156,0))))</f>
        <v>KRİSTAL LTD.ŞTİ.</v>
      </c>
      <c r="O44" s="2"/>
      <c r="P44" s="2"/>
      <c r="Q44" s="1" t="str">
        <f>IF($D44="","",$C44&amp;"|"&amp;COUNTIFS($C$7:$C44,$C44))</f>
        <v>M020|2</v>
      </c>
      <c r="R44" s="1" t="str">
        <f t="shared" si="0"/>
        <v>KRISTALLTDSTI</v>
      </c>
      <c r="S44" s="1" t="str">
        <f t="shared" si="1"/>
        <v>M020|46039|3000|</v>
      </c>
      <c r="T44" s="1">
        <f>IF($E44="",0,SUMPRODUCT((AY_SONU!$O$7:$O$42="Evet")*(AY_SONU!$B$7:$B$42=DATE(YEAR($E44),MONTH($E44),1))))</f>
        <v>0</v>
      </c>
      <c r="U44" s="1" t="str">
        <f>IF(OR($G44="",$H44="Mahsup"),"",$G44&amp;"|"&amp;COUNTIFS($G$7:$G44,$G44,$H$7:$H44,"&lt;&gt;Mahsup"))</f>
        <v>MERKEZ KASA|21</v>
      </c>
    </row>
    <row r="45" spans="1:21" ht="18" customHeight="1" x14ac:dyDescent="0.3">
      <c r="A45" s="2"/>
      <c r="B45" s="65" t="str">
        <f>IF($D45="","","T"&amp;TEXT(ROW()-6,"00000"))</f>
        <v>T00039</v>
      </c>
      <c r="C45" s="65" t="str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>M011</v>
      </c>
      <c r="D45" s="61" t="s">
        <v>597</v>
      </c>
      <c r="E45" s="66">
        <v>46041</v>
      </c>
      <c r="F45" s="67">
        <v>3000</v>
      </c>
      <c r="G45" s="60" t="s">
        <v>717</v>
      </c>
      <c r="H45" s="60" t="s">
        <v>572</v>
      </c>
      <c r="I45" s="61"/>
      <c r="J45" s="61" t="s">
        <v>720</v>
      </c>
      <c r="K45" s="61"/>
      <c r="L45" s="73">
        <f>IF($E45="","",DATE(YEAR($E45),MONTH($E45),1))</f>
        <v>46023</v>
      </c>
      <c r="M45" s="65" t="str">
        <f ca="1">IF($D45="","",IF($C45="TANIMSIZ MÜŞTERİ","HATA",IF(OR($E45="",$F45&lt;=0,$G45=""),"EKSİK",IF($E45&gt;TODAY(),"İLERİ TARİH",IF(COUNTIF($S$7:$S$2503,$S45)&gt;1,"MÜKERRER?",IF($T45&gt;0,"KAPALI DÖNEM","UYGUN"))))))</f>
        <v>UYGUN</v>
      </c>
      <c r="N45" s="74" t="str">
        <f>IF($C45="","",IF($C45="TANIMSIZ MÜŞTERİ","—",INDEX(MUSTERILER!$C$7:$C$156,MATCH($C45,MUSTERILER!$B$7:$B$156,0))))</f>
        <v>EĞLENGÖR LTD.ŞTİ.</v>
      </c>
      <c r="O45" s="2"/>
      <c r="P45" s="2"/>
      <c r="Q45" s="1" t="str">
        <f>IF($D45="","",$C45&amp;"|"&amp;COUNTIFS($C$7:$C45,$C45))</f>
        <v>M011|3</v>
      </c>
      <c r="R45" s="1" t="str">
        <f t="shared" si="0"/>
        <v>EGLENGORLTDSTI</v>
      </c>
      <c r="S45" s="1" t="str">
        <f t="shared" si="1"/>
        <v>M011|46041|3000|</v>
      </c>
      <c r="T45" s="1">
        <f>IF($E45="",0,SUMPRODUCT((AY_SONU!$O$7:$O$42="Evet")*(AY_SONU!$B$7:$B$42=DATE(YEAR($E45),MONTH($E45),1))))</f>
        <v>0</v>
      </c>
      <c r="U45" s="1" t="str">
        <f>IF(OR($G45="",$H45="Mahsup"),"",$G45&amp;"|"&amp;COUNTIFS($G$7:$G45,$G45,$H$7:$H45,"&lt;&gt;Mahsup"))</f>
        <v>MERKEZ KASA|22</v>
      </c>
    </row>
    <row r="46" spans="1:21" ht="18" customHeight="1" x14ac:dyDescent="0.3">
      <c r="A46" s="2"/>
      <c r="B46" s="65" t="str">
        <f>IF($D46="","","T"&amp;TEXT(ROW()-6,"00000"))</f>
        <v>T00040</v>
      </c>
      <c r="C46" s="65" t="str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>M014</v>
      </c>
      <c r="D46" s="61" t="s">
        <v>605</v>
      </c>
      <c r="E46" s="66">
        <v>46041</v>
      </c>
      <c r="F46" s="67">
        <v>2000</v>
      </c>
      <c r="G46" s="60" t="s">
        <v>717</v>
      </c>
      <c r="H46" s="60" t="s">
        <v>572</v>
      </c>
      <c r="I46" s="61"/>
      <c r="J46" s="61" t="s">
        <v>720</v>
      </c>
      <c r="K46" s="61"/>
      <c r="L46" s="73">
        <f>IF($E46="","",DATE(YEAR($E46),MONTH($E46),1))</f>
        <v>46023</v>
      </c>
      <c r="M46" s="65" t="str">
        <f ca="1">IF($D46="","",IF($C46="TANIMSIZ MÜŞTERİ","HATA",IF(OR($E46="",$F46&lt;=0,$G46=""),"EKSİK",IF($E46&gt;TODAY(),"İLERİ TARİH",IF(COUNTIF($S$7:$S$2503,$S46)&gt;1,"MÜKERRER?",IF($T46&gt;0,"KAPALI DÖNEM","UYGUN"))))))</f>
        <v>UYGUN</v>
      </c>
      <c r="N46" s="74" t="str">
        <f>IF($C46="","",IF($C46="TANIMSIZ MÜŞTERİ","—",INDEX(MUSTERILER!$C$7:$C$156,MATCH($C46,MUSTERILER!$B$7:$B$156,0))))</f>
        <v>FİNAL SİYAH BEYAZ LTD.ŞTİ.</v>
      </c>
      <c r="O46" s="2"/>
      <c r="P46" s="2"/>
      <c r="Q46" s="1" t="str">
        <f>IF($D46="","",$C46&amp;"|"&amp;COUNTIFS($C$7:$C46,$C46))</f>
        <v>M014|2</v>
      </c>
      <c r="R46" s="1" t="str">
        <f t="shared" si="0"/>
        <v>FINALSIYAHBEYAZLTDSTI</v>
      </c>
      <c r="S46" s="1" t="str">
        <f t="shared" si="1"/>
        <v>M014|46041|2000|</v>
      </c>
      <c r="T46" s="1">
        <f>IF($E46="",0,SUMPRODUCT((AY_SONU!$O$7:$O$42="Evet")*(AY_SONU!$B$7:$B$42=DATE(YEAR($E46),MONTH($E46),1))))</f>
        <v>0</v>
      </c>
      <c r="U46" s="1" t="str">
        <f>IF(OR($G46="",$H46="Mahsup"),"",$G46&amp;"|"&amp;COUNTIFS($G$7:$G46,$G46,$H$7:$H46,"&lt;&gt;Mahsup"))</f>
        <v>MERKEZ KASA|23</v>
      </c>
    </row>
    <row r="47" spans="1:21" ht="18" customHeight="1" x14ac:dyDescent="0.3">
      <c r="A47" s="2"/>
      <c r="B47" s="65" t="str">
        <f>IF($D47="","","T"&amp;TEXT(ROW()-6,"00000"))</f>
        <v>T00041</v>
      </c>
      <c r="C47" s="65" t="str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>M009</v>
      </c>
      <c r="D47" s="61" t="s">
        <v>652</v>
      </c>
      <c r="E47" s="66">
        <v>46041</v>
      </c>
      <c r="F47" s="67">
        <v>4000</v>
      </c>
      <c r="G47" s="60" t="s">
        <v>717</v>
      </c>
      <c r="H47" s="60" t="s">
        <v>572</v>
      </c>
      <c r="I47" s="61"/>
      <c r="J47" s="61" t="s">
        <v>720</v>
      </c>
      <c r="K47" s="61"/>
      <c r="L47" s="73">
        <f>IF($E47="","",DATE(YEAR($E47),MONTH($E47),1))</f>
        <v>46023</v>
      </c>
      <c r="M47" s="65" t="str">
        <f ca="1">IF($D47="","",IF($C47="TANIMSIZ MÜŞTERİ","HATA",IF(OR($E47="",$F47&lt;=0,$G47=""),"EKSİK",IF($E47&gt;TODAY(),"İLERİ TARİH",IF(COUNTIF($S$7:$S$2503,$S47)&gt;1,"MÜKERRER?",IF($T47&gt;0,"KAPALI DÖNEM","UYGUN"))))))</f>
        <v>UYGUN</v>
      </c>
      <c r="N47" s="74" t="str">
        <f>IF($C47="","",IF($C47="TANIMSIZ MÜŞTERİ","—",INDEX(MUSTERILER!$C$7:$C$156,MATCH($C47,MUSTERILER!$B$7:$B$156,0))))</f>
        <v>PAKYILDIZ LTD.ŞTİ.</v>
      </c>
      <c r="O47" s="2"/>
      <c r="P47" s="2"/>
      <c r="Q47" s="1" t="str">
        <f>IF($D47="","",$C47&amp;"|"&amp;COUNTIFS($C$7:$C47,$C47))</f>
        <v>M009|2</v>
      </c>
      <c r="R47" s="1" t="str">
        <f t="shared" si="0"/>
        <v>PAKYILDIZLTDSTI</v>
      </c>
      <c r="S47" s="1" t="str">
        <f t="shared" si="1"/>
        <v>M009|46041|4000|</v>
      </c>
      <c r="T47" s="1">
        <f>IF($E47="",0,SUMPRODUCT((AY_SONU!$O$7:$O$42="Evet")*(AY_SONU!$B$7:$B$42=DATE(YEAR($E47),MONTH($E47),1))))</f>
        <v>0</v>
      </c>
      <c r="U47" s="1" t="str">
        <f>IF(OR($G47="",$H47="Mahsup"),"",$G47&amp;"|"&amp;COUNTIFS($G$7:$G47,$G47,$H$7:$H47,"&lt;&gt;Mahsup"))</f>
        <v>MERKEZ KASA|24</v>
      </c>
    </row>
    <row r="48" spans="1:21" ht="18" customHeight="1" x14ac:dyDescent="0.3">
      <c r="A48" s="2"/>
      <c r="B48" s="65" t="str">
        <f>IF($D48="","","T"&amp;TEXT(ROW()-6,"00000"))</f>
        <v>T00042</v>
      </c>
      <c r="C48" s="65" t="str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>M005</v>
      </c>
      <c r="D48" s="61" t="s">
        <v>680</v>
      </c>
      <c r="E48" s="66">
        <v>46041</v>
      </c>
      <c r="F48" s="67">
        <v>1750</v>
      </c>
      <c r="G48" s="60" t="s">
        <v>717</v>
      </c>
      <c r="H48" s="60" t="s">
        <v>572</v>
      </c>
      <c r="I48" s="61"/>
      <c r="J48" s="61" t="s">
        <v>720</v>
      </c>
      <c r="K48" s="61"/>
      <c r="L48" s="73">
        <f>IF($E48="","",DATE(YEAR($E48),MONTH($E48),1))</f>
        <v>46023</v>
      </c>
      <c r="M48" s="65" t="str">
        <f ca="1">IF($D48="","",IF($C48="TANIMSIZ MÜŞTERİ","HATA",IF(OR($E48="",$F48&lt;=0,$G48=""),"EKSİK",IF($E48&gt;TODAY(),"İLERİ TARİH",IF(COUNTIF($S$7:$S$2503,$S48)&gt;1,"MÜKERRER?",IF($T48&gt;0,"KAPALI DÖNEM","UYGUN"))))))</f>
        <v>UYGUN</v>
      </c>
      <c r="N48" s="74" t="str">
        <f>IF($C48="","",IF($C48="TANIMSIZ MÜŞTERİ","—",INDEX(MUSTERILER!$C$7:$C$156,MATCH($C48,MUSTERILER!$B$7:$B$156,0))))</f>
        <v>ZÜMRÜT GRUP LTD.ŞTİ.</v>
      </c>
      <c r="O48" s="2"/>
      <c r="P48" s="2"/>
      <c r="Q48" s="1" t="str">
        <f>IF($D48="","",$C48&amp;"|"&amp;COUNTIFS($C$7:$C48,$C48))</f>
        <v>M005|4</v>
      </c>
      <c r="R48" s="1" t="str">
        <f t="shared" si="0"/>
        <v>ZUMRUTGRUPLTDSTI</v>
      </c>
      <c r="S48" s="1" t="str">
        <f t="shared" si="1"/>
        <v>M005|46041|1750|</v>
      </c>
      <c r="T48" s="1">
        <f>IF($E48="",0,SUMPRODUCT((AY_SONU!$O$7:$O$42="Evet")*(AY_SONU!$B$7:$B$42=DATE(YEAR($E48),MONTH($E48),1))))</f>
        <v>0</v>
      </c>
      <c r="U48" s="1" t="str">
        <f>IF(OR($G48="",$H48="Mahsup"),"",$G48&amp;"|"&amp;COUNTIFS($G$7:$G48,$G48,$H$7:$H48,"&lt;&gt;Mahsup"))</f>
        <v>MERKEZ KASA|25</v>
      </c>
    </row>
    <row r="49" spans="1:21" ht="18" customHeight="1" x14ac:dyDescent="0.3">
      <c r="A49" s="2"/>
      <c r="B49" s="65" t="str">
        <f>IF($D49="","","T"&amp;TEXT(ROW()-6,"00000"))</f>
        <v>T00043</v>
      </c>
      <c r="C49" s="65" t="str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>M018</v>
      </c>
      <c r="D49" s="61" t="s">
        <v>593</v>
      </c>
      <c r="E49" s="66">
        <v>46043</v>
      </c>
      <c r="F49" s="67">
        <v>7500</v>
      </c>
      <c r="G49" s="60" t="s">
        <v>717</v>
      </c>
      <c r="H49" s="60" t="s">
        <v>572</v>
      </c>
      <c r="I49" s="61"/>
      <c r="J49" s="61" t="s">
        <v>720</v>
      </c>
      <c r="K49" s="61"/>
      <c r="L49" s="73">
        <f>IF($E49="","",DATE(YEAR($E49),MONTH($E49),1))</f>
        <v>46023</v>
      </c>
      <c r="M49" s="65" t="str">
        <f ca="1">IF($D49="","",IF($C49="TANIMSIZ MÜŞTERİ","HATA",IF(OR($E49="",$F49&lt;=0,$G49=""),"EKSİK",IF($E49&gt;TODAY(),"İLERİ TARİH",IF(COUNTIF($S$7:$S$2503,$S49)&gt;1,"MÜKERRER?",IF($T49&gt;0,"KAPALI DÖNEM","UYGUN"))))))</f>
        <v>UYGUN</v>
      </c>
      <c r="N49" s="74" t="str">
        <f>IF($C49="","",IF($C49="TANIMSIZ MÜŞTERİ","—",INDEX(MUSTERILER!$C$7:$C$156,MATCH($C49,MUSTERILER!$B$7:$B$156,0))))</f>
        <v>ÇINARHAN LTD.ŞTİ.</v>
      </c>
      <c r="O49" s="2"/>
      <c r="P49" s="2"/>
      <c r="Q49" s="1" t="str">
        <f>IF($D49="","",$C49&amp;"|"&amp;COUNTIFS($C$7:$C49,$C49))</f>
        <v>M018|2</v>
      </c>
      <c r="R49" s="1" t="str">
        <f t="shared" si="0"/>
        <v>CINARHANLTDSTI</v>
      </c>
      <c r="S49" s="1" t="str">
        <f t="shared" si="1"/>
        <v>M018|46043|7500|</v>
      </c>
      <c r="T49" s="1">
        <f>IF($E49="",0,SUMPRODUCT((AY_SONU!$O$7:$O$42="Evet")*(AY_SONU!$B$7:$B$42=DATE(YEAR($E49),MONTH($E49),1))))</f>
        <v>0</v>
      </c>
      <c r="U49" s="1" t="str">
        <f>IF(OR($G49="",$H49="Mahsup"),"",$G49&amp;"|"&amp;COUNTIFS($G$7:$G49,$G49,$H$7:$H49,"&lt;&gt;Mahsup"))</f>
        <v>MERKEZ KASA|26</v>
      </c>
    </row>
    <row r="50" spans="1:21" ht="18" customHeight="1" x14ac:dyDescent="0.3">
      <c r="A50" s="2"/>
      <c r="B50" s="65" t="str">
        <f>IF($D50="","","T"&amp;TEXT(ROW()-6,"00000"))</f>
        <v>T00044</v>
      </c>
      <c r="C50" s="65" t="str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>M003</v>
      </c>
      <c r="D50" s="61" t="s">
        <v>666</v>
      </c>
      <c r="E50" s="66">
        <v>46045</v>
      </c>
      <c r="F50" s="67">
        <v>8000</v>
      </c>
      <c r="G50" s="60" t="s">
        <v>717</v>
      </c>
      <c r="H50" s="60" t="s">
        <v>572</v>
      </c>
      <c r="I50" s="61"/>
      <c r="J50" s="61" t="s">
        <v>720</v>
      </c>
      <c r="K50" s="61"/>
      <c r="L50" s="73">
        <f>IF($E50="","",DATE(YEAR($E50),MONTH($E50),1))</f>
        <v>46023</v>
      </c>
      <c r="M50" s="65" t="str">
        <f ca="1">IF($D50="","",IF($C50="TANIMSIZ MÜŞTERİ","HATA",IF(OR($E50="",$F50&lt;=0,$G50=""),"EKSİK",IF($E50&gt;TODAY(),"İLERİ TARİH",IF(COUNTIF($S$7:$S$2503,$S50)&gt;1,"MÜKERRER?",IF($T50&gt;0,"KAPALI DÖNEM","UYGUN"))))))</f>
        <v>UYGUN</v>
      </c>
      <c r="N50" s="74" t="str">
        <f>IF($C50="","",IF($C50="TANIMSIZ MÜŞTERİ","—",INDEX(MUSTERILER!$C$7:$C$156,MATCH($C50,MUSTERILER!$B$7:$B$156,0))))</f>
        <v>TYANA LTD.ŞTİ.</v>
      </c>
      <c r="O50" s="2"/>
      <c r="P50" s="2"/>
      <c r="Q50" s="1" t="str">
        <f>IF($D50="","",$C50&amp;"|"&amp;COUNTIFS($C$7:$C50,$C50))</f>
        <v>M003|2</v>
      </c>
      <c r="R50" s="1" t="str">
        <f t="shared" si="0"/>
        <v>TYANALTDSTI</v>
      </c>
      <c r="S50" s="1" t="str">
        <f t="shared" si="1"/>
        <v>M003|46045|8000|</v>
      </c>
      <c r="T50" s="1">
        <f>IF($E50="",0,SUMPRODUCT((AY_SONU!$O$7:$O$42="Evet")*(AY_SONU!$B$7:$B$42=DATE(YEAR($E50),MONTH($E50),1))))</f>
        <v>0</v>
      </c>
      <c r="U50" s="1" t="str">
        <f>IF(OR($G50="",$H50="Mahsup"),"",$G50&amp;"|"&amp;COUNTIFS($G$7:$G50,$G50,$H$7:$H50,"&lt;&gt;Mahsup"))</f>
        <v>MERKEZ KASA|27</v>
      </c>
    </row>
    <row r="51" spans="1:21" ht="18" customHeight="1" x14ac:dyDescent="0.3">
      <c r="A51" s="2"/>
      <c r="B51" s="65" t="str">
        <f>IF($D51="","","T"&amp;TEXT(ROW()-6,"00000"))</f>
        <v>T00045</v>
      </c>
      <c r="C51" s="65" t="str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>M001</v>
      </c>
      <c r="D51" s="61" t="s">
        <v>17</v>
      </c>
      <c r="E51" s="66">
        <v>46046</v>
      </c>
      <c r="F51" s="67">
        <v>8000</v>
      </c>
      <c r="G51" s="60" t="s">
        <v>717</v>
      </c>
      <c r="H51" s="60" t="s">
        <v>572</v>
      </c>
      <c r="I51" s="61"/>
      <c r="J51" s="61" t="s">
        <v>720</v>
      </c>
      <c r="K51" s="61"/>
      <c r="L51" s="73">
        <f>IF($E51="","",DATE(YEAR($E51),MONTH($E51),1))</f>
        <v>46023</v>
      </c>
      <c r="M51" s="65" t="str">
        <f ca="1">IF($D51="","",IF($C51="TANIMSIZ MÜŞTERİ","HATA",IF(OR($E51="",$F51&lt;=0,$G51=""),"EKSİK",IF($E51&gt;TODAY(),"İLERİ TARİH",IF(COUNTIF($S$7:$S$2503,$S51)&gt;1,"MÜKERRER?",IF($T51&gt;0,"KAPALI DÖNEM","UYGUN"))))))</f>
        <v>UYGUN</v>
      </c>
      <c r="N51" s="74" t="str">
        <f>IF($C51="","",IF($C51="TANIMSIZ MÜŞTERİ","—",INDEX(MUSTERILER!$C$7:$C$156,MATCH($C51,MUSTERILER!$B$7:$B$156,0))))</f>
        <v>ANKARA HAVANA LTD.ŞTİ.</v>
      </c>
      <c r="O51" s="2"/>
      <c r="P51" s="2"/>
      <c r="Q51" s="1" t="str">
        <f>IF($D51="","",$C51&amp;"|"&amp;COUNTIFS($C$7:$C51,$C51))</f>
        <v>M001|2</v>
      </c>
      <c r="R51" s="1" t="str">
        <f t="shared" si="0"/>
        <v>ANKARAHAVANALTDSTI</v>
      </c>
      <c r="S51" s="1" t="str">
        <f t="shared" si="1"/>
        <v>M001|46046|8000|</v>
      </c>
      <c r="T51" s="1">
        <f>IF($E51="",0,SUMPRODUCT((AY_SONU!$O$7:$O$42="Evet")*(AY_SONU!$B$7:$B$42=DATE(YEAR($E51),MONTH($E51),1))))</f>
        <v>0</v>
      </c>
      <c r="U51" s="1" t="str">
        <f>IF(OR($G51="",$H51="Mahsup"),"",$G51&amp;"|"&amp;COUNTIFS($G$7:$G51,$G51,$H$7:$H51,"&lt;&gt;Mahsup"))</f>
        <v>MERKEZ KASA|28</v>
      </c>
    </row>
    <row r="52" spans="1:21" ht="18" customHeight="1" x14ac:dyDescent="0.3">
      <c r="A52" s="2"/>
      <c r="B52" s="65" t="str">
        <f>IF($D52="","","T"&amp;TEXT(ROW()-6,"00000"))</f>
        <v>T00046</v>
      </c>
      <c r="C52" s="65" t="str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>M025</v>
      </c>
      <c r="D52" s="61" t="s">
        <v>583</v>
      </c>
      <c r="E52" s="66">
        <v>46046</v>
      </c>
      <c r="F52" s="67">
        <v>2000</v>
      </c>
      <c r="G52" s="60" t="s">
        <v>717</v>
      </c>
      <c r="H52" s="60" t="s">
        <v>572</v>
      </c>
      <c r="I52" s="61"/>
      <c r="J52" s="61" t="s">
        <v>720</v>
      </c>
      <c r="K52" s="61"/>
      <c r="L52" s="73">
        <f>IF($E52="","",DATE(YEAR($E52),MONTH($E52),1))</f>
        <v>46023</v>
      </c>
      <c r="M52" s="65" t="str">
        <f ca="1">IF($D52="","",IF($C52="TANIMSIZ MÜŞTERİ","HATA",IF(OR($E52="",$F52&lt;=0,$G52=""),"EKSİK",IF($E52&gt;TODAY(),"İLERİ TARİH",IF(COUNTIF($S$7:$S$2503,$S52)&gt;1,"MÜKERRER?",IF($T52&gt;0,"KAPALI DÖNEM","UYGUN"))))))</f>
        <v>UYGUN</v>
      </c>
      <c r="N52" s="74" t="str">
        <f>IF($C52="","",IF($C52="TANIMSIZ MÜŞTERİ","—",INDEX(MUSTERILER!$C$7:$C$156,MATCH($C52,MUSTERILER!$B$7:$B$156,0))))</f>
        <v>ASIM AÇIKGÖZ</v>
      </c>
      <c r="O52" s="2"/>
      <c r="P52" s="2"/>
      <c r="Q52" s="1" t="str">
        <f>IF($D52="","",$C52&amp;"|"&amp;COUNTIFS($C$7:$C52,$C52))</f>
        <v>M025|3</v>
      </c>
      <c r="R52" s="1" t="str">
        <f t="shared" si="0"/>
        <v>ASIMACIKGOZ</v>
      </c>
      <c r="S52" s="1" t="str">
        <f t="shared" si="1"/>
        <v>M025|46046|2000|</v>
      </c>
      <c r="T52" s="1">
        <f>IF($E52="",0,SUMPRODUCT((AY_SONU!$O$7:$O$42="Evet")*(AY_SONU!$B$7:$B$42=DATE(YEAR($E52),MONTH($E52),1))))</f>
        <v>0</v>
      </c>
      <c r="U52" s="1" t="str">
        <f>IF(OR($G52="",$H52="Mahsup"),"",$G52&amp;"|"&amp;COUNTIFS($G$7:$G52,$G52,$H$7:$H52,"&lt;&gt;Mahsup"))</f>
        <v>MERKEZ KASA|29</v>
      </c>
    </row>
    <row r="53" spans="1:21" ht="18" customHeight="1" x14ac:dyDescent="0.3">
      <c r="A53" s="2"/>
      <c r="B53" s="65" t="str">
        <f>IF($D53="","","T"&amp;TEXT(ROW()-6,"00000"))</f>
        <v>T00047</v>
      </c>
      <c r="C53" s="65" t="str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>M017</v>
      </c>
      <c r="D53" s="61" t="s">
        <v>585</v>
      </c>
      <c r="E53" s="66">
        <v>46046</v>
      </c>
      <c r="F53" s="67">
        <v>2500</v>
      </c>
      <c r="G53" s="60" t="s">
        <v>717</v>
      </c>
      <c r="H53" s="60" t="s">
        <v>572</v>
      </c>
      <c r="I53" s="61"/>
      <c r="J53" s="61" t="s">
        <v>720</v>
      </c>
      <c r="K53" s="61"/>
      <c r="L53" s="73">
        <f>IF($E53="","",DATE(YEAR($E53),MONTH($E53),1))</f>
        <v>46023</v>
      </c>
      <c r="M53" s="65" t="str">
        <f ca="1">IF($D53="","",IF($C53="TANIMSIZ MÜŞTERİ","HATA",IF(OR($E53="",$F53&lt;=0,$G53=""),"EKSİK",IF($E53&gt;TODAY(),"İLERİ TARİH",IF(COUNTIF($S$7:$S$2503,$S53)&gt;1,"MÜKERRER?",IF($T53&gt;0,"KAPALI DÖNEM","UYGUN"))))))</f>
        <v>UYGUN</v>
      </c>
      <c r="N53" s="74" t="str">
        <f>IF($C53="","",IF($C53="TANIMSIZ MÜŞTERİ","—",INDEX(MUSTERILER!$C$7:$C$156,MATCH($C53,MUSTERILER!$B$7:$B$156,0))))</f>
        <v>ASM EĞLENCE LTD.ŞTİ.</v>
      </c>
      <c r="O53" s="2"/>
      <c r="P53" s="2"/>
      <c r="Q53" s="1" t="str">
        <f>IF($D53="","",$C53&amp;"|"&amp;COUNTIFS($C$7:$C53,$C53))</f>
        <v>M017|3</v>
      </c>
      <c r="R53" s="1" t="str">
        <f t="shared" si="0"/>
        <v>ASMEGLENCELTDSTI</v>
      </c>
      <c r="S53" s="1" t="str">
        <f t="shared" si="1"/>
        <v>M017|46046|2500|</v>
      </c>
      <c r="T53" s="1">
        <f>IF($E53="",0,SUMPRODUCT((AY_SONU!$O$7:$O$42="Evet")*(AY_SONU!$B$7:$B$42=DATE(YEAR($E53),MONTH($E53),1))))</f>
        <v>0</v>
      </c>
      <c r="U53" s="1" t="str">
        <f>IF(OR($G53="",$H53="Mahsup"),"",$G53&amp;"|"&amp;COUNTIFS($G$7:$G53,$G53,$H$7:$H53,"&lt;&gt;Mahsup"))</f>
        <v>MERKEZ KASA|30</v>
      </c>
    </row>
    <row r="54" spans="1:21" ht="18" customHeight="1" x14ac:dyDescent="0.3">
      <c r="A54" s="2"/>
      <c r="B54" s="65" t="str">
        <f>IF($D54="","","T"&amp;TEXT(ROW()-6,"00000"))</f>
        <v>T00048</v>
      </c>
      <c r="C54" s="65" t="str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>M015</v>
      </c>
      <c r="D54" s="61" t="s">
        <v>589</v>
      </c>
      <c r="E54" s="66">
        <v>46046</v>
      </c>
      <c r="F54" s="67">
        <v>3000</v>
      </c>
      <c r="G54" s="60" t="s">
        <v>717</v>
      </c>
      <c r="H54" s="60" t="s">
        <v>572</v>
      </c>
      <c r="I54" s="61"/>
      <c r="J54" s="61" t="s">
        <v>720</v>
      </c>
      <c r="K54" s="61"/>
      <c r="L54" s="73">
        <f>IF($E54="","",DATE(YEAR($E54),MONTH($E54),1))</f>
        <v>46023</v>
      </c>
      <c r="M54" s="65" t="str">
        <f ca="1">IF($D54="","",IF($C54="TANIMSIZ MÜŞTERİ","HATA",IF(OR($E54="",$F54&lt;=0,$G54=""),"EKSİK",IF($E54&gt;TODAY(),"İLERİ TARİH",IF(COUNTIF($S$7:$S$2503,$S54)&gt;1,"MÜKERRER?",IF($T54&gt;0,"KAPALI DÖNEM","UYGUN"))))))</f>
        <v>UYGUN</v>
      </c>
      <c r="N54" s="74" t="str">
        <f>IF($C54="","",IF($C54="TANIMSIZ MÜŞTERİ","—",INDEX(MUSTERILER!$C$7:$C$156,MATCH($C54,MUSTERILER!$B$7:$B$156,0))))</f>
        <v>ÇAYIRALAN LTD.ŞTİ.</v>
      </c>
      <c r="O54" s="2"/>
      <c r="P54" s="2"/>
      <c r="Q54" s="1" t="str">
        <f>IF($D54="","",$C54&amp;"|"&amp;COUNTIFS($C$7:$C54,$C54))</f>
        <v>M015|4</v>
      </c>
      <c r="R54" s="1" t="str">
        <f t="shared" si="0"/>
        <v>CAYIRALANLTDSTI</v>
      </c>
      <c r="S54" s="1" t="str">
        <f t="shared" si="1"/>
        <v>M015|46046|3000|</v>
      </c>
      <c r="T54" s="1">
        <f>IF($E54="",0,SUMPRODUCT((AY_SONU!$O$7:$O$42="Evet")*(AY_SONU!$B$7:$B$42=DATE(YEAR($E54),MONTH($E54),1))))</f>
        <v>0</v>
      </c>
      <c r="U54" s="1" t="str">
        <f>IF(OR($G54="",$H54="Mahsup"),"",$G54&amp;"|"&amp;COUNTIFS($G$7:$G54,$G54,$H$7:$H54,"&lt;&gt;Mahsup"))</f>
        <v>MERKEZ KASA|31</v>
      </c>
    </row>
    <row r="55" spans="1:21" ht="18" customHeight="1" x14ac:dyDescent="0.3">
      <c r="A55" s="2"/>
      <c r="B55" s="65" t="str">
        <f>IF($D55="","","T"&amp;TEXT(ROW()-6,"00000"))</f>
        <v>T00049</v>
      </c>
      <c r="C55" s="65" t="str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>M014</v>
      </c>
      <c r="D55" s="61" t="s">
        <v>605</v>
      </c>
      <c r="E55" s="66">
        <v>46046</v>
      </c>
      <c r="F55" s="67">
        <v>2000</v>
      </c>
      <c r="G55" s="60" t="s">
        <v>717</v>
      </c>
      <c r="H55" s="60" t="s">
        <v>572</v>
      </c>
      <c r="I55" s="61"/>
      <c r="J55" s="61" t="s">
        <v>720</v>
      </c>
      <c r="K55" s="61"/>
      <c r="L55" s="73">
        <f>IF($E55="","",DATE(YEAR($E55),MONTH($E55),1))</f>
        <v>46023</v>
      </c>
      <c r="M55" s="65" t="str">
        <f ca="1">IF($D55="","",IF($C55="TANIMSIZ MÜŞTERİ","HATA",IF(OR($E55="",$F55&lt;=0,$G55=""),"EKSİK",IF($E55&gt;TODAY(),"İLERİ TARİH",IF(COUNTIF($S$7:$S$2503,$S55)&gt;1,"MÜKERRER?",IF($T55&gt;0,"KAPALI DÖNEM","UYGUN"))))))</f>
        <v>UYGUN</v>
      </c>
      <c r="N55" s="74" t="str">
        <f>IF($C55="","",IF($C55="TANIMSIZ MÜŞTERİ","—",INDEX(MUSTERILER!$C$7:$C$156,MATCH($C55,MUSTERILER!$B$7:$B$156,0))))</f>
        <v>FİNAL SİYAH BEYAZ LTD.ŞTİ.</v>
      </c>
      <c r="O55" s="2"/>
      <c r="P55" s="2"/>
      <c r="Q55" s="1" t="str">
        <f>IF($D55="","",$C55&amp;"|"&amp;COUNTIFS($C$7:$C55,$C55))</f>
        <v>M014|3</v>
      </c>
      <c r="R55" s="1" t="str">
        <f t="shared" si="0"/>
        <v>FINALSIYAHBEYAZLTDSTI</v>
      </c>
      <c r="S55" s="1" t="str">
        <f t="shared" si="1"/>
        <v>M014|46046|2000|</v>
      </c>
      <c r="T55" s="1">
        <f>IF($E55="",0,SUMPRODUCT((AY_SONU!$O$7:$O$42="Evet")*(AY_SONU!$B$7:$B$42=DATE(YEAR($E55),MONTH($E55),1))))</f>
        <v>0</v>
      </c>
      <c r="U55" s="1" t="str">
        <f>IF(OR($G55="",$H55="Mahsup"),"",$G55&amp;"|"&amp;COUNTIFS($G$7:$G55,$G55,$H$7:$H55,"&lt;&gt;Mahsup"))</f>
        <v>MERKEZ KASA|32</v>
      </c>
    </row>
    <row r="56" spans="1:21" ht="18" customHeight="1" x14ac:dyDescent="0.3">
      <c r="A56" s="2"/>
      <c r="B56" s="65" t="str">
        <f>IF($D56="","","T"&amp;TEXT(ROW()-6,"00000"))</f>
        <v>T00050</v>
      </c>
      <c r="C56" s="65" t="str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>M034</v>
      </c>
      <c r="D56" s="61" t="s">
        <v>611</v>
      </c>
      <c r="E56" s="66">
        <v>46046</v>
      </c>
      <c r="F56" s="67">
        <v>1500</v>
      </c>
      <c r="G56" s="60" t="s">
        <v>717</v>
      </c>
      <c r="H56" s="60" t="s">
        <v>572</v>
      </c>
      <c r="I56" s="61"/>
      <c r="J56" s="61" t="s">
        <v>720</v>
      </c>
      <c r="K56" s="61"/>
      <c r="L56" s="73">
        <f>IF($E56="","",DATE(YEAR($E56),MONTH($E56),1))</f>
        <v>46023</v>
      </c>
      <c r="M56" s="65" t="str">
        <f ca="1">IF($D56="","",IF($C56="TANIMSIZ MÜŞTERİ","HATA",IF(OR($E56="",$F56&lt;=0,$G56=""),"EKSİK",IF($E56&gt;TODAY(),"İLERİ TARİH",IF(COUNTIF($S$7:$S$2503,$S56)&gt;1,"MÜKERRER?",IF($T56&gt;0,"KAPALI DÖNEM","UYGUN"))))))</f>
        <v>UYGUN</v>
      </c>
      <c r="N56" s="74" t="str">
        <f>IF($C56="","",IF($C56="TANIMSIZ MÜŞTERİ","—",INDEX(MUSTERILER!$C$7:$C$156,MATCH($C56,MUSTERILER!$B$7:$B$156,0))))</f>
        <v>İBRAHİM MALDAN</v>
      </c>
      <c r="O56" s="2"/>
      <c r="P56" s="2"/>
      <c r="Q56" s="1" t="str">
        <f>IF($D56="","",$C56&amp;"|"&amp;COUNTIFS($C$7:$C56,$C56))</f>
        <v>M034|3</v>
      </c>
      <c r="R56" s="1" t="str">
        <f t="shared" si="0"/>
        <v>IBRAHIMMALDAN</v>
      </c>
      <c r="S56" s="1" t="str">
        <f t="shared" si="1"/>
        <v>M034|46046|1500|</v>
      </c>
      <c r="T56" s="1">
        <f>IF($E56="",0,SUMPRODUCT((AY_SONU!$O$7:$O$42="Evet")*(AY_SONU!$B$7:$B$42=DATE(YEAR($E56),MONTH($E56),1))))</f>
        <v>0</v>
      </c>
      <c r="U56" s="1" t="str">
        <f>IF(OR($G56="",$H56="Mahsup"),"",$G56&amp;"|"&amp;COUNTIFS($G$7:$G56,$G56,$H$7:$H56,"&lt;&gt;Mahsup"))</f>
        <v>MERKEZ KASA|33</v>
      </c>
    </row>
    <row r="57" spans="1:21" ht="18" customHeight="1" x14ac:dyDescent="0.3">
      <c r="A57" s="2"/>
      <c r="B57" s="65" t="str">
        <f>IF($D57="","","T"&amp;TEXT(ROW()-6,"00000"))</f>
        <v>T00051</v>
      </c>
      <c r="C57" s="65" t="str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>M012</v>
      </c>
      <c r="D57" s="61" t="s">
        <v>613</v>
      </c>
      <c r="E57" s="66">
        <v>46046</v>
      </c>
      <c r="F57" s="67">
        <v>4000</v>
      </c>
      <c r="G57" s="60" t="s">
        <v>717</v>
      </c>
      <c r="H57" s="60" t="s">
        <v>572</v>
      </c>
      <c r="I57" s="61"/>
      <c r="J57" s="61" t="s">
        <v>720</v>
      </c>
      <c r="K57" s="61"/>
      <c r="L57" s="73">
        <f>IF($E57="","",DATE(YEAR($E57),MONTH($E57),1))</f>
        <v>46023</v>
      </c>
      <c r="M57" s="65" t="str">
        <f ca="1">IF($D57="","",IF($C57="TANIMSIZ MÜŞTERİ","HATA",IF(OR($E57="",$F57&lt;=0,$G57=""),"EKSİK",IF($E57&gt;TODAY(),"İLERİ TARİH",IF(COUNTIF($S$7:$S$2503,$S57)&gt;1,"MÜKERRER?",IF($T57&gt;0,"KAPALI DÖNEM","UYGUN"))))))</f>
        <v>UYGUN</v>
      </c>
      <c r="N57" s="74" t="str">
        <f>IF($C57="","",IF($C57="TANIMSIZ MÜŞTERİ","—",INDEX(MUSTERILER!$C$7:$C$156,MATCH($C57,MUSTERILER!$B$7:$B$156,0))))</f>
        <v>İLDEŞ LTD.ŞTİ.</v>
      </c>
      <c r="O57" s="2"/>
      <c r="P57" s="2"/>
      <c r="Q57" s="1" t="str">
        <f>IF($D57="","",$C57&amp;"|"&amp;COUNTIFS($C$7:$C57,$C57))</f>
        <v>M012|3</v>
      </c>
      <c r="R57" s="1" t="str">
        <f t="shared" si="0"/>
        <v>ILDESLTDSTI</v>
      </c>
      <c r="S57" s="1" t="str">
        <f t="shared" si="1"/>
        <v>M012|46046|4000|</v>
      </c>
      <c r="T57" s="1">
        <f>IF($E57="",0,SUMPRODUCT((AY_SONU!$O$7:$O$42="Evet")*(AY_SONU!$B$7:$B$42=DATE(YEAR($E57),MONTH($E57),1))))</f>
        <v>0</v>
      </c>
      <c r="U57" s="1" t="str">
        <f>IF(OR($G57="",$H57="Mahsup"),"",$G57&amp;"|"&amp;COUNTIFS($G$7:$G57,$G57,$H$7:$H57,"&lt;&gt;Mahsup"))</f>
        <v>MERKEZ KASA|34</v>
      </c>
    </row>
    <row r="58" spans="1:21" ht="18" customHeight="1" x14ac:dyDescent="0.3">
      <c r="A58" s="2"/>
      <c r="B58" s="65" t="str">
        <f>IF($D58="","","T"&amp;TEXT(ROW()-6,"00000"))</f>
        <v>T00052</v>
      </c>
      <c r="C58" s="65" t="str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>M008</v>
      </c>
      <c r="D58" s="61" t="s">
        <v>621</v>
      </c>
      <c r="E58" s="66">
        <v>46046</v>
      </c>
      <c r="F58" s="67">
        <v>2500</v>
      </c>
      <c r="G58" s="60" t="s">
        <v>717</v>
      </c>
      <c r="H58" s="60" t="s">
        <v>572</v>
      </c>
      <c r="I58" s="61"/>
      <c r="J58" s="61" t="s">
        <v>720</v>
      </c>
      <c r="K58" s="61"/>
      <c r="L58" s="73">
        <f>IF($E58="","",DATE(YEAR($E58),MONTH($E58),1))</f>
        <v>46023</v>
      </c>
      <c r="M58" s="65" t="str">
        <f ca="1">IF($D58="","",IF($C58="TANIMSIZ MÜŞTERİ","HATA",IF(OR($E58="",$F58&lt;=0,$G58=""),"EKSİK",IF($E58&gt;TODAY(),"İLERİ TARİH",IF(COUNTIF($S$7:$S$2503,$S58)&gt;1,"MÜKERRER?",IF($T58&gt;0,"KAPALI DÖNEM","UYGUN"))))))</f>
        <v>UYGUN</v>
      </c>
      <c r="N58" s="74" t="str">
        <f>IF($C58="","",IF($C58="TANIMSIZ MÜŞTERİ","—",INDEX(MUSTERILER!$C$7:$C$156,MATCH($C58,MUSTERILER!$B$7:$B$156,0))))</f>
        <v>KÖŞK YÜKSELEN LTD.ŞTİ.</v>
      </c>
      <c r="O58" s="2"/>
      <c r="P58" s="2"/>
      <c r="Q58" s="1" t="str">
        <f>IF($D58="","",$C58&amp;"|"&amp;COUNTIFS($C$7:$C58,$C58))</f>
        <v>M008|2</v>
      </c>
      <c r="R58" s="1" t="str">
        <f t="shared" si="0"/>
        <v>KOSKYUKSELENLTDSTI</v>
      </c>
      <c r="S58" s="1" t="str">
        <f t="shared" si="1"/>
        <v>M008|46046|2500|</v>
      </c>
      <c r="T58" s="1">
        <f>IF($E58="",0,SUMPRODUCT((AY_SONU!$O$7:$O$42="Evet")*(AY_SONU!$B$7:$B$42=DATE(YEAR($E58),MONTH($E58),1))))</f>
        <v>0</v>
      </c>
      <c r="U58" s="1" t="str">
        <f>IF(OR($G58="",$H58="Mahsup"),"",$G58&amp;"|"&amp;COUNTIFS($G$7:$G58,$G58,$H$7:$H58,"&lt;&gt;Mahsup"))</f>
        <v>MERKEZ KASA|35</v>
      </c>
    </row>
    <row r="59" spans="1:21" ht="18" customHeight="1" x14ac:dyDescent="0.3">
      <c r="A59" s="2"/>
      <c r="B59" s="65" t="str">
        <f>IF($D59="","","T"&amp;TEXT(ROW()-6,"00000"))</f>
        <v>T00053</v>
      </c>
      <c r="C59" s="65" t="str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>M007</v>
      </c>
      <c r="D59" s="61" t="s">
        <v>635</v>
      </c>
      <c r="E59" s="66">
        <v>46046</v>
      </c>
      <c r="F59" s="67">
        <v>3500</v>
      </c>
      <c r="G59" s="60" t="s">
        <v>717</v>
      </c>
      <c r="H59" s="60" t="s">
        <v>572</v>
      </c>
      <c r="I59" s="61"/>
      <c r="J59" s="61" t="s">
        <v>720</v>
      </c>
      <c r="K59" s="61"/>
      <c r="L59" s="73">
        <f>IF($E59="","",DATE(YEAR($E59),MONTH($E59),1))</f>
        <v>46023</v>
      </c>
      <c r="M59" s="65" t="str">
        <f ca="1">IF($D59="","",IF($C59="TANIMSIZ MÜŞTERİ","HATA",IF(OR($E59="",$F59&lt;=0,$G59=""),"EKSİK",IF($E59&gt;TODAY(),"İLERİ TARİH",IF(COUNTIF($S$7:$S$2503,$S59)&gt;1,"MÜKERRER?",IF($T59&gt;0,"KAPALI DÖNEM","UYGUN"))))))</f>
        <v>UYGUN</v>
      </c>
      <c r="N59" s="74" t="str">
        <f>IF($C59="","",IF($C59="TANIMSIZ MÜŞTERİ","—",INDEX(MUSTERILER!$C$7:$C$156,MATCH($C59,MUSTERILER!$B$7:$B$156,0))))</f>
        <v>MONAMOUR LTD.ŞTİ.</v>
      </c>
      <c r="O59" s="2"/>
      <c r="P59" s="2"/>
      <c r="Q59" s="1" t="str">
        <f>IF($D59="","",$C59&amp;"|"&amp;COUNTIFS($C$7:$C59,$C59))</f>
        <v>M007|4</v>
      </c>
      <c r="R59" s="1" t="str">
        <f t="shared" si="0"/>
        <v>MONAMOURLTDSTI</v>
      </c>
      <c r="S59" s="1" t="str">
        <f t="shared" si="1"/>
        <v>M007|46046|3500|</v>
      </c>
      <c r="T59" s="1">
        <f>IF($E59="",0,SUMPRODUCT((AY_SONU!$O$7:$O$42="Evet")*(AY_SONU!$B$7:$B$42=DATE(YEAR($E59),MONTH($E59),1))))</f>
        <v>0</v>
      </c>
      <c r="U59" s="1" t="str">
        <f>IF(OR($G59="",$H59="Mahsup"),"",$G59&amp;"|"&amp;COUNTIFS($G$7:$G59,$G59,$H$7:$H59,"&lt;&gt;Mahsup"))</f>
        <v>MERKEZ KASA|36</v>
      </c>
    </row>
    <row r="60" spans="1:21" ht="18" customHeight="1" x14ac:dyDescent="0.3">
      <c r="A60" s="2"/>
      <c r="B60" s="65" t="str">
        <f>IF($D60="","","T"&amp;TEXT(ROW()-6,"00000"))</f>
        <v>T00054</v>
      </c>
      <c r="C60" s="65" t="str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>M013</v>
      </c>
      <c r="D60" s="61" t="s">
        <v>644</v>
      </c>
      <c r="E60" s="66">
        <v>46046</v>
      </c>
      <c r="F60" s="67">
        <v>2000</v>
      </c>
      <c r="G60" s="60" t="s">
        <v>717</v>
      </c>
      <c r="H60" s="60" t="s">
        <v>572</v>
      </c>
      <c r="I60" s="61"/>
      <c r="J60" s="61" t="s">
        <v>720</v>
      </c>
      <c r="K60" s="61"/>
      <c r="L60" s="73">
        <f>IF($E60="","",DATE(YEAR($E60),MONTH($E60),1))</f>
        <v>46023</v>
      </c>
      <c r="M60" s="65" t="str">
        <f ca="1">IF($D60="","",IF($C60="TANIMSIZ MÜŞTERİ","HATA",IF(OR($E60="",$F60&lt;=0,$G60=""),"EKSİK",IF($E60&gt;TODAY(),"İLERİ TARİH",IF(COUNTIF($S$7:$S$2503,$S60)&gt;1,"MÜKERRER?",IF($T60&gt;0,"KAPALI DÖNEM","UYGUN"))))))</f>
        <v>UYGUN</v>
      </c>
      <c r="N60" s="74" t="str">
        <f>IF($C60="","",IF($C60="TANIMSIZ MÜŞTERİ","—",INDEX(MUSTERILER!$C$7:$C$156,MATCH($C60,MUSTERILER!$B$7:$B$156,0))))</f>
        <v>NAZ 1 GIDA LTD.ŞTİ.</v>
      </c>
      <c r="O60" s="2"/>
      <c r="P60" s="2"/>
      <c r="Q60" s="1" t="str">
        <f>IF($D60="","",$C60&amp;"|"&amp;COUNTIFS($C$7:$C60,$C60))</f>
        <v>M013|3</v>
      </c>
      <c r="R60" s="1" t="str">
        <f t="shared" si="0"/>
        <v>NAZ1GIDALTDSTI</v>
      </c>
      <c r="S60" s="1" t="str">
        <f t="shared" si="1"/>
        <v>M013|46046|2000|</v>
      </c>
      <c r="T60" s="1">
        <f>IF($E60="",0,SUMPRODUCT((AY_SONU!$O$7:$O$42="Evet")*(AY_SONU!$B$7:$B$42=DATE(YEAR($E60),MONTH($E60),1))))</f>
        <v>0</v>
      </c>
      <c r="U60" s="1" t="str">
        <f>IF(OR($G60="",$H60="Mahsup"),"",$G60&amp;"|"&amp;COUNTIFS($G$7:$G60,$G60,$H$7:$H60,"&lt;&gt;Mahsup"))</f>
        <v>MERKEZ KASA|37</v>
      </c>
    </row>
    <row r="61" spans="1:21" ht="18" customHeight="1" x14ac:dyDescent="0.3">
      <c r="A61" s="2"/>
      <c r="B61" s="65" t="str">
        <f>IF($D61="","","T"&amp;TEXT(ROW()-6,"00000"))</f>
        <v>T00055</v>
      </c>
      <c r="C61" s="65" t="str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>M010</v>
      </c>
      <c r="D61" s="61" t="s">
        <v>650</v>
      </c>
      <c r="E61" s="66">
        <v>46046</v>
      </c>
      <c r="F61" s="67">
        <v>2000</v>
      </c>
      <c r="G61" s="60" t="s">
        <v>717</v>
      </c>
      <c r="H61" s="60" t="s">
        <v>572</v>
      </c>
      <c r="I61" s="61"/>
      <c r="J61" s="61" t="s">
        <v>720</v>
      </c>
      <c r="K61" s="61"/>
      <c r="L61" s="73">
        <f>IF($E61="","",DATE(YEAR($E61),MONTH($E61),1))</f>
        <v>46023</v>
      </c>
      <c r="M61" s="65" t="str">
        <f ca="1">IF($D61="","",IF($C61="TANIMSIZ MÜŞTERİ","HATA",IF(OR($E61="",$F61&lt;=0,$G61=""),"EKSİK",IF($E61&gt;TODAY(),"İLERİ TARİH",IF(COUNTIF($S$7:$S$2503,$S61)&gt;1,"MÜKERRER?",IF($T61&gt;0,"KAPALI DÖNEM","UYGUN"))))))</f>
        <v>UYGUN</v>
      </c>
      <c r="N61" s="74" t="str">
        <f>IF($C61="","",IF($C61="TANIMSIZ MÜŞTERİ","—",INDEX(MUSTERILER!$C$7:$C$156,MATCH($C61,MUSTERILER!$B$7:$B$156,0))))</f>
        <v>ÖZFİDANLAR LTD.ŞTİ.</v>
      </c>
      <c r="O61" s="2"/>
      <c r="P61" s="2"/>
      <c r="Q61" s="1" t="str">
        <f>IF($D61="","",$C61&amp;"|"&amp;COUNTIFS($C$7:$C61,$C61))</f>
        <v>M010|3</v>
      </c>
      <c r="R61" s="1" t="str">
        <f t="shared" si="0"/>
        <v>OZFIDANLARLTDSTI</v>
      </c>
      <c r="S61" s="1" t="str">
        <f t="shared" si="1"/>
        <v>M010|46046|2000|</v>
      </c>
      <c r="T61" s="1">
        <f>IF($E61="",0,SUMPRODUCT((AY_SONU!$O$7:$O$42="Evet")*(AY_SONU!$B$7:$B$42=DATE(YEAR($E61),MONTH($E61),1))))</f>
        <v>0</v>
      </c>
      <c r="U61" s="1" t="str">
        <f>IF(OR($G61="",$H61="Mahsup"),"",$G61&amp;"|"&amp;COUNTIFS($G$7:$G61,$G61,$H$7:$H61,"&lt;&gt;Mahsup"))</f>
        <v>MERKEZ KASA|38</v>
      </c>
    </row>
    <row r="62" spans="1:21" ht="18" customHeight="1" x14ac:dyDescent="0.3">
      <c r="A62" s="2"/>
      <c r="B62" s="65" t="str">
        <f>IF($D62="","","T"&amp;TEXT(ROW()-6,"00000"))</f>
        <v>T00056</v>
      </c>
      <c r="C62" s="65" t="str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>M009</v>
      </c>
      <c r="D62" s="61" t="s">
        <v>652</v>
      </c>
      <c r="E62" s="66">
        <v>46046</v>
      </c>
      <c r="F62" s="67">
        <v>2000</v>
      </c>
      <c r="G62" s="60" t="s">
        <v>717</v>
      </c>
      <c r="H62" s="60" t="s">
        <v>572</v>
      </c>
      <c r="I62" s="61"/>
      <c r="J62" s="61" t="s">
        <v>720</v>
      </c>
      <c r="K62" s="61"/>
      <c r="L62" s="73">
        <f>IF($E62="","",DATE(YEAR($E62),MONTH($E62),1))</f>
        <v>46023</v>
      </c>
      <c r="M62" s="65" t="str">
        <f ca="1">IF($D62="","",IF($C62="TANIMSIZ MÜŞTERİ","HATA",IF(OR($E62="",$F62&lt;=0,$G62=""),"EKSİK",IF($E62&gt;TODAY(),"İLERİ TARİH",IF(COUNTIF($S$7:$S$2503,$S62)&gt;1,"MÜKERRER?",IF($T62&gt;0,"KAPALI DÖNEM","UYGUN"))))))</f>
        <v>UYGUN</v>
      </c>
      <c r="N62" s="74" t="str">
        <f>IF($C62="","",IF($C62="TANIMSIZ MÜŞTERİ","—",INDEX(MUSTERILER!$C$7:$C$156,MATCH($C62,MUSTERILER!$B$7:$B$156,0))))</f>
        <v>PAKYILDIZ LTD.ŞTİ.</v>
      </c>
      <c r="O62" s="2"/>
      <c r="P62" s="2"/>
      <c r="Q62" s="1" t="str">
        <f>IF($D62="","",$C62&amp;"|"&amp;COUNTIFS($C$7:$C62,$C62))</f>
        <v>M009|3</v>
      </c>
      <c r="R62" s="1" t="str">
        <f t="shared" si="0"/>
        <v>PAKYILDIZLTDSTI</v>
      </c>
      <c r="S62" s="1" t="str">
        <f t="shared" si="1"/>
        <v>M009|46046|2000|</v>
      </c>
      <c r="T62" s="1">
        <f>IF($E62="",0,SUMPRODUCT((AY_SONU!$O$7:$O$42="Evet")*(AY_SONU!$B$7:$B$42=DATE(YEAR($E62),MONTH($E62),1))))</f>
        <v>0</v>
      </c>
      <c r="U62" s="1" t="str">
        <f>IF(OR($G62="",$H62="Mahsup"),"",$G62&amp;"|"&amp;COUNTIFS($G$7:$G62,$G62,$H$7:$H62,"&lt;&gt;Mahsup"))</f>
        <v>MERKEZ KASA|39</v>
      </c>
    </row>
    <row r="63" spans="1:21" ht="18" customHeight="1" x14ac:dyDescent="0.3">
      <c r="A63" s="2"/>
      <c r="B63" s="65" t="str">
        <f>IF($D63="","","T"&amp;TEXT(ROW()-6,"00000"))</f>
        <v>T00057</v>
      </c>
      <c r="C63" s="65" t="str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>M016</v>
      </c>
      <c r="D63" s="61" t="s">
        <v>658</v>
      </c>
      <c r="E63" s="66">
        <v>46046</v>
      </c>
      <c r="F63" s="67">
        <v>2000</v>
      </c>
      <c r="G63" s="60" t="s">
        <v>717</v>
      </c>
      <c r="H63" s="60" t="s">
        <v>572</v>
      </c>
      <c r="I63" s="61"/>
      <c r="J63" s="61" t="s">
        <v>720</v>
      </c>
      <c r="K63" s="61"/>
      <c r="L63" s="73">
        <f>IF($E63="","",DATE(YEAR($E63),MONTH($E63),1))</f>
        <v>46023</v>
      </c>
      <c r="M63" s="65" t="str">
        <f ca="1">IF($D63="","",IF($C63="TANIMSIZ MÜŞTERİ","HATA",IF(OR($E63="",$F63&lt;=0,$G63=""),"EKSİK",IF($E63&gt;TODAY(),"İLERİ TARİH",IF(COUNTIF($S$7:$S$2503,$S63)&gt;1,"MÜKERRER?",IF($T63&gt;0,"KAPALI DÖNEM","UYGUN"))))))</f>
        <v>UYGUN</v>
      </c>
      <c r="N63" s="74" t="str">
        <f>IF($C63="","",IF($C63="TANIMSIZ MÜŞTERİ","—",INDEX(MUSTERILER!$C$7:$C$156,MATCH($C63,MUSTERILER!$B$7:$B$156,0))))</f>
        <v>RİX ŞOW LTD.ŞTİ.</v>
      </c>
      <c r="O63" s="2"/>
      <c r="P63" s="2"/>
      <c r="Q63" s="1" t="str">
        <f>IF($D63="","",$C63&amp;"|"&amp;COUNTIFS($C$7:$C63,$C63))</f>
        <v>M016|4</v>
      </c>
      <c r="R63" s="1" t="str">
        <f t="shared" si="0"/>
        <v>RIXSOWLTDSTI</v>
      </c>
      <c r="S63" s="1" t="str">
        <f t="shared" si="1"/>
        <v>M016|46046|2000|</v>
      </c>
      <c r="T63" s="1">
        <f>IF($E63="",0,SUMPRODUCT((AY_SONU!$O$7:$O$42="Evet")*(AY_SONU!$B$7:$B$42=DATE(YEAR($E63),MONTH($E63),1))))</f>
        <v>0</v>
      </c>
      <c r="U63" s="1" t="str">
        <f>IF(OR($G63="",$H63="Mahsup"),"",$G63&amp;"|"&amp;COUNTIFS($G$7:$G63,$G63,$H$7:$H63,"&lt;&gt;Mahsup"))</f>
        <v>MERKEZ KASA|40</v>
      </c>
    </row>
    <row r="64" spans="1:21" ht="18" customHeight="1" x14ac:dyDescent="0.3">
      <c r="A64" s="2"/>
      <c r="B64" s="65" t="str">
        <f>IF($D64="","","T"&amp;TEXT(ROW()-6,"00000"))</f>
        <v>T00058</v>
      </c>
      <c r="C64" s="65" t="str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>M004</v>
      </c>
      <c r="D64" s="61" t="s">
        <v>678</v>
      </c>
      <c r="E64" s="66">
        <v>46046</v>
      </c>
      <c r="F64" s="67">
        <v>3000</v>
      </c>
      <c r="G64" s="60" t="s">
        <v>717</v>
      </c>
      <c r="H64" s="60" t="s">
        <v>572</v>
      </c>
      <c r="I64" s="61"/>
      <c r="J64" s="61" t="s">
        <v>720</v>
      </c>
      <c r="K64" s="61"/>
      <c r="L64" s="73">
        <f>IF($E64="","",DATE(YEAR($E64),MONTH($E64),1))</f>
        <v>46023</v>
      </c>
      <c r="M64" s="65" t="str">
        <f ca="1">IF($D64="","",IF($C64="TANIMSIZ MÜŞTERİ","HATA",IF(OR($E64="",$F64&lt;=0,$G64=""),"EKSİK",IF($E64&gt;TODAY(),"İLERİ TARİH",IF(COUNTIF($S$7:$S$2503,$S64)&gt;1,"MÜKERRER?",IF($T64&gt;0,"KAPALI DÖNEM","UYGUN"))))))</f>
        <v>UYGUN</v>
      </c>
      <c r="N64" s="74" t="str">
        <f>IF($C64="","",IF($C64="TANIMSIZ MÜŞTERİ","—",INDEX(MUSTERILER!$C$7:$C$156,MATCH($C64,MUSTERILER!$B$7:$B$156,0))))</f>
        <v>ZÜMRÜT EĞLENCE LTD.ŞTİ.</v>
      </c>
      <c r="O64" s="2"/>
      <c r="P64" s="2"/>
      <c r="Q64" s="1" t="str">
        <f>IF($D64="","",$C64&amp;"|"&amp;COUNTIFS($C$7:$C64,$C64))</f>
        <v>M004|3</v>
      </c>
      <c r="R64" s="1" t="str">
        <f t="shared" si="0"/>
        <v>ZUMRUTEGLENCELTDSTI</v>
      </c>
      <c r="S64" s="1" t="str">
        <f t="shared" si="1"/>
        <v>M004|46046|3000|</v>
      </c>
      <c r="T64" s="1">
        <f>IF($E64="",0,SUMPRODUCT((AY_SONU!$O$7:$O$42="Evet")*(AY_SONU!$B$7:$B$42=DATE(YEAR($E64),MONTH($E64),1))))</f>
        <v>0</v>
      </c>
      <c r="U64" s="1" t="str">
        <f>IF(OR($G64="",$H64="Mahsup"),"",$G64&amp;"|"&amp;COUNTIFS($G$7:$G64,$G64,$H$7:$H64,"&lt;&gt;Mahsup"))</f>
        <v>MERKEZ KASA|41</v>
      </c>
    </row>
    <row r="65" spans="1:21" ht="18" customHeight="1" x14ac:dyDescent="0.3">
      <c r="A65" s="2"/>
      <c r="B65" s="65" t="str">
        <f>IF($D65="","","T"&amp;TEXT(ROW()-6,"00000"))</f>
        <v>T00059</v>
      </c>
      <c r="C65" s="65" t="str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>M005</v>
      </c>
      <c r="D65" s="61" t="s">
        <v>680</v>
      </c>
      <c r="E65" s="66">
        <v>46046</v>
      </c>
      <c r="F65" s="67">
        <v>1750</v>
      </c>
      <c r="G65" s="60" t="s">
        <v>717</v>
      </c>
      <c r="H65" s="60" t="s">
        <v>572</v>
      </c>
      <c r="I65" s="61"/>
      <c r="J65" s="61" t="s">
        <v>720</v>
      </c>
      <c r="K65" s="61"/>
      <c r="L65" s="73">
        <f>IF($E65="","",DATE(YEAR($E65),MONTH($E65),1))</f>
        <v>46023</v>
      </c>
      <c r="M65" s="65" t="str">
        <f ca="1">IF($D65="","",IF($C65="TANIMSIZ MÜŞTERİ","HATA",IF(OR($E65="",$F65&lt;=0,$G65=""),"EKSİK",IF($E65&gt;TODAY(),"İLERİ TARİH",IF(COUNTIF($S$7:$S$2503,$S65)&gt;1,"MÜKERRER?",IF($T65&gt;0,"KAPALI DÖNEM","UYGUN"))))))</f>
        <v>UYGUN</v>
      </c>
      <c r="N65" s="74" t="str">
        <f>IF($C65="","",IF($C65="TANIMSIZ MÜŞTERİ","—",INDEX(MUSTERILER!$C$7:$C$156,MATCH($C65,MUSTERILER!$B$7:$B$156,0))))</f>
        <v>ZÜMRÜT GRUP LTD.ŞTİ.</v>
      </c>
      <c r="O65" s="2"/>
      <c r="P65" s="2"/>
      <c r="Q65" s="1" t="str">
        <f>IF($D65="","",$C65&amp;"|"&amp;COUNTIFS($C$7:$C65,$C65))</f>
        <v>M005|5</v>
      </c>
      <c r="R65" s="1" t="str">
        <f t="shared" si="0"/>
        <v>ZUMRUTGRUPLTDSTI</v>
      </c>
      <c r="S65" s="1" t="str">
        <f t="shared" si="1"/>
        <v>M005|46046|1750|</v>
      </c>
      <c r="T65" s="1">
        <f>IF($E65="",0,SUMPRODUCT((AY_SONU!$O$7:$O$42="Evet")*(AY_SONU!$B$7:$B$42=DATE(YEAR($E65),MONTH($E65),1))))</f>
        <v>0</v>
      </c>
      <c r="U65" s="1" t="str">
        <f>IF(OR($G65="",$H65="Mahsup"),"",$G65&amp;"|"&amp;COUNTIFS($G$7:$G65,$G65,$H$7:$H65,"&lt;&gt;Mahsup"))</f>
        <v>MERKEZ KASA|42</v>
      </c>
    </row>
    <row r="66" spans="1:21" ht="18" customHeight="1" x14ac:dyDescent="0.3">
      <c r="A66" s="2"/>
      <c r="B66" s="65" t="str">
        <f>IF($D66="","","T"&amp;TEXT(ROW()-6,"00000"))</f>
        <v>T00060</v>
      </c>
      <c r="C66" s="65" t="str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>M020</v>
      </c>
      <c r="D66" s="61" t="s">
        <v>623</v>
      </c>
      <c r="E66" s="66">
        <v>46046</v>
      </c>
      <c r="F66" s="67">
        <v>3000</v>
      </c>
      <c r="G66" s="60" t="s">
        <v>717</v>
      </c>
      <c r="H66" s="60" t="s">
        <v>572</v>
      </c>
      <c r="I66" s="61"/>
      <c r="J66" s="61" t="s">
        <v>720</v>
      </c>
      <c r="K66" s="61"/>
      <c r="L66" s="73">
        <f>IF($E66="","",DATE(YEAR($E66),MONTH($E66),1))</f>
        <v>46023</v>
      </c>
      <c r="M66" s="65" t="str">
        <f ca="1">IF($D66="","",IF($C66="TANIMSIZ MÜŞTERİ","HATA",IF(OR($E66="",$F66&lt;=0,$G66=""),"EKSİK",IF($E66&gt;TODAY(),"İLERİ TARİH",IF(COUNTIF($S$7:$S$2503,$S66)&gt;1,"MÜKERRER?",IF($T66&gt;0,"KAPALI DÖNEM","UYGUN"))))))</f>
        <v>UYGUN</v>
      </c>
      <c r="N66" s="74" t="str">
        <f>IF($C66="","",IF($C66="TANIMSIZ MÜŞTERİ","—",INDEX(MUSTERILER!$C$7:$C$156,MATCH($C66,MUSTERILER!$B$7:$B$156,0))))</f>
        <v>KRİSTAL LTD.ŞTİ.</v>
      </c>
      <c r="O66" s="2"/>
      <c r="P66" s="2"/>
      <c r="Q66" s="1" t="str">
        <f>IF($D66="","",$C66&amp;"|"&amp;COUNTIFS($C$7:$C66,$C66))</f>
        <v>M020|3</v>
      </c>
      <c r="R66" s="1" t="str">
        <f t="shared" si="0"/>
        <v>KRISTALLTDSTI</v>
      </c>
      <c r="S66" s="1" t="str">
        <f t="shared" si="1"/>
        <v>M020|46046|3000|</v>
      </c>
      <c r="T66" s="1">
        <f>IF($E66="",0,SUMPRODUCT((AY_SONU!$O$7:$O$42="Evet")*(AY_SONU!$B$7:$B$42=DATE(YEAR($E66),MONTH($E66),1))))</f>
        <v>0</v>
      </c>
      <c r="U66" s="1" t="str">
        <f>IF(OR($G66="",$H66="Mahsup"),"",$G66&amp;"|"&amp;COUNTIFS($G$7:$G66,$G66,$H$7:$H66,"&lt;&gt;Mahsup"))</f>
        <v>MERKEZ KASA|43</v>
      </c>
    </row>
    <row r="67" spans="1:21" ht="18" customHeight="1" x14ac:dyDescent="0.3">
      <c r="A67" s="2"/>
      <c r="B67" s="65" t="str">
        <f>IF($D67="","","T"&amp;TEXT(ROW()-6,"00000"))</f>
        <v>T00061</v>
      </c>
      <c r="C67" s="65" t="str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>M018</v>
      </c>
      <c r="D67" s="61" t="s">
        <v>593</v>
      </c>
      <c r="E67" s="66">
        <v>46048</v>
      </c>
      <c r="F67" s="67">
        <v>2500</v>
      </c>
      <c r="G67" s="60" t="s">
        <v>717</v>
      </c>
      <c r="H67" s="60" t="s">
        <v>572</v>
      </c>
      <c r="I67" s="61"/>
      <c r="J67" s="61" t="s">
        <v>720</v>
      </c>
      <c r="K67" s="61"/>
      <c r="L67" s="73">
        <f>IF($E67="","",DATE(YEAR($E67),MONTH($E67),1))</f>
        <v>46023</v>
      </c>
      <c r="M67" s="65" t="str">
        <f ca="1">IF($D67="","",IF($C67="TANIMSIZ MÜŞTERİ","HATA",IF(OR($E67="",$F67&lt;=0,$G67=""),"EKSİK",IF($E67&gt;TODAY(),"İLERİ TARİH",IF(COUNTIF($S$7:$S$2503,$S67)&gt;1,"MÜKERRER?",IF($T67&gt;0,"KAPALI DÖNEM","UYGUN"))))))</f>
        <v>UYGUN</v>
      </c>
      <c r="N67" s="74" t="str">
        <f>IF($C67="","",IF($C67="TANIMSIZ MÜŞTERİ","—",INDEX(MUSTERILER!$C$7:$C$156,MATCH($C67,MUSTERILER!$B$7:$B$156,0))))</f>
        <v>ÇINARHAN LTD.ŞTİ.</v>
      </c>
      <c r="O67" s="2"/>
      <c r="P67" s="2"/>
      <c r="Q67" s="1" t="str">
        <f>IF($D67="","",$C67&amp;"|"&amp;COUNTIFS($C$7:$C67,$C67))</f>
        <v>M018|3</v>
      </c>
      <c r="R67" s="1" t="str">
        <f t="shared" si="0"/>
        <v>CINARHANLTDSTI</v>
      </c>
      <c r="S67" s="1" t="str">
        <f t="shared" si="1"/>
        <v>M018|46048|2500|</v>
      </c>
      <c r="T67" s="1">
        <f>IF($E67="",0,SUMPRODUCT((AY_SONU!$O$7:$O$42="Evet")*(AY_SONU!$B$7:$B$42=DATE(YEAR($E67),MONTH($E67),1))))</f>
        <v>0</v>
      </c>
      <c r="U67" s="1" t="str">
        <f>IF(OR($G67="",$H67="Mahsup"),"",$G67&amp;"|"&amp;COUNTIFS($G$7:$G67,$G67,$H$7:$H67,"&lt;&gt;Mahsup"))</f>
        <v>MERKEZ KASA|44</v>
      </c>
    </row>
    <row r="68" spans="1:21" ht="18" customHeight="1" x14ac:dyDescent="0.3">
      <c r="A68" s="2"/>
      <c r="B68" s="65" t="str">
        <f>IF($D68="","","T"&amp;TEXT(ROW()-6,"00000"))</f>
        <v>T00062</v>
      </c>
      <c r="C68" s="65" t="str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>M019</v>
      </c>
      <c r="D68" s="61" t="s">
        <v>570</v>
      </c>
      <c r="E68" s="66">
        <v>46049</v>
      </c>
      <c r="F68" s="67">
        <v>1000</v>
      </c>
      <c r="G68" s="60" t="s">
        <v>717</v>
      </c>
      <c r="H68" s="60" t="s">
        <v>572</v>
      </c>
      <c r="I68" s="61"/>
      <c r="J68" s="61" t="s">
        <v>720</v>
      </c>
      <c r="K68" s="61"/>
      <c r="L68" s="73">
        <f>IF($E68="","",DATE(YEAR($E68),MONTH($E68),1))</f>
        <v>46023</v>
      </c>
      <c r="M68" s="65" t="str">
        <f ca="1">IF($D68="","",IF($C68="TANIMSIZ MÜŞTERİ","HATA",IF(OR($E68="",$F68&lt;=0,$G68=""),"EKSİK",IF($E68&gt;TODAY(),"İLERİ TARİH",IF(COUNTIF($S$7:$S$2503,$S68)&gt;1,"MÜKERRER?",IF($T68&gt;0,"KAPALI DÖNEM","UYGUN"))))))</f>
        <v>UYGUN</v>
      </c>
      <c r="N68" s="74" t="str">
        <f>IF($C68="","",IF($C68="TANIMSIZ MÜŞTERİ","—",INDEX(MUSTERILER!$C$7:$C$156,MATCH($C68,MUSTERILER!$B$7:$B$156,0))))</f>
        <v>AC OTEL LTD.ŞTİ.</v>
      </c>
      <c r="O68" s="2"/>
      <c r="P68" s="2"/>
      <c r="Q68" s="1" t="str">
        <f>IF($D68="","",$C68&amp;"|"&amp;COUNTIFS($C$7:$C68,$C68))</f>
        <v>M019|1</v>
      </c>
      <c r="R68" s="1" t="str">
        <f t="shared" si="0"/>
        <v>ACOTELLTDSTI</v>
      </c>
      <c r="S68" s="1" t="str">
        <f t="shared" si="1"/>
        <v>M019|46049|1000|</v>
      </c>
      <c r="T68" s="1">
        <f>IF($E68="",0,SUMPRODUCT((AY_SONU!$O$7:$O$42="Evet")*(AY_SONU!$B$7:$B$42=DATE(YEAR($E68),MONTH($E68),1))))</f>
        <v>0</v>
      </c>
      <c r="U68" s="1" t="str">
        <f>IF(OR($G68="",$H68="Mahsup"),"",$G68&amp;"|"&amp;COUNTIFS($G$7:$G68,$G68,$H$7:$H68,"&lt;&gt;Mahsup"))</f>
        <v>MERKEZ KASA|45</v>
      </c>
    </row>
    <row r="69" spans="1:21" ht="18" customHeight="1" x14ac:dyDescent="0.3">
      <c r="A69" s="2"/>
      <c r="B69" s="65" t="str">
        <f>IF($D69="","","T"&amp;TEXT(ROW()-6,"00000"))</f>
        <v>T00063</v>
      </c>
      <c r="C69" s="65" t="str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>M023</v>
      </c>
      <c r="D69" s="61" t="s">
        <v>576</v>
      </c>
      <c r="E69" s="66">
        <v>46053</v>
      </c>
      <c r="F69" s="67">
        <v>12000</v>
      </c>
      <c r="G69" s="60" t="s">
        <v>723</v>
      </c>
      <c r="H69" s="60" t="s">
        <v>572</v>
      </c>
      <c r="I69" s="61"/>
      <c r="J69" s="61" t="s">
        <v>725</v>
      </c>
      <c r="K69" s="61"/>
      <c r="L69" s="73">
        <f>IF($E69="","",DATE(YEAR($E69),MONTH($E69),1))</f>
        <v>46023</v>
      </c>
      <c r="M69" s="65" t="str">
        <f ca="1">IF($D69="","",IF($C69="TANIMSIZ MÜŞTERİ","HATA",IF(OR($E69="",$F69&lt;=0,$G69=""),"EKSİK",IF($E69&gt;TODAY(),"İLERİ TARİH",IF(COUNTIF($S$7:$S$2503,$S69)&gt;1,"MÜKERRER?",IF($T69&gt;0,"KAPALI DÖNEM","UYGUN"))))))</f>
        <v>UYGUN</v>
      </c>
      <c r="N69" s="74" t="str">
        <f>IF($C69="","",IF($C69="TANIMSIZ MÜŞTERİ","—",INDEX(MUSTERILER!$C$7:$C$156,MATCH($C69,MUSTERILER!$B$7:$B$156,0))))</f>
        <v>ALTINEL LTD.ŞTİ.</v>
      </c>
      <c r="O69" s="2"/>
      <c r="P69" s="2"/>
      <c r="Q69" s="1" t="str">
        <f>IF($D69="","",$C69&amp;"|"&amp;COUNTIFS($C$7:$C69,$C69))</f>
        <v>M023|1</v>
      </c>
      <c r="R69" s="1" t="str">
        <f t="shared" si="0"/>
        <v>ALTINELLTDSTI</v>
      </c>
      <c r="S69" s="1" t="str">
        <f t="shared" si="1"/>
        <v>M023|46053|12000|</v>
      </c>
      <c r="T69" s="1">
        <f>IF($E69="",0,SUMPRODUCT((AY_SONU!$O$7:$O$42="Evet")*(AY_SONU!$B$7:$B$42=DATE(YEAR($E69),MONTH($E69),1))))</f>
        <v>0</v>
      </c>
      <c r="U69" s="1" t="str">
        <f>IF(OR($G69="",$H69="Mahsup"),"",$G69&amp;"|"&amp;COUNTIFS($G$7:$G69,$G69,$H$7:$H69,"&lt;&gt;Mahsup"))</f>
        <v>ÖMER KARTAL|18</v>
      </c>
    </row>
    <row r="70" spans="1:21" ht="18" customHeight="1" x14ac:dyDescent="0.3">
      <c r="A70" s="2"/>
      <c r="B70" s="65" t="str">
        <f>IF($D70="","","T"&amp;TEXT(ROW()-6,"00000"))</f>
        <v>T00064</v>
      </c>
      <c r="C70" s="65" t="str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>M024</v>
      </c>
      <c r="D70" s="61" t="s">
        <v>579</v>
      </c>
      <c r="E70" s="66">
        <v>46053</v>
      </c>
      <c r="F70" s="67">
        <v>3000</v>
      </c>
      <c r="G70" s="60" t="s">
        <v>723</v>
      </c>
      <c r="H70" s="60" t="s">
        <v>572</v>
      </c>
      <c r="I70" s="61"/>
      <c r="J70" s="61" t="s">
        <v>724</v>
      </c>
      <c r="K70" s="61"/>
      <c r="L70" s="73">
        <f>IF($E70="","",DATE(YEAR($E70),MONTH($E70),1))</f>
        <v>46023</v>
      </c>
      <c r="M70" s="65" t="str">
        <f ca="1">IF($D70="","",IF($C70="TANIMSIZ MÜŞTERİ","HATA",IF(OR($E70="",$F70&lt;=0,$G70=""),"EKSİK",IF($E70&gt;TODAY(),"İLERİ TARİH",IF(COUNTIF($S$7:$S$2503,$S70)&gt;1,"MÜKERRER?",IF($T70&gt;0,"KAPALI DÖNEM","UYGUN"))))))</f>
        <v>UYGUN</v>
      </c>
      <c r="N70" s="74" t="str">
        <f>IF($C70="","",IF($C70="TANIMSIZ MÜŞTERİ","—",INDEX(MUSTERILER!$C$7:$C$156,MATCH($C70,MUSTERILER!$B$7:$B$156,0))))</f>
        <v>ARMAN DİK</v>
      </c>
      <c r="O70" s="2"/>
      <c r="P70" s="2"/>
      <c r="Q70" s="1" t="str">
        <f>IF($D70="","",$C70&amp;"|"&amp;COUNTIFS($C$7:$C70,$C70))</f>
        <v>M024|1</v>
      </c>
      <c r="R70" s="1" t="str">
        <f t="shared" si="0"/>
        <v>ARMANDIK</v>
      </c>
      <c r="S70" s="1" t="str">
        <f t="shared" si="1"/>
        <v>M024|46053|3000|</v>
      </c>
      <c r="T70" s="1">
        <f>IF($E70="",0,SUMPRODUCT((AY_SONU!$O$7:$O$42="Evet")*(AY_SONU!$B$7:$B$42=DATE(YEAR($E70),MONTH($E70),1))))</f>
        <v>0</v>
      </c>
      <c r="U70" s="1" t="str">
        <f>IF(OR($G70="",$H70="Mahsup"),"",$G70&amp;"|"&amp;COUNTIFS($G$7:$G70,$G70,$H$7:$H70,"&lt;&gt;Mahsup"))</f>
        <v>ÖMER KARTAL|19</v>
      </c>
    </row>
    <row r="71" spans="1:21" ht="18" customHeight="1" x14ac:dyDescent="0.3">
      <c r="A71" s="2"/>
      <c r="B71" s="65" t="str">
        <f>IF($D71="","","T"&amp;TEXT(ROW()-6,"00000"))</f>
        <v>T00065</v>
      </c>
      <c r="C71" s="65" t="str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>M021</v>
      </c>
      <c r="D71" s="61" t="s">
        <v>581</v>
      </c>
      <c r="E71" s="66">
        <v>46053</v>
      </c>
      <c r="F71" s="67">
        <v>20000</v>
      </c>
      <c r="G71" s="60" t="s">
        <v>723</v>
      </c>
      <c r="H71" s="60" t="s">
        <v>572</v>
      </c>
      <c r="I71" s="61"/>
      <c r="J71" s="61" t="s">
        <v>726</v>
      </c>
      <c r="K71" s="61"/>
      <c r="L71" s="73">
        <f>IF($E71="","",DATE(YEAR($E71),MONTH($E71),1))</f>
        <v>46023</v>
      </c>
      <c r="M71" s="65" t="str">
        <f ca="1">IF($D71="","",IF($C71="TANIMSIZ MÜŞTERİ","HATA",IF(OR($E71="",$F71&lt;=0,$G71=""),"EKSİK",IF($E71&gt;TODAY(),"İLERİ TARİH",IF(COUNTIF($S$7:$S$2503,$S71)&gt;1,"MÜKERRER?",IF($T71&gt;0,"KAPALI DÖNEM","UYGUN"))))))</f>
        <v>UYGUN</v>
      </c>
      <c r="N71" s="74" t="str">
        <f>IF($C71="","",IF($C71="TANIMSIZ MÜŞTERİ","—",INDEX(MUSTERILER!$C$7:$C$156,MATCH($C71,MUSTERILER!$B$7:$B$156,0))))</f>
        <v>ARON TOPTAN LTD.ŞTİ.</v>
      </c>
      <c r="O71" s="2"/>
      <c r="P71" s="2"/>
      <c r="Q71" s="1" t="str">
        <f>IF($D71="","",$C71&amp;"|"&amp;COUNTIFS($C$7:$C71,$C71))</f>
        <v>M021|1</v>
      </c>
      <c r="R71" s="1" t="str">
        <f t="shared" ref="R71:R134" si="2"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>ARONTOPTANLTDSTI</v>
      </c>
      <c r="S71" s="1" t="str">
        <f t="shared" ref="S71:S134" si="3">IF($D71="","",$C71&amp;"|"&amp;TEXT($E71,"0")&amp;"|"&amp;TEXT($F71,"0")&amp;"|"&amp;$I71)</f>
        <v>M021|46053|20000|</v>
      </c>
      <c r="T71" s="1">
        <f>IF($E71="",0,SUMPRODUCT((AY_SONU!$O$7:$O$42="Evet")*(AY_SONU!$B$7:$B$42=DATE(YEAR($E71),MONTH($E71),1))))</f>
        <v>0</v>
      </c>
      <c r="U71" s="1" t="str">
        <f>IF(OR($G71="",$H71="Mahsup"),"",$G71&amp;"|"&amp;COUNTIFS($G$7:$G71,$G71,$H$7:$H71,"&lt;&gt;Mahsup"))</f>
        <v>ÖMER KARTAL|20</v>
      </c>
    </row>
    <row r="72" spans="1:21" ht="18" customHeight="1" x14ac:dyDescent="0.3">
      <c r="A72" s="2"/>
      <c r="B72" s="65" t="str">
        <f>IF($D72="","","T"&amp;TEXT(ROW()-6,"00000"))</f>
        <v>T00066</v>
      </c>
      <c r="C72" s="65" t="str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>M018</v>
      </c>
      <c r="D72" s="61" t="s">
        <v>593</v>
      </c>
      <c r="E72" s="66">
        <v>46053</v>
      </c>
      <c r="F72" s="67">
        <v>2500</v>
      </c>
      <c r="G72" s="60" t="s">
        <v>723</v>
      </c>
      <c r="H72" s="60" t="s">
        <v>572</v>
      </c>
      <c r="I72" s="61"/>
      <c r="J72" s="61" t="s">
        <v>724</v>
      </c>
      <c r="K72" s="61"/>
      <c r="L72" s="73">
        <f>IF($E72="","",DATE(YEAR($E72),MONTH($E72),1))</f>
        <v>46023</v>
      </c>
      <c r="M72" s="65" t="str">
        <f ca="1">IF($D72="","",IF($C72="TANIMSIZ MÜŞTERİ","HATA",IF(OR($E72="",$F72&lt;=0,$G72=""),"EKSİK",IF($E72&gt;TODAY(),"İLERİ TARİH",IF(COUNTIF($S$7:$S$2503,$S72)&gt;1,"MÜKERRER?",IF($T72&gt;0,"KAPALI DÖNEM","UYGUN"))))))</f>
        <v>UYGUN</v>
      </c>
      <c r="N72" s="74" t="str">
        <f>IF($C72="","",IF($C72="TANIMSIZ MÜŞTERİ","—",INDEX(MUSTERILER!$C$7:$C$156,MATCH($C72,MUSTERILER!$B$7:$B$156,0))))</f>
        <v>ÇINARHAN LTD.ŞTİ.</v>
      </c>
      <c r="O72" s="2"/>
      <c r="P72" s="2"/>
      <c r="Q72" s="1" t="str">
        <f>IF($D72="","",$C72&amp;"|"&amp;COUNTIFS($C$7:$C72,$C72))</f>
        <v>M018|4</v>
      </c>
      <c r="R72" s="1" t="str">
        <f t="shared" si="2"/>
        <v>CINARHANLTDSTI</v>
      </c>
      <c r="S72" s="1" t="str">
        <f t="shared" si="3"/>
        <v>M018|46053|2500|</v>
      </c>
      <c r="T72" s="1">
        <f>IF($E72="",0,SUMPRODUCT((AY_SONU!$O$7:$O$42="Evet")*(AY_SONU!$B$7:$B$42=DATE(YEAR($E72),MONTH($E72),1))))</f>
        <v>0</v>
      </c>
      <c r="U72" s="1" t="str">
        <f>IF(OR($G72="",$H72="Mahsup"),"",$G72&amp;"|"&amp;COUNTIFS($G$7:$G72,$G72,$H$7:$H72,"&lt;&gt;Mahsup"))</f>
        <v>ÖMER KARTAL|21</v>
      </c>
    </row>
    <row r="73" spans="1:21" ht="18" customHeight="1" x14ac:dyDescent="0.3">
      <c r="A73" s="2"/>
      <c r="B73" s="65" t="str">
        <f>IF($D73="","","T"&amp;TEXT(ROW()-6,"00000"))</f>
        <v>T00067</v>
      </c>
      <c r="C73" s="65" t="str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>M011</v>
      </c>
      <c r="D73" s="61" t="s">
        <v>597</v>
      </c>
      <c r="E73" s="66">
        <v>46053</v>
      </c>
      <c r="F73" s="67">
        <v>6000</v>
      </c>
      <c r="G73" s="60" t="s">
        <v>723</v>
      </c>
      <c r="H73" s="60" t="s">
        <v>572</v>
      </c>
      <c r="I73" s="61"/>
      <c r="J73" s="61" t="s">
        <v>724</v>
      </c>
      <c r="K73" s="61"/>
      <c r="L73" s="73">
        <f>IF($E73="","",DATE(YEAR($E73),MONTH($E73),1))</f>
        <v>46023</v>
      </c>
      <c r="M73" s="65" t="str">
        <f ca="1">IF($D73="","",IF($C73="TANIMSIZ MÜŞTERİ","HATA",IF(OR($E73="",$F73&lt;=0,$G73=""),"EKSİK",IF($E73&gt;TODAY(),"İLERİ TARİH",IF(COUNTIF($S$7:$S$2503,$S73)&gt;1,"MÜKERRER?",IF($T73&gt;0,"KAPALI DÖNEM","UYGUN"))))))</f>
        <v>UYGUN</v>
      </c>
      <c r="N73" s="74" t="str">
        <f>IF($C73="","",IF($C73="TANIMSIZ MÜŞTERİ","—",INDEX(MUSTERILER!$C$7:$C$156,MATCH($C73,MUSTERILER!$B$7:$B$156,0))))</f>
        <v>EĞLENGÖR LTD.ŞTİ.</v>
      </c>
      <c r="O73" s="2"/>
      <c r="P73" s="2"/>
      <c r="Q73" s="1" t="str">
        <f>IF($D73="","",$C73&amp;"|"&amp;COUNTIFS($C$7:$C73,$C73))</f>
        <v>M011|4</v>
      </c>
      <c r="R73" s="1" t="str">
        <f t="shared" si="2"/>
        <v>EGLENGORLTDSTI</v>
      </c>
      <c r="S73" s="1" t="str">
        <f t="shared" si="3"/>
        <v>M011|46053|6000|</v>
      </c>
      <c r="T73" s="1">
        <f>IF($E73="",0,SUMPRODUCT((AY_SONU!$O$7:$O$42="Evet")*(AY_SONU!$B$7:$B$42=DATE(YEAR($E73),MONTH($E73),1))))</f>
        <v>0</v>
      </c>
      <c r="U73" s="1" t="str">
        <f>IF(OR($G73="",$H73="Mahsup"),"",$G73&amp;"|"&amp;COUNTIFS($G$7:$G73,$G73,$H$7:$H73,"&lt;&gt;Mahsup"))</f>
        <v>ÖMER KARTAL|22</v>
      </c>
    </row>
    <row r="74" spans="1:21" ht="18" customHeight="1" x14ac:dyDescent="0.3">
      <c r="A74" s="2"/>
      <c r="B74" s="65" t="str">
        <f>IF($D74="","","T"&amp;TEXT(ROW()-6,"00000"))</f>
        <v>T00068</v>
      </c>
      <c r="C74" s="65" t="str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>M001</v>
      </c>
      <c r="D74" s="61" t="s">
        <v>17</v>
      </c>
      <c r="E74" s="66">
        <v>46053</v>
      </c>
      <c r="F74" s="67">
        <v>8000</v>
      </c>
      <c r="G74" s="60" t="s">
        <v>717</v>
      </c>
      <c r="H74" s="60" t="s">
        <v>572</v>
      </c>
      <c r="I74" s="61"/>
      <c r="J74" s="61" t="s">
        <v>720</v>
      </c>
      <c r="K74" s="61"/>
      <c r="L74" s="73">
        <f>IF($E74="","",DATE(YEAR($E74),MONTH($E74),1))</f>
        <v>46023</v>
      </c>
      <c r="M74" s="65" t="str">
        <f ca="1">IF($D74="","",IF($C74="TANIMSIZ MÜŞTERİ","HATA",IF(OR($E74="",$F74&lt;=0,$G74=""),"EKSİK",IF($E74&gt;TODAY(),"İLERİ TARİH",IF(COUNTIF($S$7:$S$2503,$S74)&gt;1,"MÜKERRER?",IF($T74&gt;0,"KAPALI DÖNEM","UYGUN"))))))</f>
        <v>UYGUN</v>
      </c>
      <c r="N74" s="74" t="str">
        <f>IF($C74="","",IF($C74="TANIMSIZ MÜŞTERİ","—",INDEX(MUSTERILER!$C$7:$C$156,MATCH($C74,MUSTERILER!$B$7:$B$156,0))))</f>
        <v>ANKARA HAVANA LTD.ŞTİ.</v>
      </c>
      <c r="O74" s="2"/>
      <c r="P74" s="2"/>
      <c r="Q74" s="1" t="str">
        <f>IF($D74="","",$C74&amp;"|"&amp;COUNTIFS($C$7:$C74,$C74))</f>
        <v>M001|3</v>
      </c>
      <c r="R74" s="1" t="str">
        <f t="shared" si="2"/>
        <v>ANKARAHAVANALTDSTI</v>
      </c>
      <c r="S74" s="1" t="str">
        <f t="shared" si="3"/>
        <v>M001|46053|8000|</v>
      </c>
      <c r="T74" s="1">
        <f>IF($E74="",0,SUMPRODUCT((AY_SONU!$O$7:$O$42="Evet")*(AY_SONU!$B$7:$B$42=DATE(YEAR($E74),MONTH($E74),1))))</f>
        <v>0</v>
      </c>
      <c r="U74" s="1" t="str">
        <f>IF(OR($G74="",$H74="Mahsup"),"",$G74&amp;"|"&amp;COUNTIFS($G$7:$G74,$G74,$H$7:$H74,"&lt;&gt;Mahsup"))</f>
        <v>MERKEZ KASA|46</v>
      </c>
    </row>
    <row r="75" spans="1:21" ht="18" customHeight="1" x14ac:dyDescent="0.3">
      <c r="A75" s="2"/>
      <c r="B75" s="65" t="str">
        <f>IF($D75="","","T"&amp;TEXT(ROW()-6,"00000"))</f>
        <v>T00069</v>
      </c>
      <c r="C75" s="65" t="str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>M025</v>
      </c>
      <c r="D75" s="61" t="s">
        <v>583</v>
      </c>
      <c r="E75" s="66">
        <v>46053</v>
      </c>
      <c r="F75" s="67">
        <v>2000</v>
      </c>
      <c r="G75" s="60" t="s">
        <v>717</v>
      </c>
      <c r="H75" s="60" t="s">
        <v>572</v>
      </c>
      <c r="I75" s="61"/>
      <c r="J75" s="61" t="s">
        <v>720</v>
      </c>
      <c r="K75" s="61"/>
      <c r="L75" s="73">
        <f>IF($E75="","",DATE(YEAR($E75),MONTH($E75),1))</f>
        <v>46023</v>
      </c>
      <c r="M75" s="65" t="str">
        <f ca="1">IF($D75="","",IF($C75="TANIMSIZ MÜŞTERİ","HATA",IF(OR($E75="",$F75&lt;=0,$G75=""),"EKSİK",IF($E75&gt;TODAY(),"İLERİ TARİH",IF(COUNTIF($S$7:$S$2503,$S75)&gt;1,"MÜKERRER?",IF($T75&gt;0,"KAPALI DÖNEM","UYGUN"))))))</f>
        <v>UYGUN</v>
      </c>
      <c r="N75" s="74" t="str">
        <f>IF($C75="","",IF($C75="TANIMSIZ MÜŞTERİ","—",INDEX(MUSTERILER!$C$7:$C$156,MATCH($C75,MUSTERILER!$B$7:$B$156,0))))</f>
        <v>ASIM AÇIKGÖZ</v>
      </c>
      <c r="O75" s="2"/>
      <c r="P75" s="2"/>
      <c r="Q75" s="1" t="str">
        <f>IF($D75="","",$C75&amp;"|"&amp;COUNTIFS($C$7:$C75,$C75))</f>
        <v>M025|4</v>
      </c>
      <c r="R75" s="1" t="str">
        <f t="shared" si="2"/>
        <v>ASIMACIKGOZ</v>
      </c>
      <c r="S75" s="1" t="str">
        <f t="shared" si="3"/>
        <v>M025|46053|2000|</v>
      </c>
      <c r="T75" s="1">
        <f>IF($E75="",0,SUMPRODUCT((AY_SONU!$O$7:$O$42="Evet")*(AY_SONU!$B$7:$B$42=DATE(YEAR($E75),MONTH($E75),1))))</f>
        <v>0</v>
      </c>
      <c r="U75" s="1" t="str">
        <f>IF(OR($G75="",$H75="Mahsup"),"",$G75&amp;"|"&amp;COUNTIFS($G$7:$G75,$G75,$H$7:$H75,"&lt;&gt;Mahsup"))</f>
        <v>MERKEZ KASA|47</v>
      </c>
    </row>
    <row r="76" spans="1:21" ht="18" customHeight="1" x14ac:dyDescent="0.3">
      <c r="A76" s="2"/>
      <c r="B76" s="65" t="str">
        <f>IF($D76="","","T"&amp;TEXT(ROW()-6,"00000"))</f>
        <v>T00070</v>
      </c>
      <c r="C76" s="65" t="str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>M017</v>
      </c>
      <c r="D76" s="61" t="s">
        <v>585</v>
      </c>
      <c r="E76" s="66">
        <v>46053</v>
      </c>
      <c r="F76" s="67">
        <v>2500</v>
      </c>
      <c r="G76" s="60" t="s">
        <v>717</v>
      </c>
      <c r="H76" s="60" t="s">
        <v>572</v>
      </c>
      <c r="I76" s="61"/>
      <c r="J76" s="61" t="s">
        <v>720</v>
      </c>
      <c r="K76" s="61"/>
      <c r="L76" s="73">
        <f>IF($E76="","",DATE(YEAR($E76),MONTH($E76),1))</f>
        <v>46023</v>
      </c>
      <c r="M76" s="65" t="str">
        <f ca="1">IF($D76="","",IF($C76="TANIMSIZ MÜŞTERİ","HATA",IF(OR($E76="",$F76&lt;=0,$G76=""),"EKSİK",IF($E76&gt;TODAY(),"İLERİ TARİH",IF(COUNTIF($S$7:$S$2503,$S76)&gt;1,"MÜKERRER?",IF($T76&gt;0,"KAPALI DÖNEM","UYGUN"))))))</f>
        <v>UYGUN</v>
      </c>
      <c r="N76" s="74" t="str">
        <f>IF($C76="","",IF($C76="TANIMSIZ MÜŞTERİ","—",INDEX(MUSTERILER!$C$7:$C$156,MATCH($C76,MUSTERILER!$B$7:$B$156,0))))</f>
        <v>ASM EĞLENCE LTD.ŞTİ.</v>
      </c>
      <c r="O76" s="2"/>
      <c r="P76" s="2"/>
      <c r="Q76" s="1" t="str">
        <f>IF($D76="","",$C76&amp;"|"&amp;COUNTIFS($C$7:$C76,$C76))</f>
        <v>M017|4</v>
      </c>
      <c r="R76" s="1" t="str">
        <f t="shared" si="2"/>
        <v>ASMEGLENCELTDSTI</v>
      </c>
      <c r="S76" s="1" t="str">
        <f t="shared" si="3"/>
        <v>M017|46053|2500|</v>
      </c>
      <c r="T76" s="1">
        <f>IF($E76="",0,SUMPRODUCT((AY_SONU!$O$7:$O$42="Evet")*(AY_SONU!$B$7:$B$42=DATE(YEAR($E76),MONTH($E76),1))))</f>
        <v>0</v>
      </c>
      <c r="U76" s="1" t="str">
        <f>IF(OR($G76="",$H76="Mahsup"),"",$G76&amp;"|"&amp;COUNTIFS($G$7:$G76,$G76,$H$7:$H76,"&lt;&gt;Mahsup"))</f>
        <v>MERKEZ KASA|48</v>
      </c>
    </row>
    <row r="77" spans="1:21" ht="18" customHeight="1" x14ac:dyDescent="0.3">
      <c r="A77" s="2"/>
      <c r="B77" s="65" t="str">
        <f>IF($D77="","","T"&amp;TEXT(ROW()-6,"00000"))</f>
        <v>T00071</v>
      </c>
      <c r="C77" s="65" t="str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>M013</v>
      </c>
      <c r="D77" s="61" t="s">
        <v>644</v>
      </c>
      <c r="E77" s="66">
        <v>46053</v>
      </c>
      <c r="F77" s="67">
        <v>2000</v>
      </c>
      <c r="G77" s="60" t="s">
        <v>723</v>
      </c>
      <c r="H77" s="60" t="s">
        <v>572</v>
      </c>
      <c r="I77" s="61"/>
      <c r="J77" s="61" t="s">
        <v>724</v>
      </c>
      <c r="K77" s="61"/>
      <c r="L77" s="73">
        <f>IF($E77="","",DATE(YEAR($E77),MONTH($E77),1))</f>
        <v>46023</v>
      </c>
      <c r="M77" s="65" t="str">
        <f ca="1">IF($D77="","",IF($C77="TANIMSIZ MÜŞTERİ","HATA",IF(OR($E77="",$F77&lt;=0,$G77=""),"EKSİK",IF($E77&gt;TODAY(),"İLERİ TARİH",IF(COUNTIF($S$7:$S$2503,$S77)&gt;1,"MÜKERRER?",IF($T77&gt;0,"KAPALI DÖNEM","UYGUN"))))))</f>
        <v>UYGUN</v>
      </c>
      <c r="N77" s="74" t="str">
        <f>IF($C77="","",IF($C77="TANIMSIZ MÜŞTERİ","—",INDEX(MUSTERILER!$C$7:$C$156,MATCH($C77,MUSTERILER!$B$7:$B$156,0))))</f>
        <v>NAZ 1 GIDA LTD.ŞTİ.</v>
      </c>
      <c r="O77" s="2"/>
      <c r="P77" s="2"/>
      <c r="Q77" s="1" t="str">
        <f>IF($D77="","",$C77&amp;"|"&amp;COUNTIFS($C$7:$C77,$C77))</f>
        <v>M013|4</v>
      </c>
      <c r="R77" s="1" t="str">
        <f t="shared" si="2"/>
        <v>NAZ1GIDALTDSTI</v>
      </c>
      <c r="S77" s="1" t="str">
        <f t="shared" si="3"/>
        <v>M013|46053|2000|</v>
      </c>
      <c r="T77" s="1">
        <f>IF($E77="",0,SUMPRODUCT((AY_SONU!$O$7:$O$42="Evet")*(AY_SONU!$B$7:$B$42=DATE(YEAR($E77),MONTH($E77),1))))</f>
        <v>0</v>
      </c>
      <c r="U77" s="1" t="str">
        <f>IF(OR($G77="",$H77="Mahsup"),"",$G77&amp;"|"&amp;COUNTIFS($G$7:$G77,$G77,$H$7:$H77,"&lt;&gt;Mahsup"))</f>
        <v>ÖMER KARTAL|23</v>
      </c>
    </row>
    <row r="78" spans="1:21" ht="18" customHeight="1" x14ac:dyDescent="0.3">
      <c r="A78" s="2"/>
      <c r="B78" s="65" t="str">
        <f>IF($D78="","","T"&amp;TEXT(ROW()-6,"00000"))</f>
        <v>T00072</v>
      </c>
      <c r="C78" s="65" t="str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>M015</v>
      </c>
      <c r="D78" s="61" t="s">
        <v>589</v>
      </c>
      <c r="E78" s="66">
        <v>46053</v>
      </c>
      <c r="F78" s="67">
        <v>3000</v>
      </c>
      <c r="G78" s="60" t="s">
        <v>717</v>
      </c>
      <c r="H78" s="60" t="s">
        <v>572</v>
      </c>
      <c r="I78" s="61"/>
      <c r="J78" s="61" t="s">
        <v>720</v>
      </c>
      <c r="K78" s="61"/>
      <c r="L78" s="73">
        <f>IF($E78="","",DATE(YEAR($E78),MONTH($E78),1))</f>
        <v>46023</v>
      </c>
      <c r="M78" s="65" t="str">
        <f ca="1">IF($D78="","",IF($C78="TANIMSIZ MÜŞTERİ","HATA",IF(OR($E78="",$F78&lt;=0,$G78=""),"EKSİK",IF($E78&gt;TODAY(),"İLERİ TARİH",IF(COUNTIF($S$7:$S$2503,$S78)&gt;1,"MÜKERRER?",IF($T78&gt;0,"KAPALI DÖNEM","UYGUN"))))))</f>
        <v>UYGUN</v>
      </c>
      <c r="N78" s="74" t="str">
        <f>IF($C78="","",IF($C78="TANIMSIZ MÜŞTERİ","—",INDEX(MUSTERILER!$C$7:$C$156,MATCH($C78,MUSTERILER!$B$7:$B$156,0))))</f>
        <v>ÇAYIRALAN LTD.ŞTİ.</v>
      </c>
      <c r="O78" s="2"/>
      <c r="P78" s="2"/>
      <c r="Q78" s="1" t="str">
        <f>IF($D78="","",$C78&amp;"|"&amp;COUNTIFS($C$7:$C78,$C78))</f>
        <v>M015|5</v>
      </c>
      <c r="R78" s="1" t="str">
        <f t="shared" si="2"/>
        <v>CAYIRALANLTDSTI</v>
      </c>
      <c r="S78" s="1" t="str">
        <f t="shared" si="3"/>
        <v>M015|46053|3000|</v>
      </c>
      <c r="T78" s="1">
        <f>IF($E78="",0,SUMPRODUCT((AY_SONU!$O$7:$O$42="Evet")*(AY_SONU!$B$7:$B$42=DATE(YEAR($E78),MONTH($E78),1))))</f>
        <v>0</v>
      </c>
      <c r="U78" s="1" t="str">
        <f>IF(OR($G78="",$H78="Mahsup"),"",$G78&amp;"|"&amp;COUNTIFS($G$7:$G78,$G78,$H$7:$H78,"&lt;&gt;Mahsup"))</f>
        <v>MERKEZ KASA|49</v>
      </c>
    </row>
    <row r="79" spans="1:21" ht="18" customHeight="1" x14ac:dyDescent="0.3">
      <c r="A79" s="2"/>
      <c r="B79" s="65" t="str">
        <f>IF($D79="","","T"&amp;TEXT(ROW()-6,"00000"))</f>
        <v>T00073</v>
      </c>
      <c r="C79" s="65" t="str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>M014</v>
      </c>
      <c r="D79" s="61" t="s">
        <v>605</v>
      </c>
      <c r="E79" s="66">
        <v>46053</v>
      </c>
      <c r="F79" s="67">
        <v>2000</v>
      </c>
      <c r="G79" s="60" t="s">
        <v>717</v>
      </c>
      <c r="H79" s="60" t="s">
        <v>572</v>
      </c>
      <c r="I79" s="61"/>
      <c r="J79" s="61" t="s">
        <v>720</v>
      </c>
      <c r="K79" s="61"/>
      <c r="L79" s="73">
        <f>IF($E79="","",DATE(YEAR($E79),MONTH($E79),1))</f>
        <v>46023</v>
      </c>
      <c r="M79" s="65" t="str">
        <f ca="1">IF($D79="","",IF($C79="TANIMSIZ MÜŞTERİ","HATA",IF(OR($E79="",$F79&lt;=0,$G79=""),"EKSİK",IF($E79&gt;TODAY(),"İLERİ TARİH",IF(COUNTIF($S$7:$S$2503,$S79)&gt;1,"MÜKERRER?",IF($T79&gt;0,"KAPALI DÖNEM","UYGUN"))))))</f>
        <v>UYGUN</v>
      </c>
      <c r="N79" s="74" t="str">
        <f>IF($C79="","",IF($C79="TANIMSIZ MÜŞTERİ","—",INDEX(MUSTERILER!$C$7:$C$156,MATCH($C79,MUSTERILER!$B$7:$B$156,0))))</f>
        <v>FİNAL SİYAH BEYAZ LTD.ŞTİ.</v>
      </c>
      <c r="O79" s="2"/>
      <c r="P79" s="2"/>
      <c r="Q79" s="1" t="str">
        <f>IF($D79="","",$C79&amp;"|"&amp;COUNTIFS($C$7:$C79,$C79))</f>
        <v>M014|4</v>
      </c>
      <c r="R79" s="1" t="str">
        <f t="shared" si="2"/>
        <v>FINALSIYAHBEYAZLTDSTI</v>
      </c>
      <c r="S79" s="1" t="str">
        <f t="shared" si="3"/>
        <v>M014|46053|2000|</v>
      </c>
      <c r="T79" s="1">
        <f>IF($E79="",0,SUMPRODUCT((AY_SONU!$O$7:$O$42="Evet")*(AY_SONU!$B$7:$B$42=DATE(YEAR($E79),MONTH($E79),1))))</f>
        <v>0</v>
      </c>
      <c r="U79" s="1" t="str">
        <f>IF(OR($G79="",$H79="Mahsup"),"",$G79&amp;"|"&amp;COUNTIFS($G$7:$G79,$G79,$H$7:$H79,"&lt;&gt;Mahsup"))</f>
        <v>MERKEZ KASA|50</v>
      </c>
    </row>
    <row r="80" spans="1:21" ht="18" customHeight="1" x14ac:dyDescent="0.3">
      <c r="A80" s="2"/>
      <c r="B80" s="65" t="str">
        <f>IF($D80="","","T"&amp;TEXT(ROW()-6,"00000"))</f>
        <v>T00074</v>
      </c>
      <c r="C80" s="65" t="str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>M034</v>
      </c>
      <c r="D80" s="61" t="s">
        <v>611</v>
      </c>
      <c r="E80" s="66">
        <v>46053</v>
      </c>
      <c r="F80" s="67">
        <v>1500</v>
      </c>
      <c r="G80" s="60" t="s">
        <v>717</v>
      </c>
      <c r="H80" s="60" t="s">
        <v>572</v>
      </c>
      <c r="I80" s="61"/>
      <c r="J80" s="61" t="s">
        <v>720</v>
      </c>
      <c r="K80" s="61"/>
      <c r="L80" s="73">
        <f>IF($E80="","",DATE(YEAR($E80),MONTH($E80),1))</f>
        <v>46023</v>
      </c>
      <c r="M80" s="65" t="str">
        <f ca="1">IF($D80="","",IF($C80="TANIMSIZ MÜŞTERİ","HATA",IF(OR($E80="",$F80&lt;=0,$G80=""),"EKSİK",IF($E80&gt;TODAY(),"İLERİ TARİH",IF(COUNTIF($S$7:$S$2503,$S80)&gt;1,"MÜKERRER?",IF($T80&gt;0,"KAPALI DÖNEM","UYGUN"))))))</f>
        <v>UYGUN</v>
      </c>
      <c r="N80" s="74" t="str">
        <f>IF($C80="","",IF($C80="TANIMSIZ MÜŞTERİ","—",INDEX(MUSTERILER!$C$7:$C$156,MATCH($C80,MUSTERILER!$B$7:$B$156,0))))</f>
        <v>İBRAHİM MALDAN</v>
      </c>
      <c r="O80" s="2"/>
      <c r="P80" s="2"/>
      <c r="Q80" s="1" t="str">
        <f>IF($D80="","",$C80&amp;"|"&amp;COUNTIFS($C$7:$C80,$C80))</f>
        <v>M034|4</v>
      </c>
      <c r="R80" s="1" t="str">
        <f t="shared" si="2"/>
        <v>IBRAHIMMALDAN</v>
      </c>
      <c r="S80" s="1" t="str">
        <f t="shared" si="3"/>
        <v>M034|46053|1500|</v>
      </c>
      <c r="T80" s="1">
        <f>IF($E80="",0,SUMPRODUCT((AY_SONU!$O$7:$O$42="Evet")*(AY_SONU!$B$7:$B$42=DATE(YEAR($E80),MONTH($E80),1))))</f>
        <v>0</v>
      </c>
      <c r="U80" s="1" t="str">
        <f>IF(OR($G80="",$H80="Mahsup"),"",$G80&amp;"|"&amp;COUNTIFS($G$7:$G80,$G80,$H$7:$H80,"&lt;&gt;Mahsup"))</f>
        <v>MERKEZ KASA|51</v>
      </c>
    </row>
    <row r="81" spans="1:21" ht="18" customHeight="1" x14ac:dyDescent="0.3">
      <c r="A81" s="2"/>
      <c r="B81" s="65" t="str">
        <f>IF($D81="","","T"&amp;TEXT(ROW()-6,"00000"))</f>
        <v>T00075</v>
      </c>
      <c r="C81" s="65" t="str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>M006</v>
      </c>
      <c r="D81" s="61" t="s">
        <v>672</v>
      </c>
      <c r="E81" s="66">
        <v>46053</v>
      </c>
      <c r="F81" s="67">
        <v>1000</v>
      </c>
      <c r="G81" s="60" t="s">
        <v>723</v>
      </c>
      <c r="H81" s="60" t="s">
        <v>572</v>
      </c>
      <c r="I81" s="61"/>
      <c r="J81" s="61" t="s">
        <v>727</v>
      </c>
      <c r="K81" s="61"/>
      <c r="L81" s="73">
        <f>IF($E81="","",DATE(YEAR($E81),MONTH($E81),1))</f>
        <v>46023</v>
      </c>
      <c r="M81" s="65" t="str">
        <f ca="1">IF($D81="","",IF($C81="TANIMSIZ MÜŞTERİ","HATA",IF(OR($E81="",$F81&lt;=0,$G81=""),"EKSİK",IF($E81&gt;TODAY(),"İLERİ TARİH",IF(COUNTIF($S$7:$S$2503,$S81)&gt;1,"MÜKERRER?",IF($T81&gt;0,"KAPALI DÖNEM","UYGUN"))))))</f>
        <v>UYGUN</v>
      </c>
      <c r="N81" s="74" t="str">
        <f>IF($C81="","",IF($C81="TANIMSIZ MÜŞTERİ","—",INDEX(MUSTERILER!$C$7:$C$156,MATCH($C81,MUSTERILER!$B$7:$B$156,0))))</f>
        <v>VOLKAN AÇIK</v>
      </c>
      <c r="O81" s="2"/>
      <c r="P81" s="2"/>
      <c r="Q81" s="1" t="str">
        <f>IF($D81="","",$C81&amp;"|"&amp;COUNTIFS($C$7:$C81,$C81))</f>
        <v>M006|1</v>
      </c>
      <c r="R81" s="1" t="str">
        <f t="shared" si="2"/>
        <v>VOLKANACIK</v>
      </c>
      <c r="S81" s="1" t="str">
        <f t="shared" si="3"/>
        <v>M006|46053|1000|</v>
      </c>
      <c r="T81" s="1">
        <f>IF($E81="",0,SUMPRODUCT((AY_SONU!$O$7:$O$42="Evet")*(AY_SONU!$B$7:$B$42=DATE(YEAR($E81),MONTH($E81),1))))</f>
        <v>0</v>
      </c>
      <c r="U81" s="1" t="str">
        <f>IF(OR($G81="",$H81="Mahsup"),"",$G81&amp;"|"&amp;COUNTIFS($G$7:$G81,$G81,$H$7:$H81,"&lt;&gt;Mahsup"))</f>
        <v>ÖMER KARTAL|24</v>
      </c>
    </row>
    <row r="82" spans="1:21" ht="18" customHeight="1" x14ac:dyDescent="0.3">
      <c r="A82" s="2"/>
      <c r="B82" s="65" t="str">
        <f>IF($D82="","","T"&amp;TEXT(ROW()-6,"00000"))</f>
        <v>T00076</v>
      </c>
      <c r="C82" s="65" t="str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>M012</v>
      </c>
      <c r="D82" s="61" t="s">
        <v>613</v>
      </c>
      <c r="E82" s="66">
        <v>46053</v>
      </c>
      <c r="F82" s="67">
        <v>2000</v>
      </c>
      <c r="G82" s="60" t="s">
        <v>717</v>
      </c>
      <c r="H82" s="60" t="s">
        <v>572</v>
      </c>
      <c r="I82" s="61"/>
      <c r="J82" s="61" t="s">
        <v>720</v>
      </c>
      <c r="K82" s="61"/>
      <c r="L82" s="73">
        <f>IF($E82="","",DATE(YEAR($E82),MONTH($E82),1))</f>
        <v>46023</v>
      </c>
      <c r="M82" s="65" t="str">
        <f ca="1">IF($D82="","",IF($C82="TANIMSIZ MÜŞTERİ","HATA",IF(OR($E82="",$F82&lt;=0,$G82=""),"EKSİK",IF($E82&gt;TODAY(),"İLERİ TARİH",IF(COUNTIF($S$7:$S$2503,$S82)&gt;1,"MÜKERRER?",IF($T82&gt;0,"KAPALI DÖNEM","UYGUN"))))))</f>
        <v>UYGUN</v>
      </c>
      <c r="N82" s="74" t="str">
        <f>IF($C82="","",IF($C82="TANIMSIZ MÜŞTERİ","—",INDEX(MUSTERILER!$C$7:$C$156,MATCH($C82,MUSTERILER!$B$7:$B$156,0))))</f>
        <v>İLDEŞ LTD.ŞTİ.</v>
      </c>
      <c r="O82" s="2"/>
      <c r="P82" s="2"/>
      <c r="Q82" s="1" t="str">
        <f>IF($D82="","",$C82&amp;"|"&amp;COUNTIFS($C$7:$C82,$C82))</f>
        <v>M012|4</v>
      </c>
      <c r="R82" s="1" t="str">
        <f t="shared" si="2"/>
        <v>ILDESLTDSTI</v>
      </c>
      <c r="S82" s="1" t="str">
        <f t="shared" si="3"/>
        <v>M012|46053|2000|</v>
      </c>
      <c r="T82" s="1">
        <f>IF($E82="",0,SUMPRODUCT((AY_SONU!$O$7:$O$42="Evet")*(AY_SONU!$B$7:$B$42=DATE(YEAR($E82),MONTH($E82),1))))</f>
        <v>0</v>
      </c>
      <c r="U82" s="1" t="str">
        <f>IF(OR($G82="",$H82="Mahsup"),"",$G82&amp;"|"&amp;COUNTIFS($G$7:$G82,$G82,$H$7:$H82,"&lt;&gt;Mahsup"))</f>
        <v>MERKEZ KASA|52</v>
      </c>
    </row>
    <row r="83" spans="1:21" ht="18" customHeight="1" x14ac:dyDescent="0.3">
      <c r="A83" s="2"/>
      <c r="B83" s="65" t="str">
        <f>IF($D83="","","T"&amp;TEXT(ROW()-6,"00000"))</f>
        <v>T00077</v>
      </c>
      <c r="C83" s="65" t="str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>M010</v>
      </c>
      <c r="D83" s="61" t="s">
        <v>650</v>
      </c>
      <c r="E83" s="66">
        <v>46053</v>
      </c>
      <c r="F83" s="67">
        <v>8000</v>
      </c>
      <c r="G83" s="60" t="s">
        <v>717</v>
      </c>
      <c r="H83" s="60" t="s">
        <v>572</v>
      </c>
      <c r="I83" s="61"/>
      <c r="J83" s="61" t="s">
        <v>728</v>
      </c>
      <c r="K83" s="61"/>
      <c r="L83" s="73">
        <f>IF($E83="","",DATE(YEAR($E83),MONTH($E83),1))</f>
        <v>46023</v>
      </c>
      <c r="M83" s="65" t="str">
        <f ca="1">IF($D83="","",IF($C83="TANIMSIZ MÜŞTERİ","HATA",IF(OR($E83="",$F83&lt;=0,$G83=""),"EKSİK",IF($E83&gt;TODAY(),"İLERİ TARİH",IF(COUNTIF($S$7:$S$2503,$S83)&gt;1,"MÜKERRER?",IF($T83&gt;0,"KAPALI DÖNEM","UYGUN"))))))</f>
        <v>UYGUN</v>
      </c>
      <c r="N83" s="74" t="str">
        <f>IF($C83="","",IF($C83="TANIMSIZ MÜŞTERİ","—",INDEX(MUSTERILER!$C$7:$C$156,MATCH($C83,MUSTERILER!$B$7:$B$156,0))))</f>
        <v>ÖZFİDANLAR LTD.ŞTİ.</v>
      </c>
      <c r="O83" s="2"/>
      <c r="P83" s="2"/>
      <c r="Q83" s="1" t="str">
        <f>IF($D83="","",$C83&amp;"|"&amp;COUNTIFS($C$7:$C83,$C83))</f>
        <v>M010|4</v>
      </c>
      <c r="R83" s="1" t="str">
        <f t="shared" si="2"/>
        <v>OZFIDANLARLTDSTI</v>
      </c>
      <c r="S83" s="1" t="str">
        <f t="shared" si="3"/>
        <v>M010|46053|8000|</v>
      </c>
      <c r="T83" s="1">
        <f>IF($E83="",0,SUMPRODUCT((AY_SONU!$O$7:$O$42="Evet")*(AY_SONU!$B$7:$B$42=DATE(YEAR($E83),MONTH($E83),1))))</f>
        <v>0</v>
      </c>
      <c r="U83" s="1" t="str">
        <f>IF(OR($G83="",$H83="Mahsup"),"",$G83&amp;"|"&amp;COUNTIFS($G$7:$G83,$G83,$H$7:$H83,"&lt;&gt;Mahsup"))</f>
        <v>MERKEZ KASA|53</v>
      </c>
    </row>
    <row r="84" spans="1:21" ht="18" customHeight="1" x14ac:dyDescent="0.3">
      <c r="A84" s="2"/>
      <c r="B84" s="65" t="str">
        <f>IF($D84="","","T"&amp;TEXT(ROW()-6,"00000"))</f>
        <v>T00078</v>
      </c>
      <c r="C84" s="65" t="str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>M009</v>
      </c>
      <c r="D84" s="61" t="s">
        <v>652</v>
      </c>
      <c r="E84" s="66">
        <v>46053</v>
      </c>
      <c r="F84" s="67">
        <v>2000</v>
      </c>
      <c r="G84" s="60" t="s">
        <v>717</v>
      </c>
      <c r="H84" s="60" t="s">
        <v>572</v>
      </c>
      <c r="I84" s="61"/>
      <c r="J84" s="61" t="s">
        <v>720</v>
      </c>
      <c r="K84" s="61"/>
      <c r="L84" s="73">
        <f>IF($E84="","",DATE(YEAR($E84),MONTH($E84),1))</f>
        <v>46023</v>
      </c>
      <c r="M84" s="65" t="str">
        <f ca="1">IF($D84="","",IF($C84="TANIMSIZ MÜŞTERİ","HATA",IF(OR($E84="",$F84&lt;=0,$G84=""),"EKSİK",IF($E84&gt;TODAY(),"İLERİ TARİH",IF(COUNTIF($S$7:$S$2503,$S84)&gt;1,"MÜKERRER?",IF($T84&gt;0,"KAPALI DÖNEM","UYGUN"))))))</f>
        <v>UYGUN</v>
      </c>
      <c r="N84" s="74" t="str">
        <f>IF($C84="","",IF($C84="TANIMSIZ MÜŞTERİ","—",INDEX(MUSTERILER!$C$7:$C$156,MATCH($C84,MUSTERILER!$B$7:$B$156,0))))</f>
        <v>PAKYILDIZ LTD.ŞTİ.</v>
      </c>
      <c r="O84" s="2"/>
      <c r="P84" s="2"/>
      <c r="Q84" s="1" t="str">
        <f>IF($D84="","",$C84&amp;"|"&amp;COUNTIFS($C$7:$C84,$C84))</f>
        <v>M009|4</v>
      </c>
      <c r="R84" s="1" t="str">
        <f t="shared" si="2"/>
        <v>PAKYILDIZLTDSTI</v>
      </c>
      <c r="S84" s="1" t="str">
        <f t="shared" si="3"/>
        <v>M009|46053|2000|</v>
      </c>
      <c r="T84" s="1">
        <f>IF($E84="",0,SUMPRODUCT((AY_SONU!$O$7:$O$42="Evet")*(AY_SONU!$B$7:$B$42=DATE(YEAR($E84),MONTH($E84),1))))</f>
        <v>0</v>
      </c>
      <c r="U84" s="1" t="str">
        <f>IF(OR($G84="",$H84="Mahsup"),"",$G84&amp;"|"&amp;COUNTIFS($G$7:$G84,$G84,$H$7:$H84,"&lt;&gt;Mahsup"))</f>
        <v>MERKEZ KASA|54</v>
      </c>
    </row>
    <row r="85" spans="1:21" ht="18" customHeight="1" x14ac:dyDescent="0.3">
      <c r="A85" s="2"/>
      <c r="B85" s="65" t="str">
        <f>IF($D85="","","T"&amp;TEXT(ROW()-6,"00000"))</f>
        <v>T00079</v>
      </c>
      <c r="C85" s="65" t="str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>M016</v>
      </c>
      <c r="D85" s="61" t="s">
        <v>658</v>
      </c>
      <c r="E85" s="66">
        <v>46053</v>
      </c>
      <c r="F85" s="67">
        <v>1800</v>
      </c>
      <c r="G85" s="60" t="s">
        <v>717</v>
      </c>
      <c r="H85" s="60" t="s">
        <v>572</v>
      </c>
      <c r="I85" s="61"/>
      <c r="J85" s="61" t="s">
        <v>720</v>
      </c>
      <c r="K85" s="61"/>
      <c r="L85" s="73">
        <f>IF($E85="","",DATE(YEAR($E85),MONTH($E85),1))</f>
        <v>46023</v>
      </c>
      <c r="M85" s="65" t="str">
        <f ca="1">IF($D85="","",IF($C85="TANIMSIZ MÜŞTERİ","HATA",IF(OR($E85="",$F85&lt;=0,$G85=""),"EKSİK",IF($E85&gt;TODAY(),"İLERİ TARİH",IF(COUNTIF($S$7:$S$2503,$S85)&gt;1,"MÜKERRER?",IF($T85&gt;0,"KAPALI DÖNEM","UYGUN"))))))</f>
        <v>UYGUN</v>
      </c>
      <c r="N85" s="74" t="str">
        <f>IF($C85="","",IF($C85="TANIMSIZ MÜŞTERİ","—",INDEX(MUSTERILER!$C$7:$C$156,MATCH($C85,MUSTERILER!$B$7:$B$156,0))))</f>
        <v>RİX ŞOW LTD.ŞTİ.</v>
      </c>
      <c r="O85" s="2"/>
      <c r="P85" s="2"/>
      <c r="Q85" s="1" t="str">
        <f>IF($D85="","",$C85&amp;"|"&amp;COUNTIFS($C$7:$C85,$C85))</f>
        <v>M016|5</v>
      </c>
      <c r="R85" s="1" t="str">
        <f t="shared" si="2"/>
        <v>RIXSOWLTDSTI</v>
      </c>
      <c r="S85" s="1" t="str">
        <f t="shared" si="3"/>
        <v>M016|46053|1800|</v>
      </c>
      <c r="T85" s="1">
        <f>IF($E85="",0,SUMPRODUCT((AY_SONU!$O$7:$O$42="Evet")*(AY_SONU!$B$7:$B$42=DATE(YEAR($E85),MONTH($E85),1))))</f>
        <v>0</v>
      </c>
      <c r="U85" s="1" t="str">
        <f>IF(OR($G85="",$H85="Mahsup"),"",$G85&amp;"|"&amp;COUNTIFS($G$7:$G85,$G85,$H$7:$H85,"&lt;&gt;Mahsup"))</f>
        <v>MERKEZ KASA|55</v>
      </c>
    </row>
    <row r="86" spans="1:21" ht="18" customHeight="1" x14ac:dyDescent="0.3">
      <c r="A86" s="2"/>
      <c r="B86" s="65" t="str">
        <f>IF($D86="","","T"&amp;TEXT(ROW()-6,"00000"))</f>
        <v>T00080</v>
      </c>
      <c r="C86" s="65" t="str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>M004</v>
      </c>
      <c r="D86" s="61" t="s">
        <v>678</v>
      </c>
      <c r="E86" s="66">
        <v>46053</v>
      </c>
      <c r="F86" s="67">
        <v>3000</v>
      </c>
      <c r="G86" s="60" t="s">
        <v>717</v>
      </c>
      <c r="H86" s="60" t="s">
        <v>572</v>
      </c>
      <c r="I86" s="61"/>
      <c r="J86" s="61" t="s">
        <v>720</v>
      </c>
      <c r="K86" s="61"/>
      <c r="L86" s="73">
        <f>IF($E86="","",DATE(YEAR($E86),MONTH($E86),1))</f>
        <v>46023</v>
      </c>
      <c r="M86" s="65" t="str">
        <f ca="1">IF($D86="","",IF($C86="TANIMSIZ MÜŞTERİ","HATA",IF(OR($E86="",$F86&lt;=0,$G86=""),"EKSİK",IF($E86&gt;TODAY(),"İLERİ TARİH",IF(COUNTIF($S$7:$S$2503,$S86)&gt;1,"MÜKERRER?",IF($T86&gt;0,"KAPALI DÖNEM","UYGUN"))))))</f>
        <v>UYGUN</v>
      </c>
      <c r="N86" s="74" t="str">
        <f>IF($C86="","",IF($C86="TANIMSIZ MÜŞTERİ","—",INDEX(MUSTERILER!$C$7:$C$156,MATCH($C86,MUSTERILER!$B$7:$B$156,0))))</f>
        <v>ZÜMRÜT EĞLENCE LTD.ŞTİ.</v>
      </c>
      <c r="O86" s="2"/>
      <c r="P86" s="2"/>
      <c r="Q86" s="1" t="str">
        <f>IF($D86="","",$C86&amp;"|"&amp;COUNTIFS($C$7:$C86,$C86))</f>
        <v>M004|4</v>
      </c>
      <c r="R86" s="1" t="str">
        <f t="shared" si="2"/>
        <v>ZUMRUTEGLENCELTDSTI</v>
      </c>
      <c r="S86" s="1" t="str">
        <f t="shared" si="3"/>
        <v>M004|46053|3000|</v>
      </c>
      <c r="T86" s="1">
        <f>IF($E86="",0,SUMPRODUCT((AY_SONU!$O$7:$O$42="Evet")*(AY_SONU!$B$7:$B$42=DATE(YEAR($E86),MONTH($E86),1))))</f>
        <v>0</v>
      </c>
      <c r="U86" s="1" t="str">
        <f>IF(OR($G86="",$H86="Mahsup"),"",$G86&amp;"|"&amp;COUNTIFS($G$7:$G86,$G86,$H$7:$H86,"&lt;&gt;Mahsup"))</f>
        <v>MERKEZ KASA|56</v>
      </c>
    </row>
    <row r="87" spans="1:21" ht="18" customHeight="1" x14ac:dyDescent="0.3">
      <c r="A87" s="2"/>
      <c r="B87" s="65" t="str">
        <f>IF($D87="","","T"&amp;TEXT(ROW()-6,"00000"))</f>
        <v>T00081</v>
      </c>
      <c r="C87" s="65" t="str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>M005</v>
      </c>
      <c r="D87" s="61" t="s">
        <v>680</v>
      </c>
      <c r="E87" s="66">
        <v>46053</v>
      </c>
      <c r="F87" s="67">
        <v>2000</v>
      </c>
      <c r="G87" s="60" t="s">
        <v>717</v>
      </c>
      <c r="H87" s="60" t="s">
        <v>572</v>
      </c>
      <c r="I87" s="61"/>
      <c r="J87" s="61" t="s">
        <v>720</v>
      </c>
      <c r="K87" s="61"/>
      <c r="L87" s="73">
        <f>IF($E87="","",DATE(YEAR($E87),MONTH($E87),1))</f>
        <v>46023</v>
      </c>
      <c r="M87" s="65" t="str">
        <f ca="1">IF($D87="","",IF($C87="TANIMSIZ MÜŞTERİ","HATA",IF(OR($E87="",$F87&lt;=0,$G87=""),"EKSİK",IF($E87&gt;TODAY(),"İLERİ TARİH",IF(COUNTIF($S$7:$S$2503,$S87)&gt;1,"MÜKERRER?",IF($T87&gt;0,"KAPALI DÖNEM","UYGUN"))))))</f>
        <v>UYGUN</v>
      </c>
      <c r="N87" s="74" t="str">
        <f>IF($C87="","",IF($C87="TANIMSIZ MÜŞTERİ","—",INDEX(MUSTERILER!$C$7:$C$156,MATCH($C87,MUSTERILER!$B$7:$B$156,0))))</f>
        <v>ZÜMRÜT GRUP LTD.ŞTİ.</v>
      </c>
      <c r="O87" s="2"/>
      <c r="P87" s="2"/>
      <c r="Q87" s="1" t="str">
        <f>IF($D87="","",$C87&amp;"|"&amp;COUNTIFS($C$7:$C87,$C87))</f>
        <v>M005|6</v>
      </c>
      <c r="R87" s="1" t="str">
        <f t="shared" si="2"/>
        <v>ZUMRUTGRUPLTDSTI</v>
      </c>
      <c r="S87" s="1" t="str">
        <f t="shared" si="3"/>
        <v>M005|46053|2000|</v>
      </c>
      <c r="T87" s="1">
        <f>IF($E87="",0,SUMPRODUCT((AY_SONU!$O$7:$O$42="Evet")*(AY_SONU!$B$7:$B$42=DATE(YEAR($E87),MONTH($E87),1))))</f>
        <v>0</v>
      </c>
      <c r="U87" s="1" t="str">
        <f>IF(OR($G87="",$H87="Mahsup"),"",$G87&amp;"|"&amp;COUNTIFS($G$7:$G87,$G87,$H$7:$H87,"&lt;&gt;Mahsup"))</f>
        <v>MERKEZ KASA|57</v>
      </c>
    </row>
    <row r="88" spans="1:21" ht="18" customHeight="1" x14ac:dyDescent="0.3">
      <c r="A88" s="2"/>
      <c r="B88" s="65" t="str">
        <f>IF($D88="","","T"&amp;TEXT(ROW()-6,"00000"))</f>
        <v>T00082</v>
      </c>
      <c r="C88" s="65" t="str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>M020</v>
      </c>
      <c r="D88" s="61" t="s">
        <v>623</v>
      </c>
      <c r="E88" s="66">
        <v>46053</v>
      </c>
      <c r="F88" s="67">
        <v>3000</v>
      </c>
      <c r="G88" s="60" t="s">
        <v>717</v>
      </c>
      <c r="H88" s="60" t="s">
        <v>572</v>
      </c>
      <c r="I88" s="61"/>
      <c r="J88" s="61" t="s">
        <v>720</v>
      </c>
      <c r="K88" s="61"/>
      <c r="L88" s="73">
        <f>IF($E88="","",DATE(YEAR($E88),MONTH($E88),1))</f>
        <v>46023</v>
      </c>
      <c r="M88" s="65" t="str">
        <f ca="1">IF($D88="","",IF($C88="TANIMSIZ MÜŞTERİ","HATA",IF(OR($E88="",$F88&lt;=0,$G88=""),"EKSİK",IF($E88&gt;TODAY(),"İLERİ TARİH",IF(COUNTIF($S$7:$S$2503,$S88)&gt;1,"MÜKERRER?",IF($T88&gt;0,"KAPALI DÖNEM","UYGUN"))))))</f>
        <v>UYGUN</v>
      </c>
      <c r="N88" s="74" t="str">
        <f>IF($C88="","",IF($C88="TANIMSIZ MÜŞTERİ","—",INDEX(MUSTERILER!$C$7:$C$156,MATCH($C88,MUSTERILER!$B$7:$B$156,0))))</f>
        <v>KRİSTAL LTD.ŞTİ.</v>
      </c>
      <c r="O88" s="2"/>
      <c r="P88" s="2"/>
      <c r="Q88" s="1" t="str">
        <f>IF($D88="","",$C88&amp;"|"&amp;COUNTIFS($C$7:$C88,$C88))</f>
        <v>M020|4</v>
      </c>
      <c r="R88" s="1" t="str">
        <f t="shared" si="2"/>
        <v>KRISTALLTDSTI</v>
      </c>
      <c r="S88" s="1" t="str">
        <f t="shared" si="3"/>
        <v>M020|46053|3000|</v>
      </c>
      <c r="T88" s="1">
        <f>IF($E88="",0,SUMPRODUCT((AY_SONU!$O$7:$O$42="Evet")*(AY_SONU!$B$7:$B$42=DATE(YEAR($E88),MONTH($E88),1))))</f>
        <v>0</v>
      </c>
      <c r="U88" s="1" t="str">
        <f>IF(OR($G88="",$H88="Mahsup"),"",$G88&amp;"|"&amp;COUNTIFS($G$7:$G88,$G88,$H$7:$H88,"&lt;&gt;Mahsup"))</f>
        <v>MERKEZ KASA|58</v>
      </c>
    </row>
    <row r="89" spans="1:21" ht="18" customHeight="1" x14ac:dyDescent="0.3">
      <c r="A89" s="2"/>
      <c r="B89" s="65" t="str">
        <f>IF($D89="","","T"&amp;TEXT(ROW()-6,"00000"))</f>
        <v>T00083</v>
      </c>
      <c r="C89" s="65" t="str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>M053</v>
      </c>
      <c r="D89" s="61" t="s">
        <v>676</v>
      </c>
      <c r="E89" s="66">
        <v>46054</v>
      </c>
      <c r="F89" s="67">
        <v>10000</v>
      </c>
      <c r="G89" s="60" t="s">
        <v>723</v>
      </c>
      <c r="H89" s="60" t="s">
        <v>572</v>
      </c>
      <c r="I89" s="61"/>
      <c r="J89" s="61" t="s">
        <v>720</v>
      </c>
      <c r="K89" s="61"/>
      <c r="L89" s="73">
        <f>IF($E89="","",DATE(YEAR($E89),MONTH($E89),1))</f>
        <v>46054</v>
      </c>
      <c r="M89" s="65" t="str">
        <f ca="1">IF($D89="","",IF($C89="TANIMSIZ MÜŞTERİ","HATA",IF(OR($E89="",$F89&lt;=0,$G89=""),"EKSİK",IF($E89&gt;TODAY(),"İLERİ TARİH",IF(COUNTIF($S$7:$S$2503,$S89)&gt;1,"MÜKERRER?",IF($T89&gt;0,"KAPALI DÖNEM","UYGUN"))))))</f>
        <v>UYGUN</v>
      </c>
      <c r="N89" s="74" t="str">
        <f>IF($C89="","",IF($C89="TANIMSIZ MÜŞTERİ","—",INDEX(MUSTERILER!$C$7:$C$156,MATCH($C89,MUSTERILER!$B$7:$B$156,0))))</f>
        <v>YEDİYİRMİDÖRT LTD.ŞTİ.</v>
      </c>
      <c r="O89" s="2"/>
      <c r="P89" s="2"/>
      <c r="Q89" s="1" t="str">
        <f>IF($D89="","",$C89&amp;"|"&amp;COUNTIFS($C$7:$C89,$C89))</f>
        <v>M053|1</v>
      </c>
      <c r="R89" s="1" t="str">
        <f t="shared" si="2"/>
        <v>YEDIYIRMIDORTLTDSTI</v>
      </c>
      <c r="S89" s="1" t="str">
        <f t="shared" si="3"/>
        <v>M053|46054|10000|</v>
      </c>
      <c r="T89" s="1">
        <f>IF($E89="",0,SUMPRODUCT((AY_SONU!$O$7:$O$42="Evet")*(AY_SONU!$B$7:$B$42=DATE(YEAR($E89),MONTH($E89),1))))</f>
        <v>0</v>
      </c>
      <c r="U89" s="1" t="str">
        <f>IF(OR($G89="",$H89="Mahsup"),"",$G89&amp;"|"&amp;COUNTIFS($G$7:$G89,$G89,$H$7:$H89,"&lt;&gt;Mahsup"))</f>
        <v>ÖMER KARTAL|25</v>
      </c>
    </row>
    <row r="90" spans="1:21" ht="18" customHeight="1" x14ac:dyDescent="0.3">
      <c r="A90" s="2"/>
      <c r="B90" s="65" t="str">
        <f>IF($D90="","","T"&amp;TEXT(ROW()-6,"00000"))</f>
        <v>T00084</v>
      </c>
      <c r="C90" s="65" t="str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>M001</v>
      </c>
      <c r="D90" s="61" t="s">
        <v>729</v>
      </c>
      <c r="E90" s="66">
        <v>46060</v>
      </c>
      <c r="F90" s="67">
        <v>4000</v>
      </c>
      <c r="G90" s="60" t="s">
        <v>717</v>
      </c>
      <c r="H90" s="60" t="s">
        <v>572</v>
      </c>
      <c r="I90" s="61"/>
      <c r="J90" s="61" t="s">
        <v>720</v>
      </c>
      <c r="K90" s="61"/>
      <c r="L90" s="73">
        <f>IF($E90="","",DATE(YEAR($E90),MONTH($E90),1))</f>
        <v>46054</v>
      </c>
      <c r="M90" s="65" t="str">
        <f ca="1">IF($D90="","",IF($C90="TANIMSIZ MÜŞTERİ","HATA",IF(OR($E90="",$F90&lt;=0,$G90=""),"EKSİK",IF($E90&gt;TODAY(),"İLERİ TARİH",IF(COUNTIF($S$7:$S$2503,$S90)&gt;1,"MÜKERRER?",IF($T90&gt;0,"KAPALI DÖNEM","UYGUN"))))))</f>
        <v>UYGUN</v>
      </c>
      <c r="N90" s="74" t="str">
        <f>IF($C90="","",IF($C90="TANIMSIZ MÜŞTERİ","—",INDEX(MUSTERILER!$C$7:$C$156,MATCH($C90,MUSTERILER!$B$7:$B$156,0))))</f>
        <v>ANKARA HAVANA LTD.ŞTİ.</v>
      </c>
      <c r="O90" s="2"/>
      <c r="P90" s="2"/>
      <c r="Q90" s="1" t="str">
        <f>IF($D90="","",$C90&amp;"|"&amp;COUNTIFS($C$7:$C90,$C90))</f>
        <v>M001|4</v>
      </c>
      <c r="R90" s="1" t="str">
        <f t="shared" si="2"/>
        <v>ANKARAHAVANALTDSTI</v>
      </c>
      <c r="S90" s="1" t="str">
        <f t="shared" si="3"/>
        <v>M001|46060|4000|</v>
      </c>
      <c r="T90" s="1">
        <f>IF($E90="",0,SUMPRODUCT((AY_SONU!$O$7:$O$42="Evet")*(AY_SONU!$B$7:$B$42=DATE(YEAR($E90),MONTH($E90),1))))</f>
        <v>0</v>
      </c>
      <c r="U90" s="1" t="str">
        <f>IF(OR($G90="",$H90="Mahsup"),"",$G90&amp;"|"&amp;COUNTIFS($G$7:$G90,$G90,$H$7:$H90,"&lt;&gt;Mahsup"))</f>
        <v>MERKEZ KASA|59</v>
      </c>
    </row>
    <row r="91" spans="1:21" ht="18" customHeight="1" x14ac:dyDescent="0.3">
      <c r="A91" s="2"/>
      <c r="B91" s="65" t="str">
        <f>IF($D91="","","T"&amp;TEXT(ROW()-6,"00000"))</f>
        <v>T00085</v>
      </c>
      <c r="C91" s="65" t="str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>M025</v>
      </c>
      <c r="D91" s="61" t="s">
        <v>583</v>
      </c>
      <c r="E91" s="66">
        <v>46060</v>
      </c>
      <c r="F91" s="67">
        <v>2000</v>
      </c>
      <c r="G91" s="60" t="s">
        <v>717</v>
      </c>
      <c r="H91" s="60" t="s">
        <v>572</v>
      </c>
      <c r="I91" s="61"/>
      <c r="J91" s="61" t="s">
        <v>720</v>
      </c>
      <c r="K91" s="61"/>
      <c r="L91" s="73">
        <f>IF($E91="","",DATE(YEAR($E91),MONTH($E91),1))</f>
        <v>46054</v>
      </c>
      <c r="M91" s="65" t="str">
        <f ca="1">IF($D91="","",IF($C91="TANIMSIZ MÜŞTERİ","HATA",IF(OR($E91="",$F91&lt;=0,$G91=""),"EKSİK",IF($E91&gt;TODAY(),"İLERİ TARİH",IF(COUNTIF($S$7:$S$2503,$S91)&gt;1,"MÜKERRER?",IF($T91&gt;0,"KAPALI DÖNEM","UYGUN"))))))</f>
        <v>UYGUN</v>
      </c>
      <c r="N91" s="74" t="str">
        <f>IF($C91="","",IF($C91="TANIMSIZ MÜŞTERİ","—",INDEX(MUSTERILER!$C$7:$C$156,MATCH($C91,MUSTERILER!$B$7:$B$156,0))))</f>
        <v>ASIM AÇIKGÖZ</v>
      </c>
      <c r="O91" s="2"/>
      <c r="P91" s="2"/>
      <c r="Q91" s="1" t="str">
        <f>IF($D91="","",$C91&amp;"|"&amp;COUNTIFS($C$7:$C91,$C91))</f>
        <v>M025|5</v>
      </c>
      <c r="R91" s="1" t="str">
        <f t="shared" si="2"/>
        <v>ASIMACIKGOZ</v>
      </c>
      <c r="S91" s="1" t="str">
        <f t="shared" si="3"/>
        <v>M025|46060|2000|</v>
      </c>
      <c r="T91" s="1">
        <f>IF($E91="",0,SUMPRODUCT((AY_SONU!$O$7:$O$42="Evet")*(AY_SONU!$B$7:$B$42=DATE(YEAR($E91),MONTH($E91),1))))</f>
        <v>0</v>
      </c>
      <c r="U91" s="1" t="str">
        <f>IF(OR($G91="",$H91="Mahsup"),"",$G91&amp;"|"&amp;COUNTIFS($G$7:$G91,$G91,$H$7:$H91,"&lt;&gt;Mahsup"))</f>
        <v>MERKEZ KASA|60</v>
      </c>
    </row>
    <row r="92" spans="1:21" ht="18" customHeight="1" x14ac:dyDescent="0.3">
      <c r="A92" s="2"/>
      <c r="B92" s="65" t="str">
        <f>IF($D92="","","T"&amp;TEXT(ROW()-6,"00000"))</f>
        <v>T00086</v>
      </c>
      <c r="C92" s="65" t="str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>M017</v>
      </c>
      <c r="D92" s="61" t="s">
        <v>585</v>
      </c>
      <c r="E92" s="66">
        <v>46060</v>
      </c>
      <c r="F92" s="67">
        <v>2500</v>
      </c>
      <c r="G92" s="60" t="s">
        <v>717</v>
      </c>
      <c r="H92" s="60" t="s">
        <v>572</v>
      </c>
      <c r="I92" s="61"/>
      <c r="J92" s="61" t="s">
        <v>720</v>
      </c>
      <c r="K92" s="61"/>
      <c r="L92" s="73">
        <f>IF($E92="","",DATE(YEAR($E92),MONTH($E92),1))</f>
        <v>46054</v>
      </c>
      <c r="M92" s="65" t="str">
        <f ca="1">IF($D92="","",IF($C92="TANIMSIZ MÜŞTERİ","HATA",IF(OR($E92="",$F92&lt;=0,$G92=""),"EKSİK",IF($E92&gt;TODAY(),"İLERİ TARİH",IF(COUNTIF($S$7:$S$2503,$S92)&gt;1,"MÜKERRER?",IF($T92&gt;0,"KAPALI DÖNEM","UYGUN"))))))</f>
        <v>UYGUN</v>
      </c>
      <c r="N92" s="74" t="str">
        <f>IF($C92="","",IF($C92="TANIMSIZ MÜŞTERİ","—",INDEX(MUSTERILER!$C$7:$C$156,MATCH($C92,MUSTERILER!$B$7:$B$156,0))))</f>
        <v>ASM EĞLENCE LTD.ŞTİ.</v>
      </c>
      <c r="O92" s="2"/>
      <c r="P92" s="2"/>
      <c r="Q92" s="1" t="str">
        <f>IF($D92="","",$C92&amp;"|"&amp;COUNTIFS($C$7:$C92,$C92))</f>
        <v>M017|5</v>
      </c>
      <c r="R92" s="1" t="str">
        <f t="shared" si="2"/>
        <v>ASMEGLENCELTDSTI</v>
      </c>
      <c r="S92" s="1" t="str">
        <f t="shared" si="3"/>
        <v>M017|46060|2500|</v>
      </c>
      <c r="T92" s="1">
        <f>IF($E92="",0,SUMPRODUCT((AY_SONU!$O$7:$O$42="Evet")*(AY_SONU!$B$7:$B$42=DATE(YEAR($E92),MONTH($E92),1))))</f>
        <v>0</v>
      </c>
      <c r="U92" s="1" t="str">
        <f>IF(OR($G92="",$H92="Mahsup"),"",$G92&amp;"|"&amp;COUNTIFS($G$7:$G92,$G92,$H$7:$H92,"&lt;&gt;Mahsup"))</f>
        <v>MERKEZ KASA|61</v>
      </c>
    </row>
    <row r="93" spans="1:21" ht="18" customHeight="1" x14ac:dyDescent="0.3">
      <c r="A93" s="2"/>
      <c r="B93" s="65" t="str">
        <f>IF($D93="","","T"&amp;TEXT(ROW()-6,"00000"))</f>
        <v>T00087</v>
      </c>
      <c r="C93" s="65" t="str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>M015</v>
      </c>
      <c r="D93" s="61" t="s">
        <v>719</v>
      </c>
      <c r="E93" s="66">
        <v>46060</v>
      </c>
      <c r="F93" s="67">
        <v>3000</v>
      </c>
      <c r="G93" s="60" t="s">
        <v>717</v>
      </c>
      <c r="H93" s="60" t="s">
        <v>572</v>
      </c>
      <c r="I93" s="61"/>
      <c r="J93" s="61" t="s">
        <v>720</v>
      </c>
      <c r="K93" s="61"/>
      <c r="L93" s="73">
        <f>IF($E93="","",DATE(YEAR($E93),MONTH($E93),1))</f>
        <v>46054</v>
      </c>
      <c r="M93" s="65" t="str">
        <f ca="1">IF($D93="","",IF($C93="TANIMSIZ MÜŞTERİ","HATA",IF(OR($E93="",$F93&lt;=0,$G93=""),"EKSİK",IF($E93&gt;TODAY(),"İLERİ TARİH",IF(COUNTIF($S$7:$S$2503,$S93)&gt;1,"MÜKERRER?",IF($T93&gt;0,"KAPALI DÖNEM","UYGUN"))))))</f>
        <v>UYGUN</v>
      </c>
      <c r="N93" s="74" t="str">
        <f>IF($C93="","",IF($C93="TANIMSIZ MÜŞTERİ","—",INDEX(MUSTERILER!$C$7:$C$156,MATCH($C93,MUSTERILER!$B$7:$B$156,0))))</f>
        <v>ÇAYIRALAN LTD.ŞTİ.</v>
      </c>
      <c r="O93" s="2"/>
      <c r="P93" s="2"/>
      <c r="Q93" s="1" t="str">
        <f>IF($D93="","",$C93&amp;"|"&amp;COUNTIFS($C$7:$C93,$C93))</f>
        <v>M015|6</v>
      </c>
      <c r="R93" s="1" t="str">
        <f t="shared" si="2"/>
        <v>CAYIRALANLTDSTI</v>
      </c>
      <c r="S93" s="1" t="str">
        <f t="shared" si="3"/>
        <v>M015|46060|3000|</v>
      </c>
      <c r="T93" s="1">
        <f>IF($E93="",0,SUMPRODUCT((AY_SONU!$O$7:$O$42="Evet")*(AY_SONU!$B$7:$B$42=DATE(YEAR($E93),MONTH($E93),1))))</f>
        <v>0</v>
      </c>
      <c r="U93" s="1" t="str">
        <f>IF(OR($G93="",$H93="Mahsup"),"",$G93&amp;"|"&amp;COUNTIFS($G$7:$G93,$G93,$H$7:$H93,"&lt;&gt;Mahsup"))</f>
        <v>MERKEZ KASA|62</v>
      </c>
    </row>
    <row r="94" spans="1:21" ht="18" customHeight="1" x14ac:dyDescent="0.3">
      <c r="A94" s="2"/>
      <c r="B94" s="65" t="str">
        <f>IF($D94="","","T"&amp;TEXT(ROW()-6,"00000"))</f>
        <v>T00088</v>
      </c>
      <c r="C94" s="65" t="str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>M011</v>
      </c>
      <c r="D94" s="61" t="s">
        <v>730</v>
      </c>
      <c r="E94" s="66">
        <v>46060</v>
      </c>
      <c r="F94" s="67">
        <v>3000</v>
      </c>
      <c r="G94" s="60" t="s">
        <v>717</v>
      </c>
      <c r="H94" s="60" t="s">
        <v>572</v>
      </c>
      <c r="I94" s="61"/>
      <c r="J94" s="61" t="s">
        <v>720</v>
      </c>
      <c r="K94" s="61"/>
      <c r="L94" s="73">
        <f>IF($E94="","",DATE(YEAR($E94),MONTH($E94),1))</f>
        <v>46054</v>
      </c>
      <c r="M94" s="65" t="str">
        <f ca="1">IF($D94="","",IF($C94="TANIMSIZ MÜŞTERİ","HATA",IF(OR($E94="",$F94&lt;=0,$G94=""),"EKSİK",IF($E94&gt;TODAY(),"İLERİ TARİH",IF(COUNTIF($S$7:$S$2503,$S94)&gt;1,"MÜKERRER?",IF($T94&gt;0,"KAPALI DÖNEM","UYGUN"))))))</f>
        <v>UYGUN</v>
      </c>
      <c r="N94" s="74" t="str">
        <f>IF($C94="","",IF($C94="TANIMSIZ MÜŞTERİ","—",INDEX(MUSTERILER!$C$7:$C$156,MATCH($C94,MUSTERILER!$B$7:$B$156,0))))</f>
        <v>EĞLENGÖR LTD.ŞTİ.</v>
      </c>
      <c r="O94" s="2"/>
      <c r="P94" s="2"/>
      <c r="Q94" s="1" t="str">
        <f>IF($D94="","",$C94&amp;"|"&amp;COUNTIFS($C$7:$C94,$C94))</f>
        <v>M011|5</v>
      </c>
      <c r="R94" s="1" t="str">
        <f t="shared" si="2"/>
        <v>EGLENGORLTDSTI</v>
      </c>
      <c r="S94" s="1" t="str">
        <f t="shared" si="3"/>
        <v>M011|46060|3000|</v>
      </c>
      <c r="T94" s="1">
        <f>IF($E94="",0,SUMPRODUCT((AY_SONU!$O$7:$O$42="Evet")*(AY_SONU!$B$7:$B$42=DATE(YEAR($E94),MONTH($E94),1))))</f>
        <v>0</v>
      </c>
      <c r="U94" s="1" t="str">
        <f>IF(OR($G94="",$H94="Mahsup"),"",$G94&amp;"|"&amp;COUNTIFS($G$7:$G94,$G94,$H$7:$H94,"&lt;&gt;Mahsup"))</f>
        <v>MERKEZ KASA|63</v>
      </c>
    </row>
    <row r="95" spans="1:21" ht="18" customHeight="1" x14ac:dyDescent="0.3">
      <c r="A95" s="2"/>
      <c r="B95" s="65" t="str">
        <f>IF($D95="","","T"&amp;TEXT(ROW()-6,"00000"))</f>
        <v>T00089</v>
      </c>
      <c r="C95" s="65" t="str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>M014</v>
      </c>
      <c r="D95" s="61" t="s">
        <v>731</v>
      </c>
      <c r="E95" s="66">
        <v>46060</v>
      </c>
      <c r="F95" s="67">
        <v>2000</v>
      </c>
      <c r="G95" s="60" t="s">
        <v>717</v>
      </c>
      <c r="H95" s="60" t="s">
        <v>572</v>
      </c>
      <c r="I95" s="61"/>
      <c r="J95" s="61" t="s">
        <v>720</v>
      </c>
      <c r="K95" s="61"/>
      <c r="L95" s="73">
        <f>IF($E95="","",DATE(YEAR($E95),MONTH($E95),1))</f>
        <v>46054</v>
      </c>
      <c r="M95" s="65" t="str">
        <f ca="1">IF($D95="","",IF($C95="TANIMSIZ MÜŞTERİ","HATA",IF(OR($E95="",$F95&lt;=0,$G95=""),"EKSİK",IF($E95&gt;TODAY(),"İLERİ TARİH",IF(COUNTIF($S$7:$S$2503,$S95)&gt;1,"MÜKERRER?",IF($T95&gt;0,"KAPALI DÖNEM","UYGUN"))))))</f>
        <v>UYGUN</v>
      </c>
      <c r="N95" s="74" t="str">
        <f>IF($C95="","",IF($C95="TANIMSIZ MÜŞTERİ","—",INDEX(MUSTERILER!$C$7:$C$156,MATCH($C95,MUSTERILER!$B$7:$B$156,0))))</f>
        <v>FİNAL SİYAH BEYAZ LTD.ŞTİ.</v>
      </c>
      <c r="O95" s="2"/>
      <c r="P95" s="2"/>
      <c r="Q95" s="1" t="str">
        <f>IF($D95="","",$C95&amp;"|"&amp;COUNTIFS($C$7:$C95,$C95))</f>
        <v>M014|5</v>
      </c>
      <c r="R95" s="1" t="str">
        <f t="shared" si="2"/>
        <v>FINALSIYAHBEYAZLTDSTI</v>
      </c>
      <c r="S95" s="1" t="str">
        <f t="shared" si="3"/>
        <v>M014|46060|2000|</v>
      </c>
      <c r="T95" s="1">
        <f>IF($E95="",0,SUMPRODUCT((AY_SONU!$O$7:$O$42="Evet")*(AY_SONU!$B$7:$B$42=DATE(YEAR($E95),MONTH($E95),1))))</f>
        <v>0</v>
      </c>
      <c r="U95" s="1" t="str">
        <f>IF(OR($G95="",$H95="Mahsup"),"",$G95&amp;"|"&amp;COUNTIFS($G$7:$G95,$G95,$H$7:$H95,"&lt;&gt;Mahsup"))</f>
        <v>MERKEZ KASA|64</v>
      </c>
    </row>
    <row r="96" spans="1:21" ht="18" customHeight="1" x14ac:dyDescent="0.3">
      <c r="A96" s="2"/>
      <c r="B96" s="65" t="str">
        <f>IF($D96="","","T"&amp;TEXT(ROW()-6,"00000"))</f>
        <v>T00090</v>
      </c>
      <c r="C96" s="65" t="str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>M034</v>
      </c>
      <c r="D96" s="61" t="s">
        <v>732</v>
      </c>
      <c r="E96" s="66">
        <v>46060</v>
      </c>
      <c r="F96" s="67">
        <v>1500</v>
      </c>
      <c r="G96" s="60" t="s">
        <v>717</v>
      </c>
      <c r="H96" s="60" t="s">
        <v>572</v>
      </c>
      <c r="I96" s="61"/>
      <c r="J96" s="61" t="s">
        <v>720</v>
      </c>
      <c r="K96" s="61"/>
      <c r="L96" s="73">
        <f>IF($E96="","",DATE(YEAR($E96),MONTH($E96),1))</f>
        <v>46054</v>
      </c>
      <c r="M96" s="65" t="str">
        <f ca="1">IF($D96="","",IF($C96="TANIMSIZ MÜŞTERİ","HATA",IF(OR($E96="",$F96&lt;=0,$G96=""),"EKSİK",IF($E96&gt;TODAY(),"İLERİ TARİH",IF(COUNTIF($S$7:$S$2503,$S96)&gt;1,"MÜKERRER?",IF($T96&gt;0,"KAPALI DÖNEM","UYGUN"))))))</f>
        <v>UYGUN</v>
      </c>
      <c r="N96" s="74" t="str">
        <f>IF($C96="","",IF($C96="TANIMSIZ MÜŞTERİ","—",INDEX(MUSTERILER!$C$7:$C$156,MATCH($C96,MUSTERILER!$B$7:$B$156,0))))</f>
        <v>İBRAHİM MALDAN</v>
      </c>
      <c r="O96" s="2"/>
      <c r="P96" s="2"/>
      <c r="Q96" s="1" t="str">
        <f>IF($D96="","",$C96&amp;"|"&amp;COUNTIFS($C$7:$C96,$C96))</f>
        <v>M034|5</v>
      </c>
      <c r="R96" s="1" t="str">
        <f t="shared" si="2"/>
        <v>IBRAHIMMALDAN</v>
      </c>
      <c r="S96" s="1" t="str">
        <f t="shared" si="3"/>
        <v>M034|46060|1500|</v>
      </c>
      <c r="T96" s="1">
        <f>IF($E96="",0,SUMPRODUCT((AY_SONU!$O$7:$O$42="Evet")*(AY_SONU!$B$7:$B$42=DATE(YEAR($E96),MONTH($E96),1))))</f>
        <v>0</v>
      </c>
      <c r="U96" s="1" t="str">
        <f>IF(OR($G96="",$H96="Mahsup"),"",$G96&amp;"|"&amp;COUNTIFS($G$7:$G96,$G96,$H$7:$H96,"&lt;&gt;Mahsup"))</f>
        <v>MERKEZ KASA|65</v>
      </c>
    </row>
    <row r="97" spans="1:21" ht="18" customHeight="1" x14ac:dyDescent="0.3">
      <c r="A97" s="2"/>
      <c r="B97" s="65" t="str">
        <f>IF($D97="","","T"&amp;TEXT(ROW()-6,"00000"))</f>
        <v>T00091</v>
      </c>
      <c r="C97" s="65" t="str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>M012</v>
      </c>
      <c r="D97" s="61" t="s">
        <v>721</v>
      </c>
      <c r="E97" s="66">
        <v>46060</v>
      </c>
      <c r="F97" s="67">
        <v>2000</v>
      </c>
      <c r="G97" s="60" t="s">
        <v>717</v>
      </c>
      <c r="H97" s="60" t="s">
        <v>572</v>
      </c>
      <c r="I97" s="61"/>
      <c r="J97" s="61" t="s">
        <v>720</v>
      </c>
      <c r="K97" s="61"/>
      <c r="L97" s="73">
        <f>IF($E97="","",DATE(YEAR($E97),MONTH($E97),1))</f>
        <v>46054</v>
      </c>
      <c r="M97" s="65" t="str">
        <f ca="1">IF($D97="","",IF($C97="TANIMSIZ MÜŞTERİ","HATA",IF(OR($E97="",$F97&lt;=0,$G97=""),"EKSİK",IF($E97&gt;TODAY(),"İLERİ TARİH",IF(COUNTIF($S$7:$S$2503,$S97)&gt;1,"MÜKERRER?",IF($T97&gt;0,"KAPALI DÖNEM","UYGUN"))))))</f>
        <v>UYGUN</v>
      </c>
      <c r="N97" s="74" t="str">
        <f>IF($C97="","",IF($C97="TANIMSIZ MÜŞTERİ","—",INDEX(MUSTERILER!$C$7:$C$156,MATCH($C97,MUSTERILER!$B$7:$B$156,0))))</f>
        <v>İLDEŞ LTD.ŞTİ.</v>
      </c>
      <c r="O97" s="2"/>
      <c r="P97" s="2"/>
      <c r="Q97" s="1" t="str">
        <f>IF($D97="","",$C97&amp;"|"&amp;COUNTIFS($C$7:$C97,$C97))</f>
        <v>M012|5</v>
      </c>
      <c r="R97" s="1" t="str">
        <f t="shared" si="2"/>
        <v>ILDESLTDSTI</v>
      </c>
      <c r="S97" s="1" t="str">
        <f t="shared" si="3"/>
        <v>M012|46060|2000|</v>
      </c>
      <c r="T97" s="1">
        <f>IF($E97="",0,SUMPRODUCT((AY_SONU!$O$7:$O$42="Evet")*(AY_SONU!$B$7:$B$42=DATE(YEAR($E97),MONTH($E97),1))))</f>
        <v>0</v>
      </c>
      <c r="U97" s="1" t="str">
        <f>IF(OR($G97="",$H97="Mahsup"),"",$G97&amp;"|"&amp;COUNTIFS($G$7:$G97,$G97,$H$7:$H97,"&lt;&gt;Mahsup"))</f>
        <v>MERKEZ KASA|66</v>
      </c>
    </row>
    <row r="98" spans="1:21" ht="18" customHeight="1" x14ac:dyDescent="0.3">
      <c r="A98" s="2"/>
      <c r="B98" s="65" t="str">
        <f>IF($D98="","","T"&amp;TEXT(ROW()-6,"00000"))</f>
        <v>T00092</v>
      </c>
      <c r="C98" s="65" t="str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>M007</v>
      </c>
      <c r="D98" s="61" t="s">
        <v>733</v>
      </c>
      <c r="E98" s="66">
        <v>46060</v>
      </c>
      <c r="F98" s="67">
        <v>3500</v>
      </c>
      <c r="G98" s="60" t="s">
        <v>717</v>
      </c>
      <c r="H98" s="60" t="s">
        <v>572</v>
      </c>
      <c r="I98" s="61"/>
      <c r="J98" s="61" t="s">
        <v>720</v>
      </c>
      <c r="K98" s="61"/>
      <c r="L98" s="73">
        <f>IF($E98="","",DATE(YEAR($E98),MONTH($E98),1))</f>
        <v>46054</v>
      </c>
      <c r="M98" s="65" t="str">
        <f ca="1">IF($D98="","",IF($C98="TANIMSIZ MÜŞTERİ","HATA",IF(OR($E98="",$F98&lt;=0,$G98=""),"EKSİK",IF($E98&gt;TODAY(),"İLERİ TARİH",IF(COUNTIF($S$7:$S$2503,$S98)&gt;1,"MÜKERRER?",IF($T98&gt;0,"KAPALI DÖNEM","UYGUN"))))))</f>
        <v>UYGUN</v>
      </c>
      <c r="N98" s="74" t="str">
        <f>IF($C98="","",IF($C98="TANIMSIZ MÜŞTERİ","—",INDEX(MUSTERILER!$C$7:$C$156,MATCH($C98,MUSTERILER!$B$7:$B$156,0))))</f>
        <v>MONAMOUR LTD.ŞTİ.</v>
      </c>
      <c r="O98" s="2"/>
      <c r="P98" s="2"/>
      <c r="Q98" s="1" t="str">
        <f>IF($D98="","",$C98&amp;"|"&amp;COUNTIFS($C$7:$C98,$C98))</f>
        <v>M007|5</v>
      </c>
      <c r="R98" s="1" t="str">
        <f t="shared" si="2"/>
        <v>MONAMOURLTDSTI</v>
      </c>
      <c r="S98" s="1" t="str">
        <f t="shared" si="3"/>
        <v>M007|46060|3500|</v>
      </c>
      <c r="T98" s="1">
        <f>IF($E98="",0,SUMPRODUCT((AY_SONU!$O$7:$O$42="Evet")*(AY_SONU!$B$7:$B$42=DATE(YEAR($E98),MONTH($E98),1))))</f>
        <v>0</v>
      </c>
      <c r="U98" s="1" t="str">
        <f>IF(OR($G98="",$H98="Mahsup"),"",$G98&amp;"|"&amp;COUNTIFS($G$7:$G98,$G98,$H$7:$H98,"&lt;&gt;Mahsup"))</f>
        <v>MERKEZ KASA|67</v>
      </c>
    </row>
    <row r="99" spans="1:21" ht="18" customHeight="1" x14ac:dyDescent="0.3">
      <c r="A99" s="2"/>
      <c r="B99" s="65" t="str">
        <f>IF($D99="","","T"&amp;TEXT(ROW()-6,"00000"))</f>
        <v>T00093</v>
      </c>
      <c r="C99" s="65" t="str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>M018</v>
      </c>
      <c r="D99" s="61" t="s">
        <v>593</v>
      </c>
      <c r="E99" s="66">
        <v>46060</v>
      </c>
      <c r="F99" s="67">
        <v>2500</v>
      </c>
      <c r="G99" s="60" t="s">
        <v>723</v>
      </c>
      <c r="H99" s="60" t="s">
        <v>572</v>
      </c>
      <c r="I99" s="61"/>
      <c r="J99" s="61" t="s">
        <v>720</v>
      </c>
      <c r="K99" s="61"/>
      <c r="L99" s="73">
        <f>IF($E99="","",DATE(YEAR($E99),MONTH($E99),1))</f>
        <v>46054</v>
      </c>
      <c r="M99" s="65" t="str">
        <f ca="1">IF($D99="","",IF($C99="TANIMSIZ MÜŞTERİ","HATA",IF(OR($E99="",$F99&lt;=0,$G99=""),"EKSİK",IF($E99&gt;TODAY(),"İLERİ TARİH",IF(COUNTIF($S$7:$S$2503,$S99)&gt;1,"MÜKERRER?",IF($T99&gt;0,"KAPALI DÖNEM","UYGUN"))))))</f>
        <v>UYGUN</v>
      </c>
      <c r="N99" s="74" t="str">
        <f>IF($C99="","",IF($C99="TANIMSIZ MÜŞTERİ","—",INDEX(MUSTERILER!$C$7:$C$156,MATCH($C99,MUSTERILER!$B$7:$B$156,0))))</f>
        <v>ÇINARHAN LTD.ŞTİ.</v>
      </c>
      <c r="O99" s="2"/>
      <c r="P99" s="2"/>
      <c r="Q99" s="1" t="str">
        <f>IF($D99="","",$C99&amp;"|"&amp;COUNTIFS($C$7:$C99,$C99))</f>
        <v>M018|5</v>
      </c>
      <c r="R99" s="1" t="str">
        <f t="shared" si="2"/>
        <v>CINARHANLTDSTI</v>
      </c>
      <c r="S99" s="1" t="str">
        <f t="shared" si="3"/>
        <v>M018|46060|2500|</v>
      </c>
      <c r="T99" s="1">
        <f>IF($E99="",0,SUMPRODUCT((AY_SONU!$O$7:$O$42="Evet")*(AY_SONU!$B$7:$B$42=DATE(YEAR($E99),MONTH($E99),1))))</f>
        <v>0</v>
      </c>
      <c r="U99" s="1" t="str">
        <f>IF(OR($G99="",$H99="Mahsup"),"",$G99&amp;"|"&amp;COUNTIFS($G$7:$G99,$G99,$H$7:$H99,"&lt;&gt;Mahsup"))</f>
        <v>ÖMER KARTAL|26</v>
      </c>
    </row>
    <row r="100" spans="1:21" ht="18" customHeight="1" x14ac:dyDescent="0.3">
      <c r="A100" s="2"/>
      <c r="B100" s="65" t="str">
        <f>IF($D100="","","T"&amp;TEXT(ROW()-6,"00000"))</f>
        <v>T00094</v>
      </c>
      <c r="C100" s="65" t="str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>M013</v>
      </c>
      <c r="D100" s="61" t="s">
        <v>734</v>
      </c>
      <c r="E100" s="66">
        <v>46060</v>
      </c>
      <c r="F100" s="67">
        <v>2000</v>
      </c>
      <c r="G100" s="60" t="s">
        <v>717</v>
      </c>
      <c r="H100" s="60" t="s">
        <v>572</v>
      </c>
      <c r="I100" s="61"/>
      <c r="J100" s="61" t="s">
        <v>720</v>
      </c>
      <c r="K100" s="61"/>
      <c r="L100" s="73">
        <f>IF($E100="","",DATE(YEAR($E100),MONTH($E100),1))</f>
        <v>46054</v>
      </c>
      <c r="M100" s="65" t="str">
        <f ca="1">IF($D100="","",IF($C100="TANIMSIZ MÜŞTERİ","HATA",IF(OR($E100="",$F100&lt;=0,$G100=""),"EKSİK",IF($E100&gt;TODAY(),"İLERİ TARİH",IF(COUNTIF($S$7:$S$2503,$S100)&gt;1,"MÜKERRER?",IF($T100&gt;0,"KAPALI DÖNEM","UYGUN"))))))</f>
        <v>UYGUN</v>
      </c>
      <c r="N100" s="74" t="str">
        <f>IF($C100="","",IF($C100="TANIMSIZ MÜŞTERİ","—",INDEX(MUSTERILER!$C$7:$C$156,MATCH($C100,MUSTERILER!$B$7:$B$156,0))))</f>
        <v>NAZ 1 GIDA LTD.ŞTİ.</v>
      </c>
      <c r="O100" s="2"/>
      <c r="P100" s="2"/>
      <c r="Q100" s="1" t="str">
        <f>IF($D100="","",$C100&amp;"|"&amp;COUNTIFS($C$7:$C100,$C100))</f>
        <v>M013|5</v>
      </c>
      <c r="R100" s="1" t="str">
        <f t="shared" si="2"/>
        <v>NAZ1GIDALTDSTI</v>
      </c>
      <c r="S100" s="1" t="str">
        <f t="shared" si="3"/>
        <v>M013|46060|2000|</v>
      </c>
      <c r="T100" s="1">
        <f>IF($E100="",0,SUMPRODUCT((AY_SONU!$O$7:$O$42="Evet")*(AY_SONU!$B$7:$B$42=DATE(YEAR($E100),MONTH($E100),1))))</f>
        <v>0</v>
      </c>
      <c r="U100" s="1" t="str">
        <f>IF(OR($G100="",$H100="Mahsup"),"",$G100&amp;"|"&amp;COUNTIFS($G$7:$G100,$G100,$H$7:$H100,"&lt;&gt;Mahsup"))</f>
        <v>MERKEZ KASA|68</v>
      </c>
    </row>
    <row r="101" spans="1:21" ht="18" customHeight="1" x14ac:dyDescent="0.3">
      <c r="A101" s="2"/>
      <c r="B101" s="65" t="str">
        <f>IF($D101="","","T"&amp;TEXT(ROW()-6,"00000"))</f>
        <v>T00095</v>
      </c>
      <c r="C101" s="65" t="str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>M009</v>
      </c>
      <c r="D101" s="61" t="s">
        <v>735</v>
      </c>
      <c r="E101" s="66">
        <v>46060</v>
      </c>
      <c r="F101" s="67">
        <v>2000</v>
      </c>
      <c r="G101" s="60" t="s">
        <v>717</v>
      </c>
      <c r="H101" s="60" t="s">
        <v>572</v>
      </c>
      <c r="I101" s="61"/>
      <c r="J101" s="61" t="s">
        <v>720</v>
      </c>
      <c r="K101" s="61"/>
      <c r="L101" s="73">
        <f>IF($E101="","",DATE(YEAR($E101),MONTH($E101),1))</f>
        <v>46054</v>
      </c>
      <c r="M101" s="65" t="str">
        <f ca="1">IF($D101="","",IF($C101="TANIMSIZ MÜŞTERİ","HATA",IF(OR($E101="",$F101&lt;=0,$G101=""),"EKSİK",IF($E101&gt;TODAY(),"İLERİ TARİH",IF(COUNTIF($S$7:$S$2503,$S101)&gt;1,"MÜKERRER?",IF($T101&gt;0,"KAPALI DÖNEM","UYGUN"))))))</f>
        <v>UYGUN</v>
      </c>
      <c r="N101" s="74" t="str">
        <f>IF($C101="","",IF($C101="TANIMSIZ MÜŞTERİ","—",INDEX(MUSTERILER!$C$7:$C$156,MATCH($C101,MUSTERILER!$B$7:$B$156,0))))</f>
        <v>PAKYILDIZ LTD.ŞTİ.</v>
      </c>
      <c r="O101" s="2"/>
      <c r="P101" s="2"/>
      <c r="Q101" s="1" t="str">
        <f>IF($D101="","",$C101&amp;"|"&amp;COUNTIFS($C$7:$C101,$C101))</f>
        <v>M009|5</v>
      </c>
      <c r="R101" s="1" t="str">
        <f t="shared" si="2"/>
        <v>PAKYILDIZLTDSTI</v>
      </c>
      <c r="S101" s="1" t="str">
        <f t="shared" si="3"/>
        <v>M009|46060|2000|</v>
      </c>
      <c r="T101" s="1">
        <f>IF($E101="",0,SUMPRODUCT((AY_SONU!$O$7:$O$42="Evet")*(AY_SONU!$B$7:$B$42=DATE(YEAR($E101),MONTH($E101),1))))</f>
        <v>0</v>
      </c>
      <c r="U101" s="1" t="str">
        <f>IF(OR($G101="",$H101="Mahsup"),"",$G101&amp;"|"&amp;COUNTIFS($G$7:$G101,$G101,$H$7:$H101,"&lt;&gt;Mahsup"))</f>
        <v>MERKEZ KASA|69</v>
      </c>
    </row>
    <row r="102" spans="1:21" ht="18" customHeight="1" x14ac:dyDescent="0.3">
      <c r="A102" s="2"/>
      <c r="B102" s="65" t="str">
        <f>IF($D102="","","T"&amp;TEXT(ROW()-6,"00000"))</f>
        <v>T00096</v>
      </c>
      <c r="C102" s="65" t="str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>M016</v>
      </c>
      <c r="D102" s="61" t="s">
        <v>736</v>
      </c>
      <c r="E102" s="66">
        <v>46060</v>
      </c>
      <c r="F102" s="67">
        <v>2000</v>
      </c>
      <c r="G102" s="60" t="s">
        <v>717</v>
      </c>
      <c r="H102" s="60" t="s">
        <v>572</v>
      </c>
      <c r="I102" s="61"/>
      <c r="J102" s="61" t="s">
        <v>720</v>
      </c>
      <c r="K102" s="61"/>
      <c r="L102" s="73">
        <f>IF($E102="","",DATE(YEAR($E102),MONTH($E102),1))</f>
        <v>46054</v>
      </c>
      <c r="M102" s="65" t="str">
        <f ca="1">IF($D102="","",IF($C102="TANIMSIZ MÜŞTERİ","HATA",IF(OR($E102="",$F102&lt;=0,$G102=""),"EKSİK",IF($E102&gt;TODAY(),"İLERİ TARİH",IF(COUNTIF($S$7:$S$2503,$S102)&gt;1,"MÜKERRER?",IF($T102&gt;0,"KAPALI DÖNEM","UYGUN"))))))</f>
        <v>UYGUN</v>
      </c>
      <c r="N102" s="74" t="str">
        <f>IF($C102="","",IF($C102="TANIMSIZ MÜŞTERİ","—",INDEX(MUSTERILER!$C$7:$C$156,MATCH($C102,MUSTERILER!$B$7:$B$156,0))))</f>
        <v>RİX ŞOW LTD.ŞTİ.</v>
      </c>
      <c r="O102" s="2"/>
      <c r="P102" s="2"/>
      <c r="Q102" s="1" t="str">
        <f>IF($D102="","",$C102&amp;"|"&amp;COUNTIFS($C$7:$C102,$C102))</f>
        <v>M016|6</v>
      </c>
      <c r="R102" s="1" t="str">
        <f t="shared" si="2"/>
        <v>RIXSOWLTDSTI</v>
      </c>
      <c r="S102" s="1" t="str">
        <f t="shared" si="3"/>
        <v>M016|46060|2000|</v>
      </c>
      <c r="T102" s="1">
        <f>IF($E102="",0,SUMPRODUCT((AY_SONU!$O$7:$O$42="Evet")*(AY_SONU!$B$7:$B$42=DATE(YEAR($E102),MONTH($E102),1))))</f>
        <v>0</v>
      </c>
      <c r="U102" s="1" t="str">
        <f>IF(OR($G102="",$H102="Mahsup"),"",$G102&amp;"|"&amp;COUNTIFS($G$7:$G102,$G102,$H$7:$H102,"&lt;&gt;Mahsup"))</f>
        <v>MERKEZ KASA|70</v>
      </c>
    </row>
    <row r="103" spans="1:21" ht="18" customHeight="1" x14ac:dyDescent="0.3">
      <c r="A103" s="2"/>
      <c r="B103" s="65" t="str">
        <f>IF($D103="","","T"&amp;TEXT(ROW()-6,"00000"))</f>
        <v>T00097</v>
      </c>
      <c r="C103" s="65" t="str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>M005</v>
      </c>
      <c r="D103" s="61" t="s">
        <v>722</v>
      </c>
      <c r="E103" s="66">
        <v>46060</v>
      </c>
      <c r="F103" s="67">
        <v>1750</v>
      </c>
      <c r="G103" s="60" t="s">
        <v>717</v>
      </c>
      <c r="H103" s="60" t="s">
        <v>572</v>
      </c>
      <c r="I103" s="61"/>
      <c r="J103" s="61" t="s">
        <v>720</v>
      </c>
      <c r="K103" s="61"/>
      <c r="L103" s="73">
        <f>IF($E103="","",DATE(YEAR($E103),MONTH($E103),1))</f>
        <v>46054</v>
      </c>
      <c r="M103" s="65" t="str">
        <f ca="1">IF($D103="","",IF($C103="TANIMSIZ MÜŞTERİ","HATA",IF(OR($E103="",$F103&lt;=0,$G103=""),"EKSİK",IF($E103&gt;TODAY(),"İLERİ TARİH",IF(COUNTIF($S$7:$S$2503,$S103)&gt;1,"MÜKERRER?",IF($T103&gt;0,"KAPALI DÖNEM","UYGUN"))))))</f>
        <v>UYGUN</v>
      </c>
      <c r="N103" s="74" t="str">
        <f>IF($C103="","",IF($C103="TANIMSIZ MÜŞTERİ","—",INDEX(MUSTERILER!$C$7:$C$156,MATCH($C103,MUSTERILER!$B$7:$B$156,0))))</f>
        <v>ZÜMRÜT GRUP LTD.ŞTİ.</v>
      </c>
      <c r="O103" s="2"/>
      <c r="P103" s="2"/>
      <c r="Q103" s="1" t="str">
        <f>IF($D103="","",$C103&amp;"|"&amp;COUNTIFS($C$7:$C103,$C103))</f>
        <v>M005|7</v>
      </c>
      <c r="R103" s="1" t="str">
        <f t="shared" si="2"/>
        <v>ZUMRUTGRUPLTDSTI</v>
      </c>
      <c r="S103" s="1" t="str">
        <f t="shared" si="3"/>
        <v>M005|46060|1750|</v>
      </c>
      <c r="T103" s="1">
        <f>IF($E103="",0,SUMPRODUCT((AY_SONU!$O$7:$O$42="Evet")*(AY_SONU!$B$7:$B$42=DATE(YEAR($E103),MONTH($E103),1))))</f>
        <v>0</v>
      </c>
      <c r="U103" s="1" t="str">
        <f>IF(OR($G103="",$H103="Mahsup"),"",$G103&amp;"|"&amp;COUNTIFS($G$7:$G103,$G103,$H$7:$H103,"&lt;&gt;Mahsup"))</f>
        <v>MERKEZ KASA|71</v>
      </c>
    </row>
    <row r="104" spans="1:21" ht="18" customHeight="1" x14ac:dyDescent="0.3">
      <c r="A104" s="2"/>
      <c r="B104" s="65" t="str">
        <f>IF($D104="","","T"&amp;TEXT(ROW()-6,"00000"))</f>
        <v>T00098</v>
      </c>
      <c r="C104" s="65" t="str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>M020</v>
      </c>
      <c r="D104" s="61" t="s">
        <v>623</v>
      </c>
      <c r="E104" s="66">
        <v>46060</v>
      </c>
      <c r="F104" s="67">
        <v>3000</v>
      </c>
      <c r="G104" s="60" t="s">
        <v>717</v>
      </c>
      <c r="H104" s="60" t="s">
        <v>572</v>
      </c>
      <c r="I104" s="61"/>
      <c r="J104" s="61" t="s">
        <v>720</v>
      </c>
      <c r="K104" s="61"/>
      <c r="L104" s="73">
        <f>IF($E104="","",DATE(YEAR($E104),MONTH($E104),1))</f>
        <v>46054</v>
      </c>
      <c r="M104" s="65" t="str">
        <f ca="1">IF($D104="","",IF($C104="TANIMSIZ MÜŞTERİ","HATA",IF(OR($E104="",$F104&lt;=0,$G104=""),"EKSİK",IF($E104&gt;TODAY(),"İLERİ TARİH",IF(COUNTIF($S$7:$S$2503,$S104)&gt;1,"MÜKERRER?",IF($T104&gt;0,"KAPALI DÖNEM","UYGUN"))))))</f>
        <v>UYGUN</v>
      </c>
      <c r="N104" s="74" t="str">
        <f>IF($C104="","",IF($C104="TANIMSIZ MÜŞTERİ","—",INDEX(MUSTERILER!$C$7:$C$156,MATCH($C104,MUSTERILER!$B$7:$B$156,0))))</f>
        <v>KRİSTAL LTD.ŞTİ.</v>
      </c>
      <c r="O104" s="2"/>
      <c r="P104" s="2"/>
      <c r="Q104" s="1" t="str">
        <f>IF($D104="","",$C104&amp;"|"&amp;COUNTIFS($C$7:$C104,$C104))</f>
        <v>M020|5</v>
      </c>
      <c r="R104" s="1" t="str">
        <f t="shared" si="2"/>
        <v>KRISTALLTDSTI</v>
      </c>
      <c r="S104" s="1" t="str">
        <f t="shared" si="3"/>
        <v>M020|46060|3000|</v>
      </c>
      <c r="T104" s="1">
        <f>IF($E104="",0,SUMPRODUCT((AY_SONU!$O$7:$O$42="Evet")*(AY_SONU!$B$7:$B$42=DATE(YEAR($E104),MONTH($E104),1))))</f>
        <v>0</v>
      </c>
      <c r="U104" s="1" t="str">
        <f>IF(OR($G104="",$H104="Mahsup"),"",$G104&amp;"|"&amp;COUNTIFS($G$7:$G104,$G104,$H$7:$H104,"&lt;&gt;Mahsup"))</f>
        <v>MERKEZ KASA|72</v>
      </c>
    </row>
    <row r="105" spans="1:21" ht="18" customHeight="1" x14ac:dyDescent="0.3">
      <c r="A105" s="2"/>
      <c r="B105" s="65" t="str">
        <f>IF($D105="","","T"&amp;TEXT(ROW()-6,"00000"))</f>
        <v>T00099</v>
      </c>
      <c r="C105" s="65" t="str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>M007</v>
      </c>
      <c r="D105" s="61" t="s">
        <v>733</v>
      </c>
      <c r="E105" s="66">
        <v>46063</v>
      </c>
      <c r="F105" s="67">
        <v>3500</v>
      </c>
      <c r="G105" s="60" t="s">
        <v>723</v>
      </c>
      <c r="H105" s="60" t="s">
        <v>572</v>
      </c>
      <c r="I105" s="61"/>
      <c r="J105" s="61" t="s">
        <v>724</v>
      </c>
      <c r="K105" s="61"/>
      <c r="L105" s="73">
        <f>IF($E105="","",DATE(YEAR($E105),MONTH($E105),1))</f>
        <v>46054</v>
      </c>
      <c r="M105" s="65" t="str">
        <f ca="1">IF($D105="","",IF($C105="TANIMSIZ MÜŞTERİ","HATA",IF(OR($E105="",$F105&lt;=0,$G105=""),"EKSİK",IF($E105&gt;TODAY(),"İLERİ TARİH",IF(COUNTIF($S$7:$S$2503,$S105)&gt;1,"MÜKERRER?",IF($T105&gt;0,"KAPALI DÖNEM","UYGUN"))))))</f>
        <v>UYGUN</v>
      </c>
      <c r="N105" s="74" t="str">
        <f>IF($C105="","",IF($C105="TANIMSIZ MÜŞTERİ","—",INDEX(MUSTERILER!$C$7:$C$156,MATCH($C105,MUSTERILER!$B$7:$B$156,0))))</f>
        <v>MONAMOUR LTD.ŞTİ.</v>
      </c>
      <c r="O105" s="2"/>
      <c r="P105" s="2"/>
      <c r="Q105" s="1" t="str">
        <f>IF($D105="","",$C105&amp;"|"&amp;COUNTIFS($C$7:$C105,$C105))</f>
        <v>M007|6</v>
      </c>
      <c r="R105" s="1" t="str">
        <f t="shared" si="2"/>
        <v>MONAMOURLTDSTI</v>
      </c>
      <c r="S105" s="1" t="str">
        <f t="shared" si="3"/>
        <v>M007|46063|3500|</v>
      </c>
      <c r="T105" s="1">
        <f>IF($E105="",0,SUMPRODUCT((AY_SONU!$O$7:$O$42="Evet")*(AY_SONU!$B$7:$B$42=DATE(YEAR($E105),MONTH($E105),1))))</f>
        <v>0</v>
      </c>
      <c r="U105" s="1" t="str">
        <f>IF(OR($G105="",$H105="Mahsup"),"",$G105&amp;"|"&amp;COUNTIFS($G$7:$G105,$G105,$H$7:$H105,"&lt;&gt;Mahsup"))</f>
        <v>ÖMER KARTAL|27</v>
      </c>
    </row>
    <row r="106" spans="1:21" ht="18" customHeight="1" x14ac:dyDescent="0.3">
      <c r="A106" s="2"/>
      <c r="B106" s="65" t="str">
        <f>IF($D106="","","T"&amp;TEXT(ROW()-6,"00000"))</f>
        <v>T00100</v>
      </c>
      <c r="C106" s="65" t="str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>M040</v>
      </c>
      <c r="D106" s="61" t="s">
        <v>631</v>
      </c>
      <c r="E106" s="66">
        <v>46063</v>
      </c>
      <c r="F106" s="67">
        <v>1500</v>
      </c>
      <c r="G106" s="60" t="s">
        <v>717</v>
      </c>
      <c r="H106" s="60" t="s">
        <v>572</v>
      </c>
      <c r="I106" s="61"/>
      <c r="J106" s="61" t="s">
        <v>720</v>
      </c>
      <c r="K106" s="61"/>
      <c r="L106" s="73">
        <f>IF($E106="","",DATE(YEAR($E106),MONTH($E106),1))</f>
        <v>46054</v>
      </c>
      <c r="M106" s="65" t="str">
        <f ca="1">IF($D106="","",IF($C106="TANIMSIZ MÜŞTERİ","HATA",IF(OR($E106="",$F106&lt;=0,$G106=""),"EKSİK",IF($E106&gt;TODAY(),"İLERİ TARİH",IF(COUNTIF($S$7:$S$2503,$S106)&gt;1,"MÜKERRER?",IF($T106&gt;0,"KAPALI DÖNEM","UYGUN"))))))</f>
        <v>UYGUN</v>
      </c>
      <c r="N106" s="74" t="str">
        <f>IF($C106="","",IF($C106="TANIMSIZ MÜŞTERİ","—",INDEX(MUSTERILER!$C$7:$C$156,MATCH($C106,MUSTERILER!$B$7:$B$156,0))))</f>
        <v>MENEKŞE AKAN</v>
      </c>
      <c r="O106" s="2"/>
      <c r="P106" s="2"/>
      <c r="Q106" s="1" t="str">
        <f>IF($D106="","",$C106&amp;"|"&amp;COUNTIFS($C$7:$C106,$C106))</f>
        <v>M040|1</v>
      </c>
      <c r="R106" s="1" t="str">
        <f t="shared" si="2"/>
        <v>MENEKSEAKAN</v>
      </c>
      <c r="S106" s="1" t="str">
        <f t="shared" si="3"/>
        <v>M040|46063|1500|</v>
      </c>
      <c r="T106" s="1">
        <f>IF($E106="",0,SUMPRODUCT((AY_SONU!$O$7:$O$42="Evet")*(AY_SONU!$B$7:$B$42=DATE(YEAR($E106),MONTH($E106),1))))</f>
        <v>0</v>
      </c>
      <c r="U106" s="1" t="str">
        <f>IF(OR($G106="",$H106="Mahsup"),"",$G106&amp;"|"&amp;COUNTIFS($G$7:$G106,$G106,$H$7:$H106,"&lt;&gt;Mahsup"))</f>
        <v>MERKEZ KASA|73</v>
      </c>
    </row>
    <row r="107" spans="1:21" ht="18" customHeight="1" x14ac:dyDescent="0.3">
      <c r="A107" s="2"/>
      <c r="B107" s="65" t="str">
        <f>IF($D107="","","T"&amp;TEXT(ROW()-6,"00000"))</f>
        <v>T00101</v>
      </c>
      <c r="C107" s="65" t="str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>M051</v>
      </c>
      <c r="D107" s="61" t="s">
        <v>668</v>
      </c>
      <c r="E107" s="66">
        <v>46066</v>
      </c>
      <c r="F107" s="67">
        <v>3000</v>
      </c>
      <c r="G107" s="60" t="s">
        <v>723</v>
      </c>
      <c r="H107" s="60" t="s">
        <v>572</v>
      </c>
      <c r="I107" s="61"/>
      <c r="J107" s="61" t="s">
        <v>720</v>
      </c>
      <c r="K107" s="61"/>
      <c r="L107" s="73">
        <f>IF($E107="","",DATE(YEAR($E107),MONTH($E107),1))</f>
        <v>46054</v>
      </c>
      <c r="M107" s="65" t="str">
        <f ca="1">IF($D107="","",IF($C107="TANIMSIZ MÜŞTERİ","HATA",IF(OR($E107="",$F107&lt;=0,$G107=""),"EKSİK",IF($E107&gt;TODAY(),"İLERİ TARİH",IF(COUNTIF($S$7:$S$2503,$S107)&gt;1,"MÜKERRER?",IF($T107&gt;0,"KAPALI DÖNEM","UYGUN"))))))</f>
        <v>UYGUN</v>
      </c>
      <c r="N107" s="74" t="str">
        <f>IF($C107="","",IF($C107="TANIMSIZ MÜŞTERİ","—",INDEX(MUSTERILER!$C$7:$C$156,MATCH($C107,MUSTERILER!$B$7:$B$156,0))))</f>
        <v>UFUK YILMAZ</v>
      </c>
      <c r="O107" s="2"/>
      <c r="P107" s="2"/>
      <c r="Q107" s="1" t="str">
        <f>IF($D107="","",$C107&amp;"|"&amp;COUNTIFS($C$7:$C107,$C107))</f>
        <v>M051|2</v>
      </c>
      <c r="R107" s="1" t="str">
        <f t="shared" si="2"/>
        <v>UFUKYILMAZ</v>
      </c>
      <c r="S107" s="1" t="str">
        <f t="shared" si="3"/>
        <v>M051|46066|3000|</v>
      </c>
      <c r="T107" s="1">
        <f>IF($E107="",0,SUMPRODUCT((AY_SONU!$O$7:$O$42="Evet")*(AY_SONU!$B$7:$B$42=DATE(YEAR($E107),MONTH($E107),1))))</f>
        <v>0</v>
      </c>
      <c r="U107" s="1" t="str">
        <f>IF(OR($G107="",$H107="Mahsup"),"",$G107&amp;"|"&amp;COUNTIFS($G$7:$G107,$G107,$H$7:$H107,"&lt;&gt;Mahsup"))</f>
        <v>ÖMER KARTAL|28</v>
      </c>
    </row>
    <row r="108" spans="1:21" ht="18" customHeight="1" x14ac:dyDescent="0.3">
      <c r="A108" s="2"/>
      <c r="B108" s="65" t="str">
        <f>IF($D108="","","T"&amp;TEXT(ROW()-6,"00000"))</f>
        <v>T00102</v>
      </c>
      <c r="C108" s="65" t="str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>M001</v>
      </c>
      <c r="D108" s="61" t="s">
        <v>729</v>
      </c>
      <c r="E108" s="66">
        <v>46067</v>
      </c>
      <c r="F108" s="67">
        <v>4000</v>
      </c>
      <c r="G108" s="60" t="s">
        <v>717</v>
      </c>
      <c r="H108" s="60" t="s">
        <v>572</v>
      </c>
      <c r="I108" s="61"/>
      <c r="J108" s="61" t="s">
        <v>720</v>
      </c>
      <c r="K108" s="61"/>
      <c r="L108" s="73">
        <f>IF($E108="","",DATE(YEAR($E108),MONTH($E108),1))</f>
        <v>46054</v>
      </c>
      <c r="M108" s="65" t="str">
        <f ca="1">IF($D108="","",IF($C108="TANIMSIZ MÜŞTERİ","HATA",IF(OR($E108="",$F108&lt;=0,$G108=""),"EKSİK",IF($E108&gt;TODAY(),"İLERİ TARİH",IF(COUNTIF($S$7:$S$2503,$S108)&gt;1,"MÜKERRER?",IF($T108&gt;0,"KAPALI DÖNEM","UYGUN"))))))</f>
        <v>UYGUN</v>
      </c>
      <c r="N108" s="74" t="str">
        <f>IF($C108="","",IF($C108="TANIMSIZ MÜŞTERİ","—",INDEX(MUSTERILER!$C$7:$C$156,MATCH($C108,MUSTERILER!$B$7:$B$156,0))))</f>
        <v>ANKARA HAVANA LTD.ŞTİ.</v>
      </c>
      <c r="O108" s="2"/>
      <c r="P108" s="2"/>
      <c r="Q108" s="1" t="str">
        <f>IF($D108="","",$C108&amp;"|"&amp;COUNTIFS($C$7:$C108,$C108))</f>
        <v>M001|5</v>
      </c>
      <c r="R108" s="1" t="str">
        <f t="shared" si="2"/>
        <v>ANKARAHAVANALTDSTI</v>
      </c>
      <c r="S108" s="1" t="str">
        <f t="shared" si="3"/>
        <v>M001|46067|4000|</v>
      </c>
      <c r="T108" s="1">
        <f>IF($E108="",0,SUMPRODUCT((AY_SONU!$O$7:$O$42="Evet")*(AY_SONU!$B$7:$B$42=DATE(YEAR($E108),MONTH($E108),1))))</f>
        <v>0</v>
      </c>
      <c r="U108" s="1" t="str">
        <f>IF(OR($G108="",$H108="Mahsup"),"",$G108&amp;"|"&amp;COUNTIFS($G$7:$G108,$G108,$H$7:$H108,"&lt;&gt;Mahsup"))</f>
        <v>MERKEZ KASA|74</v>
      </c>
    </row>
    <row r="109" spans="1:21" ht="18" customHeight="1" x14ac:dyDescent="0.3">
      <c r="A109" s="2"/>
      <c r="B109" s="65" t="str">
        <f>IF($D109="","","T"&amp;TEXT(ROW()-6,"00000"))</f>
        <v>T00103</v>
      </c>
      <c r="C109" s="65" t="str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>M025</v>
      </c>
      <c r="D109" s="61" t="s">
        <v>583</v>
      </c>
      <c r="E109" s="66">
        <v>46067</v>
      </c>
      <c r="F109" s="67">
        <v>2000</v>
      </c>
      <c r="G109" s="60" t="s">
        <v>717</v>
      </c>
      <c r="H109" s="60" t="s">
        <v>572</v>
      </c>
      <c r="I109" s="61"/>
      <c r="J109" s="61" t="s">
        <v>720</v>
      </c>
      <c r="K109" s="61"/>
      <c r="L109" s="73">
        <f>IF($E109="","",DATE(YEAR($E109),MONTH($E109),1))</f>
        <v>46054</v>
      </c>
      <c r="M109" s="65" t="str">
        <f ca="1">IF($D109="","",IF($C109="TANIMSIZ MÜŞTERİ","HATA",IF(OR($E109="",$F109&lt;=0,$G109=""),"EKSİK",IF($E109&gt;TODAY(),"İLERİ TARİH",IF(COUNTIF($S$7:$S$2503,$S109)&gt;1,"MÜKERRER?",IF($T109&gt;0,"KAPALI DÖNEM","UYGUN"))))))</f>
        <v>UYGUN</v>
      </c>
      <c r="N109" s="74" t="str">
        <f>IF($C109="","",IF($C109="TANIMSIZ MÜŞTERİ","—",INDEX(MUSTERILER!$C$7:$C$156,MATCH($C109,MUSTERILER!$B$7:$B$156,0))))</f>
        <v>ASIM AÇIKGÖZ</v>
      </c>
      <c r="O109" s="2"/>
      <c r="P109" s="2"/>
      <c r="Q109" s="1" t="str">
        <f>IF($D109="","",$C109&amp;"|"&amp;COUNTIFS($C$7:$C109,$C109))</f>
        <v>M025|6</v>
      </c>
      <c r="R109" s="1" t="str">
        <f t="shared" si="2"/>
        <v>ASIMACIKGOZ</v>
      </c>
      <c r="S109" s="1" t="str">
        <f t="shared" si="3"/>
        <v>M025|46067|2000|</v>
      </c>
      <c r="T109" s="1">
        <f>IF($E109="",0,SUMPRODUCT((AY_SONU!$O$7:$O$42="Evet")*(AY_SONU!$B$7:$B$42=DATE(YEAR($E109),MONTH($E109),1))))</f>
        <v>0</v>
      </c>
      <c r="U109" s="1" t="str">
        <f>IF(OR($G109="",$H109="Mahsup"),"",$G109&amp;"|"&amp;COUNTIFS($G$7:$G109,$G109,$H$7:$H109,"&lt;&gt;Mahsup"))</f>
        <v>MERKEZ KASA|75</v>
      </c>
    </row>
    <row r="110" spans="1:21" ht="18" customHeight="1" x14ac:dyDescent="0.3">
      <c r="A110" s="2"/>
      <c r="B110" s="65" t="str">
        <f>IF($D110="","","T"&amp;TEXT(ROW()-6,"00000"))</f>
        <v>T00104</v>
      </c>
      <c r="C110" s="65" t="str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>M017</v>
      </c>
      <c r="D110" s="61" t="s">
        <v>585</v>
      </c>
      <c r="E110" s="66">
        <v>46067</v>
      </c>
      <c r="F110" s="67">
        <v>2500</v>
      </c>
      <c r="G110" s="60" t="s">
        <v>717</v>
      </c>
      <c r="H110" s="60" t="s">
        <v>572</v>
      </c>
      <c r="I110" s="61"/>
      <c r="J110" s="61" t="s">
        <v>720</v>
      </c>
      <c r="K110" s="61"/>
      <c r="L110" s="73">
        <f>IF($E110="","",DATE(YEAR($E110),MONTH($E110),1))</f>
        <v>46054</v>
      </c>
      <c r="M110" s="65" t="str">
        <f ca="1">IF($D110="","",IF($C110="TANIMSIZ MÜŞTERİ","HATA",IF(OR($E110="",$F110&lt;=0,$G110=""),"EKSİK",IF($E110&gt;TODAY(),"İLERİ TARİH",IF(COUNTIF($S$7:$S$2503,$S110)&gt;1,"MÜKERRER?",IF($T110&gt;0,"KAPALI DÖNEM","UYGUN"))))))</f>
        <v>UYGUN</v>
      </c>
      <c r="N110" s="74" t="str">
        <f>IF($C110="","",IF($C110="TANIMSIZ MÜŞTERİ","—",INDEX(MUSTERILER!$C$7:$C$156,MATCH($C110,MUSTERILER!$B$7:$B$156,0))))</f>
        <v>ASM EĞLENCE LTD.ŞTİ.</v>
      </c>
      <c r="O110" s="2"/>
      <c r="P110" s="2"/>
      <c r="Q110" s="1" t="str">
        <f>IF($D110="","",$C110&amp;"|"&amp;COUNTIFS($C$7:$C110,$C110))</f>
        <v>M017|6</v>
      </c>
      <c r="R110" s="1" t="str">
        <f t="shared" si="2"/>
        <v>ASMEGLENCELTDSTI</v>
      </c>
      <c r="S110" s="1" t="str">
        <f t="shared" si="3"/>
        <v>M017|46067|2500|</v>
      </c>
      <c r="T110" s="1">
        <f>IF($E110="",0,SUMPRODUCT((AY_SONU!$O$7:$O$42="Evet")*(AY_SONU!$B$7:$B$42=DATE(YEAR($E110),MONTH($E110),1))))</f>
        <v>0</v>
      </c>
      <c r="U110" s="1" t="str">
        <f>IF(OR($G110="",$H110="Mahsup"),"",$G110&amp;"|"&amp;COUNTIFS($G$7:$G110,$G110,$H$7:$H110,"&lt;&gt;Mahsup"))</f>
        <v>MERKEZ KASA|76</v>
      </c>
    </row>
    <row r="111" spans="1:21" ht="18" customHeight="1" x14ac:dyDescent="0.3">
      <c r="A111" s="2"/>
      <c r="B111" s="65" t="str">
        <f>IF($D111="","","T"&amp;TEXT(ROW()-6,"00000"))</f>
        <v>T00105</v>
      </c>
      <c r="C111" s="65" t="str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>M015</v>
      </c>
      <c r="D111" s="61" t="s">
        <v>719</v>
      </c>
      <c r="E111" s="66">
        <v>46067</v>
      </c>
      <c r="F111" s="67">
        <v>3000</v>
      </c>
      <c r="G111" s="60" t="s">
        <v>717</v>
      </c>
      <c r="H111" s="60" t="s">
        <v>572</v>
      </c>
      <c r="I111" s="61"/>
      <c r="J111" s="61" t="s">
        <v>720</v>
      </c>
      <c r="K111" s="61"/>
      <c r="L111" s="73">
        <f>IF($E111="","",DATE(YEAR($E111),MONTH($E111),1))</f>
        <v>46054</v>
      </c>
      <c r="M111" s="65" t="str">
        <f ca="1">IF($D111="","",IF($C111="TANIMSIZ MÜŞTERİ","HATA",IF(OR($E111="",$F111&lt;=0,$G111=""),"EKSİK",IF($E111&gt;TODAY(),"İLERİ TARİH",IF(COUNTIF($S$7:$S$2503,$S111)&gt;1,"MÜKERRER?",IF($T111&gt;0,"KAPALI DÖNEM","UYGUN"))))))</f>
        <v>UYGUN</v>
      </c>
      <c r="N111" s="74" t="str">
        <f>IF($C111="","",IF($C111="TANIMSIZ MÜŞTERİ","—",INDEX(MUSTERILER!$C$7:$C$156,MATCH($C111,MUSTERILER!$B$7:$B$156,0))))</f>
        <v>ÇAYIRALAN LTD.ŞTİ.</v>
      </c>
      <c r="O111" s="2"/>
      <c r="P111" s="2"/>
      <c r="Q111" s="1" t="str">
        <f>IF($D111="","",$C111&amp;"|"&amp;COUNTIFS($C$7:$C111,$C111))</f>
        <v>M015|7</v>
      </c>
      <c r="R111" s="1" t="str">
        <f t="shared" si="2"/>
        <v>CAYIRALANLTDSTI</v>
      </c>
      <c r="S111" s="1" t="str">
        <f t="shared" si="3"/>
        <v>M015|46067|3000|</v>
      </c>
      <c r="T111" s="1">
        <f>IF($E111="",0,SUMPRODUCT((AY_SONU!$O$7:$O$42="Evet")*(AY_SONU!$B$7:$B$42=DATE(YEAR($E111),MONTH($E111),1))))</f>
        <v>0</v>
      </c>
      <c r="U111" s="1" t="str">
        <f>IF(OR($G111="",$H111="Mahsup"),"",$G111&amp;"|"&amp;COUNTIFS($G$7:$G111,$G111,$H$7:$H111,"&lt;&gt;Mahsup"))</f>
        <v>MERKEZ KASA|77</v>
      </c>
    </row>
    <row r="112" spans="1:21" ht="18" customHeight="1" x14ac:dyDescent="0.3">
      <c r="A112" s="2"/>
      <c r="B112" s="65" t="str">
        <f>IF($D112="","","T"&amp;TEXT(ROW()-6,"00000"))</f>
        <v>T00106</v>
      </c>
      <c r="C112" s="65" t="str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>M011</v>
      </c>
      <c r="D112" s="61" t="s">
        <v>730</v>
      </c>
      <c r="E112" s="66">
        <v>46067</v>
      </c>
      <c r="F112" s="67">
        <v>3000</v>
      </c>
      <c r="G112" s="60" t="s">
        <v>717</v>
      </c>
      <c r="H112" s="60" t="s">
        <v>572</v>
      </c>
      <c r="I112" s="61"/>
      <c r="J112" s="61" t="s">
        <v>720</v>
      </c>
      <c r="K112" s="61"/>
      <c r="L112" s="73">
        <f>IF($E112="","",DATE(YEAR($E112),MONTH($E112),1))</f>
        <v>46054</v>
      </c>
      <c r="M112" s="65" t="str">
        <f ca="1">IF($D112="","",IF($C112="TANIMSIZ MÜŞTERİ","HATA",IF(OR($E112="",$F112&lt;=0,$G112=""),"EKSİK",IF($E112&gt;TODAY(),"İLERİ TARİH",IF(COUNTIF($S$7:$S$2503,$S112)&gt;1,"MÜKERRER?",IF($T112&gt;0,"KAPALI DÖNEM","UYGUN"))))))</f>
        <v>UYGUN</v>
      </c>
      <c r="N112" s="74" t="str">
        <f>IF($C112="","",IF($C112="TANIMSIZ MÜŞTERİ","—",INDEX(MUSTERILER!$C$7:$C$156,MATCH($C112,MUSTERILER!$B$7:$B$156,0))))</f>
        <v>EĞLENGÖR LTD.ŞTİ.</v>
      </c>
      <c r="O112" s="2"/>
      <c r="P112" s="2"/>
      <c r="Q112" s="1" t="str">
        <f>IF($D112="","",$C112&amp;"|"&amp;COUNTIFS($C$7:$C112,$C112))</f>
        <v>M011|6</v>
      </c>
      <c r="R112" s="1" t="str">
        <f t="shared" si="2"/>
        <v>EGLENGORLTDSTI</v>
      </c>
      <c r="S112" s="1" t="str">
        <f t="shared" si="3"/>
        <v>M011|46067|3000|</v>
      </c>
      <c r="T112" s="1">
        <f>IF($E112="",0,SUMPRODUCT((AY_SONU!$O$7:$O$42="Evet")*(AY_SONU!$B$7:$B$42=DATE(YEAR($E112),MONTH($E112),1))))</f>
        <v>0</v>
      </c>
      <c r="U112" s="1" t="str">
        <f>IF(OR($G112="",$H112="Mahsup"),"",$G112&amp;"|"&amp;COUNTIFS($G$7:$G112,$G112,$H$7:$H112,"&lt;&gt;Mahsup"))</f>
        <v>MERKEZ KASA|78</v>
      </c>
    </row>
    <row r="113" spans="1:21" ht="18" customHeight="1" x14ac:dyDescent="0.3">
      <c r="A113" s="2"/>
      <c r="B113" s="65" t="str">
        <f>IF($D113="","","T"&amp;TEXT(ROW()-6,"00000"))</f>
        <v>T00107</v>
      </c>
      <c r="C113" s="65" t="str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>M014</v>
      </c>
      <c r="D113" s="61" t="s">
        <v>731</v>
      </c>
      <c r="E113" s="66">
        <v>46067</v>
      </c>
      <c r="F113" s="67">
        <v>2000</v>
      </c>
      <c r="G113" s="60" t="s">
        <v>717</v>
      </c>
      <c r="H113" s="60" t="s">
        <v>572</v>
      </c>
      <c r="I113" s="61"/>
      <c r="J113" s="61" t="s">
        <v>720</v>
      </c>
      <c r="K113" s="61"/>
      <c r="L113" s="73">
        <f>IF($E113="","",DATE(YEAR($E113),MONTH($E113),1))</f>
        <v>46054</v>
      </c>
      <c r="M113" s="65" t="str">
        <f ca="1">IF($D113="","",IF($C113="TANIMSIZ MÜŞTERİ","HATA",IF(OR($E113="",$F113&lt;=0,$G113=""),"EKSİK",IF($E113&gt;TODAY(),"İLERİ TARİH",IF(COUNTIF($S$7:$S$2503,$S113)&gt;1,"MÜKERRER?",IF($T113&gt;0,"KAPALI DÖNEM","UYGUN"))))))</f>
        <v>UYGUN</v>
      </c>
      <c r="N113" s="74" t="str">
        <f>IF($C113="","",IF($C113="TANIMSIZ MÜŞTERİ","—",INDEX(MUSTERILER!$C$7:$C$156,MATCH($C113,MUSTERILER!$B$7:$B$156,0))))</f>
        <v>FİNAL SİYAH BEYAZ LTD.ŞTİ.</v>
      </c>
      <c r="O113" s="2"/>
      <c r="P113" s="2"/>
      <c r="Q113" s="1" t="str">
        <f>IF($D113="","",$C113&amp;"|"&amp;COUNTIFS($C$7:$C113,$C113))</f>
        <v>M014|6</v>
      </c>
      <c r="R113" s="1" t="str">
        <f t="shared" si="2"/>
        <v>FINALSIYAHBEYAZLTDSTI</v>
      </c>
      <c r="S113" s="1" t="str">
        <f t="shared" si="3"/>
        <v>M014|46067|2000|</v>
      </c>
      <c r="T113" s="1">
        <f>IF($E113="",0,SUMPRODUCT((AY_SONU!$O$7:$O$42="Evet")*(AY_SONU!$B$7:$B$42=DATE(YEAR($E113),MONTH($E113),1))))</f>
        <v>0</v>
      </c>
      <c r="U113" s="1" t="str">
        <f>IF(OR($G113="",$H113="Mahsup"),"",$G113&amp;"|"&amp;COUNTIFS($G$7:$G113,$G113,$H$7:$H113,"&lt;&gt;Mahsup"))</f>
        <v>MERKEZ KASA|79</v>
      </c>
    </row>
    <row r="114" spans="1:21" ht="18" customHeight="1" x14ac:dyDescent="0.3">
      <c r="A114" s="2"/>
      <c r="B114" s="65" t="str">
        <f>IF($D114="","","T"&amp;TEXT(ROW()-6,"00000"))</f>
        <v>T00108</v>
      </c>
      <c r="C114" s="65" t="str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>M034</v>
      </c>
      <c r="D114" s="61" t="s">
        <v>732</v>
      </c>
      <c r="E114" s="66">
        <v>46067</v>
      </c>
      <c r="F114" s="67">
        <v>1500</v>
      </c>
      <c r="G114" s="60" t="s">
        <v>717</v>
      </c>
      <c r="H114" s="60" t="s">
        <v>572</v>
      </c>
      <c r="I114" s="61"/>
      <c r="J114" s="61" t="s">
        <v>720</v>
      </c>
      <c r="K114" s="61"/>
      <c r="L114" s="73">
        <f>IF($E114="","",DATE(YEAR($E114),MONTH($E114),1))</f>
        <v>46054</v>
      </c>
      <c r="M114" s="65" t="str">
        <f ca="1">IF($D114="","",IF($C114="TANIMSIZ MÜŞTERİ","HATA",IF(OR($E114="",$F114&lt;=0,$G114=""),"EKSİK",IF($E114&gt;TODAY(),"İLERİ TARİH",IF(COUNTIF($S$7:$S$2503,$S114)&gt;1,"MÜKERRER?",IF($T114&gt;0,"KAPALI DÖNEM","UYGUN"))))))</f>
        <v>UYGUN</v>
      </c>
      <c r="N114" s="74" t="str">
        <f>IF($C114="","",IF($C114="TANIMSIZ MÜŞTERİ","—",INDEX(MUSTERILER!$C$7:$C$156,MATCH($C114,MUSTERILER!$B$7:$B$156,0))))</f>
        <v>İBRAHİM MALDAN</v>
      </c>
      <c r="O114" s="2"/>
      <c r="P114" s="2"/>
      <c r="Q114" s="1" t="str">
        <f>IF($D114="","",$C114&amp;"|"&amp;COUNTIFS($C$7:$C114,$C114))</f>
        <v>M034|6</v>
      </c>
      <c r="R114" s="1" t="str">
        <f t="shared" si="2"/>
        <v>IBRAHIMMALDAN</v>
      </c>
      <c r="S114" s="1" t="str">
        <f t="shared" si="3"/>
        <v>M034|46067|1500|</v>
      </c>
      <c r="T114" s="1">
        <f>IF($E114="",0,SUMPRODUCT((AY_SONU!$O$7:$O$42="Evet")*(AY_SONU!$B$7:$B$42=DATE(YEAR($E114),MONTH($E114),1))))</f>
        <v>0</v>
      </c>
      <c r="U114" s="1" t="str">
        <f>IF(OR($G114="",$H114="Mahsup"),"",$G114&amp;"|"&amp;COUNTIFS($G$7:$G114,$G114,$H$7:$H114,"&lt;&gt;Mahsup"))</f>
        <v>MERKEZ KASA|80</v>
      </c>
    </row>
    <row r="115" spans="1:21" ht="18" customHeight="1" x14ac:dyDescent="0.3">
      <c r="A115" s="2"/>
      <c r="B115" s="65" t="str">
        <f>IF($D115="","","T"&amp;TEXT(ROW()-6,"00000"))</f>
        <v>T00109</v>
      </c>
      <c r="C115" s="65" t="str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>M007</v>
      </c>
      <c r="D115" s="61" t="s">
        <v>733</v>
      </c>
      <c r="E115" s="66">
        <v>46067</v>
      </c>
      <c r="F115" s="67">
        <v>3500</v>
      </c>
      <c r="G115" s="60" t="s">
        <v>717</v>
      </c>
      <c r="H115" s="60" t="s">
        <v>572</v>
      </c>
      <c r="I115" s="61"/>
      <c r="J115" s="61" t="s">
        <v>720</v>
      </c>
      <c r="K115" s="61"/>
      <c r="L115" s="73">
        <f>IF($E115="","",DATE(YEAR($E115),MONTH($E115),1))</f>
        <v>46054</v>
      </c>
      <c r="M115" s="65" t="str">
        <f ca="1">IF($D115="","",IF($C115="TANIMSIZ MÜŞTERİ","HATA",IF(OR($E115="",$F115&lt;=0,$G115=""),"EKSİK",IF($E115&gt;TODAY(),"İLERİ TARİH",IF(COUNTIF($S$7:$S$2503,$S115)&gt;1,"MÜKERRER?",IF($T115&gt;0,"KAPALI DÖNEM","UYGUN"))))))</f>
        <v>UYGUN</v>
      </c>
      <c r="N115" s="74" t="str">
        <f>IF($C115="","",IF($C115="TANIMSIZ MÜŞTERİ","—",INDEX(MUSTERILER!$C$7:$C$156,MATCH($C115,MUSTERILER!$B$7:$B$156,0))))</f>
        <v>MONAMOUR LTD.ŞTİ.</v>
      </c>
      <c r="O115" s="2"/>
      <c r="P115" s="2"/>
      <c r="Q115" s="1" t="str">
        <f>IF($D115="","",$C115&amp;"|"&amp;COUNTIFS($C$7:$C115,$C115))</f>
        <v>M007|7</v>
      </c>
      <c r="R115" s="1" t="str">
        <f t="shared" si="2"/>
        <v>MONAMOURLTDSTI</v>
      </c>
      <c r="S115" s="1" t="str">
        <f t="shared" si="3"/>
        <v>M007|46067|3500|</v>
      </c>
      <c r="T115" s="1">
        <f>IF($E115="",0,SUMPRODUCT((AY_SONU!$O$7:$O$42="Evet")*(AY_SONU!$B$7:$B$42=DATE(YEAR($E115),MONTH($E115),1))))</f>
        <v>0</v>
      </c>
      <c r="U115" s="1" t="str">
        <f>IF(OR($G115="",$H115="Mahsup"),"",$G115&amp;"|"&amp;COUNTIFS($G$7:$G115,$G115,$H$7:$H115,"&lt;&gt;Mahsup"))</f>
        <v>MERKEZ KASA|81</v>
      </c>
    </row>
    <row r="116" spans="1:21" ht="18" customHeight="1" x14ac:dyDescent="0.3">
      <c r="A116" s="2"/>
      <c r="B116" s="65" t="str">
        <f>IF($D116="","","T"&amp;TEXT(ROW()-6,"00000"))</f>
        <v>T00110</v>
      </c>
      <c r="C116" s="65" t="str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>M013</v>
      </c>
      <c r="D116" s="61" t="s">
        <v>734</v>
      </c>
      <c r="E116" s="66">
        <v>46067</v>
      </c>
      <c r="F116" s="67">
        <v>2000</v>
      </c>
      <c r="G116" s="60" t="s">
        <v>717</v>
      </c>
      <c r="H116" s="60" t="s">
        <v>572</v>
      </c>
      <c r="I116" s="61"/>
      <c r="J116" s="61" t="s">
        <v>720</v>
      </c>
      <c r="K116" s="61"/>
      <c r="L116" s="73">
        <f>IF($E116="","",DATE(YEAR($E116),MONTH($E116),1))</f>
        <v>46054</v>
      </c>
      <c r="M116" s="65" t="str">
        <f ca="1">IF($D116="","",IF($C116="TANIMSIZ MÜŞTERİ","HATA",IF(OR($E116="",$F116&lt;=0,$G116=""),"EKSİK",IF($E116&gt;TODAY(),"İLERİ TARİH",IF(COUNTIF($S$7:$S$2503,$S116)&gt;1,"MÜKERRER?",IF($T116&gt;0,"KAPALI DÖNEM","UYGUN"))))))</f>
        <v>UYGUN</v>
      </c>
      <c r="N116" s="74" t="str">
        <f>IF($C116="","",IF($C116="TANIMSIZ MÜŞTERİ","—",INDEX(MUSTERILER!$C$7:$C$156,MATCH($C116,MUSTERILER!$B$7:$B$156,0))))</f>
        <v>NAZ 1 GIDA LTD.ŞTİ.</v>
      </c>
      <c r="O116" s="2"/>
      <c r="P116" s="2"/>
      <c r="Q116" s="1" t="str">
        <f>IF($D116="","",$C116&amp;"|"&amp;COUNTIFS($C$7:$C116,$C116))</f>
        <v>M013|6</v>
      </c>
      <c r="R116" s="1" t="str">
        <f t="shared" si="2"/>
        <v>NAZ1GIDALTDSTI</v>
      </c>
      <c r="S116" s="1" t="str">
        <f t="shared" si="3"/>
        <v>M013|46067|2000|</v>
      </c>
      <c r="T116" s="1">
        <f>IF($E116="",0,SUMPRODUCT((AY_SONU!$O$7:$O$42="Evet")*(AY_SONU!$B$7:$B$42=DATE(YEAR($E116),MONTH($E116),1))))</f>
        <v>0</v>
      </c>
      <c r="U116" s="1" t="str">
        <f>IF(OR($G116="",$H116="Mahsup"),"",$G116&amp;"|"&amp;COUNTIFS($G$7:$G116,$G116,$H$7:$H116,"&lt;&gt;Mahsup"))</f>
        <v>MERKEZ KASA|82</v>
      </c>
    </row>
    <row r="117" spans="1:21" ht="18" customHeight="1" x14ac:dyDescent="0.3">
      <c r="A117" s="2"/>
      <c r="B117" s="65" t="str">
        <f>IF($D117="","","T"&amp;TEXT(ROW()-6,"00000"))</f>
        <v>T00111</v>
      </c>
      <c r="C117" s="65" t="str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>M009</v>
      </c>
      <c r="D117" s="61" t="s">
        <v>735</v>
      </c>
      <c r="E117" s="66">
        <v>46067</v>
      </c>
      <c r="F117" s="67">
        <v>2000</v>
      </c>
      <c r="G117" s="60" t="s">
        <v>717</v>
      </c>
      <c r="H117" s="60" t="s">
        <v>572</v>
      </c>
      <c r="I117" s="61"/>
      <c r="J117" s="61" t="s">
        <v>720</v>
      </c>
      <c r="K117" s="61"/>
      <c r="L117" s="73">
        <f>IF($E117="","",DATE(YEAR($E117),MONTH($E117),1))</f>
        <v>46054</v>
      </c>
      <c r="M117" s="65" t="str">
        <f ca="1">IF($D117="","",IF($C117="TANIMSIZ MÜŞTERİ","HATA",IF(OR($E117="",$F117&lt;=0,$G117=""),"EKSİK",IF($E117&gt;TODAY(),"İLERİ TARİH",IF(COUNTIF($S$7:$S$2503,$S117)&gt;1,"MÜKERRER?",IF($T117&gt;0,"KAPALI DÖNEM","UYGUN"))))))</f>
        <v>UYGUN</v>
      </c>
      <c r="N117" s="74" t="str">
        <f>IF($C117="","",IF($C117="TANIMSIZ MÜŞTERİ","—",INDEX(MUSTERILER!$C$7:$C$156,MATCH($C117,MUSTERILER!$B$7:$B$156,0))))</f>
        <v>PAKYILDIZ LTD.ŞTİ.</v>
      </c>
      <c r="O117" s="2"/>
      <c r="P117" s="2"/>
      <c r="Q117" s="1" t="str">
        <f>IF($D117="","",$C117&amp;"|"&amp;COUNTIFS($C$7:$C117,$C117))</f>
        <v>M009|6</v>
      </c>
      <c r="R117" s="1" t="str">
        <f t="shared" si="2"/>
        <v>PAKYILDIZLTDSTI</v>
      </c>
      <c r="S117" s="1" t="str">
        <f t="shared" si="3"/>
        <v>M009|46067|2000|</v>
      </c>
      <c r="T117" s="1">
        <f>IF($E117="",0,SUMPRODUCT((AY_SONU!$O$7:$O$42="Evet")*(AY_SONU!$B$7:$B$42=DATE(YEAR($E117),MONTH($E117),1))))</f>
        <v>0</v>
      </c>
      <c r="U117" s="1" t="str">
        <f>IF(OR($G117="",$H117="Mahsup"),"",$G117&amp;"|"&amp;COUNTIFS($G$7:$G117,$G117,$H$7:$H117,"&lt;&gt;Mahsup"))</f>
        <v>MERKEZ KASA|83</v>
      </c>
    </row>
    <row r="118" spans="1:21" ht="18" customHeight="1" x14ac:dyDescent="0.3">
      <c r="A118" s="2"/>
      <c r="B118" s="65" t="str">
        <f>IF($D118="","","T"&amp;TEXT(ROW()-6,"00000"))</f>
        <v>T00112</v>
      </c>
      <c r="C118" s="65" t="str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>M016</v>
      </c>
      <c r="D118" s="61" t="s">
        <v>736</v>
      </c>
      <c r="E118" s="66">
        <v>46067</v>
      </c>
      <c r="F118" s="67">
        <v>4000</v>
      </c>
      <c r="G118" s="60" t="s">
        <v>717</v>
      </c>
      <c r="H118" s="60" t="s">
        <v>572</v>
      </c>
      <c r="I118" s="61"/>
      <c r="J118" s="61" t="s">
        <v>720</v>
      </c>
      <c r="K118" s="61"/>
      <c r="L118" s="73">
        <f>IF($E118="","",DATE(YEAR($E118),MONTH($E118),1))</f>
        <v>46054</v>
      </c>
      <c r="M118" s="65" t="str">
        <f ca="1">IF($D118="","",IF($C118="TANIMSIZ MÜŞTERİ","HATA",IF(OR($E118="",$F118&lt;=0,$G118=""),"EKSİK",IF($E118&gt;TODAY(),"İLERİ TARİH",IF(COUNTIF($S$7:$S$2503,$S118)&gt;1,"MÜKERRER?",IF($T118&gt;0,"KAPALI DÖNEM","UYGUN"))))))</f>
        <v>UYGUN</v>
      </c>
      <c r="N118" s="74" t="str">
        <f>IF($C118="","",IF($C118="TANIMSIZ MÜŞTERİ","—",INDEX(MUSTERILER!$C$7:$C$156,MATCH($C118,MUSTERILER!$B$7:$B$156,0))))</f>
        <v>RİX ŞOW LTD.ŞTİ.</v>
      </c>
      <c r="O118" s="2"/>
      <c r="P118" s="2"/>
      <c r="Q118" s="1" t="str">
        <f>IF($D118="","",$C118&amp;"|"&amp;COUNTIFS($C$7:$C118,$C118))</f>
        <v>M016|7</v>
      </c>
      <c r="R118" s="1" t="str">
        <f t="shared" si="2"/>
        <v>RIXSOWLTDSTI</v>
      </c>
      <c r="S118" s="1" t="str">
        <f t="shared" si="3"/>
        <v>M016|46067|4000|</v>
      </c>
      <c r="T118" s="1">
        <f>IF($E118="",0,SUMPRODUCT((AY_SONU!$O$7:$O$42="Evet")*(AY_SONU!$B$7:$B$42=DATE(YEAR($E118),MONTH($E118),1))))</f>
        <v>0</v>
      </c>
      <c r="U118" s="1" t="str">
        <f>IF(OR($G118="",$H118="Mahsup"),"",$G118&amp;"|"&amp;COUNTIFS($G$7:$G118,$G118,$H$7:$H118,"&lt;&gt;Mahsup"))</f>
        <v>MERKEZ KASA|84</v>
      </c>
    </row>
    <row r="119" spans="1:21" ht="18" customHeight="1" x14ac:dyDescent="0.3">
      <c r="A119" s="2"/>
      <c r="B119" s="65" t="str">
        <f>IF($D119="","","T"&amp;TEXT(ROW()-6,"00000"))</f>
        <v>T00113</v>
      </c>
      <c r="C119" s="65" t="str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>M005</v>
      </c>
      <c r="D119" s="61" t="s">
        <v>722</v>
      </c>
      <c r="E119" s="66">
        <v>46067</v>
      </c>
      <c r="F119" s="67">
        <v>1750</v>
      </c>
      <c r="G119" s="60" t="s">
        <v>717</v>
      </c>
      <c r="H119" s="60" t="s">
        <v>572</v>
      </c>
      <c r="I119" s="61"/>
      <c r="J119" s="61" t="s">
        <v>720</v>
      </c>
      <c r="K119" s="61"/>
      <c r="L119" s="73">
        <f>IF($E119="","",DATE(YEAR($E119),MONTH($E119),1))</f>
        <v>46054</v>
      </c>
      <c r="M119" s="65" t="str">
        <f ca="1">IF($D119="","",IF($C119="TANIMSIZ MÜŞTERİ","HATA",IF(OR($E119="",$F119&lt;=0,$G119=""),"EKSİK",IF($E119&gt;TODAY(),"İLERİ TARİH",IF(COUNTIF($S$7:$S$2503,$S119)&gt;1,"MÜKERRER?",IF($T119&gt;0,"KAPALI DÖNEM","UYGUN"))))))</f>
        <v>UYGUN</v>
      </c>
      <c r="N119" s="74" t="str">
        <f>IF($C119="","",IF($C119="TANIMSIZ MÜŞTERİ","—",INDEX(MUSTERILER!$C$7:$C$156,MATCH($C119,MUSTERILER!$B$7:$B$156,0))))</f>
        <v>ZÜMRÜT GRUP LTD.ŞTİ.</v>
      </c>
      <c r="O119" s="2"/>
      <c r="P119" s="2"/>
      <c r="Q119" s="1" t="str">
        <f>IF($D119="","",$C119&amp;"|"&amp;COUNTIFS($C$7:$C119,$C119))</f>
        <v>M005|8</v>
      </c>
      <c r="R119" s="1" t="str">
        <f t="shared" si="2"/>
        <v>ZUMRUTGRUPLTDSTI</v>
      </c>
      <c r="S119" s="1" t="str">
        <f t="shared" si="3"/>
        <v>M005|46067|1750|</v>
      </c>
      <c r="T119" s="1">
        <f>IF($E119="",0,SUMPRODUCT((AY_SONU!$O$7:$O$42="Evet")*(AY_SONU!$B$7:$B$42=DATE(YEAR($E119),MONTH($E119),1))))</f>
        <v>0</v>
      </c>
      <c r="U119" s="1" t="str">
        <f>IF(OR($G119="",$H119="Mahsup"),"",$G119&amp;"|"&amp;COUNTIFS($G$7:$G119,$G119,$H$7:$H119,"&lt;&gt;Mahsup"))</f>
        <v>MERKEZ KASA|85</v>
      </c>
    </row>
    <row r="120" spans="1:21" ht="18" customHeight="1" x14ac:dyDescent="0.3">
      <c r="A120" s="2"/>
      <c r="B120" s="65" t="str">
        <f>IF($D120="","","T"&amp;TEXT(ROW()-6,"00000"))</f>
        <v>T00114</v>
      </c>
      <c r="C120" s="65" t="str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>M035</v>
      </c>
      <c r="D120" s="61" t="s">
        <v>615</v>
      </c>
      <c r="E120" s="66">
        <v>46067</v>
      </c>
      <c r="F120" s="67">
        <v>3500</v>
      </c>
      <c r="G120" s="60" t="s">
        <v>717</v>
      </c>
      <c r="H120" s="60" t="s">
        <v>572</v>
      </c>
      <c r="I120" s="61"/>
      <c r="J120" s="61" t="s">
        <v>720</v>
      </c>
      <c r="K120" s="61"/>
      <c r="L120" s="73">
        <f>IF($E120="","",DATE(YEAR($E120),MONTH($E120),1))</f>
        <v>46054</v>
      </c>
      <c r="M120" s="65" t="str">
        <f ca="1">IF($D120="","",IF($C120="TANIMSIZ MÜŞTERİ","HATA",IF(OR($E120="",$F120&lt;=0,$G120=""),"EKSİK",IF($E120&gt;TODAY(),"İLERİ TARİH",IF(COUNTIF($S$7:$S$2503,$S120)&gt;1,"MÜKERRER?",IF($T120&gt;0,"KAPALI DÖNEM","UYGUN"))))))</f>
        <v>UYGUN</v>
      </c>
      <c r="N120" s="74" t="str">
        <f>IF($C120="","",IF($C120="TANIMSIZ MÜŞTERİ","—",INDEX(MUSTERILER!$C$7:$C$156,MATCH($C120,MUSTERILER!$B$7:$B$156,0))))</f>
        <v>İSA DEMİRCİ</v>
      </c>
      <c r="O120" s="2"/>
      <c r="P120" s="2"/>
      <c r="Q120" s="1" t="str">
        <f>IF($D120="","",$C120&amp;"|"&amp;COUNTIFS($C$7:$C120,$C120))</f>
        <v>M035|1</v>
      </c>
      <c r="R120" s="1" t="str">
        <f t="shared" si="2"/>
        <v>ISADEMIRCI</v>
      </c>
      <c r="S120" s="1" t="str">
        <f t="shared" si="3"/>
        <v>M035|46067|3500|</v>
      </c>
      <c r="T120" s="1">
        <f>IF($E120="",0,SUMPRODUCT((AY_SONU!$O$7:$O$42="Evet")*(AY_SONU!$B$7:$B$42=DATE(YEAR($E120),MONTH($E120),1))))</f>
        <v>0</v>
      </c>
      <c r="U120" s="1" t="str">
        <f>IF(OR($G120="",$H120="Mahsup"),"",$G120&amp;"|"&amp;COUNTIFS($G$7:$G120,$G120,$H$7:$H120,"&lt;&gt;Mahsup"))</f>
        <v>MERKEZ KASA|86</v>
      </c>
    </row>
    <row r="121" spans="1:21" ht="18" customHeight="1" x14ac:dyDescent="0.3">
      <c r="A121" s="2"/>
      <c r="B121" s="65" t="str">
        <f>IF($D121="","","T"&amp;TEXT(ROW()-6,"00000"))</f>
        <v>T00115</v>
      </c>
      <c r="C121" s="65" t="str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>M020</v>
      </c>
      <c r="D121" s="61" t="s">
        <v>623</v>
      </c>
      <c r="E121" s="66">
        <v>46067</v>
      </c>
      <c r="F121" s="67">
        <v>3000</v>
      </c>
      <c r="G121" s="60" t="s">
        <v>717</v>
      </c>
      <c r="H121" s="60" t="s">
        <v>572</v>
      </c>
      <c r="I121" s="61"/>
      <c r="J121" s="61" t="s">
        <v>720</v>
      </c>
      <c r="K121" s="61"/>
      <c r="L121" s="73">
        <f>IF($E121="","",DATE(YEAR($E121),MONTH($E121),1))</f>
        <v>46054</v>
      </c>
      <c r="M121" s="65" t="str">
        <f ca="1">IF($D121="","",IF($C121="TANIMSIZ MÜŞTERİ","HATA",IF(OR($E121="",$F121&lt;=0,$G121=""),"EKSİK",IF($E121&gt;TODAY(),"İLERİ TARİH",IF(COUNTIF($S$7:$S$2503,$S121)&gt;1,"MÜKERRER?",IF($T121&gt;0,"KAPALI DÖNEM","UYGUN"))))))</f>
        <v>UYGUN</v>
      </c>
      <c r="N121" s="74" t="str">
        <f>IF($C121="","",IF($C121="TANIMSIZ MÜŞTERİ","—",INDEX(MUSTERILER!$C$7:$C$156,MATCH($C121,MUSTERILER!$B$7:$B$156,0))))</f>
        <v>KRİSTAL LTD.ŞTİ.</v>
      </c>
      <c r="O121" s="2"/>
      <c r="P121" s="2"/>
      <c r="Q121" s="1" t="str">
        <f>IF($D121="","",$C121&amp;"|"&amp;COUNTIFS($C$7:$C121,$C121))</f>
        <v>M020|6</v>
      </c>
      <c r="R121" s="1" t="str">
        <f t="shared" si="2"/>
        <v>KRISTALLTDSTI</v>
      </c>
      <c r="S121" s="1" t="str">
        <f t="shared" si="3"/>
        <v>M020|46067|3000|</v>
      </c>
      <c r="T121" s="1">
        <f>IF($E121="",0,SUMPRODUCT((AY_SONU!$O$7:$O$42="Evet")*(AY_SONU!$B$7:$B$42=DATE(YEAR($E121),MONTH($E121),1))))</f>
        <v>0</v>
      </c>
      <c r="U121" s="1" t="str">
        <f>IF(OR($G121="",$H121="Mahsup"),"",$G121&amp;"|"&amp;COUNTIFS($G$7:$G121,$G121,$H$7:$H121,"&lt;&gt;Mahsup"))</f>
        <v>MERKEZ KASA|87</v>
      </c>
    </row>
    <row r="122" spans="1:21" ht="18" customHeight="1" x14ac:dyDescent="0.3">
      <c r="A122" s="2"/>
      <c r="B122" s="65" t="str">
        <f>IF($D122="","","T"&amp;TEXT(ROW()-6,"00000"))</f>
        <v>T00116</v>
      </c>
      <c r="C122" s="65" t="str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>M045</v>
      </c>
      <c r="D122" s="61" t="s">
        <v>646</v>
      </c>
      <c r="E122" s="66">
        <v>46069</v>
      </c>
      <c r="F122" s="67">
        <v>7500</v>
      </c>
      <c r="G122" s="60" t="s">
        <v>723</v>
      </c>
      <c r="H122" s="60" t="s">
        <v>572</v>
      </c>
      <c r="I122" s="61"/>
      <c r="J122" s="61" t="s">
        <v>724</v>
      </c>
      <c r="K122" s="61"/>
      <c r="L122" s="73">
        <f>IF($E122="","",DATE(YEAR($E122),MONTH($E122),1))</f>
        <v>46054</v>
      </c>
      <c r="M122" s="65" t="str">
        <f ca="1">IF($D122="","",IF($C122="TANIMSIZ MÜŞTERİ","HATA",IF(OR($E122="",$F122&lt;=0,$G122=""),"EKSİK",IF($E122&gt;TODAY(),"İLERİ TARİH",IF(COUNTIF($S$7:$S$2503,$S122)&gt;1,"MÜKERRER?",IF($T122&gt;0,"KAPALI DÖNEM","UYGUN"))))))</f>
        <v>UYGUN</v>
      </c>
      <c r="N122" s="74" t="str">
        <f>IF($C122="","",IF($C122="TANIMSIZ MÜŞTERİ","—",INDEX(MUSTERILER!$C$7:$C$156,MATCH($C122,MUSTERILER!$B$7:$B$156,0))))</f>
        <v>NERO E TİCARET LTD.ŞTİ.</v>
      </c>
      <c r="O122" s="2"/>
      <c r="P122" s="2"/>
      <c r="Q122" s="1" t="str">
        <f>IF($D122="","",$C122&amp;"|"&amp;COUNTIFS($C$7:$C122,$C122))</f>
        <v>M045|1</v>
      </c>
      <c r="R122" s="1" t="str">
        <f t="shared" si="2"/>
        <v>NEROETICARETLTDSTI</v>
      </c>
      <c r="S122" s="1" t="str">
        <f t="shared" si="3"/>
        <v>M045|46069|7500|</v>
      </c>
      <c r="T122" s="1">
        <f>IF($E122="",0,SUMPRODUCT((AY_SONU!$O$7:$O$42="Evet")*(AY_SONU!$B$7:$B$42=DATE(YEAR($E122),MONTH($E122),1))))</f>
        <v>0</v>
      </c>
      <c r="U122" s="1" t="str">
        <f>IF(OR($G122="",$H122="Mahsup"),"",$G122&amp;"|"&amp;COUNTIFS($G$7:$G122,$G122,$H$7:$H122,"&lt;&gt;Mahsup"))</f>
        <v>ÖMER KARTAL|29</v>
      </c>
    </row>
    <row r="123" spans="1:21" ht="18" customHeight="1" x14ac:dyDescent="0.3">
      <c r="A123" s="2"/>
      <c r="B123" s="65" t="str">
        <f>IF($D123="","","T"&amp;TEXT(ROW()-6,"00000"))</f>
        <v>T00117</v>
      </c>
      <c r="C123" s="65" t="str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>M031</v>
      </c>
      <c r="D123" s="61" t="s">
        <v>607</v>
      </c>
      <c r="E123" s="66">
        <v>46069</v>
      </c>
      <c r="F123" s="67">
        <v>3000</v>
      </c>
      <c r="G123" s="60" t="s">
        <v>717</v>
      </c>
      <c r="H123" s="60" t="s">
        <v>572</v>
      </c>
      <c r="I123" s="61"/>
      <c r="J123" s="61" t="s">
        <v>720</v>
      </c>
      <c r="K123" s="61"/>
      <c r="L123" s="73">
        <f>IF($E123="","",DATE(YEAR($E123),MONTH($E123),1))</f>
        <v>46054</v>
      </c>
      <c r="M123" s="65" t="str">
        <f ca="1">IF($D123="","",IF($C123="TANIMSIZ MÜŞTERİ","HATA",IF(OR($E123="",$F123&lt;=0,$G123=""),"EKSİK",IF($E123&gt;TODAY(),"İLERİ TARİH",IF(COUNTIF($S$7:$S$2503,$S123)&gt;1,"MÜKERRER?",IF($T123&gt;0,"KAPALI DÖNEM","UYGUN"))))))</f>
        <v>UYGUN</v>
      </c>
      <c r="N123" s="74" t="str">
        <f>IF($C123="","",IF($C123="TANIMSIZ MÜŞTERİ","—",INDEX(MUSTERILER!$C$7:$C$156,MATCH($C123,MUSTERILER!$B$7:$B$156,0))))</f>
        <v>HALİL AVŞAR</v>
      </c>
      <c r="O123" s="2"/>
      <c r="P123" s="2"/>
      <c r="Q123" s="1" t="str">
        <f>IF($D123="","",$C123&amp;"|"&amp;COUNTIFS($C$7:$C123,$C123))</f>
        <v>M031|1</v>
      </c>
      <c r="R123" s="1" t="str">
        <f t="shared" si="2"/>
        <v>HALILAVSAR</v>
      </c>
      <c r="S123" s="1" t="str">
        <f t="shared" si="3"/>
        <v>M031|46069|3000|</v>
      </c>
      <c r="T123" s="1">
        <f>IF($E123="",0,SUMPRODUCT((AY_SONU!$O$7:$O$42="Evet")*(AY_SONU!$B$7:$B$42=DATE(YEAR($E123),MONTH($E123),1))))</f>
        <v>0</v>
      </c>
      <c r="U123" s="1" t="str">
        <f>IF(OR($G123="",$H123="Mahsup"),"",$G123&amp;"|"&amp;COUNTIFS($G$7:$G123,$G123,$H$7:$H123,"&lt;&gt;Mahsup"))</f>
        <v>MERKEZ KASA|88</v>
      </c>
    </row>
    <row r="124" spans="1:21" ht="18" customHeight="1" x14ac:dyDescent="0.3">
      <c r="A124" s="2"/>
      <c r="B124" s="65" t="str">
        <f>IF($D124="","","T"&amp;TEXT(ROW()-6,"00000"))</f>
        <v>T00118</v>
      </c>
      <c r="C124" s="65" t="str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>M019</v>
      </c>
      <c r="D124" s="61" t="s">
        <v>570</v>
      </c>
      <c r="E124" s="66">
        <v>46071</v>
      </c>
      <c r="F124" s="67">
        <v>3000</v>
      </c>
      <c r="G124" s="60" t="s">
        <v>717</v>
      </c>
      <c r="H124" s="60" t="s">
        <v>572</v>
      </c>
      <c r="I124" s="61"/>
      <c r="J124" s="61" t="s">
        <v>720</v>
      </c>
      <c r="K124" s="61"/>
      <c r="L124" s="73">
        <f>IF($E124="","",DATE(YEAR($E124),MONTH($E124),1))</f>
        <v>46054</v>
      </c>
      <c r="M124" s="65" t="str">
        <f ca="1">IF($D124="","",IF($C124="TANIMSIZ MÜŞTERİ","HATA",IF(OR($E124="",$F124&lt;=0,$G124=""),"EKSİK",IF($E124&gt;TODAY(),"İLERİ TARİH",IF(COUNTIF($S$7:$S$2503,$S124)&gt;1,"MÜKERRER?",IF($T124&gt;0,"KAPALI DÖNEM","UYGUN"))))))</f>
        <v>UYGUN</v>
      </c>
      <c r="N124" s="74" t="str">
        <f>IF($C124="","",IF($C124="TANIMSIZ MÜŞTERİ","—",INDEX(MUSTERILER!$C$7:$C$156,MATCH($C124,MUSTERILER!$B$7:$B$156,0))))</f>
        <v>AC OTEL LTD.ŞTİ.</v>
      </c>
      <c r="O124" s="2"/>
      <c r="P124" s="2"/>
      <c r="Q124" s="1" t="str">
        <f>IF($D124="","",$C124&amp;"|"&amp;COUNTIFS($C$7:$C124,$C124))</f>
        <v>M019|2</v>
      </c>
      <c r="R124" s="1" t="str">
        <f t="shared" si="2"/>
        <v>ACOTELLTDSTI</v>
      </c>
      <c r="S124" s="1" t="str">
        <f t="shared" si="3"/>
        <v>M019|46071|3000|</v>
      </c>
      <c r="T124" s="1">
        <f>IF($E124="",0,SUMPRODUCT((AY_SONU!$O$7:$O$42="Evet")*(AY_SONU!$B$7:$B$42=DATE(YEAR($E124),MONTH($E124),1))))</f>
        <v>0</v>
      </c>
      <c r="U124" s="1" t="str">
        <f>IF(OR($G124="",$H124="Mahsup"),"",$G124&amp;"|"&amp;COUNTIFS($G$7:$G124,$G124,$H$7:$H124,"&lt;&gt;Mahsup"))</f>
        <v>MERKEZ KASA|89</v>
      </c>
    </row>
    <row r="125" spans="1:21" ht="18" customHeight="1" x14ac:dyDescent="0.3">
      <c r="A125" s="2"/>
      <c r="B125" s="65" t="str">
        <f>IF($D125="","","T"&amp;TEXT(ROW()-6,"00000"))</f>
        <v>T00119</v>
      </c>
      <c r="C125" s="65" t="str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>M017</v>
      </c>
      <c r="D125" s="61" t="s">
        <v>585</v>
      </c>
      <c r="E125" s="66">
        <v>46074</v>
      </c>
      <c r="F125" s="67">
        <v>2500</v>
      </c>
      <c r="G125" s="60" t="s">
        <v>723</v>
      </c>
      <c r="H125" s="60" t="s">
        <v>572</v>
      </c>
      <c r="I125" s="61"/>
      <c r="J125" s="61" t="s">
        <v>724</v>
      </c>
      <c r="K125" s="61"/>
      <c r="L125" s="73">
        <f>IF($E125="","",DATE(YEAR($E125),MONTH($E125),1))</f>
        <v>46054</v>
      </c>
      <c r="M125" s="65" t="str">
        <f ca="1">IF($D125="","",IF($C125="TANIMSIZ MÜŞTERİ","HATA",IF(OR($E125="",$F125&lt;=0,$G125=""),"EKSİK",IF($E125&gt;TODAY(),"İLERİ TARİH",IF(COUNTIF($S$7:$S$2503,$S125)&gt;1,"MÜKERRER?",IF($T125&gt;0,"KAPALI DÖNEM","UYGUN"))))))</f>
        <v>UYGUN</v>
      </c>
      <c r="N125" s="74" t="str">
        <f>IF($C125="","",IF($C125="TANIMSIZ MÜŞTERİ","—",INDEX(MUSTERILER!$C$7:$C$156,MATCH($C125,MUSTERILER!$B$7:$B$156,0))))</f>
        <v>ASM EĞLENCE LTD.ŞTİ.</v>
      </c>
      <c r="O125" s="2"/>
      <c r="P125" s="2"/>
      <c r="Q125" s="1" t="str">
        <f>IF($D125="","",$C125&amp;"|"&amp;COUNTIFS($C$7:$C125,$C125))</f>
        <v>M017|7</v>
      </c>
      <c r="R125" s="1" t="str">
        <f t="shared" si="2"/>
        <v>ASMEGLENCELTDSTI</v>
      </c>
      <c r="S125" s="1" t="str">
        <f t="shared" si="3"/>
        <v>M017|46074|2500|</v>
      </c>
      <c r="T125" s="1">
        <f>IF($E125="",0,SUMPRODUCT((AY_SONU!$O$7:$O$42="Evet")*(AY_SONU!$B$7:$B$42=DATE(YEAR($E125),MONTH($E125),1))))</f>
        <v>0</v>
      </c>
      <c r="U125" s="1" t="str">
        <f>IF(OR($G125="",$H125="Mahsup"),"",$G125&amp;"|"&amp;COUNTIFS($G$7:$G125,$G125,$H$7:$H125,"&lt;&gt;Mahsup"))</f>
        <v>ÖMER KARTAL|30</v>
      </c>
    </row>
    <row r="126" spans="1:21" ht="18" customHeight="1" x14ac:dyDescent="0.3">
      <c r="A126" s="2"/>
      <c r="B126" s="65" t="str">
        <f>IF($D126="","","T"&amp;TEXT(ROW()-6,"00000"))</f>
        <v>T00120</v>
      </c>
      <c r="C126" s="65" t="str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>M012</v>
      </c>
      <c r="D126" s="61" t="s">
        <v>721</v>
      </c>
      <c r="E126" s="66">
        <v>46074</v>
      </c>
      <c r="F126" s="67">
        <v>4000</v>
      </c>
      <c r="G126" s="60" t="s">
        <v>723</v>
      </c>
      <c r="H126" s="60" t="s">
        <v>572</v>
      </c>
      <c r="I126" s="61"/>
      <c r="J126" s="61" t="s">
        <v>724</v>
      </c>
      <c r="K126" s="61"/>
      <c r="L126" s="73">
        <f>IF($E126="","",DATE(YEAR($E126),MONTH($E126),1))</f>
        <v>46054</v>
      </c>
      <c r="M126" s="65" t="str">
        <f ca="1">IF($D126="","",IF($C126="TANIMSIZ MÜŞTERİ","HATA",IF(OR($E126="",$F126&lt;=0,$G126=""),"EKSİK",IF($E126&gt;TODAY(),"İLERİ TARİH",IF(COUNTIF($S$7:$S$2503,$S126)&gt;1,"MÜKERRER?",IF($T126&gt;0,"KAPALI DÖNEM","UYGUN"))))))</f>
        <v>UYGUN</v>
      </c>
      <c r="N126" s="74" t="str">
        <f>IF($C126="","",IF($C126="TANIMSIZ MÜŞTERİ","—",INDEX(MUSTERILER!$C$7:$C$156,MATCH($C126,MUSTERILER!$B$7:$B$156,0))))</f>
        <v>İLDEŞ LTD.ŞTİ.</v>
      </c>
      <c r="O126" s="2"/>
      <c r="P126" s="2"/>
      <c r="Q126" s="1" t="str">
        <f>IF($D126="","",$C126&amp;"|"&amp;COUNTIFS($C$7:$C126,$C126))</f>
        <v>M012|6</v>
      </c>
      <c r="R126" s="1" t="str">
        <f t="shared" si="2"/>
        <v>ILDESLTDSTI</v>
      </c>
      <c r="S126" s="1" t="str">
        <f t="shared" si="3"/>
        <v>M012|46074|4000|</v>
      </c>
      <c r="T126" s="1">
        <f>IF($E126="",0,SUMPRODUCT((AY_SONU!$O$7:$O$42="Evet")*(AY_SONU!$B$7:$B$42=DATE(YEAR($E126),MONTH($E126),1))))</f>
        <v>0</v>
      </c>
      <c r="U126" s="1" t="str">
        <f>IF(OR($G126="",$H126="Mahsup"),"",$G126&amp;"|"&amp;COUNTIFS($G$7:$G126,$G126,$H$7:$H126,"&lt;&gt;Mahsup"))</f>
        <v>ÖMER KARTAL|31</v>
      </c>
    </row>
    <row r="127" spans="1:21" ht="18" customHeight="1" x14ac:dyDescent="0.3">
      <c r="A127" s="2"/>
      <c r="B127" s="65" t="str">
        <f>IF($D127="","","T"&amp;TEXT(ROW()-6,"00000"))</f>
        <v>T00121</v>
      </c>
      <c r="C127" s="65" t="str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>M010</v>
      </c>
      <c r="D127" s="61" t="s">
        <v>737</v>
      </c>
      <c r="E127" s="66">
        <v>46074</v>
      </c>
      <c r="F127" s="67">
        <v>8000</v>
      </c>
      <c r="G127" s="60" t="s">
        <v>723</v>
      </c>
      <c r="H127" s="60" t="s">
        <v>572</v>
      </c>
      <c r="I127" s="61"/>
      <c r="J127" s="61" t="s">
        <v>724</v>
      </c>
      <c r="K127" s="61"/>
      <c r="L127" s="73">
        <f>IF($E127="","",DATE(YEAR($E127),MONTH($E127),1))</f>
        <v>46054</v>
      </c>
      <c r="M127" s="65" t="str">
        <f ca="1">IF($D127="","",IF($C127="TANIMSIZ MÜŞTERİ","HATA",IF(OR($E127="",$F127&lt;=0,$G127=""),"EKSİK",IF($E127&gt;TODAY(),"İLERİ TARİH",IF(COUNTIF($S$7:$S$2503,$S127)&gt;1,"MÜKERRER?",IF($T127&gt;0,"KAPALI DÖNEM","UYGUN"))))))</f>
        <v>UYGUN</v>
      </c>
      <c r="N127" s="74" t="str">
        <f>IF($C127="","",IF($C127="TANIMSIZ MÜŞTERİ","—",INDEX(MUSTERILER!$C$7:$C$156,MATCH($C127,MUSTERILER!$B$7:$B$156,0))))</f>
        <v>ÖZFİDANLAR LTD.ŞTİ.</v>
      </c>
      <c r="O127" s="2"/>
      <c r="P127" s="2"/>
      <c r="Q127" s="1" t="str">
        <f>IF($D127="","",$C127&amp;"|"&amp;COUNTIFS($C$7:$C127,$C127))</f>
        <v>M010|5</v>
      </c>
      <c r="R127" s="1" t="str">
        <f t="shared" si="2"/>
        <v>OZFIDANLARLTDSTI</v>
      </c>
      <c r="S127" s="1" t="str">
        <f t="shared" si="3"/>
        <v>M010|46074|8000|</v>
      </c>
      <c r="T127" s="1">
        <f>IF($E127="",0,SUMPRODUCT((AY_SONU!$O$7:$O$42="Evet")*(AY_SONU!$B$7:$B$42=DATE(YEAR($E127),MONTH($E127),1))))</f>
        <v>0</v>
      </c>
      <c r="U127" s="1" t="str">
        <f>IF(OR($G127="",$H127="Mahsup"),"",$G127&amp;"|"&amp;COUNTIFS($G$7:$G127,$G127,$H$7:$H127,"&lt;&gt;Mahsup"))</f>
        <v>ÖMER KARTAL|32</v>
      </c>
    </row>
    <row r="128" spans="1:21" ht="18" customHeight="1" x14ac:dyDescent="0.3">
      <c r="A128" s="2"/>
      <c r="B128" s="65" t="str">
        <f>IF($D128="","","T"&amp;TEXT(ROW()-6,"00000"))</f>
        <v>T00122</v>
      </c>
      <c r="C128" s="65" t="str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>M016</v>
      </c>
      <c r="D128" s="61" t="s">
        <v>736</v>
      </c>
      <c r="E128" s="66">
        <v>46074</v>
      </c>
      <c r="F128" s="67">
        <v>3000</v>
      </c>
      <c r="G128" s="60" t="s">
        <v>723</v>
      </c>
      <c r="H128" s="60" t="s">
        <v>572</v>
      </c>
      <c r="I128" s="61"/>
      <c r="J128" s="61" t="s">
        <v>724</v>
      </c>
      <c r="K128" s="61"/>
      <c r="L128" s="73">
        <f>IF($E128="","",DATE(YEAR($E128),MONTH($E128),1))</f>
        <v>46054</v>
      </c>
      <c r="M128" s="65" t="str">
        <f ca="1">IF($D128="","",IF($C128="TANIMSIZ MÜŞTERİ","HATA",IF(OR($E128="",$F128&lt;=0,$G128=""),"EKSİK",IF($E128&gt;TODAY(),"İLERİ TARİH",IF(COUNTIF($S$7:$S$2503,$S128)&gt;1,"MÜKERRER?",IF($T128&gt;0,"KAPALI DÖNEM","UYGUN"))))))</f>
        <v>UYGUN</v>
      </c>
      <c r="N128" s="74" t="str">
        <f>IF($C128="","",IF($C128="TANIMSIZ MÜŞTERİ","—",INDEX(MUSTERILER!$C$7:$C$156,MATCH($C128,MUSTERILER!$B$7:$B$156,0))))</f>
        <v>RİX ŞOW LTD.ŞTİ.</v>
      </c>
      <c r="O128" s="2"/>
      <c r="P128" s="2"/>
      <c r="Q128" s="1" t="str">
        <f>IF($D128="","",$C128&amp;"|"&amp;COUNTIFS($C$7:$C128,$C128))</f>
        <v>M016|8</v>
      </c>
      <c r="R128" s="1" t="str">
        <f t="shared" si="2"/>
        <v>RIXSOWLTDSTI</v>
      </c>
      <c r="S128" s="1" t="str">
        <f t="shared" si="3"/>
        <v>M016|46074|3000|</v>
      </c>
      <c r="T128" s="1">
        <f>IF($E128="",0,SUMPRODUCT((AY_SONU!$O$7:$O$42="Evet")*(AY_SONU!$B$7:$B$42=DATE(YEAR($E128),MONTH($E128),1))))</f>
        <v>0</v>
      </c>
      <c r="U128" s="1" t="str">
        <f>IF(OR($G128="",$H128="Mahsup"),"",$G128&amp;"|"&amp;COUNTIFS($G$7:$G128,$G128,$H$7:$H128,"&lt;&gt;Mahsup"))</f>
        <v>ÖMER KARTAL|33</v>
      </c>
    </row>
    <row r="129" spans="1:21" ht="18" customHeight="1" x14ac:dyDescent="0.3">
      <c r="A129" s="2"/>
      <c r="B129" s="65" t="str">
        <f>IF($D129="","","T"&amp;TEXT(ROW()-6,"00000"))</f>
        <v>T00123</v>
      </c>
      <c r="C129" s="65" t="str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>M020</v>
      </c>
      <c r="D129" s="61" t="s">
        <v>623</v>
      </c>
      <c r="E129" s="66">
        <v>46074</v>
      </c>
      <c r="F129" s="67">
        <v>3000</v>
      </c>
      <c r="G129" s="60" t="s">
        <v>723</v>
      </c>
      <c r="H129" s="60" t="s">
        <v>572</v>
      </c>
      <c r="I129" s="61"/>
      <c r="J129" s="61" t="s">
        <v>720</v>
      </c>
      <c r="K129" s="61"/>
      <c r="L129" s="73">
        <f>IF($E129="","",DATE(YEAR($E129),MONTH($E129),1))</f>
        <v>46054</v>
      </c>
      <c r="M129" s="65" t="str">
        <f ca="1">IF($D129="","",IF($C129="TANIMSIZ MÜŞTERİ","HATA",IF(OR($E129="",$F129&lt;=0,$G129=""),"EKSİK",IF($E129&gt;TODAY(),"İLERİ TARİH",IF(COUNTIF($S$7:$S$2503,$S129)&gt;1,"MÜKERRER?",IF($T129&gt;0,"KAPALI DÖNEM","UYGUN"))))))</f>
        <v>UYGUN</v>
      </c>
      <c r="N129" s="74" t="str">
        <f>IF($C129="","",IF($C129="TANIMSIZ MÜŞTERİ","—",INDEX(MUSTERILER!$C$7:$C$156,MATCH($C129,MUSTERILER!$B$7:$B$156,0))))</f>
        <v>KRİSTAL LTD.ŞTİ.</v>
      </c>
      <c r="O129" s="2"/>
      <c r="P129" s="2"/>
      <c r="Q129" s="1" t="str">
        <f>IF($D129="","",$C129&amp;"|"&amp;COUNTIFS($C$7:$C129,$C129))</f>
        <v>M020|7</v>
      </c>
      <c r="R129" s="1" t="str">
        <f t="shared" si="2"/>
        <v>KRISTALLTDSTI</v>
      </c>
      <c r="S129" s="1" t="str">
        <f t="shared" si="3"/>
        <v>M020|46074|3000|</v>
      </c>
      <c r="T129" s="1">
        <f>IF($E129="",0,SUMPRODUCT((AY_SONU!$O$7:$O$42="Evet")*(AY_SONU!$B$7:$B$42=DATE(YEAR($E129),MONTH($E129),1))))</f>
        <v>0</v>
      </c>
      <c r="U129" s="1" t="str">
        <f>IF(OR($G129="",$H129="Mahsup"),"",$G129&amp;"|"&amp;COUNTIFS($G$7:$G129,$G129,$H$7:$H129,"&lt;&gt;Mahsup"))</f>
        <v>ÖMER KARTAL|34</v>
      </c>
    </row>
    <row r="130" spans="1:21" ht="18" customHeight="1" x14ac:dyDescent="0.3">
      <c r="A130" s="2"/>
      <c r="B130" s="65" t="str">
        <f>IF($D130="","","T"&amp;TEXT(ROW()-6,"00000"))</f>
        <v>T00124</v>
      </c>
      <c r="C130" s="65" t="str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>M002</v>
      </c>
      <c r="D130" s="61" t="s">
        <v>601</v>
      </c>
      <c r="E130" s="66">
        <v>46074</v>
      </c>
      <c r="F130" s="67">
        <v>3500</v>
      </c>
      <c r="G130" s="60" t="s">
        <v>723</v>
      </c>
      <c r="H130" s="60" t="s">
        <v>572</v>
      </c>
      <c r="I130" s="61"/>
      <c r="J130" s="61" t="s">
        <v>724</v>
      </c>
      <c r="K130" s="61"/>
      <c r="L130" s="73">
        <f>IF($E130="","",DATE(YEAR($E130),MONTH($E130),1))</f>
        <v>46054</v>
      </c>
      <c r="M130" s="65" t="str">
        <f ca="1">IF($D130="","",IF($C130="TANIMSIZ MÜŞTERİ","HATA",IF(OR($E130="",$F130&lt;=0,$G130=""),"EKSİK",IF($E130&gt;TODAY(),"İLERİ TARİH",IF(COUNTIF($S$7:$S$2503,$S130)&gt;1,"MÜKERRER?",IF($T130&gt;0,"KAPALI DÖNEM","UYGUN"))))))</f>
        <v>UYGUN</v>
      </c>
      <c r="N130" s="74" t="str">
        <f>IF($C130="","",IF($C130="TANIMSIZ MÜŞTERİ","—",INDEX(MUSTERILER!$C$7:$C$156,MATCH($C130,MUSTERILER!$B$7:$B$156,0))))</f>
        <v>ESERLİ LTD.ŞTİ.</v>
      </c>
      <c r="O130" s="2"/>
      <c r="P130" s="2"/>
      <c r="Q130" s="1" t="str">
        <f>IF($D130="","",$C130&amp;"|"&amp;COUNTIFS($C$7:$C130,$C130))</f>
        <v>M002|1</v>
      </c>
      <c r="R130" s="1" t="str">
        <f t="shared" si="2"/>
        <v>ESERLILTDSTI</v>
      </c>
      <c r="S130" s="1" t="str">
        <f t="shared" si="3"/>
        <v>M002|46074|3500|</v>
      </c>
      <c r="T130" s="1">
        <f>IF($E130="",0,SUMPRODUCT((AY_SONU!$O$7:$O$42="Evet")*(AY_SONU!$B$7:$B$42=DATE(YEAR($E130),MONTH($E130),1))))</f>
        <v>0</v>
      </c>
      <c r="U130" s="1" t="str">
        <f>IF(OR($G130="",$H130="Mahsup"),"",$G130&amp;"|"&amp;COUNTIFS($G$7:$G130,$G130,$H$7:$H130,"&lt;&gt;Mahsup"))</f>
        <v>ÖMER KARTAL|35</v>
      </c>
    </row>
    <row r="131" spans="1:21" ht="18" customHeight="1" x14ac:dyDescent="0.3">
      <c r="A131" s="2"/>
      <c r="B131" s="65" t="str">
        <f>IF($D131="","","T"&amp;TEXT(ROW()-6,"00000"))</f>
        <v>T00125</v>
      </c>
      <c r="C131" s="65" t="str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>M011</v>
      </c>
      <c r="D131" s="61" t="s">
        <v>597</v>
      </c>
      <c r="E131" s="66">
        <v>46074</v>
      </c>
      <c r="F131" s="67">
        <v>3000</v>
      </c>
      <c r="G131" s="60" t="s">
        <v>717</v>
      </c>
      <c r="H131" s="60" t="s">
        <v>572</v>
      </c>
      <c r="I131" s="61"/>
      <c r="J131" s="61" t="s">
        <v>720</v>
      </c>
      <c r="K131" s="61"/>
      <c r="L131" s="73">
        <f>IF($E131="","",DATE(YEAR($E131),MONTH($E131),1))</f>
        <v>46054</v>
      </c>
      <c r="M131" s="65" t="str">
        <f ca="1">IF($D131="","",IF($C131="TANIMSIZ MÜŞTERİ","HATA",IF(OR($E131="",$F131&lt;=0,$G131=""),"EKSİK",IF($E131&gt;TODAY(),"İLERİ TARİH",IF(COUNTIF($S$7:$S$2503,$S131)&gt;1,"MÜKERRER?",IF($T131&gt;0,"KAPALI DÖNEM","UYGUN"))))))</f>
        <v>UYGUN</v>
      </c>
      <c r="N131" s="74" t="str">
        <f>IF($C131="","",IF($C131="TANIMSIZ MÜŞTERİ","—",INDEX(MUSTERILER!$C$7:$C$156,MATCH($C131,MUSTERILER!$B$7:$B$156,0))))</f>
        <v>EĞLENGÖR LTD.ŞTİ.</v>
      </c>
      <c r="O131" s="2"/>
      <c r="P131" s="2"/>
      <c r="Q131" s="1" t="str">
        <f>IF($D131="","",$C131&amp;"|"&amp;COUNTIFS($C$7:$C131,$C131))</f>
        <v>M011|7</v>
      </c>
      <c r="R131" s="1" t="str">
        <f t="shared" si="2"/>
        <v>EGLENGORLTDSTI</v>
      </c>
      <c r="S131" s="1" t="str">
        <f t="shared" si="3"/>
        <v>M011|46074|3000|</v>
      </c>
      <c r="T131" s="1">
        <f>IF($E131="",0,SUMPRODUCT((AY_SONU!$O$7:$O$42="Evet")*(AY_SONU!$B$7:$B$42=DATE(YEAR($E131),MONTH($E131),1))))</f>
        <v>0</v>
      </c>
      <c r="U131" s="1" t="str">
        <f>IF(OR($G131="",$H131="Mahsup"),"",$G131&amp;"|"&amp;COUNTIFS($G$7:$G131,$G131,$H$7:$H131,"&lt;&gt;Mahsup"))</f>
        <v>MERKEZ KASA|90</v>
      </c>
    </row>
    <row r="132" spans="1:21" ht="18" customHeight="1" x14ac:dyDescent="0.3">
      <c r="A132" s="2"/>
      <c r="B132" s="65" t="str">
        <f>IF($D132="","","T"&amp;TEXT(ROW()-6,"00000"))</f>
        <v>T00126</v>
      </c>
      <c r="C132" s="65" t="str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>M030</v>
      </c>
      <c r="D132" s="61" t="s">
        <v>603</v>
      </c>
      <c r="E132" s="66">
        <v>46076</v>
      </c>
      <c r="F132" s="67">
        <v>2000</v>
      </c>
      <c r="G132" s="60" t="s">
        <v>717</v>
      </c>
      <c r="H132" s="60" t="s">
        <v>572</v>
      </c>
      <c r="I132" s="61"/>
      <c r="J132" s="61" t="s">
        <v>720</v>
      </c>
      <c r="K132" s="61"/>
      <c r="L132" s="73">
        <f>IF($E132="","",DATE(YEAR($E132),MONTH($E132),1))</f>
        <v>46054</v>
      </c>
      <c r="M132" s="65" t="str">
        <f ca="1">IF($D132="","",IF($C132="TANIMSIZ MÜŞTERİ","HATA",IF(OR($E132="",$F132&lt;=0,$G132=""),"EKSİK",IF($E132&gt;TODAY(),"İLERİ TARİH",IF(COUNTIF($S$7:$S$2503,$S132)&gt;1,"MÜKERRER?",IF($T132&gt;0,"KAPALI DÖNEM","UYGUN"))))))</f>
        <v>UYGUN</v>
      </c>
      <c r="N132" s="74" t="str">
        <f>IF($C132="","",IF($C132="TANIMSIZ MÜŞTERİ","—",INDEX(MUSTERILER!$C$7:$C$156,MATCH($C132,MUSTERILER!$B$7:$B$156,0))))</f>
        <v>FARUK DEMİRCİ</v>
      </c>
      <c r="O132" s="2"/>
      <c r="P132" s="2"/>
      <c r="Q132" s="1" t="str">
        <f>IF($D132="","",$C132&amp;"|"&amp;COUNTIFS($C$7:$C132,$C132))</f>
        <v>M030|1</v>
      </c>
      <c r="R132" s="1" t="str">
        <f t="shared" si="2"/>
        <v>FARUKDEMIRCI</v>
      </c>
      <c r="S132" s="1" t="str">
        <f t="shared" si="3"/>
        <v>M030|46076|2000|</v>
      </c>
      <c r="T132" s="1">
        <f>IF($E132="",0,SUMPRODUCT((AY_SONU!$O$7:$O$42="Evet")*(AY_SONU!$B$7:$B$42=DATE(YEAR($E132),MONTH($E132),1))))</f>
        <v>0</v>
      </c>
      <c r="U132" s="1" t="str">
        <f>IF(OR($G132="",$H132="Mahsup"),"",$G132&amp;"|"&amp;COUNTIFS($G$7:$G132,$G132,$H$7:$H132,"&lt;&gt;Mahsup"))</f>
        <v>MERKEZ KASA|91</v>
      </c>
    </row>
    <row r="133" spans="1:21" ht="18" customHeight="1" x14ac:dyDescent="0.3">
      <c r="A133" s="2"/>
      <c r="B133" s="65" t="str">
        <f>IF($D133="","","T"&amp;TEXT(ROW()-6,"00000"))</f>
        <v>T00127</v>
      </c>
      <c r="C133" s="65" t="str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>M003</v>
      </c>
      <c r="D133" s="61" t="s">
        <v>666</v>
      </c>
      <c r="E133" s="66">
        <v>46077</v>
      </c>
      <c r="F133" s="67">
        <v>12000</v>
      </c>
      <c r="G133" s="60" t="s">
        <v>717</v>
      </c>
      <c r="H133" s="60" t="s">
        <v>572</v>
      </c>
      <c r="I133" s="61"/>
      <c r="J133" s="61" t="s">
        <v>720</v>
      </c>
      <c r="K133" s="61"/>
      <c r="L133" s="73">
        <f>IF($E133="","",DATE(YEAR($E133),MONTH($E133),1))</f>
        <v>46054</v>
      </c>
      <c r="M133" s="65" t="str">
        <f ca="1">IF($D133="","",IF($C133="TANIMSIZ MÜŞTERİ","HATA",IF(OR($E133="",$F133&lt;=0,$G133=""),"EKSİK",IF($E133&gt;TODAY(),"İLERİ TARİH",IF(COUNTIF($S$7:$S$2503,$S133)&gt;1,"MÜKERRER?",IF($T133&gt;0,"KAPALI DÖNEM","UYGUN"))))))</f>
        <v>UYGUN</v>
      </c>
      <c r="N133" s="74" t="str">
        <f>IF($C133="","",IF($C133="TANIMSIZ MÜŞTERİ","—",INDEX(MUSTERILER!$C$7:$C$156,MATCH($C133,MUSTERILER!$B$7:$B$156,0))))</f>
        <v>TYANA LTD.ŞTİ.</v>
      </c>
      <c r="O133" s="2"/>
      <c r="P133" s="2"/>
      <c r="Q133" s="1" t="str">
        <f>IF($D133="","",$C133&amp;"|"&amp;COUNTIFS($C$7:$C133,$C133))</f>
        <v>M003|3</v>
      </c>
      <c r="R133" s="1" t="str">
        <f t="shared" si="2"/>
        <v>TYANALTDSTI</v>
      </c>
      <c r="S133" s="1" t="str">
        <f t="shared" si="3"/>
        <v>M003|46077|12000|</v>
      </c>
      <c r="T133" s="1">
        <f>IF($E133="",0,SUMPRODUCT((AY_SONU!$O$7:$O$42="Evet")*(AY_SONU!$B$7:$B$42=DATE(YEAR($E133),MONTH($E133),1))))</f>
        <v>0</v>
      </c>
      <c r="U133" s="1" t="str">
        <f>IF(OR($G133="",$H133="Mahsup"),"",$G133&amp;"|"&amp;COUNTIFS($G$7:$G133,$G133,$H$7:$H133,"&lt;&gt;Mahsup"))</f>
        <v>MERKEZ KASA|92</v>
      </c>
    </row>
    <row r="134" spans="1:21" ht="18" customHeight="1" x14ac:dyDescent="0.3">
      <c r="A134" s="2"/>
      <c r="B134" s="65" t="str">
        <f>IF($D134="","","T"&amp;TEXT(ROW()-6,"00000"))</f>
        <v>T00128</v>
      </c>
      <c r="C134" s="65" t="str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>M037</v>
      </c>
      <c r="D134" s="61" t="s">
        <v>625</v>
      </c>
      <c r="E134" s="66">
        <v>46078</v>
      </c>
      <c r="F134" s="67">
        <v>2000</v>
      </c>
      <c r="G134" s="60" t="s">
        <v>723</v>
      </c>
      <c r="H134" s="60" t="s">
        <v>572</v>
      </c>
      <c r="I134" s="61"/>
      <c r="J134" s="61" t="s">
        <v>724</v>
      </c>
      <c r="K134" s="61"/>
      <c r="L134" s="73">
        <f>IF($E134="","",DATE(YEAR($E134),MONTH($E134),1))</f>
        <v>46054</v>
      </c>
      <c r="M134" s="65" t="str">
        <f ca="1">IF($D134="","",IF($C134="TANIMSIZ MÜŞTERİ","HATA",IF(OR($E134="",$F134&lt;=0,$G134=""),"EKSİK",IF($E134&gt;TODAY(),"İLERİ TARİH",IF(COUNTIF($S$7:$S$2503,$S134)&gt;1,"MÜKERRER?",IF($T134&gt;0,"KAPALI DÖNEM","UYGUN"))))))</f>
        <v>UYGUN</v>
      </c>
      <c r="N134" s="74" t="str">
        <f>IF($C134="","",IF($C134="TANIMSIZ MÜŞTERİ","—",INDEX(MUSTERILER!$C$7:$C$156,MATCH($C134,MUSTERILER!$B$7:$B$156,0))))</f>
        <v>MEHMET EVREN KILINÇ</v>
      </c>
      <c r="O134" s="2"/>
      <c r="P134" s="2"/>
      <c r="Q134" s="1" t="str">
        <f>IF($D134="","",$C134&amp;"|"&amp;COUNTIFS($C$7:$C134,$C134))</f>
        <v>M037|1</v>
      </c>
      <c r="R134" s="1" t="str">
        <f t="shared" si="2"/>
        <v>MEHMETEVRENKILINC</v>
      </c>
      <c r="S134" s="1" t="str">
        <f t="shared" si="3"/>
        <v>M037|46078|2000|</v>
      </c>
      <c r="T134" s="1">
        <f>IF($E134="",0,SUMPRODUCT((AY_SONU!$O$7:$O$42="Evet")*(AY_SONU!$B$7:$B$42=DATE(YEAR($E134),MONTH($E134),1))))</f>
        <v>0</v>
      </c>
      <c r="U134" s="1" t="str">
        <f>IF(OR($G134="",$H134="Mahsup"),"",$G134&amp;"|"&amp;COUNTIFS($G$7:$G134,$G134,$H$7:$H134,"&lt;&gt;Mahsup"))</f>
        <v>ÖMER KARTAL|36</v>
      </c>
    </row>
    <row r="135" spans="1:21" ht="18" customHeight="1" x14ac:dyDescent="0.3">
      <c r="A135" s="2"/>
      <c r="B135" s="65" t="str">
        <f>IF($D135="","","T"&amp;TEXT(ROW()-6,"00000"))</f>
        <v>T00129</v>
      </c>
      <c r="C135" s="65" t="str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>M053</v>
      </c>
      <c r="D135" s="61" t="s">
        <v>676</v>
      </c>
      <c r="E135" s="66">
        <v>46079</v>
      </c>
      <c r="F135" s="67">
        <v>20000</v>
      </c>
      <c r="G135" s="60" t="s">
        <v>717</v>
      </c>
      <c r="H135" s="60" t="s">
        <v>572</v>
      </c>
      <c r="I135" s="61"/>
      <c r="J135" s="61" t="s">
        <v>720</v>
      </c>
      <c r="K135" s="61"/>
      <c r="L135" s="73">
        <f>IF($E135="","",DATE(YEAR($E135),MONTH($E135),1))</f>
        <v>46054</v>
      </c>
      <c r="M135" s="65" t="str">
        <f ca="1">IF($D135="","",IF($C135="TANIMSIZ MÜŞTERİ","HATA",IF(OR($E135="",$F135&lt;=0,$G135=""),"EKSİK",IF($E135&gt;TODAY(),"İLERİ TARİH",IF(COUNTIF($S$7:$S$2503,$S135)&gt;1,"MÜKERRER?",IF($T135&gt;0,"KAPALI DÖNEM","UYGUN"))))))</f>
        <v>UYGUN</v>
      </c>
      <c r="N135" s="74" t="str">
        <f>IF($C135="","",IF($C135="TANIMSIZ MÜŞTERİ","—",INDEX(MUSTERILER!$C$7:$C$156,MATCH($C135,MUSTERILER!$B$7:$B$156,0))))</f>
        <v>YEDİYİRMİDÖRT LTD.ŞTİ.</v>
      </c>
      <c r="O135" s="2"/>
      <c r="P135" s="2"/>
      <c r="Q135" s="1" t="str">
        <f>IF($D135="","",$C135&amp;"|"&amp;COUNTIFS($C$7:$C135,$C135))</f>
        <v>M053|2</v>
      </c>
      <c r="R135" s="1" t="str">
        <f t="shared" ref="R135:R198" si="4"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>YEDIYIRMIDORTLTDSTI</v>
      </c>
      <c r="S135" s="1" t="str">
        <f t="shared" ref="S135:S198" si="5">IF($D135="","",$C135&amp;"|"&amp;TEXT($E135,"0")&amp;"|"&amp;TEXT($F135,"0")&amp;"|"&amp;$I135)</f>
        <v>M053|46079|20000|</v>
      </c>
      <c r="T135" s="1">
        <f>IF($E135="",0,SUMPRODUCT((AY_SONU!$O$7:$O$42="Evet")*(AY_SONU!$B$7:$B$42=DATE(YEAR($E135),MONTH($E135),1))))</f>
        <v>0</v>
      </c>
      <c r="U135" s="1" t="str">
        <f>IF(OR($G135="",$H135="Mahsup"),"",$G135&amp;"|"&amp;COUNTIFS($G$7:$G135,$G135,$H$7:$H135,"&lt;&gt;Mahsup"))</f>
        <v>MERKEZ KASA|93</v>
      </c>
    </row>
    <row r="136" spans="1:21" ht="18" customHeight="1" x14ac:dyDescent="0.3">
      <c r="A136" s="2"/>
      <c r="B136" s="65" t="str">
        <f>IF($D136="","","T"&amp;TEXT(ROW()-6,"00000"))</f>
        <v>T00130</v>
      </c>
      <c r="C136" s="65" t="str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>M023</v>
      </c>
      <c r="D136" s="61" t="s">
        <v>576</v>
      </c>
      <c r="E136" s="66">
        <v>46081</v>
      </c>
      <c r="F136" s="67">
        <v>12000</v>
      </c>
      <c r="G136" s="60" t="s">
        <v>723</v>
      </c>
      <c r="H136" s="60" t="s">
        <v>572</v>
      </c>
      <c r="I136" s="61"/>
      <c r="J136" s="61" t="s">
        <v>725</v>
      </c>
      <c r="K136" s="61"/>
      <c r="L136" s="73">
        <f>IF($E136="","",DATE(YEAR($E136),MONTH($E136),1))</f>
        <v>46054</v>
      </c>
      <c r="M136" s="65" t="str">
        <f ca="1">IF($D136="","",IF($C136="TANIMSIZ MÜŞTERİ","HATA",IF(OR($E136="",$F136&lt;=0,$G136=""),"EKSİK",IF($E136&gt;TODAY(),"İLERİ TARİH",IF(COUNTIF($S$7:$S$2503,$S136)&gt;1,"MÜKERRER?",IF($T136&gt;0,"KAPALI DÖNEM","UYGUN"))))))</f>
        <v>UYGUN</v>
      </c>
      <c r="N136" s="74" t="str">
        <f>IF($C136="","",IF($C136="TANIMSIZ MÜŞTERİ","—",INDEX(MUSTERILER!$C$7:$C$156,MATCH($C136,MUSTERILER!$B$7:$B$156,0))))</f>
        <v>ALTINEL LTD.ŞTİ.</v>
      </c>
      <c r="O136" s="2"/>
      <c r="P136" s="2"/>
      <c r="Q136" s="1" t="str">
        <f>IF($D136="","",$C136&amp;"|"&amp;COUNTIFS($C$7:$C136,$C136))</f>
        <v>M023|2</v>
      </c>
      <c r="R136" s="1" t="str">
        <f t="shared" si="4"/>
        <v>ALTINELLTDSTI</v>
      </c>
      <c r="S136" s="1" t="str">
        <f t="shared" si="5"/>
        <v>M023|46081|12000|</v>
      </c>
      <c r="T136" s="1">
        <f>IF($E136="",0,SUMPRODUCT((AY_SONU!$O$7:$O$42="Evet")*(AY_SONU!$B$7:$B$42=DATE(YEAR($E136),MONTH($E136),1))))</f>
        <v>0</v>
      </c>
      <c r="U136" s="1" t="str">
        <f>IF(OR($G136="",$H136="Mahsup"),"",$G136&amp;"|"&amp;COUNTIFS($G$7:$G136,$G136,$H$7:$H136,"&lt;&gt;Mahsup"))</f>
        <v>ÖMER KARTAL|37</v>
      </c>
    </row>
    <row r="137" spans="1:21" ht="18" customHeight="1" x14ac:dyDescent="0.3">
      <c r="A137" s="2"/>
      <c r="B137" s="65" t="str">
        <f>IF($D137="","","T"&amp;TEXT(ROW()-6,"00000"))</f>
        <v>T00131</v>
      </c>
      <c r="C137" s="65" t="str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>M025</v>
      </c>
      <c r="D137" s="61" t="s">
        <v>583</v>
      </c>
      <c r="E137" s="66">
        <v>46081</v>
      </c>
      <c r="F137" s="67">
        <v>2000</v>
      </c>
      <c r="G137" s="60" t="s">
        <v>717</v>
      </c>
      <c r="H137" s="60" t="s">
        <v>572</v>
      </c>
      <c r="I137" s="61"/>
      <c r="J137" s="61" t="s">
        <v>720</v>
      </c>
      <c r="K137" s="61"/>
      <c r="L137" s="73">
        <f>IF($E137="","",DATE(YEAR($E137),MONTH($E137),1))</f>
        <v>46054</v>
      </c>
      <c r="M137" s="65" t="str">
        <f ca="1">IF($D137="","",IF($C137="TANIMSIZ MÜŞTERİ","HATA",IF(OR($E137="",$F137&lt;=0,$G137=""),"EKSİK",IF($E137&gt;TODAY(),"İLERİ TARİH",IF(COUNTIF($S$7:$S$2503,$S137)&gt;1,"MÜKERRER?",IF($T137&gt;0,"KAPALI DÖNEM","UYGUN"))))))</f>
        <v>UYGUN</v>
      </c>
      <c r="N137" s="74" t="str">
        <f>IF($C137="","",IF($C137="TANIMSIZ MÜŞTERİ","—",INDEX(MUSTERILER!$C$7:$C$156,MATCH($C137,MUSTERILER!$B$7:$B$156,0))))</f>
        <v>ASIM AÇIKGÖZ</v>
      </c>
      <c r="O137" s="2"/>
      <c r="P137" s="2"/>
      <c r="Q137" s="1" t="str">
        <f>IF($D137="","",$C137&amp;"|"&amp;COUNTIFS($C$7:$C137,$C137))</f>
        <v>M025|7</v>
      </c>
      <c r="R137" s="1" t="str">
        <f t="shared" si="4"/>
        <v>ASIMACIKGOZ</v>
      </c>
      <c r="S137" s="1" t="str">
        <f t="shared" si="5"/>
        <v>M025|46081|2000|</v>
      </c>
      <c r="T137" s="1">
        <f>IF($E137="",0,SUMPRODUCT((AY_SONU!$O$7:$O$42="Evet")*(AY_SONU!$B$7:$B$42=DATE(YEAR($E137),MONTH($E137),1))))</f>
        <v>0</v>
      </c>
      <c r="U137" s="1" t="str">
        <f>IF(OR($G137="",$H137="Mahsup"),"",$G137&amp;"|"&amp;COUNTIFS($G$7:$G137,$G137,$H$7:$H137,"&lt;&gt;Mahsup"))</f>
        <v>MERKEZ KASA|94</v>
      </c>
    </row>
    <row r="138" spans="1:21" ht="18" customHeight="1" x14ac:dyDescent="0.3">
      <c r="A138" s="2"/>
      <c r="B138" s="65" t="str">
        <f>IF($D138="","","T"&amp;TEXT(ROW()-6,"00000"))</f>
        <v>T00132</v>
      </c>
      <c r="C138" s="65" t="str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>M014</v>
      </c>
      <c r="D138" s="61" t="s">
        <v>731</v>
      </c>
      <c r="E138" s="66">
        <v>46081</v>
      </c>
      <c r="F138" s="67">
        <v>4000</v>
      </c>
      <c r="G138" s="60" t="s">
        <v>717</v>
      </c>
      <c r="H138" s="60" t="s">
        <v>572</v>
      </c>
      <c r="I138" s="61"/>
      <c r="J138" s="61" t="s">
        <v>720</v>
      </c>
      <c r="K138" s="61"/>
      <c r="L138" s="73">
        <f>IF($E138="","",DATE(YEAR($E138),MONTH($E138),1))</f>
        <v>46054</v>
      </c>
      <c r="M138" s="65" t="str">
        <f ca="1">IF($D138="","",IF($C138="TANIMSIZ MÜŞTERİ","HATA",IF(OR($E138="",$F138&lt;=0,$G138=""),"EKSİK",IF($E138&gt;TODAY(),"İLERİ TARİH",IF(COUNTIF($S$7:$S$2503,$S138)&gt;1,"MÜKERRER?",IF($T138&gt;0,"KAPALI DÖNEM","UYGUN"))))))</f>
        <v>UYGUN</v>
      </c>
      <c r="N138" s="74" t="str">
        <f>IF($C138="","",IF($C138="TANIMSIZ MÜŞTERİ","—",INDEX(MUSTERILER!$C$7:$C$156,MATCH($C138,MUSTERILER!$B$7:$B$156,0))))</f>
        <v>FİNAL SİYAH BEYAZ LTD.ŞTİ.</v>
      </c>
      <c r="O138" s="2"/>
      <c r="P138" s="2"/>
      <c r="Q138" s="1" t="str">
        <f>IF($D138="","",$C138&amp;"|"&amp;COUNTIFS($C$7:$C138,$C138))</f>
        <v>M014|7</v>
      </c>
      <c r="R138" s="1" t="str">
        <f t="shared" si="4"/>
        <v>FINALSIYAHBEYAZLTDSTI</v>
      </c>
      <c r="S138" s="1" t="str">
        <f t="shared" si="5"/>
        <v>M014|46081|4000|</v>
      </c>
      <c r="T138" s="1">
        <f>IF($E138="",0,SUMPRODUCT((AY_SONU!$O$7:$O$42="Evet")*(AY_SONU!$B$7:$B$42=DATE(YEAR($E138),MONTH($E138),1))))</f>
        <v>0</v>
      </c>
      <c r="U138" s="1" t="str">
        <f>IF(OR($G138="",$H138="Mahsup"),"",$G138&amp;"|"&amp;COUNTIFS($G$7:$G138,$G138,$H$7:$H138,"&lt;&gt;Mahsup"))</f>
        <v>MERKEZ KASA|95</v>
      </c>
    </row>
    <row r="139" spans="1:21" ht="18" customHeight="1" x14ac:dyDescent="0.3">
      <c r="A139" s="2"/>
      <c r="B139" s="65" t="str">
        <f>IF($D139="","","T"&amp;TEXT(ROW()-6,"00000"))</f>
        <v>T00133</v>
      </c>
      <c r="C139" s="65" t="str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>M012</v>
      </c>
      <c r="D139" s="61" t="s">
        <v>721</v>
      </c>
      <c r="E139" s="66">
        <v>46081</v>
      </c>
      <c r="F139" s="67">
        <v>4000</v>
      </c>
      <c r="G139" s="60" t="s">
        <v>717</v>
      </c>
      <c r="H139" s="60" t="s">
        <v>572</v>
      </c>
      <c r="I139" s="61"/>
      <c r="J139" s="61" t="s">
        <v>720</v>
      </c>
      <c r="K139" s="61"/>
      <c r="L139" s="73">
        <f>IF($E139="","",DATE(YEAR($E139),MONTH($E139),1))</f>
        <v>46054</v>
      </c>
      <c r="M139" s="65" t="str">
        <f ca="1">IF($D139="","",IF($C139="TANIMSIZ MÜŞTERİ","HATA",IF(OR($E139="",$F139&lt;=0,$G139=""),"EKSİK",IF($E139&gt;TODAY(),"İLERİ TARİH",IF(COUNTIF($S$7:$S$2503,$S139)&gt;1,"MÜKERRER?",IF($T139&gt;0,"KAPALI DÖNEM","UYGUN"))))))</f>
        <v>UYGUN</v>
      </c>
      <c r="N139" s="74" t="str">
        <f>IF($C139="","",IF($C139="TANIMSIZ MÜŞTERİ","—",INDEX(MUSTERILER!$C$7:$C$156,MATCH($C139,MUSTERILER!$B$7:$B$156,0))))</f>
        <v>İLDEŞ LTD.ŞTİ.</v>
      </c>
      <c r="O139" s="2"/>
      <c r="P139" s="2"/>
      <c r="Q139" s="1" t="str">
        <f>IF($D139="","",$C139&amp;"|"&amp;COUNTIFS($C$7:$C139,$C139))</f>
        <v>M012|7</v>
      </c>
      <c r="R139" s="1" t="str">
        <f t="shared" si="4"/>
        <v>ILDESLTDSTI</v>
      </c>
      <c r="S139" s="1" t="str">
        <f t="shared" si="5"/>
        <v>M012|46081|4000|</v>
      </c>
      <c r="T139" s="1">
        <f>IF($E139="",0,SUMPRODUCT((AY_SONU!$O$7:$O$42="Evet")*(AY_SONU!$B$7:$B$42=DATE(YEAR($E139),MONTH($E139),1))))</f>
        <v>0</v>
      </c>
      <c r="U139" s="1" t="str">
        <f>IF(OR($G139="",$H139="Mahsup"),"",$G139&amp;"|"&amp;COUNTIFS($G$7:$G139,$G139,$H$7:$H139,"&lt;&gt;Mahsup"))</f>
        <v>MERKEZ KASA|96</v>
      </c>
    </row>
    <row r="140" spans="1:21" ht="18" customHeight="1" x14ac:dyDescent="0.3">
      <c r="A140" s="2"/>
      <c r="B140" s="65" t="str">
        <f>IF($D140="","","T"&amp;TEXT(ROW()-6,"00000"))</f>
        <v>T00134</v>
      </c>
      <c r="C140" s="65" t="str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>M004</v>
      </c>
      <c r="D140" s="61" t="s">
        <v>738</v>
      </c>
      <c r="E140" s="66">
        <v>46081</v>
      </c>
      <c r="F140" s="67">
        <v>3500</v>
      </c>
      <c r="G140" s="60" t="s">
        <v>717</v>
      </c>
      <c r="H140" s="60" t="s">
        <v>572</v>
      </c>
      <c r="I140" s="61"/>
      <c r="J140" s="61" t="s">
        <v>720</v>
      </c>
      <c r="K140" s="61"/>
      <c r="L140" s="73">
        <f>IF($E140="","",DATE(YEAR($E140),MONTH($E140),1))</f>
        <v>46054</v>
      </c>
      <c r="M140" s="65" t="str">
        <f ca="1">IF($D140="","",IF($C140="TANIMSIZ MÜŞTERİ","HATA",IF(OR($E140="",$F140&lt;=0,$G140=""),"EKSİK",IF($E140&gt;TODAY(),"İLERİ TARİH",IF(COUNTIF($S$7:$S$2503,$S140)&gt;1,"MÜKERRER?",IF($T140&gt;0,"KAPALI DÖNEM","UYGUN"))))))</f>
        <v>UYGUN</v>
      </c>
      <c r="N140" s="74" t="str">
        <f>IF($C140="","",IF($C140="TANIMSIZ MÜŞTERİ","—",INDEX(MUSTERILER!$C$7:$C$156,MATCH($C140,MUSTERILER!$B$7:$B$156,0))))</f>
        <v>ZÜMRÜT EĞLENCE LTD.ŞTİ.</v>
      </c>
      <c r="O140" s="2"/>
      <c r="P140" s="2"/>
      <c r="Q140" s="1" t="str">
        <f>IF($D140="","",$C140&amp;"|"&amp;COUNTIFS($C$7:$C140,$C140))</f>
        <v>M004|5</v>
      </c>
      <c r="R140" s="1" t="str">
        <f t="shared" si="4"/>
        <v>ZUMRUTEGLENCELTDSTI</v>
      </c>
      <c r="S140" s="1" t="str">
        <f t="shared" si="5"/>
        <v>M004|46081|3500|</v>
      </c>
      <c r="T140" s="1">
        <f>IF($E140="",0,SUMPRODUCT((AY_SONU!$O$7:$O$42="Evet")*(AY_SONU!$B$7:$B$42=DATE(YEAR($E140),MONTH($E140),1))))</f>
        <v>0</v>
      </c>
      <c r="U140" s="1" t="str">
        <f>IF(OR($G140="",$H140="Mahsup"),"",$G140&amp;"|"&amp;COUNTIFS($G$7:$G140,$G140,$H$7:$H140,"&lt;&gt;Mahsup"))</f>
        <v>MERKEZ KASA|97</v>
      </c>
    </row>
    <row r="141" spans="1:21" ht="18" customHeight="1" x14ac:dyDescent="0.3">
      <c r="A141" s="2"/>
      <c r="B141" s="65" t="str">
        <f>IF($D141="","","T"&amp;TEXT(ROW()-6,"00000"))</f>
        <v>T00135</v>
      </c>
      <c r="C141" s="65" t="str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>M011</v>
      </c>
      <c r="D141" s="61" t="s">
        <v>597</v>
      </c>
      <c r="E141" s="66">
        <v>46081</v>
      </c>
      <c r="F141" s="67">
        <v>3000</v>
      </c>
      <c r="G141" s="60" t="s">
        <v>717</v>
      </c>
      <c r="H141" s="60" t="s">
        <v>572</v>
      </c>
      <c r="I141" s="61"/>
      <c r="J141" s="61" t="s">
        <v>720</v>
      </c>
      <c r="K141" s="61"/>
      <c r="L141" s="73">
        <f>IF($E141="","",DATE(YEAR($E141),MONTH($E141),1))</f>
        <v>46054</v>
      </c>
      <c r="M141" s="65" t="str">
        <f ca="1">IF($D141="","",IF($C141="TANIMSIZ MÜŞTERİ","HATA",IF(OR($E141="",$F141&lt;=0,$G141=""),"EKSİK",IF($E141&gt;TODAY(),"İLERİ TARİH",IF(COUNTIF($S$7:$S$2503,$S141)&gt;1,"MÜKERRER?",IF($T141&gt;0,"KAPALI DÖNEM","UYGUN"))))))</f>
        <v>UYGUN</v>
      </c>
      <c r="N141" s="74" t="str">
        <f>IF($C141="","",IF($C141="TANIMSIZ MÜŞTERİ","—",INDEX(MUSTERILER!$C$7:$C$156,MATCH($C141,MUSTERILER!$B$7:$B$156,0))))</f>
        <v>EĞLENGÖR LTD.ŞTİ.</v>
      </c>
      <c r="O141" s="2"/>
      <c r="P141" s="2"/>
      <c r="Q141" s="1" t="str">
        <f>IF($D141="","",$C141&amp;"|"&amp;COUNTIFS($C$7:$C141,$C141))</f>
        <v>M011|8</v>
      </c>
      <c r="R141" s="1" t="str">
        <f t="shared" si="4"/>
        <v>EGLENGORLTDSTI</v>
      </c>
      <c r="S141" s="1" t="str">
        <f t="shared" si="5"/>
        <v>M011|46081|3000|</v>
      </c>
      <c r="T141" s="1">
        <f>IF($E141="",0,SUMPRODUCT((AY_SONU!$O$7:$O$42="Evet")*(AY_SONU!$B$7:$B$42=DATE(YEAR($E141),MONTH($E141),1))))</f>
        <v>0</v>
      </c>
      <c r="U141" s="1" t="str">
        <f>IF(OR($G141="",$H141="Mahsup"),"",$G141&amp;"|"&amp;COUNTIFS($G$7:$G141,$G141,$H$7:$H141,"&lt;&gt;Mahsup"))</f>
        <v>MERKEZ KASA|98</v>
      </c>
    </row>
    <row r="142" spans="1:21" ht="18" customHeight="1" x14ac:dyDescent="0.3">
      <c r="A142" s="2"/>
      <c r="B142" s="65" t="str">
        <f>IF($D142="","","T"&amp;TEXT(ROW()-6,"00000"))</f>
        <v>T00136</v>
      </c>
      <c r="C142" s="65" t="str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>M020</v>
      </c>
      <c r="D142" s="61" t="s">
        <v>623</v>
      </c>
      <c r="E142" s="66">
        <v>46081</v>
      </c>
      <c r="F142" s="67">
        <v>3000</v>
      </c>
      <c r="G142" s="60" t="s">
        <v>717</v>
      </c>
      <c r="H142" s="60" t="s">
        <v>572</v>
      </c>
      <c r="I142" s="61"/>
      <c r="J142" s="61" t="s">
        <v>720</v>
      </c>
      <c r="K142" s="61"/>
      <c r="L142" s="73">
        <f>IF($E142="","",DATE(YEAR($E142),MONTH($E142),1))</f>
        <v>46054</v>
      </c>
      <c r="M142" s="65" t="str">
        <f ca="1">IF($D142="","",IF($C142="TANIMSIZ MÜŞTERİ","HATA",IF(OR($E142="",$F142&lt;=0,$G142=""),"EKSİK",IF($E142&gt;TODAY(),"İLERİ TARİH",IF(COUNTIF($S$7:$S$2503,$S142)&gt;1,"MÜKERRER?",IF($T142&gt;0,"KAPALI DÖNEM","UYGUN"))))))</f>
        <v>UYGUN</v>
      </c>
      <c r="N142" s="74" t="str">
        <f>IF($C142="","",IF($C142="TANIMSIZ MÜŞTERİ","—",INDEX(MUSTERILER!$C$7:$C$156,MATCH($C142,MUSTERILER!$B$7:$B$156,0))))</f>
        <v>KRİSTAL LTD.ŞTİ.</v>
      </c>
      <c r="O142" s="2"/>
      <c r="P142" s="2"/>
      <c r="Q142" s="1" t="str">
        <f>IF($D142="","",$C142&amp;"|"&amp;COUNTIFS($C$7:$C142,$C142))</f>
        <v>M020|8</v>
      </c>
      <c r="R142" s="1" t="str">
        <f t="shared" si="4"/>
        <v>KRISTALLTDSTI</v>
      </c>
      <c r="S142" s="1" t="str">
        <f t="shared" si="5"/>
        <v>M020|46081|3000|</v>
      </c>
      <c r="T142" s="1">
        <f>IF($E142="",0,SUMPRODUCT((AY_SONU!$O$7:$O$42="Evet")*(AY_SONU!$B$7:$B$42=DATE(YEAR($E142),MONTH($E142),1))))</f>
        <v>0</v>
      </c>
      <c r="U142" s="1" t="str">
        <f>IF(OR($G142="",$H142="Mahsup"),"",$G142&amp;"|"&amp;COUNTIFS($G$7:$G142,$G142,$H$7:$H142,"&lt;&gt;Mahsup"))</f>
        <v>MERKEZ KASA|99</v>
      </c>
    </row>
    <row r="143" spans="1:21" ht="18" customHeight="1" x14ac:dyDescent="0.3">
      <c r="A143" s="2"/>
      <c r="B143" s="65" t="str">
        <f>IF($D143="","","T"&amp;TEXT(ROW()-6,"00000"))</f>
        <v>T00137</v>
      </c>
      <c r="C143" s="65" t="str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>M033</v>
      </c>
      <c r="D143" s="61" t="s">
        <v>617</v>
      </c>
      <c r="E143" s="66">
        <v>46081</v>
      </c>
      <c r="F143" s="67">
        <v>5000</v>
      </c>
      <c r="G143" s="60" t="s">
        <v>723</v>
      </c>
      <c r="H143" s="60" t="s">
        <v>572</v>
      </c>
      <c r="I143" s="61"/>
      <c r="J143" s="61" t="s">
        <v>724</v>
      </c>
      <c r="K143" s="61"/>
      <c r="L143" s="73">
        <f>IF($E143="","",DATE(YEAR($E143),MONTH($E143),1))</f>
        <v>46054</v>
      </c>
      <c r="M143" s="65" t="str">
        <f ca="1">IF($D143="","",IF($C143="TANIMSIZ MÜŞTERİ","HATA",IF(OR($E143="",$F143&lt;=0,$G143=""),"EKSİK",IF($E143&gt;TODAY(),"İLERİ TARİH",IF(COUNTIF($S$7:$S$2503,$S143)&gt;1,"MÜKERRER?",IF($T143&gt;0,"KAPALI DÖNEM","UYGUN"))))))</f>
        <v>UYGUN</v>
      </c>
      <c r="N143" s="74" t="str">
        <f>IF($C143="","",IF($C143="TANIMSIZ MÜŞTERİ","—",INDEX(MUSTERILER!$C$7:$C$156,MATCH($C143,MUSTERILER!$B$7:$B$156,0))))</f>
        <v>IŞIL GRUP LTD.ŞTİ.</v>
      </c>
      <c r="O143" s="2"/>
      <c r="P143" s="2"/>
      <c r="Q143" s="1" t="str">
        <f>IF($D143="","",$C143&amp;"|"&amp;COUNTIFS($C$7:$C143,$C143))</f>
        <v>M033|1</v>
      </c>
      <c r="R143" s="1" t="str">
        <f t="shared" si="4"/>
        <v>ISILGRUPLTDSTI</v>
      </c>
      <c r="S143" s="1" t="str">
        <f t="shared" si="5"/>
        <v>M033|46081|5000|</v>
      </c>
      <c r="T143" s="1">
        <f>IF($E143="",0,SUMPRODUCT((AY_SONU!$O$7:$O$42="Evet")*(AY_SONU!$B$7:$B$42=DATE(YEAR($E143),MONTH($E143),1))))</f>
        <v>0</v>
      </c>
      <c r="U143" s="1" t="str">
        <f>IF(OR($G143="",$H143="Mahsup"),"",$G143&amp;"|"&amp;COUNTIFS($G$7:$G143,$G143,$H$7:$H143,"&lt;&gt;Mahsup"))</f>
        <v>ÖMER KARTAL|38</v>
      </c>
    </row>
    <row r="144" spans="1:21" ht="18" customHeight="1" x14ac:dyDescent="0.3">
      <c r="A144" s="2"/>
      <c r="B144" s="65" t="str">
        <f>IF($D144="","","T"&amp;TEXT(ROW()-6,"00000"))</f>
        <v>T00138</v>
      </c>
      <c r="C144" s="65" t="str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>M053</v>
      </c>
      <c r="D144" s="61" t="s">
        <v>676</v>
      </c>
      <c r="E144" s="66">
        <v>46082</v>
      </c>
      <c r="F144" s="67">
        <v>10000</v>
      </c>
      <c r="G144" s="60" t="s">
        <v>723</v>
      </c>
      <c r="H144" s="60" t="s">
        <v>572</v>
      </c>
      <c r="I144" s="61"/>
      <c r="J144" s="61" t="s">
        <v>720</v>
      </c>
      <c r="K144" s="61"/>
      <c r="L144" s="73">
        <f>IF($E144="","",DATE(YEAR($E144),MONTH($E144),1))</f>
        <v>46082</v>
      </c>
      <c r="M144" s="65" t="str">
        <f ca="1">IF($D144="","",IF($C144="TANIMSIZ MÜŞTERİ","HATA",IF(OR($E144="",$F144&lt;=0,$G144=""),"EKSİK",IF($E144&gt;TODAY(),"İLERİ TARİH",IF(COUNTIF($S$7:$S$2503,$S144)&gt;1,"MÜKERRER?",IF($T144&gt;0,"KAPALI DÖNEM","UYGUN"))))))</f>
        <v>UYGUN</v>
      </c>
      <c r="N144" s="74" t="str">
        <f>IF($C144="","",IF($C144="TANIMSIZ MÜŞTERİ","—",INDEX(MUSTERILER!$C$7:$C$156,MATCH($C144,MUSTERILER!$B$7:$B$156,0))))</f>
        <v>YEDİYİRMİDÖRT LTD.ŞTİ.</v>
      </c>
      <c r="O144" s="2"/>
      <c r="P144" s="2"/>
      <c r="Q144" s="1" t="str">
        <f>IF($D144="","",$C144&amp;"|"&amp;COUNTIFS($C$7:$C144,$C144))</f>
        <v>M053|3</v>
      </c>
      <c r="R144" s="1" t="str">
        <f t="shared" si="4"/>
        <v>YEDIYIRMIDORTLTDSTI</v>
      </c>
      <c r="S144" s="1" t="str">
        <f t="shared" si="5"/>
        <v>M053|46082|10000|</v>
      </c>
      <c r="T144" s="1">
        <f>IF($E144="",0,SUMPRODUCT((AY_SONU!$O$7:$O$42="Evet")*(AY_SONU!$B$7:$B$42=DATE(YEAR($E144),MONTH($E144),1))))</f>
        <v>0</v>
      </c>
      <c r="U144" s="1" t="str">
        <f>IF(OR($G144="",$H144="Mahsup"),"",$G144&amp;"|"&amp;COUNTIFS($G$7:$G144,$G144,$H$7:$H144,"&lt;&gt;Mahsup"))</f>
        <v>ÖMER KARTAL|39</v>
      </c>
    </row>
    <row r="145" spans="1:21" ht="18" customHeight="1" x14ac:dyDescent="0.3">
      <c r="A145" s="2"/>
      <c r="B145" s="65" t="str">
        <f>IF($D145="","","T"&amp;TEXT(ROW()-6,"00000"))</f>
        <v>T00139</v>
      </c>
      <c r="C145" s="65" t="str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>M021</v>
      </c>
      <c r="D145" s="61" t="s">
        <v>581</v>
      </c>
      <c r="E145" s="66">
        <v>46088</v>
      </c>
      <c r="F145" s="67">
        <v>10000</v>
      </c>
      <c r="G145" s="60" t="s">
        <v>717</v>
      </c>
      <c r="H145" s="60" t="s">
        <v>572</v>
      </c>
      <c r="I145" s="61"/>
      <c r="J145" s="61" t="s">
        <v>720</v>
      </c>
      <c r="K145" s="61"/>
      <c r="L145" s="73">
        <f>IF($E145="","",DATE(YEAR($E145),MONTH($E145),1))</f>
        <v>46082</v>
      </c>
      <c r="M145" s="65" t="str">
        <f ca="1">IF($D145="","",IF($C145="TANIMSIZ MÜŞTERİ","HATA",IF(OR($E145="",$F145&lt;=0,$G145=""),"EKSİK",IF($E145&gt;TODAY(),"İLERİ TARİH",IF(COUNTIF($S$7:$S$2503,$S145)&gt;1,"MÜKERRER?",IF($T145&gt;0,"KAPALI DÖNEM","UYGUN"))))))</f>
        <v>UYGUN</v>
      </c>
      <c r="N145" s="74" t="str">
        <f>IF($C145="","",IF($C145="TANIMSIZ MÜŞTERİ","—",INDEX(MUSTERILER!$C$7:$C$156,MATCH($C145,MUSTERILER!$B$7:$B$156,0))))</f>
        <v>ARON TOPTAN LTD.ŞTİ.</v>
      </c>
      <c r="O145" s="2"/>
      <c r="P145" s="2"/>
      <c r="Q145" s="1" t="str">
        <f>IF($D145="","",$C145&amp;"|"&amp;COUNTIFS($C$7:$C145,$C145))</f>
        <v>M021|2</v>
      </c>
      <c r="R145" s="1" t="str">
        <f t="shared" si="4"/>
        <v>ARONTOPTANLTDSTI</v>
      </c>
      <c r="S145" s="1" t="str">
        <f t="shared" si="5"/>
        <v>M021|46088|10000|</v>
      </c>
      <c r="T145" s="1">
        <f>IF($E145="",0,SUMPRODUCT((AY_SONU!$O$7:$O$42="Evet")*(AY_SONU!$B$7:$B$42=DATE(YEAR($E145),MONTH($E145),1))))</f>
        <v>0</v>
      </c>
      <c r="U145" s="1" t="str">
        <f>IF(OR($G145="",$H145="Mahsup"),"",$G145&amp;"|"&amp;COUNTIFS($G$7:$G145,$G145,$H$7:$H145,"&lt;&gt;Mahsup"))</f>
        <v>MERKEZ KASA|100</v>
      </c>
    </row>
    <row r="146" spans="1:21" ht="18" customHeight="1" x14ac:dyDescent="0.3">
      <c r="A146" s="2"/>
      <c r="B146" s="65" t="str">
        <f>IF($D146="","","T"&amp;TEXT(ROW()-6,"00000"))</f>
        <v>T00140</v>
      </c>
      <c r="C146" s="65" t="str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>M025</v>
      </c>
      <c r="D146" s="61" t="s">
        <v>583</v>
      </c>
      <c r="E146" s="66">
        <v>46088</v>
      </c>
      <c r="F146" s="67">
        <v>2000</v>
      </c>
      <c r="G146" s="60" t="s">
        <v>717</v>
      </c>
      <c r="H146" s="60" t="s">
        <v>572</v>
      </c>
      <c r="I146" s="61"/>
      <c r="J146" s="61" t="s">
        <v>720</v>
      </c>
      <c r="K146" s="61"/>
      <c r="L146" s="73">
        <f>IF($E146="","",DATE(YEAR($E146),MONTH($E146),1))</f>
        <v>46082</v>
      </c>
      <c r="M146" s="65" t="str">
        <f ca="1">IF($D146="","",IF($C146="TANIMSIZ MÜŞTERİ","HATA",IF(OR($E146="",$F146&lt;=0,$G146=""),"EKSİK",IF($E146&gt;TODAY(),"İLERİ TARİH",IF(COUNTIF($S$7:$S$2503,$S146)&gt;1,"MÜKERRER?",IF($T146&gt;0,"KAPALI DÖNEM","UYGUN"))))))</f>
        <v>UYGUN</v>
      </c>
      <c r="N146" s="74" t="str">
        <f>IF($C146="","",IF($C146="TANIMSIZ MÜŞTERİ","—",INDEX(MUSTERILER!$C$7:$C$156,MATCH($C146,MUSTERILER!$B$7:$B$156,0))))</f>
        <v>ASIM AÇIKGÖZ</v>
      </c>
      <c r="O146" s="2"/>
      <c r="P146" s="2"/>
      <c r="Q146" s="1" t="str">
        <f>IF($D146="","",$C146&amp;"|"&amp;COUNTIFS($C$7:$C146,$C146))</f>
        <v>M025|8</v>
      </c>
      <c r="R146" s="1" t="str">
        <f t="shared" si="4"/>
        <v>ASIMACIKGOZ</v>
      </c>
      <c r="S146" s="1" t="str">
        <f t="shared" si="5"/>
        <v>M025|46088|2000|</v>
      </c>
      <c r="T146" s="1">
        <f>IF($E146="",0,SUMPRODUCT((AY_SONU!$O$7:$O$42="Evet")*(AY_SONU!$B$7:$B$42=DATE(YEAR($E146),MONTH($E146),1))))</f>
        <v>0</v>
      </c>
      <c r="U146" s="1" t="str">
        <f>IF(OR($G146="",$H146="Mahsup"),"",$G146&amp;"|"&amp;COUNTIFS($G$7:$G146,$G146,$H$7:$H146,"&lt;&gt;Mahsup"))</f>
        <v>MERKEZ KASA|101</v>
      </c>
    </row>
    <row r="147" spans="1:21" ht="18" customHeight="1" x14ac:dyDescent="0.3">
      <c r="A147" s="2"/>
      <c r="B147" s="65" t="str">
        <f>IF($D147="","","T"&amp;TEXT(ROW()-6,"00000"))</f>
        <v>T00141</v>
      </c>
      <c r="C147" s="65" t="str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>M017</v>
      </c>
      <c r="D147" s="61" t="s">
        <v>585</v>
      </c>
      <c r="E147" s="66">
        <v>46088</v>
      </c>
      <c r="F147" s="67">
        <v>2500</v>
      </c>
      <c r="G147" s="60" t="s">
        <v>717</v>
      </c>
      <c r="H147" s="60" t="s">
        <v>572</v>
      </c>
      <c r="I147" s="61"/>
      <c r="J147" s="61" t="s">
        <v>720</v>
      </c>
      <c r="K147" s="61"/>
      <c r="L147" s="73">
        <f>IF($E147="","",DATE(YEAR($E147),MONTH($E147),1))</f>
        <v>46082</v>
      </c>
      <c r="M147" s="65" t="str">
        <f ca="1">IF($D147="","",IF($C147="TANIMSIZ MÜŞTERİ","HATA",IF(OR($E147="",$F147&lt;=0,$G147=""),"EKSİK",IF($E147&gt;TODAY(),"İLERİ TARİH",IF(COUNTIF($S$7:$S$2503,$S147)&gt;1,"MÜKERRER?",IF($T147&gt;0,"KAPALI DÖNEM","UYGUN"))))))</f>
        <v>UYGUN</v>
      </c>
      <c r="N147" s="74" t="str">
        <f>IF($C147="","",IF($C147="TANIMSIZ MÜŞTERİ","—",INDEX(MUSTERILER!$C$7:$C$156,MATCH($C147,MUSTERILER!$B$7:$B$156,0))))</f>
        <v>ASM EĞLENCE LTD.ŞTİ.</v>
      </c>
      <c r="O147" s="2"/>
      <c r="P147" s="2"/>
      <c r="Q147" s="1" t="str">
        <f>IF($D147="","",$C147&amp;"|"&amp;COUNTIFS($C$7:$C147,$C147))</f>
        <v>M017|8</v>
      </c>
      <c r="R147" s="1" t="str">
        <f t="shared" si="4"/>
        <v>ASMEGLENCELTDSTI</v>
      </c>
      <c r="S147" s="1" t="str">
        <f t="shared" si="5"/>
        <v>M017|46088|2500|</v>
      </c>
      <c r="T147" s="1">
        <f>IF($E147="",0,SUMPRODUCT((AY_SONU!$O$7:$O$42="Evet")*(AY_SONU!$B$7:$B$42=DATE(YEAR($E147),MONTH($E147),1))))</f>
        <v>0</v>
      </c>
      <c r="U147" s="1" t="str">
        <f>IF(OR($G147="",$H147="Mahsup"),"",$G147&amp;"|"&amp;COUNTIFS($G$7:$G147,$G147,$H$7:$H147,"&lt;&gt;Mahsup"))</f>
        <v>MERKEZ KASA|102</v>
      </c>
    </row>
    <row r="148" spans="1:21" ht="18" customHeight="1" x14ac:dyDescent="0.3">
      <c r="A148" s="2"/>
      <c r="B148" s="65" t="str">
        <f>IF($D148="","","T"&amp;TEXT(ROW()-6,"00000"))</f>
        <v>T00142</v>
      </c>
      <c r="C148" s="65" t="str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>M014</v>
      </c>
      <c r="D148" s="61" t="s">
        <v>731</v>
      </c>
      <c r="E148" s="66">
        <v>46088</v>
      </c>
      <c r="F148" s="67">
        <v>2000</v>
      </c>
      <c r="G148" s="60" t="s">
        <v>717</v>
      </c>
      <c r="H148" s="60" t="s">
        <v>572</v>
      </c>
      <c r="I148" s="61"/>
      <c r="J148" s="61" t="s">
        <v>720</v>
      </c>
      <c r="K148" s="61"/>
      <c r="L148" s="73">
        <f>IF($E148="","",DATE(YEAR($E148),MONTH($E148),1))</f>
        <v>46082</v>
      </c>
      <c r="M148" s="65" t="str">
        <f ca="1">IF($D148="","",IF($C148="TANIMSIZ MÜŞTERİ","HATA",IF(OR($E148="",$F148&lt;=0,$G148=""),"EKSİK",IF($E148&gt;TODAY(),"İLERİ TARİH",IF(COUNTIF($S$7:$S$2503,$S148)&gt;1,"MÜKERRER?",IF($T148&gt;0,"KAPALI DÖNEM","UYGUN"))))))</f>
        <v>UYGUN</v>
      </c>
      <c r="N148" s="74" t="str">
        <f>IF($C148="","",IF($C148="TANIMSIZ MÜŞTERİ","—",INDEX(MUSTERILER!$C$7:$C$156,MATCH($C148,MUSTERILER!$B$7:$B$156,0))))</f>
        <v>FİNAL SİYAH BEYAZ LTD.ŞTİ.</v>
      </c>
      <c r="O148" s="2"/>
      <c r="P148" s="2"/>
      <c r="Q148" s="1" t="str">
        <f>IF($D148="","",$C148&amp;"|"&amp;COUNTIFS($C$7:$C148,$C148))</f>
        <v>M014|8</v>
      </c>
      <c r="R148" s="1" t="str">
        <f t="shared" si="4"/>
        <v>FINALSIYAHBEYAZLTDSTI</v>
      </c>
      <c r="S148" s="1" t="str">
        <f t="shared" si="5"/>
        <v>M014|46088|2000|</v>
      </c>
      <c r="T148" s="1">
        <f>IF($E148="",0,SUMPRODUCT((AY_SONU!$O$7:$O$42="Evet")*(AY_SONU!$B$7:$B$42=DATE(YEAR($E148),MONTH($E148),1))))</f>
        <v>0</v>
      </c>
      <c r="U148" s="1" t="str">
        <f>IF(OR($G148="",$H148="Mahsup"),"",$G148&amp;"|"&amp;COUNTIFS($G$7:$G148,$G148,$H$7:$H148,"&lt;&gt;Mahsup"))</f>
        <v>MERKEZ KASA|103</v>
      </c>
    </row>
    <row r="149" spans="1:21" ht="18" customHeight="1" x14ac:dyDescent="0.3">
      <c r="A149" s="2"/>
      <c r="B149" s="65" t="str">
        <f>IF($D149="","","T"&amp;TEXT(ROW()-6,"00000"))</f>
        <v>T00143</v>
      </c>
      <c r="C149" s="65" t="str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>M012</v>
      </c>
      <c r="D149" s="61" t="s">
        <v>721</v>
      </c>
      <c r="E149" s="66">
        <v>46088</v>
      </c>
      <c r="F149" s="67">
        <v>4000</v>
      </c>
      <c r="G149" s="60" t="s">
        <v>717</v>
      </c>
      <c r="H149" s="60" t="s">
        <v>572</v>
      </c>
      <c r="I149" s="61"/>
      <c r="J149" s="61" t="s">
        <v>720</v>
      </c>
      <c r="K149" s="61"/>
      <c r="L149" s="73">
        <f>IF($E149="","",DATE(YEAR($E149),MONTH($E149),1))</f>
        <v>46082</v>
      </c>
      <c r="M149" s="65" t="str">
        <f ca="1">IF($D149="","",IF($C149="TANIMSIZ MÜŞTERİ","HATA",IF(OR($E149="",$F149&lt;=0,$G149=""),"EKSİK",IF($E149&gt;TODAY(),"İLERİ TARİH",IF(COUNTIF($S$7:$S$2503,$S149)&gt;1,"MÜKERRER?",IF($T149&gt;0,"KAPALI DÖNEM","UYGUN"))))))</f>
        <v>UYGUN</v>
      </c>
      <c r="N149" s="74" t="str">
        <f>IF($C149="","",IF($C149="TANIMSIZ MÜŞTERİ","—",INDEX(MUSTERILER!$C$7:$C$156,MATCH($C149,MUSTERILER!$B$7:$B$156,0))))</f>
        <v>İLDEŞ LTD.ŞTİ.</v>
      </c>
      <c r="O149" s="2"/>
      <c r="P149" s="2"/>
      <c r="Q149" s="1" t="str">
        <f>IF($D149="","",$C149&amp;"|"&amp;COUNTIFS($C$7:$C149,$C149))</f>
        <v>M012|8</v>
      </c>
      <c r="R149" s="1" t="str">
        <f t="shared" si="4"/>
        <v>ILDESLTDSTI</v>
      </c>
      <c r="S149" s="1" t="str">
        <f t="shared" si="5"/>
        <v>M012|46088|4000|</v>
      </c>
      <c r="T149" s="1">
        <f>IF($E149="",0,SUMPRODUCT((AY_SONU!$O$7:$O$42="Evet")*(AY_SONU!$B$7:$B$42=DATE(YEAR($E149),MONTH($E149),1))))</f>
        <v>0</v>
      </c>
      <c r="U149" s="1" t="str">
        <f>IF(OR($G149="",$H149="Mahsup"),"",$G149&amp;"|"&amp;COUNTIFS($G$7:$G149,$G149,$H$7:$H149,"&lt;&gt;Mahsup"))</f>
        <v>MERKEZ KASA|104</v>
      </c>
    </row>
    <row r="150" spans="1:21" ht="18" customHeight="1" x14ac:dyDescent="0.3">
      <c r="A150" s="2"/>
      <c r="B150" s="65" t="str">
        <f>IF($D150="","","T"&amp;TEXT(ROW()-6,"00000"))</f>
        <v>T00144</v>
      </c>
      <c r="C150" s="65" t="str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>M010</v>
      </c>
      <c r="D150" s="61" t="s">
        <v>737</v>
      </c>
      <c r="E150" s="66">
        <v>46088</v>
      </c>
      <c r="F150" s="67">
        <v>4000</v>
      </c>
      <c r="G150" s="60" t="s">
        <v>717</v>
      </c>
      <c r="H150" s="60" t="s">
        <v>572</v>
      </c>
      <c r="I150" s="61"/>
      <c r="J150" s="61" t="s">
        <v>720</v>
      </c>
      <c r="K150" s="61"/>
      <c r="L150" s="73">
        <f>IF($E150="","",DATE(YEAR($E150),MONTH($E150),1))</f>
        <v>46082</v>
      </c>
      <c r="M150" s="65" t="str">
        <f ca="1">IF($D150="","",IF($C150="TANIMSIZ MÜŞTERİ","HATA",IF(OR($E150="",$F150&lt;=0,$G150=""),"EKSİK",IF($E150&gt;TODAY(),"İLERİ TARİH",IF(COUNTIF($S$7:$S$2503,$S150)&gt;1,"MÜKERRER?",IF($T150&gt;0,"KAPALI DÖNEM","UYGUN"))))))</f>
        <v>UYGUN</v>
      </c>
      <c r="N150" s="74" t="str">
        <f>IF($C150="","",IF($C150="TANIMSIZ MÜŞTERİ","—",INDEX(MUSTERILER!$C$7:$C$156,MATCH($C150,MUSTERILER!$B$7:$B$156,0))))</f>
        <v>ÖZFİDANLAR LTD.ŞTİ.</v>
      </c>
      <c r="O150" s="2"/>
      <c r="P150" s="2"/>
      <c r="Q150" s="1" t="str">
        <f>IF($D150="","",$C150&amp;"|"&amp;COUNTIFS($C$7:$C150,$C150))</f>
        <v>M010|6</v>
      </c>
      <c r="R150" s="1" t="str">
        <f t="shared" si="4"/>
        <v>OZFIDANLARLTDSTI</v>
      </c>
      <c r="S150" s="1" t="str">
        <f t="shared" si="5"/>
        <v>M010|46088|4000|</v>
      </c>
      <c r="T150" s="1">
        <f>IF($E150="",0,SUMPRODUCT((AY_SONU!$O$7:$O$42="Evet")*(AY_SONU!$B$7:$B$42=DATE(YEAR($E150),MONTH($E150),1))))</f>
        <v>0</v>
      </c>
      <c r="U150" s="1" t="str">
        <f>IF(OR($G150="",$H150="Mahsup"),"",$G150&amp;"|"&amp;COUNTIFS($G$7:$G150,$G150,$H$7:$H150,"&lt;&gt;Mahsup"))</f>
        <v>MERKEZ KASA|105</v>
      </c>
    </row>
    <row r="151" spans="1:21" ht="18" customHeight="1" x14ac:dyDescent="0.3">
      <c r="A151" s="2"/>
      <c r="B151" s="65" t="str">
        <f>IF($D151="","","T"&amp;TEXT(ROW()-6,"00000"))</f>
        <v>T00145</v>
      </c>
      <c r="C151" s="65" t="str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>M016</v>
      </c>
      <c r="D151" s="61" t="s">
        <v>736</v>
      </c>
      <c r="E151" s="66">
        <v>46088</v>
      </c>
      <c r="F151" s="67">
        <v>3000</v>
      </c>
      <c r="G151" s="60" t="s">
        <v>717</v>
      </c>
      <c r="H151" s="60" t="s">
        <v>572</v>
      </c>
      <c r="I151" s="61"/>
      <c r="J151" s="61" t="s">
        <v>720</v>
      </c>
      <c r="K151" s="61"/>
      <c r="L151" s="73">
        <f>IF($E151="","",DATE(YEAR($E151),MONTH($E151),1))</f>
        <v>46082</v>
      </c>
      <c r="M151" s="65" t="str">
        <f ca="1">IF($D151="","",IF($C151="TANIMSIZ MÜŞTERİ","HATA",IF(OR($E151="",$F151&lt;=0,$G151=""),"EKSİK",IF($E151&gt;TODAY(),"İLERİ TARİH",IF(COUNTIF($S$7:$S$2503,$S151)&gt;1,"MÜKERRER?",IF($T151&gt;0,"KAPALI DÖNEM","UYGUN"))))))</f>
        <v>UYGUN</v>
      </c>
      <c r="N151" s="74" t="str">
        <f>IF($C151="","",IF($C151="TANIMSIZ MÜŞTERİ","—",INDEX(MUSTERILER!$C$7:$C$156,MATCH($C151,MUSTERILER!$B$7:$B$156,0))))</f>
        <v>RİX ŞOW LTD.ŞTİ.</v>
      </c>
      <c r="O151" s="2"/>
      <c r="P151" s="2"/>
      <c r="Q151" s="1" t="str">
        <f>IF($D151="","",$C151&amp;"|"&amp;COUNTIFS($C$7:$C151,$C151))</f>
        <v>M016|9</v>
      </c>
      <c r="R151" s="1" t="str">
        <f t="shared" si="4"/>
        <v>RIXSOWLTDSTI</v>
      </c>
      <c r="S151" s="1" t="str">
        <f t="shared" si="5"/>
        <v>M016|46088|3000|</v>
      </c>
      <c r="T151" s="1">
        <f>IF($E151="",0,SUMPRODUCT((AY_SONU!$O$7:$O$42="Evet")*(AY_SONU!$B$7:$B$42=DATE(YEAR($E151),MONTH($E151),1))))</f>
        <v>0</v>
      </c>
      <c r="U151" s="1" t="str">
        <f>IF(OR($G151="",$H151="Mahsup"),"",$G151&amp;"|"&amp;COUNTIFS($G$7:$G151,$G151,$H$7:$H151,"&lt;&gt;Mahsup"))</f>
        <v>MERKEZ KASA|106</v>
      </c>
    </row>
    <row r="152" spans="1:21" ht="18" customHeight="1" x14ac:dyDescent="0.3">
      <c r="A152" s="2"/>
      <c r="B152" s="65" t="str">
        <f>IF($D152="","","T"&amp;TEXT(ROW()-6,"00000"))</f>
        <v>T00146</v>
      </c>
      <c r="C152" s="65" t="str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>M005</v>
      </c>
      <c r="D152" s="61" t="s">
        <v>722</v>
      </c>
      <c r="E152" s="66">
        <v>46088</v>
      </c>
      <c r="F152" s="67">
        <v>1750</v>
      </c>
      <c r="G152" s="60" t="s">
        <v>717</v>
      </c>
      <c r="H152" s="60" t="s">
        <v>572</v>
      </c>
      <c r="I152" s="61"/>
      <c r="J152" s="61" t="s">
        <v>720</v>
      </c>
      <c r="K152" s="61"/>
      <c r="L152" s="73">
        <f>IF($E152="","",DATE(YEAR($E152),MONTH($E152),1))</f>
        <v>46082</v>
      </c>
      <c r="M152" s="65" t="str">
        <f ca="1">IF($D152="","",IF($C152="TANIMSIZ MÜŞTERİ","HATA",IF(OR($E152="",$F152&lt;=0,$G152=""),"EKSİK",IF($E152&gt;TODAY(),"İLERİ TARİH",IF(COUNTIF($S$7:$S$2503,$S152)&gt;1,"MÜKERRER?",IF($T152&gt;0,"KAPALI DÖNEM","UYGUN"))))))</f>
        <v>UYGUN</v>
      </c>
      <c r="N152" s="74" t="str">
        <f>IF($C152="","",IF($C152="TANIMSIZ MÜŞTERİ","—",INDEX(MUSTERILER!$C$7:$C$156,MATCH($C152,MUSTERILER!$B$7:$B$156,0))))</f>
        <v>ZÜMRÜT GRUP LTD.ŞTİ.</v>
      </c>
      <c r="O152" s="2"/>
      <c r="P152" s="2"/>
      <c r="Q152" s="1" t="str">
        <f>IF($D152="","",$C152&amp;"|"&amp;COUNTIFS($C$7:$C152,$C152))</f>
        <v>M005|9</v>
      </c>
      <c r="R152" s="1" t="str">
        <f t="shared" si="4"/>
        <v>ZUMRUTGRUPLTDSTI</v>
      </c>
      <c r="S152" s="1" t="str">
        <f t="shared" si="5"/>
        <v>M005|46088|1750|</v>
      </c>
      <c r="T152" s="1">
        <f>IF($E152="",0,SUMPRODUCT((AY_SONU!$O$7:$O$42="Evet")*(AY_SONU!$B$7:$B$42=DATE(YEAR($E152),MONTH($E152),1))))</f>
        <v>0</v>
      </c>
      <c r="U152" s="1" t="str">
        <f>IF(OR($G152="",$H152="Mahsup"),"",$G152&amp;"|"&amp;COUNTIFS($G$7:$G152,$G152,$H$7:$H152,"&lt;&gt;Mahsup"))</f>
        <v>MERKEZ KASA|107</v>
      </c>
    </row>
    <row r="153" spans="1:21" ht="18" customHeight="1" x14ac:dyDescent="0.3">
      <c r="A153" s="2"/>
      <c r="B153" s="65" t="str">
        <f>IF($D153="","","T"&amp;TEXT(ROW()-6,"00000"))</f>
        <v>T00147</v>
      </c>
      <c r="C153" s="65" t="str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>M054</v>
      </c>
      <c r="D153" s="61" t="s">
        <v>674</v>
      </c>
      <c r="E153" s="66">
        <v>46088</v>
      </c>
      <c r="F153" s="67">
        <v>4000</v>
      </c>
      <c r="G153" s="60" t="s">
        <v>717</v>
      </c>
      <c r="H153" s="60" t="s">
        <v>572</v>
      </c>
      <c r="I153" s="61"/>
      <c r="J153" s="61" t="s">
        <v>720</v>
      </c>
      <c r="K153" s="61"/>
      <c r="L153" s="73">
        <f>IF($E153="","",DATE(YEAR($E153),MONTH($E153),1))</f>
        <v>46082</v>
      </c>
      <c r="M153" s="65" t="str">
        <f ca="1">IF($D153="","",IF($C153="TANIMSIZ MÜŞTERİ","HATA",IF(OR($E153="",$F153&lt;=0,$G153=""),"EKSİK",IF($E153&gt;TODAY(),"İLERİ TARİH",IF(COUNTIF($S$7:$S$2503,$S153)&gt;1,"MÜKERRER?",IF($T153&gt;0,"KAPALI DÖNEM","UYGUN"))))))</f>
        <v>UYGUN</v>
      </c>
      <c r="N153" s="74" t="str">
        <f>IF($C153="","",IF($C153="TANIMSIZ MÜŞTERİ","—",INDEX(MUSTERILER!$C$7:$C$156,MATCH($C153,MUSTERILER!$B$7:$B$156,0))))</f>
        <v>YALIKENT LTD.ŞTİ.</v>
      </c>
      <c r="O153" s="2"/>
      <c r="P153" s="2"/>
      <c r="Q153" s="1" t="str">
        <f>IF($D153="","",$C153&amp;"|"&amp;COUNTIFS($C$7:$C153,$C153))</f>
        <v>M054|1</v>
      </c>
      <c r="R153" s="1" t="str">
        <f t="shared" si="4"/>
        <v>YALIKENTLTDSTI</v>
      </c>
      <c r="S153" s="1" t="str">
        <f t="shared" si="5"/>
        <v>M054|46088|4000|</v>
      </c>
      <c r="T153" s="1">
        <f>IF($E153="",0,SUMPRODUCT((AY_SONU!$O$7:$O$42="Evet")*(AY_SONU!$B$7:$B$42=DATE(YEAR($E153),MONTH($E153),1))))</f>
        <v>0</v>
      </c>
      <c r="U153" s="1" t="str">
        <f>IF(OR($G153="",$H153="Mahsup"),"",$G153&amp;"|"&amp;COUNTIFS($G$7:$G153,$G153,$H$7:$H153,"&lt;&gt;Mahsup"))</f>
        <v>MERKEZ KASA|108</v>
      </c>
    </row>
    <row r="154" spans="1:21" ht="18" customHeight="1" x14ac:dyDescent="0.3">
      <c r="A154" s="2"/>
      <c r="B154" s="65" t="str">
        <f>IF($D154="","","T"&amp;TEXT(ROW()-6,"00000"))</f>
        <v>T00148</v>
      </c>
      <c r="C154" s="65" t="str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>M011</v>
      </c>
      <c r="D154" s="61" t="s">
        <v>597</v>
      </c>
      <c r="E154" s="66">
        <v>46088</v>
      </c>
      <c r="F154" s="67">
        <v>3000</v>
      </c>
      <c r="G154" s="60" t="s">
        <v>717</v>
      </c>
      <c r="H154" s="60" t="s">
        <v>572</v>
      </c>
      <c r="I154" s="61"/>
      <c r="J154" s="61" t="s">
        <v>720</v>
      </c>
      <c r="K154" s="61"/>
      <c r="L154" s="73">
        <f>IF($E154="","",DATE(YEAR($E154),MONTH($E154),1))</f>
        <v>46082</v>
      </c>
      <c r="M154" s="65" t="str">
        <f ca="1">IF($D154="","",IF($C154="TANIMSIZ MÜŞTERİ","HATA",IF(OR($E154="",$F154&lt;=0,$G154=""),"EKSİK",IF($E154&gt;TODAY(),"İLERİ TARİH",IF(COUNTIF($S$7:$S$2503,$S154)&gt;1,"MÜKERRER?",IF($T154&gt;0,"KAPALI DÖNEM","UYGUN"))))))</f>
        <v>UYGUN</v>
      </c>
      <c r="N154" s="74" t="str">
        <f>IF($C154="","",IF($C154="TANIMSIZ MÜŞTERİ","—",INDEX(MUSTERILER!$C$7:$C$156,MATCH($C154,MUSTERILER!$B$7:$B$156,0))))</f>
        <v>EĞLENGÖR LTD.ŞTİ.</v>
      </c>
      <c r="O154" s="2"/>
      <c r="P154" s="2"/>
      <c r="Q154" s="1" t="str">
        <f>IF($D154="","",$C154&amp;"|"&amp;COUNTIFS($C$7:$C154,$C154))</f>
        <v>M011|9</v>
      </c>
      <c r="R154" s="1" t="str">
        <f t="shared" si="4"/>
        <v>EGLENGORLTDSTI</v>
      </c>
      <c r="S154" s="1" t="str">
        <f t="shared" si="5"/>
        <v>M011|46088|3000|</v>
      </c>
      <c r="T154" s="1">
        <f>IF($E154="",0,SUMPRODUCT((AY_SONU!$O$7:$O$42="Evet")*(AY_SONU!$B$7:$B$42=DATE(YEAR($E154),MONTH($E154),1))))</f>
        <v>0</v>
      </c>
      <c r="U154" s="1" t="str">
        <f>IF(OR($G154="",$H154="Mahsup"),"",$G154&amp;"|"&amp;COUNTIFS($G$7:$G154,$G154,$H$7:$H154,"&lt;&gt;Mahsup"))</f>
        <v>MERKEZ KASA|109</v>
      </c>
    </row>
    <row r="155" spans="1:21" ht="18" customHeight="1" x14ac:dyDescent="0.3">
      <c r="A155" s="2"/>
      <c r="B155" s="65" t="str">
        <f>IF($D155="","","T"&amp;TEXT(ROW()-6,"00000"))</f>
        <v>T00149</v>
      </c>
      <c r="C155" s="65" t="str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>M002</v>
      </c>
      <c r="D155" s="61" t="s">
        <v>601</v>
      </c>
      <c r="E155" s="66">
        <v>46088</v>
      </c>
      <c r="F155" s="67">
        <v>3500</v>
      </c>
      <c r="G155" s="60" t="s">
        <v>717</v>
      </c>
      <c r="H155" s="60" t="s">
        <v>572</v>
      </c>
      <c r="I155" s="61"/>
      <c r="J155" s="61" t="s">
        <v>720</v>
      </c>
      <c r="K155" s="61"/>
      <c r="L155" s="73">
        <f>IF($E155="","",DATE(YEAR($E155),MONTH($E155),1))</f>
        <v>46082</v>
      </c>
      <c r="M155" s="65" t="str">
        <f ca="1">IF($D155="","",IF($C155="TANIMSIZ MÜŞTERİ","HATA",IF(OR($E155="",$F155&lt;=0,$G155=""),"EKSİK",IF($E155&gt;TODAY(),"İLERİ TARİH",IF(COUNTIF($S$7:$S$2503,$S155)&gt;1,"MÜKERRER?",IF($T155&gt;0,"KAPALI DÖNEM","UYGUN"))))))</f>
        <v>UYGUN</v>
      </c>
      <c r="N155" s="74" t="str">
        <f>IF($C155="","",IF($C155="TANIMSIZ MÜŞTERİ","—",INDEX(MUSTERILER!$C$7:$C$156,MATCH($C155,MUSTERILER!$B$7:$B$156,0))))</f>
        <v>ESERLİ LTD.ŞTİ.</v>
      </c>
      <c r="O155" s="2"/>
      <c r="P155" s="2"/>
      <c r="Q155" s="1" t="str">
        <f>IF($D155="","",$C155&amp;"|"&amp;COUNTIFS($C$7:$C155,$C155))</f>
        <v>M002|2</v>
      </c>
      <c r="R155" s="1" t="str">
        <f t="shared" si="4"/>
        <v>ESERLILTDSTI</v>
      </c>
      <c r="S155" s="1" t="str">
        <f t="shared" si="5"/>
        <v>M002|46088|3500|</v>
      </c>
      <c r="T155" s="1">
        <f>IF($E155="",0,SUMPRODUCT((AY_SONU!$O$7:$O$42="Evet")*(AY_SONU!$B$7:$B$42=DATE(YEAR($E155),MONTH($E155),1))))</f>
        <v>0</v>
      </c>
      <c r="U155" s="1" t="str">
        <f>IF(OR($G155="",$H155="Mahsup"),"",$G155&amp;"|"&amp;COUNTIFS($G$7:$G155,$G155,$H$7:$H155,"&lt;&gt;Mahsup"))</f>
        <v>MERKEZ KASA|110</v>
      </c>
    </row>
    <row r="156" spans="1:21" ht="18" customHeight="1" x14ac:dyDescent="0.3">
      <c r="A156" s="2"/>
      <c r="B156" s="65" t="str">
        <f>IF($D156="","","T"&amp;TEXT(ROW()-6,"00000"))</f>
        <v>T00150</v>
      </c>
      <c r="C156" s="65" t="str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>M020</v>
      </c>
      <c r="D156" s="61" t="s">
        <v>623</v>
      </c>
      <c r="E156" s="66">
        <v>46088</v>
      </c>
      <c r="F156" s="67">
        <v>3000</v>
      </c>
      <c r="G156" s="60" t="s">
        <v>717</v>
      </c>
      <c r="H156" s="60" t="s">
        <v>572</v>
      </c>
      <c r="I156" s="61"/>
      <c r="J156" s="61" t="s">
        <v>720</v>
      </c>
      <c r="K156" s="61"/>
      <c r="L156" s="73">
        <f>IF($E156="","",DATE(YEAR($E156),MONTH($E156),1))</f>
        <v>46082</v>
      </c>
      <c r="M156" s="65" t="str">
        <f ca="1">IF($D156="","",IF($C156="TANIMSIZ MÜŞTERİ","HATA",IF(OR($E156="",$F156&lt;=0,$G156=""),"EKSİK",IF($E156&gt;TODAY(),"İLERİ TARİH",IF(COUNTIF($S$7:$S$2503,$S156)&gt;1,"MÜKERRER?",IF($T156&gt;0,"KAPALI DÖNEM","UYGUN"))))))</f>
        <v>UYGUN</v>
      </c>
      <c r="N156" s="74" t="str">
        <f>IF($C156="","",IF($C156="TANIMSIZ MÜŞTERİ","—",INDEX(MUSTERILER!$C$7:$C$156,MATCH($C156,MUSTERILER!$B$7:$B$156,0))))</f>
        <v>KRİSTAL LTD.ŞTİ.</v>
      </c>
      <c r="O156" s="2"/>
      <c r="P156" s="2"/>
      <c r="Q156" s="1" t="str">
        <f>IF($D156="","",$C156&amp;"|"&amp;COUNTIFS($C$7:$C156,$C156))</f>
        <v>M020|9</v>
      </c>
      <c r="R156" s="1" t="str">
        <f t="shared" si="4"/>
        <v>KRISTALLTDSTI</v>
      </c>
      <c r="S156" s="1" t="str">
        <f t="shared" si="5"/>
        <v>M020|46088|3000|</v>
      </c>
      <c r="T156" s="1">
        <f>IF($E156="",0,SUMPRODUCT((AY_SONU!$O$7:$O$42="Evet")*(AY_SONU!$B$7:$B$42=DATE(YEAR($E156),MONTH($E156),1))))</f>
        <v>0</v>
      </c>
      <c r="U156" s="1" t="str">
        <f>IF(OR($G156="",$H156="Mahsup"),"",$G156&amp;"|"&amp;COUNTIFS($G$7:$G156,$G156,$H$7:$H156,"&lt;&gt;Mahsup"))</f>
        <v>MERKEZ KASA|111</v>
      </c>
    </row>
    <row r="157" spans="1:21" ht="18" customHeight="1" x14ac:dyDescent="0.3">
      <c r="A157" s="2"/>
      <c r="B157" s="65" t="str">
        <f>IF($D157="","","T"&amp;TEXT(ROW()-6,"00000"))</f>
        <v>T00151</v>
      </c>
      <c r="C157" s="65" t="str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>M047</v>
      </c>
      <c r="D157" s="61" t="s">
        <v>654</v>
      </c>
      <c r="E157" s="66">
        <v>46088</v>
      </c>
      <c r="F157" s="67">
        <v>4000</v>
      </c>
      <c r="G157" s="60" t="s">
        <v>717</v>
      </c>
      <c r="H157" s="60" t="s">
        <v>572</v>
      </c>
      <c r="I157" s="61"/>
      <c r="J157" s="61" t="s">
        <v>720</v>
      </c>
      <c r="K157" s="61"/>
      <c r="L157" s="73">
        <f>IF($E157="","",DATE(YEAR($E157),MONTH($E157),1))</f>
        <v>46082</v>
      </c>
      <c r="M157" s="65" t="str">
        <f ca="1">IF($D157="","",IF($C157="TANIMSIZ MÜŞTERİ","HATA",IF(OR($E157="",$F157&lt;=0,$G157=""),"EKSİK",IF($E157&gt;TODAY(),"İLERİ TARİH",IF(COUNTIF($S$7:$S$2503,$S157)&gt;1,"MÜKERRER?",IF($T157&gt;0,"KAPALI DÖNEM","UYGUN"))))))</f>
        <v>UYGUN</v>
      </c>
      <c r="N157" s="74" t="str">
        <f>IF($C157="","",IF($C157="TANIMSIZ MÜŞTERİ","—",INDEX(MUSTERILER!$C$7:$C$156,MATCH($C157,MUSTERILER!$B$7:$B$156,0))))</f>
        <v>PALAOĞULLARI LTD.ŞTİ.</v>
      </c>
      <c r="O157" s="2"/>
      <c r="P157" s="2"/>
      <c r="Q157" s="1" t="str">
        <f>IF($D157="","",$C157&amp;"|"&amp;COUNTIFS($C$7:$C157,$C157))</f>
        <v>M047|2</v>
      </c>
      <c r="R157" s="1" t="str">
        <f t="shared" si="4"/>
        <v>PALAOGULLARILTDSTI</v>
      </c>
      <c r="S157" s="1" t="str">
        <f t="shared" si="5"/>
        <v>M047|46088|4000|</v>
      </c>
      <c r="T157" s="1">
        <f>IF($E157="",0,SUMPRODUCT((AY_SONU!$O$7:$O$42="Evet")*(AY_SONU!$B$7:$B$42=DATE(YEAR($E157),MONTH($E157),1))))</f>
        <v>0</v>
      </c>
      <c r="U157" s="1" t="str">
        <f>IF(OR($G157="",$H157="Mahsup"),"",$G157&amp;"|"&amp;COUNTIFS($G$7:$G157,$G157,$H$7:$H157,"&lt;&gt;Mahsup"))</f>
        <v>MERKEZ KASA|112</v>
      </c>
    </row>
    <row r="158" spans="1:21" ht="18" customHeight="1" x14ac:dyDescent="0.3">
      <c r="A158" s="2"/>
      <c r="B158" s="65" t="str">
        <f>IF($D158="","","T"&amp;TEXT(ROW()-6,"00000"))</f>
        <v>T00152</v>
      </c>
      <c r="C158" s="65" t="str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>M019</v>
      </c>
      <c r="D158" s="61" t="s">
        <v>570</v>
      </c>
      <c r="E158" s="66">
        <v>46090</v>
      </c>
      <c r="F158" s="67">
        <v>4000</v>
      </c>
      <c r="G158" s="60" t="s">
        <v>717</v>
      </c>
      <c r="H158" s="60" t="s">
        <v>572</v>
      </c>
      <c r="I158" s="61"/>
      <c r="J158" s="61" t="s">
        <v>720</v>
      </c>
      <c r="K158" s="61"/>
      <c r="L158" s="73">
        <f>IF($E158="","",DATE(YEAR($E158),MONTH($E158),1))</f>
        <v>46082</v>
      </c>
      <c r="M158" s="65" t="str">
        <f ca="1">IF($D158="","",IF($C158="TANIMSIZ MÜŞTERİ","HATA",IF(OR($E158="",$F158&lt;=0,$G158=""),"EKSİK",IF($E158&gt;TODAY(),"İLERİ TARİH",IF(COUNTIF($S$7:$S$2503,$S158)&gt;1,"MÜKERRER?",IF($T158&gt;0,"KAPALI DÖNEM","UYGUN"))))))</f>
        <v>UYGUN</v>
      </c>
      <c r="N158" s="74" t="str">
        <f>IF($C158="","",IF($C158="TANIMSIZ MÜŞTERİ","—",INDEX(MUSTERILER!$C$7:$C$156,MATCH($C158,MUSTERILER!$B$7:$B$156,0))))</f>
        <v>AC OTEL LTD.ŞTİ.</v>
      </c>
      <c r="O158" s="2"/>
      <c r="P158" s="2"/>
      <c r="Q158" s="1" t="str">
        <f>IF($D158="","",$C158&amp;"|"&amp;COUNTIFS($C$7:$C158,$C158))</f>
        <v>M019|3</v>
      </c>
      <c r="R158" s="1" t="str">
        <f t="shared" si="4"/>
        <v>ACOTELLTDSTI</v>
      </c>
      <c r="S158" s="1" t="str">
        <f t="shared" si="5"/>
        <v>M019|46090|4000|</v>
      </c>
      <c r="T158" s="1">
        <f>IF($E158="",0,SUMPRODUCT((AY_SONU!$O$7:$O$42="Evet")*(AY_SONU!$B$7:$B$42=DATE(YEAR($E158),MONTH($E158),1))))</f>
        <v>0</v>
      </c>
      <c r="U158" s="1" t="str">
        <f>IF(OR($G158="",$H158="Mahsup"),"",$G158&amp;"|"&amp;COUNTIFS($G$7:$G158,$G158,$H$7:$H158,"&lt;&gt;Mahsup"))</f>
        <v>MERKEZ KASA|113</v>
      </c>
    </row>
    <row r="159" spans="1:21" ht="18" customHeight="1" x14ac:dyDescent="0.3">
      <c r="A159" s="2"/>
      <c r="B159" s="65" t="str">
        <f>IF($D159="","","T"&amp;TEXT(ROW()-6,"00000"))</f>
        <v>T00153</v>
      </c>
      <c r="C159" s="65" t="str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>M040</v>
      </c>
      <c r="D159" s="61" t="s">
        <v>631</v>
      </c>
      <c r="E159" s="66">
        <v>46093</v>
      </c>
      <c r="F159" s="67">
        <v>17000</v>
      </c>
      <c r="G159" s="60" t="s">
        <v>723</v>
      </c>
      <c r="H159" s="60" t="s">
        <v>572</v>
      </c>
      <c r="I159" s="61"/>
      <c r="J159" s="61" t="s">
        <v>739</v>
      </c>
      <c r="K159" s="61"/>
      <c r="L159" s="73">
        <f>IF($E159="","",DATE(YEAR($E159),MONTH($E159),1))</f>
        <v>46082</v>
      </c>
      <c r="M159" s="65" t="str">
        <f ca="1">IF($D159="","",IF($C159="TANIMSIZ MÜŞTERİ","HATA",IF(OR($E159="",$F159&lt;=0,$G159=""),"EKSİK",IF($E159&gt;TODAY(),"İLERİ TARİH",IF(COUNTIF($S$7:$S$2503,$S159)&gt;1,"MÜKERRER?",IF($T159&gt;0,"KAPALI DÖNEM","UYGUN"))))))</f>
        <v>UYGUN</v>
      </c>
      <c r="N159" s="74" t="str">
        <f>IF($C159="","",IF($C159="TANIMSIZ MÜŞTERİ","—",INDEX(MUSTERILER!$C$7:$C$156,MATCH($C159,MUSTERILER!$B$7:$B$156,0))))</f>
        <v>MENEKŞE AKAN</v>
      </c>
      <c r="O159" s="2"/>
      <c r="P159" s="2"/>
      <c r="Q159" s="1" t="str">
        <f>IF($D159="","",$C159&amp;"|"&amp;COUNTIFS($C$7:$C159,$C159))</f>
        <v>M040|2</v>
      </c>
      <c r="R159" s="1" t="str">
        <f t="shared" si="4"/>
        <v>MENEKSEAKAN</v>
      </c>
      <c r="S159" s="1" t="str">
        <f t="shared" si="5"/>
        <v>M040|46093|17000|</v>
      </c>
      <c r="T159" s="1">
        <f>IF($E159="",0,SUMPRODUCT((AY_SONU!$O$7:$O$42="Evet")*(AY_SONU!$B$7:$B$42=DATE(YEAR($E159),MONTH($E159),1))))</f>
        <v>0</v>
      </c>
      <c r="U159" s="1" t="str">
        <f>IF(OR($G159="",$H159="Mahsup"),"",$G159&amp;"|"&amp;COUNTIFS($G$7:$G159,$G159,$H$7:$H159,"&lt;&gt;Mahsup"))</f>
        <v>ÖMER KARTAL|40</v>
      </c>
    </row>
    <row r="160" spans="1:21" ht="18" customHeight="1" x14ac:dyDescent="0.3">
      <c r="A160" s="2"/>
      <c r="B160" s="65" t="str">
        <f>IF($D160="","","T"&amp;TEXT(ROW()-6,"00000"))</f>
        <v>T00154</v>
      </c>
      <c r="C160" s="65" t="str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>M011</v>
      </c>
      <c r="D160" s="61" t="s">
        <v>597</v>
      </c>
      <c r="E160" s="66">
        <v>46095</v>
      </c>
      <c r="F160" s="67">
        <v>3000</v>
      </c>
      <c r="G160" s="60" t="s">
        <v>717</v>
      </c>
      <c r="H160" s="60" t="s">
        <v>572</v>
      </c>
      <c r="I160" s="61"/>
      <c r="J160" s="61" t="s">
        <v>720</v>
      </c>
      <c r="K160" s="61"/>
      <c r="L160" s="73">
        <f>IF($E160="","",DATE(YEAR($E160),MONTH($E160),1))</f>
        <v>46082</v>
      </c>
      <c r="M160" s="65" t="str">
        <f ca="1">IF($D160="","",IF($C160="TANIMSIZ MÜŞTERİ","HATA",IF(OR($E160="",$F160&lt;=0,$G160=""),"EKSİK",IF($E160&gt;TODAY(),"İLERİ TARİH",IF(COUNTIF($S$7:$S$2503,$S160)&gt;1,"MÜKERRER?",IF($T160&gt;0,"KAPALI DÖNEM","UYGUN"))))))</f>
        <v>UYGUN</v>
      </c>
      <c r="N160" s="74" t="str">
        <f>IF($C160="","",IF($C160="TANIMSIZ MÜŞTERİ","—",INDEX(MUSTERILER!$C$7:$C$156,MATCH($C160,MUSTERILER!$B$7:$B$156,0))))</f>
        <v>EĞLENGÖR LTD.ŞTİ.</v>
      </c>
      <c r="O160" s="2"/>
      <c r="P160" s="2"/>
      <c r="Q160" s="1" t="str">
        <f>IF($D160="","",$C160&amp;"|"&amp;COUNTIFS($C$7:$C160,$C160))</f>
        <v>M011|10</v>
      </c>
      <c r="R160" s="1" t="str">
        <f t="shared" si="4"/>
        <v>EGLENGORLTDSTI</v>
      </c>
      <c r="S160" s="1" t="str">
        <f t="shared" si="5"/>
        <v>M011|46095|3000|</v>
      </c>
      <c r="T160" s="1">
        <f>IF($E160="",0,SUMPRODUCT((AY_SONU!$O$7:$O$42="Evet")*(AY_SONU!$B$7:$B$42=DATE(YEAR($E160),MONTH($E160),1))))</f>
        <v>0</v>
      </c>
      <c r="U160" s="1" t="str">
        <f>IF(OR($G160="",$H160="Mahsup"),"",$G160&amp;"|"&amp;COUNTIFS($G$7:$G160,$G160,$H$7:$H160,"&lt;&gt;Mahsup"))</f>
        <v>MERKEZ KASA|114</v>
      </c>
    </row>
    <row r="161" spans="1:21" ht="18" customHeight="1" x14ac:dyDescent="0.3">
      <c r="A161" s="2"/>
      <c r="B161" s="65" t="str">
        <f>IF($D161="","","T"&amp;TEXT(ROW()-6,"00000"))</f>
        <v>T00155</v>
      </c>
      <c r="C161" s="65" t="str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>M017</v>
      </c>
      <c r="D161" s="61" t="s">
        <v>585</v>
      </c>
      <c r="E161" s="66">
        <v>46096</v>
      </c>
      <c r="F161" s="67">
        <v>2500</v>
      </c>
      <c r="G161" s="60" t="s">
        <v>723</v>
      </c>
      <c r="H161" s="60" t="s">
        <v>572</v>
      </c>
      <c r="I161" s="61"/>
      <c r="J161" s="61" t="s">
        <v>720</v>
      </c>
      <c r="K161" s="61"/>
      <c r="L161" s="73">
        <f>IF($E161="","",DATE(YEAR($E161),MONTH($E161),1))</f>
        <v>46082</v>
      </c>
      <c r="M161" s="65" t="str">
        <f ca="1">IF($D161="","",IF($C161="TANIMSIZ MÜŞTERİ","HATA",IF(OR($E161="",$F161&lt;=0,$G161=""),"EKSİK",IF($E161&gt;TODAY(),"İLERİ TARİH",IF(COUNTIF($S$7:$S$2503,$S161)&gt;1,"MÜKERRER?",IF($T161&gt;0,"KAPALI DÖNEM","UYGUN"))))))</f>
        <v>UYGUN</v>
      </c>
      <c r="N161" s="74" t="str">
        <f>IF($C161="","",IF($C161="TANIMSIZ MÜŞTERİ","—",INDEX(MUSTERILER!$C$7:$C$156,MATCH($C161,MUSTERILER!$B$7:$B$156,0))))</f>
        <v>ASM EĞLENCE LTD.ŞTİ.</v>
      </c>
      <c r="O161" s="2"/>
      <c r="P161" s="2"/>
      <c r="Q161" s="1" t="str">
        <f>IF($D161="","",$C161&amp;"|"&amp;COUNTIFS($C$7:$C161,$C161))</f>
        <v>M017|9</v>
      </c>
      <c r="R161" s="1" t="str">
        <f t="shared" si="4"/>
        <v>ASMEGLENCELTDSTI</v>
      </c>
      <c r="S161" s="1" t="str">
        <f t="shared" si="5"/>
        <v>M017|46096|2500|</v>
      </c>
      <c r="T161" s="1">
        <f>IF($E161="",0,SUMPRODUCT((AY_SONU!$O$7:$O$42="Evet")*(AY_SONU!$B$7:$B$42=DATE(YEAR($E161),MONTH($E161),1))))</f>
        <v>0</v>
      </c>
      <c r="U161" s="1" t="str">
        <f>IF(OR($G161="",$H161="Mahsup"),"",$G161&amp;"|"&amp;COUNTIFS($G$7:$G161,$G161,$H$7:$H161,"&lt;&gt;Mahsup"))</f>
        <v>ÖMER KARTAL|41</v>
      </c>
    </row>
    <row r="162" spans="1:21" ht="18" customHeight="1" x14ac:dyDescent="0.3">
      <c r="A162" s="2"/>
      <c r="B162" s="65" t="str">
        <f>IF($D162="","","T"&amp;TEXT(ROW()-6,"00000"))</f>
        <v>T00156</v>
      </c>
      <c r="C162" s="65" t="str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>M015</v>
      </c>
      <c r="D162" s="61" t="s">
        <v>719</v>
      </c>
      <c r="E162" s="66">
        <v>46096</v>
      </c>
      <c r="F162" s="67">
        <v>12000</v>
      </c>
      <c r="G162" s="60" t="s">
        <v>723</v>
      </c>
      <c r="H162" s="60" t="s">
        <v>572</v>
      </c>
      <c r="I162" s="61"/>
      <c r="J162" s="61" t="s">
        <v>724</v>
      </c>
      <c r="K162" s="61"/>
      <c r="L162" s="73">
        <f>IF($E162="","",DATE(YEAR($E162),MONTH($E162),1))</f>
        <v>46082</v>
      </c>
      <c r="M162" s="65" t="str">
        <f ca="1">IF($D162="","",IF($C162="TANIMSIZ MÜŞTERİ","HATA",IF(OR($E162="",$F162&lt;=0,$G162=""),"EKSİK",IF($E162&gt;TODAY(),"İLERİ TARİH",IF(COUNTIF($S$7:$S$2503,$S162)&gt;1,"MÜKERRER?",IF($T162&gt;0,"KAPALI DÖNEM","UYGUN"))))))</f>
        <v>UYGUN</v>
      </c>
      <c r="N162" s="74" t="str">
        <f>IF($C162="","",IF($C162="TANIMSIZ MÜŞTERİ","—",INDEX(MUSTERILER!$C$7:$C$156,MATCH($C162,MUSTERILER!$B$7:$B$156,0))))</f>
        <v>ÇAYIRALAN LTD.ŞTİ.</v>
      </c>
      <c r="O162" s="2"/>
      <c r="P162" s="2"/>
      <c r="Q162" s="1" t="str">
        <f>IF($D162="","",$C162&amp;"|"&amp;COUNTIFS($C$7:$C162,$C162))</f>
        <v>M015|8</v>
      </c>
      <c r="R162" s="1" t="str">
        <f t="shared" si="4"/>
        <v>CAYIRALANLTDSTI</v>
      </c>
      <c r="S162" s="1" t="str">
        <f t="shared" si="5"/>
        <v>M015|46096|12000|</v>
      </c>
      <c r="T162" s="1">
        <f>IF($E162="",0,SUMPRODUCT((AY_SONU!$O$7:$O$42="Evet")*(AY_SONU!$B$7:$B$42=DATE(YEAR($E162),MONTH($E162),1))))</f>
        <v>0</v>
      </c>
      <c r="U162" s="1" t="str">
        <f>IF(OR($G162="",$H162="Mahsup"),"",$G162&amp;"|"&amp;COUNTIFS($G$7:$G162,$G162,$H$7:$H162,"&lt;&gt;Mahsup"))</f>
        <v>ÖMER KARTAL|42</v>
      </c>
    </row>
    <row r="163" spans="1:21" ht="18" customHeight="1" x14ac:dyDescent="0.3">
      <c r="A163" s="2"/>
      <c r="B163" s="65" t="str">
        <f>IF($D163="","","T"&amp;TEXT(ROW()-6,"00000"))</f>
        <v>T00157</v>
      </c>
      <c r="C163" s="65" t="str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>M034</v>
      </c>
      <c r="D163" s="61" t="s">
        <v>732</v>
      </c>
      <c r="E163" s="66">
        <v>46096</v>
      </c>
      <c r="F163" s="67">
        <v>4000</v>
      </c>
      <c r="G163" s="60" t="s">
        <v>723</v>
      </c>
      <c r="H163" s="60" t="s">
        <v>572</v>
      </c>
      <c r="I163" s="61"/>
      <c r="J163" s="61" t="s">
        <v>724</v>
      </c>
      <c r="K163" s="61"/>
      <c r="L163" s="73">
        <f>IF($E163="","",DATE(YEAR($E163),MONTH($E163),1))</f>
        <v>46082</v>
      </c>
      <c r="M163" s="65" t="str">
        <f ca="1">IF($D163="","",IF($C163="TANIMSIZ MÜŞTERİ","HATA",IF(OR($E163="",$F163&lt;=0,$G163=""),"EKSİK",IF($E163&gt;TODAY(),"İLERİ TARİH",IF(COUNTIF($S$7:$S$2503,$S163)&gt;1,"MÜKERRER?",IF($T163&gt;0,"KAPALI DÖNEM","UYGUN"))))))</f>
        <v>UYGUN</v>
      </c>
      <c r="N163" s="74" t="str">
        <f>IF($C163="","",IF($C163="TANIMSIZ MÜŞTERİ","—",INDEX(MUSTERILER!$C$7:$C$156,MATCH($C163,MUSTERILER!$B$7:$B$156,0))))</f>
        <v>İBRAHİM MALDAN</v>
      </c>
      <c r="O163" s="2"/>
      <c r="P163" s="2"/>
      <c r="Q163" s="1" t="str">
        <f>IF($D163="","",$C163&amp;"|"&amp;COUNTIFS($C$7:$C163,$C163))</f>
        <v>M034|7</v>
      </c>
      <c r="R163" s="1" t="str">
        <f t="shared" si="4"/>
        <v>IBRAHIMMALDAN</v>
      </c>
      <c r="S163" s="1" t="str">
        <f t="shared" si="5"/>
        <v>M034|46096|4000|</v>
      </c>
      <c r="T163" s="1">
        <f>IF($E163="",0,SUMPRODUCT((AY_SONU!$O$7:$O$42="Evet")*(AY_SONU!$B$7:$B$42=DATE(YEAR($E163),MONTH($E163),1))))</f>
        <v>0</v>
      </c>
      <c r="U163" s="1" t="str">
        <f>IF(OR($G163="",$H163="Mahsup"),"",$G163&amp;"|"&amp;COUNTIFS($G$7:$G163,$G163,$H$7:$H163,"&lt;&gt;Mahsup"))</f>
        <v>ÖMER KARTAL|43</v>
      </c>
    </row>
    <row r="164" spans="1:21" ht="18" customHeight="1" x14ac:dyDescent="0.3">
      <c r="A164" s="2"/>
      <c r="B164" s="65" t="str">
        <f>IF($D164="","","T"&amp;TEXT(ROW()-6,"00000"))</f>
        <v>T00158</v>
      </c>
      <c r="C164" s="65" t="str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>M016</v>
      </c>
      <c r="D164" s="61" t="s">
        <v>736</v>
      </c>
      <c r="E164" s="66">
        <v>46096</v>
      </c>
      <c r="F164" s="67">
        <v>3000</v>
      </c>
      <c r="G164" s="60" t="s">
        <v>723</v>
      </c>
      <c r="H164" s="60" t="s">
        <v>572</v>
      </c>
      <c r="I164" s="61"/>
      <c r="J164" s="61" t="s">
        <v>724</v>
      </c>
      <c r="K164" s="61"/>
      <c r="L164" s="73">
        <f>IF($E164="","",DATE(YEAR($E164),MONTH($E164),1))</f>
        <v>46082</v>
      </c>
      <c r="M164" s="65" t="str">
        <f ca="1">IF($D164="","",IF($C164="TANIMSIZ MÜŞTERİ","HATA",IF(OR($E164="",$F164&lt;=0,$G164=""),"EKSİK",IF($E164&gt;TODAY(),"İLERİ TARİH",IF(COUNTIF($S$7:$S$2503,$S164)&gt;1,"MÜKERRER?",IF($T164&gt;0,"KAPALI DÖNEM","UYGUN"))))))</f>
        <v>UYGUN</v>
      </c>
      <c r="N164" s="74" t="str">
        <f>IF($C164="","",IF($C164="TANIMSIZ MÜŞTERİ","—",INDEX(MUSTERILER!$C$7:$C$156,MATCH($C164,MUSTERILER!$B$7:$B$156,0))))</f>
        <v>RİX ŞOW LTD.ŞTİ.</v>
      </c>
      <c r="O164" s="2"/>
      <c r="P164" s="2"/>
      <c r="Q164" s="1" t="str">
        <f>IF($D164="","",$C164&amp;"|"&amp;COUNTIFS($C$7:$C164,$C164))</f>
        <v>M016|10</v>
      </c>
      <c r="R164" s="1" t="str">
        <f t="shared" si="4"/>
        <v>RIXSOWLTDSTI</v>
      </c>
      <c r="S164" s="1" t="str">
        <f t="shared" si="5"/>
        <v>M016|46096|3000|</v>
      </c>
      <c r="T164" s="1">
        <f>IF($E164="",0,SUMPRODUCT((AY_SONU!$O$7:$O$42="Evet")*(AY_SONU!$B$7:$B$42=DATE(YEAR($E164),MONTH($E164),1))))</f>
        <v>0</v>
      </c>
      <c r="U164" s="1" t="str">
        <f>IF(OR($G164="",$H164="Mahsup"),"",$G164&amp;"|"&amp;COUNTIFS($G$7:$G164,$G164,$H$7:$H164,"&lt;&gt;Mahsup"))</f>
        <v>ÖMER KARTAL|44</v>
      </c>
    </row>
    <row r="165" spans="1:21" ht="18" customHeight="1" x14ac:dyDescent="0.3">
      <c r="A165" s="2"/>
      <c r="B165" s="65" t="str">
        <f>IF($D165="","","T"&amp;TEXT(ROW()-6,"00000"))</f>
        <v>T00159</v>
      </c>
      <c r="C165" s="65" t="str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>M025</v>
      </c>
      <c r="D165" s="61" t="s">
        <v>583</v>
      </c>
      <c r="E165" s="66">
        <v>46096</v>
      </c>
      <c r="F165" s="67">
        <v>2000</v>
      </c>
      <c r="G165" s="60" t="s">
        <v>717</v>
      </c>
      <c r="H165" s="60" t="s">
        <v>572</v>
      </c>
      <c r="I165" s="61"/>
      <c r="J165" s="61" t="s">
        <v>720</v>
      </c>
      <c r="K165" s="61"/>
      <c r="L165" s="73">
        <f>IF($E165="","",DATE(YEAR($E165),MONTH($E165),1))</f>
        <v>46082</v>
      </c>
      <c r="M165" s="65" t="str">
        <f ca="1">IF($D165="","",IF($C165="TANIMSIZ MÜŞTERİ","HATA",IF(OR($E165="",$F165&lt;=0,$G165=""),"EKSİK",IF($E165&gt;TODAY(),"İLERİ TARİH",IF(COUNTIF($S$7:$S$2503,$S165)&gt;1,"MÜKERRER?",IF($T165&gt;0,"KAPALI DÖNEM","UYGUN"))))))</f>
        <v>UYGUN</v>
      </c>
      <c r="N165" s="74" t="str">
        <f>IF($C165="","",IF($C165="TANIMSIZ MÜŞTERİ","—",INDEX(MUSTERILER!$C$7:$C$156,MATCH($C165,MUSTERILER!$B$7:$B$156,0))))</f>
        <v>ASIM AÇIKGÖZ</v>
      </c>
      <c r="O165" s="2"/>
      <c r="P165" s="2"/>
      <c r="Q165" s="1" t="str">
        <f>IF($D165="","",$C165&amp;"|"&amp;COUNTIFS($C$7:$C165,$C165))</f>
        <v>M025|9</v>
      </c>
      <c r="R165" s="1" t="str">
        <f t="shared" si="4"/>
        <v>ASIMACIKGOZ</v>
      </c>
      <c r="S165" s="1" t="str">
        <f t="shared" si="5"/>
        <v>M025|46096|2000|</v>
      </c>
      <c r="T165" s="1">
        <f>IF($E165="",0,SUMPRODUCT((AY_SONU!$O$7:$O$42="Evet")*(AY_SONU!$B$7:$B$42=DATE(YEAR($E165),MONTH($E165),1))))</f>
        <v>0</v>
      </c>
      <c r="U165" s="1" t="str">
        <f>IF(OR($G165="",$H165="Mahsup"),"",$G165&amp;"|"&amp;COUNTIFS($G$7:$G165,$G165,$H$7:$H165,"&lt;&gt;Mahsup"))</f>
        <v>MERKEZ KASA|115</v>
      </c>
    </row>
    <row r="166" spans="1:21" ht="18" customHeight="1" x14ac:dyDescent="0.3">
      <c r="A166" s="2"/>
      <c r="B166" s="65" t="str">
        <f>IF($D166="","","T"&amp;TEXT(ROW()-6,"00000"))</f>
        <v>T00160</v>
      </c>
      <c r="C166" s="65" t="str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>M047</v>
      </c>
      <c r="D166" s="61" t="s">
        <v>654</v>
      </c>
      <c r="E166" s="66">
        <v>46096</v>
      </c>
      <c r="F166" s="67">
        <v>4000</v>
      </c>
      <c r="G166" s="60" t="s">
        <v>723</v>
      </c>
      <c r="H166" s="60" t="s">
        <v>572</v>
      </c>
      <c r="I166" s="61"/>
      <c r="J166" s="61" t="s">
        <v>720</v>
      </c>
      <c r="K166" s="61"/>
      <c r="L166" s="73">
        <f>IF($E166="","",DATE(YEAR($E166),MONTH($E166),1))</f>
        <v>46082</v>
      </c>
      <c r="M166" s="65" t="str">
        <f ca="1">IF($D166="","",IF($C166="TANIMSIZ MÜŞTERİ","HATA",IF(OR($E166="",$F166&lt;=0,$G166=""),"EKSİK",IF($E166&gt;TODAY(),"İLERİ TARİH",IF(COUNTIF($S$7:$S$2503,$S166)&gt;1,"MÜKERRER?",IF($T166&gt;0,"KAPALI DÖNEM","UYGUN"))))))</f>
        <v>UYGUN</v>
      </c>
      <c r="N166" s="74" t="str">
        <f>IF($C166="","",IF($C166="TANIMSIZ MÜŞTERİ","—",INDEX(MUSTERILER!$C$7:$C$156,MATCH($C166,MUSTERILER!$B$7:$B$156,0))))</f>
        <v>PALAOĞULLARI LTD.ŞTİ.</v>
      </c>
      <c r="O166" s="2"/>
      <c r="P166" s="2"/>
      <c r="Q166" s="1" t="str">
        <f>IF($D166="","",$C166&amp;"|"&amp;COUNTIFS($C$7:$C166,$C166))</f>
        <v>M047|3</v>
      </c>
      <c r="R166" s="1" t="str">
        <f t="shared" si="4"/>
        <v>PALAOGULLARILTDSTI</v>
      </c>
      <c r="S166" s="1" t="str">
        <f t="shared" si="5"/>
        <v>M047|46096|4000|</v>
      </c>
      <c r="T166" s="1">
        <f>IF($E166="",0,SUMPRODUCT((AY_SONU!$O$7:$O$42="Evet")*(AY_SONU!$B$7:$B$42=DATE(YEAR($E166),MONTH($E166),1))))</f>
        <v>0</v>
      </c>
      <c r="U166" s="1" t="str">
        <f>IF(OR($G166="",$H166="Mahsup"),"",$G166&amp;"|"&amp;COUNTIFS($G$7:$G166,$G166,$H$7:$H166,"&lt;&gt;Mahsup"))</f>
        <v>ÖMER KARTAL|45</v>
      </c>
    </row>
    <row r="167" spans="1:21" ht="18" customHeight="1" x14ac:dyDescent="0.3">
      <c r="A167" s="2"/>
      <c r="B167" s="65" t="str">
        <f>IF($D167="","","T"&amp;TEXT(ROW()-6,"00000"))</f>
        <v>T00161</v>
      </c>
      <c r="C167" s="65" t="str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>M003</v>
      </c>
      <c r="D167" s="61" t="s">
        <v>666</v>
      </c>
      <c r="E167" s="66">
        <v>46096</v>
      </c>
      <c r="F167" s="67">
        <v>4000</v>
      </c>
      <c r="G167" s="60" t="s">
        <v>723</v>
      </c>
      <c r="H167" s="60" t="s">
        <v>572</v>
      </c>
      <c r="I167" s="61"/>
      <c r="J167" s="61" t="s">
        <v>720</v>
      </c>
      <c r="K167" s="61"/>
      <c r="L167" s="73">
        <f>IF($E167="","",DATE(YEAR($E167),MONTH($E167),1))</f>
        <v>46082</v>
      </c>
      <c r="M167" s="65" t="str">
        <f ca="1">IF($D167="","",IF($C167="TANIMSIZ MÜŞTERİ","HATA",IF(OR($E167="",$F167&lt;=0,$G167=""),"EKSİK",IF($E167&gt;TODAY(),"İLERİ TARİH",IF(COUNTIF($S$7:$S$2503,$S167)&gt;1,"MÜKERRER?",IF($T167&gt;0,"KAPALI DÖNEM","UYGUN"))))))</f>
        <v>UYGUN</v>
      </c>
      <c r="N167" s="74" t="str">
        <f>IF($C167="","",IF($C167="TANIMSIZ MÜŞTERİ","—",INDEX(MUSTERILER!$C$7:$C$156,MATCH($C167,MUSTERILER!$B$7:$B$156,0))))</f>
        <v>TYANA LTD.ŞTİ.</v>
      </c>
      <c r="O167" s="2"/>
      <c r="P167" s="2"/>
      <c r="Q167" s="1" t="str">
        <f>IF($D167="","",$C167&amp;"|"&amp;COUNTIFS($C$7:$C167,$C167))</f>
        <v>M003|4</v>
      </c>
      <c r="R167" s="1" t="str">
        <f t="shared" si="4"/>
        <v>TYANALTDSTI</v>
      </c>
      <c r="S167" s="1" t="str">
        <f t="shared" si="5"/>
        <v>M003|46096|4000|</v>
      </c>
      <c r="T167" s="1">
        <f>IF($E167="",0,SUMPRODUCT((AY_SONU!$O$7:$O$42="Evet")*(AY_SONU!$B$7:$B$42=DATE(YEAR($E167),MONTH($E167),1))))</f>
        <v>0</v>
      </c>
      <c r="U167" s="1" t="str">
        <f>IF(OR($G167="",$H167="Mahsup"),"",$G167&amp;"|"&amp;COUNTIFS($G$7:$G167,$G167,$H$7:$H167,"&lt;&gt;Mahsup"))</f>
        <v>ÖMER KARTAL|46</v>
      </c>
    </row>
    <row r="168" spans="1:21" ht="18" customHeight="1" x14ac:dyDescent="0.3">
      <c r="A168" s="2"/>
      <c r="B168" s="65" t="str">
        <f>IF($D168="","","T"&amp;TEXT(ROW()-6,"00000"))</f>
        <v>T00162</v>
      </c>
      <c r="C168" s="65" t="str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>M014</v>
      </c>
      <c r="D168" s="61" t="s">
        <v>731</v>
      </c>
      <c r="E168" s="66">
        <v>46096</v>
      </c>
      <c r="F168" s="67">
        <v>2000</v>
      </c>
      <c r="G168" s="60" t="s">
        <v>717</v>
      </c>
      <c r="H168" s="60" t="s">
        <v>572</v>
      </c>
      <c r="I168" s="61"/>
      <c r="J168" s="61" t="s">
        <v>720</v>
      </c>
      <c r="K168" s="61"/>
      <c r="L168" s="73">
        <f>IF($E168="","",DATE(YEAR($E168),MONTH($E168),1))</f>
        <v>46082</v>
      </c>
      <c r="M168" s="65" t="str">
        <f ca="1">IF($D168="","",IF($C168="TANIMSIZ MÜŞTERİ","HATA",IF(OR($E168="",$F168&lt;=0,$G168=""),"EKSİK",IF($E168&gt;TODAY(),"İLERİ TARİH",IF(COUNTIF($S$7:$S$2503,$S168)&gt;1,"MÜKERRER?",IF($T168&gt;0,"KAPALI DÖNEM","UYGUN"))))))</f>
        <v>UYGUN</v>
      </c>
      <c r="N168" s="74" t="str">
        <f>IF($C168="","",IF($C168="TANIMSIZ MÜŞTERİ","—",INDEX(MUSTERILER!$C$7:$C$156,MATCH($C168,MUSTERILER!$B$7:$B$156,0))))</f>
        <v>FİNAL SİYAH BEYAZ LTD.ŞTİ.</v>
      </c>
      <c r="O168" s="2"/>
      <c r="P168" s="2"/>
      <c r="Q168" s="1" t="str">
        <f>IF($D168="","",$C168&amp;"|"&amp;COUNTIFS($C$7:$C168,$C168))</f>
        <v>M014|9</v>
      </c>
      <c r="R168" s="1" t="str">
        <f t="shared" si="4"/>
        <v>FINALSIYAHBEYAZLTDSTI</v>
      </c>
      <c r="S168" s="1" t="str">
        <f t="shared" si="5"/>
        <v>M014|46096|2000|</v>
      </c>
      <c r="T168" s="1">
        <f>IF($E168="",0,SUMPRODUCT((AY_SONU!$O$7:$O$42="Evet")*(AY_SONU!$B$7:$B$42=DATE(YEAR($E168),MONTH($E168),1))))</f>
        <v>0</v>
      </c>
      <c r="U168" s="1" t="str">
        <f>IF(OR($G168="",$H168="Mahsup"),"",$G168&amp;"|"&amp;COUNTIFS($G$7:$G168,$G168,$H$7:$H168,"&lt;&gt;Mahsup"))</f>
        <v>MERKEZ KASA|116</v>
      </c>
    </row>
    <row r="169" spans="1:21" ht="18" customHeight="1" x14ac:dyDescent="0.3">
      <c r="A169" s="2"/>
      <c r="B169" s="65" t="str">
        <f>IF($D169="","","T"&amp;TEXT(ROW()-6,"00000"))</f>
        <v>T00163</v>
      </c>
      <c r="C169" s="65" t="str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>M012</v>
      </c>
      <c r="D169" s="61" t="s">
        <v>721</v>
      </c>
      <c r="E169" s="66">
        <v>46096</v>
      </c>
      <c r="F169" s="67">
        <v>4000</v>
      </c>
      <c r="G169" s="60" t="s">
        <v>717</v>
      </c>
      <c r="H169" s="60" t="s">
        <v>572</v>
      </c>
      <c r="I169" s="61"/>
      <c r="J169" s="61" t="s">
        <v>720</v>
      </c>
      <c r="K169" s="61"/>
      <c r="L169" s="73">
        <f>IF($E169="","",DATE(YEAR($E169),MONTH($E169),1))</f>
        <v>46082</v>
      </c>
      <c r="M169" s="65" t="str">
        <f ca="1">IF($D169="","",IF($C169="TANIMSIZ MÜŞTERİ","HATA",IF(OR($E169="",$F169&lt;=0,$G169=""),"EKSİK",IF($E169&gt;TODAY(),"İLERİ TARİH",IF(COUNTIF($S$7:$S$2503,$S169)&gt;1,"MÜKERRER?",IF($T169&gt;0,"KAPALI DÖNEM","UYGUN"))))))</f>
        <v>UYGUN</v>
      </c>
      <c r="N169" s="74" t="str">
        <f>IF($C169="","",IF($C169="TANIMSIZ MÜŞTERİ","—",INDEX(MUSTERILER!$C$7:$C$156,MATCH($C169,MUSTERILER!$B$7:$B$156,0))))</f>
        <v>İLDEŞ LTD.ŞTİ.</v>
      </c>
      <c r="O169" s="2"/>
      <c r="P169" s="2"/>
      <c r="Q169" s="1" t="str">
        <f>IF($D169="","",$C169&amp;"|"&amp;COUNTIFS($C$7:$C169,$C169))</f>
        <v>M012|9</v>
      </c>
      <c r="R169" s="1" t="str">
        <f t="shared" si="4"/>
        <v>ILDESLTDSTI</v>
      </c>
      <c r="S169" s="1" t="str">
        <f t="shared" si="5"/>
        <v>M012|46096|4000|</v>
      </c>
      <c r="T169" s="1">
        <f>IF($E169="",0,SUMPRODUCT((AY_SONU!$O$7:$O$42="Evet")*(AY_SONU!$B$7:$B$42=DATE(YEAR($E169),MONTH($E169),1))))</f>
        <v>0</v>
      </c>
      <c r="U169" s="1" t="str">
        <f>IF(OR($G169="",$H169="Mahsup"),"",$G169&amp;"|"&amp;COUNTIFS($G$7:$G169,$G169,$H$7:$H169,"&lt;&gt;Mahsup"))</f>
        <v>MERKEZ KASA|117</v>
      </c>
    </row>
    <row r="170" spans="1:21" ht="18" customHeight="1" x14ac:dyDescent="0.3">
      <c r="A170" s="2"/>
      <c r="B170" s="65" t="str">
        <f>IF($D170="","","T"&amp;TEXT(ROW()-6,"00000"))</f>
        <v>T00164</v>
      </c>
      <c r="C170" s="65" t="str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>M007</v>
      </c>
      <c r="D170" s="61" t="s">
        <v>733</v>
      </c>
      <c r="E170" s="66">
        <v>46096</v>
      </c>
      <c r="F170" s="67">
        <v>3500</v>
      </c>
      <c r="G170" s="60" t="s">
        <v>717</v>
      </c>
      <c r="H170" s="60" t="s">
        <v>572</v>
      </c>
      <c r="I170" s="61"/>
      <c r="J170" s="61" t="s">
        <v>720</v>
      </c>
      <c r="K170" s="61"/>
      <c r="L170" s="73">
        <f>IF($E170="","",DATE(YEAR($E170),MONTH($E170),1))</f>
        <v>46082</v>
      </c>
      <c r="M170" s="65" t="str">
        <f ca="1">IF($D170="","",IF($C170="TANIMSIZ MÜŞTERİ","HATA",IF(OR($E170="",$F170&lt;=0,$G170=""),"EKSİK",IF($E170&gt;TODAY(),"İLERİ TARİH",IF(COUNTIF($S$7:$S$2503,$S170)&gt;1,"MÜKERRER?",IF($T170&gt;0,"KAPALI DÖNEM","UYGUN"))))))</f>
        <v>UYGUN</v>
      </c>
      <c r="N170" s="74" t="str">
        <f>IF($C170="","",IF($C170="TANIMSIZ MÜŞTERİ","—",INDEX(MUSTERILER!$C$7:$C$156,MATCH($C170,MUSTERILER!$B$7:$B$156,0))))</f>
        <v>MONAMOUR LTD.ŞTİ.</v>
      </c>
      <c r="O170" s="2"/>
      <c r="P170" s="2"/>
      <c r="Q170" s="1" t="str">
        <f>IF($D170="","",$C170&amp;"|"&amp;COUNTIFS($C$7:$C170,$C170))</f>
        <v>M007|8</v>
      </c>
      <c r="R170" s="1" t="str">
        <f t="shared" si="4"/>
        <v>MONAMOURLTDSTI</v>
      </c>
      <c r="S170" s="1" t="str">
        <f t="shared" si="5"/>
        <v>M007|46096|3500|</v>
      </c>
      <c r="T170" s="1">
        <f>IF($E170="",0,SUMPRODUCT((AY_SONU!$O$7:$O$42="Evet")*(AY_SONU!$B$7:$B$42=DATE(YEAR($E170),MONTH($E170),1))))</f>
        <v>0</v>
      </c>
      <c r="U170" s="1" t="str">
        <f>IF(OR($G170="",$H170="Mahsup"),"",$G170&amp;"|"&amp;COUNTIFS($G$7:$G170,$G170,$H$7:$H170,"&lt;&gt;Mahsup"))</f>
        <v>MERKEZ KASA|118</v>
      </c>
    </row>
    <row r="171" spans="1:21" ht="18" customHeight="1" x14ac:dyDescent="0.3">
      <c r="A171" s="2"/>
      <c r="B171" s="65" t="str">
        <f>IF($D171="","","T"&amp;TEXT(ROW()-6,"00000"))</f>
        <v>T00165</v>
      </c>
      <c r="C171" s="65" t="str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>M005</v>
      </c>
      <c r="D171" s="61" t="s">
        <v>722</v>
      </c>
      <c r="E171" s="66">
        <v>46096</v>
      </c>
      <c r="F171" s="67">
        <v>1750</v>
      </c>
      <c r="G171" s="60" t="s">
        <v>717</v>
      </c>
      <c r="H171" s="60" t="s">
        <v>572</v>
      </c>
      <c r="I171" s="61"/>
      <c r="J171" s="61" t="s">
        <v>720</v>
      </c>
      <c r="K171" s="61"/>
      <c r="L171" s="73">
        <f>IF($E171="","",DATE(YEAR($E171),MONTH($E171),1))</f>
        <v>46082</v>
      </c>
      <c r="M171" s="65" t="str">
        <f ca="1">IF($D171="","",IF($C171="TANIMSIZ MÜŞTERİ","HATA",IF(OR($E171="",$F171&lt;=0,$G171=""),"EKSİK",IF($E171&gt;TODAY(),"İLERİ TARİH",IF(COUNTIF($S$7:$S$2503,$S171)&gt;1,"MÜKERRER?",IF($T171&gt;0,"KAPALI DÖNEM","UYGUN"))))))</f>
        <v>UYGUN</v>
      </c>
      <c r="N171" s="74" t="str">
        <f>IF($C171="","",IF($C171="TANIMSIZ MÜŞTERİ","—",INDEX(MUSTERILER!$C$7:$C$156,MATCH($C171,MUSTERILER!$B$7:$B$156,0))))</f>
        <v>ZÜMRÜT GRUP LTD.ŞTİ.</v>
      </c>
      <c r="O171" s="2"/>
      <c r="P171" s="2"/>
      <c r="Q171" s="1" t="str">
        <f>IF($D171="","",$C171&amp;"|"&amp;COUNTIFS($C$7:$C171,$C171))</f>
        <v>M005|10</v>
      </c>
      <c r="R171" s="1" t="str">
        <f t="shared" si="4"/>
        <v>ZUMRUTGRUPLTDSTI</v>
      </c>
      <c r="S171" s="1" t="str">
        <f t="shared" si="5"/>
        <v>M005|46096|1750|</v>
      </c>
      <c r="T171" s="1">
        <f>IF($E171="",0,SUMPRODUCT((AY_SONU!$O$7:$O$42="Evet")*(AY_SONU!$B$7:$B$42=DATE(YEAR($E171),MONTH($E171),1))))</f>
        <v>0</v>
      </c>
      <c r="U171" s="1" t="str">
        <f>IF(OR($G171="",$H171="Mahsup"),"",$G171&amp;"|"&amp;COUNTIFS($G$7:$G171,$G171,$H$7:$H171,"&lt;&gt;Mahsup"))</f>
        <v>MERKEZ KASA|119</v>
      </c>
    </row>
    <row r="172" spans="1:21" ht="18" customHeight="1" x14ac:dyDescent="0.3">
      <c r="A172" s="2"/>
      <c r="B172" s="65" t="str">
        <f>IF($D172="","","T"&amp;TEXT(ROW()-6,"00000"))</f>
        <v>T00166</v>
      </c>
      <c r="C172" s="65" t="str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>M020</v>
      </c>
      <c r="D172" s="61" t="s">
        <v>623</v>
      </c>
      <c r="E172" s="66">
        <v>46096</v>
      </c>
      <c r="F172" s="67">
        <v>3000</v>
      </c>
      <c r="G172" s="60" t="s">
        <v>717</v>
      </c>
      <c r="H172" s="60" t="s">
        <v>572</v>
      </c>
      <c r="I172" s="61"/>
      <c r="J172" s="61" t="s">
        <v>720</v>
      </c>
      <c r="K172" s="61"/>
      <c r="L172" s="73">
        <f>IF($E172="","",DATE(YEAR($E172),MONTH($E172),1))</f>
        <v>46082</v>
      </c>
      <c r="M172" s="65" t="str">
        <f ca="1">IF($D172="","",IF($C172="TANIMSIZ MÜŞTERİ","HATA",IF(OR($E172="",$F172&lt;=0,$G172=""),"EKSİK",IF($E172&gt;TODAY(),"İLERİ TARİH",IF(COUNTIF($S$7:$S$2503,$S172)&gt;1,"MÜKERRER?",IF($T172&gt;0,"KAPALI DÖNEM","UYGUN"))))))</f>
        <v>UYGUN</v>
      </c>
      <c r="N172" s="74" t="str">
        <f>IF($C172="","",IF($C172="TANIMSIZ MÜŞTERİ","—",INDEX(MUSTERILER!$C$7:$C$156,MATCH($C172,MUSTERILER!$B$7:$B$156,0))))</f>
        <v>KRİSTAL LTD.ŞTİ.</v>
      </c>
      <c r="O172" s="2"/>
      <c r="P172" s="2"/>
      <c r="Q172" s="1" t="str">
        <f>IF($D172="","",$C172&amp;"|"&amp;COUNTIFS($C$7:$C172,$C172))</f>
        <v>M020|10</v>
      </c>
      <c r="R172" s="1" t="str">
        <f t="shared" si="4"/>
        <v>KRISTALLTDSTI</v>
      </c>
      <c r="S172" s="1" t="str">
        <f t="shared" si="5"/>
        <v>M020|46096|3000|</v>
      </c>
      <c r="T172" s="1">
        <f>IF($E172="",0,SUMPRODUCT((AY_SONU!$O$7:$O$42="Evet")*(AY_SONU!$B$7:$B$42=DATE(YEAR($E172),MONTH($E172),1))))</f>
        <v>0</v>
      </c>
      <c r="U172" s="1" t="str">
        <f>IF(OR($G172="",$H172="Mahsup"),"",$G172&amp;"|"&amp;COUNTIFS($G$7:$G172,$G172,$H$7:$H172,"&lt;&gt;Mahsup"))</f>
        <v>MERKEZ KASA|120</v>
      </c>
    </row>
    <row r="173" spans="1:21" ht="18" customHeight="1" x14ac:dyDescent="0.3">
      <c r="A173" s="2"/>
      <c r="B173" s="65" t="str">
        <f>IF($D173="","","T"&amp;TEXT(ROW()-6,"00000"))</f>
        <v>T00167</v>
      </c>
      <c r="C173" s="65" t="str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>M054</v>
      </c>
      <c r="D173" s="61" t="s">
        <v>674</v>
      </c>
      <c r="E173" s="66">
        <v>46096</v>
      </c>
      <c r="F173" s="67">
        <v>4000</v>
      </c>
      <c r="G173" s="60" t="s">
        <v>717</v>
      </c>
      <c r="H173" s="60" t="s">
        <v>572</v>
      </c>
      <c r="I173" s="61"/>
      <c r="J173" s="61" t="s">
        <v>720</v>
      </c>
      <c r="K173" s="61"/>
      <c r="L173" s="73">
        <f>IF($E173="","",DATE(YEAR($E173),MONTH($E173),1))</f>
        <v>46082</v>
      </c>
      <c r="M173" s="65" t="str">
        <f ca="1">IF($D173="","",IF($C173="TANIMSIZ MÜŞTERİ","HATA",IF(OR($E173="",$F173&lt;=0,$G173=""),"EKSİK",IF($E173&gt;TODAY(),"İLERİ TARİH",IF(COUNTIF($S$7:$S$2503,$S173)&gt;1,"MÜKERRER?",IF($T173&gt;0,"KAPALI DÖNEM","UYGUN"))))))</f>
        <v>UYGUN</v>
      </c>
      <c r="N173" s="74" t="str">
        <f>IF($C173="","",IF($C173="TANIMSIZ MÜŞTERİ","—",INDEX(MUSTERILER!$C$7:$C$156,MATCH($C173,MUSTERILER!$B$7:$B$156,0))))</f>
        <v>YALIKENT LTD.ŞTİ.</v>
      </c>
      <c r="O173" s="2"/>
      <c r="P173" s="2"/>
      <c r="Q173" s="1" t="str">
        <f>IF($D173="","",$C173&amp;"|"&amp;COUNTIFS($C$7:$C173,$C173))</f>
        <v>M054|2</v>
      </c>
      <c r="R173" s="1" t="str">
        <f t="shared" si="4"/>
        <v>YALIKENTLTDSTI</v>
      </c>
      <c r="S173" s="1" t="str">
        <f t="shared" si="5"/>
        <v>M054|46096|4000|</v>
      </c>
      <c r="T173" s="1">
        <f>IF($E173="",0,SUMPRODUCT((AY_SONU!$O$7:$O$42="Evet")*(AY_SONU!$B$7:$B$42=DATE(YEAR($E173),MONTH($E173),1))))</f>
        <v>0</v>
      </c>
      <c r="U173" s="1" t="str">
        <f>IF(OR($G173="",$H173="Mahsup"),"",$G173&amp;"|"&amp;COUNTIFS($G$7:$G173,$G173,$H$7:$H173,"&lt;&gt;Mahsup"))</f>
        <v>MERKEZ KASA|121</v>
      </c>
    </row>
    <row r="174" spans="1:21" ht="18" customHeight="1" x14ac:dyDescent="0.3">
      <c r="A174" s="2"/>
      <c r="B174" s="65" t="str">
        <f>IF($D174="","","T"&amp;TEXT(ROW()-6,"00000"))</f>
        <v>T00168</v>
      </c>
      <c r="C174" s="65" t="str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>M055</v>
      </c>
      <c r="D174" s="61" t="s">
        <v>660</v>
      </c>
      <c r="E174" s="66">
        <v>46098</v>
      </c>
      <c r="F174" s="67">
        <v>4000</v>
      </c>
      <c r="G174" s="60" t="s">
        <v>717</v>
      </c>
      <c r="H174" s="60" t="s">
        <v>572</v>
      </c>
      <c r="I174" s="61"/>
      <c r="J174" s="61" t="s">
        <v>720</v>
      </c>
      <c r="K174" s="61"/>
      <c r="L174" s="73">
        <f>IF($E174="","",DATE(YEAR($E174),MONTH($E174),1))</f>
        <v>46082</v>
      </c>
      <c r="M174" s="65" t="str">
        <f ca="1">IF($D174="","",IF($C174="TANIMSIZ MÜŞTERİ","HATA",IF(OR($E174="",$F174&lt;=0,$G174=""),"EKSİK",IF($E174&gt;TODAY(),"İLERİ TARİH",IF(COUNTIF($S$7:$S$2503,$S174)&gt;1,"MÜKERRER?",IF($T174&gt;0,"KAPALI DÖNEM","UYGUN"))))))</f>
        <v>UYGUN</v>
      </c>
      <c r="N174" s="74" t="str">
        <f>IF($C174="","",IF($C174="TANIMSIZ MÜŞTERİ","—",INDEX(MUSTERILER!$C$7:$C$156,MATCH($C174,MUSTERILER!$B$7:$B$156,0))))</f>
        <v>SEMRA GÜMÜŞ</v>
      </c>
      <c r="O174" s="2"/>
      <c r="P174" s="2"/>
      <c r="Q174" s="1" t="str">
        <f>IF($D174="","",$C174&amp;"|"&amp;COUNTIFS($C$7:$C174,$C174))</f>
        <v>M055|1</v>
      </c>
      <c r="R174" s="1" t="str">
        <f t="shared" si="4"/>
        <v>SEMRAGUMUS</v>
      </c>
      <c r="S174" s="1" t="str">
        <f t="shared" si="5"/>
        <v>M055|46098|4000|</v>
      </c>
      <c r="T174" s="1">
        <f>IF($E174="",0,SUMPRODUCT((AY_SONU!$O$7:$O$42="Evet")*(AY_SONU!$B$7:$B$42=DATE(YEAR($E174),MONTH($E174),1))))</f>
        <v>0</v>
      </c>
      <c r="U174" s="1" t="str">
        <f>IF(OR($G174="",$H174="Mahsup"),"",$G174&amp;"|"&amp;COUNTIFS($G$7:$G174,$G174,$H$7:$H174,"&lt;&gt;Mahsup"))</f>
        <v>MERKEZ KASA|122</v>
      </c>
    </row>
    <row r="175" spans="1:21" ht="18" customHeight="1" x14ac:dyDescent="0.3">
      <c r="A175" s="2"/>
      <c r="B175" s="65" t="str">
        <f>IF($D175="","","T"&amp;TEXT(ROW()-6,"00000"))</f>
        <v>T00169</v>
      </c>
      <c r="C175" s="65" t="str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>M055</v>
      </c>
      <c r="D175" s="61" t="s">
        <v>660</v>
      </c>
      <c r="E175" s="66">
        <v>46099</v>
      </c>
      <c r="F175" s="67">
        <v>4000</v>
      </c>
      <c r="G175" s="60" t="s">
        <v>717</v>
      </c>
      <c r="H175" s="60" t="s">
        <v>572</v>
      </c>
      <c r="I175" s="61"/>
      <c r="J175" s="61" t="s">
        <v>720</v>
      </c>
      <c r="K175" s="61"/>
      <c r="L175" s="73">
        <f>IF($E175="","",DATE(YEAR($E175),MONTH($E175),1))</f>
        <v>46082</v>
      </c>
      <c r="M175" s="65" t="str">
        <f ca="1">IF($D175="","",IF($C175="TANIMSIZ MÜŞTERİ","HATA",IF(OR($E175="",$F175&lt;=0,$G175=""),"EKSİK",IF($E175&gt;TODAY(),"İLERİ TARİH",IF(COUNTIF($S$7:$S$2503,$S175)&gt;1,"MÜKERRER?",IF($T175&gt;0,"KAPALI DÖNEM","UYGUN"))))))</f>
        <v>UYGUN</v>
      </c>
      <c r="N175" s="74" t="str">
        <f>IF($C175="","",IF($C175="TANIMSIZ MÜŞTERİ","—",INDEX(MUSTERILER!$C$7:$C$156,MATCH($C175,MUSTERILER!$B$7:$B$156,0))))</f>
        <v>SEMRA GÜMÜŞ</v>
      </c>
      <c r="O175" s="2"/>
      <c r="P175" s="2"/>
      <c r="Q175" s="1" t="str">
        <f>IF($D175="","",$C175&amp;"|"&amp;COUNTIFS($C$7:$C175,$C175))</f>
        <v>M055|2</v>
      </c>
      <c r="R175" s="1" t="str">
        <f t="shared" si="4"/>
        <v>SEMRAGUMUS</v>
      </c>
      <c r="S175" s="1" t="str">
        <f t="shared" si="5"/>
        <v>M055|46099|4000|</v>
      </c>
      <c r="T175" s="1">
        <f>IF($E175="",0,SUMPRODUCT((AY_SONU!$O$7:$O$42="Evet")*(AY_SONU!$B$7:$B$42=DATE(YEAR($E175),MONTH($E175),1))))</f>
        <v>0</v>
      </c>
      <c r="U175" s="1" t="str">
        <f>IF(OR($G175="",$H175="Mahsup"),"",$G175&amp;"|"&amp;COUNTIFS($G$7:$G175,$G175,$H$7:$H175,"&lt;&gt;Mahsup"))</f>
        <v>MERKEZ KASA|123</v>
      </c>
    </row>
    <row r="176" spans="1:21" ht="18" customHeight="1" x14ac:dyDescent="0.3">
      <c r="A176" s="2"/>
      <c r="B176" s="65" t="str">
        <f>IF($D176="","","T"&amp;TEXT(ROW()-6,"00000"))</f>
        <v>T00170</v>
      </c>
      <c r="C176" s="65" t="str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>M051</v>
      </c>
      <c r="D176" s="61" t="s">
        <v>668</v>
      </c>
      <c r="E176" s="66">
        <v>46099</v>
      </c>
      <c r="F176" s="67">
        <v>3000</v>
      </c>
      <c r="G176" s="60" t="s">
        <v>717</v>
      </c>
      <c r="H176" s="60" t="s">
        <v>572</v>
      </c>
      <c r="I176" s="61"/>
      <c r="J176" s="61" t="s">
        <v>720</v>
      </c>
      <c r="K176" s="61"/>
      <c r="L176" s="73">
        <f>IF($E176="","",DATE(YEAR($E176),MONTH($E176),1))</f>
        <v>46082</v>
      </c>
      <c r="M176" s="65" t="str">
        <f ca="1">IF($D176="","",IF($C176="TANIMSIZ MÜŞTERİ","HATA",IF(OR($E176="",$F176&lt;=0,$G176=""),"EKSİK",IF($E176&gt;TODAY(),"İLERİ TARİH",IF(COUNTIF($S$7:$S$2503,$S176)&gt;1,"MÜKERRER?",IF($T176&gt;0,"KAPALI DÖNEM","UYGUN"))))))</f>
        <v>UYGUN</v>
      </c>
      <c r="N176" s="74" t="str">
        <f>IF($C176="","",IF($C176="TANIMSIZ MÜŞTERİ","—",INDEX(MUSTERILER!$C$7:$C$156,MATCH($C176,MUSTERILER!$B$7:$B$156,0))))</f>
        <v>UFUK YILMAZ</v>
      </c>
      <c r="O176" s="2"/>
      <c r="P176" s="2"/>
      <c r="Q176" s="1" t="str">
        <f>IF($D176="","",$C176&amp;"|"&amp;COUNTIFS($C$7:$C176,$C176))</f>
        <v>M051|3</v>
      </c>
      <c r="R176" s="1" t="str">
        <f t="shared" si="4"/>
        <v>UFUKYILMAZ</v>
      </c>
      <c r="S176" s="1" t="str">
        <f t="shared" si="5"/>
        <v>M051|46099|3000|</v>
      </c>
      <c r="T176" s="1">
        <f>IF($E176="",0,SUMPRODUCT((AY_SONU!$O$7:$O$42="Evet")*(AY_SONU!$B$7:$B$42=DATE(YEAR($E176),MONTH($E176),1))))</f>
        <v>0</v>
      </c>
      <c r="U176" s="1" t="str">
        <f>IF(OR($G176="",$H176="Mahsup"),"",$G176&amp;"|"&amp;COUNTIFS($G$7:$G176,$G176,$H$7:$H176,"&lt;&gt;Mahsup"))</f>
        <v>MERKEZ KASA|124</v>
      </c>
    </row>
    <row r="177" spans="1:21" ht="18" customHeight="1" x14ac:dyDescent="0.3">
      <c r="A177" s="2"/>
      <c r="B177" s="65" t="str">
        <f>IF($D177="","","T"&amp;TEXT(ROW()-6,"00000"))</f>
        <v>T00171</v>
      </c>
      <c r="C177" s="65" t="str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>M024</v>
      </c>
      <c r="D177" s="61" t="s">
        <v>579</v>
      </c>
      <c r="E177" s="66">
        <v>46100</v>
      </c>
      <c r="F177" s="67">
        <v>3000</v>
      </c>
      <c r="G177" s="60" t="s">
        <v>717</v>
      </c>
      <c r="H177" s="60" t="s">
        <v>572</v>
      </c>
      <c r="I177" s="61"/>
      <c r="J177" s="61" t="s">
        <v>720</v>
      </c>
      <c r="K177" s="61"/>
      <c r="L177" s="73">
        <f>IF($E177="","",DATE(YEAR($E177),MONTH($E177),1))</f>
        <v>46082</v>
      </c>
      <c r="M177" s="65" t="str">
        <f ca="1">IF($D177="","",IF($C177="TANIMSIZ MÜŞTERİ","HATA",IF(OR($E177="",$F177&lt;=0,$G177=""),"EKSİK",IF($E177&gt;TODAY(),"İLERİ TARİH",IF(COUNTIF($S$7:$S$2503,$S177)&gt;1,"MÜKERRER?",IF($T177&gt;0,"KAPALI DÖNEM","UYGUN"))))))</f>
        <v>UYGUN</v>
      </c>
      <c r="N177" s="74" t="str">
        <f>IF($C177="","",IF($C177="TANIMSIZ MÜŞTERİ","—",INDEX(MUSTERILER!$C$7:$C$156,MATCH($C177,MUSTERILER!$B$7:$B$156,0))))</f>
        <v>ARMAN DİK</v>
      </c>
      <c r="O177" s="2"/>
      <c r="P177" s="2"/>
      <c r="Q177" s="1" t="str">
        <f>IF($D177="","",$C177&amp;"|"&amp;COUNTIFS($C$7:$C177,$C177))</f>
        <v>M024|2</v>
      </c>
      <c r="R177" s="1" t="str">
        <f t="shared" si="4"/>
        <v>ARMANDIK</v>
      </c>
      <c r="S177" s="1" t="str">
        <f t="shared" si="5"/>
        <v>M024|46100|3000|</v>
      </c>
      <c r="T177" s="1">
        <f>IF($E177="",0,SUMPRODUCT((AY_SONU!$O$7:$O$42="Evet")*(AY_SONU!$B$7:$B$42=DATE(YEAR($E177),MONTH($E177),1))))</f>
        <v>0</v>
      </c>
      <c r="U177" s="1" t="str">
        <f>IF(OR($G177="",$H177="Mahsup"),"",$G177&amp;"|"&amp;COUNTIFS($G$7:$G177,$G177,$H$7:$H177,"&lt;&gt;Mahsup"))</f>
        <v>MERKEZ KASA|125</v>
      </c>
    </row>
    <row r="178" spans="1:21" ht="18" customHeight="1" x14ac:dyDescent="0.3">
      <c r="A178" s="2"/>
      <c r="B178" s="65" t="str">
        <f>IF($D178="","","T"&amp;TEXT(ROW()-6,"00000"))</f>
        <v>T00172</v>
      </c>
      <c r="C178" s="65" t="str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>M011</v>
      </c>
      <c r="D178" s="61" t="s">
        <v>597</v>
      </c>
      <c r="E178" s="66">
        <v>46102</v>
      </c>
      <c r="F178" s="67">
        <v>1000</v>
      </c>
      <c r="G178" s="60" t="s">
        <v>717</v>
      </c>
      <c r="H178" s="60" t="s">
        <v>572</v>
      </c>
      <c r="I178" s="61"/>
      <c r="J178" s="61" t="s">
        <v>720</v>
      </c>
      <c r="K178" s="61"/>
      <c r="L178" s="73">
        <f>IF($E178="","",DATE(YEAR($E178),MONTH($E178),1))</f>
        <v>46082</v>
      </c>
      <c r="M178" s="65" t="str">
        <f ca="1">IF($D178="","",IF($C178="TANIMSIZ MÜŞTERİ","HATA",IF(OR($E178="",$F178&lt;=0,$G178=""),"EKSİK",IF($E178&gt;TODAY(),"İLERİ TARİH",IF(COUNTIF($S$7:$S$2503,$S178)&gt;1,"MÜKERRER?",IF($T178&gt;0,"KAPALI DÖNEM","UYGUN"))))))</f>
        <v>UYGUN</v>
      </c>
      <c r="N178" s="74" t="str">
        <f>IF($C178="","",IF($C178="TANIMSIZ MÜŞTERİ","—",INDEX(MUSTERILER!$C$7:$C$156,MATCH($C178,MUSTERILER!$B$7:$B$156,0))))</f>
        <v>EĞLENGÖR LTD.ŞTİ.</v>
      </c>
      <c r="O178" s="2"/>
      <c r="P178" s="2"/>
      <c r="Q178" s="1" t="str">
        <f>IF($D178="","",$C178&amp;"|"&amp;COUNTIFS($C$7:$C178,$C178))</f>
        <v>M011|11</v>
      </c>
      <c r="R178" s="1" t="str">
        <f t="shared" si="4"/>
        <v>EGLENGORLTDSTI</v>
      </c>
      <c r="S178" s="1" t="str">
        <f t="shared" si="5"/>
        <v>M011|46102|1000|</v>
      </c>
      <c r="T178" s="1">
        <f>IF($E178="",0,SUMPRODUCT((AY_SONU!$O$7:$O$42="Evet")*(AY_SONU!$B$7:$B$42=DATE(YEAR($E178),MONTH($E178),1))))</f>
        <v>0</v>
      </c>
      <c r="U178" s="1" t="str">
        <f>IF(OR($G178="",$H178="Mahsup"),"",$G178&amp;"|"&amp;COUNTIFS($G$7:$G178,$G178,$H$7:$H178,"&lt;&gt;Mahsup"))</f>
        <v>MERKEZ KASA|126</v>
      </c>
    </row>
    <row r="179" spans="1:21" ht="18" customHeight="1" x14ac:dyDescent="0.3">
      <c r="A179" s="2"/>
      <c r="B179" s="65" t="str">
        <f>IF($D179="","","T"&amp;TEXT(ROW()-6,"00000"))</f>
        <v>T00173</v>
      </c>
      <c r="C179" s="65" t="str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>M017</v>
      </c>
      <c r="D179" s="61" t="s">
        <v>585</v>
      </c>
      <c r="E179" s="66">
        <v>46103</v>
      </c>
      <c r="F179" s="67">
        <v>5000</v>
      </c>
      <c r="G179" s="60" t="s">
        <v>717</v>
      </c>
      <c r="H179" s="60" t="s">
        <v>572</v>
      </c>
      <c r="I179" s="61"/>
      <c r="J179" s="61" t="s">
        <v>720</v>
      </c>
      <c r="K179" s="61"/>
      <c r="L179" s="73">
        <f>IF($E179="","",DATE(YEAR($E179),MONTH($E179),1))</f>
        <v>46082</v>
      </c>
      <c r="M179" s="65" t="str">
        <f ca="1">IF($D179="","",IF($C179="TANIMSIZ MÜŞTERİ","HATA",IF(OR($E179="",$F179&lt;=0,$G179=""),"EKSİK",IF($E179&gt;TODAY(),"İLERİ TARİH",IF(COUNTIF($S$7:$S$2503,$S179)&gt;1,"MÜKERRER?",IF($T179&gt;0,"KAPALI DÖNEM","UYGUN"))))))</f>
        <v>UYGUN</v>
      </c>
      <c r="N179" s="74" t="str">
        <f>IF($C179="","",IF($C179="TANIMSIZ MÜŞTERİ","—",INDEX(MUSTERILER!$C$7:$C$156,MATCH($C179,MUSTERILER!$B$7:$B$156,0))))</f>
        <v>ASM EĞLENCE LTD.ŞTİ.</v>
      </c>
      <c r="O179" s="2"/>
      <c r="P179" s="2"/>
      <c r="Q179" s="1" t="str">
        <f>IF($D179="","",$C179&amp;"|"&amp;COUNTIFS($C$7:$C179,$C179))</f>
        <v>M017|10</v>
      </c>
      <c r="R179" s="1" t="str">
        <f t="shared" si="4"/>
        <v>ASMEGLENCELTDSTI</v>
      </c>
      <c r="S179" s="1" t="str">
        <f t="shared" si="5"/>
        <v>M017|46103|5000|</v>
      </c>
      <c r="T179" s="1">
        <f>IF($E179="",0,SUMPRODUCT((AY_SONU!$O$7:$O$42="Evet")*(AY_SONU!$B$7:$B$42=DATE(YEAR($E179),MONTH($E179),1))))</f>
        <v>0</v>
      </c>
      <c r="U179" s="1" t="str">
        <f>IF(OR($G179="",$H179="Mahsup"),"",$G179&amp;"|"&amp;COUNTIFS($G$7:$G179,$G179,$H$7:$H179,"&lt;&gt;Mahsup"))</f>
        <v>MERKEZ KASA|127</v>
      </c>
    </row>
    <row r="180" spans="1:21" ht="18" customHeight="1" x14ac:dyDescent="0.3">
      <c r="A180" s="2"/>
      <c r="B180" s="65" t="str">
        <f>IF($D180="","","T"&amp;TEXT(ROW()-6,"00000"))</f>
        <v>T00174</v>
      </c>
      <c r="C180" s="65" t="str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>M015</v>
      </c>
      <c r="D180" s="61" t="s">
        <v>719</v>
      </c>
      <c r="E180" s="66">
        <v>46103</v>
      </c>
      <c r="F180" s="67">
        <v>3000</v>
      </c>
      <c r="G180" s="60" t="s">
        <v>717</v>
      </c>
      <c r="H180" s="60" t="s">
        <v>572</v>
      </c>
      <c r="I180" s="61"/>
      <c r="J180" s="61" t="s">
        <v>720</v>
      </c>
      <c r="K180" s="61"/>
      <c r="L180" s="73">
        <f>IF($E180="","",DATE(YEAR($E180),MONTH($E180),1))</f>
        <v>46082</v>
      </c>
      <c r="M180" s="65" t="str">
        <f ca="1">IF($D180="","",IF($C180="TANIMSIZ MÜŞTERİ","HATA",IF(OR($E180="",$F180&lt;=0,$G180=""),"EKSİK",IF($E180&gt;TODAY(),"İLERİ TARİH",IF(COUNTIF($S$7:$S$2503,$S180)&gt;1,"MÜKERRER?",IF($T180&gt;0,"KAPALI DÖNEM","UYGUN"))))))</f>
        <v>UYGUN</v>
      </c>
      <c r="N180" s="74" t="str">
        <f>IF($C180="","",IF($C180="TANIMSIZ MÜŞTERİ","—",INDEX(MUSTERILER!$C$7:$C$156,MATCH($C180,MUSTERILER!$B$7:$B$156,0))))</f>
        <v>ÇAYIRALAN LTD.ŞTİ.</v>
      </c>
      <c r="O180" s="2"/>
      <c r="P180" s="2"/>
      <c r="Q180" s="1" t="str">
        <f>IF($D180="","",$C180&amp;"|"&amp;COUNTIFS($C$7:$C180,$C180))</f>
        <v>M015|9</v>
      </c>
      <c r="R180" s="1" t="str">
        <f t="shared" si="4"/>
        <v>CAYIRALANLTDSTI</v>
      </c>
      <c r="S180" s="1" t="str">
        <f t="shared" si="5"/>
        <v>M015|46103|3000|</v>
      </c>
      <c r="T180" s="1">
        <f>IF($E180="",0,SUMPRODUCT((AY_SONU!$O$7:$O$42="Evet")*(AY_SONU!$B$7:$B$42=DATE(YEAR($E180),MONTH($E180),1))))</f>
        <v>0</v>
      </c>
      <c r="U180" s="1" t="str">
        <f>IF(OR($G180="",$H180="Mahsup"),"",$G180&amp;"|"&amp;COUNTIFS($G$7:$G180,$G180,$H$7:$H180,"&lt;&gt;Mahsup"))</f>
        <v>MERKEZ KASA|128</v>
      </c>
    </row>
    <row r="181" spans="1:21" ht="18" customHeight="1" x14ac:dyDescent="0.3">
      <c r="A181" s="2"/>
      <c r="B181" s="65" t="str">
        <f>IF($D181="","","T"&amp;TEXT(ROW()-6,"00000"))</f>
        <v>T00175</v>
      </c>
      <c r="C181" s="65" t="str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>M014</v>
      </c>
      <c r="D181" s="61" t="s">
        <v>731</v>
      </c>
      <c r="E181" s="66">
        <v>46103</v>
      </c>
      <c r="F181" s="67">
        <v>2000</v>
      </c>
      <c r="G181" s="60" t="s">
        <v>717</v>
      </c>
      <c r="H181" s="60" t="s">
        <v>572</v>
      </c>
      <c r="I181" s="61"/>
      <c r="J181" s="61" t="s">
        <v>720</v>
      </c>
      <c r="K181" s="61"/>
      <c r="L181" s="73">
        <f>IF($E181="","",DATE(YEAR($E181),MONTH($E181),1))</f>
        <v>46082</v>
      </c>
      <c r="M181" s="65" t="str">
        <f ca="1">IF($D181="","",IF($C181="TANIMSIZ MÜŞTERİ","HATA",IF(OR($E181="",$F181&lt;=0,$G181=""),"EKSİK",IF($E181&gt;TODAY(),"İLERİ TARİH",IF(COUNTIF($S$7:$S$2503,$S181)&gt;1,"MÜKERRER?",IF($T181&gt;0,"KAPALI DÖNEM","UYGUN"))))))</f>
        <v>UYGUN</v>
      </c>
      <c r="N181" s="74" t="str">
        <f>IF($C181="","",IF($C181="TANIMSIZ MÜŞTERİ","—",INDEX(MUSTERILER!$C$7:$C$156,MATCH($C181,MUSTERILER!$B$7:$B$156,0))))</f>
        <v>FİNAL SİYAH BEYAZ LTD.ŞTİ.</v>
      </c>
      <c r="O181" s="2"/>
      <c r="P181" s="2"/>
      <c r="Q181" s="1" t="str">
        <f>IF($D181="","",$C181&amp;"|"&amp;COUNTIFS($C$7:$C181,$C181))</f>
        <v>M014|10</v>
      </c>
      <c r="R181" s="1" t="str">
        <f t="shared" si="4"/>
        <v>FINALSIYAHBEYAZLTDSTI</v>
      </c>
      <c r="S181" s="1" t="str">
        <f t="shared" si="5"/>
        <v>M014|46103|2000|</v>
      </c>
      <c r="T181" s="1">
        <f>IF($E181="",0,SUMPRODUCT((AY_SONU!$O$7:$O$42="Evet")*(AY_SONU!$B$7:$B$42=DATE(YEAR($E181),MONTH($E181),1))))</f>
        <v>0</v>
      </c>
      <c r="U181" s="1" t="str">
        <f>IF(OR($G181="",$H181="Mahsup"),"",$G181&amp;"|"&amp;COUNTIFS($G$7:$G181,$G181,$H$7:$H181,"&lt;&gt;Mahsup"))</f>
        <v>MERKEZ KASA|129</v>
      </c>
    </row>
    <row r="182" spans="1:21" ht="18" customHeight="1" x14ac:dyDescent="0.3">
      <c r="A182" s="2"/>
      <c r="B182" s="65" t="str">
        <f>IF($D182="","","T"&amp;TEXT(ROW()-6,"00000"))</f>
        <v>T00176</v>
      </c>
      <c r="C182" s="65" t="str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>M012</v>
      </c>
      <c r="D182" s="61" t="s">
        <v>721</v>
      </c>
      <c r="E182" s="66">
        <v>46103</v>
      </c>
      <c r="F182" s="67">
        <v>4000</v>
      </c>
      <c r="G182" s="60" t="s">
        <v>717</v>
      </c>
      <c r="H182" s="60" t="s">
        <v>572</v>
      </c>
      <c r="I182" s="61"/>
      <c r="J182" s="61" t="s">
        <v>720</v>
      </c>
      <c r="K182" s="61"/>
      <c r="L182" s="73">
        <f>IF($E182="","",DATE(YEAR($E182),MONTH($E182),1))</f>
        <v>46082</v>
      </c>
      <c r="M182" s="65" t="str">
        <f ca="1">IF($D182="","",IF($C182="TANIMSIZ MÜŞTERİ","HATA",IF(OR($E182="",$F182&lt;=0,$G182=""),"EKSİK",IF($E182&gt;TODAY(),"İLERİ TARİH",IF(COUNTIF($S$7:$S$2503,$S182)&gt;1,"MÜKERRER?",IF($T182&gt;0,"KAPALI DÖNEM","UYGUN"))))))</f>
        <v>UYGUN</v>
      </c>
      <c r="N182" s="74" t="str">
        <f>IF($C182="","",IF($C182="TANIMSIZ MÜŞTERİ","—",INDEX(MUSTERILER!$C$7:$C$156,MATCH($C182,MUSTERILER!$B$7:$B$156,0))))</f>
        <v>İLDEŞ LTD.ŞTİ.</v>
      </c>
      <c r="O182" s="2"/>
      <c r="P182" s="2"/>
      <c r="Q182" s="1" t="str">
        <f>IF($D182="","",$C182&amp;"|"&amp;COUNTIFS($C$7:$C182,$C182))</f>
        <v>M012|10</v>
      </c>
      <c r="R182" s="1" t="str">
        <f t="shared" si="4"/>
        <v>ILDESLTDSTI</v>
      </c>
      <c r="S182" s="1" t="str">
        <f t="shared" si="5"/>
        <v>M012|46103|4000|</v>
      </c>
      <c r="T182" s="1">
        <f>IF($E182="",0,SUMPRODUCT((AY_SONU!$O$7:$O$42="Evet")*(AY_SONU!$B$7:$B$42=DATE(YEAR($E182),MONTH($E182),1))))</f>
        <v>0</v>
      </c>
      <c r="U182" s="1" t="str">
        <f>IF(OR($G182="",$H182="Mahsup"),"",$G182&amp;"|"&amp;COUNTIFS($G$7:$G182,$G182,$H$7:$H182,"&lt;&gt;Mahsup"))</f>
        <v>MERKEZ KASA|130</v>
      </c>
    </row>
    <row r="183" spans="1:21" ht="18" customHeight="1" x14ac:dyDescent="0.3">
      <c r="A183" s="2"/>
      <c r="B183" s="65" t="str">
        <f>IF($D183="","","T"&amp;TEXT(ROW()-6,"00000"))</f>
        <v>T00177</v>
      </c>
      <c r="C183" s="65" t="str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>M009</v>
      </c>
      <c r="D183" s="61" t="s">
        <v>735</v>
      </c>
      <c r="E183" s="66">
        <v>46103</v>
      </c>
      <c r="F183" s="67">
        <v>2000</v>
      </c>
      <c r="G183" s="60" t="s">
        <v>717</v>
      </c>
      <c r="H183" s="60" t="s">
        <v>572</v>
      </c>
      <c r="I183" s="61"/>
      <c r="J183" s="61" t="s">
        <v>720</v>
      </c>
      <c r="K183" s="61"/>
      <c r="L183" s="73">
        <f>IF($E183="","",DATE(YEAR($E183),MONTH($E183),1))</f>
        <v>46082</v>
      </c>
      <c r="M183" s="65" t="str">
        <f ca="1">IF($D183="","",IF($C183="TANIMSIZ MÜŞTERİ","HATA",IF(OR($E183="",$F183&lt;=0,$G183=""),"EKSİK",IF($E183&gt;TODAY(),"İLERİ TARİH",IF(COUNTIF($S$7:$S$2503,$S183)&gt;1,"MÜKERRER?",IF($T183&gt;0,"KAPALI DÖNEM","UYGUN"))))))</f>
        <v>UYGUN</v>
      </c>
      <c r="N183" s="74" t="str">
        <f>IF($C183="","",IF($C183="TANIMSIZ MÜŞTERİ","—",INDEX(MUSTERILER!$C$7:$C$156,MATCH($C183,MUSTERILER!$B$7:$B$156,0))))</f>
        <v>PAKYILDIZ LTD.ŞTİ.</v>
      </c>
      <c r="O183" s="2"/>
      <c r="P183" s="2"/>
      <c r="Q183" s="1" t="str">
        <f>IF($D183="","",$C183&amp;"|"&amp;COUNTIFS($C$7:$C183,$C183))</f>
        <v>M009|7</v>
      </c>
      <c r="R183" s="1" t="str">
        <f t="shared" si="4"/>
        <v>PAKYILDIZLTDSTI</v>
      </c>
      <c r="S183" s="1" t="str">
        <f t="shared" si="5"/>
        <v>M009|46103|2000|</v>
      </c>
      <c r="T183" s="1">
        <f>IF($E183="",0,SUMPRODUCT((AY_SONU!$O$7:$O$42="Evet")*(AY_SONU!$B$7:$B$42=DATE(YEAR($E183),MONTH($E183),1))))</f>
        <v>0</v>
      </c>
      <c r="U183" s="1" t="str">
        <f>IF(OR($G183="",$H183="Mahsup"),"",$G183&amp;"|"&amp;COUNTIFS($G$7:$G183,$G183,$H$7:$H183,"&lt;&gt;Mahsup"))</f>
        <v>MERKEZ KASA|131</v>
      </c>
    </row>
    <row r="184" spans="1:21" ht="18" customHeight="1" x14ac:dyDescent="0.3">
      <c r="A184" s="2"/>
      <c r="B184" s="65" t="str">
        <f>IF($D184="","","T"&amp;TEXT(ROW()-6,"00000"))</f>
        <v>T00178</v>
      </c>
      <c r="C184" s="65" t="str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>M016</v>
      </c>
      <c r="D184" s="61" t="s">
        <v>736</v>
      </c>
      <c r="E184" s="66">
        <v>46103</v>
      </c>
      <c r="F184" s="67">
        <v>3000</v>
      </c>
      <c r="G184" s="60" t="s">
        <v>717</v>
      </c>
      <c r="H184" s="60" t="s">
        <v>572</v>
      </c>
      <c r="I184" s="61"/>
      <c r="J184" s="61" t="s">
        <v>720</v>
      </c>
      <c r="K184" s="61"/>
      <c r="L184" s="73">
        <f>IF($E184="","",DATE(YEAR($E184),MONTH($E184),1))</f>
        <v>46082</v>
      </c>
      <c r="M184" s="65" t="str">
        <f ca="1">IF($D184="","",IF($C184="TANIMSIZ MÜŞTERİ","HATA",IF(OR($E184="",$F184&lt;=0,$G184=""),"EKSİK",IF($E184&gt;TODAY(),"İLERİ TARİH",IF(COUNTIF($S$7:$S$2503,$S184)&gt;1,"MÜKERRER?",IF($T184&gt;0,"KAPALI DÖNEM","UYGUN"))))))</f>
        <v>UYGUN</v>
      </c>
      <c r="N184" s="74" t="str">
        <f>IF($C184="","",IF($C184="TANIMSIZ MÜŞTERİ","—",INDEX(MUSTERILER!$C$7:$C$156,MATCH($C184,MUSTERILER!$B$7:$B$156,0))))</f>
        <v>RİX ŞOW LTD.ŞTİ.</v>
      </c>
      <c r="O184" s="2"/>
      <c r="P184" s="2"/>
      <c r="Q184" s="1" t="str">
        <f>IF($D184="","",$C184&amp;"|"&amp;COUNTIFS($C$7:$C184,$C184))</f>
        <v>M016|11</v>
      </c>
      <c r="R184" s="1" t="str">
        <f t="shared" si="4"/>
        <v>RIXSOWLTDSTI</v>
      </c>
      <c r="S184" s="1" t="str">
        <f t="shared" si="5"/>
        <v>M016|46103|3000|</v>
      </c>
      <c r="T184" s="1">
        <f>IF($E184="",0,SUMPRODUCT((AY_SONU!$O$7:$O$42="Evet")*(AY_SONU!$B$7:$B$42=DATE(YEAR($E184),MONTH($E184),1))))</f>
        <v>0</v>
      </c>
      <c r="U184" s="1" t="str">
        <f>IF(OR($G184="",$H184="Mahsup"),"",$G184&amp;"|"&amp;COUNTIFS($G$7:$G184,$G184,$H$7:$H184,"&lt;&gt;Mahsup"))</f>
        <v>MERKEZ KASA|132</v>
      </c>
    </row>
    <row r="185" spans="1:21" ht="18" customHeight="1" x14ac:dyDescent="0.3">
      <c r="A185" s="2"/>
      <c r="B185" s="65" t="str">
        <f>IF($D185="","","T"&amp;TEXT(ROW()-6,"00000"))</f>
        <v>T00179</v>
      </c>
      <c r="C185" s="65" t="str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>M005</v>
      </c>
      <c r="D185" s="61" t="s">
        <v>722</v>
      </c>
      <c r="E185" s="66">
        <v>46103</v>
      </c>
      <c r="F185" s="67">
        <v>1750</v>
      </c>
      <c r="G185" s="60" t="s">
        <v>717</v>
      </c>
      <c r="H185" s="60" t="s">
        <v>572</v>
      </c>
      <c r="I185" s="61"/>
      <c r="J185" s="61" t="s">
        <v>720</v>
      </c>
      <c r="K185" s="61"/>
      <c r="L185" s="73">
        <f>IF($E185="","",DATE(YEAR($E185),MONTH($E185),1))</f>
        <v>46082</v>
      </c>
      <c r="M185" s="65" t="str">
        <f ca="1">IF($D185="","",IF($C185="TANIMSIZ MÜŞTERİ","HATA",IF(OR($E185="",$F185&lt;=0,$G185=""),"EKSİK",IF($E185&gt;TODAY(),"İLERİ TARİH",IF(COUNTIF($S$7:$S$2503,$S185)&gt;1,"MÜKERRER?",IF($T185&gt;0,"KAPALI DÖNEM","UYGUN"))))))</f>
        <v>UYGUN</v>
      </c>
      <c r="N185" s="74" t="str">
        <f>IF($C185="","",IF($C185="TANIMSIZ MÜŞTERİ","—",INDEX(MUSTERILER!$C$7:$C$156,MATCH($C185,MUSTERILER!$B$7:$B$156,0))))</f>
        <v>ZÜMRÜT GRUP LTD.ŞTİ.</v>
      </c>
      <c r="O185" s="2"/>
      <c r="P185" s="2"/>
      <c r="Q185" s="1" t="str">
        <f>IF($D185="","",$C185&amp;"|"&amp;COUNTIFS($C$7:$C185,$C185))</f>
        <v>M005|11</v>
      </c>
      <c r="R185" s="1" t="str">
        <f t="shared" si="4"/>
        <v>ZUMRUTGRUPLTDSTI</v>
      </c>
      <c r="S185" s="1" t="str">
        <f t="shared" si="5"/>
        <v>M005|46103|1750|</v>
      </c>
      <c r="T185" s="1">
        <f>IF($E185="",0,SUMPRODUCT((AY_SONU!$O$7:$O$42="Evet")*(AY_SONU!$B$7:$B$42=DATE(YEAR($E185),MONTH($E185),1))))</f>
        <v>0</v>
      </c>
      <c r="U185" s="1" t="str">
        <f>IF(OR($G185="",$H185="Mahsup"),"",$G185&amp;"|"&amp;COUNTIFS($G$7:$G185,$G185,$H$7:$H185,"&lt;&gt;Mahsup"))</f>
        <v>MERKEZ KASA|133</v>
      </c>
    </row>
    <row r="186" spans="1:21" ht="18" customHeight="1" x14ac:dyDescent="0.3">
      <c r="A186" s="2"/>
      <c r="B186" s="65" t="str">
        <f>IF($D186="","","T"&amp;TEXT(ROW()-6,"00000"))</f>
        <v>T00180</v>
      </c>
      <c r="C186" s="65" t="str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>M018</v>
      </c>
      <c r="D186" s="61" t="s">
        <v>593</v>
      </c>
      <c r="E186" s="66">
        <v>46103</v>
      </c>
      <c r="F186" s="67">
        <v>2500</v>
      </c>
      <c r="G186" s="60" t="s">
        <v>717</v>
      </c>
      <c r="H186" s="60" t="s">
        <v>572</v>
      </c>
      <c r="I186" s="61"/>
      <c r="J186" s="61" t="s">
        <v>720</v>
      </c>
      <c r="K186" s="61"/>
      <c r="L186" s="73">
        <f>IF($E186="","",DATE(YEAR($E186),MONTH($E186),1))</f>
        <v>46082</v>
      </c>
      <c r="M186" s="65" t="str">
        <f ca="1">IF($D186="","",IF($C186="TANIMSIZ MÜŞTERİ","HATA",IF(OR($E186="",$F186&lt;=0,$G186=""),"EKSİK",IF($E186&gt;TODAY(),"İLERİ TARİH",IF(COUNTIF($S$7:$S$2503,$S186)&gt;1,"MÜKERRER?",IF($T186&gt;0,"KAPALI DÖNEM","UYGUN"))))))</f>
        <v>UYGUN</v>
      </c>
      <c r="N186" s="74" t="str">
        <f>IF($C186="","",IF($C186="TANIMSIZ MÜŞTERİ","—",INDEX(MUSTERILER!$C$7:$C$156,MATCH($C186,MUSTERILER!$B$7:$B$156,0))))</f>
        <v>ÇINARHAN LTD.ŞTİ.</v>
      </c>
      <c r="O186" s="2"/>
      <c r="P186" s="2"/>
      <c r="Q186" s="1" t="str">
        <f>IF($D186="","",$C186&amp;"|"&amp;COUNTIFS($C$7:$C186,$C186))</f>
        <v>M018|6</v>
      </c>
      <c r="R186" s="1" t="str">
        <f t="shared" si="4"/>
        <v>CINARHANLTDSTI</v>
      </c>
      <c r="S186" s="1" t="str">
        <f t="shared" si="5"/>
        <v>M018|46103|2500|</v>
      </c>
      <c r="T186" s="1">
        <f>IF($E186="",0,SUMPRODUCT((AY_SONU!$O$7:$O$42="Evet")*(AY_SONU!$B$7:$B$42=DATE(YEAR($E186),MONTH($E186),1))))</f>
        <v>0</v>
      </c>
      <c r="U186" s="1" t="str">
        <f>IF(OR($G186="",$H186="Mahsup"),"",$G186&amp;"|"&amp;COUNTIFS($G$7:$G186,$G186,$H$7:$H186,"&lt;&gt;Mahsup"))</f>
        <v>MERKEZ KASA|134</v>
      </c>
    </row>
    <row r="187" spans="1:21" ht="18" customHeight="1" x14ac:dyDescent="0.3">
      <c r="A187" s="2"/>
      <c r="B187" s="65" t="str">
        <f>IF($D187="","","T"&amp;TEXT(ROW()-6,"00000"))</f>
        <v>T00181</v>
      </c>
      <c r="C187" s="65" t="str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>M020</v>
      </c>
      <c r="D187" s="61" t="s">
        <v>623</v>
      </c>
      <c r="E187" s="66">
        <v>46103</v>
      </c>
      <c r="F187" s="67">
        <v>3000</v>
      </c>
      <c r="G187" s="60" t="s">
        <v>717</v>
      </c>
      <c r="H187" s="60" t="s">
        <v>572</v>
      </c>
      <c r="I187" s="61"/>
      <c r="J187" s="61" t="s">
        <v>720</v>
      </c>
      <c r="K187" s="61"/>
      <c r="L187" s="73">
        <f>IF($E187="","",DATE(YEAR($E187),MONTH($E187),1))</f>
        <v>46082</v>
      </c>
      <c r="M187" s="65" t="str">
        <f ca="1">IF($D187="","",IF($C187="TANIMSIZ MÜŞTERİ","HATA",IF(OR($E187="",$F187&lt;=0,$G187=""),"EKSİK",IF($E187&gt;TODAY(),"İLERİ TARİH",IF(COUNTIF($S$7:$S$2503,$S187)&gt;1,"MÜKERRER?",IF($T187&gt;0,"KAPALI DÖNEM","UYGUN"))))))</f>
        <v>UYGUN</v>
      </c>
      <c r="N187" s="74" t="str">
        <f>IF($C187="","",IF($C187="TANIMSIZ MÜŞTERİ","—",INDEX(MUSTERILER!$C$7:$C$156,MATCH($C187,MUSTERILER!$B$7:$B$156,0))))</f>
        <v>KRİSTAL LTD.ŞTİ.</v>
      </c>
      <c r="O187" s="2"/>
      <c r="P187" s="2"/>
      <c r="Q187" s="1" t="str">
        <f>IF($D187="","",$C187&amp;"|"&amp;COUNTIFS($C$7:$C187,$C187))</f>
        <v>M020|11</v>
      </c>
      <c r="R187" s="1" t="str">
        <f t="shared" si="4"/>
        <v>KRISTALLTDSTI</v>
      </c>
      <c r="S187" s="1" t="str">
        <f t="shared" si="5"/>
        <v>M020|46103|3000|</v>
      </c>
      <c r="T187" s="1">
        <f>IF($E187="",0,SUMPRODUCT((AY_SONU!$O$7:$O$42="Evet")*(AY_SONU!$B$7:$B$42=DATE(YEAR($E187),MONTH($E187),1))))</f>
        <v>0</v>
      </c>
      <c r="U187" s="1" t="str">
        <f>IF(OR($G187="",$H187="Mahsup"),"",$G187&amp;"|"&amp;COUNTIFS($G$7:$G187,$G187,$H$7:$H187,"&lt;&gt;Mahsup"))</f>
        <v>MERKEZ KASA|135</v>
      </c>
    </row>
    <row r="188" spans="1:21" ht="18" customHeight="1" x14ac:dyDescent="0.3">
      <c r="A188" s="2"/>
      <c r="B188" s="65" t="str">
        <f>IF($D188="","","T"&amp;TEXT(ROW()-6,"00000"))</f>
        <v>T00182</v>
      </c>
      <c r="C188" s="65" t="str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>M047</v>
      </c>
      <c r="D188" s="61" t="s">
        <v>654</v>
      </c>
      <c r="E188" s="66">
        <v>46103</v>
      </c>
      <c r="F188" s="67">
        <v>4000</v>
      </c>
      <c r="G188" s="60" t="s">
        <v>717</v>
      </c>
      <c r="H188" s="60" t="s">
        <v>572</v>
      </c>
      <c r="I188" s="61"/>
      <c r="J188" s="61" t="s">
        <v>720</v>
      </c>
      <c r="K188" s="61"/>
      <c r="L188" s="73">
        <f>IF($E188="","",DATE(YEAR($E188),MONTH($E188),1))</f>
        <v>46082</v>
      </c>
      <c r="M188" s="65" t="str">
        <f ca="1">IF($D188="","",IF($C188="TANIMSIZ MÜŞTERİ","HATA",IF(OR($E188="",$F188&lt;=0,$G188=""),"EKSİK",IF($E188&gt;TODAY(),"İLERİ TARİH",IF(COUNTIF($S$7:$S$2503,$S188)&gt;1,"MÜKERRER?",IF($T188&gt;0,"KAPALI DÖNEM","UYGUN"))))))</f>
        <v>UYGUN</v>
      </c>
      <c r="N188" s="74" t="str">
        <f>IF($C188="","",IF($C188="TANIMSIZ MÜŞTERİ","—",INDEX(MUSTERILER!$C$7:$C$156,MATCH($C188,MUSTERILER!$B$7:$B$156,0))))</f>
        <v>PALAOĞULLARI LTD.ŞTİ.</v>
      </c>
      <c r="O188" s="2"/>
      <c r="P188" s="2"/>
      <c r="Q188" s="1" t="str">
        <f>IF($D188="","",$C188&amp;"|"&amp;COUNTIFS($C$7:$C188,$C188))</f>
        <v>M047|4</v>
      </c>
      <c r="R188" s="1" t="str">
        <f t="shared" si="4"/>
        <v>PALAOGULLARILTDSTI</v>
      </c>
      <c r="S188" s="1" t="str">
        <f t="shared" si="5"/>
        <v>M047|46103|4000|</v>
      </c>
      <c r="T188" s="1">
        <f>IF($E188="",0,SUMPRODUCT((AY_SONU!$O$7:$O$42="Evet")*(AY_SONU!$B$7:$B$42=DATE(YEAR($E188),MONTH($E188),1))))</f>
        <v>0</v>
      </c>
      <c r="U188" s="1" t="str">
        <f>IF(OR($G188="",$H188="Mahsup"),"",$G188&amp;"|"&amp;COUNTIFS($G$7:$G188,$G188,$H$7:$H188,"&lt;&gt;Mahsup"))</f>
        <v>MERKEZ KASA|136</v>
      </c>
    </row>
    <row r="189" spans="1:21" ht="18" customHeight="1" x14ac:dyDescent="0.3">
      <c r="A189" s="2"/>
      <c r="B189" s="65" t="str">
        <f>IF($D189="","","T"&amp;TEXT(ROW()-6,"00000"))</f>
        <v>T00183</v>
      </c>
      <c r="C189" s="65" t="str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>M013</v>
      </c>
      <c r="D189" s="61" t="s">
        <v>734</v>
      </c>
      <c r="E189" s="66">
        <v>46107</v>
      </c>
      <c r="F189" s="67">
        <v>6000</v>
      </c>
      <c r="G189" s="60" t="s">
        <v>723</v>
      </c>
      <c r="H189" s="60" t="s">
        <v>572</v>
      </c>
      <c r="I189" s="61"/>
      <c r="J189" s="61" t="s">
        <v>724</v>
      </c>
      <c r="K189" s="61"/>
      <c r="L189" s="73">
        <f>IF($E189="","",DATE(YEAR($E189),MONTH($E189),1))</f>
        <v>46082</v>
      </c>
      <c r="M189" s="65" t="str">
        <f ca="1">IF($D189="","",IF($C189="TANIMSIZ MÜŞTERİ","HATA",IF(OR($E189="",$F189&lt;=0,$G189=""),"EKSİK",IF($E189&gt;TODAY(),"İLERİ TARİH",IF(COUNTIF($S$7:$S$2503,$S189)&gt;1,"MÜKERRER?",IF($T189&gt;0,"KAPALI DÖNEM","UYGUN"))))))</f>
        <v>UYGUN</v>
      </c>
      <c r="N189" s="74" t="str">
        <f>IF($C189="","",IF($C189="TANIMSIZ MÜŞTERİ","—",INDEX(MUSTERILER!$C$7:$C$156,MATCH($C189,MUSTERILER!$B$7:$B$156,0))))</f>
        <v>NAZ 1 GIDA LTD.ŞTİ.</v>
      </c>
      <c r="O189" s="2"/>
      <c r="P189" s="2"/>
      <c r="Q189" s="1" t="str">
        <f>IF($D189="","",$C189&amp;"|"&amp;COUNTIFS($C$7:$C189,$C189))</f>
        <v>M013|7</v>
      </c>
      <c r="R189" s="1" t="str">
        <f t="shared" si="4"/>
        <v>NAZ1GIDALTDSTI</v>
      </c>
      <c r="S189" s="1" t="str">
        <f t="shared" si="5"/>
        <v>M013|46107|6000|</v>
      </c>
      <c r="T189" s="1">
        <f>IF($E189="",0,SUMPRODUCT((AY_SONU!$O$7:$O$42="Evet")*(AY_SONU!$B$7:$B$42=DATE(YEAR($E189),MONTH($E189),1))))</f>
        <v>0</v>
      </c>
      <c r="U189" s="1" t="str">
        <f>IF(OR($G189="",$H189="Mahsup"),"",$G189&amp;"|"&amp;COUNTIFS($G$7:$G189,$G189,$H$7:$H189,"&lt;&gt;Mahsup"))</f>
        <v>ÖMER KARTAL|47</v>
      </c>
    </row>
    <row r="190" spans="1:21" ht="18" customHeight="1" x14ac:dyDescent="0.3">
      <c r="A190" s="2"/>
      <c r="B190" s="65" t="str">
        <f>IF($D190="","","T"&amp;TEXT(ROW()-6,"00000"))</f>
        <v>T00184</v>
      </c>
      <c r="C190" s="65" t="str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>M025</v>
      </c>
      <c r="D190" s="61" t="s">
        <v>583</v>
      </c>
      <c r="E190" s="66">
        <v>46109</v>
      </c>
      <c r="F190" s="67">
        <v>2000</v>
      </c>
      <c r="G190" s="60" t="s">
        <v>717</v>
      </c>
      <c r="H190" s="60" t="s">
        <v>572</v>
      </c>
      <c r="I190" s="61"/>
      <c r="J190" s="61" t="s">
        <v>720</v>
      </c>
      <c r="K190" s="61"/>
      <c r="L190" s="73">
        <f>IF($E190="","",DATE(YEAR($E190),MONTH($E190),1))</f>
        <v>46082</v>
      </c>
      <c r="M190" s="65" t="str">
        <f ca="1">IF($D190="","",IF($C190="TANIMSIZ MÜŞTERİ","HATA",IF(OR($E190="",$F190&lt;=0,$G190=""),"EKSİK",IF($E190&gt;TODAY(),"İLERİ TARİH",IF(COUNTIF($S$7:$S$2503,$S190)&gt;1,"MÜKERRER?",IF($T190&gt;0,"KAPALI DÖNEM","UYGUN"))))))</f>
        <v>UYGUN</v>
      </c>
      <c r="N190" s="74" t="str">
        <f>IF($C190="","",IF($C190="TANIMSIZ MÜŞTERİ","—",INDEX(MUSTERILER!$C$7:$C$156,MATCH($C190,MUSTERILER!$B$7:$B$156,0))))</f>
        <v>ASIM AÇIKGÖZ</v>
      </c>
      <c r="O190" s="2"/>
      <c r="P190" s="2"/>
      <c r="Q190" s="1" t="str">
        <f>IF($D190="","",$C190&amp;"|"&amp;COUNTIFS($C$7:$C190,$C190))</f>
        <v>M025|10</v>
      </c>
      <c r="R190" s="1" t="str">
        <f t="shared" si="4"/>
        <v>ASIMACIKGOZ</v>
      </c>
      <c r="S190" s="1" t="str">
        <f t="shared" si="5"/>
        <v>M025|46109|2000|</v>
      </c>
      <c r="T190" s="1">
        <f>IF($E190="",0,SUMPRODUCT((AY_SONU!$O$7:$O$42="Evet")*(AY_SONU!$B$7:$B$42=DATE(YEAR($E190),MONTH($E190),1))))</f>
        <v>0</v>
      </c>
      <c r="U190" s="1" t="str">
        <f>IF(OR($G190="",$H190="Mahsup"),"",$G190&amp;"|"&amp;COUNTIFS($G$7:$G190,$G190,$H$7:$H190,"&lt;&gt;Mahsup"))</f>
        <v>MERKEZ KASA|137</v>
      </c>
    </row>
    <row r="191" spans="1:21" ht="18" customHeight="1" x14ac:dyDescent="0.3">
      <c r="A191" s="2"/>
      <c r="B191" s="65" t="str">
        <f>IF($D191="","","T"&amp;TEXT(ROW()-6,"00000"))</f>
        <v>T00185</v>
      </c>
      <c r="C191" s="65" t="str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>M017</v>
      </c>
      <c r="D191" s="61" t="s">
        <v>585</v>
      </c>
      <c r="E191" s="66">
        <v>46109</v>
      </c>
      <c r="F191" s="67">
        <v>2500</v>
      </c>
      <c r="G191" s="60" t="s">
        <v>717</v>
      </c>
      <c r="H191" s="60" t="s">
        <v>572</v>
      </c>
      <c r="I191" s="61"/>
      <c r="J191" s="61" t="s">
        <v>720</v>
      </c>
      <c r="K191" s="61"/>
      <c r="L191" s="73">
        <f>IF($E191="","",DATE(YEAR($E191),MONTH($E191),1))</f>
        <v>46082</v>
      </c>
      <c r="M191" s="65" t="str">
        <f ca="1">IF($D191="","",IF($C191="TANIMSIZ MÜŞTERİ","HATA",IF(OR($E191="",$F191&lt;=0,$G191=""),"EKSİK",IF($E191&gt;TODAY(),"İLERİ TARİH",IF(COUNTIF($S$7:$S$2503,$S191)&gt;1,"MÜKERRER?",IF($T191&gt;0,"KAPALI DÖNEM","UYGUN"))))))</f>
        <v>UYGUN</v>
      </c>
      <c r="N191" s="74" t="str">
        <f>IF($C191="","",IF($C191="TANIMSIZ MÜŞTERİ","—",INDEX(MUSTERILER!$C$7:$C$156,MATCH($C191,MUSTERILER!$B$7:$B$156,0))))</f>
        <v>ASM EĞLENCE LTD.ŞTİ.</v>
      </c>
      <c r="O191" s="2"/>
      <c r="P191" s="2"/>
      <c r="Q191" s="1" t="str">
        <f>IF($D191="","",$C191&amp;"|"&amp;COUNTIFS($C$7:$C191,$C191))</f>
        <v>M017|11</v>
      </c>
      <c r="R191" s="1" t="str">
        <f t="shared" si="4"/>
        <v>ASMEGLENCELTDSTI</v>
      </c>
      <c r="S191" s="1" t="str">
        <f t="shared" si="5"/>
        <v>M017|46109|2500|</v>
      </c>
      <c r="T191" s="1">
        <f>IF($E191="",0,SUMPRODUCT((AY_SONU!$O$7:$O$42="Evet")*(AY_SONU!$B$7:$B$42=DATE(YEAR($E191),MONTH($E191),1))))</f>
        <v>0</v>
      </c>
      <c r="U191" s="1" t="str">
        <f>IF(OR($G191="",$H191="Mahsup"),"",$G191&amp;"|"&amp;COUNTIFS($G$7:$G191,$G191,$H$7:$H191,"&lt;&gt;Mahsup"))</f>
        <v>MERKEZ KASA|138</v>
      </c>
    </row>
    <row r="192" spans="1:21" ht="18" customHeight="1" x14ac:dyDescent="0.3">
      <c r="A192" s="2"/>
      <c r="B192" s="65" t="str">
        <f>IF($D192="","","T"&amp;TEXT(ROW()-6,"00000"))</f>
        <v>T00186</v>
      </c>
      <c r="C192" s="65" t="str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>M015</v>
      </c>
      <c r="D192" s="61" t="s">
        <v>719</v>
      </c>
      <c r="E192" s="66">
        <v>46109</v>
      </c>
      <c r="F192" s="67">
        <v>3000</v>
      </c>
      <c r="G192" s="60" t="s">
        <v>717</v>
      </c>
      <c r="H192" s="60" t="s">
        <v>572</v>
      </c>
      <c r="I192" s="61"/>
      <c r="J192" s="61" t="s">
        <v>720</v>
      </c>
      <c r="K192" s="61"/>
      <c r="L192" s="73">
        <f>IF($E192="","",DATE(YEAR($E192),MONTH($E192),1))</f>
        <v>46082</v>
      </c>
      <c r="M192" s="65" t="str">
        <f ca="1">IF($D192="","",IF($C192="TANIMSIZ MÜŞTERİ","HATA",IF(OR($E192="",$F192&lt;=0,$G192=""),"EKSİK",IF($E192&gt;TODAY(),"İLERİ TARİH",IF(COUNTIF($S$7:$S$2503,$S192)&gt;1,"MÜKERRER?",IF($T192&gt;0,"KAPALI DÖNEM","UYGUN"))))))</f>
        <v>UYGUN</v>
      </c>
      <c r="N192" s="74" t="str">
        <f>IF($C192="","",IF($C192="TANIMSIZ MÜŞTERİ","—",INDEX(MUSTERILER!$C$7:$C$156,MATCH($C192,MUSTERILER!$B$7:$B$156,0))))</f>
        <v>ÇAYIRALAN LTD.ŞTİ.</v>
      </c>
      <c r="O192" s="2"/>
      <c r="P192" s="2"/>
      <c r="Q192" s="1" t="str">
        <f>IF($D192="","",$C192&amp;"|"&amp;COUNTIFS($C$7:$C192,$C192))</f>
        <v>M015|10</v>
      </c>
      <c r="R192" s="1" t="str">
        <f t="shared" si="4"/>
        <v>CAYIRALANLTDSTI</v>
      </c>
      <c r="S192" s="1" t="str">
        <f t="shared" si="5"/>
        <v>M015|46109|3000|</v>
      </c>
      <c r="T192" s="1">
        <f>IF($E192="",0,SUMPRODUCT((AY_SONU!$O$7:$O$42="Evet")*(AY_SONU!$B$7:$B$42=DATE(YEAR($E192),MONTH($E192),1))))</f>
        <v>0</v>
      </c>
      <c r="U192" s="1" t="str">
        <f>IF(OR($G192="",$H192="Mahsup"),"",$G192&amp;"|"&amp;COUNTIFS($G$7:$G192,$G192,$H$7:$H192,"&lt;&gt;Mahsup"))</f>
        <v>MERKEZ KASA|139</v>
      </c>
    </row>
    <row r="193" spans="1:21" ht="18" customHeight="1" x14ac:dyDescent="0.3">
      <c r="A193" s="2"/>
      <c r="B193" s="65" t="str">
        <f>IF($D193="","","T"&amp;TEXT(ROW()-6,"00000"))</f>
        <v>T00187</v>
      </c>
      <c r="C193" s="65" t="str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>M011</v>
      </c>
      <c r="D193" s="61" t="s">
        <v>730</v>
      </c>
      <c r="E193" s="66">
        <v>46109</v>
      </c>
      <c r="F193" s="67">
        <v>3000</v>
      </c>
      <c r="G193" s="60" t="s">
        <v>717</v>
      </c>
      <c r="H193" s="60" t="s">
        <v>572</v>
      </c>
      <c r="I193" s="61"/>
      <c r="J193" s="61" t="s">
        <v>720</v>
      </c>
      <c r="K193" s="61"/>
      <c r="L193" s="73">
        <f>IF($E193="","",DATE(YEAR($E193),MONTH($E193),1))</f>
        <v>46082</v>
      </c>
      <c r="M193" s="65" t="str">
        <f ca="1">IF($D193="","",IF($C193="TANIMSIZ MÜŞTERİ","HATA",IF(OR($E193="",$F193&lt;=0,$G193=""),"EKSİK",IF($E193&gt;TODAY(),"İLERİ TARİH",IF(COUNTIF($S$7:$S$2503,$S193)&gt;1,"MÜKERRER?",IF($T193&gt;0,"KAPALI DÖNEM","UYGUN"))))))</f>
        <v>UYGUN</v>
      </c>
      <c r="N193" s="74" t="str">
        <f>IF($C193="","",IF($C193="TANIMSIZ MÜŞTERİ","—",INDEX(MUSTERILER!$C$7:$C$156,MATCH($C193,MUSTERILER!$B$7:$B$156,0))))</f>
        <v>EĞLENGÖR LTD.ŞTİ.</v>
      </c>
      <c r="O193" s="2"/>
      <c r="P193" s="2"/>
      <c r="Q193" s="1" t="str">
        <f>IF($D193="","",$C193&amp;"|"&amp;COUNTIFS($C$7:$C193,$C193))</f>
        <v>M011|12</v>
      </c>
      <c r="R193" s="1" t="str">
        <f t="shared" si="4"/>
        <v>EGLENGORLTDSTI</v>
      </c>
      <c r="S193" s="1" t="str">
        <f t="shared" si="5"/>
        <v>M011|46109|3000|</v>
      </c>
      <c r="T193" s="1">
        <f>IF($E193="",0,SUMPRODUCT((AY_SONU!$O$7:$O$42="Evet")*(AY_SONU!$B$7:$B$42=DATE(YEAR($E193),MONTH($E193),1))))</f>
        <v>0</v>
      </c>
      <c r="U193" s="1" t="str">
        <f>IF(OR($G193="",$H193="Mahsup"),"",$G193&amp;"|"&amp;COUNTIFS($G$7:$G193,$G193,$H$7:$H193,"&lt;&gt;Mahsup"))</f>
        <v>MERKEZ KASA|140</v>
      </c>
    </row>
    <row r="194" spans="1:21" ht="18" customHeight="1" x14ac:dyDescent="0.3">
      <c r="A194" s="2"/>
      <c r="B194" s="65" t="str">
        <f>IF($D194="","","T"&amp;TEXT(ROW()-6,"00000"))</f>
        <v>T00188</v>
      </c>
      <c r="C194" s="65" t="str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>M014</v>
      </c>
      <c r="D194" s="61" t="s">
        <v>731</v>
      </c>
      <c r="E194" s="66">
        <v>46109</v>
      </c>
      <c r="F194" s="67">
        <v>2000</v>
      </c>
      <c r="G194" s="60" t="s">
        <v>717</v>
      </c>
      <c r="H194" s="60" t="s">
        <v>572</v>
      </c>
      <c r="I194" s="61"/>
      <c r="J194" s="61" t="s">
        <v>720</v>
      </c>
      <c r="K194" s="61"/>
      <c r="L194" s="73">
        <f>IF($E194="","",DATE(YEAR($E194),MONTH($E194),1))</f>
        <v>46082</v>
      </c>
      <c r="M194" s="65" t="str">
        <f ca="1">IF($D194="","",IF($C194="TANIMSIZ MÜŞTERİ","HATA",IF(OR($E194="",$F194&lt;=0,$G194=""),"EKSİK",IF($E194&gt;TODAY(),"İLERİ TARİH",IF(COUNTIF($S$7:$S$2503,$S194)&gt;1,"MÜKERRER?",IF($T194&gt;0,"KAPALI DÖNEM","UYGUN"))))))</f>
        <v>UYGUN</v>
      </c>
      <c r="N194" s="74" t="str">
        <f>IF($C194="","",IF($C194="TANIMSIZ MÜŞTERİ","—",INDEX(MUSTERILER!$C$7:$C$156,MATCH($C194,MUSTERILER!$B$7:$B$156,0))))</f>
        <v>FİNAL SİYAH BEYAZ LTD.ŞTİ.</v>
      </c>
      <c r="O194" s="2"/>
      <c r="P194" s="2"/>
      <c r="Q194" s="1" t="str">
        <f>IF($D194="","",$C194&amp;"|"&amp;COUNTIFS($C$7:$C194,$C194))</f>
        <v>M014|11</v>
      </c>
      <c r="R194" s="1" t="str">
        <f t="shared" si="4"/>
        <v>FINALSIYAHBEYAZLTDSTI</v>
      </c>
      <c r="S194" s="1" t="str">
        <f t="shared" si="5"/>
        <v>M014|46109|2000|</v>
      </c>
      <c r="T194" s="1">
        <f>IF($E194="",0,SUMPRODUCT((AY_SONU!$O$7:$O$42="Evet")*(AY_SONU!$B$7:$B$42=DATE(YEAR($E194),MONTH($E194),1))))</f>
        <v>0</v>
      </c>
      <c r="U194" s="1" t="str">
        <f>IF(OR($G194="",$H194="Mahsup"),"",$G194&amp;"|"&amp;COUNTIFS($G$7:$G194,$G194,$H$7:$H194,"&lt;&gt;Mahsup"))</f>
        <v>MERKEZ KASA|141</v>
      </c>
    </row>
    <row r="195" spans="1:21" ht="18" customHeight="1" x14ac:dyDescent="0.3">
      <c r="A195" s="2"/>
      <c r="B195" s="65" t="str">
        <f>IF($D195="","","T"&amp;TEXT(ROW()-6,"00000"))</f>
        <v>T00189</v>
      </c>
      <c r="C195" s="65" t="str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>M034</v>
      </c>
      <c r="D195" s="61" t="s">
        <v>732</v>
      </c>
      <c r="E195" s="66">
        <v>46109</v>
      </c>
      <c r="F195" s="67">
        <v>4000</v>
      </c>
      <c r="G195" s="60" t="s">
        <v>717</v>
      </c>
      <c r="H195" s="60" t="s">
        <v>572</v>
      </c>
      <c r="I195" s="61"/>
      <c r="J195" s="61" t="s">
        <v>720</v>
      </c>
      <c r="K195" s="61"/>
      <c r="L195" s="73">
        <f>IF($E195="","",DATE(YEAR($E195),MONTH($E195),1))</f>
        <v>46082</v>
      </c>
      <c r="M195" s="65" t="str">
        <f ca="1">IF($D195="","",IF($C195="TANIMSIZ MÜŞTERİ","HATA",IF(OR($E195="",$F195&lt;=0,$G195=""),"EKSİK",IF($E195&gt;TODAY(),"İLERİ TARİH",IF(COUNTIF($S$7:$S$2503,$S195)&gt;1,"MÜKERRER?",IF($T195&gt;0,"KAPALI DÖNEM","UYGUN"))))))</f>
        <v>UYGUN</v>
      </c>
      <c r="N195" s="74" t="str">
        <f>IF($C195="","",IF($C195="TANIMSIZ MÜŞTERİ","—",INDEX(MUSTERILER!$C$7:$C$156,MATCH($C195,MUSTERILER!$B$7:$B$156,0))))</f>
        <v>İBRAHİM MALDAN</v>
      </c>
      <c r="O195" s="2"/>
      <c r="P195" s="2"/>
      <c r="Q195" s="1" t="str">
        <f>IF($D195="","",$C195&amp;"|"&amp;COUNTIFS($C$7:$C195,$C195))</f>
        <v>M034|8</v>
      </c>
      <c r="R195" s="1" t="str">
        <f t="shared" si="4"/>
        <v>IBRAHIMMALDAN</v>
      </c>
      <c r="S195" s="1" t="str">
        <f t="shared" si="5"/>
        <v>M034|46109|4000|</v>
      </c>
      <c r="T195" s="1">
        <f>IF($E195="",0,SUMPRODUCT((AY_SONU!$O$7:$O$42="Evet")*(AY_SONU!$B$7:$B$42=DATE(YEAR($E195),MONTH($E195),1))))</f>
        <v>0</v>
      </c>
      <c r="U195" s="1" t="str">
        <f>IF(OR($G195="",$H195="Mahsup"),"",$G195&amp;"|"&amp;COUNTIFS($G$7:$G195,$G195,$H$7:$H195,"&lt;&gt;Mahsup"))</f>
        <v>MERKEZ KASA|142</v>
      </c>
    </row>
    <row r="196" spans="1:21" ht="18" customHeight="1" x14ac:dyDescent="0.3">
      <c r="A196" s="2"/>
      <c r="B196" s="65" t="str">
        <f>IF($D196="","","T"&amp;TEXT(ROW()-6,"00000"))</f>
        <v>T00190</v>
      </c>
      <c r="C196" s="65" t="str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>M004</v>
      </c>
      <c r="D196" s="61" t="s">
        <v>738</v>
      </c>
      <c r="E196" s="66">
        <v>46109</v>
      </c>
      <c r="F196" s="67">
        <v>5500</v>
      </c>
      <c r="G196" s="60" t="s">
        <v>723</v>
      </c>
      <c r="H196" s="60" t="s">
        <v>572</v>
      </c>
      <c r="I196" s="61"/>
      <c r="J196" s="61" t="s">
        <v>724</v>
      </c>
      <c r="K196" s="61"/>
      <c r="L196" s="73">
        <f>IF($E196="","",DATE(YEAR($E196),MONTH($E196),1))</f>
        <v>46082</v>
      </c>
      <c r="M196" s="65" t="str">
        <f ca="1">IF($D196="","",IF($C196="TANIMSIZ MÜŞTERİ","HATA",IF(OR($E196="",$F196&lt;=0,$G196=""),"EKSİK",IF($E196&gt;TODAY(),"İLERİ TARİH",IF(COUNTIF($S$7:$S$2503,$S196)&gt;1,"MÜKERRER?",IF($T196&gt;0,"KAPALI DÖNEM","UYGUN"))))))</f>
        <v>UYGUN</v>
      </c>
      <c r="N196" s="74" t="str">
        <f>IF($C196="","",IF($C196="TANIMSIZ MÜŞTERİ","—",INDEX(MUSTERILER!$C$7:$C$156,MATCH($C196,MUSTERILER!$B$7:$B$156,0))))</f>
        <v>ZÜMRÜT EĞLENCE LTD.ŞTİ.</v>
      </c>
      <c r="O196" s="2"/>
      <c r="P196" s="2"/>
      <c r="Q196" s="1" t="str">
        <f>IF($D196="","",$C196&amp;"|"&amp;COUNTIFS($C$7:$C196,$C196))</f>
        <v>M004|6</v>
      </c>
      <c r="R196" s="1" t="str">
        <f t="shared" si="4"/>
        <v>ZUMRUTEGLENCELTDSTI</v>
      </c>
      <c r="S196" s="1" t="str">
        <f t="shared" si="5"/>
        <v>M004|46109|5500|</v>
      </c>
      <c r="T196" s="1">
        <f>IF($E196="",0,SUMPRODUCT((AY_SONU!$O$7:$O$42="Evet")*(AY_SONU!$B$7:$B$42=DATE(YEAR($E196),MONTH($E196),1))))</f>
        <v>0</v>
      </c>
      <c r="U196" s="1" t="str">
        <f>IF(OR($G196="",$H196="Mahsup"),"",$G196&amp;"|"&amp;COUNTIFS($G$7:$G196,$G196,$H$7:$H196,"&lt;&gt;Mahsup"))</f>
        <v>ÖMER KARTAL|48</v>
      </c>
    </row>
    <row r="197" spans="1:21" ht="18" customHeight="1" x14ac:dyDescent="0.3">
      <c r="A197" s="2"/>
      <c r="B197" s="65" t="str">
        <f>IF($D197="","","T"&amp;TEXT(ROW()-6,"00000"))</f>
        <v>T00191</v>
      </c>
      <c r="C197" s="65" t="str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>M012</v>
      </c>
      <c r="D197" s="61" t="s">
        <v>721</v>
      </c>
      <c r="E197" s="66">
        <v>46109</v>
      </c>
      <c r="F197" s="67">
        <v>4000</v>
      </c>
      <c r="G197" s="60" t="s">
        <v>717</v>
      </c>
      <c r="H197" s="60" t="s">
        <v>572</v>
      </c>
      <c r="I197" s="61"/>
      <c r="J197" s="61" t="s">
        <v>720</v>
      </c>
      <c r="K197" s="61"/>
      <c r="L197" s="73">
        <f>IF($E197="","",DATE(YEAR($E197),MONTH($E197),1))</f>
        <v>46082</v>
      </c>
      <c r="M197" s="65" t="str">
        <f ca="1">IF($D197="","",IF($C197="TANIMSIZ MÜŞTERİ","HATA",IF(OR($E197="",$F197&lt;=0,$G197=""),"EKSİK",IF($E197&gt;TODAY(),"İLERİ TARİH",IF(COUNTIF($S$7:$S$2503,$S197)&gt;1,"MÜKERRER?",IF($T197&gt;0,"KAPALI DÖNEM","UYGUN"))))))</f>
        <v>UYGUN</v>
      </c>
      <c r="N197" s="74" t="str">
        <f>IF($C197="","",IF($C197="TANIMSIZ MÜŞTERİ","—",INDEX(MUSTERILER!$C$7:$C$156,MATCH($C197,MUSTERILER!$B$7:$B$156,0))))</f>
        <v>İLDEŞ LTD.ŞTİ.</v>
      </c>
      <c r="O197" s="2"/>
      <c r="P197" s="2"/>
      <c r="Q197" s="1" t="str">
        <f>IF($D197="","",$C197&amp;"|"&amp;COUNTIFS($C$7:$C197,$C197))</f>
        <v>M012|11</v>
      </c>
      <c r="R197" s="1" t="str">
        <f t="shared" si="4"/>
        <v>ILDESLTDSTI</v>
      </c>
      <c r="S197" s="1" t="str">
        <f t="shared" si="5"/>
        <v>M012|46109|4000|</v>
      </c>
      <c r="T197" s="1">
        <f>IF($E197="",0,SUMPRODUCT((AY_SONU!$O$7:$O$42="Evet")*(AY_SONU!$B$7:$B$42=DATE(YEAR($E197),MONTH($E197),1))))</f>
        <v>0</v>
      </c>
      <c r="U197" s="1" t="str">
        <f>IF(OR($G197="",$H197="Mahsup"),"",$G197&amp;"|"&amp;COUNTIFS($G$7:$G197,$G197,$H$7:$H197,"&lt;&gt;Mahsup"))</f>
        <v>MERKEZ KASA|143</v>
      </c>
    </row>
    <row r="198" spans="1:21" ht="18" customHeight="1" x14ac:dyDescent="0.3">
      <c r="A198" s="2"/>
      <c r="B198" s="65" t="str">
        <f>IF($D198="","","T"&amp;TEXT(ROW()-6,"00000"))</f>
        <v>T00192</v>
      </c>
      <c r="C198" s="65" t="str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>M007</v>
      </c>
      <c r="D198" s="61" t="s">
        <v>733</v>
      </c>
      <c r="E198" s="66">
        <v>46109</v>
      </c>
      <c r="F198" s="67">
        <v>10500</v>
      </c>
      <c r="G198" s="60" t="s">
        <v>717</v>
      </c>
      <c r="H198" s="60" t="s">
        <v>572</v>
      </c>
      <c r="I198" s="61"/>
      <c r="J198" s="61" t="s">
        <v>720</v>
      </c>
      <c r="K198" s="61"/>
      <c r="L198" s="73">
        <f>IF($E198="","",DATE(YEAR($E198),MONTH($E198),1))</f>
        <v>46082</v>
      </c>
      <c r="M198" s="65" t="str">
        <f ca="1">IF($D198="","",IF($C198="TANIMSIZ MÜŞTERİ","HATA",IF(OR($E198="",$F198&lt;=0,$G198=""),"EKSİK",IF($E198&gt;TODAY(),"İLERİ TARİH",IF(COUNTIF($S$7:$S$2503,$S198)&gt;1,"MÜKERRER?",IF($T198&gt;0,"KAPALI DÖNEM","UYGUN"))))))</f>
        <v>UYGUN</v>
      </c>
      <c r="N198" s="74" t="str">
        <f>IF($C198="","",IF($C198="TANIMSIZ MÜŞTERİ","—",INDEX(MUSTERILER!$C$7:$C$156,MATCH($C198,MUSTERILER!$B$7:$B$156,0))))</f>
        <v>MONAMOUR LTD.ŞTİ.</v>
      </c>
      <c r="O198" s="2"/>
      <c r="P198" s="2"/>
      <c r="Q198" s="1" t="str">
        <f>IF($D198="","",$C198&amp;"|"&amp;COUNTIFS($C$7:$C198,$C198))</f>
        <v>M007|9</v>
      </c>
      <c r="R198" s="1" t="str">
        <f t="shared" si="4"/>
        <v>MONAMOURLTDSTI</v>
      </c>
      <c r="S198" s="1" t="str">
        <f t="shared" si="5"/>
        <v>M007|46109|10500|</v>
      </c>
      <c r="T198" s="1">
        <f>IF($E198="",0,SUMPRODUCT((AY_SONU!$O$7:$O$42="Evet")*(AY_SONU!$B$7:$B$42=DATE(YEAR($E198),MONTH($E198),1))))</f>
        <v>0</v>
      </c>
      <c r="U198" s="1" t="str">
        <f>IF(OR($G198="",$H198="Mahsup"),"",$G198&amp;"|"&amp;COUNTIFS($G$7:$G198,$G198,$H$7:$H198,"&lt;&gt;Mahsup"))</f>
        <v>MERKEZ KASA|144</v>
      </c>
    </row>
    <row r="199" spans="1:21" ht="18" customHeight="1" x14ac:dyDescent="0.3">
      <c r="A199" s="2"/>
      <c r="B199" s="65" t="str">
        <f>IF($D199="","","T"&amp;TEXT(ROW()-6,"00000"))</f>
        <v>T00193</v>
      </c>
      <c r="C199" s="65" t="str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>M013</v>
      </c>
      <c r="D199" s="61" t="s">
        <v>734</v>
      </c>
      <c r="E199" s="66">
        <v>46109</v>
      </c>
      <c r="F199" s="67">
        <v>2000</v>
      </c>
      <c r="G199" s="60" t="s">
        <v>717</v>
      </c>
      <c r="H199" s="60" t="s">
        <v>572</v>
      </c>
      <c r="I199" s="61"/>
      <c r="J199" s="61" t="s">
        <v>720</v>
      </c>
      <c r="K199" s="61"/>
      <c r="L199" s="73">
        <f>IF($E199="","",DATE(YEAR($E199),MONTH($E199),1))</f>
        <v>46082</v>
      </c>
      <c r="M199" s="65" t="str">
        <f ca="1">IF($D199="","",IF($C199="TANIMSIZ MÜŞTERİ","HATA",IF(OR($E199="",$F199&lt;=0,$G199=""),"EKSİK",IF($E199&gt;TODAY(),"İLERİ TARİH",IF(COUNTIF($S$7:$S$2503,$S199)&gt;1,"MÜKERRER?",IF($T199&gt;0,"KAPALI DÖNEM","UYGUN"))))))</f>
        <v>UYGUN</v>
      </c>
      <c r="N199" s="74" t="str">
        <f>IF($C199="","",IF($C199="TANIMSIZ MÜŞTERİ","—",INDEX(MUSTERILER!$C$7:$C$156,MATCH($C199,MUSTERILER!$B$7:$B$156,0))))</f>
        <v>NAZ 1 GIDA LTD.ŞTİ.</v>
      </c>
      <c r="O199" s="2"/>
      <c r="P199" s="2"/>
      <c r="Q199" s="1" t="str">
        <f>IF($D199="","",$C199&amp;"|"&amp;COUNTIFS($C$7:$C199,$C199))</f>
        <v>M013|8</v>
      </c>
      <c r="R199" s="1" t="str">
        <f t="shared" ref="R199:R262" si="6"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>NAZ1GIDALTDSTI</v>
      </c>
      <c r="S199" s="1" t="str">
        <f t="shared" ref="S199:S262" si="7">IF($D199="","",$C199&amp;"|"&amp;TEXT($E199,"0")&amp;"|"&amp;TEXT($F199,"0")&amp;"|"&amp;$I199)</f>
        <v>M013|46109|2000|</v>
      </c>
      <c r="T199" s="1">
        <f>IF($E199="",0,SUMPRODUCT((AY_SONU!$O$7:$O$42="Evet")*(AY_SONU!$B$7:$B$42=DATE(YEAR($E199),MONTH($E199),1))))</f>
        <v>0</v>
      </c>
      <c r="U199" s="1" t="str">
        <f>IF(OR($G199="",$H199="Mahsup"),"",$G199&amp;"|"&amp;COUNTIFS($G$7:$G199,$G199,$H$7:$H199,"&lt;&gt;Mahsup"))</f>
        <v>MERKEZ KASA|145</v>
      </c>
    </row>
    <row r="200" spans="1:21" ht="18" customHeight="1" x14ac:dyDescent="0.3">
      <c r="A200" s="2"/>
      <c r="B200" s="65" t="str">
        <f>IF($D200="","","T"&amp;TEXT(ROW()-6,"00000"))</f>
        <v>T00194</v>
      </c>
      <c r="C200" s="65" t="str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>M016</v>
      </c>
      <c r="D200" s="61" t="s">
        <v>736</v>
      </c>
      <c r="E200" s="66">
        <v>46109</v>
      </c>
      <c r="F200" s="67">
        <v>3000</v>
      </c>
      <c r="G200" s="60" t="s">
        <v>717</v>
      </c>
      <c r="H200" s="60" t="s">
        <v>572</v>
      </c>
      <c r="I200" s="61"/>
      <c r="J200" s="61" t="s">
        <v>720</v>
      </c>
      <c r="K200" s="61"/>
      <c r="L200" s="73">
        <f>IF($E200="","",DATE(YEAR($E200),MONTH($E200),1))</f>
        <v>46082</v>
      </c>
      <c r="M200" s="65" t="str">
        <f ca="1">IF($D200="","",IF($C200="TANIMSIZ MÜŞTERİ","HATA",IF(OR($E200="",$F200&lt;=0,$G200=""),"EKSİK",IF($E200&gt;TODAY(),"İLERİ TARİH",IF(COUNTIF($S$7:$S$2503,$S200)&gt;1,"MÜKERRER?",IF($T200&gt;0,"KAPALI DÖNEM","UYGUN"))))))</f>
        <v>UYGUN</v>
      </c>
      <c r="N200" s="74" t="str">
        <f>IF($C200="","",IF($C200="TANIMSIZ MÜŞTERİ","—",INDEX(MUSTERILER!$C$7:$C$156,MATCH($C200,MUSTERILER!$B$7:$B$156,0))))</f>
        <v>RİX ŞOW LTD.ŞTİ.</v>
      </c>
      <c r="O200" s="2"/>
      <c r="P200" s="2"/>
      <c r="Q200" s="1" t="str">
        <f>IF($D200="","",$C200&amp;"|"&amp;COUNTIFS($C$7:$C200,$C200))</f>
        <v>M016|12</v>
      </c>
      <c r="R200" s="1" t="str">
        <f t="shared" si="6"/>
        <v>RIXSOWLTDSTI</v>
      </c>
      <c r="S200" s="1" t="str">
        <f t="shared" si="7"/>
        <v>M016|46109|3000|</v>
      </c>
      <c r="T200" s="1">
        <f>IF($E200="",0,SUMPRODUCT((AY_SONU!$O$7:$O$42="Evet")*(AY_SONU!$B$7:$B$42=DATE(YEAR($E200),MONTH($E200),1))))</f>
        <v>0</v>
      </c>
      <c r="U200" s="1" t="str">
        <f>IF(OR($G200="",$H200="Mahsup"),"",$G200&amp;"|"&amp;COUNTIFS($G$7:$G200,$G200,$H$7:$H200,"&lt;&gt;Mahsup"))</f>
        <v>MERKEZ KASA|146</v>
      </c>
    </row>
    <row r="201" spans="1:21" ht="18" customHeight="1" x14ac:dyDescent="0.3">
      <c r="A201" s="2"/>
      <c r="B201" s="65" t="str">
        <f>IF($D201="","","T"&amp;TEXT(ROW()-6,"00000"))</f>
        <v>T00195</v>
      </c>
      <c r="C201" s="65" t="str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>M004</v>
      </c>
      <c r="D201" s="61" t="s">
        <v>738</v>
      </c>
      <c r="E201" s="66">
        <v>46109</v>
      </c>
      <c r="F201" s="67">
        <v>3000</v>
      </c>
      <c r="G201" s="60" t="s">
        <v>717</v>
      </c>
      <c r="H201" s="60" t="s">
        <v>572</v>
      </c>
      <c r="I201" s="61"/>
      <c r="J201" s="61" t="s">
        <v>720</v>
      </c>
      <c r="K201" s="61"/>
      <c r="L201" s="73">
        <f>IF($E201="","",DATE(YEAR($E201),MONTH($E201),1))</f>
        <v>46082</v>
      </c>
      <c r="M201" s="65" t="str">
        <f ca="1">IF($D201="","",IF($C201="TANIMSIZ MÜŞTERİ","HATA",IF(OR($E201="",$F201&lt;=0,$G201=""),"EKSİK",IF($E201&gt;TODAY(),"İLERİ TARİH",IF(COUNTIF($S$7:$S$2503,$S201)&gt;1,"MÜKERRER?",IF($T201&gt;0,"KAPALI DÖNEM","UYGUN"))))))</f>
        <v>UYGUN</v>
      </c>
      <c r="N201" s="74" t="str">
        <f>IF($C201="","",IF($C201="TANIMSIZ MÜŞTERİ","—",INDEX(MUSTERILER!$C$7:$C$156,MATCH($C201,MUSTERILER!$B$7:$B$156,0))))</f>
        <v>ZÜMRÜT EĞLENCE LTD.ŞTİ.</v>
      </c>
      <c r="O201" s="2"/>
      <c r="P201" s="2"/>
      <c r="Q201" s="1" t="str">
        <f>IF($D201="","",$C201&amp;"|"&amp;COUNTIFS($C$7:$C201,$C201))</f>
        <v>M004|7</v>
      </c>
      <c r="R201" s="1" t="str">
        <f t="shared" si="6"/>
        <v>ZUMRUTEGLENCELTDSTI</v>
      </c>
      <c r="S201" s="1" t="str">
        <f t="shared" si="7"/>
        <v>M004|46109|3000|</v>
      </c>
      <c r="T201" s="1">
        <f>IF($E201="",0,SUMPRODUCT((AY_SONU!$O$7:$O$42="Evet")*(AY_SONU!$B$7:$B$42=DATE(YEAR($E201),MONTH($E201),1))))</f>
        <v>0</v>
      </c>
      <c r="U201" s="1" t="str">
        <f>IF(OR($G201="",$H201="Mahsup"),"",$G201&amp;"|"&amp;COUNTIFS($G$7:$G201,$G201,$H$7:$H201,"&lt;&gt;Mahsup"))</f>
        <v>MERKEZ KASA|147</v>
      </c>
    </row>
    <row r="202" spans="1:21" ht="18" customHeight="1" x14ac:dyDescent="0.3">
      <c r="A202" s="2"/>
      <c r="B202" s="65" t="str">
        <f>IF($D202="","","T"&amp;TEXT(ROW()-6,"00000"))</f>
        <v>T00196</v>
      </c>
      <c r="C202" s="65" t="str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>M018</v>
      </c>
      <c r="D202" s="61" t="s">
        <v>593</v>
      </c>
      <c r="E202" s="66">
        <v>46109</v>
      </c>
      <c r="F202" s="67">
        <v>2500</v>
      </c>
      <c r="G202" s="60" t="s">
        <v>717</v>
      </c>
      <c r="H202" s="60" t="s">
        <v>572</v>
      </c>
      <c r="I202" s="61"/>
      <c r="J202" s="61" t="s">
        <v>720</v>
      </c>
      <c r="K202" s="61"/>
      <c r="L202" s="73">
        <f>IF($E202="","",DATE(YEAR($E202),MONTH($E202),1))</f>
        <v>46082</v>
      </c>
      <c r="M202" s="65" t="str">
        <f ca="1">IF($D202="","",IF($C202="TANIMSIZ MÜŞTERİ","HATA",IF(OR($E202="",$F202&lt;=0,$G202=""),"EKSİK",IF($E202&gt;TODAY(),"İLERİ TARİH",IF(COUNTIF($S$7:$S$2503,$S202)&gt;1,"MÜKERRER?",IF($T202&gt;0,"KAPALI DÖNEM","UYGUN"))))))</f>
        <v>UYGUN</v>
      </c>
      <c r="N202" s="74" t="str">
        <f>IF($C202="","",IF($C202="TANIMSIZ MÜŞTERİ","—",INDEX(MUSTERILER!$C$7:$C$156,MATCH($C202,MUSTERILER!$B$7:$B$156,0))))</f>
        <v>ÇINARHAN LTD.ŞTİ.</v>
      </c>
      <c r="O202" s="2"/>
      <c r="P202" s="2"/>
      <c r="Q202" s="1" t="str">
        <f>IF($D202="","",$C202&amp;"|"&amp;COUNTIFS($C$7:$C202,$C202))</f>
        <v>M018|7</v>
      </c>
      <c r="R202" s="1" t="str">
        <f t="shared" si="6"/>
        <v>CINARHANLTDSTI</v>
      </c>
      <c r="S202" s="1" t="str">
        <f t="shared" si="7"/>
        <v>M018|46109|2500|</v>
      </c>
      <c r="T202" s="1">
        <f>IF($E202="",0,SUMPRODUCT((AY_SONU!$O$7:$O$42="Evet")*(AY_SONU!$B$7:$B$42=DATE(YEAR($E202),MONTH($E202),1))))</f>
        <v>0</v>
      </c>
      <c r="U202" s="1" t="str">
        <f>IF(OR($G202="",$H202="Mahsup"),"",$G202&amp;"|"&amp;COUNTIFS($G$7:$G202,$G202,$H$7:$H202,"&lt;&gt;Mahsup"))</f>
        <v>MERKEZ KASA|148</v>
      </c>
    </row>
    <row r="203" spans="1:21" ht="18" customHeight="1" x14ac:dyDescent="0.3">
      <c r="A203" s="2"/>
      <c r="B203" s="65" t="str">
        <f>IF($D203="","","T"&amp;TEXT(ROW()-6,"00000"))</f>
        <v>T00197</v>
      </c>
      <c r="C203" s="65" t="str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>M035</v>
      </c>
      <c r="D203" s="61" t="s">
        <v>615</v>
      </c>
      <c r="E203" s="66">
        <v>46109</v>
      </c>
      <c r="F203" s="67">
        <v>3500</v>
      </c>
      <c r="G203" s="60" t="s">
        <v>717</v>
      </c>
      <c r="H203" s="60" t="s">
        <v>572</v>
      </c>
      <c r="I203" s="61"/>
      <c r="J203" s="61" t="s">
        <v>720</v>
      </c>
      <c r="K203" s="61"/>
      <c r="L203" s="73">
        <f>IF($E203="","",DATE(YEAR($E203),MONTH($E203),1))</f>
        <v>46082</v>
      </c>
      <c r="M203" s="65" t="str">
        <f ca="1">IF($D203="","",IF($C203="TANIMSIZ MÜŞTERİ","HATA",IF(OR($E203="",$F203&lt;=0,$G203=""),"EKSİK",IF($E203&gt;TODAY(),"İLERİ TARİH",IF(COUNTIF($S$7:$S$2503,$S203)&gt;1,"MÜKERRER?",IF($T203&gt;0,"KAPALI DÖNEM","UYGUN"))))))</f>
        <v>UYGUN</v>
      </c>
      <c r="N203" s="74" t="str">
        <f>IF($C203="","",IF($C203="TANIMSIZ MÜŞTERİ","—",INDEX(MUSTERILER!$C$7:$C$156,MATCH($C203,MUSTERILER!$B$7:$B$156,0))))</f>
        <v>İSA DEMİRCİ</v>
      </c>
      <c r="O203" s="2"/>
      <c r="P203" s="2"/>
      <c r="Q203" s="1" t="str">
        <f>IF($D203="","",$C203&amp;"|"&amp;COUNTIFS($C$7:$C203,$C203))</f>
        <v>M035|2</v>
      </c>
      <c r="R203" s="1" t="str">
        <f t="shared" si="6"/>
        <v>ISADEMIRCI</v>
      </c>
      <c r="S203" s="1" t="str">
        <f t="shared" si="7"/>
        <v>M035|46109|3500|</v>
      </c>
      <c r="T203" s="1">
        <f>IF($E203="",0,SUMPRODUCT((AY_SONU!$O$7:$O$42="Evet")*(AY_SONU!$B$7:$B$42=DATE(YEAR($E203),MONTH($E203),1))))</f>
        <v>0</v>
      </c>
      <c r="U203" s="1" t="str">
        <f>IF(OR($G203="",$H203="Mahsup"),"",$G203&amp;"|"&amp;COUNTIFS($G$7:$G203,$G203,$H$7:$H203,"&lt;&gt;Mahsup"))</f>
        <v>MERKEZ KASA|149</v>
      </c>
    </row>
    <row r="204" spans="1:21" ht="18" customHeight="1" x14ac:dyDescent="0.3">
      <c r="A204" s="2"/>
      <c r="B204" s="65" t="str">
        <f>IF($D204="","","T"&amp;TEXT(ROW()-6,"00000"))</f>
        <v>T00198</v>
      </c>
      <c r="C204" s="65" t="str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>M020</v>
      </c>
      <c r="D204" s="61" t="s">
        <v>623</v>
      </c>
      <c r="E204" s="66">
        <v>46109</v>
      </c>
      <c r="F204" s="67">
        <v>3000</v>
      </c>
      <c r="G204" s="60" t="s">
        <v>717</v>
      </c>
      <c r="H204" s="60" t="s">
        <v>572</v>
      </c>
      <c r="I204" s="61"/>
      <c r="J204" s="61" t="s">
        <v>720</v>
      </c>
      <c r="K204" s="61"/>
      <c r="L204" s="73">
        <f>IF($E204="","",DATE(YEAR($E204),MONTH($E204),1))</f>
        <v>46082</v>
      </c>
      <c r="M204" s="65" t="str">
        <f ca="1">IF($D204="","",IF($C204="TANIMSIZ MÜŞTERİ","HATA",IF(OR($E204="",$F204&lt;=0,$G204=""),"EKSİK",IF($E204&gt;TODAY(),"İLERİ TARİH",IF(COUNTIF($S$7:$S$2503,$S204)&gt;1,"MÜKERRER?",IF($T204&gt;0,"KAPALI DÖNEM","UYGUN"))))))</f>
        <v>UYGUN</v>
      </c>
      <c r="N204" s="74" t="str">
        <f>IF($C204="","",IF($C204="TANIMSIZ MÜŞTERİ","—",INDEX(MUSTERILER!$C$7:$C$156,MATCH($C204,MUSTERILER!$B$7:$B$156,0))))</f>
        <v>KRİSTAL LTD.ŞTİ.</v>
      </c>
      <c r="O204" s="2"/>
      <c r="P204" s="2"/>
      <c r="Q204" s="1" t="str">
        <f>IF($D204="","",$C204&amp;"|"&amp;COUNTIFS($C$7:$C204,$C204))</f>
        <v>M020|12</v>
      </c>
      <c r="R204" s="1" t="str">
        <f t="shared" si="6"/>
        <v>KRISTALLTDSTI</v>
      </c>
      <c r="S204" s="1" t="str">
        <f t="shared" si="7"/>
        <v>M020|46109|3000|</v>
      </c>
      <c r="T204" s="1">
        <f>IF($E204="",0,SUMPRODUCT((AY_SONU!$O$7:$O$42="Evet")*(AY_SONU!$B$7:$B$42=DATE(YEAR($E204),MONTH($E204),1))))</f>
        <v>0</v>
      </c>
      <c r="U204" s="1" t="str">
        <f>IF(OR($G204="",$H204="Mahsup"),"",$G204&amp;"|"&amp;COUNTIFS($G$7:$G204,$G204,$H$7:$H204,"&lt;&gt;Mahsup"))</f>
        <v>MERKEZ KASA|150</v>
      </c>
    </row>
    <row r="205" spans="1:21" ht="18" customHeight="1" x14ac:dyDescent="0.3">
      <c r="A205" s="2"/>
      <c r="B205" s="65" t="str">
        <f>IF($D205="","","T"&amp;TEXT(ROW()-6,"00000"))</f>
        <v>T00199</v>
      </c>
      <c r="C205" s="65" t="str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>M047</v>
      </c>
      <c r="D205" s="61" t="s">
        <v>654</v>
      </c>
      <c r="E205" s="66">
        <v>46109</v>
      </c>
      <c r="F205" s="67">
        <v>4000</v>
      </c>
      <c r="G205" s="60" t="s">
        <v>717</v>
      </c>
      <c r="H205" s="60" t="s">
        <v>572</v>
      </c>
      <c r="I205" s="61"/>
      <c r="J205" s="61" t="s">
        <v>720</v>
      </c>
      <c r="K205" s="61"/>
      <c r="L205" s="73">
        <f>IF($E205="","",DATE(YEAR($E205),MONTH($E205),1))</f>
        <v>46082</v>
      </c>
      <c r="M205" s="65" t="str">
        <f ca="1">IF($D205="","",IF($C205="TANIMSIZ MÜŞTERİ","HATA",IF(OR($E205="",$F205&lt;=0,$G205=""),"EKSİK",IF($E205&gt;TODAY(),"İLERİ TARİH",IF(COUNTIF($S$7:$S$2503,$S205)&gt;1,"MÜKERRER?",IF($T205&gt;0,"KAPALI DÖNEM","UYGUN"))))))</f>
        <v>UYGUN</v>
      </c>
      <c r="N205" s="74" t="str">
        <f>IF($C205="","",IF($C205="TANIMSIZ MÜŞTERİ","—",INDEX(MUSTERILER!$C$7:$C$156,MATCH($C205,MUSTERILER!$B$7:$B$156,0))))</f>
        <v>PALAOĞULLARI LTD.ŞTİ.</v>
      </c>
      <c r="O205" s="2"/>
      <c r="P205" s="2"/>
      <c r="Q205" s="1" t="str">
        <f>IF($D205="","",$C205&amp;"|"&amp;COUNTIFS($C$7:$C205,$C205))</f>
        <v>M047|5</v>
      </c>
      <c r="R205" s="1" t="str">
        <f t="shared" si="6"/>
        <v>PALAOGULLARILTDSTI</v>
      </c>
      <c r="S205" s="1" t="str">
        <f t="shared" si="7"/>
        <v>M047|46109|4000|</v>
      </c>
      <c r="T205" s="1">
        <f>IF($E205="",0,SUMPRODUCT((AY_SONU!$O$7:$O$42="Evet")*(AY_SONU!$B$7:$B$42=DATE(YEAR($E205),MONTH($E205),1))))</f>
        <v>0</v>
      </c>
      <c r="U205" s="1" t="str">
        <f>IF(OR($G205="",$H205="Mahsup"),"",$G205&amp;"|"&amp;COUNTIFS($G$7:$G205,$G205,$H$7:$H205,"&lt;&gt;Mahsup"))</f>
        <v>MERKEZ KASA|151</v>
      </c>
    </row>
    <row r="206" spans="1:21" ht="18" customHeight="1" x14ac:dyDescent="0.3">
      <c r="A206" s="2"/>
      <c r="B206" s="65" t="str">
        <f>IF($D206="","","T"&amp;TEXT(ROW()-6,"00000"))</f>
        <v>T00200</v>
      </c>
      <c r="C206" s="65" t="str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>M016</v>
      </c>
      <c r="D206" s="61" t="s">
        <v>736</v>
      </c>
      <c r="E206" s="66">
        <v>46110</v>
      </c>
      <c r="F206" s="67">
        <v>3000</v>
      </c>
      <c r="G206" s="60" t="s">
        <v>717</v>
      </c>
      <c r="H206" s="60" t="s">
        <v>572</v>
      </c>
      <c r="I206" s="61"/>
      <c r="J206" s="61" t="s">
        <v>720</v>
      </c>
      <c r="K206" s="61"/>
      <c r="L206" s="73">
        <f>IF($E206="","",DATE(YEAR($E206),MONTH($E206),1))</f>
        <v>46082</v>
      </c>
      <c r="M206" s="65" t="str">
        <f ca="1">IF($D206="","",IF($C206="TANIMSIZ MÜŞTERİ","HATA",IF(OR($E206="",$F206&lt;=0,$G206=""),"EKSİK",IF($E206&gt;TODAY(),"İLERİ TARİH",IF(COUNTIF($S$7:$S$2503,$S206)&gt;1,"MÜKERRER?",IF($T206&gt;0,"KAPALI DÖNEM","UYGUN"))))))</f>
        <v>UYGUN</v>
      </c>
      <c r="N206" s="74" t="str">
        <f>IF($C206="","",IF($C206="TANIMSIZ MÜŞTERİ","—",INDEX(MUSTERILER!$C$7:$C$156,MATCH($C206,MUSTERILER!$B$7:$B$156,0))))</f>
        <v>RİX ŞOW LTD.ŞTİ.</v>
      </c>
      <c r="O206" s="2"/>
      <c r="P206" s="2"/>
      <c r="Q206" s="1" t="str">
        <f>IF($D206="","",$C206&amp;"|"&amp;COUNTIFS($C$7:$C206,$C206))</f>
        <v>M016|13</v>
      </c>
      <c r="R206" s="1" t="str">
        <f t="shared" si="6"/>
        <v>RIXSOWLTDSTI</v>
      </c>
      <c r="S206" s="1" t="str">
        <f t="shared" si="7"/>
        <v>M016|46110|3000|</v>
      </c>
      <c r="T206" s="1">
        <f>IF($E206="",0,SUMPRODUCT((AY_SONU!$O$7:$O$42="Evet")*(AY_SONU!$B$7:$B$42=DATE(YEAR($E206),MONTH($E206),1))))</f>
        <v>0</v>
      </c>
      <c r="U206" s="1" t="str">
        <f>IF(OR($G206="",$H206="Mahsup"),"",$G206&amp;"|"&amp;COUNTIFS($G$7:$G206,$G206,$H$7:$H206,"&lt;&gt;Mahsup"))</f>
        <v>MERKEZ KASA|152</v>
      </c>
    </row>
    <row r="207" spans="1:21" ht="18" customHeight="1" x14ac:dyDescent="0.3">
      <c r="A207" s="2"/>
      <c r="B207" s="65" t="str">
        <f>IF($D207="","","T"&amp;TEXT(ROW()-6,"00000"))</f>
        <v>T00201</v>
      </c>
      <c r="C207" s="65" t="str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>M037</v>
      </c>
      <c r="D207" s="61" t="s">
        <v>625</v>
      </c>
      <c r="E207" s="66">
        <v>46111</v>
      </c>
      <c r="F207" s="67">
        <v>2000</v>
      </c>
      <c r="G207" s="60" t="s">
        <v>717</v>
      </c>
      <c r="H207" s="60" t="s">
        <v>572</v>
      </c>
      <c r="I207" s="61"/>
      <c r="J207" s="61" t="s">
        <v>720</v>
      </c>
      <c r="K207" s="61"/>
      <c r="L207" s="73">
        <f>IF($E207="","",DATE(YEAR($E207),MONTH($E207),1))</f>
        <v>46082</v>
      </c>
      <c r="M207" s="65" t="str">
        <f ca="1">IF($D207="","",IF($C207="TANIMSIZ MÜŞTERİ","HATA",IF(OR($E207="",$F207&lt;=0,$G207=""),"EKSİK",IF($E207&gt;TODAY(),"İLERİ TARİH",IF(COUNTIF($S$7:$S$2503,$S207)&gt;1,"MÜKERRER?",IF($T207&gt;0,"KAPALI DÖNEM","UYGUN"))))))</f>
        <v>UYGUN</v>
      </c>
      <c r="N207" s="74" t="str">
        <f>IF($C207="","",IF($C207="TANIMSIZ MÜŞTERİ","—",INDEX(MUSTERILER!$C$7:$C$156,MATCH($C207,MUSTERILER!$B$7:$B$156,0))))</f>
        <v>MEHMET EVREN KILINÇ</v>
      </c>
      <c r="O207" s="2"/>
      <c r="P207" s="2"/>
      <c r="Q207" s="1" t="str">
        <f>IF($D207="","",$C207&amp;"|"&amp;COUNTIFS($C$7:$C207,$C207))</f>
        <v>M037|2</v>
      </c>
      <c r="R207" s="1" t="str">
        <f t="shared" si="6"/>
        <v>MEHMETEVRENKILINC</v>
      </c>
      <c r="S207" s="1" t="str">
        <f t="shared" si="7"/>
        <v>M037|46111|2000|</v>
      </c>
      <c r="T207" s="1">
        <f>IF($E207="",0,SUMPRODUCT((AY_SONU!$O$7:$O$42="Evet")*(AY_SONU!$B$7:$B$42=DATE(YEAR($E207),MONTH($E207),1))))</f>
        <v>0</v>
      </c>
      <c r="U207" s="1" t="str">
        <f>IF(OR($G207="",$H207="Mahsup"),"",$G207&amp;"|"&amp;COUNTIFS($G$7:$G207,$G207,$H$7:$H207,"&lt;&gt;Mahsup"))</f>
        <v>MERKEZ KASA|153</v>
      </c>
    </row>
    <row r="208" spans="1:21" ht="18" customHeight="1" x14ac:dyDescent="0.3">
      <c r="A208" s="2"/>
      <c r="B208" s="65" t="str">
        <f>IF($D208="","","T"&amp;TEXT(ROW()-6,"00000"))</f>
        <v>T00202</v>
      </c>
      <c r="C208" s="65" t="str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>M023</v>
      </c>
      <c r="D208" s="61" t="s">
        <v>576</v>
      </c>
      <c r="E208" s="66">
        <v>46112</v>
      </c>
      <c r="F208" s="67">
        <v>12000</v>
      </c>
      <c r="G208" s="60" t="s">
        <v>723</v>
      </c>
      <c r="H208" s="60" t="s">
        <v>572</v>
      </c>
      <c r="I208" s="61"/>
      <c r="J208" s="61" t="s">
        <v>725</v>
      </c>
      <c r="K208" s="61"/>
      <c r="L208" s="73">
        <f>IF($E208="","",DATE(YEAR($E208),MONTH($E208),1))</f>
        <v>46082</v>
      </c>
      <c r="M208" s="65" t="str">
        <f ca="1">IF($D208="","",IF($C208="TANIMSIZ MÜŞTERİ","HATA",IF(OR($E208="",$F208&lt;=0,$G208=""),"EKSİK",IF($E208&gt;TODAY(),"İLERİ TARİH",IF(COUNTIF($S$7:$S$2503,$S208)&gt;1,"MÜKERRER?",IF($T208&gt;0,"KAPALI DÖNEM","UYGUN"))))))</f>
        <v>UYGUN</v>
      </c>
      <c r="N208" s="74" t="str">
        <f>IF($C208="","",IF($C208="TANIMSIZ MÜŞTERİ","—",INDEX(MUSTERILER!$C$7:$C$156,MATCH($C208,MUSTERILER!$B$7:$B$156,0))))</f>
        <v>ALTINEL LTD.ŞTİ.</v>
      </c>
      <c r="O208" s="2"/>
      <c r="P208" s="2"/>
      <c r="Q208" s="1" t="str">
        <f>IF($D208="","",$C208&amp;"|"&amp;COUNTIFS($C$7:$C208,$C208))</f>
        <v>M023|3</v>
      </c>
      <c r="R208" s="1" t="str">
        <f t="shared" si="6"/>
        <v>ALTINELLTDSTI</v>
      </c>
      <c r="S208" s="1" t="str">
        <f t="shared" si="7"/>
        <v>M023|46112|12000|</v>
      </c>
      <c r="T208" s="1">
        <f>IF($E208="",0,SUMPRODUCT((AY_SONU!$O$7:$O$42="Evet")*(AY_SONU!$B$7:$B$42=DATE(YEAR($E208),MONTH($E208),1))))</f>
        <v>0</v>
      </c>
      <c r="U208" s="1" t="str">
        <f>IF(OR($G208="",$H208="Mahsup"),"",$G208&amp;"|"&amp;COUNTIFS($G$7:$G208,$G208,$H$7:$H208,"&lt;&gt;Mahsup"))</f>
        <v>ÖMER KARTAL|49</v>
      </c>
    </row>
    <row r="209" spans="1:21" ht="18" customHeight="1" x14ac:dyDescent="0.3">
      <c r="A209" s="2"/>
      <c r="B209" s="65" t="str">
        <f>IF($D209="","","T"&amp;TEXT(ROW()-6,"00000"))</f>
        <v>T00203</v>
      </c>
      <c r="C209" s="65" t="str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>M007</v>
      </c>
      <c r="D209" s="61" t="s">
        <v>733</v>
      </c>
      <c r="E209" s="66">
        <v>46112</v>
      </c>
      <c r="F209" s="67">
        <v>7000</v>
      </c>
      <c r="G209" s="60" t="s">
        <v>723</v>
      </c>
      <c r="H209" s="60" t="s">
        <v>572</v>
      </c>
      <c r="I209" s="61"/>
      <c r="J209" s="61" t="s">
        <v>724</v>
      </c>
      <c r="K209" s="61"/>
      <c r="L209" s="73">
        <f>IF($E209="","",DATE(YEAR($E209),MONTH($E209),1))</f>
        <v>46082</v>
      </c>
      <c r="M209" s="65" t="str">
        <f ca="1">IF($D209="","",IF($C209="TANIMSIZ MÜŞTERİ","HATA",IF(OR($E209="",$F209&lt;=0,$G209=""),"EKSİK",IF($E209&gt;TODAY(),"İLERİ TARİH",IF(COUNTIF($S$7:$S$2503,$S209)&gt;1,"MÜKERRER?",IF($T209&gt;0,"KAPALI DÖNEM","UYGUN"))))))</f>
        <v>UYGUN</v>
      </c>
      <c r="N209" s="74" t="str">
        <f>IF($C209="","",IF($C209="TANIMSIZ MÜŞTERİ","—",INDEX(MUSTERILER!$C$7:$C$156,MATCH($C209,MUSTERILER!$B$7:$B$156,0))))</f>
        <v>MONAMOUR LTD.ŞTİ.</v>
      </c>
      <c r="O209" s="2"/>
      <c r="P209" s="2"/>
      <c r="Q209" s="1" t="str">
        <f>IF($D209="","",$C209&amp;"|"&amp;COUNTIFS($C$7:$C209,$C209))</f>
        <v>M007|10</v>
      </c>
      <c r="R209" s="1" t="str">
        <f t="shared" si="6"/>
        <v>MONAMOURLTDSTI</v>
      </c>
      <c r="S209" s="1" t="str">
        <f t="shared" si="7"/>
        <v>M007|46112|7000|</v>
      </c>
      <c r="T209" s="1">
        <f>IF($E209="",0,SUMPRODUCT((AY_SONU!$O$7:$O$42="Evet")*(AY_SONU!$B$7:$B$42=DATE(YEAR($E209),MONTH($E209),1))))</f>
        <v>0</v>
      </c>
      <c r="U209" s="1" t="str">
        <f>IF(OR($G209="",$H209="Mahsup"),"",$G209&amp;"|"&amp;COUNTIFS($G$7:$G209,$G209,$H$7:$H209,"&lt;&gt;Mahsup"))</f>
        <v>ÖMER KARTAL|50</v>
      </c>
    </row>
    <row r="210" spans="1:21" ht="18" customHeight="1" x14ac:dyDescent="0.3">
      <c r="A210" s="2"/>
      <c r="B210" s="65" t="str">
        <f>IF($D210="","","T"&amp;TEXT(ROW()-6,"00000"))</f>
        <v>T00204</v>
      </c>
      <c r="C210" s="65" t="str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>M027</v>
      </c>
      <c r="D210" s="61" t="s">
        <v>591</v>
      </c>
      <c r="E210" s="66">
        <v>46113</v>
      </c>
      <c r="F210" s="67">
        <v>2500</v>
      </c>
      <c r="G210" s="60" t="s">
        <v>717</v>
      </c>
      <c r="H210" s="60" t="s">
        <v>572</v>
      </c>
      <c r="I210" s="61"/>
      <c r="J210" s="61" t="s">
        <v>1316</v>
      </c>
      <c r="K210" s="61"/>
      <c r="L210" s="73">
        <f>IF($E210="","",DATE(YEAR($E210),MONTH($E210),1))</f>
        <v>46113</v>
      </c>
      <c r="M210" s="65" t="str">
        <f ca="1">IF($D210="","",IF($C210="TANIMSIZ MÜŞTERİ","HATA",IF(OR($E210="",$F210&lt;=0,$G210=""),"EKSİK",IF($E210&gt;TODAY(),"İLERİ TARİH",IF(COUNTIF($S$7:$S$2503,$S210)&gt;1,"MÜKERRER?",IF($T210&gt;0,"KAPALI DÖNEM","UYGUN"))))))</f>
        <v>UYGUN</v>
      </c>
      <c r="N210" s="74" t="str">
        <f>IF($C210="","",IF($C210="TANIMSIZ MÜŞTERİ","—",INDEX(MUSTERILER!$C$7:$C$156,MATCH($C210,MUSTERILER!$B$7:$B$156,0))))</f>
        <v>CEREN DEMİRCİ</v>
      </c>
      <c r="O210" s="2"/>
      <c r="P210" s="2"/>
      <c r="Q210" s="1" t="str">
        <f>IF($D210="","",$C210&amp;"|"&amp;COUNTIFS($C$7:$C210,$C210))</f>
        <v>M027|1</v>
      </c>
      <c r="R210" s="1" t="str">
        <f t="shared" si="6"/>
        <v>CERENDEMIRCI</v>
      </c>
      <c r="S210" s="1" t="str">
        <f t="shared" si="7"/>
        <v>M027|46113|2500|</v>
      </c>
      <c r="T210" s="1">
        <f>IF($E210="",0,SUMPRODUCT((AY_SONU!$O$7:$O$42="Evet")*(AY_SONU!$B$7:$B$42=DATE(YEAR($E210),MONTH($E210),1))))</f>
        <v>0</v>
      </c>
      <c r="U210" s="1" t="str">
        <f>IF(OR($G210="",$H210="Mahsup"),"",$G210&amp;"|"&amp;COUNTIFS($G$7:$G210,$G210,$H$7:$H210,"&lt;&gt;Mahsup"))</f>
        <v>MERKEZ KASA|154</v>
      </c>
    </row>
    <row r="211" spans="1:21" ht="18" customHeight="1" x14ac:dyDescent="0.3">
      <c r="A211" s="2"/>
      <c r="B211" s="65" t="str">
        <f>IF($D211="","","T"&amp;TEXT(ROW()-6,"00000"))</f>
        <v>T00205</v>
      </c>
      <c r="C211" s="65" t="str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>M017</v>
      </c>
      <c r="D211" s="61" t="s">
        <v>585</v>
      </c>
      <c r="E211" s="66">
        <v>46116</v>
      </c>
      <c r="F211" s="67">
        <v>2500</v>
      </c>
      <c r="G211" s="60" t="s">
        <v>717</v>
      </c>
      <c r="H211" s="60" t="s">
        <v>572</v>
      </c>
      <c r="I211" s="61"/>
      <c r="J211" s="61" t="s">
        <v>720</v>
      </c>
      <c r="K211" s="61"/>
      <c r="L211" s="73">
        <f>IF($E211="","",DATE(YEAR($E211),MONTH($E211),1))</f>
        <v>46113</v>
      </c>
      <c r="M211" s="65" t="str">
        <f ca="1">IF($D211="","",IF($C211="TANIMSIZ MÜŞTERİ","HATA",IF(OR($E211="",$F211&lt;=0,$G211=""),"EKSİK",IF($E211&gt;TODAY(),"İLERİ TARİH",IF(COUNTIF($S$7:$S$2503,$S211)&gt;1,"MÜKERRER?",IF($T211&gt;0,"KAPALI DÖNEM","UYGUN"))))))</f>
        <v>UYGUN</v>
      </c>
      <c r="N211" s="74" t="str">
        <f>IF($C211="","",IF($C211="TANIMSIZ MÜŞTERİ","—",INDEX(MUSTERILER!$C$7:$C$156,MATCH($C211,MUSTERILER!$B$7:$B$156,0))))</f>
        <v>ASM EĞLENCE LTD.ŞTİ.</v>
      </c>
      <c r="O211" s="2"/>
      <c r="P211" s="2"/>
      <c r="Q211" s="1" t="str">
        <f>IF($D211="","",$C211&amp;"|"&amp;COUNTIFS($C$7:$C211,$C211))</f>
        <v>M017|12</v>
      </c>
      <c r="R211" s="1" t="str">
        <f t="shared" si="6"/>
        <v>ASMEGLENCELTDSTI</v>
      </c>
      <c r="S211" s="1" t="str">
        <f t="shared" si="7"/>
        <v>M017|46116|2500|</v>
      </c>
      <c r="T211" s="1">
        <f>IF($E211="",0,SUMPRODUCT((AY_SONU!$O$7:$O$42="Evet")*(AY_SONU!$B$7:$B$42=DATE(YEAR($E211),MONTH($E211),1))))</f>
        <v>0</v>
      </c>
      <c r="U211" s="1" t="str">
        <f>IF(OR($G211="",$H211="Mahsup"),"",$G211&amp;"|"&amp;COUNTIFS($G$7:$G211,$G211,$H$7:$H211,"&lt;&gt;Mahsup"))</f>
        <v>MERKEZ KASA|155</v>
      </c>
    </row>
    <row r="212" spans="1:21" ht="18" customHeight="1" x14ac:dyDescent="0.3">
      <c r="A212" s="2"/>
      <c r="B212" s="65" t="str">
        <f>IF($D212="","","T"&amp;TEXT(ROW()-6,"00000"))</f>
        <v>T00206</v>
      </c>
      <c r="C212" s="65" t="str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>M015</v>
      </c>
      <c r="D212" s="61" t="s">
        <v>719</v>
      </c>
      <c r="E212" s="66">
        <v>46116</v>
      </c>
      <c r="F212" s="67">
        <v>3000</v>
      </c>
      <c r="G212" s="60" t="s">
        <v>717</v>
      </c>
      <c r="H212" s="60" t="s">
        <v>572</v>
      </c>
      <c r="I212" s="61"/>
      <c r="J212" s="61" t="s">
        <v>720</v>
      </c>
      <c r="K212" s="61"/>
      <c r="L212" s="73">
        <f>IF($E212="","",DATE(YEAR($E212),MONTH($E212),1))</f>
        <v>46113</v>
      </c>
      <c r="M212" s="65" t="str">
        <f ca="1">IF($D212="","",IF($C212="TANIMSIZ MÜŞTERİ","HATA",IF(OR($E212="",$F212&lt;=0,$G212=""),"EKSİK",IF($E212&gt;TODAY(),"İLERİ TARİH",IF(COUNTIF($S$7:$S$2503,$S212)&gt;1,"MÜKERRER?",IF($T212&gt;0,"KAPALI DÖNEM","UYGUN"))))))</f>
        <v>UYGUN</v>
      </c>
      <c r="N212" s="74" t="str">
        <f>IF($C212="","",IF($C212="TANIMSIZ MÜŞTERİ","—",INDEX(MUSTERILER!$C$7:$C$156,MATCH($C212,MUSTERILER!$B$7:$B$156,0))))</f>
        <v>ÇAYIRALAN LTD.ŞTİ.</v>
      </c>
      <c r="O212" s="2"/>
      <c r="P212" s="2"/>
      <c r="Q212" s="1" t="str">
        <f>IF($D212="","",$C212&amp;"|"&amp;COUNTIFS($C$7:$C212,$C212))</f>
        <v>M015|11</v>
      </c>
      <c r="R212" s="1" t="str">
        <f t="shared" si="6"/>
        <v>CAYIRALANLTDSTI</v>
      </c>
      <c r="S212" s="1" t="str">
        <f t="shared" si="7"/>
        <v>M015|46116|3000|</v>
      </c>
      <c r="T212" s="1">
        <f>IF($E212="",0,SUMPRODUCT((AY_SONU!$O$7:$O$42="Evet")*(AY_SONU!$B$7:$B$42=DATE(YEAR($E212),MONTH($E212),1))))</f>
        <v>0</v>
      </c>
      <c r="U212" s="1" t="str">
        <f>IF(OR($G212="",$H212="Mahsup"),"",$G212&amp;"|"&amp;COUNTIFS($G$7:$G212,$G212,$H$7:$H212,"&lt;&gt;Mahsup"))</f>
        <v>MERKEZ KASA|156</v>
      </c>
    </row>
    <row r="213" spans="1:21" ht="18" customHeight="1" x14ac:dyDescent="0.3">
      <c r="A213" s="2"/>
      <c r="B213" s="65" t="str">
        <f>IF($D213="","","T"&amp;TEXT(ROW()-6,"00000"))</f>
        <v>T00207</v>
      </c>
      <c r="C213" s="65" t="str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>M011</v>
      </c>
      <c r="D213" s="61" t="s">
        <v>730</v>
      </c>
      <c r="E213" s="66">
        <v>46116</v>
      </c>
      <c r="F213" s="67">
        <v>4000</v>
      </c>
      <c r="G213" s="60" t="s">
        <v>717</v>
      </c>
      <c r="H213" s="60" t="s">
        <v>572</v>
      </c>
      <c r="I213" s="61"/>
      <c r="J213" s="61" t="s">
        <v>720</v>
      </c>
      <c r="K213" s="61"/>
      <c r="L213" s="73">
        <f>IF($E213="","",DATE(YEAR($E213),MONTH($E213),1))</f>
        <v>46113</v>
      </c>
      <c r="M213" s="65" t="str">
        <f ca="1">IF($D213="","",IF($C213="TANIMSIZ MÜŞTERİ","HATA",IF(OR($E213="",$F213&lt;=0,$G213=""),"EKSİK",IF($E213&gt;TODAY(),"İLERİ TARİH",IF(COUNTIF($S$7:$S$2503,$S213)&gt;1,"MÜKERRER?",IF($T213&gt;0,"KAPALI DÖNEM","UYGUN"))))))</f>
        <v>UYGUN</v>
      </c>
      <c r="N213" s="74" t="str">
        <f>IF($C213="","",IF($C213="TANIMSIZ MÜŞTERİ","—",INDEX(MUSTERILER!$C$7:$C$156,MATCH($C213,MUSTERILER!$B$7:$B$156,0))))</f>
        <v>EĞLENGÖR LTD.ŞTİ.</v>
      </c>
      <c r="O213" s="2"/>
      <c r="P213" s="2"/>
      <c r="Q213" s="1" t="str">
        <f>IF($D213="","",$C213&amp;"|"&amp;COUNTIFS($C$7:$C213,$C213))</f>
        <v>M011|13</v>
      </c>
      <c r="R213" s="1" t="str">
        <f t="shared" si="6"/>
        <v>EGLENGORLTDSTI</v>
      </c>
      <c r="S213" s="1" t="str">
        <f t="shared" si="7"/>
        <v>M011|46116|4000|</v>
      </c>
      <c r="T213" s="1">
        <f>IF($E213="",0,SUMPRODUCT((AY_SONU!$O$7:$O$42="Evet")*(AY_SONU!$B$7:$B$42=DATE(YEAR($E213),MONTH($E213),1))))</f>
        <v>0</v>
      </c>
      <c r="U213" s="1" t="str">
        <f>IF(OR($G213="",$H213="Mahsup"),"",$G213&amp;"|"&amp;COUNTIFS($G$7:$G213,$G213,$H$7:$H213,"&lt;&gt;Mahsup"))</f>
        <v>MERKEZ KASA|157</v>
      </c>
    </row>
    <row r="214" spans="1:21" ht="18" customHeight="1" x14ac:dyDescent="0.3">
      <c r="A214" s="2"/>
      <c r="B214" s="65" t="str">
        <f>IF($D214="","","T"&amp;TEXT(ROW()-6,"00000"))</f>
        <v>T00208</v>
      </c>
      <c r="C214" s="65" t="str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>M014</v>
      </c>
      <c r="D214" s="61" t="s">
        <v>731</v>
      </c>
      <c r="E214" s="66">
        <v>46116</v>
      </c>
      <c r="F214" s="67">
        <v>4000</v>
      </c>
      <c r="G214" s="60" t="s">
        <v>717</v>
      </c>
      <c r="H214" s="60" t="s">
        <v>572</v>
      </c>
      <c r="I214" s="61"/>
      <c r="J214" s="61" t="s">
        <v>720</v>
      </c>
      <c r="K214" s="61"/>
      <c r="L214" s="73">
        <f>IF($E214="","",DATE(YEAR($E214),MONTH($E214),1))</f>
        <v>46113</v>
      </c>
      <c r="M214" s="65" t="str">
        <f ca="1">IF($D214="","",IF($C214="TANIMSIZ MÜŞTERİ","HATA",IF(OR($E214="",$F214&lt;=0,$G214=""),"EKSİK",IF($E214&gt;TODAY(),"İLERİ TARİH",IF(COUNTIF($S$7:$S$2503,$S214)&gt;1,"MÜKERRER?",IF($T214&gt;0,"KAPALI DÖNEM","UYGUN"))))))</f>
        <v>UYGUN</v>
      </c>
      <c r="N214" s="74" t="str">
        <f>IF($C214="","",IF($C214="TANIMSIZ MÜŞTERİ","—",INDEX(MUSTERILER!$C$7:$C$156,MATCH($C214,MUSTERILER!$B$7:$B$156,0))))</f>
        <v>FİNAL SİYAH BEYAZ LTD.ŞTİ.</v>
      </c>
      <c r="O214" s="2"/>
      <c r="P214" s="2"/>
      <c r="Q214" s="1" t="str">
        <f>IF($D214="","",$C214&amp;"|"&amp;COUNTIFS($C$7:$C214,$C214))</f>
        <v>M014|12</v>
      </c>
      <c r="R214" s="1" t="str">
        <f t="shared" si="6"/>
        <v>FINALSIYAHBEYAZLTDSTI</v>
      </c>
      <c r="S214" s="1" t="str">
        <f t="shared" si="7"/>
        <v>M014|46116|4000|</v>
      </c>
      <c r="T214" s="1">
        <f>IF($E214="",0,SUMPRODUCT((AY_SONU!$O$7:$O$42="Evet")*(AY_SONU!$B$7:$B$42=DATE(YEAR($E214),MONTH($E214),1))))</f>
        <v>0</v>
      </c>
      <c r="U214" s="1" t="str">
        <f>IF(OR($G214="",$H214="Mahsup"),"",$G214&amp;"|"&amp;COUNTIFS($G$7:$G214,$G214,$H$7:$H214,"&lt;&gt;Mahsup"))</f>
        <v>MERKEZ KASA|158</v>
      </c>
    </row>
    <row r="215" spans="1:21" ht="18" customHeight="1" x14ac:dyDescent="0.3">
      <c r="A215" s="2"/>
      <c r="B215" s="65" t="str">
        <f>IF($D215="","","T"&amp;TEXT(ROW()-6,"00000"))</f>
        <v>T00209</v>
      </c>
      <c r="C215" s="65" t="str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>M034</v>
      </c>
      <c r="D215" s="61" t="s">
        <v>732</v>
      </c>
      <c r="E215" s="66">
        <v>46116</v>
      </c>
      <c r="F215" s="67">
        <v>4000</v>
      </c>
      <c r="G215" s="60" t="s">
        <v>717</v>
      </c>
      <c r="H215" s="60" t="s">
        <v>572</v>
      </c>
      <c r="I215" s="61"/>
      <c r="J215" s="61" t="s">
        <v>720</v>
      </c>
      <c r="K215" s="61"/>
      <c r="L215" s="73">
        <f>IF($E215="","",DATE(YEAR($E215),MONTH($E215),1))</f>
        <v>46113</v>
      </c>
      <c r="M215" s="65" t="str">
        <f ca="1">IF($D215="","",IF($C215="TANIMSIZ MÜŞTERİ","HATA",IF(OR($E215="",$F215&lt;=0,$G215=""),"EKSİK",IF($E215&gt;TODAY(),"İLERİ TARİH",IF(COUNTIF($S$7:$S$2503,$S215)&gt;1,"MÜKERRER?",IF($T215&gt;0,"KAPALI DÖNEM","UYGUN"))))))</f>
        <v>UYGUN</v>
      </c>
      <c r="N215" s="74" t="str">
        <f>IF($C215="","",IF($C215="TANIMSIZ MÜŞTERİ","—",INDEX(MUSTERILER!$C$7:$C$156,MATCH($C215,MUSTERILER!$B$7:$B$156,0))))</f>
        <v>İBRAHİM MALDAN</v>
      </c>
      <c r="O215" s="2"/>
      <c r="P215" s="2"/>
      <c r="Q215" s="1" t="str">
        <f>IF($D215="","",$C215&amp;"|"&amp;COUNTIFS($C$7:$C215,$C215))</f>
        <v>M034|9</v>
      </c>
      <c r="R215" s="1" t="str">
        <f t="shared" si="6"/>
        <v>IBRAHIMMALDAN</v>
      </c>
      <c r="S215" s="1" t="str">
        <f t="shared" si="7"/>
        <v>M034|46116|4000|</v>
      </c>
      <c r="T215" s="1">
        <f>IF($E215="",0,SUMPRODUCT((AY_SONU!$O$7:$O$42="Evet")*(AY_SONU!$B$7:$B$42=DATE(YEAR($E215),MONTH($E215),1))))</f>
        <v>0</v>
      </c>
      <c r="U215" s="1" t="str">
        <f>IF(OR($G215="",$H215="Mahsup"),"",$G215&amp;"|"&amp;COUNTIFS($G$7:$G215,$G215,$H$7:$H215,"&lt;&gt;Mahsup"))</f>
        <v>MERKEZ KASA|159</v>
      </c>
    </row>
    <row r="216" spans="1:21" ht="18" customHeight="1" x14ac:dyDescent="0.3">
      <c r="A216" s="2"/>
      <c r="B216" s="65" t="str">
        <f>IF($D216="","","T"&amp;TEXT(ROW()-6,"00000"))</f>
        <v>T00210</v>
      </c>
      <c r="C216" s="65" t="str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>M012</v>
      </c>
      <c r="D216" s="61" t="s">
        <v>613</v>
      </c>
      <c r="E216" s="66">
        <v>46116</v>
      </c>
      <c r="F216" s="67">
        <v>4000</v>
      </c>
      <c r="G216" s="60" t="s">
        <v>717</v>
      </c>
      <c r="H216" s="60" t="s">
        <v>572</v>
      </c>
      <c r="I216" s="61"/>
      <c r="J216" s="61" t="s">
        <v>720</v>
      </c>
      <c r="K216" s="61"/>
      <c r="L216" s="73">
        <f>IF($E216="","",DATE(YEAR($E216),MONTH($E216),1))</f>
        <v>46113</v>
      </c>
      <c r="M216" s="65" t="str">
        <f ca="1">IF($D216="","",IF($C216="TANIMSIZ MÜŞTERİ","HATA",IF(OR($E216="",$F216&lt;=0,$G216=""),"EKSİK",IF($E216&gt;TODAY(),"İLERİ TARİH",IF(COUNTIF($S$7:$S$2503,$S216)&gt;1,"MÜKERRER?",IF($T216&gt;0,"KAPALI DÖNEM","UYGUN"))))))</f>
        <v>UYGUN</v>
      </c>
      <c r="N216" s="74" t="str">
        <f>IF($C216="","",IF($C216="TANIMSIZ MÜŞTERİ","—",INDEX(MUSTERILER!$C$7:$C$156,MATCH($C216,MUSTERILER!$B$7:$B$156,0))))</f>
        <v>İLDEŞ LTD.ŞTİ.</v>
      </c>
      <c r="O216" s="2"/>
      <c r="P216" s="2"/>
      <c r="Q216" s="1" t="str">
        <f>IF($D216="","",$C216&amp;"|"&amp;COUNTIFS($C$7:$C216,$C216))</f>
        <v>M012|12</v>
      </c>
      <c r="R216" s="1" t="str">
        <f t="shared" si="6"/>
        <v>ILDESLTDSTI</v>
      </c>
      <c r="S216" s="1" t="str">
        <f t="shared" si="7"/>
        <v>M012|46116|4000|</v>
      </c>
      <c r="T216" s="1">
        <f>IF($E216="",0,SUMPRODUCT((AY_SONU!$O$7:$O$42="Evet")*(AY_SONU!$B$7:$B$42=DATE(YEAR($E216),MONTH($E216),1))))</f>
        <v>0</v>
      </c>
      <c r="U216" s="1" t="str">
        <f>IF(OR($G216="",$H216="Mahsup"),"",$G216&amp;"|"&amp;COUNTIFS($G$7:$G216,$G216,$H$7:$H216,"&lt;&gt;Mahsup"))</f>
        <v>MERKEZ KASA|160</v>
      </c>
    </row>
    <row r="217" spans="1:21" ht="18" customHeight="1" x14ac:dyDescent="0.3">
      <c r="A217" s="2"/>
      <c r="B217" s="65" t="str">
        <f>IF($D217="","","T"&amp;TEXT(ROW()-6,"00000"))</f>
        <v>T00211</v>
      </c>
      <c r="C217" s="65" t="str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>M007</v>
      </c>
      <c r="D217" s="61" t="s">
        <v>733</v>
      </c>
      <c r="E217" s="66">
        <v>46116</v>
      </c>
      <c r="F217" s="67">
        <v>3500</v>
      </c>
      <c r="G217" s="60" t="s">
        <v>717</v>
      </c>
      <c r="H217" s="60" t="s">
        <v>572</v>
      </c>
      <c r="I217" s="61"/>
      <c r="J217" s="61" t="s">
        <v>720</v>
      </c>
      <c r="K217" s="61"/>
      <c r="L217" s="73">
        <f>IF($E217="","",DATE(YEAR($E217),MONTH($E217),1))</f>
        <v>46113</v>
      </c>
      <c r="M217" s="65" t="str">
        <f ca="1">IF($D217="","",IF($C217="TANIMSIZ MÜŞTERİ","HATA",IF(OR($E217="",$F217&lt;=0,$G217=""),"EKSİK",IF($E217&gt;TODAY(),"İLERİ TARİH",IF(COUNTIF($S$7:$S$2503,$S217)&gt;1,"MÜKERRER?",IF($T217&gt;0,"KAPALI DÖNEM","UYGUN"))))))</f>
        <v>UYGUN</v>
      </c>
      <c r="N217" s="74" t="str">
        <f>IF($C217="","",IF($C217="TANIMSIZ MÜŞTERİ","—",INDEX(MUSTERILER!$C$7:$C$156,MATCH($C217,MUSTERILER!$B$7:$B$156,0))))</f>
        <v>MONAMOUR LTD.ŞTİ.</v>
      </c>
      <c r="O217" s="2"/>
      <c r="P217" s="2"/>
      <c r="Q217" s="1" t="str">
        <f>IF($D217="","",$C217&amp;"|"&amp;COUNTIFS($C$7:$C217,$C217))</f>
        <v>M007|11</v>
      </c>
      <c r="R217" s="1" t="str">
        <f t="shared" si="6"/>
        <v>MONAMOURLTDSTI</v>
      </c>
      <c r="S217" s="1" t="str">
        <f t="shared" si="7"/>
        <v>M007|46116|3500|</v>
      </c>
      <c r="T217" s="1">
        <f>IF($E217="",0,SUMPRODUCT((AY_SONU!$O$7:$O$42="Evet")*(AY_SONU!$B$7:$B$42=DATE(YEAR($E217),MONTH($E217),1))))</f>
        <v>0</v>
      </c>
      <c r="U217" s="1" t="str">
        <f>IF(OR($G217="",$H217="Mahsup"),"",$G217&amp;"|"&amp;COUNTIFS($G$7:$G217,$G217,$H$7:$H217,"&lt;&gt;Mahsup"))</f>
        <v>MERKEZ KASA|161</v>
      </c>
    </row>
    <row r="218" spans="1:21" ht="18" customHeight="1" x14ac:dyDescent="0.3">
      <c r="A218" s="2"/>
      <c r="B218" s="65" t="str">
        <f>IF($D218="","","T"&amp;TEXT(ROW()-6,"00000"))</f>
        <v>T00212</v>
      </c>
      <c r="C218" s="65" t="str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>M009</v>
      </c>
      <c r="D218" s="61" t="s">
        <v>735</v>
      </c>
      <c r="E218" s="66">
        <v>46116</v>
      </c>
      <c r="F218" s="67">
        <v>4000</v>
      </c>
      <c r="G218" s="60" t="s">
        <v>717</v>
      </c>
      <c r="H218" s="60" t="s">
        <v>572</v>
      </c>
      <c r="I218" s="61"/>
      <c r="J218" s="61" t="s">
        <v>720</v>
      </c>
      <c r="K218" s="61"/>
      <c r="L218" s="73">
        <f>IF($E218="","",DATE(YEAR($E218),MONTH($E218),1))</f>
        <v>46113</v>
      </c>
      <c r="M218" s="65" t="str">
        <f ca="1">IF($D218="","",IF($C218="TANIMSIZ MÜŞTERİ","HATA",IF(OR($E218="",$F218&lt;=0,$G218=""),"EKSİK",IF($E218&gt;TODAY(),"İLERİ TARİH",IF(COUNTIF($S$7:$S$2503,$S218)&gt;1,"MÜKERRER?",IF($T218&gt;0,"KAPALI DÖNEM","UYGUN"))))))</f>
        <v>UYGUN</v>
      </c>
      <c r="N218" s="74" t="str">
        <f>IF($C218="","",IF($C218="TANIMSIZ MÜŞTERİ","—",INDEX(MUSTERILER!$C$7:$C$156,MATCH($C218,MUSTERILER!$B$7:$B$156,0))))</f>
        <v>PAKYILDIZ LTD.ŞTİ.</v>
      </c>
      <c r="O218" s="2"/>
      <c r="P218" s="2"/>
      <c r="Q218" s="1" t="str">
        <f>IF($D218="","",$C218&amp;"|"&amp;COUNTIFS($C$7:$C218,$C218))</f>
        <v>M009|8</v>
      </c>
      <c r="R218" s="1" t="str">
        <f t="shared" si="6"/>
        <v>PAKYILDIZLTDSTI</v>
      </c>
      <c r="S218" s="1" t="str">
        <f t="shared" si="7"/>
        <v>M009|46116|4000|</v>
      </c>
      <c r="T218" s="1">
        <f>IF($E218="",0,SUMPRODUCT((AY_SONU!$O$7:$O$42="Evet")*(AY_SONU!$B$7:$B$42=DATE(YEAR($E218),MONTH($E218),1))))</f>
        <v>0</v>
      </c>
      <c r="U218" s="1" t="str">
        <f>IF(OR($G218="",$H218="Mahsup"),"",$G218&amp;"|"&amp;COUNTIFS($G$7:$G218,$G218,$H$7:$H218,"&lt;&gt;Mahsup"))</f>
        <v>MERKEZ KASA|162</v>
      </c>
    </row>
    <row r="219" spans="1:21" ht="18" customHeight="1" x14ac:dyDescent="0.3">
      <c r="A219" s="2"/>
      <c r="B219" s="65" t="str">
        <f>IF($D219="","","T"&amp;TEXT(ROW()-6,"00000"))</f>
        <v>T00213</v>
      </c>
      <c r="C219" s="65" t="str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>M003</v>
      </c>
      <c r="D219" s="61" t="s">
        <v>666</v>
      </c>
      <c r="E219" s="66">
        <v>46116</v>
      </c>
      <c r="F219" s="67">
        <v>6000</v>
      </c>
      <c r="G219" s="60" t="s">
        <v>717</v>
      </c>
      <c r="H219" s="60" t="s">
        <v>572</v>
      </c>
      <c r="I219" s="61"/>
      <c r="J219" s="61" t="s">
        <v>720</v>
      </c>
      <c r="K219" s="61"/>
      <c r="L219" s="73">
        <f>IF($E219="","",DATE(YEAR($E219),MONTH($E219),1))</f>
        <v>46113</v>
      </c>
      <c r="M219" s="65" t="str">
        <f ca="1">IF($D219="","",IF($C219="TANIMSIZ MÜŞTERİ","HATA",IF(OR($E219="",$F219&lt;=0,$G219=""),"EKSİK",IF($E219&gt;TODAY(),"İLERİ TARİH",IF(COUNTIF($S$7:$S$2503,$S219)&gt;1,"MÜKERRER?",IF($T219&gt;0,"KAPALI DÖNEM","UYGUN"))))))</f>
        <v>UYGUN</v>
      </c>
      <c r="N219" s="74" t="str">
        <f>IF($C219="","",IF($C219="TANIMSIZ MÜŞTERİ","—",INDEX(MUSTERILER!$C$7:$C$156,MATCH($C219,MUSTERILER!$B$7:$B$156,0))))</f>
        <v>TYANA LTD.ŞTİ.</v>
      </c>
      <c r="O219" s="2"/>
      <c r="P219" s="2"/>
      <c r="Q219" s="1" t="str">
        <f>IF($D219="","",$C219&amp;"|"&amp;COUNTIFS($C$7:$C219,$C219))</f>
        <v>M003|5</v>
      </c>
      <c r="R219" s="1" t="str">
        <f t="shared" si="6"/>
        <v>TYANALTDSTI</v>
      </c>
      <c r="S219" s="1" t="str">
        <f t="shared" si="7"/>
        <v>M003|46116|6000|</v>
      </c>
      <c r="T219" s="1">
        <f>IF($E219="",0,SUMPRODUCT((AY_SONU!$O$7:$O$42="Evet")*(AY_SONU!$B$7:$B$42=DATE(YEAR($E219),MONTH($E219),1))))</f>
        <v>0</v>
      </c>
      <c r="U219" s="1" t="str">
        <f>IF(OR($G219="",$H219="Mahsup"),"",$G219&amp;"|"&amp;COUNTIFS($G$7:$G219,$G219,$H$7:$H219,"&lt;&gt;Mahsup"))</f>
        <v>MERKEZ KASA|163</v>
      </c>
    </row>
    <row r="220" spans="1:21" ht="18" customHeight="1" x14ac:dyDescent="0.3">
      <c r="A220" s="2"/>
      <c r="B220" s="65" t="str">
        <f>IF($D220="","","T"&amp;TEXT(ROW()-6,"00000"))</f>
        <v>T00214</v>
      </c>
      <c r="C220" s="65" t="str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>M004</v>
      </c>
      <c r="D220" s="61" t="s">
        <v>738</v>
      </c>
      <c r="E220" s="66">
        <v>46116</v>
      </c>
      <c r="F220" s="67">
        <v>3000</v>
      </c>
      <c r="G220" s="60" t="s">
        <v>717</v>
      </c>
      <c r="H220" s="60" t="s">
        <v>572</v>
      </c>
      <c r="I220" s="61"/>
      <c r="J220" s="61" t="s">
        <v>720</v>
      </c>
      <c r="K220" s="61"/>
      <c r="L220" s="73">
        <f>IF($E220="","",DATE(YEAR($E220),MONTH($E220),1))</f>
        <v>46113</v>
      </c>
      <c r="M220" s="65" t="str">
        <f ca="1">IF($D220="","",IF($C220="TANIMSIZ MÜŞTERİ","HATA",IF(OR($E220="",$F220&lt;=0,$G220=""),"EKSİK",IF($E220&gt;TODAY(),"İLERİ TARİH",IF(COUNTIF($S$7:$S$2503,$S220)&gt;1,"MÜKERRER?",IF($T220&gt;0,"KAPALI DÖNEM","UYGUN"))))))</f>
        <v>UYGUN</v>
      </c>
      <c r="N220" s="74" t="str">
        <f>IF($C220="","",IF($C220="TANIMSIZ MÜŞTERİ","—",INDEX(MUSTERILER!$C$7:$C$156,MATCH($C220,MUSTERILER!$B$7:$B$156,0))))</f>
        <v>ZÜMRÜT EĞLENCE LTD.ŞTİ.</v>
      </c>
      <c r="O220" s="2"/>
      <c r="P220" s="2"/>
      <c r="Q220" s="1" t="str">
        <f>IF($D220="","",$C220&amp;"|"&amp;COUNTIFS($C$7:$C220,$C220))</f>
        <v>M004|8</v>
      </c>
      <c r="R220" s="1" t="str">
        <f t="shared" si="6"/>
        <v>ZUMRUTEGLENCELTDSTI</v>
      </c>
      <c r="S220" s="1" t="str">
        <f t="shared" si="7"/>
        <v>M004|46116|3000|</v>
      </c>
      <c r="T220" s="1">
        <f>IF($E220="",0,SUMPRODUCT((AY_SONU!$O$7:$O$42="Evet")*(AY_SONU!$B$7:$B$42=DATE(YEAR($E220),MONTH($E220),1))))</f>
        <v>0</v>
      </c>
      <c r="U220" s="1" t="str">
        <f>IF(OR($G220="",$H220="Mahsup"),"",$G220&amp;"|"&amp;COUNTIFS($G$7:$G220,$G220,$H$7:$H220,"&lt;&gt;Mahsup"))</f>
        <v>MERKEZ KASA|164</v>
      </c>
    </row>
    <row r="221" spans="1:21" ht="18" customHeight="1" x14ac:dyDescent="0.3">
      <c r="A221" s="2"/>
      <c r="B221" s="65" t="str">
        <f>IF($D221="","","T"&amp;TEXT(ROW()-6,"00000"))</f>
        <v>T00215</v>
      </c>
      <c r="C221" s="65" t="str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>M005</v>
      </c>
      <c r="D221" s="61" t="s">
        <v>722</v>
      </c>
      <c r="E221" s="66">
        <v>46116</v>
      </c>
      <c r="F221" s="67">
        <v>1750</v>
      </c>
      <c r="G221" s="60" t="s">
        <v>717</v>
      </c>
      <c r="H221" s="60" t="s">
        <v>572</v>
      </c>
      <c r="I221" s="61"/>
      <c r="J221" s="61" t="s">
        <v>720</v>
      </c>
      <c r="K221" s="61"/>
      <c r="L221" s="73">
        <f>IF($E221="","",DATE(YEAR($E221),MONTH($E221),1))</f>
        <v>46113</v>
      </c>
      <c r="M221" s="65" t="str">
        <f ca="1">IF($D221="","",IF($C221="TANIMSIZ MÜŞTERİ","HATA",IF(OR($E221="",$F221&lt;=0,$G221=""),"EKSİK",IF($E221&gt;TODAY(),"İLERİ TARİH",IF(COUNTIF($S$7:$S$2503,$S221)&gt;1,"MÜKERRER?",IF($T221&gt;0,"KAPALI DÖNEM","UYGUN"))))))</f>
        <v>UYGUN</v>
      </c>
      <c r="N221" s="74" t="str">
        <f>IF($C221="","",IF($C221="TANIMSIZ MÜŞTERİ","—",INDEX(MUSTERILER!$C$7:$C$156,MATCH($C221,MUSTERILER!$B$7:$B$156,0))))</f>
        <v>ZÜMRÜT GRUP LTD.ŞTİ.</v>
      </c>
      <c r="O221" s="2"/>
      <c r="P221" s="2"/>
      <c r="Q221" s="1" t="str">
        <f>IF($D221="","",$C221&amp;"|"&amp;COUNTIFS($C$7:$C221,$C221))</f>
        <v>M005|12</v>
      </c>
      <c r="R221" s="1" t="str">
        <f t="shared" si="6"/>
        <v>ZUMRUTGRUPLTDSTI</v>
      </c>
      <c r="S221" s="1" t="str">
        <f t="shared" si="7"/>
        <v>M005|46116|1750|</v>
      </c>
      <c r="T221" s="1">
        <f>IF($E221="",0,SUMPRODUCT((AY_SONU!$O$7:$O$42="Evet")*(AY_SONU!$B$7:$B$42=DATE(YEAR($E221),MONTH($E221),1))))</f>
        <v>0</v>
      </c>
      <c r="U221" s="1" t="str">
        <f>IF(OR($G221="",$H221="Mahsup"),"",$G221&amp;"|"&amp;COUNTIFS($G$7:$G221,$G221,$H$7:$H221,"&lt;&gt;Mahsup"))</f>
        <v>MERKEZ KASA|165</v>
      </c>
    </row>
    <row r="222" spans="1:21" ht="18" customHeight="1" x14ac:dyDescent="0.3">
      <c r="A222" s="2"/>
      <c r="B222" s="65" t="str">
        <f>IF($D222="","","T"&amp;TEXT(ROW()-6,"00000"))</f>
        <v>T00216</v>
      </c>
      <c r="C222" s="65" t="str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>M002</v>
      </c>
      <c r="D222" s="61" t="s">
        <v>601</v>
      </c>
      <c r="E222" s="66">
        <v>46116</v>
      </c>
      <c r="F222" s="67">
        <v>3500</v>
      </c>
      <c r="G222" s="60" t="s">
        <v>717</v>
      </c>
      <c r="H222" s="60" t="s">
        <v>572</v>
      </c>
      <c r="I222" s="61"/>
      <c r="J222" s="61" t="s">
        <v>720</v>
      </c>
      <c r="K222" s="61"/>
      <c r="L222" s="73">
        <f>IF($E222="","",DATE(YEAR($E222),MONTH($E222),1))</f>
        <v>46113</v>
      </c>
      <c r="M222" s="65" t="str">
        <f ca="1">IF($D222="","",IF($C222="TANIMSIZ MÜŞTERİ","HATA",IF(OR($E222="",$F222&lt;=0,$G222=""),"EKSİK",IF($E222&gt;TODAY(),"İLERİ TARİH",IF(COUNTIF($S$7:$S$2503,$S222)&gt;1,"MÜKERRER?",IF($T222&gt;0,"KAPALI DÖNEM","UYGUN"))))))</f>
        <v>UYGUN</v>
      </c>
      <c r="N222" s="74" t="str">
        <f>IF($C222="","",IF($C222="TANIMSIZ MÜŞTERİ","—",INDEX(MUSTERILER!$C$7:$C$156,MATCH($C222,MUSTERILER!$B$7:$B$156,0))))</f>
        <v>ESERLİ LTD.ŞTİ.</v>
      </c>
      <c r="O222" s="2"/>
      <c r="P222" s="2"/>
      <c r="Q222" s="1" t="str">
        <f>IF($D222="","",$C222&amp;"|"&amp;COUNTIFS($C$7:$C222,$C222))</f>
        <v>M002|3</v>
      </c>
      <c r="R222" s="1" t="str">
        <f t="shared" si="6"/>
        <v>ESERLILTDSTI</v>
      </c>
      <c r="S222" s="1" t="str">
        <f t="shared" si="7"/>
        <v>M002|46116|3500|</v>
      </c>
      <c r="T222" s="1">
        <f>IF($E222="",0,SUMPRODUCT((AY_SONU!$O$7:$O$42="Evet")*(AY_SONU!$B$7:$B$42=DATE(YEAR($E222),MONTH($E222),1))))</f>
        <v>0</v>
      </c>
      <c r="U222" s="1" t="str">
        <f>IF(OR($G222="",$H222="Mahsup"),"",$G222&amp;"|"&amp;COUNTIFS($G$7:$G222,$G222,$H$7:$H222,"&lt;&gt;Mahsup"))</f>
        <v>MERKEZ KASA|166</v>
      </c>
    </row>
    <row r="223" spans="1:21" ht="18" customHeight="1" x14ac:dyDescent="0.3">
      <c r="A223" s="2"/>
      <c r="B223" s="65" t="str">
        <f>IF($D223="","","T"&amp;TEXT(ROW()-6,"00000"))</f>
        <v>T00217</v>
      </c>
      <c r="C223" s="65" t="str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>M020</v>
      </c>
      <c r="D223" s="61" t="s">
        <v>623</v>
      </c>
      <c r="E223" s="66">
        <v>46116</v>
      </c>
      <c r="F223" s="67">
        <v>3000</v>
      </c>
      <c r="G223" s="60" t="s">
        <v>717</v>
      </c>
      <c r="H223" s="60" t="s">
        <v>572</v>
      </c>
      <c r="I223" s="61"/>
      <c r="J223" s="61" t="s">
        <v>720</v>
      </c>
      <c r="K223" s="61"/>
      <c r="L223" s="73">
        <f>IF($E223="","",DATE(YEAR($E223),MONTH($E223),1))</f>
        <v>46113</v>
      </c>
      <c r="M223" s="65" t="str">
        <f ca="1">IF($D223="","",IF($C223="TANIMSIZ MÜŞTERİ","HATA",IF(OR($E223="",$F223&lt;=0,$G223=""),"EKSİK",IF($E223&gt;TODAY(),"İLERİ TARİH",IF(COUNTIF($S$7:$S$2503,$S223)&gt;1,"MÜKERRER?",IF($T223&gt;0,"KAPALI DÖNEM","UYGUN"))))))</f>
        <v>UYGUN</v>
      </c>
      <c r="N223" s="74" t="str">
        <f>IF($C223="","",IF($C223="TANIMSIZ MÜŞTERİ","—",INDEX(MUSTERILER!$C$7:$C$156,MATCH($C223,MUSTERILER!$B$7:$B$156,0))))</f>
        <v>KRİSTAL LTD.ŞTİ.</v>
      </c>
      <c r="O223" s="2"/>
      <c r="P223" s="2"/>
      <c r="Q223" s="1" t="str">
        <f>IF($D223="","",$C223&amp;"|"&amp;COUNTIFS($C$7:$C223,$C223))</f>
        <v>M020|13</v>
      </c>
      <c r="R223" s="1" t="str">
        <f t="shared" si="6"/>
        <v>KRISTALLTDSTI</v>
      </c>
      <c r="S223" s="1" t="str">
        <f t="shared" si="7"/>
        <v>M020|46116|3000|</v>
      </c>
      <c r="T223" s="1">
        <f>IF($E223="",0,SUMPRODUCT((AY_SONU!$O$7:$O$42="Evet")*(AY_SONU!$B$7:$B$42=DATE(YEAR($E223),MONTH($E223),1))))</f>
        <v>0</v>
      </c>
      <c r="U223" s="1" t="str">
        <f>IF(OR($G223="",$H223="Mahsup"),"",$G223&amp;"|"&amp;COUNTIFS($G$7:$G223,$G223,$H$7:$H223,"&lt;&gt;Mahsup"))</f>
        <v>MERKEZ KASA|167</v>
      </c>
    </row>
    <row r="224" spans="1:21" ht="18" customHeight="1" x14ac:dyDescent="0.3">
      <c r="A224" s="2"/>
      <c r="B224" s="65" t="str">
        <f>IF($D224="","","T"&amp;TEXT(ROW()-6,"00000"))</f>
        <v>T00218</v>
      </c>
      <c r="C224" s="65" t="str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>M047</v>
      </c>
      <c r="D224" s="61" t="s">
        <v>654</v>
      </c>
      <c r="E224" s="66">
        <v>46116</v>
      </c>
      <c r="F224" s="67">
        <v>4000</v>
      </c>
      <c r="G224" s="60" t="s">
        <v>717</v>
      </c>
      <c r="H224" s="60" t="s">
        <v>572</v>
      </c>
      <c r="I224" s="61"/>
      <c r="J224" s="61" t="s">
        <v>720</v>
      </c>
      <c r="K224" s="61"/>
      <c r="L224" s="73">
        <f>IF($E224="","",DATE(YEAR($E224),MONTH($E224),1))</f>
        <v>46113</v>
      </c>
      <c r="M224" s="65" t="str">
        <f ca="1">IF($D224="","",IF($C224="TANIMSIZ MÜŞTERİ","HATA",IF(OR($E224="",$F224&lt;=0,$G224=""),"EKSİK",IF($E224&gt;TODAY(),"İLERİ TARİH",IF(COUNTIF($S$7:$S$2503,$S224)&gt;1,"MÜKERRER?",IF($T224&gt;0,"KAPALI DÖNEM","UYGUN"))))))</f>
        <v>UYGUN</v>
      </c>
      <c r="N224" s="74" t="str">
        <f>IF($C224="","",IF($C224="TANIMSIZ MÜŞTERİ","—",INDEX(MUSTERILER!$C$7:$C$156,MATCH($C224,MUSTERILER!$B$7:$B$156,0))))</f>
        <v>PALAOĞULLARI LTD.ŞTİ.</v>
      </c>
      <c r="O224" s="2"/>
      <c r="P224" s="2"/>
      <c r="Q224" s="1" t="str">
        <f>IF($D224="","",$C224&amp;"|"&amp;COUNTIFS($C$7:$C224,$C224))</f>
        <v>M047|6</v>
      </c>
      <c r="R224" s="1" t="str">
        <f t="shared" si="6"/>
        <v>PALAOGULLARILTDSTI</v>
      </c>
      <c r="S224" s="1" t="str">
        <f t="shared" si="7"/>
        <v>M047|46116|4000|</v>
      </c>
      <c r="T224" s="1">
        <f>IF($E224="",0,SUMPRODUCT((AY_SONU!$O$7:$O$42="Evet")*(AY_SONU!$B$7:$B$42=DATE(YEAR($E224),MONTH($E224),1))))</f>
        <v>0</v>
      </c>
      <c r="U224" s="1" t="str">
        <f>IF(OR($G224="",$H224="Mahsup"),"",$G224&amp;"|"&amp;COUNTIFS($G$7:$G224,$G224,$H$7:$H224,"&lt;&gt;Mahsup"))</f>
        <v>MERKEZ KASA|168</v>
      </c>
    </row>
    <row r="225" spans="1:21" ht="18" customHeight="1" x14ac:dyDescent="0.3">
      <c r="A225" s="2"/>
      <c r="B225" s="65" t="str">
        <f>IF($D225="","","T"&amp;TEXT(ROW()-6,"00000"))</f>
        <v>T00219</v>
      </c>
      <c r="C225" s="65" t="str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>M012</v>
      </c>
      <c r="D225" s="61" t="s">
        <v>721</v>
      </c>
      <c r="E225" s="66">
        <v>46117</v>
      </c>
      <c r="F225" s="67">
        <v>4000</v>
      </c>
      <c r="G225" s="60" t="s">
        <v>717</v>
      </c>
      <c r="H225" s="60" t="s">
        <v>572</v>
      </c>
      <c r="I225" s="61"/>
      <c r="J225" s="61" t="s">
        <v>720</v>
      </c>
      <c r="K225" s="61"/>
      <c r="L225" s="73">
        <f>IF($E225="","",DATE(YEAR($E225),MONTH($E225),1))</f>
        <v>46113</v>
      </c>
      <c r="M225" s="65" t="str">
        <f ca="1">IF($D225="","",IF($C225="TANIMSIZ MÜŞTERİ","HATA",IF(OR($E225="",$F225&lt;=0,$G225=""),"EKSİK",IF($E225&gt;TODAY(),"İLERİ TARİH",IF(COUNTIF($S$7:$S$2503,$S225)&gt;1,"MÜKERRER?",IF($T225&gt;0,"KAPALI DÖNEM","UYGUN"))))))</f>
        <v>UYGUN</v>
      </c>
      <c r="N225" s="74" t="str">
        <f>IF($C225="","",IF($C225="TANIMSIZ MÜŞTERİ","—",INDEX(MUSTERILER!$C$7:$C$156,MATCH($C225,MUSTERILER!$B$7:$B$156,0))))</f>
        <v>İLDEŞ LTD.ŞTİ.</v>
      </c>
      <c r="O225" s="2"/>
      <c r="P225" s="2"/>
      <c r="Q225" s="1" t="str">
        <f>IF($D225="","",$C225&amp;"|"&amp;COUNTIFS($C$7:$C225,$C225))</f>
        <v>M012|13</v>
      </c>
      <c r="R225" s="1" t="str">
        <f t="shared" si="6"/>
        <v>ILDESLTDSTI</v>
      </c>
      <c r="S225" s="1" t="str">
        <f t="shared" si="7"/>
        <v>M012|46117|4000|</v>
      </c>
      <c r="T225" s="1">
        <f>IF($E225="",0,SUMPRODUCT((AY_SONU!$O$7:$O$42="Evet")*(AY_SONU!$B$7:$B$42=DATE(YEAR($E225),MONTH($E225),1))))</f>
        <v>0</v>
      </c>
      <c r="U225" s="1" t="str">
        <f>IF(OR($G225="",$H225="Mahsup"),"",$G225&amp;"|"&amp;COUNTIFS($G$7:$G225,$G225,$H$7:$H225,"&lt;&gt;Mahsup"))</f>
        <v>MERKEZ KASA|169</v>
      </c>
    </row>
    <row r="226" spans="1:21" ht="18" customHeight="1" x14ac:dyDescent="0.3">
      <c r="A226" s="2"/>
      <c r="B226" s="65" t="str">
        <f>IF($D226="","","T"&amp;TEXT(ROW()-6,"00000"))</f>
        <v>T00220</v>
      </c>
      <c r="C226" s="65" t="str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>M048</v>
      </c>
      <c r="D226" s="61" t="s">
        <v>656</v>
      </c>
      <c r="E226" s="66">
        <v>46122</v>
      </c>
      <c r="F226" s="67">
        <v>10000</v>
      </c>
      <c r="G226" s="60" t="s">
        <v>723</v>
      </c>
      <c r="H226" s="60" t="s">
        <v>572</v>
      </c>
      <c r="I226" s="61"/>
      <c r="J226" s="61" t="s">
        <v>720</v>
      </c>
      <c r="K226" s="61"/>
      <c r="L226" s="73">
        <f>IF($E226="","",DATE(YEAR($E226),MONTH($E226),1))</f>
        <v>46113</v>
      </c>
      <c r="M226" s="65" t="str">
        <f ca="1">IF($D226="","",IF($C226="TANIMSIZ MÜŞTERİ","HATA",IF(OR($E226="",$F226&lt;=0,$G226=""),"EKSİK",IF($E226&gt;TODAY(),"İLERİ TARİH",IF(COUNTIF($S$7:$S$2503,$S226)&gt;1,"MÜKERRER?",IF($T226&gt;0,"KAPALI DÖNEM","UYGUN"))))))</f>
        <v>UYGUN</v>
      </c>
      <c r="N226" s="74" t="str">
        <f>IF($C226="","",IF($C226="TANIMSIZ MÜŞTERİ","—",INDEX(MUSTERILER!$C$7:$C$156,MATCH($C226,MUSTERILER!$B$7:$B$156,0))))</f>
        <v>RASİM DEMİRCİ</v>
      </c>
      <c r="O226" s="2"/>
      <c r="P226" s="2"/>
      <c r="Q226" s="1" t="str">
        <f>IF($D226="","",$C226&amp;"|"&amp;COUNTIFS($C$7:$C226,$C226))</f>
        <v>M048|1</v>
      </c>
      <c r="R226" s="1" t="str">
        <f t="shared" si="6"/>
        <v>RASIMDEMIRCI</v>
      </c>
      <c r="S226" s="1" t="str">
        <f t="shared" si="7"/>
        <v>M048|46122|10000|</v>
      </c>
      <c r="T226" s="1">
        <f>IF($E226="",0,SUMPRODUCT((AY_SONU!$O$7:$O$42="Evet")*(AY_SONU!$B$7:$B$42=DATE(YEAR($E226),MONTH($E226),1))))</f>
        <v>0</v>
      </c>
      <c r="U226" s="1" t="str">
        <f>IF(OR($G226="",$H226="Mahsup"),"",$G226&amp;"|"&amp;COUNTIFS($G$7:$G226,$G226,$H$7:$H226,"&lt;&gt;Mahsup"))</f>
        <v>ÖMER KARTAL|51</v>
      </c>
    </row>
    <row r="227" spans="1:21" ht="18" customHeight="1" x14ac:dyDescent="0.3">
      <c r="A227" s="2"/>
      <c r="B227" s="65" t="str">
        <f>IF($D227="","","T"&amp;TEXT(ROW()-6,"00000"))</f>
        <v>T00221</v>
      </c>
      <c r="C227" s="65" t="str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>M025</v>
      </c>
      <c r="D227" s="61" t="s">
        <v>583</v>
      </c>
      <c r="E227" s="66">
        <v>46123</v>
      </c>
      <c r="F227" s="67">
        <v>2000</v>
      </c>
      <c r="G227" s="60" t="s">
        <v>723</v>
      </c>
      <c r="H227" s="60" t="s">
        <v>572</v>
      </c>
      <c r="I227" s="61"/>
      <c r="J227" s="61" t="s">
        <v>720</v>
      </c>
      <c r="K227" s="61"/>
      <c r="L227" s="73">
        <f>IF($E227="","",DATE(YEAR($E227),MONTH($E227),1))</f>
        <v>46113</v>
      </c>
      <c r="M227" s="65" t="str">
        <f ca="1">IF($D227="","",IF($C227="TANIMSIZ MÜŞTERİ","HATA",IF(OR($E227="",$F227&lt;=0,$G227=""),"EKSİK",IF($E227&gt;TODAY(),"İLERİ TARİH",IF(COUNTIF($S$7:$S$2503,$S227)&gt;1,"MÜKERRER?",IF($T227&gt;0,"KAPALI DÖNEM","UYGUN"))))))</f>
        <v>UYGUN</v>
      </c>
      <c r="N227" s="74" t="str">
        <f>IF($C227="","",IF($C227="TANIMSIZ MÜŞTERİ","—",INDEX(MUSTERILER!$C$7:$C$156,MATCH($C227,MUSTERILER!$B$7:$B$156,0))))</f>
        <v>ASIM AÇIKGÖZ</v>
      </c>
      <c r="O227" s="2"/>
      <c r="P227" s="2"/>
      <c r="Q227" s="1" t="str">
        <f>IF($D227="","",$C227&amp;"|"&amp;COUNTIFS($C$7:$C227,$C227))</f>
        <v>M025|11</v>
      </c>
      <c r="R227" s="1" t="str">
        <f t="shared" si="6"/>
        <v>ASIMACIKGOZ</v>
      </c>
      <c r="S227" s="1" t="str">
        <f t="shared" si="7"/>
        <v>M025|46123|2000|</v>
      </c>
      <c r="T227" s="1">
        <f>IF($E227="",0,SUMPRODUCT((AY_SONU!$O$7:$O$42="Evet")*(AY_SONU!$B$7:$B$42=DATE(YEAR($E227),MONTH($E227),1))))</f>
        <v>0</v>
      </c>
      <c r="U227" s="1" t="str">
        <f>IF(OR($G227="",$H227="Mahsup"),"",$G227&amp;"|"&amp;COUNTIFS($G$7:$G227,$G227,$H$7:$H227,"&lt;&gt;Mahsup"))</f>
        <v>ÖMER KARTAL|52</v>
      </c>
    </row>
    <row r="228" spans="1:21" ht="18" customHeight="1" x14ac:dyDescent="0.3">
      <c r="A228" s="2"/>
      <c r="B228" s="65" t="str">
        <f>IF($D228="","","T"&amp;TEXT(ROW()-6,"00000"))</f>
        <v>T00222</v>
      </c>
      <c r="C228" s="65" t="str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>M017</v>
      </c>
      <c r="D228" s="61" t="s">
        <v>585</v>
      </c>
      <c r="E228" s="66">
        <v>46123</v>
      </c>
      <c r="F228" s="67">
        <v>2500</v>
      </c>
      <c r="G228" s="60" t="s">
        <v>723</v>
      </c>
      <c r="H228" s="60" t="s">
        <v>572</v>
      </c>
      <c r="I228" s="61"/>
      <c r="J228" s="61" t="s">
        <v>720</v>
      </c>
      <c r="K228" s="61"/>
      <c r="L228" s="73">
        <f>IF($E228="","",DATE(YEAR($E228),MONTH($E228),1))</f>
        <v>46113</v>
      </c>
      <c r="M228" s="65" t="str">
        <f ca="1">IF($D228="","",IF($C228="TANIMSIZ MÜŞTERİ","HATA",IF(OR($E228="",$F228&lt;=0,$G228=""),"EKSİK",IF($E228&gt;TODAY(),"İLERİ TARİH",IF(COUNTIF($S$7:$S$2503,$S228)&gt;1,"MÜKERRER?",IF($T228&gt;0,"KAPALI DÖNEM","UYGUN"))))))</f>
        <v>UYGUN</v>
      </c>
      <c r="N228" s="74" t="str">
        <f>IF($C228="","",IF($C228="TANIMSIZ MÜŞTERİ","—",INDEX(MUSTERILER!$C$7:$C$156,MATCH($C228,MUSTERILER!$B$7:$B$156,0))))</f>
        <v>ASM EĞLENCE LTD.ŞTİ.</v>
      </c>
      <c r="O228" s="2"/>
      <c r="P228" s="2"/>
      <c r="Q228" s="1" t="str">
        <f>IF($D228="","",$C228&amp;"|"&amp;COUNTIFS($C$7:$C228,$C228))</f>
        <v>M017|13</v>
      </c>
      <c r="R228" s="1" t="str">
        <f t="shared" si="6"/>
        <v>ASMEGLENCELTDSTI</v>
      </c>
      <c r="S228" s="1" t="str">
        <f t="shared" si="7"/>
        <v>M017|46123|2500|</v>
      </c>
      <c r="T228" s="1">
        <f>IF($E228="",0,SUMPRODUCT((AY_SONU!$O$7:$O$42="Evet")*(AY_SONU!$B$7:$B$42=DATE(YEAR($E228),MONTH($E228),1))))</f>
        <v>0</v>
      </c>
      <c r="U228" s="1" t="str">
        <f>IF(OR($G228="",$H228="Mahsup"),"",$G228&amp;"|"&amp;COUNTIFS($G$7:$G228,$G228,$H$7:$H228,"&lt;&gt;Mahsup"))</f>
        <v>ÖMER KARTAL|53</v>
      </c>
    </row>
    <row r="229" spans="1:21" ht="18" customHeight="1" x14ac:dyDescent="0.3">
      <c r="A229" s="2"/>
      <c r="B229" s="65" t="str">
        <f>IF($D229="","","T"&amp;TEXT(ROW()-6,"00000"))</f>
        <v>T00223</v>
      </c>
      <c r="C229" s="65" t="str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>M015</v>
      </c>
      <c r="D229" s="61" t="s">
        <v>719</v>
      </c>
      <c r="E229" s="66">
        <v>46123</v>
      </c>
      <c r="F229" s="67">
        <v>3000</v>
      </c>
      <c r="G229" s="60" t="s">
        <v>723</v>
      </c>
      <c r="H229" s="60" t="s">
        <v>572</v>
      </c>
      <c r="I229" s="61"/>
      <c r="J229" s="61" t="s">
        <v>724</v>
      </c>
      <c r="K229" s="61"/>
      <c r="L229" s="73">
        <f>IF($E229="","",DATE(YEAR($E229),MONTH($E229),1))</f>
        <v>46113</v>
      </c>
      <c r="M229" s="65" t="str">
        <f ca="1">IF($D229="","",IF($C229="TANIMSIZ MÜŞTERİ","HATA",IF(OR($E229="",$F229&lt;=0,$G229=""),"EKSİK",IF($E229&gt;TODAY(),"İLERİ TARİH",IF(COUNTIF($S$7:$S$2503,$S229)&gt;1,"MÜKERRER?",IF($T229&gt;0,"KAPALI DÖNEM","UYGUN"))))))</f>
        <v>UYGUN</v>
      </c>
      <c r="N229" s="74" t="str">
        <f>IF($C229="","",IF($C229="TANIMSIZ MÜŞTERİ","—",INDEX(MUSTERILER!$C$7:$C$156,MATCH($C229,MUSTERILER!$B$7:$B$156,0))))</f>
        <v>ÇAYIRALAN LTD.ŞTİ.</v>
      </c>
      <c r="O229" s="2"/>
      <c r="P229" s="2"/>
      <c r="Q229" s="1" t="str">
        <f>IF($D229="","",$C229&amp;"|"&amp;COUNTIFS($C$7:$C229,$C229))</f>
        <v>M015|12</v>
      </c>
      <c r="R229" s="1" t="str">
        <f t="shared" si="6"/>
        <v>CAYIRALANLTDSTI</v>
      </c>
      <c r="S229" s="1" t="str">
        <f t="shared" si="7"/>
        <v>M015|46123|3000|</v>
      </c>
      <c r="T229" s="1">
        <f>IF($E229="",0,SUMPRODUCT((AY_SONU!$O$7:$O$42="Evet")*(AY_SONU!$B$7:$B$42=DATE(YEAR($E229),MONTH($E229),1))))</f>
        <v>0</v>
      </c>
      <c r="U229" s="1" t="str">
        <f>IF(OR($G229="",$H229="Mahsup"),"",$G229&amp;"|"&amp;COUNTIFS($G$7:$G229,$G229,$H$7:$H229,"&lt;&gt;Mahsup"))</f>
        <v>ÖMER KARTAL|54</v>
      </c>
    </row>
    <row r="230" spans="1:21" ht="18" customHeight="1" x14ac:dyDescent="0.3">
      <c r="A230" s="2"/>
      <c r="B230" s="65" t="str">
        <f>IF($D230="","","T"&amp;TEXT(ROW()-6,"00000"))</f>
        <v>T00224</v>
      </c>
      <c r="C230" s="65" t="str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>M034</v>
      </c>
      <c r="D230" s="61" t="s">
        <v>732</v>
      </c>
      <c r="E230" s="66">
        <v>46123</v>
      </c>
      <c r="F230" s="67">
        <v>4000</v>
      </c>
      <c r="G230" s="60" t="s">
        <v>723</v>
      </c>
      <c r="H230" s="60" t="s">
        <v>572</v>
      </c>
      <c r="I230" s="61"/>
      <c r="J230" s="61" t="s">
        <v>724</v>
      </c>
      <c r="K230" s="61"/>
      <c r="L230" s="73">
        <f>IF($E230="","",DATE(YEAR($E230),MONTH($E230),1))</f>
        <v>46113</v>
      </c>
      <c r="M230" s="65" t="str">
        <f ca="1">IF($D230="","",IF($C230="TANIMSIZ MÜŞTERİ","HATA",IF(OR($E230="",$F230&lt;=0,$G230=""),"EKSİK",IF($E230&gt;TODAY(),"İLERİ TARİH",IF(COUNTIF($S$7:$S$2503,$S230)&gt;1,"MÜKERRER?",IF($T230&gt;0,"KAPALI DÖNEM","UYGUN"))))))</f>
        <v>UYGUN</v>
      </c>
      <c r="N230" s="74" t="str">
        <f>IF($C230="","",IF($C230="TANIMSIZ MÜŞTERİ","—",INDEX(MUSTERILER!$C$7:$C$156,MATCH($C230,MUSTERILER!$B$7:$B$156,0))))</f>
        <v>İBRAHİM MALDAN</v>
      </c>
      <c r="O230" s="2"/>
      <c r="P230" s="2"/>
      <c r="Q230" s="1" t="str">
        <f>IF($D230="","",$C230&amp;"|"&amp;COUNTIFS($C$7:$C230,$C230))</f>
        <v>M034|10</v>
      </c>
      <c r="R230" s="1" t="str">
        <f t="shared" si="6"/>
        <v>IBRAHIMMALDAN</v>
      </c>
      <c r="S230" s="1" t="str">
        <f t="shared" si="7"/>
        <v>M034|46123|4000|</v>
      </c>
      <c r="T230" s="1">
        <f>IF($E230="",0,SUMPRODUCT((AY_SONU!$O$7:$O$42="Evet")*(AY_SONU!$B$7:$B$42=DATE(YEAR($E230),MONTH($E230),1))))</f>
        <v>0</v>
      </c>
      <c r="U230" s="1" t="str">
        <f>IF(OR($G230="",$H230="Mahsup"),"",$G230&amp;"|"&amp;COUNTIFS($G$7:$G230,$G230,$H$7:$H230,"&lt;&gt;Mahsup"))</f>
        <v>ÖMER KARTAL|55</v>
      </c>
    </row>
    <row r="231" spans="1:21" ht="18" customHeight="1" x14ac:dyDescent="0.3">
      <c r="A231" s="2"/>
      <c r="B231" s="65" t="str">
        <f>IF($D231="","","T"&amp;TEXT(ROW()-6,"00000"))</f>
        <v>T00225</v>
      </c>
      <c r="C231" s="65" t="str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>M009</v>
      </c>
      <c r="D231" s="61" t="s">
        <v>735</v>
      </c>
      <c r="E231" s="66">
        <v>46123</v>
      </c>
      <c r="F231" s="67">
        <v>4000</v>
      </c>
      <c r="G231" s="60" t="s">
        <v>723</v>
      </c>
      <c r="H231" s="60" t="s">
        <v>572</v>
      </c>
      <c r="I231" s="61"/>
      <c r="J231" s="61" t="s">
        <v>724</v>
      </c>
      <c r="K231" s="61"/>
      <c r="L231" s="73">
        <f>IF($E231="","",DATE(YEAR($E231),MONTH($E231),1))</f>
        <v>46113</v>
      </c>
      <c r="M231" s="65" t="str">
        <f ca="1">IF($D231="","",IF($C231="TANIMSIZ MÜŞTERİ","HATA",IF(OR($E231="",$F231&lt;=0,$G231=""),"EKSİK",IF($E231&gt;TODAY(),"İLERİ TARİH",IF(COUNTIF($S$7:$S$2503,$S231)&gt;1,"MÜKERRER?",IF($T231&gt;0,"KAPALI DÖNEM","UYGUN"))))))</f>
        <v>UYGUN</v>
      </c>
      <c r="N231" s="74" t="str">
        <f>IF($C231="","",IF($C231="TANIMSIZ MÜŞTERİ","—",INDEX(MUSTERILER!$C$7:$C$156,MATCH($C231,MUSTERILER!$B$7:$B$156,0))))</f>
        <v>PAKYILDIZ LTD.ŞTİ.</v>
      </c>
      <c r="O231" s="2"/>
      <c r="P231" s="2"/>
      <c r="Q231" s="1" t="str">
        <f>IF($D231="","",$C231&amp;"|"&amp;COUNTIFS($C$7:$C231,$C231))</f>
        <v>M009|9</v>
      </c>
      <c r="R231" s="1" t="str">
        <f t="shared" si="6"/>
        <v>PAKYILDIZLTDSTI</v>
      </c>
      <c r="S231" s="1" t="str">
        <f t="shared" si="7"/>
        <v>M009|46123|4000|</v>
      </c>
      <c r="T231" s="1">
        <f>IF($E231="",0,SUMPRODUCT((AY_SONU!$O$7:$O$42="Evet")*(AY_SONU!$B$7:$B$42=DATE(YEAR($E231),MONTH($E231),1))))</f>
        <v>0</v>
      </c>
      <c r="U231" s="1" t="str">
        <f>IF(OR($G231="",$H231="Mahsup"),"",$G231&amp;"|"&amp;COUNTIFS($G$7:$G231,$G231,$H$7:$H231,"&lt;&gt;Mahsup"))</f>
        <v>ÖMER KARTAL|56</v>
      </c>
    </row>
    <row r="232" spans="1:21" ht="18" customHeight="1" x14ac:dyDescent="0.3">
      <c r="A232" s="2"/>
      <c r="B232" s="65" t="str">
        <f>IF($D232="","","T"&amp;TEXT(ROW()-6,"00000"))</f>
        <v>T00226</v>
      </c>
      <c r="C232" s="65" t="str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>M016</v>
      </c>
      <c r="D232" s="61" t="s">
        <v>736</v>
      </c>
      <c r="E232" s="66">
        <v>46123</v>
      </c>
      <c r="F232" s="67">
        <v>3000</v>
      </c>
      <c r="G232" s="60" t="s">
        <v>723</v>
      </c>
      <c r="H232" s="60" t="s">
        <v>572</v>
      </c>
      <c r="I232" s="61"/>
      <c r="J232" s="61" t="s">
        <v>724</v>
      </c>
      <c r="K232" s="61"/>
      <c r="L232" s="73">
        <f>IF($E232="","",DATE(YEAR($E232),MONTH($E232),1))</f>
        <v>46113</v>
      </c>
      <c r="M232" s="65" t="str">
        <f ca="1">IF($D232="","",IF($C232="TANIMSIZ MÜŞTERİ","HATA",IF(OR($E232="",$F232&lt;=0,$G232=""),"EKSİK",IF($E232&gt;TODAY(),"İLERİ TARİH",IF(COUNTIF($S$7:$S$2503,$S232)&gt;1,"MÜKERRER?",IF($T232&gt;0,"KAPALI DÖNEM","UYGUN"))))))</f>
        <v>UYGUN</v>
      </c>
      <c r="N232" s="74" t="str">
        <f>IF($C232="","",IF($C232="TANIMSIZ MÜŞTERİ","—",INDEX(MUSTERILER!$C$7:$C$156,MATCH($C232,MUSTERILER!$B$7:$B$156,0))))</f>
        <v>RİX ŞOW LTD.ŞTİ.</v>
      </c>
      <c r="O232" s="2"/>
      <c r="P232" s="2"/>
      <c r="Q232" s="1" t="str">
        <f>IF($D232="","",$C232&amp;"|"&amp;COUNTIFS($C$7:$C232,$C232))</f>
        <v>M016|14</v>
      </c>
      <c r="R232" s="1" t="str">
        <f t="shared" si="6"/>
        <v>RIXSOWLTDSTI</v>
      </c>
      <c r="S232" s="1" t="str">
        <f t="shared" si="7"/>
        <v>M016|46123|3000|</v>
      </c>
      <c r="T232" s="1">
        <f>IF($E232="",0,SUMPRODUCT((AY_SONU!$O$7:$O$42="Evet")*(AY_SONU!$B$7:$B$42=DATE(YEAR($E232),MONTH($E232),1))))</f>
        <v>0</v>
      </c>
      <c r="U232" s="1" t="str">
        <f>IF(OR($G232="",$H232="Mahsup"),"",$G232&amp;"|"&amp;COUNTIFS($G$7:$G232,$G232,$H$7:$H232,"&lt;&gt;Mahsup"))</f>
        <v>ÖMER KARTAL|57</v>
      </c>
    </row>
    <row r="233" spans="1:21" ht="18" customHeight="1" x14ac:dyDescent="0.3">
      <c r="A233" s="2"/>
      <c r="B233" s="65" t="str">
        <f>IF($D233="","","T"&amp;TEXT(ROW()-6,"00000"))</f>
        <v>T00227</v>
      </c>
      <c r="C233" s="65" t="str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>M018</v>
      </c>
      <c r="D233" s="61" t="s">
        <v>593</v>
      </c>
      <c r="E233" s="66">
        <v>46123</v>
      </c>
      <c r="F233" s="67">
        <v>2500</v>
      </c>
      <c r="G233" s="60" t="s">
        <v>723</v>
      </c>
      <c r="H233" s="60" t="s">
        <v>572</v>
      </c>
      <c r="I233" s="61"/>
      <c r="J233" s="61" t="s">
        <v>720</v>
      </c>
      <c r="K233" s="61"/>
      <c r="L233" s="73">
        <f>IF($E233="","",DATE(YEAR($E233),MONTH($E233),1))</f>
        <v>46113</v>
      </c>
      <c r="M233" s="65" t="str">
        <f ca="1">IF($D233="","",IF($C233="TANIMSIZ MÜŞTERİ","HATA",IF(OR($E233="",$F233&lt;=0,$G233=""),"EKSİK",IF($E233&gt;TODAY(),"İLERİ TARİH",IF(COUNTIF($S$7:$S$2503,$S233)&gt;1,"MÜKERRER?",IF($T233&gt;0,"KAPALI DÖNEM","UYGUN"))))))</f>
        <v>UYGUN</v>
      </c>
      <c r="N233" s="74" t="str">
        <f>IF($C233="","",IF($C233="TANIMSIZ MÜŞTERİ","—",INDEX(MUSTERILER!$C$7:$C$156,MATCH($C233,MUSTERILER!$B$7:$B$156,0))))</f>
        <v>ÇINARHAN LTD.ŞTİ.</v>
      </c>
      <c r="O233" s="2"/>
      <c r="P233" s="2"/>
      <c r="Q233" s="1" t="str">
        <f>IF($D233="","",$C233&amp;"|"&amp;COUNTIFS($C$7:$C233,$C233))</f>
        <v>M018|8</v>
      </c>
      <c r="R233" s="1" t="str">
        <f t="shared" si="6"/>
        <v>CINARHANLTDSTI</v>
      </c>
      <c r="S233" s="1" t="str">
        <f t="shared" si="7"/>
        <v>M018|46123|2500|</v>
      </c>
      <c r="T233" s="1">
        <f>IF($E233="",0,SUMPRODUCT((AY_SONU!$O$7:$O$42="Evet")*(AY_SONU!$B$7:$B$42=DATE(YEAR($E233),MONTH($E233),1))))</f>
        <v>0</v>
      </c>
      <c r="U233" s="1" t="str">
        <f>IF(OR($G233="",$H233="Mahsup"),"",$G233&amp;"|"&amp;COUNTIFS($G$7:$G233,$G233,$H$7:$H233,"&lt;&gt;Mahsup"))</f>
        <v>ÖMER KARTAL|58</v>
      </c>
    </row>
    <row r="234" spans="1:21" ht="18" customHeight="1" x14ac:dyDescent="0.3">
      <c r="A234" s="2"/>
      <c r="B234" s="65" t="str">
        <f>IF($D234="","","T"&amp;TEXT(ROW()-6,"00000"))</f>
        <v>T00228</v>
      </c>
      <c r="C234" s="65" t="str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>M020</v>
      </c>
      <c r="D234" s="61" t="s">
        <v>623</v>
      </c>
      <c r="E234" s="66">
        <v>46123</v>
      </c>
      <c r="F234" s="67">
        <v>3000</v>
      </c>
      <c r="G234" s="60" t="s">
        <v>723</v>
      </c>
      <c r="H234" s="60" t="s">
        <v>572</v>
      </c>
      <c r="I234" s="61"/>
      <c r="J234" s="61" t="s">
        <v>720</v>
      </c>
      <c r="K234" s="61"/>
      <c r="L234" s="73">
        <f>IF($E234="","",DATE(YEAR($E234),MONTH($E234),1))</f>
        <v>46113</v>
      </c>
      <c r="M234" s="65" t="str">
        <f ca="1">IF($D234="","",IF($C234="TANIMSIZ MÜŞTERİ","HATA",IF(OR($E234="",$F234&lt;=0,$G234=""),"EKSİK",IF($E234&gt;TODAY(),"İLERİ TARİH",IF(COUNTIF($S$7:$S$2503,$S234)&gt;1,"MÜKERRER?",IF($T234&gt;0,"KAPALI DÖNEM","UYGUN"))))))</f>
        <v>UYGUN</v>
      </c>
      <c r="N234" s="74" t="str">
        <f>IF($C234="","",IF($C234="TANIMSIZ MÜŞTERİ","—",INDEX(MUSTERILER!$C$7:$C$156,MATCH($C234,MUSTERILER!$B$7:$B$156,0))))</f>
        <v>KRİSTAL LTD.ŞTİ.</v>
      </c>
      <c r="O234" s="2"/>
      <c r="P234" s="2"/>
      <c r="Q234" s="1" t="str">
        <f>IF($D234="","",$C234&amp;"|"&amp;COUNTIFS($C$7:$C234,$C234))</f>
        <v>M020|14</v>
      </c>
      <c r="R234" s="1" t="str">
        <f t="shared" si="6"/>
        <v>KRISTALLTDSTI</v>
      </c>
      <c r="S234" s="1" t="str">
        <f t="shared" si="7"/>
        <v>M020|46123|3000|</v>
      </c>
      <c r="T234" s="1">
        <f>IF($E234="",0,SUMPRODUCT((AY_SONU!$O$7:$O$42="Evet")*(AY_SONU!$B$7:$B$42=DATE(YEAR($E234),MONTH($E234),1))))</f>
        <v>0</v>
      </c>
      <c r="U234" s="1" t="str">
        <f>IF(OR($G234="",$H234="Mahsup"),"",$G234&amp;"|"&amp;COUNTIFS($G$7:$G234,$G234,$H$7:$H234,"&lt;&gt;Mahsup"))</f>
        <v>ÖMER KARTAL|59</v>
      </c>
    </row>
    <row r="235" spans="1:21" ht="18" customHeight="1" x14ac:dyDescent="0.3">
      <c r="A235" s="2"/>
      <c r="B235" s="65" t="str">
        <f>IF($D235="","","T"&amp;TEXT(ROW()-6,"00000"))</f>
        <v>T00229</v>
      </c>
      <c r="C235" s="65" t="str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>M047</v>
      </c>
      <c r="D235" s="61" t="s">
        <v>654</v>
      </c>
      <c r="E235" s="66">
        <v>46123</v>
      </c>
      <c r="F235" s="67">
        <v>4000</v>
      </c>
      <c r="G235" s="60" t="s">
        <v>723</v>
      </c>
      <c r="H235" s="60" t="s">
        <v>572</v>
      </c>
      <c r="I235" s="61"/>
      <c r="J235" s="61" t="s">
        <v>720</v>
      </c>
      <c r="K235" s="61"/>
      <c r="L235" s="73">
        <f>IF($E235="","",DATE(YEAR($E235),MONTH($E235),1))</f>
        <v>46113</v>
      </c>
      <c r="M235" s="65" t="str">
        <f ca="1">IF($D235="","",IF($C235="TANIMSIZ MÜŞTERİ","HATA",IF(OR($E235="",$F235&lt;=0,$G235=""),"EKSİK",IF($E235&gt;TODAY(),"İLERİ TARİH",IF(COUNTIF($S$7:$S$2503,$S235)&gt;1,"MÜKERRER?",IF($T235&gt;0,"KAPALI DÖNEM","UYGUN"))))))</f>
        <v>UYGUN</v>
      </c>
      <c r="N235" s="74" t="str">
        <f>IF($C235="","",IF($C235="TANIMSIZ MÜŞTERİ","—",INDEX(MUSTERILER!$C$7:$C$156,MATCH($C235,MUSTERILER!$B$7:$B$156,0))))</f>
        <v>PALAOĞULLARI LTD.ŞTİ.</v>
      </c>
      <c r="O235" s="2"/>
      <c r="P235" s="2"/>
      <c r="Q235" s="1" t="str">
        <f>IF($D235="","",$C235&amp;"|"&amp;COUNTIFS($C$7:$C235,$C235))</f>
        <v>M047|7</v>
      </c>
      <c r="R235" s="1" t="str">
        <f t="shared" si="6"/>
        <v>PALAOGULLARILTDSTI</v>
      </c>
      <c r="S235" s="1" t="str">
        <f t="shared" si="7"/>
        <v>M047|46123|4000|</v>
      </c>
      <c r="T235" s="1">
        <f>IF($E235="",0,SUMPRODUCT((AY_SONU!$O$7:$O$42="Evet")*(AY_SONU!$B$7:$B$42=DATE(YEAR($E235),MONTH($E235),1))))</f>
        <v>0</v>
      </c>
      <c r="U235" s="1" t="str">
        <f>IF(OR($G235="",$H235="Mahsup"),"",$G235&amp;"|"&amp;COUNTIFS($G$7:$G235,$G235,$H$7:$H235,"&lt;&gt;Mahsup"))</f>
        <v>ÖMER KARTAL|60</v>
      </c>
    </row>
    <row r="236" spans="1:21" ht="18" customHeight="1" x14ac:dyDescent="0.3">
      <c r="A236" s="2"/>
      <c r="B236" s="65" t="str">
        <f>IF($D236="","","T"&amp;TEXT(ROW()-6,"00000"))</f>
        <v>T00230</v>
      </c>
      <c r="C236" s="65" t="str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>M014</v>
      </c>
      <c r="D236" s="61" t="s">
        <v>731</v>
      </c>
      <c r="E236" s="66">
        <v>46123</v>
      </c>
      <c r="F236" s="67">
        <v>4000</v>
      </c>
      <c r="G236" s="60" t="s">
        <v>717</v>
      </c>
      <c r="H236" s="60" t="s">
        <v>572</v>
      </c>
      <c r="I236" s="61"/>
      <c r="J236" s="61" t="s">
        <v>720</v>
      </c>
      <c r="K236" s="61"/>
      <c r="L236" s="73">
        <f>IF($E236="","",DATE(YEAR($E236),MONTH($E236),1))</f>
        <v>46113</v>
      </c>
      <c r="M236" s="65" t="str">
        <f ca="1">IF($D236="","",IF($C236="TANIMSIZ MÜŞTERİ","HATA",IF(OR($E236="",$F236&lt;=0,$G236=""),"EKSİK",IF($E236&gt;TODAY(),"İLERİ TARİH",IF(COUNTIF($S$7:$S$2503,$S236)&gt;1,"MÜKERRER?",IF($T236&gt;0,"KAPALI DÖNEM","UYGUN"))))))</f>
        <v>UYGUN</v>
      </c>
      <c r="N236" s="74" t="str">
        <f>IF($C236="","",IF($C236="TANIMSIZ MÜŞTERİ","—",INDEX(MUSTERILER!$C$7:$C$156,MATCH($C236,MUSTERILER!$B$7:$B$156,0))))</f>
        <v>FİNAL SİYAH BEYAZ LTD.ŞTİ.</v>
      </c>
      <c r="O236" s="2"/>
      <c r="P236" s="2"/>
      <c r="Q236" s="1" t="str">
        <f>IF($D236="","",$C236&amp;"|"&amp;COUNTIFS($C$7:$C236,$C236))</f>
        <v>M014|13</v>
      </c>
      <c r="R236" s="1" t="str">
        <f t="shared" si="6"/>
        <v>FINALSIYAHBEYAZLTDSTI</v>
      </c>
      <c r="S236" s="1" t="str">
        <f t="shared" si="7"/>
        <v>M014|46123|4000|</v>
      </c>
      <c r="T236" s="1">
        <f>IF($E236="",0,SUMPRODUCT((AY_SONU!$O$7:$O$42="Evet")*(AY_SONU!$B$7:$B$42=DATE(YEAR($E236),MONTH($E236),1))))</f>
        <v>0</v>
      </c>
      <c r="U236" s="1" t="str">
        <f>IF(OR($G236="",$H236="Mahsup"),"",$G236&amp;"|"&amp;COUNTIFS($G$7:$G236,$G236,$H$7:$H236,"&lt;&gt;Mahsup"))</f>
        <v>MERKEZ KASA|170</v>
      </c>
    </row>
    <row r="237" spans="1:21" ht="18" customHeight="1" x14ac:dyDescent="0.3">
      <c r="A237" s="2"/>
      <c r="B237" s="65" t="str">
        <f>IF($D237="","","T"&amp;TEXT(ROW()-6,"00000"))</f>
        <v>T00231</v>
      </c>
      <c r="C237" s="65" t="str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>M012</v>
      </c>
      <c r="D237" s="61" t="s">
        <v>721</v>
      </c>
      <c r="E237" s="66">
        <v>46123</v>
      </c>
      <c r="F237" s="67">
        <v>4000</v>
      </c>
      <c r="G237" s="60" t="s">
        <v>717</v>
      </c>
      <c r="H237" s="60" t="s">
        <v>572</v>
      </c>
      <c r="I237" s="61"/>
      <c r="J237" s="61" t="s">
        <v>720</v>
      </c>
      <c r="K237" s="61"/>
      <c r="L237" s="73">
        <f>IF($E237="","",DATE(YEAR($E237),MONTH($E237),1))</f>
        <v>46113</v>
      </c>
      <c r="M237" s="65" t="str">
        <f ca="1">IF($D237="","",IF($C237="TANIMSIZ MÜŞTERİ","HATA",IF(OR($E237="",$F237&lt;=0,$G237=""),"EKSİK",IF($E237&gt;TODAY(),"İLERİ TARİH",IF(COUNTIF($S$7:$S$2503,$S237)&gt;1,"MÜKERRER?",IF($T237&gt;0,"KAPALI DÖNEM","UYGUN"))))))</f>
        <v>UYGUN</v>
      </c>
      <c r="N237" s="74" t="str">
        <f>IF($C237="","",IF($C237="TANIMSIZ MÜŞTERİ","—",INDEX(MUSTERILER!$C$7:$C$156,MATCH($C237,MUSTERILER!$B$7:$B$156,0))))</f>
        <v>İLDEŞ LTD.ŞTİ.</v>
      </c>
      <c r="O237" s="2"/>
      <c r="P237" s="2"/>
      <c r="Q237" s="1" t="str">
        <f>IF($D237="","",$C237&amp;"|"&amp;COUNTIFS($C$7:$C237,$C237))</f>
        <v>M012|14</v>
      </c>
      <c r="R237" s="1" t="str">
        <f t="shared" si="6"/>
        <v>ILDESLTDSTI</v>
      </c>
      <c r="S237" s="1" t="str">
        <f t="shared" si="7"/>
        <v>M012|46123|4000|</v>
      </c>
      <c r="T237" s="1">
        <f>IF($E237="",0,SUMPRODUCT((AY_SONU!$O$7:$O$42="Evet")*(AY_SONU!$B$7:$B$42=DATE(YEAR($E237),MONTH($E237),1))))</f>
        <v>0</v>
      </c>
      <c r="U237" s="1" t="str">
        <f>IF(OR($G237="",$H237="Mahsup"),"",$G237&amp;"|"&amp;COUNTIFS($G$7:$G237,$G237,$H$7:$H237,"&lt;&gt;Mahsup"))</f>
        <v>MERKEZ KASA|171</v>
      </c>
    </row>
    <row r="238" spans="1:21" ht="18" customHeight="1" x14ac:dyDescent="0.3">
      <c r="A238" s="2"/>
      <c r="B238" s="65" t="str">
        <f>IF($D238="","","T"&amp;TEXT(ROW()-6,"00000"))</f>
        <v>T00232</v>
      </c>
      <c r="C238" s="65" t="str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>M013</v>
      </c>
      <c r="D238" s="61" t="s">
        <v>734</v>
      </c>
      <c r="E238" s="66">
        <v>46123</v>
      </c>
      <c r="F238" s="67">
        <v>4200</v>
      </c>
      <c r="G238" s="60" t="s">
        <v>717</v>
      </c>
      <c r="H238" s="60" t="s">
        <v>572</v>
      </c>
      <c r="I238" s="61"/>
      <c r="J238" s="61" t="s">
        <v>720</v>
      </c>
      <c r="K238" s="61"/>
      <c r="L238" s="73">
        <f>IF($E238="","",DATE(YEAR($E238),MONTH($E238),1))</f>
        <v>46113</v>
      </c>
      <c r="M238" s="65" t="str">
        <f ca="1">IF($D238="","",IF($C238="TANIMSIZ MÜŞTERİ","HATA",IF(OR($E238="",$F238&lt;=0,$G238=""),"EKSİK",IF($E238&gt;TODAY(),"İLERİ TARİH",IF(COUNTIF($S$7:$S$2503,$S238)&gt;1,"MÜKERRER?",IF($T238&gt;0,"KAPALI DÖNEM","UYGUN"))))))</f>
        <v>UYGUN</v>
      </c>
      <c r="N238" s="74" t="str">
        <f>IF($C238="","",IF($C238="TANIMSIZ MÜŞTERİ","—",INDEX(MUSTERILER!$C$7:$C$156,MATCH($C238,MUSTERILER!$B$7:$B$156,0))))</f>
        <v>NAZ 1 GIDA LTD.ŞTİ.</v>
      </c>
      <c r="O238" s="2"/>
      <c r="P238" s="2"/>
      <c r="Q238" s="1" t="str">
        <f>IF($D238="","",$C238&amp;"|"&amp;COUNTIFS($C$7:$C238,$C238))</f>
        <v>M013|9</v>
      </c>
      <c r="R238" s="1" t="str">
        <f t="shared" si="6"/>
        <v>NAZ1GIDALTDSTI</v>
      </c>
      <c r="S238" s="1" t="str">
        <f t="shared" si="7"/>
        <v>M013|46123|4200|</v>
      </c>
      <c r="T238" s="1">
        <f>IF($E238="",0,SUMPRODUCT((AY_SONU!$O$7:$O$42="Evet")*(AY_SONU!$B$7:$B$42=DATE(YEAR($E238),MONTH($E238),1))))</f>
        <v>0</v>
      </c>
      <c r="U238" s="1" t="str">
        <f>IF(OR($G238="",$H238="Mahsup"),"",$G238&amp;"|"&amp;COUNTIFS($G$7:$G238,$G238,$H$7:$H238,"&lt;&gt;Mahsup"))</f>
        <v>MERKEZ KASA|172</v>
      </c>
    </row>
    <row r="239" spans="1:21" ht="18" customHeight="1" x14ac:dyDescent="0.3">
      <c r="A239" s="2"/>
      <c r="B239" s="65" t="str">
        <f>IF($D239="","","T"&amp;TEXT(ROW()-6,"00000"))</f>
        <v>T00233</v>
      </c>
      <c r="C239" s="65" t="str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>M054</v>
      </c>
      <c r="D239" s="61" t="s">
        <v>674</v>
      </c>
      <c r="E239" s="66">
        <v>46123</v>
      </c>
      <c r="F239" s="67">
        <v>4000</v>
      </c>
      <c r="G239" s="60" t="s">
        <v>717</v>
      </c>
      <c r="H239" s="60" t="s">
        <v>572</v>
      </c>
      <c r="I239" s="61"/>
      <c r="J239" s="61" t="s">
        <v>720</v>
      </c>
      <c r="K239" s="61"/>
      <c r="L239" s="73">
        <f>IF($E239="","",DATE(YEAR($E239),MONTH($E239),1))</f>
        <v>46113</v>
      </c>
      <c r="M239" s="65" t="str">
        <f ca="1">IF($D239="","",IF($C239="TANIMSIZ MÜŞTERİ","HATA",IF(OR($E239="",$F239&lt;=0,$G239=""),"EKSİK",IF($E239&gt;TODAY(),"İLERİ TARİH",IF(COUNTIF($S$7:$S$2503,$S239)&gt;1,"MÜKERRER?",IF($T239&gt;0,"KAPALI DÖNEM","UYGUN"))))))</f>
        <v>UYGUN</v>
      </c>
      <c r="N239" s="74" t="str">
        <f>IF($C239="","",IF($C239="TANIMSIZ MÜŞTERİ","—",INDEX(MUSTERILER!$C$7:$C$156,MATCH($C239,MUSTERILER!$B$7:$B$156,0))))</f>
        <v>YALIKENT LTD.ŞTİ.</v>
      </c>
      <c r="O239" s="2"/>
      <c r="P239" s="2"/>
      <c r="Q239" s="1" t="str">
        <f>IF($D239="","",$C239&amp;"|"&amp;COUNTIFS($C$7:$C239,$C239))</f>
        <v>M054|3</v>
      </c>
      <c r="R239" s="1" t="str">
        <f t="shared" si="6"/>
        <v>YALIKENTLTDSTI</v>
      </c>
      <c r="S239" s="1" t="str">
        <f t="shared" si="7"/>
        <v>M054|46123|4000|</v>
      </c>
      <c r="T239" s="1">
        <f>IF($E239="",0,SUMPRODUCT((AY_SONU!$O$7:$O$42="Evet")*(AY_SONU!$B$7:$B$42=DATE(YEAR($E239),MONTH($E239),1))))</f>
        <v>0</v>
      </c>
      <c r="U239" s="1" t="str">
        <f>IF(OR($G239="",$H239="Mahsup"),"",$G239&amp;"|"&amp;COUNTIFS($G$7:$G239,$G239,$H$7:$H239,"&lt;&gt;Mahsup"))</f>
        <v>MERKEZ KASA|173</v>
      </c>
    </row>
    <row r="240" spans="1:21" ht="18" customHeight="1" x14ac:dyDescent="0.3">
      <c r="A240" s="2"/>
      <c r="B240" s="65" t="str">
        <f>IF($D240="","","T"&amp;TEXT(ROW()-6,"00000"))</f>
        <v>T00234</v>
      </c>
      <c r="C240" s="65" t="str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>M007</v>
      </c>
      <c r="D240" s="61" t="s">
        <v>733</v>
      </c>
      <c r="E240" s="66">
        <v>46124</v>
      </c>
      <c r="F240" s="67">
        <v>3500</v>
      </c>
      <c r="G240" s="60" t="s">
        <v>723</v>
      </c>
      <c r="H240" s="60" t="s">
        <v>572</v>
      </c>
      <c r="I240" s="61"/>
      <c r="J240" s="61" t="s">
        <v>724</v>
      </c>
      <c r="K240" s="61"/>
      <c r="L240" s="73">
        <f>IF($E240="","",DATE(YEAR($E240),MONTH($E240),1))</f>
        <v>46113</v>
      </c>
      <c r="M240" s="65" t="str">
        <f ca="1">IF($D240="","",IF($C240="TANIMSIZ MÜŞTERİ","HATA",IF(OR($E240="",$F240&lt;=0,$G240=""),"EKSİK",IF($E240&gt;TODAY(),"İLERİ TARİH",IF(COUNTIF($S$7:$S$2503,$S240)&gt;1,"MÜKERRER?",IF($T240&gt;0,"KAPALI DÖNEM","UYGUN"))))))</f>
        <v>UYGUN</v>
      </c>
      <c r="N240" s="74" t="str">
        <f>IF($C240="","",IF($C240="TANIMSIZ MÜŞTERİ","—",INDEX(MUSTERILER!$C$7:$C$156,MATCH($C240,MUSTERILER!$B$7:$B$156,0))))</f>
        <v>MONAMOUR LTD.ŞTİ.</v>
      </c>
      <c r="O240" s="2"/>
      <c r="P240" s="2"/>
      <c r="Q240" s="1" t="str">
        <f>IF($D240="","",$C240&amp;"|"&amp;COUNTIFS($C$7:$C240,$C240))</f>
        <v>M007|12</v>
      </c>
      <c r="R240" s="1" t="str">
        <f t="shared" si="6"/>
        <v>MONAMOURLTDSTI</v>
      </c>
      <c r="S240" s="1" t="str">
        <f t="shared" si="7"/>
        <v>M007|46124|3500|</v>
      </c>
      <c r="T240" s="1">
        <f>IF($E240="",0,SUMPRODUCT((AY_SONU!$O$7:$O$42="Evet")*(AY_SONU!$B$7:$B$42=DATE(YEAR($E240),MONTH($E240),1))))</f>
        <v>0</v>
      </c>
      <c r="U240" s="1" t="str">
        <f>IF(OR($G240="",$H240="Mahsup"),"",$G240&amp;"|"&amp;COUNTIFS($G$7:$G240,$G240,$H$7:$H240,"&lt;&gt;Mahsup"))</f>
        <v>ÖMER KARTAL|61</v>
      </c>
    </row>
    <row r="241" spans="1:21" ht="18" customHeight="1" x14ac:dyDescent="0.3">
      <c r="A241" s="2"/>
      <c r="B241" s="65" t="str">
        <f>IF($D241="","","T"&amp;TEXT(ROW()-6,"00000"))</f>
        <v>T00235</v>
      </c>
      <c r="C241" s="65" t="str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>M006</v>
      </c>
      <c r="D241" s="61" t="s">
        <v>672</v>
      </c>
      <c r="E241" s="66">
        <v>46125</v>
      </c>
      <c r="F241" s="67">
        <v>3000</v>
      </c>
      <c r="G241" s="60" t="s">
        <v>717</v>
      </c>
      <c r="H241" s="60" t="s">
        <v>572</v>
      </c>
      <c r="I241" s="61"/>
      <c r="J241" s="61" t="s">
        <v>720</v>
      </c>
      <c r="K241" s="61"/>
      <c r="L241" s="73">
        <f>IF($E241="","",DATE(YEAR($E241),MONTH($E241),1))</f>
        <v>46113</v>
      </c>
      <c r="M241" s="65" t="str">
        <f ca="1">IF($D241="","",IF($C241="TANIMSIZ MÜŞTERİ","HATA",IF(OR($E241="",$F241&lt;=0,$G241=""),"EKSİK",IF($E241&gt;TODAY(),"İLERİ TARİH",IF(COUNTIF($S$7:$S$2503,$S241)&gt;1,"MÜKERRER?",IF($T241&gt;0,"KAPALI DÖNEM","UYGUN"))))))</f>
        <v>UYGUN</v>
      </c>
      <c r="N241" s="74" t="str">
        <f>IF($C241="","",IF($C241="TANIMSIZ MÜŞTERİ","—",INDEX(MUSTERILER!$C$7:$C$156,MATCH($C241,MUSTERILER!$B$7:$B$156,0))))</f>
        <v>VOLKAN AÇIK</v>
      </c>
      <c r="O241" s="2"/>
      <c r="P241" s="2"/>
      <c r="Q241" s="1" t="str">
        <f>IF($D241="","",$C241&amp;"|"&amp;COUNTIFS($C$7:$C241,$C241))</f>
        <v>M006|2</v>
      </c>
      <c r="R241" s="1" t="str">
        <f t="shared" si="6"/>
        <v>VOLKANACIK</v>
      </c>
      <c r="S241" s="1" t="str">
        <f t="shared" si="7"/>
        <v>M006|46125|3000|</v>
      </c>
      <c r="T241" s="1">
        <f>IF($E241="",0,SUMPRODUCT((AY_SONU!$O$7:$O$42="Evet")*(AY_SONU!$B$7:$B$42=DATE(YEAR($E241),MONTH($E241),1))))</f>
        <v>0</v>
      </c>
      <c r="U241" s="1" t="str">
        <f>IF(OR($G241="",$H241="Mahsup"),"",$G241&amp;"|"&amp;COUNTIFS($G$7:$G241,$G241,$H$7:$H241,"&lt;&gt;Mahsup"))</f>
        <v>MERKEZ KASA|174</v>
      </c>
    </row>
    <row r="242" spans="1:21" ht="18" customHeight="1" x14ac:dyDescent="0.3">
      <c r="A242" s="2"/>
      <c r="B242" s="65" t="str">
        <f>IF($D242="","","T"&amp;TEXT(ROW()-6,"00000"))</f>
        <v>T00236</v>
      </c>
      <c r="C242" s="65" t="str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>M051</v>
      </c>
      <c r="D242" s="61" t="s">
        <v>668</v>
      </c>
      <c r="E242" s="66">
        <v>46126</v>
      </c>
      <c r="F242" s="67">
        <v>3000</v>
      </c>
      <c r="G242" s="60" t="s">
        <v>723</v>
      </c>
      <c r="H242" s="60" t="s">
        <v>572</v>
      </c>
      <c r="I242" s="61"/>
      <c r="J242" s="61" t="s">
        <v>720</v>
      </c>
      <c r="K242" s="61"/>
      <c r="L242" s="73">
        <f>IF($E242="","",DATE(YEAR($E242),MONTH($E242),1))</f>
        <v>46113</v>
      </c>
      <c r="M242" s="65" t="str">
        <f ca="1">IF($D242="","",IF($C242="TANIMSIZ MÜŞTERİ","HATA",IF(OR($E242="",$F242&lt;=0,$G242=""),"EKSİK",IF($E242&gt;TODAY(),"İLERİ TARİH",IF(COUNTIF($S$7:$S$2503,$S242)&gt;1,"MÜKERRER?",IF($T242&gt;0,"KAPALI DÖNEM","UYGUN"))))))</f>
        <v>UYGUN</v>
      </c>
      <c r="N242" s="74" t="str">
        <f>IF($C242="","",IF($C242="TANIMSIZ MÜŞTERİ","—",INDEX(MUSTERILER!$C$7:$C$156,MATCH($C242,MUSTERILER!$B$7:$B$156,0))))</f>
        <v>UFUK YILMAZ</v>
      </c>
      <c r="O242" s="2"/>
      <c r="P242" s="2"/>
      <c r="Q242" s="1" t="str">
        <f>IF($D242="","",$C242&amp;"|"&amp;COUNTIFS($C$7:$C242,$C242))</f>
        <v>M051|4</v>
      </c>
      <c r="R242" s="1" t="str">
        <f t="shared" si="6"/>
        <v>UFUKYILMAZ</v>
      </c>
      <c r="S242" s="1" t="str">
        <f t="shared" si="7"/>
        <v>M051|46126|3000|</v>
      </c>
      <c r="T242" s="1">
        <f>IF($E242="",0,SUMPRODUCT((AY_SONU!$O$7:$O$42="Evet")*(AY_SONU!$B$7:$B$42=DATE(YEAR($E242),MONTH($E242),1))))</f>
        <v>0</v>
      </c>
      <c r="U242" s="1" t="str">
        <f>IF(OR($G242="",$H242="Mahsup"),"",$G242&amp;"|"&amp;COUNTIFS($G$7:$G242,$G242,$H$7:$H242,"&lt;&gt;Mahsup"))</f>
        <v>ÖMER KARTAL|62</v>
      </c>
    </row>
    <row r="243" spans="1:21" ht="18" customHeight="1" x14ac:dyDescent="0.3">
      <c r="A243" s="2"/>
      <c r="B243" s="65" t="str">
        <f>IF($D243="","","T"&amp;TEXT(ROW()-6,"00000"))</f>
        <v>T00237</v>
      </c>
      <c r="C243" s="65" t="str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>M027</v>
      </c>
      <c r="D243" s="61" t="s">
        <v>591</v>
      </c>
      <c r="E243" s="66">
        <v>46127</v>
      </c>
      <c r="F243" s="67">
        <v>7500</v>
      </c>
      <c r="G243" s="60" t="s">
        <v>717</v>
      </c>
      <c r="H243" s="60" t="s">
        <v>572</v>
      </c>
      <c r="I243" s="61"/>
      <c r="J243" s="61" t="s">
        <v>1318</v>
      </c>
      <c r="K243" s="61"/>
      <c r="L243" s="73">
        <f>IF($E243="","",DATE(YEAR($E243),MONTH($E243),1))</f>
        <v>46113</v>
      </c>
      <c r="M243" s="65" t="str">
        <f ca="1">IF($D243="","",IF($C243="TANIMSIZ MÜŞTERİ","HATA",IF(OR($E243="",$F243&lt;=0,$G243=""),"EKSİK",IF($E243&gt;TODAY(),"İLERİ TARİH",IF(COUNTIF($S$7:$S$2503,$S243)&gt;1,"MÜKERRER?",IF($T243&gt;0,"KAPALI DÖNEM","UYGUN"))))))</f>
        <v>UYGUN</v>
      </c>
      <c r="N243" s="74" t="str">
        <f>IF($C243="","",IF($C243="TANIMSIZ MÜŞTERİ","—",INDEX(MUSTERILER!$C$7:$C$156,MATCH($C243,MUSTERILER!$B$7:$B$156,0))))</f>
        <v>CEREN DEMİRCİ</v>
      </c>
      <c r="O243" s="2"/>
      <c r="P243" s="2"/>
      <c r="Q243" s="1" t="str">
        <f>IF($D243="","",$C243&amp;"|"&amp;COUNTIFS($C$7:$C243,$C243))</f>
        <v>M027|2</v>
      </c>
      <c r="R243" s="1" t="str">
        <f t="shared" si="6"/>
        <v>CERENDEMIRCI</v>
      </c>
      <c r="S243" s="1" t="str">
        <f t="shared" si="7"/>
        <v>M027|46127|7500|</v>
      </c>
      <c r="T243" s="1">
        <f>IF($E243="",0,SUMPRODUCT((AY_SONU!$O$7:$O$42="Evet")*(AY_SONU!$B$7:$B$42=DATE(YEAR($E243),MONTH($E243),1))))</f>
        <v>0</v>
      </c>
      <c r="U243" s="1" t="str">
        <f>IF(OR($G243="",$H243="Mahsup"),"",$G243&amp;"|"&amp;COUNTIFS($G$7:$G243,$G243,$H$7:$H243,"&lt;&gt;Mahsup"))</f>
        <v>MERKEZ KASA|175</v>
      </c>
    </row>
    <row r="244" spans="1:21" ht="18" customHeight="1" x14ac:dyDescent="0.3">
      <c r="A244" s="2"/>
      <c r="B244" s="65" t="str">
        <f>IF($D244="","","T"&amp;TEXT(ROW()-6,"00000"))</f>
        <v>T00238</v>
      </c>
      <c r="C244" s="65" t="str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>M015</v>
      </c>
      <c r="D244" s="61" t="s">
        <v>719</v>
      </c>
      <c r="E244" s="66">
        <v>46130</v>
      </c>
      <c r="F244" s="67">
        <v>3000</v>
      </c>
      <c r="G244" s="60" t="s">
        <v>717</v>
      </c>
      <c r="H244" s="60" t="s">
        <v>572</v>
      </c>
      <c r="I244" s="61"/>
      <c r="J244" s="61" t="s">
        <v>720</v>
      </c>
      <c r="K244" s="61"/>
      <c r="L244" s="73">
        <f>IF($E244="","",DATE(YEAR($E244),MONTH($E244),1))</f>
        <v>46113</v>
      </c>
      <c r="M244" s="65" t="str">
        <f ca="1">IF($D244="","",IF($C244="TANIMSIZ MÜŞTERİ","HATA",IF(OR($E244="",$F244&lt;=0,$G244=""),"EKSİK",IF($E244&gt;TODAY(),"İLERİ TARİH",IF(COUNTIF($S$7:$S$2503,$S244)&gt;1,"MÜKERRER?",IF($T244&gt;0,"KAPALI DÖNEM","UYGUN"))))))</f>
        <v>UYGUN</v>
      </c>
      <c r="N244" s="74" t="str">
        <f>IF($C244="","",IF($C244="TANIMSIZ MÜŞTERİ","—",INDEX(MUSTERILER!$C$7:$C$156,MATCH($C244,MUSTERILER!$B$7:$B$156,0))))</f>
        <v>ÇAYIRALAN LTD.ŞTİ.</v>
      </c>
      <c r="O244" s="2"/>
      <c r="P244" s="2"/>
      <c r="Q244" s="1" t="str">
        <f>IF($D244="","",$C244&amp;"|"&amp;COUNTIFS($C$7:$C244,$C244))</f>
        <v>M015|13</v>
      </c>
      <c r="R244" s="1" t="str">
        <f t="shared" si="6"/>
        <v>CAYIRALANLTDSTI</v>
      </c>
      <c r="S244" s="1" t="str">
        <f t="shared" si="7"/>
        <v>M015|46130|3000|</v>
      </c>
      <c r="T244" s="1">
        <f>IF($E244="",0,SUMPRODUCT((AY_SONU!$O$7:$O$42="Evet")*(AY_SONU!$B$7:$B$42=DATE(YEAR($E244),MONTH($E244),1))))</f>
        <v>0</v>
      </c>
      <c r="U244" s="1" t="str">
        <f>IF(OR($G244="",$H244="Mahsup"),"",$G244&amp;"|"&amp;COUNTIFS($G$7:$G244,$G244,$H$7:$H244,"&lt;&gt;Mahsup"))</f>
        <v>MERKEZ KASA|176</v>
      </c>
    </row>
    <row r="245" spans="1:21" ht="18" customHeight="1" x14ac:dyDescent="0.3">
      <c r="A245" s="2"/>
      <c r="B245" s="65" t="str">
        <f>IF($D245="","","T"&amp;TEXT(ROW()-6,"00000"))</f>
        <v>T00239</v>
      </c>
      <c r="C245" s="65" t="str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>M011</v>
      </c>
      <c r="D245" s="61" t="s">
        <v>730</v>
      </c>
      <c r="E245" s="66">
        <v>46130</v>
      </c>
      <c r="F245" s="67">
        <v>4000</v>
      </c>
      <c r="G245" s="60" t="s">
        <v>717</v>
      </c>
      <c r="H245" s="60" t="s">
        <v>572</v>
      </c>
      <c r="I245" s="61"/>
      <c r="J245" s="61" t="s">
        <v>720</v>
      </c>
      <c r="K245" s="61"/>
      <c r="L245" s="73">
        <f>IF($E245="","",DATE(YEAR($E245),MONTH($E245),1))</f>
        <v>46113</v>
      </c>
      <c r="M245" s="65" t="str">
        <f ca="1">IF($D245="","",IF($C245="TANIMSIZ MÜŞTERİ","HATA",IF(OR($E245="",$F245&lt;=0,$G245=""),"EKSİK",IF($E245&gt;TODAY(),"İLERİ TARİH",IF(COUNTIF($S$7:$S$2503,$S245)&gt;1,"MÜKERRER?",IF($T245&gt;0,"KAPALI DÖNEM","UYGUN"))))))</f>
        <v>UYGUN</v>
      </c>
      <c r="N245" s="74" t="str">
        <f>IF($C245="","",IF($C245="TANIMSIZ MÜŞTERİ","—",INDEX(MUSTERILER!$C$7:$C$156,MATCH($C245,MUSTERILER!$B$7:$B$156,0))))</f>
        <v>EĞLENGÖR LTD.ŞTİ.</v>
      </c>
      <c r="O245" s="2"/>
      <c r="P245" s="2"/>
      <c r="Q245" s="1" t="str">
        <f>IF($D245="","",$C245&amp;"|"&amp;COUNTIFS($C$7:$C245,$C245))</f>
        <v>M011|14</v>
      </c>
      <c r="R245" s="1" t="str">
        <f t="shared" si="6"/>
        <v>EGLENGORLTDSTI</v>
      </c>
      <c r="S245" s="1" t="str">
        <f t="shared" si="7"/>
        <v>M011|46130|4000|</v>
      </c>
      <c r="T245" s="1">
        <f>IF($E245="",0,SUMPRODUCT((AY_SONU!$O$7:$O$42="Evet")*(AY_SONU!$B$7:$B$42=DATE(YEAR($E245),MONTH($E245),1))))</f>
        <v>0</v>
      </c>
      <c r="U245" s="1" t="str">
        <f>IF(OR($G245="",$H245="Mahsup"),"",$G245&amp;"|"&amp;COUNTIFS($G$7:$G245,$G245,$H$7:$H245,"&lt;&gt;Mahsup"))</f>
        <v>MERKEZ KASA|177</v>
      </c>
    </row>
    <row r="246" spans="1:21" ht="18" customHeight="1" x14ac:dyDescent="0.3">
      <c r="A246" s="2"/>
      <c r="B246" s="65" t="str">
        <f>IF($D246="","","T"&amp;TEXT(ROW()-6,"00000"))</f>
        <v>T00240</v>
      </c>
      <c r="C246" s="65" t="str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>M014</v>
      </c>
      <c r="D246" s="61" t="s">
        <v>731</v>
      </c>
      <c r="E246" s="66">
        <v>46130</v>
      </c>
      <c r="F246" s="67">
        <v>4000</v>
      </c>
      <c r="G246" s="60" t="s">
        <v>717</v>
      </c>
      <c r="H246" s="60" t="s">
        <v>572</v>
      </c>
      <c r="I246" s="61"/>
      <c r="J246" s="61" t="s">
        <v>720</v>
      </c>
      <c r="K246" s="61"/>
      <c r="L246" s="73">
        <f>IF($E246="","",DATE(YEAR($E246),MONTH($E246),1))</f>
        <v>46113</v>
      </c>
      <c r="M246" s="65" t="str">
        <f ca="1">IF($D246="","",IF($C246="TANIMSIZ MÜŞTERİ","HATA",IF(OR($E246="",$F246&lt;=0,$G246=""),"EKSİK",IF($E246&gt;TODAY(),"İLERİ TARİH",IF(COUNTIF($S$7:$S$2503,$S246)&gt;1,"MÜKERRER?",IF($T246&gt;0,"KAPALI DÖNEM","UYGUN"))))))</f>
        <v>UYGUN</v>
      </c>
      <c r="N246" s="74" t="str">
        <f>IF($C246="","",IF($C246="TANIMSIZ MÜŞTERİ","—",INDEX(MUSTERILER!$C$7:$C$156,MATCH($C246,MUSTERILER!$B$7:$B$156,0))))</f>
        <v>FİNAL SİYAH BEYAZ LTD.ŞTİ.</v>
      </c>
      <c r="O246" s="2"/>
      <c r="P246" s="2"/>
      <c r="Q246" s="1" t="str">
        <f>IF($D246="","",$C246&amp;"|"&amp;COUNTIFS($C$7:$C246,$C246))</f>
        <v>M014|14</v>
      </c>
      <c r="R246" s="1" t="str">
        <f t="shared" si="6"/>
        <v>FINALSIYAHBEYAZLTDSTI</v>
      </c>
      <c r="S246" s="1" t="str">
        <f t="shared" si="7"/>
        <v>M014|46130|4000|</v>
      </c>
      <c r="T246" s="1">
        <f>IF($E246="",0,SUMPRODUCT((AY_SONU!$O$7:$O$42="Evet")*(AY_SONU!$B$7:$B$42=DATE(YEAR($E246),MONTH($E246),1))))</f>
        <v>0</v>
      </c>
      <c r="U246" s="1" t="str">
        <f>IF(OR($G246="",$H246="Mahsup"),"",$G246&amp;"|"&amp;COUNTIFS($G$7:$G246,$G246,$H$7:$H246,"&lt;&gt;Mahsup"))</f>
        <v>MERKEZ KASA|178</v>
      </c>
    </row>
    <row r="247" spans="1:21" ht="18" customHeight="1" x14ac:dyDescent="0.3">
      <c r="A247" s="2"/>
      <c r="B247" s="65" t="str">
        <f>IF($D247="","","T"&amp;TEXT(ROW()-6,"00000"))</f>
        <v>T00241</v>
      </c>
      <c r="C247" s="65" t="str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>M034</v>
      </c>
      <c r="D247" s="61" t="s">
        <v>732</v>
      </c>
      <c r="E247" s="66">
        <v>46130</v>
      </c>
      <c r="F247" s="67">
        <v>4000</v>
      </c>
      <c r="G247" s="60" t="s">
        <v>717</v>
      </c>
      <c r="H247" s="60" t="s">
        <v>572</v>
      </c>
      <c r="I247" s="61"/>
      <c r="J247" s="61" t="s">
        <v>720</v>
      </c>
      <c r="K247" s="61"/>
      <c r="L247" s="73">
        <f>IF($E247="","",DATE(YEAR($E247),MONTH($E247),1))</f>
        <v>46113</v>
      </c>
      <c r="M247" s="65" t="str">
        <f ca="1">IF($D247="","",IF($C247="TANIMSIZ MÜŞTERİ","HATA",IF(OR($E247="",$F247&lt;=0,$G247=""),"EKSİK",IF($E247&gt;TODAY(),"İLERİ TARİH",IF(COUNTIF($S$7:$S$2503,$S247)&gt;1,"MÜKERRER?",IF($T247&gt;0,"KAPALI DÖNEM","UYGUN"))))))</f>
        <v>UYGUN</v>
      </c>
      <c r="N247" s="74" t="str">
        <f>IF($C247="","",IF($C247="TANIMSIZ MÜŞTERİ","—",INDEX(MUSTERILER!$C$7:$C$156,MATCH($C247,MUSTERILER!$B$7:$B$156,0))))</f>
        <v>İBRAHİM MALDAN</v>
      </c>
      <c r="O247" s="2"/>
      <c r="P247" s="2"/>
      <c r="Q247" s="1" t="str">
        <f>IF($D247="","",$C247&amp;"|"&amp;COUNTIFS($C$7:$C247,$C247))</f>
        <v>M034|11</v>
      </c>
      <c r="R247" s="1" t="str">
        <f t="shared" si="6"/>
        <v>IBRAHIMMALDAN</v>
      </c>
      <c r="S247" s="1" t="str">
        <f t="shared" si="7"/>
        <v>M034|46130|4000|</v>
      </c>
      <c r="T247" s="1">
        <f>IF($E247="",0,SUMPRODUCT((AY_SONU!$O$7:$O$42="Evet")*(AY_SONU!$B$7:$B$42=DATE(YEAR($E247),MONTH($E247),1))))</f>
        <v>0</v>
      </c>
      <c r="U247" s="1" t="str">
        <f>IF(OR($G247="",$H247="Mahsup"),"",$G247&amp;"|"&amp;COUNTIFS($G$7:$G247,$G247,$H$7:$H247,"&lt;&gt;Mahsup"))</f>
        <v>MERKEZ KASA|179</v>
      </c>
    </row>
    <row r="248" spans="1:21" ht="18" customHeight="1" x14ac:dyDescent="0.3">
      <c r="A248" s="2"/>
      <c r="B248" s="65" t="str">
        <f>IF($D248="","","T"&amp;TEXT(ROW()-6,"00000"))</f>
        <v>T00242</v>
      </c>
      <c r="C248" s="65" t="str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>M012</v>
      </c>
      <c r="D248" s="61" t="s">
        <v>721</v>
      </c>
      <c r="E248" s="66">
        <v>46130</v>
      </c>
      <c r="F248" s="67">
        <v>4000</v>
      </c>
      <c r="G248" s="60" t="s">
        <v>717</v>
      </c>
      <c r="H248" s="60" t="s">
        <v>572</v>
      </c>
      <c r="I248" s="61"/>
      <c r="J248" s="61" t="s">
        <v>720</v>
      </c>
      <c r="K248" s="61"/>
      <c r="L248" s="73">
        <f>IF($E248="","",DATE(YEAR($E248),MONTH($E248),1))</f>
        <v>46113</v>
      </c>
      <c r="M248" s="65" t="str">
        <f ca="1">IF($D248="","",IF($C248="TANIMSIZ MÜŞTERİ","HATA",IF(OR($E248="",$F248&lt;=0,$G248=""),"EKSİK",IF($E248&gt;TODAY(),"İLERİ TARİH",IF(COUNTIF($S$7:$S$2503,$S248)&gt;1,"MÜKERRER?",IF($T248&gt;0,"KAPALI DÖNEM","UYGUN"))))))</f>
        <v>UYGUN</v>
      </c>
      <c r="N248" s="74" t="str">
        <f>IF($C248="","",IF($C248="TANIMSIZ MÜŞTERİ","—",INDEX(MUSTERILER!$C$7:$C$156,MATCH($C248,MUSTERILER!$B$7:$B$156,0))))</f>
        <v>İLDEŞ LTD.ŞTİ.</v>
      </c>
      <c r="O248" s="2"/>
      <c r="P248" s="2"/>
      <c r="Q248" s="1" t="str">
        <f>IF($D248="","",$C248&amp;"|"&amp;COUNTIFS($C$7:$C248,$C248))</f>
        <v>M012|15</v>
      </c>
      <c r="R248" s="1" t="str">
        <f t="shared" si="6"/>
        <v>ILDESLTDSTI</v>
      </c>
      <c r="S248" s="1" t="str">
        <f t="shared" si="7"/>
        <v>M012|46130|4000|</v>
      </c>
      <c r="T248" s="1">
        <f>IF($E248="",0,SUMPRODUCT((AY_SONU!$O$7:$O$42="Evet")*(AY_SONU!$B$7:$B$42=DATE(YEAR($E248),MONTH($E248),1))))</f>
        <v>0</v>
      </c>
      <c r="U248" s="1" t="str">
        <f>IF(OR($G248="",$H248="Mahsup"),"",$G248&amp;"|"&amp;COUNTIFS($G$7:$G248,$G248,$H$7:$H248,"&lt;&gt;Mahsup"))</f>
        <v>MERKEZ KASA|180</v>
      </c>
    </row>
    <row r="249" spans="1:21" ht="18" customHeight="1" x14ac:dyDescent="0.3">
      <c r="A249" s="2"/>
      <c r="B249" s="65" t="str">
        <f>IF($D249="","","T"&amp;TEXT(ROW()-6,"00000"))</f>
        <v>T00243</v>
      </c>
      <c r="C249" s="65" t="str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>M007</v>
      </c>
      <c r="D249" s="61" t="s">
        <v>733</v>
      </c>
      <c r="E249" s="66">
        <v>46130</v>
      </c>
      <c r="F249" s="67">
        <v>3500</v>
      </c>
      <c r="G249" s="60" t="s">
        <v>717</v>
      </c>
      <c r="H249" s="60" t="s">
        <v>572</v>
      </c>
      <c r="I249" s="61"/>
      <c r="J249" s="61" t="s">
        <v>720</v>
      </c>
      <c r="K249" s="61"/>
      <c r="L249" s="73">
        <f>IF($E249="","",DATE(YEAR($E249),MONTH($E249),1))</f>
        <v>46113</v>
      </c>
      <c r="M249" s="65" t="str">
        <f ca="1">IF($D249="","",IF($C249="TANIMSIZ MÜŞTERİ","HATA",IF(OR($E249="",$F249&lt;=0,$G249=""),"EKSİK",IF($E249&gt;TODAY(),"İLERİ TARİH",IF(COUNTIF($S$7:$S$2503,$S249)&gt;1,"MÜKERRER?",IF($T249&gt;0,"KAPALI DÖNEM","UYGUN"))))))</f>
        <v>UYGUN</v>
      </c>
      <c r="N249" s="74" t="str">
        <f>IF($C249="","",IF($C249="TANIMSIZ MÜŞTERİ","—",INDEX(MUSTERILER!$C$7:$C$156,MATCH($C249,MUSTERILER!$B$7:$B$156,0))))</f>
        <v>MONAMOUR LTD.ŞTİ.</v>
      </c>
      <c r="O249" s="2"/>
      <c r="P249" s="2"/>
      <c r="Q249" s="1" t="str">
        <f>IF($D249="","",$C249&amp;"|"&amp;COUNTIFS($C$7:$C249,$C249))</f>
        <v>M007|13</v>
      </c>
      <c r="R249" s="1" t="str">
        <f t="shared" si="6"/>
        <v>MONAMOURLTDSTI</v>
      </c>
      <c r="S249" s="1" t="str">
        <f t="shared" si="7"/>
        <v>M007|46130|3500|</v>
      </c>
      <c r="T249" s="1">
        <f>IF($E249="",0,SUMPRODUCT((AY_SONU!$O$7:$O$42="Evet")*(AY_SONU!$B$7:$B$42=DATE(YEAR($E249),MONTH($E249),1))))</f>
        <v>0</v>
      </c>
      <c r="U249" s="1" t="str">
        <f>IF(OR($G249="",$H249="Mahsup"),"",$G249&amp;"|"&amp;COUNTIFS($G$7:$G249,$G249,$H$7:$H249,"&lt;&gt;Mahsup"))</f>
        <v>MERKEZ KASA|181</v>
      </c>
    </row>
    <row r="250" spans="1:21" ht="18" customHeight="1" x14ac:dyDescent="0.3">
      <c r="A250" s="2"/>
      <c r="B250" s="65" t="str">
        <f>IF($D250="","","T"&amp;TEXT(ROW()-6,"00000"))</f>
        <v>T00244</v>
      </c>
      <c r="C250" s="65" t="str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>M013</v>
      </c>
      <c r="D250" s="61" t="s">
        <v>734</v>
      </c>
      <c r="E250" s="66">
        <v>46130</v>
      </c>
      <c r="F250" s="67">
        <v>4000</v>
      </c>
      <c r="G250" s="60" t="s">
        <v>717</v>
      </c>
      <c r="H250" s="60" t="s">
        <v>572</v>
      </c>
      <c r="I250" s="61"/>
      <c r="J250" s="61" t="s">
        <v>720</v>
      </c>
      <c r="K250" s="61"/>
      <c r="L250" s="73">
        <f>IF($E250="","",DATE(YEAR($E250),MONTH($E250),1))</f>
        <v>46113</v>
      </c>
      <c r="M250" s="65" t="str">
        <f ca="1">IF($D250="","",IF($C250="TANIMSIZ MÜŞTERİ","HATA",IF(OR($E250="",$F250&lt;=0,$G250=""),"EKSİK",IF($E250&gt;TODAY(),"İLERİ TARİH",IF(COUNTIF($S$7:$S$2503,$S250)&gt;1,"MÜKERRER?",IF($T250&gt;0,"KAPALI DÖNEM","UYGUN"))))))</f>
        <v>UYGUN</v>
      </c>
      <c r="N250" s="74" t="str">
        <f>IF($C250="","",IF($C250="TANIMSIZ MÜŞTERİ","—",INDEX(MUSTERILER!$C$7:$C$156,MATCH($C250,MUSTERILER!$B$7:$B$156,0))))</f>
        <v>NAZ 1 GIDA LTD.ŞTİ.</v>
      </c>
      <c r="O250" s="2"/>
      <c r="P250" s="2"/>
      <c r="Q250" s="1" t="str">
        <f>IF($D250="","",$C250&amp;"|"&amp;COUNTIFS($C$7:$C250,$C250))</f>
        <v>M013|10</v>
      </c>
      <c r="R250" s="1" t="str">
        <f t="shared" si="6"/>
        <v>NAZ1GIDALTDSTI</v>
      </c>
      <c r="S250" s="1" t="str">
        <f t="shared" si="7"/>
        <v>M013|46130|4000|</v>
      </c>
      <c r="T250" s="1">
        <f>IF($E250="",0,SUMPRODUCT((AY_SONU!$O$7:$O$42="Evet")*(AY_SONU!$B$7:$B$42=DATE(YEAR($E250),MONTH($E250),1))))</f>
        <v>0</v>
      </c>
      <c r="U250" s="1" t="str">
        <f>IF(OR($G250="",$H250="Mahsup"),"",$G250&amp;"|"&amp;COUNTIFS($G$7:$G250,$G250,$H$7:$H250,"&lt;&gt;Mahsup"))</f>
        <v>MERKEZ KASA|182</v>
      </c>
    </row>
    <row r="251" spans="1:21" ht="18" customHeight="1" x14ac:dyDescent="0.3">
      <c r="A251" s="2"/>
      <c r="B251" s="65" t="str">
        <f>IF($D251="","","T"&amp;TEXT(ROW()-6,"00000"))</f>
        <v>T00245</v>
      </c>
      <c r="C251" s="65" t="str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>M009</v>
      </c>
      <c r="D251" s="61" t="s">
        <v>735</v>
      </c>
      <c r="E251" s="66">
        <v>46130</v>
      </c>
      <c r="F251" s="67">
        <v>4000</v>
      </c>
      <c r="G251" s="60" t="s">
        <v>717</v>
      </c>
      <c r="H251" s="60" t="s">
        <v>572</v>
      </c>
      <c r="I251" s="61"/>
      <c r="J251" s="61" t="s">
        <v>720</v>
      </c>
      <c r="K251" s="61"/>
      <c r="L251" s="73">
        <f>IF($E251="","",DATE(YEAR($E251),MONTH($E251),1))</f>
        <v>46113</v>
      </c>
      <c r="M251" s="65" t="str">
        <f ca="1">IF($D251="","",IF($C251="TANIMSIZ MÜŞTERİ","HATA",IF(OR($E251="",$F251&lt;=0,$G251=""),"EKSİK",IF($E251&gt;TODAY(),"İLERİ TARİH",IF(COUNTIF($S$7:$S$2503,$S251)&gt;1,"MÜKERRER?",IF($T251&gt;0,"KAPALI DÖNEM","UYGUN"))))))</f>
        <v>UYGUN</v>
      </c>
      <c r="N251" s="74" t="str">
        <f>IF($C251="","",IF($C251="TANIMSIZ MÜŞTERİ","—",INDEX(MUSTERILER!$C$7:$C$156,MATCH($C251,MUSTERILER!$B$7:$B$156,0))))</f>
        <v>PAKYILDIZ LTD.ŞTİ.</v>
      </c>
      <c r="O251" s="2"/>
      <c r="P251" s="2"/>
      <c r="Q251" s="1" t="str">
        <f>IF($D251="","",$C251&amp;"|"&amp;COUNTIFS($C$7:$C251,$C251))</f>
        <v>M009|10</v>
      </c>
      <c r="R251" s="1" t="str">
        <f t="shared" si="6"/>
        <v>PAKYILDIZLTDSTI</v>
      </c>
      <c r="S251" s="1" t="str">
        <f t="shared" si="7"/>
        <v>M009|46130|4000|</v>
      </c>
      <c r="T251" s="1">
        <f>IF($E251="",0,SUMPRODUCT((AY_SONU!$O$7:$O$42="Evet")*(AY_SONU!$B$7:$B$42=DATE(YEAR($E251),MONTH($E251),1))))</f>
        <v>0</v>
      </c>
      <c r="U251" s="1" t="str">
        <f>IF(OR($G251="",$H251="Mahsup"),"",$G251&amp;"|"&amp;COUNTIFS($G$7:$G251,$G251,$H$7:$H251,"&lt;&gt;Mahsup"))</f>
        <v>MERKEZ KASA|183</v>
      </c>
    </row>
    <row r="252" spans="1:21" ht="18" customHeight="1" x14ac:dyDescent="0.3">
      <c r="A252" s="2"/>
      <c r="B252" s="65" t="str">
        <f>IF($D252="","","T"&amp;TEXT(ROW()-6,"00000"))</f>
        <v>T00246</v>
      </c>
      <c r="C252" s="65" t="str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>M016</v>
      </c>
      <c r="D252" s="61" t="s">
        <v>736</v>
      </c>
      <c r="E252" s="66">
        <v>46130</v>
      </c>
      <c r="F252" s="67">
        <v>3000</v>
      </c>
      <c r="G252" s="60" t="s">
        <v>717</v>
      </c>
      <c r="H252" s="60" t="s">
        <v>572</v>
      </c>
      <c r="I252" s="61"/>
      <c r="J252" s="61" t="s">
        <v>720</v>
      </c>
      <c r="K252" s="61"/>
      <c r="L252" s="73">
        <f>IF($E252="","",DATE(YEAR($E252),MONTH($E252),1))</f>
        <v>46113</v>
      </c>
      <c r="M252" s="65" t="str">
        <f ca="1">IF($D252="","",IF($C252="TANIMSIZ MÜŞTERİ","HATA",IF(OR($E252="",$F252&lt;=0,$G252=""),"EKSİK",IF($E252&gt;TODAY(),"İLERİ TARİH",IF(COUNTIF($S$7:$S$2503,$S252)&gt;1,"MÜKERRER?",IF($T252&gt;0,"KAPALI DÖNEM","UYGUN"))))))</f>
        <v>UYGUN</v>
      </c>
      <c r="N252" s="74" t="str">
        <f>IF($C252="","",IF($C252="TANIMSIZ MÜŞTERİ","—",INDEX(MUSTERILER!$C$7:$C$156,MATCH($C252,MUSTERILER!$B$7:$B$156,0))))</f>
        <v>RİX ŞOW LTD.ŞTİ.</v>
      </c>
      <c r="O252" s="2"/>
      <c r="P252" s="2"/>
      <c r="Q252" s="1" t="str">
        <f>IF($D252="","",$C252&amp;"|"&amp;COUNTIFS($C$7:$C252,$C252))</f>
        <v>M016|15</v>
      </c>
      <c r="R252" s="1" t="str">
        <f t="shared" si="6"/>
        <v>RIXSOWLTDSTI</v>
      </c>
      <c r="S252" s="1" t="str">
        <f t="shared" si="7"/>
        <v>M016|46130|3000|</v>
      </c>
      <c r="T252" s="1">
        <f>IF($E252="",0,SUMPRODUCT((AY_SONU!$O$7:$O$42="Evet")*(AY_SONU!$B$7:$B$42=DATE(YEAR($E252),MONTH($E252),1))))</f>
        <v>0</v>
      </c>
      <c r="U252" s="1" t="str">
        <f>IF(OR($G252="",$H252="Mahsup"),"",$G252&amp;"|"&amp;COUNTIFS($G$7:$G252,$G252,$H$7:$H252,"&lt;&gt;Mahsup"))</f>
        <v>MERKEZ KASA|184</v>
      </c>
    </row>
    <row r="253" spans="1:21" ht="18" customHeight="1" x14ac:dyDescent="0.3">
      <c r="A253" s="2"/>
      <c r="B253" s="65" t="str">
        <f>IF($D253="","","T"&amp;TEXT(ROW()-6,"00000"))</f>
        <v>T00247</v>
      </c>
      <c r="C253" s="65" t="str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>M004</v>
      </c>
      <c r="D253" s="61" t="s">
        <v>738</v>
      </c>
      <c r="E253" s="66">
        <v>46130</v>
      </c>
      <c r="F253" s="67">
        <v>3000</v>
      </c>
      <c r="G253" s="60" t="s">
        <v>717</v>
      </c>
      <c r="H253" s="60" t="s">
        <v>572</v>
      </c>
      <c r="I253" s="61"/>
      <c r="J253" s="61" t="s">
        <v>720</v>
      </c>
      <c r="K253" s="61"/>
      <c r="L253" s="73">
        <f>IF($E253="","",DATE(YEAR($E253),MONTH($E253),1))</f>
        <v>46113</v>
      </c>
      <c r="M253" s="65" t="str">
        <f ca="1">IF($D253="","",IF($C253="TANIMSIZ MÜŞTERİ","HATA",IF(OR($E253="",$F253&lt;=0,$G253=""),"EKSİK",IF($E253&gt;TODAY(),"İLERİ TARİH",IF(COUNTIF($S$7:$S$2503,$S253)&gt;1,"MÜKERRER?",IF($T253&gt;0,"KAPALI DÖNEM","UYGUN"))))))</f>
        <v>UYGUN</v>
      </c>
      <c r="N253" s="74" t="str">
        <f>IF($C253="","",IF($C253="TANIMSIZ MÜŞTERİ","—",INDEX(MUSTERILER!$C$7:$C$156,MATCH($C253,MUSTERILER!$B$7:$B$156,0))))</f>
        <v>ZÜMRÜT EĞLENCE LTD.ŞTİ.</v>
      </c>
      <c r="O253" s="2"/>
      <c r="P253" s="2"/>
      <c r="Q253" s="1" t="str">
        <f>IF($D253="","",$C253&amp;"|"&amp;COUNTIFS($C$7:$C253,$C253))</f>
        <v>M004|9</v>
      </c>
      <c r="R253" s="1" t="str">
        <f t="shared" si="6"/>
        <v>ZUMRUTEGLENCELTDSTI</v>
      </c>
      <c r="S253" s="1" t="str">
        <f t="shared" si="7"/>
        <v>M004|46130|3000|</v>
      </c>
      <c r="T253" s="1">
        <f>IF($E253="",0,SUMPRODUCT((AY_SONU!$O$7:$O$42="Evet")*(AY_SONU!$B$7:$B$42=DATE(YEAR($E253),MONTH($E253),1))))</f>
        <v>0</v>
      </c>
      <c r="U253" s="1" t="str">
        <f>IF(OR($G253="",$H253="Mahsup"),"",$G253&amp;"|"&amp;COUNTIFS($G$7:$G253,$G253,$H$7:$H253,"&lt;&gt;Mahsup"))</f>
        <v>MERKEZ KASA|185</v>
      </c>
    </row>
    <row r="254" spans="1:21" ht="18" customHeight="1" x14ac:dyDescent="0.3">
      <c r="A254" s="2"/>
      <c r="B254" s="65" t="str">
        <f>IF($D254="","","T"&amp;TEXT(ROW()-6,"00000"))</f>
        <v>T00248</v>
      </c>
      <c r="C254" s="65" t="str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>M005</v>
      </c>
      <c r="D254" s="61" t="s">
        <v>722</v>
      </c>
      <c r="E254" s="66">
        <v>46130</v>
      </c>
      <c r="F254" s="67">
        <v>1750</v>
      </c>
      <c r="G254" s="60" t="s">
        <v>717</v>
      </c>
      <c r="H254" s="60" t="s">
        <v>572</v>
      </c>
      <c r="I254" s="61"/>
      <c r="J254" s="61" t="s">
        <v>720</v>
      </c>
      <c r="K254" s="61"/>
      <c r="L254" s="73">
        <f>IF($E254="","",DATE(YEAR($E254),MONTH($E254),1))</f>
        <v>46113</v>
      </c>
      <c r="M254" s="65" t="str">
        <f ca="1">IF($D254="","",IF($C254="TANIMSIZ MÜŞTERİ","HATA",IF(OR($E254="",$F254&lt;=0,$G254=""),"EKSİK",IF($E254&gt;TODAY(),"İLERİ TARİH",IF(COUNTIF($S$7:$S$2503,$S254)&gt;1,"MÜKERRER?",IF($T254&gt;0,"KAPALI DÖNEM","UYGUN"))))))</f>
        <v>UYGUN</v>
      </c>
      <c r="N254" s="74" t="str">
        <f>IF($C254="","",IF($C254="TANIMSIZ MÜŞTERİ","—",INDEX(MUSTERILER!$C$7:$C$156,MATCH($C254,MUSTERILER!$B$7:$B$156,0))))</f>
        <v>ZÜMRÜT GRUP LTD.ŞTİ.</v>
      </c>
      <c r="O254" s="2"/>
      <c r="P254" s="2"/>
      <c r="Q254" s="1" t="str">
        <f>IF($D254="","",$C254&amp;"|"&amp;COUNTIFS($C$7:$C254,$C254))</f>
        <v>M005|13</v>
      </c>
      <c r="R254" s="1" t="str">
        <f t="shared" si="6"/>
        <v>ZUMRUTGRUPLTDSTI</v>
      </c>
      <c r="S254" s="1" t="str">
        <f t="shared" si="7"/>
        <v>M005|46130|1750|</v>
      </c>
      <c r="T254" s="1">
        <f>IF($E254="",0,SUMPRODUCT((AY_SONU!$O$7:$O$42="Evet")*(AY_SONU!$B$7:$B$42=DATE(YEAR($E254),MONTH($E254),1))))</f>
        <v>0</v>
      </c>
      <c r="U254" s="1" t="str">
        <f>IF(OR($G254="",$H254="Mahsup"),"",$G254&amp;"|"&amp;COUNTIFS($G$7:$G254,$G254,$H$7:$H254,"&lt;&gt;Mahsup"))</f>
        <v>MERKEZ KASA|186</v>
      </c>
    </row>
    <row r="255" spans="1:21" ht="18" customHeight="1" x14ac:dyDescent="0.3">
      <c r="A255" s="2"/>
      <c r="B255" s="65" t="str">
        <f>IF($D255="","","T"&amp;TEXT(ROW()-6,"00000"))</f>
        <v>T00249</v>
      </c>
      <c r="C255" s="65" t="str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>M018</v>
      </c>
      <c r="D255" s="61" t="s">
        <v>593</v>
      </c>
      <c r="E255" s="66">
        <v>46130</v>
      </c>
      <c r="F255" s="67">
        <v>2500</v>
      </c>
      <c r="G255" s="60" t="s">
        <v>717</v>
      </c>
      <c r="H255" s="60" t="s">
        <v>572</v>
      </c>
      <c r="I255" s="61"/>
      <c r="J255" s="61" t="s">
        <v>720</v>
      </c>
      <c r="K255" s="61"/>
      <c r="L255" s="73">
        <f>IF($E255="","",DATE(YEAR($E255),MONTH($E255),1))</f>
        <v>46113</v>
      </c>
      <c r="M255" s="65" t="str">
        <f ca="1">IF($D255="","",IF($C255="TANIMSIZ MÜŞTERİ","HATA",IF(OR($E255="",$F255&lt;=0,$G255=""),"EKSİK",IF($E255&gt;TODAY(),"İLERİ TARİH",IF(COUNTIF($S$7:$S$2503,$S255)&gt;1,"MÜKERRER?",IF($T255&gt;0,"KAPALI DÖNEM","UYGUN"))))))</f>
        <v>UYGUN</v>
      </c>
      <c r="N255" s="74" t="str">
        <f>IF($C255="","",IF($C255="TANIMSIZ MÜŞTERİ","—",INDEX(MUSTERILER!$C$7:$C$156,MATCH($C255,MUSTERILER!$B$7:$B$156,0))))</f>
        <v>ÇINARHAN LTD.ŞTİ.</v>
      </c>
      <c r="O255" s="2"/>
      <c r="P255" s="2"/>
      <c r="Q255" s="1" t="str">
        <f>IF($D255="","",$C255&amp;"|"&amp;COUNTIFS($C$7:$C255,$C255))</f>
        <v>M018|9</v>
      </c>
      <c r="R255" s="1" t="str">
        <f t="shared" si="6"/>
        <v>CINARHANLTDSTI</v>
      </c>
      <c r="S255" s="1" t="str">
        <f t="shared" si="7"/>
        <v>M018|46130|2500|</v>
      </c>
      <c r="T255" s="1">
        <f>IF($E255="",0,SUMPRODUCT((AY_SONU!$O$7:$O$42="Evet")*(AY_SONU!$B$7:$B$42=DATE(YEAR($E255),MONTH($E255),1))))</f>
        <v>0</v>
      </c>
      <c r="U255" s="1" t="str">
        <f>IF(OR($G255="",$H255="Mahsup"),"",$G255&amp;"|"&amp;COUNTIFS($G$7:$G255,$G255,$H$7:$H255,"&lt;&gt;Mahsup"))</f>
        <v>MERKEZ KASA|187</v>
      </c>
    </row>
    <row r="256" spans="1:21" ht="18" customHeight="1" x14ac:dyDescent="0.3">
      <c r="A256" s="2"/>
      <c r="B256" s="65" t="str">
        <f>IF($D256="","","T"&amp;TEXT(ROW()-6,"00000"))</f>
        <v>T00250</v>
      </c>
      <c r="C256" s="65" t="str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>M035</v>
      </c>
      <c r="D256" s="61" t="s">
        <v>615</v>
      </c>
      <c r="E256" s="66">
        <v>46130</v>
      </c>
      <c r="F256" s="67">
        <v>3500</v>
      </c>
      <c r="G256" s="60" t="s">
        <v>717</v>
      </c>
      <c r="H256" s="60" t="s">
        <v>572</v>
      </c>
      <c r="I256" s="61"/>
      <c r="J256" s="61" t="s">
        <v>720</v>
      </c>
      <c r="K256" s="61"/>
      <c r="L256" s="73">
        <f>IF($E256="","",DATE(YEAR($E256),MONTH($E256),1))</f>
        <v>46113</v>
      </c>
      <c r="M256" s="65" t="str">
        <f ca="1">IF($D256="","",IF($C256="TANIMSIZ MÜŞTERİ","HATA",IF(OR($E256="",$F256&lt;=0,$G256=""),"EKSİK",IF($E256&gt;TODAY(),"İLERİ TARİH",IF(COUNTIF($S$7:$S$2503,$S256)&gt;1,"MÜKERRER?",IF($T256&gt;0,"KAPALI DÖNEM","UYGUN"))))))</f>
        <v>UYGUN</v>
      </c>
      <c r="N256" s="74" t="str">
        <f>IF($C256="","",IF($C256="TANIMSIZ MÜŞTERİ","—",INDEX(MUSTERILER!$C$7:$C$156,MATCH($C256,MUSTERILER!$B$7:$B$156,0))))</f>
        <v>İSA DEMİRCİ</v>
      </c>
      <c r="O256" s="2"/>
      <c r="P256" s="2"/>
      <c r="Q256" s="1" t="str">
        <f>IF($D256="","",$C256&amp;"|"&amp;COUNTIFS($C$7:$C256,$C256))</f>
        <v>M035|3</v>
      </c>
      <c r="R256" s="1" t="str">
        <f t="shared" si="6"/>
        <v>ISADEMIRCI</v>
      </c>
      <c r="S256" s="1" t="str">
        <f t="shared" si="7"/>
        <v>M035|46130|3500|</v>
      </c>
      <c r="T256" s="1">
        <f>IF($E256="",0,SUMPRODUCT((AY_SONU!$O$7:$O$42="Evet")*(AY_SONU!$B$7:$B$42=DATE(YEAR($E256),MONTH($E256),1))))</f>
        <v>0</v>
      </c>
      <c r="U256" s="1" t="str">
        <f>IF(OR($G256="",$H256="Mahsup"),"",$G256&amp;"|"&amp;COUNTIFS($G$7:$G256,$G256,$H$7:$H256,"&lt;&gt;Mahsup"))</f>
        <v>MERKEZ KASA|188</v>
      </c>
    </row>
    <row r="257" spans="1:21" ht="18" customHeight="1" x14ac:dyDescent="0.3">
      <c r="A257" s="2"/>
      <c r="B257" s="65" t="str">
        <f>IF($D257="","","T"&amp;TEXT(ROW()-6,"00000"))</f>
        <v>T00251</v>
      </c>
      <c r="C257" s="65" t="str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>M020</v>
      </c>
      <c r="D257" s="61" t="s">
        <v>623</v>
      </c>
      <c r="E257" s="66">
        <v>46130</v>
      </c>
      <c r="F257" s="67">
        <v>3000</v>
      </c>
      <c r="G257" s="60" t="s">
        <v>717</v>
      </c>
      <c r="H257" s="60" t="s">
        <v>572</v>
      </c>
      <c r="I257" s="61"/>
      <c r="J257" s="61" t="s">
        <v>720</v>
      </c>
      <c r="K257" s="61"/>
      <c r="L257" s="73">
        <f>IF($E257="","",DATE(YEAR($E257),MONTH($E257),1))</f>
        <v>46113</v>
      </c>
      <c r="M257" s="65" t="str">
        <f ca="1">IF($D257="","",IF($C257="TANIMSIZ MÜŞTERİ","HATA",IF(OR($E257="",$F257&lt;=0,$G257=""),"EKSİK",IF($E257&gt;TODAY(),"İLERİ TARİH",IF(COUNTIF($S$7:$S$2503,$S257)&gt;1,"MÜKERRER?",IF($T257&gt;0,"KAPALI DÖNEM","UYGUN"))))))</f>
        <v>UYGUN</v>
      </c>
      <c r="N257" s="74" t="str">
        <f>IF($C257="","",IF($C257="TANIMSIZ MÜŞTERİ","—",INDEX(MUSTERILER!$C$7:$C$156,MATCH($C257,MUSTERILER!$B$7:$B$156,0))))</f>
        <v>KRİSTAL LTD.ŞTİ.</v>
      </c>
      <c r="O257" s="2"/>
      <c r="P257" s="2"/>
      <c r="Q257" s="1" t="str">
        <f>IF($D257="","",$C257&amp;"|"&amp;COUNTIFS($C$7:$C257,$C257))</f>
        <v>M020|15</v>
      </c>
      <c r="R257" s="1" t="str">
        <f t="shared" si="6"/>
        <v>KRISTALLTDSTI</v>
      </c>
      <c r="S257" s="1" t="str">
        <f t="shared" si="7"/>
        <v>M020|46130|3000|</v>
      </c>
      <c r="T257" s="1">
        <f>IF($E257="",0,SUMPRODUCT((AY_SONU!$O$7:$O$42="Evet")*(AY_SONU!$B$7:$B$42=DATE(YEAR($E257),MONTH($E257),1))))</f>
        <v>0</v>
      </c>
      <c r="U257" s="1" t="str">
        <f>IF(OR($G257="",$H257="Mahsup"),"",$G257&amp;"|"&amp;COUNTIFS($G$7:$G257,$G257,$H$7:$H257,"&lt;&gt;Mahsup"))</f>
        <v>MERKEZ KASA|189</v>
      </c>
    </row>
    <row r="258" spans="1:21" ht="18" customHeight="1" x14ac:dyDescent="0.3">
      <c r="A258" s="2"/>
      <c r="B258" s="65" t="str">
        <f>IF($D258="","","T"&amp;TEXT(ROW()-6,"00000"))</f>
        <v>T00252</v>
      </c>
      <c r="C258" s="65" t="str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>M054</v>
      </c>
      <c r="D258" s="61" t="s">
        <v>674</v>
      </c>
      <c r="E258" s="66">
        <v>46130</v>
      </c>
      <c r="F258" s="67">
        <v>4000</v>
      </c>
      <c r="G258" s="60" t="s">
        <v>717</v>
      </c>
      <c r="H258" s="60" t="s">
        <v>572</v>
      </c>
      <c r="I258" s="61"/>
      <c r="J258" s="61" t="s">
        <v>720</v>
      </c>
      <c r="K258" s="61"/>
      <c r="L258" s="73">
        <f>IF($E258="","",DATE(YEAR($E258),MONTH($E258),1))</f>
        <v>46113</v>
      </c>
      <c r="M258" s="65" t="str">
        <f ca="1">IF($D258="","",IF($C258="TANIMSIZ MÜŞTERİ","HATA",IF(OR($E258="",$F258&lt;=0,$G258=""),"EKSİK",IF($E258&gt;TODAY(),"İLERİ TARİH",IF(COUNTIF($S$7:$S$2503,$S258)&gt;1,"MÜKERRER?",IF($T258&gt;0,"KAPALI DÖNEM","UYGUN"))))))</f>
        <v>UYGUN</v>
      </c>
      <c r="N258" s="74" t="str">
        <f>IF($C258="","",IF($C258="TANIMSIZ MÜŞTERİ","—",INDEX(MUSTERILER!$C$7:$C$156,MATCH($C258,MUSTERILER!$B$7:$B$156,0))))</f>
        <v>YALIKENT LTD.ŞTİ.</v>
      </c>
      <c r="O258" s="2"/>
      <c r="P258" s="2"/>
      <c r="Q258" s="1" t="str">
        <f>IF($D258="","",$C258&amp;"|"&amp;COUNTIFS($C$7:$C258,$C258))</f>
        <v>M054|4</v>
      </c>
      <c r="R258" s="1" t="str">
        <f t="shared" si="6"/>
        <v>YALIKENTLTDSTI</v>
      </c>
      <c r="S258" s="1" t="str">
        <f t="shared" si="7"/>
        <v>M054|46130|4000|</v>
      </c>
      <c r="T258" s="1">
        <f>IF($E258="",0,SUMPRODUCT((AY_SONU!$O$7:$O$42="Evet")*(AY_SONU!$B$7:$B$42=DATE(YEAR($E258),MONTH($E258),1))))</f>
        <v>0</v>
      </c>
      <c r="U258" s="1" t="str">
        <f>IF(OR($G258="",$H258="Mahsup"),"",$G258&amp;"|"&amp;COUNTIFS($G$7:$G258,$G258,$H$7:$H258,"&lt;&gt;Mahsup"))</f>
        <v>MERKEZ KASA|190</v>
      </c>
    </row>
    <row r="259" spans="1:21" ht="18" customHeight="1" x14ac:dyDescent="0.3">
      <c r="A259" s="2"/>
      <c r="B259" s="65" t="str">
        <f>IF($D259="","","T"&amp;TEXT(ROW()-6,"00000"))</f>
        <v>T00253</v>
      </c>
      <c r="C259" s="65" t="str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>M021</v>
      </c>
      <c r="D259" s="61" t="s">
        <v>581</v>
      </c>
      <c r="E259" s="66">
        <v>46136</v>
      </c>
      <c r="F259" s="67">
        <v>20000</v>
      </c>
      <c r="G259" s="60" t="s">
        <v>717</v>
      </c>
      <c r="H259" s="60" t="s">
        <v>572</v>
      </c>
      <c r="I259" s="61"/>
      <c r="J259" s="61" t="s">
        <v>720</v>
      </c>
      <c r="K259" s="61"/>
      <c r="L259" s="73">
        <f>IF($E259="","",DATE(YEAR($E259),MONTH($E259),1))</f>
        <v>46113</v>
      </c>
      <c r="M259" s="65" t="str">
        <f ca="1">IF($D259="","",IF($C259="TANIMSIZ MÜŞTERİ","HATA",IF(OR($E259="",$F259&lt;=0,$G259=""),"EKSİK",IF($E259&gt;TODAY(),"İLERİ TARİH",IF(COUNTIF($S$7:$S$2503,$S259)&gt;1,"MÜKERRER?",IF($T259&gt;0,"KAPALI DÖNEM","UYGUN"))))))</f>
        <v>UYGUN</v>
      </c>
      <c r="N259" s="74" t="str">
        <f>IF($C259="","",IF($C259="TANIMSIZ MÜŞTERİ","—",INDEX(MUSTERILER!$C$7:$C$156,MATCH($C259,MUSTERILER!$B$7:$B$156,0))))</f>
        <v>ARON TOPTAN LTD.ŞTİ.</v>
      </c>
      <c r="O259" s="2"/>
      <c r="P259" s="2"/>
      <c r="Q259" s="1" t="str">
        <f>IF($D259="","",$C259&amp;"|"&amp;COUNTIFS($C$7:$C259,$C259))</f>
        <v>M021|3</v>
      </c>
      <c r="R259" s="1" t="str">
        <f t="shared" si="6"/>
        <v>ARONTOPTANLTDSTI</v>
      </c>
      <c r="S259" s="1" t="str">
        <f t="shared" si="7"/>
        <v>M021|46136|20000|</v>
      </c>
      <c r="T259" s="1">
        <f>IF($E259="",0,SUMPRODUCT((AY_SONU!$O$7:$O$42="Evet")*(AY_SONU!$B$7:$B$42=DATE(YEAR($E259),MONTH($E259),1))))</f>
        <v>0</v>
      </c>
      <c r="U259" s="1" t="str">
        <f>IF(OR($G259="",$H259="Mahsup"),"",$G259&amp;"|"&amp;COUNTIFS($G$7:$G259,$G259,$H$7:$H259,"&lt;&gt;Mahsup"))</f>
        <v>MERKEZ KASA|191</v>
      </c>
    </row>
    <row r="260" spans="1:21" ht="18" customHeight="1" x14ac:dyDescent="0.3">
      <c r="A260" s="2"/>
      <c r="B260" s="65" t="str">
        <f>IF($D260="","","T"&amp;TEXT(ROW()-6,"00000"))</f>
        <v>T00254</v>
      </c>
      <c r="C260" s="65" t="str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>M001</v>
      </c>
      <c r="D260" s="61" t="s">
        <v>729</v>
      </c>
      <c r="E260" s="66">
        <v>46137</v>
      </c>
      <c r="F260" s="67">
        <v>4000</v>
      </c>
      <c r="G260" s="60" t="s">
        <v>717</v>
      </c>
      <c r="H260" s="60" t="s">
        <v>572</v>
      </c>
      <c r="I260" s="61"/>
      <c r="J260" s="61" t="s">
        <v>720</v>
      </c>
      <c r="K260" s="61"/>
      <c r="L260" s="73">
        <f>IF($E260="","",DATE(YEAR($E260),MONTH($E260),1))</f>
        <v>46113</v>
      </c>
      <c r="M260" s="65" t="str">
        <f ca="1">IF($D260="","",IF($C260="TANIMSIZ MÜŞTERİ","HATA",IF(OR($E260="",$F260&lt;=0,$G260=""),"EKSİK",IF($E260&gt;TODAY(),"İLERİ TARİH",IF(COUNTIF($S$7:$S$2503,$S260)&gt;1,"MÜKERRER?",IF($T260&gt;0,"KAPALI DÖNEM","UYGUN"))))))</f>
        <v>UYGUN</v>
      </c>
      <c r="N260" s="74" t="str">
        <f>IF($C260="","",IF($C260="TANIMSIZ MÜŞTERİ","—",INDEX(MUSTERILER!$C$7:$C$156,MATCH($C260,MUSTERILER!$B$7:$B$156,0))))</f>
        <v>ANKARA HAVANA LTD.ŞTİ.</v>
      </c>
      <c r="O260" s="2"/>
      <c r="P260" s="2"/>
      <c r="Q260" s="1" t="str">
        <f>IF($D260="","",$C260&amp;"|"&amp;COUNTIFS($C$7:$C260,$C260))</f>
        <v>M001|6</v>
      </c>
      <c r="R260" s="1" t="str">
        <f t="shared" si="6"/>
        <v>ANKARAHAVANALTDSTI</v>
      </c>
      <c r="S260" s="1" t="str">
        <f t="shared" si="7"/>
        <v>M001|46137|4000|</v>
      </c>
      <c r="T260" s="1">
        <f>IF($E260="",0,SUMPRODUCT((AY_SONU!$O$7:$O$42="Evet")*(AY_SONU!$B$7:$B$42=DATE(YEAR($E260),MONTH($E260),1))))</f>
        <v>0</v>
      </c>
      <c r="U260" s="1" t="str">
        <f>IF(OR($G260="",$H260="Mahsup"),"",$G260&amp;"|"&amp;COUNTIFS($G$7:$G260,$G260,$H$7:$H260,"&lt;&gt;Mahsup"))</f>
        <v>MERKEZ KASA|192</v>
      </c>
    </row>
    <row r="261" spans="1:21" ht="18" customHeight="1" x14ac:dyDescent="0.3">
      <c r="A261" s="2"/>
      <c r="B261" s="65" t="str">
        <f>IF($D261="","","T"&amp;TEXT(ROW()-6,"00000"))</f>
        <v>T00255</v>
      </c>
      <c r="C261" s="65" t="str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>M025</v>
      </c>
      <c r="D261" s="61" t="s">
        <v>583</v>
      </c>
      <c r="E261" s="66">
        <v>46137</v>
      </c>
      <c r="F261" s="67">
        <v>2000</v>
      </c>
      <c r="G261" s="60" t="s">
        <v>717</v>
      </c>
      <c r="H261" s="60" t="s">
        <v>572</v>
      </c>
      <c r="I261" s="61"/>
      <c r="J261" s="61" t="s">
        <v>720</v>
      </c>
      <c r="K261" s="61"/>
      <c r="L261" s="73">
        <f>IF($E261="","",DATE(YEAR($E261),MONTH($E261),1))</f>
        <v>46113</v>
      </c>
      <c r="M261" s="65" t="str">
        <f ca="1">IF($D261="","",IF($C261="TANIMSIZ MÜŞTERİ","HATA",IF(OR($E261="",$F261&lt;=0,$G261=""),"EKSİK",IF($E261&gt;TODAY(),"İLERİ TARİH",IF(COUNTIF($S$7:$S$2503,$S261)&gt;1,"MÜKERRER?",IF($T261&gt;0,"KAPALI DÖNEM","UYGUN"))))))</f>
        <v>UYGUN</v>
      </c>
      <c r="N261" s="74" t="str">
        <f>IF($C261="","",IF($C261="TANIMSIZ MÜŞTERİ","—",INDEX(MUSTERILER!$C$7:$C$156,MATCH($C261,MUSTERILER!$B$7:$B$156,0))))</f>
        <v>ASIM AÇIKGÖZ</v>
      </c>
      <c r="O261" s="2"/>
      <c r="P261" s="2"/>
      <c r="Q261" s="1" t="str">
        <f>IF($D261="","",$C261&amp;"|"&amp;COUNTIFS($C$7:$C261,$C261))</f>
        <v>M025|12</v>
      </c>
      <c r="R261" s="1" t="str">
        <f t="shared" si="6"/>
        <v>ASIMACIKGOZ</v>
      </c>
      <c r="S261" s="1" t="str">
        <f t="shared" si="7"/>
        <v>M025|46137|2000|</v>
      </c>
      <c r="T261" s="1">
        <f>IF($E261="",0,SUMPRODUCT((AY_SONU!$O$7:$O$42="Evet")*(AY_SONU!$B$7:$B$42=DATE(YEAR($E261),MONTH($E261),1))))</f>
        <v>0</v>
      </c>
      <c r="U261" s="1" t="str">
        <f>IF(OR($G261="",$H261="Mahsup"),"",$G261&amp;"|"&amp;COUNTIFS($G$7:$G261,$G261,$H$7:$H261,"&lt;&gt;Mahsup"))</f>
        <v>MERKEZ KASA|193</v>
      </c>
    </row>
    <row r="262" spans="1:21" ht="18" customHeight="1" x14ac:dyDescent="0.3">
      <c r="A262" s="2"/>
      <c r="B262" s="65" t="str">
        <f>IF($D262="","","T"&amp;TEXT(ROW()-6,"00000"))</f>
        <v>T00256</v>
      </c>
      <c r="C262" s="65" t="str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>M017</v>
      </c>
      <c r="D262" s="61" t="s">
        <v>585</v>
      </c>
      <c r="E262" s="66">
        <v>46137</v>
      </c>
      <c r="F262" s="67">
        <v>2500</v>
      </c>
      <c r="G262" s="60" t="s">
        <v>717</v>
      </c>
      <c r="H262" s="60" t="s">
        <v>572</v>
      </c>
      <c r="I262" s="61"/>
      <c r="J262" s="61" t="s">
        <v>720</v>
      </c>
      <c r="K262" s="61"/>
      <c r="L262" s="73">
        <f>IF($E262="","",DATE(YEAR($E262),MONTH($E262),1))</f>
        <v>46113</v>
      </c>
      <c r="M262" s="65" t="str">
        <f ca="1">IF($D262="","",IF($C262="TANIMSIZ MÜŞTERİ","HATA",IF(OR($E262="",$F262&lt;=0,$G262=""),"EKSİK",IF($E262&gt;TODAY(),"İLERİ TARİH",IF(COUNTIF($S$7:$S$2503,$S262)&gt;1,"MÜKERRER?",IF($T262&gt;0,"KAPALI DÖNEM","UYGUN"))))))</f>
        <v>UYGUN</v>
      </c>
      <c r="N262" s="74" t="str">
        <f>IF($C262="","",IF($C262="TANIMSIZ MÜŞTERİ","—",INDEX(MUSTERILER!$C$7:$C$156,MATCH($C262,MUSTERILER!$B$7:$B$156,0))))</f>
        <v>ASM EĞLENCE LTD.ŞTİ.</v>
      </c>
      <c r="O262" s="2"/>
      <c r="P262" s="2"/>
      <c r="Q262" s="1" t="str">
        <f>IF($D262="","",$C262&amp;"|"&amp;COUNTIFS($C$7:$C262,$C262))</f>
        <v>M017|14</v>
      </c>
      <c r="R262" s="1" t="str">
        <f t="shared" si="6"/>
        <v>ASMEGLENCELTDSTI</v>
      </c>
      <c r="S262" s="1" t="str">
        <f t="shared" si="7"/>
        <v>M017|46137|2500|</v>
      </c>
      <c r="T262" s="1">
        <f>IF($E262="",0,SUMPRODUCT((AY_SONU!$O$7:$O$42="Evet")*(AY_SONU!$B$7:$B$42=DATE(YEAR($E262),MONTH($E262),1))))</f>
        <v>0</v>
      </c>
      <c r="U262" s="1" t="str">
        <f>IF(OR($G262="",$H262="Mahsup"),"",$G262&amp;"|"&amp;COUNTIFS($G$7:$G262,$G262,$H$7:$H262,"&lt;&gt;Mahsup"))</f>
        <v>MERKEZ KASA|194</v>
      </c>
    </row>
    <row r="263" spans="1:21" ht="18" customHeight="1" x14ac:dyDescent="0.3">
      <c r="A263" s="2"/>
      <c r="B263" s="65" t="str">
        <f>IF($D263="","","T"&amp;TEXT(ROW()-6,"00000"))</f>
        <v>T00257</v>
      </c>
      <c r="C263" s="65" t="str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>M015</v>
      </c>
      <c r="D263" s="61" t="s">
        <v>719</v>
      </c>
      <c r="E263" s="66">
        <v>46137</v>
      </c>
      <c r="F263" s="67">
        <v>3000</v>
      </c>
      <c r="G263" s="60" t="s">
        <v>717</v>
      </c>
      <c r="H263" s="60" t="s">
        <v>572</v>
      </c>
      <c r="I263" s="61"/>
      <c r="J263" s="61" t="s">
        <v>720</v>
      </c>
      <c r="K263" s="61"/>
      <c r="L263" s="73">
        <f>IF($E263="","",DATE(YEAR($E263),MONTH($E263),1))</f>
        <v>46113</v>
      </c>
      <c r="M263" s="65" t="str">
        <f ca="1">IF($D263="","",IF($C263="TANIMSIZ MÜŞTERİ","HATA",IF(OR($E263="",$F263&lt;=0,$G263=""),"EKSİK",IF($E263&gt;TODAY(),"İLERİ TARİH",IF(COUNTIF($S$7:$S$2503,$S263)&gt;1,"MÜKERRER?",IF($T263&gt;0,"KAPALI DÖNEM","UYGUN"))))))</f>
        <v>UYGUN</v>
      </c>
      <c r="N263" s="74" t="str">
        <f>IF($C263="","",IF($C263="TANIMSIZ MÜŞTERİ","—",INDEX(MUSTERILER!$C$7:$C$156,MATCH($C263,MUSTERILER!$B$7:$B$156,0))))</f>
        <v>ÇAYIRALAN LTD.ŞTİ.</v>
      </c>
      <c r="O263" s="2"/>
      <c r="P263" s="2"/>
      <c r="Q263" s="1" t="str">
        <f>IF($D263="","",$C263&amp;"|"&amp;COUNTIFS($C$7:$C263,$C263))</f>
        <v>M015|14</v>
      </c>
      <c r="R263" s="1" t="str">
        <f t="shared" ref="R263:R326" si="8"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>CAYIRALANLTDSTI</v>
      </c>
      <c r="S263" s="1" t="str">
        <f t="shared" ref="S263:S326" si="9">IF($D263="","",$C263&amp;"|"&amp;TEXT($E263,"0")&amp;"|"&amp;TEXT($F263,"0")&amp;"|"&amp;$I263)</f>
        <v>M015|46137|3000|</v>
      </c>
      <c r="T263" s="1">
        <f>IF($E263="",0,SUMPRODUCT((AY_SONU!$O$7:$O$42="Evet")*(AY_SONU!$B$7:$B$42=DATE(YEAR($E263),MONTH($E263),1))))</f>
        <v>0</v>
      </c>
      <c r="U263" s="1" t="str">
        <f>IF(OR($G263="",$H263="Mahsup"),"",$G263&amp;"|"&amp;COUNTIFS($G$7:$G263,$G263,$H$7:$H263,"&lt;&gt;Mahsup"))</f>
        <v>MERKEZ KASA|195</v>
      </c>
    </row>
    <row r="264" spans="1:21" ht="18" customHeight="1" x14ac:dyDescent="0.3">
      <c r="A264" s="2"/>
      <c r="B264" s="65" t="str">
        <f>IF($D264="","","T"&amp;TEXT(ROW()-6,"00000"))</f>
        <v>T00258</v>
      </c>
      <c r="C264" s="65" t="str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>M011</v>
      </c>
      <c r="D264" s="61" t="s">
        <v>730</v>
      </c>
      <c r="E264" s="66">
        <v>46137</v>
      </c>
      <c r="F264" s="67">
        <v>4000</v>
      </c>
      <c r="G264" s="60" t="s">
        <v>717</v>
      </c>
      <c r="H264" s="60" t="s">
        <v>572</v>
      </c>
      <c r="I264" s="61"/>
      <c r="J264" s="61" t="s">
        <v>720</v>
      </c>
      <c r="K264" s="61"/>
      <c r="L264" s="73">
        <f>IF($E264="","",DATE(YEAR($E264),MONTH($E264),1))</f>
        <v>46113</v>
      </c>
      <c r="M264" s="65" t="str">
        <f ca="1">IF($D264="","",IF($C264="TANIMSIZ MÜŞTERİ","HATA",IF(OR($E264="",$F264&lt;=0,$G264=""),"EKSİK",IF($E264&gt;TODAY(),"İLERİ TARİH",IF(COUNTIF($S$7:$S$2503,$S264)&gt;1,"MÜKERRER?",IF($T264&gt;0,"KAPALI DÖNEM","UYGUN"))))))</f>
        <v>UYGUN</v>
      </c>
      <c r="N264" s="74" t="str">
        <f>IF($C264="","",IF($C264="TANIMSIZ MÜŞTERİ","—",INDEX(MUSTERILER!$C$7:$C$156,MATCH($C264,MUSTERILER!$B$7:$B$156,0))))</f>
        <v>EĞLENGÖR LTD.ŞTİ.</v>
      </c>
      <c r="O264" s="2"/>
      <c r="P264" s="2"/>
      <c r="Q264" s="1" t="str">
        <f>IF($D264="","",$C264&amp;"|"&amp;COUNTIFS($C$7:$C264,$C264))</f>
        <v>M011|15</v>
      </c>
      <c r="R264" s="1" t="str">
        <f t="shared" si="8"/>
        <v>EGLENGORLTDSTI</v>
      </c>
      <c r="S264" s="1" t="str">
        <f t="shared" si="9"/>
        <v>M011|46137|4000|</v>
      </c>
      <c r="T264" s="1">
        <f>IF($E264="",0,SUMPRODUCT((AY_SONU!$O$7:$O$42="Evet")*(AY_SONU!$B$7:$B$42=DATE(YEAR($E264),MONTH($E264),1))))</f>
        <v>0</v>
      </c>
      <c r="U264" s="1" t="str">
        <f>IF(OR($G264="",$H264="Mahsup"),"",$G264&amp;"|"&amp;COUNTIFS($G$7:$G264,$G264,$H$7:$H264,"&lt;&gt;Mahsup"))</f>
        <v>MERKEZ KASA|196</v>
      </c>
    </row>
    <row r="265" spans="1:21" ht="18" customHeight="1" x14ac:dyDescent="0.3">
      <c r="A265" s="2"/>
      <c r="B265" s="65" t="str">
        <f>IF($D265="","","T"&amp;TEXT(ROW()-6,"00000"))</f>
        <v>T00259</v>
      </c>
      <c r="C265" s="65" t="str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>M014</v>
      </c>
      <c r="D265" s="61" t="s">
        <v>731</v>
      </c>
      <c r="E265" s="66">
        <v>46137</v>
      </c>
      <c r="F265" s="67">
        <v>4000</v>
      </c>
      <c r="G265" s="60" t="s">
        <v>717</v>
      </c>
      <c r="H265" s="60" t="s">
        <v>572</v>
      </c>
      <c r="I265" s="61"/>
      <c r="J265" s="61" t="s">
        <v>720</v>
      </c>
      <c r="K265" s="61"/>
      <c r="L265" s="73">
        <f>IF($E265="","",DATE(YEAR($E265),MONTH($E265),1))</f>
        <v>46113</v>
      </c>
      <c r="M265" s="65" t="str">
        <f ca="1">IF($D265="","",IF($C265="TANIMSIZ MÜŞTERİ","HATA",IF(OR($E265="",$F265&lt;=0,$G265=""),"EKSİK",IF($E265&gt;TODAY(),"İLERİ TARİH",IF(COUNTIF($S$7:$S$2503,$S265)&gt;1,"MÜKERRER?",IF($T265&gt;0,"KAPALI DÖNEM","UYGUN"))))))</f>
        <v>UYGUN</v>
      </c>
      <c r="N265" s="74" t="str">
        <f>IF($C265="","",IF($C265="TANIMSIZ MÜŞTERİ","—",INDEX(MUSTERILER!$C$7:$C$156,MATCH($C265,MUSTERILER!$B$7:$B$156,0))))</f>
        <v>FİNAL SİYAH BEYAZ LTD.ŞTİ.</v>
      </c>
      <c r="O265" s="2"/>
      <c r="P265" s="2"/>
      <c r="Q265" s="1" t="str">
        <f>IF($D265="","",$C265&amp;"|"&amp;COUNTIFS($C$7:$C265,$C265))</f>
        <v>M014|15</v>
      </c>
      <c r="R265" s="1" t="str">
        <f t="shared" si="8"/>
        <v>FINALSIYAHBEYAZLTDSTI</v>
      </c>
      <c r="S265" s="1" t="str">
        <f t="shared" si="9"/>
        <v>M014|46137|4000|</v>
      </c>
      <c r="T265" s="1">
        <f>IF($E265="",0,SUMPRODUCT((AY_SONU!$O$7:$O$42="Evet")*(AY_SONU!$B$7:$B$42=DATE(YEAR($E265),MONTH($E265),1))))</f>
        <v>0</v>
      </c>
      <c r="U265" s="1" t="str">
        <f>IF(OR($G265="",$H265="Mahsup"),"",$G265&amp;"|"&amp;COUNTIFS($G$7:$G265,$G265,$H$7:$H265,"&lt;&gt;Mahsup"))</f>
        <v>MERKEZ KASA|197</v>
      </c>
    </row>
    <row r="266" spans="1:21" ht="18" customHeight="1" x14ac:dyDescent="0.3">
      <c r="A266" s="2"/>
      <c r="B266" s="65" t="str">
        <f>IF($D266="","","T"&amp;TEXT(ROW()-6,"00000"))</f>
        <v>T00260</v>
      </c>
      <c r="C266" s="65" t="str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>M034</v>
      </c>
      <c r="D266" s="61" t="s">
        <v>732</v>
      </c>
      <c r="E266" s="66">
        <v>46137</v>
      </c>
      <c r="F266" s="67">
        <v>4000</v>
      </c>
      <c r="G266" s="60" t="s">
        <v>717</v>
      </c>
      <c r="H266" s="60" t="s">
        <v>572</v>
      </c>
      <c r="I266" s="61"/>
      <c r="J266" s="61" t="s">
        <v>720</v>
      </c>
      <c r="K266" s="61"/>
      <c r="L266" s="73">
        <f>IF($E266="","",DATE(YEAR($E266),MONTH($E266),1))</f>
        <v>46113</v>
      </c>
      <c r="M266" s="65" t="str">
        <f ca="1">IF($D266="","",IF($C266="TANIMSIZ MÜŞTERİ","HATA",IF(OR($E266="",$F266&lt;=0,$G266=""),"EKSİK",IF($E266&gt;TODAY(),"İLERİ TARİH",IF(COUNTIF($S$7:$S$2503,$S266)&gt;1,"MÜKERRER?",IF($T266&gt;0,"KAPALI DÖNEM","UYGUN"))))))</f>
        <v>UYGUN</v>
      </c>
      <c r="N266" s="74" t="str">
        <f>IF($C266="","",IF($C266="TANIMSIZ MÜŞTERİ","—",INDEX(MUSTERILER!$C$7:$C$156,MATCH($C266,MUSTERILER!$B$7:$B$156,0))))</f>
        <v>İBRAHİM MALDAN</v>
      </c>
      <c r="O266" s="2"/>
      <c r="P266" s="2"/>
      <c r="Q266" s="1" t="str">
        <f>IF($D266="","",$C266&amp;"|"&amp;COUNTIFS($C$7:$C266,$C266))</f>
        <v>M034|12</v>
      </c>
      <c r="R266" s="1" t="str">
        <f t="shared" si="8"/>
        <v>IBRAHIMMALDAN</v>
      </c>
      <c r="S266" s="1" t="str">
        <f t="shared" si="9"/>
        <v>M034|46137|4000|</v>
      </c>
      <c r="T266" s="1">
        <f>IF($E266="",0,SUMPRODUCT((AY_SONU!$O$7:$O$42="Evet")*(AY_SONU!$B$7:$B$42=DATE(YEAR($E266),MONTH($E266),1))))</f>
        <v>0</v>
      </c>
      <c r="U266" s="1" t="str">
        <f>IF(OR($G266="",$H266="Mahsup"),"",$G266&amp;"|"&amp;COUNTIFS($G$7:$G266,$G266,$H$7:$H266,"&lt;&gt;Mahsup"))</f>
        <v>MERKEZ KASA|198</v>
      </c>
    </row>
    <row r="267" spans="1:21" ht="18" customHeight="1" x14ac:dyDescent="0.3">
      <c r="A267" s="2"/>
      <c r="B267" s="65" t="str">
        <f>IF($D267="","","T"&amp;TEXT(ROW()-6,"00000"))</f>
        <v>T00261</v>
      </c>
      <c r="C267" s="65" t="str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>M012</v>
      </c>
      <c r="D267" s="61" t="s">
        <v>721</v>
      </c>
      <c r="E267" s="66">
        <v>46137</v>
      </c>
      <c r="F267" s="67">
        <v>4000</v>
      </c>
      <c r="G267" s="60" t="s">
        <v>717</v>
      </c>
      <c r="H267" s="60" t="s">
        <v>572</v>
      </c>
      <c r="I267" s="61"/>
      <c r="J267" s="61" t="s">
        <v>720</v>
      </c>
      <c r="K267" s="61"/>
      <c r="L267" s="73">
        <f>IF($E267="","",DATE(YEAR($E267),MONTH($E267),1))</f>
        <v>46113</v>
      </c>
      <c r="M267" s="65" t="str">
        <f ca="1">IF($D267="","",IF($C267="TANIMSIZ MÜŞTERİ","HATA",IF(OR($E267="",$F267&lt;=0,$G267=""),"EKSİK",IF($E267&gt;TODAY(),"İLERİ TARİH",IF(COUNTIF($S$7:$S$2503,$S267)&gt;1,"MÜKERRER?",IF($T267&gt;0,"KAPALI DÖNEM","UYGUN"))))))</f>
        <v>UYGUN</v>
      </c>
      <c r="N267" s="74" t="str">
        <f>IF($C267="","",IF($C267="TANIMSIZ MÜŞTERİ","—",INDEX(MUSTERILER!$C$7:$C$156,MATCH($C267,MUSTERILER!$B$7:$B$156,0))))</f>
        <v>İLDEŞ LTD.ŞTİ.</v>
      </c>
      <c r="O267" s="2"/>
      <c r="P267" s="2"/>
      <c r="Q267" s="1" t="str">
        <f>IF($D267="","",$C267&amp;"|"&amp;COUNTIFS($C$7:$C267,$C267))</f>
        <v>M012|16</v>
      </c>
      <c r="R267" s="1" t="str">
        <f t="shared" si="8"/>
        <v>ILDESLTDSTI</v>
      </c>
      <c r="S267" s="1" t="str">
        <f t="shared" si="9"/>
        <v>M012|46137|4000|</v>
      </c>
      <c r="T267" s="1">
        <f>IF($E267="",0,SUMPRODUCT((AY_SONU!$O$7:$O$42="Evet")*(AY_SONU!$B$7:$B$42=DATE(YEAR($E267),MONTH($E267),1))))</f>
        <v>0</v>
      </c>
      <c r="U267" s="1" t="str">
        <f>IF(OR($G267="",$H267="Mahsup"),"",$G267&amp;"|"&amp;COUNTIFS($G$7:$G267,$G267,$H$7:$H267,"&lt;&gt;Mahsup"))</f>
        <v>MERKEZ KASA|199</v>
      </c>
    </row>
    <row r="268" spans="1:21" ht="18" customHeight="1" x14ac:dyDescent="0.3">
      <c r="A268" s="2"/>
      <c r="B268" s="65" t="str">
        <f>IF($D268="","","T"&amp;TEXT(ROW()-6,"00000"))</f>
        <v>T00262</v>
      </c>
      <c r="C268" s="65" t="str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>M007</v>
      </c>
      <c r="D268" s="61" t="s">
        <v>733</v>
      </c>
      <c r="E268" s="66">
        <v>46137</v>
      </c>
      <c r="F268" s="67">
        <v>3500</v>
      </c>
      <c r="G268" s="60" t="s">
        <v>717</v>
      </c>
      <c r="H268" s="60" t="s">
        <v>572</v>
      </c>
      <c r="I268" s="61"/>
      <c r="J268" s="61" t="s">
        <v>720</v>
      </c>
      <c r="K268" s="61"/>
      <c r="L268" s="73">
        <f>IF($E268="","",DATE(YEAR($E268),MONTH($E268),1))</f>
        <v>46113</v>
      </c>
      <c r="M268" s="65" t="str">
        <f ca="1">IF($D268="","",IF($C268="TANIMSIZ MÜŞTERİ","HATA",IF(OR($E268="",$F268&lt;=0,$G268=""),"EKSİK",IF($E268&gt;TODAY(),"İLERİ TARİH",IF(COUNTIF($S$7:$S$2503,$S268)&gt;1,"MÜKERRER?",IF($T268&gt;0,"KAPALI DÖNEM","UYGUN"))))))</f>
        <v>UYGUN</v>
      </c>
      <c r="N268" s="74" t="str">
        <f>IF($C268="","",IF($C268="TANIMSIZ MÜŞTERİ","—",INDEX(MUSTERILER!$C$7:$C$156,MATCH($C268,MUSTERILER!$B$7:$B$156,0))))</f>
        <v>MONAMOUR LTD.ŞTİ.</v>
      </c>
      <c r="O268" s="2"/>
      <c r="P268" s="2"/>
      <c r="Q268" s="1" t="str">
        <f>IF($D268="","",$C268&amp;"|"&amp;COUNTIFS($C$7:$C268,$C268))</f>
        <v>M007|14</v>
      </c>
      <c r="R268" s="1" t="str">
        <f t="shared" si="8"/>
        <v>MONAMOURLTDSTI</v>
      </c>
      <c r="S268" s="1" t="str">
        <f t="shared" si="9"/>
        <v>M007|46137|3500|</v>
      </c>
      <c r="T268" s="1">
        <f>IF($E268="",0,SUMPRODUCT((AY_SONU!$O$7:$O$42="Evet")*(AY_SONU!$B$7:$B$42=DATE(YEAR($E268),MONTH($E268),1))))</f>
        <v>0</v>
      </c>
      <c r="U268" s="1" t="str">
        <f>IF(OR($G268="",$H268="Mahsup"),"",$G268&amp;"|"&amp;COUNTIFS($G$7:$G268,$G268,$H$7:$H268,"&lt;&gt;Mahsup"))</f>
        <v>MERKEZ KASA|200</v>
      </c>
    </row>
    <row r="269" spans="1:21" ht="18" customHeight="1" x14ac:dyDescent="0.3">
      <c r="A269" s="2"/>
      <c r="B269" s="65" t="str">
        <f>IF($D269="","","T"&amp;TEXT(ROW()-6,"00000"))</f>
        <v>T00263</v>
      </c>
      <c r="C269" s="65" t="str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>M013</v>
      </c>
      <c r="D269" s="61" t="s">
        <v>734</v>
      </c>
      <c r="E269" s="66">
        <v>46137</v>
      </c>
      <c r="F269" s="67">
        <v>4000</v>
      </c>
      <c r="G269" s="60" t="s">
        <v>717</v>
      </c>
      <c r="H269" s="60" t="s">
        <v>572</v>
      </c>
      <c r="I269" s="61"/>
      <c r="J269" s="61" t="s">
        <v>720</v>
      </c>
      <c r="K269" s="61"/>
      <c r="L269" s="73">
        <f>IF($E269="","",DATE(YEAR($E269),MONTH($E269),1))</f>
        <v>46113</v>
      </c>
      <c r="M269" s="65" t="str">
        <f ca="1">IF($D269="","",IF($C269="TANIMSIZ MÜŞTERİ","HATA",IF(OR($E269="",$F269&lt;=0,$G269=""),"EKSİK",IF($E269&gt;TODAY(),"İLERİ TARİH",IF(COUNTIF($S$7:$S$2503,$S269)&gt;1,"MÜKERRER?",IF($T269&gt;0,"KAPALI DÖNEM","UYGUN"))))))</f>
        <v>UYGUN</v>
      </c>
      <c r="N269" s="74" t="str">
        <f>IF($C269="","",IF($C269="TANIMSIZ MÜŞTERİ","—",INDEX(MUSTERILER!$C$7:$C$156,MATCH($C269,MUSTERILER!$B$7:$B$156,0))))</f>
        <v>NAZ 1 GIDA LTD.ŞTİ.</v>
      </c>
      <c r="O269" s="2"/>
      <c r="P269" s="2"/>
      <c r="Q269" s="1" t="str">
        <f>IF($D269="","",$C269&amp;"|"&amp;COUNTIFS($C$7:$C269,$C269))</f>
        <v>M013|11</v>
      </c>
      <c r="R269" s="1" t="str">
        <f t="shared" si="8"/>
        <v>NAZ1GIDALTDSTI</v>
      </c>
      <c r="S269" s="1" t="str">
        <f t="shared" si="9"/>
        <v>M013|46137|4000|</v>
      </c>
      <c r="T269" s="1">
        <f>IF($E269="",0,SUMPRODUCT((AY_SONU!$O$7:$O$42="Evet")*(AY_SONU!$B$7:$B$42=DATE(YEAR($E269),MONTH($E269),1))))</f>
        <v>0</v>
      </c>
      <c r="U269" s="1" t="str">
        <f>IF(OR($G269="",$H269="Mahsup"),"",$G269&amp;"|"&amp;COUNTIFS($G$7:$G269,$G269,$H$7:$H269,"&lt;&gt;Mahsup"))</f>
        <v>MERKEZ KASA|201</v>
      </c>
    </row>
    <row r="270" spans="1:21" ht="18" customHeight="1" x14ac:dyDescent="0.3">
      <c r="A270" s="2"/>
      <c r="B270" s="65" t="str">
        <f>IF($D270="","","T"&amp;TEXT(ROW()-6,"00000"))</f>
        <v>T00264</v>
      </c>
      <c r="C270" s="65" t="str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>M009</v>
      </c>
      <c r="D270" s="61" t="s">
        <v>735</v>
      </c>
      <c r="E270" s="66">
        <v>46137</v>
      </c>
      <c r="F270" s="67">
        <v>4000</v>
      </c>
      <c r="G270" s="60" t="s">
        <v>717</v>
      </c>
      <c r="H270" s="60" t="s">
        <v>572</v>
      </c>
      <c r="I270" s="61"/>
      <c r="J270" s="61" t="s">
        <v>720</v>
      </c>
      <c r="K270" s="61"/>
      <c r="L270" s="73">
        <f>IF($E270="","",DATE(YEAR($E270),MONTH($E270),1))</f>
        <v>46113</v>
      </c>
      <c r="M270" s="65" t="str">
        <f ca="1">IF($D270="","",IF($C270="TANIMSIZ MÜŞTERİ","HATA",IF(OR($E270="",$F270&lt;=0,$G270=""),"EKSİK",IF($E270&gt;TODAY(),"İLERİ TARİH",IF(COUNTIF($S$7:$S$2503,$S270)&gt;1,"MÜKERRER?",IF($T270&gt;0,"KAPALI DÖNEM","UYGUN"))))))</f>
        <v>UYGUN</v>
      </c>
      <c r="N270" s="74" t="str">
        <f>IF($C270="","",IF($C270="TANIMSIZ MÜŞTERİ","—",INDEX(MUSTERILER!$C$7:$C$156,MATCH($C270,MUSTERILER!$B$7:$B$156,0))))</f>
        <v>PAKYILDIZ LTD.ŞTİ.</v>
      </c>
      <c r="O270" s="2"/>
      <c r="P270" s="2"/>
      <c r="Q270" s="1" t="str">
        <f>IF($D270="","",$C270&amp;"|"&amp;COUNTIFS($C$7:$C270,$C270))</f>
        <v>M009|11</v>
      </c>
      <c r="R270" s="1" t="str">
        <f t="shared" si="8"/>
        <v>PAKYILDIZLTDSTI</v>
      </c>
      <c r="S270" s="1" t="str">
        <f t="shared" si="9"/>
        <v>M009|46137|4000|</v>
      </c>
      <c r="T270" s="1">
        <f>IF($E270="",0,SUMPRODUCT((AY_SONU!$O$7:$O$42="Evet")*(AY_SONU!$B$7:$B$42=DATE(YEAR($E270),MONTH($E270),1))))</f>
        <v>0</v>
      </c>
      <c r="U270" s="1" t="str">
        <f>IF(OR($G270="",$H270="Mahsup"),"",$G270&amp;"|"&amp;COUNTIFS($G$7:$G270,$G270,$H$7:$H270,"&lt;&gt;Mahsup"))</f>
        <v>MERKEZ KASA|202</v>
      </c>
    </row>
    <row r="271" spans="1:21" ht="18" customHeight="1" x14ac:dyDescent="0.3">
      <c r="A271" s="2"/>
      <c r="B271" s="65" t="str">
        <f>IF($D271="","","T"&amp;TEXT(ROW()-6,"00000"))</f>
        <v>T00265</v>
      </c>
      <c r="C271" s="65" t="str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>M016</v>
      </c>
      <c r="D271" s="61" t="s">
        <v>736</v>
      </c>
      <c r="E271" s="66">
        <v>46137</v>
      </c>
      <c r="F271" s="67">
        <v>3000</v>
      </c>
      <c r="G271" s="60" t="s">
        <v>717</v>
      </c>
      <c r="H271" s="60" t="s">
        <v>572</v>
      </c>
      <c r="I271" s="61"/>
      <c r="J271" s="61" t="s">
        <v>720</v>
      </c>
      <c r="K271" s="61"/>
      <c r="L271" s="73">
        <f>IF($E271="","",DATE(YEAR($E271),MONTH($E271),1))</f>
        <v>46113</v>
      </c>
      <c r="M271" s="65" t="str">
        <f ca="1">IF($D271="","",IF($C271="TANIMSIZ MÜŞTERİ","HATA",IF(OR($E271="",$F271&lt;=0,$G271=""),"EKSİK",IF($E271&gt;TODAY(),"İLERİ TARİH",IF(COUNTIF($S$7:$S$2503,$S271)&gt;1,"MÜKERRER?",IF($T271&gt;0,"KAPALI DÖNEM","UYGUN"))))))</f>
        <v>UYGUN</v>
      </c>
      <c r="N271" s="74" t="str">
        <f>IF($C271="","",IF($C271="TANIMSIZ MÜŞTERİ","—",INDEX(MUSTERILER!$C$7:$C$156,MATCH($C271,MUSTERILER!$B$7:$B$156,0))))</f>
        <v>RİX ŞOW LTD.ŞTİ.</v>
      </c>
      <c r="O271" s="2"/>
      <c r="P271" s="2"/>
      <c r="Q271" s="1" t="str">
        <f>IF($D271="","",$C271&amp;"|"&amp;COUNTIFS($C$7:$C271,$C271))</f>
        <v>M016|16</v>
      </c>
      <c r="R271" s="1" t="str">
        <f t="shared" si="8"/>
        <v>RIXSOWLTDSTI</v>
      </c>
      <c r="S271" s="1" t="str">
        <f t="shared" si="9"/>
        <v>M016|46137|3000|</v>
      </c>
      <c r="T271" s="1">
        <f>IF($E271="",0,SUMPRODUCT((AY_SONU!$O$7:$O$42="Evet")*(AY_SONU!$B$7:$B$42=DATE(YEAR($E271),MONTH($E271),1))))</f>
        <v>0</v>
      </c>
      <c r="U271" s="1" t="str">
        <f>IF(OR($G271="",$H271="Mahsup"),"",$G271&amp;"|"&amp;COUNTIFS($G$7:$G271,$G271,$H$7:$H271,"&lt;&gt;Mahsup"))</f>
        <v>MERKEZ KASA|203</v>
      </c>
    </row>
    <row r="272" spans="1:21" ht="18" customHeight="1" x14ac:dyDescent="0.3">
      <c r="A272" s="2"/>
      <c r="B272" s="65" t="str">
        <f>IF($D272="","","T"&amp;TEXT(ROW()-6,"00000"))</f>
        <v>T00266</v>
      </c>
      <c r="C272" s="65" t="str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>M004</v>
      </c>
      <c r="D272" s="61" t="s">
        <v>738</v>
      </c>
      <c r="E272" s="66">
        <v>46137</v>
      </c>
      <c r="F272" s="67">
        <v>3000</v>
      </c>
      <c r="G272" s="60" t="s">
        <v>717</v>
      </c>
      <c r="H272" s="60" t="s">
        <v>572</v>
      </c>
      <c r="I272" s="61"/>
      <c r="J272" s="61" t="s">
        <v>720</v>
      </c>
      <c r="K272" s="61"/>
      <c r="L272" s="73">
        <f>IF($E272="","",DATE(YEAR($E272),MONTH($E272),1))</f>
        <v>46113</v>
      </c>
      <c r="M272" s="65" t="str">
        <f ca="1">IF($D272="","",IF($C272="TANIMSIZ MÜŞTERİ","HATA",IF(OR($E272="",$F272&lt;=0,$G272=""),"EKSİK",IF($E272&gt;TODAY(),"İLERİ TARİH",IF(COUNTIF($S$7:$S$2503,$S272)&gt;1,"MÜKERRER?",IF($T272&gt;0,"KAPALI DÖNEM","UYGUN"))))))</f>
        <v>UYGUN</v>
      </c>
      <c r="N272" s="74" t="str">
        <f>IF($C272="","",IF($C272="TANIMSIZ MÜŞTERİ","—",INDEX(MUSTERILER!$C$7:$C$156,MATCH($C272,MUSTERILER!$B$7:$B$156,0))))</f>
        <v>ZÜMRÜT EĞLENCE LTD.ŞTİ.</v>
      </c>
      <c r="O272" s="2"/>
      <c r="P272" s="2"/>
      <c r="Q272" s="1" t="str">
        <f>IF($D272="","",$C272&amp;"|"&amp;COUNTIFS($C$7:$C272,$C272))</f>
        <v>M004|10</v>
      </c>
      <c r="R272" s="1" t="str">
        <f t="shared" si="8"/>
        <v>ZUMRUTEGLENCELTDSTI</v>
      </c>
      <c r="S272" s="1" t="str">
        <f t="shared" si="9"/>
        <v>M004|46137|3000|</v>
      </c>
      <c r="T272" s="1">
        <f>IF($E272="",0,SUMPRODUCT((AY_SONU!$O$7:$O$42="Evet")*(AY_SONU!$B$7:$B$42=DATE(YEAR($E272),MONTH($E272),1))))</f>
        <v>0</v>
      </c>
      <c r="U272" s="1" t="str">
        <f>IF(OR($G272="",$H272="Mahsup"),"",$G272&amp;"|"&amp;COUNTIFS($G$7:$G272,$G272,$H$7:$H272,"&lt;&gt;Mahsup"))</f>
        <v>MERKEZ KASA|204</v>
      </c>
    </row>
    <row r="273" spans="1:21" ht="18" customHeight="1" x14ac:dyDescent="0.3">
      <c r="A273" s="2"/>
      <c r="B273" s="65" t="str">
        <f>IF($D273="","","T"&amp;TEXT(ROW()-6,"00000"))</f>
        <v>T00267</v>
      </c>
      <c r="C273" s="65" t="str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>M018</v>
      </c>
      <c r="D273" s="61" t="s">
        <v>593</v>
      </c>
      <c r="E273" s="66">
        <v>46137</v>
      </c>
      <c r="F273" s="67">
        <v>2500</v>
      </c>
      <c r="G273" s="60" t="s">
        <v>717</v>
      </c>
      <c r="H273" s="60" t="s">
        <v>572</v>
      </c>
      <c r="I273" s="61"/>
      <c r="J273" s="61" t="s">
        <v>720</v>
      </c>
      <c r="K273" s="61"/>
      <c r="L273" s="73">
        <f>IF($E273="","",DATE(YEAR($E273),MONTH($E273),1))</f>
        <v>46113</v>
      </c>
      <c r="M273" s="65" t="str">
        <f ca="1">IF($D273="","",IF($C273="TANIMSIZ MÜŞTERİ","HATA",IF(OR($E273="",$F273&lt;=0,$G273=""),"EKSİK",IF($E273&gt;TODAY(),"İLERİ TARİH",IF(COUNTIF($S$7:$S$2503,$S273)&gt;1,"MÜKERRER?",IF($T273&gt;0,"KAPALI DÖNEM","UYGUN"))))))</f>
        <v>UYGUN</v>
      </c>
      <c r="N273" s="74" t="str">
        <f>IF($C273="","",IF($C273="TANIMSIZ MÜŞTERİ","—",INDEX(MUSTERILER!$C$7:$C$156,MATCH($C273,MUSTERILER!$B$7:$B$156,0))))</f>
        <v>ÇINARHAN LTD.ŞTİ.</v>
      </c>
      <c r="O273" s="2"/>
      <c r="P273" s="2"/>
      <c r="Q273" s="1" t="str">
        <f>IF($D273="","",$C273&amp;"|"&amp;COUNTIFS($C$7:$C273,$C273))</f>
        <v>M018|10</v>
      </c>
      <c r="R273" s="1" t="str">
        <f t="shared" si="8"/>
        <v>CINARHANLTDSTI</v>
      </c>
      <c r="S273" s="1" t="str">
        <f t="shared" si="9"/>
        <v>M018|46137|2500|</v>
      </c>
      <c r="T273" s="1">
        <f>IF($E273="",0,SUMPRODUCT((AY_SONU!$O$7:$O$42="Evet")*(AY_SONU!$B$7:$B$42=DATE(YEAR($E273),MONTH($E273),1))))</f>
        <v>0</v>
      </c>
      <c r="U273" s="1" t="str">
        <f>IF(OR($G273="",$H273="Mahsup"),"",$G273&amp;"|"&amp;COUNTIFS($G$7:$G273,$G273,$H$7:$H273,"&lt;&gt;Mahsup"))</f>
        <v>MERKEZ KASA|205</v>
      </c>
    </row>
    <row r="274" spans="1:21" ht="18" customHeight="1" x14ac:dyDescent="0.3">
      <c r="A274" s="2"/>
      <c r="B274" s="65" t="str">
        <f>IF($D274="","","T"&amp;TEXT(ROW()-6,"00000"))</f>
        <v>T00268</v>
      </c>
      <c r="C274" s="65" t="str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>M020</v>
      </c>
      <c r="D274" s="61" t="s">
        <v>623</v>
      </c>
      <c r="E274" s="66">
        <v>46137</v>
      </c>
      <c r="F274" s="67">
        <v>3000</v>
      </c>
      <c r="G274" s="60" t="s">
        <v>717</v>
      </c>
      <c r="H274" s="60" t="s">
        <v>572</v>
      </c>
      <c r="I274" s="61"/>
      <c r="J274" s="61" t="s">
        <v>720</v>
      </c>
      <c r="K274" s="61"/>
      <c r="L274" s="73">
        <f>IF($E274="","",DATE(YEAR($E274),MONTH($E274),1))</f>
        <v>46113</v>
      </c>
      <c r="M274" s="65" t="str">
        <f ca="1">IF($D274="","",IF($C274="TANIMSIZ MÜŞTERİ","HATA",IF(OR($E274="",$F274&lt;=0,$G274=""),"EKSİK",IF($E274&gt;TODAY(),"İLERİ TARİH",IF(COUNTIF($S$7:$S$2503,$S274)&gt;1,"MÜKERRER?",IF($T274&gt;0,"KAPALI DÖNEM","UYGUN"))))))</f>
        <v>UYGUN</v>
      </c>
      <c r="N274" s="74" t="str">
        <f>IF($C274="","",IF($C274="TANIMSIZ MÜŞTERİ","—",INDEX(MUSTERILER!$C$7:$C$156,MATCH($C274,MUSTERILER!$B$7:$B$156,0))))</f>
        <v>KRİSTAL LTD.ŞTİ.</v>
      </c>
      <c r="O274" s="2"/>
      <c r="P274" s="2"/>
      <c r="Q274" s="1" t="str">
        <f>IF($D274="","",$C274&amp;"|"&amp;COUNTIFS($C$7:$C274,$C274))</f>
        <v>M020|16</v>
      </c>
      <c r="R274" s="1" t="str">
        <f t="shared" si="8"/>
        <v>KRISTALLTDSTI</v>
      </c>
      <c r="S274" s="1" t="str">
        <f t="shared" si="9"/>
        <v>M020|46137|3000|</v>
      </c>
      <c r="T274" s="1">
        <f>IF($E274="",0,SUMPRODUCT((AY_SONU!$O$7:$O$42="Evet")*(AY_SONU!$B$7:$B$42=DATE(YEAR($E274),MONTH($E274),1))))</f>
        <v>0</v>
      </c>
      <c r="U274" s="1" t="str">
        <f>IF(OR($G274="",$H274="Mahsup"),"",$G274&amp;"|"&amp;COUNTIFS($G$7:$G274,$G274,$H$7:$H274,"&lt;&gt;Mahsup"))</f>
        <v>MERKEZ KASA|206</v>
      </c>
    </row>
    <row r="275" spans="1:21" ht="18" customHeight="1" x14ac:dyDescent="0.3">
      <c r="A275" s="2"/>
      <c r="B275" s="65" t="str">
        <f>IF($D275="","","T"&amp;TEXT(ROW()-6,"00000"))</f>
        <v>T00269</v>
      </c>
      <c r="C275" s="65" t="str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>M047</v>
      </c>
      <c r="D275" s="61" t="s">
        <v>654</v>
      </c>
      <c r="E275" s="66">
        <v>46137</v>
      </c>
      <c r="F275" s="67">
        <v>4000</v>
      </c>
      <c r="G275" s="60" t="s">
        <v>717</v>
      </c>
      <c r="H275" s="60" t="s">
        <v>572</v>
      </c>
      <c r="I275" s="61"/>
      <c r="J275" s="61" t="s">
        <v>720</v>
      </c>
      <c r="K275" s="61"/>
      <c r="L275" s="73">
        <f>IF($E275="","",DATE(YEAR($E275),MONTH($E275),1))</f>
        <v>46113</v>
      </c>
      <c r="M275" s="65" t="str">
        <f ca="1">IF($D275="","",IF($C275="TANIMSIZ MÜŞTERİ","HATA",IF(OR($E275="",$F275&lt;=0,$G275=""),"EKSİK",IF($E275&gt;TODAY(),"İLERİ TARİH",IF(COUNTIF($S$7:$S$2503,$S275)&gt;1,"MÜKERRER?",IF($T275&gt;0,"KAPALI DÖNEM","UYGUN"))))))</f>
        <v>UYGUN</v>
      </c>
      <c r="N275" s="74" t="str">
        <f>IF($C275="","",IF($C275="TANIMSIZ MÜŞTERİ","—",INDEX(MUSTERILER!$C$7:$C$156,MATCH($C275,MUSTERILER!$B$7:$B$156,0))))</f>
        <v>PALAOĞULLARI LTD.ŞTİ.</v>
      </c>
      <c r="O275" s="2"/>
      <c r="P275" s="2"/>
      <c r="Q275" s="1" t="str">
        <f>IF($D275="","",$C275&amp;"|"&amp;COUNTIFS($C$7:$C275,$C275))</f>
        <v>M047|8</v>
      </c>
      <c r="R275" s="1" t="str">
        <f t="shared" si="8"/>
        <v>PALAOGULLARILTDSTI</v>
      </c>
      <c r="S275" s="1" t="str">
        <f t="shared" si="9"/>
        <v>M047|46137|4000|</v>
      </c>
      <c r="T275" s="1">
        <f>IF($E275="",0,SUMPRODUCT((AY_SONU!$O$7:$O$42="Evet")*(AY_SONU!$B$7:$B$42=DATE(YEAR($E275),MONTH($E275),1))))</f>
        <v>0</v>
      </c>
      <c r="U275" s="1" t="str">
        <f>IF(OR($G275="",$H275="Mahsup"),"",$G275&amp;"|"&amp;COUNTIFS($G$7:$G275,$G275,$H$7:$H275,"&lt;&gt;Mahsup"))</f>
        <v>MERKEZ KASA|207</v>
      </c>
    </row>
    <row r="276" spans="1:21" ht="18" customHeight="1" x14ac:dyDescent="0.3">
      <c r="A276" s="2"/>
      <c r="B276" s="65" t="str">
        <f>IF($D276="","","T"&amp;TEXT(ROW()-6,"00000"))</f>
        <v>T00270</v>
      </c>
      <c r="C276" s="65" t="str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>M054</v>
      </c>
      <c r="D276" s="61" t="s">
        <v>674</v>
      </c>
      <c r="E276" s="66">
        <v>46137</v>
      </c>
      <c r="F276" s="67">
        <v>4000</v>
      </c>
      <c r="G276" s="60" t="s">
        <v>717</v>
      </c>
      <c r="H276" s="60" t="s">
        <v>572</v>
      </c>
      <c r="I276" s="61"/>
      <c r="J276" s="61" t="s">
        <v>720</v>
      </c>
      <c r="K276" s="61"/>
      <c r="L276" s="73">
        <f>IF($E276="","",DATE(YEAR($E276),MONTH($E276),1))</f>
        <v>46113</v>
      </c>
      <c r="M276" s="65" t="str">
        <f ca="1">IF($D276="","",IF($C276="TANIMSIZ MÜŞTERİ","HATA",IF(OR($E276="",$F276&lt;=0,$G276=""),"EKSİK",IF($E276&gt;TODAY(),"İLERİ TARİH",IF(COUNTIF($S$7:$S$2503,$S276)&gt;1,"MÜKERRER?",IF($T276&gt;0,"KAPALI DÖNEM","UYGUN"))))))</f>
        <v>UYGUN</v>
      </c>
      <c r="N276" s="74" t="str">
        <f>IF($C276="","",IF($C276="TANIMSIZ MÜŞTERİ","—",INDEX(MUSTERILER!$C$7:$C$156,MATCH($C276,MUSTERILER!$B$7:$B$156,0))))</f>
        <v>YALIKENT LTD.ŞTİ.</v>
      </c>
      <c r="O276" s="2"/>
      <c r="P276" s="2"/>
      <c r="Q276" s="1" t="str">
        <f>IF($D276="","",$C276&amp;"|"&amp;COUNTIFS($C$7:$C276,$C276))</f>
        <v>M054|5</v>
      </c>
      <c r="R276" s="1" t="str">
        <f t="shared" si="8"/>
        <v>YALIKENTLTDSTI</v>
      </c>
      <c r="S276" s="1" t="str">
        <f t="shared" si="9"/>
        <v>M054|46137|4000|</v>
      </c>
      <c r="T276" s="1">
        <f>IF($E276="",0,SUMPRODUCT((AY_SONU!$O$7:$O$42="Evet")*(AY_SONU!$B$7:$B$42=DATE(YEAR($E276),MONTH($E276),1))))</f>
        <v>0</v>
      </c>
      <c r="U276" s="1" t="str">
        <f>IF(OR($G276="",$H276="Mahsup"),"",$G276&amp;"|"&amp;COUNTIFS($G$7:$G276,$G276,$H$7:$H276,"&lt;&gt;Mahsup"))</f>
        <v>MERKEZ KASA|208</v>
      </c>
    </row>
    <row r="277" spans="1:21" ht="18" customHeight="1" x14ac:dyDescent="0.3">
      <c r="A277" s="2"/>
      <c r="B277" s="65" t="str">
        <f>IF($D277="","","T"&amp;TEXT(ROW()-6,"00000"))</f>
        <v>T00271</v>
      </c>
      <c r="C277" s="65" t="str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>M037</v>
      </c>
      <c r="D277" s="61" t="s">
        <v>625</v>
      </c>
      <c r="E277" s="66">
        <v>46140</v>
      </c>
      <c r="F277" s="67">
        <v>2000</v>
      </c>
      <c r="G277" s="60" t="s">
        <v>717</v>
      </c>
      <c r="H277" s="60" t="s">
        <v>572</v>
      </c>
      <c r="I277" s="61"/>
      <c r="J277" s="61" t="s">
        <v>720</v>
      </c>
      <c r="K277" s="61"/>
      <c r="L277" s="73">
        <f>IF($E277="","",DATE(YEAR($E277),MONTH($E277),1))</f>
        <v>46113</v>
      </c>
      <c r="M277" s="65" t="str">
        <f ca="1">IF($D277="","",IF($C277="TANIMSIZ MÜŞTERİ","HATA",IF(OR($E277="",$F277&lt;=0,$G277=""),"EKSİK",IF($E277&gt;TODAY(),"İLERİ TARİH",IF(COUNTIF($S$7:$S$2503,$S277)&gt;1,"MÜKERRER?",IF($T277&gt;0,"KAPALI DÖNEM","UYGUN"))))))</f>
        <v>UYGUN</v>
      </c>
      <c r="N277" s="74" t="str">
        <f>IF($C277="","",IF($C277="TANIMSIZ MÜŞTERİ","—",INDEX(MUSTERILER!$C$7:$C$156,MATCH($C277,MUSTERILER!$B$7:$B$156,0))))</f>
        <v>MEHMET EVREN KILINÇ</v>
      </c>
      <c r="O277" s="2"/>
      <c r="P277" s="2"/>
      <c r="Q277" s="1" t="str">
        <f>IF($D277="","",$C277&amp;"|"&amp;COUNTIFS($C$7:$C277,$C277))</f>
        <v>M037|3</v>
      </c>
      <c r="R277" s="1" t="str">
        <f t="shared" si="8"/>
        <v>MEHMETEVRENKILINC</v>
      </c>
      <c r="S277" s="1" t="str">
        <f t="shared" si="9"/>
        <v>M037|46140|2000|</v>
      </c>
      <c r="T277" s="1">
        <f>IF($E277="",0,SUMPRODUCT((AY_SONU!$O$7:$O$42="Evet")*(AY_SONU!$B$7:$B$42=DATE(YEAR($E277),MONTH($E277),1))))</f>
        <v>0</v>
      </c>
      <c r="U277" s="1" t="str">
        <f>IF(OR($G277="",$H277="Mahsup"),"",$G277&amp;"|"&amp;COUNTIFS($G$7:$G277,$G277,$H$7:$H277,"&lt;&gt;Mahsup"))</f>
        <v>MERKEZ KASA|209</v>
      </c>
    </row>
    <row r="278" spans="1:21" ht="18" customHeight="1" x14ac:dyDescent="0.3">
      <c r="A278" s="2"/>
      <c r="B278" s="65" t="str">
        <f>IF($D278="","","T"&amp;TEXT(ROW()-6,"00000"))</f>
        <v>T00272</v>
      </c>
      <c r="C278" s="65" t="str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>M038</v>
      </c>
      <c r="D278" s="61" t="s">
        <v>627</v>
      </c>
      <c r="E278" s="66">
        <v>46140</v>
      </c>
      <c r="F278" s="67">
        <v>6000</v>
      </c>
      <c r="G278" s="60" t="s">
        <v>717</v>
      </c>
      <c r="H278" s="60" t="s">
        <v>572</v>
      </c>
      <c r="I278" s="61"/>
      <c r="J278" s="61" t="s">
        <v>720</v>
      </c>
      <c r="K278" s="61"/>
      <c r="L278" s="73">
        <f>IF($E278="","",DATE(YEAR($E278),MONTH($E278),1))</f>
        <v>46113</v>
      </c>
      <c r="M278" s="65" t="str">
        <f ca="1">IF($D278="","",IF($C278="TANIMSIZ MÜŞTERİ","HATA",IF(OR($E278="",$F278&lt;=0,$G278=""),"EKSİK",IF($E278&gt;TODAY(),"İLERİ TARİH",IF(COUNTIF($S$7:$S$2503,$S278)&gt;1,"MÜKERRER?",IF($T278&gt;0,"KAPALI DÖNEM","UYGUN"))))))</f>
        <v>UYGUN</v>
      </c>
      <c r="N278" s="74" t="str">
        <f>IF($C278="","",IF($C278="TANIMSIZ MÜŞTERİ","—",INDEX(MUSTERILER!$C$7:$C$156,MATCH($C278,MUSTERILER!$B$7:$B$156,0))))</f>
        <v>MELEK GÜLER</v>
      </c>
      <c r="O278" s="2"/>
      <c r="P278" s="2"/>
      <c r="Q278" s="1" t="str">
        <f>IF($D278="","",$C278&amp;"|"&amp;COUNTIFS($C$7:$C278,$C278))</f>
        <v>M038|1</v>
      </c>
      <c r="R278" s="1" t="str">
        <f t="shared" si="8"/>
        <v>MELEKGULER</v>
      </c>
      <c r="S278" s="1" t="str">
        <f t="shared" si="9"/>
        <v>M038|46140|6000|</v>
      </c>
      <c r="T278" s="1">
        <f>IF($E278="",0,SUMPRODUCT((AY_SONU!$O$7:$O$42="Evet")*(AY_SONU!$B$7:$B$42=DATE(YEAR($E278),MONTH($E278),1))))</f>
        <v>0</v>
      </c>
      <c r="U278" s="1" t="str">
        <f>IF(OR($G278="",$H278="Mahsup"),"",$G278&amp;"|"&amp;COUNTIFS($G$7:$G278,$G278,$H$7:$H278,"&lt;&gt;Mahsup"))</f>
        <v>MERKEZ KASA|210</v>
      </c>
    </row>
    <row r="279" spans="1:21" ht="18" customHeight="1" x14ac:dyDescent="0.3">
      <c r="A279" s="2"/>
      <c r="B279" s="65" t="str">
        <f>IF($D279="","","T"&amp;TEXT(ROW()-6,"00000"))</f>
        <v>T00273</v>
      </c>
      <c r="C279" s="65" t="str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>M043</v>
      </c>
      <c r="D279" s="61" t="s">
        <v>642</v>
      </c>
      <c r="E279" s="66">
        <v>46141</v>
      </c>
      <c r="F279" s="67">
        <v>6000</v>
      </c>
      <c r="G279" s="60" t="s">
        <v>717</v>
      </c>
      <c r="H279" s="60" t="s">
        <v>572</v>
      </c>
      <c r="I279" s="61"/>
      <c r="J279" s="61" t="s">
        <v>720</v>
      </c>
      <c r="K279" s="61"/>
      <c r="L279" s="73">
        <f>IF($E279="","",DATE(YEAR($E279),MONTH($E279),1))</f>
        <v>46113</v>
      </c>
      <c r="M279" s="65" t="str">
        <f ca="1">IF($D279="","",IF($C279="TANIMSIZ MÜŞTERİ","HATA",IF(OR($E279="",$F279&lt;=0,$G279=""),"EKSİK",IF($E279&gt;TODAY(),"İLERİ TARİH",IF(COUNTIF($S$7:$S$2503,$S279)&gt;1,"MÜKERRER?",IF($T279&gt;0,"KAPALI DÖNEM","UYGUN"))))))</f>
        <v>UYGUN</v>
      </c>
      <c r="N279" s="74" t="str">
        <f>IF($C279="","",IF($C279="TANIMSIZ MÜŞTERİ","—",INDEX(MUSTERILER!$C$7:$C$156,MATCH($C279,MUSTERILER!$B$7:$B$156,0))))</f>
        <v>MUSTAFA UMUT KOYUN</v>
      </c>
      <c r="O279" s="2"/>
      <c r="P279" s="2"/>
      <c r="Q279" s="1" t="str">
        <f>IF($D279="","",$C279&amp;"|"&amp;COUNTIFS($C$7:$C279,$C279))</f>
        <v>M043|1</v>
      </c>
      <c r="R279" s="1" t="str">
        <f t="shared" si="8"/>
        <v>MUSTAFAUMUTKOYUN</v>
      </c>
      <c r="S279" s="1" t="str">
        <f t="shared" si="9"/>
        <v>M043|46141|6000|</v>
      </c>
      <c r="T279" s="1">
        <f>IF($E279="",0,SUMPRODUCT((AY_SONU!$O$7:$O$42="Evet")*(AY_SONU!$B$7:$B$42=DATE(YEAR($E279),MONTH($E279),1))))</f>
        <v>0</v>
      </c>
      <c r="U279" s="1" t="str">
        <f>IF(OR($G279="",$H279="Mahsup"),"",$G279&amp;"|"&amp;COUNTIFS($G$7:$G279,$G279,$H$7:$H279,"&lt;&gt;Mahsup"))</f>
        <v>MERKEZ KASA|211</v>
      </c>
    </row>
    <row r="280" spans="1:21" ht="18" customHeight="1" x14ac:dyDescent="0.3">
      <c r="A280" s="2"/>
      <c r="B280" s="65" t="str">
        <f>IF($D280="","","T"&amp;TEXT(ROW()-6,"00000"))</f>
        <v>T00274</v>
      </c>
      <c r="C280" s="65" t="str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>M023</v>
      </c>
      <c r="D280" s="61" t="s">
        <v>576</v>
      </c>
      <c r="E280" s="66">
        <v>46142</v>
      </c>
      <c r="F280" s="67">
        <v>12000</v>
      </c>
      <c r="G280" s="60" t="s">
        <v>723</v>
      </c>
      <c r="H280" s="60" t="s">
        <v>572</v>
      </c>
      <c r="I280" s="61"/>
      <c r="J280" s="61" t="s">
        <v>725</v>
      </c>
      <c r="K280" s="61"/>
      <c r="L280" s="73">
        <f>IF($E280="","",DATE(YEAR($E280),MONTH($E280),1))</f>
        <v>46113</v>
      </c>
      <c r="M280" s="65" t="str">
        <f ca="1">IF($D280="","",IF($C280="TANIMSIZ MÜŞTERİ","HATA",IF(OR($E280="",$F280&lt;=0,$G280=""),"EKSİK",IF($E280&gt;TODAY(),"İLERİ TARİH",IF(COUNTIF($S$7:$S$2503,$S280)&gt;1,"MÜKERRER?",IF($T280&gt;0,"KAPALI DÖNEM","UYGUN"))))))</f>
        <v>UYGUN</v>
      </c>
      <c r="N280" s="74" t="str">
        <f>IF($C280="","",IF($C280="TANIMSIZ MÜŞTERİ","—",INDEX(MUSTERILER!$C$7:$C$156,MATCH($C280,MUSTERILER!$B$7:$B$156,0))))</f>
        <v>ALTINEL LTD.ŞTİ.</v>
      </c>
      <c r="O280" s="2"/>
      <c r="P280" s="2"/>
      <c r="Q280" s="1" t="str">
        <f>IF($D280="","",$C280&amp;"|"&amp;COUNTIFS($C$7:$C280,$C280))</f>
        <v>M023|4</v>
      </c>
      <c r="R280" s="1" t="str">
        <f t="shared" si="8"/>
        <v>ALTINELLTDSTI</v>
      </c>
      <c r="S280" s="1" t="str">
        <f t="shared" si="9"/>
        <v>M023|46142|12000|</v>
      </c>
      <c r="T280" s="1">
        <f>IF($E280="",0,SUMPRODUCT((AY_SONU!$O$7:$O$42="Evet")*(AY_SONU!$B$7:$B$42=DATE(YEAR($E280),MONTH($E280),1))))</f>
        <v>0</v>
      </c>
      <c r="U280" s="1" t="str">
        <f>IF(OR($G280="",$H280="Mahsup"),"",$G280&amp;"|"&amp;COUNTIFS($G$7:$G280,$G280,$H$7:$H280,"&lt;&gt;Mahsup"))</f>
        <v>ÖMER KARTAL|63</v>
      </c>
    </row>
    <row r="281" spans="1:21" ht="18" customHeight="1" x14ac:dyDescent="0.3">
      <c r="A281" s="2"/>
      <c r="B281" s="65" t="str">
        <f>IF($D281="","","T"&amp;TEXT(ROW()-6,"00000"))</f>
        <v>T00275</v>
      </c>
      <c r="C281" s="65" t="str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>M009</v>
      </c>
      <c r="D281" s="61" t="s">
        <v>652</v>
      </c>
      <c r="E281" s="66">
        <v>46143</v>
      </c>
      <c r="F281" s="67">
        <v>31000</v>
      </c>
      <c r="G281" s="60" t="s">
        <v>717</v>
      </c>
      <c r="H281" s="60" t="s">
        <v>572</v>
      </c>
      <c r="I281" s="61"/>
      <c r="J281" s="61" t="s">
        <v>720</v>
      </c>
      <c r="K281" s="61"/>
      <c r="L281" s="73">
        <f>IF($E281="","",DATE(YEAR($E281),MONTH($E281),1))</f>
        <v>46143</v>
      </c>
      <c r="M281" s="65" t="str">
        <f ca="1">IF($D281="","",IF($C281="TANIMSIZ MÜŞTERİ","HATA",IF(OR($E281="",$F281&lt;=0,$G281=""),"EKSİK",IF($E281&gt;TODAY(),"İLERİ TARİH",IF(COUNTIF($S$7:$S$2503,$S281)&gt;1,"MÜKERRER?",IF($T281&gt;0,"KAPALI DÖNEM","UYGUN"))))))</f>
        <v>UYGUN</v>
      </c>
      <c r="N281" s="74" t="str">
        <f>IF($C281="","",IF($C281="TANIMSIZ MÜŞTERİ","—",INDEX(MUSTERILER!$C$7:$C$156,MATCH($C281,MUSTERILER!$B$7:$B$156,0))))</f>
        <v>PAKYILDIZ LTD.ŞTİ.</v>
      </c>
      <c r="O281" s="2"/>
      <c r="P281" s="2"/>
      <c r="Q281" s="1" t="str">
        <f>IF($D281="","",$C281&amp;"|"&amp;COUNTIFS($C$7:$C281,$C281))</f>
        <v>M009|12</v>
      </c>
      <c r="R281" s="1" t="str">
        <f t="shared" si="8"/>
        <v>PAKYILDIZLTDSTI</v>
      </c>
      <c r="S281" s="1" t="str">
        <f t="shared" si="9"/>
        <v>M009|46143|31000|</v>
      </c>
      <c r="T281" s="1">
        <f>IF($E281="",0,SUMPRODUCT((AY_SONU!$O$7:$O$42="Evet")*(AY_SONU!$B$7:$B$42=DATE(YEAR($E281),MONTH($E281),1))))</f>
        <v>0</v>
      </c>
      <c r="U281" s="1" t="str">
        <f>IF(OR($G281="",$H281="Mahsup"),"",$G281&amp;"|"&amp;COUNTIFS($G$7:$G281,$G281,$H$7:$H281,"&lt;&gt;Mahsup"))</f>
        <v>MERKEZ KASA|212</v>
      </c>
    </row>
    <row r="282" spans="1:21" ht="18" customHeight="1" x14ac:dyDescent="0.3">
      <c r="A282" s="2"/>
      <c r="B282" s="65" t="str">
        <f>IF($D282="","","T"&amp;TEXT(ROW()-6,"00000"))</f>
        <v>T00276</v>
      </c>
      <c r="C282" s="65" t="str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>M027</v>
      </c>
      <c r="D282" s="61" t="s">
        <v>591</v>
      </c>
      <c r="E282" s="66">
        <v>46143</v>
      </c>
      <c r="F282" s="67">
        <v>2500</v>
      </c>
      <c r="G282" s="60" t="s">
        <v>717</v>
      </c>
      <c r="H282" s="60" t="s">
        <v>572</v>
      </c>
      <c r="I282" s="61"/>
      <c r="J282" s="61" t="s">
        <v>1316</v>
      </c>
      <c r="K282" s="61"/>
      <c r="L282" s="73">
        <f>IF($E282="","",DATE(YEAR($E282),MONTH($E282),1))</f>
        <v>46143</v>
      </c>
      <c r="M282" s="65" t="str">
        <f ca="1">IF($D282="","",IF($C282="TANIMSIZ MÜŞTERİ","HATA",IF(OR($E282="",$F282&lt;=0,$G282=""),"EKSİK",IF($E282&gt;TODAY(),"İLERİ TARİH",IF(COUNTIF($S$7:$S$2503,$S282)&gt;1,"MÜKERRER?",IF($T282&gt;0,"KAPALI DÖNEM","UYGUN"))))))</f>
        <v>UYGUN</v>
      </c>
      <c r="N282" s="74" t="str">
        <f>IF($C282="","",IF($C282="TANIMSIZ MÜŞTERİ","—",INDEX(MUSTERILER!$C$7:$C$156,MATCH($C282,MUSTERILER!$B$7:$B$156,0))))</f>
        <v>CEREN DEMİRCİ</v>
      </c>
      <c r="O282" s="2"/>
      <c r="P282" s="2"/>
      <c r="Q282" s="1" t="str">
        <f>IF($D282="","",$C282&amp;"|"&amp;COUNTIFS($C$7:$C282,$C282))</f>
        <v>M027|3</v>
      </c>
      <c r="R282" s="1" t="str">
        <f t="shared" si="8"/>
        <v>CERENDEMIRCI</v>
      </c>
      <c r="S282" s="1" t="str">
        <f t="shared" si="9"/>
        <v>M027|46143|2500|</v>
      </c>
      <c r="T282" s="1">
        <f>IF($E282="",0,SUMPRODUCT((AY_SONU!$O$7:$O$42="Evet")*(AY_SONU!$B$7:$B$42=DATE(YEAR($E282),MONTH($E282),1))))</f>
        <v>0</v>
      </c>
      <c r="U282" s="1" t="str">
        <f>IF(OR($G282="",$H282="Mahsup"),"",$G282&amp;"|"&amp;COUNTIFS($G$7:$G282,$G282,$H$7:$H282,"&lt;&gt;Mahsup"))</f>
        <v>MERKEZ KASA|213</v>
      </c>
    </row>
    <row r="283" spans="1:21" ht="18" customHeight="1" x14ac:dyDescent="0.3">
      <c r="A283" s="2"/>
      <c r="B283" s="65" t="str">
        <f>IF($D283="","","T"&amp;TEXT(ROW()-6,"00000"))</f>
        <v>T00277</v>
      </c>
      <c r="C283" s="65" t="str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>M001</v>
      </c>
      <c r="D283" s="61" t="s">
        <v>729</v>
      </c>
      <c r="E283" s="66">
        <v>46144</v>
      </c>
      <c r="F283" s="67">
        <v>14000</v>
      </c>
      <c r="G283" s="60" t="s">
        <v>717</v>
      </c>
      <c r="H283" s="60" t="s">
        <v>572</v>
      </c>
      <c r="I283" s="61"/>
      <c r="J283" s="61" t="s">
        <v>720</v>
      </c>
      <c r="K283" s="61"/>
      <c r="L283" s="73">
        <f>IF($E283="","",DATE(YEAR($E283),MONTH($E283),1))</f>
        <v>46143</v>
      </c>
      <c r="M283" s="65" t="str">
        <f ca="1">IF($D283="","",IF($C283="TANIMSIZ MÜŞTERİ","HATA",IF(OR($E283="",$F283&lt;=0,$G283=""),"EKSİK",IF($E283&gt;TODAY(),"İLERİ TARİH",IF(COUNTIF($S$7:$S$2503,$S283)&gt;1,"MÜKERRER?",IF($T283&gt;0,"KAPALI DÖNEM","UYGUN"))))))</f>
        <v>UYGUN</v>
      </c>
      <c r="N283" s="74" t="str">
        <f>IF($C283="","",IF($C283="TANIMSIZ MÜŞTERİ","—",INDEX(MUSTERILER!$C$7:$C$156,MATCH($C283,MUSTERILER!$B$7:$B$156,0))))</f>
        <v>ANKARA HAVANA LTD.ŞTİ.</v>
      </c>
      <c r="O283" s="2"/>
      <c r="P283" s="2"/>
      <c r="Q283" s="1" t="str">
        <f>IF($D283="","",$C283&amp;"|"&amp;COUNTIFS($C$7:$C283,$C283))</f>
        <v>M001|7</v>
      </c>
      <c r="R283" s="1" t="str">
        <f t="shared" si="8"/>
        <v>ANKARAHAVANALTDSTI</v>
      </c>
      <c r="S283" s="1" t="str">
        <f t="shared" si="9"/>
        <v>M001|46144|14000|</v>
      </c>
      <c r="T283" s="1">
        <f>IF($E283="",0,SUMPRODUCT((AY_SONU!$O$7:$O$42="Evet")*(AY_SONU!$B$7:$B$42=DATE(YEAR($E283),MONTH($E283),1))))</f>
        <v>0</v>
      </c>
      <c r="U283" s="1" t="str">
        <f>IF(OR($G283="",$H283="Mahsup"),"",$G283&amp;"|"&amp;COUNTIFS($G$7:$G283,$G283,$H$7:$H283,"&lt;&gt;Mahsup"))</f>
        <v>MERKEZ KASA|214</v>
      </c>
    </row>
    <row r="284" spans="1:21" ht="18" customHeight="1" x14ac:dyDescent="0.3">
      <c r="A284" s="2"/>
      <c r="B284" s="65" t="str">
        <f>IF($D284="","","T"&amp;TEXT(ROW()-6,"00000"))</f>
        <v>T00278</v>
      </c>
      <c r="C284" s="65" t="str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>M025</v>
      </c>
      <c r="D284" s="61" t="s">
        <v>583</v>
      </c>
      <c r="E284" s="66">
        <v>46144</v>
      </c>
      <c r="F284" s="67">
        <v>2000</v>
      </c>
      <c r="G284" s="60" t="s">
        <v>717</v>
      </c>
      <c r="H284" s="60" t="s">
        <v>572</v>
      </c>
      <c r="I284" s="61"/>
      <c r="J284" s="61" t="s">
        <v>720</v>
      </c>
      <c r="K284" s="61"/>
      <c r="L284" s="73">
        <f>IF($E284="","",DATE(YEAR($E284),MONTH($E284),1))</f>
        <v>46143</v>
      </c>
      <c r="M284" s="65" t="str">
        <f ca="1">IF($D284="","",IF($C284="TANIMSIZ MÜŞTERİ","HATA",IF(OR($E284="",$F284&lt;=0,$G284=""),"EKSİK",IF($E284&gt;TODAY(),"İLERİ TARİH",IF(COUNTIF($S$7:$S$2503,$S284)&gt;1,"MÜKERRER?",IF($T284&gt;0,"KAPALI DÖNEM","UYGUN"))))))</f>
        <v>UYGUN</v>
      </c>
      <c r="N284" s="74" t="str">
        <f>IF($C284="","",IF($C284="TANIMSIZ MÜŞTERİ","—",INDEX(MUSTERILER!$C$7:$C$156,MATCH($C284,MUSTERILER!$B$7:$B$156,0))))</f>
        <v>ASIM AÇIKGÖZ</v>
      </c>
      <c r="O284" s="2"/>
      <c r="P284" s="2"/>
      <c r="Q284" s="1" t="str">
        <f>IF($D284="","",$C284&amp;"|"&amp;COUNTIFS($C$7:$C284,$C284))</f>
        <v>M025|13</v>
      </c>
      <c r="R284" s="1" t="str">
        <f t="shared" si="8"/>
        <v>ASIMACIKGOZ</v>
      </c>
      <c r="S284" s="1" t="str">
        <f t="shared" si="9"/>
        <v>M025|46144|2000|</v>
      </c>
      <c r="T284" s="1">
        <f>IF($E284="",0,SUMPRODUCT((AY_SONU!$O$7:$O$42="Evet")*(AY_SONU!$B$7:$B$42=DATE(YEAR($E284),MONTH($E284),1))))</f>
        <v>0</v>
      </c>
      <c r="U284" s="1" t="str">
        <f>IF(OR($G284="",$H284="Mahsup"),"",$G284&amp;"|"&amp;COUNTIFS($G$7:$G284,$G284,$H$7:$H284,"&lt;&gt;Mahsup"))</f>
        <v>MERKEZ KASA|215</v>
      </c>
    </row>
    <row r="285" spans="1:21" ht="18" customHeight="1" x14ac:dyDescent="0.3">
      <c r="A285" s="2"/>
      <c r="B285" s="65" t="str">
        <f>IF($D285="","","T"&amp;TEXT(ROW()-6,"00000"))</f>
        <v>T00279</v>
      </c>
      <c r="C285" s="65" t="str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>M017</v>
      </c>
      <c r="D285" s="61" t="s">
        <v>585</v>
      </c>
      <c r="E285" s="66">
        <v>46144</v>
      </c>
      <c r="F285" s="67">
        <v>2500</v>
      </c>
      <c r="G285" s="60" t="s">
        <v>717</v>
      </c>
      <c r="H285" s="60" t="s">
        <v>572</v>
      </c>
      <c r="I285" s="61"/>
      <c r="J285" s="61" t="s">
        <v>720</v>
      </c>
      <c r="K285" s="61"/>
      <c r="L285" s="73">
        <f>IF($E285="","",DATE(YEAR($E285),MONTH($E285),1))</f>
        <v>46143</v>
      </c>
      <c r="M285" s="65" t="str">
        <f ca="1">IF($D285="","",IF($C285="TANIMSIZ MÜŞTERİ","HATA",IF(OR($E285="",$F285&lt;=0,$G285=""),"EKSİK",IF($E285&gt;TODAY(),"İLERİ TARİH",IF(COUNTIF($S$7:$S$2503,$S285)&gt;1,"MÜKERRER?",IF($T285&gt;0,"KAPALI DÖNEM","UYGUN"))))))</f>
        <v>UYGUN</v>
      </c>
      <c r="N285" s="74" t="str">
        <f>IF($C285="","",IF($C285="TANIMSIZ MÜŞTERİ","—",INDEX(MUSTERILER!$C$7:$C$156,MATCH($C285,MUSTERILER!$B$7:$B$156,0))))</f>
        <v>ASM EĞLENCE LTD.ŞTİ.</v>
      </c>
      <c r="O285" s="2"/>
      <c r="P285" s="2"/>
      <c r="Q285" s="1" t="str">
        <f>IF($D285="","",$C285&amp;"|"&amp;COUNTIFS($C$7:$C285,$C285))</f>
        <v>M017|15</v>
      </c>
      <c r="R285" s="1" t="str">
        <f t="shared" si="8"/>
        <v>ASMEGLENCELTDSTI</v>
      </c>
      <c r="S285" s="1" t="str">
        <f t="shared" si="9"/>
        <v>M017|46144|2500|</v>
      </c>
      <c r="T285" s="1">
        <f>IF($E285="",0,SUMPRODUCT((AY_SONU!$O$7:$O$42="Evet")*(AY_SONU!$B$7:$B$42=DATE(YEAR($E285),MONTH($E285),1))))</f>
        <v>0</v>
      </c>
      <c r="U285" s="1" t="str">
        <f>IF(OR($G285="",$H285="Mahsup"),"",$G285&amp;"|"&amp;COUNTIFS($G$7:$G285,$G285,$H$7:$H285,"&lt;&gt;Mahsup"))</f>
        <v>MERKEZ KASA|216</v>
      </c>
    </row>
    <row r="286" spans="1:21" ht="18" customHeight="1" x14ac:dyDescent="0.3">
      <c r="A286" s="2"/>
      <c r="B286" s="65" t="str">
        <f>IF($D286="","","T"&amp;TEXT(ROW()-6,"00000"))</f>
        <v>T00280</v>
      </c>
      <c r="C286" s="65" t="str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>M015</v>
      </c>
      <c r="D286" s="61" t="s">
        <v>719</v>
      </c>
      <c r="E286" s="66">
        <v>46144</v>
      </c>
      <c r="F286" s="67">
        <v>3000</v>
      </c>
      <c r="G286" s="60" t="s">
        <v>717</v>
      </c>
      <c r="H286" s="60" t="s">
        <v>572</v>
      </c>
      <c r="I286" s="61"/>
      <c r="J286" s="61" t="s">
        <v>720</v>
      </c>
      <c r="K286" s="61"/>
      <c r="L286" s="73">
        <f>IF($E286="","",DATE(YEAR($E286),MONTH($E286),1))</f>
        <v>46143</v>
      </c>
      <c r="M286" s="65" t="str">
        <f ca="1">IF($D286="","",IF($C286="TANIMSIZ MÜŞTERİ","HATA",IF(OR($E286="",$F286&lt;=0,$G286=""),"EKSİK",IF($E286&gt;TODAY(),"İLERİ TARİH",IF(COUNTIF($S$7:$S$2503,$S286)&gt;1,"MÜKERRER?",IF($T286&gt;0,"KAPALI DÖNEM","UYGUN"))))))</f>
        <v>UYGUN</v>
      </c>
      <c r="N286" s="74" t="str">
        <f>IF($C286="","",IF($C286="TANIMSIZ MÜŞTERİ","—",INDEX(MUSTERILER!$C$7:$C$156,MATCH($C286,MUSTERILER!$B$7:$B$156,0))))</f>
        <v>ÇAYIRALAN LTD.ŞTİ.</v>
      </c>
      <c r="O286" s="2"/>
      <c r="P286" s="2"/>
      <c r="Q286" s="1" t="str">
        <f>IF($D286="","",$C286&amp;"|"&amp;COUNTIFS($C$7:$C286,$C286))</f>
        <v>M015|15</v>
      </c>
      <c r="R286" s="1" t="str">
        <f t="shared" si="8"/>
        <v>CAYIRALANLTDSTI</v>
      </c>
      <c r="S286" s="1" t="str">
        <f t="shared" si="9"/>
        <v>M015|46144|3000|</v>
      </c>
      <c r="T286" s="1">
        <f>IF($E286="",0,SUMPRODUCT((AY_SONU!$O$7:$O$42="Evet")*(AY_SONU!$B$7:$B$42=DATE(YEAR($E286),MONTH($E286),1))))</f>
        <v>0</v>
      </c>
      <c r="U286" s="1" t="str">
        <f>IF(OR($G286="",$H286="Mahsup"),"",$G286&amp;"|"&amp;COUNTIFS($G$7:$G286,$G286,$H$7:$H286,"&lt;&gt;Mahsup"))</f>
        <v>MERKEZ KASA|217</v>
      </c>
    </row>
    <row r="287" spans="1:21" ht="18" customHeight="1" x14ac:dyDescent="0.3">
      <c r="A287" s="2"/>
      <c r="B287" s="65" t="str">
        <f>IF($D287="","","T"&amp;TEXT(ROW()-6,"00000"))</f>
        <v>T00281</v>
      </c>
      <c r="C287" s="65" t="str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>M011</v>
      </c>
      <c r="D287" s="61" t="s">
        <v>730</v>
      </c>
      <c r="E287" s="66">
        <v>46144</v>
      </c>
      <c r="F287" s="67">
        <v>4000</v>
      </c>
      <c r="G287" s="60" t="s">
        <v>717</v>
      </c>
      <c r="H287" s="60" t="s">
        <v>572</v>
      </c>
      <c r="I287" s="61"/>
      <c r="J287" s="61" t="s">
        <v>720</v>
      </c>
      <c r="K287" s="61"/>
      <c r="L287" s="73">
        <f>IF($E287="","",DATE(YEAR($E287),MONTH($E287),1))</f>
        <v>46143</v>
      </c>
      <c r="M287" s="65" t="str">
        <f ca="1">IF($D287="","",IF($C287="TANIMSIZ MÜŞTERİ","HATA",IF(OR($E287="",$F287&lt;=0,$G287=""),"EKSİK",IF($E287&gt;TODAY(),"İLERİ TARİH",IF(COUNTIF($S$7:$S$2503,$S287)&gt;1,"MÜKERRER?",IF($T287&gt;0,"KAPALI DÖNEM","UYGUN"))))))</f>
        <v>UYGUN</v>
      </c>
      <c r="N287" s="74" t="str">
        <f>IF($C287="","",IF($C287="TANIMSIZ MÜŞTERİ","—",INDEX(MUSTERILER!$C$7:$C$156,MATCH($C287,MUSTERILER!$B$7:$B$156,0))))</f>
        <v>EĞLENGÖR LTD.ŞTİ.</v>
      </c>
      <c r="O287" s="2"/>
      <c r="P287" s="2"/>
      <c r="Q287" s="1" t="str">
        <f>IF($D287="","",$C287&amp;"|"&amp;COUNTIFS($C$7:$C287,$C287))</f>
        <v>M011|16</v>
      </c>
      <c r="R287" s="1" t="str">
        <f t="shared" si="8"/>
        <v>EGLENGORLTDSTI</v>
      </c>
      <c r="S287" s="1" t="str">
        <f t="shared" si="9"/>
        <v>M011|46144|4000|</v>
      </c>
      <c r="T287" s="1">
        <f>IF($E287="",0,SUMPRODUCT((AY_SONU!$O$7:$O$42="Evet")*(AY_SONU!$B$7:$B$42=DATE(YEAR($E287),MONTH($E287),1))))</f>
        <v>0</v>
      </c>
      <c r="U287" s="1" t="str">
        <f>IF(OR($G287="",$H287="Mahsup"),"",$G287&amp;"|"&amp;COUNTIFS($G$7:$G287,$G287,$H$7:$H287,"&lt;&gt;Mahsup"))</f>
        <v>MERKEZ KASA|218</v>
      </c>
    </row>
    <row r="288" spans="1:21" ht="18" customHeight="1" x14ac:dyDescent="0.3">
      <c r="A288" s="2"/>
      <c r="B288" s="65" t="str">
        <f>IF($D288="","","T"&amp;TEXT(ROW()-6,"00000"))</f>
        <v>T00282</v>
      </c>
      <c r="C288" s="65" t="str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>M034</v>
      </c>
      <c r="D288" s="61" t="s">
        <v>732</v>
      </c>
      <c r="E288" s="66">
        <v>46144</v>
      </c>
      <c r="F288" s="67">
        <v>4000</v>
      </c>
      <c r="G288" s="60" t="s">
        <v>717</v>
      </c>
      <c r="H288" s="60" t="s">
        <v>572</v>
      </c>
      <c r="I288" s="61"/>
      <c r="J288" s="61" t="s">
        <v>720</v>
      </c>
      <c r="K288" s="61"/>
      <c r="L288" s="73">
        <f>IF($E288="","",DATE(YEAR($E288),MONTH($E288),1))</f>
        <v>46143</v>
      </c>
      <c r="M288" s="65" t="str">
        <f ca="1">IF($D288="","",IF($C288="TANIMSIZ MÜŞTERİ","HATA",IF(OR($E288="",$F288&lt;=0,$G288=""),"EKSİK",IF($E288&gt;TODAY(),"İLERİ TARİH",IF(COUNTIF($S$7:$S$2503,$S288)&gt;1,"MÜKERRER?",IF($T288&gt;0,"KAPALI DÖNEM","UYGUN"))))))</f>
        <v>UYGUN</v>
      </c>
      <c r="N288" s="74" t="str">
        <f>IF($C288="","",IF($C288="TANIMSIZ MÜŞTERİ","—",INDEX(MUSTERILER!$C$7:$C$156,MATCH($C288,MUSTERILER!$B$7:$B$156,0))))</f>
        <v>İBRAHİM MALDAN</v>
      </c>
      <c r="O288" s="2"/>
      <c r="P288" s="2"/>
      <c r="Q288" s="1" t="str">
        <f>IF($D288="","",$C288&amp;"|"&amp;COUNTIFS($C$7:$C288,$C288))</f>
        <v>M034|13</v>
      </c>
      <c r="R288" s="1" t="str">
        <f t="shared" si="8"/>
        <v>IBRAHIMMALDAN</v>
      </c>
      <c r="S288" s="1" t="str">
        <f t="shared" si="9"/>
        <v>M034|46144|4000|</v>
      </c>
      <c r="T288" s="1">
        <f>IF($E288="",0,SUMPRODUCT((AY_SONU!$O$7:$O$42="Evet")*(AY_SONU!$B$7:$B$42=DATE(YEAR($E288),MONTH($E288),1))))</f>
        <v>0</v>
      </c>
      <c r="U288" s="1" t="str">
        <f>IF(OR($G288="",$H288="Mahsup"),"",$G288&amp;"|"&amp;COUNTIFS($G$7:$G288,$G288,$H$7:$H288,"&lt;&gt;Mahsup"))</f>
        <v>MERKEZ KASA|219</v>
      </c>
    </row>
    <row r="289" spans="1:21" ht="18" customHeight="1" x14ac:dyDescent="0.3">
      <c r="A289" s="2"/>
      <c r="B289" s="65" t="str">
        <f>IF($D289="","","T"&amp;TEXT(ROW()-6,"00000"))</f>
        <v>T00283</v>
      </c>
      <c r="C289" s="65" t="str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>M012</v>
      </c>
      <c r="D289" s="61" t="s">
        <v>721</v>
      </c>
      <c r="E289" s="66">
        <v>46144</v>
      </c>
      <c r="F289" s="67">
        <v>4000</v>
      </c>
      <c r="G289" s="60" t="s">
        <v>717</v>
      </c>
      <c r="H289" s="60" t="s">
        <v>572</v>
      </c>
      <c r="I289" s="61"/>
      <c r="J289" s="61" t="s">
        <v>720</v>
      </c>
      <c r="K289" s="61"/>
      <c r="L289" s="73">
        <f>IF($E289="","",DATE(YEAR($E289),MONTH($E289),1))</f>
        <v>46143</v>
      </c>
      <c r="M289" s="65" t="str">
        <f ca="1">IF($D289="","",IF($C289="TANIMSIZ MÜŞTERİ","HATA",IF(OR($E289="",$F289&lt;=0,$G289=""),"EKSİK",IF($E289&gt;TODAY(),"İLERİ TARİH",IF(COUNTIF($S$7:$S$2503,$S289)&gt;1,"MÜKERRER?",IF($T289&gt;0,"KAPALI DÖNEM","UYGUN"))))))</f>
        <v>UYGUN</v>
      </c>
      <c r="N289" s="74" t="str">
        <f>IF($C289="","",IF($C289="TANIMSIZ MÜŞTERİ","—",INDEX(MUSTERILER!$C$7:$C$156,MATCH($C289,MUSTERILER!$B$7:$B$156,0))))</f>
        <v>İLDEŞ LTD.ŞTİ.</v>
      </c>
      <c r="O289" s="2"/>
      <c r="P289" s="2"/>
      <c r="Q289" s="1" t="str">
        <f>IF($D289="","",$C289&amp;"|"&amp;COUNTIFS($C$7:$C289,$C289))</f>
        <v>M012|17</v>
      </c>
      <c r="R289" s="1" t="str">
        <f t="shared" si="8"/>
        <v>ILDESLTDSTI</v>
      </c>
      <c r="S289" s="1" t="str">
        <f t="shared" si="9"/>
        <v>M012|46144|4000|</v>
      </c>
      <c r="T289" s="1">
        <f>IF($E289="",0,SUMPRODUCT((AY_SONU!$O$7:$O$42="Evet")*(AY_SONU!$B$7:$B$42=DATE(YEAR($E289),MONTH($E289),1))))</f>
        <v>0</v>
      </c>
      <c r="U289" s="1" t="str">
        <f>IF(OR($G289="",$H289="Mahsup"),"",$G289&amp;"|"&amp;COUNTIFS($G$7:$G289,$G289,$H$7:$H289,"&lt;&gt;Mahsup"))</f>
        <v>MERKEZ KASA|220</v>
      </c>
    </row>
    <row r="290" spans="1:21" ht="18" customHeight="1" x14ac:dyDescent="0.3">
      <c r="A290" s="2"/>
      <c r="B290" s="65" t="str">
        <f>IF($D290="","","T"&amp;TEXT(ROW()-6,"00000"))</f>
        <v>T00284</v>
      </c>
      <c r="C290" s="65" t="str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>M009</v>
      </c>
      <c r="D290" s="61" t="s">
        <v>735</v>
      </c>
      <c r="E290" s="66">
        <v>46144</v>
      </c>
      <c r="F290" s="67">
        <v>4000</v>
      </c>
      <c r="G290" s="60" t="s">
        <v>717</v>
      </c>
      <c r="H290" s="60" t="s">
        <v>572</v>
      </c>
      <c r="I290" s="61"/>
      <c r="J290" s="61" t="s">
        <v>720</v>
      </c>
      <c r="K290" s="61"/>
      <c r="L290" s="73">
        <f>IF($E290="","",DATE(YEAR($E290),MONTH($E290),1))</f>
        <v>46143</v>
      </c>
      <c r="M290" s="65" t="str">
        <f ca="1">IF($D290="","",IF($C290="TANIMSIZ MÜŞTERİ","HATA",IF(OR($E290="",$F290&lt;=0,$G290=""),"EKSİK",IF($E290&gt;TODAY(),"İLERİ TARİH",IF(COUNTIF($S$7:$S$2503,$S290)&gt;1,"MÜKERRER?",IF($T290&gt;0,"KAPALI DÖNEM","UYGUN"))))))</f>
        <v>UYGUN</v>
      </c>
      <c r="N290" s="74" t="str">
        <f>IF($C290="","",IF($C290="TANIMSIZ MÜŞTERİ","—",INDEX(MUSTERILER!$C$7:$C$156,MATCH($C290,MUSTERILER!$B$7:$B$156,0))))</f>
        <v>PAKYILDIZ LTD.ŞTİ.</v>
      </c>
      <c r="O290" s="2"/>
      <c r="P290" s="2"/>
      <c r="Q290" s="1" t="str">
        <f>IF($D290="","",$C290&amp;"|"&amp;COUNTIFS($C$7:$C290,$C290))</f>
        <v>M009|13</v>
      </c>
      <c r="R290" s="1" t="str">
        <f t="shared" si="8"/>
        <v>PAKYILDIZLTDSTI</v>
      </c>
      <c r="S290" s="1" t="str">
        <f t="shared" si="9"/>
        <v>M009|46144|4000|</v>
      </c>
      <c r="T290" s="1">
        <f>IF($E290="",0,SUMPRODUCT((AY_SONU!$O$7:$O$42="Evet")*(AY_SONU!$B$7:$B$42=DATE(YEAR($E290),MONTH($E290),1))))</f>
        <v>0</v>
      </c>
      <c r="U290" s="1" t="str">
        <f>IF(OR($G290="",$H290="Mahsup"),"",$G290&amp;"|"&amp;COUNTIFS($G$7:$G290,$G290,$H$7:$H290,"&lt;&gt;Mahsup"))</f>
        <v>MERKEZ KASA|221</v>
      </c>
    </row>
    <row r="291" spans="1:21" ht="18" customHeight="1" x14ac:dyDescent="0.3">
      <c r="A291" s="2"/>
      <c r="B291" s="65" t="str">
        <f>IF($D291="","","T"&amp;TEXT(ROW()-6,"00000"))</f>
        <v>T00285</v>
      </c>
      <c r="C291" s="65" t="str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>M016</v>
      </c>
      <c r="D291" s="61" t="s">
        <v>736</v>
      </c>
      <c r="E291" s="66">
        <v>46144</v>
      </c>
      <c r="F291" s="67">
        <v>3000</v>
      </c>
      <c r="G291" s="60" t="s">
        <v>717</v>
      </c>
      <c r="H291" s="60" t="s">
        <v>572</v>
      </c>
      <c r="I291" s="61"/>
      <c r="J291" s="61" t="s">
        <v>720</v>
      </c>
      <c r="K291" s="61"/>
      <c r="L291" s="73">
        <f>IF($E291="","",DATE(YEAR($E291),MONTH($E291),1))</f>
        <v>46143</v>
      </c>
      <c r="M291" s="65" t="str">
        <f ca="1">IF($D291="","",IF($C291="TANIMSIZ MÜŞTERİ","HATA",IF(OR($E291="",$F291&lt;=0,$G291=""),"EKSİK",IF($E291&gt;TODAY(),"İLERİ TARİH",IF(COUNTIF($S$7:$S$2503,$S291)&gt;1,"MÜKERRER?",IF($T291&gt;0,"KAPALI DÖNEM","UYGUN"))))))</f>
        <v>UYGUN</v>
      </c>
      <c r="N291" s="74" t="str">
        <f>IF($C291="","",IF($C291="TANIMSIZ MÜŞTERİ","—",INDEX(MUSTERILER!$C$7:$C$156,MATCH($C291,MUSTERILER!$B$7:$B$156,0))))</f>
        <v>RİX ŞOW LTD.ŞTİ.</v>
      </c>
      <c r="O291" s="2"/>
      <c r="P291" s="2"/>
      <c r="Q291" s="1" t="str">
        <f>IF($D291="","",$C291&amp;"|"&amp;COUNTIFS($C$7:$C291,$C291))</f>
        <v>M016|17</v>
      </c>
      <c r="R291" s="1" t="str">
        <f t="shared" si="8"/>
        <v>RIXSOWLTDSTI</v>
      </c>
      <c r="S291" s="1" t="str">
        <f t="shared" si="9"/>
        <v>M016|46144|3000|</v>
      </c>
      <c r="T291" s="1">
        <f>IF($E291="",0,SUMPRODUCT((AY_SONU!$O$7:$O$42="Evet")*(AY_SONU!$B$7:$B$42=DATE(YEAR($E291),MONTH($E291),1))))</f>
        <v>0</v>
      </c>
      <c r="U291" s="1" t="str">
        <f>IF(OR($G291="",$H291="Mahsup"),"",$G291&amp;"|"&amp;COUNTIFS($G$7:$G291,$G291,$H$7:$H291,"&lt;&gt;Mahsup"))</f>
        <v>MERKEZ KASA|222</v>
      </c>
    </row>
    <row r="292" spans="1:21" ht="18" customHeight="1" x14ac:dyDescent="0.3">
      <c r="A292" s="2"/>
      <c r="B292" s="65" t="str">
        <f>IF($D292="","","T"&amp;TEXT(ROW()-6,"00000"))</f>
        <v>T00286</v>
      </c>
      <c r="C292" s="65" t="str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>M005</v>
      </c>
      <c r="D292" s="61" t="s">
        <v>722</v>
      </c>
      <c r="E292" s="66">
        <v>46144</v>
      </c>
      <c r="F292" s="67">
        <v>1750</v>
      </c>
      <c r="G292" s="60" t="s">
        <v>717</v>
      </c>
      <c r="H292" s="60" t="s">
        <v>572</v>
      </c>
      <c r="I292" s="61"/>
      <c r="J292" s="61" t="s">
        <v>720</v>
      </c>
      <c r="K292" s="61"/>
      <c r="L292" s="73">
        <f>IF($E292="","",DATE(YEAR($E292),MONTH($E292),1))</f>
        <v>46143</v>
      </c>
      <c r="M292" s="65" t="str">
        <f ca="1">IF($D292="","",IF($C292="TANIMSIZ MÜŞTERİ","HATA",IF(OR($E292="",$F292&lt;=0,$G292=""),"EKSİK",IF($E292&gt;TODAY(),"İLERİ TARİH",IF(COUNTIF($S$7:$S$2503,$S292)&gt;1,"MÜKERRER?",IF($T292&gt;0,"KAPALI DÖNEM","UYGUN"))))))</f>
        <v>UYGUN</v>
      </c>
      <c r="N292" s="74" t="str">
        <f>IF($C292="","",IF($C292="TANIMSIZ MÜŞTERİ","—",INDEX(MUSTERILER!$C$7:$C$156,MATCH($C292,MUSTERILER!$B$7:$B$156,0))))</f>
        <v>ZÜMRÜT GRUP LTD.ŞTİ.</v>
      </c>
      <c r="O292" s="2"/>
      <c r="P292" s="2"/>
      <c r="Q292" s="1" t="str">
        <f>IF($D292="","",$C292&amp;"|"&amp;COUNTIFS($C$7:$C292,$C292))</f>
        <v>M005|14</v>
      </c>
      <c r="R292" s="1" t="str">
        <f t="shared" si="8"/>
        <v>ZUMRUTGRUPLTDSTI</v>
      </c>
      <c r="S292" s="1" t="str">
        <f t="shared" si="9"/>
        <v>M005|46144|1750|</v>
      </c>
      <c r="T292" s="1">
        <f>IF($E292="",0,SUMPRODUCT((AY_SONU!$O$7:$O$42="Evet")*(AY_SONU!$B$7:$B$42=DATE(YEAR($E292),MONTH($E292),1))))</f>
        <v>0</v>
      </c>
      <c r="U292" s="1" t="str">
        <f>IF(OR($G292="",$H292="Mahsup"),"",$G292&amp;"|"&amp;COUNTIFS($G$7:$G292,$G292,$H$7:$H292,"&lt;&gt;Mahsup"))</f>
        <v>MERKEZ KASA|223</v>
      </c>
    </row>
    <row r="293" spans="1:21" ht="18" customHeight="1" x14ac:dyDescent="0.3">
      <c r="A293" s="2"/>
      <c r="B293" s="65" t="str">
        <f>IF($D293="","","T"&amp;TEXT(ROW()-6,"00000"))</f>
        <v>T00287</v>
      </c>
      <c r="C293" s="65" t="str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>M018</v>
      </c>
      <c r="D293" s="61" t="s">
        <v>593</v>
      </c>
      <c r="E293" s="66">
        <v>46144</v>
      </c>
      <c r="F293" s="67">
        <v>2500</v>
      </c>
      <c r="G293" s="60" t="s">
        <v>717</v>
      </c>
      <c r="H293" s="60" t="s">
        <v>572</v>
      </c>
      <c r="I293" s="61"/>
      <c r="J293" s="61" t="s">
        <v>720</v>
      </c>
      <c r="K293" s="61"/>
      <c r="L293" s="73">
        <f>IF($E293="","",DATE(YEAR($E293),MONTH($E293),1))</f>
        <v>46143</v>
      </c>
      <c r="M293" s="65" t="str">
        <f ca="1">IF($D293="","",IF($C293="TANIMSIZ MÜŞTERİ","HATA",IF(OR($E293="",$F293&lt;=0,$G293=""),"EKSİK",IF($E293&gt;TODAY(),"İLERİ TARİH",IF(COUNTIF($S$7:$S$2503,$S293)&gt;1,"MÜKERRER?",IF($T293&gt;0,"KAPALI DÖNEM","UYGUN"))))))</f>
        <v>UYGUN</v>
      </c>
      <c r="N293" s="74" t="str">
        <f>IF($C293="","",IF($C293="TANIMSIZ MÜŞTERİ","—",INDEX(MUSTERILER!$C$7:$C$156,MATCH($C293,MUSTERILER!$B$7:$B$156,0))))</f>
        <v>ÇINARHAN LTD.ŞTİ.</v>
      </c>
      <c r="O293" s="2"/>
      <c r="P293" s="2"/>
      <c r="Q293" s="1" t="str">
        <f>IF($D293="","",$C293&amp;"|"&amp;COUNTIFS($C$7:$C293,$C293))</f>
        <v>M018|11</v>
      </c>
      <c r="R293" s="1" t="str">
        <f t="shared" si="8"/>
        <v>CINARHANLTDSTI</v>
      </c>
      <c r="S293" s="1" t="str">
        <f t="shared" si="9"/>
        <v>M018|46144|2500|</v>
      </c>
      <c r="T293" s="1">
        <f>IF($E293="",0,SUMPRODUCT((AY_SONU!$O$7:$O$42="Evet")*(AY_SONU!$B$7:$B$42=DATE(YEAR($E293),MONTH($E293),1))))</f>
        <v>0</v>
      </c>
      <c r="U293" s="1" t="str">
        <f>IF(OR($G293="",$H293="Mahsup"),"",$G293&amp;"|"&amp;COUNTIFS($G$7:$G293,$G293,$H$7:$H293,"&lt;&gt;Mahsup"))</f>
        <v>MERKEZ KASA|224</v>
      </c>
    </row>
    <row r="294" spans="1:21" ht="18" customHeight="1" x14ac:dyDescent="0.3">
      <c r="A294" s="2"/>
      <c r="B294" s="65" t="str">
        <f>IF($D294="","","T"&amp;TEXT(ROW()-6,"00000"))</f>
        <v>T00288</v>
      </c>
      <c r="C294" s="65" t="str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>M035</v>
      </c>
      <c r="D294" s="61" t="s">
        <v>615</v>
      </c>
      <c r="E294" s="66">
        <v>46144</v>
      </c>
      <c r="F294" s="67">
        <v>3500</v>
      </c>
      <c r="G294" s="60" t="s">
        <v>717</v>
      </c>
      <c r="H294" s="60" t="s">
        <v>572</v>
      </c>
      <c r="I294" s="61"/>
      <c r="J294" s="61" t="s">
        <v>720</v>
      </c>
      <c r="K294" s="61"/>
      <c r="L294" s="73">
        <f>IF($E294="","",DATE(YEAR($E294),MONTH($E294),1))</f>
        <v>46143</v>
      </c>
      <c r="M294" s="65" t="str">
        <f ca="1">IF($D294="","",IF($C294="TANIMSIZ MÜŞTERİ","HATA",IF(OR($E294="",$F294&lt;=0,$G294=""),"EKSİK",IF($E294&gt;TODAY(),"İLERİ TARİH",IF(COUNTIF($S$7:$S$2503,$S294)&gt;1,"MÜKERRER?",IF($T294&gt;0,"KAPALI DÖNEM","UYGUN"))))))</f>
        <v>UYGUN</v>
      </c>
      <c r="N294" s="74" t="str">
        <f>IF($C294="","",IF($C294="TANIMSIZ MÜŞTERİ","—",INDEX(MUSTERILER!$C$7:$C$156,MATCH($C294,MUSTERILER!$B$7:$B$156,0))))</f>
        <v>İSA DEMİRCİ</v>
      </c>
      <c r="O294" s="2"/>
      <c r="P294" s="2"/>
      <c r="Q294" s="1" t="str">
        <f>IF($D294="","",$C294&amp;"|"&amp;COUNTIFS($C$7:$C294,$C294))</f>
        <v>M035|4</v>
      </c>
      <c r="R294" s="1" t="str">
        <f t="shared" si="8"/>
        <v>ISADEMIRCI</v>
      </c>
      <c r="S294" s="1" t="str">
        <f t="shared" si="9"/>
        <v>M035|46144|3500|</v>
      </c>
      <c r="T294" s="1">
        <f>IF($E294="",0,SUMPRODUCT((AY_SONU!$O$7:$O$42="Evet")*(AY_SONU!$B$7:$B$42=DATE(YEAR($E294),MONTH($E294),1))))</f>
        <v>0</v>
      </c>
      <c r="U294" s="1" t="str">
        <f>IF(OR($G294="",$H294="Mahsup"),"",$G294&amp;"|"&amp;COUNTIFS($G$7:$G294,$G294,$H$7:$H294,"&lt;&gt;Mahsup"))</f>
        <v>MERKEZ KASA|225</v>
      </c>
    </row>
    <row r="295" spans="1:21" ht="18" customHeight="1" x14ac:dyDescent="0.3">
      <c r="A295" s="2"/>
      <c r="B295" s="65" t="str">
        <f>IF($D295="","","T"&amp;TEXT(ROW()-6,"00000"))</f>
        <v>T00289</v>
      </c>
      <c r="C295" s="65" t="str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>M020</v>
      </c>
      <c r="D295" s="61" t="s">
        <v>623</v>
      </c>
      <c r="E295" s="66">
        <v>46144</v>
      </c>
      <c r="F295" s="67">
        <v>3000</v>
      </c>
      <c r="G295" s="60" t="s">
        <v>717</v>
      </c>
      <c r="H295" s="60" t="s">
        <v>572</v>
      </c>
      <c r="I295" s="61"/>
      <c r="J295" s="61" t="s">
        <v>720</v>
      </c>
      <c r="K295" s="61"/>
      <c r="L295" s="73">
        <f>IF($E295="","",DATE(YEAR($E295),MONTH($E295),1))</f>
        <v>46143</v>
      </c>
      <c r="M295" s="65" t="str">
        <f ca="1">IF($D295="","",IF($C295="TANIMSIZ MÜŞTERİ","HATA",IF(OR($E295="",$F295&lt;=0,$G295=""),"EKSİK",IF($E295&gt;TODAY(),"İLERİ TARİH",IF(COUNTIF($S$7:$S$2503,$S295)&gt;1,"MÜKERRER?",IF($T295&gt;0,"KAPALI DÖNEM","UYGUN"))))))</f>
        <v>UYGUN</v>
      </c>
      <c r="N295" s="74" t="str">
        <f>IF($C295="","",IF($C295="TANIMSIZ MÜŞTERİ","—",INDEX(MUSTERILER!$C$7:$C$156,MATCH($C295,MUSTERILER!$B$7:$B$156,0))))</f>
        <v>KRİSTAL LTD.ŞTİ.</v>
      </c>
      <c r="O295" s="2"/>
      <c r="P295" s="2"/>
      <c r="Q295" s="1" t="str">
        <f>IF($D295="","",$C295&amp;"|"&amp;COUNTIFS($C$7:$C295,$C295))</f>
        <v>M020|17</v>
      </c>
      <c r="R295" s="1" t="str">
        <f t="shared" si="8"/>
        <v>KRISTALLTDSTI</v>
      </c>
      <c r="S295" s="1" t="str">
        <f t="shared" si="9"/>
        <v>M020|46144|3000|</v>
      </c>
      <c r="T295" s="1">
        <f>IF($E295="",0,SUMPRODUCT((AY_SONU!$O$7:$O$42="Evet")*(AY_SONU!$B$7:$B$42=DATE(YEAR($E295),MONTH($E295),1))))</f>
        <v>0</v>
      </c>
      <c r="U295" s="1" t="str">
        <f>IF(OR($G295="",$H295="Mahsup"),"",$G295&amp;"|"&amp;COUNTIFS($G$7:$G295,$G295,$H$7:$H295,"&lt;&gt;Mahsup"))</f>
        <v>MERKEZ KASA|226</v>
      </c>
    </row>
    <row r="296" spans="1:21" ht="18" customHeight="1" x14ac:dyDescent="0.3">
      <c r="A296" s="2"/>
      <c r="B296" s="65" t="str">
        <f>IF($D296="","","T"&amp;TEXT(ROW()-6,"00000"))</f>
        <v>T00290</v>
      </c>
      <c r="C296" s="65" t="str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>M047</v>
      </c>
      <c r="D296" s="61" t="s">
        <v>654</v>
      </c>
      <c r="E296" s="66">
        <v>46144</v>
      </c>
      <c r="F296" s="67">
        <v>4000</v>
      </c>
      <c r="G296" s="60" t="s">
        <v>717</v>
      </c>
      <c r="H296" s="60" t="s">
        <v>572</v>
      </c>
      <c r="I296" s="61"/>
      <c r="J296" s="61" t="s">
        <v>720</v>
      </c>
      <c r="K296" s="61"/>
      <c r="L296" s="73">
        <f>IF($E296="","",DATE(YEAR($E296),MONTH($E296),1))</f>
        <v>46143</v>
      </c>
      <c r="M296" s="65" t="str">
        <f ca="1">IF($D296="","",IF($C296="TANIMSIZ MÜŞTERİ","HATA",IF(OR($E296="",$F296&lt;=0,$G296=""),"EKSİK",IF($E296&gt;TODAY(),"İLERİ TARİH",IF(COUNTIF($S$7:$S$2503,$S296)&gt;1,"MÜKERRER?",IF($T296&gt;0,"KAPALI DÖNEM","UYGUN"))))))</f>
        <v>UYGUN</v>
      </c>
      <c r="N296" s="74" t="str">
        <f>IF($C296="","",IF($C296="TANIMSIZ MÜŞTERİ","—",INDEX(MUSTERILER!$C$7:$C$156,MATCH($C296,MUSTERILER!$B$7:$B$156,0))))</f>
        <v>PALAOĞULLARI LTD.ŞTİ.</v>
      </c>
      <c r="O296" s="2"/>
      <c r="P296" s="2"/>
      <c r="Q296" s="1" t="str">
        <f>IF($D296="","",$C296&amp;"|"&amp;COUNTIFS($C$7:$C296,$C296))</f>
        <v>M047|9</v>
      </c>
      <c r="R296" s="1" t="str">
        <f t="shared" si="8"/>
        <v>PALAOGULLARILTDSTI</v>
      </c>
      <c r="S296" s="1" t="str">
        <f t="shared" si="9"/>
        <v>M047|46144|4000|</v>
      </c>
      <c r="T296" s="1">
        <f>IF($E296="",0,SUMPRODUCT((AY_SONU!$O$7:$O$42="Evet")*(AY_SONU!$B$7:$B$42=DATE(YEAR($E296),MONTH($E296),1))))</f>
        <v>0</v>
      </c>
      <c r="U296" s="1" t="str">
        <f>IF(OR($G296="",$H296="Mahsup"),"",$G296&amp;"|"&amp;COUNTIFS($G$7:$G296,$G296,$H$7:$H296,"&lt;&gt;Mahsup"))</f>
        <v>MERKEZ KASA|227</v>
      </c>
    </row>
    <row r="297" spans="1:21" ht="18" customHeight="1" x14ac:dyDescent="0.3">
      <c r="A297" s="2"/>
      <c r="B297" s="65" t="str">
        <f>IF($D297="","","T"&amp;TEXT(ROW()-6,"00000"))</f>
        <v>T00291</v>
      </c>
      <c r="C297" s="65" t="str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>M054</v>
      </c>
      <c r="D297" s="61" t="s">
        <v>674</v>
      </c>
      <c r="E297" s="66">
        <v>46144</v>
      </c>
      <c r="F297" s="67">
        <v>4000</v>
      </c>
      <c r="G297" s="60" t="s">
        <v>717</v>
      </c>
      <c r="H297" s="60" t="s">
        <v>572</v>
      </c>
      <c r="I297" s="61"/>
      <c r="J297" s="61" t="s">
        <v>720</v>
      </c>
      <c r="K297" s="61"/>
      <c r="L297" s="73">
        <f>IF($E297="","",DATE(YEAR($E297),MONTH($E297),1))</f>
        <v>46143</v>
      </c>
      <c r="M297" s="65" t="str">
        <f ca="1">IF($D297="","",IF($C297="TANIMSIZ MÜŞTERİ","HATA",IF(OR($E297="",$F297&lt;=0,$G297=""),"EKSİK",IF($E297&gt;TODAY(),"İLERİ TARİH",IF(COUNTIF($S$7:$S$2503,$S297)&gt;1,"MÜKERRER?",IF($T297&gt;0,"KAPALI DÖNEM","UYGUN"))))))</f>
        <v>UYGUN</v>
      </c>
      <c r="N297" s="74" t="str">
        <f>IF($C297="","",IF($C297="TANIMSIZ MÜŞTERİ","—",INDEX(MUSTERILER!$C$7:$C$156,MATCH($C297,MUSTERILER!$B$7:$B$156,0))))</f>
        <v>YALIKENT LTD.ŞTİ.</v>
      </c>
      <c r="O297" s="2"/>
      <c r="P297" s="2"/>
      <c r="Q297" s="1" t="str">
        <f>IF($D297="","",$C297&amp;"|"&amp;COUNTIFS($C$7:$C297,$C297))</f>
        <v>M054|6</v>
      </c>
      <c r="R297" s="1" t="str">
        <f t="shared" si="8"/>
        <v>YALIKENTLTDSTI</v>
      </c>
      <c r="S297" s="1" t="str">
        <f t="shared" si="9"/>
        <v>M054|46144|4000|</v>
      </c>
      <c r="T297" s="1">
        <f>IF($E297="",0,SUMPRODUCT((AY_SONU!$O$7:$O$42="Evet")*(AY_SONU!$B$7:$B$42=DATE(YEAR($E297),MONTH($E297),1))))</f>
        <v>0</v>
      </c>
      <c r="U297" s="1" t="str">
        <f>IF(OR($G297="",$H297="Mahsup"),"",$G297&amp;"|"&amp;COUNTIFS($G$7:$G297,$G297,$H$7:$H297,"&lt;&gt;Mahsup"))</f>
        <v>MERKEZ KASA|228</v>
      </c>
    </row>
    <row r="298" spans="1:21" ht="18" customHeight="1" x14ac:dyDescent="0.3">
      <c r="A298" s="2"/>
      <c r="B298" s="65" t="str">
        <f>IF($D298="","","T"&amp;TEXT(ROW()-6,"00000"))</f>
        <v>T00292</v>
      </c>
      <c r="C298" s="65" t="str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>M006</v>
      </c>
      <c r="D298" s="61" t="s">
        <v>672</v>
      </c>
      <c r="E298" s="66">
        <v>46146</v>
      </c>
      <c r="F298" s="67">
        <v>5000</v>
      </c>
      <c r="G298" s="60" t="s">
        <v>717</v>
      </c>
      <c r="H298" s="60" t="s">
        <v>572</v>
      </c>
      <c r="I298" s="61"/>
      <c r="J298" s="61" t="s">
        <v>740</v>
      </c>
      <c r="K298" s="61"/>
      <c r="L298" s="73">
        <f>IF($E298="","",DATE(YEAR($E298),MONTH($E298),1))</f>
        <v>46143</v>
      </c>
      <c r="M298" s="65" t="str">
        <f ca="1">IF($D298="","",IF($C298="TANIMSIZ MÜŞTERİ","HATA",IF(OR($E298="",$F298&lt;=0,$G298=""),"EKSİK",IF($E298&gt;TODAY(),"İLERİ TARİH",IF(COUNTIF($S$7:$S$2503,$S298)&gt;1,"MÜKERRER?",IF($T298&gt;0,"KAPALI DÖNEM","UYGUN"))))))</f>
        <v>UYGUN</v>
      </c>
      <c r="N298" s="74" t="str">
        <f>IF($C298="","",IF($C298="TANIMSIZ MÜŞTERİ","—",INDEX(MUSTERILER!$C$7:$C$156,MATCH($C298,MUSTERILER!$B$7:$B$156,0))))</f>
        <v>VOLKAN AÇIK</v>
      </c>
      <c r="O298" s="2"/>
      <c r="P298" s="2"/>
      <c r="Q298" s="1" t="str">
        <f>IF($D298="","",$C298&amp;"|"&amp;COUNTIFS($C$7:$C298,$C298))</f>
        <v>M006|3</v>
      </c>
      <c r="R298" s="1" t="str">
        <f t="shared" si="8"/>
        <v>VOLKANACIK</v>
      </c>
      <c r="S298" s="1" t="str">
        <f t="shared" si="9"/>
        <v>M006|46146|5000|</v>
      </c>
      <c r="T298" s="1">
        <f>IF($E298="",0,SUMPRODUCT((AY_SONU!$O$7:$O$42="Evet")*(AY_SONU!$B$7:$B$42=DATE(YEAR($E298),MONTH($E298),1))))</f>
        <v>0</v>
      </c>
      <c r="U298" s="1" t="str">
        <f>IF(OR($G298="",$H298="Mahsup"),"",$G298&amp;"|"&amp;COUNTIFS($G$7:$G298,$G298,$H$7:$H298,"&lt;&gt;Mahsup"))</f>
        <v>MERKEZ KASA|229</v>
      </c>
    </row>
    <row r="299" spans="1:21" ht="18" customHeight="1" x14ac:dyDescent="0.3">
      <c r="A299" s="2"/>
      <c r="B299" s="65" t="str">
        <f>IF($D299="","","T"&amp;TEXT(ROW()-6,"00000"))</f>
        <v>T00293</v>
      </c>
      <c r="C299" s="65" t="str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>M011</v>
      </c>
      <c r="D299" s="61" t="s">
        <v>730</v>
      </c>
      <c r="E299" s="66">
        <v>46151</v>
      </c>
      <c r="F299" s="67">
        <v>4000</v>
      </c>
      <c r="G299" s="60" t="s">
        <v>723</v>
      </c>
      <c r="H299" s="60" t="s">
        <v>572</v>
      </c>
      <c r="I299" s="61"/>
      <c r="J299" s="61" t="s">
        <v>724</v>
      </c>
      <c r="K299" s="61"/>
      <c r="L299" s="73">
        <f>IF($E299="","",DATE(YEAR($E299),MONTH($E299),1))</f>
        <v>46143</v>
      </c>
      <c r="M299" s="65" t="str">
        <f ca="1">IF($D299="","",IF($C299="TANIMSIZ MÜŞTERİ","HATA",IF(OR($E299="",$F299&lt;=0,$G299=""),"EKSİK",IF($E299&gt;TODAY(),"İLERİ TARİH",IF(COUNTIF($S$7:$S$2503,$S299)&gt;1,"MÜKERRER?",IF($T299&gt;0,"KAPALI DÖNEM","UYGUN"))))))</f>
        <v>UYGUN</v>
      </c>
      <c r="N299" s="74" t="str">
        <f>IF($C299="","",IF($C299="TANIMSIZ MÜŞTERİ","—",INDEX(MUSTERILER!$C$7:$C$156,MATCH($C299,MUSTERILER!$B$7:$B$156,0))))</f>
        <v>EĞLENGÖR LTD.ŞTİ.</v>
      </c>
      <c r="O299" s="2"/>
      <c r="P299" s="2"/>
      <c r="Q299" s="1" t="str">
        <f>IF($D299="","",$C299&amp;"|"&amp;COUNTIFS($C$7:$C299,$C299))</f>
        <v>M011|17</v>
      </c>
      <c r="R299" s="1" t="str">
        <f t="shared" si="8"/>
        <v>EGLENGORLTDSTI</v>
      </c>
      <c r="S299" s="1" t="str">
        <f t="shared" si="9"/>
        <v>M011|46151|4000|</v>
      </c>
      <c r="T299" s="1">
        <f>IF($E299="",0,SUMPRODUCT((AY_SONU!$O$7:$O$42="Evet")*(AY_SONU!$B$7:$B$42=DATE(YEAR($E299),MONTH($E299),1))))</f>
        <v>0</v>
      </c>
      <c r="U299" s="1" t="str">
        <f>IF(OR($G299="",$H299="Mahsup"),"",$G299&amp;"|"&amp;COUNTIFS($G$7:$G299,$G299,$H$7:$H299,"&lt;&gt;Mahsup"))</f>
        <v>ÖMER KARTAL|64</v>
      </c>
    </row>
    <row r="300" spans="1:21" ht="18" customHeight="1" x14ac:dyDescent="0.3">
      <c r="A300" s="2"/>
      <c r="B300" s="65" t="str">
        <f>IF($D300="","","T"&amp;TEXT(ROW()-6,"00000"))</f>
        <v>T00294</v>
      </c>
      <c r="C300" s="65" t="str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>M012</v>
      </c>
      <c r="D300" s="61" t="s">
        <v>721</v>
      </c>
      <c r="E300" s="66">
        <v>46151</v>
      </c>
      <c r="F300" s="67">
        <v>4000</v>
      </c>
      <c r="G300" s="60" t="s">
        <v>723</v>
      </c>
      <c r="H300" s="60" t="s">
        <v>572</v>
      </c>
      <c r="I300" s="61"/>
      <c r="J300" s="61" t="s">
        <v>724</v>
      </c>
      <c r="K300" s="61"/>
      <c r="L300" s="73">
        <f>IF($E300="","",DATE(YEAR($E300),MONTH($E300),1))</f>
        <v>46143</v>
      </c>
      <c r="M300" s="65" t="str">
        <f ca="1">IF($D300="","",IF($C300="TANIMSIZ MÜŞTERİ","HATA",IF(OR($E300="",$F300&lt;=0,$G300=""),"EKSİK",IF($E300&gt;TODAY(),"İLERİ TARİH",IF(COUNTIF($S$7:$S$2503,$S300)&gt;1,"MÜKERRER?",IF($T300&gt;0,"KAPALI DÖNEM","UYGUN"))))))</f>
        <v>UYGUN</v>
      </c>
      <c r="N300" s="74" t="str">
        <f>IF($C300="","",IF($C300="TANIMSIZ MÜŞTERİ","—",INDEX(MUSTERILER!$C$7:$C$156,MATCH($C300,MUSTERILER!$B$7:$B$156,0))))</f>
        <v>İLDEŞ LTD.ŞTİ.</v>
      </c>
      <c r="O300" s="2"/>
      <c r="P300" s="2"/>
      <c r="Q300" s="1" t="str">
        <f>IF($D300="","",$C300&amp;"|"&amp;COUNTIFS($C$7:$C300,$C300))</f>
        <v>M012|18</v>
      </c>
      <c r="R300" s="1" t="str">
        <f t="shared" si="8"/>
        <v>ILDESLTDSTI</v>
      </c>
      <c r="S300" s="1" t="str">
        <f t="shared" si="9"/>
        <v>M012|46151|4000|</v>
      </c>
      <c r="T300" s="1">
        <f>IF($E300="",0,SUMPRODUCT((AY_SONU!$O$7:$O$42="Evet")*(AY_SONU!$B$7:$B$42=DATE(YEAR($E300),MONTH($E300),1))))</f>
        <v>0</v>
      </c>
      <c r="U300" s="1" t="str">
        <f>IF(OR($G300="",$H300="Mahsup"),"",$G300&amp;"|"&amp;COUNTIFS($G$7:$G300,$G300,$H$7:$H300,"&lt;&gt;Mahsup"))</f>
        <v>ÖMER KARTAL|65</v>
      </c>
    </row>
    <row r="301" spans="1:21" ht="18" customHeight="1" x14ac:dyDescent="0.3">
      <c r="A301" s="2"/>
      <c r="B301" s="65" t="str">
        <f>IF($D301="","","T"&amp;TEXT(ROW()-6,"00000"))</f>
        <v>T00295</v>
      </c>
      <c r="C301" s="65" t="str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>M001</v>
      </c>
      <c r="D301" s="61" t="s">
        <v>729</v>
      </c>
      <c r="E301" s="66">
        <v>46151</v>
      </c>
      <c r="F301" s="67">
        <v>14000</v>
      </c>
      <c r="G301" s="60" t="s">
        <v>717</v>
      </c>
      <c r="H301" s="60" t="s">
        <v>572</v>
      </c>
      <c r="I301" s="61"/>
      <c r="J301" s="61" t="s">
        <v>720</v>
      </c>
      <c r="K301" s="61"/>
      <c r="L301" s="73">
        <f>IF($E301="","",DATE(YEAR($E301),MONTH($E301),1))</f>
        <v>46143</v>
      </c>
      <c r="M301" s="65" t="str">
        <f ca="1">IF($D301="","",IF($C301="TANIMSIZ MÜŞTERİ","HATA",IF(OR($E301="",$F301&lt;=0,$G301=""),"EKSİK",IF($E301&gt;TODAY(),"İLERİ TARİH",IF(COUNTIF($S$7:$S$2503,$S301)&gt;1,"MÜKERRER?",IF($T301&gt;0,"KAPALI DÖNEM","UYGUN"))))))</f>
        <v>UYGUN</v>
      </c>
      <c r="N301" s="74" t="str">
        <f>IF($C301="","",IF($C301="TANIMSIZ MÜŞTERİ","—",INDEX(MUSTERILER!$C$7:$C$156,MATCH($C301,MUSTERILER!$B$7:$B$156,0))))</f>
        <v>ANKARA HAVANA LTD.ŞTİ.</v>
      </c>
      <c r="O301" s="2"/>
      <c r="P301" s="2"/>
      <c r="Q301" s="1" t="str">
        <f>IF($D301="","",$C301&amp;"|"&amp;COUNTIFS($C$7:$C301,$C301))</f>
        <v>M001|8</v>
      </c>
      <c r="R301" s="1" t="str">
        <f t="shared" si="8"/>
        <v>ANKARAHAVANALTDSTI</v>
      </c>
      <c r="S301" s="1" t="str">
        <f t="shared" si="9"/>
        <v>M001|46151|14000|</v>
      </c>
      <c r="T301" s="1">
        <f>IF($E301="",0,SUMPRODUCT((AY_SONU!$O$7:$O$42="Evet")*(AY_SONU!$B$7:$B$42=DATE(YEAR($E301),MONTH($E301),1))))</f>
        <v>0</v>
      </c>
      <c r="U301" s="1" t="str">
        <f>IF(OR($G301="",$H301="Mahsup"),"",$G301&amp;"|"&amp;COUNTIFS($G$7:$G301,$G301,$H$7:$H301,"&lt;&gt;Mahsup"))</f>
        <v>MERKEZ KASA|230</v>
      </c>
    </row>
    <row r="302" spans="1:21" ht="18" customHeight="1" x14ac:dyDescent="0.3">
      <c r="A302" s="2"/>
      <c r="B302" s="65" t="str">
        <f>IF($D302="","","T"&amp;TEXT(ROW()-6,"00000"))</f>
        <v>T00296</v>
      </c>
      <c r="C302" s="65" t="str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>M009</v>
      </c>
      <c r="D302" s="61" t="s">
        <v>735</v>
      </c>
      <c r="E302" s="66">
        <v>46151</v>
      </c>
      <c r="F302" s="67">
        <v>4000</v>
      </c>
      <c r="G302" s="60" t="s">
        <v>723</v>
      </c>
      <c r="H302" s="60" t="s">
        <v>572</v>
      </c>
      <c r="I302" s="61"/>
      <c r="J302" s="61" t="s">
        <v>724</v>
      </c>
      <c r="K302" s="61"/>
      <c r="L302" s="73">
        <f>IF($E302="","",DATE(YEAR($E302),MONTH($E302),1))</f>
        <v>46143</v>
      </c>
      <c r="M302" s="65" t="str">
        <f ca="1">IF($D302="","",IF($C302="TANIMSIZ MÜŞTERİ","HATA",IF(OR($E302="",$F302&lt;=0,$G302=""),"EKSİK",IF($E302&gt;TODAY(),"İLERİ TARİH",IF(COUNTIF($S$7:$S$2503,$S302)&gt;1,"MÜKERRER?",IF($T302&gt;0,"KAPALI DÖNEM","UYGUN"))))))</f>
        <v>UYGUN</v>
      </c>
      <c r="N302" s="74" t="str">
        <f>IF($C302="","",IF($C302="TANIMSIZ MÜŞTERİ","—",INDEX(MUSTERILER!$C$7:$C$156,MATCH($C302,MUSTERILER!$B$7:$B$156,0))))</f>
        <v>PAKYILDIZ LTD.ŞTİ.</v>
      </c>
      <c r="O302" s="2"/>
      <c r="P302" s="2"/>
      <c r="Q302" s="1" t="str">
        <f>IF($D302="","",$C302&amp;"|"&amp;COUNTIFS($C$7:$C302,$C302))</f>
        <v>M009|14</v>
      </c>
      <c r="R302" s="1" t="str">
        <f t="shared" si="8"/>
        <v>PAKYILDIZLTDSTI</v>
      </c>
      <c r="S302" s="1" t="str">
        <f t="shared" si="9"/>
        <v>M009|46151|4000|</v>
      </c>
      <c r="T302" s="1">
        <f>IF($E302="",0,SUMPRODUCT((AY_SONU!$O$7:$O$42="Evet")*(AY_SONU!$B$7:$B$42=DATE(YEAR($E302),MONTH($E302),1))))</f>
        <v>0</v>
      </c>
      <c r="U302" s="1" t="str">
        <f>IF(OR($G302="",$H302="Mahsup"),"",$G302&amp;"|"&amp;COUNTIFS($G$7:$G302,$G302,$H$7:$H302,"&lt;&gt;Mahsup"))</f>
        <v>ÖMER KARTAL|66</v>
      </c>
    </row>
    <row r="303" spans="1:21" ht="18" customHeight="1" x14ac:dyDescent="0.3">
      <c r="A303" s="2"/>
      <c r="B303" s="65" t="str">
        <f>IF($D303="","","T"&amp;TEXT(ROW()-6,"00000"))</f>
        <v>T00297</v>
      </c>
      <c r="C303" s="65" t="str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>M025</v>
      </c>
      <c r="D303" s="61" t="s">
        <v>583</v>
      </c>
      <c r="E303" s="66">
        <v>46151</v>
      </c>
      <c r="F303" s="67">
        <v>2000</v>
      </c>
      <c r="G303" s="60" t="s">
        <v>717</v>
      </c>
      <c r="H303" s="60" t="s">
        <v>572</v>
      </c>
      <c r="I303" s="61"/>
      <c r="J303" s="61" t="s">
        <v>720</v>
      </c>
      <c r="K303" s="61"/>
      <c r="L303" s="73">
        <f>IF($E303="","",DATE(YEAR($E303),MONTH($E303),1))</f>
        <v>46143</v>
      </c>
      <c r="M303" s="65" t="str">
        <f ca="1">IF($D303="","",IF($C303="TANIMSIZ MÜŞTERİ","HATA",IF(OR($E303="",$F303&lt;=0,$G303=""),"EKSİK",IF($E303&gt;TODAY(),"İLERİ TARİH",IF(COUNTIF($S$7:$S$2503,$S303)&gt;1,"MÜKERRER?",IF($T303&gt;0,"KAPALI DÖNEM","UYGUN"))))))</f>
        <v>UYGUN</v>
      </c>
      <c r="N303" s="74" t="str">
        <f>IF($C303="","",IF($C303="TANIMSIZ MÜŞTERİ","—",INDEX(MUSTERILER!$C$7:$C$156,MATCH($C303,MUSTERILER!$B$7:$B$156,0))))</f>
        <v>ASIM AÇIKGÖZ</v>
      </c>
      <c r="O303" s="2"/>
      <c r="P303" s="2"/>
      <c r="Q303" s="1" t="str">
        <f>IF($D303="","",$C303&amp;"|"&amp;COUNTIFS($C$7:$C303,$C303))</f>
        <v>M025|14</v>
      </c>
      <c r="R303" s="1" t="str">
        <f t="shared" si="8"/>
        <v>ASIMACIKGOZ</v>
      </c>
      <c r="S303" s="1" t="str">
        <f t="shared" si="9"/>
        <v>M025|46151|2000|</v>
      </c>
      <c r="T303" s="1">
        <f>IF($E303="",0,SUMPRODUCT((AY_SONU!$O$7:$O$42="Evet")*(AY_SONU!$B$7:$B$42=DATE(YEAR($E303),MONTH($E303),1))))</f>
        <v>0</v>
      </c>
      <c r="U303" s="1" t="str">
        <f>IF(OR($G303="",$H303="Mahsup"),"",$G303&amp;"|"&amp;COUNTIFS($G$7:$G303,$G303,$H$7:$H303,"&lt;&gt;Mahsup"))</f>
        <v>MERKEZ KASA|231</v>
      </c>
    </row>
    <row r="304" spans="1:21" ht="18" customHeight="1" x14ac:dyDescent="0.3">
      <c r="A304" s="2"/>
      <c r="B304" s="65" t="str">
        <f>IF($D304="","","T"&amp;TEXT(ROW()-6,"00000"))</f>
        <v>T00298</v>
      </c>
      <c r="C304" s="65" t="str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>M015</v>
      </c>
      <c r="D304" s="61" t="s">
        <v>719</v>
      </c>
      <c r="E304" s="66">
        <v>46151</v>
      </c>
      <c r="F304" s="67">
        <v>3000</v>
      </c>
      <c r="G304" s="60" t="s">
        <v>717</v>
      </c>
      <c r="H304" s="60" t="s">
        <v>572</v>
      </c>
      <c r="I304" s="61"/>
      <c r="J304" s="61" t="s">
        <v>720</v>
      </c>
      <c r="K304" s="61"/>
      <c r="L304" s="73">
        <f>IF($E304="","",DATE(YEAR($E304),MONTH($E304),1))</f>
        <v>46143</v>
      </c>
      <c r="M304" s="65" t="str">
        <f ca="1">IF($D304="","",IF($C304="TANIMSIZ MÜŞTERİ","HATA",IF(OR($E304="",$F304&lt;=0,$G304=""),"EKSİK",IF($E304&gt;TODAY(),"İLERİ TARİH",IF(COUNTIF($S$7:$S$2503,$S304)&gt;1,"MÜKERRER?",IF($T304&gt;0,"KAPALI DÖNEM","UYGUN"))))))</f>
        <v>UYGUN</v>
      </c>
      <c r="N304" s="74" t="str">
        <f>IF($C304="","",IF($C304="TANIMSIZ MÜŞTERİ","—",INDEX(MUSTERILER!$C$7:$C$156,MATCH($C304,MUSTERILER!$B$7:$B$156,0))))</f>
        <v>ÇAYIRALAN LTD.ŞTİ.</v>
      </c>
      <c r="O304" s="2"/>
      <c r="P304" s="2"/>
      <c r="Q304" s="1" t="str">
        <f>IF($D304="","",$C304&amp;"|"&amp;COUNTIFS($C$7:$C304,$C304))</f>
        <v>M015|16</v>
      </c>
      <c r="R304" s="1" t="str">
        <f t="shared" si="8"/>
        <v>CAYIRALANLTDSTI</v>
      </c>
      <c r="S304" s="1" t="str">
        <f t="shared" si="9"/>
        <v>M015|46151|3000|</v>
      </c>
      <c r="T304" s="1">
        <f>IF($E304="",0,SUMPRODUCT((AY_SONU!$O$7:$O$42="Evet")*(AY_SONU!$B$7:$B$42=DATE(YEAR($E304),MONTH($E304),1))))</f>
        <v>0</v>
      </c>
      <c r="U304" s="1" t="str">
        <f>IF(OR($G304="",$H304="Mahsup"),"",$G304&amp;"|"&amp;COUNTIFS($G$7:$G304,$G304,$H$7:$H304,"&lt;&gt;Mahsup"))</f>
        <v>MERKEZ KASA|232</v>
      </c>
    </row>
    <row r="305" spans="1:21" ht="18" customHeight="1" x14ac:dyDescent="0.3">
      <c r="A305" s="2"/>
      <c r="B305" s="65" t="str">
        <f>IF($D305="","","T"&amp;TEXT(ROW()-6,"00000"))</f>
        <v>T00299</v>
      </c>
      <c r="C305" s="65" t="str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>M018</v>
      </c>
      <c r="D305" s="61" t="s">
        <v>593</v>
      </c>
      <c r="E305" s="66">
        <v>46151</v>
      </c>
      <c r="F305" s="67">
        <v>2500</v>
      </c>
      <c r="G305" s="60" t="s">
        <v>723</v>
      </c>
      <c r="H305" s="60" t="s">
        <v>572</v>
      </c>
      <c r="I305" s="61"/>
      <c r="J305" s="61" t="s">
        <v>720</v>
      </c>
      <c r="K305" s="61"/>
      <c r="L305" s="73">
        <f>IF($E305="","",DATE(YEAR($E305),MONTH($E305),1))</f>
        <v>46143</v>
      </c>
      <c r="M305" s="65" t="str">
        <f ca="1">IF($D305="","",IF($C305="TANIMSIZ MÜŞTERİ","HATA",IF(OR($E305="",$F305&lt;=0,$G305=""),"EKSİK",IF($E305&gt;TODAY(),"İLERİ TARİH",IF(COUNTIF($S$7:$S$2503,$S305)&gt;1,"MÜKERRER?",IF($T305&gt;0,"KAPALI DÖNEM","UYGUN"))))))</f>
        <v>UYGUN</v>
      </c>
      <c r="N305" s="74" t="str">
        <f>IF($C305="","",IF($C305="TANIMSIZ MÜŞTERİ","—",INDEX(MUSTERILER!$C$7:$C$156,MATCH($C305,MUSTERILER!$B$7:$B$156,0))))</f>
        <v>ÇINARHAN LTD.ŞTİ.</v>
      </c>
      <c r="O305" s="2"/>
      <c r="P305" s="2"/>
      <c r="Q305" s="1" t="str">
        <f>IF($D305="","",$C305&amp;"|"&amp;COUNTIFS($C$7:$C305,$C305))</f>
        <v>M018|12</v>
      </c>
      <c r="R305" s="1" t="str">
        <f t="shared" si="8"/>
        <v>CINARHANLTDSTI</v>
      </c>
      <c r="S305" s="1" t="str">
        <f t="shared" si="9"/>
        <v>M018|46151|2500|</v>
      </c>
      <c r="T305" s="1">
        <f>IF($E305="",0,SUMPRODUCT((AY_SONU!$O$7:$O$42="Evet")*(AY_SONU!$B$7:$B$42=DATE(YEAR($E305),MONTH($E305),1))))</f>
        <v>0</v>
      </c>
      <c r="U305" s="1" t="str">
        <f>IF(OR($G305="",$H305="Mahsup"),"",$G305&amp;"|"&amp;COUNTIFS($G$7:$G305,$G305,$H$7:$H305,"&lt;&gt;Mahsup"))</f>
        <v>ÖMER KARTAL|67</v>
      </c>
    </row>
    <row r="306" spans="1:21" ht="18" customHeight="1" x14ac:dyDescent="0.3">
      <c r="A306" s="2"/>
      <c r="B306" s="65" t="str">
        <f>IF($D306="","","T"&amp;TEXT(ROW()-6,"00000"))</f>
        <v>T00300</v>
      </c>
      <c r="C306" s="65" t="str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>M018</v>
      </c>
      <c r="D306" s="61" t="s">
        <v>593</v>
      </c>
      <c r="E306" s="66">
        <v>46151</v>
      </c>
      <c r="F306" s="67">
        <v>17500</v>
      </c>
      <c r="G306" s="60" t="s">
        <v>723</v>
      </c>
      <c r="H306" s="60" t="s">
        <v>572</v>
      </c>
      <c r="I306" s="61"/>
      <c r="J306" s="61" t="s">
        <v>720</v>
      </c>
      <c r="K306" s="61"/>
      <c r="L306" s="73">
        <f>IF($E306="","",DATE(YEAR($E306),MONTH($E306),1))</f>
        <v>46143</v>
      </c>
      <c r="M306" s="65" t="str">
        <f ca="1">IF($D306="","",IF($C306="TANIMSIZ MÜŞTERİ","HATA",IF(OR($E306="",$F306&lt;=0,$G306=""),"EKSİK",IF($E306&gt;TODAY(),"İLERİ TARİH",IF(COUNTIF($S$7:$S$2503,$S306)&gt;1,"MÜKERRER?",IF($T306&gt;0,"KAPALI DÖNEM","UYGUN"))))))</f>
        <v>UYGUN</v>
      </c>
      <c r="N306" s="74" t="str">
        <f>IF($C306="","",IF($C306="TANIMSIZ MÜŞTERİ","—",INDEX(MUSTERILER!$C$7:$C$156,MATCH($C306,MUSTERILER!$B$7:$B$156,0))))</f>
        <v>ÇINARHAN LTD.ŞTİ.</v>
      </c>
      <c r="O306" s="2"/>
      <c r="P306" s="2"/>
      <c r="Q306" s="1" t="str">
        <f>IF($D306="","",$C306&amp;"|"&amp;COUNTIFS($C$7:$C306,$C306))</f>
        <v>M018|13</v>
      </c>
      <c r="R306" s="1" t="str">
        <f t="shared" si="8"/>
        <v>CINARHANLTDSTI</v>
      </c>
      <c r="S306" s="1" t="str">
        <f t="shared" si="9"/>
        <v>M018|46151|17500|</v>
      </c>
      <c r="T306" s="1">
        <f>IF($E306="",0,SUMPRODUCT((AY_SONU!$O$7:$O$42="Evet")*(AY_SONU!$B$7:$B$42=DATE(YEAR($E306),MONTH($E306),1))))</f>
        <v>0</v>
      </c>
      <c r="U306" s="1" t="str">
        <f>IF(OR($G306="",$H306="Mahsup"),"",$G306&amp;"|"&amp;COUNTIFS($G$7:$G306,$G306,$H$7:$H306,"&lt;&gt;Mahsup"))</f>
        <v>ÖMER KARTAL|68</v>
      </c>
    </row>
    <row r="307" spans="1:21" ht="18" customHeight="1" x14ac:dyDescent="0.3">
      <c r="A307" s="2"/>
      <c r="B307" s="65" t="str">
        <f>IF($D307="","","T"&amp;TEXT(ROW()-6,"00000"))</f>
        <v>T00301</v>
      </c>
      <c r="C307" s="65" t="str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>M014</v>
      </c>
      <c r="D307" s="61" t="s">
        <v>731</v>
      </c>
      <c r="E307" s="66">
        <v>46151</v>
      </c>
      <c r="F307" s="67">
        <v>4000</v>
      </c>
      <c r="G307" s="60" t="s">
        <v>717</v>
      </c>
      <c r="H307" s="60" t="s">
        <v>572</v>
      </c>
      <c r="I307" s="61"/>
      <c r="J307" s="61" t="s">
        <v>720</v>
      </c>
      <c r="K307" s="61"/>
      <c r="L307" s="73">
        <f>IF($E307="","",DATE(YEAR($E307),MONTH($E307),1))</f>
        <v>46143</v>
      </c>
      <c r="M307" s="65" t="str">
        <f ca="1">IF($D307="","",IF($C307="TANIMSIZ MÜŞTERİ","HATA",IF(OR($E307="",$F307&lt;=0,$G307=""),"EKSİK",IF($E307&gt;TODAY(),"İLERİ TARİH",IF(COUNTIF($S$7:$S$2503,$S307)&gt;1,"MÜKERRER?",IF($T307&gt;0,"KAPALI DÖNEM","UYGUN"))))))</f>
        <v>UYGUN</v>
      </c>
      <c r="N307" s="74" t="str">
        <f>IF($C307="","",IF($C307="TANIMSIZ MÜŞTERİ","—",INDEX(MUSTERILER!$C$7:$C$156,MATCH($C307,MUSTERILER!$B$7:$B$156,0))))</f>
        <v>FİNAL SİYAH BEYAZ LTD.ŞTİ.</v>
      </c>
      <c r="O307" s="2"/>
      <c r="P307" s="2"/>
      <c r="Q307" s="1" t="str">
        <f>IF($D307="","",$C307&amp;"|"&amp;COUNTIFS($C$7:$C307,$C307))</f>
        <v>M014|16</v>
      </c>
      <c r="R307" s="1" t="str">
        <f t="shared" si="8"/>
        <v>FINALSIYAHBEYAZLTDSTI</v>
      </c>
      <c r="S307" s="1" t="str">
        <f t="shared" si="9"/>
        <v>M014|46151|4000|</v>
      </c>
      <c r="T307" s="1">
        <f>IF($E307="",0,SUMPRODUCT((AY_SONU!$O$7:$O$42="Evet")*(AY_SONU!$B$7:$B$42=DATE(YEAR($E307),MONTH($E307),1))))</f>
        <v>0</v>
      </c>
      <c r="U307" s="1" t="str">
        <f>IF(OR($G307="",$H307="Mahsup"),"",$G307&amp;"|"&amp;COUNTIFS($G$7:$G307,$G307,$H$7:$H307,"&lt;&gt;Mahsup"))</f>
        <v>MERKEZ KASA|233</v>
      </c>
    </row>
    <row r="308" spans="1:21" ht="18" customHeight="1" x14ac:dyDescent="0.3">
      <c r="A308" s="2"/>
      <c r="B308" s="65" t="str">
        <f>IF($D308="","","T"&amp;TEXT(ROW()-6,"00000"))</f>
        <v>T00302</v>
      </c>
      <c r="C308" s="65" t="str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>M047</v>
      </c>
      <c r="D308" s="61" t="s">
        <v>654</v>
      </c>
      <c r="E308" s="66">
        <v>46151</v>
      </c>
      <c r="F308" s="67">
        <v>4000</v>
      </c>
      <c r="G308" s="60" t="s">
        <v>723</v>
      </c>
      <c r="H308" s="60" t="s">
        <v>572</v>
      </c>
      <c r="I308" s="61"/>
      <c r="J308" s="61" t="s">
        <v>720</v>
      </c>
      <c r="K308" s="61"/>
      <c r="L308" s="73">
        <f>IF($E308="","",DATE(YEAR($E308),MONTH($E308),1))</f>
        <v>46143</v>
      </c>
      <c r="M308" s="65" t="str">
        <f ca="1">IF($D308="","",IF($C308="TANIMSIZ MÜŞTERİ","HATA",IF(OR($E308="",$F308&lt;=0,$G308=""),"EKSİK",IF($E308&gt;TODAY(),"İLERİ TARİH",IF(COUNTIF($S$7:$S$2503,$S308)&gt;1,"MÜKERRER?",IF($T308&gt;0,"KAPALI DÖNEM","UYGUN"))))))</f>
        <v>UYGUN</v>
      </c>
      <c r="N308" s="74" t="str">
        <f>IF($C308="","",IF($C308="TANIMSIZ MÜŞTERİ","—",INDEX(MUSTERILER!$C$7:$C$156,MATCH($C308,MUSTERILER!$B$7:$B$156,0))))</f>
        <v>PALAOĞULLARI LTD.ŞTİ.</v>
      </c>
      <c r="O308" s="2"/>
      <c r="P308" s="2"/>
      <c r="Q308" s="1" t="str">
        <f>IF($D308="","",$C308&amp;"|"&amp;COUNTIFS($C$7:$C308,$C308))</f>
        <v>M047|10</v>
      </c>
      <c r="R308" s="1" t="str">
        <f t="shared" si="8"/>
        <v>PALAOGULLARILTDSTI</v>
      </c>
      <c r="S308" s="1" t="str">
        <f t="shared" si="9"/>
        <v>M047|46151|4000|</v>
      </c>
      <c r="T308" s="1">
        <f>IF($E308="",0,SUMPRODUCT((AY_SONU!$O$7:$O$42="Evet")*(AY_SONU!$B$7:$B$42=DATE(YEAR($E308),MONTH($E308),1))))</f>
        <v>0</v>
      </c>
      <c r="U308" s="1" t="str">
        <f>IF(OR($G308="",$H308="Mahsup"),"",$G308&amp;"|"&amp;COUNTIFS($G$7:$G308,$G308,$H$7:$H308,"&lt;&gt;Mahsup"))</f>
        <v>ÖMER KARTAL|69</v>
      </c>
    </row>
    <row r="309" spans="1:21" ht="18" customHeight="1" x14ac:dyDescent="0.3">
      <c r="A309" s="2"/>
      <c r="B309" s="65" t="str">
        <f>IF($D309="","","T"&amp;TEXT(ROW()-6,"00000"))</f>
        <v>T00303</v>
      </c>
      <c r="C309" s="65" t="str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>M034</v>
      </c>
      <c r="D309" s="61" t="s">
        <v>732</v>
      </c>
      <c r="E309" s="66">
        <v>46151</v>
      </c>
      <c r="F309" s="67">
        <v>4000</v>
      </c>
      <c r="G309" s="60" t="s">
        <v>717</v>
      </c>
      <c r="H309" s="60" t="s">
        <v>572</v>
      </c>
      <c r="I309" s="61"/>
      <c r="J309" s="61" t="s">
        <v>720</v>
      </c>
      <c r="K309" s="61"/>
      <c r="L309" s="73">
        <f>IF($E309="","",DATE(YEAR($E309),MONTH($E309),1))</f>
        <v>46143</v>
      </c>
      <c r="M309" s="65" t="str">
        <f ca="1">IF($D309="","",IF($C309="TANIMSIZ MÜŞTERİ","HATA",IF(OR($E309="",$F309&lt;=0,$G309=""),"EKSİK",IF($E309&gt;TODAY(),"İLERİ TARİH",IF(COUNTIF($S$7:$S$2503,$S309)&gt;1,"MÜKERRER?",IF($T309&gt;0,"KAPALI DÖNEM","UYGUN"))))))</f>
        <v>UYGUN</v>
      </c>
      <c r="N309" s="74" t="str">
        <f>IF($C309="","",IF($C309="TANIMSIZ MÜŞTERİ","—",INDEX(MUSTERILER!$C$7:$C$156,MATCH($C309,MUSTERILER!$B$7:$B$156,0))))</f>
        <v>İBRAHİM MALDAN</v>
      </c>
      <c r="O309" s="2"/>
      <c r="P309" s="2"/>
      <c r="Q309" s="1" t="str">
        <f>IF($D309="","",$C309&amp;"|"&amp;COUNTIFS($C$7:$C309,$C309))</f>
        <v>M034|14</v>
      </c>
      <c r="R309" s="1" t="str">
        <f t="shared" si="8"/>
        <v>IBRAHIMMALDAN</v>
      </c>
      <c r="S309" s="1" t="str">
        <f t="shared" si="9"/>
        <v>M034|46151|4000|</v>
      </c>
      <c r="T309" s="1">
        <f>IF($E309="",0,SUMPRODUCT((AY_SONU!$O$7:$O$42="Evet")*(AY_SONU!$B$7:$B$42=DATE(YEAR($E309),MONTH($E309),1))))</f>
        <v>0</v>
      </c>
      <c r="U309" s="1" t="str">
        <f>IF(OR($G309="",$H309="Mahsup"),"",$G309&amp;"|"&amp;COUNTIFS($G$7:$G309,$G309,$H$7:$H309,"&lt;&gt;Mahsup"))</f>
        <v>MERKEZ KASA|234</v>
      </c>
    </row>
    <row r="310" spans="1:21" ht="18" customHeight="1" x14ac:dyDescent="0.3">
      <c r="A310" s="2"/>
      <c r="B310" s="65" t="str">
        <f>IF($D310="","","T"&amp;TEXT(ROW()-6,"00000"))</f>
        <v>T00304</v>
      </c>
      <c r="C310" s="65" t="str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>M013</v>
      </c>
      <c r="D310" s="61" t="s">
        <v>734</v>
      </c>
      <c r="E310" s="66">
        <v>46151</v>
      </c>
      <c r="F310" s="67">
        <v>650</v>
      </c>
      <c r="G310" s="60" t="s">
        <v>717</v>
      </c>
      <c r="H310" s="60" t="s">
        <v>572</v>
      </c>
      <c r="I310" s="61"/>
      <c r="J310" s="61" t="s">
        <v>720</v>
      </c>
      <c r="K310" s="61"/>
      <c r="L310" s="73">
        <f>IF($E310="","",DATE(YEAR($E310),MONTH($E310),1))</f>
        <v>46143</v>
      </c>
      <c r="M310" s="65" t="str">
        <f ca="1">IF($D310="","",IF($C310="TANIMSIZ MÜŞTERİ","HATA",IF(OR($E310="",$F310&lt;=0,$G310=""),"EKSİK",IF($E310&gt;TODAY(),"İLERİ TARİH",IF(COUNTIF($S$7:$S$2503,$S310)&gt;1,"MÜKERRER?",IF($T310&gt;0,"KAPALI DÖNEM","UYGUN"))))))</f>
        <v>UYGUN</v>
      </c>
      <c r="N310" s="74" t="str">
        <f>IF($C310="","",IF($C310="TANIMSIZ MÜŞTERİ","—",INDEX(MUSTERILER!$C$7:$C$156,MATCH($C310,MUSTERILER!$B$7:$B$156,0))))</f>
        <v>NAZ 1 GIDA LTD.ŞTİ.</v>
      </c>
      <c r="O310" s="2"/>
      <c r="P310" s="2"/>
      <c r="Q310" s="1" t="str">
        <f>IF($D310="","",$C310&amp;"|"&amp;COUNTIFS($C$7:$C310,$C310))</f>
        <v>M013|12</v>
      </c>
      <c r="R310" s="1" t="str">
        <f t="shared" si="8"/>
        <v>NAZ1GIDALTDSTI</v>
      </c>
      <c r="S310" s="1" t="str">
        <f t="shared" si="9"/>
        <v>M013|46151|650|</v>
      </c>
      <c r="T310" s="1">
        <f>IF($E310="",0,SUMPRODUCT((AY_SONU!$O$7:$O$42="Evet")*(AY_SONU!$B$7:$B$42=DATE(YEAR($E310),MONTH($E310),1))))</f>
        <v>0</v>
      </c>
      <c r="U310" s="1" t="str">
        <f>IF(OR($G310="",$H310="Mahsup"),"",$G310&amp;"|"&amp;COUNTIFS($G$7:$G310,$G310,$H$7:$H310,"&lt;&gt;Mahsup"))</f>
        <v>MERKEZ KASA|235</v>
      </c>
    </row>
    <row r="311" spans="1:21" ht="18" customHeight="1" x14ac:dyDescent="0.3">
      <c r="A311" s="2"/>
      <c r="B311" s="65" t="str">
        <f>IF($D311="","","T"&amp;TEXT(ROW()-6,"00000"))</f>
        <v>T00305</v>
      </c>
      <c r="C311" s="65" t="str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>M016</v>
      </c>
      <c r="D311" s="61" t="s">
        <v>736</v>
      </c>
      <c r="E311" s="66">
        <v>46151</v>
      </c>
      <c r="F311" s="67">
        <v>3000</v>
      </c>
      <c r="G311" s="60" t="s">
        <v>717</v>
      </c>
      <c r="H311" s="60" t="s">
        <v>572</v>
      </c>
      <c r="I311" s="61"/>
      <c r="J311" s="61" t="s">
        <v>720</v>
      </c>
      <c r="K311" s="61"/>
      <c r="L311" s="73">
        <f>IF($E311="","",DATE(YEAR($E311),MONTH($E311),1))</f>
        <v>46143</v>
      </c>
      <c r="M311" s="65" t="str">
        <f ca="1">IF($D311="","",IF($C311="TANIMSIZ MÜŞTERİ","HATA",IF(OR($E311="",$F311&lt;=0,$G311=""),"EKSİK",IF($E311&gt;TODAY(),"İLERİ TARİH",IF(COUNTIF($S$7:$S$2503,$S311)&gt;1,"MÜKERRER?",IF($T311&gt;0,"KAPALI DÖNEM","UYGUN"))))))</f>
        <v>UYGUN</v>
      </c>
      <c r="N311" s="74" t="str">
        <f>IF($C311="","",IF($C311="TANIMSIZ MÜŞTERİ","—",INDEX(MUSTERILER!$C$7:$C$156,MATCH($C311,MUSTERILER!$B$7:$B$156,0))))</f>
        <v>RİX ŞOW LTD.ŞTİ.</v>
      </c>
      <c r="O311" s="2"/>
      <c r="P311" s="2"/>
      <c r="Q311" s="1" t="str">
        <f>IF($D311="","",$C311&amp;"|"&amp;COUNTIFS($C$7:$C311,$C311))</f>
        <v>M016|18</v>
      </c>
      <c r="R311" s="1" t="str">
        <f t="shared" si="8"/>
        <v>RIXSOWLTDSTI</v>
      </c>
      <c r="S311" s="1" t="str">
        <f t="shared" si="9"/>
        <v>M016|46151|3000|</v>
      </c>
      <c r="T311" s="1">
        <f>IF($E311="",0,SUMPRODUCT((AY_SONU!$O$7:$O$42="Evet")*(AY_SONU!$B$7:$B$42=DATE(YEAR($E311),MONTH($E311),1))))</f>
        <v>0</v>
      </c>
      <c r="U311" s="1" t="str">
        <f>IF(OR($G311="",$H311="Mahsup"),"",$G311&amp;"|"&amp;COUNTIFS($G$7:$G311,$G311,$H$7:$H311,"&lt;&gt;Mahsup"))</f>
        <v>MERKEZ KASA|236</v>
      </c>
    </row>
    <row r="312" spans="1:21" ht="18" customHeight="1" x14ac:dyDescent="0.3">
      <c r="A312" s="2"/>
      <c r="B312" s="65" t="str">
        <f>IF($D312="","","T"&amp;TEXT(ROW()-6,"00000"))</f>
        <v>T00306</v>
      </c>
      <c r="C312" s="65" t="str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>M005</v>
      </c>
      <c r="D312" s="61" t="s">
        <v>722</v>
      </c>
      <c r="E312" s="66">
        <v>46151</v>
      </c>
      <c r="F312" s="67">
        <v>1750</v>
      </c>
      <c r="G312" s="60" t="s">
        <v>717</v>
      </c>
      <c r="H312" s="60" t="s">
        <v>572</v>
      </c>
      <c r="I312" s="61"/>
      <c r="J312" s="61" t="s">
        <v>720</v>
      </c>
      <c r="K312" s="61"/>
      <c r="L312" s="73">
        <f>IF($E312="","",DATE(YEAR($E312),MONTH($E312),1))</f>
        <v>46143</v>
      </c>
      <c r="M312" s="65" t="str">
        <f ca="1">IF($D312="","",IF($C312="TANIMSIZ MÜŞTERİ","HATA",IF(OR($E312="",$F312&lt;=0,$G312=""),"EKSİK",IF($E312&gt;TODAY(),"İLERİ TARİH",IF(COUNTIF($S$7:$S$2503,$S312)&gt;1,"MÜKERRER?",IF($T312&gt;0,"KAPALI DÖNEM","UYGUN"))))))</f>
        <v>UYGUN</v>
      </c>
      <c r="N312" s="74" t="str">
        <f>IF($C312="","",IF($C312="TANIMSIZ MÜŞTERİ","—",INDEX(MUSTERILER!$C$7:$C$156,MATCH($C312,MUSTERILER!$B$7:$B$156,0))))</f>
        <v>ZÜMRÜT GRUP LTD.ŞTİ.</v>
      </c>
      <c r="O312" s="2"/>
      <c r="P312" s="2"/>
      <c r="Q312" s="1" t="str">
        <f>IF($D312="","",$C312&amp;"|"&amp;COUNTIFS($C$7:$C312,$C312))</f>
        <v>M005|15</v>
      </c>
      <c r="R312" s="1" t="str">
        <f t="shared" si="8"/>
        <v>ZUMRUTGRUPLTDSTI</v>
      </c>
      <c r="S312" s="1" t="str">
        <f t="shared" si="9"/>
        <v>M005|46151|1750|</v>
      </c>
      <c r="T312" s="1">
        <f>IF($E312="",0,SUMPRODUCT((AY_SONU!$O$7:$O$42="Evet")*(AY_SONU!$B$7:$B$42=DATE(YEAR($E312),MONTH($E312),1))))</f>
        <v>0</v>
      </c>
      <c r="U312" s="1" t="str">
        <f>IF(OR($G312="",$H312="Mahsup"),"",$G312&amp;"|"&amp;COUNTIFS($G$7:$G312,$G312,$H$7:$H312,"&lt;&gt;Mahsup"))</f>
        <v>MERKEZ KASA|237</v>
      </c>
    </row>
    <row r="313" spans="1:21" ht="18" customHeight="1" x14ac:dyDescent="0.3">
      <c r="A313" s="2"/>
      <c r="B313" s="65" t="str">
        <f>IF($D313="","","T"&amp;TEXT(ROW()-6,"00000"))</f>
        <v>T00307</v>
      </c>
      <c r="C313" s="65" t="str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>M020</v>
      </c>
      <c r="D313" s="61" t="s">
        <v>623</v>
      </c>
      <c r="E313" s="66">
        <v>46151</v>
      </c>
      <c r="F313" s="67">
        <v>3000</v>
      </c>
      <c r="G313" s="60" t="s">
        <v>717</v>
      </c>
      <c r="H313" s="60" t="s">
        <v>572</v>
      </c>
      <c r="I313" s="61"/>
      <c r="J313" s="61" t="s">
        <v>720</v>
      </c>
      <c r="K313" s="61"/>
      <c r="L313" s="73">
        <f>IF($E313="","",DATE(YEAR($E313),MONTH($E313),1))</f>
        <v>46143</v>
      </c>
      <c r="M313" s="65" t="str">
        <f ca="1">IF($D313="","",IF($C313="TANIMSIZ MÜŞTERİ","HATA",IF(OR($E313="",$F313&lt;=0,$G313=""),"EKSİK",IF($E313&gt;TODAY(),"İLERİ TARİH",IF(COUNTIF($S$7:$S$2503,$S313)&gt;1,"MÜKERRER?",IF($T313&gt;0,"KAPALI DÖNEM","UYGUN"))))))</f>
        <v>UYGUN</v>
      </c>
      <c r="N313" s="74" t="str">
        <f>IF($C313="","",IF($C313="TANIMSIZ MÜŞTERİ","—",INDEX(MUSTERILER!$C$7:$C$156,MATCH($C313,MUSTERILER!$B$7:$B$156,0))))</f>
        <v>KRİSTAL LTD.ŞTİ.</v>
      </c>
      <c r="O313" s="2"/>
      <c r="P313" s="2"/>
      <c r="Q313" s="1" t="str">
        <f>IF($D313="","",$C313&amp;"|"&amp;COUNTIFS($C$7:$C313,$C313))</f>
        <v>M020|18</v>
      </c>
      <c r="R313" s="1" t="str">
        <f t="shared" si="8"/>
        <v>KRISTALLTDSTI</v>
      </c>
      <c r="S313" s="1" t="str">
        <f t="shared" si="9"/>
        <v>M020|46151|3000|</v>
      </c>
      <c r="T313" s="1">
        <f>IF($E313="",0,SUMPRODUCT((AY_SONU!$O$7:$O$42="Evet")*(AY_SONU!$B$7:$B$42=DATE(YEAR($E313),MONTH($E313),1))))</f>
        <v>0</v>
      </c>
      <c r="U313" s="1" t="str">
        <f>IF(OR($G313="",$H313="Mahsup"),"",$G313&amp;"|"&amp;COUNTIFS($G$7:$G313,$G313,$H$7:$H313,"&lt;&gt;Mahsup"))</f>
        <v>MERKEZ KASA|238</v>
      </c>
    </row>
    <row r="314" spans="1:21" ht="18" customHeight="1" x14ac:dyDescent="0.3">
      <c r="A314" s="2"/>
      <c r="B314" s="65" t="str">
        <f>IF($D314="","","T"&amp;TEXT(ROW()-6,"00000"))</f>
        <v>T00308</v>
      </c>
      <c r="C314" s="65" t="str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>M054</v>
      </c>
      <c r="D314" s="61" t="s">
        <v>674</v>
      </c>
      <c r="E314" s="66">
        <v>46151</v>
      </c>
      <c r="F314" s="67">
        <v>4000</v>
      </c>
      <c r="G314" s="60" t="s">
        <v>717</v>
      </c>
      <c r="H314" s="60" t="s">
        <v>572</v>
      </c>
      <c r="I314" s="61"/>
      <c r="J314" s="61" t="s">
        <v>720</v>
      </c>
      <c r="K314" s="61"/>
      <c r="L314" s="73">
        <f>IF($E314="","",DATE(YEAR($E314),MONTH($E314),1))</f>
        <v>46143</v>
      </c>
      <c r="M314" s="65" t="str">
        <f ca="1">IF($D314="","",IF($C314="TANIMSIZ MÜŞTERİ","HATA",IF(OR($E314="",$F314&lt;=0,$G314=""),"EKSİK",IF($E314&gt;TODAY(),"İLERİ TARİH",IF(COUNTIF($S$7:$S$2503,$S314)&gt;1,"MÜKERRER?",IF($T314&gt;0,"KAPALI DÖNEM","UYGUN"))))))</f>
        <v>UYGUN</v>
      </c>
      <c r="N314" s="74" t="str">
        <f>IF($C314="","",IF($C314="TANIMSIZ MÜŞTERİ","—",INDEX(MUSTERILER!$C$7:$C$156,MATCH($C314,MUSTERILER!$B$7:$B$156,0))))</f>
        <v>YALIKENT LTD.ŞTİ.</v>
      </c>
      <c r="O314" s="2"/>
      <c r="P314" s="2"/>
      <c r="Q314" s="1" t="str">
        <f>IF($D314="","",$C314&amp;"|"&amp;COUNTIFS($C$7:$C314,$C314))</f>
        <v>M054|7</v>
      </c>
      <c r="R314" s="1" t="str">
        <f t="shared" si="8"/>
        <v>YALIKENTLTDSTI</v>
      </c>
      <c r="S314" s="1" t="str">
        <f t="shared" si="9"/>
        <v>M054|46151|4000|</v>
      </c>
      <c r="T314" s="1">
        <f>IF($E314="",0,SUMPRODUCT((AY_SONU!$O$7:$O$42="Evet")*(AY_SONU!$B$7:$B$42=DATE(YEAR($E314),MONTH($E314),1))))</f>
        <v>0</v>
      </c>
      <c r="U314" s="1" t="str">
        <f>IF(OR($G314="",$H314="Mahsup"),"",$G314&amp;"|"&amp;COUNTIFS($G$7:$G314,$G314,$H$7:$H314,"&lt;&gt;Mahsup"))</f>
        <v>MERKEZ KASA|239</v>
      </c>
    </row>
    <row r="315" spans="1:21" ht="18" customHeight="1" x14ac:dyDescent="0.3">
      <c r="A315" s="2"/>
      <c r="B315" s="65" t="str">
        <f>IF($D315="","","T"&amp;TEXT(ROW()-6,"00000"))</f>
        <v>T00309</v>
      </c>
      <c r="C315" s="65" t="str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>M051</v>
      </c>
      <c r="D315" s="61" t="s">
        <v>668</v>
      </c>
      <c r="E315" s="66">
        <v>46157</v>
      </c>
      <c r="F315" s="67">
        <v>3000</v>
      </c>
      <c r="G315" s="60" t="s">
        <v>723</v>
      </c>
      <c r="H315" s="60" t="s">
        <v>572</v>
      </c>
      <c r="I315" s="61"/>
      <c r="J315" s="61" t="s">
        <v>720</v>
      </c>
      <c r="K315" s="61"/>
      <c r="L315" s="73">
        <f>IF($E315="","",DATE(YEAR($E315),MONTH($E315),1))</f>
        <v>46143</v>
      </c>
      <c r="M315" s="65" t="str">
        <f ca="1">IF($D315="","",IF($C315="TANIMSIZ MÜŞTERİ","HATA",IF(OR($E315="",$F315&lt;=0,$G315=""),"EKSİK",IF($E315&gt;TODAY(),"İLERİ TARİH",IF(COUNTIF($S$7:$S$2503,$S315)&gt;1,"MÜKERRER?",IF($T315&gt;0,"KAPALI DÖNEM","UYGUN"))))))</f>
        <v>UYGUN</v>
      </c>
      <c r="N315" s="74" t="str">
        <f>IF($C315="","",IF($C315="TANIMSIZ MÜŞTERİ","—",INDEX(MUSTERILER!$C$7:$C$156,MATCH($C315,MUSTERILER!$B$7:$B$156,0))))</f>
        <v>UFUK YILMAZ</v>
      </c>
      <c r="O315" s="2"/>
      <c r="P315" s="2"/>
      <c r="Q315" s="1" t="str">
        <f>IF($D315="","",$C315&amp;"|"&amp;COUNTIFS($C$7:$C315,$C315))</f>
        <v>M051|5</v>
      </c>
      <c r="R315" s="1" t="str">
        <f t="shared" si="8"/>
        <v>UFUKYILMAZ</v>
      </c>
      <c r="S315" s="1" t="str">
        <f t="shared" si="9"/>
        <v>M051|46157|3000|</v>
      </c>
      <c r="T315" s="1">
        <f>IF($E315="",0,SUMPRODUCT((AY_SONU!$O$7:$O$42="Evet")*(AY_SONU!$B$7:$B$42=DATE(YEAR($E315),MONTH($E315),1))))</f>
        <v>0</v>
      </c>
      <c r="U315" s="1" t="str">
        <f>IF(OR($G315="",$H315="Mahsup"),"",$G315&amp;"|"&amp;COUNTIFS($G$7:$G315,$G315,$H$7:$H315,"&lt;&gt;Mahsup"))</f>
        <v>ÖMER KARTAL|70</v>
      </c>
    </row>
    <row r="316" spans="1:21" ht="18" customHeight="1" x14ac:dyDescent="0.3">
      <c r="A316" s="2"/>
      <c r="B316" s="65" t="str">
        <f>IF($D316="","","T"&amp;TEXT(ROW()-6,"00000"))</f>
        <v>T00310</v>
      </c>
      <c r="C316" s="65" t="str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>M017</v>
      </c>
      <c r="D316" s="61" t="s">
        <v>585</v>
      </c>
      <c r="E316" s="66">
        <v>46158</v>
      </c>
      <c r="F316" s="67">
        <v>2500</v>
      </c>
      <c r="G316" s="60" t="s">
        <v>723</v>
      </c>
      <c r="H316" s="60" t="s">
        <v>572</v>
      </c>
      <c r="I316" s="61"/>
      <c r="J316" s="61" t="s">
        <v>720</v>
      </c>
      <c r="K316" s="61"/>
      <c r="L316" s="73">
        <f>IF($E316="","",DATE(YEAR($E316),MONTH($E316),1))</f>
        <v>46143</v>
      </c>
      <c r="M316" s="65" t="str">
        <f ca="1">IF($D316="","",IF($C316="TANIMSIZ MÜŞTERİ","HATA",IF(OR($E316="",$F316&lt;=0,$G316=""),"EKSİK",IF($E316&gt;TODAY(),"İLERİ TARİH",IF(COUNTIF($S$7:$S$2503,$S316)&gt;1,"MÜKERRER?",IF($T316&gt;0,"KAPALI DÖNEM","UYGUN"))))))</f>
        <v>UYGUN</v>
      </c>
      <c r="N316" s="74" t="str">
        <f>IF($C316="","",IF($C316="TANIMSIZ MÜŞTERİ","—",INDEX(MUSTERILER!$C$7:$C$156,MATCH($C316,MUSTERILER!$B$7:$B$156,0))))</f>
        <v>ASM EĞLENCE LTD.ŞTİ.</v>
      </c>
      <c r="O316" s="2"/>
      <c r="P316" s="2"/>
      <c r="Q316" s="1" t="str">
        <f>IF($D316="","",$C316&amp;"|"&amp;COUNTIFS($C$7:$C316,$C316))</f>
        <v>M017|16</v>
      </c>
      <c r="R316" s="1" t="str">
        <f t="shared" si="8"/>
        <v>ASMEGLENCELTDSTI</v>
      </c>
      <c r="S316" s="1" t="str">
        <f t="shared" si="9"/>
        <v>M017|46158|2500|</v>
      </c>
      <c r="T316" s="1">
        <f>IF($E316="",0,SUMPRODUCT((AY_SONU!$O$7:$O$42="Evet")*(AY_SONU!$B$7:$B$42=DATE(YEAR($E316),MONTH($E316),1))))</f>
        <v>0</v>
      </c>
      <c r="U316" s="1" t="str">
        <f>IF(OR($G316="",$H316="Mahsup"),"",$G316&amp;"|"&amp;COUNTIFS($G$7:$G316,$G316,$H$7:$H316,"&lt;&gt;Mahsup"))</f>
        <v>ÖMER KARTAL|71</v>
      </c>
    </row>
    <row r="317" spans="1:21" ht="18" customHeight="1" x14ac:dyDescent="0.3">
      <c r="A317" s="2"/>
      <c r="B317" s="65" t="str">
        <f>IF($D317="","","T"&amp;TEXT(ROW()-6,"00000"))</f>
        <v>T00311</v>
      </c>
      <c r="C317" s="65" t="str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>M001</v>
      </c>
      <c r="D317" s="61" t="s">
        <v>729</v>
      </c>
      <c r="E317" s="66">
        <v>46158</v>
      </c>
      <c r="F317" s="67">
        <v>14000</v>
      </c>
      <c r="G317" s="60" t="s">
        <v>717</v>
      </c>
      <c r="H317" s="60" t="s">
        <v>572</v>
      </c>
      <c r="I317" s="61"/>
      <c r="J317" s="61" t="s">
        <v>720</v>
      </c>
      <c r="K317" s="61"/>
      <c r="L317" s="73">
        <f>IF($E317="","",DATE(YEAR($E317),MONTH($E317),1))</f>
        <v>46143</v>
      </c>
      <c r="M317" s="65" t="str">
        <f ca="1">IF($D317="","",IF($C317="TANIMSIZ MÜŞTERİ","HATA",IF(OR($E317="",$F317&lt;=0,$G317=""),"EKSİK",IF($E317&gt;TODAY(),"İLERİ TARİH",IF(COUNTIF($S$7:$S$2503,$S317)&gt;1,"MÜKERRER?",IF($T317&gt;0,"KAPALI DÖNEM","UYGUN"))))))</f>
        <v>UYGUN</v>
      </c>
      <c r="N317" s="74" t="str">
        <f>IF($C317="","",IF($C317="TANIMSIZ MÜŞTERİ","—",INDEX(MUSTERILER!$C$7:$C$156,MATCH($C317,MUSTERILER!$B$7:$B$156,0))))</f>
        <v>ANKARA HAVANA LTD.ŞTİ.</v>
      </c>
      <c r="O317" s="2"/>
      <c r="P317" s="2"/>
      <c r="Q317" s="1" t="str">
        <f>IF($D317="","",$C317&amp;"|"&amp;COUNTIFS($C$7:$C317,$C317))</f>
        <v>M001|9</v>
      </c>
      <c r="R317" s="1" t="str">
        <f t="shared" si="8"/>
        <v>ANKARAHAVANALTDSTI</v>
      </c>
      <c r="S317" s="1" t="str">
        <f t="shared" si="9"/>
        <v>M001|46158|14000|</v>
      </c>
      <c r="T317" s="1">
        <f>IF($E317="",0,SUMPRODUCT((AY_SONU!$O$7:$O$42="Evet")*(AY_SONU!$B$7:$B$42=DATE(YEAR($E317),MONTH($E317),1))))</f>
        <v>0</v>
      </c>
      <c r="U317" s="1" t="str">
        <f>IF(OR($G317="",$H317="Mahsup"),"",$G317&amp;"|"&amp;COUNTIFS($G$7:$G317,$G317,$H$7:$H317,"&lt;&gt;Mahsup"))</f>
        <v>MERKEZ KASA|240</v>
      </c>
    </row>
    <row r="318" spans="1:21" ht="18" customHeight="1" x14ac:dyDescent="0.3">
      <c r="A318" s="2"/>
      <c r="B318" s="65" t="str">
        <f>IF($D318="","","T"&amp;TEXT(ROW()-6,"00000"))</f>
        <v>T00312</v>
      </c>
      <c r="C318" s="65" t="str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>M025</v>
      </c>
      <c r="D318" s="61" t="s">
        <v>583</v>
      </c>
      <c r="E318" s="66">
        <v>46158</v>
      </c>
      <c r="F318" s="67">
        <v>2000</v>
      </c>
      <c r="G318" s="60" t="s">
        <v>717</v>
      </c>
      <c r="H318" s="60" t="s">
        <v>572</v>
      </c>
      <c r="I318" s="61"/>
      <c r="J318" s="61" t="s">
        <v>720</v>
      </c>
      <c r="K318" s="61"/>
      <c r="L318" s="73">
        <f>IF($E318="","",DATE(YEAR($E318),MONTH($E318),1))</f>
        <v>46143</v>
      </c>
      <c r="M318" s="65" t="str">
        <f ca="1">IF($D318="","",IF($C318="TANIMSIZ MÜŞTERİ","HATA",IF(OR($E318="",$F318&lt;=0,$G318=""),"EKSİK",IF($E318&gt;TODAY(),"İLERİ TARİH",IF(COUNTIF($S$7:$S$2503,$S318)&gt;1,"MÜKERRER?",IF($T318&gt;0,"KAPALI DÖNEM","UYGUN"))))))</f>
        <v>UYGUN</v>
      </c>
      <c r="N318" s="74" t="str">
        <f>IF($C318="","",IF($C318="TANIMSIZ MÜŞTERİ","—",INDEX(MUSTERILER!$C$7:$C$156,MATCH($C318,MUSTERILER!$B$7:$B$156,0))))</f>
        <v>ASIM AÇIKGÖZ</v>
      </c>
      <c r="O318" s="2"/>
      <c r="P318" s="2"/>
      <c r="Q318" s="1" t="str">
        <f>IF($D318="","",$C318&amp;"|"&amp;COUNTIFS($C$7:$C318,$C318))</f>
        <v>M025|15</v>
      </c>
      <c r="R318" s="1" t="str">
        <f t="shared" si="8"/>
        <v>ASIMACIKGOZ</v>
      </c>
      <c r="S318" s="1" t="str">
        <f t="shared" si="9"/>
        <v>M025|46158|2000|</v>
      </c>
      <c r="T318" s="1">
        <f>IF($E318="",0,SUMPRODUCT((AY_SONU!$O$7:$O$42="Evet")*(AY_SONU!$B$7:$B$42=DATE(YEAR($E318),MONTH($E318),1))))</f>
        <v>0</v>
      </c>
      <c r="U318" s="1" t="str">
        <f>IF(OR($G318="",$H318="Mahsup"),"",$G318&amp;"|"&amp;COUNTIFS($G$7:$G318,$G318,$H$7:$H318,"&lt;&gt;Mahsup"))</f>
        <v>MERKEZ KASA|241</v>
      </c>
    </row>
    <row r="319" spans="1:21" ht="18" customHeight="1" x14ac:dyDescent="0.3">
      <c r="A319" s="2"/>
      <c r="B319" s="65" t="str">
        <f>IF($D319="","","T"&amp;TEXT(ROW()-6,"00000"))</f>
        <v>T00313</v>
      </c>
      <c r="C319" s="65" t="str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>M015</v>
      </c>
      <c r="D319" s="61" t="s">
        <v>719</v>
      </c>
      <c r="E319" s="66">
        <v>46158</v>
      </c>
      <c r="F319" s="67">
        <v>4000</v>
      </c>
      <c r="G319" s="60" t="s">
        <v>717</v>
      </c>
      <c r="H319" s="60" t="s">
        <v>572</v>
      </c>
      <c r="I319" s="61"/>
      <c r="J319" s="61" t="s">
        <v>720</v>
      </c>
      <c r="K319" s="61"/>
      <c r="L319" s="73">
        <f>IF($E319="","",DATE(YEAR($E319),MONTH($E319),1))</f>
        <v>46143</v>
      </c>
      <c r="M319" s="65" t="str">
        <f ca="1">IF($D319="","",IF($C319="TANIMSIZ MÜŞTERİ","HATA",IF(OR($E319="",$F319&lt;=0,$G319=""),"EKSİK",IF($E319&gt;TODAY(),"İLERİ TARİH",IF(COUNTIF($S$7:$S$2503,$S319)&gt;1,"MÜKERRER?",IF($T319&gt;0,"KAPALI DÖNEM","UYGUN"))))))</f>
        <v>UYGUN</v>
      </c>
      <c r="N319" s="74" t="str">
        <f>IF($C319="","",IF($C319="TANIMSIZ MÜŞTERİ","—",INDEX(MUSTERILER!$C$7:$C$156,MATCH($C319,MUSTERILER!$B$7:$B$156,0))))</f>
        <v>ÇAYIRALAN LTD.ŞTİ.</v>
      </c>
      <c r="O319" s="2"/>
      <c r="P319" s="2"/>
      <c r="Q319" s="1" t="str">
        <f>IF($D319="","",$C319&amp;"|"&amp;COUNTIFS($C$7:$C319,$C319))</f>
        <v>M015|17</v>
      </c>
      <c r="R319" s="1" t="str">
        <f t="shared" si="8"/>
        <v>CAYIRALANLTDSTI</v>
      </c>
      <c r="S319" s="1" t="str">
        <f t="shared" si="9"/>
        <v>M015|46158|4000|</v>
      </c>
      <c r="T319" s="1">
        <f>IF($E319="",0,SUMPRODUCT((AY_SONU!$O$7:$O$42="Evet")*(AY_SONU!$B$7:$B$42=DATE(YEAR($E319),MONTH($E319),1))))</f>
        <v>0</v>
      </c>
      <c r="U319" s="1" t="str">
        <f>IF(OR($G319="",$H319="Mahsup"),"",$G319&amp;"|"&amp;COUNTIFS($G$7:$G319,$G319,$H$7:$H319,"&lt;&gt;Mahsup"))</f>
        <v>MERKEZ KASA|242</v>
      </c>
    </row>
    <row r="320" spans="1:21" ht="18" customHeight="1" x14ac:dyDescent="0.3">
      <c r="A320" s="2"/>
      <c r="B320" s="65" t="str">
        <f>IF($D320="","","T"&amp;TEXT(ROW()-6,"00000"))</f>
        <v>T00314</v>
      </c>
      <c r="C320" s="65" t="str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>M011</v>
      </c>
      <c r="D320" s="61" t="s">
        <v>730</v>
      </c>
      <c r="E320" s="66">
        <v>46158</v>
      </c>
      <c r="F320" s="67">
        <v>4000</v>
      </c>
      <c r="G320" s="60" t="s">
        <v>717</v>
      </c>
      <c r="H320" s="60" t="s">
        <v>572</v>
      </c>
      <c r="I320" s="61"/>
      <c r="J320" s="61" t="s">
        <v>720</v>
      </c>
      <c r="K320" s="61"/>
      <c r="L320" s="73">
        <f>IF($E320="","",DATE(YEAR($E320),MONTH($E320),1))</f>
        <v>46143</v>
      </c>
      <c r="M320" s="65" t="str">
        <f ca="1">IF($D320="","",IF($C320="TANIMSIZ MÜŞTERİ","HATA",IF(OR($E320="",$F320&lt;=0,$G320=""),"EKSİK",IF($E320&gt;TODAY(),"İLERİ TARİH",IF(COUNTIF($S$7:$S$2503,$S320)&gt;1,"MÜKERRER?",IF($T320&gt;0,"KAPALI DÖNEM","UYGUN"))))))</f>
        <v>UYGUN</v>
      </c>
      <c r="N320" s="74" t="str">
        <f>IF($C320="","",IF($C320="TANIMSIZ MÜŞTERİ","—",INDEX(MUSTERILER!$C$7:$C$156,MATCH($C320,MUSTERILER!$B$7:$B$156,0))))</f>
        <v>EĞLENGÖR LTD.ŞTİ.</v>
      </c>
      <c r="O320" s="2"/>
      <c r="P320" s="2"/>
      <c r="Q320" s="1" t="str">
        <f>IF($D320="","",$C320&amp;"|"&amp;COUNTIFS($C$7:$C320,$C320))</f>
        <v>M011|18</v>
      </c>
      <c r="R320" s="1" t="str">
        <f t="shared" si="8"/>
        <v>EGLENGORLTDSTI</v>
      </c>
      <c r="S320" s="1" t="str">
        <f t="shared" si="9"/>
        <v>M011|46158|4000|</v>
      </c>
      <c r="T320" s="1">
        <f>IF($E320="",0,SUMPRODUCT((AY_SONU!$O$7:$O$42="Evet")*(AY_SONU!$B$7:$B$42=DATE(YEAR($E320),MONTH($E320),1))))</f>
        <v>0</v>
      </c>
      <c r="U320" s="1" t="str">
        <f>IF(OR($G320="",$H320="Mahsup"),"",$G320&amp;"|"&amp;COUNTIFS($G$7:$G320,$G320,$H$7:$H320,"&lt;&gt;Mahsup"))</f>
        <v>MERKEZ KASA|243</v>
      </c>
    </row>
    <row r="321" spans="1:21" ht="18" customHeight="1" x14ac:dyDescent="0.3">
      <c r="A321" s="2"/>
      <c r="B321" s="65" t="str">
        <f>IF($D321="","","T"&amp;TEXT(ROW()-6,"00000"))</f>
        <v>T00315</v>
      </c>
      <c r="C321" s="65" t="str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>M014</v>
      </c>
      <c r="D321" s="61" t="s">
        <v>731</v>
      </c>
      <c r="E321" s="66">
        <v>46158</v>
      </c>
      <c r="F321" s="67">
        <v>4000</v>
      </c>
      <c r="G321" s="60" t="s">
        <v>717</v>
      </c>
      <c r="H321" s="60" t="s">
        <v>572</v>
      </c>
      <c r="I321" s="61"/>
      <c r="J321" s="61" t="s">
        <v>720</v>
      </c>
      <c r="K321" s="61"/>
      <c r="L321" s="73">
        <f>IF($E321="","",DATE(YEAR($E321),MONTH($E321),1))</f>
        <v>46143</v>
      </c>
      <c r="M321" s="65" t="str">
        <f ca="1">IF($D321="","",IF($C321="TANIMSIZ MÜŞTERİ","HATA",IF(OR($E321="",$F321&lt;=0,$G321=""),"EKSİK",IF($E321&gt;TODAY(),"İLERİ TARİH",IF(COUNTIF($S$7:$S$2503,$S321)&gt;1,"MÜKERRER?",IF($T321&gt;0,"KAPALI DÖNEM","UYGUN"))))))</f>
        <v>UYGUN</v>
      </c>
      <c r="N321" s="74" t="str">
        <f>IF($C321="","",IF($C321="TANIMSIZ MÜŞTERİ","—",INDEX(MUSTERILER!$C$7:$C$156,MATCH($C321,MUSTERILER!$B$7:$B$156,0))))</f>
        <v>FİNAL SİYAH BEYAZ LTD.ŞTİ.</v>
      </c>
      <c r="O321" s="2"/>
      <c r="P321" s="2"/>
      <c r="Q321" s="1" t="str">
        <f>IF($D321="","",$C321&amp;"|"&amp;COUNTIFS($C$7:$C321,$C321))</f>
        <v>M014|17</v>
      </c>
      <c r="R321" s="1" t="str">
        <f t="shared" si="8"/>
        <v>FINALSIYAHBEYAZLTDSTI</v>
      </c>
      <c r="S321" s="1" t="str">
        <f t="shared" si="9"/>
        <v>M014|46158|4000|</v>
      </c>
      <c r="T321" s="1">
        <f>IF($E321="",0,SUMPRODUCT((AY_SONU!$O$7:$O$42="Evet")*(AY_SONU!$B$7:$B$42=DATE(YEAR($E321),MONTH($E321),1))))</f>
        <v>0</v>
      </c>
      <c r="U321" s="1" t="str">
        <f>IF(OR($G321="",$H321="Mahsup"),"",$G321&amp;"|"&amp;COUNTIFS($G$7:$G321,$G321,$H$7:$H321,"&lt;&gt;Mahsup"))</f>
        <v>MERKEZ KASA|244</v>
      </c>
    </row>
    <row r="322" spans="1:21" ht="18" customHeight="1" x14ac:dyDescent="0.3">
      <c r="A322" s="2"/>
      <c r="B322" s="65" t="str">
        <f>IF($D322="","","T"&amp;TEXT(ROW()-6,"00000"))</f>
        <v>T00316</v>
      </c>
      <c r="C322" s="65" t="str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>M034</v>
      </c>
      <c r="D322" s="61" t="s">
        <v>732</v>
      </c>
      <c r="E322" s="66">
        <v>46158</v>
      </c>
      <c r="F322" s="67">
        <v>4000</v>
      </c>
      <c r="G322" s="60" t="s">
        <v>717</v>
      </c>
      <c r="H322" s="60" t="s">
        <v>572</v>
      </c>
      <c r="I322" s="61"/>
      <c r="J322" s="61" t="s">
        <v>720</v>
      </c>
      <c r="K322" s="61"/>
      <c r="L322" s="73">
        <f>IF($E322="","",DATE(YEAR($E322),MONTH($E322),1))</f>
        <v>46143</v>
      </c>
      <c r="M322" s="65" t="str">
        <f ca="1">IF($D322="","",IF($C322="TANIMSIZ MÜŞTERİ","HATA",IF(OR($E322="",$F322&lt;=0,$G322=""),"EKSİK",IF($E322&gt;TODAY(),"İLERİ TARİH",IF(COUNTIF($S$7:$S$2503,$S322)&gt;1,"MÜKERRER?",IF($T322&gt;0,"KAPALI DÖNEM","UYGUN"))))))</f>
        <v>UYGUN</v>
      </c>
      <c r="N322" s="74" t="str">
        <f>IF($C322="","",IF($C322="TANIMSIZ MÜŞTERİ","—",INDEX(MUSTERILER!$C$7:$C$156,MATCH($C322,MUSTERILER!$B$7:$B$156,0))))</f>
        <v>İBRAHİM MALDAN</v>
      </c>
      <c r="O322" s="2"/>
      <c r="P322" s="2"/>
      <c r="Q322" s="1" t="str">
        <f>IF($D322="","",$C322&amp;"|"&amp;COUNTIFS($C$7:$C322,$C322))</f>
        <v>M034|15</v>
      </c>
      <c r="R322" s="1" t="str">
        <f t="shared" si="8"/>
        <v>IBRAHIMMALDAN</v>
      </c>
      <c r="S322" s="1" t="str">
        <f t="shared" si="9"/>
        <v>M034|46158|4000|</v>
      </c>
      <c r="T322" s="1">
        <f>IF($E322="",0,SUMPRODUCT((AY_SONU!$O$7:$O$42="Evet")*(AY_SONU!$B$7:$B$42=DATE(YEAR($E322),MONTH($E322),1))))</f>
        <v>0</v>
      </c>
      <c r="U322" s="1" t="str">
        <f>IF(OR($G322="",$H322="Mahsup"),"",$G322&amp;"|"&amp;COUNTIFS($G$7:$G322,$G322,$H$7:$H322,"&lt;&gt;Mahsup"))</f>
        <v>MERKEZ KASA|245</v>
      </c>
    </row>
    <row r="323" spans="1:21" ht="18" customHeight="1" x14ac:dyDescent="0.3">
      <c r="A323" s="2"/>
      <c r="B323" s="65" t="str">
        <f>IF($D323="","","T"&amp;TEXT(ROW()-6,"00000"))</f>
        <v>T00317</v>
      </c>
      <c r="C323" s="65" t="str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>M012</v>
      </c>
      <c r="D323" s="61" t="s">
        <v>721</v>
      </c>
      <c r="E323" s="66">
        <v>46158</v>
      </c>
      <c r="F323" s="67">
        <v>4000</v>
      </c>
      <c r="G323" s="60" t="s">
        <v>717</v>
      </c>
      <c r="H323" s="60" t="s">
        <v>572</v>
      </c>
      <c r="I323" s="61"/>
      <c r="J323" s="61" t="s">
        <v>720</v>
      </c>
      <c r="K323" s="61"/>
      <c r="L323" s="73">
        <f>IF($E323="","",DATE(YEAR($E323),MONTH($E323),1))</f>
        <v>46143</v>
      </c>
      <c r="M323" s="65" t="str">
        <f ca="1">IF($D323="","",IF($C323="TANIMSIZ MÜŞTERİ","HATA",IF(OR($E323="",$F323&lt;=0,$G323=""),"EKSİK",IF($E323&gt;TODAY(),"İLERİ TARİH",IF(COUNTIF($S$7:$S$2503,$S323)&gt;1,"MÜKERRER?",IF($T323&gt;0,"KAPALI DÖNEM","UYGUN"))))))</f>
        <v>UYGUN</v>
      </c>
      <c r="N323" s="74" t="str">
        <f>IF($C323="","",IF($C323="TANIMSIZ MÜŞTERİ","—",INDEX(MUSTERILER!$C$7:$C$156,MATCH($C323,MUSTERILER!$B$7:$B$156,0))))</f>
        <v>İLDEŞ LTD.ŞTİ.</v>
      </c>
      <c r="O323" s="2"/>
      <c r="P323" s="2"/>
      <c r="Q323" s="1" t="str">
        <f>IF($D323="","",$C323&amp;"|"&amp;COUNTIFS($C$7:$C323,$C323))</f>
        <v>M012|19</v>
      </c>
      <c r="R323" s="1" t="str">
        <f t="shared" si="8"/>
        <v>ILDESLTDSTI</v>
      </c>
      <c r="S323" s="1" t="str">
        <f t="shared" si="9"/>
        <v>M012|46158|4000|</v>
      </c>
      <c r="T323" s="1">
        <f>IF($E323="",0,SUMPRODUCT((AY_SONU!$O$7:$O$42="Evet")*(AY_SONU!$B$7:$B$42=DATE(YEAR($E323),MONTH($E323),1))))</f>
        <v>0</v>
      </c>
      <c r="U323" s="1" t="str">
        <f>IF(OR($G323="",$H323="Mahsup"),"",$G323&amp;"|"&amp;COUNTIFS($G$7:$G323,$G323,$H$7:$H323,"&lt;&gt;Mahsup"))</f>
        <v>MERKEZ KASA|246</v>
      </c>
    </row>
    <row r="324" spans="1:21" ht="18" customHeight="1" x14ac:dyDescent="0.3">
      <c r="A324" s="2"/>
      <c r="B324" s="65" t="str">
        <f>IF($D324="","","T"&amp;TEXT(ROW()-6,"00000"))</f>
        <v>T00318</v>
      </c>
      <c r="C324" s="65" t="str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>M007</v>
      </c>
      <c r="D324" s="61" t="s">
        <v>733</v>
      </c>
      <c r="E324" s="66">
        <v>46158</v>
      </c>
      <c r="F324" s="67">
        <v>3500</v>
      </c>
      <c r="G324" s="60" t="s">
        <v>717</v>
      </c>
      <c r="H324" s="60" t="s">
        <v>572</v>
      </c>
      <c r="I324" s="61"/>
      <c r="J324" s="61" t="s">
        <v>720</v>
      </c>
      <c r="K324" s="61"/>
      <c r="L324" s="73">
        <f>IF($E324="","",DATE(YEAR($E324),MONTH($E324),1))</f>
        <v>46143</v>
      </c>
      <c r="M324" s="65" t="str">
        <f ca="1">IF($D324="","",IF($C324="TANIMSIZ MÜŞTERİ","HATA",IF(OR($E324="",$F324&lt;=0,$G324=""),"EKSİK",IF($E324&gt;TODAY(),"İLERİ TARİH",IF(COUNTIF($S$7:$S$2503,$S324)&gt;1,"MÜKERRER?",IF($T324&gt;0,"KAPALI DÖNEM","UYGUN"))))))</f>
        <v>UYGUN</v>
      </c>
      <c r="N324" s="74" t="str">
        <f>IF($C324="","",IF($C324="TANIMSIZ MÜŞTERİ","—",INDEX(MUSTERILER!$C$7:$C$156,MATCH($C324,MUSTERILER!$B$7:$B$156,0))))</f>
        <v>MONAMOUR LTD.ŞTİ.</v>
      </c>
      <c r="O324" s="2"/>
      <c r="P324" s="2"/>
      <c r="Q324" s="1" t="str">
        <f>IF($D324="","",$C324&amp;"|"&amp;COUNTIFS($C$7:$C324,$C324))</f>
        <v>M007|15</v>
      </c>
      <c r="R324" s="1" t="str">
        <f t="shared" si="8"/>
        <v>MONAMOURLTDSTI</v>
      </c>
      <c r="S324" s="1" t="str">
        <f t="shared" si="9"/>
        <v>M007|46158|3500|</v>
      </c>
      <c r="T324" s="1">
        <f>IF($E324="",0,SUMPRODUCT((AY_SONU!$O$7:$O$42="Evet")*(AY_SONU!$B$7:$B$42=DATE(YEAR($E324),MONTH($E324),1))))</f>
        <v>0</v>
      </c>
      <c r="U324" s="1" t="str">
        <f>IF(OR($G324="",$H324="Mahsup"),"",$G324&amp;"|"&amp;COUNTIFS($G$7:$G324,$G324,$H$7:$H324,"&lt;&gt;Mahsup"))</f>
        <v>MERKEZ KASA|247</v>
      </c>
    </row>
    <row r="325" spans="1:21" ht="18" customHeight="1" x14ac:dyDescent="0.3">
      <c r="A325" s="2"/>
      <c r="B325" s="65" t="str">
        <f>IF($D325="","","T"&amp;TEXT(ROW()-6,"00000"))</f>
        <v>T00319</v>
      </c>
      <c r="C325" s="65" t="str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>M013</v>
      </c>
      <c r="D325" s="61" t="s">
        <v>734</v>
      </c>
      <c r="E325" s="66">
        <v>46158</v>
      </c>
      <c r="F325" s="67">
        <v>2000</v>
      </c>
      <c r="G325" s="60" t="s">
        <v>717</v>
      </c>
      <c r="H325" s="60" t="s">
        <v>572</v>
      </c>
      <c r="I325" s="61"/>
      <c r="J325" s="61" t="s">
        <v>720</v>
      </c>
      <c r="K325" s="61"/>
      <c r="L325" s="73">
        <f>IF($E325="","",DATE(YEAR($E325),MONTH($E325),1))</f>
        <v>46143</v>
      </c>
      <c r="M325" s="65" t="str">
        <f ca="1">IF($D325="","",IF($C325="TANIMSIZ MÜŞTERİ","HATA",IF(OR($E325="",$F325&lt;=0,$G325=""),"EKSİK",IF($E325&gt;TODAY(),"İLERİ TARİH",IF(COUNTIF($S$7:$S$2503,$S325)&gt;1,"MÜKERRER?",IF($T325&gt;0,"KAPALI DÖNEM","UYGUN"))))))</f>
        <v>UYGUN</v>
      </c>
      <c r="N325" s="74" t="str">
        <f>IF($C325="","",IF($C325="TANIMSIZ MÜŞTERİ","—",INDEX(MUSTERILER!$C$7:$C$156,MATCH($C325,MUSTERILER!$B$7:$B$156,0))))</f>
        <v>NAZ 1 GIDA LTD.ŞTİ.</v>
      </c>
      <c r="O325" s="2"/>
      <c r="P325" s="2"/>
      <c r="Q325" s="1" t="str">
        <f>IF($D325="","",$C325&amp;"|"&amp;COUNTIFS($C$7:$C325,$C325))</f>
        <v>M013|13</v>
      </c>
      <c r="R325" s="1" t="str">
        <f t="shared" si="8"/>
        <v>NAZ1GIDALTDSTI</v>
      </c>
      <c r="S325" s="1" t="str">
        <f t="shared" si="9"/>
        <v>M013|46158|2000|</v>
      </c>
      <c r="T325" s="1">
        <f>IF($E325="",0,SUMPRODUCT((AY_SONU!$O$7:$O$42="Evet")*(AY_SONU!$B$7:$B$42=DATE(YEAR($E325),MONTH($E325),1))))</f>
        <v>0</v>
      </c>
      <c r="U325" s="1" t="str">
        <f>IF(OR($G325="",$H325="Mahsup"),"",$G325&amp;"|"&amp;COUNTIFS($G$7:$G325,$G325,$H$7:$H325,"&lt;&gt;Mahsup"))</f>
        <v>MERKEZ KASA|248</v>
      </c>
    </row>
    <row r="326" spans="1:21" ht="18" customHeight="1" x14ac:dyDescent="0.3">
      <c r="A326" s="2"/>
      <c r="B326" s="65" t="str">
        <f>IF($D326="","","T"&amp;TEXT(ROW()-6,"00000"))</f>
        <v>T00320</v>
      </c>
      <c r="C326" s="65" t="str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>M009</v>
      </c>
      <c r="D326" s="61" t="s">
        <v>735</v>
      </c>
      <c r="E326" s="66">
        <v>46158</v>
      </c>
      <c r="F326" s="67">
        <v>4000</v>
      </c>
      <c r="G326" s="60" t="s">
        <v>717</v>
      </c>
      <c r="H326" s="60" t="s">
        <v>572</v>
      </c>
      <c r="I326" s="61"/>
      <c r="J326" s="61" t="s">
        <v>720</v>
      </c>
      <c r="K326" s="61"/>
      <c r="L326" s="73">
        <f>IF($E326="","",DATE(YEAR($E326),MONTH($E326),1))</f>
        <v>46143</v>
      </c>
      <c r="M326" s="65" t="str">
        <f ca="1">IF($D326="","",IF($C326="TANIMSIZ MÜŞTERİ","HATA",IF(OR($E326="",$F326&lt;=0,$G326=""),"EKSİK",IF($E326&gt;TODAY(),"İLERİ TARİH",IF(COUNTIF($S$7:$S$2503,$S326)&gt;1,"MÜKERRER?",IF($T326&gt;0,"KAPALI DÖNEM","UYGUN"))))))</f>
        <v>UYGUN</v>
      </c>
      <c r="N326" s="74" t="str">
        <f>IF($C326="","",IF($C326="TANIMSIZ MÜŞTERİ","—",INDEX(MUSTERILER!$C$7:$C$156,MATCH($C326,MUSTERILER!$B$7:$B$156,0))))</f>
        <v>PAKYILDIZ LTD.ŞTİ.</v>
      </c>
      <c r="O326" s="2"/>
      <c r="P326" s="2"/>
      <c r="Q326" s="1" t="str">
        <f>IF($D326="","",$C326&amp;"|"&amp;COUNTIFS($C$7:$C326,$C326))</f>
        <v>M009|15</v>
      </c>
      <c r="R326" s="1" t="str">
        <f t="shared" si="8"/>
        <v>PAKYILDIZLTDSTI</v>
      </c>
      <c r="S326" s="1" t="str">
        <f t="shared" si="9"/>
        <v>M009|46158|4000|</v>
      </c>
      <c r="T326" s="1">
        <f>IF($E326="",0,SUMPRODUCT((AY_SONU!$O$7:$O$42="Evet")*(AY_SONU!$B$7:$B$42=DATE(YEAR($E326),MONTH($E326),1))))</f>
        <v>0</v>
      </c>
      <c r="U326" s="1" t="str">
        <f>IF(OR($G326="",$H326="Mahsup"),"",$G326&amp;"|"&amp;COUNTIFS($G$7:$G326,$G326,$H$7:$H326,"&lt;&gt;Mahsup"))</f>
        <v>MERKEZ KASA|249</v>
      </c>
    </row>
    <row r="327" spans="1:21" ht="18" customHeight="1" x14ac:dyDescent="0.3">
      <c r="A327" s="2"/>
      <c r="B327" s="65" t="str">
        <f>IF($D327="","","T"&amp;TEXT(ROW()-6,"00000"))</f>
        <v>T00321</v>
      </c>
      <c r="C327" s="65" t="str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>M005</v>
      </c>
      <c r="D327" s="61" t="s">
        <v>722</v>
      </c>
      <c r="E327" s="66">
        <v>46158</v>
      </c>
      <c r="F327" s="67">
        <v>1750</v>
      </c>
      <c r="G327" s="60" t="s">
        <v>717</v>
      </c>
      <c r="H327" s="60" t="s">
        <v>572</v>
      </c>
      <c r="I327" s="61"/>
      <c r="J327" s="61" t="s">
        <v>720</v>
      </c>
      <c r="K327" s="61"/>
      <c r="L327" s="73">
        <f>IF($E327="","",DATE(YEAR($E327),MONTH($E327),1))</f>
        <v>46143</v>
      </c>
      <c r="M327" s="65" t="str">
        <f ca="1">IF($D327="","",IF($C327="TANIMSIZ MÜŞTERİ","HATA",IF(OR($E327="",$F327&lt;=0,$G327=""),"EKSİK",IF($E327&gt;TODAY(),"İLERİ TARİH",IF(COUNTIF($S$7:$S$2503,$S327)&gt;1,"MÜKERRER?",IF($T327&gt;0,"KAPALI DÖNEM","UYGUN"))))))</f>
        <v>UYGUN</v>
      </c>
      <c r="N327" s="74" t="str">
        <f>IF($C327="","",IF($C327="TANIMSIZ MÜŞTERİ","—",INDEX(MUSTERILER!$C$7:$C$156,MATCH($C327,MUSTERILER!$B$7:$B$156,0))))</f>
        <v>ZÜMRÜT GRUP LTD.ŞTİ.</v>
      </c>
      <c r="O327" s="2"/>
      <c r="P327" s="2"/>
      <c r="Q327" s="1" t="str">
        <f>IF($D327="","",$C327&amp;"|"&amp;COUNTIFS($C$7:$C327,$C327))</f>
        <v>M005|16</v>
      </c>
      <c r="R327" s="1" t="str">
        <f t="shared" ref="R327:R390" si="10"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>ZUMRUTGRUPLTDSTI</v>
      </c>
      <c r="S327" s="1" t="str">
        <f t="shared" ref="S327:S390" si="11">IF($D327="","",$C327&amp;"|"&amp;TEXT($E327,"0")&amp;"|"&amp;TEXT($F327,"0")&amp;"|"&amp;$I327)</f>
        <v>M005|46158|1750|</v>
      </c>
      <c r="T327" s="1">
        <f>IF($E327="",0,SUMPRODUCT((AY_SONU!$O$7:$O$42="Evet")*(AY_SONU!$B$7:$B$42=DATE(YEAR($E327),MONTH($E327),1))))</f>
        <v>0</v>
      </c>
      <c r="U327" s="1" t="str">
        <f>IF(OR($G327="",$H327="Mahsup"),"",$G327&amp;"|"&amp;COUNTIFS($G$7:$G327,$G327,$H$7:$H327,"&lt;&gt;Mahsup"))</f>
        <v>MERKEZ KASA|250</v>
      </c>
    </row>
    <row r="328" spans="1:21" ht="18" customHeight="1" x14ac:dyDescent="0.3">
      <c r="A328" s="2"/>
      <c r="B328" s="65" t="str">
        <f>IF($D328="","","T"&amp;TEXT(ROW()-6,"00000"))</f>
        <v>T00322</v>
      </c>
      <c r="C328" s="65" t="str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>M018</v>
      </c>
      <c r="D328" s="61" t="s">
        <v>593</v>
      </c>
      <c r="E328" s="66">
        <v>46158</v>
      </c>
      <c r="F328" s="67">
        <v>2500</v>
      </c>
      <c r="G328" s="60" t="s">
        <v>717</v>
      </c>
      <c r="H328" s="60" t="s">
        <v>572</v>
      </c>
      <c r="I328" s="61"/>
      <c r="J328" s="61" t="s">
        <v>720</v>
      </c>
      <c r="K328" s="61"/>
      <c r="L328" s="73">
        <f>IF($E328="","",DATE(YEAR($E328),MONTH($E328),1))</f>
        <v>46143</v>
      </c>
      <c r="M328" s="65" t="str">
        <f ca="1">IF($D328="","",IF($C328="TANIMSIZ MÜŞTERİ","HATA",IF(OR($E328="",$F328&lt;=0,$G328=""),"EKSİK",IF($E328&gt;TODAY(),"İLERİ TARİH",IF(COUNTIF($S$7:$S$2503,$S328)&gt;1,"MÜKERRER?",IF($T328&gt;0,"KAPALI DÖNEM","UYGUN"))))))</f>
        <v>UYGUN</v>
      </c>
      <c r="N328" s="74" t="str">
        <f>IF($C328="","",IF($C328="TANIMSIZ MÜŞTERİ","—",INDEX(MUSTERILER!$C$7:$C$156,MATCH($C328,MUSTERILER!$B$7:$B$156,0))))</f>
        <v>ÇINARHAN LTD.ŞTİ.</v>
      </c>
      <c r="O328" s="2"/>
      <c r="P328" s="2"/>
      <c r="Q328" s="1" t="str">
        <f>IF($D328="","",$C328&amp;"|"&amp;COUNTIFS($C$7:$C328,$C328))</f>
        <v>M018|14</v>
      </c>
      <c r="R328" s="1" t="str">
        <f t="shared" si="10"/>
        <v>CINARHANLTDSTI</v>
      </c>
      <c r="S328" s="1" t="str">
        <f t="shared" si="11"/>
        <v>M018|46158|2500|</v>
      </c>
      <c r="T328" s="1">
        <f>IF($E328="",0,SUMPRODUCT((AY_SONU!$O$7:$O$42="Evet")*(AY_SONU!$B$7:$B$42=DATE(YEAR($E328),MONTH($E328),1))))</f>
        <v>0</v>
      </c>
      <c r="U328" s="1" t="str">
        <f>IF(OR($G328="",$H328="Mahsup"),"",$G328&amp;"|"&amp;COUNTIFS($G$7:$G328,$G328,$H$7:$H328,"&lt;&gt;Mahsup"))</f>
        <v>MERKEZ KASA|251</v>
      </c>
    </row>
    <row r="329" spans="1:21" ht="18" customHeight="1" x14ac:dyDescent="0.3">
      <c r="A329" s="2"/>
      <c r="B329" s="65" t="str">
        <f>IF($D329="","","T"&amp;TEXT(ROW()-6,"00000"))</f>
        <v>T00323</v>
      </c>
      <c r="C329" s="65" t="str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>M020</v>
      </c>
      <c r="D329" s="61" t="s">
        <v>623</v>
      </c>
      <c r="E329" s="66">
        <v>46158</v>
      </c>
      <c r="F329" s="67">
        <v>3000</v>
      </c>
      <c r="G329" s="60" t="s">
        <v>717</v>
      </c>
      <c r="H329" s="60" t="s">
        <v>572</v>
      </c>
      <c r="I329" s="61"/>
      <c r="J329" s="61" t="s">
        <v>720</v>
      </c>
      <c r="K329" s="61"/>
      <c r="L329" s="73">
        <f>IF($E329="","",DATE(YEAR($E329),MONTH($E329),1))</f>
        <v>46143</v>
      </c>
      <c r="M329" s="65" t="str">
        <f ca="1">IF($D329="","",IF($C329="TANIMSIZ MÜŞTERİ","HATA",IF(OR($E329="",$F329&lt;=0,$G329=""),"EKSİK",IF($E329&gt;TODAY(),"İLERİ TARİH",IF(COUNTIF($S$7:$S$2503,$S329)&gt;1,"MÜKERRER?",IF($T329&gt;0,"KAPALI DÖNEM","UYGUN"))))))</f>
        <v>UYGUN</v>
      </c>
      <c r="N329" s="74" t="str">
        <f>IF($C329="","",IF($C329="TANIMSIZ MÜŞTERİ","—",INDEX(MUSTERILER!$C$7:$C$156,MATCH($C329,MUSTERILER!$B$7:$B$156,0))))</f>
        <v>KRİSTAL LTD.ŞTİ.</v>
      </c>
      <c r="O329" s="2"/>
      <c r="P329" s="2"/>
      <c r="Q329" s="1" t="str">
        <f>IF($D329="","",$C329&amp;"|"&amp;COUNTIFS($C$7:$C329,$C329))</f>
        <v>M020|19</v>
      </c>
      <c r="R329" s="1" t="str">
        <f t="shared" si="10"/>
        <v>KRISTALLTDSTI</v>
      </c>
      <c r="S329" s="1" t="str">
        <f t="shared" si="11"/>
        <v>M020|46158|3000|</v>
      </c>
      <c r="T329" s="1">
        <f>IF($E329="",0,SUMPRODUCT((AY_SONU!$O$7:$O$42="Evet")*(AY_SONU!$B$7:$B$42=DATE(YEAR($E329),MONTH($E329),1))))</f>
        <v>0</v>
      </c>
      <c r="U329" s="1" t="str">
        <f>IF(OR($G329="",$H329="Mahsup"),"",$G329&amp;"|"&amp;COUNTIFS($G$7:$G329,$G329,$H$7:$H329,"&lt;&gt;Mahsup"))</f>
        <v>MERKEZ KASA|252</v>
      </c>
    </row>
    <row r="330" spans="1:21" ht="18" customHeight="1" x14ac:dyDescent="0.3">
      <c r="A330" s="2"/>
      <c r="B330" s="65" t="str">
        <f>IF($D330="","","T"&amp;TEXT(ROW()-6,"00000"))</f>
        <v>T00324</v>
      </c>
      <c r="C330" s="65" t="str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>M047</v>
      </c>
      <c r="D330" s="61" t="s">
        <v>654</v>
      </c>
      <c r="E330" s="66">
        <v>46158</v>
      </c>
      <c r="F330" s="67">
        <v>4000</v>
      </c>
      <c r="G330" s="60" t="s">
        <v>717</v>
      </c>
      <c r="H330" s="60" t="s">
        <v>572</v>
      </c>
      <c r="I330" s="61"/>
      <c r="J330" s="61" t="s">
        <v>720</v>
      </c>
      <c r="K330" s="61"/>
      <c r="L330" s="73">
        <f>IF($E330="","",DATE(YEAR($E330),MONTH($E330),1))</f>
        <v>46143</v>
      </c>
      <c r="M330" s="65" t="str">
        <f ca="1">IF($D330="","",IF($C330="TANIMSIZ MÜŞTERİ","HATA",IF(OR($E330="",$F330&lt;=0,$G330=""),"EKSİK",IF($E330&gt;TODAY(),"İLERİ TARİH",IF(COUNTIF($S$7:$S$2503,$S330)&gt;1,"MÜKERRER?",IF($T330&gt;0,"KAPALI DÖNEM","UYGUN"))))))</f>
        <v>UYGUN</v>
      </c>
      <c r="N330" s="74" t="str">
        <f>IF($C330="","",IF($C330="TANIMSIZ MÜŞTERİ","—",INDEX(MUSTERILER!$C$7:$C$156,MATCH($C330,MUSTERILER!$B$7:$B$156,0))))</f>
        <v>PALAOĞULLARI LTD.ŞTİ.</v>
      </c>
      <c r="O330" s="2"/>
      <c r="P330" s="2"/>
      <c r="Q330" s="1" t="str">
        <f>IF($D330="","",$C330&amp;"|"&amp;COUNTIFS($C$7:$C330,$C330))</f>
        <v>M047|11</v>
      </c>
      <c r="R330" s="1" t="str">
        <f t="shared" si="10"/>
        <v>PALAOGULLARILTDSTI</v>
      </c>
      <c r="S330" s="1" t="str">
        <f t="shared" si="11"/>
        <v>M047|46158|4000|</v>
      </c>
      <c r="T330" s="1">
        <f>IF($E330="",0,SUMPRODUCT((AY_SONU!$O$7:$O$42="Evet")*(AY_SONU!$B$7:$B$42=DATE(YEAR($E330),MONTH($E330),1))))</f>
        <v>0</v>
      </c>
      <c r="U330" s="1" t="str">
        <f>IF(OR($G330="",$H330="Mahsup"),"",$G330&amp;"|"&amp;COUNTIFS($G$7:$G330,$G330,$H$7:$H330,"&lt;&gt;Mahsup"))</f>
        <v>MERKEZ KASA|253</v>
      </c>
    </row>
    <row r="331" spans="1:21" ht="18" customHeight="1" x14ac:dyDescent="0.3">
      <c r="A331" s="2"/>
      <c r="B331" s="65" t="str">
        <f>IF($D331="","","T"&amp;TEXT(ROW()-6,"00000"))</f>
        <v>T00325</v>
      </c>
      <c r="C331" s="65" t="str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>M054</v>
      </c>
      <c r="D331" s="61" t="s">
        <v>674</v>
      </c>
      <c r="E331" s="66">
        <v>46158</v>
      </c>
      <c r="F331" s="67">
        <v>4000</v>
      </c>
      <c r="G331" s="60" t="s">
        <v>717</v>
      </c>
      <c r="H331" s="60" t="s">
        <v>572</v>
      </c>
      <c r="I331" s="61"/>
      <c r="J331" s="61" t="s">
        <v>720</v>
      </c>
      <c r="K331" s="61"/>
      <c r="L331" s="73">
        <f>IF($E331="","",DATE(YEAR($E331),MONTH($E331),1))</f>
        <v>46143</v>
      </c>
      <c r="M331" s="65" t="str">
        <f ca="1">IF($D331="","",IF($C331="TANIMSIZ MÜŞTERİ","HATA",IF(OR($E331="",$F331&lt;=0,$G331=""),"EKSİK",IF($E331&gt;TODAY(),"İLERİ TARİH",IF(COUNTIF($S$7:$S$2503,$S331)&gt;1,"MÜKERRER?",IF($T331&gt;0,"KAPALI DÖNEM","UYGUN"))))))</f>
        <v>UYGUN</v>
      </c>
      <c r="N331" s="74" t="str">
        <f>IF($C331="","",IF($C331="TANIMSIZ MÜŞTERİ","—",INDEX(MUSTERILER!$C$7:$C$156,MATCH($C331,MUSTERILER!$B$7:$B$156,0))))</f>
        <v>YALIKENT LTD.ŞTİ.</v>
      </c>
      <c r="O331" s="2"/>
      <c r="P331" s="2"/>
      <c r="Q331" s="1" t="str">
        <f>IF($D331="","",$C331&amp;"|"&amp;COUNTIFS($C$7:$C331,$C331))</f>
        <v>M054|8</v>
      </c>
      <c r="R331" s="1" t="str">
        <f t="shared" si="10"/>
        <v>YALIKENTLTDSTI</v>
      </c>
      <c r="S331" s="1" t="str">
        <f t="shared" si="11"/>
        <v>M054|46158|4000|</v>
      </c>
      <c r="T331" s="1">
        <f>IF($E331="",0,SUMPRODUCT((AY_SONU!$O$7:$O$42="Evet")*(AY_SONU!$B$7:$B$42=DATE(YEAR($E331),MONTH($E331),1))))</f>
        <v>0</v>
      </c>
      <c r="U331" s="1" t="str">
        <f>IF(OR($G331="",$H331="Mahsup"),"",$G331&amp;"|"&amp;COUNTIFS($G$7:$G331,$G331,$H$7:$H331,"&lt;&gt;Mahsup"))</f>
        <v>MERKEZ KASA|254</v>
      </c>
    </row>
    <row r="332" spans="1:21" ht="18" customHeight="1" x14ac:dyDescent="0.3">
      <c r="A332" s="2"/>
      <c r="B332" s="65" t="str">
        <f>IF($D332="","","T"&amp;TEXT(ROW()-6,"00000"))</f>
        <v>T00326</v>
      </c>
      <c r="C332" s="65" t="str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>M031</v>
      </c>
      <c r="D332" s="61" t="s">
        <v>607</v>
      </c>
      <c r="E332" s="66">
        <v>46164</v>
      </c>
      <c r="F332" s="67">
        <v>6000</v>
      </c>
      <c r="G332" s="60" t="s">
        <v>717</v>
      </c>
      <c r="H332" s="60" t="s">
        <v>572</v>
      </c>
      <c r="I332" s="61"/>
      <c r="J332" s="61" t="s">
        <v>720</v>
      </c>
      <c r="K332" s="61"/>
      <c r="L332" s="73">
        <f>IF($E332="","",DATE(YEAR($E332),MONTH($E332),1))</f>
        <v>46143</v>
      </c>
      <c r="M332" s="65" t="str">
        <f ca="1">IF($D332="","",IF($C332="TANIMSIZ MÜŞTERİ","HATA",IF(OR($E332="",$F332&lt;=0,$G332=""),"EKSİK",IF($E332&gt;TODAY(),"İLERİ TARİH",IF(COUNTIF($S$7:$S$2503,$S332)&gt;1,"MÜKERRER?",IF($T332&gt;0,"KAPALI DÖNEM","UYGUN"))))))</f>
        <v>UYGUN</v>
      </c>
      <c r="N332" s="74" t="str">
        <f>IF($C332="","",IF($C332="TANIMSIZ MÜŞTERİ","—",INDEX(MUSTERILER!$C$7:$C$156,MATCH($C332,MUSTERILER!$B$7:$B$156,0))))</f>
        <v>HALİL AVŞAR</v>
      </c>
      <c r="O332" s="2"/>
      <c r="P332" s="2"/>
      <c r="Q332" s="1" t="str">
        <f>IF($D332="","",$C332&amp;"|"&amp;COUNTIFS($C$7:$C332,$C332))</f>
        <v>M031|2</v>
      </c>
      <c r="R332" s="1" t="str">
        <f t="shared" si="10"/>
        <v>HALILAVSAR</v>
      </c>
      <c r="S332" s="1" t="str">
        <f t="shared" si="11"/>
        <v>M031|46164|6000|</v>
      </c>
      <c r="T332" s="1">
        <f>IF($E332="",0,SUMPRODUCT((AY_SONU!$O$7:$O$42="Evet")*(AY_SONU!$B$7:$B$42=DATE(YEAR($E332),MONTH($E332),1))))</f>
        <v>0</v>
      </c>
      <c r="U332" s="1" t="str">
        <f>IF(OR($G332="",$H332="Mahsup"),"",$G332&amp;"|"&amp;COUNTIFS($G$7:$G332,$G332,$H$7:$H332,"&lt;&gt;Mahsup"))</f>
        <v>MERKEZ KASA|255</v>
      </c>
    </row>
    <row r="333" spans="1:21" ht="18" customHeight="1" x14ac:dyDescent="0.3">
      <c r="A333" s="2"/>
      <c r="B333" s="65" t="str">
        <f>IF($D333="","","T"&amp;TEXT(ROW()-6,"00000"))</f>
        <v>T00327</v>
      </c>
      <c r="C333" s="65" t="str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>M025</v>
      </c>
      <c r="D333" s="61" t="s">
        <v>583</v>
      </c>
      <c r="E333" s="66">
        <v>46165</v>
      </c>
      <c r="F333" s="67">
        <v>2000</v>
      </c>
      <c r="G333" s="60" t="s">
        <v>717</v>
      </c>
      <c r="H333" s="60" t="s">
        <v>572</v>
      </c>
      <c r="I333" s="61"/>
      <c r="J333" s="61" t="s">
        <v>720</v>
      </c>
      <c r="K333" s="61"/>
      <c r="L333" s="73">
        <f>IF($E333="","",DATE(YEAR($E333),MONTH($E333),1))</f>
        <v>46143</v>
      </c>
      <c r="M333" s="65" t="str">
        <f ca="1">IF($D333="","",IF($C333="TANIMSIZ MÜŞTERİ","HATA",IF(OR($E333="",$F333&lt;=0,$G333=""),"EKSİK",IF($E333&gt;TODAY(),"İLERİ TARİH",IF(COUNTIF($S$7:$S$2503,$S333)&gt;1,"MÜKERRER?",IF($T333&gt;0,"KAPALI DÖNEM","UYGUN"))))))</f>
        <v>UYGUN</v>
      </c>
      <c r="N333" s="74" t="str">
        <f>IF($C333="","",IF($C333="TANIMSIZ MÜŞTERİ","—",INDEX(MUSTERILER!$C$7:$C$156,MATCH($C333,MUSTERILER!$B$7:$B$156,0))))</f>
        <v>ASIM AÇIKGÖZ</v>
      </c>
      <c r="O333" s="2"/>
      <c r="P333" s="2"/>
      <c r="Q333" s="1" t="str">
        <f>IF($D333="","",$C333&amp;"|"&amp;COUNTIFS($C$7:$C333,$C333))</f>
        <v>M025|16</v>
      </c>
      <c r="R333" s="1" t="str">
        <f t="shared" si="10"/>
        <v>ASIMACIKGOZ</v>
      </c>
      <c r="S333" s="1" t="str">
        <f t="shared" si="11"/>
        <v>M025|46165|2000|</v>
      </c>
      <c r="T333" s="1">
        <f>IF($E333="",0,SUMPRODUCT((AY_SONU!$O$7:$O$42="Evet")*(AY_SONU!$B$7:$B$42=DATE(YEAR($E333),MONTH($E333),1))))</f>
        <v>0</v>
      </c>
      <c r="U333" s="1" t="str">
        <f>IF(OR($G333="",$H333="Mahsup"),"",$G333&amp;"|"&amp;COUNTIFS($G$7:$G333,$G333,$H$7:$H333,"&lt;&gt;Mahsup"))</f>
        <v>MERKEZ KASA|256</v>
      </c>
    </row>
    <row r="334" spans="1:21" ht="18" customHeight="1" x14ac:dyDescent="0.3">
      <c r="A334" s="2"/>
      <c r="B334" s="65" t="str">
        <f>IF($D334="","","T"&amp;TEXT(ROW()-6,"00000"))</f>
        <v>T00328</v>
      </c>
      <c r="C334" s="65" t="str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>M017</v>
      </c>
      <c r="D334" s="61" t="s">
        <v>585</v>
      </c>
      <c r="E334" s="66">
        <v>46165</v>
      </c>
      <c r="F334" s="67">
        <v>2500</v>
      </c>
      <c r="G334" s="60" t="s">
        <v>717</v>
      </c>
      <c r="H334" s="60" t="s">
        <v>572</v>
      </c>
      <c r="I334" s="61"/>
      <c r="J334" s="61" t="s">
        <v>720</v>
      </c>
      <c r="K334" s="61"/>
      <c r="L334" s="73">
        <f>IF($E334="","",DATE(YEAR($E334),MONTH($E334),1))</f>
        <v>46143</v>
      </c>
      <c r="M334" s="65" t="str">
        <f ca="1">IF($D334="","",IF($C334="TANIMSIZ MÜŞTERİ","HATA",IF(OR($E334="",$F334&lt;=0,$G334=""),"EKSİK",IF($E334&gt;TODAY(),"İLERİ TARİH",IF(COUNTIF($S$7:$S$2503,$S334)&gt;1,"MÜKERRER?",IF($T334&gt;0,"KAPALI DÖNEM","UYGUN"))))))</f>
        <v>UYGUN</v>
      </c>
      <c r="N334" s="74" t="str">
        <f>IF($C334="","",IF($C334="TANIMSIZ MÜŞTERİ","—",INDEX(MUSTERILER!$C$7:$C$156,MATCH($C334,MUSTERILER!$B$7:$B$156,0))))</f>
        <v>ASM EĞLENCE LTD.ŞTİ.</v>
      </c>
      <c r="O334" s="2"/>
      <c r="P334" s="2"/>
      <c r="Q334" s="1" t="str">
        <f>IF($D334="","",$C334&amp;"|"&amp;COUNTIFS($C$7:$C334,$C334))</f>
        <v>M017|17</v>
      </c>
      <c r="R334" s="1" t="str">
        <f t="shared" si="10"/>
        <v>ASMEGLENCELTDSTI</v>
      </c>
      <c r="S334" s="1" t="str">
        <f t="shared" si="11"/>
        <v>M017|46165|2500|</v>
      </c>
      <c r="T334" s="1">
        <f>IF($E334="",0,SUMPRODUCT((AY_SONU!$O$7:$O$42="Evet")*(AY_SONU!$B$7:$B$42=DATE(YEAR($E334),MONTH($E334),1))))</f>
        <v>0</v>
      </c>
      <c r="U334" s="1" t="str">
        <f>IF(OR($G334="",$H334="Mahsup"),"",$G334&amp;"|"&amp;COUNTIFS($G$7:$G334,$G334,$H$7:$H334,"&lt;&gt;Mahsup"))</f>
        <v>MERKEZ KASA|257</v>
      </c>
    </row>
    <row r="335" spans="1:21" ht="18" customHeight="1" x14ac:dyDescent="0.3">
      <c r="A335" s="2"/>
      <c r="B335" s="65" t="str">
        <f>IF($D335="","","T"&amp;TEXT(ROW()-6,"00000"))</f>
        <v>T00329</v>
      </c>
      <c r="C335" s="65" t="str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>M015</v>
      </c>
      <c r="D335" s="61" t="s">
        <v>719</v>
      </c>
      <c r="E335" s="66">
        <v>46165</v>
      </c>
      <c r="F335" s="67">
        <v>3000</v>
      </c>
      <c r="G335" s="60" t="s">
        <v>717</v>
      </c>
      <c r="H335" s="60" t="s">
        <v>572</v>
      </c>
      <c r="I335" s="61"/>
      <c r="J335" s="61" t="s">
        <v>720</v>
      </c>
      <c r="K335" s="61"/>
      <c r="L335" s="73">
        <f>IF($E335="","",DATE(YEAR($E335),MONTH($E335),1))</f>
        <v>46143</v>
      </c>
      <c r="M335" s="65" t="str">
        <f ca="1">IF($D335="","",IF($C335="TANIMSIZ MÜŞTERİ","HATA",IF(OR($E335="",$F335&lt;=0,$G335=""),"EKSİK",IF($E335&gt;TODAY(),"İLERİ TARİH",IF(COUNTIF($S$7:$S$2503,$S335)&gt;1,"MÜKERRER?",IF($T335&gt;0,"KAPALI DÖNEM","UYGUN"))))))</f>
        <v>UYGUN</v>
      </c>
      <c r="N335" s="74" t="str">
        <f>IF($C335="","",IF($C335="TANIMSIZ MÜŞTERİ","—",INDEX(MUSTERILER!$C$7:$C$156,MATCH($C335,MUSTERILER!$B$7:$B$156,0))))</f>
        <v>ÇAYIRALAN LTD.ŞTİ.</v>
      </c>
      <c r="O335" s="2"/>
      <c r="P335" s="2"/>
      <c r="Q335" s="1" t="str">
        <f>IF($D335="","",$C335&amp;"|"&amp;COUNTIFS($C$7:$C335,$C335))</f>
        <v>M015|18</v>
      </c>
      <c r="R335" s="1" t="str">
        <f t="shared" si="10"/>
        <v>CAYIRALANLTDSTI</v>
      </c>
      <c r="S335" s="1" t="str">
        <f t="shared" si="11"/>
        <v>M015|46165|3000|</v>
      </c>
      <c r="T335" s="1">
        <f>IF($E335="",0,SUMPRODUCT((AY_SONU!$O$7:$O$42="Evet")*(AY_SONU!$B$7:$B$42=DATE(YEAR($E335),MONTH($E335),1))))</f>
        <v>0</v>
      </c>
      <c r="U335" s="1" t="str">
        <f>IF(OR($G335="",$H335="Mahsup"),"",$G335&amp;"|"&amp;COUNTIFS($G$7:$G335,$G335,$H$7:$H335,"&lt;&gt;Mahsup"))</f>
        <v>MERKEZ KASA|258</v>
      </c>
    </row>
    <row r="336" spans="1:21" ht="18" customHeight="1" x14ac:dyDescent="0.3">
      <c r="A336" s="2"/>
      <c r="B336" s="65" t="str">
        <f>IF($D336="","","T"&amp;TEXT(ROW()-6,"00000"))</f>
        <v>T00330</v>
      </c>
      <c r="C336" s="65" t="str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>M011</v>
      </c>
      <c r="D336" s="61" t="s">
        <v>730</v>
      </c>
      <c r="E336" s="66">
        <v>46165</v>
      </c>
      <c r="F336" s="67">
        <v>4000</v>
      </c>
      <c r="G336" s="60" t="s">
        <v>717</v>
      </c>
      <c r="H336" s="60" t="s">
        <v>572</v>
      </c>
      <c r="I336" s="61"/>
      <c r="J336" s="61" t="s">
        <v>720</v>
      </c>
      <c r="K336" s="61"/>
      <c r="L336" s="73">
        <f>IF($E336="","",DATE(YEAR($E336),MONTH($E336),1))</f>
        <v>46143</v>
      </c>
      <c r="M336" s="65" t="str">
        <f ca="1">IF($D336="","",IF($C336="TANIMSIZ MÜŞTERİ","HATA",IF(OR($E336="",$F336&lt;=0,$G336=""),"EKSİK",IF($E336&gt;TODAY(),"İLERİ TARİH",IF(COUNTIF($S$7:$S$2503,$S336)&gt;1,"MÜKERRER?",IF($T336&gt;0,"KAPALI DÖNEM","UYGUN"))))))</f>
        <v>UYGUN</v>
      </c>
      <c r="N336" s="74" t="str">
        <f>IF($C336="","",IF($C336="TANIMSIZ MÜŞTERİ","—",INDEX(MUSTERILER!$C$7:$C$156,MATCH($C336,MUSTERILER!$B$7:$B$156,0))))</f>
        <v>EĞLENGÖR LTD.ŞTİ.</v>
      </c>
      <c r="O336" s="2"/>
      <c r="P336" s="2"/>
      <c r="Q336" s="1" t="str">
        <f>IF($D336="","",$C336&amp;"|"&amp;COUNTIFS($C$7:$C336,$C336))</f>
        <v>M011|19</v>
      </c>
      <c r="R336" s="1" t="str">
        <f t="shared" si="10"/>
        <v>EGLENGORLTDSTI</v>
      </c>
      <c r="S336" s="1" t="str">
        <f t="shared" si="11"/>
        <v>M011|46165|4000|</v>
      </c>
      <c r="T336" s="1">
        <f>IF($E336="",0,SUMPRODUCT((AY_SONU!$O$7:$O$42="Evet")*(AY_SONU!$B$7:$B$42=DATE(YEAR($E336),MONTH($E336),1))))</f>
        <v>0</v>
      </c>
      <c r="U336" s="1" t="str">
        <f>IF(OR($G336="",$H336="Mahsup"),"",$G336&amp;"|"&amp;COUNTIFS($G$7:$G336,$G336,$H$7:$H336,"&lt;&gt;Mahsup"))</f>
        <v>MERKEZ KASA|259</v>
      </c>
    </row>
    <row r="337" spans="1:21" ht="18" customHeight="1" x14ac:dyDescent="0.3">
      <c r="A337" s="2"/>
      <c r="B337" s="65" t="str">
        <f>IF($D337="","","T"&amp;TEXT(ROW()-6,"00000"))</f>
        <v>T00331</v>
      </c>
      <c r="C337" s="65" t="str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>M014</v>
      </c>
      <c r="D337" s="61" t="s">
        <v>731</v>
      </c>
      <c r="E337" s="66">
        <v>46165</v>
      </c>
      <c r="F337" s="67">
        <v>4000</v>
      </c>
      <c r="G337" s="60" t="s">
        <v>717</v>
      </c>
      <c r="H337" s="60" t="s">
        <v>572</v>
      </c>
      <c r="I337" s="61"/>
      <c r="J337" s="61" t="s">
        <v>720</v>
      </c>
      <c r="K337" s="61"/>
      <c r="L337" s="73">
        <f>IF($E337="","",DATE(YEAR($E337),MONTH($E337),1))</f>
        <v>46143</v>
      </c>
      <c r="M337" s="65" t="str">
        <f ca="1">IF($D337="","",IF($C337="TANIMSIZ MÜŞTERİ","HATA",IF(OR($E337="",$F337&lt;=0,$G337=""),"EKSİK",IF($E337&gt;TODAY(),"İLERİ TARİH",IF(COUNTIF($S$7:$S$2503,$S337)&gt;1,"MÜKERRER?",IF($T337&gt;0,"KAPALI DÖNEM","UYGUN"))))))</f>
        <v>UYGUN</v>
      </c>
      <c r="N337" s="74" t="str">
        <f>IF($C337="","",IF($C337="TANIMSIZ MÜŞTERİ","—",INDEX(MUSTERILER!$C$7:$C$156,MATCH($C337,MUSTERILER!$B$7:$B$156,0))))</f>
        <v>FİNAL SİYAH BEYAZ LTD.ŞTİ.</v>
      </c>
      <c r="O337" s="2"/>
      <c r="P337" s="2"/>
      <c r="Q337" s="1" t="str">
        <f>IF($D337="","",$C337&amp;"|"&amp;COUNTIFS($C$7:$C337,$C337))</f>
        <v>M014|18</v>
      </c>
      <c r="R337" s="1" t="str">
        <f t="shared" si="10"/>
        <v>FINALSIYAHBEYAZLTDSTI</v>
      </c>
      <c r="S337" s="1" t="str">
        <f t="shared" si="11"/>
        <v>M014|46165|4000|</v>
      </c>
      <c r="T337" s="1">
        <f>IF($E337="",0,SUMPRODUCT((AY_SONU!$O$7:$O$42="Evet")*(AY_SONU!$B$7:$B$42=DATE(YEAR($E337),MONTH($E337),1))))</f>
        <v>0</v>
      </c>
      <c r="U337" s="1" t="str">
        <f>IF(OR($G337="",$H337="Mahsup"),"",$G337&amp;"|"&amp;COUNTIFS($G$7:$G337,$G337,$H$7:$H337,"&lt;&gt;Mahsup"))</f>
        <v>MERKEZ KASA|260</v>
      </c>
    </row>
    <row r="338" spans="1:21" ht="18" customHeight="1" x14ac:dyDescent="0.3">
      <c r="A338" s="2"/>
      <c r="B338" s="65" t="str">
        <f>IF($D338="","","T"&amp;TEXT(ROW()-6,"00000"))</f>
        <v>T00332</v>
      </c>
      <c r="C338" s="65" t="str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>M012</v>
      </c>
      <c r="D338" s="61" t="s">
        <v>721</v>
      </c>
      <c r="E338" s="66">
        <v>46165</v>
      </c>
      <c r="F338" s="67">
        <v>4000</v>
      </c>
      <c r="G338" s="60" t="s">
        <v>717</v>
      </c>
      <c r="H338" s="60" t="s">
        <v>572</v>
      </c>
      <c r="I338" s="61"/>
      <c r="J338" s="61" t="s">
        <v>720</v>
      </c>
      <c r="K338" s="61"/>
      <c r="L338" s="73">
        <f>IF($E338="","",DATE(YEAR($E338),MONTH($E338),1))</f>
        <v>46143</v>
      </c>
      <c r="M338" s="65" t="str">
        <f ca="1">IF($D338="","",IF($C338="TANIMSIZ MÜŞTERİ","HATA",IF(OR($E338="",$F338&lt;=0,$G338=""),"EKSİK",IF($E338&gt;TODAY(),"İLERİ TARİH",IF(COUNTIF($S$7:$S$2503,$S338)&gt;1,"MÜKERRER?",IF($T338&gt;0,"KAPALI DÖNEM","UYGUN"))))))</f>
        <v>UYGUN</v>
      </c>
      <c r="N338" s="74" t="str">
        <f>IF($C338="","",IF($C338="TANIMSIZ MÜŞTERİ","—",INDEX(MUSTERILER!$C$7:$C$156,MATCH($C338,MUSTERILER!$B$7:$B$156,0))))</f>
        <v>İLDEŞ LTD.ŞTİ.</v>
      </c>
      <c r="O338" s="2"/>
      <c r="P338" s="2"/>
      <c r="Q338" s="1" t="str">
        <f>IF($D338="","",$C338&amp;"|"&amp;COUNTIFS($C$7:$C338,$C338))</f>
        <v>M012|20</v>
      </c>
      <c r="R338" s="1" t="str">
        <f t="shared" si="10"/>
        <v>ILDESLTDSTI</v>
      </c>
      <c r="S338" s="1" t="str">
        <f t="shared" si="11"/>
        <v>M012|46165|4000|</v>
      </c>
      <c r="T338" s="1">
        <f>IF($E338="",0,SUMPRODUCT((AY_SONU!$O$7:$O$42="Evet")*(AY_SONU!$B$7:$B$42=DATE(YEAR($E338),MONTH($E338),1))))</f>
        <v>0</v>
      </c>
      <c r="U338" s="1" t="str">
        <f>IF(OR($G338="",$H338="Mahsup"),"",$G338&amp;"|"&amp;COUNTIFS($G$7:$G338,$G338,$H$7:$H338,"&lt;&gt;Mahsup"))</f>
        <v>MERKEZ KASA|261</v>
      </c>
    </row>
    <row r="339" spans="1:21" ht="18" customHeight="1" x14ac:dyDescent="0.3">
      <c r="A339" s="2"/>
      <c r="B339" s="65" t="str">
        <f>IF($D339="","","T"&amp;TEXT(ROW()-6,"00000"))</f>
        <v>T00333</v>
      </c>
      <c r="C339" s="65" t="str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>M007</v>
      </c>
      <c r="D339" s="61" t="s">
        <v>733</v>
      </c>
      <c r="E339" s="66">
        <v>46165</v>
      </c>
      <c r="F339" s="67">
        <v>3500</v>
      </c>
      <c r="G339" s="60" t="s">
        <v>717</v>
      </c>
      <c r="H339" s="60" t="s">
        <v>572</v>
      </c>
      <c r="I339" s="61"/>
      <c r="J339" s="61" t="s">
        <v>720</v>
      </c>
      <c r="K339" s="61"/>
      <c r="L339" s="73">
        <f>IF($E339="","",DATE(YEAR($E339),MONTH($E339),1))</f>
        <v>46143</v>
      </c>
      <c r="M339" s="65" t="str">
        <f ca="1">IF($D339="","",IF($C339="TANIMSIZ MÜŞTERİ","HATA",IF(OR($E339="",$F339&lt;=0,$G339=""),"EKSİK",IF($E339&gt;TODAY(),"İLERİ TARİH",IF(COUNTIF($S$7:$S$2503,$S339)&gt;1,"MÜKERRER?",IF($T339&gt;0,"KAPALI DÖNEM","UYGUN"))))))</f>
        <v>UYGUN</v>
      </c>
      <c r="N339" s="74" t="str">
        <f>IF($C339="","",IF($C339="TANIMSIZ MÜŞTERİ","—",INDEX(MUSTERILER!$C$7:$C$156,MATCH($C339,MUSTERILER!$B$7:$B$156,0))))</f>
        <v>MONAMOUR LTD.ŞTİ.</v>
      </c>
      <c r="O339" s="2"/>
      <c r="P339" s="2"/>
      <c r="Q339" s="1" t="str">
        <f>IF($D339="","",$C339&amp;"|"&amp;COUNTIFS($C$7:$C339,$C339))</f>
        <v>M007|16</v>
      </c>
      <c r="R339" s="1" t="str">
        <f t="shared" si="10"/>
        <v>MONAMOURLTDSTI</v>
      </c>
      <c r="S339" s="1" t="str">
        <f t="shared" si="11"/>
        <v>M007|46165|3500|</v>
      </c>
      <c r="T339" s="1">
        <f>IF($E339="",0,SUMPRODUCT((AY_SONU!$O$7:$O$42="Evet")*(AY_SONU!$B$7:$B$42=DATE(YEAR($E339),MONTH($E339),1))))</f>
        <v>0</v>
      </c>
      <c r="U339" s="1" t="str">
        <f>IF(OR($G339="",$H339="Mahsup"),"",$G339&amp;"|"&amp;COUNTIFS($G$7:$G339,$G339,$H$7:$H339,"&lt;&gt;Mahsup"))</f>
        <v>MERKEZ KASA|262</v>
      </c>
    </row>
    <row r="340" spans="1:21" ht="18" customHeight="1" x14ac:dyDescent="0.3">
      <c r="A340" s="2"/>
      <c r="B340" s="65" t="str">
        <f>IF($D340="","","T"&amp;TEXT(ROW()-6,"00000"))</f>
        <v>T00334</v>
      </c>
      <c r="C340" s="65" t="str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>M009</v>
      </c>
      <c r="D340" s="61" t="s">
        <v>735</v>
      </c>
      <c r="E340" s="66">
        <v>46165</v>
      </c>
      <c r="F340" s="67">
        <v>4000</v>
      </c>
      <c r="G340" s="60" t="s">
        <v>717</v>
      </c>
      <c r="H340" s="60" t="s">
        <v>572</v>
      </c>
      <c r="I340" s="61"/>
      <c r="J340" s="61" t="s">
        <v>720</v>
      </c>
      <c r="K340" s="61"/>
      <c r="L340" s="73">
        <f>IF($E340="","",DATE(YEAR($E340),MONTH($E340),1))</f>
        <v>46143</v>
      </c>
      <c r="M340" s="65" t="str">
        <f ca="1">IF($D340="","",IF($C340="TANIMSIZ MÜŞTERİ","HATA",IF(OR($E340="",$F340&lt;=0,$G340=""),"EKSİK",IF($E340&gt;TODAY(),"İLERİ TARİH",IF(COUNTIF($S$7:$S$2503,$S340)&gt;1,"MÜKERRER?",IF($T340&gt;0,"KAPALI DÖNEM","UYGUN"))))))</f>
        <v>UYGUN</v>
      </c>
      <c r="N340" s="74" t="str">
        <f>IF($C340="","",IF($C340="TANIMSIZ MÜŞTERİ","—",INDEX(MUSTERILER!$C$7:$C$156,MATCH($C340,MUSTERILER!$B$7:$B$156,0))))</f>
        <v>PAKYILDIZ LTD.ŞTİ.</v>
      </c>
      <c r="O340" s="2"/>
      <c r="P340" s="2"/>
      <c r="Q340" s="1" t="str">
        <f>IF($D340="","",$C340&amp;"|"&amp;COUNTIFS($C$7:$C340,$C340))</f>
        <v>M009|16</v>
      </c>
      <c r="R340" s="1" t="str">
        <f t="shared" si="10"/>
        <v>PAKYILDIZLTDSTI</v>
      </c>
      <c r="S340" s="1" t="str">
        <f t="shared" si="11"/>
        <v>M009|46165|4000|</v>
      </c>
      <c r="T340" s="1">
        <f>IF($E340="",0,SUMPRODUCT((AY_SONU!$O$7:$O$42="Evet")*(AY_SONU!$B$7:$B$42=DATE(YEAR($E340),MONTH($E340),1))))</f>
        <v>0</v>
      </c>
      <c r="U340" s="1" t="str">
        <f>IF(OR($G340="",$H340="Mahsup"),"",$G340&amp;"|"&amp;COUNTIFS($G$7:$G340,$G340,$H$7:$H340,"&lt;&gt;Mahsup"))</f>
        <v>MERKEZ KASA|263</v>
      </c>
    </row>
    <row r="341" spans="1:21" ht="18" customHeight="1" x14ac:dyDescent="0.3">
      <c r="A341" s="2"/>
      <c r="B341" s="65" t="str">
        <f>IF($D341="","","T"&amp;TEXT(ROW()-6,"00000"))</f>
        <v>T00335</v>
      </c>
      <c r="C341" s="65" t="str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>M016</v>
      </c>
      <c r="D341" s="61" t="s">
        <v>736</v>
      </c>
      <c r="E341" s="66">
        <v>46165</v>
      </c>
      <c r="F341" s="67">
        <v>3000</v>
      </c>
      <c r="G341" s="60" t="s">
        <v>717</v>
      </c>
      <c r="H341" s="60" t="s">
        <v>572</v>
      </c>
      <c r="I341" s="61"/>
      <c r="J341" s="61" t="s">
        <v>720</v>
      </c>
      <c r="K341" s="61"/>
      <c r="L341" s="73">
        <f>IF($E341="","",DATE(YEAR($E341),MONTH($E341),1))</f>
        <v>46143</v>
      </c>
      <c r="M341" s="65" t="str">
        <f ca="1">IF($D341="","",IF($C341="TANIMSIZ MÜŞTERİ","HATA",IF(OR($E341="",$F341&lt;=0,$G341=""),"EKSİK",IF($E341&gt;TODAY(),"İLERİ TARİH",IF(COUNTIF($S$7:$S$2503,$S341)&gt;1,"MÜKERRER?",IF($T341&gt;0,"KAPALI DÖNEM","UYGUN"))))))</f>
        <v>UYGUN</v>
      </c>
      <c r="N341" s="74" t="str">
        <f>IF($C341="","",IF($C341="TANIMSIZ MÜŞTERİ","—",INDEX(MUSTERILER!$C$7:$C$156,MATCH($C341,MUSTERILER!$B$7:$B$156,0))))</f>
        <v>RİX ŞOW LTD.ŞTİ.</v>
      </c>
      <c r="O341" s="2"/>
      <c r="P341" s="2"/>
      <c r="Q341" s="1" t="str">
        <f>IF($D341="","",$C341&amp;"|"&amp;COUNTIFS($C$7:$C341,$C341))</f>
        <v>M016|19</v>
      </c>
      <c r="R341" s="1" t="str">
        <f t="shared" si="10"/>
        <v>RIXSOWLTDSTI</v>
      </c>
      <c r="S341" s="1" t="str">
        <f t="shared" si="11"/>
        <v>M016|46165|3000|</v>
      </c>
      <c r="T341" s="1">
        <f>IF($E341="",0,SUMPRODUCT((AY_SONU!$O$7:$O$42="Evet")*(AY_SONU!$B$7:$B$42=DATE(YEAR($E341),MONTH($E341),1))))</f>
        <v>0</v>
      </c>
      <c r="U341" s="1" t="str">
        <f>IF(OR($G341="",$H341="Mahsup"),"",$G341&amp;"|"&amp;COUNTIFS($G$7:$G341,$G341,$H$7:$H341,"&lt;&gt;Mahsup"))</f>
        <v>MERKEZ KASA|264</v>
      </c>
    </row>
    <row r="342" spans="1:21" ht="18" customHeight="1" x14ac:dyDescent="0.3">
      <c r="A342" s="2"/>
      <c r="B342" s="65" t="str">
        <f>IF($D342="","","T"&amp;TEXT(ROW()-6,"00000"))</f>
        <v>T00336</v>
      </c>
      <c r="C342" s="65" t="str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>M018</v>
      </c>
      <c r="D342" s="61" t="s">
        <v>593</v>
      </c>
      <c r="E342" s="66">
        <v>46165</v>
      </c>
      <c r="F342" s="67">
        <v>2500</v>
      </c>
      <c r="G342" s="60" t="s">
        <v>717</v>
      </c>
      <c r="H342" s="60" t="s">
        <v>572</v>
      </c>
      <c r="I342" s="61"/>
      <c r="J342" s="61" t="s">
        <v>720</v>
      </c>
      <c r="K342" s="61"/>
      <c r="L342" s="73">
        <f>IF($E342="","",DATE(YEAR($E342),MONTH($E342),1))</f>
        <v>46143</v>
      </c>
      <c r="M342" s="65" t="str">
        <f ca="1">IF($D342="","",IF($C342="TANIMSIZ MÜŞTERİ","HATA",IF(OR($E342="",$F342&lt;=0,$G342=""),"EKSİK",IF($E342&gt;TODAY(),"İLERİ TARİH",IF(COUNTIF($S$7:$S$2503,$S342)&gt;1,"MÜKERRER?",IF($T342&gt;0,"KAPALI DÖNEM","UYGUN"))))))</f>
        <v>UYGUN</v>
      </c>
      <c r="N342" s="74" t="str">
        <f>IF($C342="","",IF($C342="TANIMSIZ MÜŞTERİ","—",INDEX(MUSTERILER!$C$7:$C$156,MATCH($C342,MUSTERILER!$B$7:$B$156,0))))</f>
        <v>ÇINARHAN LTD.ŞTİ.</v>
      </c>
      <c r="O342" s="2"/>
      <c r="P342" s="2"/>
      <c r="Q342" s="1" t="str">
        <f>IF($D342="","",$C342&amp;"|"&amp;COUNTIFS($C$7:$C342,$C342))</f>
        <v>M018|15</v>
      </c>
      <c r="R342" s="1" t="str">
        <f t="shared" si="10"/>
        <v>CINARHANLTDSTI</v>
      </c>
      <c r="S342" s="1" t="str">
        <f t="shared" si="11"/>
        <v>M018|46165|2500|</v>
      </c>
      <c r="T342" s="1">
        <f>IF($E342="",0,SUMPRODUCT((AY_SONU!$O$7:$O$42="Evet")*(AY_SONU!$B$7:$B$42=DATE(YEAR($E342),MONTH($E342),1))))</f>
        <v>0</v>
      </c>
      <c r="U342" s="1" t="str">
        <f>IF(OR($G342="",$H342="Mahsup"),"",$G342&amp;"|"&amp;COUNTIFS($G$7:$G342,$G342,$H$7:$H342,"&lt;&gt;Mahsup"))</f>
        <v>MERKEZ KASA|265</v>
      </c>
    </row>
    <row r="343" spans="1:21" ht="18" customHeight="1" x14ac:dyDescent="0.3">
      <c r="A343" s="2"/>
      <c r="B343" s="65" t="str">
        <f>IF($D343="","","T"&amp;TEXT(ROW()-6,"00000"))</f>
        <v>T00337</v>
      </c>
      <c r="C343" s="65" t="str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>M054</v>
      </c>
      <c r="D343" s="61" t="s">
        <v>674</v>
      </c>
      <c r="E343" s="66">
        <v>46165</v>
      </c>
      <c r="F343" s="67">
        <v>4000</v>
      </c>
      <c r="G343" s="60" t="s">
        <v>717</v>
      </c>
      <c r="H343" s="60" t="s">
        <v>572</v>
      </c>
      <c r="I343" s="61"/>
      <c r="J343" s="61" t="s">
        <v>720</v>
      </c>
      <c r="K343" s="61"/>
      <c r="L343" s="73">
        <f>IF($E343="","",DATE(YEAR($E343),MONTH($E343),1))</f>
        <v>46143</v>
      </c>
      <c r="M343" s="65" t="str">
        <f ca="1">IF($D343="","",IF($C343="TANIMSIZ MÜŞTERİ","HATA",IF(OR($E343="",$F343&lt;=0,$G343=""),"EKSİK",IF($E343&gt;TODAY(),"İLERİ TARİH",IF(COUNTIF($S$7:$S$2503,$S343)&gt;1,"MÜKERRER?",IF($T343&gt;0,"KAPALI DÖNEM","UYGUN"))))))</f>
        <v>UYGUN</v>
      </c>
      <c r="N343" s="74" t="str">
        <f>IF($C343="","",IF($C343="TANIMSIZ MÜŞTERİ","—",INDEX(MUSTERILER!$C$7:$C$156,MATCH($C343,MUSTERILER!$B$7:$B$156,0))))</f>
        <v>YALIKENT LTD.ŞTİ.</v>
      </c>
      <c r="O343" s="2"/>
      <c r="P343" s="2"/>
      <c r="Q343" s="1" t="str">
        <f>IF($D343="","",$C343&amp;"|"&amp;COUNTIFS($C$7:$C343,$C343))</f>
        <v>M054|9</v>
      </c>
      <c r="R343" s="1" t="str">
        <f t="shared" si="10"/>
        <v>YALIKENTLTDSTI</v>
      </c>
      <c r="S343" s="1" t="str">
        <f t="shared" si="11"/>
        <v>M054|46165|4000|</v>
      </c>
      <c r="T343" s="1">
        <f>IF($E343="",0,SUMPRODUCT((AY_SONU!$O$7:$O$42="Evet")*(AY_SONU!$B$7:$B$42=DATE(YEAR($E343),MONTH($E343),1))))</f>
        <v>0</v>
      </c>
      <c r="U343" s="1" t="str">
        <f>IF(OR($G343="",$H343="Mahsup"),"",$G343&amp;"|"&amp;COUNTIFS($G$7:$G343,$G343,$H$7:$H343,"&lt;&gt;Mahsup"))</f>
        <v>MERKEZ KASA|266</v>
      </c>
    </row>
    <row r="344" spans="1:21" ht="18" customHeight="1" x14ac:dyDescent="0.3">
      <c r="A344" s="2"/>
      <c r="B344" s="65" t="str">
        <f>IF($D344="","","T"&amp;TEXT(ROW()-6,"00000"))</f>
        <v>T00338</v>
      </c>
      <c r="C344" s="65" t="str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>M030</v>
      </c>
      <c r="D344" s="61" t="s">
        <v>603</v>
      </c>
      <c r="E344" s="66">
        <v>46168</v>
      </c>
      <c r="F344" s="67">
        <v>2000</v>
      </c>
      <c r="G344" s="60" t="s">
        <v>717</v>
      </c>
      <c r="H344" s="60" t="s">
        <v>572</v>
      </c>
      <c r="I344" s="61"/>
      <c r="J344" s="61" t="s">
        <v>720</v>
      </c>
      <c r="K344" s="61"/>
      <c r="L344" s="73">
        <f>IF($E344="","",DATE(YEAR($E344),MONTH($E344),1))</f>
        <v>46143</v>
      </c>
      <c r="M344" s="65" t="str">
        <f ca="1">IF($D344="","",IF($C344="TANIMSIZ MÜŞTERİ","HATA",IF(OR($E344="",$F344&lt;=0,$G344=""),"EKSİK",IF($E344&gt;TODAY(),"İLERİ TARİH",IF(COUNTIF($S$7:$S$2503,$S344)&gt;1,"MÜKERRER?",IF($T344&gt;0,"KAPALI DÖNEM","UYGUN"))))))</f>
        <v>UYGUN</v>
      </c>
      <c r="N344" s="74" t="str">
        <f>IF($C344="","",IF($C344="TANIMSIZ MÜŞTERİ","—",INDEX(MUSTERILER!$C$7:$C$156,MATCH($C344,MUSTERILER!$B$7:$B$156,0))))</f>
        <v>FARUK DEMİRCİ</v>
      </c>
      <c r="O344" s="2"/>
      <c r="P344" s="2"/>
      <c r="Q344" s="1" t="str">
        <f>IF($D344="","",$C344&amp;"|"&amp;COUNTIFS($C$7:$C344,$C344))</f>
        <v>M030|2</v>
      </c>
      <c r="R344" s="1" t="str">
        <f t="shared" si="10"/>
        <v>FARUKDEMIRCI</v>
      </c>
      <c r="S344" s="1" t="str">
        <f t="shared" si="11"/>
        <v>M030|46168|2000|</v>
      </c>
      <c r="T344" s="1">
        <f>IF($E344="",0,SUMPRODUCT((AY_SONU!$O$7:$O$42="Evet")*(AY_SONU!$B$7:$B$42=DATE(YEAR($E344),MONTH($E344),1))))</f>
        <v>0</v>
      </c>
      <c r="U344" s="1" t="str">
        <f>IF(OR($G344="",$H344="Mahsup"),"",$G344&amp;"|"&amp;COUNTIFS($G$7:$G344,$G344,$H$7:$H344,"&lt;&gt;Mahsup"))</f>
        <v>MERKEZ KASA|267</v>
      </c>
    </row>
    <row r="345" spans="1:21" ht="18" customHeight="1" x14ac:dyDescent="0.3">
      <c r="A345" s="2"/>
      <c r="B345" s="65" t="str">
        <f>IF($D345="","","T"&amp;TEXT(ROW()-6,"00000"))</f>
        <v>T00339</v>
      </c>
      <c r="C345" s="65" t="str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>M005</v>
      </c>
      <c r="D345" s="61" t="s">
        <v>722</v>
      </c>
      <c r="E345" s="66">
        <v>46168</v>
      </c>
      <c r="F345" s="67">
        <v>1500</v>
      </c>
      <c r="G345" s="60" t="s">
        <v>717</v>
      </c>
      <c r="H345" s="60" t="s">
        <v>572</v>
      </c>
      <c r="I345" s="61"/>
      <c r="J345" s="61" t="s">
        <v>720</v>
      </c>
      <c r="K345" s="61"/>
      <c r="L345" s="73">
        <f>IF($E345="","",DATE(YEAR($E345),MONTH($E345),1))</f>
        <v>46143</v>
      </c>
      <c r="M345" s="65" t="str">
        <f ca="1">IF($D345="","",IF($C345="TANIMSIZ MÜŞTERİ","HATA",IF(OR($E345="",$F345&lt;=0,$G345=""),"EKSİK",IF($E345&gt;TODAY(),"İLERİ TARİH",IF(COUNTIF($S$7:$S$2503,$S345)&gt;1,"MÜKERRER?",IF($T345&gt;0,"KAPALI DÖNEM","UYGUN"))))))</f>
        <v>UYGUN</v>
      </c>
      <c r="N345" s="74" t="str">
        <f>IF($C345="","",IF($C345="TANIMSIZ MÜŞTERİ","—",INDEX(MUSTERILER!$C$7:$C$156,MATCH($C345,MUSTERILER!$B$7:$B$156,0))))</f>
        <v>ZÜMRÜT GRUP LTD.ŞTİ.</v>
      </c>
      <c r="O345" s="2"/>
      <c r="P345" s="2"/>
      <c r="Q345" s="1" t="str">
        <f>IF($D345="","",$C345&amp;"|"&amp;COUNTIFS($C$7:$C345,$C345))</f>
        <v>M005|17</v>
      </c>
      <c r="R345" s="1" t="str">
        <f t="shared" si="10"/>
        <v>ZUMRUTGRUPLTDSTI</v>
      </c>
      <c r="S345" s="1" t="str">
        <f t="shared" si="11"/>
        <v>M005|46168|1500|</v>
      </c>
      <c r="T345" s="1">
        <f>IF($E345="",0,SUMPRODUCT((AY_SONU!$O$7:$O$42="Evet")*(AY_SONU!$B$7:$B$42=DATE(YEAR($E345),MONTH($E345),1))))</f>
        <v>0</v>
      </c>
      <c r="U345" s="1" t="str">
        <f>IF(OR($G345="",$H345="Mahsup"),"",$G345&amp;"|"&amp;COUNTIFS($G$7:$G345,$G345,$H$7:$H345,"&lt;&gt;Mahsup"))</f>
        <v>MERKEZ KASA|268</v>
      </c>
    </row>
    <row r="346" spans="1:21" ht="18" customHeight="1" x14ac:dyDescent="0.3">
      <c r="A346" s="2"/>
      <c r="B346" s="65" t="str">
        <f>IF($D346="","","T"&amp;TEXT(ROW()-6,"00000"))</f>
        <v>T00340</v>
      </c>
      <c r="C346" s="65" t="str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>M037</v>
      </c>
      <c r="D346" s="61" t="s">
        <v>625</v>
      </c>
      <c r="E346" s="66">
        <v>46169</v>
      </c>
      <c r="F346" s="67">
        <v>2000</v>
      </c>
      <c r="G346" s="60" t="s">
        <v>717</v>
      </c>
      <c r="H346" s="60" t="s">
        <v>572</v>
      </c>
      <c r="I346" s="61"/>
      <c r="J346" s="61" t="s">
        <v>720</v>
      </c>
      <c r="K346" s="61"/>
      <c r="L346" s="73">
        <f>IF($E346="","",DATE(YEAR($E346),MONTH($E346),1))</f>
        <v>46143</v>
      </c>
      <c r="M346" s="65" t="str">
        <f ca="1">IF($D346="","",IF($C346="TANIMSIZ MÜŞTERİ","HATA",IF(OR($E346="",$F346&lt;=0,$G346=""),"EKSİK",IF($E346&gt;TODAY(),"İLERİ TARİH",IF(COUNTIF($S$7:$S$2503,$S346)&gt;1,"MÜKERRER?",IF($T346&gt;0,"KAPALI DÖNEM","UYGUN"))))))</f>
        <v>UYGUN</v>
      </c>
      <c r="N346" s="74" t="str">
        <f>IF($C346="","",IF($C346="TANIMSIZ MÜŞTERİ","—",INDEX(MUSTERILER!$C$7:$C$156,MATCH($C346,MUSTERILER!$B$7:$B$156,0))))</f>
        <v>MEHMET EVREN KILINÇ</v>
      </c>
      <c r="O346" s="2"/>
      <c r="P346" s="2"/>
      <c r="Q346" s="1" t="str">
        <f>IF($D346="","",$C346&amp;"|"&amp;COUNTIFS($C$7:$C346,$C346))</f>
        <v>M037|4</v>
      </c>
      <c r="R346" s="1" t="str">
        <f t="shared" si="10"/>
        <v>MEHMETEVRENKILINC</v>
      </c>
      <c r="S346" s="1" t="str">
        <f t="shared" si="11"/>
        <v>M037|46169|2000|</v>
      </c>
      <c r="T346" s="1">
        <f>IF($E346="",0,SUMPRODUCT((AY_SONU!$O$7:$O$42="Evet")*(AY_SONU!$B$7:$B$42=DATE(YEAR($E346),MONTH($E346),1))))</f>
        <v>0</v>
      </c>
      <c r="U346" s="1" t="str">
        <f>IF(OR($G346="",$H346="Mahsup"),"",$G346&amp;"|"&amp;COUNTIFS($G$7:$G346,$G346,$H$7:$H346,"&lt;&gt;Mahsup"))</f>
        <v>MERKEZ KASA|269</v>
      </c>
    </row>
    <row r="347" spans="1:21" ht="18" customHeight="1" x14ac:dyDescent="0.3">
      <c r="A347" s="2"/>
      <c r="B347" s="65" t="str">
        <f>IF($D347="","","T"&amp;TEXT(ROW()-6,"00000"))</f>
        <v>T00341</v>
      </c>
      <c r="C347" s="65" t="str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>M001</v>
      </c>
      <c r="D347" s="61" t="s">
        <v>729</v>
      </c>
      <c r="E347" s="66">
        <v>46172</v>
      </c>
      <c r="F347" s="67">
        <v>4000</v>
      </c>
      <c r="G347" s="60" t="s">
        <v>717</v>
      </c>
      <c r="H347" s="60" t="s">
        <v>572</v>
      </c>
      <c r="I347" s="61"/>
      <c r="J347" s="61" t="s">
        <v>720</v>
      </c>
      <c r="K347" s="61"/>
      <c r="L347" s="73">
        <f>IF($E347="","",DATE(YEAR($E347),MONTH($E347),1))</f>
        <v>46143</v>
      </c>
      <c r="M347" s="65" t="str">
        <f ca="1">IF($D347="","",IF($C347="TANIMSIZ MÜŞTERİ","HATA",IF(OR($E347="",$F347&lt;=0,$G347=""),"EKSİK",IF($E347&gt;TODAY(),"İLERİ TARİH",IF(COUNTIF($S$7:$S$2503,$S347)&gt;1,"MÜKERRER?",IF($T347&gt;0,"KAPALI DÖNEM","UYGUN"))))))</f>
        <v>UYGUN</v>
      </c>
      <c r="N347" s="74" t="str">
        <f>IF($C347="","",IF($C347="TANIMSIZ MÜŞTERİ","—",INDEX(MUSTERILER!$C$7:$C$156,MATCH($C347,MUSTERILER!$B$7:$B$156,0))))</f>
        <v>ANKARA HAVANA LTD.ŞTİ.</v>
      </c>
      <c r="O347" s="2"/>
      <c r="P347" s="2"/>
      <c r="Q347" s="1" t="str">
        <f>IF($D347="","",$C347&amp;"|"&amp;COUNTIFS($C$7:$C347,$C347))</f>
        <v>M001|10</v>
      </c>
      <c r="R347" s="1" t="str">
        <f t="shared" si="10"/>
        <v>ANKARAHAVANALTDSTI</v>
      </c>
      <c r="S347" s="1" t="str">
        <f t="shared" si="11"/>
        <v>M001|46172|4000|</v>
      </c>
      <c r="T347" s="1">
        <f>IF($E347="",0,SUMPRODUCT((AY_SONU!$O$7:$O$42="Evet")*(AY_SONU!$B$7:$B$42=DATE(YEAR($E347),MONTH($E347),1))))</f>
        <v>0</v>
      </c>
      <c r="U347" s="1" t="str">
        <f>IF(OR($G347="",$H347="Mahsup"),"",$G347&amp;"|"&amp;COUNTIFS($G$7:$G347,$G347,$H$7:$H347,"&lt;&gt;Mahsup"))</f>
        <v>MERKEZ KASA|270</v>
      </c>
    </row>
    <row r="348" spans="1:21" ht="18" customHeight="1" x14ac:dyDescent="0.3">
      <c r="A348" s="2"/>
      <c r="B348" s="65" t="str">
        <f>IF($D348="","","T"&amp;TEXT(ROW()-6,"00000"))</f>
        <v>T00342</v>
      </c>
      <c r="C348" s="65" t="str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>M025</v>
      </c>
      <c r="D348" s="61" t="s">
        <v>583</v>
      </c>
      <c r="E348" s="66">
        <v>46172</v>
      </c>
      <c r="F348" s="67">
        <v>2000</v>
      </c>
      <c r="G348" s="60" t="s">
        <v>717</v>
      </c>
      <c r="H348" s="60" t="s">
        <v>572</v>
      </c>
      <c r="I348" s="61"/>
      <c r="J348" s="61" t="s">
        <v>720</v>
      </c>
      <c r="K348" s="61"/>
      <c r="L348" s="73">
        <f>IF($E348="","",DATE(YEAR($E348),MONTH($E348),1))</f>
        <v>46143</v>
      </c>
      <c r="M348" s="65" t="str">
        <f ca="1">IF($D348="","",IF($C348="TANIMSIZ MÜŞTERİ","HATA",IF(OR($E348="",$F348&lt;=0,$G348=""),"EKSİK",IF($E348&gt;TODAY(),"İLERİ TARİH",IF(COUNTIF($S$7:$S$2503,$S348)&gt;1,"MÜKERRER?",IF($T348&gt;0,"KAPALI DÖNEM","UYGUN"))))))</f>
        <v>UYGUN</v>
      </c>
      <c r="N348" s="74" t="str">
        <f>IF($C348="","",IF($C348="TANIMSIZ MÜŞTERİ","—",INDEX(MUSTERILER!$C$7:$C$156,MATCH($C348,MUSTERILER!$B$7:$B$156,0))))</f>
        <v>ASIM AÇIKGÖZ</v>
      </c>
      <c r="O348" s="2"/>
      <c r="P348" s="2"/>
      <c r="Q348" s="1" t="str">
        <f>IF($D348="","",$C348&amp;"|"&amp;COUNTIFS($C$7:$C348,$C348))</f>
        <v>M025|17</v>
      </c>
      <c r="R348" s="1" t="str">
        <f t="shared" si="10"/>
        <v>ASIMACIKGOZ</v>
      </c>
      <c r="S348" s="1" t="str">
        <f t="shared" si="11"/>
        <v>M025|46172|2000|</v>
      </c>
      <c r="T348" s="1">
        <f>IF($E348="",0,SUMPRODUCT((AY_SONU!$O$7:$O$42="Evet")*(AY_SONU!$B$7:$B$42=DATE(YEAR($E348),MONTH($E348),1))))</f>
        <v>0</v>
      </c>
      <c r="U348" s="1" t="str">
        <f>IF(OR($G348="",$H348="Mahsup"),"",$G348&amp;"|"&amp;COUNTIFS($G$7:$G348,$G348,$H$7:$H348,"&lt;&gt;Mahsup"))</f>
        <v>MERKEZ KASA|271</v>
      </c>
    </row>
    <row r="349" spans="1:21" ht="18" customHeight="1" x14ac:dyDescent="0.3">
      <c r="A349" s="2"/>
      <c r="B349" s="65" t="str">
        <f>IF($D349="","","T"&amp;TEXT(ROW()-6,"00000"))</f>
        <v>T00343</v>
      </c>
      <c r="C349" s="65" t="str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>M017</v>
      </c>
      <c r="D349" s="61" t="s">
        <v>585</v>
      </c>
      <c r="E349" s="66">
        <v>46172</v>
      </c>
      <c r="F349" s="67">
        <v>2500</v>
      </c>
      <c r="G349" s="60" t="s">
        <v>717</v>
      </c>
      <c r="H349" s="60" t="s">
        <v>572</v>
      </c>
      <c r="I349" s="61"/>
      <c r="J349" s="61" t="s">
        <v>720</v>
      </c>
      <c r="K349" s="61"/>
      <c r="L349" s="73">
        <f>IF($E349="","",DATE(YEAR($E349),MONTH($E349),1))</f>
        <v>46143</v>
      </c>
      <c r="M349" s="65" t="str">
        <f ca="1">IF($D349="","",IF($C349="TANIMSIZ MÜŞTERİ","HATA",IF(OR($E349="",$F349&lt;=0,$G349=""),"EKSİK",IF($E349&gt;TODAY(),"İLERİ TARİH",IF(COUNTIF($S$7:$S$2503,$S349)&gt;1,"MÜKERRER?",IF($T349&gt;0,"KAPALI DÖNEM","UYGUN"))))))</f>
        <v>UYGUN</v>
      </c>
      <c r="N349" s="74" t="str">
        <f>IF($C349="","",IF($C349="TANIMSIZ MÜŞTERİ","—",INDEX(MUSTERILER!$C$7:$C$156,MATCH($C349,MUSTERILER!$B$7:$B$156,0))))</f>
        <v>ASM EĞLENCE LTD.ŞTİ.</v>
      </c>
      <c r="O349" s="2"/>
      <c r="P349" s="2"/>
      <c r="Q349" s="1" t="str">
        <f>IF($D349="","",$C349&amp;"|"&amp;COUNTIFS($C$7:$C349,$C349))</f>
        <v>M017|18</v>
      </c>
      <c r="R349" s="1" t="str">
        <f t="shared" si="10"/>
        <v>ASMEGLENCELTDSTI</v>
      </c>
      <c r="S349" s="1" t="str">
        <f t="shared" si="11"/>
        <v>M017|46172|2500|</v>
      </c>
      <c r="T349" s="1">
        <f>IF($E349="",0,SUMPRODUCT((AY_SONU!$O$7:$O$42="Evet")*(AY_SONU!$B$7:$B$42=DATE(YEAR($E349),MONTH($E349),1))))</f>
        <v>0</v>
      </c>
      <c r="U349" s="1" t="str">
        <f>IF(OR($G349="",$H349="Mahsup"),"",$G349&amp;"|"&amp;COUNTIFS($G$7:$G349,$G349,$H$7:$H349,"&lt;&gt;Mahsup"))</f>
        <v>MERKEZ KASA|272</v>
      </c>
    </row>
    <row r="350" spans="1:21" ht="18" customHeight="1" x14ac:dyDescent="0.3">
      <c r="A350" s="2"/>
      <c r="B350" s="65" t="str">
        <f>IF($D350="","","T"&amp;TEXT(ROW()-6,"00000"))</f>
        <v>T00344</v>
      </c>
      <c r="C350" s="65" t="str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>M015</v>
      </c>
      <c r="D350" s="61" t="s">
        <v>719</v>
      </c>
      <c r="E350" s="66">
        <v>46172</v>
      </c>
      <c r="F350" s="67">
        <v>3000</v>
      </c>
      <c r="G350" s="60" t="s">
        <v>717</v>
      </c>
      <c r="H350" s="60" t="s">
        <v>572</v>
      </c>
      <c r="I350" s="61"/>
      <c r="J350" s="61" t="s">
        <v>720</v>
      </c>
      <c r="K350" s="61"/>
      <c r="L350" s="73">
        <f>IF($E350="","",DATE(YEAR($E350),MONTH($E350),1))</f>
        <v>46143</v>
      </c>
      <c r="M350" s="65" t="str">
        <f ca="1">IF($D350="","",IF($C350="TANIMSIZ MÜŞTERİ","HATA",IF(OR($E350="",$F350&lt;=0,$G350=""),"EKSİK",IF($E350&gt;TODAY(),"İLERİ TARİH",IF(COUNTIF($S$7:$S$2503,$S350)&gt;1,"MÜKERRER?",IF($T350&gt;0,"KAPALI DÖNEM","UYGUN"))))))</f>
        <v>UYGUN</v>
      </c>
      <c r="N350" s="74" t="str">
        <f>IF($C350="","",IF($C350="TANIMSIZ MÜŞTERİ","—",INDEX(MUSTERILER!$C$7:$C$156,MATCH($C350,MUSTERILER!$B$7:$B$156,0))))</f>
        <v>ÇAYIRALAN LTD.ŞTİ.</v>
      </c>
      <c r="O350" s="2"/>
      <c r="P350" s="2"/>
      <c r="Q350" s="1" t="str">
        <f>IF($D350="","",$C350&amp;"|"&amp;COUNTIFS($C$7:$C350,$C350))</f>
        <v>M015|19</v>
      </c>
      <c r="R350" s="1" t="str">
        <f t="shared" si="10"/>
        <v>CAYIRALANLTDSTI</v>
      </c>
      <c r="S350" s="1" t="str">
        <f t="shared" si="11"/>
        <v>M015|46172|3000|</v>
      </c>
      <c r="T350" s="1">
        <f>IF($E350="",0,SUMPRODUCT((AY_SONU!$O$7:$O$42="Evet")*(AY_SONU!$B$7:$B$42=DATE(YEAR($E350),MONTH($E350),1))))</f>
        <v>0</v>
      </c>
      <c r="U350" s="1" t="str">
        <f>IF(OR($G350="",$H350="Mahsup"),"",$G350&amp;"|"&amp;COUNTIFS($G$7:$G350,$G350,$H$7:$H350,"&lt;&gt;Mahsup"))</f>
        <v>MERKEZ KASA|273</v>
      </c>
    </row>
    <row r="351" spans="1:21" ht="18" customHeight="1" x14ac:dyDescent="0.3">
      <c r="A351" s="2"/>
      <c r="B351" s="65" t="str">
        <f>IF($D351="","","T"&amp;TEXT(ROW()-6,"00000"))</f>
        <v>T00345</v>
      </c>
      <c r="C351" s="65" t="str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>M011</v>
      </c>
      <c r="D351" s="61" t="s">
        <v>730</v>
      </c>
      <c r="E351" s="66">
        <v>46172</v>
      </c>
      <c r="F351" s="67">
        <v>4000</v>
      </c>
      <c r="G351" s="60" t="s">
        <v>717</v>
      </c>
      <c r="H351" s="60" t="s">
        <v>572</v>
      </c>
      <c r="I351" s="61"/>
      <c r="J351" s="61" t="s">
        <v>720</v>
      </c>
      <c r="K351" s="61"/>
      <c r="L351" s="73">
        <f>IF($E351="","",DATE(YEAR($E351),MONTH($E351),1))</f>
        <v>46143</v>
      </c>
      <c r="M351" s="65" t="str">
        <f ca="1">IF($D351="","",IF($C351="TANIMSIZ MÜŞTERİ","HATA",IF(OR($E351="",$F351&lt;=0,$G351=""),"EKSİK",IF($E351&gt;TODAY(),"İLERİ TARİH",IF(COUNTIF($S$7:$S$2503,$S351)&gt;1,"MÜKERRER?",IF($T351&gt;0,"KAPALI DÖNEM","UYGUN"))))))</f>
        <v>UYGUN</v>
      </c>
      <c r="N351" s="74" t="str">
        <f>IF($C351="","",IF($C351="TANIMSIZ MÜŞTERİ","—",INDEX(MUSTERILER!$C$7:$C$156,MATCH($C351,MUSTERILER!$B$7:$B$156,0))))</f>
        <v>EĞLENGÖR LTD.ŞTİ.</v>
      </c>
      <c r="O351" s="2"/>
      <c r="P351" s="2"/>
      <c r="Q351" s="1" t="str">
        <f>IF($D351="","",$C351&amp;"|"&amp;COUNTIFS($C$7:$C351,$C351))</f>
        <v>M011|20</v>
      </c>
      <c r="R351" s="1" t="str">
        <f t="shared" si="10"/>
        <v>EGLENGORLTDSTI</v>
      </c>
      <c r="S351" s="1" t="str">
        <f t="shared" si="11"/>
        <v>M011|46172|4000|</v>
      </c>
      <c r="T351" s="1">
        <f>IF($E351="",0,SUMPRODUCT((AY_SONU!$O$7:$O$42="Evet")*(AY_SONU!$B$7:$B$42=DATE(YEAR($E351),MONTH($E351),1))))</f>
        <v>0</v>
      </c>
      <c r="U351" s="1" t="str">
        <f>IF(OR($G351="",$H351="Mahsup"),"",$G351&amp;"|"&amp;COUNTIFS($G$7:$G351,$G351,$H$7:$H351,"&lt;&gt;Mahsup"))</f>
        <v>MERKEZ KASA|274</v>
      </c>
    </row>
    <row r="352" spans="1:21" ht="18" customHeight="1" x14ac:dyDescent="0.3">
      <c r="A352" s="2"/>
      <c r="B352" s="65" t="str">
        <f>IF($D352="","","T"&amp;TEXT(ROW()-6,"00000"))</f>
        <v>T00346</v>
      </c>
      <c r="C352" s="65" t="str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>M014</v>
      </c>
      <c r="D352" s="61" t="s">
        <v>731</v>
      </c>
      <c r="E352" s="66">
        <v>46172</v>
      </c>
      <c r="F352" s="67">
        <v>4000</v>
      </c>
      <c r="G352" s="60" t="s">
        <v>717</v>
      </c>
      <c r="H352" s="60" t="s">
        <v>572</v>
      </c>
      <c r="I352" s="61"/>
      <c r="J352" s="61" t="s">
        <v>720</v>
      </c>
      <c r="K352" s="61"/>
      <c r="L352" s="73">
        <f>IF($E352="","",DATE(YEAR($E352),MONTH($E352),1))</f>
        <v>46143</v>
      </c>
      <c r="M352" s="65" t="str">
        <f ca="1">IF($D352="","",IF($C352="TANIMSIZ MÜŞTERİ","HATA",IF(OR($E352="",$F352&lt;=0,$G352=""),"EKSİK",IF($E352&gt;TODAY(),"İLERİ TARİH",IF(COUNTIF($S$7:$S$2503,$S352)&gt;1,"MÜKERRER?",IF($T352&gt;0,"KAPALI DÖNEM","UYGUN"))))))</f>
        <v>UYGUN</v>
      </c>
      <c r="N352" s="74" t="str">
        <f>IF($C352="","",IF($C352="TANIMSIZ MÜŞTERİ","—",INDEX(MUSTERILER!$C$7:$C$156,MATCH($C352,MUSTERILER!$B$7:$B$156,0))))</f>
        <v>FİNAL SİYAH BEYAZ LTD.ŞTİ.</v>
      </c>
      <c r="O352" s="2"/>
      <c r="P352" s="2"/>
      <c r="Q352" s="1" t="str">
        <f>IF($D352="","",$C352&amp;"|"&amp;COUNTIFS($C$7:$C352,$C352))</f>
        <v>M014|19</v>
      </c>
      <c r="R352" s="1" t="str">
        <f t="shared" si="10"/>
        <v>FINALSIYAHBEYAZLTDSTI</v>
      </c>
      <c r="S352" s="1" t="str">
        <f t="shared" si="11"/>
        <v>M014|46172|4000|</v>
      </c>
      <c r="T352" s="1">
        <f>IF($E352="",0,SUMPRODUCT((AY_SONU!$O$7:$O$42="Evet")*(AY_SONU!$B$7:$B$42=DATE(YEAR($E352),MONTH($E352),1))))</f>
        <v>0</v>
      </c>
      <c r="U352" s="1" t="str">
        <f>IF(OR($G352="",$H352="Mahsup"),"",$G352&amp;"|"&amp;COUNTIFS($G$7:$G352,$G352,$H$7:$H352,"&lt;&gt;Mahsup"))</f>
        <v>MERKEZ KASA|275</v>
      </c>
    </row>
    <row r="353" spans="1:21" ht="18" customHeight="1" x14ac:dyDescent="0.3">
      <c r="A353" s="2"/>
      <c r="B353" s="65" t="str">
        <f>IF($D353="","","T"&amp;TEXT(ROW()-6,"00000"))</f>
        <v>T00347</v>
      </c>
      <c r="C353" s="65" t="str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>M020</v>
      </c>
      <c r="D353" s="61" t="s">
        <v>623</v>
      </c>
      <c r="E353" s="66">
        <v>46172</v>
      </c>
      <c r="F353" s="67">
        <v>6000</v>
      </c>
      <c r="G353" s="60" t="s">
        <v>723</v>
      </c>
      <c r="H353" s="60" t="s">
        <v>572</v>
      </c>
      <c r="I353" s="61"/>
      <c r="J353" s="61" t="s">
        <v>720</v>
      </c>
      <c r="K353" s="61"/>
      <c r="L353" s="73">
        <f>IF($E353="","",DATE(YEAR($E353),MONTH($E353),1))</f>
        <v>46143</v>
      </c>
      <c r="M353" s="65" t="str">
        <f ca="1">IF($D353="","",IF($C353="TANIMSIZ MÜŞTERİ","HATA",IF(OR($E353="",$F353&lt;=0,$G353=""),"EKSİK",IF($E353&gt;TODAY(),"İLERİ TARİH",IF(COUNTIF($S$7:$S$2503,$S353)&gt;1,"MÜKERRER?",IF($T353&gt;0,"KAPALI DÖNEM","UYGUN"))))))</f>
        <v>UYGUN</v>
      </c>
      <c r="N353" s="74" t="str">
        <f>IF($C353="","",IF($C353="TANIMSIZ MÜŞTERİ","—",INDEX(MUSTERILER!$C$7:$C$156,MATCH($C353,MUSTERILER!$B$7:$B$156,0))))</f>
        <v>KRİSTAL LTD.ŞTİ.</v>
      </c>
      <c r="O353" s="2"/>
      <c r="P353" s="2"/>
      <c r="Q353" s="1" t="str">
        <f>IF($D353="","",$C353&amp;"|"&amp;COUNTIFS($C$7:$C353,$C353))</f>
        <v>M020|20</v>
      </c>
      <c r="R353" s="1" t="str">
        <f t="shared" si="10"/>
        <v>KRISTALLTDSTI</v>
      </c>
      <c r="S353" s="1" t="str">
        <f t="shared" si="11"/>
        <v>M020|46172|6000|</v>
      </c>
      <c r="T353" s="1">
        <f>IF($E353="",0,SUMPRODUCT((AY_SONU!$O$7:$O$42="Evet")*(AY_SONU!$B$7:$B$42=DATE(YEAR($E353),MONTH($E353),1))))</f>
        <v>0</v>
      </c>
      <c r="U353" s="1" t="str">
        <f>IF(OR($G353="",$H353="Mahsup"),"",$G353&amp;"|"&amp;COUNTIFS($G$7:$G353,$G353,$H$7:$H353,"&lt;&gt;Mahsup"))</f>
        <v>ÖMER KARTAL|72</v>
      </c>
    </row>
    <row r="354" spans="1:21" ht="18" customHeight="1" x14ac:dyDescent="0.3">
      <c r="A354" s="2"/>
      <c r="B354" s="65" t="str">
        <f>IF($D354="","","T"&amp;TEXT(ROW()-6,"00000"))</f>
        <v>T00348</v>
      </c>
      <c r="C354" s="65" t="str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>M012</v>
      </c>
      <c r="D354" s="61" t="s">
        <v>721</v>
      </c>
      <c r="E354" s="66">
        <v>46172</v>
      </c>
      <c r="F354" s="67">
        <v>4000</v>
      </c>
      <c r="G354" s="60" t="s">
        <v>717</v>
      </c>
      <c r="H354" s="60" t="s">
        <v>572</v>
      </c>
      <c r="I354" s="61"/>
      <c r="J354" s="61" t="s">
        <v>720</v>
      </c>
      <c r="K354" s="61"/>
      <c r="L354" s="73">
        <f>IF($E354="","",DATE(YEAR($E354),MONTH($E354),1))</f>
        <v>46143</v>
      </c>
      <c r="M354" s="65" t="str">
        <f ca="1">IF($D354="","",IF($C354="TANIMSIZ MÜŞTERİ","HATA",IF(OR($E354="",$F354&lt;=0,$G354=""),"EKSİK",IF($E354&gt;TODAY(),"İLERİ TARİH",IF(COUNTIF($S$7:$S$2503,$S354)&gt;1,"MÜKERRER?",IF($T354&gt;0,"KAPALI DÖNEM","UYGUN"))))))</f>
        <v>UYGUN</v>
      </c>
      <c r="N354" s="74" t="str">
        <f>IF($C354="","",IF($C354="TANIMSIZ MÜŞTERİ","—",INDEX(MUSTERILER!$C$7:$C$156,MATCH($C354,MUSTERILER!$B$7:$B$156,0))))</f>
        <v>İLDEŞ LTD.ŞTİ.</v>
      </c>
      <c r="O354" s="2"/>
      <c r="P354" s="2"/>
      <c r="Q354" s="1" t="str">
        <f>IF($D354="","",$C354&amp;"|"&amp;COUNTIFS($C$7:$C354,$C354))</f>
        <v>M012|21</v>
      </c>
      <c r="R354" s="1" t="str">
        <f t="shared" si="10"/>
        <v>ILDESLTDSTI</v>
      </c>
      <c r="S354" s="1" t="str">
        <f t="shared" si="11"/>
        <v>M012|46172|4000|</v>
      </c>
      <c r="T354" s="1">
        <f>IF($E354="",0,SUMPRODUCT((AY_SONU!$O$7:$O$42="Evet")*(AY_SONU!$B$7:$B$42=DATE(YEAR($E354),MONTH($E354),1))))</f>
        <v>0</v>
      </c>
      <c r="U354" s="1" t="str">
        <f>IF(OR($G354="",$H354="Mahsup"),"",$G354&amp;"|"&amp;COUNTIFS($G$7:$G354,$G354,$H$7:$H354,"&lt;&gt;Mahsup"))</f>
        <v>MERKEZ KASA|276</v>
      </c>
    </row>
    <row r="355" spans="1:21" ht="18" customHeight="1" x14ac:dyDescent="0.3">
      <c r="A355" s="2"/>
      <c r="B355" s="65" t="str">
        <f>IF($D355="","","T"&amp;TEXT(ROW()-6,"00000"))</f>
        <v>T00349</v>
      </c>
      <c r="C355" s="65" t="str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>M009</v>
      </c>
      <c r="D355" s="61" t="s">
        <v>735</v>
      </c>
      <c r="E355" s="66">
        <v>46172</v>
      </c>
      <c r="F355" s="67">
        <v>4000</v>
      </c>
      <c r="G355" s="60" t="s">
        <v>717</v>
      </c>
      <c r="H355" s="60" t="s">
        <v>572</v>
      </c>
      <c r="I355" s="61"/>
      <c r="J355" s="61" t="s">
        <v>720</v>
      </c>
      <c r="K355" s="61"/>
      <c r="L355" s="73">
        <f>IF($E355="","",DATE(YEAR($E355),MONTH($E355),1))</f>
        <v>46143</v>
      </c>
      <c r="M355" s="65" t="str">
        <f ca="1">IF($D355="","",IF($C355="TANIMSIZ MÜŞTERİ","HATA",IF(OR($E355="",$F355&lt;=0,$G355=""),"EKSİK",IF($E355&gt;TODAY(),"İLERİ TARİH",IF(COUNTIF($S$7:$S$2503,$S355)&gt;1,"MÜKERRER?",IF($T355&gt;0,"KAPALI DÖNEM","UYGUN"))))))</f>
        <v>UYGUN</v>
      </c>
      <c r="N355" s="74" t="str">
        <f>IF($C355="","",IF($C355="TANIMSIZ MÜŞTERİ","—",INDEX(MUSTERILER!$C$7:$C$156,MATCH($C355,MUSTERILER!$B$7:$B$156,0))))</f>
        <v>PAKYILDIZ LTD.ŞTİ.</v>
      </c>
      <c r="O355" s="2"/>
      <c r="P355" s="2"/>
      <c r="Q355" s="1" t="str">
        <f>IF($D355="","",$C355&amp;"|"&amp;COUNTIFS($C$7:$C355,$C355))</f>
        <v>M009|17</v>
      </c>
      <c r="R355" s="1" t="str">
        <f t="shared" si="10"/>
        <v>PAKYILDIZLTDSTI</v>
      </c>
      <c r="S355" s="1" t="str">
        <f t="shared" si="11"/>
        <v>M009|46172|4000|</v>
      </c>
      <c r="T355" s="1">
        <f>IF($E355="",0,SUMPRODUCT((AY_SONU!$O$7:$O$42="Evet")*(AY_SONU!$B$7:$B$42=DATE(YEAR($E355),MONTH($E355),1))))</f>
        <v>0</v>
      </c>
      <c r="U355" s="1" t="str">
        <f>IF(OR($G355="",$H355="Mahsup"),"",$G355&amp;"|"&amp;COUNTIFS($G$7:$G355,$G355,$H$7:$H355,"&lt;&gt;Mahsup"))</f>
        <v>MERKEZ KASA|277</v>
      </c>
    </row>
    <row r="356" spans="1:21" ht="18" customHeight="1" x14ac:dyDescent="0.3">
      <c r="A356" s="2"/>
      <c r="B356" s="65" t="str">
        <f>IF($D356="","","T"&amp;TEXT(ROW()-6,"00000"))</f>
        <v>T00350</v>
      </c>
      <c r="C356" s="65" t="str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>M016</v>
      </c>
      <c r="D356" s="61" t="s">
        <v>736</v>
      </c>
      <c r="E356" s="66">
        <v>46172</v>
      </c>
      <c r="F356" s="67">
        <v>3000</v>
      </c>
      <c r="G356" s="60" t="s">
        <v>717</v>
      </c>
      <c r="H356" s="60" t="s">
        <v>572</v>
      </c>
      <c r="I356" s="61"/>
      <c r="J356" s="61" t="s">
        <v>720</v>
      </c>
      <c r="K356" s="61"/>
      <c r="L356" s="73">
        <f>IF($E356="","",DATE(YEAR($E356),MONTH($E356),1))</f>
        <v>46143</v>
      </c>
      <c r="M356" s="65" t="str">
        <f ca="1">IF($D356="","",IF($C356="TANIMSIZ MÜŞTERİ","HATA",IF(OR($E356="",$F356&lt;=0,$G356=""),"EKSİK",IF($E356&gt;TODAY(),"İLERİ TARİH",IF(COUNTIF($S$7:$S$2503,$S356)&gt;1,"MÜKERRER?",IF($T356&gt;0,"KAPALI DÖNEM","UYGUN"))))))</f>
        <v>UYGUN</v>
      </c>
      <c r="N356" s="74" t="str">
        <f>IF($C356="","",IF($C356="TANIMSIZ MÜŞTERİ","—",INDEX(MUSTERILER!$C$7:$C$156,MATCH($C356,MUSTERILER!$B$7:$B$156,0))))</f>
        <v>RİX ŞOW LTD.ŞTİ.</v>
      </c>
      <c r="O356" s="2"/>
      <c r="P356" s="2"/>
      <c r="Q356" s="1" t="str">
        <f>IF($D356="","",$C356&amp;"|"&amp;COUNTIFS($C$7:$C356,$C356))</f>
        <v>M016|20</v>
      </c>
      <c r="R356" s="1" t="str">
        <f t="shared" si="10"/>
        <v>RIXSOWLTDSTI</v>
      </c>
      <c r="S356" s="1" t="str">
        <f t="shared" si="11"/>
        <v>M016|46172|3000|</v>
      </c>
      <c r="T356" s="1">
        <f>IF($E356="",0,SUMPRODUCT((AY_SONU!$O$7:$O$42="Evet")*(AY_SONU!$B$7:$B$42=DATE(YEAR($E356),MONTH($E356),1))))</f>
        <v>0</v>
      </c>
      <c r="U356" s="1" t="str">
        <f>IF(OR($G356="",$H356="Mahsup"),"",$G356&amp;"|"&amp;COUNTIFS($G$7:$G356,$G356,$H$7:$H356,"&lt;&gt;Mahsup"))</f>
        <v>MERKEZ KASA|278</v>
      </c>
    </row>
    <row r="357" spans="1:21" ht="18" customHeight="1" x14ac:dyDescent="0.3">
      <c r="A357" s="2"/>
      <c r="B357" s="65" t="str">
        <f>IF($D357="","","T"&amp;TEXT(ROW()-6,"00000"))</f>
        <v>T00351</v>
      </c>
      <c r="C357" s="65" t="str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>M005</v>
      </c>
      <c r="D357" s="61" t="s">
        <v>722</v>
      </c>
      <c r="E357" s="66">
        <v>46172</v>
      </c>
      <c r="F357" s="67">
        <v>1750</v>
      </c>
      <c r="G357" s="60" t="s">
        <v>717</v>
      </c>
      <c r="H357" s="60" t="s">
        <v>572</v>
      </c>
      <c r="I357" s="61"/>
      <c r="J357" s="61" t="s">
        <v>720</v>
      </c>
      <c r="K357" s="61"/>
      <c r="L357" s="73">
        <f>IF($E357="","",DATE(YEAR($E357),MONTH($E357),1))</f>
        <v>46143</v>
      </c>
      <c r="M357" s="65" t="str">
        <f ca="1">IF($D357="","",IF($C357="TANIMSIZ MÜŞTERİ","HATA",IF(OR($E357="",$F357&lt;=0,$G357=""),"EKSİK",IF($E357&gt;TODAY(),"İLERİ TARİH",IF(COUNTIF($S$7:$S$2503,$S357)&gt;1,"MÜKERRER?",IF($T357&gt;0,"KAPALI DÖNEM","UYGUN"))))))</f>
        <v>UYGUN</v>
      </c>
      <c r="N357" s="74" t="str">
        <f>IF($C357="","",IF($C357="TANIMSIZ MÜŞTERİ","—",INDEX(MUSTERILER!$C$7:$C$156,MATCH($C357,MUSTERILER!$B$7:$B$156,0))))</f>
        <v>ZÜMRÜT GRUP LTD.ŞTİ.</v>
      </c>
      <c r="O357" s="2"/>
      <c r="P357" s="2"/>
      <c r="Q357" s="1" t="str">
        <f>IF($D357="","",$C357&amp;"|"&amp;COUNTIFS($C$7:$C357,$C357))</f>
        <v>M005|18</v>
      </c>
      <c r="R357" s="1" t="str">
        <f t="shared" si="10"/>
        <v>ZUMRUTGRUPLTDSTI</v>
      </c>
      <c r="S357" s="1" t="str">
        <f t="shared" si="11"/>
        <v>M005|46172|1750|</v>
      </c>
      <c r="T357" s="1">
        <f>IF($E357="",0,SUMPRODUCT((AY_SONU!$O$7:$O$42="Evet")*(AY_SONU!$B$7:$B$42=DATE(YEAR($E357),MONTH($E357),1))))</f>
        <v>0</v>
      </c>
      <c r="U357" s="1" t="str">
        <f>IF(OR($G357="",$H357="Mahsup"),"",$G357&amp;"|"&amp;COUNTIFS($G$7:$G357,$G357,$H$7:$H357,"&lt;&gt;Mahsup"))</f>
        <v>MERKEZ KASA|279</v>
      </c>
    </row>
    <row r="358" spans="1:21" ht="18" customHeight="1" x14ac:dyDescent="0.3">
      <c r="A358" s="2"/>
      <c r="B358" s="65" t="str">
        <f>IF($D358="","","T"&amp;TEXT(ROW()-6,"00000"))</f>
        <v>T00352</v>
      </c>
      <c r="C358" s="65" t="str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>M018</v>
      </c>
      <c r="D358" s="61" t="s">
        <v>593</v>
      </c>
      <c r="E358" s="66">
        <v>46172</v>
      </c>
      <c r="F358" s="67">
        <v>2500</v>
      </c>
      <c r="G358" s="60" t="s">
        <v>717</v>
      </c>
      <c r="H358" s="60" t="s">
        <v>572</v>
      </c>
      <c r="I358" s="61"/>
      <c r="J358" s="61" t="s">
        <v>720</v>
      </c>
      <c r="K358" s="61"/>
      <c r="L358" s="73">
        <f>IF($E358="","",DATE(YEAR($E358),MONTH($E358),1))</f>
        <v>46143</v>
      </c>
      <c r="M358" s="65" t="str">
        <f ca="1">IF($D358="","",IF($C358="TANIMSIZ MÜŞTERİ","HATA",IF(OR($E358="",$F358&lt;=0,$G358=""),"EKSİK",IF($E358&gt;TODAY(),"İLERİ TARİH",IF(COUNTIF($S$7:$S$2503,$S358)&gt;1,"MÜKERRER?",IF($T358&gt;0,"KAPALI DÖNEM","UYGUN"))))))</f>
        <v>UYGUN</v>
      </c>
      <c r="N358" s="74" t="str">
        <f>IF($C358="","",IF($C358="TANIMSIZ MÜŞTERİ","—",INDEX(MUSTERILER!$C$7:$C$156,MATCH($C358,MUSTERILER!$B$7:$B$156,0))))</f>
        <v>ÇINARHAN LTD.ŞTİ.</v>
      </c>
      <c r="O358" s="2"/>
      <c r="P358" s="2"/>
      <c r="Q358" s="1" t="str">
        <f>IF($D358="","",$C358&amp;"|"&amp;COUNTIFS($C$7:$C358,$C358))</f>
        <v>M018|16</v>
      </c>
      <c r="R358" s="1" t="str">
        <f t="shared" si="10"/>
        <v>CINARHANLTDSTI</v>
      </c>
      <c r="S358" s="1" t="str">
        <f t="shared" si="11"/>
        <v>M018|46172|2500|</v>
      </c>
      <c r="T358" s="1">
        <f>IF($E358="",0,SUMPRODUCT((AY_SONU!$O$7:$O$42="Evet")*(AY_SONU!$B$7:$B$42=DATE(YEAR($E358),MONTH($E358),1))))</f>
        <v>0</v>
      </c>
      <c r="U358" s="1" t="str">
        <f>IF(OR($G358="",$H358="Mahsup"),"",$G358&amp;"|"&amp;COUNTIFS($G$7:$G358,$G358,$H$7:$H358,"&lt;&gt;Mahsup"))</f>
        <v>MERKEZ KASA|280</v>
      </c>
    </row>
    <row r="359" spans="1:21" ht="18" customHeight="1" x14ac:dyDescent="0.3">
      <c r="A359" s="2"/>
      <c r="B359" s="65" t="str">
        <f>IF($D359="","","T"&amp;TEXT(ROW()-6,"00000"))</f>
        <v>T00353</v>
      </c>
      <c r="C359" s="65" t="str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>M047</v>
      </c>
      <c r="D359" s="61" t="s">
        <v>654</v>
      </c>
      <c r="E359" s="66">
        <v>46172</v>
      </c>
      <c r="F359" s="67">
        <v>4000</v>
      </c>
      <c r="G359" s="60" t="s">
        <v>717</v>
      </c>
      <c r="H359" s="60" t="s">
        <v>572</v>
      </c>
      <c r="I359" s="61"/>
      <c r="J359" s="61" t="s">
        <v>720</v>
      </c>
      <c r="K359" s="61"/>
      <c r="L359" s="73">
        <f>IF($E359="","",DATE(YEAR($E359),MONTH($E359),1))</f>
        <v>46143</v>
      </c>
      <c r="M359" s="65" t="str">
        <f ca="1">IF($D359="","",IF($C359="TANIMSIZ MÜŞTERİ","HATA",IF(OR($E359="",$F359&lt;=0,$G359=""),"EKSİK",IF($E359&gt;TODAY(),"İLERİ TARİH",IF(COUNTIF($S$7:$S$2503,$S359)&gt;1,"MÜKERRER?",IF($T359&gt;0,"KAPALI DÖNEM","UYGUN"))))))</f>
        <v>UYGUN</v>
      </c>
      <c r="N359" s="74" t="str">
        <f>IF($C359="","",IF($C359="TANIMSIZ MÜŞTERİ","—",INDEX(MUSTERILER!$C$7:$C$156,MATCH($C359,MUSTERILER!$B$7:$B$156,0))))</f>
        <v>PALAOĞULLARI LTD.ŞTİ.</v>
      </c>
      <c r="O359" s="2"/>
      <c r="P359" s="2"/>
      <c r="Q359" s="1" t="str">
        <f>IF($D359="","",$C359&amp;"|"&amp;COUNTIFS($C$7:$C359,$C359))</f>
        <v>M047|12</v>
      </c>
      <c r="R359" s="1" t="str">
        <f t="shared" si="10"/>
        <v>PALAOGULLARILTDSTI</v>
      </c>
      <c r="S359" s="1" t="str">
        <f t="shared" si="11"/>
        <v>M047|46172|4000|</v>
      </c>
      <c r="T359" s="1">
        <f>IF($E359="",0,SUMPRODUCT((AY_SONU!$O$7:$O$42="Evet")*(AY_SONU!$B$7:$B$42=DATE(YEAR($E359),MONTH($E359),1))))</f>
        <v>0</v>
      </c>
      <c r="U359" s="1" t="str">
        <f>IF(OR($G359="",$H359="Mahsup"),"",$G359&amp;"|"&amp;COUNTIFS($G$7:$G359,$G359,$H$7:$H359,"&lt;&gt;Mahsup"))</f>
        <v>MERKEZ KASA|281</v>
      </c>
    </row>
    <row r="360" spans="1:21" ht="18" customHeight="1" x14ac:dyDescent="0.3">
      <c r="A360" s="2"/>
      <c r="B360" s="65" t="str">
        <f>IF($D360="","","T"&amp;TEXT(ROW()-6,"00000"))</f>
        <v>T00354</v>
      </c>
      <c r="C360" s="65" t="str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>M054</v>
      </c>
      <c r="D360" s="61" t="s">
        <v>674</v>
      </c>
      <c r="E360" s="66">
        <v>46172</v>
      </c>
      <c r="F360" s="67">
        <v>4000</v>
      </c>
      <c r="G360" s="60" t="s">
        <v>717</v>
      </c>
      <c r="H360" s="60" t="s">
        <v>572</v>
      </c>
      <c r="I360" s="61"/>
      <c r="J360" s="61" t="s">
        <v>720</v>
      </c>
      <c r="K360" s="61"/>
      <c r="L360" s="73">
        <f>IF($E360="","",DATE(YEAR($E360),MONTH($E360),1))</f>
        <v>46143</v>
      </c>
      <c r="M360" s="65" t="str">
        <f ca="1">IF($D360="","",IF($C360="TANIMSIZ MÜŞTERİ","HATA",IF(OR($E360="",$F360&lt;=0,$G360=""),"EKSİK",IF($E360&gt;TODAY(),"İLERİ TARİH",IF(COUNTIF($S$7:$S$2503,$S360)&gt;1,"MÜKERRER?",IF($T360&gt;0,"KAPALI DÖNEM","UYGUN"))))))</f>
        <v>UYGUN</v>
      </c>
      <c r="N360" s="74" t="str">
        <f>IF($C360="","",IF($C360="TANIMSIZ MÜŞTERİ","—",INDEX(MUSTERILER!$C$7:$C$156,MATCH($C360,MUSTERILER!$B$7:$B$156,0))))</f>
        <v>YALIKENT LTD.ŞTİ.</v>
      </c>
      <c r="O360" s="2"/>
      <c r="P360" s="2"/>
      <c r="Q360" s="1" t="str">
        <f>IF($D360="","",$C360&amp;"|"&amp;COUNTIFS($C$7:$C360,$C360))</f>
        <v>M054|10</v>
      </c>
      <c r="R360" s="1" t="str">
        <f t="shared" si="10"/>
        <v>YALIKENTLTDSTI</v>
      </c>
      <c r="S360" s="1" t="str">
        <f t="shared" si="11"/>
        <v>M054|46172|4000|</v>
      </c>
      <c r="T360" s="1">
        <f>IF($E360="",0,SUMPRODUCT((AY_SONU!$O$7:$O$42="Evet")*(AY_SONU!$B$7:$B$42=DATE(YEAR($E360),MONTH($E360),1))))</f>
        <v>0</v>
      </c>
      <c r="U360" s="1" t="str">
        <f>IF(OR($G360="",$H360="Mahsup"),"",$G360&amp;"|"&amp;COUNTIFS($G$7:$G360,$G360,$H$7:$H360,"&lt;&gt;Mahsup"))</f>
        <v>MERKEZ KASA|282</v>
      </c>
    </row>
    <row r="361" spans="1:21" ht="18" customHeight="1" x14ac:dyDescent="0.3">
      <c r="A361" s="2"/>
      <c r="B361" s="65" t="str">
        <f>IF($D361="","","T"&amp;TEXT(ROW()-6,"00000"))</f>
        <v>T00355</v>
      </c>
      <c r="C361" s="65" t="str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>M023</v>
      </c>
      <c r="D361" s="61" t="s">
        <v>576</v>
      </c>
      <c r="E361" s="66">
        <v>46173</v>
      </c>
      <c r="F361" s="67">
        <v>12000</v>
      </c>
      <c r="G361" s="60" t="s">
        <v>723</v>
      </c>
      <c r="H361" s="60" t="s">
        <v>572</v>
      </c>
      <c r="I361" s="61"/>
      <c r="J361" s="61" t="s">
        <v>725</v>
      </c>
      <c r="K361" s="61"/>
      <c r="L361" s="73">
        <f>IF($E361="","",DATE(YEAR($E361),MONTH($E361),1))</f>
        <v>46143</v>
      </c>
      <c r="M361" s="65" t="str">
        <f ca="1">IF($D361="","",IF($C361="TANIMSIZ MÜŞTERİ","HATA",IF(OR($E361="",$F361&lt;=0,$G361=""),"EKSİK",IF($E361&gt;TODAY(),"İLERİ TARİH",IF(COUNTIF($S$7:$S$2503,$S361)&gt;1,"MÜKERRER?",IF($T361&gt;0,"KAPALI DÖNEM","UYGUN"))))))</f>
        <v>UYGUN</v>
      </c>
      <c r="N361" s="74" t="str">
        <f>IF($C361="","",IF($C361="TANIMSIZ MÜŞTERİ","—",INDEX(MUSTERILER!$C$7:$C$156,MATCH($C361,MUSTERILER!$B$7:$B$156,0))))</f>
        <v>ALTINEL LTD.ŞTİ.</v>
      </c>
      <c r="O361" s="2"/>
      <c r="P361" s="2"/>
      <c r="Q361" s="1" t="str">
        <f>IF($D361="","",$C361&amp;"|"&amp;COUNTIFS($C$7:$C361,$C361))</f>
        <v>M023|5</v>
      </c>
      <c r="R361" s="1" t="str">
        <f t="shared" si="10"/>
        <v>ALTINELLTDSTI</v>
      </c>
      <c r="S361" s="1" t="str">
        <f t="shared" si="11"/>
        <v>M023|46173|12000|</v>
      </c>
      <c r="T361" s="1">
        <f>IF($E361="",0,SUMPRODUCT((AY_SONU!$O$7:$O$42="Evet")*(AY_SONU!$B$7:$B$42=DATE(YEAR($E361),MONTH($E361),1))))</f>
        <v>0</v>
      </c>
      <c r="U361" s="1" t="str">
        <f>IF(OR($G361="",$H361="Mahsup"),"",$G361&amp;"|"&amp;COUNTIFS($G$7:$G361,$G361,$H$7:$H361,"&lt;&gt;Mahsup"))</f>
        <v>ÖMER KARTAL|73</v>
      </c>
    </row>
    <row r="362" spans="1:21" ht="18" customHeight="1" x14ac:dyDescent="0.3">
      <c r="A362" s="2"/>
      <c r="B362" s="65" t="str">
        <f>IF($D362="","","T"&amp;TEXT(ROW()-6,"00000"))</f>
        <v>T00356</v>
      </c>
      <c r="C362" s="65" t="str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>M055</v>
      </c>
      <c r="D362" s="61" t="s">
        <v>660</v>
      </c>
      <c r="E362" s="66">
        <v>46173</v>
      </c>
      <c r="F362" s="67">
        <v>2000</v>
      </c>
      <c r="G362" s="60" t="s">
        <v>717</v>
      </c>
      <c r="H362" s="60" t="s">
        <v>572</v>
      </c>
      <c r="I362" s="61"/>
      <c r="J362" s="61" t="s">
        <v>720</v>
      </c>
      <c r="K362" s="61"/>
      <c r="L362" s="73">
        <f>IF($E362="","",DATE(YEAR($E362),MONTH($E362),1))</f>
        <v>46143</v>
      </c>
      <c r="M362" s="65" t="str">
        <f ca="1">IF($D362="","",IF($C362="TANIMSIZ MÜŞTERİ","HATA",IF(OR($E362="",$F362&lt;=0,$G362=""),"EKSİK",IF($E362&gt;TODAY(),"İLERİ TARİH",IF(COUNTIF($S$7:$S$2503,$S362)&gt;1,"MÜKERRER?",IF($T362&gt;0,"KAPALI DÖNEM","UYGUN"))))))</f>
        <v>UYGUN</v>
      </c>
      <c r="N362" s="74" t="str">
        <f>IF($C362="","",IF($C362="TANIMSIZ MÜŞTERİ","—",INDEX(MUSTERILER!$C$7:$C$156,MATCH($C362,MUSTERILER!$B$7:$B$156,0))))</f>
        <v>SEMRA GÜMÜŞ</v>
      </c>
      <c r="O362" s="2"/>
      <c r="P362" s="2"/>
      <c r="Q362" s="1" t="str">
        <f>IF($D362="","",$C362&amp;"|"&amp;COUNTIFS($C$7:$C362,$C362))</f>
        <v>M055|3</v>
      </c>
      <c r="R362" s="1" t="str">
        <f t="shared" si="10"/>
        <v>SEMRAGUMUS</v>
      </c>
      <c r="S362" s="1" t="str">
        <f t="shared" si="11"/>
        <v>M055|46173|2000|</v>
      </c>
      <c r="T362" s="1">
        <f>IF($E362="",0,SUMPRODUCT((AY_SONU!$O$7:$O$42="Evet")*(AY_SONU!$B$7:$B$42=DATE(YEAR($E362),MONTH($E362),1))))</f>
        <v>0</v>
      </c>
      <c r="U362" s="1" t="str">
        <f>IF(OR($G362="",$H362="Mahsup"),"",$G362&amp;"|"&amp;COUNTIFS($G$7:$G362,$G362,$H$7:$H362,"&lt;&gt;Mahsup"))</f>
        <v>MERKEZ KASA|283</v>
      </c>
    </row>
    <row r="363" spans="1:21" ht="18" customHeight="1" x14ac:dyDescent="0.3">
      <c r="A363" s="2"/>
      <c r="B363" s="65" t="str">
        <f>IF($D363="","","T"&amp;TEXT(ROW()-6,"00000"))</f>
        <v>T00357</v>
      </c>
      <c r="C363" s="65" t="str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>M023</v>
      </c>
      <c r="D363" s="61" t="s">
        <v>576</v>
      </c>
      <c r="E363" s="66">
        <v>46174</v>
      </c>
      <c r="F363" s="67">
        <v>12000</v>
      </c>
      <c r="G363" s="60" t="s">
        <v>723</v>
      </c>
      <c r="H363" s="60" t="s">
        <v>572</v>
      </c>
      <c r="I363" s="61"/>
      <c r="J363" s="61" t="s">
        <v>725</v>
      </c>
      <c r="K363" s="61"/>
      <c r="L363" s="73">
        <f>IF($E363="","",DATE(YEAR($E363),MONTH($E363),1))</f>
        <v>46174</v>
      </c>
      <c r="M363" s="65" t="str">
        <f ca="1">IF($D363="","",IF($C363="TANIMSIZ MÜŞTERİ","HATA",IF(OR($E363="",$F363&lt;=0,$G363=""),"EKSİK",IF($E363&gt;TODAY(),"İLERİ TARİH",IF(COUNTIF($S$7:$S$2503,$S363)&gt;1,"MÜKERRER?",IF($T363&gt;0,"KAPALI DÖNEM","UYGUN"))))))</f>
        <v>UYGUN</v>
      </c>
      <c r="N363" s="74" t="str">
        <f>IF($C363="","",IF($C363="TANIMSIZ MÜŞTERİ","—",INDEX(MUSTERILER!$C$7:$C$156,MATCH($C363,MUSTERILER!$B$7:$B$156,0))))</f>
        <v>ALTINEL LTD.ŞTİ.</v>
      </c>
      <c r="O363" s="2"/>
      <c r="P363" s="2"/>
      <c r="Q363" s="1" t="str">
        <f>IF($D363="","",$C363&amp;"|"&amp;COUNTIFS($C$7:$C363,$C363))</f>
        <v>M023|6</v>
      </c>
      <c r="R363" s="1" t="str">
        <f t="shared" si="10"/>
        <v>ALTINELLTDSTI</v>
      </c>
      <c r="S363" s="1" t="str">
        <f t="shared" si="11"/>
        <v>M023|46174|12000|</v>
      </c>
      <c r="T363" s="1">
        <f>IF($E363="",0,SUMPRODUCT((AY_SONU!$O$7:$O$42="Evet")*(AY_SONU!$B$7:$B$42=DATE(YEAR($E363),MONTH($E363),1))))</f>
        <v>0</v>
      </c>
      <c r="U363" s="1" t="str">
        <f>IF(OR($G363="",$H363="Mahsup"),"",$G363&amp;"|"&amp;COUNTIFS($G$7:$G363,$G363,$H$7:$H363,"&lt;&gt;Mahsup"))</f>
        <v>ÖMER KARTAL|74</v>
      </c>
    </row>
    <row r="364" spans="1:21" ht="18" customHeight="1" x14ac:dyDescent="0.3">
      <c r="A364" s="2"/>
      <c r="B364" s="65" t="str">
        <f>IF($D364="","","T"&amp;TEXT(ROW()-6,"00000"))</f>
        <v>T00358</v>
      </c>
      <c r="C364" s="65" t="str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>M027</v>
      </c>
      <c r="D364" s="61" t="s">
        <v>591</v>
      </c>
      <c r="E364" s="66">
        <v>46174</v>
      </c>
      <c r="F364" s="67">
        <v>2500</v>
      </c>
      <c r="G364" s="60" t="s">
        <v>717</v>
      </c>
      <c r="H364" s="60" t="s">
        <v>572</v>
      </c>
      <c r="I364" s="61"/>
      <c r="J364" s="61" t="s">
        <v>1316</v>
      </c>
      <c r="K364" s="61"/>
      <c r="L364" s="73">
        <f>IF($E364="","",DATE(YEAR($E364),MONTH($E364),1))</f>
        <v>46174</v>
      </c>
      <c r="M364" s="65" t="str">
        <f ca="1">IF($D364="","",IF($C364="TANIMSIZ MÜŞTERİ","HATA",IF(OR($E364="",$F364&lt;=0,$G364=""),"EKSİK",IF($E364&gt;TODAY(),"İLERİ TARİH",IF(COUNTIF($S$7:$S$2503,$S364)&gt;1,"MÜKERRER?",IF($T364&gt;0,"KAPALI DÖNEM","UYGUN"))))))</f>
        <v>UYGUN</v>
      </c>
      <c r="N364" s="74" t="str">
        <f>IF($C364="","",IF($C364="TANIMSIZ MÜŞTERİ","—",INDEX(MUSTERILER!$C$7:$C$156,MATCH($C364,MUSTERILER!$B$7:$B$156,0))))</f>
        <v>CEREN DEMİRCİ</v>
      </c>
      <c r="O364" s="2"/>
      <c r="P364" s="2"/>
      <c r="Q364" s="1" t="str">
        <f>IF($D364="","",$C364&amp;"|"&amp;COUNTIFS($C$7:$C364,$C364))</f>
        <v>M027|4</v>
      </c>
      <c r="R364" s="1" t="str">
        <f t="shared" si="10"/>
        <v>CERENDEMIRCI</v>
      </c>
      <c r="S364" s="1" t="str">
        <f t="shared" si="11"/>
        <v>M027|46174|2500|</v>
      </c>
      <c r="T364" s="1">
        <f>IF($E364="",0,SUMPRODUCT((AY_SONU!$O$7:$O$42="Evet")*(AY_SONU!$B$7:$B$42=DATE(YEAR($E364),MONTH($E364),1))))</f>
        <v>0</v>
      </c>
      <c r="U364" s="1" t="str">
        <f>IF(OR($G364="",$H364="Mahsup"),"",$G364&amp;"|"&amp;COUNTIFS($G$7:$G364,$G364,$H$7:$H364,"&lt;&gt;Mahsup"))</f>
        <v>MERKEZ KASA|284</v>
      </c>
    </row>
    <row r="365" spans="1:21" ht="18" customHeight="1" x14ac:dyDescent="0.3">
      <c r="A365" s="2"/>
      <c r="B365" s="65" t="str">
        <f>IF($D365="","","T"&amp;TEXT(ROW()-6,"00000"))</f>
        <v>T00359</v>
      </c>
      <c r="C365" s="65" t="str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>M001</v>
      </c>
      <c r="D365" s="61" t="s">
        <v>729</v>
      </c>
      <c r="E365" s="66">
        <v>46179</v>
      </c>
      <c r="F365" s="67">
        <v>4000</v>
      </c>
      <c r="G365" s="60" t="s">
        <v>717</v>
      </c>
      <c r="H365" s="60" t="s">
        <v>572</v>
      </c>
      <c r="I365" s="61"/>
      <c r="J365" s="61" t="s">
        <v>720</v>
      </c>
      <c r="K365" s="61"/>
      <c r="L365" s="73">
        <f>IF($E365="","",DATE(YEAR($E365),MONTH($E365),1))</f>
        <v>46174</v>
      </c>
      <c r="M365" s="65" t="str">
        <f ca="1">IF($D365="","",IF($C365="TANIMSIZ MÜŞTERİ","HATA",IF(OR($E365="",$F365&lt;=0,$G365=""),"EKSİK",IF($E365&gt;TODAY(),"İLERİ TARİH",IF(COUNTIF($S$7:$S$2503,$S365)&gt;1,"MÜKERRER?",IF($T365&gt;0,"KAPALI DÖNEM","UYGUN"))))))</f>
        <v>UYGUN</v>
      </c>
      <c r="N365" s="74" t="str">
        <f>IF($C365="","",IF($C365="TANIMSIZ MÜŞTERİ","—",INDEX(MUSTERILER!$C$7:$C$156,MATCH($C365,MUSTERILER!$B$7:$B$156,0))))</f>
        <v>ANKARA HAVANA LTD.ŞTİ.</v>
      </c>
      <c r="O365" s="2"/>
      <c r="P365" s="2"/>
      <c r="Q365" s="1" t="str">
        <f>IF($D365="","",$C365&amp;"|"&amp;COUNTIFS($C$7:$C365,$C365))</f>
        <v>M001|11</v>
      </c>
      <c r="R365" s="1" t="str">
        <f t="shared" si="10"/>
        <v>ANKARAHAVANALTDSTI</v>
      </c>
      <c r="S365" s="1" t="str">
        <f t="shared" si="11"/>
        <v>M001|46179|4000|</v>
      </c>
      <c r="T365" s="1">
        <f>IF($E365="",0,SUMPRODUCT((AY_SONU!$O$7:$O$42="Evet")*(AY_SONU!$B$7:$B$42=DATE(YEAR($E365),MONTH($E365),1))))</f>
        <v>0</v>
      </c>
      <c r="U365" s="1" t="str">
        <f>IF(OR($G365="",$H365="Mahsup"),"",$G365&amp;"|"&amp;COUNTIFS($G$7:$G365,$G365,$H$7:$H365,"&lt;&gt;Mahsup"))</f>
        <v>MERKEZ KASA|285</v>
      </c>
    </row>
    <row r="366" spans="1:21" ht="18" customHeight="1" x14ac:dyDescent="0.3">
      <c r="A366" s="2"/>
      <c r="B366" s="65" t="str">
        <f>IF($D366="","","T"&amp;TEXT(ROW()-6,"00000"))</f>
        <v>T00360</v>
      </c>
      <c r="C366" s="65" t="str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>M025</v>
      </c>
      <c r="D366" s="61" t="s">
        <v>583</v>
      </c>
      <c r="E366" s="66">
        <v>46179</v>
      </c>
      <c r="F366" s="67">
        <v>2000</v>
      </c>
      <c r="G366" s="60" t="s">
        <v>717</v>
      </c>
      <c r="H366" s="60" t="s">
        <v>572</v>
      </c>
      <c r="I366" s="61"/>
      <c r="J366" s="61" t="s">
        <v>720</v>
      </c>
      <c r="K366" s="61"/>
      <c r="L366" s="73">
        <f>IF($E366="","",DATE(YEAR($E366),MONTH($E366),1))</f>
        <v>46174</v>
      </c>
      <c r="M366" s="65" t="str">
        <f ca="1">IF($D366="","",IF($C366="TANIMSIZ MÜŞTERİ","HATA",IF(OR($E366="",$F366&lt;=0,$G366=""),"EKSİK",IF($E366&gt;TODAY(),"İLERİ TARİH",IF(COUNTIF($S$7:$S$2503,$S366)&gt;1,"MÜKERRER?",IF($T366&gt;0,"KAPALI DÖNEM","UYGUN"))))))</f>
        <v>UYGUN</v>
      </c>
      <c r="N366" s="74" t="str">
        <f>IF($C366="","",IF($C366="TANIMSIZ MÜŞTERİ","—",INDEX(MUSTERILER!$C$7:$C$156,MATCH($C366,MUSTERILER!$B$7:$B$156,0))))</f>
        <v>ASIM AÇIKGÖZ</v>
      </c>
      <c r="O366" s="2"/>
      <c r="P366" s="2"/>
      <c r="Q366" s="1" t="str">
        <f>IF($D366="","",$C366&amp;"|"&amp;COUNTIFS($C$7:$C366,$C366))</f>
        <v>M025|18</v>
      </c>
      <c r="R366" s="1" t="str">
        <f t="shared" si="10"/>
        <v>ASIMACIKGOZ</v>
      </c>
      <c r="S366" s="1" t="str">
        <f t="shared" si="11"/>
        <v>M025|46179|2000|</v>
      </c>
      <c r="T366" s="1">
        <f>IF($E366="",0,SUMPRODUCT((AY_SONU!$O$7:$O$42="Evet")*(AY_SONU!$B$7:$B$42=DATE(YEAR($E366),MONTH($E366),1))))</f>
        <v>0</v>
      </c>
      <c r="U366" s="1" t="str">
        <f>IF(OR($G366="",$H366="Mahsup"),"",$G366&amp;"|"&amp;COUNTIFS($G$7:$G366,$G366,$H$7:$H366,"&lt;&gt;Mahsup"))</f>
        <v>MERKEZ KASA|286</v>
      </c>
    </row>
    <row r="367" spans="1:21" ht="18" customHeight="1" x14ac:dyDescent="0.3">
      <c r="A367" s="2"/>
      <c r="B367" s="65" t="str">
        <f>IF($D367="","","T"&amp;TEXT(ROW()-6,"00000"))</f>
        <v>T00361</v>
      </c>
      <c r="C367" s="65" t="str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>M017</v>
      </c>
      <c r="D367" s="61" t="s">
        <v>585</v>
      </c>
      <c r="E367" s="66">
        <v>46179</v>
      </c>
      <c r="F367" s="67">
        <v>2500</v>
      </c>
      <c r="G367" s="60" t="s">
        <v>717</v>
      </c>
      <c r="H367" s="60" t="s">
        <v>572</v>
      </c>
      <c r="I367" s="61"/>
      <c r="J367" s="61" t="s">
        <v>720</v>
      </c>
      <c r="K367" s="61"/>
      <c r="L367" s="73">
        <f>IF($E367="","",DATE(YEAR($E367),MONTH($E367),1))</f>
        <v>46174</v>
      </c>
      <c r="M367" s="65" t="str">
        <f ca="1">IF($D367="","",IF($C367="TANIMSIZ MÜŞTERİ","HATA",IF(OR($E367="",$F367&lt;=0,$G367=""),"EKSİK",IF($E367&gt;TODAY(),"İLERİ TARİH",IF(COUNTIF($S$7:$S$2503,$S367)&gt;1,"MÜKERRER?",IF($T367&gt;0,"KAPALI DÖNEM","UYGUN"))))))</f>
        <v>UYGUN</v>
      </c>
      <c r="N367" s="74" t="str">
        <f>IF($C367="","",IF($C367="TANIMSIZ MÜŞTERİ","—",INDEX(MUSTERILER!$C$7:$C$156,MATCH($C367,MUSTERILER!$B$7:$B$156,0))))</f>
        <v>ASM EĞLENCE LTD.ŞTİ.</v>
      </c>
      <c r="O367" s="2"/>
      <c r="P367" s="2"/>
      <c r="Q367" s="1" t="str">
        <f>IF($D367="","",$C367&amp;"|"&amp;COUNTIFS($C$7:$C367,$C367))</f>
        <v>M017|19</v>
      </c>
      <c r="R367" s="1" t="str">
        <f t="shared" si="10"/>
        <v>ASMEGLENCELTDSTI</v>
      </c>
      <c r="S367" s="1" t="str">
        <f t="shared" si="11"/>
        <v>M017|46179|2500|</v>
      </c>
      <c r="T367" s="1">
        <f>IF($E367="",0,SUMPRODUCT((AY_SONU!$O$7:$O$42="Evet")*(AY_SONU!$B$7:$B$42=DATE(YEAR($E367),MONTH($E367),1))))</f>
        <v>0</v>
      </c>
      <c r="U367" s="1" t="str">
        <f>IF(OR($G367="",$H367="Mahsup"),"",$G367&amp;"|"&amp;COUNTIFS($G$7:$G367,$G367,$H$7:$H367,"&lt;&gt;Mahsup"))</f>
        <v>MERKEZ KASA|287</v>
      </c>
    </row>
    <row r="368" spans="1:21" ht="18" customHeight="1" x14ac:dyDescent="0.3">
      <c r="A368" s="2"/>
      <c r="B368" s="65" t="str">
        <f>IF($D368="","","T"&amp;TEXT(ROW()-6,"00000"))</f>
        <v>T00362</v>
      </c>
      <c r="C368" s="65" t="str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>M015</v>
      </c>
      <c r="D368" s="61" t="s">
        <v>719</v>
      </c>
      <c r="E368" s="66">
        <v>46179</v>
      </c>
      <c r="F368" s="67">
        <v>3000</v>
      </c>
      <c r="G368" s="60" t="s">
        <v>717</v>
      </c>
      <c r="H368" s="60" t="s">
        <v>572</v>
      </c>
      <c r="I368" s="61"/>
      <c r="J368" s="61" t="s">
        <v>720</v>
      </c>
      <c r="K368" s="61"/>
      <c r="L368" s="73">
        <f>IF($E368="","",DATE(YEAR($E368),MONTH($E368),1))</f>
        <v>46174</v>
      </c>
      <c r="M368" s="65" t="str">
        <f ca="1">IF($D368="","",IF($C368="TANIMSIZ MÜŞTERİ","HATA",IF(OR($E368="",$F368&lt;=0,$G368=""),"EKSİK",IF($E368&gt;TODAY(),"İLERİ TARİH",IF(COUNTIF($S$7:$S$2503,$S368)&gt;1,"MÜKERRER?",IF($T368&gt;0,"KAPALI DÖNEM","UYGUN"))))))</f>
        <v>UYGUN</v>
      </c>
      <c r="N368" s="74" t="str">
        <f>IF($C368="","",IF($C368="TANIMSIZ MÜŞTERİ","—",INDEX(MUSTERILER!$C$7:$C$156,MATCH($C368,MUSTERILER!$B$7:$B$156,0))))</f>
        <v>ÇAYIRALAN LTD.ŞTİ.</v>
      </c>
      <c r="O368" s="2"/>
      <c r="P368" s="2"/>
      <c r="Q368" s="1" t="str">
        <f>IF($D368="","",$C368&amp;"|"&amp;COUNTIFS($C$7:$C368,$C368))</f>
        <v>M015|20</v>
      </c>
      <c r="R368" s="1" t="str">
        <f t="shared" si="10"/>
        <v>CAYIRALANLTDSTI</v>
      </c>
      <c r="S368" s="1" t="str">
        <f t="shared" si="11"/>
        <v>M015|46179|3000|</v>
      </c>
      <c r="T368" s="1">
        <f>IF($E368="",0,SUMPRODUCT((AY_SONU!$O$7:$O$42="Evet")*(AY_SONU!$B$7:$B$42=DATE(YEAR($E368),MONTH($E368),1))))</f>
        <v>0</v>
      </c>
      <c r="U368" s="1" t="str">
        <f>IF(OR($G368="",$H368="Mahsup"),"",$G368&amp;"|"&amp;COUNTIFS($G$7:$G368,$G368,$H$7:$H368,"&lt;&gt;Mahsup"))</f>
        <v>MERKEZ KASA|288</v>
      </c>
    </row>
    <row r="369" spans="1:21" ht="18" customHeight="1" x14ac:dyDescent="0.3">
      <c r="A369" s="2"/>
      <c r="B369" s="65" t="str">
        <f>IF($D369="","","T"&amp;TEXT(ROW()-6,"00000"))</f>
        <v>T00363</v>
      </c>
      <c r="C369" s="65" t="str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>M011</v>
      </c>
      <c r="D369" s="61" t="s">
        <v>730</v>
      </c>
      <c r="E369" s="66">
        <v>46179</v>
      </c>
      <c r="F369" s="67">
        <v>4000</v>
      </c>
      <c r="G369" s="60" t="s">
        <v>717</v>
      </c>
      <c r="H369" s="60" t="s">
        <v>572</v>
      </c>
      <c r="I369" s="61"/>
      <c r="J369" s="61" t="s">
        <v>720</v>
      </c>
      <c r="K369" s="61"/>
      <c r="L369" s="73">
        <f>IF($E369="","",DATE(YEAR($E369),MONTH($E369),1))</f>
        <v>46174</v>
      </c>
      <c r="M369" s="65" t="str">
        <f ca="1">IF($D369="","",IF($C369="TANIMSIZ MÜŞTERİ","HATA",IF(OR($E369="",$F369&lt;=0,$G369=""),"EKSİK",IF($E369&gt;TODAY(),"İLERİ TARİH",IF(COUNTIF($S$7:$S$2503,$S369)&gt;1,"MÜKERRER?",IF($T369&gt;0,"KAPALI DÖNEM","UYGUN"))))))</f>
        <v>UYGUN</v>
      </c>
      <c r="N369" s="74" t="str">
        <f>IF($C369="","",IF($C369="TANIMSIZ MÜŞTERİ","—",INDEX(MUSTERILER!$C$7:$C$156,MATCH($C369,MUSTERILER!$B$7:$B$156,0))))</f>
        <v>EĞLENGÖR LTD.ŞTİ.</v>
      </c>
      <c r="O369" s="2"/>
      <c r="P369" s="2"/>
      <c r="Q369" s="1" t="str">
        <f>IF($D369="","",$C369&amp;"|"&amp;COUNTIFS($C$7:$C369,$C369))</f>
        <v>M011|21</v>
      </c>
      <c r="R369" s="1" t="str">
        <f t="shared" si="10"/>
        <v>EGLENGORLTDSTI</v>
      </c>
      <c r="S369" s="1" t="str">
        <f t="shared" si="11"/>
        <v>M011|46179|4000|</v>
      </c>
      <c r="T369" s="1">
        <f>IF($E369="",0,SUMPRODUCT((AY_SONU!$O$7:$O$42="Evet")*(AY_SONU!$B$7:$B$42=DATE(YEAR($E369),MONTH($E369),1))))</f>
        <v>0</v>
      </c>
      <c r="U369" s="1" t="str">
        <f>IF(OR($G369="",$H369="Mahsup"),"",$G369&amp;"|"&amp;COUNTIFS($G$7:$G369,$G369,$H$7:$H369,"&lt;&gt;Mahsup"))</f>
        <v>MERKEZ KASA|289</v>
      </c>
    </row>
    <row r="370" spans="1:21" ht="18" customHeight="1" x14ac:dyDescent="0.3">
      <c r="A370" s="2"/>
      <c r="B370" s="65" t="str">
        <f>IF($D370="","","T"&amp;TEXT(ROW()-6,"00000"))</f>
        <v>T00364</v>
      </c>
      <c r="C370" s="65" t="str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>M014</v>
      </c>
      <c r="D370" s="61" t="s">
        <v>731</v>
      </c>
      <c r="E370" s="66">
        <v>46179</v>
      </c>
      <c r="F370" s="67">
        <v>4000</v>
      </c>
      <c r="G370" s="60" t="s">
        <v>717</v>
      </c>
      <c r="H370" s="60" t="s">
        <v>572</v>
      </c>
      <c r="I370" s="61"/>
      <c r="J370" s="61" t="s">
        <v>720</v>
      </c>
      <c r="K370" s="61"/>
      <c r="L370" s="73">
        <f>IF($E370="","",DATE(YEAR($E370),MONTH($E370),1))</f>
        <v>46174</v>
      </c>
      <c r="M370" s="65" t="str">
        <f ca="1">IF($D370="","",IF($C370="TANIMSIZ MÜŞTERİ","HATA",IF(OR($E370="",$F370&lt;=0,$G370=""),"EKSİK",IF($E370&gt;TODAY(),"İLERİ TARİH",IF(COUNTIF($S$7:$S$2503,$S370)&gt;1,"MÜKERRER?",IF($T370&gt;0,"KAPALI DÖNEM","UYGUN"))))))</f>
        <v>UYGUN</v>
      </c>
      <c r="N370" s="74" t="str">
        <f>IF($C370="","",IF($C370="TANIMSIZ MÜŞTERİ","—",INDEX(MUSTERILER!$C$7:$C$156,MATCH($C370,MUSTERILER!$B$7:$B$156,0))))</f>
        <v>FİNAL SİYAH BEYAZ LTD.ŞTİ.</v>
      </c>
      <c r="O370" s="2"/>
      <c r="P370" s="2"/>
      <c r="Q370" s="1" t="str">
        <f>IF($D370="","",$C370&amp;"|"&amp;COUNTIFS($C$7:$C370,$C370))</f>
        <v>M014|20</v>
      </c>
      <c r="R370" s="1" t="str">
        <f t="shared" si="10"/>
        <v>FINALSIYAHBEYAZLTDSTI</v>
      </c>
      <c r="S370" s="1" t="str">
        <f t="shared" si="11"/>
        <v>M014|46179|4000|</v>
      </c>
      <c r="T370" s="1">
        <f>IF($E370="",0,SUMPRODUCT((AY_SONU!$O$7:$O$42="Evet")*(AY_SONU!$B$7:$B$42=DATE(YEAR($E370),MONTH($E370),1))))</f>
        <v>0</v>
      </c>
      <c r="U370" s="1" t="str">
        <f>IF(OR($G370="",$H370="Mahsup"),"",$G370&amp;"|"&amp;COUNTIFS($G$7:$G370,$G370,$H$7:$H370,"&lt;&gt;Mahsup"))</f>
        <v>MERKEZ KASA|290</v>
      </c>
    </row>
    <row r="371" spans="1:21" ht="18" customHeight="1" x14ac:dyDescent="0.3">
      <c r="A371" s="2"/>
      <c r="B371" s="65" t="str">
        <f>IF($D371="","","T"&amp;TEXT(ROW()-6,"00000"))</f>
        <v>T00365</v>
      </c>
      <c r="C371" s="65" t="str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>M012</v>
      </c>
      <c r="D371" s="61" t="s">
        <v>721</v>
      </c>
      <c r="E371" s="66">
        <v>46179</v>
      </c>
      <c r="F371" s="67">
        <v>5000</v>
      </c>
      <c r="G371" s="60" t="s">
        <v>717</v>
      </c>
      <c r="H371" s="60" t="s">
        <v>572</v>
      </c>
      <c r="I371" s="61"/>
      <c r="J371" s="61" t="s">
        <v>720</v>
      </c>
      <c r="K371" s="61"/>
      <c r="L371" s="73">
        <f>IF($E371="","",DATE(YEAR($E371),MONTH($E371),1))</f>
        <v>46174</v>
      </c>
      <c r="M371" s="65" t="str">
        <f ca="1">IF($D371="","",IF($C371="TANIMSIZ MÜŞTERİ","HATA",IF(OR($E371="",$F371&lt;=0,$G371=""),"EKSİK",IF($E371&gt;TODAY(),"İLERİ TARİH",IF(COUNTIF($S$7:$S$2503,$S371)&gt;1,"MÜKERRER?",IF($T371&gt;0,"KAPALI DÖNEM","UYGUN"))))))</f>
        <v>UYGUN</v>
      </c>
      <c r="N371" s="74" t="str">
        <f>IF($C371="","",IF($C371="TANIMSIZ MÜŞTERİ","—",INDEX(MUSTERILER!$C$7:$C$156,MATCH($C371,MUSTERILER!$B$7:$B$156,0))))</f>
        <v>İLDEŞ LTD.ŞTİ.</v>
      </c>
      <c r="O371" s="2"/>
      <c r="P371" s="2"/>
      <c r="Q371" s="1" t="str">
        <f>IF($D371="","",$C371&amp;"|"&amp;COUNTIFS($C$7:$C371,$C371))</f>
        <v>M012|22</v>
      </c>
      <c r="R371" s="1" t="str">
        <f t="shared" si="10"/>
        <v>ILDESLTDSTI</v>
      </c>
      <c r="S371" s="1" t="str">
        <f t="shared" si="11"/>
        <v>M012|46179|5000|</v>
      </c>
      <c r="T371" s="1">
        <f>IF($E371="",0,SUMPRODUCT((AY_SONU!$O$7:$O$42="Evet")*(AY_SONU!$B$7:$B$42=DATE(YEAR($E371),MONTH($E371),1))))</f>
        <v>0</v>
      </c>
      <c r="U371" s="1" t="str">
        <f>IF(OR($G371="",$H371="Mahsup"),"",$G371&amp;"|"&amp;COUNTIFS($G$7:$G371,$G371,$H$7:$H371,"&lt;&gt;Mahsup"))</f>
        <v>MERKEZ KASA|291</v>
      </c>
    </row>
    <row r="372" spans="1:21" ht="18" customHeight="1" x14ac:dyDescent="0.3">
      <c r="A372" s="2"/>
      <c r="B372" s="65" t="str">
        <f>IF($D372="","","T"&amp;TEXT(ROW()-6,"00000"))</f>
        <v>T00366</v>
      </c>
      <c r="C372" s="65" t="str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>M020</v>
      </c>
      <c r="D372" s="61" t="s">
        <v>623</v>
      </c>
      <c r="E372" s="66">
        <v>46179</v>
      </c>
      <c r="F372" s="67">
        <v>3000</v>
      </c>
      <c r="G372" s="60" t="s">
        <v>723</v>
      </c>
      <c r="H372" s="60" t="s">
        <v>572</v>
      </c>
      <c r="I372" s="61"/>
      <c r="J372" s="61" t="s">
        <v>720</v>
      </c>
      <c r="K372" s="61"/>
      <c r="L372" s="73">
        <f>IF($E372="","",DATE(YEAR($E372),MONTH($E372),1))</f>
        <v>46174</v>
      </c>
      <c r="M372" s="65" t="str">
        <f ca="1">IF($D372="","",IF($C372="TANIMSIZ MÜŞTERİ","HATA",IF(OR($E372="",$F372&lt;=0,$G372=""),"EKSİK",IF($E372&gt;TODAY(),"İLERİ TARİH",IF(COUNTIF($S$7:$S$2503,$S372)&gt;1,"MÜKERRER?",IF($T372&gt;0,"KAPALI DÖNEM","UYGUN"))))))</f>
        <v>UYGUN</v>
      </c>
      <c r="N372" s="74" t="str">
        <f>IF($C372="","",IF($C372="TANIMSIZ MÜŞTERİ","—",INDEX(MUSTERILER!$C$7:$C$156,MATCH($C372,MUSTERILER!$B$7:$B$156,0))))</f>
        <v>KRİSTAL LTD.ŞTİ.</v>
      </c>
      <c r="O372" s="2"/>
      <c r="P372" s="2"/>
      <c r="Q372" s="1" t="str">
        <f>IF($D372="","",$C372&amp;"|"&amp;COUNTIFS($C$7:$C372,$C372))</f>
        <v>M020|21</v>
      </c>
      <c r="R372" s="1" t="str">
        <f t="shared" si="10"/>
        <v>KRISTALLTDSTI</v>
      </c>
      <c r="S372" s="1" t="str">
        <f t="shared" si="11"/>
        <v>M020|46179|3000|</v>
      </c>
      <c r="T372" s="1">
        <f>IF($E372="",0,SUMPRODUCT((AY_SONU!$O$7:$O$42="Evet")*(AY_SONU!$B$7:$B$42=DATE(YEAR($E372),MONTH($E372),1))))</f>
        <v>0</v>
      </c>
      <c r="U372" s="1" t="str">
        <f>IF(OR($G372="",$H372="Mahsup"),"",$G372&amp;"|"&amp;COUNTIFS($G$7:$G372,$G372,$H$7:$H372,"&lt;&gt;Mahsup"))</f>
        <v>ÖMER KARTAL|75</v>
      </c>
    </row>
    <row r="373" spans="1:21" ht="18" customHeight="1" x14ac:dyDescent="0.3">
      <c r="A373" s="2"/>
      <c r="B373" s="65" t="str">
        <f>IF($D373="","","T"&amp;TEXT(ROW()-6,"00000"))</f>
        <v>T00367</v>
      </c>
      <c r="C373" s="65" t="str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>M013</v>
      </c>
      <c r="D373" s="61" t="s">
        <v>734</v>
      </c>
      <c r="E373" s="66">
        <v>46179</v>
      </c>
      <c r="F373" s="67">
        <v>2000</v>
      </c>
      <c r="G373" s="60" t="s">
        <v>717</v>
      </c>
      <c r="H373" s="60" t="s">
        <v>572</v>
      </c>
      <c r="I373" s="61"/>
      <c r="J373" s="61" t="s">
        <v>720</v>
      </c>
      <c r="K373" s="61"/>
      <c r="L373" s="73">
        <f>IF($E373="","",DATE(YEAR($E373),MONTH($E373),1))</f>
        <v>46174</v>
      </c>
      <c r="M373" s="65" t="str">
        <f ca="1">IF($D373="","",IF($C373="TANIMSIZ MÜŞTERİ","HATA",IF(OR($E373="",$F373&lt;=0,$G373=""),"EKSİK",IF($E373&gt;TODAY(),"İLERİ TARİH",IF(COUNTIF($S$7:$S$2503,$S373)&gt;1,"MÜKERRER?",IF($T373&gt;0,"KAPALI DÖNEM","UYGUN"))))))</f>
        <v>UYGUN</v>
      </c>
      <c r="N373" s="74" t="str">
        <f>IF($C373="","",IF($C373="TANIMSIZ MÜŞTERİ","—",INDEX(MUSTERILER!$C$7:$C$156,MATCH($C373,MUSTERILER!$B$7:$B$156,0))))</f>
        <v>NAZ 1 GIDA LTD.ŞTİ.</v>
      </c>
      <c r="O373" s="2"/>
      <c r="P373" s="2"/>
      <c r="Q373" s="1" t="str">
        <f>IF($D373="","",$C373&amp;"|"&amp;COUNTIFS($C$7:$C373,$C373))</f>
        <v>M013|14</v>
      </c>
      <c r="R373" s="1" t="str">
        <f t="shared" si="10"/>
        <v>NAZ1GIDALTDSTI</v>
      </c>
      <c r="S373" s="1" t="str">
        <f t="shared" si="11"/>
        <v>M013|46179|2000|</v>
      </c>
      <c r="T373" s="1">
        <f>IF($E373="",0,SUMPRODUCT((AY_SONU!$O$7:$O$42="Evet")*(AY_SONU!$B$7:$B$42=DATE(YEAR($E373),MONTH($E373),1))))</f>
        <v>0</v>
      </c>
      <c r="U373" s="1" t="str">
        <f>IF(OR($G373="",$H373="Mahsup"),"",$G373&amp;"|"&amp;COUNTIFS($G$7:$G373,$G373,$H$7:$H373,"&lt;&gt;Mahsup"))</f>
        <v>MERKEZ KASA|292</v>
      </c>
    </row>
    <row r="374" spans="1:21" ht="18" customHeight="1" x14ac:dyDescent="0.3">
      <c r="A374" s="2"/>
      <c r="B374" s="65" t="str">
        <f>IF($D374="","","T"&amp;TEXT(ROW()-6,"00000"))</f>
        <v>T00368</v>
      </c>
      <c r="C374" s="65" t="str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>M009</v>
      </c>
      <c r="D374" s="61" t="s">
        <v>735</v>
      </c>
      <c r="E374" s="66">
        <v>46179</v>
      </c>
      <c r="F374" s="67">
        <v>4000</v>
      </c>
      <c r="G374" s="60" t="s">
        <v>717</v>
      </c>
      <c r="H374" s="60" t="s">
        <v>572</v>
      </c>
      <c r="I374" s="61"/>
      <c r="J374" s="61" t="s">
        <v>720</v>
      </c>
      <c r="K374" s="61"/>
      <c r="L374" s="73">
        <f>IF($E374="","",DATE(YEAR($E374),MONTH($E374),1))</f>
        <v>46174</v>
      </c>
      <c r="M374" s="65" t="str">
        <f ca="1">IF($D374="","",IF($C374="TANIMSIZ MÜŞTERİ","HATA",IF(OR($E374="",$F374&lt;=0,$G374=""),"EKSİK",IF($E374&gt;TODAY(),"İLERİ TARİH",IF(COUNTIF($S$7:$S$2503,$S374)&gt;1,"MÜKERRER?",IF($T374&gt;0,"KAPALI DÖNEM","UYGUN"))))))</f>
        <v>UYGUN</v>
      </c>
      <c r="N374" s="74" t="str">
        <f>IF($C374="","",IF($C374="TANIMSIZ MÜŞTERİ","—",INDEX(MUSTERILER!$C$7:$C$156,MATCH($C374,MUSTERILER!$B$7:$B$156,0))))</f>
        <v>PAKYILDIZ LTD.ŞTİ.</v>
      </c>
      <c r="O374" s="2"/>
      <c r="P374" s="2"/>
      <c r="Q374" s="1" t="str">
        <f>IF($D374="","",$C374&amp;"|"&amp;COUNTIFS($C$7:$C374,$C374))</f>
        <v>M009|18</v>
      </c>
      <c r="R374" s="1" t="str">
        <f t="shared" si="10"/>
        <v>PAKYILDIZLTDSTI</v>
      </c>
      <c r="S374" s="1" t="str">
        <f t="shared" si="11"/>
        <v>M009|46179|4000|</v>
      </c>
      <c r="T374" s="1">
        <f>IF($E374="",0,SUMPRODUCT((AY_SONU!$O$7:$O$42="Evet")*(AY_SONU!$B$7:$B$42=DATE(YEAR($E374),MONTH($E374),1))))</f>
        <v>0</v>
      </c>
      <c r="U374" s="1" t="str">
        <f>IF(OR($G374="",$H374="Mahsup"),"",$G374&amp;"|"&amp;COUNTIFS($G$7:$G374,$G374,$H$7:$H374,"&lt;&gt;Mahsup"))</f>
        <v>MERKEZ KASA|293</v>
      </c>
    </row>
    <row r="375" spans="1:21" ht="18" customHeight="1" x14ac:dyDescent="0.3">
      <c r="A375" s="2"/>
      <c r="B375" s="65" t="str">
        <f>IF($D375="","","T"&amp;TEXT(ROW()-6,"00000"))</f>
        <v>T00369</v>
      </c>
      <c r="C375" s="65" t="str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>M016</v>
      </c>
      <c r="D375" s="61" t="s">
        <v>736</v>
      </c>
      <c r="E375" s="66">
        <v>46179</v>
      </c>
      <c r="F375" s="67">
        <v>3000</v>
      </c>
      <c r="G375" s="60" t="s">
        <v>717</v>
      </c>
      <c r="H375" s="60" t="s">
        <v>572</v>
      </c>
      <c r="I375" s="61"/>
      <c r="J375" s="61" t="s">
        <v>720</v>
      </c>
      <c r="K375" s="61"/>
      <c r="L375" s="73">
        <f>IF($E375="","",DATE(YEAR($E375),MONTH($E375),1))</f>
        <v>46174</v>
      </c>
      <c r="M375" s="65" t="str">
        <f ca="1">IF($D375="","",IF($C375="TANIMSIZ MÜŞTERİ","HATA",IF(OR($E375="",$F375&lt;=0,$G375=""),"EKSİK",IF($E375&gt;TODAY(),"İLERİ TARİH",IF(COUNTIF($S$7:$S$2503,$S375)&gt;1,"MÜKERRER?",IF($T375&gt;0,"KAPALI DÖNEM","UYGUN"))))))</f>
        <v>UYGUN</v>
      </c>
      <c r="N375" s="74" t="str">
        <f>IF($C375="","",IF($C375="TANIMSIZ MÜŞTERİ","—",INDEX(MUSTERILER!$C$7:$C$156,MATCH($C375,MUSTERILER!$B$7:$B$156,0))))</f>
        <v>RİX ŞOW LTD.ŞTİ.</v>
      </c>
      <c r="O375" s="2"/>
      <c r="P375" s="2"/>
      <c r="Q375" s="1" t="str">
        <f>IF($D375="","",$C375&amp;"|"&amp;COUNTIFS($C$7:$C375,$C375))</f>
        <v>M016|21</v>
      </c>
      <c r="R375" s="1" t="str">
        <f t="shared" si="10"/>
        <v>RIXSOWLTDSTI</v>
      </c>
      <c r="S375" s="1" t="str">
        <f t="shared" si="11"/>
        <v>M016|46179|3000|</v>
      </c>
      <c r="T375" s="1">
        <f>IF($E375="",0,SUMPRODUCT((AY_SONU!$O$7:$O$42="Evet")*(AY_SONU!$B$7:$B$42=DATE(YEAR($E375),MONTH($E375),1))))</f>
        <v>0</v>
      </c>
      <c r="U375" s="1" t="str">
        <f>IF(OR($G375="",$H375="Mahsup"),"",$G375&amp;"|"&amp;COUNTIFS($G$7:$G375,$G375,$H$7:$H375,"&lt;&gt;Mahsup"))</f>
        <v>MERKEZ KASA|294</v>
      </c>
    </row>
    <row r="376" spans="1:21" ht="18" customHeight="1" x14ac:dyDescent="0.3">
      <c r="A376" s="2"/>
      <c r="B376" s="65" t="str">
        <f>IF($D376="","","T"&amp;TEXT(ROW()-6,"00000"))</f>
        <v>T00370</v>
      </c>
      <c r="C376" s="65" t="str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>M018</v>
      </c>
      <c r="D376" s="61" t="s">
        <v>593</v>
      </c>
      <c r="E376" s="66">
        <v>46179</v>
      </c>
      <c r="F376" s="67">
        <v>2500</v>
      </c>
      <c r="G376" s="60" t="s">
        <v>717</v>
      </c>
      <c r="H376" s="60" t="s">
        <v>572</v>
      </c>
      <c r="I376" s="61"/>
      <c r="J376" s="61" t="s">
        <v>720</v>
      </c>
      <c r="K376" s="61"/>
      <c r="L376" s="73">
        <f>IF($E376="","",DATE(YEAR($E376),MONTH($E376),1))</f>
        <v>46174</v>
      </c>
      <c r="M376" s="65" t="str">
        <f ca="1">IF($D376="","",IF($C376="TANIMSIZ MÜŞTERİ","HATA",IF(OR($E376="",$F376&lt;=0,$G376=""),"EKSİK",IF($E376&gt;TODAY(),"İLERİ TARİH",IF(COUNTIF($S$7:$S$2503,$S376)&gt;1,"MÜKERRER?",IF($T376&gt;0,"KAPALI DÖNEM","UYGUN"))))))</f>
        <v>UYGUN</v>
      </c>
      <c r="N376" s="74" t="str">
        <f>IF($C376="","",IF($C376="TANIMSIZ MÜŞTERİ","—",INDEX(MUSTERILER!$C$7:$C$156,MATCH($C376,MUSTERILER!$B$7:$B$156,0))))</f>
        <v>ÇINARHAN LTD.ŞTİ.</v>
      </c>
      <c r="O376" s="2"/>
      <c r="P376" s="2"/>
      <c r="Q376" s="1" t="str">
        <f>IF($D376="","",$C376&amp;"|"&amp;COUNTIFS($C$7:$C376,$C376))</f>
        <v>M018|17</v>
      </c>
      <c r="R376" s="1" t="str">
        <f t="shared" si="10"/>
        <v>CINARHANLTDSTI</v>
      </c>
      <c r="S376" s="1" t="str">
        <f t="shared" si="11"/>
        <v>M018|46179|2500|</v>
      </c>
      <c r="T376" s="1">
        <f>IF($E376="",0,SUMPRODUCT((AY_SONU!$O$7:$O$42="Evet")*(AY_SONU!$B$7:$B$42=DATE(YEAR($E376),MONTH($E376),1))))</f>
        <v>0</v>
      </c>
      <c r="U376" s="1" t="str">
        <f>IF(OR($G376="",$H376="Mahsup"),"",$G376&amp;"|"&amp;COUNTIFS($G$7:$G376,$G376,$H$7:$H376,"&lt;&gt;Mahsup"))</f>
        <v>MERKEZ KASA|295</v>
      </c>
    </row>
    <row r="377" spans="1:21" ht="18" customHeight="1" x14ac:dyDescent="0.3">
      <c r="A377" s="2"/>
      <c r="B377" s="65" t="str">
        <f>IF($D377="","","T"&amp;TEXT(ROW()-6,"00000"))</f>
        <v>T00371</v>
      </c>
      <c r="C377" s="65" t="str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>M035</v>
      </c>
      <c r="D377" s="61" t="s">
        <v>615</v>
      </c>
      <c r="E377" s="66">
        <v>46179</v>
      </c>
      <c r="F377" s="67">
        <v>3500</v>
      </c>
      <c r="G377" s="60" t="s">
        <v>717</v>
      </c>
      <c r="H377" s="60" t="s">
        <v>572</v>
      </c>
      <c r="I377" s="61"/>
      <c r="J377" s="61" t="s">
        <v>720</v>
      </c>
      <c r="K377" s="61"/>
      <c r="L377" s="73">
        <f>IF($E377="","",DATE(YEAR($E377),MONTH($E377),1))</f>
        <v>46174</v>
      </c>
      <c r="M377" s="65" t="str">
        <f ca="1">IF($D377="","",IF($C377="TANIMSIZ MÜŞTERİ","HATA",IF(OR($E377="",$F377&lt;=0,$G377=""),"EKSİK",IF($E377&gt;TODAY(),"İLERİ TARİH",IF(COUNTIF($S$7:$S$2503,$S377)&gt;1,"MÜKERRER?",IF($T377&gt;0,"KAPALI DÖNEM","UYGUN"))))))</f>
        <v>UYGUN</v>
      </c>
      <c r="N377" s="74" t="str">
        <f>IF($C377="","",IF($C377="TANIMSIZ MÜŞTERİ","—",INDEX(MUSTERILER!$C$7:$C$156,MATCH($C377,MUSTERILER!$B$7:$B$156,0))))</f>
        <v>İSA DEMİRCİ</v>
      </c>
      <c r="O377" s="2"/>
      <c r="P377" s="2"/>
      <c r="Q377" s="1" t="str">
        <f>IF($D377="","",$C377&amp;"|"&amp;COUNTIFS($C$7:$C377,$C377))</f>
        <v>M035|5</v>
      </c>
      <c r="R377" s="1" t="str">
        <f t="shared" si="10"/>
        <v>ISADEMIRCI</v>
      </c>
      <c r="S377" s="1" t="str">
        <f t="shared" si="11"/>
        <v>M035|46179|3500|</v>
      </c>
      <c r="T377" s="1">
        <f>IF($E377="",0,SUMPRODUCT((AY_SONU!$O$7:$O$42="Evet")*(AY_SONU!$B$7:$B$42=DATE(YEAR($E377),MONTH($E377),1))))</f>
        <v>0</v>
      </c>
      <c r="U377" s="1" t="str">
        <f>IF(OR($G377="",$H377="Mahsup"),"",$G377&amp;"|"&amp;COUNTIFS($G$7:$G377,$G377,$H$7:$H377,"&lt;&gt;Mahsup"))</f>
        <v>MERKEZ KASA|296</v>
      </c>
    </row>
    <row r="378" spans="1:21" ht="18" customHeight="1" x14ac:dyDescent="0.3">
      <c r="A378" s="2"/>
      <c r="B378" s="65" t="str">
        <f>IF($D378="","","T"&amp;TEXT(ROW()-6,"00000"))</f>
        <v>T00372</v>
      </c>
      <c r="C378" s="65" t="str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>M020</v>
      </c>
      <c r="D378" s="61" t="s">
        <v>623</v>
      </c>
      <c r="E378" s="66">
        <v>46179</v>
      </c>
      <c r="F378" s="67">
        <v>4000</v>
      </c>
      <c r="G378" s="60" t="s">
        <v>717</v>
      </c>
      <c r="H378" s="60" t="s">
        <v>572</v>
      </c>
      <c r="I378" s="61"/>
      <c r="J378" s="61" t="s">
        <v>720</v>
      </c>
      <c r="K378" s="61"/>
      <c r="L378" s="73">
        <f>IF($E378="","",DATE(YEAR($E378),MONTH($E378),1))</f>
        <v>46174</v>
      </c>
      <c r="M378" s="65" t="str">
        <f ca="1">IF($D378="","",IF($C378="TANIMSIZ MÜŞTERİ","HATA",IF(OR($E378="",$F378&lt;=0,$G378=""),"EKSİK",IF($E378&gt;TODAY(),"İLERİ TARİH",IF(COUNTIF($S$7:$S$2503,$S378)&gt;1,"MÜKERRER?",IF($T378&gt;0,"KAPALI DÖNEM","UYGUN"))))))</f>
        <v>UYGUN</v>
      </c>
      <c r="N378" s="74" t="str">
        <f>IF($C378="","",IF($C378="TANIMSIZ MÜŞTERİ","—",INDEX(MUSTERILER!$C$7:$C$156,MATCH($C378,MUSTERILER!$B$7:$B$156,0))))</f>
        <v>KRİSTAL LTD.ŞTİ.</v>
      </c>
      <c r="O378" s="2"/>
      <c r="P378" s="2"/>
      <c r="Q378" s="1" t="str">
        <f>IF($D378="","",$C378&amp;"|"&amp;COUNTIFS($C$7:$C378,$C378))</f>
        <v>M020|22</v>
      </c>
      <c r="R378" s="1" t="str">
        <f t="shared" si="10"/>
        <v>KRISTALLTDSTI</v>
      </c>
      <c r="S378" s="1" t="str">
        <f t="shared" si="11"/>
        <v>M020|46179|4000|</v>
      </c>
      <c r="T378" s="1">
        <f>IF($E378="",0,SUMPRODUCT((AY_SONU!$O$7:$O$42="Evet")*(AY_SONU!$B$7:$B$42=DATE(YEAR($E378),MONTH($E378),1))))</f>
        <v>0</v>
      </c>
      <c r="U378" s="1" t="str">
        <f>IF(OR($G378="",$H378="Mahsup"),"",$G378&amp;"|"&amp;COUNTIFS($G$7:$G378,$G378,$H$7:$H378,"&lt;&gt;Mahsup"))</f>
        <v>MERKEZ KASA|297</v>
      </c>
    </row>
    <row r="379" spans="1:21" ht="18" customHeight="1" x14ac:dyDescent="0.3">
      <c r="A379" s="2"/>
      <c r="B379" s="65" t="str">
        <f>IF($D379="","","T"&amp;TEXT(ROW()-6,"00000"))</f>
        <v>T00373</v>
      </c>
      <c r="C379" s="65" t="str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>M047</v>
      </c>
      <c r="D379" s="61" t="s">
        <v>654</v>
      </c>
      <c r="E379" s="66">
        <v>46179</v>
      </c>
      <c r="F379" s="67">
        <v>4000</v>
      </c>
      <c r="G379" s="60" t="s">
        <v>717</v>
      </c>
      <c r="H379" s="60" t="s">
        <v>572</v>
      </c>
      <c r="I379" s="61"/>
      <c r="J379" s="61" t="s">
        <v>720</v>
      </c>
      <c r="K379" s="61"/>
      <c r="L379" s="73">
        <f>IF($E379="","",DATE(YEAR($E379),MONTH($E379),1))</f>
        <v>46174</v>
      </c>
      <c r="M379" s="65" t="str">
        <f ca="1">IF($D379="","",IF($C379="TANIMSIZ MÜŞTERİ","HATA",IF(OR($E379="",$F379&lt;=0,$G379=""),"EKSİK",IF($E379&gt;TODAY(),"İLERİ TARİH",IF(COUNTIF($S$7:$S$2503,$S379)&gt;1,"MÜKERRER?",IF($T379&gt;0,"KAPALI DÖNEM","UYGUN"))))))</f>
        <v>UYGUN</v>
      </c>
      <c r="N379" s="74" t="str">
        <f>IF($C379="","",IF($C379="TANIMSIZ MÜŞTERİ","—",INDEX(MUSTERILER!$C$7:$C$156,MATCH($C379,MUSTERILER!$B$7:$B$156,0))))</f>
        <v>PALAOĞULLARI LTD.ŞTİ.</v>
      </c>
      <c r="O379" s="2"/>
      <c r="P379" s="2"/>
      <c r="Q379" s="1" t="str">
        <f>IF($D379="","",$C379&amp;"|"&amp;COUNTIFS($C$7:$C379,$C379))</f>
        <v>M047|13</v>
      </c>
      <c r="R379" s="1" t="str">
        <f t="shared" si="10"/>
        <v>PALAOGULLARILTDSTI</v>
      </c>
      <c r="S379" s="1" t="str">
        <f t="shared" si="11"/>
        <v>M047|46179|4000|</v>
      </c>
      <c r="T379" s="1">
        <f>IF($E379="",0,SUMPRODUCT((AY_SONU!$O$7:$O$42="Evet")*(AY_SONU!$B$7:$B$42=DATE(YEAR($E379),MONTH($E379),1))))</f>
        <v>0</v>
      </c>
      <c r="U379" s="1" t="str">
        <f>IF(OR($G379="",$H379="Mahsup"),"",$G379&amp;"|"&amp;COUNTIFS($G$7:$G379,$G379,$H$7:$H379,"&lt;&gt;Mahsup"))</f>
        <v>MERKEZ KASA|298</v>
      </c>
    </row>
    <row r="380" spans="1:21" ht="18" customHeight="1" x14ac:dyDescent="0.3">
      <c r="A380" s="2"/>
      <c r="B380" s="65" t="str">
        <f>IF($D380="","","T"&amp;TEXT(ROW()-6,"00000"))</f>
        <v>T00374</v>
      </c>
      <c r="C380" s="65" t="str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>M054</v>
      </c>
      <c r="D380" s="61" t="s">
        <v>674</v>
      </c>
      <c r="E380" s="66">
        <v>46179</v>
      </c>
      <c r="F380" s="67">
        <v>4000</v>
      </c>
      <c r="G380" s="60" t="s">
        <v>717</v>
      </c>
      <c r="H380" s="60" t="s">
        <v>572</v>
      </c>
      <c r="I380" s="61"/>
      <c r="J380" s="61" t="s">
        <v>720</v>
      </c>
      <c r="K380" s="61"/>
      <c r="L380" s="73">
        <f>IF($E380="","",DATE(YEAR($E380),MONTH($E380),1))</f>
        <v>46174</v>
      </c>
      <c r="M380" s="65" t="str">
        <f ca="1">IF($D380="","",IF($C380="TANIMSIZ MÜŞTERİ","HATA",IF(OR($E380="",$F380&lt;=0,$G380=""),"EKSİK",IF($E380&gt;TODAY(),"İLERİ TARİH",IF(COUNTIF($S$7:$S$2503,$S380)&gt;1,"MÜKERRER?",IF($T380&gt;0,"KAPALI DÖNEM","UYGUN"))))))</f>
        <v>UYGUN</v>
      </c>
      <c r="N380" s="74" t="str">
        <f>IF($C380="","",IF($C380="TANIMSIZ MÜŞTERİ","—",INDEX(MUSTERILER!$C$7:$C$156,MATCH($C380,MUSTERILER!$B$7:$B$156,0))))</f>
        <v>YALIKENT LTD.ŞTİ.</v>
      </c>
      <c r="O380" s="2"/>
      <c r="P380" s="2"/>
      <c r="Q380" s="1" t="str">
        <f>IF($D380="","",$C380&amp;"|"&amp;COUNTIFS($C$7:$C380,$C380))</f>
        <v>M054|11</v>
      </c>
      <c r="R380" s="1" t="str">
        <f t="shared" si="10"/>
        <v>YALIKENTLTDSTI</v>
      </c>
      <c r="S380" s="1" t="str">
        <f t="shared" si="11"/>
        <v>M054|46179|4000|</v>
      </c>
      <c r="T380" s="1">
        <f>IF($E380="",0,SUMPRODUCT((AY_SONU!$O$7:$O$42="Evet")*(AY_SONU!$B$7:$B$42=DATE(YEAR($E380),MONTH($E380),1))))</f>
        <v>0</v>
      </c>
      <c r="U380" s="1" t="str">
        <f>IF(OR($G380="",$H380="Mahsup"),"",$G380&amp;"|"&amp;COUNTIFS($G$7:$G380,$G380,$H$7:$H380,"&lt;&gt;Mahsup"))</f>
        <v>MERKEZ KASA|299</v>
      </c>
    </row>
    <row r="381" spans="1:21" ht="18" customHeight="1" x14ac:dyDescent="0.3">
      <c r="A381" s="2"/>
      <c r="B381" s="65" t="str">
        <f>IF($D381="","","T"&amp;TEXT(ROW()-6,"00000"))</f>
        <v>T00375</v>
      </c>
      <c r="C381" s="65" t="str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>M019</v>
      </c>
      <c r="D381" s="61" t="s">
        <v>570</v>
      </c>
      <c r="E381" s="66">
        <v>46183</v>
      </c>
      <c r="F381" s="67">
        <v>5000</v>
      </c>
      <c r="G381" s="60" t="s">
        <v>717</v>
      </c>
      <c r="H381" s="60" t="s">
        <v>572</v>
      </c>
      <c r="I381" s="61"/>
      <c r="J381" s="61" t="s">
        <v>720</v>
      </c>
      <c r="K381" s="61"/>
      <c r="L381" s="73">
        <f>IF($E381="","",DATE(YEAR($E381),MONTH($E381),1))</f>
        <v>46174</v>
      </c>
      <c r="M381" s="65" t="str">
        <f ca="1">IF($D381="","",IF($C381="TANIMSIZ MÜŞTERİ","HATA",IF(OR($E381="",$F381&lt;=0,$G381=""),"EKSİK",IF($E381&gt;TODAY(),"İLERİ TARİH",IF(COUNTIF($S$7:$S$2503,$S381)&gt;1,"MÜKERRER?",IF($T381&gt;0,"KAPALI DÖNEM","UYGUN"))))))</f>
        <v>UYGUN</v>
      </c>
      <c r="N381" s="74" t="str">
        <f>IF($C381="","",IF($C381="TANIMSIZ MÜŞTERİ","—",INDEX(MUSTERILER!$C$7:$C$156,MATCH($C381,MUSTERILER!$B$7:$B$156,0))))</f>
        <v>AC OTEL LTD.ŞTİ.</v>
      </c>
      <c r="O381" s="2"/>
      <c r="P381" s="2"/>
      <c r="Q381" s="1" t="str">
        <f>IF($D381="","",$C381&amp;"|"&amp;COUNTIFS($C$7:$C381,$C381))</f>
        <v>M019|4</v>
      </c>
      <c r="R381" s="1" t="str">
        <f t="shared" si="10"/>
        <v>ACOTELLTDSTI</v>
      </c>
      <c r="S381" s="1" t="str">
        <f t="shared" si="11"/>
        <v>M019|46183|5000|</v>
      </c>
      <c r="T381" s="1">
        <f>IF($E381="",0,SUMPRODUCT((AY_SONU!$O$7:$O$42="Evet")*(AY_SONU!$B$7:$B$42=DATE(YEAR($E381),MONTH($E381),1))))</f>
        <v>0</v>
      </c>
      <c r="U381" s="1" t="str">
        <f>IF(OR($G381="",$H381="Mahsup"),"",$G381&amp;"|"&amp;COUNTIFS($G$7:$G381,$G381,$H$7:$H381,"&lt;&gt;Mahsup"))</f>
        <v>MERKEZ KASA|300</v>
      </c>
    </row>
    <row r="382" spans="1:21" ht="18" customHeight="1" x14ac:dyDescent="0.3">
      <c r="A382" s="2"/>
      <c r="B382" s="65" t="str">
        <f>IF($D382="","","T"&amp;TEXT(ROW()-6,"00000"))</f>
        <v>T00376</v>
      </c>
      <c r="C382" s="65" t="str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>M025</v>
      </c>
      <c r="D382" s="61" t="s">
        <v>583</v>
      </c>
      <c r="E382" s="66">
        <v>46186</v>
      </c>
      <c r="F382" s="67">
        <v>2000</v>
      </c>
      <c r="G382" s="60" t="s">
        <v>717</v>
      </c>
      <c r="H382" s="60" t="s">
        <v>572</v>
      </c>
      <c r="I382" s="61"/>
      <c r="J382" s="61" t="s">
        <v>720</v>
      </c>
      <c r="K382" s="61"/>
      <c r="L382" s="73">
        <f>IF($E382="","",DATE(YEAR($E382),MONTH($E382),1))</f>
        <v>46174</v>
      </c>
      <c r="M382" s="65" t="str">
        <f ca="1">IF($D382="","",IF($C382="TANIMSIZ MÜŞTERİ","HATA",IF(OR($E382="",$F382&lt;=0,$G382=""),"EKSİK",IF($E382&gt;TODAY(),"İLERİ TARİH",IF(COUNTIF($S$7:$S$2503,$S382)&gt;1,"MÜKERRER?",IF($T382&gt;0,"KAPALI DÖNEM","UYGUN"))))))</f>
        <v>UYGUN</v>
      </c>
      <c r="N382" s="74" t="str">
        <f>IF($C382="","",IF($C382="TANIMSIZ MÜŞTERİ","—",INDEX(MUSTERILER!$C$7:$C$156,MATCH($C382,MUSTERILER!$B$7:$B$156,0))))</f>
        <v>ASIM AÇIKGÖZ</v>
      </c>
      <c r="O382" s="2"/>
      <c r="P382" s="2"/>
      <c r="Q382" s="1" t="str">
        <f>IF($D382="","",$C382&amp;"|"&amp;COUNTIFS($C$7:$C382,$C382))</f>
        <v>M025|19</v>
      </c>
      <c r="R382" s="1" t="str">
        <f t="shared" si="10"/>
        <v>ASIMACIKGOZ</v>
      </c>
      <c r="S382" s="1" t="str">
        <f t="shared" si="11"/>
        <v>M025|46186|2000|</v>
      </c>
      <c r="T382" s="1">
        <f>IF($E382="",0,SUMPRODUCT((AY_SONU!$O$7:$O$42="Evet")*(AY_SONU!$B$7:$B$42=DATE(YEAR($E382),MONTH($E382),1))))</f>
        <v>0</v>
      </c>
      <c r="U382" s="1" t="str">
        <f>IF(OR($G382="",$H382="Mahsup"),"",$G382&amp;"|"&amp;COUNTIFS($G$7:$G382,$G382,$H$7:$H382,"&lt;&gt;Mahsup"))</f>
        <v>MERKEZ KASA|301</v>
      </c>
    </row>
    <row r="383" spans="1:21" ht="18" customHeight="1" x14ac:dyDescent="0.3">
      <c r="A383" s="2"/>
      <c r="B383" s="65" t="str">
        <f>IF($D383="","","T"&amp;TEXT(ROW()-6,"00000"))</f>
        <v>T00377</v>
      </c>
      <c r="C383" s="65" t="str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>M017</v>
      </c>
      <c r="D383" s="61" t="s">
        <v>585</v>
      </c>
      <c r="E383" s="66">
        <v>46186</v>
      </c>
      <c r="F383" s="67">
        <v>2500</v>
      </c>
      <c r="G383" s="60" t="s">
        <v>717</v>
      </c>
      <c r="H383" s="60" t="s">
        <v>572</v>
      </c>
      <c r="I383" s="61"/>
      <c r="J383" s="61" t="s">
        <v>720</v>
      </c>
      <c r="K383" s="61"/>
      <c r="L383" s="73">
        <f>IF($E383="","",DATE(YEAR($E383),MONTH($E383),1))</f>
        <v>46174</v>
      </c>
      <c r="M383" s="65" t="str">
        <f ca="1">IF($D383="","",IF($C383="TANIMSIZ MÜŞTERİ","HATA",IF(OR($E383="",$F383&lt;=0,$G383=""),"EKSİK",IF($E383&gt;TODAY(),"İLERİ TARİH",IF(COUNTIF($S$7:$S$2503,$S383)&gt;1,"MÜKERRER?",IF($T383&gt;0,"KAPALI DÖNEM","UYGUN"))))))</f>
        <v>UYGUN</v>
      </c>
      <c r="N383" s="74" t="str">
        <f>IF($C383="","",IF($C383="TANIMSIZ MÜŞTERİ","—",INDEX(MUSTERILER!$C$7:$C$156,MATCH($C383,MUSTERILER!$B$7:$B$156,0))))</f>
        <v>ASM EĞLENCE LTD.ŞTİ.</v>
      </c>
      <c r="O383" s="2"/>
      <c r="P383" s="2"/>
      <c r="Q383" s="1" t="str">
        <f>IF($D383="","",$C383&amp;"|"&amp;COUNTIFS($C$7:$C383,$C383))</f>
        <v>M017|20</v>
      </c>
      <c r="R383" s="1" t="str">
        <f t="shared" si="10"/>
        <v>ASMEGLENCELTDSTI</v>
      </c>
      <c r="S383" s="1" t="str">
        <f t="shared" si="11"/>
        <v>M017|46186|2500|</v>
      </c>
      <c r="T383" s="1">
        <f>IF($E383="",0,SUMPRODUCT((AY_SONU!$O$7:$O$42="Evet")*(AY_SONU!$B$7:$B$42=DATE(YEAR($E383),MONTH($E383),1))))</f>
        <v>0</v>
      </c>
      <c r="U383" s="1" t="str">
        <f>IF(OR($G383="",$H383="Mahsup"),"",$G383&amp;"|"&amp;COUNTIFS($G$7:$G383,$G383,$H$7:$H383,"&lt;&gt;Mahsup"))</f>
        <v>MERKEZ KASA|302</v>
      </c>
    </row>
    <row r="384" spans="1:21" ht="18" customHeight="1" x14ac:dyDescent="0.3">
      <c r="A384" s="2"/>
      <c r="B384" s="65" t="str">
        <f>IF($D384="","","T"&amp;TEXT(ROW()-6,"00000"))</f>
        <v>T00378</v>
      </c>
      <c r="C384" s="65" t="str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>M015</v>
      </c>
      <c r="D384" s="61" t="s">
        <v>719</v>
      </c>
      <c r="E384" s="66">
        <v>46186</v>
      </c>
      <c r="F384" s="67">
        <v>3000</v>
      </c>
      <c r="G384" s="60" t="s">
        <v>717</v>
      </c>
      <c r="H384" s="60" t="s">
        <v>572</v>
      </c>
      <c r="I384" s="61"/>
      <c r="J384" s="61" t="s">
        <v>720</v>
      </c>
      <c r="K384" s="61"/>
      <c r="L384" s="73">
        <f>IF($E384="","",DATE(YEAR($E384),MONTH($E384),1))</f>
        <v>46174</v>
      </c>
      <c r="M384" s="65" t="str">
        <f ca="1">IF($D384="","",IF($C384="TANIMSIZ MÜŞTERİ","HATA",IF(OR($E384="",$F384&lt;=0,$G384=""),"EKSİK",IF($E384&gt;TODAY(),"İLERİ TARİH",IF(COUNTIF($S$7:$S$2503,$S384)&gt;1,"MÜKERRER?",IF($T384&gt;0,"KAPALI DÖNEM","UYGUN"))))))</f>
        <v>UYGUN</v>
      </c>
      <c r="N384" s="74" t="str">
        <f>IF($C384="","",IF($C384="TANIMSIZ MÜŞTERİ","—",INDEX(MUSTERILER!$C$7:$C$156,MATCH($C384,MUSTERILER!$B$7:$B$156,0))))</f>
        <v>ÇAYIRALAN LTD.ŞTİ.</v>
      </c>
      <c r="O384" s="2"/>
      <c r="P384" s="2"/>
      <c r="Q384" s="1" t="str">
        <f>IF($D384="","",$C384&amp;"|"&amp;COUNTIFS($C$7:$C384,$C384))</f>
        <v>M015|21</v>
      </c>
      <c r="R384" s="1" t="str">
        <f t="shared" si="10"/>
        <v>CAYIRALANLTDSTI</v>
      </c>
      <c r="S384" s="1" t="str">
        <f t="shared" si="11"/>
        <v>M015|46186|3000|</v>
      </c>
      <c r="T384" s="1">
        <f>IF($E384="",0,SUMPRODUCT((AY_SONU!$O$7:$O$42="Evet")*(AY_SONU!$B$7:$B$42=DATE(YEAR($E384),MONTH($E384),1))))</f>
        <v>0</v>
      </c>
      <c r="U384" s="1" t="str">
        <f>IF(OR($G384="",$H384="Mahsup"),"",$G384&amp;"|"&amp;COUNTIFS($G$7:$G384,$G384,$H$7:$H384,"&lt;&gt;Mahsup"))</f>
        <v>MERKEZ KASA|303</v>
      </c>
    </row>
    <row r="385" spans="1:21" ht="18" customHeight="1" x14ac:dyDescent="0.3">
      <c r="A385" s="2"/>
      <c r="B385" s="65" t="str">
        <f>IF($D385="","","T"&amp;TEXT(ROW()-6,"00000"))</f>
        <v>T00379</v>
      </c>
      <c r="C385" s="65" t="str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>M011</v>
      </c>
      <c r="D385" s="61" t="s">
        <v>730</v>
      </c>
      <c r="E385" s="66">
        <v>46186</v>
      </c>
      <c r="F385" s="67">
        <v>4000</v>
      </c>
      <c r="G385" s="60" t="s">
        <v>717</v>
      </c>
      <c r="H385" s="60" t="s">
        <v>572</v>
      </c>
      <c r="I385" s="61"/>
      <c r="J385" s="61" t="s">
        <v>720</v>
      </c>
      <c r="K385" s="61"/>
      <c r="L385" s="73">
        <f>IF($E385="","",DATE(YEAR($E385),MONTH($E385),1))</f>
        <v>46174</v>
      </c>
      <c r="M385" s="65" t="str">
        <f ca="1">IF($D385="","",IF($C385="TANIMSIZ MÜŞTERİ","HATA",IF(OR($E385="",$F385&lt;=0,$G385=""),"EKSİK",IF($E385&gt;TODAY(),"İLERİ TARİH",IF(COUNTIF($S$7:$S$2503,$S385)&gt;1,"MÜKERRER?",IF($T385&gt;0,"KAPALI DÖNEM","UYGUN"))))))</f>
        <v>UYGUN</v>
      </c>
      <c r="N385" s="74" t="str">
        <f>IF($C385="","",IF($C385="TANIMSIZ MÜŞTERİ","—",INDEX(MUSTERILER!$C$7:$C$156,MATCH($C385,MUSTERILER!$B$7:$B$156,0))))</f>
        <v>EĞLENGÖR LTD.ŞTİ.</v>
      </c>
      <c r="O385" s="2"/>
      <c r="P385" s="2"/>
      <c r="Q385" s="1" t="str">
        <f>IF($D385="","",$C385&amp;"|"&amp;COUNTIFS($C$7:$C385,$C385))</f>
        <v>M011|22</v>
      </c>
      <c r="R385" s="1" t="str">
        <f t="shared" si="10"/>
        <v>EGLENGORLTDSTI</v>
      </c>
      <c r="S385" s="1" t="str">
        <f t="shared" si="11"/>
        <v>M011|46186|4000|</v>
      </c>
      <c r="T385" s="1">
        <f>IF($E385="",0,SUMPRODUCT((AY_SONU!$O$7:$O$42="Evet")*(AY_SONU!$B$7:$B$42=DATE(YEAR($E385),MONTH($E385),1))))</f>
        <v>0</v>
      </c>
      <c r="U385" s="1" t="str">
        <f>IF(OR($G385="",$H385="Mahsup"),"",$G385&amp;"|"&amp;COUNTIFS($G$7:$G385,$G385,$H$7:$H385,"&lt;&gt;Mahsup"))</f>
        <v>MERKEZ KASA|304</v>
      </c>
    </row>
    <row r="386" spans="1:21" ht="18" customHeight="1" x14ac:dyDescent="0.3">
      <c r="A386" s="2"/>
      <c r="B386" s="65" t="str">
        <f>IF($D386="","","T"&amp;TEXT(ROW()-6,"00000"))</f>
        <v>T00380</v>
      </c>
      <c r="C386" s="65" t="str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>M014</v>
      </c>
      <c r="D386" s="61" t="s">
        <v>731</v>
      </c>
      <c r="E386" s="66">
        <v>46186</v>
      </c>
      <c r="F386" s="67">
        <v>4000</v>
      </c>
      <c r="G386" s="60" t="s">
        <v>717</v>
      </c>
      <c r="H386" s="60" t="s">
        <v>572</v>
      </c>
      <c r="I386" s="61"/>
      <c r="J386" s="61" t="s">
        <v>720</v>
      </c>
      <c r="K386" s="61"/>
      <c r="L386" s="73">
        <f>IF($E386="","",DATE(YEAR($E386),MONTH($E386),1))</f>
        <v>46174</v>
      </c>
      <c r="M386" s="65" t="str">
        <f ca="1">IF($D386="","",IF($C386="TANIMSIZ MÜŞTERİ","HATA",IF(OR($E386="",$F386&lt;=0,$G386=""),"EKSİK",IF($E386&gt;TODAY(),"İLERİ TARİH",IF(COUNTIF($S$7:$S$2503,$S386)&gt;1,"MÜKERRER?",IF($T386&gt;0,"KAPALI DÖNEM","UYGUN"))))))</f>
        <v>UYGUN</v>
      </c>
      <c r="N386" s="74" t="str">
        <f>IF($C386="","",IF($C386="TANIMSIZ MÜŞTERİ","—",INDEX(MUSTERILER!$C$7:$C$156,MATCH($C386,MUSTERILER!$B$7:$B$156,0))))</f>
        <v>FİNAL SİYAH BEYAZ LTD.ŞTİ.</v>
      </c>
      <c r="O386" s="2"/>
      <c r="P386" s="2"/>
      <c r="Q386" s="1" t="str">
        <f>IF($D386="","",$C386&amp;"|"&amp;COUNTIFS($C$7:$C386,$C386))</f>
        <v>M014|21</v>
      </c>
      <c r="R386" s="1" t="str">
        <f t="shared" si="10"/>
        <v>FINALSIYAHBEYAZLTDSTI</v>
      </c>
      <c r="S386" s="1" t="str">
        <f t="shared" si="11"/>
        <v>M014|46186|4000|</v>
      </c>
      <c r="T386" s="1">
        <f>IF($E386="",0,SUMPRODUCT((AY_SONU!$O$7:$O$42="Evet")*(AY_SONU!$B$7:$B$42=DATE(YEAR($E386),MONTH($E386),1))))</f>
        <v>0</v>
      </c>
      <c r="U386" s="1" t="str">
        <f>IF(OR($G386="",$H386="Mahsup"),"",$G386&amp;"|"&amp;COUNTIFS($G$7:$G386,$G386,$H$7:$H386,"&lt;&gt;Mahsup"))</f>
        <v>MERKEZ KASA|305</v>
      </c>
    </row>
    <row r="387" spans="1:21" ht="18" customHeight="1" x14ac:dyDescent="0.3">
      <c r="A387" s="2"/>
      <c r="B387" s="65" t="str">
        <f>IF($D387="","","T"&amp;TEXT(ROW()-6,"00000"))</f>
        <v>T00381</v>
      </c>
      <c r="C387" s="65" t="str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>M012</v>
      </c>
      <c r="D387" s="61" t="s">
        <v>721</v>
      </c>
      <c r="E387" s="66">
        <v>46186</v>
      </c>
      <c r="F387" s="67">
        <v>4000</v>
      </c>
      <c r="G387" s="60" t="s">
        <v>717</v>
      </c>
      <c r="H387" s="60" t="s">
        <v>572</v>
      </c>
      <c r="I387" s="61"/>
      <c r="J387" s="61" t="s">
        <v>720</v>
      </c>
      <c r="K387" s="61"/>
      <c r="L387" s="73">
        <f>IF($E387="","",DATE(YEAR($E387),MONTH($E387),1))</f>
        <v>46174</v>
      </c>
      <c r="M387" s="65" t="str">
        <f ca="1">IF($D387="","",IF($C387="TANIMSIZ MÜŞTERİ","HATA",IF(OR($E387="",$F387&lt;=0,$G387=""),"EKSİK",IF($E387&gt;TODAY(),"İLERİ TARİH",IF(COUNTIF($S$7:$S$2503,$S387)&gt;1,"MÜKERRER?",IF($T387&gt;0,"KAPALI DÖNEM","UYGUN"))))))</f>
        <v>UYGUN</v>
      </c>
      <c r="N387" s="74" t="str">
        <f>IF($C387="","",IF($C387="TANIMSIZ MÜŞTERİ","—",INDEX(MUSTERILER!$C$7:$C$156,MATCH($C387,MUSTERILER!$B$7:$B$156,0))))</f>
        <v>İLDEŞ LTD.ŞTİ.</v>
      </c>
      <c r="O387" s="2"/>
      <c r="P387" s="2"/>
      <c r="Q387" s="1" t="str">
        <f>IF($D387="","",$C387&amp;"|"&amp;COUNTIFS($C$7:$C387,$C387))</f>
        <v>M012|23</v>
      </c>
      <c r="R387" s="1" t="str">
        <f t="shared" si="10"/>
        <v>ILDESLTDSTI</v>
      </c>
      <c r="S387" s="1" t="str">
        <f t="shared" si="11"/>
        <v>M012|46186|4000|</v>
      </c>
      <c r="T387" s="1">
        <f>IF($E387="",0,SUMPRODUCT((AY_SONU!$O$7:$O$42="Evet")*(AY_SONU!$B$7:$B$42=DATE(YEAR($E387),MONTH($E387),1))))</f>
        <v>0</v>
      </c>
      <c r="U387" s="1" t="str">
        <f>IF(OR($G387="",$H387="Mahsup"),"",$G387&amp;"|"&amp;COUNTIFS($G$7:$G387,$G387,$H$7:$H387,"&lt;&gt;Mahsup"))</f>
        <v>MERKEZ KASA|306</v>
      </c>
    </row>
    <row r="388" spans="1:21" ht="18" customHeight="1" x14ac:dyDescent="0.3">
      <c r="A388" s="2"/>
      <c r="B388" s="65" t="str">
        <f>IF($D388="","","T"&amp;TEXT(ROW()-6,"00000"))</f>
        <v>T00382</v>
      </c>
      <c r="C388" s="65" t="str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>M007</v>
      </c>
      <c r="D388" s="61" t="s">
        <v>733</v>
      </c>
      <c r="E388" s="66">
        <v>46186</v>
      </c>
      <c r="F388" s="67">
        <v>3500</v>
      </c>
      <c r="G388" s="60" t="s">
        <v>717</v>
      </c>
      <c r="H388" s="60" t="s">
        <v>572</v>
      </c>
      <c r="I388" s="61"/>
      <c r="J388" s="61" t="s">
        <v>720</v>
      </c>
      <c r="K388" s="61"/>
      <c r="L388" s="73">
        <f>IF($E388="","",DATE(YEAR($E388),MONTH($E388),1))</f>
        <v>46174</v>
      </c>
      <c r="M388" s="65" t="str">
        <f ca="1">IF($D388="","",IF($C388="TANIMSIZ MÜŞTERİ","HATA",IF(OR($E388="",$F388&lt;=0,$G388=""),"EKSİK",IF($E388&gt;TODAY(),"İLERİ TARİH",IF(COUNTIF($S$7:$S$2503,$S388)&gt;1,"MÜKERRER?",IF($T388&gt;0,"KAPALI DÖNEM","UYGUN"))))))</f>
        <v>UYGUN</v>
      </c>
      <c r="N388" s="74" t="str">
        <f>IF($C388="","",IF($C388="TANIMSIZ MÜŞTERİ","—",INDEX(MUSTERILER!$C$7:$C$156,MATCH($C388,MUSTERILER!$B$7:$B$156,0))))</f>
        <v>MONAMOUR LTD.ŞTİ.</v>
      </c>
      <c r="O388" s="2"/>
      <c r="P388" s="2"/>
      <c r="Q388" s="1" t="str">
        <f>IF($D388="","",$C388&amp;"|"&amp;COUNTIFS($C$7:$C388,$C388))</f>
        <v>M007|17</v>
      </c>
      <c r="R388" s="1" t="str">
        <f t="shared" si="10"/>
        <v>MONAMOURLTDSTI</v>
      </c>
      <c r="S388" s="1" t="str">
        <f t="shared" si="11"/>
        <v>M007|46186|3500|</v>
      </c>
      <c r="T388" s="1">
        <f>IF($E388="",0,SUMPRODUCT((AY_SONU!$O$7:$O$42="Evet")*(AY_SONU!$B$7:$B$42=DATE(YEAR($E388),MONTH($E388),1))))</f>
        <v>0</v>
      </c>
      <c r="U388" s="1" t="str">
        <f>IF(OR($G388="",$H388="Mahsup"),"",$G388&amp;"|"&amp;COUNTIFS($G$7:$G388,$G388,$H$7:$H388,"&lt;&gt;Mahsup"))</f>
        <v>MERKEZ KASA|307</v>
      </c>
    </row>
    <row r="389" spans="1:21" ht="18" customHeight="1" x14ac:dyDescent="0.3">
      <c r="A389" s="2"/>
      <c r="B389" s="65" t="str">
        <f>IF($D389="","","T"&amp;TEXT(ROW()-6,"00000"))</f>
        <v>T00383</v>
      </c>
      <c r="C389" s="65" t="str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>M013</v>
      </c>
      <c r="D389" s="61" t="s">
        <v>734</v>
      </c>
      <c r="E389" s="66">
        <v>46186</v>
      </c>
      <c r="F389" s="67">
        <v>2000</v>
      </c>
      <c r="G389" s="60" t="s">
        <v>717</v>
      </c>
      <c r="H389" s="60" t="s">
        <v>572</v>
      </c>
      <c r="I389" s="61"/>
      <c r="J389" s="61" t="s">
        <v>720</v>
      </c>
      <c r="K389" s="61"/>
      <c r="L389" s="73">
        <f>IF($E389="","",DATE(YEAR($E389),MONTH($E389),1))</f>
        <v>46174</v>
      </c>
      <c r="M389" s="65" t="str">
        <f ca="1">IF($D389="","",IF($C389="TANIMSIZ MÜŞTERİ","HATA",IF(OR($E389="",$F389&lt;=0,$G389=""),"EKSİK",IF($E389&gt;TODAY(),"İLERİ TARİH",IF(COUNTIF($S$7:$S$2503,$S389)&gt;1,"MÜKERRER?",IF($T389&gt;0,"KAPALI DÖNEM","UYGUN"))))))</f>
        <v>UYGUN</v>
      </c>
      <c r="N389" s="74" t="str">
        <f>IF($C389="","",IF($C389="TANIMSIZ MÜŞTERİ","—",INDEX(MUSTERILER!$C$7:$C$156,MATCH($C389,MUSTERILER!$B$7:$B$156,0))))</f>
        <v>NAZ 1 GIDA LTD.ŞTİ.</v>
      </c>
      <c r="O389" s="2"/>
      <c r="P389" s="2"/>
      <c r="Q389" s="1" t="str">
        <f>IF($D389="","",$C389&amp;"|"&amp;COUNTIFS($C$7:$C389,$C389))</f>
        <v>M013|15</v>
      </c>
      <c r="R389" s="1" t="str">
        <f t="shared" si="10"/>
        <v>NAZ1GIDALTDSTI</v>
      </c>
      <c r="S389" s="1" t="str">
        <f t="shared" si="11"/>
        <v>M013|46186|2000|</v>
      </c>
      <c r="T389" s="1">
        <f>IF($E389="",0,SUMPRODUCT((AY_SONU!$O$7:$O$42="Evet")*(AY_SONU!$B$7:$B$42=DATE(YEAR($E389),MONTH($E389),1))))</f>
        <v>0</v>
      </c>
      <c r="U389" s="1" t="str">
        <f>IF(OR($G389="",$H389="Mahsup"),"",$G389&amp;"|"&amp;COUNTIFS($G$7:$G389,$G389,$H$7:$H389,"&lt;&gt;Mahsup"))</f>
        <v>MERKEZ KASA|308</v>
      </c>
    </row>
    <row r="390" spans="1:21" ht="18" customHeight="1" x14ac:dyDescent="0.3">
      <c r="A390" s="2"/>
      <c r="B390" s="65" t="str">
        <f>IF($D390="","","T"&amp;TEXT(ROW()-6,"00000"))</f>
        <v>T00384</v>
      </c>
      <c r="C390" s="65" t="str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>M009</v>
      </c>
      <c r="D390" s="61" t="s">
        <v>735</v>
      </c>
      <c r="E390" s="66">
        <v>46186</v>
      </c>
      <c r="F390" s="67">
        <v>4000</v>
      </c>
      <c r="G390" s="60" t="s">
        <v>717</v>
      </c>
      <c r="H390" s="60" t="s">
        <v>572</v>
      </c>
      <c r="I390" s="61"/>
      <c r="J390" s="61" t="s">
        <v>720</v>
      </c>
      <c r="K390" s="61"/>
      <c r="L390" s="73">
        <f>IF($E390="","",DATE(YEAR($E390),MONTH($E390),1))</f>
        <v>46174</v>
      </c>
      <c r="M390" s="65" t="str">
        <f ca="1">IF($D390="","",IF($C390="TANIMSIZ MÜŞTERİ","HATA",IF(OR($E390="",$F390&lt;=0,$G390=""),"EKSİK",IF($E390&gt;TODAY(),"İLERİ TARİH",IF(COUNTIF($S$7:$S$2503,$S390)&gt;1,"MÜKERRER?",IF($T390&gt;0,"KAPALI DÖNEM","UYGUN"))))))</f>
        <v>UYGUN</v>
      </c>
      <c r="N390" s="74" t="str">
        <f>IF($C390="","",IF($C390="TANIMSIZ MÜŞTERİ","—",INDEX(MUSTERILER!$C$7:$C$156,MATCH($C390,MUSTERILER!$B$7:$B$156,0))))</f>
        <v>PAKYILDIZ LTD.ŞTİ.</v>
      </c>
      <c r="O390" s="2"/>
      <c r="P390" s="2"/>
      <c r="Q390" s="1" t="str">
        <f>IF($D390="","",$C390&amp;"|"&amp;COUNTIFS($C$7:$C390,$C390))</f>
        <v>M009|19</v>
      </c>
      <c r="R390" s="1" t="str">
        <f t="shared" si="10"/>
        <v>PAKYILDIZLTDSTI</v>
      </c>
      <c r="S390" s="1" t="str">
        <f t="shared" si="11"/>
        <v>M009|46186|4000|</v>
      </c>
      <c r="T390" s="1">
        <f>IF($E390="",0,SUMPRODUCT((AY_SONU!$O$7:$O$42="Evet")*(AY_SONU!$B$7:$B$42=DATE(YEAR($E390),MONTH($E390),1))))</f>
        <v>0</v>
      </c>
      <c r="U390" s="1" t="str">
        <f>IF(OR($G390="",$H390="Mahsup"),"",$G390&amp;"|"&amp;COUNTIFS($G$7:$G390,$G390,$H$7:$H390,"&lt;&gt;Mahsup"))</f>
        <v>MERKEZ KASA|309</v>
      </c>
    </row>
    <row r="391" spans="1:21" ht="18" customHeight="1" x14ac:dyDescent="0.3">
      <c r="A391" s="2"/>
      <c r="B391" s="65" t="str">
        <f>IF($D391="","","T"&amp;TEXT(ROW()-6,"00000"))</f>
        <v>T00385</v>
      </c>
      <c r="C391" s="65" t="str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>M016</v>
      </c>
      <c r="D391" s="61" t="s">
        <v>736</v>
      </c>
      <c r="E391" s="66">
        <v>46186</v>
      </c>
      <c r="F391" s="67">
        <v>3000</v>
      </c>
      <c r="G391" s="60" t="s">
        <v>717</v>
      </c>
      <c r="H391" s="60" t="s">
        <v>572</v>
      </c>
      <c r="I391" s="61"/>
      <c r="J391" s="61" t="s">
        <v>720</v>
      </c>
      <c r="K391" s="61"/>
      <c r="L391" s="73">
        <f>IF($E391="","",DATE(YEAR($E391),MONTH($E391),1))</f>
        <v>46174</v>
      </c>
      <c r="M391" s="65" t="str">
        <f ca="1">IF($D391="","",IF($C391="TANIMSIZ MÜŞTERİ","HATA",IF(OR($E391="",$F391&lt;=0,$G391=""),"EKSİK",IF($E391&gt;TODAY(),"İLERİ TARİH",IF(COUNTIF($S$7:$S$2503,$S391)&gt;1,"MÜKERRER?",IF($T391&gt;0,"KAPALI DÖNEM","UYGUN"))))))</f>
        <v>UYGUN</v>
      </c>
      <c r="N391" s="74" t="str">
        <f>IF($C391="","",IF($C391="TANIMSIZ MÜŞTERİ","—",INDEX(MUSTERILER!$C$7:$C$156,MATCH($C391,MUSTERILER!$B$7:$B$156,0))))</f>
        <v>RİX ŞOW LTD.ŞTİ.</v>
      </c>
      <c r="O391" s="2"/>
      <c r="P391" s="2"/>
      <c r="Q391" s="1" t="str">
        <f>IF($D391="","",$C391&amp;"|"&amp;COUNTIFS($C$7:$C391,$C391))</f>
        <v>M016|22</v>
      </c>
      <c r="R391" s="1" t="str">
        <f t="shared" ref="R391:R454" si="12"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>RIXSOWLTDSTI</v>
      </c>
      <c r="S391" s="1" t="str">
        <f t="shared" ref="S391:S454" si="13">IF($D391="","",$C391&amp;"|"&amp;TEXT($E391,"0")&amp;"|"&amp;TEXT($F391,"0")&amp;"|"&amp;$I391)</f>
        <v>M016|46186|3000|</v>
      </c>
      <c r="T391" s="1">
        <f>IF($E391="",0,SUMPRODUCT((AY_SONU!$O$7:$O$42="Evet")*(AY_SONU!$B$7:$B$42=DATE(YEAR($E391),MONTH($E391),1))))</f>
        <v>0</v>
      </c>
      <c r="U391" s="1" t="str">
        <f>IF(OR($G391="",$H391="Mahsup"),"",$G391&amp;"|"&amp;COUNTIFS($G$7:$G391,$G391,$H$7:$H391,"&lt;&gt;Mahsup"))</f>
        <v>MERKEZ KASA|310</v>
      </c>
    </row>
    <row r="392" spans="1:21" ht="18" customHeight="1" x14ac:dyDescent="0.3">
      <c r="A392" s="2"/>
      <c r="B392" s="65" t="str">
        <f>IF($D392="","","T"&amp;TEXT(ROW()-6,"00000"))</f>
        <v>T00386</v>
      </c>
      <c r="C392" s="65" t="str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>M005</v>
      </c>
      <c r="D392" s="61" t="s">
        <v>722</v>
      </c>
      <c r="E392" s="66">
        <v>46186</v>
      </c>
      <c r="F392" s="67">
        <v>1750</v>
      </c>
      <c r="G392" s="60" t="s">
        <v>717</v>
      </c>
      <c r="H392" s="60" t="s">
        <v>572</v>
      </c>
      <c r="I392" s="61"/>
      <c r="J392" s="61" t="s">
        <v>720</v>
      </c>
      <c r="K392" s="61"/>
      <c r="L392" s="73">
        <f>IF($E392="","",DATE(YEAR($E392),MONTH($E392),1))</f>
        <v>46174</v>
      </c>
      <c r="M392" s="65" t="str">
        <f ca="1">IF($D392="","",IF($C392="TANIMSIZ MÜŞTERİ","HATA",IF(OR($E392="",$F392&lt;=0,$G392=""),"EKSİK",IF($E392&gt;TODAY(),"İLERİ TARİH",IF(COUNTIF($S$7:$S$2503,$S392)&gt;1,"MÜKERRER?",IF($T392&gt;0,"KAPALI DÖNEM","UYGUN"))))))</f>
        <v>UYGUN</v>
      </c>
      <c r="N392" s="74" t="str">
        <f>IF($C392="","",IF($C392="TANIMSIZ MÜŞTERİ","—",INDEX(MUSTERILER!$C$7:$C$156,MATCH($C392,MUSTERILER!$B$7:$B$156,0))))</f>
        <v>ZÜMRÜT GRUP LTD.ŞTİ.</v>
      </c>
      <c r="O392" s="2"/>
      <c r="P392" s="2"/>
      <c r="Q392" s="1" t="str">
        <f>IF($D392="","",$C392&amp;"|"&amp;COUNTIFS($C$7:$C392,$C392))</f>
        <v>M005|19</v>
      </c>
      <c r="R392" s="1" t="str">
        <f t="shared" si="12"/>
        <v>ZUMRUTGRUPLTDSTI</v>
      </c>
      <c r="S392" s="1" t="str">
        <f t="shared" si="13"/>
        <v>M005|46186|1750|</v>
      </c>
      <c r="T392" s="1">
        <f>IF($E392="",0,SUMPRODUCT((AY_SONU!$O$7:$O$42="Evet")*(AY_SONU!$B$7:$B$42=DATE(YEAR($E392),MONTH($E392),1))))</f>
        <v>0</v>
      </c>
      <c r="U392" s="1" t="str">
        <f>IF(OR($G392="",$H392="Mahsup"),"",$G392&amp;"|"&amp;COUNTIFS($G$7:$G392,$G392,$H$7:$H392,"&lt;&gt;Mahsup"))</f>
        <v>MERKEZ KASA|311</v>
      </c>
    </row>
    <row r="393" spans="1:21" ht="18" customHeight="1" x14ac:dyDescent="0.3">
      <c r="A393" s="2"/>
      <c r="B393" s="65" t="str">
        <f>IF($D393="","","T"&amp;TEXT(ROW()-6,"00000"))</f>
        <v>T00387</v>
      </c>
      <c r="C393" s="65" t="str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>M018</v>
      </c>
      <c r="D393" s="61" t="s">
        <v>593</v>
      </c>
      <c r="E393" s="66">
        <v>46186</v>
      </c>
      <c r="F393" s="67">
        <v>2500</v>
      </c>
      <c r="G393" s="60" t="s">
        <v>717</v>
      </c>
      <c r="H393" s="60" t="s">
        <v>572</v>
      </c>
      <c r="I393" s="61"/>
      <c r="J393" s="61" t="s">
        <v>720</v>
      </c>
      <c r="K393" s="61"/>
      <c r="L393" s="73">
        <f>IF($E393="","",DATE(YEAR($E393),MONTH($E393),1))</f>
        <v>46174</v>
      </c>
      <c r="M393" s="65" t="str">
        <f ca="1">IF($D393="","",IF($C393="TANIMSIZ MÜŞTERİ","HATA",IF(OR($E393="",$F393&lt;=0,$G393=""),"EKSİK",IF($E393&gt;TODAY(),"İLERİ TARİH",IF(COUNTIF($S$7:$S$2503,$S393)&gt;1,"MÜKERRER?",IF($T393&gt;0,"KAPALI DÖNEM","UYGUN"))))))</f>
        <v>UYGUN</v>
      </c>
      <c r="N393" s="74" t="str">
        <f>IF($C393="","",IF($C393="TANIMSIZ MÜŞTERİ","—",INDEX(MUSTERILER!$C$7:$C$156,MATCH($C393,MUSTERILER!$B$7:$B$156,0))))</f>
        <v>ÇINARHAN LTD.ŞTİ.</v>
      </c>
      <c r="O393" s="2"/>
      <c r="P393" s="2"/>
      <c r="Q393" s="1" t="str">
        <f>IF($D393="","",$C393&amp;"|"&amp;COUNTIFS($C$7:$C393,$C393))</f>
        <v>M018|18</v>
      </c>
      <c r="R393" s="1" t="str">
        <f t="shared" si="12"/>
        <v>CINARHANLTDSTI</v>
      </c>
      <c r="S393" s="1" t="str">
        <f t="shared" si="13"/>
        <v>M018|46186|2500|</v>
      </c>
      <c r="T393" s="1">
        <f>IF($E393="",0,SUMPRODUCT((AY_SONU!$O$7:$O$42="Evet")*(AY_SONU!$B$7:$B$42=DATE(YEAR($E393),MONTH($E393),1))))</f>
        <v>0</v>
      </c>
      <c r="U393" s="1" t="str">
        <f>IF(OR($G393="",$H393="Mahsup"),"",$G393&amp;"|"&amp;COUNTIFS($G$7:$G393,$G393,$H$7:$H393,"&lt;&gt;Mahsup"))</f>
        <v>MERKEZ KASA|312</v>
      </c>
    </row>
    <row r="394" spans="1:21" ht="18" customHeight="1" x14ac:dyDescent="0.3">
      <c r="A394" s="2"/>
      <c r="B394" s="65" t="str">
        <f>IF($D394="","","T"&amp;TEXT(ROW()-6,"00000"))</f>
        <v>T00388</v>
      </c>
      <c r="C394" s="65" t="str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>M020</v>
      </c>
      <c r="D394" s="61" t="s">
        <v>623</v>
      </c>
      <c r="E394" s="66">
        <v>46186</v>
      </c>
      <c r="F394" s="67">
        <v>3000</v>
      </c>
      <c r="G394" s="60" t="s">
        <v>717</v>
      </c>
      <c r="H394" s="60" t="s">
        <v>572</v>
      </c>
      <c r="I394" s="61"/>
      <c r="J394" s="61" t="s">
        <v>720</v>
      </c>
      <c r="K394" s="61"/>
      <c r="L394" s="73">
        <f>IF($E394="","",DATE(YEAR($E394),MONTH($E394),1))</f>
        <v>46174</v>
      </c>
      <c r="M394" s="65" t="str">
        <f ca="1">IF($D394="","",IF($C394="TANIMSIZ MÜŞTERİ","HATA",IF(OR($E394="",$F394&lt;=0,$G394=""),"EKSİK",IF($E394&gt;TODAY(),"İLERİ TARİH",IF(COUNTIF($S$7:$S$2503,$S394)&gt;1,"MÜKERRER?",IF($T394&gt;0,"KAPALI DÖNEM","UYGUN"))))))</f>
        <v>UYGUN</v>
      </c>
      <c r="N394" s="74" t="str">
        <f>IF($C394="","",IF($C394="TANIMSIZ MÜŞTERİ","—",INDEX(MUSTERILER!$C$7:$C$156,MATCH($C394,MUSTERILER!$B$7:$B$156,0))))</f>
        <v>KRİSTAL LTD.ŞTİ.</v>
      </c>
      <c r="O394" s="2"/>
      <c r="P394" s="2"/>
      <c r="Q394" s="1" t="str">
        <f>IF($D394="","",$C394&amp;"|"&amp;COUNTIFS($C$7:$C394,$C394))</f>
        <v>M020|23</v>
      </c>
      <c r="R394" s="1" t="str">
        <f t="shared" si="12"/>
        <v>KRISTALLTDSTI</v>
      </c>
      <c r="S394" s="1" t="str">
        <f t="shared" si="13"/>
        <v>M020|46186|3000|</v>
      </c>
      <c r="T394" s="1">
        <f>IF($E394="",0,SUMPRODUCT((AY_SONU!$O$7:$O$42="Evet")*(AY_SONU!$B$7:$B$42=DATE(YEAR($E394),MONTH($E394),1))))</f>
        <v>0</v>
      </c>
      <c r="U394" s="1" t="str">
        <f>IF(OR($G394="",$H394="Mahsup"),"",$G394&amp;"|"&amp;COUNTIFS($G$7:$G394,$G394,$H$7:$H394,"&lt;&gt;Mahsup"))</f>
        <v>MERKEZ KASA|313</v>
      </c>
    </row>
    <row r="395" spans="1:21" ht="18" customHeight="1" x14ac:dyDescent="0.3">
      <c r="A395" s="2"/>
      <c r="B395" s="65" t="str">
        <f>IF($D395="","","T"&amp;TEXT(ROW()-6,"00000"))</f>
        <v>T00389</v>
      </c>
      <c r="C395" s="65" t="str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>M047</v>
      </c>
      <c r="D395" s="61" t="s">
        <v>654</v>
      </c>
      <c r="E395" s="66">
        <v>46186</v>
      </c>
      <c r="F395" s="67">
        <v>4000</v>
      </c>
      <c r="G395" s="60" t="s">
        <v>717</v>
      </c>
      <c r="H395" s="60" t="s">
        <v>572</v>
      </c>
      <c r="I395" s="61"/>
      <c r="J395" s="61" t="s">
        <v>720</v>
      </c>
      <c r="K395" s="61"/>
      <c r="L395" s="73">
        <f>IF($E395="","",DATE(YEAR($E395),MONTH($E395),1))</f>
        <v>46174</v>
      </c>
      <c r="M395" s="65" t="str">
        <f ca="1">IF($D395="","",IF($C395="TANIMSIZ MÜŞTERİ","HATA",IF(OR($E395="",$F395&lt;=0,$G395=""),"EKSİK",IF($E395&gt;TODAY(),"İLERİ TARİH",IF(COUNTIF($S$7:$S$2503,$S395)&gt;1,"MÜKERRER?",IF($T395&gt;0,"KAPALI DÖNEM","UYGUN"))))))</f>
        <v>UYGUN</v>
      </c>
      <c r="N395" s="74" t="str">
        <f>IF($C395="","",IF($C395="TANIMSIZ MÜŞTERİ","—",INDEX(MUSTERILER!$C$7:$C$156,MATCH($C395,MUSTERILER!$B$7:$B$156,0))))</f>
        <v>PALAOĞULLARI LTD.ŞTİ.</v>
      </c>
      <c r="O395" s="2"/>
      <c r="P395" s="2"/>
      <c r="Q395" s="1" t="str">
        <f>IF($D395="","",$C395&amp;"|"&amp;COUNTIFS($C$7:$C395,$C395))</f>
        <v>M047|14</v>
      </c>
      <c r="R395" s="1" t="str">
        <f t="shared" si="12"/>
        <v>PALAOGULLARILTDSTI</v>
      </c>
      <c r="S395" s="1" t="str">
        <f t="shared" si="13"/>
        <v>M047|46186|4000|</v>
      </c>
      <c r="T395" s="1">
        <f>IF($E395="",0,SUMPRODUCT((AY_SONU!$O$7:$O$42="Evet")*(AY_SONU!$B$7:$B$42=DATE(YEAR($E395),MONTH($E395),1))))</f>
        <v>0</v>
      </c>
      <c r="U395" s="1" t="str">
        <f>IF(OR($G395="",$H395="Mahsup"),"",$G395&amp;"|"&amp;COUNTIFS($G$7:$G395,$G395,$H$7:$H395,"&lt;&gt;Mahsup"))</f>
        <v>MERKEZ KASA|314</v>
      </c>
    </row>
    <row r="396" spans="1:21" ht="18" customHeight="1" x14ac:dyDescent="0.3">
      <c r="A396" s="2"/>
      <c r="B396" s="65" t="str">
        <f>IF($D396="","","T"&amp;TEXT(ROW()-6,"00000"))</f>
        <v>T00390</v>
      </c>
      <c r="C396" s="65" t="str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>M054</v>
      </c>
      <c r="D396" s="61" t="s">
        <v>674</v>
      </c>
      <c r="E396" s="66">
        <v>46186</v>
      </c>
      <c r="F396" s="67">
        <v>4000</v>
      </c>
      <c r="G396" s="60" t="s">
        <v>717</v>
      </c>
      <c r="H396" s="60" t="s">
        <v>572</v>
      </c>
      <c r="I396" s="61"/>
      <c r="J396" s="61" t="s">
        <v>720</v>
      </c>
      <c r="K396" s="61"/>
      <c r="L396" s="73">
        <f>IF($E396="","",DATE(YEAR($E396),MONTH($E396),1))</f>
        <v>46174</v>
      </c>
      <c r="M396" s="65" t="str">
        <f ca="1">IF($D396="","",IF($C396="TANIMSIZ MÜŞTERİ","HATA",IF(OR($E396="",$F396&lt;=0,$G396=""),"EKSİK",IF($E396&gt;TODAY(),"İLERİ TARİH",IF(COUNTIF($S$7:$S$2503,$S396)&gt;1,"MÜKERRER?",IF($T396&gt;0,"KAPALI DÖNEM","UYGUN"))))))</f>
        <v>UYGUN</v>
      </c>
      <c r="N396" s="74" t="str">
        <f>IF($C396="","",IF($C396="TANIMSIZ MÜŞTERİ","—",INDEX(MUSTERILER!$C$7:$C$156,MATCH($C396,MUSTERILER!$B$7:$B$156,0))))</f>
        <v>YALIKENT LTD.ŞTİ.</v>
      </c>
      <c r="O396" s="2"/>
      <c r="P396" s="2"/>
      <c r="Q396" s="1" t="str">
        <f>IF($D396="","",$C396&amp;"|"&amp;COUNTIFS($C$7:$C396,$C396))</f>
        <v>M054|12</v>
      </c>
      <c r="R396" s="1" t="str">
        <f t="shared" si="12"/>
        <v>YALIKENTLTDSTI</v>
      </c>
      <c r="S396" s="1" t="str">
        <f t="shared" si="13"/>
        <v>M054|46186|4000|</v>
      </c>
      <c r="T396" s="1">
        <f>IF($E396="",0,SUMPRODUCT((AY_SONU!$O$7:$O$42="Evet")*(AY_SONU!$B$7:$B$42=DATE(YEAR($E396),MONTH($E396),1))))</f>
        <v>0</v>
      </c>
      <c r="U396" s="1" t="str">
        <f>IF(OR($G396="",$H396="Mahsup"),"",$G396&amp;"|"&amp;COUNTIFS($G$7:$G396,$G396,$H$7:$H396,"&lt;&gt;Mahsup"))</f>
        <v>MERKEZ KASA|315</v>
      </c>
    </row>
    <row r="397" spans="1:21" ht="18" customHeight="1" x14ac:dyDescent="0.3">
      <c r="A397" s="2"/>
      <c r="B397" s="65" t="str">
        <f>IF($D397="","","T"&amp;TEXT(ROW()-6,"00000"))</f>
        <v>T00391</v>
      </c>
      <c r="C397" s="65" t="str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>M051</v>
      </c>
      <c r="D397" s="61" t="s">
        <v>668</v>
      </c>
      <c r="E397" s="66">
        <v>46188</v>
      </c>
      <c r="F397" s="67">
        <v>3000</v>
      </c>
      <c r="G397" s="60" t="s">
        <v>723</v>
      </c>
      <c r="H397" s="60" t="s">
        <v>572</v>
      </c>
      <c r="I397" s="61"/>
      <c r="J397" s="61" t="s">
        <v>720</v>
      </c>
      <c r="K397" s="61"/>
      <c r="L397" s="73">
        <f>IF($E397="","",DATE(YEAR($E397),MONTH($E397),1))</f>
        <v>46174</v>
      </c>
      <c r="M397" s="65" t="str">
        <f ca="1">IF($D397="","",IF($C397="TANIMSIZ MÜŞTERİ","HATA",IF(OR($E397="",$F397&lt;=0,$G397=""),"EKSİK",IF($E397&gt;TODAY(),"İLERİ TARİH",IF(COUNTIF($S$7:$S$2503,$S397)&gt;1,"MÜKERRER?",IF($T397&gt;0,"KAPALI DÖNEM","UYGUN"))))))</f>
        <v>UYGUN</v>
      </c>
      <c r="N397" s="74" t="str">
        <f>IF($C397="","",IF($C397="TANIMSIZ MÜŞTERİ","—",INDEX(MUSTERILER!$C$7:$C$156,MATCH($C397,MUSTERILER!$B$7:$B$156,0))))</f>
        <v>UFUK YILMAZ</v>
      </c>
      <c r="O397" s="2"/>
      <c r="P397" s="2"/>
      <c r="Q397" s="1" t="str">
        <f>IF($D397="","",$C397&amp;"|"&amp;COUNTIFS($C$7:$C397,$C397))</f>
        <v>M051|6</v>
      </c>
      <c r="R397" s="1" t="str">
        <f t="shared" si="12"/>
        <v>UFUKYILMAZ</v>
      </c>
      <c r="S397" s="1" t="str">
        <f t="shared" si="13"/>
        <v>M051|46188|3000|</v>
      </c>
      <c r="T397" s="1">
        <f>IF($E397="",0,SUMPRODUCT((AY_SONU!$O$7:$O$42="Evet")*(AY_SONU!$B$7:$B$42=DATE(YEAR($E397),MONTH($E397),1))))</f>
        <v>0</v>
      </c>
      <c r="U397" s="1" t="str">
        <f>IF(OR($G397="",$H397="Mahsup"),"",$G397&amp;"|"&amp;COUNTIFS($G$7:$G397,$G397,$H$7:$H397,"&lt;&gt;Mahsup"))</f>
        <v>ÖMER KARTAL|76</v>
      </c>
    </row>
    <row r="398" spans="1:21" ht="18" customHeight="1" x14ac:dyDescent="0.3">
      <c r="A398" s="2"/>
      <c r="B398" s="65" t="str">
        <f>IF($D398="","","T"&amp;TEXT(ROW()-6,"00000"))</f>
        <v>T00392</v>
      </c>
      <c r="C398" s="65" t="str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>M021</v>
      </c>
      <c r="D398" s="61" t="s">
        <v>581</v>
      </c>
      <c r="E398" s="66">
        <v>46193</v>
      </c>
      <c r="F398" s="67">
        <v>10000</v>
      </c>
      <c r="G398" s="60" t="s">
        <v>717</v>
      </c>
      <c r="H398" s="60" t="s">
        <v>572</v>
      </c>
      <c r="I398" s="61"/>
      <c r="J398" s="61" t="s">
        <v>720</v>
      </c>
      <c r="K398" s="61"/>
      <c r="L398" s="73">
        <f>IF($E398="","",DATE(YEAR($E398),MONTH($E398),1))</f>
        <v>46174</v>
      </c>
      <c r="M398" s="65" t="str">
        <f ca="1">IF($D398="","",IF($C398="TANIMSIZ MÜŞTERİ","HATA",IF(OR($E398="",$F398&lt;=0,$G398=""),"EKSİK",IF($E398&gt;TODAY(),"İLERİ TARİH",IF(COUNTIF($S$7:$S$2503,$S398)&gt;1,"MÜKERRER?",IF($T398&gt;0,"KAPALI DÖNEM","UYGUN"))))))</f>
        <v>UYGUN</v>
      </c>
      <c r="N398" s="74" t="str">
        <f>IF($C398="","",IF($C398="TANIMSIZ MÜŞTERİ","—",INDEX(MUSTERILER!$C$7:$C$156,MATCH($C398,MUSTERILER!$B$7:$B$156,0))))</f>
        <v>ARON TOPTAN LTD.ŞTİ.</v>
      </c>
      <c r="O398" s="2"/>
      <c r="P398" s="2"/>
      <c r="Q398" s="1" t="str">
        <f>IF($D398="","",$C398&amp;"|"&amp;COUNTIFS($C$7:$C398,$C398))</f>
        <v>M021|4</v>
      </c>
      <c r="R398" s="1" t="str">
        <f t="shared" si="12"/>
        <v>ARONTOPTANLTDSTI</v>
      </c>
      <c r="S398" s="1" t="str">
        <f t="shared" si="13"/>
        <v>M021|46193|10000|</v>
      </c>
      <c r="T398" s="1">
        <f>IF($E398="",0,SUMPRODUCT((AY_SONU!$O$7:$O$42="Evet")*(AY_SONU!$B$7:$B$42=DATE(YEAR($E398),MONTH($E398),1))))</f>
        <v>0</v>
      </c>
      <c r="U398" s="1" t="str">
        <f>IF(OR($G398="",$H398="Mahsup"),"",$G398&amp;"|"&amp;COUNTIFS($G$7:$G398,$G398,$H$7:$H398,"&lt;&gt;Mahsup"))</f>
        <v>MERKEZ KASA|316</v>
      </c>
    </row>
    <row r="399" spans="1:21" ht="18" customHeight="1" x14ac:dyDescent="0.3">
      <c r="A399" s="2"/>
      <c r="B399" s="65" t="str">
        <f>IF($D399="","","T"&amp;TEXT(ROW()-6,"00000"))</f>
        <v>T00393</v>
      </c>
      <c r="C399" s="65" t="str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>M025</v>
      </c>
      <c r="D399" s="61" t="s">
        <v>583</v>
      </c>
      <c r="E399" s="66">
        <v>46194</v>
      </c>
      <c r="F399" s="67">
        <v>2000</v>
      </c>
      <c r="G399" s="60" t="s">
        <v>723</v>
      </c>
      <c r="H399" s="60" t="s">
        <v>572</v>
      </c>
      <c r="I399" s="61"/>
      <c r="J399" s="61" t="s">
        <v>720</v>
      </c>
      <c r="K399" s="61"/>
      <c r="L399" s="73">
        <f>IF($E399="","",DATE(YEAR($E399),MONTH($E399),1))</f>
        <v>46174</v>
      </c>
      <c r="M399" s="65" t="str">
        <f ca="1">IF($D399="","",IF($C399="TANIMSIZ MÜŞTERİ","HATA",IF(OR($E399="",$F399&lt;=0,$G399=""),"EKSİK",IF($E399&gt;TODAY(),"İLERİ TARİH",IF(COUNTIF($S$7:$S$2503,$S399)&gt;1,"MÜKERRER?",IF($T399&gt;0,"KAPALI DÖNEM","UYGUN"))))))</f>
        <v>UYGUN</v>
      </c>
      <c r="N399" s="74" t="str">
        <f>IF($C399="","",IF($C399="TANIMSIZ MÜŞTERİ","—",INDEX(MUSTERILER!$C$7:$C$156,MATCH($C399,MUSTERILER!$B$7:$B$156,0))))</f>
        <v>ASIM AÇIKGÖZ</v>
      </c>
      <c r="O399" s="2"/>
      <c r="P399" s="2"/>
      <c r="Q399" s="1" t="str">
        <f>IF($D399="","",$C399&amp;"|"&amp;COUNTIFS($C$7:$C399,$C399))</f>
        <v>M025|20</v>
      </c>
      <c r="R399" s="1" t="str">
        <f t="shared" si="12"/>
        <v>ASIMACIKGOZ</v>
      </c>
      <c r="S399" s="1" t="str">
        <f t="shared" si="13"/>
        <v>M025|46194|2000|</v>
      </c>
      <c r="T399" s="1">
        <f>IF($E399="",0,SUMPRODUCT((AY_SONU!$O$7:$O$42="Evet")*(AY_SONU!$B$7:$B$42=DATE(YEAR($E399),MONTH($E399),1))))</f>
        <v>0</v>
      </c>
      <c r="U399" s="1" t="str">
        <f>IF(OR($G399="",$H399="Mahsup"),"",$G399&amp;"|"&amp;COUNTIFS($G$7:$G399,$G399,$H$7:$H399,"&lt;&gt;Mahsup"))</f>
        <v>ÖMER KARTAL|77</v>
      </c>
    </row>
    <row r="400" spans="1:21" ht="18" customHeight="1" x14ac:dyDescent="0.3">
      <c r="A400" s="2"/>
      <c r="B400" s="65" t="str">
        <f>IF($D400="","","T"&amp;TEXT(ROW()-6,"00000"))</f>
        <v>T00394</v>
      </c>
      <c r="C400" s="65" t="str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>M017</v>
      </c>
      <c r="D400" s="61" t="s">
        <v>585</v>
      </c>
      <c r="E400" s="66">
        <v>46194</v>
      </c>
      <c r="F400" s="67">
        <v>2500</v>
      </c>
      <c r="G400" s="60" t="s">
        <v>723</v>
      </c>
      <c r="H400" s="60" t="s">
        <v>572</v>
      </c>
      <c r="I400" s="61"/>
      <c r="J400" s="61" t="s">
        <v>720</v>
      </c>
      <c r="K400" s="61"/>
      <c r="L400" s="73">
        <f>IF($E400="","",DATE(YEAR($E400),MONTH($E400),1))</f>
        <v>46174</v>
      </c>
      <c r="M400" s="65" t="str">
        <f ca="1">IF($D400="","",IF($C400="TANIMSIZ MÜŞTERİ","HATA",IF(OR($E400="",$F400&lt;=0,$G400=""),"EKSİK",IF($E400&gt;TODAY(),"İLERİ TARİH",IF(COUNTIF($S$7:$S$2503,$S400)&gt;1,"MÜKERRER?",IF($T400&gt;0,"KAPALI DÖNEM","UYGUN"))))))</f>
        <v>UYGUN</v>
      </c>
      <c r="N400" s="74" t="str">
        <f>IF($C400="","",IF($C400="TANIMSIZ MÜŞTERİ","—",INDEX(MUSTERILER!$C$7:$C$156,MATCH($C400,MUSTERILER!$B$7:$B$156,0))))</f>
        <v>ASM EĞLENCE LTD.ŞTİ.</v>
      </c>
      <c r="O400" s="2"/>
      <c r="P400" s="2"/>
      <c r="Q400" s="1" t="str">
        <f>IF($D400="","",$C400&amp;"|"&amp;COUNTIFS($C$7:$C400,$C400))</f>
        <v>M017|21</v>
      </c>
      <c r="R400" s="1" t="str">
        <f t="shared" si="12"/>
        <v>ASMEGLENCELTDSTI</v>
      </c>
      <c r="S400" s="1" t="str">
        <f t="shared" si="13"/>
        <v>M017|46194|2500|</v>
      </c>
      <c r="T400" s="1">
        <f>IF($E400="",0,SUMPRODUCT((AY_SONU!$O$7:$O$42="Evet")*(AY_SONU!$B$7:$B$42=DATE(YEAR($E400),MONTH($E400),1))))</f>
        <v>0</v>
      </c>
      <c r="U400" s="1" t="str">
        <f>IF(OR($G400="",$H400="Mahsup"),"",$G400&amp;"|"&amp;COUNTIFS($G$7:$G400,$G400,$H$7:$H400,"&lt;&gt;Mahsup"))</f>
        <v>ÖMER KARTAL|78</v>
      </c>
    </row>
    <row r="401" spans="1:21" ht="18" customHeight="1" x14ac:dyDescent="0.3">
      <c r="A401" s="2"/>
      <c r="B401" s="65" t="str">
        <f>IF($D401="","","T"&amp;TEXT(ROW()-6,"00000"))</f>
        <v>T00395</v>
      </c>
      <c r="C401" s="65" t="str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>M015</v>
      </c>
      <c r="D401" s="61" t="s">
        <v>719</v>
      </c>
      <c r="E401" s="66">
        <v>46194</v>
      </c>
      <c r="F401" s="67">
        <v>3000</v>
      </c>
      <c r="G401" s="60" t="s">
        <v>723</v>
      </c>
      <c r="H401" s="60" t="s">
        <v>572</v>
      </c>
      <c r="I401" s="61"/>
      <c r="J401" s="61" t="s">
        <v>724</v>
      </c>
      <c r="K401" s="61"/>
      <c r="L401" s="73">
        <f>IF($E401="","",DATE(YEAR($E401),MONTH($E401),1))</f>
        <v>46174</v>
      </c>
      <c r="M401" s="65" t="str">
        <f ca="1">IF($D401="","",IF($C401="TANIMSIZ MÜŞTERİ","HATA",IF(OR($E401="",$F401&lt;=0,$G401=""),"EKSİK",IF($E401&gt;TODAY(),"İLERİ TARİH",IF(COUNTIF($S$7:$S$2503,$S401)&gt;1,"MÜKERRER?",IF($T401&gt;0,"KAPALI DÖNEM","UYGUN"))))))</f>
        <v>UYGUN</v>
      </c>
      <c r="N401" s="74" t="str">
        <f>IF($C401="","",IF($C401="TANIMSIZ MÜŞTERİ","—",INDEX(MUSTERILER!$C$7:$C$156,MATCH($C401,MUSTERILER!$B$7:$B$156,0))))</f>
        <v>ÇAYIRALAN LTD.ŞTİ.</v>
      </c>
      <c r="O401" s="2"/>
      <c r="P401" s="2"/>
      <c r="Q401" s="1" t="str">
        <f>IF($D401="","",$C401&amp;"|"&amp;COUNTIFS($C$7:$C401,$C401))</f>
        <v>M015|22</v>
      </c>
      <c r="R401" s="1" t="str">
        <f t="shared" si="12"/>
        <v>CAYIRALANLTDSTI</v>
      </c>
      <c r="S401" s="1" t="str">
        <f t="shared" si="13"/>
        <v>M015|46194|3000|</v>
      </c>
      <c r="T401" s="1">
        <f>IF($E401="",0,SUMPRODUCT((AY_SONU!$O$7:$O$42="Evet")*(AY_SONU!$B$7:$B$42=DATE(YEAR($E401),MONTH($E401),1))))</f>
        <v>0</v>
      </c>
      <c r="U401" s="1" t="str">
        <f>IF(OR($G401="",$H401="Mahsup"),"",$G401&amp;"|"&amp;COUNTIFS($G$7:$G401,$G401,$H$7:$H401,"&lt;&gt;Mahsup"))</f>
        <v>ÖMER KARTAL|79</v>
      </c>
    </row>
    <row r="402" spans="1:21" ht="18" customHeight="1" x14ac:dyDescent="0.3">
      <c r="A402" s="2"/>
      <c r="B402" s="65" t="str">
        <f>IF($D402="","","T"&amp;TEXT(ROW()-6,"00000"))</f>
        <v>T00396</v>
      </c>
      <c r="C402" s="65" t="str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>M007</v>
      </c>
      <c r="D402" s="61" t="s">
        <v>733</v>
      </c>
      <c r="E402" s="66">
        <v>46194</v>
      </c>
      <c r="F402" s="67">
        <v>3500</v>
      </c>
      <c r="G402" s="60" t="s">
        <v>723</v>
      </c>
      <c r="H402" s="60" t="s">
        <v>572</v>
      </c>
      <c r="I402" s="61"/>
      <c r="J402" s="61" t="s">
        <v>724</v>
      </c>
      <c r="K402" s="61"/>
      <c r="L402" s="73">
        <f>IF($E402="","",DATE(YEAR($E402),MONTH($E402),1))</f>
        <v>46174</v>
      </c>
      <c r="M402" s="65" t="str">
        <f ca="1">IF($D402="","",IF($C402="TANIMSIZ MÜŞTERİ","HATA",IF(OR($E402="",$F402&lt;=0,$G402=""),"EKSİK",IF($E402&gt;TODAY(),"İLERİ TARİH",IF(COUNTIF($S$7:$S$2503,$S402)&gt;1,"MÜKERRER?",IF($T402&gt;0,"KAPALI DÖNEM","UYGUN"))))))</f>
        <v>UYGUN</v>
      </c>
      <c r="N402" s="74" t="str">
        <f>IF($C402="","",IF($C402="TANIMSIZ MÜŞTERİ","—",INDEX(MUSTERILER!$C$7:$C$156,MATCH($C402,MUSTERILER!$B$7:$B$156,0))))</f>
        <v>MONAMOUR LTD.ŞTİ.</v>
      </c>
      <c r="O402" s="2"/>
      <c r="P402" s="2"/>
      <c r="Q402" s="1" t="str">
        <f>IF($D402="","",$C402&amp;"|"&amp;COUNTIFS($C$7:$C402,$C402))</f>
        <v>M007|18</v>
      </c>
      <c r="R402" s="1" t="str">
        <f t="shared" si="12"/>
        <v>MONAMOURLTDSTI</v>
      </c>
      <c r="S402" s="1" t="str">
        <f t="shared" si="13"/>
        <v>M007|46194|3500|</v>
      </c>
      <c r="T402" s="1">
        <f>IF($E402="",0,SUMPRODUCT((AY_SONU!$O$7:$O$42="Evet")*(AY_SONU!$B$7:$B$42=DATE(YEAR($E402),MONTH($E402),1))))</f>
        <v>0</v>
      </c>
      <c r="U402" s="1" t="str">
        <f>IF(OR($G402="",$H402="Mahsup"),"",$G402&amp;"|"&amp;COUNTIFS($G$7:$G402,$G402,$H$7:$H402,"&lt;&gt;Mahsup"))</f>
        <v>ÖMER KARTAL|80</v>
      </c>
    </row>
    <row r="403" spans="1:21" ht="18" customHeight="1" x14ac:dyDescent="0.3">
      <c r="A403" s="2"/>
      <c r="B403" s="65" t="str">
        <f>IF($D403="","","T"&amp;TEXT(ROW()-6,"00000"))</f>
        <v>T00397</v>
      </c>
      <c r="C403" s="65" t="str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>M009</v>
      </c>
      <c r="D403" s="61" t="s">
        <v>735</v>
      </c>
      <c r="E403" s="66">
        <v>46194</v>
      </c>
      <c r="F403" s="67">
        <v>4000</v>
      </c>
      <c r="G403" s="60" t="s">
        <v>723</v>
      </c>
      <c r="H403" s="60" t="s">
        <v>572</v>
      </c>
      <c r="I403" s="61"/>
      <c r="J403" s="61" t="s">
        <v>724</v>
      </c>
      <c r="K403" s="61"/>
      <c r="L403" s="73">
        <f>IF($E403="","",DATE(YEAR($E403),MONTH($E403),1))</f>
        <v>46174</v>
      </c>
      <c r="M403" s="65" t="str">
        <f ca="1">IF($D403="","",IF($C403="TANIMSIZ MÜŞTERİ","HATA",IF(OR($E403="",$F403&lt;=0,$G403=""),"EKSİK",IF($E403&gt;TODAY(),"İLERİ TARİH",IF(COUNTIF($S$7:$S$2503,$S403)&gt;1,"MÜKERRER?",IF($T403&gt;0,"KAPALI DÖNEM","UYGUN"))))))</f>
        <v>UYGUN</v>
      </c>
      <c r="N403" s="74" t="str">
        <f>IF($C403="","",IF($C403="TANIMSIZ MÜŞTERİ","—",INDEX(MUSTERILER!$C$7:$C$156,MATCH($C403,MUSTERILER!$B$7:$B$156,0))))</f>
        <v>PAKYILDIZ LTD.ŞTİ.</v>
      </c>
      <c r="O403" s="2"/>
      <c r="P403" s="2"/>
      <c r="Q403" s="1" t="str">
        <f>IF($D403="","",$C403&amp;"|"&amp;COUNTIFS($C$7:$C403,$C403))</f>
        <v>M009|20</v>
      </c>
      <c r="R403" s="1" t="str">
        <f t="shared" si="12"/>
        <v>PAKYILDIZLTDSTI</v>
      </c>
      <c r="S403" s="1" t="str">
        <f t="shared" si="13"/>
        <v>M009|46194|4000|</v>
      </c>
      <c r="T403" s="1">
        <f>IF($E403="",0,SUMPRODUCT((AY_SONU!$O$7:$O$42="Evet")*(AY_SONU!$B$7:$B$42=DATE(YEAR($E403),MONTH($E403),1))))</f>
        <v>0</v>
      </c>
      <c r="U403" s="1" t="str">
        <f>IF(OR($G403="",$H403="Mahsup"),"",$G403&amp;"|"&amp;COUNTIFS($G$7:$G403,$G403,$H$7:$H403,"&lt;&gt;Mahsup"))</f>
        <v>ÖMER KARTAL|81</v>
      </c>
    </row>
    <row r="404" spans="1:21" ht="18" customHeight="1" x14ac:dyDescent="0.3">
      <c r="A404" s="2"/>
      <c r="B404" s="65" t="str">
        <f>IF($D404="","","T"&amp;TEXT(ROW()-6,"00000"))</f>
        <v>T00398</v>
      </c>
      <c r="C404" s="65" t="str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>M016</v>
      </c>
      <c r="D404" s="61" t="s">
        <v>736</v>
      </c>
      <c r="E404" s="66">
        <v>46194</v>
      </c>
      <c r="F404" s="67">
        <v>3000</v>
      </c>
      <c r="G404" s="60" t="s">
        <v>723</v>
      </c>
      <c r="H404" s="60" t="s">
        <v>572</v>
      </c>
      <c r="I404" s="61"/>
      <c r="J404" s="61" t="s">
        <v>724</v>
      </c>
      <c r="K404" s="61"/>
      <c r="L404" s="73">
        <f>IF($E404="","",DATE(YEAR($E404),MONTH($E404),1))</f>
        <v>46174</v>
      </c>
      <c r="M404" s="65" t="str">
        <f ca="1">IF($D404="","",IF($C404="TANIMSIZ MÜŞTERİ","HATA",IF(OR($E404="",$F404&lt;=0,$G404=""),"EKSİK",IF($E404&gt;TODAY(),"İLERİ TARİH",IF(COUNTIF($S$7:$S$2503,$S404)&gt;1,"MÜKERRER?",IF($T404&gt;0,"KAPALI DÖNEM","UYGUN"))))))</f>
        <v>UYGUN</v>
      </c>
      <c r="N404" s="74" t="str">
        <f>IF($C404="","",IF($C404="TANIMSIZ MÜŞTERİ","—",INDEX(MUSTERILER!$C$7:$C$156,MATCH($C404,MUSTERILER!$B$7:$B$156,0))))</f>
        <v>RİX ŞOW LTD.ŞTİ.</v>
      </c>
      <c r="O404" s="2"/>
      <c r="P404" s="2"/>
      <c r="Q404" s="1" t="str">
        <f>IF($D404="","",$C404&amp;"|"&amp;COUNTIFS($C$7:$C404,$C404))</f>
        <v>M016|23</v>
      </c>
      <c r="R404" s="1" t="str">
        <f t="shared" si="12"/>
        <v>RIXSOWLTDSTI</v>
      </c>
      <c r="S404" s="1" t="str">
        <f t="shared" si="13"/>
        <v>M016|46194|3000|</v>
      </c>
      <c r="T404" s="1">
        <f>IF($E404="",0,SUMPRODUCT((AY_SONU!$O$7:$O$42="Evet")*(AY_SONU!$B$7:$B$42=DATE(YEAR($E404),MONTH($E404),1))))</f>
        <v>0</v>
      </c>
      <c r="U404" s="1" t="str">
        <f>IF(OR($G404="",$H404="Mahsup"),"",$G404&amp;"|"&amp;COUNTIFS($G$7:$G404,$G404,$H$7:$H404,"&lt;&gt;Mahsup"))</f>
        <v>ÖMER KARTAL|82</v>
      </c>
    </row>
    <row r="405" spans="1:21" ht="18" customHeight="1" x14ac:dyDescent="0.3">
      <c r="A405" s="2"/>
      <c r="B405" s="65" t="str">
        <f>IF($D405="","","T"&amp;TEXT(ROW()-6,"00000"))</f>
        <v>T00399</v>
      </c>
      <c r="C405" s="65" t="str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>M011</v>
      </c>
      <c r="D405" s="61" t="s">
        <v>730</v>
      </c>
      <c r="E405" s="66">
        <v>46194</v>
      </c>
      <c r="F405" s="67">
        <v>4000</v>
      </c>
      <c r="G405" s="60" t="s">
        <v>717</v>
      </c>
      <c r="H405" s="60" t="s">
        <v>572</v>
      </c>
      <c r="I405" s="61"/>
      <c r="J405" s="61" t="s">
        <v>720</v>
      </c>
      <c r="K405" s="61"/>
      <c r="L405" s="73">
        <f>IF($E405="","",DATE(YEAR($E405),MONTH($E405),1))</f>
        <v>46174</v>
      </c>
      <c r="M405" s="65" t="str">
        <f ca="1">IF($D405="","",IF($C405="TANIMSIZ MÜŞTERİ","HATA",IF(OR($E405="",$F405&lt;=0,$G405=""),"EKSİK",IF($E405&gt;TODAY(),"İLERİ TARİH",IF(COUNTIF($S$7:$S$2503,$S405)&gt;1,"MÜKERRER?",IF($T405&gt;0,"KAPALI DÖNEM","UYGUN"))))))</f>
        <v>UYGUN</v>
      </c>
      <c r="N405" s="74" t="str">
        <f>IF($C405="","",IF($C405="TANIMSIZ MÜŞTERİ","—",INDEX(MUSTERILER!$C$7:$C$156,MATCH($C405,MUSTERILER!$B$7:$B$156,0))))</f>
        <v>EĞLENGÖR LTD.ŞTİ.</v>
      </c>
      <c r="O405" s="2"/>
      <c r="P405" s="2"/>
      <c r="Q405" s="1" t="str">
        <f>IF($D405="","",$C405&amp;"|"&amp;COUNTIFS($C$7:$C405,$C405))</f>
        <v>M011|23</v>
      </c>
      <c r="R405" s="1" t="str">
        <f t="shared" si="12"/>
        <v>EGLENGORLTDSTI</v>
      </c>
      <c r="S405" s="1" t="str">
        <f t="shared" si="13"/>
        <v>M011|46194|4000|</v>
      </c>
      <c r="T405" s="1">
        <f>IF($E405="",0,SUMPRODUCT((AY_SONU!$O$7:$O$42="Evet")*(AY_SONU!$B$7:$B$42=DATE(YEAR($E405),MONTH($E405),1))))</f>
        <v>0</v>
      </c>
      <c r="U405" s="1" t="str">
        <f>IF(OR($G405="",$H405="Mahsup"),"",$G405&amp;"|"&amp;COUNTIFS($G$7:$G405,$G405,$H$7:$H405,"&lt;&gt;Mahsup"))</f>
        <v>MERKEZ KASA|317</v>
      </c>
    </row>
    <row r="406" spans="1:21" ht="18" customHeight="1" x14ac:dyDescent="0.3">
      <c r="A406" s="2"/>
      <c r="B406" s="65" t="str">
        <f>IF($D406="","","T"&amp;TEXT(ROW()-6,"00000"))</f>
        <v>T00400</v>
      </c>
      <c r="C406" s="65" t="str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>M014</v>
      </c>
      <c r="D406" s="61" t="s">
        <v>731</v>
      </c>
      <c r="E406" s="66">
        <v>46194</v>
      </c>
      <c r="F406" s="67">
        <v>4000</v>
      </c>
      <c r="G406" s="60" t="s">
        <v>717</v>
      </c>
      <c r="H406" s="60" t="s">
        <v>572</v>
      </c>
      <c r="I406" s="61"/>
      <c r="J406" s="61" t="s">
        <v>720</v>
      </c>
      <c r="K406" s="61"/>
      <c r="L406" s="73">
        <f>IF($E406="","",DATE(YEAR($E406),MONTH($E406),1))</f>
        <v>46174</v>
      </c>
      <c r="M406" s="65" t="str">
        <f ca="1">IF($D406="","",IF($C406="TANIMSIZ MÜŞTERİ","HATA",IF(OR($E406="",$F406&lt;=0,$G406=""),"EKSİK",IF($E406&gt;TODAY(),"İLERİ TARİH",IF(COUNTIF($S$7:$S$2503,$S406)&gt;1,"MÜKERRER?",IF($T406&gt;0,"KAPALI DÖNEM","UYGUN"))))))</f>
        <v>UYGUN</v>
      </c>
      <c r="N406" s="74" t="str">
        <f>IF($C406="","",IF($C406="TANIMSIZ MÜŞTERİ","—",INDEX(MUSTERILER!$C$7:$C$156,MATCH($C406,MUSTERILER!$B$7:$B$156,0))))</f>
        <v>FİNAL SİYAH BEYAZ LTD.ŞTİ.</v>
      </c>
      <c r="O406" s="2"/>
      <c r="P406" s="2"/>
      <c r="Q406" s="1" t="str">
        <f>IF($D406="","",$C406&amp;"|"&amp;COUNTIFS($C$7:$C406,$C406))</f>
        <v>M014|22</v>
      </c>
      <c r="R406" s="1" t="str">
        <f t="shared" si="12"/>
        <v>FINALSIYAHBEYAZLTDSTI</v>
      </c>
      <c r="S406" s="1" t="str">
        <f t="shared" si="13"/>
        <v>M014|46194|4000|</v>
      </c>
      <c r="T406" s="1">
        <f>IF($E406="",0,SUMPRODUCT((AY_SONU!$O$7:$O$42="Evet")*(AY_SONU!$B$7:$B$42=DATE(YEAR($E406),MONTH($E406),1))))</f>
        <v>0</v>
      </c>
      <c r="U406" s="1" t="str">
        <f>IF(OR($G406="",$H406="Mahsup"),"",$G406&amp;"|"&amp;COUNTIFS($G$7:$G406,$G406,$H$7:$H406,"&lt;&gt;Mahsup"))</f>
        <v>MERKEZ KASA|318</v>
      </c>
    </row>
    <row r="407" spans="1:21" ht="18" customHeight="1" x14ac:dyDescent="0.3">
      <c r="A407" s="2"/>
      <c r="B407" s="65" t="str">
        <f>IF($D407="","","T"&amp;TEXT(ROW()-6,"00000"))</f>
        <v>T00401</v>
      </c>
      <c r="C407" s="65" t="str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>M012</v>
      </c>
      <c r="D407" s="61" t="s">
        <v>721</v>
      </c>
      <c r="E407" s="66">
        <v>46194</v>
      </c>
      <c r="F407" s="67">
        <v>5000</v>
      </c>
      <c r="G407" s="60" t="s">
        <v>717</v>
      </c>
      <c r="H407" s="60" t="s">
        <v>572</v>
      </c>
      <c r="I407" s="61"/>
      <c r="J407" s="61" t="s">
        <v>720</v>
      </c>
      <c r="K407" s="61"/>
      <c r="L407" s="73">
        <f>IF($E407="","",DATE(YEAR($E407),MONTH($E407),1))</f>
        <v>46174</v>
      </c>
      <c r="M407" s="65" t="str">
        <f ca="1">IF($D407="","",IF($C407="TANIMSIZ MÜŞTERİ","HATA",IF(OR($E407="",$F407&lt;=0,$G407=""),"EKSİK",IF($E407&gt;TODAY(),"İLERİ TARİH",IF(COUNTIF($S$7:$S$2503,$S407)&gt;1,"MÜKERRER?",IF($T407&gt;0,"KAPALI DÖNEM","UYGUN"))))))</f>
        <v>UYGUN</v>
      </c>
      <c r="N407" s="74" t="str">
        <f>IF($C407="","",IF($C407="TANIMSIZ MÜŞTERİ","—",INDEX(MUSTERILER!$C$7:$C$156,MATCH($C407,MUSTERILER!$B$7:$B$156,0))))</f>
        <v>İLDEŞ LTD.ŞTİ.</v>
      </c>
      <c r="O407" s="2"/>
      <c r="P407" s="2"/>
      <c r="Q407" s="1" t="str">
        <f>IF($D407="","",$C407&amp;"|"&amp;COUNTIFS($C$7:$C407,$C407))</f>
        <v>M012|24</v>
      </c>
      <c r="R407" s="1" t="str">
        <f t="shared" si="12"/>
        <v>ILDESLTDSTI</v>
      </c>
      <c r="S407" s="1" t="str">
        <f t="shared" si="13"/>
        <v>M012|46194|5000|</v>
      </c>
      <c r="T407" s="1">
        <f>IF($E407="",0,SUMPRODUCT((AY_SONU!$O$7:$O$42="Evet")*(AY_SONU!$B$7:$B$42=DATE(YEAR($E407),MONTH($E407),1))))</f>
        <v>0</v>
      </c>
      <c r="U407" s="1" t="str">
        <f>IF(OR($G407="",$H407="Mahsup"),"",$G407&amp;"|"&amp;COUNTIFS($G$7:$G407,$G407,$H$7:$H407,"&lt;&gt;Mahsup"))</f>
        <v>MERKEZ KASA|319</v>
      </c>
    </row>
    <row r="408" spans="1:21" ht="18" customHeight="1" x14ac:dyDescent="0.3">
      <c r="A408" s="2"/>
      <c r="B408" s="65" t="str">
        <f>IF($D408="","","T"&amp;TEXT(ROW()-6,"00000"))</f>
        <v>T00402</v>
      </c>
      <c r="C408" s="65" t="str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>M020</v>
      </c>
      <c r="D408" s="61" t="s">
        <v>623</v>
      </c>
      <c r="E408" s="66">
        <v>46194</v>
      </c>
      <c r="F408" s="67">
        <v>3000</v>
      </c>
      <c r="G408" s="60" t="s">
        <v>717</v>
      </c>
      <c r="H408" s="60" t="s">
        <v>572</v>
      </c>
      <c r="I408" s="61"/>
      <c r="J408" s="61" t="s">
        <v>720</v>
      </c>
      <c r="K408" s="61"/>
      <c r="L408" s="73">
        <f>IF($E408="","",DATE(YEAR($E408),MONTH($E408),1))</f>
        <v>46174</v>
      </c>
      <c r="M408" s="65" t="str">
        <f ca="1">IF($D408="","",IF($C408="TANIMSIZ MÜŞTERİ","HATA",IF(OR($E408="",$F408&lt;=0,$G408=""),"EKSİK",IF($E408&gt;TODAY(),"İLERİ TARİH",IF(COUNTIF($S$7:$S$2503,$S408)&gt;1,"MÜKERRER?",IF($T408&gt;0,"KAPALI DÖNEM","UYGUN"))))))</f>
        <v>UYGUN</v>
      </c>
      <c r="N408" s="74" t="str">
        <f>IF($C408="","",IF($C408="TANIMSIZ MÜŞTERİ","—",INDEX(MUSTERILER!$C$7:$C$156,MATCH($C408,MUSTERILER!$B$7:$B$156,0))))</f>
        <v>KRİSTAL LTD.ŞTİ.</v>
      </c>
      <c r="O408" s="2"/>
      <c r="P408" s="2"/>
      <c r="Q408" s="1" t="str">
        <f>IF($D408="","",$C408&amp;"|"&amp;COUNTIFS($C$7:$C408,$C408))</f>
        <v>M020|24</v>
      </c>
      <c r="R408" s="1" t="str">
        <f t="shared" si="12"/>
        <v>KRISTALLTDSTI</v>
      </c>
      <c r="S408" s="1" t="str">
        <f t="shared" si="13"/>
        <v>M020|46194|3000|</v>
      </c>
      <c r="T408" s="1">
        <f>IF($E408="",0,SUMPRODUCT((AY_SONU!$O$7:$O$42="Evet")*(AY_SONU!$B$7:$B$42=DATE(YEAR($E408),MONTH($E408),1))))</f>
        <v>0</v>
      </c>
      <c r="U408" s="1" t="str">
        <f>IF(OR($G408="",$H408="Mahsup"),"",$G408&amp;"|"&amp;COUNTIFS($G$7:$G408,$G408,$H$7:$H408,"&lt;&gt;Mahsup"))</f>
        <v>MERKEZ KASA|320</v>
      </c>
    </row>
    <row r="409" spans="1:21" ht="18" customHeight="1" x14ac:dyDescent="0.3">
      <c r="A409" s="2"/>
      <c r="B409" s="65" t="str">
        <f>IF($D409="","","T"&amp;TEXT(ROW()-6,"00000"))</f>
        <v>T00403</v>
      </c>
      <c r="C409" s="65" t="str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>M047</v>
      </c>
      <c r="D409" s="61" t="s">
        <v>654</v>
      </c>
      <c r="E409" s="66">
        <v>46194</v>
      </c>
      <c r="F409" s="67">
        <v>1000</v>
      </c>
      <c r="G409" s="60" t="s">
        <v>717</v>
      </c>
      <c r="H409" s="60" t="s">
        <v>572</v>
      </c>
      <c r="I409" s="61"/>
      <c r="J409" s="61" t="s">
        <v>720</v>
      </c>
      <c r="K409" s="61"/>
      <c r="L409" s="73">
        <f>IF($E409="","",DATE(YEAR($E409),MONTH($E409),1))</f>
        <v>46174</v>
      </c>
      <c r="M409" s="65" t="str">
        <f ca="1">IF($D409="","",IF($C409="TANIMSIZ MÜŞTERİ","HATA",IF(OR($E409="",$F409&lt;=0,$G409=""),"EKSİK",IF($E409&gt;TODAY(),"İLERİ TARİH",IF(COUNTIF($S$7:$S$2503,$S409)&gt;1,"MÜKERRER?",IF($T409&gt;0,"KAPALI DÖNEM","UYGUN"))))))</f>
        <v>UYGUN</v>
      </c>
      <c r="N409" s="74" t="str">
        <f>IF($C409="","",IF($C409="TANIMSIZ MÜŞTERİ","—",INDEX(MUSTERILER!$C$7:$C$156,MATCH($C409,MUSTERILER!$B$7:$B$156,0))))</f>
        <v>PALAOĞULLARI LTD.ŞTİ.</v>
      </c>
      <c r="O409" s="2"/>
      <c r="P409" s="2"/>
      <c r="Q409" s="1" t="str">
        <f>IF($D409="","",$C409&amp;"|"&amp;COUNTIFS($C$7:$C409,$C409))</f>
        <v>M047|15</v>
      </c>
      <c r="R409" s="1" t="str">
        <f t="shared" si="12"/>
        <v>PALAOGULLARILTDSTI</v>
      </c>
      <c r="S409" s="1" t="str">
        <f t="shared" si="13"/>
        <v>M047|46194|1000|</v>
      </c>
      <c r="T409" s="1">
        <f>IF($E409="",0,SUMPRODUCT((AY_SONU!$O$7:$O$42="Evet")*(AY_SONU!$B$7:$B$42=DATE(YEAR($E409),MONTH($E409),1))))</f>
        <v>0</v>
      </c>
      <c r="U409" s="1" t="str">
        <f>IF(OR($G409="",$H409="Mahsup"),"",$G409&amp;"|"&amp;COUNTIFS($G$7:$G409,$G409,$H$7:$H409,"&lt;&gt;Mahsup"))</f>
        <v>MERKEZ KASA|321</v>
      </c>
    </row>
    <row r="410" spans="1:21" ht="18" customHeight="1" x14ac:dyDescent="0.3">
      <c r="A410" s="2"/>
      <c r="B410" s="65" t="str">
        <f>IF($D410="","","T"&amp;TEXT(ROW()-6,"00000"))</f>
        <v>T00404</v>
      </c>
      <c r="C410" s="65" t="str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>M047</v>
      </c>
      <c r="D410" s="61" t="s">
        <v>654</v>
      </c>
      <c r="E410" s="66">
        <v>46194</v>
      </c>
      <c r="F410" s="67">
        <v>5000</v>
      </c>
      <c r="G410" s="60" t="s">
        <v>717</v>
      </c>
      <c r="H410" s="60" t="s">
        <v>572</v>
      </c>
      <c r="I410" s="61"/>
      <c r="J410" s="61" t="s">
        <v>720</v>
      </c>
      <c r="K410" s="61"/>
      <c r="L410" s="73">
        <f>IF($E410="","",DATE(YEAR($E410),MONTH($E410),1))</f>
        <v>46174</v>
      </c>
      <c r="M410" s="65" t="str">
        <f ca="1">IF($D410="","",IF($C410="TANIMSIZ MÜŞTERİ","HATA",IF(OR($E410="",$F410&lt;=0,$G410=""),"EKSİK",IF($E410&gt;TODAY(),"İLERİ TARİH",IF(COUNTIF($S$7:$S$2503,$S410)&gt;1,"MÜKERRER?",IF($T410&gt;0,"KAPALI DÖNEM","UYGUN"))))))</f>
        <v>UYGUN</v>
      </c>
      <c r="N410" s="74" t="str">
        <f>IF($C410="","",IF($C410="TANIMSIZ MÜŞTERİ","—",INDEX(MUSTERILER!$C$7:$C$156,MATCH($C410,MUSTERILER!$B$7:$B$156,0))))</f>
        <v>PALAOĞULLARI LTD.ŞTİ.</v>
      </c>
      <c r="O410" s="2"/>
      <c r="P410" s="2"/>
      <c r="Q410" s="1" t="str">
        <f>IF($D410="","",$C410&amp;"|"&amp;COUNTIFS($C$7:$C410,$C410))</f>
        <v>M047|16</v>
      </c>
      <c r="R410" s="1" t="str">
        <f t="shared" si="12"/>
        <v>PALAOGULLARILTDSTI</v>
      </c>
      <c r="S410" s="1" t="str">
        <f t="shared" si="13"/>
        <v>M047|46194|5000|</v>
      </c>
      <c r="T410" s="1">
        <f>IF($E410="",0,SUMPRODUCT((AY_SONU!$O$7:$O$42="Evet")*(AY_SONU!$B$7:$B$42=DATE(YEAR($E410),MONTH($E410),1))))</f>
        <v>0</v>
      </c>
      <c r="U410" s="1" t="str">
        <f>IF(OR($G410="",$H410="Mahsup"),"",$G410&amp;"|"&amp;COUNTIFS($G$7:$G410,$G410,$H$7:$H410,"&lt;&gt;Mahsup"))</f>
        <v>MERKEZ KASA|322</v>
      </c>
    </row>
    <row r="411" spans="1:21" ht="18" customHeight="1" x14ac:dyDescent="0.3">
      <c r="A411" s="2"/>
      <c r="B411" s="65" t="str">
        <f>IF($D411="","","T"&amp;TEXT(ROW()-6,"00000"))</f>
        <v>T00405</v>
      </c>
      <c r="C411" s="65" t="str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>M054</v>
      </c>
      <c r="D411" s="61" t="s">
        <v>674</v>
      </c>
      <c r="E411" s="66">
        <v>46194</v>
      </c>
      <c r="F411" s="67">
        <v>4000</v>
      </c>
      <c r="G411" s="60" t="s">
        <v>717</v>
      </c>
      <c r="H411" s="60" t="s">
        <v>572</v>
      </c>
      <c r="I411" s="61"/>
      <c r="J411" s="61" t="s">
        <v>720</v>
      </c>
      <c r="K411" s="61"/>
      <c r="L411" s="73">
        <f>IF($E411="","",DATE(YEAR($E411),MONTH($E411),1))</f>
        <v>46174</v>
      </c>
      <c r="M411" s="65" t="str">
        <f ca="1">IF($D411="","",IF($C411="TANIMSIZ MÜŞTERİ","HATA",IF(OR($E411="",$F411&lt;=0,$G411=""),"EKSİK",IF($E411&gt;TODAY(),"İLERİ TARİH",IF(COUNTIF($S$7:$S$2503,$S411)&gt;1,"MÜKERRER?",IF($T411&gt;0,"KAPALI DÖNEM","UYGUN"))))))</f>
        <v>UYGUN</v>
      </c>
      <c r="N411" s="74" t="str">
        <f>IF($C411="","",IF($C411="TANIMSIZ MÜŞTERİ","—",INDEX(MUSTERILER!$C$7:$C$156,MATCH($C411,MUSTERILER!$B$7:$B$156,0))))</f>
        <v>YALIKENT LTD.ŞTİ.</v>
      </c>
      <c r="O411" s="2"/>
      <c r="P411" s="2"/>
      <c r="Q411" s="1" t="str">
        <f>IF($D411="","",$C411&amp;"|"&amp;COUNTIFS($C$7:$C411,$C411))</f>
        <v>M054|13</v>
      </c>
      <c r="R411" s="1" t="str">
        <f t="shared" si="12"/>
        <v>YALIKENTLTDSTI</v>
      </c>
      <c r="S411" s="1" t="str">
        <f t="shared" si="13"/>
        <v>M054|46194|4000|</v>
      </c>
      <c r="T411" s="1">
        <f>IF($E411="",0,SUMPRODUCT((AY_SONU!$O$7:$O$42="Evet")*(AY_SONU!$B$7:$B$42=DATE(YEAR($E411),MONTH($E411),1))))</f>
        <v>0</v>
      </c>
      <c r="U411" s="1" t="str">
        <f>IF(OR($G411="",$H411="Mahsup"),"",$G411&amp;"|"&amp;COUNTIFS($G$7:$G411,$G411,$H$7:$H411,"&lt;&gt;Mahsup"))</f>
        <v>MERKEZ KASA|323</v>
      </c>
    </row>
    <row r="412" spans="1:21" ht="18" customHeight="1" x14ac:dyDescent="0.3">
      <c r="A412" s="2"/>
      <c r="B412" s="65" t="str">
        <f>IF($D412="","","T"&amp;TEXT(ROW()-6,"00000"))</f>
        <v>T00406</v>
      </c>
      <c r="C412" s="65" t="str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>M037</v>
      </c>
      <c r="D412" s="61" t="s">
        <v>625</v>
      </c>
      <c r="E412" s="66">
        <v>46195</v>
      </c>
      <c r="F412" s="67">
        <v>2000</v>
      </c>
      <c r="G412" s="60" t="s">
        <v>717</v>
      </c>
      <c r="H412" s="60" t="s">
        <v>572</v>
      </c>
      <c r="I412" s="61"/>
      <c r="J412" s="61" t="s">
        <v>720</v>
      </c>
      <c r="K412" s="61"/>
      <c r="L412" s="73">
        <f>IF($E412="","",DATE(YEAR($E412),MONTH($E412),1))</f>
        <v>46174</v>
      </c>
      <c r="M412" s="65" t="str">
        <f ca="1">IF($D412="","",IF($C412="TANIMSIZ MÜŞTERİ","HATA",IF(OR($E412="",$F412&lt;=0,$G412=""),"EKSİK",IF($E412&gt;TODAY(),"İLERİ TARİH",IF(COUNTIF($S$7:$S$2503,$S412)&gt;1,"MÜKERRER?",IF($T412&gt;0,"KAPALI DÖNEM","UYGUN"))))))</f>
        <v>UYGUN</v>
      </c>
      <c r="N412" s="74" t="str">
        <f>IF($C412="","",IF($C412="TANIMSIZ MÜŞTERİ","—",INDEX(MUSTERILER!$C$7:$C$156,MATCH($C412,MUSTERILER!$B$7:$B$156,0))))</f>
        <v>MEHMET EVREN KILINÇ</v>
      </c>
      <c r="O412" s="2"/>
      <c r="P412" s="2"/>
      <c r="Q412" s="1" t="str">
        <f>IF($D412="","",$C412&amp;"|"&amp;COUNTIFS($C$7:$C412,$C412))</f>
        <v>M037|5</v>
      </c>
      <c r="R412" s="1" t="str">
        <f t="shared" si="12"/>
        <v>MEHMETEVRENKILINC</v>
      </c>
      <c r="S412" s="1" t="str">
        <f t="shared" si="13"/>
        <v>M037|46195|2000|</v>
      </c>
      <c r="T412" s="1">
        <f>IF($E412="",0,SUMPRODUCT((AY_SONU!$O$7:$O$42="Evet")*(AY_SONU!$B$7:$B$42=DATE(YEAR($E412),MONTH($E412),1))))</f>
        <v>0</v>
      </c>
      <c r="U412" s="1" t="str">
        <f>IF(OR($G412="",$H412="Mahsup"),"",$G412&amp;"|"&amp;COUNTIFS($G$7:$G412,$G412,$H$7:$H412,"&lt;&gt;Mahsup"))</f>
        <v>MERKEZ KASA|324</v>
      </c>
    </row>
    <row r="413" spans="1:21" ht="18" customHeight="1" x14ac:dyDescent="0.3">
      <c r="A413" s="2"/>
      <c r="B413" s="65" t="str">
        <f>IF($D413="","","T"&amp;TEXT(ROW()-6,"00000"))</f>
        <v>T00407</v>
      </c>
      <c r="C413" s="65" t="str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>M030</v>
      </c>
      <c r="D413" s="61" t="s">
        <v>603</v>
      </c>
      <c r="E413" s="66">
        <v>46196</v>
      </c>
      <c r="F413" s="67">
        <v>2000</v>
      </c>
      <c r="G413" s="60" t="s">
        <v>717</v>
      </c>
      <c r="H413" s="60" t="s">
        <v>572</v>
      </c>
      <c r="I413" s="61"/>
      <c r="J413" s="61" t="s">
        <v>720</v>
      </c>
      <c r="K413" s="61"/>
      <c r="L413" s="73">
        <f>IF($E413="","",DATE(YEAR($E413),MONTH($E413),1))</f>
        <v>46174</v>
      </c>
      <c r="M413" s="65" t="str">
        <f ca="1">IF($D413="","",IF($C413="TANIMSIZ MÜŞTERİ","HATA",IF(OR($E413="",$F413&lt;=0,$G413=""),"EKSİK",IF($E413&gt;TODAY(),"İLERİ TARİH",IF(COUNTIF($S$7:$S$2503,$S413)&gt;1,"MÜKERRER?",IF($T413&gt;0,"KAPALI DÖNEM","UYGUN"))))))</f>
        <v>UYGUN</v>
      </c>
      <c r="N413" s="74" t="str">
        <f>IF($C413="","",IF($C413="TANIMSIZ MÜŞTERİ","—",INDEX(MUSTERILER!$C$7:$C$156,MATCH($C413,MUSTERILER!$B$7:$B$156,0))))</f>
        <v>FARUK DEMİRCİ</v>
      </c>
      <c r="O413" s="2"/>
      <c r="P413" s="2"/>
      <c r="Q413" s="1" t="str">
        <f>IF($D413="","",$C413&amp;"|"&amp;COUNTIFS($C$7:$C413,$C413))</f>
        <v>M030|3</v>
      </c>
      <c r="R413" s="1" t="str">
        <f t="shared" si="12"/>
        <v>FARUKDEMIRCI</v>
      </c>
      <c r="S413" s="1" t="str">
        <f t="shared" si="13"/>
        <v>M030|46196|2000|</v>
      </c>
      <c r="T413" s="1">
        <f>IF($E413="",0,SUMPRODUCT((AY_SONU!$O$7:$O$42="Evet")*(AY_SONU!$B$7:$B$42=DATE(YEAR($E413),MONTH($E413),1))))</f>
        <v>0</v>
      </c>
      <c r="U413" s="1" t="str">
        <f>IF(OR($G413="",$H413="Mahsup"),"",$G413&amp;"|"&amp;COUNTIFS($G$7:$G413,$G413,$H$7:$H413,"&lt;&gt;Mahsup"))</f>
        <v>MERKEZ KASA|325</v>
      </c>
    </row>
    <row r="414" spans="1:21" ht="18" customHeight="1" x14ac:dyDescent="0.3">
      <c r="A414" s="2"/>
      <c r="B414" s="65" t="str">
        <f>IF($D414="","","T"&amp;TEXT(ROW()-6,"00000"))</f>
        <v>T00408</v>
      </c>
      <c r="C414" s="65" t="str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>M047</v>
      </c>
      <c r="D414" s="61" t="s">
        <v>654</v>
      </c>
      <c r="E414" s="66">
        <v>46196</v>
      </c>
      <c r="F414" s="67">
        <v>23600</v>
      </c>
      <c r="G414" s="60" t="s">
        <v>717</v>
      </c>
      <c r="H414" s="60" t="s">
        <v>572</v>
      </c>
      <c r="I414" s="61"/>
      <c r="J414" s="61" t="s">
        <v>741</v>
      </c>
      <c r="K414" s="61"/>
      <c r="L414" s="73">
        <f>IF($E414="","",DATE(YEAR($E414),MONTH($E414),1))</f>
        <v>46174</v>
      </c>
      <c r="M414" s="65" t="str">
        <f ca="1">IF($D414="","",IF($C414="TANIMSIZ MÜŞTERİ","HATA",IF(OR($E414="",$F414&lt;=0,$G414=""),"EKSİK",IF($E414&gt;TODAY(),"İLERİ TARİH",IF(COUNTIF($S$7:$S$2503,$S414)&gt;1,"MÜKERRER?",IF($T414&gt;0,"KAPALI DÖNEM","UYGUN"))))))</f>
        <v>UYGUN</v>
      </c>
      <c r="N414" s="74" t="str">
        <f>IF($C414="","",IF($C414="TANIMSIZ MÜŞTERİ","—",INDEX(MUSTERILER!$C$7:$C$156,MATCH($C414,MUSTERILER!$B$7:$B$156,0))))</f>
        <v>PALAOĞULLARI LTD.ŞTİ.</v>
      </c>
      <c r="O414" s="2"/>
      <c r="P414" s="2"/>
      <c r="Q414" s="1" t="str">
        <f>IF($D414="","",$C414&amp;"|"&amp;COUNTIFS($C$7:$C414,$C414))</f>
        <v>M047|17</v>
      </c>
      <c r="R414" s="1" t="str">
        <f t="shared" si="12"/>
        <v>PALAOGULLARILTDSTI</v>
      </c>
      <c r="S414" s="1" t="str">
        <f t="shared" si="13"/>
        <v>M047|46196|23600|</v>
      </c>
      <c r="T414" s="1">
        <f>IF($E414="",0,SUMPRODUCT((AY_SONU!$O$7:$O$42="Evet")*(AY_SONU!$B$7:$B$42=DATE(YEAR($E414),MONTH($E414),1))))</f>
        <v>0</v>
      </c>
      <c r="U414" s="1" t="str">
        <f>IF(OR($G414="",$H414="Mahsup"),"",$G414&amp;"|"&amp;COUNTIFS($G$7:$G414,$G414,$H$7:$H414,"&lt;&gt;Mahsup"))</f>
        <v>MERKEZ KASA|326</v>
      </c>
    </row>
    <row r="415" spans="1:21" ht="18" customHeight="1" x14ac:dyDescent="0.3">
      <c r="A415" s="2"/>
      <c r="B415" s="65" t="str">
        <f>IF($D415="","","T"&amp;TEXT(ROW()-6,"00000"))</f>
        <v>T00409</v>
      </c>
      <c r="C415" s="65" t="str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>M041</v>
      </c>
      <c r="D415" s="61" t="s">
        <v>633</v>
      </c>
      <c r="E415" s="66">
        <v>46198</v>
      </c>
      <c r="F415" s="67">
        <v>5000</v>
      </c>
      <c r="G415" s="60" t="s">
        <v>717</v>
      </c>
      <c r="H415" s="60" t="s">
        <v>572</v>
      </c>
      <c r="I415" s="61"/>
      <c r="J415" s="61" t="s">
        <v>720</v>
      </c>
      <c r="K415" s="61"/>
      <c r="L415" s="73">
        <f>IF($E415="","",DATE(YEAR($E415),MONTH($E415),1))</f>
        <v>46174</v>
      </c>
      <c r="M415" s="65" t="str">
        <f ca="1">IF($D415="","",IF($C415="TANIMSIZ MÜŞTERİ","HATA",IF(OR($E415="",$F415&lt;=0,$G415=""),"EKSİK",IF($E415&gt;TODAY(),"İLERİ TARİH",IF(COUNTIF($S$7:$S$2503,$S415)&gt;1,"MÜKERRER?",IF($T415&gt;0,"KAPALI DÖNEM","UYGUN"))))))</f>
        <v>UYGUN</v>
      </c>
      <c r="N415" s="74" t="str">
        <f>IF($C415="","",IF($C415="TANIMSIZ MÜŞTERİ","—",INDEX(MUSTERILER!$C$7:$C$156,MATCH($C415,MUSTERILER!$B$7:$B$156,0))))</f>
        <v>MESUT KÖKLÜ</v>
      </c>
      <c r="O415" s="2"/>
      <c r="P415" s="2"/>
      <c r="Q415" s="1" t="str">
        <f>IF($D415="","",$C415&amp;"|"&amp;COUNTIFS($C$7:$C415,$C415))</f>
        <v>M041|1</v>
      </c>
      <c r="R415" s="1" t="str">
        <f t="shared" si="12"/>
        <v>MESUTKOKLU</v>
      </c>
      <c r="S415" s="1" t="str">
        <f t="shared" si="13"/>
        <v>M041|46198|5000|</v>
      </c>
      <c r="T415" s="1">
        <f>IF($E415="",0,SUMPRODUCT((AY_SONU!$O$7:$O$42="Evet")*(AY_SONU!$B$7:$B$42=DATE(YEAR($E415),MONTH($E415),1))))</f>
        <v>0</v>
      </c>
      <c r="U415" s="1" t="str">
        <f>IF(OR($G415="",$H415="Mahsup"),"",$G415&amp;"|"&amp;COUNTIFS($G$7:$G415,$G415,$H$7:$H415,"&lt;&gt;Mahsup"))</f>
        <v>MERKEZ KASA|327</v>
      </c>
    </row>
    <row r="416" spans="1:21" ht="18" customHeight="1" x14ac:dyDescent="0.3">
      <c r="A416" s="2"/>
      <c r="B416" s="65" t="str">
        <f>IF($D416="","","T"&amp;TEXT(ROW()-6,"00000"))</f>
        <v>T00410</v>
      </c>
      <c r="C416" s="65" t="str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>M001</v>
      </c>
      <c r="D416" s="61" t="s">
        <v>729</v>
      </c>
      <c r="E416" s="66">
        <v>46200</v>
      </c>
      <c r="F416" s="67">
        <v>4000</v>
      </c>
      <c r="G416" s="60" t="s">
        <v>717</v>
      </c>
      <c r="H416" s="60" t="s">
        <v>572</v>
      </c>
      <c r="I416" s="61"/>
      <c r="J416" s="61" t="s">
        <v>720</v>
      </c>
      <c r="K416" s="61"/>
      <c r="L416" s="73">
        <f>IF($E416="","",DATE(YEAR($E416),MONTH($E416),1))</f>
        <v>46174</v>
      </c>
      <c r="M416" s="65" t="str">
        <f ca="1">IF($D416="","",IF($C416="TANIMSIZ MÜŞTERİ","HATA",IF(OR($E416="",$F416&lt;=0,$G416=""),"EKSİK",IF($E416&gt;TODAY(),"İLERİ TARİH",IF(COUNTIF($S$7:$S$2503,$S416)&gt;1,"MÜKERRER?",IF($T416&gt;0,"KAPALI DÖNEM","UYGUN"))))))</f>
        <v>UYGUN</v>
      </c>
      <c r="N416" s="74" t="str">
        <f>IF($C416="","",IF($C416="TANIMSIZ MÜŞTERİ","—",INDEX(MUSTERILER!$C$7:$C$156,MATCH($C416,MUSTERILER!$B$7:$B$156,0))))</f>
        <v>ANKARA HAVANA LTD.ŞTİ.</v>
      </c>
      <c r="O416" s="2"/>
      <c r="P416" s="2"/>
      <c r="Q416" s="1" t="str">
        <f>IF($D416="","",$C416&amp;"|"&amp;COUNTIFS($C$7:$C416,$C416))</f>
        <v>M001|12</v>
      </c>
      <c r="R416" s="1" t="str">
        <f t="shared" si="12"/>
        <v>ANKARAHAVANALTDSTI</v>
      </c>
      <c r="S416" s="1" t="str">
        <f t="shared" si="13"/>
        <v>M001|46200|4000|</v>
      </c>
      <c r="T416" s="1">
        <f>IF($E416="",0,SUMPRODUCT((AY_SONU!$O$7:$O$42="Evet")*(AY_SONU!$B$7:$B$42=DATE(YEAR($E416),MONTH($E416),1))))</f>
        <v>0</v>
      </c>
      <c r="U416" s="1" t="str">
        <f>IF(OR($G416="",$H416="Mahsup"),"",$G416&amp;"|"&amp;COUNTIFS($G$7:$G416,$G416,$H$7:$H416,"&lt;&gt;Mahsup"))</f>
        <v>MERKEZ KASA|328</v>
      </c>
    </row>
    <row r="417" spans="1:21" ht="18" customHeight="1" x14ac:dyDescent="0.3">
      <c r="A417" s="2"/>
      <c r="B417" s="65" t="str">
        <f>IF($D417="","","T"&amp;TEXT(ROW()-6,"00000"))</f>
        <v>T00411</v>
      </c>
      <c r="C417" s="65" t="str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>M025</v>
      </c>
      <c r="D417" s="61" t="s">
        <v>583</v>
      </c>
      <c r="E417" s="66">
        <v>46200</v>
      </c>
      <c r="F417" s="67">
        <v>2000</v>
      </c>
      <c r="G417" s="60" t="s">
        <v>717</v>
      </c>
      <c r="H417" s="60" t="s">
        <v>572</v>
      </c>
      <c r="I417" s="61"/>
      <c r="J417" s="61" t="s">
        <v>720</v>
      </c>
      <c r="K417" s="61"/>
      <c r="L417" s="73">
        <f>IF($E417="","",DATE(YEAR($E417),MONTH($E417),1))</f>
        <v>46174</v>
      </c>
      <c r="M417" s="65" t="str">
        <f ca="1">IF($D417="","",IF($C417="TANIMSIZ MÜŞTERİ","HATA",IF(OR($E417="",$F417&lt;=0,$G417=""),"EKSİK",IF($E417&gt;TODAY(),"İLERİ TARİH",IF(COUNTIF($S$7:$S$2503,$S417)&gt;1,"MÜKERRER?",IF($T417&gt;0,"KAPALI DÖNEM","UYGUN"))))))</f>
        <v>UYGUN</v>
      </c>
      <c r="N417" s="74" t="str">
        <f>IF($C417="","",IF($C417="TANIMSIZ MÜŞTERİ","—",INDEX(MUSTERILER!$C$7:$C$156,MATCH($C417,MUSTERILER!$B$7:$B$156,0))))</f>
        <v>ASIM AÇIKGÖZ</v>
      </c>
      <c r="O417" s="2"/>
      <c r="P417" s="2"/>
      <c r="Q417" s="1" t="str">
        <f>IF($D417="","",$C417&amp;"|"&amp;COUNTIFS($C$7:$C417,$C417))</f>
        <v>M025|21</v>
      </c>
      <c r="R417" s="1" t="str">
        <f t="shared" si="12"/>
        <v>ASIMACIKGOZ</v>
      </c>
      <c r="S417" s="1" t="str">
        <f t="shared" si="13"/>
        <v>M025|46200|2000|</v>
      </c>
      <c r="T417" s="1">
        <f>IF($E417="",0,SUMPRODUCT((AY_SONU!$O$7:$O$42="Evet")*(AY_SONU!$B$7:$B$42=DATE(YEAR($E417),MONTH($E417),1))))</f>
        <v>0</v>
      </c>
      <c r="U417" s="1" t="str">
        <f>IF(OR($G417="",$H417="Mahsup"),"",$G417&amp;"|"&amp;COUNTIFS($G$7:$G417,$G417,$H$7:$H417,"&lt;&gt;Mahsup"))</f>
        <v>MERKEZ KASA|329</v>
      </c>
    </row>
    <row r="418" spans="1:21" ht="18" customHeight="1" x14ac:dyDescent="0.3">
      <c r="A418" s="2"/>
      <c r="B418" s="65" t="str">
        <f>IF($D418="","","T"&amp;TEXT(ROW()-6,"00000"))</f>
        <v>T00412</v>
      </c>
      <c r="C418" s="65" t="str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>M007</v>
      </c>
      <c r="D418" s="61" t="s">
        <v>733</v>
      </c>
      <c r="E418" s="66">
        <v>46200</v>
      </c>
      <c r="F418" s="67">
        <v>3500</v>
      </c>
      <c r="G418" s="60" t="s">
        <v>723</v>
      </c>
      <c r="H418" s="60" t="s">
        <v>572</v>
      </c>
      <c r="I418" s="61"/>
      <c r="J418" s="61" t="s">
        <v>724</v>
      </c>
      <c r="K418" s="61"/>
      <c r="L418" s="73">
        <f>IF($E418="","",DATE(YEAR($E418),MONTH($E418),1))</f>
        <v>46174</v>
      </c>
      <c r="M418" s="65" t="str">
        <f ca="1">IF($D418="","",IF($C418="TANIMSIZ MÜŞTERİ","HATA",IF(OR($E418="",$F418&lt;=0,$G418=""),"EKSİK",IF($E418&gt;TODAY(),"İLERİ TARİH",IF(COUNTIF($S$7:$S$2503,$S418)&gt;1,"MÜKERRER?",IF($T418&gt;0,"KAPALI DÖNEM","UYGUN"))))))</f>
        <v>UYGUN</v>
      </c>
      <c r="N418" s="74" t="str">
        <f>IF($C418="","",IF($C418="TANIMSIZ MÜŞTERİ","—",INDEX(MUSTERILER!$C$7:$C$156,MATCH($C418,MUSTERILER!$B$7:$B$156,0))))</f>
        <v>MONAMOUR LTD.ŞTİ.</v>
      </c>
      <c r="O418" s="2"/>
      <c r="P418" s="2"/>
      <c r="Q418" s="1" t="str">
        <f>IF($D418="","",$C418&amp;"|"&amp;COUNTIFS($C$7:$C418,$C418))</f>
        <v>M007|19</v>
      </c>
      <c r="R418" s="1" t="str">
        <f t="shared" si="12"/>
        <v>MONAMOURLTDSTI</v>
      </c>
      <c r="S418" s="1" t="str">
        <f t="shared" si="13"/>
        <v>M007|46200|3500|</v>
      </c>
      <c r="T418" s="1">
        <f>IF($E418="",0,SUMPRODUCT((AY_SONU!$O$7:$O$42="Evet")*(AY_SONU!$B$7:$B$42=DATE(YEAR($E418),MONTH($E418),1))))</f>
        <v>0</v>
      </c>
      <c r="U418" s="1" t="str">
        <f>IF(OR($G418="",$H418="Mahsup"),"",$G418&amp;"|"&amp;COUNTIFS($G$7:$G418,$G418,$H$7:$H418,"&lt;&gt;Mahsup"))</f>
        <v>ÖMER KARTAL|83</v>
      </c>
    </row>
    <row r="419" spans="1:21" ht="18" customHeight="1" x14ac:dyDescent="0.3">
      <c r="A419" s="2"/>
      <c r="B419" s="65" t="str">
        <f>IF($D419="","","T"&amp;TEXT(ROW()-6,"00000"))</f>
        <v>T00413</v>
      </c>
      <c r="C419" s="65" t="str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>M017</v>
      </c>
      <c r="D419" s="61" t="s">
        <v>585</v>
      </c>
      <c r="E419" s="66">
        <v>46200</v>
      </c>
      <c r="F419" s="67">
        <v>2500</v>
      </c>
      <c r="G419" s="60" t="s">
        <v>717</v>
      </c>
      <c r="H419" s="60" t="s">
        <v>572</v>
      </c>
      <c r="I419" s="61"/>
      <c r="J419" s="61" t="s">
        <v>720</v>
      </c>
      <c r="K419" s="61"/>
      <c r="L419" s="73">
        <f>IF($E419="","",DATE(YEAR($E419),MONTH($E419),1))</f>
        <v>46174</v>
      </c>
      <c r="M419" s="65" t="str">
        <f ca="1">IF($D419="","",IF($C419="TANIMSIZ MÜŞTERİ","HATA",IF(OR($E419="",$F419&lt;=0,$G419=""),"EKSİK",IF($E419&gt;TODAY(),"İLERİ TARİH",IF(COUNTIF($S$7:$S$2503,$S419)&gt;1,"MÜKERRER?",IF($T419&gt;0,"KAPALI DÖNEM","UYGUN"))))))</f>
        <v>UYGUN</v>
      </c>
      <c r="N419" s="74" t="str">
        <f>IF($C419="","",IF($C419="TANIMSIZ MÜŞTERİ","—",INDEX(MUSTERILER!$C$7:$C$156,MATCH($C419,MUSTERILER!$B$7:$B$156,0))))</f>
        <v>ASM EĞLENCE LTD.ŞTİ.</v>
      </c>
      <c r="O419" s="2"/>
      <c r="P419" s="2"/>
      <c r="Q419" s="1" t="str">
        <f>IF($D419="","",$C419&amp;"|"&amp;COUNTIFS($C$7:$C419,$C419))</f>
        <v>M017|22</v>
      </c>
      <c r="R419" s="1" t="str">
        <f t="shared" si="12"/>
        <v>ASMEGLENCELTDSTI</v>
      </c>
      <c r="S419" s="1" t="str">
        <f t="shared" si="13"/>
        <v>M017|46200|2500|</v>
      </c>
      <c r="T419" s="1">
        <f>IF($E419="",0,SUMPRODUCT((AY_SONU!$O$7:$O$42="Evet")*(AY_SONU!$B$7:$B$42=DATE(YEAR($E419),MONTH($E419),1))))</f>
        <v>0</v>
      </c>
      <c r="U419" s="1" t="str">
        <f>IF(OR($G419="",$H419="Mahsup"),"",$G419&amp;"|"&amp;COUNTIFS($G$7:$G419,$G419,$H$7:$H419,"&lt;&gt;Mahsup"))</f>
        <v>MERKEZ KASA|330</v>
      </c>
    </row>
    <row r="420" spans="1:21" ht="18" customHeight="1" x14ac:dyDescent="0.3">
      <c r="A420" s="2"/>
      <c r="B420" s="65" t="str">
        <f>IF($D420="","","T"&amp;TEXT(ROW()-6,"00000"))</f>
        <v>T00414</v>
      </c>
      <c r="C420" s="65" t="str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>M015</v>
      </c>
      <c r="D420" s="61" t="s">
        <v>719</v>
      </c>
      <c r="E420" s="66">
        <v>46200</v>
      </c>
      <c r="F420" s="67">
        <v>3000</v>
      </c>
      <c r="G420" s="60" t="s">
        <v>717</v>
      </c>
      <c r="H420" s="60" t="s">
        <v>572</v>
      </c>
      <c r="I420" s="61"/>
      <c r="J420" s="61" t="s">
        <v>720</v>
      </c>
      <c r="K420" s="61"/>
      <c r="L420" s="73">
        <f>IF($E420="","",DATE(YEAR($E420),MONTH($E420),1))</f>
        <v>46174</v>
      </c>
      <c r="M420" s="65" t="str">
        <f ca="1">IF($D420="","",IF($C420="TANIMSIZ MÜŞTERİ","HATA",IF(OR($E420="",$F420&lt;=0,$G420=""),"EKSİK",IF($E420&gt;TODAY(),"İLERİ TARİH",IF(COUNTIF($S$7:$S$2503,$S420)&gt;1,"MÜKERRER?",IF($T420&gt;0,"KAPALI DÖNEM","UYGUN"))))))</f>
        <v>UYGUN</v>
      </c>
      <c r="N420" s="74" t="str">
        <f>IF($C420="","",IF($C420="TANIMSIZ MÜŞTERİ","—",INDEX(MUSTERILER!$C$7:$C$156,MATCH($C420,MUSTERILER!$B$7:$B$156,0))))</f>
        <v>ÇAYIRALAN LTD.ŞTİ.</v>
      </c>
      <c r="O420" s="2"/>
      <c r="P420" s="2"/>
      <c r="Q420" s="1" t="str">
        <f>IF($D420="","",$C420&amp;"|"&amp;COUNTIFS($C$7:$C420,$C420))</f>
        <v>M015|23</v>
      </c>
      <c r="R420" s="1" t="str">
        <f t="shared" si="12"/>
        <v>CAYIRALANLTDSTI</v>
      </c>
      <c r="S420" s="1" t="str">
        <f t="shared" si="13"/>
        <v>M015|46200|3000|</v>
      </c>
      <c r="T420" s="1">
        <f>IF($E420="",0,SUMPRODUCT((AY_SONU!$O$7:$O$42="Evet")*(AY_SONU!$B$7:$B$42=DATE(YEAR($E420),MONTH($E420),1))))</f>
        <v>0</v>
      </c>
      <c r="U420" s="1" t="str">
        <f>IF(OR($G420="",$H420="Mahsup"),"",$G420&amp;"|"&amp;COUNTIFS($G$7:$G420,$G420,$H$7:$H420,"&lt;&gt;Mahsup"))</f>
        <v>MERKEZ KASA|331</v>
      </c>
    </row>
    <row r="421" spans="1:21" ht="18" customHeight="1" x14ac:dyDescent="0.3">
      <c r="A421" s="2"/>
      <c r="B421" s="65" t="str">
        <f>IF($D421="","","T"&amp;TEXT(ROW()-6,"00000"))</f>
        <v>T00415</v>
      </c>
      <c r="C421" s="65" t="str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>M011</v>
      </c>
      <c r="D421" s="61" t="s">
        <v>730</v>
      </c>
      <c r="E421" s="66">
        <v>46200</v>
      </c>
      <c r="F421" s="67">
        <v>4000</v>
      </c>
      <c r="G421" s="60" t="s">
        <v>717</v>
      </c>
      <c r="H421" s="60" t="s">
        <v>572</v>
      </c>
      <c r="I421" s="61"/>
      <c r="J421" s="61" t="s">
        <v>720</v>
      </c>
      <c r="K421" s="61"/>
      <c r="L421" s="73">
        <f>IF($E421="","",DATE(YEAR($E421),MONTH($E421),1))</f>
        <v>46174</v>
      </c>
      <c r="M421" s="65" t="str">
        <f ca="1">IF($D421="","",IF($C421="TANIMSIZ MÜŞTERİ","HATA",IF(OR($E421="",$F421&lt;=0,$G421=""),"EKSİK",IF($E421&gt;TODAY(),"İLERİ TARİH",IF(COUNTIF($S$7:$S$2503,$S421)&gt;1,"MÜKERRER?",IF($T421&gt;0,"KAPALI DÖNEM","UYGUN"))))))</f>
        <v>UYGUN</v>
      </c>
      <c r="N421" s="74" t="str">
        <f>IF($C421="","",IF($C421="TANIMSIZ MÜŞTERİ","—",INDEX(MUSTERILER!$C$7:$C$156,MATCH($C421,MUSTERILER!$B$7:$B$156,0))))</f>
        <v>EĞLENGÖR LTD.ŞTİ.</v>
      </c>
      <c r="O421" s="2"/>
      <c r="P421" s="2"/>
      <c r="Q421" s="1" t="str">
        <f>IF($D421="","",$C421&amp;"|"&amp;COUNTIFS($C$7:$C421,$C421))</f>
        <v>M011|24</v>
      </c>
      <c r="R421" s="1" t="str">
        <f t="shared" si="12"/>
        <v>EGLENGORLTDSTI</v>
      </c>
      <c r="S421" s="1" t="str">
        <f t="shared" si="13"/>
        <v>M011|46200|4000|</v>
      </c>
      <c r="T421" s="1">
        <f>IF($E421="",0,SUMPRODUCT((AY_SONU!$O$7:$O$42="Evet")*(AY_SONU!$B$7:$B$42=DATE(YEAR($E421),MONTH($E421),1))))</f>
        <v>0</v>
      </c>
      <c r="U421" s="1" t="str">
        <f>IF(OR($G421="",$H421="Mahsup"),"",$G421&amp;"|"&amp;COUNTIFS($G$7:$G421,$G421,$H$7:$H421,"&lt;&gt;Mahsup"))</f>
        <v>MERKEZ KASA|332</v>
      </c>
    </row>
    <row r="422" spans="1:21" ht="18" customHeight="1" x14ac:dyDescent="0.3">
      <c r="A422" s="2"/>
      <c r="B422" s="65" t="str">
        <f>IF($D422="","","T"&amp;TEXT(ROW()-6,"00000"))</f>
        <v>T00416</v>
      </c>
      <c r="C422" s="65" t="str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>M035</v>
      </c>
      <c r="D422" s="61" t="s">
        <v>615</v>
      </c>
      <c r="E422" s="66">
        <v>46200</v>
      </c>
      <c r="F422" s="67">
        <v>3500</v>
      </c>
      <c r="G422" s="60" t="s">
        <v>723</v>
      </c>
      <c r="H422" s="60" t="s">
        <v>572</v>
      </c>
      <c r="I422" s="61"/>
      <c r="J422" s="61" t="s">
        <v>720</v>
      </c>
      <c r="K422" s="61"/>
      <c r="L422" s="73">
        <f>IF($E422="","",DATE(YEAR($E422),MONTH($E422),1))</f>
        <v>46174</v>
      </c>
      <c r="M422" s="65" t="str">
        <f ca="1">IF($D422="","",IF($C422="TANIMSIZ MÜŞTERİ","HATA",IF(OR($E422="",$F422&lt;=0,$G422=""),"EKSİK",IF($E422&gt;TODAY(),"İLERİ TARİH",IF(COUNTIF($S$7:$S$2503,$S422)&gt;1,"MÜKERRER?",IF($T422&gt;0,"KAPALI DÖNEM","UYGUN"))))))</f>
        <v>UYGUN</v>
      </c>
      <c r="N422" s="74" t="str">
        <f>IF($C422="","",IF($C422="TANIMSIZ MÜŞTERİ","—",INDEX(MUSTERILER!$C$7:$C$156,MATCH($C422,MUSTERILER!$B$7:$B$156,0))))</f>
        <v>İSA DEMİRCİ</v>
      </c>
      <c r="O422" s="2"/>
      <c r="P422" s="2"/>
      <c r="Q422" s="1" t="str">
        <f>IF($D422="","",$C422&amp;"|"&amp;COUNTIFS($C$7:$C422,$C422))</f>
        <v>M035|6</v>
      </c>
      <c r="R422" s="1" t="str">
        <f t="shared" si="12"/>
        <v>ISADEMIRCI</v>
      </c>
      <c r="S422" s="1" t="str">
        <f t="shared" si="13"/>
        <v>M035|46200|3500|</v>
      </c>
      <c r="T422" s="1">
        <f>IF($E422="",0,SUMPRODUCT((AY_SONU!$O$7:$O$42="Evet")*(AY_SONU!$B$7:$B$42=DATE(YEAR($E422),MONTH($E422),1))))</f>
        <v>0</v>
      </c>
      <c r="U422" s="1" t="str">
        <f>IF(OR($G422="",$H422="Mahsup"),"",$G422&amp;"|"&amp;COUNTIFS($G$7:$G422,$G422,$H$7:$H422,"&lt;&gt;Mahsup"))</f>
        <v>ÖMER KARTAL|84</v>
      </c>
    </row>
    <row r="423" spans="1:21" ht="18" customHeight="1" x14ac:dyDescent="0.3">
      <c r="A423" s="2"/>
      <c r="B423" s="65" t="str">
        <f>IF($D423="","","T"&amp;TEXT(ROW()-6,"00000"))</f>
        <v>T00417</v>
      </c>
      <c r="C423" s="65" t="str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>M014</v>
      </c>
      <c r="D423" s="61" t="s">
        <v>731</v>
      </c>
      <c r="E423" s="66">
        <v>46200</v>
      </c>
      <c r="F423" s="67">
        <v>4000</v>
      </c>
      <c r="G423" s="60" t="s">
        <v>717</v>
      </c>
      <c r="H423" s="60" t="s">
        <v>572</v>
      </c>
      <c r="I423" s="61"/>
      <c r="J423" s="61" t="s">
        <v>720</v>
      </c>
      <c r="K423" s="61"/>
      <c r="L423" s="73">
        <f>IF($E423="","",DATE(YEAR($E423),MONTH($E423),1))</f>
        <v>46174</v>
      </c>
      <c r="M423" s="65" t="str">
        <f ca="1">IF($D423="","",IF($C423="TANIMSIZ MÜŞTERİ","HATA",IF(OR($E423="",$F423&lt;=0,$G423=""),"EKSİK",IF($E423&gt;TODAY(),"İLERİ TARİH",IF(COUNTIF($S$7:$S$2503,$S423)&gt;1,"MÜKERRER?",IF($T423&gt;0,"KAPALI DÖNEM","UYGUN"))))))</f>
        <v>UYGUN</v>
      </c>
      <c r="N423" s="74" t="str">
        <f>IF($C423="","",IF($C423="TANIMSIZ MÜŞTERİ","—",INDEX(MUSTERILER!$C$7:$C$156,MATCH($C423,MUSTERILER!$B$7:$B$156,0))))</f>
        <v>FİNAL SİYAH BEYAZ LTD.ŞTİ.</v>
      </c>
      <c r="O423" s="2"/>
      <c r="P423" s="2"/>
      <c r="Q423" s="1" t="str">
        <f>IF($D423="","",$C423&amp;"|"&amp;COUNTIFS($C$7:$C423,$C423))</f>
        <v>M014|23</v>
      </c>
      <c r="R423" s="1" t="str">
        <f t="shared" si="12"/>
        <v>FINALSIYAHBEYAZLTDSTI</v>
      </c>
      <c r="S423" s="1" t="str">
        <f t="shared" si="13"/>
        <v>M014|46200|4000|</v>
      </c>
      <c r="T423" s="1">
        <f>IF($E423="",0,SUMPRODUCT((AY_SONU!$O$7:$O$42="Evet")*(AY_SONU!$B$7:$B$42=DATE(YEAR($E423),MONTH($E423),1))))</f>
        <v>0</v>
      </c>
      <c r="U423" s="1" t="str">
        <f>IF(OR($G423="",$H423="Mahsup"),"",$G423&amp;"|"&amp;COUNTIFS($G$7:$G423,$G423,$H$7:$H423,"&lt;&gt;Mahsup"))</f>
        <v>MERKEZ KASA|333</v>
      </c>
    </row>
    <row r="424" spans="1:21" ht="18" customHeight="1" x14ac:dyDescent="0.3">
      <c r="A424" s="2"/>
      <c r="B424" s="65" t="str">
        <f>IF($D424="","","T"&amp;TEXT(ROW()-6,"00000"))</f>
        <v>T00418</v>
      </c>
      <c r="C424" s="65" t="str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>M012</v>
      </c>
      <c r="D424" s="61" t="s">
        <v>721</v>
      </c>
      <c r="E424" s="66">
        <v>46200</v>
      </c>
      <c r="F424" s="67">
        <v>5000</v>
      </c>
      <c r="G424" s="60" t="s">
        <v>717</v>
      </c>
      <c r="H424" s="60" t="s">
        <v>572</v>
      </c>
      <c r="I424" s="61"/>
      <c r="J424" s="61" t="s">
        <v>720</v>
      </c>
      <c r="K424" s="61"/>
      <c r="L424" s="73">
        <f>IF($E424="","",DATE(YEAR($E424),MONTH($E424),1))</f>
        <v>46174</v>
      </c>
      <c r="M424" s="65" t="str">
        <f ca="1">IF($D424="","",IF($C424="TANIMSIZ MÜŞTERİ","HATA",IF(OR($E424="",$F424&lt;=0,$G424=""),"EKSİK",IF($E424&gt;TODAY(),"İLERİ TARİH",IF(COUNTIF($S$7:$S$2503,$S424)&gt;1,"MÜKERRER?",IF($T424&gt;0,"KAPALI DÖNEM","UYGUN"))))))</f>
        <v>UYGUN</v>
      </c>
      <c r="N424" s="74" t="str">
        <f>IF($C424="","",IF($C424="TANIMSIZ MÜŞTERİ","—",INDEX(MUSTERILER!$C$7:$C$156,MATCH($C424,MUSTERILER!$B$7:$B$156,0))))</f>
        <v>İLDEŞ LTD.ŞTİ.</v>
      </c>
      <c r="O424" s="2"/>
      <c r="P424" s="2"/>
      <c r="Q424" s="1" t="str">
        <f>IF($D424="","",$C424&amp;"|"&amp;COUNTIFS($C$7:$C424,$C424))</f>
        <v>M012|25</v>
      </c>
      <c r="R424" s="1" t="str">
        <f t="shared" si="12"/>
        <v>ILDESLTDSTI</v>
      </c>
      <c r="S424" s="1" t="str">
        <f t="shared" si="13"/>
        <v>M012|46200|5000|</v>
      </c>
      <c r="T424" s="1">
        <f>IF($E424="",0,SUMPRODUCT((AY_SONU!$O$7:$O$42="Evet")*(AY_SONU!$B$7:$B$42=DATE(YEAR($E424),MONTH($E424),1))))</f>
        <v>0</v>
      </c>
      <c r="U424" s="1" t="str">
        <f>IF(OR($G424="",$H424="Mahsup"),"",$G424&amp;"|"&amp;COUNTIFS($G$7:$G424,$G424,$H$7:$H424,"&lt;&gt;Mahsup"))</f>
        <v>MERKEZ KASA|334</v>
      </c>
    </row>
    <row r="425" spans="1:21" ht="18" customHeight="1" x14ac:dyDescent="0.3">
      <c r="A425" s="2"/>
      <c r="B425" s="65" t="str">
        <f>IF($D425="","","T"&amp;TEXT(ROW()-6,"00000"))</f>
        <v>T00419</v>
      </c>
      <c r="C425" s="65" t="str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>M054</v>
      </c>
      <c r="D425" s="61" t="s">
        <v>674</v>
      </c>
      <c r="E425" s="66">
        <v>46200</v>
      </c>
      <c r="F425" s="67">
        <v>23000</v>
      </c>
      <c r="G425" s="60" t="s">
        <v>723</v>
      </c>
      <c r="H425" s="60" t="s">
        <v>572</v>
      </c>
      <c r="I425" s="61"/>
      <c r="J425" s="61" t="s">
        <v>720</v>
      </c>
      <c r="K425" s="61"/>
      <c r="L425" s="73">
        <f>IF($E425="","",DATE(YEAR($E425),MONTH($E425),1))</f>
        <v>46174</v>
      </c>
      <c r="M425" s="65" t="str">
        <f ca="1">IF($D425="","",IF($C425="TANIMSIZ MÜŞTERİ","HATA",IF(OR($E425="",$F425&lt;=0,$G425=""),"EKSİK",IF($E425&gt;TODAY(),"İLERİ TARİH",IF(COUNTIF($S$7:$S$2503,$S425)&gt;1,"MÜKERRER?",IF($T425&gt;0,"KAPALI DÖNEM","UYGUN"))))))</f>
        <v>UYGUN</v>
      </c>
      <c r="N425" s="74" t="str">
        <f>IF($C425="","",IF($C425="TANIMSIZ MÜŞTERİ","—",INDEX(MUSTERILER!$C$7:$C$156,MATCH($C425,MUSTERILER!$B$7:$B$156,0))))</f>
        <v>YALIKENT LTD.ŞTİ.</v>
      </c>
      <c r="O425" s="2"/>
      <c r="P425" s="2"/>
      <c r="Q425" s="1" t="str">
        <f>IF($D425="","",$C425&amp;"|"&amp;COUNTIFS($C$7:$C425,$C425))</f>
        <v>M054|14</v>
      </c>
      <c r="R425" s="1" t="str">
        <f t="shared" si="12"/>
        <v>YALIKENTLTDSTI</v>
      </c>
      <c r="S425" s="1" t="str">
        <f t="shared" si="13"/>
        <v>M054|46200|23000|</v>
      </c>
      <c r="T425" s="1">
        <f>IF($E425="",0,SUMPRODUCT((AY_SONU!$O$7:$O$42="Evet")*(AY_SONU!$B$7:$B$42=DATE(YEAR($E425),MONTH($E425),1))))</f>
        <v>0</v>
      </c>
      <c r="U425" s="1" t="str">
        <f>IF(OR($G425="",$H425="Mahsup"),"",$G425&amp;"|"&amp;COUNTIFS($G$7:$G425,$G425,$H$7:$H425,"&lt;&gt;Mahsup"))</f>
        <v>ÖMER KARTAL|85</v>
      </c>
    </row>
    <row r="426" spans="1:21" ht="18" customHeight="1" x14ac:dyDescent="0.3">
      <c r="A426" s="2"/>
      <c r="B426" s="65" t="str">
        <f>IF($D426="","","T"&amp;TEXT(ROW()-6,"00000"))</f>
        <v>T00420</v>
      </c>
      <c r="C426" s="65" t="str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>M046</v>
      </c>
      <c r="D426" s="61" t="s">
        <v>648</v>
      </c>
      <c r="E426" s="66">
        <v>46200</v>
      </c>
      <c r="F426" s="67">
        <v>3500</v>
      </c>
      <c r="G426" s="60" t="s">
        <v>723</v>
      </c>
      <c r="H426" s="60" t="s">
        <v>572</v>
      </c>
      <c r="I426" s="61"/>
      <c r="J426" s="61" t="s">
        <v>720</v>
      </c>
      <c r="K426" s="61"/>
      <c r="L426" s="73">
        <f>IF($E426="","",DATE(YEAR($E426),MONTH($E426),1))</f>
        <v>46174</v>
      </c>
      <c r="M426" s="65" t="str">
        <f ca="1">IF($D426="","",IF($C426="TANIMSIZ MÜŞTERİ","HATA",IF(OR($E426="",$F426&lt;=0,$G426=""),"EKSİK",IF($E426&gt;TODAY(),"İLERİ TARİH",IF(COUNTIF($S$7:$S$2503,$S426)&gt;1,"MÜKERRER?",IF($T426&gt;0,"KAPALI DÖNEM","UYGUN"))))))</f>
        <v>UYGUN</v>
      </c>
      <c r="N426" s="74" t="str">
        <f>IF($C426="","",IF($C426="TANIMSIZ MÜŞTERİ","—",INDEX(MUSTERILER!$C$7:$C$156,MATCH($C426,MUSTERILER!$B$7:$B$156,0))))</f>
        <v>ÖMER DEMİRCİ</v>
      </c>
      <c r="O426" s="2"/>
      <c r="P426" s="2"/>
      <c r="Q426" s="1" t="str">
        <f>IF($D426="","",$C426&amp;"|"&amp;COUNTIFS($C$7:$C426,$C426))</f>
        <v>M046|1</v>
      </c>
      <c r="R426" s="1" t="str">
        <f t="shared" si="12"/>
        <v>OMERDEMIRCI</v>
      </c>
      <c r="S426" s="1" t="str">
        <f t="shared" si="13"/>
        <v>M046|46200|3500|</v>
      </c>
      <c r="T426" s="1">
        <f>IF($E426="",0,SUMPRODUCT((AY_SONU!$O$7:$O$42="Evet")*(AY_SONU!$B$7:$B$42=DATE(YEAR($E426),MONTH($E426),1))))</f>
        <v>0</v>
      </c>
      <c r="U426" s="1" t="str">
        <f>IF(OR($G426="",$H426="Mahsup"),"",$G426&amp;"|"&amp;COUNTIFS($G$7:$G426,$G426,$H$7:$H426,"&lt;&gt;Mahsup"))</f>
        <v>ÖMER KARTAL|86</v>
      </c>
    </row>
    <row r="427" spans="1:21" ht="18" customHeight="1" x14ac:dyDescent="0.3">
      <c r="A427" s="2"/>
      <c r="B427" s="65" t="str">
        <f>IF($D427="","","T"&amp;TEXT(ROW()-6,"00000"))</f>
        <v>T00421</v>
      </c>
      <c r="C427" s="65" t="str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>M013</v>
      </c>
      <c r="D427" s="61" t="s">
        <v>734</v>
      </c>
      <c r="E427" s="66">
        <v>46200</v>
      </c>
      <c r="F427" s="67">
        <v>2000</v>
      </c>
      <c r="G427" s="60" t="s">
        <v>717</v>
      </c>
      <c r="H427" s="60" t="s">
        <v>572</v>
      </c>
      <c r="I427" s="61"/>
      <c r="J427" s="61" t="s">
        <v>720</v>
      </c>
      <c r="K427" s="61"/>
      <c r="L427" s="73">
        <f>IF($E427="","",DATE(YEAR($E427),MONTH($E427),1))</f>
        <v>46174</v>
      </c>
      <c r="M427" s="65" t="str">
        <f ca="1">IF($D427="","",IF($C427="TANIMSIZ MÜŞTERİ","HATA",IF(OR($E427="",$F427&lt;=0,$G427=""),"EKSİK",IF($E427&gt;TODAY(),"İLERİ TARİH",IF(COUNTIF($S$7:$S$2503,$S427)&gt;1,"MÜKERRER?",IF($T427&gt;0,"KAPALI DÖNEM","UYGUN"))))))</f>
        <v>UYGUN</v>
      </c>
      <c r="N427" s="74" t="str">
        <f>IF($C427="","",IF($C427="TANIMSIZ MÜŞTERİ","—",INDEX(MUSTERILER!$C$7:$C$156,MATCH($C427,MUSTERILER!$B$7:$B$156,0))))</f>
        <v>NAZ 1 GIDA LTD.ŞTİ.</v>
      </c>
      <c r="O427" s="2"/>
      <c r="P427" s="2"/>
      <c r="Q427" s="1" t="str">
        <f>IF($D427="","",$C427&amp;"|"&amp;COUNTIFS($C$7:$C427,$C427))</f>
        <v>M013|16</v>
      </c>
      <c r="R427" s="1" t="str">
        <f t="shared" si="12"/>
        <v>NAZ1GIDALTDSTI</v>
      </c>
      <c r="S427" s="1" t="str">
        <f t="shared" si="13"/>
        <v>M013|46200|2000|</v>
      </c>
      <c r="T427" s="1">
        <f>IF($E427="",0,SUMPRODUCT((AY_SONU!$O$7:$O$42="Evet")*(AY_SONU!$B$7:$B$42=DATE(YEAR($E427),MONTH($E427),1))))</f>
        <v>0</v>
      </c>
      <c r="U427" s="1" t="str">
        <f>IF(OR($G427="",$H427="Mahsup"),"",$G427&amp;"|"&amp;COUNTIFS($G$7:$G427,$G427,$H$7:$H427,"&lt;&gt;Mahsup"))</f>
        <v>MERKEZ KASA|335</v>
      </c>
    </row>
    <row r="428" spans="1:21" ht="18" customHeight="1" x14ac:dyDescent="0.3">
      <c r="A428" s="2"/>
      <c r="B428" s="65" t="str">
        <f>IF($D428="","","T"&amp;TEXT(ROW()-6,"00000"))</f>
        <v>T00422</v>
      </c>
      <c r="C428" s="65" t="str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>M009</v>
      </c>
      <c r="D428" s="61" t="s">
        <v>735</v>
      </c>
      <c r="E428" s="66">
        <v>46200</v>
      </c>
      <c r="F428" s="67">
        <v>4000</v>
      </c>
      <c r="G428" s="60" t="s">
        <v>717</v>
      </c>
      <c r="H428" s="60" t="s">
        <v>572</v>
      </c>
      <c r="I428" s="61"/>
      <c r="J428" s="61" t="s">
        <v>720</v>
      </c>
      <c r="K428" s="61"/>
      <c r="L428" s="73">
        <f>IF($E428="","",DATE(YEAR($E428),MONTH($E428),1))</f>
        <v>46174</v>
      </c>
      <c r="M428" s="65" t="str">
        <f ca="1">IF($D428="","",IF($C428="TANIMSIZ MÜŞTERİ","HATA",IF(OR($E428="",$F428&lt;=0,$G428=""),"EKSİK",IF($E428&gt;TODAY(),"İLERİ TARİH",IF(COUNTIF($S$7:$S$2503,$S428)&gt;1,"MÜKERRER?",IF($T428&gt;0,"KAPALI DÖNEM","UYGUN"))))))</f>
        <v>UYGUN</v>
      </c>
      <c r="N428" s="74" t="str">
        <f>IF($C428="","",IF($C428="TANIMSIZ MÜŞTERİ","—",INDEX(MUSTERILER!$C$7:$C$156,MATCH($C428,MUSTERILER!$B$7:$B$156,0))))</f>
        <v>PAKYILDIZ LTD.ŞTİ.</v>
      </c>
      <c r="O428" s="2"/>
      <c r="P428" s="2"/>
      <c r="Q428" s="1" t="str">
        <f>IF($D428="","",$C428&amp;"|"&amp;COUNTIFS($C$7:$C428,$C428))</f>
        <v>M009|21</v>
      </c>
      <c r="R428" s="1" t="str">
        <f t="shared" si="12"/>
        <v>PAKYILDIZLTDSTI</v>
      </c>
      <c r="S428" s="1" t="str">
        <f t="shared" si="13"/>
        <v>M009|46200|4000|</v>
      </c>
      <c r="T428" s="1">
        <f>IF($E428="",0,SUMPRODUCT((AY_SONU!$O$7:$O$42="Evet")*(AY_SONU!$B$7:$B$42=DATE(YEAR($E428),MONTH($E428),1))))</f>
        <v>0</v>
      </c>
      <c r="U428" s="1" t="str">
        <f>IF(OR($G428="",$H428="Mahsup"),"",$G428&amp;"|"&amp;COUNTIFS($G$7:$G428,$G428,$H$7:$H428,"&lt;&gt;Mahsup"))</f>
        <v>MERKEZ KASA|336</v>
      </c>
    </row>
    <row r="429" spans="1:21" ht="18" customHeight="1" x14ac:dyDescent="0.3">
      <c r="A429" s="2"/>
      <c r="B429" s="65" t="str">
        <f>IF($D429="","","T"&amp;TEXT(ROW()-6,"00000"))</f>
        <v>T00423</v>
      </c>
      <c r="C429" s="65" t="str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>M016</v>
      </c>
      <c r="D429" s="61" t="s">
        <v>736</v>
      </c>
      <c r="E429" s="66">
        <v>46200</v>
      </c>
      <c r="F429" s="67">
        <v>3000</v>
      </c>
      <c r="G429" s="60" t="s">
        <v>717</v>
      </c>
      <c r="H429" s="60" t="s">
        <v>572</v>
      </c>
      <c r="I429" s="61"/>
      <c r="J429" s="61" t="s">
        <v>720</v>
      </c>
      <c r="K429" s="61"/>
      <c r="L429" s="73">
        <f>IF($E429="","",DATE(YEAR($E429),MONTH($E429),1))</f>
        <v>46174</v>
      </c>
      <c r="M429" s="65" t="str">
        <f ca="1">IF($D429="","",IF($C429="TANIMSIZ MÜŞTERİ","HATA",IF(OR($E429="",$F429&lt;=0,$G429=""),"EKSİK",IF($E429&gt;TODAY(),"İLERİ TARİH",IF(COUNTIF($S$7:$S$2503,$S429)&gt;1,"MÜKERRER?",IF($T429&gt;0,"KAPALI DÖNEM","UYGUN"))))))</f>
        <v>UYGUN</v>
      </c>
      <c r="N429" s="74" t="str">
        <f>IF($C429="","",IF($C429="TANIMSIZ MÜŞTERİ","—",INDEX(MUSTERILER!$C$7:$C$156,MATCH($C429,MUSTERILER!$B$7:$B$156,0))))</f>
        <v>RİX ŞOW LTD.ŞTİ.</v>
      </c>
      <c r="O429" s="2"/>
      <c r="P429" s="2"/>
      <c r="Q429" s="1" t="str">
        <f>IF($D429="","",$C429&amp;"|"&amp;COUNTIFS($C$7:$C429,$C429))</f>
        <v>M016|24</v>
      </c>
      <c r="R429" s="1" t="str">
        <f t="shared" si="12"/>
        <v>RIXSOWLTDSTI</v>
      </c>
      <c r="S429" s="1" t="str">
        <f t="shared" si="13"/>
        <v>M016|46200|3000|</v>
      </c>
      <c r="T429" s="1">
        <f>IF($E429="",0,SUMPRODUCT((AY_SONU!$O$7:$O$42="Evet")*(AY_SONU!$B$7:$B$42=DATE(YEAR($E429),MONTH($E429),1))))</f>
        <v>0</v>
      </c>
      <c r="U429" s="1" t="str">
        <f>IF(OR($G429="",$H429="Mahsup"),"",$G429&amp;"|"&amp;COUNTIFS($G$7:$G429,$G429,$H$7:$H429,"&lt;&gt;Mahsup"))</f>
        <v>MERKEZ KASA|337</v>
      </c>
    </row>
    <row r="430" spans="1:21" ht="18" customHeight="1" x14ac:dyDescent="0.3">
      <c r="A430" s="2"/>
      <c r="B430" s="65" t="str">
        <f>IF($D430="","","T"&amp;TEXT(ROW()-6,"00000"))</f>
        <v>T00424</v>
      </c>
      <c r="C430" s="65" t="str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>M020</v>
      </c>
      <c r="D430" s="61" t="s">
        <v>623</v>
      </c>
      <c r="E430" s="66">
        <v>46200</v>
      </c>
      <c r="F430" s="67">
        <v>3000</v>
      </c>
      <c r="G430" s="60" t="s">
        <v>717</v>
      </c>
      <c r="H430" s="60" t="s">
        <v>572</v>
      </c>
      <c r="I430" s="61"/>
      <c r="J430" s="61" t="s">
        <v>720</v>
      </c>
      <c r="K430" s="61"/>
      <c r="L430" s="73">
        <f>IF($E430="","",DATE(YEAR($E430),MONTH($E430),1))</f>
        <v>46174</v>
      </c>
      <c r="M430" s="65" t="str">
        <f ca="1">IF($D430="","",IF($C430="TANIMSIZ MÜŞTERİ","HATA",IF(OR($E430="",$F430&lt;=0,$G430=""),"EKSİK",IF($E430&gt;TODAY(),"İLERİ TARİH",IF(COUNTIF($S$7:$S$2503,$S430)&gt;1,"MÜKERRER?",IF($T430&gt;0,"KAPALI DÖNEM","UYGUN"))))))</f>
        <v>UYGUN</v>
      </c>
      <c r="N430" s="74" t="str">
        <f>IF($C430="","",IF($C430="TANIMSIZ MÜŞTERİ","—",INDEX(MUSTERILER!$C$7:$C$156,MATCH($C430,MUSTERILER!$B$7:$B$156,0))))</f>
        <v>KRİSTAL LTD.ŞTİ.</v>
      </c>
      <c r="O430" s="2"/>
      <c r="P430" s="2"/>
      <c r="Q430" s="1" t="str">
        <f>IF($D430="","",$C430&amp;"|"&amp;COUNTIFS($C$7:$C430,$C430))</f>
        <v>M020|25</v>
      </c>
      <c r="R430" s="1" t="str">
        <f t="shared" si="12"/>
        <v>KRISTALLTDSTI</v>
      </c>
      <c r="S430" s="1" t="str">
        <f t="shared" si="13"/>
        <v>M020|46200|3000|</v>
      </c>
      <c r="T430" s="1">
        <f>IF($E430="",0,SUMPRODUCT((AY_SONU!$O$7:$O$42="Evet")*(AY_SONU!$B$7:$B$42=DATE(YEAR($E430),MONTH($E430),1))))</f>
        <v>0</v>
      </c>
      <c r="U430" s="1" t="str">
        <f>IF(OR($G430="",$H430="Mahsup"),"",$G430&amp;"|"&amp;COUNTIFS($G$7:$G430,$G430,$H$7:$H430,"&lt;&gt;Mahsup"))</f>
        <v>MERKEZ KASA|338</v>
      </c>
    </row>
    <row r="431" spans="1:21" ht="18" customHeight="1" x14ac:dyDescent="0.3">
      <c r="A431" s="2"/>
      <c r="B431" s="65" t="str">
        <f>IF($D431="","","T"&amp;TEXT(ROW()-6,"00000"))</f>
        <v>T00425</v>
      </c>
      <c r="C431" s="65" t="str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>M054</v>
      </c>
      <c r="D431" s="61" t="s">
        <v>674</v>
      </c>
      <c r="E431" s="66">
        <v>46200</v>
      </c>
      <c r="F431" s="67">
        <v>4000</v>
      </c>
      <c r="G431" s="60" t="s">
        <v>717</v>
      </c>
      <c r="H431" s="60" t="s">
        <v>572</v>
      </c>
      <c r="I431" s="61"/>
      <c r="J431" s="61" t="s">
        <v>720</v>
      </c>
      <c r="K431" s="61"/>
      <c r="L431" s="73">
        <f>IF($E431="","",DATE(YEAR($E431),MONTH($E431),1))</f>
        <v>46174</v>
      </c>
      <c r="M431" s="65" t="str">
        <f ca="1">IF($D431="","",IF($C431="TANIMSIZ MÜŞTERİ","HATA",IF(OR($E431="",$F431&lt;=0,$G431=""),"EKSİK",IF($E431&gt;TODAY(),"İLERİ TARİH",IF(COUNTIF($S$7:$S$2503,$S431)&gt;1,"MÜKERRER?",IF($T431&gt;0,"KAPALI DÖNEM","UYGUN"))))))</f>
        <v>UYGUN</v>
      </c>
      <c r="N431" s="74" t="str">
        <f>IF($C431="","",IF($C431="TANIMSIZ MÜŞTERİ","—",INDEX(MUSTERILER!$C$7:$C$156,MATCH($C431,MUSTERILER!$B$7:$B$156,0))))</f>
        <v>YALIKENT LTD.ŞTİ.</v>
      </c>
      <c r="O431" s="2"/>
      <c r="P431" s="2"/>
      <c r="Q431" s="1" t="str">
        <f>IF($D431="","",$C431&amp;"|"&amp;COUNTIFS($C$7:$C431,$C431))</f>
        <v>M054|15</v>
      </c>
      <c r="R431" s="1" t="str">
        <f t="shared" si="12"/>
        <v>YALIKENTLTDSTI</v>
      </c>
      <c r="S431" s="1" t="str">
        <f t="shared" si="13"/>
        <v>M054|46200|4000|</v>
      </c>
      <c r="T431" s="1">
        <f>IF($E431="",0,SUMPRODUCT((AY_SONU!$O$7:$O$42="Evet")*(AY_SONU!$B$7:$B$42=DATE(YEAR($E431),MONTH($E431),1))))</f>
        <v>0</v>
      </c>
      <c r="U431" s="1" t="str">
        <f>IF(OR($G431="",$H431="Mahsup"),"",$G431&amp;"|"&amp;COUNTIFS($G$7:$G431,$G431,$H$7:$H431,"&lt;&gt;Mahsup"))</f>
        <v>MERKEZ KASA|339</v>
      </c>
    </row>
    <row r="432" spans="1:21" ht="18" customHeight="1" x14ac:dyDescent="0.3">
      <c r="A432" s="2"/>
      <c r="B432" s="65" t="str">
        <f>IF($D432="","","T"&amp;TEXT(ROW()-6,"00000"))</f>
        <v>T00426</v>
      </c>
      <c r="C432" s="65" t="str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>M053</v>
      </c>
      <c r="D432" s="61" t="s">
        <v>676</v>
      </c>
      <c r="E432" s="66">
        <v>46203</v>
      </c>
      <c r="F432" s="67">
        <v>6000</v>
      </c>
      <c r="G432" s="60" t="s">
        <v>717</v>
      </c>
      <c r="H432" s="60" t="s">
        <v>572</v>
      </c>
      <c r="I432" s="61"/>
      <c r="J432" s="61" t="s">
        <v>720</v>
      </c>
      <c r="K432" s="61"/>
      <c r="L432" s="73">
        <f>IF($E432="","",DATE(YEAR($E432),MONTH($E432),1))</f>
        <v>46174</v>
      </c>
      <c r="M432" s="65" t="str">
        <f ca="1">IF($D432="","",IF($C432="TANIMSIZ MÜŞTERİ","HATA",IF(OR($E432="",$F432&lt;=0,$G432=""),"EKSİK",IF($E432&gt;TODAY(),"İLERİ TARİH",IF(COUNTIF($S$7:$S$2503,$S432)&gt;1,"MÜKERRER?",IF($T432&gt;0,"KAPALI DÖNEM","UYGUN"))))))</f>
        <v>UYGUN</v>
      </c>
      <c r="N432" s="74" t="str">
        <f>IF($C432="","",IF($C432="TANIMSIZ MÜŞTERİ","—",INDEX(MUSTERILER!$C$7:$C$156,MATCH($C432,MUSTERILER!$B$7:$B$156,0))))</f>
        <v>YEDİYİRMİDÖRT LTD.ŞTİ.</v>
      </c>
      <c r="O432" s="2"/>
      <c r="P432" s="2"/>
      <c r="Q432" s="1" t="str">
        <f>IF($D432="","",$C432&amp;"|"&amp;COUNTIFS($C$7:$C432,$C432))</f>
        <v>M053|4</v>
      </c>
      <c r="R432" s="1" t="str">
        <f t="shared" si="12"/>
        <v>YEDIYIRMIDORTLTDSTI</v>
      </c>
      <c r="S432" s="1" t="str">
        <f t="shared" si="13"/>
        <v>M053|46203|6000|</v>
      </c>
      <c r="T432" s="1">
        <f>IF($E432="",0,SUMPRODUCT((AY_SONU!$O$7:$O$42="Evet")*(AY_SONU!$B$7:$B$42=DATE(YEAR($E432),MONTH($E432),1))))</f>
        <v>0</v>
      </c>
      <c r="U432" s="1" t="str">
        <f>IF(OR($G432="",$H432="Mahsup"),"",$G432&amp;"|"&amp;COUNTIFS($G$7:$G432,$G432,$H$7:$H432,"&lt;&gt;Mahsup"))</f>
        <v>MERKEZ KASA|340</v>
      </c>
    </row>
    <row r="433" spans="1:21" ht="18" customHeight="1" x14ac:dyDescent="0.3">
      <c r="A433" s="2"/>
      <c r="B433" s="65" t="str">
        <f>IF($D433="","","T"&amp;TEXT(ROW()-6,"00000"))</f>
        <v>T00427</v>
      </c>
      <c r="C433" s="65" t="str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>M023</v>
      </c>
      <c r="D433" s="61" t="s">
        <v>576</v>
      </c>
      <c r="E433" s="66">
        <v>46204</v>
      </c>
      <c r="F433" s="67">
        <v>12000</v>
      </c>
      <c r="G433" s="60" t="s">
        <v>723</v>
      </c>
      <c r="H433" s="60" t="s">
        <v>572</v>
      </c>
      <c r="I433" s="61"/>
      <c r="J433" s="61" t="s">
        <v>725</v>
      </c>
      <c r="K433" s="61"/>
      <c r="L433" s="73">
        <f>IF($E433="","",DATE(YEAR($E433),MONTH($E433),1))</f>
        <v>46204</v>
      </c>
      <c r="M433" s="65" t="str">
        <f ca="1">IF($D433="","",IF($C433="TANIMSIZ MÜŞTERİ","HATA",IF(OR($E433="",$F433&lt;=0,$G433=""),"EKSİK",IF($E433&gt;TODAY(),"İLERİ TARİH",IF(COUNTIF($S$7:$S$2503,$S433)&gt;1,"MÜKERRER?",IF($T433&gt;0,"KAPALI DÖNEM","UYGUN"))))))</f>
        <v>UYGUN</v>
      </c>
      <c r="N433" s="74" t="str">
        <f>IF($C433="","",IF($C433="TANIMSIZ MÜŞTERİ","—",INDEX(MUSTERILER!$C$7:$C$156,MATCH($C433,MUSTERILER!$B$7:$B$156,0))))</f>
        <v>ALTINEL LTD.ŞTİ.</v>
      </c>
      <c r="O433" s="2"/>
      <c r="P433" s="2"/>
      <c r="Q433" s="1" t="str">
        <f>IF($D433="","",$C433&amp;"|"&amp;COUNTIFS($C$7:$C433,$C433))</f>
        <v>M023|7</v>
      </c>
      <c r="R433" s="1" t="str">
        <f t="shared" si="12"/>
        <v>ALTINELLTDSTI</v>
      </c>
      <c r="S433" s="1" t="str">
        <f t="shared" si="13"/>
        <v>M023|46204|12000|</v>
      </c>
      <c r="T433" s="1">
        <f>IF($E433="",0,SUMPRODUCT((AY_SONU!$O$7:$O$42="Evet")*(AY_SONU!$B$7:$B$42=DATE(YEAR($E433),MONTH($E433),1))))</f>
        <v>0</v>
      </c>
      <c r="U433" s="1" t="str">
        <f>IF(OR($G433="",$H433="Mahsup"),"",$G433&amp;"|"&amp;COUNTIFS($G$7:$G433,$G433,$H$7:$H433,"&lt;&gt;Mahsup"))</f>
        <v>ÖMER KARTAL|87</v>
      </c>
    </row>
    <row r="434" spans="1:21" ht="18" customHeight="1" x14ac:dyDescent="0.3">
      <c r="A434" s="2"/>
      <c r="B434" s="65" t="str">
        <f>IF($D434="","","T"&amp;TEXT(ROW()-6,"00000"))</f>
        <v>T00428</v>
      </c>
      <c r="C434" s="65" t="str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>M027</v>
      </c>
      <c r="D434" s="61" t="s">
        <v>591</v>
      </c>
      <c r="E434" s="66">
        <v>46204</v>
      </c>
      <c r="F434" s="67">
        <v>2500</v>
      </c>
      <c r="G434" s="60" t="s">
        <v>717</v>
      </c>
      <c r="H434" s="60" t="s">
        <v>572</v>
      </c>
      <c r="I434" s="61"/>
      <c r="J434" s="61" t="s">
        <v>1316</v>
      </c>
      <c r="K434" s="61"/>
      <c r="L434" s="73">
        <f>IF($E434="","",DATE(YEAR($E434),MONTH($E434),1))</f>
        <v>46204</v>
      </c>
      <c r="M434" s="65" t="str">
        <f ca="1">IF($D434="","",IF($C434="TANIMSIZ MÜŞTERİ","HATA",IF(OR($E434="",$F434&lt;=0,$G434=""),"EKSİK",IF($E434&gt;TODAY(),"İLERİ TARİH",IF(COUNTIF($S$7:$S$2503,$S434)&gt;1,"MÜKERRER?",IF($T434&gt;0,"KAPALI DÖNEM","UYGUN"))))))</f>
        <v>UYGUN</v>
      </c>
      <c r="N434" s="74" t="str">
        <f>IF($C434="","",IF($C434="TANIMSIZ MÜŞTERİ","—",INDEX(MUSTERILER!$C$7:$C$156,MATCH($C434,MUSTERILER!$B$7:$B$156,0))))</f>
        <v>CEREN DEMİRCİ</v>
      </c>
      <c r="O434" s="2"/>
      <c r="P434" s="2"/>
      <c r="Q434" s="1" t="str">
        <f>IF($D434="","",$C434&amp;"|"&amp;COUNTIFS($C$7:$C434,$C434))</f>
        <v>M027|5</v>
      </c>
      <c r="R434" s="1" t="str">
        <f t="shared" si="12"/>
        <v>CERENDEMIRCI</v>
      </c>
      <c r="S434" s="1" t="str">
        <f t="shared" si="13"/>
        <v>M027|46204|2500|</v>
      </c>
      <c r="T434" s="1">
        <f>IF($E434="",0,SUMPRODUCT((AY_SONU!$O$7:$O$42="Evet")*(AY_SONU!$B$7:$B$42=DATE(YEAR($E434),MONTH($E434),1))))</f>
        <v>0</v>
      </c>
      <c r="U434" s="1" t="str">
        <f>IF(OR($G434="",$H434="Mahsup"),"",$G434&amp;"|"&amp;COUNTIFS($G$7:$G434,$G434,$H$7:$H434,"&lt;&gt;Mahsup"))</f>
        <v>MERKEZ KASA|341</v>
      </c>
    </row>
    <row r="435" spans="1:21" ht="18" customHeight="1" x14ac:dyDescent="0.3">
      <c r="A435" s="2"/>
      <c r="B435" s="65" t="str">
        <f>IF($D435="","","T"&amp;TEXT(ROW()-6,"00000"))</f>
        <v>T00429</v>
      </c>
      <c r="C435" s="65" t="str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>M025</v>
      </c>
      <c r="D435" s="61" t="s">
        <v>583</v>
      </c>
      <c r="E435" s="66">
        <v>46207</v>
      </c>
      <c r="F435" s="67">
        <v>2000</v>
      </c>
      <c r="G435" s="60" t="s">
        <v>723</v>
      </c>
      <c r="H435" s="60" t="s">
        <v>572</v>
      </c>
      <c r="I435" s="61"/>
      <c r="J435" s="61" t="s">
        <v>720</v>
      </c>
      <c r="K435" s="61"/>
      <c r="L435" s="73">
        <f>IF($E435="","",DATE(YEAR($E435),MONTH($E435),1))</f>
        <v>46204</v>
      </c>
      <c r="M435" s="65" t="str">
        <f ca="1">IF($D435="","",IF($C435="TANIMSIZ MÜŞTERİ","HATA",IF(OR($E435="",$F435&lt;=0,$G435=""),"EKSİK",IF($E435&gt;TODAY(),"İLERİ TARİH",IF(COUNTIF($S$7:$S$2503,$S435)&gt;1,"MÜKERRER?",IF($T435&gt;0,"KAPALI DÖNEM","UYGUN"))))))</f>
        <v>UYGUN</v>
      </c>
      <c r="N435" s="74" t="str">
        <f>IF($C435="","",IF($C435="TANIMSIZ MÜŞTERİ","—",INDEX(MUSTERILER!$C$7:$C$156,MATCH($C435,MUSTERILER!$B$7:$B$156,0))))</f>
        <v>ASIM AÇIKGÖZ</v>
      </c>
      <c r="O435" s="2"/>
      <c r="P435" s="2"/>
      <c r="Q435" s="1" t="str">
        <f>IF($D435="","",$C435&amp;"|"&amp;COUNTIFS($C$7:$C435,$C435))</f>
        <v>M025|22</v>
      </c>
      <c r="R435" s="1" t="str">
        <f t="shared" si="12"/>
        <v>ASIMACIKGOZ</v>
      </c>
      <c r="S435" s="1" t="str">
        <f t="shared" si="13"/>
        <v>M025|46207|2000|</v>
      </c>
      <c r="T435" s="1">
        <f>IF($E435="",0,SUMPRODUCT((AY_SONU!$O$7:$O$42="Evet")*(AY_SONU!$B$7:$B$42=DATE(YEAR($E435),MONTH($E435),1))))</f>
        <v>0</v>
      </c>
      <c r="U435" s="1" t="str">
        <f>IF(OR($G435="",$H435="Mahsup"),"",$G435&amp;"|"&amp;COUNTIFS($G$7:$G435,$G435,$H$7:$H435,"&lt;&gt;Mahsup"))</f>
        <v>ÖMER KARTAL|88</v>
      </c>
    </row>
    <row r="436" spans="1:21" ht="18" customHeight="1" x14ac:dyDescent="0.3">
      <c r="A436" s="2"/>
      <c r="B436" s="65" t="str">
        <f>IF($D436="","","T"&amp;TEXT(ROW()-6,"00000"))</f>
        <v>T00430</v>
      </c>
      <c r="C436" s="65" t="str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>M017</v>
      </c>
      <c r="D436" s="61" t="s">
        <v>585</v>
      </c>
      <c r="E436" s="66">
        <v>46207</v>
      </c>
      <c r="F436" s="67">
        <v>2500</v>
      </c>
      <c r="G436" s="60" t="s">
        <v>723</v>
      </c>
      <c r="H436" s="60" t="s">
        <v>572</v>
      </c>
      <c r="I436" s="61"/>
      <c r="J436" s="61" t="s">
        <v>720</v>
      </c>
      <c r="K436" s="61"/>
      <c r="L436" s="73">
        <f>IF($E436="","",DATE(YEAR($E436),MONTH($E436),1))</f>
        <v>46204</v>
      </c>
      <c r="M436" s="65" t="str">
        <f ca="1">IF($D436="","",IF($C436="TANIMSIZ MÜŞTERİ","HATA",IF(OR($E436="",$F436&lt;=0,$G436=""),"EKSİK",IF($E436&gt;TODAY(),"İLERİ TARİH",IF(COUNTIF($S$7:$S$2503,$S436)&gt;1,"MÜKERRER?",IF($T436&gt;0,"KAPALI DÖNEM","UYGUN"))))))</f>
        <v>UYGUN</v>
      </c>
      <c r="N436" s="74" t="str">
        <f>IF($C436="","",IF($C436="TANIMSIZ MÜŞTERİ","—",INDEX(MUSTERILER!$C$7:$C$156,MATCH($C436,MUSTERILER!$B$7:$B$156,0))))</f>
        <v>ASM EĞLENCE LTD.ŞTİ.</v>
      </c>
      <c r="O436" s="2"/>
      <c r="P436" s="2"/>
      <c r="Q436" s="1" t="str">
        <f>IF($D436="","",$C436&amp;"|"&amp;COUNTIFS($C$7:$C436,$C436))</f>
        <v>M017|23</v>
      </c>
      <c r="R436" s="1" t="str">
        <f t="shared" si="12"/>
        <v>ASMEGLENCELTDSTI</v>
      </c>
      <c r="S436" s="1" t="str">
        <f t="shared" si="13"/>
        <v>M017|46207|2500|</v>
      </c>
      <c r="T436" s="1">
        <f>IF($E436="",0,SUMPRODUCT((AY_SONU!$O$7:$O$42="Evet")*(AY_SONU!$B$7:$B$42=DATE(YEAR($E436),MONTH($E436),1))))</f>
        <v>0</v>
      </c>
      <c r="U436" s="1" t="str">
        <f>IF(OR($G436="",$H436="Mahsup"),"",$G436&amp;"|"&amp;COUNTIFS($G$7:$G436,$G436,$H$7:$H436,"&lt;&gt;Mahsup"))</f>
        <v>ÖMER KARTAL|89</v>
      </c>
    </row>
    <row r="437" spans="1:21" ht="18" customHeight="1" x14ac:dyDescent="0.3">
      <c r="A437" s="2"/>
      <c r="B437" s="65" t="str">
        <f>IF($D437="","","T"&amp;TEXT(ROW()-6,"00000"))</f>
        <v>T00431</v>
      </c>
      <c r="C437" s="65" t="str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>M015</v>
      </c>
      <c r="D437" s="61" t="s">
        <v>719</v>
      </c>
      <c r="E437" s="66">
        <v>46207</v>
      </c>
      <c r="F437" s="67">
        <v>3000</v>
      </c>
      <c r="G437" s="60" t="s">
        <v>723</v>
      </c>
      <c r="H437" s="60" t="s">
        <v>572</v>
      </c>
      <c r="I437" s="61"/>
      <c r="J437" s="61" t="s">
        <v>724</v>
      </c>
      <c r="K437" s="61"/>
      <c r="L437" s="73">
        <f>IF($E437="","",DATE(YEAR($E437),MONTH($E437),1))</f>
        <v>46204</v>
      </c>
      <c r="M437" s="65" t="str">
        <f ca="1">IF($D437="","",IF($C437="TANIMSIZ MÜŞTERİ","HATA",IF(OR($E437="",$F437&lt;=0,$G437=""),"EKSİK",IF($E437&gt;TODAY(),"İLERİ TARİH",IF(COUNTIF($S$7:$S$2503,$S437)&gt;1,"MÜKERRER?",IF($T437&gt;0,"KAPALI DÖNEM","UYGUN"))))))</f>
        <v>UYGUN</v>
      </c>
      <c r="N437" s="74" t="str">
        <f>IF($C437="","",IF($C437="TANIMSIZ MÜŞTERİ","—",INDEX(MUSTERILER!$C$7:$C$156,MATCH($C437,MUSTERILER!$B$7:$B$156,0))))</f>
        <v>ÇAYIRALAN LTD.ŞTİ.</v>
      </c>
      <c r="O437" s="2"/>
      <c r="P437" s="2"/>
      <c r="Q437" s="1" t="str">
        <f>IF($D437="","",$C437&amp;"|"&amp;COUNTIFS($C$7:$C437,$C437))</f>
        <v>M015|24</v>
      </c>
      <c r="R437" s="1" t="str">
        <f t="shared" si="12"/>
        <v>CAYIRALANLTDSTI</v>
      </c>
      <c r="S437" s="1" t="str">
        <f t="shared" si="13"/>
        <v>M015|46207|3000|</v>
      </c>
      <c r="T437" s="1">
        <f>IF($E437="",0,SUMPRODUCT((AY_SONU!$O$7:$O$42="Evet")*(AY_SONU!$B$7:$B$42=DATE(YEAR($E437),MONTH($E437),1))))</f>
        <v>0</v>
      </c>
      <c r="U437" s="1" t="str">
        <f>IF(OR($G437="",$H437="Mahsup"),"",$G437&amp;"|"&amp;COUNTIFS($G$7:$G437,$G437,$H$7:$H437,"&lt;&gt;Mahsup"))</f>
        <v>ÖMER KARTAL|90</v>
      </c>
    </row>
    <row r="438" spans="1:21" ht="18" customHeight="1" x14ac:dyDescent="0.3">
      <c r="A438" s="2"/>
      <c r="B438" s="65" t="str">
        <f>IF($D438="","","T"&amp;TEXT(ROW()-6,"00000"))</f>
        <v>T00432</v>
      </c>
      <c r="C438" s="65" t="str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>M011</v>
      </c>
      <c r="D438" s="61" t="s">
        <v>730</v>
      </c>
      <c r="E438" s="66">
        <v>46207</v>
      </c>
      <c r="F438" s="67">
        <v>4000</v>
      </c>
      <c r="G438" s="60" t="s">
        <v>723</v>
      </c>
      <c r="H438" s="60" t="s">
        <v>572</v>
      </c>
      <c r="I438" s="61"/>
      <c r="J438" s="61" t="s">
        <v>724</v>
      </c>
      <c r="K438" s="61"/>
      <c r="L438" s="73">
        <f>IF($E438="","",DATE(YEAR($E438),MONTH($E438),1))</f>
        <v>46204</v>
      </c>
      <c r="M438" s="65" t="str">
        <f ca="1">IF($D438="","",IF($C438="TANIMSIZ MÜŞTERİ","HATA",IF(OR($E438="",$F438&lt;=0,$G438=""),"EKSİK",IF($E438&gt;TODAY(),"İLERİ TARİH",IF(COUNTIF($S$7:$S$2503,$S438)&gt;1,"MÜKERRER?",IF($T438&gt;0,"KAPALI DÖNEM","UYGUN"))))))</f>
        <v>UYGUN</v>
      </c>
      <c r="N438" s="74" t="str">
        <f>IF($C438="","",IF($C438="TANIMSIZ MÜŞTERİ","—",INDEX(MUSTERILER!$C$7:$C$156,MATCH($C438,MUSTERILER!$B$7:$B$156,0))))</f>
        <v>EĞLENGÖR LTD.ŞTİ.</v>
      </c>
      <c r="O438" s="2"/>
      <c r="P438" s="2"/>
      <c r="Q438" s="1" t="str">
        <f>IF($D438="","",$C438&amp;"|"&amp;COUNTIFS($C$7:$C438,$C438))</f>
        <v>M011|25</v>
      </c>
      <c r="R438" s="1" t="str">
        <f t="shared" si="12"/>
        <v>EGLENGORLTDSTI</v>
      </c>
      <c r="S438" s="1" t="str">
        <f t="shared" si="13"/>
        <v>M011|46207|4000|</v>
      </c>
      <c r="T438" s="1">
        <f>IF($E438="",0,SUMPRODUCT((AY_SONU!$O$7:$O$42="Evet")*(AY_SONU!$B$7:$B$42=DATE(YEAR($E438),MONTH($E438),1))))</f>
        <v>0</v>
      </c>
      <c r="U438" s="1" t="str">
        <f>IF(OR($G438="",$H438="Mahsup"),"",$G438&amp;"|"&amp;COUNTIFS($G$7:$G438,$G438,$H$7:$H438,"&lt;&gt;Mahsup"))</f>
        <v>ÖMER KARTAL|91</v>
      </c>
    </row>
    <row r="439" spans="1:21" ht="18" customHeight="1" x14ac:dyDescent="0.3">
      <c r="A439" s="2"/>
      <c r="B439" s="65" t="str">
        <f>IF($D439="","","T"&amp;TEXT(ROW()-6,"00000"))</f>
        <v>T00433</v>
      </c>
      <c r="C439" s="65" t="str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>M014</v>
      </c>
      <c r="D439" s="61" t="s">
        <v>731</v>
      </c>
      <c r="E439" s="66">
        <v>46207</v>
      </c>
      <c r="F439" s="67">
        <v>4000</v>
      </c>
      <c r="G439" s="60" t="s">
        <v>723</v>
      </c>
      <c r="H439" s="60" t="s">
        <v>572</v>
      </c>
      <c r="I439" s="61"/>
      <c r="J439" s="61" t="s">
        <v>724</v>
      </c>
      <c r="K439" s="61"/>
      <c r="L439" s="73">
        <f>IF($E439="","",DATE(YEAR($E439),MONTH($E439),1))</f>
        <v>46204</v>
      </c>
      <c r="M439" s="65" t="str">
        <f ca="1">IF($D439="","",IF($C439="TANIMSIZ MÜŞTERİ","HATA",IF(OR($E439="",$F439&lt;=0,$G439=""),"EKSİK",IF($E439&gt;TODAY(),"İLERİ TARİH",IF(COUNTIF($S$7:$S$2503,$S439)&gt;1,"MÜKERRER?",IF($T439&gt;0,"KAPALI DÖNEM","UYGUN"))))))</f>
        <v>UYGUN</v>
      </c>
      <c r="N439" s="74" t="str">
        <f>IF($C439="","",IF($C439="TANIMSIZ MÜŞTERİ","—",INDEX(MUSTERILER!$C$7:$C$156,MATCH($C439,MUSTERILER!$B$7:$B$156,0))))</f>
        <v>FİNAL SİYAH BEYAZ LTD.ŞTİ.</v>
      </c>
      <c r="O439" s="2"/>
      <c r="P439" s="2"/>
      <c r="Q439" s="1" t="str">
        <f>IF($D439="","",$C439&amp;"|"&amp;COUNTIFS($C$7:$C439,$C439))</f>
        <v>M014|24</v>
      </c>
      <c r="R439" s="1" t="str">
        <f t="shared" si="12"/>
        <v>FINALSIYAHBEYAZLTDSTI</v>
      </c>
      <c r="S439" s="1" t="str">
        <f t="shared" si="13"/>
        <v>M014|46207|4000|</v>
      </c>
      <c r="T439" s="1">
        <f>IF($E439="",0,SUMPRODUCT((AY_SONU!$O$7:$O$42="Evet")*(AY_SONU!$B$7:$B$42=DATE(YEAR($E439),MONTH($E439),1))))</f>
        <v>0</v>
      </c>
      <c r="U439" s="1" t="str">
        <f>IF(OR($G439="",$H439="Mahsup"),"",$G439&amp;"|"&amp;COUNTIFS($G$7:$G439,$G439,$H$7:$H439,"&lt;&gt;Mahsup"))</f>
        <v>ÖMER KARTAL|92</v>
      </c>
    </row>
    <row r="440" spans="1:21" ht="18" customHeight="1" x14ac:dyDescent="0.3">
      <c r="A440" s="2"/>
      <c r="B440" s="65" t="str">
        <f>IF($D440="","","T"&amp;TEXT(ROW()-6,"00000"))</f>
        <v>T00434</v>
      </c>
      <c r="C440" s="65" t="str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>M013</v>
      </c>
      <c r="D440" s="61" t="s">
        <v>734</v>
      </c>
      <c r="E440" s="66">
        <v>46207</v>
      </c>
      <c r="F440" s="67">
        <v>2000</v>
      </c>
      <c r="G440" s="60" t="s">
        <v>723</v>
      </c>
      <c r="H440" s="60" t="s">
        <v>572</v>
      </c>
      <c r="I440" s="61"/>
      <c r="J440" s="61" t="s">
        <v>724</v>
      </c>
      <c r="K440" s="61"/>
      <c r="L440" s="73">
        <f>IF($E440="","",DATE(YEAR($E440),MONTH($E440),1))</f>
        <v>46204</v>
      </c>
      <c r="M440" s="65" t="str">
        <f ca="1">IF($D440="","",IF($C440="TANIMSIZ MÜŞTERİ","HATA",IF(OR($E440="",$F440&lt;=0,$G440=""),"EKSİK",IF($E440&gt;TODAY(),"İLERİ TARİH",IF(COUNTIF($S$7:$S$2503,$S440)&gt;1,"MÜKERRER?",IF($T440&gt;0,"KAPALI DÖNEM","UYGUN"))))))</f>
        <v>UYGUN</v>
      </c>
      <c r="N440" s="74" t="str">
        <f>IF($C440="","",IF($C440="TANIMSIZ MÜŞTERİ","—",INDEX(MUSTERILER!$C$7:$C$156,MATCH($C440,MUSTERILER!$B$7:$B$156,0))))</f>
        <v>NAZ 1 GIDA LTD.ŞTİ.</v>
      </c>
      <c r="O440" s="2"/>
      <c r="P440" s="2"/>
      <c r="Q440" s="1" t="str">
        <f>IF($D440="","",$C440&amp;"|"&amp;COUNTIFS($C$7:$C440,$C440))</f>
        <v>M013|17</v>
      </c>
      <c r="R440" s="1" t="str">
        <f t="shared" si="12"/>
        <v>NAZ1GIDALTDSTI</v>
      </c>
      <c r="S440" s="1" t="str">
        <f t="shared" si="13"/>
        <v>M013|46207|2000|</v>
      </c>
      <c r="T440" s="1">
        <f>IF($E440="",0,SUMPRODUCT((AY_SONU!$O$7:$O$42="Evet")*(AY_SONU!$B$7:$B$42=DATE(YEAR($E440),MONTH($E440),1))))</f>
        <v>0</v>
      </c>
      <c r="U440" s="1" t="str">
        <f>IF(OR($G440="",$H440="Mahsup"),"",$G440&amp;"|"&amp;COUNTIFS($G$7:$G440,$G440,$H$7:$H440,"&lt;&gt;Mahsup"))</f>
        <v>ÖMER KARTAL|93</v>
      </c>
    </row>
    <row r="441" spans="1:21" ht="18" customHeight="1" x14ac:dyDescent="0.3">
      <c r="A441" s="2"/>
      <c r="B441" s="65" t="str">
        <f>IF($D441="","","T"&amp;TEXT(ROW()-6,"00000"))</f>
        <v>T00435</v>
      </c>
      <c r="C441" s="65" t="str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>M009</v>
      </c>
      <c r="D441" s="61" t="s">
        <v>735</v>
      </c>
      <c r="E441" s="66">
        <v>46207</v>
      </c>
      <c r="F441" s="67">
        <v>4000</v>
      </c>
      <c r="G441" s="60" t="s">
        <v>723</v>
      </c>
      <c r="H441" s="60" t="s">
        <v>572</v>
      </c>
      <c r="I441" s="61"/>
      <c r="J441" s="61" t="s">
        <v>724</v>
      </c>
      <c r="K441" s="61"/>
      <c r="L441" s="73">
        <f>IF($E441="","",DATE(YEAR($E441),MONTH($E441),1))</f>
        <v>46204</v>
      </c>
      <c r="M441" s="65" t="str">
        <f ca="1">IF($D441="","",IF($C441="TANIMSIZ MÜŞTERİ","HATA",IF(OR($E441="",$F441&lt;=0,$G441=""),"EKSİK",IF($E441&gt;TODAY(),"İLERİ TARİH",IF(COUNTIF($S$7:$S$2503,$S441)&gt;1,"MÜKERRER?",IF($T441&gt;0,"KAPALI DÖNEM","UYGUN"))))))</f>
        <v>UYGUN</v>
      </c>
      <c r="N441" s="74" t="str">
        <f>IF($C441="","",IF($C441="TANIMSIZ MÜŞTERİ","—",INDEX(MUSTERILER!$C$7:$C$156,MATCH($C441,MUSTERILER!$B$7:$B$156,0))))</f>
        <v>PAKYILDIZ LTD.ŞTİ.</v>
      </c>
      <c r="O441" s="2"/>
      <c r="P441" s="2"/>
      <c r="Q441" s="1" t="str">
        <f>IF($D441="","",$C441&amp;"|"&amp;COUNTIFS($C$7:$C441,$C441))</f>
        <v>M009|22</v>
      </c>
      <c r="R441" s="1" t="str">
        <f t="shared" si="12"/>
        <v>PAKYILDIZLTDSTI</v>
      </c>
      <c r="S441" s="1" t="str">
        <f t="shared" si="13"/>
        <v>M009|46207|4000|</v>
      </c>
      <c r="T441" s="1">
        <f>IF($E441="",0,SUMPRODUCT((AY_SONU!$O$7:$O$42="Evet")*(AY_SONU!$B$7:$B$42=DATE(YEAR($E441),MONTH($E441),1))))</f>
        <v>0</v>
      </c>
      <c r="U441" s="1" t="str">
        <f>IF(OR($G441="",$H441="Mahsup"),"",$G441&amp;"|"&amp;COUNTIFS($G$7:$G441,$G441,$H$7:$H441,"&lt;&gt;Mahsup"))</f>
        <v>ÖMER KARTAL|94</v>
      </c>
    </row>
    <row r="442" spans="1:21" ht="18" customHeight="1" x14ac:dyDescent="0.3">
      <c r="A442" s="2"/>
      <c r="B442" s="65" t="str">
        <f>IF($D442="","","T"&amp;TEXT(ROW()-6,"00000"))</f>
        <v>T00436</v>
      </c>
      <c r="C442" s="65" t="str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>M016</v>
      </c>
      <c r="D442" s="61" t="s">
        <v>736</v>
      </c>
      <c r="E442" s="66">
        <v>46207</v>
      </c>
      <c r="F442" s="67">
        <v>3000</v>
      </c>
      <c r="G442" s="60" t="s">
        <v>723</v>
      </c>
      <c r="H442" s="60" t="s">
        <v>572</v>
      </c>
      <c r="I442" s="61"/>
      <c r="J442" s="61" t="s">
        <v>724</v>
      </c>
      <c r="K442" s="61"/>
      <c r="L442" s="73">
        <f>IF($E442="","",DATE(YEAR($E442),MONTH($E442),1))</f>
        <v>46204</v>
      </c>
      <c r="M442" s="65" t="str">
        <f ca="1">IF($D442="","",IF($C442="TANIMSIZ MÜŞTERİ","HATA",IF(OR($E442="",$F442&lt;=0,$G442=""),"EKSİK",IF($E442&gt;TODAY(),"İLERİ TARİH",IF(COUNTIF($S$7:$S$2503,$S442)&gt;1,"MÜKERRER?",IF($T442&gt;0,"KAPALI DÖNEM","UYGUN"))))))</f>
        <v>UYGUN</v>
      </c>
      <c r="N442" s="74" t="str">
        <f>IF($C442="","",IF($C442="TANIMSIZ MÜŞTERİ","—",INDEX(MUSTERILER!$C$7:$C$156,MATCH($C442,MUSTERILER!$B$7:$B$156,0))))</f>
        <v>RİX ŞOW LTD.ŞTİ.</v>
      </c>
      <c r="O442" s="2"/>
      <c r="P442" s="2"/>
      <c r="Q442" s="1" t="str">
        <f>IF($D442="","",$C442&amp;"|"&amp;COUNTIFS($C$7:$C442,$C442))</f>
        <v>M016|25</v>
      </c>
      <c r="R442" s="1" t="str">
        <f t="shared" si="12"/>
        <v>RIXSOWLTDSTI</v>
      </c>
      <c r="S442" s="1" t="str">
        <f t="shared" si="13"/>
        <v>M016|46207|3000|</v>
      </c>
      <c r="T442" s="1">
        <f>IF($E442="",0,SUMPRODUCT((AY_SONU!$O$7:$O$42="Evet")*(AY_SONU!$B$7:$B$42=DATE(YEAR($E442),MONTH($E442),1))))</f>
        <v>0</v>
      </c>
      <c r="U442" s="1" t="str">
        <f>IF(OR($G442="",$H442="Mahsup"),"",$G442&amp;"|"&amp;COUNTIFS($G$7:$G442,$G442,$H$7:$H442,"&lt;&gt;Mahsup"))</f>
        <v>ÖMER KARTAL|95</v>
      </c>
    </row>
    <row r="443" spans="1:21" ht="18" customHeight="1" x14ac:dyDescent="0.3">
      <c r="A443" s="2"/>
      <c r="B443" s="65" t="str">
        <f>IF($D443="","","T"&amp;TEXT(ROW()-6,"00000"))</f>
        <v>T00437</v>
      </c>
      <c r="C443" s="65" t="str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>M054</v>
      </c>
      <c r="D443" s="61" t="s">
        <v>674</v>
      </c>
      <c r="E443" s="66">
        <v>46207</v>
      </c>
      <c r="F443" s="67">
        <v>5000</v>
      </c>
      <c r="G443" s="60" t="s">
        <v>717</v>
      </c>
      <c r="H443" s="60" t="s">
        <v>572</v>
      </c>
      <c r="I443" s="61"/>
      <c r="J443" s="61" t="s">
        <v>742</v>
      </c>
      <c r="K443" s="61"/>
      <c r="L443" s="73">
        <f>IF($E443="","",DATE(YEAR($E443),MONTH($E443),1))</f>
        <v>46204</v>
      </c>
      <c r="M443" s="65" t="str">
        <f ca="1">IF($D443="","",IF($C443="TANIMSIZ MÜŞTERİ","HATA",IF(OR($E443="",$F443&lt;=0,$G443=""),"EKSİK",IF($E443&gt;TODAY(),"İLERİ TARİH",IF(COUNTIF($S$7:$S$2503,$S443)&gt;1,"MÜKERRER?",IF($T443&gt;0,"KAPALI DÖNEM","UYGUN"))))))</f>
        <v>UYGUN</v>
      </c>
      <c r="N443" s="74" t="str">
        <f>IF($C443="","",IF($C443="TANIMSIZ MÜŞTERİ","—",INDEX(MUSTERILER!$C$7:$C$156,MATCH($C443,MUSTERILER!$B$7:$B$156,0))))</f>
        <v>YALIKENT LTD.ŞTİ.</v>
      </c>
      <c r="O443" s="2"/>
      <c r="P443" s="2"/>
      <c r="Q443" s="1" t="str">
        <f>IF($D443="","",$C443&amp;"|"&amp;COUNTIFS($C$7:$C443,$C443))</f>
        <v>M054|16</v>
      </c>
      <c r="R443" s="1" t="str">
        <f t="shared" si="12"/>
        <v>YALIKENTLTDSTI</v>
      </c>
      <c r="S443" s="1" t="str">
        <f t="shared" si="13"/>
        <v>M054|46207|5000|</v>
      </c>
      <c r="T443" s="1">
        <f>IF($E443="",0,SUMPRODUCT((AY_SONU!$O$7:$O$42="Evet")*(AY_SONU!$B$7:$B$42=DATE(YEAR($E443),MONTH($E443),1))))</f>
        <v>0</v>
      </c>
      <c r="U443" s="1" t="str">
        <f>IF(OR($G443="",$H443="Mahsup"),"",$G443&amp;"|"&amp;COUNTIFS($G$7:$G443,$G443,$H$7:$H443,"&lt;&gt;Mahsup"))</f>
        <v>MERKEZ KASA|342</v>
      </c>
    </row>
    <row r="444" spans="1:21" ht="18" customHeight="1" x14ac:dyDescent="0.3">
      <c r="A444" s="2"/>
      <c r="B444" s="65" t="str">
        <f>IF($D444="","","T"&amp;TEXT(ROW()-6,"00000"))</f>
        <v>T00438</v>
      </c>
      <c r="C444" s="65" t="str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>M020</v>
      </c>
      <c r="D444" s="61" t="s">
        <v>623</v>
      </c>
      <c r="E444" s="66">
        <v>46207</v>
      </c>
      <c r="F444" s="67">
        <v>3000</v>
      </c>
      <c r="G444" s="60" t="s">
        <v>717</v>
      </c>
      <c r="H444" s="60" t="s">
        <v>572</v>
      </c>
      <c r="I444" s="61"/>
      <c r="J444" s="61" t="s">
        <v>720</v>
      </c>
      <c r="K444" s="61"/>
      <c r="L444" s="73">
        <f>IF($E444="","",DATE(YEAR($E444),MONTH($E444),1))</f>
        <v>46204</v>
      </c>
      <c r="M444" s="65" t="str">
        <f ca="1">IF($D444="","",IF($C444="TANIMSIZ MÜŞTERİ","HATA",IF(OR($E444="",$F444&lt;=0,$G444=""),"EKSİK",IF($E444&gt;TODAY(),"İLERİ TARİH",IF(COUNTIF($S$7:$S$2503,$S444)&gt;1,"MÜKERRER?",IF($T444&gt;0,"KAPALI DÖNEM","UYGUN"))))))</f>
        <v>UYGUN</v>
      </c>
      <c r="N444" s="74" t="str">
        <f>IF($C444="","",IF($C444="TANIMSIZ MÜŞTERİ","—",INDEX(MUSTERILER!$C$7:$C$156,MATCH($C444,MUSTERILER!$B$7:$B$156,0))))</f>
        <v>KRİSTAL LTD.ŞTİ.</v>
      </c>
      <c r="O444" s="2"/>
      <c r="P444" s="2"/>
      <c r="Q444" s="1" t="str">
        <f>IF($D444="","",$C444&amp;"|"&amp;COUNTIFS($C$7:$C444,$C444))</f>
        <v>M020|26</v>
      </c>
      <c r="R444" s="1" t="str">
        <f t="shared" si="12"/>
        <v>KRISTALLTDSTI</v>
      </c>
      <c r="S444" s="1" t="str">
        <f t="shared" si="13"/>
        <v>M020|46207|3000|</v>
      </c>
      <c r="T444" s="1">
        <f>IF($E444="",0,SUMPRODUCT((AY_SONU!$O$7:$O$42="Evet")*(AY_SONU!$B$7:$B$42=DATE(YEAR($E444),MONTH($E444),1))))</f>
        <v>0</v>
      </c>
      <c r="U444" s="1" t="str">
        <f>IF(OR($G444="",$H444="Mahsup"),"",$G444&amp;"|"&amp;COUNTIFS($G$7:$G444,$G444,$H$7:$H444,"&lt;&gt;Mahsup"))</f>
        <v>MERKEZ KASA|343</v>
      </c>
    </row>
    <row r="445" spans="1:21" ht="18" customHeight="1" x14ac:dyDescent="0.3">
      <c r="A445" s="2"/>
      <c r="B445" s="65" t="str">
        <f>IF($D445="","","T"&amp;TEXT(ROW()-6,"00000"))</f>
        <v>T00439</v>
      </c>
      <c r="C445" s="65" t="str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>M025</v>
      </c>
      <c r="D445" s="61" t="s">
        <v>583</v>
      </c>
      <c r="E445" s="66">
        <v>46214</v>
      </c>
      <c r="F445" s="67">
        <v>2000</v>
      </c>
      <c r="G445" s="60" t="s">
        <v>723</v>
      </c>
      <c r="H445" s="60" t="s">
        <v>572</v>
      </c>
      <c r="I445" s="61"/>
      <c r="J445" s="61" t="s">
        <v>720</v>
      </c>
      <c r="K445" s="61"/>
      <c r="L445" s="73">
        <f>IF($E445="","",DATE(YEAR($E445),MONTH($E445),1))</f>
        <v>46204</v>
      </c>
      <c r="M445" s="65" t="str">
        <f ca="1">IF($D445="","",IF($C445="TANIMSIZ MÜŞTERİ","HATA",IF(OR($E445="",$F445&lt;=0,$G445=""),"EKSİK",IF($E445&gt;TODAY(),"İLERİ TARİH",IF(COUNTIF($S$7:$S$2503,$S445)&gt;1,"MÜKERRER?",IF($T445&gt;0,"KAPALI DÖNEM","UYGUN"))))))</f>
        <v>UYGUN</v>
      </c>
      <c r="N445" s="74" t="str">
        <f>IF($C445="","",IF($C445="TANIMSIZ MÜŞTERİ","—",INDEX(MUSTERILER!$C$7:$C$156,MATCH($C445,MUSTERILER!$B$7:$B$156,0))))</f>
        <v>ASIM AÇIKGÖZ</v>
      </c>
      <c r="O445" s="2"/>
      <c r="P445" s="2"/>
      <c r="Q445" s="1" t="str">
        <f>IF($D445="","",$C445&amp;"|"&amp;COUNTIFS($C$7:$C445,$C445))</f>
        <v>M025|23</v>
      </c>
      <c r="R445" s="1" t="str">
        <f t="shared" si="12"/>
        <v>ASIMACIKGOZ</v>
      </c>
      <c r="S445" s="1" t="str">
        <f t="shared" si="13"/>
        <v>M025|46214|2000|</v>
      </c>
      <c r="T445" s="1">
        <f>IF($E445="",0,SUMPRODUCT((AY_SONU!$O$7:$O$42="Evet")*(AY_SONU!$B$7:$B$42=DATE(YEAR($E445),MONTH($E445),1))))</f>
        <v>0</v>
      </c>
      <c r="U445" s="1" t="str">
        <f>IF(OR($G445="",$H445="Mahsup"),"",$G445&amp;"|"&amp;COUNTIFS($G$7:$G445,$G445,$H$7:$H445,"&lt;&gt;Mahsup"))</f>
        <v>ÖMER KARTAL|96</v>
      </c>
    </row>
    <row r="446" spans="1:21" ht="18" customHeight="1" x14ac:dyDescent="0.3">
      <c r="A446" s="2"/>
      <c r="B446" s="65" t="str">
        <f>IF($D446="","","T"&amp;TEXT(ROW()-6,"00000"))</f>
        <v>T00440</v>
      </c>
      <c r="C446" s="65" t="str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>M017</v>
      </c>
      <c r="D446" s="61" t="s">
        <v>585</v>
      </c>
      <c r="E446" s="66">
        <v>46214</v>
      </c>
      <c r="F446" s="67">
        <v>2500</v>
      </c>
      <c r="G446" s="60" t="s">
        <v>723</v>
      </c>
      <c r="H446" s="60" t="s">
        <v>572</v>
      </c>
      <c r="I446" s="61"/>
      <c r="J446" s="61" t="s">
        <v>720</v>
      </c>
      <c r="K446" s="61"/>
      <c r="L446" s="73">
        <f>IF($E446="","",DATE(YEAR($E446),MONTH($E446),1))</f>
        <v>46204</v>
      </c>
      <c r="M446" s="65" t="str">
        <f ca="1">IF($D446="","",IF($C446="TANIMSIZ MÜŞTERİ","HATA",IF(OR($E446="",$F446&lt;=0,$G446=""),"EKSİK",IF($E446&gt;TODAY(),"İLERİ TARİH",IF(COUNTIF($S$7:$S$2503,$S446)&gt;1,"MÜKERRER?",IF($T446&gt;0,"KAPALI DÖNEM","UYGUN"))))))</f>
        <v>UYGUN</v>
      </c>
      <c r="N446" s="74" t="str">
        <f>IF($C446="","",IF($C446="TANIMSIZ MÜŞTERİ","—",INDEX(MUSTERILER!$C$7:$C$156,MATCH($C446,MUSTERILER!$B$7:$B$156,0))))</f>
        <v>ASM EĞLENCE LTD.ŞTİ.</v>
      </c>
      <c r="O446" s="2"/>
      <c r="P446" s="2"/>
      <c r="Q446" s="1" t="str">
        <f>IF($D446="","",$C446&amp;"|"&amp;COUNTIFS($C$7:$C446,$C446))</f>
        <v>M017|24</v>
      </c>
      <c r="R446" s="1" t="str">
        <f t="shared" si="12"/>
        <v>ASMEGLENCELTDSTI</v>
      </c>
      <c r="S446" s="1" t="str">
        <f t="shared" si="13"/>
        <v>M017|46214|2500|</v>
      </c>
      <c r="T446" s="1">
        <f>IF($E446="",0,SUMPRODUCT((AY_SONU!$O$7:$O$42="Evet")*(AY_SONU!$B$7:$B$42=DATE(YEAR($E446),MONTH($E446),1))))</f>
        <v>0</v>
      </c>
      <c r="U446" s="1" t="str">
        <f>IF(OR($G446="",$H446="Mahsup"),"",$G446&amp;"|"&amp;COUNTIFS($G$7:$G446,$G446,$H$7:$H446,"&lt;&gt;Mahsup"))</f>
        <v>ÖMER KARTAL|97</v>
      </c>
    </row>
    <row r="447" spans="1:21" ht="18" customHeight="1" x14ac:dyDescent="0.3">
      <c r="A447" s="2"/>
      <c r="B447" s="65" t="str">
        <f>IF($D447="","","T"&amp;TEXT(ROW()-6,"00000"))</f>
        <v>T00441</v>
      </c>
      <c r="C447" s="65" t="str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>M015</v>
      </c>
      <c r="D447" s="61" t="s">
        <v>719</v>
      </c>
      <c r="E447" s="66">
        <v>46214</v>
      </c>
      <c r="F447" s="67">
        <v>3000</v>
      </c>
      <c r="G447" s="60" t="s">
        <v>723</v>
      </c>
      <c r="H447" s="60" t="s">
        <v>572</v>
      </c>
      <c r="I447" s="61"/>
      <c r="J447" s="61" t="s">
        <v>724</v>
      </c>
      <c r="K447" s="61"/>
      <c r="L447" s="73">
        <f>IF($E447="","",DATE(YEAR($E447),MONTH($E447),1))</f>
        <v>46204</v>
      </c>
      <c r="M447" s="65" t="str">
        <f ca="1">IF($D447="","",IF($C447="TANIMSIZ MÜŞTERİ","HATA",IF(OR($E447="",$F447&lt;=0,$G447=""),"EKSİK",IF($E447&gt;TODAY(),"İLERİ TARİH",IF(COUNTIF($S$7:$S$2503,$S447)&gt;1,"MÜKERRER?",IF($T447&gt;0,"KAPALI DÖNEM","UYGUN"))))))</f>
        <v>UYGUN</v>
      </c>
      <c r="N447" s="74" t="str">
        <f>IF($C447="","",IF($C447="TANIMSIZ MÜŞTERİ","—",INDEX(MUSTERILER!$C$7:$C$156,MATCH($C447,MUSTERILER!$B$7:$B$156,0))))</f>
        <v>ÇAYIRALAN LTD.ŞTİ.</v>
      </c>
      <c r="O447" s="2"/>
      <c r="P447" s="2"/>
      <c r="Q447" s="1" t="str">
        <f>IF($D447="","",$C447&amp;"|"&amp;COUNTIFS($C$7:$C447,$C447))</f>
        <v>M015|25</v>
      </c>
      <c r="R447" s="1" t="str">
        <f t="shared" si="12"/>
        <v>CAYIRALANLTDSTI</v>
      </c>
      <c r="S447" s="1" t="str">
        <f t="shared" si="13"/>
        <v>M015|46214|3000|</v>
      </c>
      <c r="T447" s="1">
        <f>IF($E447="",0,SUMPRODUCT((AY_SONU!$O$7:$O$42="Evet")*(AY_SONU!$B$7:$B$42=DATE(YEAR($E447),MONTH($E447),1))))</f>
        <v>0</v>
      </c>
      <c r="U447" s="1" t="str">
        <f>IF(OR($G447="",$H447="Mahsup"),"",$G447&amp;"|"&amp;COUNTIFS($G$7:$G447,$G447,$H$7:$H447,"&lt;&gt;Mahsup"))</f>
        <v>ÖMER KARTAL|98</v>
      </c>
    </row>
    <row r="448" spans="1:21" ht="18" customHeight="1" x14ac:dyDescent="0.3">
      <c r="A448" s="2"/>
      <c r="B448" s="65" t="str">
        <f>IF($D448="","","T"&amp;TEXT(ROW()-6,"00000"))</f>
        <v>T00442</v>
      </c>
      <c r="C448" s="65" t="str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>M011</v>
      </c>
      <c r="D448" s="61" t="s">
        <v>730</v>
      </c>
      <c r="E448" s="66">
        <v>46214</v>
      </c>
      <c r="F448" s="67">
        <v>4000</v>
      </c>
      <c r="G448" s="60" t="s">
        <v>723</v>
      </c>
      <c r="H448" s="60" t="s">
        <v>572</v>
      </c>
      <c r="I448" s="61"/>
      <c r="J448" s="61" t="s">
        <v>724</v>
      </c>
      <c r="K448" s="61"/>
      <c r="L448" s="73">
        <f>IF($E448="","",DATE(YEAR($E448),MONTH($E448),1))</f>
        <v>46204</v>
      </c>
      <c r="M448" s="65" t="str">
        <f ca="1">IF($D448="","",IF($C448="TANIMSIZ MÜŞTERİ","HATA",IF(OR($E448="",$F448&lt;=0,$G448=""),"EKSİK",IF($E448&gt;TODAY(),"İLERİ TARİH",IF(COUNTIF($S$7:$S$2503,$S448)&gt;1,"MÜKERRER?",IF($T448&gt;0,"KAPALI DÖNEM","UYGUN"))))))</f>
        <v>UYGUN</v>
      </c>
      <c r="N448" s="74" t="str">
        <f>IF($C448="","",IF($C448="TANIMSIZ MÜŞTERİ","—",INDEX(MUSTERILER!$C$7:$C$156,MATCH($C448,MUSTERILER!$B$7:$B$156,0))))</f>
        <v>EĞLENGÖR LTD.ŞTİ.</v>
      </c>
      <c r="O448" s="2"/>
      <c r="P448" s="2"/>
      <c r="Q448" s="1" t="str">
        <f>IF($D448="","",$C448&amp;"|"&amp;COUNTIFS($C$7:$C448,$C448))</f>
        <v>M011|26</v>
      </c>
      <c r="R448" s="1" t="str">
        <f t="shared" si="12"/>
        <v>EGLENGORLTDSTI</v>
      </c>
      <c r="S448" s="1" t="str">
        <f t="shared" si="13"/>
        <v>M011|46214|4000|</v>
      </c>
      <c r="T448" s="1">
        <f>IF($E448="",0,SUMPRODUCT((AY_SONU!$O$7:$O$42="Evet")*(AY_SONU!$B$7:$B$42=DATE(YEAR($E448),MONTH($E448),1))))</f>
        <v>0</v>
      </c>
      <c r="U448" s="1" t="str">
        <f>IF(OR($G448="",$H448="Mahsup"),"",$G448&amp;"|"&amp;COUNTIFS($G$7:$G448,$G448,$H$7:$H448,"&lt;&gt;Mahsup"))</f>
        <v>ÖMER KARTAL|99</v>
      </c>
    </row>
    <row r="449" spans="1:21" ht="18" customHeight="1" x14ac:dyDescent="0.3">
      <c r="A449" s="2"/>
      <c r="B449" s="65" t="str">
        <f>IF($D449="","","T"&amp;TEXT(ROW()-6,"00000"))</f>
        <v>T00443</v>
      </c>
      <c r="C449" s="65" t="str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>M014</v>
      </c>
      <c r="D449" s="61" t="s">
        <v>731</v>
      </c>
      <c r="E449" s="66">
        <v>46214</v>
      </c>
      <c r="F449" s="67">
        <v>4000</v>
      </c>
      <c r="G449" s="60" t="s">
        <v>723</v>
      </c>
      <c r="H449" s="60" t="s">
        <v>572</v>
      </c>
      <c r="I449" s="61"/>
      <c r="J449" s="61" t="s">
        <v>724</v>
      </c>
      <c r="K449" s="61"/>
      <c r="L449" s="73">
        <f>IF($E449="","",DATE(YEAR($E449),MONTH($E449),1))</f>
        <v>46204</v>
      </c>
      <c r="M449" s="65" t="str">
        <f ca="1">IF($D449="","",IF($C449="TANIMSIZ MÜŞTERİ","HATA",IF(OR($E449="",$F449&lt;=0,$G449=""),"EKSİK",IF($E449&gt;TODAY(),"İLERİ TARİH",IF(COUNTIF($S$7:$S$2503,$S449)&gt;1,"MÜKERRER?",IF($T449&gt;0,"KAPALI DÖNEM","UYGUN"))))))</f>
        <v>UYGUN</v>
      </c>
      <c r="N449" s="74" t="str">
        <f>IF($C449="","",IF($C449="TANIMSIZ MÜŞTERİ","—",INDEX(MUSTERILER!$C$7:$C$156,MATCH($C449,MUSTERILER!$B$7:$B$156,0))))</f>
        <v>FİNAL SİYAH BEYAZ LTD.ŞTİ.</v>
      </c>
      <c r="O449" s="2"/>
      <c r="P449" s="2"/>
      <c r="Q449" s="1" t="str">
        <f>IF($D449="","",$C449&amp;"|"&amp;COUNTIFS($C$7:$C449,$C449))</f>
        <v>M014|25</v>
      </c>
      <c r="R449" s="1" t="str">
        <f t="shared" si="12"/>
        <v>FINALSIYAHBEYAZLTDSTI</v>
      </c>
      <c r="S449" s="1" t="str">
        <f t="shared" si="13"/>
        <v>M014|46214|4000|</v>
      </c>
      <c r="T449" s="1">
        <f>IF($E449="",0,SUMPRODUCT((AY_SONU!$O$7:$O$42="Evet")*(AY_SONU!$B$7:$B$42=DATE(YEAR($E449),MONTH($E449),1))))</f>
        <v>0</v>
      </c>
      <c r="U449" s="1" t="str">
        <f>IF(OR($G449="",$H449="Mahsup"),"",$G449&amp;"|"&amp;COUNTIFS($G$7:$G449,$G449,$H$7:$H449,"&lt;&gt;Mahsup"))</f>
        <v>ÖMER KARTAL|100</v>
      </c>
    </row>
    <row r="450" spans="1:21" ht="18" customHeight="1" x14ac:dyDescent="0.3">
      <c r="A450" s="2"/>
      <c r="B450" s="65" t="str">
        <f>IF($D450="","","T"&amp;TEXT(ROW()-6,"00000"))</f>
        <v>T00444</v>
      </c>
      <c r="C450" s="65" t="str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>M013</v>
      </c>
      <c r="D450" s="61" t="s">
        <v>734</v>
      </c>
      <c r="E450" s="66">
        <v>46214</v>
      </c>
      <c r="F450" s="67">
        <v>2000</v>
      </c>
      <c r="G450" s="60" t="s">
        <v>723</v>
      </c>
      <c r="H450" s="60" t="s">
        <v>572</v>
      </c>
      <c r="I450" s="61"/>
      <c r="J450" s="61" t="s">
        <v>724</v>
      </c>
      <c r="K450" s="61"/>
      <c r="L450" s="73">
        <f>IF($E450="","",DATE(YEAR($E450),MONTH($E450),1))</f>
        <v>46204</v>
      </c>
      <c r="M450" s="65" t="str">
        <f ca="1">IF($D450="","",IF($C450="TANIMSIZ MÜŞTERİ","HATA",IF(OR($E450="",$F450&lt;=0,$G450=""),"EKSİK",IF($E450&gt;TODAY(),"İLERİ TARİH",IF(COUNTIF($S$7:$S$2503,$S450)&gt;1,"MÜKERRER?",IF($T450&gt;0,"KAPALI DÖNEM","UYGUN"))))))</f>
        <v>UYGUN</v>
      </c>
      <c r="N450" s="74" t="str">
        <f>IF($C450="","",IF($C450="TANIMSIZ MÜŞTERİ","—",INDEX(MUSTERILER!$C$7:$C$156,MATCH($C450,MUSTERILER!$B$7:$B$156,0))))</f>
        <v>NAZ 1 GIDA LTD.ŞTİ.</v>
      </c>
      <c r="O450" s="2"/>
      <c r="P450" s="2"/>
      <c r="Q450" s="1" t="str">
        <f>IF($D450="","",$C450&amp;"|"&amp;COUNTIFS($C$7:$C450,$C450))</f>
        <v>M013|18</v>
      </c>
      <c r="R450" s="1" t="str">
        <f t="shared" si="12"/>
        <v>NAZ1GIDALTDSTI</v>
      </c>
      <c r="S450" s="1" t="str">
        <f t="shared" si="13"/>
        <v>M013|46214|2000|</v>
      </c>
      <c r="T450" s="1">
        <f>IF($E450="",0,SUMPRODUCT((AY_SONU!$O$7:$O$42="Evet")*(AY_SONU!$B$7:$B$42=DATE(YEAR($E450),MONTH($E450),1))))</f>
        <v>0</v>
      </c>
      <c r="U450" s="1" t="str">
        <f>IF(OR($G450="",$H450="Mahsup"),"",$G450&amp;"|"&amp;COUNTIFS($G$7:$G450,$G450,$H$7:$H450,"&lt;&gt;Mahsup"))</f>
        <v>ÖMER KARTAL|101</v>
      </c>
    </row>
    <row r="451" spans="1:21" ht="18" customHeight="1" x14ac:dyDescent="0.3">
      <c r="A451" s="2"/>
      <c r="B451" s="65" t="str">
        <f>IF($D451="","","T"&amp;TEXT(ROW()-6,"00000"))</f>
        <v>T00445</v>
      </c>
      <c r="C451" s="65" t="str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>M009</v>
      </c>
      <c r="D451" s="61" t="s">
        <v>735</v>
      </c>
      <c r="E451" s="66">
        <v>46214</v>
      </c>
      <c r="F451" s="67">
        <v>4000</v>
      </c>
      <c r="G451" s="60" t="s">
        <v>723</v>
      </c>
      <c r="H451" s="60" t="s">
        <v>572</v>
      </c>
      <c r="I451" s="61"/>
      <c r="J451" s="61" t="s">
        <v>724</v>
      </c>
      <c r="K451" s="61"/>
      <c r="L451" s="73">
        <f>IF($E451="","",DATE(YEAR($E451),MONTH($E451),1))</f>
        <v>46204</v>
      </c>
      <c r="M451" s="65" t="str">
        <f ca="1">IF($D451="","",IF($C451="TANIMSIZ MÜŞTERİ","HATA",IF(OR($E451="",$F451&lt;=0,$G451=""),"EKSİK",IF($E451&gt;TODAY(),"İLERİ TARİH",IF(COUNTIF($S$7:$S$2503,$S451)&gt;1,"MÜKERRER?",IF($T451&gt;0,"KAPALI DÖNEM","UYGUN"))))))</f>
        <v>UYGUN</v>
      </c>
      <c r="N451" s="74" t="str">
        <f>IF($C451="","",IF($C451="TANIMSIZ MÜŞTERİ","—",INDEX(MUSTERILER!$C$7:$C$156,MATCH($C451,MUSTERILER!$B$7:$B$156,0))))</f>
        <v>PAKYILDIZ LTD.ŞTİ.</v>
      </c>
      <c r="O451" s="2"/>
      <c r="P451" s="2"/>
      <c r="Q451" s="1" t="str">
        <f>IF($D451="","",$C451&amp;"|"&amp;COUNTIFS($C$7:$C451,$C451))</f>
        <v>M009|23</v>
      </c>
      <c r="R451" s="1" t="str">
        <f t="shared" si="12"/>
        <v>PAKYILDIZLTDSTI</v>
      </c>
      <c r="S451" s="1" t="str">
        <f t="shared" si="13"/>
        <v>M009|46214|4000|</v>
      </c>
      <c r="T451" s="1">
        <f>IF($E451="",0,SUMPRODUCT((AY_SONU!$O$7:$O$42="Evet")*(AY_SONU!$B$7:$B$42=DATE(YEAR($E451),MONTH($E451),1))))</f>
        <v>0</v>
      </c>
      <c r="U451" s="1" t="str">
        <f>IF(OR($G451="",$H451="Mahsup"),"",$G451&amp;"|"&amp;COUNTIFS($G$7:$G451,$G451,$H$7:$H451,"&lt;&gt;Mahsup"))</f>
        <v>ÖMER KARTAL|102</v>
      </c>
    </row>
    <row r="452" spans="1:21" ht="18" customHeight="1" x14ac:dyDescent="0.3">
      <c r="A452" s="2"/>
      <c r="B452" s="65" t="str">
        <f>IF($D452="","","T"&amp;TEXT(ROW()-6,"00000"))</f>
        <v>T00446</v>
      </c>
      <c r="C452" s="65" t="str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>M016</v>
      </c>
      <c r="D452" s="61" t="s">
        <v>736</v>
      </c>
      <c r="E452" s="66">
        <v>46214</v>
      </c>
      <c r="F452" s="67">
        <v>3000</v>
      </c>
      <c r="G452" s="60" t="s">
        <v>723</v>
      </c>
      <c r="H452" s="60" t="s">
        <v>572</v>
      </c>
      <c r="I452" s="61"/>
      <c r="J452" s="61" t="s">
        <v>724</v>
      </c>
      <c r="K452" s="61"/>
      <c r="L452" s="73">
        <f>IF($E452="","",DATE(YEAR($E452),MONTH($E452),1))</f>
        <v>46204</v>
      </c>
      <c r="M452" s="65" t="str">
        <f ca="1">IF($D452="","",IF($C452="TANIMSIZ MÜŞTERİ","HATA",IF(OR($E452="",$F452&lt;=0,$G452=""),"EKSİK",IF($E452&gt;TODAY(),"İLERİ TARİH",IF(COUNTIF($S$7:$S$2503,$S452)&gt;1,"MÜKERRER?",IF($T452&gt;0,"KAPALI DÖNEM","UYGUN"))))))</f>
        <v>UYGUN</v>
      </c>
      <c r="N452" s="74" t="str">
        <f>IF($C452="","",IF($C452="TANIMSIZ MÜŞTERİ","—",INDEX(MUSTERILER!$C$7:$C$156,MATCH($C452,MUSTERILER!$B$7:$B$156,0))))</f>
        <v>RİX ŞOW LTD.ŞTİ.</v>
      </c>
      <c r="O452" s="2"/>
      <c r="P452" s="2"/>
      <c r="Q452" s="1" t="str">
        <f>IF($D452="","",$C452&amp;"|"&amp;COUNTIFS($C$7:$C452,$C452))</f>
        <v>M016|26</v>
      </c>
      <c r="R452" s="1" t="str">
        <f t="shared" si="12"/>
        <v>RIXSOWLTDSTI</v>
      </c>
      <c r="S452" s="1" t="str">
        <f t="shared" si="13"/>
        <v>M016|46214|3000|</v>
      </c>
      <c r="T452" s="1">
        <f>IF($E452="",0,SUMPRODUCT((AY_SONU!$O$7:$O$42="Evet")*(AY_SONU!$B$7:$B$42=DATE(YEAR($E452),MONTH($E452),1))))</f>
        <v>0</v>
      </c>
      <c r="U452" s="1" t="str">
        <f>IF(OR($G452="",$H452="Mahsup"),"",$G452&amp;"|"&amp;COUNTIFS($G$7:$G452,$G452,$H$7:$H452,"&lt;&gt;Mahsup"))</f>
        <v>ÖMER KARTAL|103</v>
      </c>
    </row>
    <row r="453" spans="1:21" ht="18" customHeight="1" x14ac:dyDescent="0.3">
      <c r="A453" s="2"/>
      <c r="B453" s="65" t="str">
        <f>IF($D453="","","T"&amp;TEXT(ROW()-6,"00000"))</f>
        <v>T00447</v>
      </c>
      <c r="C453" s="65" t="str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>M020</v>
      </c>
      <c r="D453" s="61" t="s">
        <v>623</v>
      </c>
      <c r="E453" s="66">
        <v>46214</v>
      </c>
      <c r="F453" s="67">
        <v>3000</v>
      </c>
      <c r="G453" s="60" t="s">
        <v>723</v>
      </c>
      <c r="H453" s="60" t="s">
        <v>572</v>
      </c>
      <c r="I453" s="61"/>
      <c r="J453" s="61" t="s">
        <v>720</v>
      </c>
      <c r="K453" s="61"/>
      <c r="L453" s="73">
        <f>IF($E453="","",DATE(YEAR($E453),MONTH($E453),1))</f>
        <v>46204</v>
      </c>
      <c r="M453" s="65" t="str">
        <f ca="1">IF($D453="","",IF($C453="TANIMSIZ MÜŞTERİ","HATA",IF(OR($E453="",$F453&lt;=0,$G453=""),"EKSİK",IF($E453&gt;TODAY(),"İLERİ TARİH",IF(COUNTIF($S$7:$S$2503,$S453)&gt;1,"MÜKERRER?",IF($T453&gt;0,"KAPALI DÖNEM","UYGUN"))))))</f>
        <v>UYGUN</v>
      </c>
      <c r="N453" s="74" t="str">
        <f>IF($C453="","",IF($C453="TANIMSIZ MÜŞTERİ","—",INDEX(MUSTERILER!$C$7:$C$156,MATCH($C453,MUSTERILER!$B$7:$B$156,0))))</f>
        <v>KRİSTAL LTD.ŞTİ.</v>
      </c>
      <c r="O453" s="2"/>
      <c r="P453" s="2"/>
      <c r="Q453" s="1" t="str">
        <f>IF($D453="","",$C453&amp;"|"&amp;COUNTIFS($C$7:$C453,$C453))</f>
        <v>M020|27</v>
      </c>
      <c r="R453" s="1" t="str">
        <f t="shared" si="12"/>
        <v>KRISTALLTDSTI</v>
      </c>
      <c r="S453" s="1" t="str">
        <f t="shared" si="13"/>
        <v>M020|46214|3000|</v>
      </c>
      <c r="T453" s="1">
        <f>IF($E453="",0,SUMPRODUCT((AY_SONU!$O$7:$O$42="Evet")*(AY_SONU!$B$7:$B$42=DATE(YEAR($E453),MONTH($E453),1))))</f>
        <v>0</v>
      </c>
      <c r="U453" s="1" t="str">
        <f>IF(OR($G453="",$H453="Mahsup"),"",$G453&amp;"|"&amp;COUNTIFS($G$7:$G453,$G453,$H$7:$H453,"&lt;&gt;Mahsup"))</f>
        <v>ÖMER KARTAL|104</v>
      </c>
    </row>
    <row r="454" spans="1:21" ht="18" customHeight="1" x14ac:dyDescent="0.3">
      <c r="A454" s="2"/>
      <c r="B454" s="65" t="str">
        <f>IF($D454="","","T"&amp;TEXT(ROW()-6,"00000"))</f>
        <v>T00448</v>
      </c>
      <c r="C454" s="65" t="str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>M054</v>
      </c>
      <c r="D454" s="61" t="s">
        <v>674</v>
      </c>
      <c r="E454" s="66">
        <v>46214</v>
      </c>
      <c r="F454" s="67">
        <v>5000</v>
      </c>
      <c r="G454" s="60" t="s">
        <v>717</v>
      </c>
      <c r="H454" s="60" t="s">
        <v>572</v>
      </c>
      <c r="I454" s="61"/>
      <c r="J454" s="61" t="s">
        <v>742</v>
      </c>
      <c r="K454" s="61"/>
      <c r="L454" s="73">
        <f>IF($E454="","",DATE(YEAR($E454),MONTH($E454),1))</f>
        <v>46204</v>
      </c>
      <c r="M454" s="65" t="str">
        <f ca="1">IF($D454="","",IF($C454="TANIMSIZ MÜŞTERİ","HATA",IF(OR($E454="",$F454&lt;=0,$G454=""),"EKSİK",IF($E454&gt;TODAY(),"İLERİ TARİH",IF(COUNTIF($S$7:$S$2503,$S454)&gt;1,"MÜKERRER?",IF($T454&gt;0,"KAPALI DÖNEM","UYGUN"))))))</f>
        <v>UYGUN</v>
      </c>
      <c r="N454" s="74" t="str">
        <f>IF($C454="","",IF($C454="TANIMSIZ MÜŞTERİ","—",INDEX(MUSTERILER!$C$7:$C$156,MATCH($C454,MUSTERILER!$B$7:$B$156,0))))</f>
        <v>YALIKENT LTD.ŞTİ.</v>
      </c>
      <c r="O454" s="2"/>
      <c r="P454" s="2"/>
      <c r="Q454" s="1" t="str">
        <f>IF($D454="","",$C454&amp;"|"&amp;COUNTIFS($C$7:$C454,$C454))</f>
        <v>M054|17</v>
      </c>
      <c r="R454" s="1" t="str">
        <f t="shared" si="12"/>
        <v>YALIKENTLTDSTI</v>
      </c>
      <c r="S454" s="1" t="str">
        <f t="shared" si="13"/>
        <v>M054|46214|5000|</v>
      </c>
      <c r="T454" s="1">
        <f>IF($E454="",0,SUMPRODUCT((AY_SONU!$O$7:$O$42="Evet")*(AY_SONU!$B$7:$B$42=DATE(YEAR($E454),MONTH($E454),1))))</f>
        <v>0</v>
      </c>
      <c r="U454" s="1" t="str">
        <f>IF(OR($G454="",$H454="Mahsup"),"",$G454&amp;"|"&amp;COUNTIFS($G$7:$G454,$G454,$H$7:$H454,"&lt;&gt;Mahsup"))</f>
        <v>MERKEZ KASA|344</v>
      </c>
    </row>
    <row r="455" spans="1:21" ht="18" customHeight="1" x14ac:dyDescent="0.3">
      <c r="A455" s="2"/>
      <c r="B455" s="65" t="str">
        <f>IF($D455="","","T"&amp;TEXT(ROW()-6,"00000"))</f>
        <v>T00449</v>
      </c>
      <c r="C455" s="65" t="str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>M051</v>
      </c>
      <c r="D455" s="61" t="s">
        <v>668</v>
      </c>
      <c r="E455" s="66">
        <v>46218</v>
      </c>
      <c r="F455" s="67">
        <v>3000</v>
      </c>
      <c r="G455" s="60" t="s">
        <v>723</v>
      </c>
      <c r="H455" s="60" t="s">
        <v>572</v>
      </c>
      <c r="I455" s="61"/>
      <c r="J455" s="61" t="s">
        <v>720</v>
      </c>
      <c r="K455" s="61"/>
      <c r="L455" s="73">
        <f>IF($E455="","",DATE(YEAR($E455),MONTH($E455),1))</f>
        <v>46204</v>
      </c>
      <c r="M455" s="65" t="str">
        <f ca="1">IF($D455="","",IF($C455="TANIMSIZ MÜŞTERİ","HATA",IF(OR($E455="",$F455&lt;=0,$G455=""),"EKSİK",IF($E455&gt;TODAY(),"İLERİ TARİH",IF(COUNTIF($S$7:$S$2503,$S455)&gt;1,"MÜKERRER?",IF($T455&gt;0,"KAPALI DÖNEM","UYGUN"))))))</f>
        <v>UYGUN</v>
      </c>
      <c r="N455" s="74" t="str">
        <f>IF($C455="","",IF($C455="TANIMSIZ MÜŞTERİ","—",INDEX(MUSTERILER!$C$7:$C$156,MATCH($C455,MUSTERILER!$B$7:$B$156,0))))</f>
        <v>UFUK YILMAZ</v>
      </c>
      <c r="O455" s="2"/>
      <c r="P455" s="2"/>
      <c r="Q455" s="1" t="str">
        <f>IF($D455="","",$C455&amp;"|"&amp;COUNTIFS($C$7:$C455,$C455))</f>
        <v>M051|7</v>
      </c>
      <c r="R455" s="1" t="str">
        <f t="shared" ref="R455:R518" si="14"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>UFUKYILMAZ</v>
      </c>
      <c r="S455" s="1" t="str">
        <f t="shared" ref="S455:S518" si="15">IF($D455="","",$C455&amp;"|"&amp;TEXT($E455,"0")&amp;"|"&amp;TEXT($F455,"0")&amp;"|"&amp;$I455)</f>
        <v>M051|46218|3000|</v>
      </c>
      <c r="T455" s="1">
        <f>IF($E455="",0,SUMPRODUCT((AY_SONU!$O$7:$O$42="Evet")*(AY_SONU!$B$7:$B$42=DATE(YEAR($E455),MONTH($E455),1))))</f>
        <v>0</v>
      </c>
      <c r="U455" s="1" t="str">
        <f>IF(OR($G455="",$H455="Mahsup"),"",$G455&amp;"|"&amp;COUNTIFS($G$7:$G455,$G455,$H$7:$H455,"&lt;&gt;Mahsup"))</f>
        <v>ÖMER KARTAL|105</v>
      </c>
    </row>
    <row r="456" spans="1:21" ht="18" customHeight="1" x14ac:dyDescent="0.3">
      <c r="A456" s="2"/>
      <c r="B456" s="65" t="str">
        <f>IF($D456="","","T"&amp;TEXT(ROW()-6,"00000"))</f>
        <v>T00450</v>
      </c>
      <c r="C456" s="65" t="str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>M001</v>
      </c>
      <c r="D456" s="61" t="s">
        <v>729</v>
      </c>
      <c r="E456" s="66">
        <v>46221</v>
      </c>
      <c r="F456" s="67">
        <v>4000</v>
      </c>
      <c r="G456" s="60" t="s">
        <v>717</v>
      </c>
      <c r="H456" s="60" t="s">
        <v>572</v>
      </c>
      <c r="I456" s="61"/>
      <c r="J456" s="61" t="s">
        <v>720</v>
      </c>
      <c r="K456" s="61"/>
      <c r="L456" s="73">
        <f>IF($E456="","",DATE(YEAR($E456),MONTH($E456),1))</f>
        <v>46204</v>
      </c>
      <c r="M456" s="65" t="str">
        <f ca="1">IF($D456="","",IF($C456="TANIMSIZ MÜŞTERİ","HATA",IF(OR($E456="",$F456&lt;=0,$G456=""),"EKSİK",IF($E456&gt;TODAY(),"İLERİ TARİH",IF(COUNTIF($S$7:$S$2503,$S456)&gt;1,"MÜKERRER?",IF($T456&gt;0,"KAPALI DÖNEM","UYGUN"))))))</f>
        <v>UYGUN</v>
      </c>
      <c r="N456" s="74" t="str">
        <f>IF($C456="","",IF($C456="TANIMSIZ MÜŞTERİ","—",INDEX(MUSTERILER!$C$7:$C$156,MATCH($C456,MUSTERILER!$B$7:$B$156,0))))</f>
        <v>ANKARA HAVANA LTD.ŞTİ.</v>
      </c>
      <c r="O456" s="2"/>
      <c r="P456" s="2"/>
      <c r="Q456" s="1" t="str">
        <f>IF($D456="","",$C456&amp;"|"&amp;COUNTIFS($C$7:$C456,$C456))</f>
        <v>M001|13</v>
      </c>
      <c r="R456" s="1" t="str">
        <f t="shared" si="14"/>
        <v>ANKARAHAVANALTDSTI</v>
      </c>
      <c r="S456" s="1" t="str">
        <f t="shared" si="15"/>
        <v>M001|46221|4000|</v>
      </c>
      <c r="T456" s="1">
        <f>IF($E456="",0,SUMPRODUCT((AY_SONU!$O$7:$O$42="Evet")*(AY_SONU!$B$7:$B$42=DATE(YEAR($E456),MONTH($E456),1))))</f>
        <v>0</v>
      </c>
      <c r="U456" s="1" t="str">
        <f>IF(OR($G456="",$H456="Mahsup"),"",$G456&amp;"|"&amp;COUNTIFS($G$7:$G456,$G456,$H$7:$H456,"&lt;&gt;Mahsup"))</f>
        <v>MERKEZ KASA|345</v>
      </c>
    </row>
    <row r="457" spans="1:21" ht="18" customHeight="1" x14ac:dyDescent="0.3">
      <c r="A457" s="2"/>
      <c r="B457" s="65" t="str">
        <f>IF($D457="","","T"&amp;TEXT(ROW()-6,"00000"))</f>
        <v>T00451</v>
      </c>
      <c r="C457" s="65" t="str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>M025</v>
      </c>
      <c r="D457" s="61" t="s">
        <v>583</v>
      </c>
      <c r="E457" s="66">
        <v>46221</v>
      </c>
      <c r="F457" s="67">
        <v>2000</v>
      </c>
      <c r="G457" s="60" t="s">
        <v>717</v>
      </c>
      <c r="H457" s="60" t="s">
        <v>572</v>
      </c>
      <c r="I457" s="61"/>
      <c r="J457" s="61" t="s">
        <v>720</v>
      </c>
      <c r="K457" s="61"/>
      <c r="L457" s="73">
        <f>IF($E457="","",DATE(YEAR($E457),MONTH($E457),1))</f>
        <v>46204</v>
      </c>
      <c r="M457" s="65" t="str">
        <f ca="1">IF($D457="","",IF($C457="TANIMSIZ MÜŞTERİ","HATA",IF(OR($E457="",$F457&lt;=0,$G457=""),"EKSİK",IF($E457&gt;TODAY(),"İLERİ TARİH",IF(COUNTIF($S$7:$S$2503,$S457)&gt;1,"MÜKERRER?",IF($T457&gt;0,"KAPALI DÖNEM","UYGUN"))))))</f>
        <v>UYGUN</v>
      </c>
      <c r="N457" s="74" t="str">
        <f>IF($C457="","",IF($C457="TANIMSIZ MÜŞTERİ","—",INDEX(MUSTERILER!$C$7:$C$156,MATCH($C457,MUSTERILER!$B$7:$B$156,0))))</f>
        <v>ASIM AÇIKGÖZ</v>
      </c>
      <c r="O457" s="2"/>
      <c r="P457" s="2"/>
      <c r="Q457" s="1" t="str">
        <f>IF($D457="","",$C457&amp;"|"&amp;COUNTIFS($C$7:$C457,$C457))</f>
        <v>M025|24</v>
      </c>
      <c r="R457" s="1" t="str">
        <f t="shared" si="14"/>
        <v>ASIMACIKGOZ</v>
      </c>
      <c r="S457" s="1" t="str">
        <f t="shared" si="15"/>
        <v>M025|46221|2000|</v>
      </c>
      <c r="T457" s="1">
        <f>IF($E457="",0,SUMPRODUCT((AY_SONU!$O$7:$O$42="Evet")*(AY_SONU!$B$7:$B$42=DATE(YEAR($E457),MONTH($E457),1))))</f>
        <v>0</v>
      </c>
      <c r="U457" s="1" t="str">
        <f>IF(OR($G457="",$H457="Mahsup"),"",$G457&amp;"|"&amp;COUNTIFS($G$7:$G457,$G457,$H$7:$H457,"&lt;&gt;Mahsup"))</f>
        <v>MERKEZ KASA|346</v>
      </c>
    </row>
    <row r="458" spans="1:21" ht="18" customHeight="1" x14ac:dyDescent="0.3">
      <c r="A458" s="2"/>
      <c r="B458" s="65" t="str">
        <f>IF($D458="","","T"&amp;TEXT(ROW()-6,"00000"))</f>
        <v>T00452</v>
      </c>
      <c r="C458" s="65" t="str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>M015</v>
      </c>
      <c r="D458" s="61" t="s">
        <v>719</v>
      </c>
      <c r="E458" s="66">
        <v>46221</v>
      </c>
      <c r="F458" s="67">
        <v>3000</v>
      </c>
      <c r="G458" s="60" t="s">
        <v>717</v>
      </c>
      <c r="H458" s="60" t="s">
        <v>572</v>
      </c>
      <c r="I458" s="61"/>
      <c r="J458" s="61" t="s">
        <v>720</v>
      </c>
      <c r="K458" s="61"/>
      <c r="L458" s="73">
        <f>IF($E458="","",DATE(YEAR($E458),MONTH($E458),1))</f>
        <v>46204</v>
      </c>
      <c r="M458" s="65" t="str">
        <f ca="1">IF($D458="","",IF($C458="TANIMSIZ MÜŞTERİ","HATA",IF(OR($E458="",$F458&lt;=0,$G458=""),"EKSİK",IF($E458&gt;TODAY(),"İLERİ TARİH",IF(COUNTIF($S$7:$S$2503,$S458)&gt;1,"MÜKERRER?",IF($T458&gt;0,"KAPALI DÖNEM","UYGUN"))))))</f>
        <v>UYGUN</v>
      </c>
      <c r="N458" s="74" t="str">
        <f>IF($C458="","",IF($C458="TANIMSIZ MÜŞTERİ","—",INDEX(MUSTERILER!$C$7:$C$156,MATCH($C458,MUSTERILER!$B$7:$B$156,0))))</f>
        <v>ÇAYIRALAN LTD.ŞTİ.</v>
      </c>
      <c r="O458" s="2"/>
      <c r="P458" s="2"/>
      <c r="Q458" s="1" t="str">
        <f>IF($D458="","",$C458&amp;"|"&amp;COUNTIFS($C$7:$C458,$C458))</f>
        <v>M015|26</v>
      </c>
      <c r="R458" s="1" t="str">
        <f t="shared" si="14"/>
        <v>CAYIRALANLTDSTI</v>
      </c>
      <c r="S458" s="1" t="str">
        <f t="shared" si="15"/>
        <v>M015|46221|3000|</v>
      </c>
      <c r="T458" s="1">
        <f>IF($E458="",0,SUMPRODUCT((AY_SONU!$O$7:$O$42="Evet")*(AY_SONU!$B$7:$B$42=DATE(YEAR($E458),MONTH($E458),1))))</f>
        <v>0</v>
      </c>
      <c r="U458" s="1" t="str">
        <f>IF(OR($G458="",$H458="Mahsup"),"",$G458&amp;"|"&amp;COUNTIFS($G$7:$G458,$G458,$H$7:$H458,"&lt;&gt;Mahsup"))</f>
        <v>MERKEZ KASA|347</v>
      </c>
    </row>
    <row r="459" spans="1:21" ht="18" customHeight="1" x14ac:dyDescent="0.3">
      <c r="A459" s="2"/>
      <c r="B459" s="65" t="str">
        <f>IF($D459="","","T"&amp;TEXT(ROW()-6,"00000"))</f>
        <v>T00453</v>
      </c>
      <c r="C459" s="65" t="str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>M011</v>
      </c>
      <c r="D459" s="61" t="s">
        <v>730</v>
      </c>
      <c r="E459" s="66">
        <v>46221</v>
      </c>
      <c r="F459" s="67">
        <v>4000</v>
      </c>
      <c r="G459" s="60" t="s">
        <v>717</v>
      </c>
      <c r="H459" s="60" t="s">
        <v>572</v>
      </c>
      <c r="I459" s="61"/>
      <c r="J459" s="61" t="s">
        <v>720</v>
      </c>
      <c r="K459" s="61"/>
      <c r="L459" s="73">
        <f>IF($E459="","",DATE(YEAR($E459),MONTH($E459),1))</f>
        <v>46204</v>
      </c>
      <c r="M459" s="65" t="str">
        <f ca="1">IF($D459="","",IF($C459="TANIMSIZ MÜŞTERİ","HATA",IF(OR($E459="",$F459&lt;=0,$G459=""),"EKSİK",IF($E459&gt;TODAY(),"İLERİ TARİH",IF(COUNTIF($S$7:$S$2503,$S459)&gt;1,"MÜKERRER?",IF($T459&gt;0,"KAPALI DÖNEM","UYGUN"))))))</f>
        <v>UYGUN</v>
      </c>
      <c r="N459" s="74" t="str">
        <f>IF($C459="","",IF($C459="TANIMSIZ MÜŞTERİ","—",INDEX(MUSTERILER!$C$7:$C$156,MATCH($C459,MUSTERILER!$B$7:$B$156,0))))</f>
        <v>EĞLENGÖR LTD.ŞTİ.</v>
      </c>
      <c r="O459" s="2"/>
      <c r="P459" s="2"/>
      <c r="Q459" s="1" t="str">
        <f>IF($D459="","",$C459&amp;"|"&amp;COUNTIFS($C$7:$C459,$C459))</f>
        <v>M011|27</v>
      </c>
      <c r="R459" s="1" t="str">
        <f t="shared" si="14"/>
        <v>EGLENGORLTDSTI</v>
      </c>
      <c r="S459" s="1" t="str">
        <f t="shared" si="15"/>
        <v>M011|46221|4000|</v>
      </c>
      <c r="T459" s="1">
        <f>IF($E459="",0,SUMPRODUCT((AY_SONU!$O$7:$O$42="Evet")*(AY_SONU!$B$7:$B$42=DATE(YEAR($E459),MONTH($E459),1))))</f>
        <v>0</v>
      </c>
      <c r="U459" s="1" t="str">
        <f>IF(OR($G459="",$H459="Mahsup"),"",$G459&amp;"|"&amp;COUNTIFS($G$7:$G459,$G459,$H$7:$H459,"&lt;&gt;Mahsup"))</f>
        <v>MERKEZ KASA|348</v>
      </c>
    </row>
    <row r="460" spans="1:21" ht="18" customHeight="1" x14ac:dyDescent="0.3">
      <c r="A460" s="2"/>
      <c r="B460" s="65" t="str">
        <f>IF($D460="","","T"&amp;TEXT(ROW()-6,"00000"))</f>
        <v>T00454</v>
      </c>
      <c r="C460" s="65" t="str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>M014</v>
      </c>
      <c r="D460" s="61" t="s">
        <v>731</v>
      </c>
      <c r="E460" s="66">
        <v>46221</v>
      </c>
      <c r="F460" s="67">
        <v>4000</v>
      </c>
      <c r="G460" s="60" t="s">
        <v>717</v>
      </c>
      <c r="H460" s="60" t="s">
        <v>572</v>
      </c>
      <c r="I460" s="61"/>
      <c r="J460" s="61" t="s">
        <v>720</v>
      </c>
      <c r="K460" s="61"/>
      <c r="L460" s="73">
        <f>IF($E460="","",DATE(YEAR($E460),MONTH($E460),1))</f>
        <v>46204</v>
      </c>
      <c r="M460" s="65" t="str">
        <f ca="1">IF($D460="","",IF($C460="TANIMSIZ MÜŞTERİ","HATA",IF(OR($E460="",$F460&lt;=0,$G460=""),"EKSİK",IF($E460&gt;TODAY(),"İLERİ TARİH",IF(COUNTIF($S$7:$S$2503,$S460)&gt;1,"MÜKERRER?",IF($T460&gt;0,"KAPALI DÖNEM","UYGUN"))))))</f>
        <v>UYGUN</v>
      </c>
      <c r="N460" s="74" t="str">
        <f>IF($C460="","",IF($C460="TANIMSIZ MÜŞTERİ","—",INDEX(MUSTERILER!$C$7:$C$156,MATCH($C460,MUSTERILER!$B$7:$B$156,0))))</f>
        <v>FİNAL SİYAH BEYAZ LTD.ŞTİ.</v>
      </c>
      <c r="O460" s="2"/>
      <c r="P460" s="2"/>
      <c r="Q460" s="1" t="str">
        <f>IF($D460="","",$C460&amp;"|"&amp;COUNTIFS($C$7:$C460,$C460))</f>
        <v>M014|26</v>
      </c>
      <c r="R460" s="1" t="str">
        <f t="shared" si="14"/>
        <v>FINALSIYAHBEYAZLTDSTI</v>
      </c>
      <c r="S460" s="1" t="str">
        <f t="shared" si="15"/>
        <v>M014|46221|4000|</v>
      </c>
      <c r="T460" s="1">
        <f>IF($E460="",0,SUMPRODUCT((AY_SONU!$O$7:$O$42="Evet")*(AY_SONU!$B$7:$B$42=DATE(YEAR($E460),MONTH($E460),1))))</f>
        <v>0</v>
      </c>
      <c r="U460" s="1" t="str">
        <f>IF(OR($G460="",$H460="Mahsup"),"",$G460&amp;"|"&amp;COUNTIFS($G$7:$G460,$G460,$H$7:$H460,"&lt;&gt;Mahsup"))</f>
        <v>MERKEZ KASA|349</v>
      </c>
    </row>
    <row r="461" spans="1:21" ht="18" customHeight="1" x14ac:dyDescent="0.3">
      <c r="A461" s="2"/>
      <c r="B461" s="65" t="str">
        <f>IF($D461="","","T"&amp;TEXT(ROW()-6,"00000"))</f>
        <v>T00455</v>
      </c>
      <c r="C461" s="65" t="str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>M012</v>
      </c>
      <c r="D461" s="61" t="s">
        <v>721</v>
      </c>
      <c r="E461" s="66">
        <v>46221</v>
      </c>
      <c r="F461" s="67">
        <v>4000</v>
      </c>
      <c r="G461" s="60" t="s">
        <v>717</v>
      </c>
      <c r="H461" s="60" t="s">
        <v>572</v>
      </c>
      <c r="I461" s="61"/>
      <c r="J461" s="61" t="s">
        <v>720</v>
      </c>
      <c r="K461" s="61"/>
      <c r="L461" s="73">
        <f>IF($E461="","",DATE(YEAR($E461),MONTH($E461),1))</f>
        <v>46204</v>
      </c>
      <c r="M461" s="65" t="str">
        <f ca="1">IF($D461="","",IF($C461="TANIMSIZ MÜŞTERİ","HATA",IF(OR($E461="",$F461&lt;=0,$G461=""),"EKSİK",IF($E461&gt;TODAY(),"İLERİ TARİH",IF(COUNTIF($S$7:$S$2503,$S461)&gt;1,"MÜKERRER?",IF($T461&gt;0,"KAPALI DÖNEM","UYGUN"))))))</f>
        <v>UYGUN</v>
      </c>
      <c r="N461" s="74" t="str">
        <f>IF($C461="","",IF($C461="TANIMSIZ MÜŞTERİ","—",INDEX(MUSTERILER!$C$7:$C$156,MATCH($C461,MUSTERILER!$B$7:$B$156,0))))</f>
        <v>İLDEŞ LTD.ŞTİ.</v>
      </c>
      <c r="O461" s="2"/>
      <c r="P461" s="2"/>
      <c r="Q461" s="1" t="str">
        <f>IF($D461="","",$C461&amp;"|"&amp;COUNTIFS($C$7:$C461,$C461))</f>
        <v>M012|26</v>
      </c>
      <c r="R461" s="1" t="str">
        <f t="shared" si="14"/>
        <v>ILDESLTDSTI</v>
      </c>
      <c r="S461" s="1" t="str">
        <f t="shared" si="15"/>
        <v>M012|46221|4000|</v>
      </c>
      <c r="T461" s="1">
        <f>IF($E461="",0,SUMPRODUCT((AY_SONU!$O$7:$O$42="Evet")*(AY_SONU!$B$7:$B$42=DATE(YEAR($E461),MONTH($E461),1))))</f>
        <v>0</v>
      </c>
      <c r="U461" s="1" t="str">
        <f>IF(OR($G461="",$H461="Mahsup"),"",$G461&amp;"|"&amp;COUNTIFS($G$7:$G461,$G461,$H$7:$H461,"&lt;&gt;Mahsup"))</f>
        <v>MERKEZ KASA|350</v>
      </c>
    </row>
    <row r="462" spans="1:21" ht="18" customHeight="1" x14ac:dyDescent="0.3">
      <c r="A462" s="2"/>
      <c r="B462" s="65" t="str">
        <f>IF($D462="","","T"&amp;TEXT(ROW()-6,"00000"))</f>
        <v>T00456</v>
      </c>
      <c r="C462" s="65" t="str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>M013</v>
      </c>
      <c r="D462" s="61" t="s">
        <v>734</v>
      </c>
      <c r="E462" s="66">
        <v>46221</v>
      </c>
      <c r="F462" s="67">
        <v>2000</v>
      </c>
      <c r="G462" s="60" t="s">
        <v>717</v>
      </c>
      <c r="H462" s="60" t="s">
        <v>572</v>
      </c>
      <c r="I462" s="61"/>
      <c r="J462" s="61" t="s">
        <v>720</v>
      </c>
      <c r="K462" s="61"/>
      <c r="L462" s="73">
        <f>IF($E462="","",DATE(YEAR($E462),MONTH($E462),1))</f>
        <v>46204</v>
      </c>
      <c r="M462" s="65" t="str">
        <f ca="1">IF($D462="","",IF($C462="TANIMSIZ MÜŞTERİ","HATA",IF(OR($E462="",$F462&lt;=0,$G462=""),"EKSİK",IF($E462&gt;TODAY(),"İLERİ TARİH",IF(COUNTIF($S$7:$S$2503,$S462)&gt;1,"MÜKERRER?",IF($T462&gt;0,"KAPALI DÖNEM","UYGUN"))))))</f>
        <v>UYGUN</v>
      </c>
      <c r="N462" s="74" t="str">
        <f>IF($C462="","",IF($C462="TANIMSIZ MÜŞTERİ","—",INDEX(MUSTERILER!$C$7:$C$156,MATCH($C462,MUSTERILER!$B$7:$B$156,0))))</f>
        <v>NAZ 1 GIDA LTD.ŞTİ.</v>
      </c>
      <c r="O462" s="2"/>
      <c r="P462" s="2"/>
      <c r="Q462" s="1" t="str">
        <f>IF($D462="","",$C462&amp;"|"&amp;COUNTIFS($C$7:$C462,$C462))</f>
        <v>M013|19</v>
      </c>
      <c r="R462" s="1" t="str">
        <f t="shared" si="14"/>
        <v>NAZ1GIDALTDSTI</v>
      </c>
      <c r="S462" s="1" t="str">
        <f t="shared" si="15"/>
        <v>M013|46221|2000|</v>
      </c>
      <c r="T462" s="1">
        <f>IF($E462="",0,SUMPRODUCT((AY_SONU!$O$7:$O$42="Evet")*(AY_SONU!$B$7:$B$42=DATE(YEAR($E462),MONTH($E462),1))))</f>
        <v>0</v>
      </c>
      <c r="U462" s="1" t="str">
        <f>IF(OR($G462="",$H462="Mahsup"),"",$G462&amp;"|"&amp;COUNTIFS($G$7:$G462,$G462,$H$7:$H462,"&lt;&gt;Mahsup"))</f>
        <v>MERKEZ KASA|351</v>
      </c>
    </row>
    <row r="463" spans="1:21" ht="18" customHeight="1" x14ac:dyDescent="0.3">
      <c r="A463" s="2"/>
      <c r="B463" s="65" t="str">
        <f>IF($D463="","","T"&amp;TEXT(ROW()-6,"00000"))</f>
        <v>T00457</v>
      </c>
      <c r="C463" s="65" t="str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>M009</v>
      </c>
      <c r="D463" s="61" t="s">
        <v>735</v>
      </c>
      <c r="E463" s="66">
        <v>46221</v>
      </c>
      <c r="F463" s="67">
        <v>4000</v>
      </c>
      <c r="G463" s="60" t="s">
        <v>717</v>
      </c>
      <c r="H463" s="60" t="s">
        <v>572</v>
      </c>
      <c r="I463" s="61"/>
      <c r="J463" s="61" t="s">
        <v>720</v>
      </c>
      <c r="K463" s="61"/>
      <c r="L463" s="73">
        <f>IF($E463="","",DATE(YEAR($E463),MONTH($E463),1))</f>
        <v>46204</v>
      </c>
      <c r="M463" s="65" t="str">
        <f ca="1">IF($D463="","",IF($C463="TANIMSIZ MÜŞTERİ","HATA",IF(OR($E463="",$F463&lt;=0,$G463=""),"EKSİK",IF($E463&gt;TODAY(),"İLERİ TARİH",IF(COUNTIF($S$7:$S$2503,$S463)&gt;1,"MÜKERRER?",IF($T463&gt;0,"KAPALI DÖNEM","UYGUN"))))))</f>
        <v>UYGUN</v>
      </c>
      <c r="N463" s="74" t="str">
        <f>IF($C463="","",IF($C463="TANIMSIZ MÜŞTERİ","—",INDEX(MUSTERILER!$C$7:$C$156,MATCH($C463,MUSTERILER!$B$7:$B$156,0))))</f>
        <v>PAKYILDIZ LTD.ŞTİ.</v>
      </c>
      <c r="O463" s="2"/>
      <c r="P463" s="2"/>
      <c r="Q463" s="1" t="str">
        <f>IF($D463="","",$C463&amp;"|"&amp;COUNTIFS($C$7:$C463,$C463))</f>
        <v>M009|24</v>
      </c>
      <c r="R463" s="1" t="str">
        <f t="shared" si="14"/>
        <v>PAKYILDIZLTDSTI</v>
      </c>
      <c r="S463" s="1" t="str">
        <f t="shared" si="15"/>
        <v>M009|46221|4000|</v>
      </c>
      <c r="T463" s="1">
        <f>IF($E463="",0,SUMPRODUCT((AY_SONU!$O$7:$O$42="Evet")*(AY_SONU!$B$7:$B$42=DATE(YEAR($E463),MONTH($E463),1))))</f>
        <v>0</v>
      </c>
      <c r="U463" s="1" t="str">
        <f>IF(OR($G463="",$H463="Mahsup"),"",$G463&amp;"|"&amp;COUNTIFS($G$7:$G463,$G463,$H$7:$H463,"&lt;&gt;Mahsup"))</f>
        <v>MERKEZ KASA|352</v>
      </c>
    </row>
    <row r="464" spans="1:21" ht="18" customHeight="1" x14ac:dyDescent="0.3">
      <c r="A464" s="2"/>
      <c r="B464" s="65" t="str">
        <f>IF($D464="","","T"&amp;TEXT(ROW()-6,"00000"))</f>
        <v>T00458</v>
      </c>
      <c r="C464" s="65" t="str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>M009</v>
      </c>
      <c r="D464" s="61" t="s">
        <v>735</v>
      </c>
      <c r="E464" s="66">
        <v>46221</v>
      </c>
      <c r="F464" s="67">
        <v>5000</v>
      </c>
      <c r="G464" s="60" t="s">
        <v>717</v>
      </c>
      <c r="H464" s="60" t="s">
        <v>572</v>
      </c>
      <c r="I464" s="61"/>
      <c r="J464" s="61" t="s">
        <v>720</v>
      </c>
      <c r="K464" s="61"/>
      <c r="L464" s="73">
        <f>IF($E464="","",DATE(YEAR($E464),MONTH($E464),1))</f>
        <v>46204</v>
      </c>
      <c r="M464" s="65" t="str">
        <f ca="1">IF($D464="","",IF($C464="TANIMSIZ MÜŞTERİ","HATA",IF(OR($E464="",$F464&lt;=0,$G464=""),"EKSİK",IF($E464&gt;TODAY(),"İLERİ TARİH",IF(COUNTIF($S$7:$S$2503,$S464)&gt;1,"MÜKERRER?",IF($T464&gt;0,"KAPALI DÖNEM","UYGUN"))))))</f>
        <v>UYGUN</v>
      </c>
      <c r="N464" s="74" t="str">
        <f>IF($C464="","",IF($C464="TANIMSIZ MÜŞTERİ","—",INDEX(MUSTERILER!$C$7:$C$156,MATCH($C464,MUSTERILER!$B$7:$B$156,0))))</f>
        <v>PAKYILDIZ LTD.ŞTİ.</v>
      </c>
      <c r="O464" s="2"/>
      <c r="P464" s="2"/>
      <c r="Q464" s="1" t="str">
        <f>IF($D464="","",$C464&amp;"|"&amp;COUNTIFS($C$7:$C464,$C464))</f>
        <v>M009|25</v>
      </c>
      <c r="R464" s="1" t="str">
        <f t="shared" si="14"/>
        <v>PAKYILDIZLTDSTI</v>
      </c>
      <c r="S464" s="1" t="str">
        <f t="shared" si="15"/>
        <v>M009|46221|5000|</v>
      </c>
      <c r="T464" s="1">
        <f>IF($E464="",0,SUMPRODUCT((AY_SONU!$O$7:$O$42="Evet")*(AY_SONU!$B$7:$B$42=DATE(YEAR($E464),MONTH($E464),1))))</f>
        <v>0</v>
      </c>
      <c r="U464" s="1" t="str">
        <f>IF(OR($G464="",$H464="Mahsup"),"",$G464&amp;"|"&amp;COUNTIFS($G$7:$G464,$G464,$H$7:$H464,"&lt;&gt;Mahsup"))</f>
        <v>MERKEZ KASA|353</v>
      </c>
    </row>
    <row r="465" spans="1:21" ht="18" customHeight="1" x14ac:dyDescent="0.3">
      <c r="A465" s="2"/>
      <c r="B465" s="65" t="str">
        <f>IF($D465="","","T"&amp;TEXT(ROW()-6,"00000"))</f>
        <v>T00459</v>
      </c>
      <c r="C465" s="65" t="str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>M035</v>
      </c>
      <c r="D465" s="61" t="s">
        <v>615</v>
      </c>
      <c r="E465" s="66">
        <v>46221</v>
      </c>
      <c r="F465" s="67">
        <v>3500</v>
      </c>
      <c r="G465" s="60" t="s">
        <v>723</v>
      </c>
      <c r="H465" s="60" t="s">
        <v>572</v>
      </c>
      <c r="I465" s="61"/>
      <c r="J465" s="61" t="s">
        <v>720</v>
      </c>
      <c r="K465" s="61"/>
      <c r="L465" s="73">
        <f>IF($E465="","",DATE(YEAR($E465),MONTH($E465),1))</f>
        <v>46204</v>
      </c>
      <c r="M465" s="65" t="str">
        <f ca="1">IF($D465="","",IF($C465="TANIMSIZ MÜŞTERİ","HATA",IF(OR($E465="",$F465&lt;=0,$G465=""),"EKSİK",IF($E465&gt;TODAY(),"İLERİ TARİH",IF(COUNTIF($S$7:$S$2503,$S465)&gt;1,"MÜKERRER?",IF($T465&gt;0,"KAPALI DÖNEM","UYGUN"))))))</f>
        <v>UYGUN</v>
      </c>
      <c r="N465" s="74" t="str">
        <f>IF($C465="","",IF($C465="TANIMSIZ MÜŞTERİ","—",INDEX(MUSTERILER!$C$7:$C$156,MATCH($C465,MUSTERILER!$B$7:$B$156,0))))</f>
        <v>İSA DEMİRCİ</v>
      </c>
      <c r="O465" s="2"/>
      <c r="P465" s="2"/>
      <c r="Q465" s="1" t="str">
        <f>IF($D465="","",$C465&amp;"|"&amp;COUNTIFS($C$7:$C465,$C465))</f>
        <v>M035|7</v>
      </c>
      <c r="R465" s="1" t="str">
        <f t="shared" si="14"/>
        <v>ISADEMIRCI</v>
      </c>
      <c r="S465" s="1" t="str">
        <f t="shared" si="15"/>
        <v>M035|46221|3500|</v>
      </c>
      <c r="T465" s="1">
        <f>IF($E465="",0,SUMPRODUCT((AY_SONU!$O$7:$O$42="Evet")*(AY_SONU!$B$7:$B$42=DATE(YEAR($E465),MONTH($E465),1))))</f>
        <v>0</v>
      </c>
      <c r="U465" s="1" t="str">
        <f>IF(OR($G465="",$H465="Mahsup"),"",$G465&amp;"|"&amp;COUNTIFS($G$7:$G465,$G465,$H$7:$H465,"&lt;&gt;Mahsup"))</f>
        <v>ÖMER KARTAL|106</v>
      </c>
    </row>
    <row r="466" spans="1:21" ht="18" customHeight="1" x14ac:dyDescent="0.3">
      <c r="A466" s="2"/>
      <c r="B466" s="65" t="str">
        <f>IF($D466="","","T"&amp;TEXT(ROW()-6,"00000"))</f>
        <v>T00460</v>
      </c>
      <c r="C466" s="65" t="str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>M016</v>
      </c>
      <c r="D466" s="61" t="s">
        <v>736</v>
      </c>
      <c r="E466" s="66">
        <v>46221</v>
      </c>
      <c r="F466" s="67">
        <v>3000</v>
      </c>
      <c r="G466" s="60" t="s">
        <v>717</v>
      </c>
      <c r="H466" s="60" t="s">
        <v>572</v>
      </c>
      <c r="I466" s="61"/>
      <c r="J466" s="61" t="s">
        <v>720</v>
      </c>
      <c r="K466" s="61"/>
      <c r="L466" s="73">
        <f>IF($E466="","",DATE(YEAR($E466),MONTH($E466),1))</f>
        <v>46204</v>
      </c>
      <c r="M466" s="65" t="str">
        <f ca="1">IF($D466="","",IF($C466="TANIMSIZ MÜŞTERİ","HATA",IF(OR($E466="",$F466&lt;=0,$G466=""),"EKSİK",IF($E466&gt;TODAY(),"İLERİ TARİH",IF(COUNTIF($S$7:$S$2503,$S466)&gt;1,"MÜKERRER?",IF($T466&gt;0,"KAPALI DÖNEM","UYGUN"))))))</f>
        <v>UYGUN</v>
      </c>
      <c r="N466" s="74" t="str">
        <f>IF($C466="","",IF($C466="TANIMSIZ MÜŞTERİ","—",INDEX(MUSTERILER!$C$7:$C$156,MATCH($C466,MUSTERILER!$B$7:$B$156,0))))</f>
        <v>RİX ŞOW LTD.ŞTİ.</v>
      </c>
      <c r="O466" s="2"/>
      <c r="P466" s="2"/>
      <c r="Q466" s="1" t="str">
        <f>IF($D466="","",$C466&amp;"|"&amp;COUNTIFS($C$7:$C466,$C466))</f>
        <v>M016|27</v>
      </c>
      <c r="R466" s="1" t="str">
        <f t="shared" si="14"/>
        <v>RIXSOWLTDSTI</v>
      </c>
      <c r="S466" s="1" t="str">
        <f t="shared" si="15"/>
        <v>M016|46221|3000|</v>
      </c>
      <c r="T466" s="1">
        <f>IF($E466="",0,SUMPRODUCT((AY_SONU!$O$7:$O$42="Evet")*(AY_SONU!$B$7:$B$42=DATE(YEAR($E466),MONTH($E466),1))))</f>
        <v>0</v>
      </c>
      <c r="U466" s="1" t="str">
        <f>IF(OR($G466="",$H466="Mahsup"),"",$G466&amp;"|"&amp;COUNTIFS($G$7:$G466,$G466,$H$7:$H466,"&lt;&gt;Mahsup"))</f>
        <v>MERKEZ KASA|354</v>
      </c>
    </row>
    <row r="467" spans="1:21" ht="18" customHeight="1" x14ac:dyDescent="0.3">
      <c r="A467" s="2"/>
      <c r="B467" s="65" t="str">
        <f>IF($D467="","","T"&amp;TEXT(ROW()-6,"00000"))</f>
        <v>T00461</v>
      </c>
      <c r="C467" s="65" t="str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>M046</v>
      </c>
      <c r="D467" s="61" t="s">
        <v>648</v>
      </c>
      <c r="E467" s="66">
        <v>46221</v>
      </c>
      <c r="F467" s="67">
        <v>3500</v>
      </c>
      <c r="G467" s="60" t="s">
        <v>723</v>
      </c>
      <c r="H467" s="60" t="s">
        <v>572</v>
      </c>
      <c r="I467" s="61"/>
      <c r="J467" s="61" t="s">
        <v>720</v>
      </c>
      <c r="K467" s="61"/>
      <c r="L467" s="73">
        <f>IF($E467="","",DATE(YEAR($E467),MONTH($E467),1))</f>
        <v>46204</v>
      </c>
      <c r="M467" s="65" t="str">
        <f ca="1">IF($D467="","",IF($C467="TANIMSIZ MÜŞTERİ","HATA",IF(OR($E467="",$F467&lt;=0,$G467=""),"EKSİK",IF($E467&gt;TODAY(),"İLERİ TARİH",IF(COUNTIF($S$7:$S$2503,$S467)&gt;1,"MÜKERRER?",IF($T467&gt;0,"KAPALI DÖNEM","UYGUN"))))))</f>
        <v>UYGUN</v>
      </c>
      <c r="N467" s="74" t="str">
        <f>IF($C467="","",IF($C467="TANIMSIZ MÜŞTERİ","—",INDEX(MUSTERILER!$C$7:$C$156,MATCH($C467,MUSTERILER!$B$7:$B$156,0))))</f>
        <v>ÖMER DEMİRCİ</v>
      </c>
      <c r="O467" s="2"/>
      <c r="P467" s="2"/>
      <c r="Q467" s="1" t="str">
        <f>IF($D467="","",$C467&amp;"|"&amp;COUNTIFS($C$7:$C467,$C467))</f>
        <v>M046|2</v>
      </c>
      <c r="R467" s="1" t="str">
        <f t="shared" si="14"/>
        <v>OMERDEMIRCI</v>
      </c>
      <c r="S467" s="1" t="str">
        <f t="shared" si="15"/>
        <v>M046|46221|3500|</v>
      </c>
      <c r="T467" s="1">
        <f>IF($E467="",0,SUMPRODUCT((AY_SONU!$O$7:$O$42="Evet")*(AY_SONU!$B$7:$B$42=DATE(YEAR($E467),MONTH($E467),1))))</f>
        <v>0</v>
      </c>
      <c r="U467" s="1" t="str">
        <f>IF(OR($G467="",$H467="Mahsup"),"",$G467&amp;"|"&amp;COUNTIFS($G$7:$G467,$G467,$H$7:$H467,"&lt;&gt;Mahsup"))</f>
        <v>ÖMER KARTAL|107</v>
      </c>
    </row>
    <row r="468" spans="1:21" ht="18" customHeight="1" x14ac:dyDescent="0.3">
      <c r="A468" s="2"/>
      <c r="B468" s="65" t="str">
        <f>IF($D468="","","T"&amp;TEXT(ROW()-6,"00000"))</f>
        <v>T00462</v>
      </c>
      <c r="C468" s="65" t="str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>M054</v>
      </c>
      <c r="D468" s="61" t="s">
        <v>674</v>
      </c>
      <c r="E468" s="66">
        <v>46221</v>
      </c>
      <c r="F468" s="67">
        <v>5000</v>
      </c>
      <c r="G468" s="60" t="s">
        <v>717</v>
      </c>
      <c r="H468" s="60" t="s">
        <v>572</v>
      </c>
      <c r="I468" s="61"/>
      <c r="J468" s="61" t="s">
        <v>742</v>
      </c>
      <c r="K468" s="61"/>
      <c r="L468" s="73">
        <f>IF($E468="","",DATE(YEAR($E468),MONTH($E468),1))</f>
        <v>46204</v>
      </c>
      <c r="M468" s="65" t="str">
        <f ca="1">IF($D468="","",IF($C468="TANIMSIZ MÜŞTERİ","HATA",IF(OR($E468="",$F468&lt;=0,$G468=""),"EKSİK",IF($E468&gt;TODAY(),"İLERİ TARİH",IF(COUNTIF($S$7:$S$2503,$S468)&gt;1,"MÜKERRER?",IF($T468&gt;0,"KAPALI DÖNEM","UYGUN"))))))</f>
        <v>UYGUN</v>
      </c>
      <c r="N468" s="74" t="str">
        <f>IF($C468="","",IF($C468="TANIMSIZ MÜŞTERİ","—",INDEX(MUSTERILER!$C$7:$C$156,MATCH($C468,MUSTERILER!$B$7:$B$156,0))))</f>
        <v>YALIKENT LTD.ŞTİ.</v>
      </c>
      <c r="O468" s="2"/>
      <c r="P468" s="2"/>
      <c r="Q468" s="1" t="str">
        <f>IF($D468="","",$C468&amp;"|"&amp;COUNTIFS($C$7:$C468,$C468))</f>
        <v>M054|18</v>
      </c>
      <c r="R468" s="1" t="str">
        <f t="shared" si="14"/>
        <v>YALIKENTLTDSTI</v>
      </c>
      <c r="S468" s="1" t="str">
        <f t="shared" si="15"/>
        <v>M054|46221|5000|</v>
      </c>
      <c r="T468" s="1">
        <f>IF($E468="",0,SUMPRODUCT((AY_SONU!$O$7:$O$42="Evet")*(AY_SONU!$B$7:$B$42=DATE(YEAR($E468),MONTH($E468),1))))</f>
        <v>0</v>
      </c>
      <c r="U468" s="1" t="str">
        <f>IF(OR($G468="",$H468="Mahsup"),"",$G468&amp;"|"&amp;COUNTIFS($G$7:$G468,$G468,$H$7:$H468,"&lt;&gt;Mahsup"))</f>
        <v>MERKEZ KASA|355</v>
      </c>
    </row>
    <row r="469" spans="1:21" ht="18" customHeight="1" x14ac:dyDescent="0.3">
      <c r="A469" s="2"/>
      <c r="B469" s="65" t="str">
        <f>IF($D469="","","T"&amp;TEXT(ROW()-6,"00000"))</f>
        <v>T00463</v>
      </c>
      <c r="C469" s="65" t="str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>M005</v>
      </c>
      <c r="D469" s="61" t="s">
        <v>722</v>
      </c>
      <c r="E469" s="66">
        <v>46221</v>
      </c>
      <c r="F469" s="67">
        <v>3500</v>
      </c>
      <c r="G469" s="60" t="s">
        <v>717</v>
      </c>
      <c r="H469" s="60" t="s">
        <v>572</v>
      </c>
      <c r="I469" s="61"/>
      <c r="J469" s="61" t="s">
        <v>720</v>
      </c>
      <c r="K469" s="61"/>
      <c r="L469" s="73">
        <f>IF($E469="","",DATE(YEAR($E469),MONTH($E469),1))</f>
        <v>46204</v>
      </c>
      <c r="M469" s="65" t="str">
        <f ca="1">IF($D469="","",IF($C469="TANIMSIZ MÜŞTERİ","HATA",IF(OR($E469="",$F469&lt;=0,$G469=""),"EKSİK",IF($E469&gt;TODAY(),"İLERİ TARİH",IF(COUNTIF($S$7:$S$2503,$S469)&gt;1,"MÜKERRER?",IF($T469&gt;0,"KAPALI DÖNEM","UYGUN"))))))</f>
        <v>UYGUN</v>
      </c>
      <c r="N469" s="74" t="str">
        <f>IF($C469="","",IF($C469="TANIMSIZ MÜŞTERİ","—",INDEX(MUSTERILER!$C$7:$C$156,MATCH($C469,MUSTERILER!$B$7:$B$156,0))))</f>
        <v>ZÜMRÜT GRUP LTD.ŞTİ.</v>
      </c>
      <c r="O469" s="2"/>
      <c r="P469" s="2"/>
      <c r="Q469" s="1" t="str">
        <f>IF($D469="","",$C469&amp;"|"&amp;COUNTIFS($C$7:$C469,$C469))</f>
        <v>M005|20</v>
      </c>
      <c r="R469" s="1" t="str">
        <f t="shared" si="14"/>
        <v>ZUMRUTGRUPLTDSTI</v>
      </c>
      <c r="S469" s="1" t="str">
        <f t="shared" si="15"/>
        <v>M005|46221|3500|</v>
      </c>
      <c r="T469" s="1">
        <f>IF($E469="",0,SUMPRODUCT((AY_SONU!$O$7:$O$42="Evet")*(AY_SONU!$B$7:$B$42=DATE(YEAR($E469),MONTH($E469),1))))</f>
        <v>0</v>
      </c>
      <c r="U469" s="1" t="str">
        <f>IF(OR($G469="",$H469="Mahsup"),"",$G469&amp;"|"&amp;COUNTIFS($G$7:$G469,$G469,$H$7:$H469,"&lt;&gt;Mahsup"))</f>
        <v>MERKEZ KASA|356</v>
      </c>
    </row>
    <row r="470" spans="1:21" ht="18" customHeight="1" x14ac:dyDescent="0.3">
      <c r="A470" s="2"/>
      <c r="B470" s="65" t="str">
        <f>IF($D470="","","T"&amp;TEXT(ROW()-6,"00000"))</f>
        <v>T00464</v>
      </c>
      <c r="C470" s="65" t="str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>M018</v>
      </c>
      <c r="D470" s="61" t="s">
        <v>593</v>
      </c>
      <c r="E470" s="66">
        <v>46221</v>
      </c>
      <c r="F470" s="67">
        <v>5000</v>
      </c>
      <c r="G470" s="60" t="s">
        <v>717</v>
      </c>
      <c r="H470" s="60" t="s">
        <v>572</v>
      </c>
      <c r="I470" s="61"/>
      <c r="J470" s="61" t="s">
        <v>720</v>
      </c>
      <c r="K470" s="61"/>
      <c r="L470" s="73">
        <f>IF($E470="","",DATE(YEAR($E470),MONTH($E470),1))</f>
        <v>46204</v>
      </c>
      <c r="M470" s="65" t="str">
        <f ca="1">IF($D470="","",IF($C470="TANIMSIZ MÜŞTERİ","HATA",IF(OR($E470="",$F470&lt;=0,$G470=""),"EKSİK",IF($E470&gt;TODAY(),"İLERİ TARİH",IF(COUNTIF($S$7:$S$2503,$S470)&gt;1,"MÜKERRER?",IF($T470&gt;0,"KAPALI DÖNEM","UYGUN"))))))</f>
        <v>UYGUN</v>
      </c>
      <c r="N470" s="74" t="str">
        <f>IF($C470="","",IF($C470="TANIMSIZ MÜŞTERİ","—",INDEX(MUSTERILER!$C$7:$C$156,MATCH($C470,MUSTERILER!$B$7:$B$156,0))))</f>
        <v>ÇINARHAN LTD.ŞTİ.</v>
      </c>
      <c r="O470" s="2"/>
      <c r="P470" s="2"/>
      <c r="Q470" s="1" t="str">
        <f>IF($D470="","",$C470&amp;"|"&amp;COUNTIFS($C$7:$C470,$C470))</f>
        <v>M018|19</v>
      </c>
      <c r="R470" s="1" t="str">
        <f t="shared" si="14"/>
        <v>CINARHANLTDSTI</v>
      </c>
      <c r="S470" s="1" t="str">
        <f t="shared" si="15"/>
        <v>M018|46221|5000|</v>
      </c>
      <c r="T470" s="1">
        <f>IF($E470="",0,SUMPRODUCT((AY_SONU!$O$7:$O$42="Evet")*(AY_SONU!$B$7:$B$42=DATE(YEAR($E470),MONTH($E470),1))))</f>
        <v>0</v>
      </c>
      <c r="U470" s="1" t="str">
        <f>IF(OR($G470="",$H470="Mahsup"),"",$G470&amp;"|"&amp;COUNTIFS($G$7:$G470,$G470,$H$7:$H470,"&lt;&gt;Mahsup"))</f>
        <v>MERKEZ KASA|357</v>
      </c>
    </row>
    <row r="471" spans="1:21" ht="18" customHeight="1" x14ac:dyDescent="0.3">
      <c r="A471" s="2"/>
      <c r="B471" s="65" t="str">
        <f>IF($D471="","","T"&amp;TEXT(ROW()-6,"00000"))</f>
        <v>T00465</v>
      </c>
      <c r="C471" s="65" t="str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>M047</v>
      </c>
      <c r="D471" s="61" t="s">
        <v>654</v>
      </c>
      <c r="E471" s="66">
        <v>46221</v>
      </c>
      <c r="F471" s="67">
        <v>5000</v>
      </c>
      <c r="G471" s="60" t="s">
        <v>717</v>
      </c>
      <c r="H471" s="60" t="s">
        <v>572</v>
      </c>
      <c r="I471" s="61"/>
      <c r="J471" s="61" t="s">
        <v>720</v>
      </c>
      <c r="K471" s="61"/>
      <c r="L471" s="73">
        <f>IF($E471="","",DATE(YEAR($E471),MONTH($E471),1))</f>
        <v>46204</v>
      </c>
      <c r="M471" s="65" t="str">
        <f ca="1">IF($D471="","",IF($C471="TANIMSIZ MÜŞTERİ","HATA",IF(OR($E471="",$F471&lt;=0,$G471=""),"EKSİK",IF($E471&gt;TODAY(),"İLERİ TARİH",IF(COUNTIF($S$7:$S$2503,$S471)&gt;1,"MÜKERRER?",IF($T471&gt;0,"KAPALI DÖNEM","UYGUN"))))))</f>
        <v>UYGUN</v>
      </c>
      <c r="N471" s="74" t="str">
        <f>IF($C471="","",IF($C471="TANIMSIZ MÜŞTERİ","—",INDEX(MUSTERILER!$C$7:$C$156,MATCH($C471,MUSTERILER!$B$7:$B$156,0))))</f>
        <v>PALAOĞULLARI LTD.ŞTİ.</v>
      </c>
      <c r="O471" s="2"/>
      <c r="P471" s="2"/>
      <c r="Q471" s="1" t="str">
        <f>IF($D471="","",$C471&amp;"|"&amp;COUNTIFS($C$7:$C471,$C471))</f>
        <v>M047|18</v>
      </c>
      <c r="R471" s="1" t="str">
        <f t="shared" si="14"/>
        <v>PALAOGULLARILTDSTI</v>
      </c>
      <c r="S471" s="1" t="str">
        <f t="shared" si="15"/>
        <v>M047|46221|5000|</v>
      </c>
      <c r="T471" s="1">
        <f>IF($E471="",0,SUMPRODUCT((AY_SONU!$O$7:$O$42="Evet")*(AY_SONU!$B$7:$B$42=DATE(YEAR($E471),MONTH($E471),1))))</f>
        <v>0</v>
      </c>
      <c r="U471" s="1" t="str">
        <f>IF(OR($G471="",$H471="Mahsup"),"",$G471&amp;"|"&amp;COUNTIFS($G$7:$G471,$G471,$H$7:$H471,"&lt;&gt;Mahsup"))</f>
        <v>MERKEZ KASA|358</v>
      </c>
    </row>
    <row r="472" spans="1:21" ht="18" customHeight="1" x14ac:dyDescent="0.3">
      <c r="A472" s="2"/>
      <c r="B472" s="65" t="str">
        <f>IF($D472="","","T"&amp;TEXT(ROW()-6,"00000"))</f>
        <v>T00466</v>
      </c>
      <c r="C472" s="65" t="str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>M030</v>
      </c>
      <c r="D472" s="61" t="s">
        <v>603</v>
      </c>
      <c r="E472" s="66">
        <v>46225</v>
      </c>
      <c r="F472" s="67">
        <v>2000</v>
      </c>
      <c r="G472" s="60" t="s">
        <v>717</v>
      </c>
      <c r="H472" s="60" t="s">
        <v>572</v>
      </c>
      <c r="I472" s="61"/>
      <c r="J472" s="61" t="s">
        <v>720</v>
      </c>
      <c r="K472" s="61"/>
      <c r="L472" s="73">
        <f>IF($E472="","",DATE(YEAR($E472),MONTH($E472),1))</f>
        <v>46204</v>
      </c>
      <c r="M472" s="65" t="str">
        <f ca="1">IF($D472="","",IF($C472="TANIMSIZ MÜŞTERİ","HATA",IF(OR($E472="",$F472&lt;=0,$G472=""),"EKSİK",IF($E472&gt;TODAY(),"İLERİ TARİH",IF(COUNTIF($S$7:$S$2503,$S472)&gt;1,"MÜKERRER?",IF($T472&gt;0,"KAPALI DÖNEM","UYGUN"))))))</f>
        <v>UYGUN</v>
      </c>
      <c r="N472" s="74" t="str">
        <f>IF($C472="","",IF($C472="TANIMSIZ MÜŞTERİ","—",INDEX(MUSTERILER!$C$7:$C$156,MATCH($C472,MUSTERILER!$B$7:$B$156,0))))</f>
        <v>FARUK DEMİRCİ</v>
      </c>
      <c r="O472" s="2"/>
      <c r="P472" s="2"/>
      <c r="Q472" s="1" t="str">
        <f>IF($D472="","",$C472&amp;"|"&amp;COUNTIFS($C$7:$C472,$C472))</f>
        <v>M030|4</v>
      </c>
      <c r="R472" s="1" t="str">
        <f t="shared" si="14"/>
        <v>FARUKDEMIRCI</v>
      </c>
      <c r="S472" s="1" t="str">
        <f t="shared" si="15"/>
        <v>M030|46225|2000|</v>
      </c>
      <c r="T472" s="1">
        <f>IF($E472="",0,SUMPRODUCT((AY_SONU!$O$7:$O$42="Evet")*(AY_SONU!$B$7:$B$42=DATE(YEAR($E472),MONTH($E472),1))))</f>
        <v>0</v>
      </c>
      <c r="U472" s="1" t="str">
        <f>IF(OR($G472="",$H472="Mahsup"),"",$G472&amp;"|"&amp;COUNTIFS($G$7:$G472,$G472,$H$7:$H472,"&lt;&gt;Mahsup"))</f>
        <v>MERKEZ KASA|359</v>
      </c>
    </row>
    <row r="473" spans="1:21" ht="18" customHeight="1" x14ac:dyDescent="0.3">
      <c r="A473" s="2"/>
      <c r="B473" s="65" t="str">
        <f>IF($D473="","","T"&amp;TEXT(ROW()-6,"00000"))</f>
        <v>T00467</v>
      </c>
      <c r="C473" s="65" t="str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>M037</v>
      </c>
      <c r="D473" s="61" t="s">
        <v>625</v>
      </c>
      <c r="E473" s="66">
        <v>46225</v>
      </c>
      <c r="F473" s="67">
        <v>2000</v>
      </c>
      <c r="G473" s="60" t="s">
        <v>717</v>
      </c>
      <c r="H473" s="60" t="s">
        <v>572</v>
      </c>
      <c r="I473" s="61"/>
      <c r="J473" s="61" t="s">
        <v>720</v>
      </c>
      <c r="K473" s="61"/>
      <c r="L473" s="73">
        <f>IF($E473="","",DATE(YEAR($E473),MONTH($E473),1))</f>
        <v>46204</v>
      </c>
      <c r="M473" s="65" t="str">
        <f ca="1">IF($D473="","",IF($C473="TANIMSIZ MÜŞTERİ","HATA",IF(OR($E473="",$F473&lt;=0,$G473=""),"EKSİK",IF($E473&gt;TODAY(),"İLERİ TARİH",IF(COUNTIF($S$7:$S$2503,$S473)&gt;1,"MÜKERRER?",IF($T473&gt;0,"KAPALI DÖNEM","UYGUN"))))))</f>
        <v>UYGUN</v>
      </c>
      <c r="N473" s="74" t="str">
        <f>IF($C473="","",IF($C473="TANIMSIZ MÜŞTERİ","—",INDEX(MUSTERILER!$C$7:$C$156,MATCH($C473,MUSTERILER!$B$7:$B$156,0))))</f>
        <v>MEHMET EVREN KILINÇ</v>
      </c>
      <c r="O473" s="2"/>
      <c r="P473" s="2"/>
      <c r="Q473" s="1" t="str">
        <f>IF($D473="","",$C473&amp;"|"&amp;COUNTIFS($C$7:$C473,$C473))</f>
        <v>M037|6</v>
      </c>
      <c r="R473" s="1" t="str">
        <f t="shared" si="14"/>
        <v>MEHMETEVRENKILINC</v>
      </c>
      <c r="S473" s="1" t="str">
        <f t="shared" si="15"/>
        <v>M037|46225|2000|</v>
      </c>
      <c r="T473" s="1">
        <f>IF($E473="",0,SUMPRODUCT((AY_SONU!$O$7:$O$42="Evet")*(AY_SONU!$B$7:$B$42=DATE(YEAR($E473),MONTH($E473),1))))</f>
        <v>0</v>
      </c>
      <c r="U473" s="1" t="str">
        <f>IF(OR($G473="",$H473="Mahsup"),"",$G473&amp;"|"&amp;COUNTIFS($G$7:$G473,$G473,$H$7:$H473,"&lt;&gt;Mahsup"))</f>
        <v>MERKEZ KASA|360</v>
      </c>
    </row>
    <row r="474" spans="1:21" ht="18" customHeight="1" x14ac:dyDescent="0.3">
      <c r="A474" s="2"/>
      <c r="B474" s="65" t="str">
        <f>IF($D474="","","T"&amp;TEXT(ROW()-6,"00000"))</f>
        <v>T00468</v>
      </c>
      <c r="C474" s="65" t="str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>M048</v>
      </c>
      <c r="D474" s="61" t="s">
        <v>656</v>
      </c>
      <c r="E474" s="66">
        <v>46226</v>
      </c>
      <c r="F474" s="67">
        <v>6000</v>
      </c>
      <c r="G474" s="60" t="s">
        <v>717</v>
      </c>
      <c r="H474" s="60" t="s">
        <v>572</v>
      </c>
      <c r="I474" s="61"/>
      <c r="J474" s="61" t="s">
        <v>720</v>
      </c>
      <c r="K474" s="61"/>
      <c r="L474" s="73">
        <f>IF($E474="","",DATE(YEAR($E474),MONTH($E474),1))</f>
        <v>46204</v>
      </c>
      <c r="M474" s="65" t="str">
        <f ca="1">IF($D474="","",IF($C474="TANIMSIZ MÜŞTERİ","HATA",IF(OR($E474="",$F474&lt;=0,$G474=""),"EKSİK",IF($E474&gt;TODAY(),"İLERİ TARİH",IF(COUNTIF($S$7:$S$2503,$S474)&gt;1,"MÜKERRER?",IF($T474&gt;0,"KAPALI DÖNEM","UYGUN"))))))</f>
        <v>UYGUN</v>
      </c>
      <c r="N474" s="74" t="str">
        <f>IF($C474="","",IF($C474="TANIMSIZ MÜŞTERİ","—",INDEX(MUSTERILER!$C$7:$C$156,MATCH($C474,MUSTERILER!$B$7:$B$156,0))))</f>
        <v>RASİM DEMİRCİ</v>
      </c>
      <c r="O474" s="2"/>
      <c r="P474" s="2"/>
      <c r="Q474" s="1" t="str">
        <f>IF($D474="","",$C474&amp;"|"&amp;COUNTIFS($C$7:$C474,$C474))</f>
        <v>M048|2</v>
      </c>
      <c r="R474" s="1" t="str">
        <f t="shared" si="14"/>
        <v>RASIMDEMIRCI</v>
      </c>
      <c r="S474" s="1" t="str">
        <f t="shared" si="15"/>
        <v>M048|46226|6000|</v>
      </c>
      <c r="T474" s="1">
        <f>IF($E474="",0,SUMPRODUCT((AY_SONU!$O$7:$O$42="Evet")*(AY_SONU!$B$7:$B$42=DATE(YEAR($E474),MONTH($E474),1))))</f>
        <v>0</v>
      </c>
      <c r="U474" s="1" t="str">
        <f>IF(OR($G474="",$H474="Mahsup"),"",$G474&amp;"|"&amp;COUNTIFS($G$7:$G474,$G474,$H$7:$H474,"&lt;&gt;Mahsup"))</f>
        <v>MERKEZ KASA|361</v>
      </c>
    </row>
    <row r="475" spans="1:21" ht="18" customHeight="1" x14ac:dyDescent="0.3">
      <c r="A475" s="2"/>
      <c r="B475" s="65" t="str">
        <f>IF($D475="","","T"&amp;TEXT(ROW()-6,"00000"))</f>
        <v>T00469</v>
      </c>
      <c r="C475" s="65" t="str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>M001</v>
      </c>
      <c r="D475" s="61" t="s">
        <v>729</v>
      </c>
      <c r="E475" s="66">
        <v>46228</v>
      </c>
      <c r="F475" s="67">
        <v>4000</v>
      </c>
      <c r="G475" s="60" t="s">
        <v>717</v>
      </c>
      <c r="H475" s="60" t="s">
        <v>572</v>
      </c>
      <c r="I475" s="61"/>
      <c r="J475" s="61" t="s">
        <v>720</v>
      </c>
      <c r="K475" s="61"/>
      <c r="L475" s="73">
        <f>IF($E475="","",DATE(YEAR($E475),MONTH($E475),1))</f>
        <v>46204</v>
      </c>
      <c r="M475" s="65" t="str">
        <f ca="1">IF($D475="","",IF($C475="TANIMSIZ MÜŞTERİ","HATA",IF(OR($E475="",$F475&lt;=0,$G475=""),"EKSİK",IF($E475&gt;TODAY(),"İLERİ TARİH",IF(COUNTIF($S$7:$S$2503,$S475)&gt;1,"MÜKERRER?",IF($T475&gt;0,"KAPALI DÖNEM","UYGUN"))))))</f>
        <v>UYGUN</v>
      </c>
      <c r="N475" s="74" t="str">
        <f>IF($C475="","",IF($C475="TANIMSIZ MÜŞTERİ","—",INDEX(MUSTERILER!$C$7:$C$156,MATCH($C475,MUSTERILER!$B$7:$B$156,0))))</f>
        <v>ANKARA HAVANA LTD.ŞTİ.</v>
      </c>
      <c r="O475" s="2"/>
      <c r="P475" s="2"/>
      <c r="Q475" s="1" t="str">
        <f>IF($D475="","",$C475&amp;"|"&amp;COUNTIFS($C$7:$C475,$C475))</f>
        <v>M001|14</v>
      </c>
      <c r="R475" s="1" t="str">
        <f t="shared" si="14"/>
        <v>ANKARAHAVANALTDSTI</v>
      </c>
      <c r="S475" s="1" t="str">
        <f t="shared" si="15"/>
        <v>M001|46228|4000|</v>
      </c>
      <c r="T475" s="1">
        <f>IF($E475="",0,SUMPRODUCT((AY_SONU!$O$7:$O$42="Evet")*(AY_SONU!$B$7:$B$42=DATE(YEAR($E475),MONTH($E475),1))))</f>
        <v>0</v>
      </c>
      <c r="U475" s="1" t="str">
        <f>IF(OR($G475="",$H475="Mahsup"),"",$G475&amp;"|"&amp;COUNTIFS($G$7:$G475,$G475,$H$7:$H475,"&lt;&gt;Mahsup"))</f>
        <v>MERKEZ KASA|362</v>
      </c>
    </row>
    <row r="476" spans="1:21" ht="18" customHeight="1" x14ac:dyDescent="0.3">
      <c r="A476" s="2"/>
      <c r="B476" s="65" t="str">
        <f>IF($D476="","","T"&amp;TEXT(ROW()-6,"00000"))</f>
        <v>T00470</v>
      </c>
      <c r="C476" s="65" t="str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>M025</v>
      </c>
      <c r="D476" s="61" t="s">
        <v>583</v>
      </c>
      <c r="E476" s="66">
        <v>46228</v>
      </c>
      <c r="F476" s="67">
        <v>2000</v>
      </c>
      <c r="G476" s="60" t="s">
        <v>717</v>
      </c>
      <c r="H476" s="60" t="s">
        <v>572</v>
      </c>
      <c r="I476" s="61"/>
      <c r="J476" s="61" t="s">
        <v>720</v>
      </c>
      <c r="K476" s="61"/>
      <c r="L476" s="73">
        <f>IF($E476="","",DATE(YEAR($E476),MONTH($E476),1))</f>
        <v>46204</v>
      </c>
      <c r="M476" s="65" t="str">
        <f ca="1">IF($D476="","",IF($C476="TANIMSIZ MÜŞTERİ","HATA",IF(OR($E476="",$F476&lt;=0,$G476=""),"EKSİK",IF($E476&gt;TODAY(),"İLERİ TARİH",IF(COUNTIF($S$7:$S$2503,$S476)&gt;1,"MÜKERRER?",IF($T476&gt;0,"KAPALI DÖNEM","UYGUN"))))))</f>
        <v>UYGUN</v>
      </c>
      <c r="N476" s="74" t="str">
        <f>IF($C476="","",IF($C476="TANIMSIZ MÜŞTERİ","—",INDEX(MUSTERILER!$C$7:$C$156,MATCH($C476,MUSTERILER!$B$7:$B$156,0))))</f>
        <v>ASIM AÇIKGÖZ</v>
      </c>
      <c r="O476" s="2"/>
      <c r="P476" s="2"/>
      <c r="Q476" s="1" t="str">
        <f>IF($D476="","",$C476&amp;"|"&amp;COUNTIFS($C$7:$C476,$C476))</f>
        <v>M025|25</v>
      </c>
      <c r="R476" s="1" t="str">
        <f t="shared" si="14"/>
        <v>ASIMACIKGOZ</v>
      </c>
      <c r="S476" s="1" t="str">
        <f t="shared" si="15"/>
        <v>M025|46228|2000|</v>
      </c>
      <c r="T476" s="1">
        <f>IF($E476="",0,SUMPRODUCT((AY_SONU!$O$7:$O$42="Evet")*(AY_SONU!$B$7:$B$42=DATE(YEAR($E476),MONTH($E476),1))))</f>
        <v>0</v>
      </c>
      <c r="U476" s="1" t="str">
        <f>IF(OR($G476="",$H476="Mahsup"),"",$G476&amp;"|"&amp;COUNTIFS($G$7:$G476,$G476,$H$7:$H476,"&lt;&gt;Mahsup"))</f>
        <v>MERKEZ KASA|363</v>
      </c>
    </row>
    <row r="477" spans="1:21" ht="18" customHeight="1" x14ac:dyDescent="0.3">
      <c r="A477" s="2"/>
      <c r="B477" s="65" t="str">
        <f>IF($D477="","","T"&amp;TEXT(ROW()-6,"00000"))</f>
        <v>T00471</v>
      </c>
      <c r="C477" s="65" t="str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>M017</v>
      </c>
      <c r="D477" s="61" t="s">
        <v>585</v>
      </c>
      <c r="E477" s="66">
        <v>46228</v>
      </c>
      <c r="F477" s="67">
        <v>2500</v>
      </c>
      <c r="G477" s="60" t="s">
        <v>717</v>
      </c>
      <c r="H477" s="60" t="s">
        <v>572</v>
      </c>
      <c r="I477" s="61"/>
      <c r="J477" s="61" t="s">
        <v>720</v>
      </c>
      <c r="K477" s="61"/>
      <c r="L477" s="73">
        <f>IF($E477="","",DATE(YEAR($E477),MONTH($E477),1))</f>
        <v>46204</v>
      </c>
      <c r="M477" s="65" t="str">
        <f ca="1">IF($D477="","",IF($C477="TANIMSIZ MÜŞTERİ","HATA",IF(OR($E477="",$F477&lt;=0,$G477=""),"EKSİK",IF($E477&gt;TODAY(),"İLERİ TARİH",IF(COUNTIF($S$7:$S$2503,$S477)&gt;1,"MÜKERRER?",IF($T477&gt;0,"KAPALI DÖNEM","UYGUN"))))))</f>
        <v>UYGUN</v>
      </c>
      <c r="N477" s="74" t="str">
        <f>IF($C477="","",IF($C477="TANIMSIZ MÜŞTERİ","—",INDEX(MUSTERILER!$C$7:$C$156,MATCH($C477,MUSTERILER!$B$7:$B$156,0))))</f>
        <v>ASM EĞLENCE LTD.ŞTİ.</v>
      </c>
      <c r="O477" s="2"/>
      <c r="P477" s="2"/>
      <c r="Q477" s="1" t="str">
        <f>IF($D477="","",$C477&amp;"|"&amp;COUNTIFS($C$7:$C477,$C477))</f>
        <v>M017|25</v>
      </c>
      <c r="R477" s="1" t="str">
        <f t="shared" si="14"/>
        <v>ASMEGLENCELTDSTI</v>
      </c>
      <c r="S477" s="1" t="str">
        <f t="shared" si="15"/>
        <v>M017|46228|2500|</v>
      </c>
      <c r="T477" s="1">
        <f>IF($E477="",0,SUMPRODUCT((AY_SONU!$O$7:$O$42="Evet")*(AY_SONU!$B$7:$B$42=DATE(YEAR($E477),MONTH($E477),1))))</f>
        <v>0</v>
      </c>
      <c r="U477" s="1" t="str">
        <f>IF(OR($G477="",$H477="Mahsup"),"",$G477&amp;"|"&amp;COUNTIFS($G$7:$G477,$G477,$H$7:$H477,"&lt;&gt;Mahsup"))</f>
        <v>MERKEZ KASA|364</v>
      </c>
    </row>
    <row r="478" spans="1:21" ht="18" customHeight="1" x14ac:dyDescent="0.3">
      <c r="A478" s="2"/>
      <c r="B478" s="65" t="str">
        <f>IF($D478="","","T"&amp;TEXT(ROW()-6,"00000"))</f>
        <v>T00472</v>
      </c>
      <c r="C478" s="65" t="str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>M015</v>
      </c>
      <c r="D478" s="61" t="s">
        <v>719</v>
      </c>
      <c r="E478" s="66">
        <v>46228</v>
      </c>
      <c r="F478" s="67">
        <v>3000</v>
      </c>
      <c r="G478" s="60" t="s">
        <v>717</v>
      </c>
      <c r="H478" s="60" t="s">
        <v>572</v>
      </c>
      <c r="I478" s="61"/>
      <c r="J478" s="61" t="s">
        <v>720</v>
      </c>
      <c r="K478" s="61"/>
      <c r="L478" s="73">
        <f>IF($E478="","",DATE(YEAR($E478),MONTH($E478),1))</f>
        <v>46204</v>
      </c>
      <c r="M478" s="65" t="str">
        <f ca="1">IF($D478="","",IF($C478="TANIMSIZ MÜŞTERİ","HATA",IF(OR($E478="",$F478&lt;=0,$G478=""),"EKSİK",IF($E478&gt;TODAY(),"İLERİ TARİH",IF(COUNTIF($S$7:$S$2503,$S478)&gt;1,"MÜKERRER?",IF($T478&gt;0,"KAPALI DÖNEM","UYGUN"))))))</f>
        <v>UYGUN</v>
      </c>
      <c r="N478" s="74" t="str">
        <f>IF($C478="","",IF($C478="TANIMSIZ MÜŞTERİ","—",INDEX(MUSTERILER!$C$7:$C$156,MATCH($C478,MUSTERILER!$B$7:$B$156,0))))</f>
        <v>ÇAYIRALAN LTD.ŞTİ.</v>
      </c>
      <c r="O478" s="2"/>
      <c r="P478" s="2"/>
      <c r="Q478" s="1" t="str">
        <f>IF($D478="","",$C478&amp;"|"&amp;COUNTIFS($C$7:$C478,$C478))</f>
        <v>M015|27</v>
      </c>
      <c r="R478" s="1" t="str">
        <f t="shared" si="14"/>
        <v>CAYIRALANLTDSTI</v>
      </c>
      <c r="S478" s="1" t="str">
        <f t="shared" si="15"/>
        <v>M015|46228|3000|</v>
      </c>
      <c r="T478" s="1">
        <f>IF($E478="",0,SUMPRODUCT((AY_SONU!$O$7:$O$42="Evet")*(AY_SONU!$B$7:$B$42=DATE(YEAR($E478),MONTH($E478),1))))</f>
        <v>0</v>
      </c>
      <c r="U478" s="1" t="str">
        <f>IF(OR($G478="",$H478="Mahsup"),"",$G478&amp;"|"&amp;COUNTIFS($G$7:$G478,$G478,$H$7:$H478,"&lt;&gt;Mahsup"))</f>
        <v>MERKEZ KASA|365</v>
      </c>
    </row>
    <row r="479" spans="1:21" ht="18" customHeight="1" x14ac:dyDescent="0.3">
      <c r="A479" s="2"/>
      <c r="B479" s="65" t="str">
        <f>IF($D479="","","T"&amp;TEXT(ROW()-6,"00000"))</f>
        <v>T00473</v>
      </c>
      <c r="C479" s="65" t="str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>M011</v>
      </c>
      <c r="D479" s="61" t="s">
        <v>730</v>
      </c>
      <c r="E479" s="66">
        <v>46228</v>
      </c>
      <c r="F479" s="67">
        <v>4000</v>
      </c>
      <c r="G479" s="60" t="s">
        <v>717</v>
      </c>
      <c r="H479" s="60" t="s">
        <v>572</v>
      </c>
      <c r="I479" s="61"/>
      <c r="J479" s="61" t="s">
        <v>720</v>
      </c>
      <c r="K479" s="61"/>
      <c r="L479" s="73">
        <f>IF($E479="","",DATE(YEAR($E479),MONTH($E479),1))</f>
        <v>46204</v>
      </c>
      <c r="M479" s="65" t="str">
        <f ca="1">IF($D479="","",IF($C479="TANIMSIZ MÜŞTERİ","HATA",IF(OR($E479="",$F479&lt;=0,$G479=""),"EKSİK",IF($E479&gt;TODAY(),"İLERİ TARİH",IF(COUNTIF($S$7:$S$2503,$S479)&gt;1,"MÜKERRER?",IF($T479&gt;0,"KAPALI DÖNEM","UYGUN"))))))</f>
        <v>UYGUN</v>
      </c>
      <c r="N479" s="74" t="str">
        <f>IF($C479="","",IF($C479="TANIMSIZ MÜŞTERİ","—",INDEX(MUSTERILER!$C$7:$C$156,MATCH($C479,MUSTERILER!$B$7:$B$156,0))))</f>
        <v>EĞLENGÖR LTD.ŞTİ.</v>
      </c>
      <c r="O479" s="2"/>
      <c r="P479" s="2"/>
      <c r="Q479" s="1" t="str">
        <f>IF($D479="","",$C479&amp;"|"&amp;COUNTIFS($C$7:$C479,$C479))</f>
        <v>M011|28</v>
      </c>
      <c r="R479" s="1" t="str">
        <f t="shared" si="14"/>
        <v>EGLENGORLTDSTI</v>
      </c>
      <c r="S479" s="1" t="str">
        <f t="shared" si="15"/>
        <v>M011|46228|4000|</v>
      </c>
      <c r="T479" s="1">
        <f>IF($E479="",0,SUMPRODUCT((AY_SONU!$O$7:$O$42="Evet")*(AY_SONU!$B$7:$B$42=DATE(YEAR($E479),MONTH($E479),1))))</f>
        <v>0</v>
      </c>
      <c r="U479" s="1" t="str">
        <f>IF(OR($G479="",$H479="Mahsup"),"",$G479&amp;"|"&amp;COUNTIFS($G$7:$G479,$G479,$H$7:$H479,"&lt;&gt;Mahsup"))</f>
        <v>MERKEZ KASA|366</v>
      </c>
    </row>
    <row r="480" spans="1:21" ht="18" customHeight="1" x14ac:dyDescent="0.3">
      <c r="A480" s="2"/>
      <c r="B480" s="65" t="str">
        <f>IF($D480="","","T"&amp;TEXT(ROW()-6,"00000"))</f>
        <v>T00474</v>
      </c>
      <c r="C480" s="65" t="str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>M014</v>
      </c>
      <c r="D480" s="61" t="s">
        <v>731</v>
      </c>
      <c r="E480" s="66">
        <v>46228</v>
      </c>
      <c r="F480" s="67">
        <v>4000</v>
      </c>
      <c r="G480" s="60" t="s">
        <v>717</v>
      </c>
      <c r="H480" s="60" t="s">
        <v>572</v>
      </c>
      <c r="I480" s="61"/>
      <c r="J480" s="61" t="s">
        <v>720</v>
      </c>
      <c r="K480" s="61"/>
      <c r="L480" s="73">
        <f>IF($E480="","",DATE(YEAR($E480),MONTH($E480),1))</f>
        <v>46204</v>
      </c>
      <c r="M480" s="65" t="str">
        <f ca="1">IF($D480="","",IF($C480="TANIMSIZ MÜŞTERİ","HATA",IF(OR($E480="",$F480&lt;=0,$G480=""),"EKSİK",IF($E480&gt;TODAY(),"İLERİ TARİH",IF(COUNTIF($S$7:$S$2503,$S480)&gt;1,"MÜKERRER?",IF($T480&gt;0,"KAPALI DÖNEM","UYGUN"))))))</f>
        <v>UYGUN</v>
      </c>
      <c r="N480" s="74" t="str">
        <f>IF($C480="","",IF($C480="TANIMSIZ MÜŞTERİ","—",INDEX(MUSTERILER!$C$7:$C$156,MATCH($C480,MUSTERILER!$B$7:$B$156,0))))</f>
        <v>FİNAL SİYAH BEYAZ LTD.ŞTİ.</v>
      </c>
      <c r="O480" s="2"/>
      <c r="P480" s="2"/>
      <c r="Q480" s="1" t="str">
        <f>IF($D480="","",$C480&amp;"|"&amp;COUNTIFS($C$7:$C480,$C480))</f>
        <v>M014|27</v>
      </c>
      <c r="R480" s="1" t="str">
        <f t="shared" si="14"/>
        <v>FINALSIYAHBEYAZLTDSTI</v>
      </c>
      <c r="S480" s="1" t="str">
        <f t="shared" si="15"/>
        <v>M014|46228|4000|</v>
      </c>
      <c r="T480" s="1">
        <f>IF($E480="",0,SUMPRODUCT((AY_SONU!$O$7:$O$42="Evet")*(AY_SONU!$B$7:$B$42=DATE(YEAR($E480),MONTH($E480),1))))</f>
        <v>0</v>
      </c>
      <c r="U480" s="1" t="str">
        <f>IF(OR($G480="",$H480="Mahsup"),"",$G480&amp;"|"&amp;COUNTIFS($G$7:$G480,$G480,$H$7:$H480,"&lt;&gt;Mahsup"))</f>
        <v>MERKEZ KASA|367</v>
      </c>
    </row>
    <row r="481" spans="1:21" ht="18" customHeight="1" x14ac:dyDescent="0.3">
      <c r="A481" s="2"/>
      <c r="B481" s="65" t="str">
        <f>IF($D481="","","T"&amp;TEXT(ROW()-6,"00000"))</f>
        <v>T00475</v>
      </c>
      <c r="C481" s="65" t="str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>M012</v>
      </c>
      <c r="D481" s="61" t="s">
        <v>721</v>
      </c>
      <c r="E481" s="66">
        <v>46228</v>
      </c>
      <c r="F481" s="67">
        <v>4000</v>
      </c>
      <c r="G481" s="60" t="s">
        <v>717</v>
      </c>
      <c r="H481" s="60" t="s">
        <v>572</v>
      </c>
      <c r="I481" s="61"/>
      <c r="J481" s="61" t="s">
        <v>720</v>
      </c>
      <c r="K481" s="61"/>
      <c r="L481" s="73">
        <f>IF($E481="","",DATE(YEAR($E481),MONTH($E481),1))</f>
        <v>46204</v>
      </c>
      <c r="M481" s="65" t="str">
        <f ca="1">IF($D481="","",IF($C481="TANIMSIZ MÜŞTERİ","HATA",IF(OR($E481="",$F481&lt;=0,$G481=""),"EKSİK",IF($E481&gt;TODAY(),"İLERİ TARİH",IF(COUNTIF($S$7:$S$2503,$S481)&gt;1,"MÜKERRER?",IF($T481&gt;0,"KAPALI DÖNEM","UYGUN"))))))</f>
        <v>UYGUN</v>
      </c>
      <c r="N481" s="74" t="str">
        <f>IF($C481="","",IF($C481="TANIMSIZ MÜŞTERİ","—",INDEX(MUSTERILER!$C$7:$C$156,MATCH($C481,MUSTERILER!$B$7:$B$156,0))))</f>
        <v>İLDEŞ LTD.ŞTİ.</v>
      </c>
      <c r="O481" s="2"/>
      <c r="P481" s="2"/>
      <c r="Q481" s="1" t="str">
        <f>IF($D481="","",$C481&amp;"|"&amp;COUNTIFS($C$7:$C481,$C481))</f>
        <v>M012|27</v>
      </c>
      <c r="R481" s="1" t="str">
        <f t="shared" si="14"/>
        <v>ILDESLTDSTI</v>
      </c>
      <c r="S481" s="1" t="str">
        <f t="shared" si="15"/>
        <v>M012|46228|4000|</v>
      </c>
      <c r="T481" s="1">
        <f>IF($E481="",0,SUMPRODUCT((AY_SONU!$O$7:$O$42="Evet")*(AY_SONU!$B$7:$B$42=DATE(YEAR($E481),MONTH($E481),1))))</f>
        <v>0</v>
      </c>
      <c r="U481" s="1" t="str">
        <f>IF(OR($G481="",$H481="Mahsup"),"",$G481&amp;"|"&amp;COUNTIFS($G$7:$G481,$G481,$H$7:$H481,"&lt;&gt;Mahsup"))</f>
        <v>MERKEZ KASA|368</v>
      </c>
    </row>
    <row r="482" spans="1:21" ht="18" customHeight="1" x14ac:dyDescent="0.3">
      <c r="A482" s="2"/>
      <c r="B482" s="65" t="str">
        <f>IF($D482="","","T"&amp;TEXT(ROW()-6,"00000"))</f>
        <v>T00476</v>
      </c>
      <c r="C482" s="65" t="str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>M007</v>
      </c>
      <c r="D482" s="61" t="s">
        <v>733</v>
      </c>
      <c r="E482" s="66">
        <v>46228</v>
      </c>
      <c r="F482" s="67">
        <v>3500</v>
      </c>
      <c r="G482" s="60" t="s">
        <v>717</v>
      </c>
      <c r="H482" s="60" t="s">
        <v>572</v>
      </c>
      <c r="I482" s="61"/>
      <c r="J482" s="61" t="s">
        <v>720</v>
      </c>
      <c r="K482" s="61"/>
      <c r="L482" s="73">
        <f>IF($E482="","",DATE(YEAR($E482),MONTH($E482),1))</f>
        <v>46204</v>
      </c>
      <c r="M482" s="65" t="str">
        <f ca="1">IF($D482="","",IF($C482="TANIMSIZ MÜŞTERİ","HATA",IF(OR($E482="",$F482&lt;=0,$G482=""),"EKSİK",IF($E482&gt;TODAY(),"İLERİ TARİH",IF(COUNTIF($S$7:$S$2503,$S482)&gt;1,"MÜKERRER?",IF($T482&gt;0,"KAPALI DÖNEM","UYGUN"))))))</f>
        <v>UYGUN</v>
      </c>
      <c r="N482" s="74" t="str">
        <f>IF($C482="","",IF($C482="TANIMSIZ MÜŞTERİ","—",INDEX(MUSTERILER!$C$7:$C$156,MATCH($C482,MUSTERILER!$B$7:$B$156,0))))</f>
        <v>MONAMOUR LTD.ŞTİ.</v>
      </c>
      <c r="O482" s="2"/>
      <c r="P482" s="2"/>
      <c r="Q482" s="1" t="str">
        <f>IF($D482="","",$C482&amp;"|"&amp;COUNTIFS($C$7:$C482,$C482))</f>
        <v>M007|20</v>
      </c>
      <c r="R482" s="1" t="str">
        <f t="shared" si="14"/>
        <v>MONAMOURLTDSTI</v>
      </c>
      <c r="S482" s="1" t="str">
        <f t="shared" si="15"/>
        <v>M007|46228|3500|</v>
      </c>
      <c r="T482" s="1">
        <f>IF($E482="",0,SUMPRODUCT((AY_SONU!$O$7:$O$42="Evet")*(AY_SONU!$B$7:$B$42=DATE(YEAR($E482),MONTH($E482),1))))</f>
        <v>0</v>
      </c>
      <c r="U482" s="1" t="str">
        <f>IF(OR($G482="",$H482="Mahsup"),"",$G482&amp;"|"&amp;COUNTIFS($G$7:$G482,$G482,$H$7:$H482,"&lt;&gt;Mahsup"))</f>
        <v>MERKEZ KASA|369</v>
      </c>
    </row>
    <row r="483" spans="1:21" ht="18" customHeight="1" x14ac:dyDescent="0.3">
      <c r="A483" s="2"/>
      <c r="B483" s="65" t="str">
        <f>IF($D483="","","T"&amp;TEXT(ROW()-6,"00000"))</f>
        <v>T00477</v>
      </c>
      <c r="C483" s="65" t="str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>M013</v>
      </c>
      <c r="D483" s="61" t="s">
        <v>734</v>
      </c>
      <c r="E483" s="66">
        <v>46228</v>
      </c>
      <c r="F483" s="67">
        <v>2000</v>
      </c>
      <c r="G483" s="60" t="s">
        <v>717</v>
      </c>
      <c r="H483" s="60" t="s">
        <v>572</v>
      </c>
      <c r="I483" s="61"/>
      <c r="J483" s="61" t="s">
        <v>720</v>
      </c>
      <c r="K483" s="61"/>
      <c r="L483" s="73">
        <f>IF($E483="","",DATE(YEAR($E483),MONTH($E483),1))</f>
        <v>46204</v>
      </c>
      <c r="M483" s="65" t="str">
        <f ca="1">IF($D483="","",IF($C483="TANIMSIZ MÜŞTERİ","HATA",IF(OR($E483="",$F483&lt;=0,$G483=""),"EKSİK",IF($E483&gt;TODAY(),"İLERİ TARİH",IF(COUNTIF($S$7:$S$2503,$S483)&gt;1,"MÜKERRER?",IF($T483&gt;0,"KAPALI DÖNEM","UYGUN"))))))</f>
        <v>UYGUN</v>
      </c>
      <c r="N483" s="74" t="str">
        <f>IF($C483="","",IF($C483="TANIMSIZ MÜŞTERİ","—",INDEX(MUSTERILER!$C$7:$C$156,MATCH($C483,MUSTERILER!$B$7:$B$156,0))))</f>
        <v>NAZ 1 GIDA LTD.ŞTİ.</v>
      </c>
      <c r="O483" s="2"/>
      <c r="P483" s="2"/>
      <c r="Q483" s="1" t="str">
        <f>IF($D483="","",$C483&amp;"|"&amp;COUNTIFS($C$7:$C483,$C483))</f>
        <v>M013|20</v>
      </c>
      <c r="R483" s="1" t="str">
        <f t="shared" si="14"/>
        <v>NAZ1GIDALTDSTI</v>
      </c>
      <c r="S483" s="1" t="str">
        <f t="shared" si="15"/>
        <v>M013|46228|2000|</v>
      </c>
      <c r="T483" s="1">
        <f>IF($E483="",0,SUMPRODUCT((AY_SONU!$O$7:$O$42="Evet")*(AY_SONU!$B$7:$B$42=DATE(YEAR($E483),MONTH($E483),1))))</f>
        <v>0</v>
      </c>
      <c r="U483" s="1" t="str">
        <f>IF(OR($G483="",$H483="Mahsup"),"",$G483&amp;"|"&amp;COUNTIFS($G$7:$G483,$G483,$H$7:$H483,"&lt;&gt;Mahsup"))</f>
        <v>MERKEZ KASA|370</v>
      </c>
    </row>
    <row r="484" spans="1:21" ht="18" customHeight="1" x14ac:dyDescent="0.3">
      <c r="A484" s="2"/>
      <c r="B484" s="65" t="str">
        <f>IF($D484="","","T"&amp;TEXT(ROW()-6,"00000"))</f>
        <v>T00478</v>
      </c>
      <c r="C484" s="65" t="str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>M054</v>
      </c>
      <c r="D484" s="61" t="s">
        <v>674</v>
      </c>
      <c r="E484" s="66">
        <v>46228</v>
      </c>
      <c r="F484" s="67">
        <v>5000</v>
      </c>
      <c r="G484" s="60" t="s">
        <v>717</v>
      </c>
      <c r="H484" s="60" t="s">
        <v>572</v>
      </c>
      <c r="I484" s="61"/>
      <c r="J484" s="61" t="s">
        <v>742</v>
      </c>
      <c r="K484" s="61"/>
      <c r="L484" s="73">
        <f>IF($E484="","",DATE(YEAR($E484),MONTH($E484),1))</f>
        <v>46204</v>
      </c>
      <c r="M484" s="65" t="str">
        <f ca="1">IF($D484="","",IF($C484="TANIMSIZ MÜŞTERİ","HATA",IF(OR($E484="",$F484&lt;=0,$G484=""),"EKSİK",IF($E484&gt;TODAY(),"İLERİ TARİH",IF(COUNTIF($S$7:$S$2503,$S484)&gt;1,"MÜKERRER?",IF($T484&gt;0,"KAPALI DÖNEM","UYGUN"))))))</f>
        <v>UYGUN</v>
      </c>
      <c r="N484" s="74" t="str">
        <f>IF($C484="","",IF($C484="TANIMSIZ MÜŞTERİ","—",INDEX(MUSTERILER!$C$7:$C$156,MATCH($C484,MUSTERILER!$B$7:$B$156,0))))</f>
        <v>YALIKENT LTD.ŞTİ.</v>
      </c>
      <c r="O484" s="2"/>
      <c r="P484" s="2"/>
      <c r="Q484" s="1" t="str">
        <f>IF($D484="","",$C484&amp;"|"&amp;COUNTIFS($C$7:$C484,$C484))</f>
        <v>M054|19</v>
      </c>
      <c r="R484" s="1" t="str">
        <f t="shared" si="14"/>
        <v>YALIKENTLTDSTI</v>
      </c>
      <c r="S484" s="1" t="str">
        <f t="shared" si="15"/>
        <v>M054|46228|5000|</v>
      </c>
      <c r="T484" s="1">
        <f>IF($E484="",0,SUMPRODUCT((AY_SONU!$O$7:$O$42="Evet")*(AY_SONU!$B$7:$B$42=DATE(YEAR($E484),MONTH($E484),1))))</f>
        <v>0</v>
      </c>
      <c r="U484" s="1" t="str">
        <f>IF(OR($G484="",$H484="Mahsup"),"",$G484&amp;"|"&amp;COUNTIFS($G$7:$G484,$G484,$H$7:$H484,"&lt;&gt;Mahsup"))</f>
        <v>MERKEZ KASA|371</v>
      </c>
    </row>
    <row r="485" spans="1:21" ht="18" customHeight="1" x14ac:dyDescent="0.3">
      <c r="A485" s="2"/>
      <c r="B485" s="65" t="str">
        <f>IF($D485="","","T"&amp;TEXT(ROW()-6,"00000"))</f>
        <v>T00479</v>
      </c>
      <c r="C485" s="65" t="str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>M005</v>
      </c>
      <c r="D485" s="61" t="s">
        <v>722</v>
      </c>
      <c r="E485" s="66">
        <v>46228</v>
      </c>
      <c r="F485" s="67">
        <v>1750</v>
      </c>
      <c r="G485" s="60" t="s">
        <v>717</v>
      </c>
      <c r="H485" s="60" t="s">
        <v>572</v>
      </c>
      <c r="I485" s="61"/>
      <c r="J485" s="61" t="s">
        <v>720</v>
      </c>
      <c r="K485" s="61"/>
      <c r="L485" s="73">
        <f>IF($E485="","",DATE(YEAR($E485),MONTH($E485),1))</f>
        <v>46204</v>
      </c>
      <c r="M485" s="65" t="str">
        <f ca="1">IF($D485="","",IF($C485="TANIMSIZ MÜŞTERİ","HATA",IF(OR($E485="",$F485&lt;=0,$G485=""),"EKSİK",IF($E485&gt;TODAY(),"İLERİ TARİH",IF(COUNTIF($S$7:$S$2503,$S485)&gt;1,"MÜKERRER?",IF($T485&gt;0,"KAPALI DÖNEM","UYGUN"))))))</f>
        <v>UYGUN</v>
      </c>
      <c r="N485" s="74" t="str">
        <f>IF($C485="","",IF($C485="TANIMSIZ MÜŞTERİ","—",INDEX(MUSTERILER!$C$7:$C$156,MATCH($C485,MUSTERILER!$B$7:$B$156,0))))</f>
        <v>ZÜMRÜT GRUP LTD.ŞTİ.</v>
      </c>
      <c r="O485" s="2"/>
      <c r="P485" s="2"/>
      <c r="Q485" s="1" t="str">
        <f>IF($D485="","",$C485&amp;"|"&amp;COUNTIFS($C$7:$C485,$C485))</f>
        <v>M005|21</v>
      </c>
      <c r="R485" s="1" t="str">
        <f t="shared" si="14"/>
        <v>ZUMRUTGRUPLTDSTI</v>
      </c>
      <c r="S485" s="1" t="str">
        <f t="shared" si="15"/>
        <v>M005|46228|1750|</v>
      </c>
      <c r="T485" s="1">
        <f>IF($E485="",0,SUMPRODUCT((AY_SONU!$O$7:$O$42="Evet")*(AY_SONU!$B$7:$B$42=DATE(YEAR($E485),MONTH($E485),1))))</f>
        <v>0</v>
      </c>
      <c r="U485" s="1" t="str">
        <f>IF(OR($G485="",$H485="Mahsup"),"",$G485&amp;"|"&amp;COUNTIFS($G$7:$G485,$G485,$H$7:$H485,"&lt;&gt;Mahsup"))</f>
        <v>MERKEZ KASA|372</v>
      </c>
    </row>
    <row r="486" spans="1:21" ht="18" customHeight="1" x14ac:dyDescent="0.3">
      <c r="A486" s="2"/>
      <c r="B486" s="65" t="str">
        <f>IF($D486="","","T"&amp;TEXT(ROW()-6,"00000"))</f>
        <v>T00480</v>
      </c>
      <c r="C486" s="65" t="str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>M020</v>
      </c>
      <c r="D486" s="61" t="s">
        <v>623</v>
      </c>
      <c r="E486" s="66">
        <v>46228</v>
      </c>
      <c r="F486" s="67">
        <v>3000</v>
      </c>
      <c r="G486" s="60" t="s">
        <v>717</v>
      </c>
      <c r="H486" s="60" t="s">
        <v>572</v>
      </c>
      <c r="I486" s="61"/>
      <c r="J486" s="61" t="s">
        <v>720</v>
      </c>
      <c r="K486" s="61"/>
      <c r="L486" s="73">
        <f>IF($E486="","",DATE(YEAR($E486),MONTH($E486),1))</f>
        <v>46204</v>
      </c>
      <c r="M486" s="65" t="str">
        <f ca="1">IF($D486="","",IF($C486="TANIMSIZ MÜŞTERİ","HATA",IF(OR($E486="",$F486&lt;=0,$G486=""),"EKSİK",IF($E486&gt;TODAY(),"İLERİ TARİH",IF(COUNTIF($S$7:$S$2503,$S486)&gt;1,"MÜKERRER?",IF($T486&gt;0,"KAPALI DÖNEM","UYGUN"))))))</f>
        <v>UYGUN</v>
      </c>
      <c r="N486" s="74" t="str">
        <f>IF($C486="","",IF($C486="TANIMSIZ MÜŞTERİ","—",INDEX(MUSTERILER!$C$7:$C$156,MATCH($C486,MUSTERILER!$B$7:$B$156,0))))</f>
        <v>KRİSTAL LTD.ŞTİ.</v>
      </c>
      <c r="O486" s="2"/>
      <c r="P486" s="2"/>
      <c r="Q486" s="1" t="str">
        <f>IF($D486="","",$C486&amp;"|"&amp;COUNTIFS($C$7:$C486,$C486))</f>
        <v>M020|28</v>
      </c>
      <c r="R486" s="1" t="str">
        <f t="shared" si="14"/>
        <v>KRISTALLTDSTI</v>
      </c>
      <c r="S486" s="1" t="str">
        <f t="shared" si="15"/>
        <v>M020|46228|3000|</v>
      </c>
      <c r="T486" s="1">
        <f>IF($E486="",0,SUMPRODUCT((AY_SONU!$O$7:$O$42="Evet")*(AY_SONU!$B$7:$B$42=DATE(YEAR($E486),MONTH($E486),1))))</f>
        <v>0</v>
      </c>
      <c r="U486" s="1" t="str">
        <f>IF(OR($G486="",$H486="Mahsup"),"",$G486&amp;"|"&amp;COUNTIFS($G$7:$G486,$G486,$H$7:$H486,"&lt;&gt;Mahsup"))</f>
        <v>MERKEZ KASA|373</v>
      </c>
    </row>
    <row r="487" spans="1:21" ht="18" customHeight="1" x14ac:dyDescent="0.3">
      <c r="A487" s="2"/>
      <c r="B487" s="65" t="str">
        <f>IF($D487="","","T"&amp;TEXT(ROW()-6,"00000"))</f>
        <v>T00481</v>
      </c>
      <c r="C487" s="65" t="str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>M047</v>
      </c>
      <c r="D487" s="61" t="s">
        <v>654</v>
      </c>
      <c r="E487" s="66">
        <v>46228</v>
      </c>
      <c r="F487" s="67">
        <v>15000</v>
      </c>
      <c r="G487" s="60" t="s">
        <v>717</v>
      </c>
      <c r="H487" s="60" t="s">
        <v>572</v>
      </c>
      <c r="I487" s="61"/>
      <c r="J487" s="61" t="s">
        <v>720</v>
      </c>
      <c r="K487" s="61"/>
      <c r="L487" s="73">
        <f>IF($E487="","",DATE(YEAR($E487),MONTH($E487),1))</f>
        <v>46204</v>
      </c>
      <c r="M487" s="65" t="str">
        <f ca="1">IF($D487="","",IF($C487="TANIMSIZ MÜŞTERİ","HATA",IF(OR($E487="",$F487&lt;=0,$G487=""),"EKSİK",IF($E487&gt;TODAY(),"İLERİ TARİH",IF(COUNTIF($S$7:$S$2503,$S487)&gt;1,"MÜKERRER?",IF($T487&gt;0,"KAPALI DÖNEM","UYGUN"))))))</f>
        <v>UYGUN</v>
      </c>
      <c r="N487" s="74" t="str">
        <f>IF($C487="","",IF($C487="TANIMSIZ MÜŞTERİ","—",INDEX(MUSTERILER!$C$7:$C$156,MATCH($C487,MUSTERILER!$B$7:$B$156,0))))</f>
        <v>PALAOĞULLARI LTD.ŞTİ.</v>
      </c>
      <c r="O487" s="2"/>
      <c r="P487" s="2"/>
      <c r="Q487" s="1" t="str">
        <f>IF($D487="","",$C487&amp;"|"&amp;COUNTIFS($C$7:$C487,$C487))</f>
        <v>M047|19</v>
      </c>
      <c r="R487" s="1" t="str">
        <f t="shared" si="14"/>
        <v>PALAOGULLARILTDSTI</v>
      </c>
      <c r="S487" s="1" t="str">
        <f t="shared" si="15"/>
        <v>M047|46228|15000|</v>
      </c>
      <c r="T487" s="1">
        <f>IF($E487="",0,SUMPRODUCT((AY_SONU!$O$7:$O$42="Evet")*(AY_SONU!$B$7:$B$42=DATE(YEAR($E487),MONTH($E487),1))))</f>
        <v>0</v>
      </c>
      <c r="U487" s="1" t="str">
        <f>IF(OR($G487="",$H487="Mahsup"),"",$G487&amp;"|"&amp;COUNTIFS($G$7:$G487,$G487,$H$7:$H487,"&lt;&gt;Mahsup"))</f>
        <v>MERKEZ KASA|374</v>
      </c>
    </row>
    <row r="488" spans="1:21" ht="18" customHeight="1" x14ac:dyDescent="0.3">
      <c r="A488" s="2"/>
      <c r="B488" s="65" t="str">
        <f>IF($D488="","","T"&amp;TEXT(ROW()-6,"00000"))</f>
        <v>T00482</v>
      </c>
      <c r="C488" s="65" t="str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>M001</v>
      </c>
      <c r="D488" s="61" t="s">
        <v>729</v>
      </c>
      <c r="E488" s="66">
        <v>46235</v>
      </c>
      <c r="F488" s="67">
        <v>14000</v>
      </c>
      <c r="G488" s="60" t="s">
        <v>717</v>
      </c>
      <c r="H488" s="60" t="s">
        <v>572</v>
      </c>
      <c r="I488" s="61"/>
      <c r="J488" s="61" t="s">
        <v>720</v>
      </c>
      <c r="K488" s="61"/>
      <c r="L488" s="73">
        <f>IF($E488="","",DATE(YEAR($E488),MONTH($E488),1))</f>
        <v>46235</v>
      </c>
      <c r="M488" s="65" t="str">
        <f ca="1">IF($D488="","",IF($C488="TANIMSIZ MÜŞTERİ","HATA",IF(OR($E488="",$F488&lt;=0,$G488=""),"EKSİK",IF($E488&gt;TODAY(),"İLERİ TARİH",IF(COUNTIF($S$7:$S$2503,$S488)&gt;1,"MÜKERRER?",IF($T488&gt;0,"KAPALI DÖNEM","UYGUN"))))))</f>
        <v>UYGUN</v>
      </c>
      <c r="N488" s="74" t="str">
        <f>IF($C488="","",IF($C488="TANIMSIZ MÜŞTERİ","—",INDEX(MUSTERILER!$C$7:$C$156,MATCH($C488,MUSTERILER!$B$7:$B$156,0))))</f>
        <v>ANKARA HAVANA LTD.ŞTİ.</v>
      </c>
      <c r="O488" s="2"/>
      <c r="P488" s="2"/>
      <c r="Q488" s="1" t="str">
        <f>IF($D488="","",$C488&amp;"|"&amp;COUNTIFS($C$7:$C488,$C488))</f>
        <v>M001|15</v>
      </c>
      <c r="R488" s="1" t="str">
        <f t="shared" si="14"/>
        <v>ANKARAHAVANALTDSTI</v>
      </c>
      <c r="S488" s="1" t="str">
        <f t="shared" si="15"/>
        <v>M001|46235|14000|</v>
      </c>
      <c r="T488" s="1">
        <f>IF($E488="",0,SUMPRODUCT((AY_SONU!$O$7:$O$42="Evet")*(AY_SONU!$B$7:$B$42=DATE(YEAR($E488),MONTH($E488),1))))</f>
        <v>0</v>
      </c>
      <c r="U488" s="1" t="str">
        <f>IF(OR($G488="",$H488="Mahsup"),"",$G488&amp;"|"&amp;COUNTIFS($G$7:$G488,$G488,$H$7:$H488,"&lt;&gt;Mahsup"))</f>
        <v>MERKEZ KASA|375</v>
      </c>
    </row>
    <row r="489" spans="1:21" ht="18" customHeight="1" x14ac:dyDescent="0.3">
      <c r="A489" s="2"/>
      <c r="B489" s="65" t="str">
        <f>IF($D489="","","T"&amp;TEXT(ROW()-6,"00000"))</f>
        <v>T00483</v>
      </c>
      <c r="C489" s="65" t="str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>M025</v>
      </c>
      <c r="D489" s="61" t="s">
        <v>583</v>
      </c>
      <c r="E489" s="66">
        <v>46235</v>
      </c>
      <c r="F489" s="67">
        <v>2000</v>
      </c>
      <c r="G489" s="60" t="s">
        <v>717</v>
      </c>
      <c r="H489" s="60" t="s">
        <v>572</v>
      </c>
      <c r="I489" s="61"/>
      <c r="J489" s="61" t="s">
        <v>720</v>
      </c>
      <c r="K489" s="61"/>
      <c r="L489" s="73">
        <f>IF($E489="","",DATE(YEAR($E489),MONTH($E489),1))</f>
        <v>46235</v>
      </c>
      <c r="M489" s="65" t="str">
        <f ca="1">IF($D489="","",IF($C489="TANIMSIZ MÜŞTERİ","HATA",IF(OR($E489="",$F489&lt;=0,$G489=""),"EKSİK",IF($E489&gt;TODAY(),"İLERİ TARİH",IF(COUNTIF($S$7:$S$2503,$S489)&gt;1,"MÜKERRER?",IF($T489&gt;0,"KAPALI DÖNEM","UYGUN"))))))</f>
        <v>UYGUN</v>
      </c>
      <c r="N489" s="74" t="str">
        <f>IF($C489="","",IF($C489="TANIMSIZ MÜŞTERİ","—",INDEX(MUSTERILER!$C$7:$C$156,MATCH($C489,MUSTERILER!$B$7:$B$156,0))))</f>
        <v>ASIM AÇIKGÖZ</v>
      </c>
      <c r="O489" s="2"/>
      <c r="P489" s="2"/>
      <c r="Q489" s="1" t="str">
        <f>IF($D489="","",$C489&amp;"|"&amp;COUNTIFS($C$7:$C489,$C489))</f>
        <v>M025|26</v>
      </c>
      <c r="R489" s="1" t="str">
        <f t="shared" si="14"/>
        <v>ASIMACIKGOZ</v>
      </c>
      <c r="S489" s="1" t="str">
        <f t="shared" si="15"/>
        <v>M025|46235|2000|</v>
      </c>
      <c r="T489" s="1">
        <f>IF($E489="",0,SUMPRODUCT((AY_SONU!$O$7:$O$42="Evet")*(AY_SONU!$B$7:$B$42=DATE(YEAR($E489),MONTH($E489),1))))</f>
        <v>0</v>
      </c>
      <c r="U489" s="1" t="str">
        <f>IF(OR($G489="",$H489="Mahsup"),"",$G489&amp;"|"&amp;COUNTIFS($G$7:$G489,$G489,$H$7:$H489,"&lt;&gt;Mahsup"))</f>
        <v>MERKEZ KASA|376</v>
      </c>
    </row>
    <row r="490" spans="1:21" ht="18" customHeight="1" x14ac:dyDescent="0.3">
      <c r="A490" s="2"/>
      <c r="B490" s="65" t="str">
        <f>IF($D490="","","T"&amp;TEXT(ROW()-6,"00000"))</f>
        <v>T00484</v>
      </c>
      <c r="C490" s="65" t="str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>M017</v>
      </c>
      <c r="D490" s="61" t="s">
        <v>585</v>
      </c>
      <c r="E490" s="66">
        <v>46235</v>
      </c>
      <c r="F490" s="67">
        <v>2500</v>
      </c>
      <c r="G490" s="60" t="s">
        <v>717</v>
      </c>
      <c r="H490" s="60" t="s">
        <v>572</v>
      </c>
      <c r="I490" s="61"/>
      <c r="J490" s="61" t="s">
        <v>720</v>
      </c>
      <c r="K490" s="61"/>
      <c r="L490" s="73">
        <f>IF($E490="","",DATE(YEAR($E490),MONTH($E490),1))</f>
        <v>46235</v>
      </c>
      <c r="M490" s="65" t="str">
        <f ca="1">IF($D490="","",IF($C490="TANIMSIZ MÜŞTERİ","HATA",IF(OR($E490="",$F490&lt;=0,$G490=""),"EKSİK",IF($E490&gt;TODAY(),"İLERİ TARİH",IF(COUNTIF($S$7:$S$2503,$S490)&gt;1,"MÜKERRER?",IF($T490&gt;0,"KAPALI DÖNEM","UYGUN"))))))</f>
        <v>UYGUN</v>
      </c>
      <c r="N490" s="74" t="str">
        <f>IF($C490="","",IF($C490="TANIMSIZ MÜŞTERİ","—",INDEX(MUSTERILER!$C$7:$C$156,MATCH($C490,MUSTERILER!$B$7:$B$156,0))))</f>
        <v>ASM EĞLENCE LTD.ŞTİ.</v>
      </c>
      <c r="O490" s="2"/>
      <c r="P490" s="2"/>
      <c r="Q490" s="1" t="str">
        <f>IF($D490="","",$C490&amp;"|"&amp;COUNTIFS($C$7:$C490,$C490))</f>
        <v>M017|26</v>
      </c>
      <c r="R490" s="1" t="str">
        <f t="shared" si="14"/>
        <v>ASMEGLENCELTDSTI</v>
      </c>
      <c r="S490" s="1" t="str">
        <f t="shared" si="15"/>
        <v>M017|46235|2500|</v>
      </c>
      <c r="T490" s="1">
        <f>IF($E490="",0,SUMPRODUCT((AY_SONU!$O$7:$O$42="Evet")*(AY_SONU!$B$7:$B$42=DATE(YEAR($E490),MONTH($E490),1))))</f>
        <v>0</v>
      </c>
      <c r="U490" s="1" t="str">
        <f>IF(OR($G490="",$H490="Mahsup"),"",$G490&amp;"|"&amp;COUNTIFS($G$7:$G490,$G490,$H$7:$H490,"&lt;&gt;Mahsup"))</f>
        <v>MERKEZ KASA|377</v>
      </c>
    </row>
    <row r="491" spans="1:21" ht="18" customHeight="1" x14ac:dyDescent="0.3">
      <c r="A491" s="2"/>
      <c r="B491" s="65" t="str">
        <f>IF($D491="","","T"&amp;TEXT(ROW()-6,"00000"))</f>
        <v>T00485</v>
      </c>
      <c r="C491" s="65" t="str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>M011</v>
      </c>
      <c r="D491" s="61" t="s">
        <v>730</v>
      </c>
      <c r="E491" s="66">
        <v>46235</v>
      </c>
      <c r="F491" s="67">
        <v>4000</v>
      </c>
      <c r="G491" s="60" t="s">
        <v>717</v>
      </c>
      <c r="H491" s="60" t="s">
        <v>572</v>
      </c>
      <c r="I491" s="61"/>
      <c r="J491" s="61" t="s">
        <v>720</v>
      </c>
      <c r="K491" s="61"/>
      <c r="L491" s="73">
        <f>IF($E491="","",DATE(YEAR($E491),MONTH($E491),1))</f>
        <v>46235</v>
      </c>
      <c r="M491" s="65" t="str">
        <f ca="1">IF($D491="","",IF($C491="TANIMSIZ MÜŞTERİ","HATA",IF(OR($E491="",$F491&lt;=0,$G491=""),"EKSİK",IF($E491&gt;TODAY(),"İLERİ TARİH",IF(COUNTIF($S$7:$S$2503,$S491)&gt;1,"MÜKERRER?",IF($T491&gt;0,"KAPALI DÖNEM","UYGUN"))))))</f>
        <v>UYGUN</v>
      </c>
      <c r="N491" s="74" t="str">
        <f>IF($C491="","",IF($C491="TANIMSIZ MÜŞTERİ","—",INDEX(MUSTERILER!$C$7:$C$156,MATCH($C491,MUSTERILER!$B$7:$B$156,0))))</f>
        <v>EĞLENGÖR LTD.ŞTİ.</v>
      </c>
      <c r="O491" s="2"/>
      <c r="P491" s="2"/>
      <c r="Q491" s="1" t="str">
        <f>IF($D491="","",$C491&amp;"|"&amp;COUNTIFS($C$7:$C491,$C491))</f>
        <v>M011|29</v>
      </c>
      <c r="R491" s="1" t="str">
        <f t="shared" si="14"/>
        <v>EGLENGORLTDSTI</v>
      </c>
      <c r="S491" s="1" t="str">
        <f t="shared" si="15"/>
        <v>M011|46235|4000|</v>
      </c>
      <c r="T491" s="1">
        <f>IF($E491="",0,SUMPRODUCT((AY_SONU!$O$7:$O$42="Evet")*(AY_SONU!$B$7:$B$42=DATE(YEAR($E491),MONTH($E491),1))))</f>
        <v>0</v>
      </c>
      <c r="U491" s="1" t="str">
        <f>IF(OR($G491="",$H491="Mahsup"),"",$G491&amp;"|"&amp;COUNTIFS($G$7:$G491,$G491,$H$7:$H491,"&lt;&gt;Mahsup"))</f>
        <v>MERKEZ KASA|378</v>
      </c>
    </row>
    <row r="492" spans="1:21" ht="18" customHeight="1" x14ac:dyDescent="0.3">
      <c r="A492" s="2"/>
      <c r="B492" s="65" t="str">
        <f>IF($D492="","","T"&amp;TEXT(ROW()-6,"00000"))</f>
        <v>T00486</v>
      </c>
      <c r="C492" s="65" t="str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>M014</v>
      </c>
      <c r="D492" s="61" t="s">
        <v>731</v>
      </c>
      <c r="E492" s="66">
        <v>46235</v>
      </c>
      <c r="F492" s="67">
        <v>4000</v>
      </c>
      <c r="G492" s="60" t="s">
        <v>717</v>
      </c>
      <c r="H492" s="60" t="s">
        <v>572</v>
      </c>
      <c r="I492" s="61"/>
      <c r="J492" s="61" t="s">
        <v>720</v>
      </c>
      <c r="K492" s="61"/>
      <c r="L492" s="73">
        <f>IF($E492="","",DATE(YEAR($E492),MONTH($E492),1))</f>
        <v>46235</v>
      </c>
      <c r="M492" s="65" t="str">
        <f ca="1">IF($D492="","",IF($C492="TANIMSIZ MÜŞTERİ","HATA",IF(OR($E492="",$F492&lt;=0,$G492=""),"EKSİK",IF($E492&gt;TODAY(),"İLERİ TARİH",IF(COUNTIF($S$7:$S$2503,$S492)&gt;1,"MÜKERRER?",IF($T492&gt;0,"KAPALI DÖNEM","UYGUN"))))))</f>
        <v>UYGUN</v>
      </c>
      <c r="N492" s="74" t="str">
        <f>IF($C492="","",IF($C492="TANIMSIZ MÜŞTERİ","—",INDEX(MUSTERILER!$C$7:$C$156,MATCH($C492,MUSTERILER!$B$7:$B$156,0))))</f>
        <v>FİNAL SİYAH BEYAZ LTD.ŞTİ.</v>
      </c>
      <c r="O492" s="2"/>
      <c r="P492" s="2"/>
      <c r="Q492" s="1" t="str">
        <f>IF($D492="","",$C492&amp;"|"&amp;COUNTIFS($C$7:$C492,$C492))</f>
        <v>M014|28</v>
      </c>
      <c r="R492" s="1" t="str">
        <f t="shared" si="14"/>
        <v>FINALSIYAHBEYAZLTDSTI</v>
      </c>
      <c r="S492" s="1" t="str">
        <f t="shared" si="15"/>
        <v>M014|46235|4000|</v>
      </c>
      <c r="T492" s="1">
        <f>IF($E492="",0,SUMPRODUCT((AY_SONU!$O$7:$O$42="Evet")*(AY_SONU!$B$7:$B$42=DATE(YEAR($E492),MONTH($E492),1))))</f>
        <v>0</v>
      </c>
      <c r="U492" s="1" t="str">
        <f>IF(OR($G492="",$H492="Mahsup"),"",$G492&amp;"|"&amp;COUNTIFS($G$7:$G492,$G492,$H$7:$H492,"&lt;&gt;Mahsup"))</f>
        <v>MERKEZ KASA|379</v>
      </c>
    </row>
    <row r="493" spans="1:21" ht="18" customHeight="1" x14ac:dyDescent="0.3">
      <c r="A493" s="2"/>
      <c r="B493" s="65" t="str">
        <f>IF($D493="","","T"&amp;TEXT(ROW()-6,"00000"))</f>
        <v>T00487</v>
      </c>
      <c r="C493" s="65" t="str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>M007</v>
      </c>
      <c r="D493" s="61" t="s">
        <v>733</v>
      </c>
      <c r="E493" s="66">
        <v>46235</v>
      </c>
      <c r="F493" s="67">
        <v>3500</v>
      </c>
      <c r="G493" s="60" t="s">
        <v>717</v>
      </c>
      <c r="H493" s="60" t="s">
        <v>572</v>
      </c>
      <c r="I493" s="61"/>
      <c r="J493" s="61" t="s">
        <v>720</v>
      </c>
      <c r="K493" s="61"/>
      <c r="L493" s="73">
        <f>IF($E493="","",DATE(YEAR($E493),MONTH($E493),1))</f>
        <v>46235</v>
      </c>
      <c r="M493" s="65" t="str">
        <f ca="1">IF($D493="","",IF($C493="TANIMSIZ MÜŞTERİ","HATA",IF(OR($E493="",$F493&lt;=0,$G493=""),"EKSİK",IF($E493&gt;TODAY(),"İLERİ TARİH",IF(COUNTIF($S$7:$S$2503,$S493)&gt;1,"MÜKERRER?",IF($T493&gt;0,"KAPALI DÖNEM","UYGUN"))))))</f>
        <v>UYGUN</v>
      </c>
      <c r="N493" s="74" t="str">
        <f>IF($C493="","",IF($C493="TANIMSIZ MÜŞTERİ","—",INDEX(MUSTERILER!$C$7:$C$156,MATCH($C493,MUSTERILER!$B$7:$B$156,0))))</f>
        <v>MONAMOUR LTD.ŞTİ.</v>
      </c>
      <c r="O493" s="2"/>
      <c r="P493" s="2"/>
      <c r="Q493" s="1" t="str">
        <f>IF($D493="","",$C493&amp;"|"&amp;COUNTIFS($C$7:$C493,$C493))</f>
        <v>M007|21</v>
      </c>
      <c r="R493" s="1" t="str">
        <f t="shared" si="14"/>
        <v>MONAMOURLTDSTI</v>
      </c>
      <c r="S493" s="1" t="str">
        <f t="shared" si="15"/>
        <v>M007|46235|3500|</v>
      </c>
      <c r="T493" s="1">
        <f>IF($E493="",0,SUMPRODUCT((AY_SONU!$O$7:$O$42="Evet")*(AY_SONU!$B$7:$B$42=DATE(YEAR($E493),MONTH($E493),1))))</f>
        <v>0</v>
      </c>
      <c r="U493" s="1" t="str">
        <f>IF(OR($G493="",$H493="Mahsup"),"",$G493&amp;"|"&amp;COUNTIFS($G$7:$G493,$G493,$H$7:$H493,"&lt;&gt;Mahsup"))</f>
        <v>MERKEZ KASA|380</v>
      </c>
    </row>
    <row r="494" spans="1:21" ht="18" customHeight="1" x14ac:dyDescent="0.3">
      <c r="A494" s="2"/>
      <c r="B494" s="65" t="str">
        <f>IF($D494="","","T"&amp;TEXT(ROW()-6,"00000"))</f>
        <v>T00488</v>
      </c>
      <c r="C494" s="65" t="str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>M013</v>
      </c>
      <c r="D494" s="61" t="s">
        <v>734</v>
      </c>
      <c r="E494" s="66">
        <v>46235</v>
      </c>
      <c r="F494" s="67">
        <v>2000</v>
      </c>
      <c r="G494" s="60" t="s">
        <v>717</v>
      </c>
      <c r="H494" s="60" t="s">
        <v>572</v>
      </c>
      <c r="I494" s="61"/>
      <c r="J494" s="61" t="s">
        <v>720</v>
      </c>
      <c r="K494" s="61"/>
      <c r="L494" s="73">
        <f>IF($E494="","",DATE(YEAR($E494),MONTH($E494),1))</f>
        <v>46235</v>
      </c>
      <c r="M494" s="65" t="str">
        <f ca="1">IF($D494="","",IF($C494="TANIMSIZ MÜŞTERİ","HATA",IF(OR($E494="",$F494&lt;=0,$G494=""),"EKSİK",IF($E494&gt;TODAY(),"İLERİ TARİH",IF(COUNTIF($S$7:$S$2503,$S494)&gt;1,"MÜKERRER?",IF($T494&gt;0,"KAPALI DÖNEM","UYGUN"))))))</f>
        <v>UYGUN</v>
      </c>
      <c r="N494" s="74" t="str">
        <f>IF($C494="","",IF($C494="TANIMSIZ MÜŞTERİ","—",INDEX(MUSTERILER!$C$7:$C$156,MATCH($C494,MUSTERILER!$B$7:$B$156,0))))</f>
        <v>NAZ 1 GIDA LTD.ŞTİ.</v>
      </c>
      <c r="O494" s="2"/>
      <c r="P494" s="2"/>
      <c r="Q494" s="1" t="str">
        <f>IF($D494="","",$C494&amp;"|"&amp;COUNTIFS($C$7:$C494,$C494))</f>
        <v>M013|21</v>
      </c>
      <c r="R494" s="1" t="str">
        <f t="shared" si="14"/>
        <v>NAZ1GIDALTDSTI</v>
      </c>
      <c r="S494" s="1" t="str">
        <f t="shared" si="15"/>
        <v>M013|46235|2000|</v>
      </c>
      <c r="T494" s="1">
        <f>IF($E494="",0,SUMPRODUCT((AY_SONU!$O$7:$O$42="Evet")*(AY_SONU!$B$7:$B$42=DATE(YEAR($E494),MONTH($E494),1))))</f>
        <v>0</v>
      </c>
      <c r="U494" s="1" t="str">
        <f>IF(OR($G494="",$H494="Mahsup"),"",$G494&amp;"|"&amp;COUNTIFS($G$7:$G494,$G494,$H$7:$H494,"&lt;&gt;Mahsup"))</f>
        <v>MERKEZ KASA|381</v>
      </c>
    </row>
    <row r="495" spans="1:21" ht="18" customHeight="1" x14ac:dyDescent="0.3">
      <c r="A495" s="2"/>
      <c r="B495" s="65" t="str">
        <f>IF($D495="","","T"&amp;TEXT(ROW()-6,"00000"))</f>
        <v>T00489</v>
      </c>
      <c r="C495" s="65" t="str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>M009</v>
      </c>
      <c r="D495" s="61" t="s">
        <v>735</v>
      </c>
      <c r="E495" s="66">
        <v>46235</v>
      </c>
      <c r="F495" s="67">
        <v>4000</v>
      </c>
      <c r="G495" s="60" t="s">
        <v>717</v>
      </c>
      <c r="H495" s="60" t="s">
        <v>572</v>
      </c>
      <c r="I495" s="61"/>
      <c r="J495" s="61" t="s">
        <v>720</v>
      </c>
      <c r="K495" s="61"/>
      <c r="L495" s="73">
        <f>IF($E495="","",DATE(YEAR($E495),MONTH($E495),1))</f>
        <v>46235</v>
      </c>
      <c r="M495" s="65" t="str">
        <f ca="1">IF($D495="","",IF($C495="TANIMSIZ MÜŞTERİ","HATA",IF(OR($E495="",$F495&lt;=0,$G495=""),"EKSİK",IF($E495&gt;TODAY(),"İLERİ TARİH",IF(COUNTIF($S$7:$S$2503,$S495)&gt;1,"MÜKERRER?",IF($T495&gt;0,"KAPALI DÖNEM","UYGUN"))))))</f>
        <v>UYGUN</v>
      </c>
      <c r="N495" s="74" t="str">
        <f>IF($C495="","",IF($C495="TANIMSIZ MÜŞTERİ","—",INDEX(MUSTERILER!$C$7:$C$156,MATCH($C495,MUSTERILER!$B$7:$B$156,0))))</f>
        <v>PAKYILDIZ LTD.ŞTİ.</v>
      </c>
      <c r="O495" s="2"/>
      <c r="P495" s="2"/>
      <c r="Q495" s="1" t="str">
        <f>IF($D495="","",$C495&amp;"|"&amp;COUNTIFS($C$7:$C495,$C495))</f>
        <v>M009|26</v>
      </c>
      <c r="R495" s="1" t="str">
        <f t="shared" si="14"/>
        <v>PAKYILDIZLTDSTI</v>
      </c>
      <c r="S495" s="1" t="str">
        <f t="shared" si="15"/>
        <v>M009|46235|4000|</v>
      </c>
      <c r="T495" s="1">
        <f>IF($E495="",0,SUMPRODUCT((AY_SONU!$O$7:$O$42="Evet")*(AY_SONU!$B$7:$B$42=DATE(YEAR($E495),MONTH($E495),1))))</f>
        <v>0</v>
      </c>
      <c r="U495" s="1" t="str">
        <f>IF(OR($G495="",$H495="Mahsup"),"",$G495&amp;"|"&amp;COUNTIFS($G$7:$G495,$G495,$H$7:$H495,"&lt;&gt;Mahsup"))</f>
        <v>MERKEZ KASA|382</v>
      </c>
    </row>
    <row r="496" spans="1:21" ht="18" customHeight="1" x14ac:dyDescent="0.3">
      <c r="A496" s="2"/>
      <c r="B496" s="65" t="str">
        <f>IF($D496="","","T"&amp;TEXT(ROW()-6,"00000"))</f>
        <v>T00490</v>
      </c>
      <c r="C496" s="65" t="str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>M016</v>
      </c>
      <c r="D496" s="61" t="s">
        <v>736</v>
      </c>
      <c r="E496" s="66">
        <v>46235</v>
      </c>
      <c r="F496" s="67">
        <v>3000</v>
      </c>
      <c r="G496" s="60" t="s">
        <v>717</v>
      </c>
      <c r="H496" s="60" t="s">
        <v>572</v>
      </c>
      <c r="I496" s="61"/>
      <c r="J496" s="61" t="s">
        <v>720</v>
      </c>
      <c r="K496" s="61"/>
      <c r="L496" s="73">
        <f>IF($E496="","",DATE(YEAR($E496),MONTH($E496),1))</f>
        <v>46235</v>
      </c>
      <c r="M496" s="65" t="str">
        <f ca="1">IF($D496="","",IF($C496="TANIMSIZ MÜŞTERİ","HATA",IF(OR($E496="",$F496&lt;=0,$G496=""),"EKSİK",IF($E496&gt;TODAY(),"İLERİ TARİH",IF(COUNTIF($S$7:$S$2503,$S496)&gt;1,"MÜKERRER?",IF($T496&gt;0,"KAPALI DÖNEM","UYGUN"))))))</f>
        <v>UYGUN</v>
      </c>
      <c r="N496" s="74" t="str">
        <f>IF($C496="","",IF($C496="TANIMSIZ MÜŞTERİ","—",INDEX(MUSTERILER!$C$7:$C$156,MATCH($C496,MUSTERILER!$B$7:$B$156,0))))</f>
        <v>RİX ŞOW LTD.ŞTİ.</v>
      </c>
      <c r="O496" s="2"/>
      <c r="P496" s="2"/>
      <c r="Q496" s="1" t="str">
        <f>IF($D496="","",$C496&amp;"|"&amp;COUNTIFS($C$7:$C496,$C496))</f>
        <v>M016|28</v>
      </c>
      <c r="R496" s="1" t="str">
        <f t="shared" si="14"/>
        <v>RIXSOWLTDSTI</v>
      </c>
      <c r="S496" s="1" t="str">
        <f t="shared" si="15"/>
        <v>M016|46235|3000|</v>
      </c>
      <c r="T496" s="1">
        <f>IF($E496="",0,SUMPRODUCT((AY_SONU!$O$7:$O$42="Evet")*(AY_SONU!$B$7:$B$42=DATE(YEAR($E496),MONTH($E496),1))))</f>
        <v>0</v>
      </c>
      <c r="U496" s="1" t="str">
        <f>IF(OR($G496="",$H496="Mahsup"),"",$G496&amp;"|"&amp;COUNTIFS($G$7:$G496,$G496,$H$7:$H496,"&lt;&gt;Mahsup"))</f>
        <v>MERKEZ KASA|383</v>
      </c>
    </row>
    <row r="497" spans="1:21" ht="18" customHeight="1" x14ac:dyDescent="0.3">
      <c r="A497" s="2"/>
      <c r="B497" s="65" t="str">
        <f>IF($D497="","","T"&amp;TEXT(ROW()-6,"00000"))</f>
        <v>T00491</v>
      </c>
      <c r="C497" s="65" t="str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>M054</v>
      </c>
      <c r="D497" s="61" t="s">
        <v>674</v>
      </c>
      <c r="E497" s="66">
        <v>46235</v>
      </c>
      <c r="F497" s="67">
        <v>5000</v>
      </c>
      <c r="G497" s="60" t="s">
        <v>717</v>
      </c>
      <c r="H497" s="60" t="s">
        <v>572</v>
      </c>
      <c r="I497" s="61"/>
      <c r="J497" s="61" t="s">
        <v>742</v>
      </c>
      <c r="K497" s="61"/>
      <c r="L497" s="73">
        <f>IF($E497="","",DATE(YEAR($E497),MONTH($E497),1))</f>
        <v>46235</v>
      </c>
      <c r="M497" s="65" t="str">
        <f ca="1">IF($D497="","",IF($C497="TANIMSIZ MÜŞTERİ","HATA",IF(OR($E497="",$F497&lt;=0,$G497=""),"EKSİK",IF($E497&gt;TODAY(),"İLERİ TARİH",IF(COUNTIF($S$7:$S$2503,$S497)&gt;1,"MÜKERRER?",IF($T497&gt;0,"KAPALI DÖNEM","UYGUN"))))))</f>
        <v>UYGUN</v>
      </c>
      <c r="N497" s="74" t="str">
        <f>IF($C497="","",IF($C497="TANIMSIZ MÜŞTERİ","—",INDEX(MUSTERILER!$C$7:$C$156,MATCH($C497,MUSTERILER!$B$7:$B$156,0))))</f>
        <v>YALIKENT LTD.ŞTİ.</v>
      </c>
      <c r="O497" s="2"/>
      <c r="P497" s="2"/>
      <c r="Q497" s="1" t="str">
        <f>IF($D497="","",$C497&amp;"|"&amp;COUNTIFS($C$7:$C497,$C497))</f>
        <v>M054|20</v>
      </c>
      <c r="R497" s="1" t="str">
        <f t="shared" si="14"/>
        <v>YALIKENTLTDSTI</v>
      </c>
      <c r="S497" s="1" t="str">
        <f t="shared" si="15"/>
        <v>M054|46235|5000|</v>
      </c>
      <c r="T497" s="1">
        <f>IF($E497="",0,SUMPRODUCT((AY_SONU!$O$7:$O$42="Evet")*(AY_SONU!$B$7:$B$42=DATE(YEAR($E497),MONTH($E497),1))))</f>
        <v>0</v>
      </c>
      <c r="U497" s="1" t="str">
        <f>IF(OR($G497="",$H497="Mahsup"),"",$G497&amp;"|"&amp;COUNTIFS($G$7:$G497,$G497,$H$7:$H497,"&lt;&gt;Mahsup"))</f>
        <v>MERKEZ KASA|384</v>
      </c>
    </row>
    <row r="498" spans="1:21" ht="18" customHeight="1" x14ac:dyDescent="0.3">
      <c r="A498" s="2"/>
      <c r="B498" s="65" t="str">
        <f>IF($D498="","","T"&amp;TEXT(ROW()-6,"00000"))</f>
        <v>T00492</v>
      </c>
      <c r="C498" s="65" t="str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>M005</v>
      </c>
      <c r="D498" s="61" t="s">
        <v>722</v>
      </c>
      <c r="E498" s="66">
        <v>46235</v>
      </c>
      <c r="F498" s="67">
        <v>1750</v>
      </c>
      <c r="G498" s="60" t="s">
        <v>717</v>
      </c>
      <c r="H498" s="60" t="s">
        <v>572</v>
      </c>
      <c r="I498" s="61"/>
      <c r="J498" s="61" t="s">
        <v>720</v>
      </c>
      <c r="K498" s="61"/>
      <c r="L498" s="73">
        <f>IF($E498="","",DATE(YEAR($E498),MONTH($E498),1))</f>
        <v>46235</v>
      </c>
      <c r="M498" s="65" t="str">
        <f ca="1">IF($D498="","",IF($C498="TANIMSIZ MÜŞTERİ","HATA",IF(OR($E498="",$F498&lt;=0,$G498=""),"EKSİK",IF($E498&gt;TODAY(),"İLERİ TARİH",IF(COUNTIF($S$7:$S$2503,$S498)&gt;1,"MÜKERRER?",IF($T498&gt;0,"KAPALI DÖNEM","UYGUN"))))))</f>
        <v>UYGUN</v>
      </c>
      <c r="N498" s="74" t="str">
        <f>IF($C498="","",IF($C498="TANIMSIZ MÜŞTERİ","—",INDEX(MUSTERILER!$C$7:$C$156,MATCH($C498,MUSTERILER!$B$7:$B$156,0))))</f>
        <v>ZÜMRÜT GRUP LTD.ŞTİ.</v>
      </c>
      <c r="O498" s="2"/>
      <c r="P498" s="2"/>
      <c r="Q498" s="1" t="str">
        <f>IF($D498="","",$C498&amp;"|"&amp;COUNTIFS($C$7:$C498,$C498))</f>
        <v>M005|22</v>
      </c>
      <c r="R498" s="1" t="str">
        <f t="shared" si="14"/>
        <v>ZUMRUTGRUPLTDSTI</v>
      </c>
      <c r="S498" s="1" t="str">
        <f t="shared" si="15"/>
        <v>M005|46235|1750|</v>
      </c>
      <c r="T498" s="1">
        <f>IF($E498="",0,SUMPRODUCT((AY_SONU!$O$7:$O$42="Evet")*(AY_SONU!$B$7:$B$42=DATE(YEAR($E498),MONTH($E498),1))))</f>
        <v>0</v>
      </c>
      <c r="U498" s="1" t="str">
        <f>IF(OR($G498="",$H498="Mahsup"),"",$G498&amp;"|"&amp;COUNTIFS($G$7:$G498,$G498,$H$7:$H498,"&lt;&gt;Mahsup"))</f>
        <v>MERKEZ KASA|385</v>
      </c>
    </row>
    <row r="499" spans="1:21" ht="18" customHeight="1" x14ac:dyDescent="0.3">
      <c r="A499" s="2"/>
      <c r="B499" s="65" t="str">
        <f>IF($D499="","","T"&amp;TEXT(ROW()-6,"00000"))</f>
        <v>T00493</v>
      </c>
      <c r="C499" s="65" t="str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>M018</v>
      </c>
      <c r="D499" s="61" t="s">
        <v>593</v>
      </c>
      <c r="E499" s="66">
        <v>46235</v>
      </c>
      <c r="F499" s="67">
        <v>4000</v>
      </c>
      <c r="G499" s="60" t="s">
        <v>717</v>
      </c>
      <c r="H499" s="60" t="s">
        <v>572</v>
      </c>
      <c r="I499" s="61"/>
      <c r="J499" s="61" t="s">
        <v>720</v>
      </c>
      <c r="K499" s="61"/>
      <c r="L499" s="73">
        <f>IF($E499="","",DATE(YEAR($E499),MONTH($E499),1))</f>
        <v>46235</v>
      </c>
      <c r="M499" s="65" t="str">
        <f ca="1">IF($D499="","",IF($C499="TANIMSIZ MÜŞTERİ","HATA",IF(OR($E499="",$F499&lt;=0,$G499=""),"EKSİK",IF($E499&gt;TODAY(),"İLERİ TARİH",IF(COUNTIF($S$7:$S$2503,$S499)&gt;1,"MÜKERRER?",IF($T499&gt;0,"KAPALI DÖNEM","UYGUN"))))))</f>
        <v>UYGUN</v>
      </c>
      <c r="N499" s="74" t="str">
        <f>IF($C499="","",IF($C499="TANIMSIZ MÜŞTERİ","—",INDEX(MUSTERILER!$C$7:$C$156,MATCH($C499,MUSTERILER!$B$7:$B$156,0))))</f>
        <v>ÇINARHAN LTD.ŞTİ.</v>
      </c>
      <c r="O499" s="2"/>
      <c r="P499" s="2"/>
      <c r="Q499" s="1" t="str">
        <f>IF($D499="","",$C499&amp;"|"&amp;COUNTIFS($C$7:$C499,$C499))</f>
        <v>M018|20</v>
      </c>
      <c r="R499" s="1" t="str">
        <f t="shared" si="14"/>
        <v>CINARHANLTDSTI</v>
      </c>
      <c r="S499" s="1" t="str">
        <f t="shared" si="15"/>
        <v>M018|46235|4000|</v>
      </c>
      <c r="T499" s="1">
        <f>IF($E499="",0,SUMPRODUCT((AY_SONU!$O$7:$O$42="Evet")*(AY_SONU!$B$7:$B$42=DATE(YEAR($E499),MONTH($E499),1))))</f>
        <v>0</v>
      </c>
      <c r="U499" s="1" t="str">
        <f>IF(OR($G499="",$H499="Mahsup"),"",$G499&amp;"|"&amp;COUNTIFS($G$7:$G499,$G499,$H$7:$H499,"&lt;&gt;Mahsup"))</f>
        <v>MERKEZ KASA|386</v>
      </c>
    </row>
    <row r="500" spans="1:21" ht="18" customHeight="1" x14ac:dyDescent="0.3">
      <c r="A500" s="2"/>
      <c r="B500" s="65" t="str">
        <f>IF($D500="","","T"&amp;TEXT(ROW()-6,"00000"))</f>
        <v>T00494</v>
      </c>
      <c r="C500" s="65" t="str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>M018</v>
      </c>
      <c r="D500" s="61" t="s">
        <v>593</v>
      </c>
      <c r="E500" s="66">
        <v>46235</v>
      </c>
      <c r="F500" s="67">
        <v>4500</v>
      </c>
      <c r="G500" s="60" t="s">
        <v>717</v>
      </c>
      <c r="H500" s="60" t="s">
        <v>572</v>
      </c>
      <c r="I500" s="61"/>
      <c r="J500" s="61" t="s">
        <v>720</v>
      </c>
      <c r="K500" s="61"/>
      <c r="L500" s="73">
        <f>IF($E500="","",DATE(YEAR($E500),MONTH($E500),1))</f>
        <v>46235</v>
      </c>
      <c r="M500" s="65" t="str">
        <f ca="1">IF($D500="","",IF($C500="TANIMSIZ MÜŞTERİ","HATA",IF(OR($E500="",$F500&lt;=0,$G500=""),"EKSİK",IF($E500&gt;TODAY(),"İLERİ TARİH",IF(COUNTIF($S$7:$S$2503,$S500)&gt;1,"MÜKERRER?",IF($T500&gt;0,"KAPALI DÖNEM","UYGUN"))))))</f>
        <v>UYGUN</v>
      </c>
      <c r="N500" s="74" t="str">
        <f>IF($C500="","",IF($C500="TANIMSIZ MÜŞTERİ","—",INDEX(MUSTERILER!$C$7:$C$156,MATCH($C500,MUSTERILER!$B$7:$B$156,0))))</f>
        <v>ÇINARHAN LTD.ŞTİ.</v>
      </c>
      <c r="O500" s="2"/>
      <c r="P500" s="2"/>
      <c r="Q500" s="1" t="str">
        <f>IF($D500="","",$C500&amp;"|"&amp;COUNTIFS($C$7:$C500,$C500))</f>
        <v>M018|21</v>
      </c>
      <c r="R500" s="1" t="str">
        <f t="shared" si="14"/>
        <v>CINARHANLTDSTI</v>
      </c>
      <c r="S500" s="1" t="str">
        <f t="shared" si="15"/>
        <v>M018|46235|4500|</v>
      </c>
      <c r="T500" s="1">
        <f>IF($E500="",0,SUMPRODUCT((AY_SONU!$O$7:$O$42="Evet")*(AY_SONU!$B$7:$B$42=DATE(YEAR($E500),MONTH($E500),1))))</f>
        <v>0</v>
      </c>
      <c r="U500" s="1" t="str">
        <f>IF(OR($G500="",$H500="Mahsup"),"",$G500&amp;"|"&amp;COUNTIFS($G$7:$G500,$G500,$H$7:$H500,"&lt;&gt;Mahsup"))</f>
        <v>MERKEZ KASA|387</v>
      </c>
    </row>
    <row r="501" spans="1:21" ht="18" customHeight="1" x14ac:dyDescent="0.3">
      <c r="A501" s="2"/>
      <c r="B501" s="65" t="str">
        <f>IF($D501="","","T"&amp;TEXT(ROW()-6,"00000"))</f>
        <v>T00495</v>
      </c>
      <c r="C501" s="65" t="str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>M020</v>
      </c>
      <c r="D501" s="61" t="s">
        <v>623</v>
      </c>
      <c r="E501" s="66">
        <v>46235</v>
      </c>
      <c r="F501" s="67">
        <v>2000</v>
      </c>
      <c r="G501" s="60" t="s">
        <v>717</v>
      </c>
      <c r="H501" s="60" t="s">
        <v>572</v>
      </c>
      <c r="I501" s="61"/>
      <c r="J501" s="61" t="s">
        <v>720</v>
      </c>
      <c r="K501" s="61"/>
      <c r="L501" s="73">
        <f>IF($E501="","",DATE(YEAR($E501),MONTH($E501),1))</f>
        <v>46235</v>
      </c>
      <c r="M501" s="65" t="str">
        <f ca="1">IF($D501="","",IF($C501="TANIMSIZ MÜŞTERİ","HATA",IF(OR($E501="",$F501&lt;=0,$G501=""),"EKSİK",IF($E501&gt;TODAY(),"İLERİ TARİH",IF(COUNTIF($S$7:$S$2503,$S501)&gt;1,"MÜKERRER?",IF($T501&gt;0,"KAPALI DÖNEM","UYGUN"))))))</f>
        <v>UYGUN</v>
      </c>
      <c r="N501" s="74" t="str">
        <f>IF($C501="","",IF($C501="TANIMSIZ MÜŞTERİ","—",INDEX(MUSTERILER!$C$7:$C$156,MATCH($C501,MUSTERILER!$B$7:$B$156,0))))</f>
        <v>KRİSTAL LTD.ŞTİ.</v>
      </c>
      <c r="O501" s="2"/>
      <c r="P501" s="2"/>
      <c r="Q501" s="1" t="str">
        <f>IF($D501="","",$C501&amp;"|"&amp;COUNTIFS($C$7:$C501,$C501))</f>
        <v>M020|29</v>
      </c>
      <c r="R501" s="1" t="str">
        <f t="shared" si="14"/>
        <v>KRISTALLTDSTI</v>
      </c>
      <c r="S501" s="1" t="str">
        <f t="shared" si="15"/>
        <v>M020|46235|2000|</v>
      </c>
      <c r="T501" s="1">
        <f>IF($E501="",0,SUMPRODUCT((AY_SONU!$O$7:$O$42="Evet")*(AY_SONU!$B$7:$B$42=DATE(YEAR($E501),MONTH($E501),1))))</f>
        <v>0</v>
      </c>
      <c r="U501" s="1" t="str">
        <f>IF(OR($G501="",$H501="Mahsup"),"",$G501&amp;"|"&amp;COUNTIFS($G$7:$G501,$G501,$H$7:$H501,"&lt;&gt;Mahsup"))</f>
        <v>MERKEZ KASA|388</v>
      </c>
    </row>
    <row r="502" spans="1:21" ht="18" customHeight="1" x14ac:dyDescent="0.3">
      <c r="A502" s="2"/>
      <c r="B502" s="65" t="str">
        <f>IF($D502="","","T"&amp;TEXT(ROW()-6,"00000"))</f>
        <v>T00496</v>
      </c>
      <c r="C502" s="65" t="str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>M027</v>
      </c>
      <c r="D502" s="61" t="s">
        <v>591</v>
      </c>
      <c r="E502" s="66">
        <v>46235</v>
      </c>
      <c r="F502" s="67">
        <v>2500</v>
      </c>
      <c r="G502" s="60" t="s">
        <v>717</v>
      </c>
      <c r="H502" s="60" t="s">
        <v>572</v>
      </c>
      <c r="I502" s="61"/>
      <c r="J502" s="61" t="s">
        <v>1316</v>
      </c>
      <c r="K502" s="61"/>
      <c r="L502" s="73">
        <f>IF($E502="","",DATE(YEAR($E502),MONTH($E502),1))</f>
        <v>46235</v>
      </c>
      <c r="M502" s="65" t="str">
        <f ca="1">IF($D502="","",IF($C502="TANIMSIZ MÜŞTERİ","HATA",IF(OR($E502="",$F502&lt;=0,$G502=""),"EKSİK",IF($E502&gt;TODAY(),"İLERİ TARİH",IF(COUNTIF($S$7:$S$2503,$S502)&gt;1,"MÜKERRER?",IF($T502&gt;0,"KAPALI DÖNEM","UYGUN"))))))</f>
        <v>UYGUN</v>
      </c>
      <c r="N502" s="74" t="str">
        <f>IF($C502="","",IF($C502="TANIMSIZ MÜŞTERİ","—",INDEX(MUSTERILER!$C$7:$C$156,MATCH($C502,MUSTERILER!$B$7:$B$156,0))))</f>
        <v>CEREN DEMİRCİ</v>
      </c>
      <c r="O502" s="2"/>
      <c r="P502" s="2"/>
      <c r="Q502" s="1" t="str">
        <f>IF($D502="","",$C502&amp;"|"&amp;COUNTIFS($C$7:$C502,$C502))</f>
        <v>M027|6</v>
      </c>
      <c r="R502" s="1" t="str">
        <f t="shared" si="14"/>
        <v>CERENDEMIRCI</v>
      </c>
      <c r="S502" s="1" t="str">
        <f t="shared" si="15"/>
        <v>M027|46235|2500|</v>
      </c>
      <c r="T502" s="1">
        <f>IF($E502="",0,SUMPRODUCT((AY_SONU!$O$7:$O$42="Evet")*(AY_SONU!$B$7:$B$42=DATE(YEAR($E502),MONTH($E502),1))))</f>
        <v>0</v>
      </c>
      <c r="U502" s="1" t="str">
        <f>IF(OR($G502="",$H502="Mahsup"),"",$G502&amp;"|"&amp;COUNTIFS($G$7:$G502,$G502,$H$7:$H502,"&lt;&gt;Mahsup"))</f>
        <v>MERKEZ KASA|389</v>
      </c>
    </row>
    <row r="503" spans="1:21" ht="18" customHeight="1" x14ac:dyDescent="0.3">
      <c r="A503" s="2"/>
      <c r="B503" s="65" t="str">
        <f>IF($D503="","","T"&amp;TEXT(ROW()-6,"00000"))</f>
        <v>T00497</v>
      </c>
      <c r="C503" s="65" t="str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>M025</v>
      </c>
      <c r="D503" s="61" t="s">
        <v>583</v>
      </c>
      <c r="E503" s="66">
        <v>46243</v>
      </c>
      <c r="F503" s="67">
        <v>2000</v>
      </c>
      <c r="G503" s="60" t="s">
        <v>717</v>
      </c>
      <c r="H503" s="60" t="s">
        <v>572</v>
      </c>
      <c r="I503" s="61"/>
      <c r="J503" s="61" t="s">
        <v>720</v>
      </c>
      <c r="K503" s="61"/>
      <c r="L503" s="73">
        <f>IF($E503="","",DATE(YEAR($E503),MONTH($E503),1))</f>
        <v>46235</v>
      </c>
      <c r="M503" s="65" t="str">
        <f ca="1">IF($D503="","",IF($C503="TANIMSIZ MÜŞTERİ","HATA",IF(OR($E503="",$F503&lt;=0,$G503=""),"EKSİK",IF($E503&gt;TODAY(),"İLERİ TARİH",IF(COUNTIF($S$7:$S$2503,$S503)&gt;1,"MÜKERRER?",IF($T503&gt;0,"KAPALI DÖNEM","UYGUN"))))))</f>
        <v>UYGUN</v>
      </c>
      <c r="N503" s="74" t="str">
        <f>IF($C503="","",IF($C503="TANIMSIZ MÜŞTERİ","—",INDEX(MUSTERILER!$C$7:$C$156,MATCH($C503,MUSTERILER!$B$7:$B$156,0))))</f>
        <v>ASIM AÇIKGÖZ</v>
      </c>
      <c r="O503" s="2"/>
      <c r="P503" s="2"/>
      <c r="Q503" s="1" t="str">
        <f>IF($D503="","",$C503&amp;"|"&amp;COUNTIFS($C$7:$C503,$C503))</f>
        <v>M025|27</v>
      </c>
      <c r="R503" s="1" t="str">
        <f t="shared" si="14"/>
        <v>ASIMACIKGOZ</v>
      </c>
      <c r="S503" s="1" t="str">
        <f t="shared" si="15"/>
        <v>M025|46243|2000|</v>
      </c>
      <c r="T503" s="1">
        <f>IF($E503="",0,SUMPRODUCT((AY_SONU!$O$7:$O$42="Evet")*(AY_SONU!$B$7:$B$42=DATE(YEAR($E503),MONTH($E503),1))))</f>
        <v>0</v>
      </c>
      <c r="U503" s="1" t="str">
        <f>IF(OR($G503="",$H503="Mahsup"),"",$G503&amp;"|"&amp;COUNTIFS($G$7:$G503,$G503,$H$7:$H503,"&lt;&gt;Mahsup"))</f>
        <v>MERKEZ KASA|390</v>
      </c>
    </row>
    <row r="504" spans="1:21" ht="18" customHeight="1" x14ac:dyDescent="0.3">
      <c r="A504" s="2"/>
      <c r="B504" s="65" t="str">
        <f>IF($D504="","","T"&amp;TEXT(ROW()-6,"00000"))</f>
        <v>T00498</v>
      </c>
      <c r="C504" s="65" t="str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>M017</v>
      </c>
      <c r="D504" s="61" t="s">
        <v>585</v>
      </c>
      <c r="E504" s="66">
        <v>46243</v>
      </c>
      <c r="F504" s="67">
        <v>2500</v>
      </c>
      <c r="G504" s="60" t="s">
        <v>717</v>
      </c>
      <c r="H504" s="60" t="s">
        <v>572</v>
      </c>
      <c r="I504" s="61"/>
      <c r="J504" s="61" t="s">
        <v>720</v>
      </c>
      <c r="K504" s="61"/>
      <c r="L504" s="73">
        <f>IF($E504="","",DATE(YEAR($E504),MONTH($E504),1))</f>
        <v>46235</v>
      </c>
      <c r="M504" s="65" t="str">
        <f ca="1">IF($D504="","",IF($C504="TANIMSIZ MÜŞTERİ","HATA",IF(OR($E504="",$F504&lt;=0,$G504=""),"EKSİK",IF($E504&gt;TODAY(),"İLERİ TARİH",IF(COUNTIF($S$7:$S$2503,$S504)&gt;1,"MÜKERRER?",IF($T504&gt;0,"KAPALI DÖNEM","UYGUN"))))))</f>
        <v>UYGUN</v>
      </c>
      <c r="N504" s="74" t="str">
        <f>IF($C504="","",IF($C504="TANIMSIZ MÜŞTERİ","—",INDEX(MUSTERILER!$C$7:$C$156,MATCH($C504,MUSTERILER!$B$7:$B$156,0))))</f>
        <v>ASM EĞLENCE LTD.ŞTİ.</v>
      </c>
      <c r="O504" s="2"/>
      <c r="P504" s="2"/>
      <c r="Q504" s="1" t="str">
        <f>IF($D504="","",$C504&amp;"|"&amp;COUNTIFS($C$7:$C504,$C504))</f>
        <v>M017|27</v>
      </c>
      <c r="R504" s="1" t="str">
        <f t="shared" si="14"/>
        <v>ASMEGLENCELTDSTI</v>
      </c>
      <c r="S504" s="1" t="str">
        <f t="shared" si="15"/>
        <v>M017|46243|2500|</v>
      </c>
      <c r="T504" s="1">
        <f>IF($E504="",0,SUMPRODUCT((AY_SONU!$O$7:$O$42="Evet")*(AY_SONU!$B$7:$B$42=DATE(YEAR($E504),MONTH($E504),1))))</f>
        <v>0</v>
      </c>
      <c r="U504" s="1" t="str">
        <f>IF(OR($G504="",$H504="Mahsup"),"",$G504&amp;"|"&amp;COUNTIFS($G$7:$G504,$G504,$H$7:$H504,"&lt;&gt;Mahsup"))</f>
        <v>MERKEZ KASA|391</v>
      </c>
    </row>
    <row r="505" spans="1:21" ht="18" customHeight="1" x14ac:dyDescent="0.3">
      <c r="A505" s="2"/>
      <c r="B505" s="65" t="str">
        <f>IF($D505="","","T"&amp;TEXT(ROW()-6,"00000"))</f>
        <v>T00499</v>
      </c>
      <c r="C505" s="65" t="str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>M015</v>
      </c>
      <c r="D505" s="61" t="s">
        <v>719</v>
      </c>
      <c r="E505" s="66">
        <v>46243</v>
      </c>
      <c r="F505" s="67">
        <v>3000</v>
      </c>
      <c r="G505" s="60" t="s">
        <v>717</v>
      </c>
      <c r="H505" s="60" t="s">
        <v>572</v>
      </c>
      <c r="I505" s="61"/>
      <c r="J505" s="61" t="s">
        <v>720</v>
      </c>
      <c r="K505" s="61"/>
      <c r="L505" s="73">
        <f>IF($E505="","",DATE(YEAR($E505),MONTH($E505),1))</f>
        <v>46235</v>
      </c>
      <c r="M505" s="65" t="str">
        <f ca="1">IF($D505="","",IF($C505="TANIMSIZ MÜŞTERİ","HATA",IF(OR($E505="",$F505&lt;=0,$G505=""),"EKSİK",IF($E505&gt;TODAY(),"İLERİ TARİH",IF(COUNTIF($S$7:$S$2503,$S505)&gt;1,"MÜKERRER?",IF($T505&gt;0,"KAPALI DÖNEM","UYGUN"))))))</f>
        <v>UYGUN</v>
      </c>
      <c r="N505" s="74" t="str">
        <f>IF($C505="","",IF($C505="TANIMSIZ MÜŞTERİ","—",INDEX(MUSTERILER!$C$7:$C$156,MATCH($C505,MUSTERILER!$B$7:$B$156,0))))</f>
        <v>ÇAYIRALAN LTD.ŞTİ.</v>
      </c>
      <c r="O505" s="2"/>
      <c r="P505" s="2"/>
      <c r="Q505" s="1" t="str">
        <f>IF($D505="","",$C505&amp;"|"&amp;COUNTIFS($C$7:$C505,$C505))</f>
        <v>M015|28</v>
      </c>
      <c r="R505" s="1" t="str">
        <f t="shared" si="14"/>
        <v>CAYIRALANLTDSTI</v>
      </c>
      <c r="S505" s="1" t="str">
        <f t="shared" si="15"/>
        <v>M015|46243|3000|</v>
      </c>
      <c r="T505" s="1">
        <f>IF($E505="",0,SUMPRODUCT((AY_SONU!$O$7:$O$42="Evet")*(AY_SONU!$B$7:$B$42=DATE(YEAR($E505),MONTH($E505),1))))</f>
        <v>0</v>
      </c>
      <c r="U505" s="1" t="str">
        <f>IF(OR($G505="",$H505="Mahsup"),"",$G505&amp;"|"&amp;COUNTIFS($G$7:$G505,$G505,$H$7:$H505,"&lt;&gt;Mahsup"))</f>
        <v>MERKEZ KASA|392</v>
      </c>
    </row>
    <row r="506" spans="1:21" ht="18" customHeight="1" x14ac:dyDescent="0.3">
      <c r="A506" s="2"/>
      <c r="B506" s="65" t="str">
        <f>IF($D506="","","T"&amp;TEXT(ROW()-6,"00000"))</f>
        <v>T00500</v>
      </c>
      <c r="C506" s="65" t="str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>M011</v>
      </c>
      <c r="D506" s="61" t="s">
        <v>730</v>
      </c>
      <c r="E506" s="66">
        <v>46243</v>
      </c>
      <c r="F506" s="67">
        <v>4000</v>
      </c>
      <c r="G506" s="60" t="s">
        <v>717</v>
      </c>
      <c r="H506" s="60" t="s">
        <v>572</v>
      </c>
      <c r="I506" s="61"/>
      <c r="J506" s="61" t="s">
        <v>720</v>
      </c>
      <c r="K506" s="61"/>
      <c r="L506" s="73">
        <f>IF($E506="","",DATE(YEAR($E506),MONTH($E506),1))</f>
        <v>46235</v>
      </c>
      <c r="M506" s="65" t="str">
        <f ca="1">IF($D506="","",IF($C506="TANIMSIZ MÜŞTERİ","HATA",IF(OR($E506="",$F506&lt;=0,$G506=""),"EKSİK",IF($E506&gt;TODAY(),"İLERİ TARİH",IF(COUNTIF($S$7:$S$2503,$S506)&gt;1,"MÜKERRER?",IF($T506&gt;0,"KAPALI DÖNEM","UYGUN"))))))</f>
        <v>UYGUN</v>
      </c>
      <c r="N506" s="74" t="str">
        <f>IF($C506="","",IF($C506="TANIMSIZ MÜŞTERİ","—",INDEX(MUSTERILER!$C$7:$C$156,MATCH($C506,MUSTERILER!$B$7:$B$156,0))))</f>
        <v>EĞLENGÖR LTD.ŞTİ.</v>
      </c>
      <c r="O506" s="2"/>
      <c r="P506" s="2"/>
      <c r="Q506" s="1" t="str">
        <f>IF($D506="","",$C506&amp;"|"&amp;COUNTIFS($C$7:$C506,$C506))</f>
        <v>M011|30</v>
      </c>
      <c r="R506" s="1" t="str">
        <f t="shared" si="14"/>
        <v>EGLENGORLTDSTI</v>
      </c>
      <c r="S506" s="1" t="str">
        <f t="shared" si="15"/>
        <v>M011|46243|4000|</v>
      </c>
      <c r="T506" s="1">
        <f>IF($E506="",0,SUMPRODUCT((AY_SONU!$O$7:$O$42="Evet")*(AY_SONU!$B$7:$B$42=DATE(YEAR($E506),MONTH($E506),1))))</f>
        <v>0</v>
      </c>
      <c r="U506" s="1" t="str">
        <f>IF(OR($G506="",$H506="Mahsup"),"",$G506&amp;"|"&amp;COUNTIFS($G$7:$G506,$G506,$H$7:$H506,"&lt;&gt;Mahsup"))</f>
        <v>MERKEZ KASA|393</v>
      </c>
    </row>
    <row r="507" spans="1:21" ht="18" customHeight="1" x14ac:dyDescent="0.3">
      <c r="A507" s="2"/>
      <c r="B507" s="65" t="str">
        <f>IF($D507="","","T"&amp;TEXT(ROW()-6,"00000"))</f>
        <v>T00501</v>
      </c>
      <c r="C507" s="65" t="str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>M012</v>
      </c>
      <c r="D507" s="61" t="s">
        <v>721</v>
      </c>
      <c r="E507" s="66">
        <v>46243</v>
      </c>
      <c r="F507" s="67">
        <v>7000</v>
      </c>
      <c r="G507" s="60" t="s">
        <v>717</v>
      </c>
      <c r="H507" s="60" t="s">
        <v>572</v>
      </c>
      <c r="I507" s="61"/>
      <c r="J507" s="61" t="s">
        <v>720</v>
      </c>
      <c r="K507" s="61"/>
      <c r="L507" s="73">
        <f>IF($E507="","",DATE(YEAR($E507),MONTH($E507),1))</f>
        <v>46235</v>
      </c>
      <c r="M507" s="65" t="str">
        <f ca="1">IF($D507="","",IF($C507="TANIMSIZ MÜŞTERİ","HATA",IF(OR($E507="",$F507&lt;=0,$G507=""),"EKSİK",IF($E507&gt;TODAY(),"İLERİ TARİH",IF(COUNTIF($S$7:$S$2503,$S507)&gt;1,"MÜKERRER?",IF($T507&gt;0,"KAPALI DÖNEM","UYGUN"))))))</f>
        <v>UYGUN</v>
      </c>
      <c r="N507" s="74" t="str">
        <f>IF($C507="","",IF($C507="TANIMSIZ MÜŞTERİ","—",INDEX(MUSTERILER!$C$7:$C$156,MATCH($C507,MUSTERILER!$B$7:$B$156,0))))</f>
        <v>İLDEŞ LTD.ŞTİ.</v>
      </c>
      <c r="O507" s="2"/>
      <c r="P507" s="2"/>
      <c r="Q507" s="1" t="str">
        <f>IF($D507="","",$C507&amp;"|"&amp;COUNTIFS($C$7:$C507,$C507))</f>
        <v>M012|28</v>
      </c>
      <c r="R507" s="1" t="str">
        <f t="shared" si="14"/>
        <v>ILDESLTDSTI</v>
      </c>
      <c r="S507" s="1" t="str">
        <f t="shared" si="15"/>
        <v>M012|46243|7000|</v>
      </c>
      <c r="T507" s="1">
        <f>IF($E507="",0,SUMPRODUCT((AY_SONU!$O$7:$O$42="Evet")*(AY_SONU!$B$7:$B$42=DATE(YEAR($E507),MONTH($E507),1))))</f>
        <v>0</v>
      </c>
      <c r="U507" s="1" t="str">
        <f>IF(OR($G507="",$H507="Mahsup"),"",$G507&amp;"|"&amp;COUNTIFS($G$7:$G507,$G507,$H$7:$H507,"&lt;&gt;Mahsup"))</f>
        <v>MERKEZ KASA|394</v>
      </c>
    </row>
    <row r="508" spans="1:21" ht="18" customHeight="1" x14ac:dyDescent="0.3">
      <c r="A508" s="2"/>
      <c r="B508" s="65" t="str">
        <f>IF($D508="","","T"&amp;TEXT(ROW()-6,"00000"))</f>
        <v>T00502</v>
      </c>
      <c r="C508" s="65" t="str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>M003</v>
      </c>
      <c r="D508" s="61" t="s">
        <v>666</v>
      </c>
      <c r="E508" s="66">
        <v>46243</v>
      </c>
      <c r="F508" s="67">
        <v>3000</v>
      </c>
      <c r="G508" s="60" t="s">
        <v>723</v>
      </c>
      <c r="H508" s="60" t="s">
        <v>572</v>
      </c>
      <c r="I508" s="61"/>
      <c r="J508" s="61" t="s">
        <v>720</v>
      </c>
      <c r="K508" s="61"/>
      <c r="L508" s="73">
        <f>IF($E508="","",DATE(YEAR($E508),MONTH($E508),1))</f>
        <v>46235</v>
      </c>
      <c r="M508" s="65" t="str">
        <f ca="1">IF($D508="","",IF($C508="TANIMSIZ MÜŞTERİ","HATA",IF(OR($E508="",$F508&lt;=0,$G508=""),"EKSİK",IF($E508&gt;TODAY(),"İLERİ TARİH",IF(COUNTIF($S$7:$S$2503,$S508)&gt;1,"MÜKERRER?",IF($T508&gt;0,"KAPALI DÖNEM","UYGUN"))))))</f>
        <v>UYGUN</v>
      </c>
      <c r="N508" s="74" t="str">
        <f>IF($C508="","",IF($C508="TANIMSIZ MÜŞTERİ","—",INDEX(MUSTERILER!$C$7:$C$156,MATCH($C508,MUSTERILER!$B$7:$B$156,0))))</f>
        <v>TYANA LTD.ŞTİ.</v>
      </c>
      <c r="O508" s="2"/>
      <c r="P508" s="2"/>
      <c r="Q508" s="1" t="str">
        <f>IF($D508="","",$C508&amp;"|"&amp;COUNTIFS($C$7:$C508,$C508))</f>
        <v>M003|6</v>
      </c>
      <c r="R508" s="1" t="str">
        <f t="shared" si="14"/>
        <v>TYANALTDSTI</v>
      </c>
      <c r="S508" s="1" t="str">
        <f t="shared" si="15"/>
        <v>M003|46243|3000|</v>
      </c>
      <c r="T508" s="1">
        <f>IF($E508="",0,SUMPRODUCT((AY_SONU!$O$7:$O$42="Evet")*(AY_SONU!$B$7:$B$42=DATE(YEAR($E508),MONTH($E508),1))))</f>
        <v>0</v>
      </c>
      <c r="U508" s="1" t="str">
        <f>IF(OR($G508="",$H508="Mahsup"),"",$G508&amp;"|"&amp;COUNTIFS($G$7:$G508,$G508,$H$7:$H508,"&lt;&gt;Mahsup"))</f>
        <v>ÖMER KARTAL|108</v>
      </c>
    </row>
    <row r="509" spans="1:21" ht="18" customHeight="1" x14ac:dyDescent="0.3">
      <c r="A509" s="2"/>
      <c r="B509" s="65" t="str">
        <f>IF($D509="","","T"&amp;TEXT(ROW()-6,"00000"))</f>
        <v>T00503</v>
      </c>
      <c r="C509" s="65" t="str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>M009</v>
      </c>
      <c r="D509" s="61" t="s">
        <v>735</v>
      </c>
      <c r="E509" s="66">
        <v>46243</v>
      </c>
      <c r="F509" s="67">
        <v>8000</v>
      </c>
      <c r="G509" s="60" t="s">
        <v>717</v>
      </c>
      <c r="H509" s="60" t="s">
        <v>572</v>
      </c>
      <c r="I509" s="61"/>
      <c r="J509" s="61" t="s">
        <v>720</v>
      </c>
      <c r="K509" s="61"/>
      <c r="L509" s="73">
        <f>IF($E509="","",DATE(YEAR($E509),MONTH($E509),1))</f>
        <v>46235</v>
      </c>
      <c r="M509" s="65" t="str">
        <f ca="1">IF($D509="","",IF($C509="TANIMSIZ MÜŞTERİ","HATA",IF(OR($E509="",$F509&lt;=0,$G509=""),"EKSİK",IF($E509&gt;TODAY(),"İLERİ TARİH",IF(COUNTIF($S$7:$S$2503,$S509)&gt;1,"MÜKERRER?",IF($T509&gt;0,"KAPALI DÖNEM","UYGUN"))))))</f>
        <v>UYGUN</v>
      </c>
      <c r="N509" s="74" t="str">
        <f>IF($C509="","",IF($C509="TANIMSIZ MÜŞTERİ","—",INDEX(MUSTERILER!$C$7:$C$156,MATCH($C509,MUSTERILER!$B$7:$B$156,0))))</f>
        <v>PAKYILDIZ LTD.ŞTİ.</v>
      </c>
      <c r="O509" s="2"/>
      <c r="P509" s="2"/>
      <c r="Q509" s="1" t="str">
        <f>IF($D509="","",$C509&amp;"|"&amp;COUNTIFS($C$7:$C509,$C509))</f>
        <v>M009|27</v>
      </c>
      <c r="R509" s="1" t="str">
        <f t="shared" si="14"/>
        <v>PAKYILDIZLTDSTI</v>
      </c>
      <c r="S509" s="1" t="str">
        <f t="shared" si="15"/>
        <v>M009|46243|8000|</v>
      </c>
      <c r="T509" s="1">
        <f>IF($E509="",0,SUMPRODUCT((AY_SONU!$O$7:$O$42="Evet")*(AY_SONU!$B$7:$B$42=DATE(YEAR($E509),MONTH($E509),1))))</f>
        <v>0</v>
      </c>
      <c r="U509" s="1" t="str">
        <f>IF(OR($G509="",$H509="Mahsup"),"",$G509&amp;"|"&amp;COUNTIFS($G$7:$G509,$G509,$H$7:$H509,"&lt;&gt;Mahsup"))</f>
        <v>MERKEZ KASA|395</v>
      </c>
    </row>
    <row r="510" spans="1:21" ht="18" customHeight="1" x14ac:dyDescent="0.3">
      <c r="A510" s="2"/>
      <c r="B510" s="65" t="str">
        <f>IF($D510="","","T"&amp;TEXT(ROW()-6,"00000"))</f>
        <v>T00504</v>
      </c>
      <c r="C510" s="65" t="str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>M047</v>
      </c>
      <c r="D510" s="61" t="s">
        <v>654</v>
      </c>
      <c r="E510" s="66">
        <v>46243</v>
      </c>
      <c r="F510" s="67">
        <v>9400</v>
      </c>
      <c r="G510" s="60" t="s">
        <v>717</v>
      </c>
      <c r="H510" s="60" t="s">
        <v>572</v>
      </c>
      <c r="I510" s="61"/>
      <c r="J510" s="61" t="s">
        <v>743</v>
      </c>
      <c r="K510" s="61"/>
      <c r="L510" s="73">
        <f>IF($E510="","",DATE(YEAR($E510),MONTH($E510),1))</f>
        <v>46235</v>
      </c>
      <c r="M510" s="65" t="str">
        <f ca="1">IF($D510="","",IF($C510="TANIMSIZ MÜŞTERİ","HATA",IF(OR($E510="",$F510&lt;=0,$G510=""),"EKSİK",IF($E510&gt;TODAY(),"İLERİ TARİH",IF(COUNTIF($S$7:$S$2503,$S510)&gt;1,"MÜKERRER?",IF($T510&gt;0,"KAPALI DÖNEM","UYGUN"))))))</f>
        <v>UYGUN</v>
      </c>
      <c r="N510" s="74" t="str">
        <f>IF($C510="","",IF($C510="TANIMSIZ MÜŞTERİ","—",INDEX(MUSTERILER!$C$7:$C$156,MATCH($C510,MUSTERILER!$B$7:$B$156,0))))</f>
        <v>PALAOĞULLARI LTD.ŞTİ.</v>
      </c>
      <c r="O510" s="2"/>
      <c r="P510" s="2"/>
      <c r="Q510" s="1" t="str">
        <f>IF($D510="","",$C510&amp;"|"&amp;COUNTIFS($C$7:$C510,$C510))</f>
        <v>M047|20</v>
      </c>
      <c r="R510" s="1" t="str">
        <f t="shared" si="14"/>
        <v>PALAOGULLARILTDSTI</v>
      </c>
      <c r="S510" s="1" t="str">
        <f t="shared" si="15"/>
        <v>M047|46243|9400|</v>
      </c>
      <c r="T510" s="1">
        <f>IF($E510="",0,SUMPRODUCT((AY_SONU!$O$7:$O$42="Evet")*(AY_SONU!$B$7:$B$42=DATE(YEAR($E510),MONTH($E510),1))))</f>
        <v>0</v>
      </c>
      <c r="U510" s="1" t="str">
        <f>IF(OR($G510="",$H510="Mahsup"),"",$G510&amp;"|"&amp;COUNTIFS($G$7:$G510,$G510,$H$7:$H510,"&lt;&gt;Mahsup"))</f>
        <v>MERKEZ KASA|396</v>
      </c>
    </row>
    <row r="511" spans="1:21" ht="18" customHeight="1" x14ac:dyDescent="0.3">
      <c r="A511" s="2"/>
      <c r="B511" s="65" t="str">
        <f>IF($D511="","","T"&amp;TEXT(ROW()-6,"00000"))</f>
        <v>T00505</v>
      </c>
      <c r="C511" s="65" t="str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>M020</v>
      </c>
      <c r="D511" s="61" t="s">
        <v>623</v>
      </c>
      <c r="E511" s="66">
        <v>46243</v>
      </c>
      <c r="F511" s="67">
        <v>3000</v>
      </c>
      <c r="G511" s="60" t="s">
        <v>717</v>
      </c>
      <c r="H511" s="60" t="s">
        <v>572</v>
      </c>
      <c r="I511" s="61"/>
      <c r="J511" s="61" t="s">
        <v>720</v>
      </c>
      <c r="K511" s="61"/>
      <c r="L511" s="73">
        <f>IF($E511="","",DATE(YEAR($E511),MONTH($E511),1))</f>
        <v>46235</v>
      </c>
      <c r="M511" s="65" t="str">
        <f ca="1">IF($D511="","",IF($C511="TANIMSIZ MÜŞTERİ","HATA",IF(OR($E511="",$F511&lt;=0,$G511=""),"EKSİK",IF($E511&gt;TODAY(),"İLERİ TARİH",IF(COUNTIF($S$7:$S$2503,$S511)&gt;1,"MÜKERRER?",IF($T511&gt;0,"KAPALI DÖNEM","UYGUN"))))))</f>
        <v>UYGUN</v>
      </c>
      <c r="N511" s="74" t="str">
        <f>IF($C511="","",IF($C511="TANIMSIZ MÜŞTERİ","—",INDEX(MUSTERILER!$C$7:$C$156,MATCH($C511,MUSTERILER!$B$7:$B$156,0))))</f>
        <v>KRİSTAL LTD.ŞTİ.</v>
      </c>
      <c r="O511" s="2"/>
      <c r="P511" s="2"/>
      <c r="Q511" s="1" t="str">
        <f>IF($D511="","",$C511&amp;"|"&amp;COUNTIFS($C$7:$C511,$C511))</f>
        <v>M020|30</v>
      </c>
      <c r="R511" s="1" t="str">
        <f t="shared" si="14"/>
        <v>KRISTALLTDSTI</v>
      </c>
      <c r="S511" s="1" t="str">
        <f t="shared" si="15"/>
        <v>M020|46243|3000|</v>
      </c>
      <c r="T511" s="1">
        <f>IF($E511="",0,SUMPRODUCT((AY_SONU!$O$7:$O$42="Evet")*(AY_SONU!$B$7:$B$42=DATE(YEAR($E511),MONTH($E511),1))))</f>
        <v>0</v>
      </c>
      <c r="U511" s="1" t="str">
        <f>IF(OR($G511="",$H511="Mahsup"),"",$G511&amp;"|"&amp;COUNTIFS($G$7:$G511,$G511,$H$7:$H511,"&lt;&gt;Mahsup"))</f>
        <v>MERKEZ KASA|397</v>
      </c>
    </row>
    <row r="512" spans="1:21" ht="18" customHeight="1" x14ac:dyDescent="0.3">
      <c r="A512" s="2"/>
      <c r="B512" s="65" t="str">
        <f>IF($D512="","","T"&amp;TEXT(ROW()-6,"00000"))</f>
        <v>T00506</v>
      </c>
      <c r="C512" s="65" t="str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>M049</v>
      </c>
      <c r="D512" s="61" t="s">
        <v>662</v>
      </c>
      <c r="E512" s="66">
        <v>46243</v>
      </c>
      <c r="F512" s="67">
        <v>6000</v>
      </c>
      <c r="G512" s="60" t="s">
        <v>717</v>
      </c>
      <c r="H512" s="60" t="s">
        <v>572</v>
      </c>
      <c r="I512" s="61"/>
      <c r="J512" s="61" t="s">
        <v>720</v>
      </c>
      <c r="K512" s="61"/>
      <c r="L512" s="73">
        <f>IF($E512="","",DATE(YEAR($E512),MONTH($E512),1))</f>
        <v>46235</v>
      </c>
      <c r="M512" s="65" t="str">
        <f ca="1">IF($D512="","",IF($C512="TANIMSIZ MÜŞTERİ","HATA",IF(OR($E512="",$F512&lt;=0,$G512=""),"EKSİK",IF($E512&gt;TODAY(),"İLERİ TARİH",IF(COUNTIF($S$7:$S$2503,$S512)&gt;1,"MÜKERRER?",IF($T512&gt;0,"KAPALI DÖNEM","UYGUN"))))))</f>
        <v>UYGUN</v>
      </c>
      <c r="N512" s="74" t="str">
        <f>IF($C512="","",IF($C512="TANIMSIZ MÜŞTERİ","—",INDEX(MUSTERILER!$C$7:$C$156,MATCH($C512,MUSTERILER!$B$7:$B$156,0))))</f>
        <v>STAR ŞOW LTD.ŞTİ.</v>
      </c>
      <c r="O512" s="2"/>
      <c r="P512" s="2"/>
      <c r="Q512" s="1" t="str">
        <f>IF($D512="","",$C512&amp;"|"&amp;COUNTIFS($C$7:$C512,$C512))</f>
        <v>M049|1</v>
      </c>
      <c r="R512" s="1" t="str">
        <f t="shared" si="14"/>
        <v>STARSOWLTDSTI</v>
      </c>
      <c r="S512" s="1" t="str">
        <f t="shared" si="15"/>
        <v>M049|46243|6000|</v>
      </c>
      <c r="T512" s="1">
        <f>IF($E512="",0,SUMPRODUCT((AY_SONU!$O$7:$O$42="Evet")*(AY_SONU!$B$7:$B$42=DATE(YEAR($E512),MONTH($E512),1))))</f>
        <v>0</v>
      </c>
      <c r="U512" s="1" t="str">
        <f>IF(OR($G512="",$H512="Mahsup"),"",$G512&amp;"|"&amp;COUNTIFS($G$7:$G512,$G512,$H$7:$H512,"&lt;&gt;Mahsup"))</f>
        <v>MERKEZ KASA|398</v>
      </c>
    </row>
    <row r="513" spans="1:21" ht="18" customHeight="1" x14ac:dyDescent="0.3">
      <c r="A513" s="2"/>
      <c r="B513" s="65" t="str">
        <f>IF($D513="","","T"&amp;TEXT(ROW()-6,"00000"))</f>
        <v>T00507</v>
      </c>
      <c r="C513" s="65" t="str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>M024</v>
      </c>
      <c r="D513" s="61" t="s">
        <v>579</v>
      </c>
      <c r="E513" s="66">
        <v>46245</v>
      </c>
      <c r="F513" s="67">
        <v>23000</v>
      </c>
      <c r="G513" s="60" t="s">
        <v>717</v>
      </c>
      <c r="H513" s="60" t="s">
        <v>572</v>
      </c>
      <c r="I513" s="61"/>
      <c r="J513" s="61" t="s">
        <v>744</v>
      </c>
      <c r="K513" s="61"/>
      <c r="L513" s="73">
        <f>IF($E513="","",DATE(YEAR($E513),MONTH($E513),1))</f>
        <v>46235</v>
      </c>
      <c r="M513" s="65" t="str">
        <f ca="1">IF($D513="","",IF($C513="TANIMSIZ MÜŞTERİ","HATA",IF(OR($E513="",$F513&lt;=0,$G513=""),"EKSİK",IF($E513&gt;TODAY(),"İLERİ TARİH",IF(COUNTIF($S$7:$S$2503,$S513)&gt;1,"MÜKERRER?",IF($T513&gt;0,"KAPALI DÖNEM","UYGUN"))))))</f>
        <v>UYGUN</v>
      </c>
      <c r="N513" s="74" t="str">
        <f>IF($C513="","",IF($C513="TANIMSIZ MÜŞTERİ","—",INDEX(MUSTERILER!$C$7:$C$156,MATCH($C513,MUSTERILER!$B$7:$B$156,0))))</f>
        <v>ARMAN DİK</v>
      </c>
      <c r="O513" s="2"/>
      <c r="P513" s="2"/>
      <c r="Q513" s="1" t="str">
        <f>IF($D513="","",$C513&amp;"|"&amp;COUNTIFS($C$7:$C513,$C513))</f>
        <v>M024|3</v>
      </c>
      <c r="R513" s="1" t="str">
        <f t="shared" si="14"/>
        <v>ARMANDIK</v>
      </c>
      <c r="S513" s="1" t="str">
        <f t="shared" si="15"/>
        <v>M024|46245|23000|</v>
      </c>
      <c r="T513" s="1">
        <f>IF($E513="",0,SUMPRODUCT((AY_SONU!$O$7:$O$42="Evet")*(AY_SONU!$B$7:$B$42=DATE(YEAR($E513),MONTH($E513),1))))</f>
        <v>0</v>
      </c>
      <c r="U513" s="1" t="str">
        <f>IF(OR($G513="",$H513="Mahsup"),"",$G513&amp;"|"&amp;COUNTIFS($G$7:$G513,$G513,$H$7:$H513,"&lt;&gt;Mahsup"))</f>
        <v>MERKEZ KASA|399</v>
      </c>
    </row>
    <row r="514" spans="1:21" ht="18" customHeight="1" x14ac:dyDescent="0.3">
      <c r="A514" s="2"/>
      <c r="B514" s="65" t="str">
        <f>IF($D514="","","T"&amp;TEXT(ROW()-6,"00000"))</f>
        <v>T00508</v>
      </c>
      <c r="C514" s="65" t="str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>M024</v>
      </c>
      <c r="D514" s="61" t="s">
        <v>579</v>
      </c>
      <c r="E514" s="66">
        <v>46245</v>
      </c>
      <c r="F514" s="67">
        <v>4000</v>
      </c>
      <c r="G514" s="60" t="s">
        <v>717</v>
      </c>
      <c r="H514" s="60" t="s">
        <v>572</v>
      </c>
      <c r="I514" s="61"/>
      <c r="J514" s="61" t="s">
        <v>745</v>
      </c>
      <c r="K514" s="61"/>
      <c r="L514" s="73">
        <f>IF($E514="","",DATE(YEAR($E514),MONTH($E514),1))</f>
        <v>46235</v>
      </c>
      <c r="M514" s="65" t="str">
        <f ca="1">IF($D514="","",IF($C514="TANIMSIZ MÜŞTERİ","HATA",IF(OR($E514="",$F514&lt;=0,$G514=""),"EKSİK",IF($E514&gt;TODAY(),"İLERİ TARİH",IF(COUNTIF($S$7:$S$2503,$S514)&gt;1,"MÜKERRER?",IF($T514&gt;0,"KAPALI DÖNEM","UYGUN"))))))</f>
        <v>UYGUN</v>
      </c>
      <c r="N514" s="74" t="str">
        <f>IF($C514="","",IF($C514="TANIMSIZ MÜŞTERİ","—",INDEX(MUSTERILER!$C$7:$C$156,MATCH($C514,MUSTERILER!$B$7:$B$156,0))))</f>
        <v>ARMAN DİK</v>
      </c>
      <c r="O514" s="2"/>
      <c r="P514" s="2"/>
      <c r="Q514" s="1" t="str">
        <f>IF($D514="","",$C514&amp;"|"&amp;COUNTIFS($C$7:$C514,$C514))</f>
        <v>M024|4</v>
      </c>
      <c r="R514" s="1" t="str">
        <f t="shared" si="14"/>
        <v>ARMANDIK</v>
      </c>
      <c r="S514" s="1" t="str">
        <f t="shared" si="15"/>
        <v>M024|46245|4000|</v>
      </c>
      <c r="T514" s="1">
        <f>IF($E514="",0,SUMPRODUCT((AY_SONU!$O$7:$O$42="Evet")*(AY_SONU!$B$7:$B$42=DATE(YEAR($E514),MONTH($E514),1))))</f>
        <v>0</v>
      </c>
      <c r="U514" s="1" t="str">
        <f>IF(OR($G514="",$H514="Mahsup"),"",$G514&amp;"|"&amp;COUNTIFS($G$7:$G514,$G514,$H$7:$H514,"&lt;&gt;Mahsup"))</f>
        <v>MERKEZ KASA|400</v>
      </c>
    </row>
    <row r="515" spans="1:21" ht="18" customHeight="1" x14ac:dyDescent="0.3">
      <c r="A515" s="2"/>
      <c r="B515" s="65" t="str">
        <f>IF($D515="","","T"&amp;TEXT(ROW()-6,"00000"))</f>
        <v>T00509</v>
      </c>
      <c r="C515" s="65" t="str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>M019</v>
      </c>
      <c r="D515" s="61" t="s">
        <v>570</v>
      </c>
      <c r="E515" s="66">
        <v>46249</v>
      </c>
      <c r="F515" s="67">
        <v>5000</v>
      </c>
      <c r="G515" s="60" t="s">
        <v>717</v>
      </c>
      <c r="H515" s="60" t="s">
        <v>572</v>
      </c>
      <c r="I515" s="61"/>
      <c r="J515" s="61" t="s">
        <v>720</v>
      </c>
      <c r="K515" s="61"/>
      <c r="L515" s="73">
        <f>IF($E515="","",DATE(YEAR($E515),MONTH($E515),1))</f>
        <v>46235</v>
      </c>
      <c r="M515" s="65" t="str">
        <f ca="1">IF($D515="","",IF($C515="TANIMSIZ MÜŞTERİ","HATA",IF(OR($E515="",$F515&lt;=0,$G515=""),"EKSİK",IF($E515&gt;TODAY(),"İLERİ TARİH",IF(COUNTIF($S$7:$S$2503,$S515)&gt;1,"MÜKERRER?",IF($T515&gt;0,"KAPALI DÖNEM","UYGUN"))))))</f>
        <v>UYGUN</v>
      </c>
      <c r="N515" s="74" t="str">
        <f>IF($C515="","",IF($C515="TANIMSIZ MÜŞTERİ","—",INDEX(MUSTERILER!$C$7:$C$156,MATCH($C515,MUSTERILER!$B$7:$B$156,0))))</f>
        <v>AC OTEL LTD.ŞTİ.</v>
      </c>
      <c r="O515" s="2"/>
      <c r="P515" s="2"/>
      <c r="Q515" s="1" t="str">
        <f>IF($D515="","",$C515&amp;"|"&amp;COUNTIFS($C$7:$C515,$C515))</f>
        <v>M019|5</v>
      </c>
      <c r="R515" s="1" t="str">
        <f t="shared" si="14"/>
        <v>ACOTELLTDSTI</v>
      </c>
      <c r="S515" s="1" t="str">
        <f t="shared" si="15"/>
        <v>M019|46249|5000|</v>
      </c>
      <c r="T515" s="1">
        <f>IF($E515="",0,SUMPRODUCT((AY_SONU!$O$7:$O$42="Evet")*(AY_SONU!$B$7:$B$42=DATE(YEAR($E515),MONTH($E515),1))))</f>
        <v>0</v>
      </c>
      <c r="U515" s="1" t="str">
        <f>IF(OR($G515="",$H515="Mahsup"),"",$G515&amp;"|"&amp;COUNTIFS($G$7:$G515,$G515,$H$7:$H515,"&lt;&gt;Mahsup"))</f>
        <v>MERKEZ KASA|401</v>
      </c>
    </row>
    <row r="516" spans="1:21" ht="18" customHeight="1" x14ac:dyDescent="0.3">
      <c r="A516" s="2"/>
      <c r="B516" s="65" t="str">
        <f>IF($D516="","","T"&amp;TEXT(ROW()-6,"00000"))</f>
        <v>T00510</v>
      </c>
      <c r="C516" s="65" t="str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>M001</v>
      </c>
      <c r="D516" s="61" t="s">
        <v>729</v>
      </c>
      <c r="E516" s="66">
        <v>46249</v>
      </c>
      <c r="F516" s="67">
        <v>4000</v>
      </c>
      <c r="G516" s="60" t="s">
        <v>717</v>
      </c>
      <c r="H516" s="60" t="s">
        <v>572</v>
      </c>
      <c r="I516" s="61"/>
      <c r="J516" s="61" t="s">
        <v>720</v>
      </c>
      <c r="K516" s="61"/>
      <c r="L516" s="73">
        <f>IF($E516="","",DATE(YEAR($E516),MONTH($E516),1))</f>
        <v>46235</v>
      </c>
      <c r="M516" s="65" t="str">
        <f ca="1">IF($D516="","",IF($C516="TANIMSIZ MÜŞTERİ","HATA",IF(OR($E516="",$F516&lt;=0,$G516=""),"EKSİK",IF($E516&gt;TODAY(),"İLERİ TARİH",IF(COUNTIF($S$7:$S$2503,$S516)&gt;1,"MÜKERRER?",IF($T516&gt;0,"KAPALI DÖNEM","UYGUN"))))))</f>
        <v>UYGUN</v>
      </c>
      <c r="N516" s="74" t="str">
        <f>IF($C516="","",IF($C516="TANIMSIZ MÜŞTERİ","—",INDEX(MUSTERILER!$C$7:$C$156,MATCH($C516,MUSTERILER!$B$7:$B$156,0))))</f>
        <v>ANKARA HAVANA LTD.ŞTİ.</v>
      </c>
      <c r="O516" s="2"/>
      <c r="P516" s="2"/>
      <c r="Q516" s="1" t="str">
        <f>IF($D516="","",$C516&amp;"|"&amp;COUNTIFS($C$7:$C516,$C516))</f>
        <v>M001|16</v>
      </c>
      <c r="R516" s="1" t="str">
        <f t="shared" si="14"/>
        <v>ANKARAHAVANALTDSTI</v>
      </c>
      <c r="S516" s="1" t="str">
        <f t="shared" si="15"/>
        <v>M001|46249|4000|</v>
      </c>
      <c r="T516" s="1">
        <f>IF($E516="",0,SUMPRODUCT((AY_SONU!$O$7:$O$42="Evet")*(AY_SONU!$B$7:$B$42=DATE(YEAR($E516),MONTH($E516),1))))</f>
        <v>0</v>
      </c>
      <c r="U516" s="1" t="str">
        <f>IF(OR($G516="",$H516="Mahsup"),"",$G516&amp;"|"&amp;COUNTIFS($G$7:$G516,$G516,$H$7:$H516,"&lt;&gt;Mahsup"))</f>
        <v>MERKEZ KASA|402</v>
      </c>
    </row>
    <row r="517" spans="1:21" ht="18" customHeight="1" x14ac:dyDescent="0.3">
      <c r="A517" s="2"/>
      <c r="B517" s="65" t="str">
        <f>IF($D517="","","T"&amp;TEXT(ROW()-6,"00000"))</f>
        <v>T00511</v>
      </c>
      <c r="C517" s="65" t="str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>M025</v>
      </c>
      <c r="D517" s="61" t="s">
        <v>583</v>
      </c>
      <c r="E517" s="66">
        <v>46249</v>
      </c>
      <c r="F517" s="67">
        <v>2000</v>
      </c>
      <c r="G517" s="60" t="s">
        <v>717</v>
      </c>
      <c r="H517" s="60" t="s">
        <v>572</v>
      </c>
      <c r="I517" s="61"/>
      <c r="J517" s="61" t="s">
        <v>720</v>
      </c>
      <c r="K517" s="61"/>
      <c r="L517" s="73">
        <f>IF($E517="","",DATE(YEAR($E517),MONTH($E517),1))</f>
        <v>46235</v>
      </c>
      <c r="M517" s="65" t="str">
        <f ca="1">IF($D517="","",IF($C517="TANIMSIZ MÜŞTERİ","HATA",IF(OR($E517="",$F517&lt;=0,$G517=""),"EKSİK",IF($E517&gt;TODAY(),"İLERİ TARİH",IF(COUNTIF($S$7:$S$2503,$S517)&gt;1,"MÜKERRER?",IF($T517&gt;0,"KAPALI DÖNEM","UYGUN"))))))</f>
        <v>UYGUN</v>
      </c>
      <c r="N517" s="74" t="str">
        <f>IF($C517="","",IF($C517="TANIMSIZ MÜŞTERİ","—",INDEX(MUSTERILER!$C$7:$C$156,MATCH($C517,MUSTERILER!$B$7:$B$156,0))))</f>
        <v>ASIM AÇIKGÖZ</v>
      </c>
      <c r="O517" s="2"/>
      <c r="P517" s="2"/>
      <c r="Q517" s="1" t="str">
        <f>IF($D517="","",$C517&amp;"|"&amp;COUNTIFS($C$7:$C517,$C517))</f>
        <v>M025|28</v>
      </c>
      <c r="R517" s="1" t="str">
        <f t="shared" si="14"/>
        <v>ASIMACIKGOZ</v>
      </c>
      <c r="S517" s="1" t="str">
        <f t="shared" si="15"/>
        <v>M025|46249|2000|</v>
      </c>
      <c r="T517" s="1">
        <f>IF($E517="",0,SUMPRODUCT((AY_SONU!$O$7:$O$42="Evet")*(AY_SONU!$B$7:$B$42=DATE(YEAR($E517),MONTH($E517),1))))</f>
        <v>0</v>
      </c>
      <c r="U517" s="1" t="str">
        <f>IF(OR($G517="",$H517="Mahsup"),"",$G517&amp;"|"&amp;COUNTIFS($G$7:$G517,$G517,$H$7:$H517,"&lt;&gt;Mahsup"))</f>
        <v>MERKEZ KASA|403</v>
      </c>
    </row>
    <row r="518" spans="1:21" ht="18" customHeight="1" x14ac:dyDescent="0.3">
      <c r="A518" s="2"/>
      <c r="B518" s="65" t="str">
        <f>IF($D518="","","T"&amp;TEXT(ROW()-6,"00000"))</f>
        <v>T00512</v>
      </c>
      <c r="C518" s="65" t="str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>M017</v>
      </c>
      <c r="D518" s="61" t="s">
        <v>585</v>
      </c>
      <c r="E518" s="66">
        <v>46249</v>
      </c>
      <c r="F518" s="67">
        <v>2500</v>
      </c>
      <c r="G518" s="60" t="s">
        <v>717</v>
      </c>
      <c r="H518" s="60" t="s">
        <v>572</v>
      </c>
      <c r="I518" s="61"/>
      <c r="J518" s="61" t="s">
        <v>720</v>
      </c>
      <c r="K518" s="61"/>
      <c r="L518" s="73">
        <f>IF($E518="","",DATE(YEAR($E518),MONTH($E518),1))</f>
        <v>46235</v>
      </c>
      <c r="M518" s="65" t="str">
        <f ca="1">IF($D518="","",IF($C518="TANIMSIZ MÜŞTERİ","HATA",IF(OR($E518="",$F518&lt;=0,$G518=""),"EKSİK",IF($E518&gt;TODAY(),"İLERİ TARİH",IF(COUNTIF($S$7:$S$2503,$S518)&gt;1,"MÜKERRER?",IF($T518&gt;0,"KAPALI DÖNEM","UYGUN"))))))</f>
        <v>UYGUN</v>
      </c>
      <c r="N518" s="74" t="str">
        <f>IF($C518="","",IF($C518="TANIMSIZ MÜŞTERİ","—",INDEX(MUSTERILER!$C$7:$C$156,MATCH($C518,MUSTERILER!$B$7:$B$156,0))))</f>
        <v>ASM EĞLENCE LTD.ŞTİ.</v>
      </c>
      <c r="O518" s="2"/>
      <c r="P518" s="2"/>
      <c r="Q518" s="1" t="str">
        <f>IF($D518="","",$C518&amp;"|"&amp;COUNTIFS($C$7:$C518,$C518))</f>
        <v>M017|28</v>
      </c>
      <c r="R518" s="1" t="str">
        <f t="shared" si="14"/>
        <v>ASMEGLENCELTDSTI</v>
      </c>
      <c r="S518" s="1" t="str">
        <f t="shared" si="15"/>
        <v>M017|46249|2500|</v>
      </c>
      <c r="T518" s="1">
        <f>IF($E518="",0,SUMPRODUCT((AY_SONU!$O$7:$O$42="Evet")*(AY_SONU!$B$7:$B$42=DATE(YEAR($E518),MONTH($E518),1))))</f>
        <v>0</v>
      </c>
      <c r="U518" s="1" t="str">
        <f>IF(OR($G518="",$H518="Mahsup"),"",$G518&amp;"|"&amp;COUNTIFS($G$7:$G518,$G518,$H$7:$H518,"&lt;&gt;Mahsup"))</f>
        <v>MERKEZ KASA|404</v>
      </c>
    </row>
    <row r="519" spans="1:21" ht="18" customHeight="1" x14ac:dyDescent="0.3">
      <c r="A519" s="2"/>
      <c r="B519" s="65" t="str">
        <f>IF($D519="","","T"&amp;TEXT(ROW()-6,"00000"))</f>
        <v>T00513</v>
      </c>
      <c r="C519" s="65" t="str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>M011</v>
      </c>
      <c r="D519" s="61" t="s">
        <v>730</v>
      </c>
      <c r="E519" s="66">
        <v>46249</v>
      </c>
      <c r="F519" s="67">
        <v>4000</v>
      </c>
      <c r="G519" s="60" t="s">
        <v>717</v>
      </c>
      <c r="H519" s="60" t="s">
        <v>572</v>
      </c>
      <c r="I519" s="61"/>
      <c r="J519" s="61" t="s">
        <v>720</v>
      </c>
      <c r="K519" s="61"/>
      <c r="L519" s="73">
        <f>IF($E519="","",DATE(YEAR($E519),MONTH($E519),1))</f>
        <v>46235</v>
      </c>
      <c r="M519" s="65" t="str">
        <f ca="1">IF($D519="","",IF($C519="TANIMSIZ MÜŞTERİ","HATA",IF(OR($E519="",$F519&lt;=0,$G519=""),"EKSİK",IF($E519&gt;TODAY(),"İLERİ TARİH",IF(COUNTIF($S$7:$S$2503,$S519)&gt;1,"MÜKERRER?",IF($T519&gt;0,"KAPALI DÖNEM","UYGUN"))))))</f>
        <v>UYGUN</v>
      </c>
      <c r="N519" s="74" t="str">
        <f>IF($C519="","",IF($C519="TANIMSIZ MÜŞTERİ","—",INDEX(MUSTERILER!$C$7:$C$156,MATCH($C519,MUSTERILER!$B$7:$B$156,0))))</f>
        <v>EĞLENGÖR LTD.ŞTİ.</v>
      </c>
      <c r="O519" s="2"/>
      <c r="P519" s="2"/>
      <c r="Q519" s="1" t="str">
        <f>IF($D519="","",$C519&amp;"|"&amp;COUNTIFS($C$7:$C519,$C519))</f>
        <v>M011|31</v>
      </c>
      <c r="R519" s="1" t="str">
        <f t="shared" ref="R519:R582" si="16"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>EGLENGORLTDSTI</v>
      </c>
      <c r="S519" s="1" t="str">
        <f t="shared" ref="S519:S582" si="17">IF($D519="","",$C519&amp;"|"&amp;TEXT($E519,"0")&amp;"|"&amp;TEXT($F519,"0")&amp;"|"&amp;$I519)</f>
        <v>M011|46249|4000|</v>
      </c>
      <c r="T519" s="1">
        <f>IF($E519="",0,SUMPRODUCT((AY_SONU!$O$7:$O$42="Evet")*(AY_SONU!$B$7:$B$42=DATE(YEAR($E519),MONTH($E519),1))))</f>
        <v>0</v>
      </c>
      <c r="U519" s="1" t="str">
        <f>IF(OR($G519="",$H519="Mahsup"),"",$G519&amp;"|"&amp;COUNTIFS($G$7:$G519,$G519,$H$7:$H519,"&lt;&gt;Mahsup"))</f>
        <v>MERKEZ KASA|405</v>
      </c>
    </row>
    <row r="520" spans="1:21" ht="18" customHeight="1" x14ac:dyDescent="0.3">
      <c r="A520" s="2"/>
      <c r="B520" s="65" t="str">
        <f>IF($D520="","","T"&amp;TEXT(ROW()-6,"00000"))</f>
        <v>T00514</v>
      </c>
      <c r="C520" s="65" t="str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>M014</v>
      </c>
      <c r="D520" s="61" t="s">
        <v>731</v>
      </c>
      <c r="E520" s="66">
        <v>46249</v>
      </c>
      <c r="F520" s="67">
        <v>12000</v>
      </c>
      <c r="G520" s="60" t="s">
        <v>717</v>
      </c>
      <c r="H520" s="60" t="s">
        <v>572</v>
      </c>
      <c r="I520" s="61"/>
      <c r="J520" s="61" t="s">
        <v>720</v>
      </c>
      <c r="K520" s="61"/>
      <c r="L520" s="73">
        <f>IF($E520="","",DATE(YEAR($E520),MONTH($E520),1))</f>
        <v>46235</v>
      </c>
      <c r="M520" s="65" t="str">
        <f ca="1">IF($D520="","",IF($C520="TANIMSIZ MÜŞTERİ","HATA",IF(OR($E520="",$F520&lt;=0,$G520=""),"EKSİK",IF($E520&gt;TODAY(),"İLERİ TARİH",IF(COUNTIF($S$7:$S$2503,$S520)&gt;1,"MÜKERRER?",IF($T520&gt;0,"KAPALI DÖNEM","UYGUN"))))))</f>
        <v>UYGUN</v>
      </c>
      <c r="N520" s="74" t="str">
        <f>IF($C520="","",IF($C520="TANIMSIZ MÜŞTERİ","—",INDEX(MUSTERILER!$C$7:$C$156,MATCH($C520,MUSTERILER!$B$7:$B$156,0))))</f>
        <v>FİNAL SİYAH BEYAZ LTD.ŞTİ.</v>
      </c>
      <c r="O520" s="2"/>
      <c r="P520" s="2"/>
      <c r="Q520" s="1" t="str">
        <f>IF($D520="","",$C520&amp;"|"&amp;COUNTIFS($C$7:$C520,$C520))</f>
        <v>M014|29</v>
      </c>
      <c r="R520" s="1" t="str">
        <f t="shared" si="16"/>
        <v>FINALSIYAHBEYAZLTDSTI</v>
      </c>
      <c r="S520" s="1" t="str">
        <f t="shared" si="17"/>
        <v>M014|46249|12000|</v>
      </c>
      <c r="T520" s="1">
        <f>IF($E520="",0,SUMPRODUCT((AY_SONU!$O$7:$O$42="Evet")*(AY_SONU!$B$7:$B$42=DATE(YEAR($E520),MONTH($E520),1))))</f>
        <v>0</v>
      </c>
      <c r="U520" s="1" t="str">
        <f>IF(OR($G520="",$H520="Mahsup"),"",$G520&amp;"|"&amp;COUNTIFS($G$7:$G520,$G520,$H$7:$H520,"&lt;&gt;Mahsup"))</f>
        <v>MERKEZ KASA|406</v>
      </c>
    </row>
    <row r="521" spans="1:21" ht="18" customHeight="1" x14ac:dyDescent="0.3">
      <c r="A521" s="2"/>
      <c r="B521" s="65" t="str">
        <f>IF($D521="","","T"&amp;TEXT(ROW()-6,"00000"))</f>
        <v>T00515</v>
      </c>
      <c r="C521" s="65" t="str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>M012</v>
      </c>
      <c r="D521" s="61" t="s">
        <v>721</v>
      </c>
      <c r="E521" s="66">
        <v>46249</v>
      </c>
      <c r="F521" s="67">
        <v>4000</v>
      </c>
      <c r="G521" s="60" t="s">
        <v>717</v>
      </c>
      <c r="H521" s="60" t="s">
        <v>572</v>
      </c>
      <c r="I521" s="61"/>
      <c r="J521" s="61" t="s">
        <v>720</v>
      </c>
      <c r="K521" s="61"/>
      <c r="L521" s="73">
        <f>IF($E521="","",DATE(YEAR($E521),MONTH($E521),1))</f>
        <v>46235</v>
      </c>
      <c r="M521" s="65" t="str">
        <f ca="1">IF($D521="","",IF($C521="TANIMSIZ MÜŞTERİ","HATA",IF(OR($E521="",$F521&lt;=0,$G521=""),"EKSİK",IF($E521&gt;TODAY(),"İLERİ TARİH",IF(COUNTIF($S$7:$S$2503,$S521)&gt;1,"MÜKERRER?",IF($T521&gt;0,"KAPALI DÖNEM","UYGUN"))))))</f>
        <v>UYGUN</v>
      </c>
      <c r="N521" s="74" t="str">
        <f>IF($C521="","",IF($C521="TANIMSIZ MÜŞTERİ","—",INDEX(MUSTERILER!$C$7:$C$156,MATCH($C521,MUSTERILER!$B$7:$B$156,0))))</f>
        <v>İLDEŞ LTD.ŞTİ.</v>
      </c>
      <c r="O521" s="2"/>
      <c r="P521" s="2"/>
      <c r="Q521" s="1" t="str">
        <f>IF($D521="","",$C521&amp;"|"&amp;COUNTIFS($C$7:$C521,$C521))</f>
        <v>M012|29</v>
      </c>
      <c r="R521" s="1" t="str">
        <f t="shared" si="16"/>
        <v>ILDESLTDSTI</v>
      </c>
      <c r="S521" s="1" t="str">
        <f t="shared" si="17"/>
        <v>M012|46249|4000|</v>
      </c>
      <c r="T521" s="1">
        <f>IF($E521="",0,SUMPRODUCT((AY_SONU!$O$7:$O$42="Evet")*(AY_SONU!$B$7:$B$42=DATE(YEAR($E521),MONTH($E521),1))))</f>
        <v>0</v>
      </c>
      <c r="U521" s="1" t="str">
        <f>IF(OR($G521="",$H521="Mahsup"),"",$G521&amp;"|"&amp;COUNTIFS($G$7:$G521,$G521,$H$7:$H521,"&lt;&gt;Mahsup"))</f>
        <v>MERKEZ KASA|407</v>
      </c>
    </row>
    <row r="522" spans="1:21" ht="18" customHeight="1" x14ac:dyDescent="0.3">
      <c r="A522" s="2"/>
      <c r="B522" s="65" t="str">
        <f>IF($D522="","","T"&amp;TEXT(ROW()-6,"00000"))</f>
        <v>T00516</v>
      </c>
      <c r="C522" s="65" t="str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>M007</v>
      </c>
      <c r="D522" s="61" t="s">
        <v>733</v>
      </c>
      <c r="E522" s="66">
        <v>46249</v>
      </c>
      <c r="F522" s="67">
        <v>3500</v>
      </c>
      <c r="G522" s="60" t="s">
        <v>717</v>
      </c>
      <c r="H522" s="60" t="s">
        <v>572</v>
      </c>
      <c r="I522" s="61"/>
      <c r="J522" s="61" t="s">
        <v>720</v>
      </c>
      <c r="K522" s="61"/>
      <c r="L522" s="73">
        <f>IF($E522="","",DATE(YEAR($E522),MONTH($E522),1))</f>
        <v>46235</v>
      </c>
      <c r="M522" s="65" t="str">
        <f ca="1">IF($D522="","",IF($C522="TANIMSIZ MÜŞTERİ","HATA",IF(OR($E522="",$F522&lt;=0,$G522=""),"EKSİK",IF($E522&gt;TODAY(),"İLERİ TARİH",IF(COUNTIF($S$7:$S$2503,$S522)&gt;1,"MÜKERRER?",IF($T522&gt;0,"KAPALI DÖNEM","UYGUN"))))))</f>
        <v>UYGUN</v>
      </c>
      <c r="N522" s="74" t="str">
        <f>IF($C522="","",IF($C522="TANIMSIZ MÜŞTERİ","—",INDEX(MUSTERILER!$C$7:$C$156,MATCH($C522,MUSTERILER!$B$7:$B$156,0))))</f>
        <v>MONAMOUR LTD.ŞTİ.</v>
      </c>
      <c r="O522" s="2"/>
      <c r="P522" s="2"/>
      <c r="Q522" s="1" t="str">
        <f>IF($D522="","",$C522&amp;"|"&amp;COUNTIFS($C$7:$C522,$C522))</f>
        <v>M007|22</v>
      </c>
      <c r="R522" s="1" t="str">
        <f t="shared" si="16"/>
        <v>MONAMOURLTDSTI</v>
      </c>
      <c r="S522" s="1" t="str">
        <f t="shared" si="17"/>
        <v>M007|46249|3500|</v>
      </c>
      <c r="T522" s="1">
        <f>IF($E522="",0,SUMPRODUCT((AY_SONU!$O$7:$O$42="Evet")*(AY_SONU!$B$7:$B$42=DATE(YEAR($E522),MONTH($E522),1))))</f>
        <v>0</v>
      </c>
      <c r="U522" s="1" t="str">
        <f>IF(OR($G522="",$H522="Mahsup"),"",$G522&amp;"|"&amp;COUNTIFS($G$7:$G522,$G522,$H$7:$H522,"&lt;&gt;Mahsup"))</f>
        <v>MERKEZ KASA|408</v>
      </c>
    </row>
    <row r="523" spans="1:21" ht="18" customHeight="1" x14ac:dyDescent="0.3">
      <c r="A523" s="2"/>
      <c r="B523" s="65" t="str">
        <f>IF($D523="","","T"&amp;TEXT(ROW()-6,"00000"))</f>
        <v>T00517</v>
      </c>
      <c r="C523" s="65" t="str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>M013</v>
      </c>
      <c r="D523" s="61" t="s">
        <v>734</v>
      </c>
      <c r="E523" s="66">
        <v>46249</v>
      </c>
      <c r="F523" s="67">
        <v>4000</v>
      </c>
      <c r="G523" s="60" t="s">
        <v>717</v>
      </c>
      <c r="H523" s="60" t="s">
        <v>572</v>
      </c>
      <c r="I523" s="61"/>
      <c r="J523" s="61" t="s">
        <v>720</v>
      </c>
      <c r="K523" s="61"/>
      <c r="L523" s="73">
        <f>IF($E523="","",DATE(YEAR($E523),MONTH($E523),1))</f>
        <v>46235</v>
      </c>
      <c r="M523" s="65" t="str">
        <f ca="1">IF($D523="","",IF($C523="TANIMSIZ MÜŞTERİ","HATA",IF(OR($E523="",$F523&lt;=0,$G523=""),"EKSİK",IF($E523&gt;TODAY(),"İLERİ TARİH",IF(COUNTIF($S$7:$S$2503,$S523)&gt;1,"MÜKERRER?",IF($T523&gt;0,"KAPALI DÖNEM","UYGUN"))))))</f>
        <v>UYGUN</v>
      </c>
      <c r="N523" s="74" t="str">
        <f>IF($C523="","",IF($C523="TANIMSIZ MÜŞTERİ","—",INDEX(MUSTERILER!$C$7:$C$156,MATCH($C523,MUSTERILER!$B$7:$B$156,0))))</f>
        <v>NAZ 1 GIDA LTD.ŞTİ.</v>
      </c>
      <c r="O523" s="2"/>
      <c r="P523" s="2"/>
      <c r="Q523" s="1" t="str">
        <f>IF($D523="","",$C523&amp;"|"&amp;COUNTIFS($C$7:$C523,$C523))</f>
        <v>M013|22</v>
      </c>
      <c r="R523" s="1" t="str">
        <f t="shared" si="16"/>
        <v>NAZ1GIDALTDSTI</v>
      </c>
      <c r="S523" s="1" t="str">
        <f t="shared" si="17"/>
        <v>M013|46249|4000|</v>
      </c>
      <c r="T523" s="1">
        <f>IF($E523="",0,SUMPRODUCT((AY_SONU!$O$7:$O$42="Evet")*(AY_SONU!$B$7:$B$42=DATE(YEAR($E523),MONTH($E523),1))))</f>
        <v>0</v>
      </c>
      <c r="U523" s="1" t="str">
        <f>IF(OR($G523="",$H523="Mahsup"),"",$G523&amp;"|"&amp;COUNTIFS($G$7:$G523,$G523,$H$7:$H523,"&lt;&gt;Mahsup"))</f>
        <v>MERKEZ KASA|409</v>
      </c>
    </row>
    <row r="524" spans="1:21" ht="18" customHeight="1" x14ac:dyDescent="0.3">
      <c r="A524" s="2"/>
      <c r="B524" s="65" t="str">
        <f>IF($D524="","","T"&amp;TEXT(ROW()-6,"00000"))</f>
        <v>T00518</v>
      </c>
      <c r="C524" s="65" t="str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>M009</v>
      </c>
      <c r="D524" s="61" t="s">
        <v>735</v>
      </c>
      <c r="E524" s="66">
        <v>46249</v>
      </c>
      <c r="F524" s="67">
        <v>4000</v>
      </c>
      <c r="G524" s="60" t="s">
        <v>717</v>
      </c>
      <c r="H524" s="60" t="s">
        <v>572</v>
      </c>
      <c r="I524" s="61"/>
      <c r="J524" s="61" t="s">
        <v>720</v>
      </c>
      <c r="K524" s="61"/>
      <c r="L524" s="73">
        <f>IF($E524="","",DATE(YEAR($E524),MONTH($E524),1))</f>
        <v>46235</v>
      </c>
      <c r="M524" s="65" t="str">
        <f ca="1">IF($D524="","",IF($C524="TANIMSIZ MÜŞTERİ","HATA",IF(OR($E524="",$F524&lt;=0,$G524=""),"EKSİK",IF($E524&gt;TODAY(),"İLERİ TARİH",IF(COUNTIF($S$7:$S$2503,$S524)&gt;1,"MÜKERRER?",IF($T524&gt;0,"KAPALI DÖNEM","UYGUN"))))))</f>
        <v>UYGUN</v>
      </c>
      <c r="N524" s="74" t="str">
        <f>IF($C524="","",IF($C524="TANIMSIZ MÜŞTERİ","—",INDEX(MUSTERILER!$C$7:$C$156,MATCH($C524,MUSTERILER!$B$7:$B$156,0))))</f>
        <v>PAKYILDIZ LTD.ŞTİ.</v>
      </c>
      <c r="O524" s="2"/>
      <c r="P524" s="2"/>
      <c r="Q524" s="1" t="str">
        <f>IF($D524="","",$C524&amp;"|"&amp;COUNTIFS($C$7:$C524,$C524))</f>
        <v>M009|28</v>
      </c>
      <c r="R524" s="1" t="str">
        <f t="shared" si="16"/>
        <v>PAKYILDIZLTDSTI</v>
      </c>
      <c r="S524" s="1" t="str">
        <f t="shared" si="17"/>
        <v>M009|46249|4000|</v>
      </c>
      <c r="T524" s="1">
        <f>IF($E524="",0,SUMPRODUCT((AY_SONU!$O$7:$O$42="Evet")*(AY_SONU!$B$7:$B$42=DATE(YEAR($E524),MONTH($E524),1))))</f>
        <v>0</v>
      </c>
      <c r="U524" s="1" t="str">
        <f>IF(OR($G524="",$H524="Mahsup"),"",$G524&amp;"|"&amp;COUNTIFS($G$7:$G524,$G524,$H$7:$H524,"&lt;&gt;Mahsup"))</f>
        <v>MERKEZ KASA|410</v>
      </c>
    </row>
    <row r="525" spans="1:21" ht="18" customHeight="1" x14ac:dyDescent="0.3">
      <c r="A525" s="2"/>
      <c r="B525" s="65" t="str">
        <f>IF($D525="","","T"&amp;TEXT(ROW()-6,"00000"))</f>
        <v>T00519</v>
      </c>
      <c r="C525" s="65" t="str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>M016</v>
      </c>
      <c r="D525" s="61" t="s">
        <v>736</v>
      </c>
      <c r="E525" s="66">
        <v>46249</v>
      </c>
      <c r="F525" s="67">
        <v>3000</v>
      </c>
      <c r="G525" s="60" t="s">
        <v>717</v>
      </c>
      <c r="H525" s="60" t="s">
        <v>572</v>
      </c>
      <c r="I525" s="61"/>
      <c r="J525" s="61" t="s">
        <v>720</v>
      </c>
      <c r="K525" s="61"/>
      <c r="L525" s="73">
        <f>IF($E525="","",DATE(YEAR($E525),MONTH($E525),1))</f>
        <v>46235</v>
      </c>
      <c r="M525" s="65" t="str">
        <f ca="1">IF($D525="","",IF($C525="TANIMSIZ MÜŞTERİ","HATA",IF(OR($E525="",$F525&lt;=0,$G525=""),"EKSİK",IF($E525&gt;TODAY(),"İLERİ TARİH",IF(COUNTIF($S$7:$S$2503,$S525)&gt;1,"MÜKERRER?",IF($T525&gt;0,"KAPALI DÖNEM","UYGUN"))))))</f>
        <v>UYGUN</v>
      </c>
      <c r="N525" s="74" t="str">
        <f>IF($C525="","",IF($C525="TANIMSIZ MÜŞTERİ","—",INDEX(MUSTERILER!$C$7:$C$156,MATCH($C525,MUSTERILER!$B$7:$B$156,0))))</f>
        <v>RİX ŞOW LTD.ŞTİ.</v>
      </c>
      <c r="O525" s="2"/>
      <c r="P525" s="2"/>
      <c r="Q525" s="1" t="str">
        <f>IF($D525="","",$C525&amp;"|"&amp;COUNTIFS($C$7:$C525,$C525))</f>
        <v>M016|29</v>
      </c>
      <c r="R525" s="1" t="str">
        <f t="shared" si="16"/>
        <v>RIXSOWLTDSTI</v>
      </c>
      <c r="S525" s="1" t="str">
        <f t="shared" si="17"/>
        <v>M016|46249|3000|</v>
      </c>
      <c r="T525" s="1">
        <f>IF($E525="",0,SUMPRODUCT((AY_SONU!$O$7:$O$42="Evet")*(AY_SONU!$B$7:$B$42=DATE(YEAR($E525),MONTH($E525),1))))</f>
        <v>0</v>
      </c>
      <c r="U525" s="1" t="str">
        <f>IF(OR($G525="",$H525="Mahsup"),"",$G525&amp;"|"&amp;COUNTIFS($G$7:$G525,$G525,$H$7:$H525,"&lt;&gt;Mahsup"))</f>
        <v>MERKEZ KASA|411</v>
      </c>
    </row>
    <row r="526" spans="1:21" ht="18" customHeight="1" x14ac:dyDescent="0.3">
      <c r="A526" s="2"/>
      <c r="B526" s="65" t="str">
        <f>IF($D526="","","T"&amp;TEXT(ROW()-6,"00000"))</f>
        <v>T00520</v>
      </c>
      <c r="C526" s="65" t="str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>M005</v>
      </c>
      <c r="D526" s="61" t="s">
        <v>722</v>
      </c>
      <c r="E526" s="66">
        <v>46249</v>
      </c>
      <c r="F526" s="67">
        <v>3500</v>
      </c>
      <c r="G526" s="60" t="s">
        <v>717</v>
      </c>
      <c r="H526" s="60" t="s">
        <v>572</v>
      </c>
      <c r="I526" s="61"/>
      <c r="J526" s="61" t="s">
        <v>720</v>
      </c>
      <c r="K526" s="61"/>
      <c r="L526" s="73">
        <f>IF($E526="","",DATE(YEAR($E526),MONTH($E526),1))</f>
        <v>46235</v>
      </c>
      <c r="M526" s="65" t="str">
        <f ca="1">IF($D526="","",IF($C526="TANIMSIZ MÜŞTERİ","HATA",IF(OR($E526="",$F526&lt;=0,$G526=""),"EKSİK",IF($E526&gt;TODAY(),"İLERİ TARİH",IF(COUNTIF($S$7:$S$2503,$S526)&gt;1,"MÜKERRER?",IF($T526&gt;0,"KAPALI DÖNEM","UYGUN"))))))</f>
        <v>UYGUN</v>
      </c>
      <c r="N526" s="74" t="str">
        <f>IF($C526="","",IF($C526="TANIMSIZ MÜŞTERİ","—",INDEX(MUSTERILER!$C$7:$C$156,MATCH($C526,MUSTERILER!$B$7:$B$156,0))))</f>
        <v>ZÜMRÜT GRUP LTD.ŞTİ.</v>
      </c>
      <c r="O526" s="2"/>
      <c r="P526" s="2"/>
      <c r="Q526" s="1" t="str">
        <f>IF($D526="","",$C526&amp;"|"&amp;COUNTIFS($C$7:$C526,$C526))</f>
        <v>M005|23</v>
      </c>
      <c r="R526" s="1" t="str">
        <f t="shared" si="16"/>
        <v>ZUMRUTGRUPLTDSTI</v>
      </c>
      <c r="S526" s="1" t="str">
        <f t="shared" si="17"/>
        <v>M005|46249|3500|</v>
      </c>
      <c r="T526" s="1">
        <f>IF($E526="",0,SUMPRODUCT((AY_SONU!$O$7:$O$42="Evet")*(AY_SONU!$B$7:$B$42=DATE(YEAR($E526),MONTH($E526),1))))</f>
        <v>0</v>
      </c>
      <c r="U526" s="1" t="str">
        <f>IF(OR($G526="",$H526="Mahsup"),"",$G526&amp;"|"&amp;COUNTIFS($G$7:$G526,$G526,$H$7:$H526,"&lt;&gt;Mahsup"))</f>
        <v>MERKEZ KASA|412</v>
      </c>
    </row>
    <row r="527" spans="1:21" ht="18" customHeight="1" x14ac:dyDescent="0.3">
      <c r="A527" s="2"/>
      <c r="B527" s="65" t="str">
        <f>IF($D527="","","T"&amp;TEXT(ROW()-6,"00000"))</f>
        <v>T00521</v>
      </c>
      <c r="C527" s="65" t="str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>M018</v>
      </c>
      <c r="D527" s="61" t="s">
        <v>593</v>
      </c>
      <c r="E527" s="66">
        <v>46249</v>
      </c>
      <c r="F527" s="67">
        <v>3500</v>
      </c>
      <c r="G527" s="60" t="s">
        <v>717</v>
      </c>
      <c r="H527" s="60" t="s">
        <v>572</v>
      </c>
      <c r="I527" s="61"/>
      <c r="J527" s="61" t="s">
        <v>720</v>
      </c>
      <c r="K527" s="61"/>
      <c r="L527" s="73">
        <f>IF($E527="","",DATE(YEAR($E527),MONTH($E527),1))</f>
        <v>46235</v>
      </c>
      <c r="M527" s="65" t="str">
        <f ca="1">IF($D527="","",IF($C527="TANIMSIZ MÜŞTERİ","HATA",IF(OR($E527="",$F527&lt;=0,$G527=""),"EKSİK",IF($E527&gt;TODAY(),"İLERİ TARİH",IF(COUNTIF($S$7:$S$2503,$S527)&gt;1,"MÜKERRER?",IF($T527&gt;0,"KAPALI DÖNEM","UYGUN"))))))</f>
        <v>UYGUN</v>
      </c>
      <c r="N527" s="74" t="str">
        <f>IF($C527="","",IF($C527="TANIMSIZ MÜŞTERİ","—",INDEX(MUSTERILER!$C$7:$C$156,MATCH($C527,MUSTERILER!$B$7:$B$156,0))))</f>
        <v>ÇINARHAN LTD.ŞTİ.</v>
      </c>
      <c r="O527" s="2"/>
      <c r="P527" s="2"/>
      <c r="Q527" s="1" t="str">
        <f>IF($D527="","",$C527&amp;"|"&amp;COUNTIFS($C$7:$C527,$C527))</f>
        <v>M018|22</v>
      </c>
      <c r="R527" s="1" t="str">
        <f t="shared" si="16"/>
        <v>CINARHANLTDSTI</v>
      </c>
      <c r="S527" s="1" t="str">
        <f t="shared" si="17"/>
        <v>M018|46249|3500|</v>
      </c>
      <c r="T527" s="1">
        <f>IF($E527="",0,SUMPRODUCT((AY_SONU!$O$7:$O$42="Evet")*(AY_SONU!$B$7:$B$42=DATE(YEAR($E527),MONTH($E527),1))))</f>
        <v>0</v>
      </c>
      <c r="U527" s="1" t="str">
        <f>IF(OR($G527="",$H527="Mahsup"),"",$G527&amp;"|"&amp;COUNTIFS($G$7:$G527,$G527,$H$7:$H527,"&lt;&gt;Mahsup"))</f>
        <v>MERKEZ KASA|413</v>
      </c>
    </row>
    <row r="528" spans="1:21" ht="18" customHeight="1" x14ac:dyDescent="0.3">
      <c r="A528" s="2"/>
      <c r="B528" s="65" t="str">
        <f>IF($D528="","","T"&amp;TEXT(ROW()-6,"00000"))</f>
        <v>T00522</v>
      </c>
      <c r="C528" s="65" t="str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>M020</v>
      </c>
      <c r="D528" s="61" t="s">
        <v>623</v>
      </c>
      <c r="E528" s="66">
        <v>46249</v>
      </c>
      <c r="F528" s="67">
        <v>3000</v>
      </c>
      <c r="G528" s="60" t="s">
        <v>717</v>
      </c>
      <c r="H528" s="60" t="s">
        <v>572</v>
      </c>
      <c r="I528" s="61"/>
      <c r="J528" s="61" t="s">
        <v>720</v>
      </c>
      <c r="K528" s="61"/>
      <c r="L528" s="73">
        <f>IF($E528="","",DATE(YEAR($E528),MONTH($E528),1))</f>
        <v>46235</v>
      </c>
      <c r="M528" s="65" t="str">
        <f ca="1">IF($D528="","",IF($C528="TANIMSIZ MÜŞTERİ","HATA",IF(OR($E528="",$F528&lt;=0,$G528=""),"EKSİK",IF($E528&gt;TODAY(),"İLERİ TARİH",IF(COUNTIF($S$7:$S$2503,$S528)&gt;1,"MÜKERRER?",IF($T528&gt;0,"KAPALI DÖNEM","UYGUN"))))))</f>
        <v>UYGUN</v>
      </c>
      <c r="N528" s="74" t="str">
        <f>IF($C528="","",IF($C528="TANIMSIZ MÜŞTERİ","—",INDEX(MUSTERILER!$C$7:$C$156,MATCH($C528,MUSTERILER!$B$7:$B$156,0))))</f>
        <v>KRİSTAL LTD.ŞTİ.</v>
      </c>
      <c r="O528" s="2"/>
      <c r="P528" s="2"/>
      <c r="Q528" s="1" t="str">
        <f>IF($D528="","",$C528&amp;"|"&amp;COUNTIFS($C$7:$C528,$C528))</f>
        <v>M020|31</v>
      </c>
      <c r="R528" s="1" t="str">
        <f t="shared" si="16"/>
        <v>KRISTALLTDSTI</v>
      </c>
      <c r="S528" s="1" t="str">
        <f t="shared" si="17"/>
        <v>M020|46249|3000|</v>
      </c>
      <c r="T528" s="1">
        <f>IF($E528="",0,SUMPRODUCT((AY_SONU!$O$7:$O$42="Evet")*(AY_SONU!$B$7:$B$42=DATE(YEAR($E528),MONTH($E528),1))))</f>
        <v>0</v>
      </c>
      <c r="U528" s="1" t="str">
        <f>IF(OR($G528="",$H528="Mahsup"),"",$G528&amp;"|"&amp;COUNTIFS($G$7:$G528,$G528,$H$7:$H528,"&lt;&gt;Mahsup"))</f>
        <v>MERKEZ KASA|414</v>
      </c>
    </row>
    <row r="529" spans="1:21" ht="18" customHeight="1" x14ac:dyDescent="0.3">
      <c r="A529" s="2"/>
      <c r="B529" s="65" t="str">
        <f>IF($D529="","","T"&amp;TEXT(ROW()-6,"00000"))</f>
        <v>T00523</v>
      </c>
      <c r="C529" s="65" t="str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>M047</v>
      </c>
      <c r="D529" s="61" t="s">
        <v>654</v>
      </c>
      <c r="E529" s="66">
        <v>46249</v>
      </c>
      <c r="F529" s="67">
        <v>5000</v>
      </c>
      <c r="G529" s="60" t="s">
        <v>717</v>
      </c>
      <c r="H529" s="60" t="s">
        <v>572</v>
      </c>
      <c r="I529" s="61"/>
      <c r="J529" s="61" t="s">
        <v>720</v>
      </c>
      <c r="K529" s="61"/>
      <c r="L529" s="73">
        <f>IF($E529="","",DATE(YEAR($E529),MONTH($E529),1))</f>
        <v>46235</v>
      </c>
      <c r="M529" s="65" t="str">
        <f ca="1">IF($D529="","",IF($C529="TANIMSIZ MÜŞTERİ","HATA",IF(OR($E529="",$F529&lt;=0,$G529=""),"EKSİK",IF($E529&gt;TODAY(),"İLERİ TARİH",IF(COUNTIF($S$7:$S$2503,$S529)&gt;1,"MÜKERRER?",IF($T529&gt;0,"KAPALI DÖNEM","UYGUN"))))))</f>
        <v>UYGUN</v>
      </c>
      <c r="N529" s="74" t="str">
        <f>IF($C529="","",IF($C529="TANIMSIZ MÜŞTERİ","—",INDEX(MUSTERILER!$C$7:$C$156,MATCH($C529,MUSTERILER!$B$7:$B$156,0))))</f>
        <v>PALAOĞULLARI LTD.ŞTİ.</v>
      </c>
      <c r="O529" s="2"/>
      <c r="P529" s="2"/>
      <c r="Q529" s="1" t="str">
        <f>IF($D529="","",$C529&amp;"|"&amp;COUNTIFS($C$7:$C529,$C529))</f>
        <v>M047|21</v>
      </c>
      <c r="R529" s="1" t="str">
        <f t="shared" si="16"/>
        <v>PALAOGULLARILTDSTI</v>
      </c>
      <c r="S529" s="1" t="str">
        <f t="shared" si="17"/>
        <v>M047|46249|5000|</v>
      </c>
      <c r="T529" s="1">
        <f>IF($E529="",0,SUMPRODUCT((AY_SONU!$O$7:$O$42="Evet")*(AY_SONU!$B$7:$B$42=DATE(YEAR($E529),MONTH($E529),1))))</f>
        <v>0</v>
      </c>
      <c r="U529" s="1" t="str">
        <f>IF(OR($G529="",$H529="Mahsup"),"",$G529&amp;"|"&amp;COUNTIFS($G$7:$G529,$G529,$H$7:$H529,"&lt;&gt;Mahsup"))</f>
        <v>MERKEZ KASA|415</v>
      </c>
    </row>
    <row r="530" spans="1:21" ht="18" customHeight="1" x14ac:dyDescent="0.3">
      <c r="A530" s="2"/>
      <c r="B530" s="65" t="str">
        <f>IF($D530="","","T"&amp;TEXT(ROW()-6,"00000"))</f>
        <v>T00524</v>
      </c>
      <c r="C530" s="65" t="str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>M049</v>
      </c>
      <c r="D530" s="61" t="s">
        <v>662</v>
      </c>
      <c r="E530" s="66">
        <v>46249</v>
      </c>
      <c r="F530" s="67">
        <v>3000</v>
      </c>
      <c r="G530" s="60" t="s">
        <v>717</v>
      </c>
      <c r="H530" s="60" t="s">
        <v>572</v>
      </c>
      <c r="I530" s="61"/>
      <c r="J530" s="61" t="s">
        <v>720</v>
      </c>
      <c r="K530" s="61"/>
      <c r="L530" s="73">
        <f>IF($E530="","",DATE(YEAR($E530),MONTH($E530),1))</f>
        <v>46235</v>
      </c>
      <c r="M530" s="65" t="str">
        <f ca="1">IF($D530="","",IF($C530="TANIMSIZ MÜŞTERİ","HATA",IF(OR($E530="",$F530&lt;=0,$G530=""),"EKSİK",IF($E530&gt;TODAY(),"İLERİ TARİH",IF(COUNTIF($S$7:$S$2503,$S530)&gt;1,"MÜKERRER?",IF($T530&gt;0,"KAPALI DÖNEM","UYGUN"))))))</f>
        <v>UYGUN</v>
      </c>
      <c r="N530" s="74" t="str">
        <f>IF($C530="","",IF($C530="TANIMSIZ MÜŞTERİ","—",INDEX(MUSTERILER!$C$7:$C$156,MATCH($C530,MUSTERILER!$B$7:$B$156,0))))</f>
        <v>STAR ŞOW LTD.ŞTİ.</v>
      </c>
      <c r="O530" s="2"/>
      <c r="P530" s="2"/>
      <c r="Q530" s="1" t="str">
        <f>IF($D530="","",$C530&amp;"|"&amp;COUNTIFS($C$7:$C530,$C530))</f>
        <v>M049|2</v>
      </c>
      <c r="R530" s="1" t="str">
        <f t="shared" si="16"/>
        <v>STARSOWLTDSTI</v>
      </c>
      <c r="S530" s="1" t="str">
        <f t="shared" si="17"/>
        <v>M049|46249|3000|</v>
      </c>
      <c r="T530" s="1">
        <f>IF($E530="",0,SUMPRODUCT((AY_SONU!$O$7:$O$42="Evet")*(AY_SONU!$B$7:$B$42=DATE(YEAR($E530),MONTH($E530),1))))</f>
        <v>0</v>
      </c>
      <c r="U530" s="1" t="str">
        <f>IF(OR($G530="",$H530="Mahsup"),"",$G530&amp;"|"&amp;COUNTIFS($G$7:$G530,$G530,$H$7:$H530,"&lt;&gt;Mahsup"))</f>
        <v>MERKEZ KASA|416</v>
      </c>
    </row>
    <row r="531" spans="1:21" ht="18" customHeight="1" x14ac:dyDescent="0.3">
      <c r="A531" s="2"/>
      <c r="B531" s="65" t="str">
        <f>IF($D531="","","T"&amp;TEXT(ROW()-6,"00000"))</f>
        <v>T00525</v>
      </c>
      <c r="C531" s="65" t="str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>M051</v>
      </c>
      <c r="D531" s="61" t="s">
        <v>668</v>
      </c>
      <c r="E531" s="66">
        <v>46249</v>
      </c>
      <c r="F531" s="67">
        <v>3000</v>
      </c>
      <c r="G531" s="60" t="s">
        <v>723</v>
      </c>
      <c r="H531" s="60" t="s">
        <v>572</v>
      </c>
      <c r="I531" s="61"/>
      <c r="J531" s="61" t="s">
        <v>720</v>
      </c>
      <c r="K531" s="61"/>
      <c r="L531" s="73">
        <f>IF($E531="","",DATE(YEAR($E531),MONTH($E531),1))</f>
        <v>46235</v>
      </c>
      <c r="M531" s="65" t="str">
        <f ca="1">IF($D531="","",IF($C531="TANIMSIZ MÜŞTERİ","HATA",IF(OR($E531="",$F531&lt;=0,$G531=""),"EKSİK",IF($E531&gt;TODAY(),"İLERİ TARİH",IF(COUNTIF($S$7:$S$2503,$S531)&gt;1,"MÜKERRER?",IF($T531&gt;0,"KAPALI DÖNEM","UYGUN"))))))</f>
        <v>UYGUN</v>
      </c>
      <c r="N531" s="74" t="str">
        <f>IF($C531="","",IF($C531="TANIMSIZ MÜŞTERİ","—",INDEX(MUSTERILER!$C$7:$C$156,MATCH($C531,MUSTERILER!$B$7:$B$156,0))))</f>
        <v>UFUK YILMAZ</v>
      </c>
      <c r="O531" s="2"/>
      <c r="P531" s="2"/>
      <c r="Q531" s="1" t="str">
        <f>IF($D531="","",$C531&amp;"|"&amp;COUNTIFS($C$7:$C531,$C531))</f>
        <v>M051|8</v>
      </c>
      <c r="R531" s="1" t="str">
        <f t="shared" si="16"/>
        <v>UFUKYILMAZ</v>
      </c>
      <c r="S531" s="1" t="str">
        <f t="shared" si="17"/>
        <v>M051|46249|3000|</v>
      </c>
      <c r="T531" s="1">
        <f>IF($E531="",0,SUMPRODUCT((AY_SONU!$O$7:$O$42="Evet")*(AY_SONU!$B$7:$B$42=DATE(YEAR($E531),MONTH($E531),1))))</f>
        <v>0</v>
      </c>
      <c r="U531" s="1" t="str">
        <f>IF(OR($G531="",$H531="Mahsup"),"",$G531&amp;"|"&amp;COUNTIFS($G$7:$G531,$G531,$H$7:$H531,"&lt;&gt;Mahsup"))</f>
        <v>ÖMER KARTAL|109</v>
      </c>
    </row>
    <row r="532" spans="1:21" ht="18" customHeight="1" x14ac:dyDescent="0.3">
      <c r="A532" s="2"/>
      <c r="B532" s="65" t="str">
        <f>IF($D532="","","T"&amp;TEXT(ROW()-6,"00000"))</f>
        <v>T00526</v>
      </c>
      <c r="C532" s="65" t="str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>M041</v>
      </c>
      <c r="D532" s="61" t="s">
        <v>633</v>
      </c>
      <c r="E532" s="66">
        <v>46251</v>
      </c>
      <c r="F532" s="67">
        <v>5000</v>
      </c>
      <c r="G532" s="60" t="s">
        <v>717</v>
      </c>
      <c r="H532" s="60" t="s">
        <v>572</v>
      </c>
      <c r="I532" s="61"/>
      <c r="J532" s="61" t="s">
        <v>720</v>
      </c>
      <c r="K532" s="61"/>
      <c r="L532" s="73">
        <f>IF($E532="","",DATE(YEAR($E532),MONTH($E532),1))</f>
        <v>46235</v>
      </c>
      <c r="M532" s="65" t="str">
        <f ca="1">IF($D532="","",IF($C532="TANIMSIZ MÜŞTERİ","HATA",IF(OR($E532="",$F532&lt;=0,$G532=""),"EKSİK",IF($E532&gt;TODAY(),"İLERİ TARİH",IF(COUNTIF($S$7:$S$2503,$S532)&gt;1,"MÜKERRER?",IF($T532&gt;0,"KAPALI DÖNEM","UYGUN"))))))</f>
        <v>UYGUN</v>
      </c>
      <c r="N532" s="74" t="str">
        <f>IF($C532="","",IF($C532="TANIMSIZ MÜŞTERİ","—",INDEX(MUSTERILER!$C$7:$C$156,MATCH($C532,MUSTERILER!$B$7:$B$156,0))))</f>
        <v>MESUT KÖKLÜ</v>
      </c>
      <c r="O532" s="2"/>
      <c r="P532" s="2"/>
      <c r="Q532" s="1" t="str">
        <f>IF($D532="","",$C532&amp;"|"&amp;COUNTIFS($C$7:$C532,$C532))</f>
        <v>M041|2</v>
      </c>
      <c r="R532" s="1" t="str">
        <f t="shared" si="16"/>
        <v>MESUTKOKLU</v>
      </c>
      <c r="S532" s="1" t="str">
        <f t="shared" si="17"/>
        <v>M041|46251|5000|</v>
      </c>
      <c r="T532" s="1">
        <f>IF($E532="",0,SUMPRODUCT((AY_SONU!$O$7:$O$42="Evet")*(AY_SONU!$B$7:$B$42=DATE(YEAR($E532),MONTH($E532),1))))</f>
        <v>0</v>
      </c>
      <c r="U532" s="1" t="str">
        <f>IF(OR($G532="",$H532="Mahsup"),"",$G532&amp;"|"&amp;COUNTIFS($G$7:$G532,$G532,$H$7:$H532,"&lt;&gt;Mahsup"))</f>
        <v>MERKEZ KASA|417</v>
      </c>
    </row>
    <row r="533" spans="1:21" ht="18" customHeight="1" x14ac:dyDescent="0.3">
      <c r="A533" s="2"/>
      <c r="B533" s="65" t="str">
        <f>IF($D533="","","T"&amp;TEXT(ROW()-6,"00000"))</f>
        <v>T00527</v>
      </c>
      <c r="C533" s="65" t="str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>M021</v>
      </c>
      <c r="D533" s="61" t="s">
        <v>581</v>
      </c>
      <c r="E533" s="66">
        <v>46252</v>
      </c>
      <c r="F533" s="67">
        <v>10000</v>
      </c>
      <c r="G533" s="60" t="s">
        <v>717</v>
      </c>
      <c r="H533" s="60" t="s">
        <v>572</v>
      </c>
      <c r="I533" s="61"/>
      <c r="J533" s="61" t="s">
        <v>720</v>
      </c>
      <c r="K533" s="61"/>
      <c r="L533" s="73">
        <f>IF($E533="","",DATE(YEAR($E533),MONTH($E533),1))</f>
        <v>46235</v>
      </c>
      <c r="M533" s="65" t="str">
        <f ca="1">IF($D533="","",IF($C533="TANIMSIZ MÜŞTERİ","HATA",IF(OR($E533="",$F533&lt;=0,$G533=""),"EKSİK",IF($E533&gt;TODAY(),"İLERİ TARİH",IF(COUNTIF($S$7:$S$2503,$S533)&gt;1,"MÜKERRER?",IF($T533&gt;0,"KAPALI DÖNEM","UYGUN"))))))</f>
        <v>UYGUN</v>
      </c>
      <c r="N533" s="74" t="str">
        <f>IF($C533="","",IF($C533="TANIMSIZ MÜŞTERİ","—",INDEX(MUSTERILER!$C$7:$C$156,MATCH($C533,MUSTERILER!$B$7:$B$156,0))))</f>
        <v>ARON TOPTAN LTD.ŞTİ.</v>
      </c>
      <c r="O533" s="2"/>
      <c r="P533" s="2"/>
      <c r="Q533" s="1" t="str">
        <f>IF($D533="","",$C533&amp;"|"&amp;COUNTIFS($C$7:$C533,$C533))</f>
        <v>M021|5</v>
      </c>
      <c r="R533" s="1" t="str">
        <f t="shared" si="16"/>
        <v>ARONTOPTANLTDSTI</v>
      </c>
      <c r="S533" s="1" t="str">
        <f t="shared" si="17"/>
        <v>M021|46252|10000|</v>
      </c>
      <c r="T533" s="1">
        <f>IF($E533="",0,SUMPRODUCT((AY_SONU!$O$7:$O$42="Evet")*(AY_SONU!$B$7:$B$42=DATE(YEAR($E533),MONTH($E533),1))))</f>
        <v>0</v>
      </c>
      <c r="U533" s="1" t="str">
        <f>IF(OR($G533="",$H533="Mahsup"),"",$G533&amp;"|"&amp;COUNTIFS($G$7:$G533,$G533,$H$7:$H533,"&lt;&gt;Mahsup"))</f>
        <v>MERKEZ KASA|418</v>
      </c>
    </row>
    <row r="534" spans="1:21" ht="18" customHeight="1" x14ac:dyDescent="0.3">
      <c r="A534" s="2"/>
      <c r="B534" s="65" t="str">
        <f>IF($D534="","","T"&amp;TEXT(ROW()-6,"00000"))</f>
        <v>T00528</v>
      </c>
      <c r="C534" s="65" t="str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>M029</v>
      </c>
      <c r="D534" s="61" t="s">
        <v>599</v>
      </c>
      <c r="E534" s="66">
        <v>46252</v>
      </c>
      <c r="F534" s="67">
        <v>6000</v>
      </c>
      <c r="G534" s="60" t="s">
        <v>717</v>
      </c>
      <c r="H534" s="60" t="s">
        <v>572</v>
      </c>
      <c r="I534" s="61"/>
      <c r="J534" s="61" t="s">
        <v>720</v>
      </c>
      <c r="K534" s="61"/>
      <c r="L534" s="73">
        <f>IF($E534="","",DATE(YEAR($E534),MONTH($E534),1))</f>
        <v>46235</v>
      </c>
      <c r="M534" s="65" t="str">
        <f ca="1">IF($D534="","",IF($C534="TANIMSIZ MÜŞTERİ","HATA",IF(OR($E534="",$F534&lt;=0,$G534=""),"EKSİK",IF($E534&gt;TODAY(),"İLERİ TARİH",IF(COUNTIF($S$7:$S$2503,$S534)&gt;1,"MÜKERRER?",IF($T534&gt;0,"KAPALI DÖNEM","UYGUN"))))))</f>
        <v>UYGUN</v>
      </c>
      <c r="N534" s="74" t="str">
        <f>IF($C534="","",IF($C534="TANIMSIZ MÜŞTERİ","—",INDEX(MUSTERILER!$C$7:$C$156,MATCH($C534,MUSTERILER!$B$7:$B$156,0))))</f>
        <v>EMRAH SAVURKAN</v>
      </c>
      <c r="O534" s="2"/>
      <c r="P534" s="2"/>
      <c r="Q534" s="1" t="str">
        <f>IF($D534="","",$C534&amp;"|"&amp;COUNTIFS($C$7:$C534,$C534))</f>
        <v>M029|1</v>
      </c>
      <c r="R534" s="1" t="str">
        <f t="shared" si="16"/>
        <v>EMRAHSAVURKAN</v>
      </c>
      <c r="S534" s="1" t="str">
        <f t="shared" si="17"/>
        <v>M029|46252|6000|</v>
      </c>
      <c r="T534" s="1">
        <f>IF($E534="",0,SUMPRODUCT((AY_SONU!$O$7:$O$42="Evet")*(AY_SONU!$B$7:$B$42=DATE(YEAR($E534),MONTH($E534),1))))</f>
        <v>0</v>
      </c>
      <c r="U534" s="1" t="str">
        <f>IF(OR($G534="",$H534="Mahsup"),"",$G534&amp;"|"&amp;COUNTIFS($G$7:$G534,$G534,$H$7:$H534,"&lt;&gt;Mahsup"))</f>
        <v>MERKEZ KASA|419</v>
      </c>
    </row>
    <row r="535" spans="1:21" ht="18" customHeight="1" x14ac:dyDescent="0.3">
      <c r="A535" s="2"/>
      <c r="B535" s="65" t="str">
        <f>IF($D535="","","T"&amp;TEXT(ROW()-6,"00000"))</f>
        <v>T00529</v>
      </c>
      <c r="C535" s="65" t="str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>M044</v>
      </c>
      <c r="D535" s="61" t="s">
        <v>640</v>
      </c>
      <c r="E535" s="66">
        <v>46252</v>
      </c>
      <c r="F535" s="67">
        <v>15000</v>
      </c>
      <c r="G535" s="60" t="s">
        <v>717</v>
      </c>
      <c r="H535" s="60" t="s">
        <v>572</v>
      </c>
      <c r="I535" s="61"/>
      <c r="J535" s="61" t="s">
        <v>720</v>
      </c>
      <c r="K535" s="61"/>
      <c r="L535" s="73">
        <f>IF($E535="","",DATE(YEAR($E535),MONTH($E535),1))</f>
        <v>46235</v>
      </c>
      <c r="M535" s="65" t="str">
        <f ca="1">IF($D535="","",IF($C535="TANIMSIZ MÜŞTERİ","HATA",IF(OR($E535="",$F535&lt;=0,$G535=""),"EKSİK",IF($E535&gt;TODAY(),"İLERİ TARİH",IF(COUNTIF($S$7:$S$2503,$S535)&gt;1,"MÜKERRER?",IF($T535&gt;0,"KAPALI DÖNEM","UYGUN"))))))</f>
        <v>UYGUN</v>
      </c>
      <c r="N535" s="74" t="str">
        <f>IF($C535="","",IF($C535="TANIMSIZ MÜŞTERİ","—",INDEX(MUSTERILER!$C$7:$C$156,MATCH($C535,MUSTERILER!$B$7:$B$156,0))))</f>
        <v>MUSTAFA KOLBAŞI</v>
      </c>
      <c r="O535" s="2"/>
      <c r="P535" s="2"/>
      <c r="Q535" s="1" t="str">
        <f>IF($D535="","",$C535&amp;"|"&amp;COUNTIFS($C$7:$C535,$C535))</f>
        <v>M044|1</v>
      </c>
      <c r="R535" s="1" t="str">
        <f t="shared" si="16"/>
        <v>MUSTAFAKOLBASI</v>
      </c>
      <c r="S535" s="1" t="str">
        <f t="shared" si="17"/>
        <v>M044|46252|15000|</v>
      </c>
      <c r="T535" s="1">
        <f>IF($E535="",0,SUMPRODUCT((AY_SONU!$O$7:$O$42="Evet")*(AY_SONU!$B$7:$B$42=DATE(YEAR($E535),MONTH($E535),1))))</f>
        <v>0</v>
      </c>
      <c r="U535" s="1" t="str">
        <f>IF(OR($G535="",$H535="Mahsup"),"",$G535&amp;"|"&amp;COUNTIFS($G$7:$G535,$G535,$H$7:$H535,"&lt;&gt;Mahsup"))</f>
        <v>MERKEZ KASA|420</v>
      </c>
    </row>
    <row r="536" spans="1:21" ht="18" customHeight="1" x14ac:dyDescent="0.3">
      <c r="A536" s="2"/>
      <c r="B536" s="65" t="str">
        <f>IF($D536="","","T"&amp;TEXT(ROW()-6,"00000"))</f>
        <v>T00530</v>
      </c>
      <c r="C536" s="65" t="str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>M036</v>
      </c>
      <c r="D536" s="61" t="s">
        <v>619</v>
      </c>
      <c r="E536" s="66">
        <v>46253</v>
      </c>
      <c r="F536" s="67">
        <v>10000</v>
      </c>
      <c r="G536" s="60" t="s">
        <v>717</v>
      </c>
      <c r="H536" s="60" t="s">
        <v>572</v>
      </c>
      <c r="I536" s="61"/>
      <c r="J536" s="61" t="s">
        <v>720</v>
      </c>
      <c r="K536" s="61"/>
      <c r="L536" s="73">
        <f>IF($E536="","",DATE(YEAR($E536),MONTH($E536),1))</f>
        <v>46235</v>
      </c>
      <c r="M536" s="65" t="str">
        <f ca="1">IF($D536="","",IF($C536="TANIMSIZ MÜŞTERİ","HATA",IF(OR($E536="",$F536&lt;=0,$G536=""),"EKSİK",IF($E536&gt;TODAY(),"İLERİ TARİH",IF(COUNTIF($S$7:$S$2503,$S536)&gt;1,"MÜKERRER?",IF($T536&gt;0,"KAPALI DÖNEM","UYGUN"))))))</f>
        <v>UYGUN</v>
      </c>
      <c r="N536" s="74" t="str">
        <f>IF($C536="","",IF($C536="TANIMSIZ MÜŞTERİ","—",INDEX(MUSTERILER!$C$7:$C$156,MATCH($C536,MUSTERILER!$B$7:$B$156,0))))</f>
        <v>İSMAİL AKPINAR</v>
      </c>
      <c r="O536" s="2"/>
      <c r="P536" s="2"/>
      <c r="Q536" s="1" t="str">
        <f>IF($D536="","",$C536&amp;"|"&amp;COUNTIFS($C$7:$C536,$C536))</f>
        <v>M036|1</v>
      </c>
      <c r="R536" s="1" t="str">
        <f t="shared" si="16"/>
        <v>ISMAILAKPINAR</v>
      </c>
      <c r="S536" s="1" t="str">
        <f t="shared" si="17"/>
        <v>M036|46253|10000|</v>
      </c>
      <c r="T536" s="1">
        <f>IF($E536="",0,SUMPRODUCT((AY_SONU!$O$7:$O$42="Evet")*(AY_SONU!$B$7:$B$42=DATE(YEAR($E536),MONTH($E536),1))))</f>
        <v>0</v>
      </c>
      <c r="U536" s="1" t="str">
        <f>IF(OR($G536="",$H536="Mahsup"),"",$G536&amp;"|"&amp;COUNTIFS($G$7:$G536,$G536,$H$7:$H536,"&lt;&gt;Mahsup"))</f>
        <v>MERKEZ KASA|421</v>
      </c>
    </row>
    <row r="537" spans="1:21" ht="18" customHeight="1" x14ac:dyDescent="0.3">
      <c r="A537" s="2"/>
      <c r="B537" s="65" t="str">
        <f>IF($D537="","","T"&amp;TEXT(ROW()-6,"00000"))</f>
        <v>T00531</v>
      </c>
      <c r="C537" s="65" t="str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>M031</v>
      </c>
      <c r="D537" s="61" t="s">
        <v>607</v>
      </c>
      <c r="E537" s="66">
        <v>46254</v>
      </c>
      <c r="F537" s="67">
        <v>9000</v>
      </c>
      <c r="G537" s="60" t="s">
        <v>717</v>
      </c>
      <c r="H537" s="60" t="s">
        <v>572</v>
      </c>
      <c r="I537" s="61"/>
      <c r="J537" s="61" t="s">
        <v>720</v>
      </c>
      <c r="K537" s="61"/>
      <c r="L537" s="73">
        <f>IF($E537="","",DATE(YEAR($E537),MONTH($E537),1))</f>
        <v>46235</v>
      </c>
      <c r="M537" s="65" t="str">
        <f ca="1">IF($D537="","",IF($C537="TANIMSIZ MÜŞTERİ","HATA",IF(OR($E537="",$F537&lt;=0,$G537=""),"EKSİK",IF($E537&gt;TODAY(),"İLERİ TARİH",IF(COUNTIF($S$7:$S$2503,$S537)&gt;1,"MÜKERRER?",IF($T537&gt;0,"KAPALI DÖNEM","UYGUN"))))))</f>
        <v>UYGUN</v>
      </c>
      <c r="N537" s="74" t="str">
        <f>IF($C537="","",IF($C537="TANIMSIZ MÜŞTERİ","—",INDEX(MUSTERILER!$C$7:$C$156,MATCH($C537,MUSTERILER!$B$7:$B$156,0))))</f>
        <v>HALİL AVŞAR</v>
      </c>
      <c r="O537" s="2"/>
      <c r="P537" s="2"/>
      <c r="Q537" s="1" t="str">
        <f>IF($D537="","",$C537&amp;"|"&amp;COUNTIFS($C$7:$C537,$C537))</f>
        <v>M031|3</v>
      </c>
      <c r="R537" s="1" t="str">
        <f t="shared" si="16"/>
        <v>HALILAVSAR</v>
      </c>
      <c r="S537" s="1" t="str">
        <f t="shared" si="17"/>
        <v>M031|46254|9000|</v>
      </c>
      <c r="T537" s="1">
        <f>IF($E537="",0,SUMPRODUCT((AY_SONU!$O$7:$O$42="Evet")*(AY_SONU!$B$7:$B$42=DATE(YEAR($E537),MONTH($E537),1))))</f>
        <v>0</v>
      </c>
      <c r="U537" s="1" t="str">
        <f>IF(OR($G537="",$H537="Mahsup"),"",$G537&amp;"|"&amp;COUNTIFS($G$7:$G537,$G537,$H$7:$H537,"&lt;&gt;Mahsup"))</f>
        <v>MERKEZ KASA|422</v>
      </c>
    </row>
    <row r="538" spans="1:21" ht="18" customHeight="1" x14ac:dyDescent="0.3">
      <c r="A538" s="2"/>
      <c r="B538" s="65" t="str">
        <f>IF($D538="","","T"&amp;TEXT(ROW()-6,"00000"))</f>
        <v>T00532</v>
      </c>
      <c r="C538" s="65" t="str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>M022</v>
      </c>
      <c r="D538" s="61" t="s">
        <v>574</v>
      </c>
      <c r="E538" s="66">
        <v>46254</v>
      </c>
      <c r="F538" s="67">
        <v>3000</v>
      </c>
      <c r="G538" s="60" t="s">
        <v>717</v>
      </c>
      <c r="H538" s="60" t="s">
        <v>572</v>
      </c>
      <c r="I538" s="61"/>
      <c r="J538" s="61" t="s">
        <v>720</v>
      </c>
      <c r="K538" s="61"/>
      <c r="L538" s="73">
        <f>IF($E538="","",DATE(YEAR($E538),MONTH($E538),1))</f>
        <v>46235</v>
      </c>
      <c r="M538" s="65" t="str">
        <f ca="1">IF($D538="","",IF($C538="TANIMSIZ MÜŞTERİ","HATA",IF(OR($E538="",$F538&lt;=0,$G538=""),"EKSİK",IF($E538&gt;TODAY(),"İLERİ TARİH",IF(COUNTIF($S$7:$S$2503,$S538)&gt;1,"MÜKERRER?",IF($T538&gt;0,"KAPALI DÖNEM","UYGUN"))))))</f>
        <v>UYGUN</v>
      </c>
      <c r="N538" s="74" t="str">
        <f>IF($C538="","",IF($C538="TANIMSIZ MÜŞTERİ","—",INDEX(MUSTERILER!$C$7:$C$156,MATCH($C538,MUSTERILER!$B$7:$B$156,0))))</f>
        <v>ADEM KARABENLİ</v>
      </c>
      <c r="O538" s="2"/>
      <c r="P538" s="2"/>
      <c r="Q538" s="1" t="str">
        <f>IF($D538="","",$C538&amp;"|"&amp;COUNTIFS($C$7:$C538,$C538))</f>
        <v>M022|1</v>
      </c>
      <c r="R538" s="1" t="str">
        <f t="shared" si="16"/>
        <v>ADEMKARABENLI</v>
      </c>
      <c r="S538" s="1" t="str">
        <f t="shared" si="17"/>
        <v>M022|46254|3000|</v>
      </c>
      <c r="T538" s="1">
        <f>IF($E538="",0,SUMPRODUCT((AY_SONU!$O$7:$O$42="Evet")*(AY_SONU!$B$7:$B$42=DATE(YEAR($E538),MONTH($E538),1))))</f>
        <v>0</v>
      </c>
      <c r="U538" s="1" t="str">
        <f>IF(OR($G538="",$H538="Mahsup"),"",$G538&amp;"|"&amp;COUNTIFS($G$7:$G538,$G538,$H$7:$H538,"&lt;&gt;Mahsup"))</f>
        <v>MERKEZ KASA|423</v>
      </c>
    </row>
    <row r="539" spans="1:21" ht="18" customHeight="1" x14ac:dyDescent="0.3">
      <c r="A539" s="2"/>
      <c r="B539" s="65" t="str">
        <f>IF($D539="","","T"&amp;TEXT(ROW()-6,"00000"))</f>
        <v>T00533</v>
      </c>
      <c r="C539" s="65" t="str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>M038</v>
      </c>
      <c r="D539" s="61" t="s">
        <v>627</v>
      </c>
      <c r="E539" s="66">
        <v>46254</v>
      </c>
      <c r="F539" s="67">
        <v>12000</v>
      </c>
      <c r="G539" s="60" t="s">
        <v>717</v>
      </c>
      <c r="H539" s="60" t="s">
        <v>572</v>
      </c>
      <c r="I539" s="61"/>
      <c r="J539" s="61" t="s">
        <v>720</v>
      </c>
      <c r="K539" s="61"/>
      <c r="L539" s="73">
        <f>IF($E539="","",DATE(YEAR($E539),MONTH($E539),1))</f>
        <v>46235</v>
      </c>
      <c r="M539" s="65" t="str">
        <f ca="1">IF($D539="","",IF($C539="TANIMSIZ MÜŞTERİ","HATA",IF(OR($E539="",$F539&lt;=0,$G539=""),"EKSİK",IF($E539&gt;TODAY(),"İLERİ TARİH",IF(COUNTIF($S$7:$S$2503,$S539)&gt;1,"MÜKERRER?",IF($T539&gt;0,"KAPALI DÖNEM","UYGUN"))))))</f>
        <v>UYGUN</v>
      </c>
      <c r="N539" s="74" t="str">
        <f>IF($C539="","",IF($C539="TANIMSIZ MÜŞTERİ","—",INDEX(MUSTERILER!$C$7:$C$156,MATCH($C539,MUSTERILER!$B$7:$B$156,0))))</f>
        <v>MELEK GÜLER</v>
      </c>
      <c r="O539" s="2"/>
      <c r="P539" s="2"/>
      <c r="Q539" s="1" t="str">
        <f>IF($D539="","",$C539&amp;"|"&amp;COUNTIFS($C$7:$C539,$C539))</f>
        <v>M038|2</v>
      </c>
      <c r="R539" s="1" t="str">
        <f t="shared" si="16"/>
        <v>MELEKGULER</v>
      </c>
      <c r="S539" s="1" t="str">
        <f t="shared" si="17"/>
        <v>M038|46254|12000|</v>
      </c>
      <c r="T539" s="1">
        <f>IF($E539="",0,SUMPRODUCT((AY_SONU!$O$7:$O$42="Evet")*(AY_SONU!$B$7:$B$42=DATE(YEAR($E539),MONTH($E539),1))))</f>
        <v>0</v>
      </c>
      <c r="U539" s="1" t="str">
        <f>IF(OR($G539="",$H539="Mahsup"),"",$G539&amp;"|"&amp;COUNTIFS($G$7:$G539,$G539,$H$7:$H539,"&lt;&gt;Mahsup"))</f>
        <v>MERKEZ KASA|424</v>
      </c>
    </row>
    <row r="540" spans="1:21" ht="18" customHeight="1" x14ac:dyDescent="0.3">
      <c r="A540" s="2"/>
      <c r="B540" s="65" t="str">
        <f>IF($D540="","","T"&amp;TEXT(ROW()-6,"00000"))</f>
        <v>T00534</v>
      </c>
      <c r="C540" s="65" t="str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>M011</v>
      </c>
      <c r="D540" s="61" t="s">
        <v>730</v>
      </c>
      <c r="E540" s="66">
        <v>46256</v>
      </c>
      <c r="F540" s="67">
        <v>4000</v>
      </c>
      <c r="G540" s="60" t="s">
        <v>717</v>
      </c>
      <c r="H540" s="60" t="s">
        <v>572</v>
      </c>
      <c r="I540" s="61"/>
      <c r="J540" s="61" t="s">
        <v>720</v>
      </c>
      <c r="K540" s="61"/>
      <c r="L540" s="73">
        <f>IF($E540="","",DATE(YEAR($E540),MONTH($E540),1))</f>
        <v>46235</v>
      </c>
      <c r="M540" s="65" t="str">
        <f ca="1">IF($D540="","",IF($C540="TANIMSIZ MÜŞTERİ","HATA",IF(OR($E540="",$F540&lt;=0,$G540=""),"EKSİK",IF($E540&gt;TODAY(),"İLERİ TARİH",IF(COUNTIF($S$7:$S$2503,$S540)&gt;1,"MÜKERRER?",IF($T540&gt;0,"KAPALI DÖNEM","UYGUN"))))))</f>
        <v>UYGUN</v>
      </c>
      <c r="N540" s="74" t="str">
        <f>IF($C540="","",IF($C540="TANIMSIZ MÜŞTERİ","—",INDEX(MUSTERILER!$C$7:$C$156,MATCH($C540,MUSTERILER!$B$7:$B$156,0))))</f>
        <v>EĞLENGÖR LTD.ŞTİ.</v>
      </c>
      <c r="O540" s="2"/>
      <c r="P540" s="2"/>
      <c r="Q540" s="1" t="str">
        <f>IF($D540="","",$C540&amp;"|"&amp;COUNTIFS($C$7:$C540,$C540))</f>
        <v>M011|32</v>
      </c>
      <c r="R540" s="1" t="str">
        <f t="shared" si="16"/>
        <v>EGLENGORLTDSTI</v>
      </c>
      <c r="S540" s="1" t="str">
        <f t="shared" si="17"/>
        <v>M011|46256|4000|</v>
      </c>
      <c r="T540" s="1">
        <f>IF($E540="",0,SUMPRODUCT((AY_SONU!$O$7:$O$42="Evet")*(AY_SONU!$B$7:$B$42=DATE(YEAR($E540),MONTH($E540),1))))</f>
        <v>0</v>
      </c>
      <c r="U540" s="1" t="str">
        <f>IF(OR($G540="",$H540="Mahsup"),"",$G540&amp;"|"&amp;COUNTIFS($G$7:$G540,$G540,$H$7:$H540,"&lt;&gt;Mahsup"))</f>
        <v>MERKEZ KASA|425</v>
      </c>
    </row>
    <row r="541" spans="1:21" ht="18" customHeight="1" x14ac:dyDescent="0.3">
      <c r="A541" s="2"/>
      <c r="B541" s="65" t="str">
        <f>IF($D541="","","T"&amp;TEXT(ROW()-6,"00000"))</f>
        <v>T00535</v>
      </c>
      <c r="C541" s="65" t="str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>M009</v>
      </c>
      <c r="D541" s="61" t="s">
        <v>735</v>
      </c>
      <c r="E541" s="66">
        <v>46256</v>
      </c>
      <c r="F541" s="67">
        <v>4000</v>
      </c>
      <c r="G541" s="60" t="s">
        <v>717</v>
      </c>
      <c r="H541" s="60" t="s">
        <v>572</v>
      </c>
      <c r="I541" s="61"/>
      <c r="J541" s="61" t="s">
        <v>720</v>
      </c>
      <c r="K541" s="61"/>
      <c r="L541" s="73">
        <f>IF($E541="","",DATE(YEAR($E541),MONTH($E541),1))</f>
        <v>46235</v>
      </c>
      <c r="M541" s="65" t="str">
        <f ca="1">IF($D541="","",IF($C541="TANIMSIZ MÜŞTERİ","HATA",IF(OR($E541="",$F541&lt;=0,$G541=""),"EKSİK",IF($E541&gt;TODAY(),"İLERİ TARİH",IF(COUNTIF($S$7:$S$2503,$S541)&gt;1,"MÜKERRER?",IF($T541&gt;0,"KAPALI DÖNEM","UYGUN"))))))</f>
        <v>UYGUN</v>
      </c>
      <c r="N541" s="74" t="str">
        <f>IF($C541="","",IF($C541="TANIMSIZ MÜŞTERİ","—",INDEX(MUSTERILER!$C$7:$C$156,MATCH($C541,MUSTERILER!$B$7:$B$156,0))))</f>
        <v>PAKYILDIZ LTD.ŞTİ.</v>
      </c>
      <c r="O541" s="2"/>
      <c r="P541" s="2"/>
      <c r="Q541" s="1" t="str">
        <f>IF($D541="","",$C541&amp;"|"&amp;COUNTIFS($C$7:$C541,$C541))</f>
        <v>M009|29</v>
      </c>
      <c r="R541" s="1" t="str">
        <f t="shared" si="16"/>
        <v>PAKYILDIZLTDSTI</v>
      </c>
      <c r="S541" s="1" t="str">
        <f t="shared" si="17"/>
        <v>M009|46256|4000|</v>
      </c>
      <c r="T541" s="1">
        <f>IF($E541="",0,SUMPRODUCT((AY_SONU!$O$7:$O$42="Evet")*(AY_SONU!$B$7:$B$42=DATE(YEAR($E541),MONTH($E541),1))))</f>
        <v>0</v>
      </c>
      <c r="U541" s="1" t="str">
        <f>IF(OR($G541="",$H541="Mahsup"),"",$G541&amp;"|"&amp;COUNTIFS($G$7:$G541,$G541,$H$7:$H541,"&lt;&gt;Mahsup"))</f>
        <v>MERKEZ KASA|426</v>
      </c>
    </row>
    <row r="542" spans="1:21" ht="18" customHeight="1" x14ac:dyDescent="0.3">
      <c r="A542" s="2"/>
      <c r="B542" s="65" t="str">
        <f>IF($D542="","","T"&amp;TEXT(ROW()-6,"00000"))</f>
        <v>T00536</v>
      </c>
      <c r="C542" s="65" t="str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>M012</v>
      </c>
      <c r="D542" s="61" t="s">
        <v>721</v>
      </c>
      <c r="E542" s="66">
        <v>46256</v>
      </c>
      <c r="F542" s="67">
        <v>5000</v>
      </c>
      <c r="G542" s="60" t="s">
        <v>717</v>
      </c>
      <c r="H542" s="60" t="s">
        <v>572</v>
      </c>
      <c r="I542" s="61"/>
      <c r="J542" s="61" t="s">
        <v>720</v>
      </c>
      <c r="K542" s="61"/>
      <c r="L542" s="73">
        <f>IF($E542="","",DATE(YEAR($E542),MONTH($E542),1))</f>
        <v>46235</v>
      </c>
      <c r="M542" s="65" t="str">
        <f ca="1">IF($D542="","",IF($C542="TANIMSIZ MÜŞTERİ","HATA",IF(OR($E542="",$F542&lt;=0,$G542=""),"EKSİK",IF($E542&gt;TODAY(),"İLERİ TARİH",IF(COUNTIF($S$7:$S$2503,$S542)&gt;1,"MÜKERRER?",IF($T542&gt;0,"KAPALI DÖNEM","UYGUN"))))))</f>
        <v>UYGUN</v>
      </c>
      <c r="N542" s="74" t="str">
        <f>IF($C542="","",IF($C542="TANIMSIZ MÜŞTERİ","—",INDEX(MUSTERILER!$C$7:$C$156,MATCH($C542,MUSTERILER!$B$7:$B$156,0))))</f>
        <v>İLDEŞ LTD.ŞTİ.</v>
      </c>
      <c r="O542" s="2"/>
      <c r="P542" s="2"/>
      <c r="Q542" s="1" t="str">
        <f>IF($D542="","",$C542&amp;"|"&amp;COUNTIFS($C$7:$C542,$C542))</f>
        <v>M012|30</v>
      </c>
      <c r="R542" s="1" t="str">
        <f t="shared" si="16"/>
        <v>ILDESLTDSTI</v>
      </c>
      <c r="S542" s="1" t="str">
        <f t="shared" si="17"/>
        <v>M012|46256|5000|</v>
      </c>
      <c r="T542" s="1">
        <f>IF($E542="",0,SUMPRODUCT((AY_SONU!$O$7:$O$42="Evet")*(AY_SONU!$B$7:$B$42=DATE(YEAR($E542),MONTH($E542),1))))</f>
        <v>0</v>
      </c>
      <c r="U542" s="1" t="str">
        <f>IF(OR($G542="",$H542="Mahsup"),"",$G542&amp;"|"&amp;COUNTIFS($G$7:$G542,$G542,$H$7:$H542,"&lt;&gt;Mahsup"))</f>
        <v>MERKEZ KASA|427</v>
      </c>
    </row>
    <row r="543" spans="1:21" ht="18" customHeight="1" x14ac:dyDescent="0.3">
      <c r="A543" s="2"/>
      <c r="B543" s="65" t="str">
        <f>IF($D543="","","T"&amp;TEXT(ROW()-6,"00000"))</f>
        <v>T00537</v>
      </c>
      <c r="C543" s="65" t="str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>M013</v>
      </c>
      <c r="D543" s="61" t="s">
        <v>734</v>
      </c>
      <c r="E543" s="66">
        <v>46256</v>
      </c>
      <c r="F543" s="67">
        <v>2000</v>
      </c>
      <c r="G543" s="60" t="s">
        <v>717</v>
      </c>
      <c r="H543" s="60" t="s">
        <v>572</v>
      </c>
      <c r="I543" s="61"/>
      <c r="J543" s="61" t="s">
        <v>720</v>
      </c>
      <c r="K543" s="61"/>
      <c r="L543" s="73">
        <f>IF($E543="","",DATE(YEAR($E543),MONTH($E543),1))</f>
        <v>46235</v>
      </c>
      <c r="M543" s="65" t="str">
        <f ca="1">IF($D543="","",IF($C543="TANIMSIZ MÜŞTERİ","HATA",IF(OR($E543="",$F543&lt;=0,$G543=""),"EKSİK",IF($E543&gt;TODAY(),"İLERİ TARİH",IF(COUNTIF($S$7:$S$2503,$S543)&gt;1,"MÜKERRER?",IF($T543&gt;0,"KAPALI DÖNEM","UYGUN"))))))</f>
        <v>UYGUN</v>
      </c>
      <c r="N543" s="74" t="str">
        <f>IF($C543="","",IF($C543="TANIMSIZ MÜŞTERİ","—",INDEX(MUSTERILER!$C$7:$C$156,MATCH($C543,MUSTERILER!$B$7:$B$156,0))))</f>
        <v>NAZ 1 GIDA LTD.ŞTİ.</v>
      </c>
      <c r="O543" s="2"/>
      <c r="P543" s="2"/>
      <c r="Q543" s="1" t="str">
        <f>IF($D543="","",$C543&amp;"|"&amp;COUNTIFS($C$7:$C543,$C543))</f>
        <v>M013|23</v>
      </c>
      <c r="R543" s="1" t="str">
        <f t="shared" si="16"/>
        <v>NAZ1GIDALTDSTI</v>
      </c>
      <c r="S543" s="1" t="str">
        <f t="shared" si="17"/>
        <v>M013|46256|2000|</v>
      </c>
      <c r="T543" s="1">
        <f>IF($E543="",0,SUMPRODUCT((AY_SONU!$O$7:$O$42="Evet")*(AY_SONU!$B$7:$B$42=DATE(YEAR($E543),MONTH($E543),1))))</f>
        <v>0</v>
      </c>
      <c r="U543" s="1" t="str">
        <f>IF(OR($G543="",$H543="Mahsup"),"",$G543&amp;"|"&amp;COUNTIFS($G$7:$G543,$G543,$H$7:$H543,"&lt;&gt;Mahsup"))</f>
        <v>MERKEZ KASA|428</v>
      </c>
    </row>
    <row r="544" spans="1:21" ht="18" customHeight="1" x14ac:dyDescent="0.3">
      <c r="A544" s="2"/>
      <c r="B544" s="65" t="str">
        <f>IF($D544="","","T"&amp;TEXT(ROW()-6,"00000"))</f>
        <v>T00538</v>
      </c>
      <c r="C544" s="65" t="str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>M014</v>
      </c>
      <c r="D544" s="61" t="s">
        <v>731</v>
      </c>
      <c r="E544" s="66">
        <v>46256</v>
      </c>
      <c r="F544" s="67">
        <v>4000</v>
      </c>
      <c r="G544" s="60" t="s">
        <v>717</v>
      </c>
      <c r="H544" s="60" t="s">
        <v>572</v>
      </c>
      <c r="I544" s="61"/>
      <c r="J544" s="61" t="s">
        <v>720</v>
      </c>
      <c r="K544" s="61"/>
      <c r="L544" s="73">
        <f>IF($E544="","",DATE(YEAR($E544),MONTH($E544),1))</f>
        <v>46235</v>
      </c>
      <c r="M544" s="65" t="str">
        <f ca="1">IF($D544="","",IF($C544="TANIMSIZ MÜŞTERİ","HATA",IF(OR($E544="",$F544&lt;=0,$G544=""),"EKSİK",IF($E544&gt;TODAY(),"İLERİ TARİH",IF(COUNTIF($S$7:$S$2503,$S544)&gt;1,"MÜKERRER?",IF($T544&gt;0,"KAPALI DÖNEM","UYGUN"))))))</f>
        <v>UYGUN</v>
      </c>
      <c r="N544" s="74" t="str">
        <f>IF($C544="","",IF($C544="TANIMSIZ MÜŞTERİ","—",INDEX(MUSTERILER!$C$7:$C$156,MATCH($C544,MUSTERILER!$B$7:$B$156,0))))</f>
        <v>FİNAL SİYAH BEYAZ LTD.ŞTİ.</v>
      </c>
      <c r="O544" s="2"/>
      <c r="P544" s="2"/>
      <c r="Q544" s="1" t="str">
        <f>IF($D544="","",$C544&amp;"|"&amp;COUNTIFS($C$7:$C544,$C544))</f>
        <v>M014|30</v>
      </c>
      <c r="R544" s="1" t="str">
        <f t="shared" si="16"/>
        <v>FINALSIYAHBEYAZLTDSTI</v>
      </c>
      <c r="S544" s="1" t="str">
        <f t="shared" si="17"/>
        <v>M014|46256|4000|</v>
      </c>
      <c r="T544" s="1">
        <f>IF($E544="",0,SUMPRODUCT((AY_SONU!$O$7:$O$42="Evet")*(AY_SONU!$B$7:$B$42=DATE(YEAR($E544),MONTH($E544),1))))</f>
        <v>0</v>
      </c>
      <c r="U544" s="1" t="str">
        <f>IF(OR($G544="",$H544="Mahsup"),"",$G544&amp;"|"&amp;COUNTIFS($G$7:$G544,$G544,$H$7:$H544,"&lt;&gt;Mahsup"))</f>
        <v>MERKEZ KASA|429</v>
      </c>
    </row>
    <row r="545" spans="1:21" ht="18" customHeight="1" x14ac:dyDescent="0.3">
      <c r="A545" s="2"/>
      <c r="B545" s="65" t="str">
        <f>IF($D545="","","T"&amp;TEXT(ROW()-6,"00000"))</f>
        <v>T00539</v>
      </c>
      <c r="C545" s="65" t="str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>M001</v>
      </c>
      <c r="D545" s="61" t="s">
        <v>729</v>
      </c>
      <c r="E545" s="66">
        <v>46256</v>
      </c>
      <c r="F545" s="67">
        <v>4000</v>
      </c>
      <c r="G545" s="60" t="s">
        <v>717</v>
      </c>
      <c r="H545" s="60" t="s">
        <v>572</v>
      </c>
      <c r="I545" s="61"/>
      <c r="J545" s="61" t="s">
        <v>720</v>
      </c>
      <c r="K545" s="61"/>
      <c r="L545" s="73">
        <f>IF($E545="","",DATE(YEAR($E545),MONTH($E545),1))</f>
        <v>46235</v>
      </c>
      <c r="M545" s="65" t="str">
        <f ca="1">IF($D545="","",IF($C545="TANIMSIZ MÜŞTERİ","HATA",IF(OR($E545="",$F545&lt;=0,$G545=""),"EKSİK",IF($E545&gt;TODAY(),"İLERİ TARİH",IF(COUNTIF($S$7:$S$2503,$S545)&gt;1,"MÜKERRER?",IF($T545&gt;0,"KAPALI DÖNEM","UYGUN"))))))</f>
        <v>UYGUN</v>
      </c>
      <c r="N545" s="74" t="str">
        <f>IF($C545="","",IF($C545="TANIMSIZ MÜŞTERİ","—",INDEX(MUSTERILER!$C$7:$C$156,MATCH($C545,MUSTERILER!$B$7:$B$156,0))))</f>
        <v>ANKARA HAVANA LTD.ŞTİ.</v>
      </c>
      <c r="O545" s="2"/>
      <c r="P545" s="2"/>
      <c r="Q545" s="1" t="str">
        <f>IF($D545="","",$C545&amp;"|"&amp;COUNTIFS($C$7:$C545,$C545))</f>
        <v>M001|17</v>
      </c>
      <c r="R545" s="1" t="str">
        <f t="shared" si="16"/>
        <v>ANKARAHAVANALTDSTI</v>
      </c>
      <c r="S545" s="1" t="str">
        <f t="shared" si="17"/>
        <v>M001|46256|4000|</v>
      </c>
      <c r="T545" s="1">
        <f>IF($E545="",0,SUMPRODUCT((AY_SONU!$O$7:$O$42="Evet")*(AY_SONU!$B$7:$B$42=DATE(YEAR($E545),MONTH($E545),1))))</f>
        <v>0</v>
      </c>
      <c r="U545" s="1" t="str">
        <f>IF(OR($G545="",$H545="Mahsup"),"",$G545&amp;"|"&amp;COUNTIFS($G$7:$G545,$G545,$H$7:$H545,"&lt;&gt;Mahsup"))</f>
        <v>MERKEZ KASA|430</v>
      </c>
    </row>
    <row r="546" spans="1:21" ht="18" customHeight="1" x14ac:dyDescent="0.3">
      <c r="A546" s="2"/>
      <c r="B546" s="65" t="str">
        <f>IF($D546="","","T"&amp;TEXT(ROW()-6,"00000"))</f>
        <v>T00540</v>
      </c>
      <c r="C546" s="65" t="str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>M005</v>
      </c>
      <c r="D546" s="61" t="s">
        <v>722</v>
      </c>
      <c r="E546" s="66">
        <v>46256</v>
      </c>
      <c r="F546" s="67">
        <v>1750</v>
      </c>
      <c r="G546" s="60" t="s">
        <v>717</v>
      </c>
      <c r="H546" s="60" t="s">
        <v>572</v>
      </c>
      <c r="I546" s="61"/>
      <c r="J546" s="61" t="s">
        <v>720</v>
      </c>
      <c r="K546" s="61"/>
      <c r="L546" s="73">
        <f>IF($E546="","",DATE(YEAR($E546),MONTH($E546),1))</f>
        <v>46235</v>
      </c>
      <c r="M546" s="65" t="str">
        <f ca="1">IF($D546="","",IF($C546="TANIMSIZ MÜŞTERİ","HATA",IF(OR($E546="",$F546&lt;=0,$G546=""),"EKSİK",IF($E546&gt;TODAY(),"İLERİ TARİH",IF(COUNTIF($S$7:$S$2503,$S546)&gt;1,"MÜKERRER?",IF($T546&gt;0,"KAPALI DÖNEM","UYGUN"))))))</f>
        <v>UYGUN</v>
      </c>
      <c r="N546" s="74" t="str">
        <f>IF($C546="","",IF($C546="TANIMSIZ MÜŞTERİ","—",INDEX(MUSTERILER!$C$7:$C$156,MATCH($C546,MUSTERILER!$B$7:$B$156,0))))</f>
        <v>ZÜMRÜT GRUP LTD.ŞTİ.</v>
      </c>
      <c r="O546" s="2"/>
      <c r="P546" s="2"/>
      <c r="Q546" s="1" t="str">
        <f>IF($D546="","",$C546&amp;"|"&amp;COUNTIFS($C$7:$C546,$C546))</f>
        <v>M005|24</v>
      </c>
      <c r="R546" s="1" t="str">
        <f t="shared" si="16"/>
        <v>ZUMRUTGRUPLTDSTI</v>
      </c>
      <c r="S546" s="1" t="str">
        <f t="shared" si="17"/>
        <v>M005|46256|1750|</v>
      </c>
      <c r="T546" s="1">
        <f>IF($E546="",0,SUMPRODUCT((AY_SONU!$O$7:$O$42="Evet")*(AY_SONU!$B$7:$B$42=DATE(YEAR($E546),MONTH($E546),1))))</f>
        <v>0</v>
      </c>
      <c r="U546" s="1" t="str">
        <f>IF(OR($G546="",$H546="Mahsup"),"",$G546&amp;"|"&amp;COUNTIFS($G$7:$G546,$G546,$H$7:$H546,"&lt;&gt;Mahsup"))</f>
        <v>MERKEZ KASA|431</v>
      </c>
    </row>
    <row r="547" spans="1:21" ht="18" customHeight="1" x14ac:dyDescent="0.3">
      <c r="A547" s="2"/>
      <c r="B547" s="65" t="str">
        <f>IF($D547="","","T"&amp;TEXT(ROW()-6,"00000"))</f>
        <v>T00541</v>
      </c>
      <c r="C547" s="65" t="str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>M007</v>
      </c>
      <c r="D547" s="61" t="s">
        <v>733</v>
      </c>
      <c r="E547" s="66">
        <v>46256</v>
      </c>
      <c r="F547" s="67">
        <v>3500</v>
      </c>
      <c r="G547" s="60" t="s">
        <v>717</v>
      </c>
      <c r="H547" s="60" t="s">
        <v>572</v>
      </c>
      <c r="I547" s="61"/>
      <c r="J547" s="61" t="s">
        <v>720</v>
      </c>
      <c r="K547" s="61"/>
      <c r="L547" s="73">
        <f>IF($E547="","",DATE(YEAR($E547),MONTH($E547),1))</f>
        <v>46235</v>
      </c>
      <c r="M547" s="65" t="str">
        <f ca="1">IF($D547="","",IF($C547="TANIMSIZ MÜŞTERİ","HATA",IF(OR($E547="",$F547&lt;=0,$G547=""),"EKSİK",IF($E547&gt;TODAY(),"İLERİ TARİH",IF(COUNTIF($S$7:$S$2503,$S547)&gt;1,"MÜKERRER?",IF($T547&gt;0,"KAPALI DÖNEM","UYGUN"))))))</f>
        <v>UYGUN</v>
      </c>
      <c r="N547" s="74" t="str">
        <f>IF($C547="","",IF($C547="TANIMSIZ MÜŞTERİ","—",INDEX(MUSTERILER!$C$7:$C$156,MATCH($C547,MUSTERILER!$B$7:$B$156,0))))</f>
        <v>MONAMOUR LTD.ŞTİ.</v>
      </c>
      <c r="O547" s="2"/>
      <c r="P547" s="2"/>
      <c r="Q547" s="1" t="str">
        <f>IF($D547="","",$C547&amp;"|"&amp;COUNTIFS($C$7:$C547,$C547))</f>
        <v>M007|23</v>
      </c>
      <c r="R547" s="1" t="str">
        <f t="shared" si="16"/>
        <v>MONAMOURLTDSTI</v>
      </c>
      <c r="S547" s="1" t="str">
        <f t="shared" si="17"/>
        <v>M007|46256|3500|</v>
      </c>
      <c r="T547" s="1">
        <f>IF($E547="",0,SUMPRODUCT((AY_SONU!$O$7:$O$42="Evet")*(AY_SONU!$B$7:$B$42=DATE(YEAR($E547),MONTH($E547),1))))</f>
        <v>0</v>
      </c>
      <c r="U547" s="1" t="str">
        <f>IF(OR($G547="",$H547="Mahsup"),"",$G547&amp;"|"&amp;COUNTIFS($G$7:$G547,$G547,$H$7:$H547,"&lt;&gt;Mahsup"))</f>
        <v>MERKEZ KASA|432</v>
      </c>
    </row>
    <row r="548" spans="1:21" ht="18" customHeight="1" x14ac:dyDescent="0.3">
      <c r="A548" s="2"/>
      <c r="B548" s="65" t="str">
        <f>IF($D548="","","T"&amp;TEXT(ROW()-6,"00000"))</f>
        <v>T00542</v>
      </c>
      <c r="C548" s="65" t="str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>M025</v>
      </c>
      <c r="D548" s="61" t="s">
        <v>746</v>
      </c>
      <c r="E548" s="66">
        <v>46256</v>
      </c>
      <c r="F548" s="67">
        <v>2000</v>
      </c>
      <c r="G548" s="60" t="s">
        <v>717</v>
      </c>
      <c r="H548" s="60" t="s">
        <v>572</v>
      </c>
      <c r="I548" s="61"/>
      <c r="J548" s="61" t="s">
        <v>720</v>
      </c>
      <c r="K548" s="61"/>
      <c r="L548" s="73">
        <f>IF($E548="","",DATE(YEAR($E548),MONTH($E548),1))</f>
        <v>46235</v>
      </c>
      <c r="M548" s="65" t="str">
        <f ca="1">IF($D548="","",IF($C548="TANIMSIZ MÜŞTERİ","HATA",IF(OR($E548="",$F548&lt;=0,$G548=""),"EKSİK",IF($E548&gt;TODAY(),"İLERİ TARİH",IF(COUNTIF($S$7:$S$2503,$S548)&gt;1,"MÜKERRER?",IF($T548&gt;0,"KAPALI DÖNEM","UYGUN"))))))</f>
        <v>UYGUN</v>
      </c>
      <c r="N548" s="74" t="str">
        <f>IF($C548="","",IF($C548="TANIMSIZ MÜŞTERİ","—",INDEX(MUSTERILER!$C$7:$C$156,MATCH($C548,MUSTERILER!$B$7:$B$156,0))))</f>
        <v>ASIM AÇIKGÖZ</v>
      </c>
      <c r="O548" s="2"/>
      <c r="P548" s="2"/>
      <c r="Q548" s="1" t="str">
        <f>IF($D548="","",$C548&amp;"|"&amp;COUNTIFS($C$7:$C548,$C548))</f>
        <v>M025|29</v>
      </c>
      <c r="R548" s="1" t="str">
        <f t="shared" si="16"/>
        <v>ASIMACIKGOZ</v>
      </c>
      <c r="S548" s="1" t="str">
        <f t="shared" si="17"/>
        <v>M025|46256|2000|</v>
      </c>
      <c r="T548" s="1">
        <f>IF($E548="",0,SUMPRODUCT((AY_SONU!$O$7:$O$42="Evet")*(AY_SONU!$B$7:$B$42=DATE(YEAR($E548),MONTH($E548),1))))</f>
        <v>0</v>
      </c>
      <c r="U548" s="1" t="str">
        <f>IF(OR($G548="",$H548="Mahsup"),"",$G548&amp;"|"&amp;COUNTIFS($G$7:$G548,$G548,$H$7:$H548,"&lt;&gt;Mahsup"))</f>
        <v>MERKEZ KASA|433</v>
      </c>
    </row>
    <row r="549" spans="1:21" ht="18" customHeight="1" x14ac:dyDescent="0.3">
      <c r="A549" s="2"/>
      <c r="B549" s="65" t="str">
        <f>IF($D549="","","T"&amp;TEXT(ROW()-6,"00000"))</f>
        <v>T00543</v>
      </c>
      <c r="C549" s="65" t="str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>M020</v>
      </c>
      <c r="D549" s="61" t="s">
        <v>747</v>
      </c>
      <c r="E549" s="66">
        <v>46256</v>
      </c>
      <c r="F549" s="67">
        <v>3000</v>
      </c>
      <c r="G549" s="60" t="s">
        <v>717</v>
      </c>
      <c r="H549" s="60" t="s">
        <v>572</v>
      </c>
      <c r="I549" s="61"/>
      <c r="J549" s="61" t="s">
        <v>720</v>
      </c>
      <c r="K549" s="61"/>
      <c r="L549" s="73">
        <f>IF($E549="","",DATE(YEAR($E549),MONTH($E549),1))</f>
        <v>46235</v>
      </c>
      <c r="M549" s="65" t="str">
        <f ca="1">IF($D549="","",IF($C549="TANIMSIZ MÜŞTERİ","HATA",IF(OR($E549="",$F549&lt;=0,$G549=""),"EKSİK",IF($E549&gt;TODAY(),"İLERİ TARİH",IF(COUNTIF($S$7:$S$2503,$S549)&gt;1,"MÜKERRER?",IF($T549&gt;0,"KAPALI DÖNEM","UYGUN"))))))</f>
        <v>UYGUN</v>
      </c>
      <c r="N549" s="74" t="str">
        <f>IF($C549="","",IF($C549="TANIMSIZ MÜŞTERİ","—",INDEX(MUSTERILER!$C$7:$C$156,MATCH($C549,MUSTERILER!$B$7:$B$156,0))))</f>
        <v>KRİSTAL LTD.ŞTİ.</v>
      </c>
      <c r="O549" s="2"/>
      <c r="P549" s="2"/>
      <c r="Q549" s="1" t="str">
        <f>IF($D549="","",$C549&amp;"|"&amp;COUNTIFS($C$7:$C549,$C549))</f>
        <v>M020|32</v>
      </c>
      <c r="R549" s="1" t="str">
        <f t="shared" si="16"/>
        <v>KRISTALLTDSTI</v>
      </c>
      <c r="S549" s="1" t="str">
        <f t="shared" si="17"/>
        <v>M020|46256|3000|</v>
      </c>
      <c r="T549" s="1">
        <f>IF($E549="",0,SUMPRODUCT((AY_SONU!$O$7:$O$42="Evet")*(AY_SONU!$B$7:$B$42=DATE(YEAR($E549),MONTH($E549),1))))</f>
        <v>0</v>
      </c>
      <c r="U549" s="1" t="str">
        <f>IF(OR($G549="",$H549="Mahsup"),"",$G549&amp;"|"&amp;COUNTIFS($G$7:$G549,$G549,$H$7:$H549,"&lt;&gt;Mahsup"))</f>
        <v>MERKEZ KASA|434</v>
      </c>
    </row>
    <row r="550" spans="1:21" ht="18" customHeight="1" x14ac:dyDescent="0.3">
      <c r="A550" s="2"/>
      <c r="B550" s="65" t="str">
        <f>IF($D550="","","T"&amp;TEXT(ROW()-6,"00000"))</f>
        <v>T00544</v>
      </c>
      <c r="C550" s="65" t="str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>M017</v>
      </c>
      <c r="D550" s="61" t="s">
        <v>748</v>
      </c>
      <c r="E550" s="66">
        <v>46256</v>
      </c>
      <c r="F550" s="67">
        <v>2500</v>
      </c>
      <c r="G550" s="60" t="s">
        <v>717</v>
      </c>
      <c r="H550" s="60" t="s">
        <v>572</v>
      </c>
      <c r="I550" s="61"/>
      <c r="J550" s="61" t="s">
        <v>720</v>
      </c>
      <c r="K550" s="61"/>
      <c r="L550" s="73">
        <f>IF($E550="","",DATE(YEAR($E550),MONTH($E550),1))</f>
        <v>46235</v>
      </c>
      <c r="M550" s="65" t="str">
        <f ca="1">IF($D550="","",IF($C550="TANIMSIZ MÜŞTERİ","HATA",IF(OR($E550="",$F550&lt;=0,$G550=""),"EKSİK",IF($E550&gt;TODAY(),"İLERİ TARİH",IF(COUNTIF($S$7:$S$2503,$S550)&gt;1,"MÜKERRER?",IF($T550&gt;0,"KAPALI DÖNEM","UYGUN"))))))</f>
        <v>UYGUN</v>
      </c>
      <c r="N550" s="74" t="str">
        <f>IF($C550="","",IF($C550="TANIMSIZ MÜŞTERİ","—",INDEX(MUSTERILER!$C$7:$C$156,MATCH($C550,MUSTERILER!$B$7:$B$156,0))))</f>
        <v>ASM EĞLENCE LTD.ŞTİ.</v>
      </c>
      <c r="O550" s="2"/>
      <c r="P550" s="2"/>
      <c r="Q550" s="1" t="str">
        <f>IF($D550="","",$C550&amp;"|"&amp;COUNTIFS($C$7:$C550,$C550))</f>
        <v>M017|29</v>
      </c>
      <c r="R550" s="1" t="str">
        <f t="shared" si="16"/>
        <v>ASMEGLENCELTDSTI</v>
      </c>
      <c r="S550" s="1" t="str">
        <f t="shared" si="17"/>
        <v>M017|46256|2500|</v>
      </c>
      <c r="T550" s="1">
        <f>IF($E550="",0,SUMPRODUCT((AY_SONU!$O$7:$O$42="Evet")*(AY_SONU!$B$7:$B$42=DATE(YEAR($E550),MONTH($E550),1))))</f>
        <v>0</v>
      </c>
      <c r="U550" s="1" t="str">
        <f>IF(OR($G550="",$H550="Mahsup"),"",$G550&amp;"|"&amp;COUNTIFS($G$7:$G550,$G550,$H$7:$H550,"&lt;&gt;Mahsup"))</f>
        <v>MERKEZ KASA|435</v>
      </c>
    </row>
    <row r="551" spans="1:21" ht="18" customHeight="1" x14ac:dyDescent="0.3">
      <c r="A551" s="2"/>
      <c r="B551" s="65" t="str">
        <f>IF($D551="","","T"&amp;TEXT(ROW()-6,"00000"))</f>
        <v>T00545</v>
      </c>
      <c r="C551" s="65" t="str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>M016</v>
      </c>
      <c r="D551" s="61" t="s">
        <v>736</v>
      </c>
      <c r="E551" s="66">
        <v>46256</v>
      </c>
      <c r="F551" s="67">
        <v>3000</v>
      </c>
      <c r="G551" s="60" t="s">
        <v>717</v>
      </c>
      <c r="H551" s="60" t="s">
        <v>572</v>
      </c>
      <c r="I551" s="61"/>
      <c r="J551" s="61" t="s">
        <v>720</v>
      </c>
      <c r="K551" s="61"/>
      <c r="L551" s="73">
        <f>IF($E551="","",DATE(YEAR($E551),MONTH($E551),1))</f>
        <v>46235</v>
      </c>
      <c r="M551" s="65" t="str">
        <f ca="1">IF($D551="","",IF($C551="TANIMSIZ MÜŞTERİ","HATA",IF(OR($E551="",$F551&lt;=0,$G551=""),"EKSİK",IF($E551&gt;TODAY(),"İLERİ TARİH",IF(COUNTIF($S$7:$S$2503,$S551)&gt;1,"MÜKERRER?",IF($T551&gt;0,"KAPALI DÖNEM","UYGUN"))))))</f>
        <v>UYGUN</v>
      </c>
      <c r="N551" s="74" t="str">
        <f>IF($C551="","",IF($C551="TANIMSIZ MÜŞTERİ","—",INDEX(MUSTERILER!$C$7:$C$156,MATCH($C551,MUSTERILER!$B$7:$B$156,0))))</f>
        <v>RİX ŞOW LTD.ŞTİ.</v>
      </c>
      <c r="O551" s="2"/>
      <c r="P551" s="2"/>
      <c r="Q551" s="1" t="str">
        <f>IF($D551="","",$C551&amp;"|"&amp;COUNTIFS($C$7:$C551,$C551))</f>
        <v>M016|30</v>
      </c>
      <c r="R551" s="1" t="str">
        <f t="shared" si="16"/>
        <v>RIXSOWLTDSTI</v>
      </c>
      <c r="S551" s="1" t="str">
        <f t="shared" si="17"/>
        <v>M016|46256|3000|</v>
      </c>
      <c r="T551" s="1">
        <f>IF($E551="",0,SUMPRODUCT((AY_SONU!$O$7:$O$42="Evet")*(AY_SONU!$B$7:$B$42=DATE(YEAR($E551),MONTH($E551),1))))</f>
        <v>0</v>
      </c>
      <c r="U551" s="1" t="str">
        <f>IF(OR($G551="",$H551="Mahsup"),"",$G551&amp;"|"&amp;COUNTIFS($G$7:$G551,$G551,$H$7:$H551,"&lt;&gt;Mahsup"))</f>
        <v>MERKEZ KASA|436</v>
      </c>
    </row>
    <row r="552" spans="1:21" ht="18" customHeight="1" x14ac:dyDescent="0.3">
      <c r="A552" s="2"/>
      <c r="B552" s="65" t="str">
        <f>IF($D552="","","T"&amp;TEXT(ROW()-6,"00000"))</f>
        <v>T00546</v>
      </c>
      <c r="C552" s="65" t="str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>M015</v>
      </c>
      <c r="D552" s="61" t="s">
        <v>719</v>
      </c>
      <c r="E552" s="66">
        <v>46256</v>
      </c>
      <c r="F552" s="67">
        <v>3000</v>
      </c>
      <c r="G552" s="60" t="s">
        <v>717</v>
      </c>
      <c r="H552" s="60" t="s">
        <v>572</v>
      </c>
      <c r="I552" s="61"/>
      <c r="J552" s="61" t="s">
        <v>720</v>
      </c>
      <c r="K552" s="61"/>
      <c r="L552" s="73">
        <f>IF($E552="","",DATE(YEAR($E552),MONTH($E552),1))</f>
        <v>46235</v>
      </c>
      <c r="M552" s="65" t="str">
        <f ca="1">IF($D552="","",IF($C552="TANIMSIZ MÜŞTERİ","HATA",IF(OR($E552="",$F552&lt;=0,$G552=""),"EKSİK",IF($E552&gt;TODAY(),"İLERİ TARİH",IF(COUNTIF($S$7:$S$2503,$S552)&gt;1,"MÜKERRER?",IF($T552&gt;0,"KAPALI DÖNEM","UYGUN"))))))</f>
        <v>UYGUN</v>
      </c>
      <c r="N552" s="74" t="str">
        <f>IF($C552="","",IF($C552="TANIMSIZ MÜŞTERİ","—",INDEX(MUSTERILER!$C$7:$C$156,MATCH($C552,MUSTERILER!$B$7:$B$156,0))))</f>
        <v>ÇAYIRALAN LTD.ŞTİ.</v>
      </c>
      <c r="O552" s="2"/>
      <c r="P552" s="2"/>
      <c r="Q552" s="1" t="str">
        <f>IF($D552="","",$C552&amp;"|"&amp;COUNTIFS($C$7:$C552,$C552))</f>
        <v>M015|29</v>
      </c>
      <c r="R552" s="1" t="str">
        <f t="shared" si="16"/>
        <v>CAYIRALANLTDSTI</v>
      </c>
      <c r="S552" s="1" t="str">
        <f t="shared" si="17"/>
        <v>M015|46256|3000|</v>
      </c>
      <c r="T552" s="1">
        <f>IF($E552="",0,SUMPRODUCT((AY_SONU!$O$7:$O$42="Evet")*(AY_SONU!$B$7:$B$42=DATE(YEAR($E552),MONTH($E552),1))))</f>
        <v>0</v>
      </c>
      <c r="U552" s="1" t="str">
        <f>IF(OR($G552="",$H552="Mahsup"),"",$G552&amp;"|"&amp;COUNTIFS($G$7:$G552,$G552,$H$7:$H552,"&lt;&gt;Mahsup"))</f>
        <v>MERKEZ KASA|437</v>
      </c>
    </row>
    <row r="553" spans="1:21" ht="18" customHeight="1" x14ac:dyDescent="0.3">
      <c r="A553" s="2"/>
      <c r="B553" s="65" t="str">
        <f>IF($D553="","","T"&amp;TEXT(ROW()-6,"00000"))</f>
        <v>T00547</v>
      </c>
      <c r="C553" s="65" t="str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>M049</v>
      </c>
      <c r="D553" s="61" t="s">
        <v>749</v>
      </c>
      <c r="E553" s="66">
        <v>46256</v>
      </c>
      <c r="F553" s="67">
        <v>3000</v>
      </c>
      <c r="G553" s="60" t="s">
        <v>717</v>
      </c>
      <c r="H553" s="60" t="s">
        <v>572</v>
      </c>
      <c r="I553" s="61"/>
      <c r="J553" s="61" t="s">
        <v>720</v>
      </c>
      <c r="K553" s="61"/>
      <c r="L553" s="73">
        <f>IF($E553="","",DATE(YEAR($E553),MONTH($E553),1))</f>
        <v>46235</v>
      </c>
      <c r="M553" s="65" t="str">
        <f ca="1">IF($D553="","",IF($C553="TANIMSIZ MÜŞTERİ","HATA",IF(OR($E553="",$F553&lt;=0,$G553=""),"EKSİK",IF($E553&gt;TODAY(),"İLERİ TARİH",IF(COUNTIF($S$7:$S$2503,$S553)&gt;1,"MÜKERRER?",IF($T553&gt;0,"KAPALI DÖNEM","UYGUN"))))))</f>
        <v>UYGUN</v>
      </c>
      <c r="N553" s="74" t="str">
        <f>IF($C553="","",IF($C553="TANIMSIZ MÜŞTERİ","—",INDEX(MUSTERILER!$C$7:$C$156,MATCH($C553,MUSTERILER!$B$7:$B$156,0))))</f>
        <v>STAR ŞOW LTD.ŞTİ.</v>
      </c>
      <c r="O553" s="2"/>
      <c r="P553" s="2"/>
      <c r="Q553" s="1" t="str">
        <f>IF($D553="","",$C553&amp;"|"&amp;COUNTIFS($C$7:$C553,$C553))</f>
        <v>M049|3</v>
      </c>
      <c r="R553" s="1" t="str">
        <f t="shared" si="16"/>
        <v>STARSOWLTDSTI</v>
      </c>
      <c r="S553" s="1" t="str">
        <f t="shared" si="17"/>
        <v>M049|46256|3000|</v>
      </c>
      <c r="T553" s="1">
        <f>IF($E553="",0,SUMPRODUCT((AY_SONU!$O$7:$O$42="Evet")*(AY_SONU!$B$7:$B$42=DATE(YEAR($E553),MONTH($E553),1))))</f>
        <v>0</v>
      </c>
      <c r="U553" s="1" t="str">
        <f>IF(OR($G553="",$H553="Mahsup"),"",$G553&amp;"|"&amp;COUNTIFS($G$7:$G553,$G553,$H$7:$H553,"&lt;&gt;Mahsup"))</f>
        <v>MERKEZ KASA|438</v>
      </c>
    </row>
    <row r="554" spans="1:21" ht="18" customHeight="1" x14ac:dyDescent="0.3">
      <c r="A554" s="2"/>
      <c r="B554" s="65" t="str">
        <f>IF($D554="","","T"&amp;TEXT(ROW()-6,"00000"))</f>
        <v>T00548</v>
      </c>
      <c r="C554" s="65" t="str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>M018</v>
      </c>
      <c r="D554" s="61" t="s">
        <v>750</v>
      </c>
      <c r="E554" s="66">
        <v>46256</v>
      </c>
      <c r="F554" s="67">
        <v>4000</v>
      </c>
      <c r="G554" s="60" t="s">
        <v>717</v>
      </c>
      <c r="H554" s="60" t="s">
        <v>572</v>
      </c>
      <c r="I554" s="61"/>
      <c r="J554" s="61" t="s">
        <v>720</v>
      </c>
      <c r="K554" s="61"/>
      <c r="L554" s="73">
        <f>IF($E554="","",DATE(YEAR($E554),MONTH($E554),1))</f>
        <v>46235</v>
      </c>
      <c r="M554" s="65" t="str">
        <f ca="1">IF($D554="","",IF($C554="TANIMSIZ MÜŞTERİ","HATA",IF(OR($E554="",$F554&lt;=0,$G554=""),"EKSİK",IF($E554&gt;TODAY(),"İLERİ TARİH",IF(COUNTIF($S$7:$S$2503,$S554)&gt;1,"MÜKERRER?",IF($T554&gt;0,"KAPALI DÖNEM","UYGUN"))))))</f>
        <v>UYGUN</v>
      </c>
      <c r="N554" s="74" t="str">
        <f>IF($C554="","",IF($C554="TANIMSIZ MÜŞTERİ","—",INDEX(MUSTERILER!$C$7:$C$156,MATCH($C554,MUSTERILER!$B$7:$B$156,0))))</f>
        <v>ÇINARHAN LTD.ŞTİ.</v>
      </c>
      <c r="O554" s="2"/>
      <c r="P554" s="2"/>
      <c r="Q554" s="1" t="str">
        <f>IF($D554="","",$C554&amp;"|"&amp;COUNTIFS($C$7:$C554,$C554))</f>
        <v>M018|23</v>
      </c>
      <c r="R554" s="1" t="str">
        <f t="shared" si="16"/>
        <v>CINARHANLTDSTI</v>
      </c>
      <c r="S554" s="1" t="str">
        <f t="shared" si="17"/>
        <v>M018|46256|4000|</v>
      </c>
      <c r="T554" s="1">
        <f>IF($E554="",0,SUMPRODUCT((AY_SONU!$O$7:$O$42="Evet")*(AY_SONU!$B$7:$B$42=DATE(YEAR($E554),MONTH($E554),1))))</f>
        <v>0</v>
      </c>
      <c r="U554" s="1" t="str">
        <f>IF(OR($G554="",$H554="Mahsup"),"",$G554&amp;"|"&amp;COUNTIFS($G$7:$G554,$G554,$H$7:$H554,"&lt;&gt;Mahsup"))</f>
        <v>MERKEZ KASA|439</v>
      </c>
    </row>
    <row r="555" spans="1:21" ht="18" customHeight="1" x14ac:dyDescent="0.3">
      <c r="A555" s="2"/>
      <c r="B555" s="65" t="str">
        <f>IF($D555="","","T"&amp;TEXT(ROW()-6,"00000"))</f>
        <v>T00549</v>
      </c>
      <c r="C555" s="65" t="str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>M047</v>
      </c>
      <c r="D555" s="61" t="s">
        <v>751</v>
      </c>
      <c r="E555" s="66">
        <v>46256</v>
      </c>
      <c r="F555" s="67">
        <v>5000</v>
      </c>
      <c r="G555" s="60" t="s">
        <v>717</v>
      </c>
      <c r="H555" s="60" t="s">
        <v>572</v>
      </c>
      <c r="I555" s="61"/>
      <c r="J555" s="61" t="s">
        <v>720</v>
      </c>
      <c r="K555" s="61"/>
      <c r="L555" s="73">
        <f>IF($E555="","",DATE(YEAR($E555),MONTH($E555),1))</f>
        <v>46235</v>
      </c>
      <c r="M555" s="65" t="str">
        <f ca="1">IF($D555="","",IF($C555="TANIMSIZ MÜŞTERİ","HATA",IF(OR($E555="",$F555&lt;=0,$G555=""),"EKSİK",IF($E555&gt;TODAY(),"İLERİ TARİH",IF(COUNTIF($S$7:$S$2503,$S555)&gt;1,"MÜKERRER?",IF($T555&gt;0,"KAPALI DÖNEM","UYGUN"))))))</f>
        <v>UYGUN</v>
      </c>
      <c r="N555" s="74" t="str">
        <f>IF($C555="","",IF($C555="TANIMSIZ MÜŞTERİ","—",INDEX(MUSTERILER!$C$7:$C$156,MATCH($C555,MUSTERILER!$B$7:$B$156,0))))</f>
        <v>PALAOĞULLARI LTD.ŞTİ.</v>
      </c>
      <c r="O555" s="2"/>
      <c r="P555" s="2"/>
      <c r="Q555" s="1" t="str">
        <f>IF($D555="","",$C555&amp;"|"&amp;COUNTIFS($C$7:$C555,$C555))</f>
        <v>M047|22</v>
      </c>
      <c r="R555" s="1" t="str">
        <f t="shared" si="16"/>
        <v>PALAOGULLARILTDSTI</v>
      </c>
      <c r="S555" s="1" t="str">
        <f t="shared" si="17"/>
        <v>M047|46256|5000|</v>
      </c>
      <c r="T555" s="1">
        <f>IF($E555="",0,SUMPRODUCT((AY_SONU!$O$7:$O$42="Evet")*(AY_SONU!$B$7:$B$42=DATE(YEAR($E555),MONTH($E555),1))))</f>
        <v>0</v>
      </c>
      <c r="U555" s="1" t="str">
        <f>IF(OR($G555="",$H555="Mahsup"),"",$G555&amp;"|"&amp;COUNTIFS($G$7:$G555,$G555,$H$7:$H555,"&lt;&gt;Mahsup"))</f>
        <v>MERKEZ KASA|440</v>
      </c>
    </row>
    <row r="556" spans="1:21" ht="18" customHeight="1" x14ac:dyDescent="0.3">
      <c r="A556" s="2"/>
      <c r="B556" s="65" t="str">
        <f>IF($D556="","","T"&amp;TEXT(ROW()-6,"00000"))</f>
        <v>T00550</v>
      </c>
      <c r="C556" s="65" t="str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>M037</v>
      </c>
      <c r="D556" s="61" t="s">
        <v>625</v>
      </c>
      <c r="E556" s="66">
        <v>46258</v>
      </c>
      <c r="F556" s="67">
        <v>2000</v>
      </c>
      <c r="G556" s="60" t="s">
        <v>717</v>
      </c>
      <c r="H556" s="60" t="s">
        <v>572</v>
      </c>
      <c r="I556" s="61"/>
      <c r="J556" s="61" t="s">
        <v>720</v>
      </c>
      <c r="K556" s="61"/>
      <c r="L556" s="73">
        <f>IF($E556="","",DATE(YEAR($E556),MONTH($E556),1))</f>
        <v>46235</v>
      </c>
      <c r="M556" s="65" t="str">
        <f ca="1">IF($D556="","",IF($C556="TANIMSIZ MÜŞTERİ","HATA",IF(OR($E556="",$F556&lt;=0,$G556=""),"EKSİK",IF($E556&gt;TODAY(),"İLERİ TARİH",IF(COUNTIF($S$7:$S$2503,$S556)&gt;1,"MÜKERRER?",IF($T556&gt;0,"KAPALI DÖNEM","UYGUN"))))))</f>
        <v>UYGUN</v>
      </c>
      <c r="N556" s="74" t="str">
        <f>IF($C556="","",IF($C556="TANIMSIZ MÜŞTERİ","—",INDEX(MUSTERILER!$C$7:$C$156,MATCH($C556,MUSTERILER!$B$7:$B$156,0))))</f>
        <v>MEHMET EVREN KILINÇ</v>
      </c>
      <c r="O556" s="2"/>
      <c r="P556" s="2"/>
      <c r="Q556" s="1" t="str">
        <f>IF($D556="","",$C556&amp;"|"&amp;COUNTIFS($C$7:$C556,$C556))</f>
        <v>M037|7</v>
      </c>
      <c r="R556" s="1" t="str">
        <f t="shared" si="16"/>
        <v>MEHMETEVRENKILINC</v>
      </c>
      <c r="S556" s="1" t="str">
        <f t="shared" si="17"/>
        <v>M037|46258|2000|</v>
      </c>
      <c r="T556" s="1">
        <f>IF($E556="",0,SUMPRODUCT((AY_SONU!$O$7:$O$42="Evet")*(AY_SONU!$B$7:$B$42=DATE(YEAR($E556),MONTH($E556),1))))</f>
        <v>0</v>
      </c>
      <c r="U556" s="1" t="str">
        <f>IF(OR($G556="",$H556="Mahsup"),"",$G556&amp;"|"&amp;COUNTIFS($G$7:$G556,$G556,$H$7:$H556,"&lt;&gt;Mahsup"))</f>
        <v>MERKEZ KASA|441</v>
      </c>
    </row>
    <row r="557" spans="1:21" ht="18" customHeight="1" x14ac:dyDescent="0.3">
      <c r="A557" s="2"/>
      <c r="B557" s="65" t="str">
        <f>IF($D557="","","T"&amp;TEXT(ROW()-6,"00000"))</f>
        <v>T00551</v>
      </c>
      <c r="C557" s="65" t="str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>M006</v>
      </c>
      <c r="D557" s="61" t="s">
        <v>672</v>
      </c>
      <c r="E557" s="66">
        <v>46260</v>
      </c>
      <c r="F557" s="67">
        <v>6000</v>
      </c>
      <c r="G557" s="60" t="s">
        <v>717</v>
      </c>
      <c r="H557" s="60" t="s">
        <v>572</v>
      </c>
      <c r="I557" s="61"/>
      <c r="J557" s="61" t="s">
        <v>720</v>
      </c>
      <c r="K557" s="61"/>
      <c r="L557" s="73">
        <f>IF($E557="","",DATE(YEAR($E557),MONTH($E557),1))</f>
        <v>46235</v>
      </c>
      <c r="M557" s="65" t="str">
        <f ca="1">IF($D557="","",IF($C557="TANIMSIZ MÜŞTERİ","HATA",IF(OR($E557="",$F557&lt;=0,$G557=""),"EKSİK",IF($E557&gt;TODAY(),"İLERİ TARİH",IF(COUNTIF($S$7:$S$2503,$S557)&gt;1,"MÜKERRER?",IF($T557&gt;0,"KAPALI DÖNEM","UYGUN"))))))</f>
        <v>UYGUN</v>
      </c>
      <c r="N557" s="74" t="str">
        <f>IF($C557="","",IF($C557="TANIMSIZ MÜŞTERİ","—",INDEX(MUSTERILER!$C$7:$C$156,MATCH($C557,MUSTERILER!$B$7:$B$156,0))))</f>
        <v>VOLKAN AÇIK</v>
      </c>
      <c r="O557" s="2"/>
      <c r="P557" s="2"/>
      <c r="Q557" s="1" t="str">
        <f>IF($D557="","",$C557&amp;"|"&amp;COUNTIFS($C$7:$C557,$C557))</f>
        <v>M006|4</v>
      </c>
      <c r="R557" s="1" t="str">
        <f t="shared" si="16"/>
        <v>VOLKANACIK</v>
      </c>
      <c r="S557" s="1" t="str">
        <f t="shared" si="17"/>
        <v>M006|46260|6000|</v>
      </c>
      <c r="T557" s="1">
        <f>IF($E557="",0,SUMPRODUCT((AY_SONU!$O$7:$O$42="Evet")*(AY_SONU!$B$7:$B$42=DATE(YEAR($E557),MONTH($E557),1))))</f>
        <v>0</v>
      </c>
      <c r="U557" s="1" t="str">
        <f>IF(OR($G557="",$H557="Mahsup"),"",$G557&amp;"|"&amp;COUNTIFS($G$7:$G557,$G557,$H$7:$H557,"&lt;&gt;Mahsup"))</f>
        <v>MERKEZ KASA|442</v>
      </c>
    </row>
    <row r="558" spans="1:21" ht="18" customHeight="1" x14ac:dyDescent="0.3">
      <c r="A558" s="2"/>
      <c r="B558" s="65" t="str">
        <f>IF($D558="","","T"&amp;TEXT(ROW()-6,"00000"))</f>
        <v/>
      </c>
      <c r="C558" s="65" t="str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61"/>
      <c r="E558" s="66"/>
      <c r="F558" s="67"/>
      <c r="G558" s="60"/>
      <c r="H558" s="60"/>
      <c r="I558" s="61"/>
      <c r="J558" s="61"/>
      <c r="K558" s="61"/>
      <c r="L558" s="73" t="str">
        <f>IF($E558="","",DATE(YEAR($E558),MONTH($E558),1))</f>
        <v/>
      </c>
      <c r="M558" s="65" t="str">
        <f ca="1">IF($D558="","",IF($C558="TANIMSIZ MÜŞTERİ","HATA",IF(OR($E558="",$F558&lt;=0,$G558=""),"EKSİK",IF($E558&gt;TODAY(),"İLERİ TARİH",IF(COUNTIF($S$7:$S$2503,$S558)&gt;1,"MÜKERRER?",IF($T558&gt;0,"KAPALI DÖNEM","UYGUN"))))))</f>
        <v/>
      </c>
      <c r="N558" s="74" t="str">
        <f>IF($C558="","",IF($C558="TANIMSIZ MÜŞTERİ","—",INDEX(MUSTERILER!$C$7:$C$156,MATCH($C558,MUSTERILER!$B$7:$B$156,0))))</f>
        <v/>
      </c>
      <c r="O558" s="2"/>
      <c r="P558" s="2"/>
      <c r="Q558" s="1" t="str">
        <f>IF($D558="","",$C558&amp;"|"&amp;COUNTIFS($C$7:$C558,$C558))</f>
        <v/>
      </c>
      <c r="R558" s="1" t="str">
        <f t="shared" si="16"/>
        <v/>
      </c>
      <c r="S558" s="1" t="str">
        <f t="shared" si="17"/>
        <v/>
      </c>
      <c r="T558" s="1">
        <f>IF($E558="",0,SUMPRODUCT((AY_SONU!$O$7:$O$42="Evet")*(AY_SONU!$B$7:$B$42=DATE(YEAR($E558),MONTH($E558),1))))</f>
        <v>0</v>
      </c>
      <c r="U558" s="1" t="str">
        <f>IF(OR($G558="",$H558="Mahsup"),"",$G558&amp;"|"&amp;COUNTIFS($G$7:$G558,$G558,$H$7:$H558,"&lt;&gt;Mahsup"))</f>
        <v/>
      </c>
    </row>
    <row r="559" spans="1:21" ht="18" customHeight="1" x14ac:dyDescent="0.3">
      <c r="A559" s="2"/>
      <c r="B559" s="65" t="str">
        <f>IF($D559="","","T"&amp;TEXT(ROW()-6,"00000"))</f>
        <v/>
      </c>
      <c r="C559" s="65" t="str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61"/>
      <c r="E559" s="66"/>
      <c r="F559" s="67"/>
      <c r="G559" s="60"/>
      <c r="H559" s="60"/>
      <c r="I559" s="61"/>
      <c r="J559" s="61"/>
      <c r="K559" s="61"/>
      <c r="L559" s="73" t="str">
        <f>IF($E559="","",DATE(YEAR($E559),MONTH($E559),1))</f>
        <v/>
      </c>
      <c r="M559" s="65" t="str">
        <f ca="1">IF($D559="","",IF($C559="TANIMSIZ MÜŞTERİ","HATA",IF(OR($E559="",$F559&lt;=0,$G559=""),"EKSİK",IF($E559&gt;TODAY(),"İLERİ TARİH",IF(COUNTIF($S$7:$S$2503,$S559)&gt;1,"MÜKERRER?",IF($T559&gt;0,"KAPALI DÖNEM","UYGUN"))))))</f>
        <v/>
      </c>
      <c r="N559" s="74" t="str">
        <f>IF($C559="","",IF($C559="TANIMSIZ MÜŞTERİ","—",INDEX(MUSTERILER!$C$7:$C$156,MATCH($C559,MUSTERILER!$B$7:$B$156,0))))</f>
        <v/>
      </c>
      <c r="O559" s="2"/>
      <c r="P559" s="2"/>
      <c r="Q559" s="1" t="str">
        <f>IF($D559="","",$C559&amp;"|"&amp;COUNTIFS($C$7:$C559,$C559))</f>
        <v/>
      </c>
      <c r="R559" s="1" t="str">
        <f t="shared" si="16"/>
        <v/>
      </c>
      <c r="S559" s="1" t="str">
        <f t="shared" si="17"/>
        <v/>
      </c>
      <c r="T559" s="1">
        <f>IF($E559="",0,SUMPRODUCT((AY_SONU!$O$7:$O$42="Evet")*(AY_SONU!$B$7:$B$42=DATE(YEAR($E559),MONTH($E559),1))))</f>
        <v>0</v>
      </c>
      <c r="U559" s="1" t="str">
        <f>IF(OR($G559="",$H559="Mahsup"),"",$G559&amp;"|"&amp;COUNTIFS($G$7:$G559,$G559,$H$7:$H559,"&lt;&gt;Mahsup"))</f>
        <v/>
      </c>
    </row>
    <row r="560" spans="1:21" ht="18" customHeight="1" x14ac:dyDescent="0.3">
      <c r="A560" s="2"/>
      <c r="B560" s="65" t="str">
        <f>IF($D560="","","T"&amp;TEXT(ROW()-6,"00000"))</f>
        <v/>
      </c>
      <c r="C560" s="65" t="str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61"/>
      <c r="E560" s="66"/>
      <c r="F560" s="67"/>
      <c r="G560" s="60"/>
      <c r="H560" s="60"/>
      <c r="I560" s="61"/>
      <c r="J560" s="61"/>
      <c r="K560" s="61"/>
      <c r="L560" s="73" t="str">
        <f>IF($E560="","",DATE(YEAR($E560),MONTH($E560),1))</f>
        <v/>
      </c>
      <c r="M560" s="65" t="str">
        <f ca="1">IF($D560="","",IF($C560="TANIMSIZ MÜŞTERİ","HATA",IF(OR($E560="",$F560&lt;=0,$G560=""),"EKSİK",IF($E560&gt;TODAY(),"İLERİ TARİH",IF(COUNTIF($S$7:$S$2503,$S560)&gt;1,"MÜKERRER?",IF($T560&gt;0,"KAPALI DÖNEM","UYGUN"))))))</f>
        <v/>
      </c>
      <c r="N560" s="74" t="str">
        <f>IF($C560="","",IF($C560="TANIMSIZ MÜŞTERİ","—",INDEX(MUSTERILER!$C$7:$C$156,MATCH($C560,MUSTERILER!$B$7:$B$156,0))))</f>
        <v/>
      </c>
      <c r="O560" s="2"/>
      <c r="P560" s="2"/>
      <c r="Q560" s="1" t="str">
        <f>IF($D560="","",$C560&amp;"|"&amp;COUNTIFS($C$7:$C560,$C560))</f>
        <v/>
      </c>
      <c r="R560" s="1" t="str">
        <f t="shared" si="16"/>
        <v/>
      </c>
      <c r="S560" s="1" t="str">
        <f t="shared" si="17"/>
        <v/>
      </c>
      <c r="T560" s="1">
        <f>IF($E560="",0,SUMPRODUCT((AY_SONU!$O$7:$O$42="Evet")*(AY_SONU!$B$7:$B$42=DATE(YEAR($E560),MONTH($E560),1))))</f>
        <v>0</v>
      </c>
      <c r="U560" s="1" t="str">
        <f>IF(OR($G560="",$H560="Mahsup"),"",$G560&amp;"|"&amp;COUNTIFS($G$7:$G560,$G560,$H$7:$H560,"&lt;&gt;Mahsup"))</f>
        <v/>
      </c>
    </row>
    <row r="561" spans="1:21" ht="18" customHeight="1" x14ac:dyDescent="0.3">
      <c r="A561" s="2"/>
      <c r="B561" s="65" t="str">
        <f>IF($D561="","","T"&amp;TEXT(ROW()-6,"00000"))</f>
        <v/>
      </c>
      <c r="C561" s="65" t="str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61"/>
      <c r="E561" s="66"/>
      <c r="F561" s="67"/>
      <c r="G561" s="60"/>
      <c r="H561" s="60"/>
      <c r="I561" s="61"/>
      <c r="J561" s="61"/>
      <c r="K561" s="61"/>
      <c r="L561" s="73" t="str">
        <f>IF($E561="","",DATE(YEAR($E561),MONTH($E561),1))</f>
        <v/>
      </c>
      <c r="M561" s="65" t="str">
        <f ca="1">IF($D561="","",IF($C561="TANIMSIZ MÜŞTERİ","HATA",IF(OR($E561="",$F561&lt;=0,$G561=""),"EKSİK",IF($E561&gt;TODAY(),"İLERİ TARİH",IF(COUNTIF($S$7:$S$2503,$S561)&gt;1,"MÜKERRER?",IF($T561&gt;0,"KAPALI DÖNEM","UYGUN"))))))</f>
        <v/>
      </c>
      <c r="N561" s="74" t="str">
        <f>IF($C561="","",IF($C561="TANIMSIZ MÜŞTERİ","—",INDEX(MUSTERILER!$C$7:$C$156,MATCH($C561,MUSTERILER!$B$7:$B$156,0))))</f>
        <v/>
      </c>
      <c r="O561" s="2"/>
      <c r="P561" s="2"/>
      <c r="Q561" s="1" t="str">
        <f>IF($D561="","",$C561&amp;"|"&amp;COUNTIFS($C$7:$C561,$C561))</f>
        <v/>
      </c>
      <c r="R561" s="1" t="str">
        <f t="shared" si="16"/>
        <v/>
      </c>
      <c r="S561" s="1" t="str">
        <f t="shared" si="17"/>
        <v/>
      </c>
      <c r="T561" s="1">
        <f>IF($E561="",0,SUMPRODUCT((AY_SONU!$O$7:$O$42="Evet")*(AY_SONU!$B$7:$B$42=DATE(YEAR($E561),MONTH($E561),1))))</f>
        <v>0</v>
      </c>
      <c r="U561" s="1" t="str">
        <f>IF(OR($G561="",$H561="Mahsup"),"",$G561&amp;"|"&amp;COUNTIFS($G$7:$G561,$G561,$H$7:$H561,"&lt;&gt;Mahsup"))</f>
        <v/>
      </c>
    </row>
    <row r="562" spans="1:21" ht="18" customHeight="1" x14ac:dyDescent="0.3">
      <c r="A562" s="2"/>
      <c r="B562" s="65" t="str">
        <f>IF($D562="","","T"&amp;TEXT(ROW()-6,"00000"))</f>
        <v/>
      </c>
      <c r="C562" s="65" t="str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61"/>
      <c r="E562" s="66"/>
      <c r="F562" s="67"/>
      <c r="G562" s="60"/>
      <c r="H562" s="60"/>
      <c r="I562" s="61"/>
      <c r="J562" s="61"/>
      <c r="K562" s="61"/>
      <c r="L562" s="73" t="str">
        <f>IF($E562="","",DATE(YEAR($E562),MONTH($E562),1))</f>
        <v/>
      </c>
      <c r="M562" s="65" t="str">
        <f ca="1">IF($D562="","",IF($C562="TANIMSIZ MÜŞTERİ","HATA",IF(OR($E562="",$F562&lt;=0,$G562=""),"EKSİK",IF($E562&gt;TODAY(),"İLERİ TARİH",IF(COUNTIF($S$7:$S$2503,$S562)&gt;1,"MÜKERRER?",IF($T562&gt;0,"KAPALI DÖNEM","UYGUN"))))))</f>
        <v/>
      </c>
      <c r="N562" s="74" t="str">
        <f>IF($C562="","",IF($C562="TANIMSIZ MÜŞTERİ","—",INDEX(MUSTERILER!$C$7:$C$156,MATCH($C562,MUSTERILER!$B$7:$B$156,0))))</f>
        <v/>
      </c>
      <c r="O562" s="2"/>
      <c r="P562" s="2"/>
      <c r="Q562" s="1" t="str">
        <f>IF($D562="","",$C562&amp;"|"&amp;COUNTIFS($C$7:$C562,$C562))</f>
        <v/>
      </c>
      <c r="R562" s="1" t="str">
        <f t="shared" si="16"/>
        <v/>
      </c>
      <c r="S562" s="1" t="str">
        <f t="shared" si="17"/>
        <v/>
      </c>
      <c r="T562" s="1">
        <f>IF($E562="",0,SUMPRODUCT((AY_SONU!$O$7:$O$42="Evet")*(AY_SONU!$B$7:$B$42=DATE(YEAR($E562),MONTH($E562),1))))</f>
        <v>0</v>
      </c>
      <c r="U562" s="1" t="str">
        <f>IF(OR($G562="",$H562="Mahsup"),"",$G562&amp;"|"&amp;COUNTIFS($G$7:$G562,$G562,$H$7:$H562,"&lt;&gt;Mahsup"))</f>
        <v/>
      </c>
    </row>
    <row r="563" spans="1:21" ht="18" customHeight="1" x14ac:dyDescent="0.3">
      <c r="A563" s="2"/>
      <c r="B563" s="65" t="str">
        <f>IF($D563="","","T"&amp;TEXT(ROW()-6,"00000"))</f>
        <v/>
      </c>
      <c r="C563" s="65" t="str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61"/>
      <c r="E563" s="66"/>
      <c r="F563" s="67"/>
      <c r="G563" s="60"/>
      <c r="H563" s="60"/>
      <c r="I563" s="61"/>
      <c r="J563" s="61"/>
      <c r="K563" s="61"/>
      <c r="L563" s="73" t="str">
        <f>IF($E563="","",DATE(YEAR($E563),MONTH($E563),1))</f>
        <v/>
      </c>
      <c r="M563" s="65" t="str">
        <f ca="1">IF($D563="","",IF($C563="TANIMSIZ MÜŞTERİ","HATA",IF(OR($E563="",$F563&lt;=0,$G563=""),"EKSİK",IF($E563&gt;TODAY(),"İLERİ TARİH",IF(COUNTIF($S$7:$S$2503,$S563)&gt;1,"MÜKERRER?",IF($T563&gt;0,"KAPALI DÖNEM","UYGUN"))))))</f>
        <v/>
      </c>
      <c r="N563" s="74" t="str">
        <f>IF($C563="","",IF($C563="TANIMSIZ MÜŞTERİ","—",INDEX(MUSTERILER!$C$7:$C$156,MATCH($C563,MUSTERILER!$B$7:$B$156,0))))</f>
        <v/>
      </c>
      <c r="O563" s="2"/>
      <c r="P563" s="2"/>
      <c r="Q563" s="1" t="str">
        <f>IF($D563="","",$C563&amp;"|"&amp;COUNTIFS($C$7:$C563,$C563))</f>
        <v/>
      </c>
      <c r="R563" s="1" t="str">
        <f t="shared" si="16"/>
        <v/>
      </c>
      <c r="S563" s="1" t="str">
        <f t="shared" si="17"/>
        <v/>
      </c>
      <c r="T563" s="1">
        <f>IF($E563="",0,SUMPRODUCT((AY_SONU!$O$7:$O$42="Evet")*(AY_SONU!$B$7:$B$42=DATE(YEAR($E563),MONTH($E563),1))))</f>
        <v>0</v>
      </c>
      <c r="U563" s="1" t="str">
        <f>IF(OR($G563="",$H563="Mahsup"),"",$G563&amp;"|"&amp;COUNTIFS($G$7:$G563,$G563,$H$7:$H563,"&lt;&gt;Mahsup"))</f>
        <v/>
      </c>
    </row>
    <row r="564" spans="1:21" ht="18" customHeight="1" x14ac:dyDescent="0.3">
      <c r="A564" s="2"/>
      <c r="B564" s="65" t="str">
        <f>IF($D564="","","T"&amp;TEXT(ROW()-6,"00000"))</f>
        <v/>
      </c>
      <c r="C564" s="65" t="str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61"/>
      <c r="E564" s="66"/>
      <c r="F564" s="67"/>
      <c r="G564" s="60"/>
      <c r="H564" s="60"/>
      <c r="I564" s="61"/>
      <c r="J564" s="61"/>
      <c r="K564" s="61"/>
      <c r="L564" s="73" t="str">
        <f>IF($E564="","",DATE(YEAR($E564),MONTH($E564),1))</f>
        <v/>
      </c>
      <c r="M564" s="65" t="str">
        <f ca="1">IF($D564="","",IF($C564="TANIMSIZ MÜŞTERİ","HATA",IF(OR($E564="",$F564&lt;=0,$G564=""),"EKSİK",IF($E564&gt;TODAY(),"İLERİ TARİH",IF(COUNTIF($S$7:$S$2503,$S564)&gt;1,"MÜKERRER?",IF($T564&gt;0,"KAPALI DÖNEM","UYGUN"))))))</f>
        <v/>
      </c>
      <c r="N564" s="74" t="str">
        <f>IF($C564="","",IF($C564="TANIMSIZ MÜŞTERİ","—",INDEX(MUSTERILER!$C$7:$C$156,MATCH($C564,MUSTERILER!$B$7:$B$156,0))))</f>
        <v/>
      </c>
      <c r="O564" s="2"/>
      <c r="P564" s="2"/>
      <c r="Q564" s="1" t="str">
        <f>IF($D564="","",$C564&amp;"|"&amp;COUNTIFS($C$7:$C564,$C564))</f>
        <v/>
      </c>
      <c r="R564" s="1" t="str">
        <f t="shared" si="16"/>
        <v/>
      </c>
      <c r="S564" s="1" t="str">
        <f t="shared" si="17"/>
        <v/>
      </c>
      <c r="T564" s="1">
        <f>IF($E564="",0,SUMPRODUCT((AY_SONU!$O$7:$O$42="Evet")*(AY_SONU!$B$7:$B$42=DATE(YEAR($E564),MONTH($E564),1))))</f>
        <v>0</v>
      </c>
      <c r="U564" s="1" t="str">
        <f>IF(OR($G564="",$H564="Mahsup"),"",$G564&amp;"|"&amp;COUNTIFS($G$7:$G564,$G564,$H$7:$H564,"&lt;&gt;Mahsup"))</f>
        <v/>
      </c>
    </row>
    <row r="565" spans="1:21" ht="18" customHeight="1" x14ac:dyDescent="0.3">
      <c r="A565" s="2"/>
      <c r="B565" s="65" t="str">
        <f>IF($D565="","","T"&amp;TEXT(ROW()-6,"00000"))</f>
        <v/>
      </c>
      <c r="C565" s="65" t="str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61"/>
      <c r="E565" s="66"/>
      <c r="F565" s="67"/>
      <c r="G565" s="60"/>
      <c r="H565" s="60"/>
      <c r="I565" s="61"/>
      <c r="J565" s="61"/>
      <c r="K565" s="61"/>
      <c r="L565" s="73" t="str">
        <f>IF($E565="","",DATE(YEAR($E565),MONTH($E565),1))</f>
        <v/>
      </c>
      <c r="M565" s="65" t="str">
        <f ca="1">IF($D565="","",IF($C565="TANIMSIZ MÜŞTERİ","HATA",IF(OR($E565="",$F565&lt;=0,$G565=""),"EKSİK",IF($E565&gt;TODAY(),"İLERİ TARİH",IF(COUNTIF($S$7:$S$2503,$S565)&gt;1,"MÜKERRER?",IF($T565&gt;0,"KAPALI DÖNEM","UYGUN"))))))</f>
        <v/>
      </c>
      <c r="N565" s="74" t="str">
        <f>IF($C565="","",IF($C565="TANIMSIZ MÜŞTERİ","—",INDEX(MUSTERILER!$C$7:$C$156,MATCH($C565,MUSTERILER!$B$7:$B$156,0))))</f>
        <v/>
      </c>
      <c r="O565" s="2"/>
      <c r="P565" s="2"/>
      <c r="Q565" s="1" t="str">
        <f>IF($D565="","",$C565&amp;"|"&amp;COUNTIFS($C$7:$C565,$C565))</f>
        <v/>
      </c>
      <c r="R565" s="1" t="str">
        <f t="shared" si="16"/>
        <v/>
      </c>
      <c r="S565" s="1" t="str">
        <f t="shared" si="17"/>
        <v/>
      </c>
      <c r="T565" s="1">
        <f>IF($E565="",0,SUMPRODUCT((AY_SONU!$O$7:$O$42="Evet")*(AY_SONU!$B$7:$B$42=DATE(YEAR($E565),MONTH($E565),1))))</f>
        <v>0</v>
      </c>
      <c r="U565" s="1" t="str">
        <f>IF(OR($G565="",$H565="Mahsup"),"",$G565&amp;"|"&amp;COUNTIFS($G$7:$G565,$G565,$H$7:$H565,"&lt;&gt;Mahsup"))</f>
        <v/>
      </c>
    </row>
    <row r="566" spans="1:21" ht="18" customHeight="1" x14ac:dyDescent="0.3">
      <c r="A566" s="2"/>
      <c r="B566" s="65" t="str">
        <f>IF($D566="","","T"&amp;TEXT(ROW()-6,"00000"))</f>
        <v/>
      </c>
      <c r="C566" s="65" t="str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61"/>
      <c r="E566" s="66"/>
      <c r="F566" s="67"/>
      <c r="G566" s="60"/>
      <c r="H566" s="60"/>
      <c r="I566" s="61"/>
      <c r="J566" s="61"/>
      <c r="K566" s="61"/>
      <c r="L566" s="73" t="str">
        <f>IF($E566="","",DATE(YEAR($E566),MONTH($E566),1))</f>
        <v/>
      </c>
      <c r="M566" s="65" t="str">
        <f ca="1">IF($D566="","",IF($C566="TANIMSIZ MÜŞTERİ","HATA",IF(OR($E566="",$F566&lt;=0,$G566=""),"EKSİK",IF($E566&gt;TODAY(),"İLERİ TARİH",IF(COUNTIF($S$7:$S$2503,$S566)&gt;1,"MÜKERRER?",IF($T566&gt;0,"KAPALI DÖNEM","UYGUN"))))))</f>
        <v/>
      </c>
      <c r="N566" s="74" t="str">
        <f>IF($C566="","",IF($C566="TANIMSIZ MÜŞTERİ","—",INDEX(MUSTERILER!$C$7:$C$156,MATCH($C566,MUSTERILER!$B$7:$B$156,0))))</f>
        <v/>
      </c>
      <c r="O566" s="2"/>
      <c r="P566" s="2"/>
      <c r="Q566" s="1" t="str">
        <f>IF($D566="","",$C566&amp;"|"&amp;COUNTIFS($C$7:$C566,$C566))</f>
        <v/>
      </c>
      <c r="R566" s="1" t="str">
        <f t="shared" si="16"/>
        <v/>
      </c>
      <c r="S566" s="1" t="str">
        <f t="shared" si="17"/>
        <v/>
      </c>
      <c r="T566" s="1">
        <f>IF($E566="",0,SUMPRODUCT((AY_SONU!$O$7:$O$42="Evet")*(AY_SONU!$B$7:$B$42=DATE(YEAR($E566),MONTH($E566),1))))</f>
        <v>0</v>
      </c>
      <c r="U566" s="1" t="str">
        <f>IF(OR($G566="",$H566="Mahsup"),"",$G566&amp;"|"&amp;COUNTIFS($G$7:$G566,$G566,$H$7:$H566,"&lt;&gt;Mahsup"))</f>
        <v/>
      </c>
    </row>
    <row r="567" spans="1:21" ht="18" customHeight="1" x14ac:dyDescent="0.3">
      <c r="A567" s="2"/>
      <c r="B567" s="65" t="str">
        <f>IF($D567="","","T"&amp;TEXT(ROW()-6,"00000"))</f>
        <v/>
      </c>
      <c r="C567" s="65" t="str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61"/>
      <c r="E567" s="66"/>
      <c r="F567" s="67"/>
      <c r="G567" s="60"/>
      <c r="H567" s="60"/>
      <c r="I567" s="61"/>
      <c r="J567" s="61"/>
      <c r="K567" s="61"/>
      <c r="L567" s="73" t="str">
        <f>IF($E567="","",DATE(YEAR($E567),MONTH($E567),1))</f>
        <v/>
      </c>
      <c r="M567" s="65" t="str">
        <f ca="1">IF($D567="","",IF($C567="TANIMSIZ MÜŞTERİ","HATA",IF(OR($E567="",$F567&lt;=0,$G567=""),"EKSİK",IF($E567&gt;TODAY(),"İLERİ TARİH",IF(COUNTIF($S$7:$S$2503,$S567)&gt;1,"MÜKERRER?",IF($T567&gt;0,"KAPALI DÖNEM","UYGUN"))))))</f>
        <v/>
      </c>
      <c r="N567" s="74" t="str">
        <f>IF($C567="","",IF($C567="TANIMSIZ MÜŞTERİ","—",INDEX(MUSTERILER!$C$7:$C$156,MATCH($C567,MUSTERILER!$B$7:$B$156,0))))</f>
        <v/>
      </c>
      <c r="O567" s="2"/>
      <c r="P567" s="2"/>
      <c r="Q567" s="1" t="str">
        <f>IF($D567="","",$C567&amp;"|"&amp;COUNTIFS($C$7:$C567,$C567))</f>
        <v/>
      </c>
      <c r="R567" s="1" t="str">
        <f t="shared" si="16"/>
        <v/>
      </c>
      <c r="S567" s="1" t="str">
        <f t="shared" si="17"/>
        <v/>
      </c>
      <c r="T567" s="1">
        <f>IF($E567="",0,SUMPRODUCT((AY_SONU!$O$7:$O$42="Evet")*(AY_SONU!$B$7:$B$42=DATE(YEAR($E567),MONTH($E567),1))))</f>
        <v>0</v>
      </c>
      <c r="U567" s="1" t="str">
        <f>IF(OR($G567="",$H567="Mahsup"),"",$G567&amp;"|"&amp;COUNTIFS($G$7:$G567,$G567,$H$7:$H567,"&lt;&gt;Mahsup"))</f>
        <v/>
      </c>
    </row>
    <row r="568" spans="1:21" ht="18" customHeight="1" x14ac:dyDescent="0.3">
      <c r="A568" s="2"/>
      <c r="B568" s="65" t="str">
        <f>IF($D568="","","T"&amp;TEXT(ROW()-6,"00000"))</f>
        <v/>
      </c>
      <c r="C568" s="65" t="str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61"/>
      <c r="E568" s="66"/>
      <c r="F568" s="67"/>
      <c r="G568" s="60"/>
      <c r="H568" s="60"/>
      <c r="I568" s="61"/>
      <c r="J568" s="61"/>
      <c r="K568" s="61"/>
      <c r="L568" s="73" t="str">
        <f>IF($E568="","",DATE(YEAR($E568),MONTH($E568),1))</f>
        <v/>
      </c>
      <c r="M568" s="65" t="str">
        <f ca="1">IF($D568="","",IF($C568="TANIMSIZ MÜŞTERİ","HATA",IF(OR($E568="",$F568&lt;=0,$G568=""),"EKSİK",IF($E568&gt;TODAY(),"İLERİ TARİH",IF(COUNTIF($S$7:$S$2503,$S568)&gt;1,"MÜKERRER?",IF($T568&gt;0,"KAPALI DÖNEM","UYGUN"))))))</f>
        <v/>
      </c>
      <c r="N568" s="74" t="str">
        <f>IF($C568="","",IF($C568="TANIMSIZ MÜŞTERİ","—",INDEX(MUSTERILER!$C$7:$C$156,MATCH($C568,MUSTERILER!$B$7:$B$156,0))))</f>
        <v/>
      </c>
      <c r="O568" s="2"/>
      <c r="P568" s="2"/>
      <c r="Q568" s="1" t="str">
        <f>IF($D568="","",$C568&amp;"|"&amp;COUNTIFS($C$7:$C568,$C568))</f>
        <v/>
      </c>
      <c r="R568" s="1" t="str">
        <f t="shared" si="16"/>
        <v/>
      </c>
      <c r="S568" s="1" t="str">
        <f t="shared" si="17"/>
        <v/>
      </c>
      <c r="T568" s="1">
        <f>IF($E568="",0,SUMPRODUCT((AY_SONU!$O$7:$O$42="Evet")*(AY_SONU!$B$7:$B$42=DATE(YEAR($E568),MONTH($E568),1))))</f>
        <v>0</v>
      </c>
      <c r="U568" s="1" t="str">
        <f>IF(OR($G568="",$H568="Mahsup"),"",$G568&amp;"|"&amp;COUNTIFS($G$7:$G568,$G568,$H$7:$H568,"&lt;&gt;Mahsup"))</f>
        <v/>
      </c>
    </row>
    <row r="569" spans="1:21" ht="18" customHeight="1" x14ac:dyDescent="0.3">
      <c r="A569" s="2"/>
      <c r="B569" s="65" t="str">
        <f>IF($D569="","","T"&amp;TEXT(ROW()-6,"00000"))</f>
        <v/>
      </c>
      <c r="C569" s="65" t="str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61"/>
      <c r="E569" s="66"/>
      <c r="F569" s="67"/>
      <c r="G569" s="60"/>
      <c r="H569" s="60"/>
      <c r="I569" s="61"/>
      <c r="J569" s="61"/>
      <c r="K569" s="61"/>
      <c r="L569" s="73" t="str">
        <f>IF($E569="","",DATE(YEAR($E569),MONTH($E569),1))</f>
        <v/>
      </c>
      <c r="M569" s="65" t="str">
        <f ca="1">IF($D569="","",IF($C569="TANIMSIZ MÜŞTERİ","HATA",IF(OR($E569="",$F569&lt;=0,$G569=""),"EKSİK",IF($E569&gt;TODAY(),"İLERİ TARİH",IF(COUNTIF($S$7:$S$2503,$S569)&gt;1,"MÜKERRER?",IF($T569&gt;0,"KAPALI DÖNEM","UYGUN"))))))</f>
        <v/>
      </c>
      <c r="N569" s="74" t="str">
        <f>IF($C569="","",IF($C569="TANIMSIZ MÜŞTERİ","—",INDEX(MUSTERILER!$C$7:$C$156,MATCH($C569,MUSTERILER!$B$7:$B$156,0))))</f>
        <v/>
      </c>
      <c r="O569" s="2"/>
      <c r="P569" s="2"/>
      <c r="Q569" s="1" t="str">
        <f>IF($D569="","",$C569&amp;"|"&amp;COUNTIFS($C$7:$C569,$C569))</f>
        <v/>
      </c>
      <c r="R569" s="1" t="str">
        <f t="shared" si="16"/>
        <v/>
      </c>
      <c r="S569" s="1" t="str">
        <f t="shared" si="17"/>
        <v/>
      </c>
      <c r="T569" s="1">
        <f>IF($E569="",0,SUMPRODUCT((AY_SONU!$O$7:$O$42="Evet")*(AY_SONU!$B$7:$B$42=DATE(YEAR($E569),MONTH($E569),1))))</f>
        <v>0</v>
      </c>
      <c r="U569" s="1" t="str">
        <f>IF(OR($G569="",$H569="Mahsup"),"",$G569&amp;"|"&amp;COUNTIFS($G$7:$G569,$G569,$H$7:$H569,"&lt;&gt;Mahsup"))</f>
        <v/>
      </c>
    </row>
    <row r="570" spans="1:21" ht="18" customHeight="1" x14ac:dyDescent="0.3">
      <c r="A570" s="2"/>
      <c r="B570" s="65" t="str">
        <f>IF($D570="","","T"&amp;TEXT(ROW()-6,"00000"))</f>
        <v/>
      </c>
      <c r="C570" s="65" t="str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61"/>
      <c r="E570" s="66"/>
      <c r="F570" s="67"/>
      <c r="G570" s="60"/>
      <c r="H570" s="60"/>
      <c r="I570" s="61"/>
      <c r="J570" s="61"/>
      <c r="K570" s="61"/>
      <c r="L570" s="73" t="str">
        <f>IF($E570="","",DATE(YEAR($E570),MONTH($E570),1))</f>
        <v/>
      </c>
      <c r="M570" s="65" t="str">
        <f ca="1">IF($D570="","",IF($C570="TANIMSIZ MÜŞTERİ","HATA",IF(OR($E570="",$F570&lt;=0,$G570=""),"EKSİK",IF($E570&gt;TODAY(),"İLERİ TARİH",IF(COUNTIF($S$7:$S$2503,$S570)&gt;1,"MÜKERRER?",IF($T570&gt;0,"KAPALI DÖNEM","UYGUN"))))))</f>
        <v/>
      </c>
      <c r="N570" s="74" t="str">
        <f>IF($C570="","",IF($C570="TANIMSIZ MÜŞTERİ","—",INDEX(MUSTERILER!$C$7:$C$156,MATCH($C570,MUSTERILER!$B$7:$B$156,0))))</f>
        <v/>
      </c>
      <c r="O570" s="2"/>
      <c r="P570" s="2"/>
      <c r="Q570" s="1" t="str">
        <f>IF($D570="","",$C570&amp;"|"&amp;COUNTIFS($C$7:$C570,$C570))</f>
        <v/>
      </c>
      <c r="R570" s="1" t="str">
        <f t="shared" si="16"/>
        <v/>
      </c>
      <c r="S570" s="1" t="str">
        <f t="shared" si="17"/>
        <v/>
      </c>
      <c r="T570" s="1">
        <f>IF($E570="",0,SUMPRODUCT((AY_SONU!$O$7:$O$42="Evet")*(AY_SONU!$B$7:$B$42=DATE(YEAR($E570),MONTH($E570),1))))</f>
        <v>0</v>
      </c>
      <c r="U570" s="1" t="str">
        <f>IF(OR($G570="",$H570="Mahsup"),"",$G570&amp;"|"&amp;COUNTIFS($G$7:$G570,$G570,$H$7:$H570,"&lt;&gt;Mahsup"))</f>
        <v/>
      </c>
    </row>
    <row r="571" spans="1:21" ht="18" customHeight="1" x14ac:dyDescent="0.3">
      <c r="A571" s="2"/>
      <c r="B571" s="65" t="str">
        <f>IF($D571="","","T"&amp;TEXT(ROW()-6,"00000"))</f>
        <v/>
      </c>
      <c r="C571" s="65" t="str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61"/>
      <c r="E571" s="66"/>
      <c r="F571" s="67"/>
      <c r="G571" s="60"/>
      <c r="H571" s="60"/>
      <c r="I571" s="61"/>
      <c r="J571" s="61"/>
      <c r="K571" s="61"/>
      <c r="L571" s="73" t="str">
        <f>IF($E571="","",DATE(YEAR($E571),MONTH($E571),1))</f>
        <v/>
      </c>
      <c r="M571" s="65" t="str">
        <f ca="1">IF($D571="","",IF($C571="TANIMSIZ MÜŞTERİ","HATA",IF(OR($E571="",$F571&lt;=0,$G571=""),"EKSİK",IF($E571&gt;TODAY(),"İLERİ TARİH",IF(COUNTIF($S$7:$S$2503,$S571)&gt;1,"MÜKERRER?",IF($T571&gt;0,"KAPALI DÖNEM","UYGUN"))))))</f>
        <v/>
      </c>
      <c r="N571" s="74" t="str">
        <f>IF($C571="","",IF($C571="TANIMSIZ MÜŞTERİ","—",INDEX(MUSTERILER!$C$7:$C$156,MATCH($C571,MUSTERILER!$B$7:$B$156,0))))</f>
        <v/>
      </c>
      <c r="O571" s="2"/>
      <c r="P571" s="2"/>
      <c r="Q571" s="1" t="str">
        <f>IF($D571="","",$C571&amp;"|"&amp;COUNTIFS($C$7:$C571,$C571))</f>
        <v/>
      </c>
      <c r="R571" s="1" t="str">
        <f t="shared" si="16"/>
        <v/>
      </c>
      <c r="S571" s="1" t="str">
        <f t="shared" si="17"/>
        <v/>
      </c>
      <c r="T571" s="1">
        <f>IF($E571="",0,SUMPRODUCT((AY_SONU!$O$7:$O$42="Evet")*(AY_SONU!$B$7:$B$42=DATE(YEAR($E571),MONTH($E571),1))))</f>
        <v>0</v>
      </c>
      <c r="U571" s="1" t="str">
        <f>IF(OR($G571="",$H571="Mahsup"),"",$G571&amp;"|"&amp;COUNTIFS($G$7:$G571,$G571,$H$7:$H571,"&lt;&gt;Mahsup"))</f>
        <v/>
      </c>
    </row>
    <row r="572" spans="1:21" ht="18" customHeight="1" x14ac:dyDescent="0.3">
      <c r="A572" s="2"/>
      <c r="B572" s="65" t="str">
        <f>IF($D572="","","T"&amp;TEXT(ROW()-6,"00000"))</f>
        <v/>
      </c>
      <c r="C572" s="65" t="str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61"/>
      <c r="E572" s="66"/>
      <c r="F572" s="67"/>
      <c r="G572" s="60"/>
      <c r="H572" s="60"/>
      <c r="I572" s="61"/>
      <c r="J572" s="61"/>
      <c r="K572" s="61"/>
      <c r="L572" s="73" t="str">
        <f>IF($E572="","",DATE(YEAR($E572),MONTH($E572),1))</f>
        <v/>
      </c>
      <c r="M572" s="65" t="str">
        <f ca="1">IF($D572="","",IF($C572="TANIMSIZ MÜŞTERİ","HATA",IF(OR($E572="",$F572&lt;=0,$G572=""),"EKSİK",IF($E572&gt;TODAY(),"İLERİ TARİH",IF(COUNTIF($S$7:$S$2503,$S572)&gt;1,"MÜKERRER?",IF($T572&gt;0,"KAPALI DÖNEM","UYGUN"))))))</f>
        <v/>
      </c>
      <c r="N572" s="74" t="str">
        <f>IF($C572="","",IF($C572="TANIMSIZ MÜŞTERİ","—",INDEX(MUSTERILER!$C$7:$C$156,MATCH($C572,MUSTERILER!$B$7:$B$156,0))))</f>
        <v/>
      </c>
      <c r="O572" s="2"/>
      <c r="P572" s="2"/>
      <c r="Q572" s="1" t="str">
        <f>IF($D572="","",$C572&amp;"|"&amp;COUNTIFS($C$7:$C572,$C572))</f>
        <v/>
      </c>
      <c r="R572" s="1" t="str">
        <f t="shared" si="16"/>
        <v/>
      </c>
      <c r="S572" s="1" t="str">
        <f t="shared" si="17"/>
        <v/>
      </c>
      <c r="T572" s="1">
        <f>IF($E572="",0,SUMPRODUCT((AY_SONU!$O$7:$O$42="Evet")*(AY_SONU!$B$7:$B$42=DATE(YEAR($E572),MONTH($E572),1))))</f>
        <v>0</v>
      </c>
      <c r="U572" s="1" t="str">
        <f>IF(OR($G572="",$H572="Mahsup"),"",$G572&amp;"|"&amp;COUNTIFS($G$7:$G572,$G572,$H$7:$H572,"&lt;&gt;Mahsup"))</f>
        <v/>
      </c>
    </row>
    <row r="573" spans="1:21" ht="18" customHeight="1" x14ac:dyDescent="0.3">
      <c r="A573" s="2"/>
      <c r="B573" s="65" t="str">
        <f>IF($D573="","","T"&amp;TEXT(ROW()-6,"00000"))</f>
        <v/>
      </c>
      <c r="C573" s="65" t="str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61"/>
      <c r="E573" s="66"/>
      <c r="F573" s="67"/>
      <c r="G573" s="60"/>
      <c r="H573" s="60"/>
      <c r="I573" s="61"/>
      <c r="J573" s="61"/>
      <c r="K573" s="61"/>
      <c r="L573" s="73" t="str">
        <f>IF($E573="","",DATE(YEAR($E573),MONTH($E573),1))</f>
        <v/>
      </c>
      <c r="M573" s="65" t="str">
        <f ca="1">IF($D573="","",IF($C573="TANIMSIZ MÜŞTERİ","HATA",IF(OR($E573="",$F573&lt;=0,$G573=""),"EKSİK",IF($E573&gt;TODAY(),"İLERİ TARİH",IF(COUNTIF($S$7:$S$2503,$S573)&gt;1,"MÜKERRER?",IF($T573&gt;0,"KAPALI DÖNEM","UYGUN"))))))</f>
        <v/>
      </c>
      <c r="N573" s="74" t="str">
        <f>IF($C573="","",IF($C573="TANIMSIZ MÜŞTERİ","—",INDEX(MUSTERILER!$C$7:$C$156,MATCH($C573,MUSTERILER!$B$7:$B$156,0))))</f>
        <v/>
      </c>
      <c r="O573" s="2"/>
      <c r="P573" s="2"/>
      <c r="Q573" s="1" t="str">
        <f>IF($D573="","",$C573&amp;"|"&amp;COUNTIFS($C$7:$C573,$C573))</f>
        <v/>
      </c>
      <c r="R573" s="1" t="str">
        <f t="shared" si="16"/>
        <v/>
      </c>
      <c r="S573" s="1" t="str">
        <f t="shared" si="17"/>
        <v/>
      </c>
      <c r="T573" s="1">
        <f>IF($E573="",0,SUMPRODUCT((AY_SONU!$O$7:$O$42="Evet")*(AY_SONU!$B$7:$B$42=DATE(YEAR($E573),MONTH($E573),1))))</f>
        <v>0</v>
      </c>
      <c r="U573" s="1" t="str">
        <f>IF(OR($G573="",$H573="Mahsup"),"",$G573&amp;"|"&amp;COUNTIFS($G$7:$G573,$G573,$H$7:$H573,"&lt;&gt;Mahsup"))</f>
        <v/>
      </c>
    </row>
    <row r="574" spans="1:21" ht="18" customHeight="1" x14ac:dyDescent="0.3">
      <c r="A574" s="2"/>
      <c r="B574" s="65" t="str">
        <f>IF($D574="","","T"&amp;TEXT(ROW()-6,"00000"))</f>
        <v/>
      </c>
      <c r="C574" s="65" t="str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61"/>
      <c r="E574" s="66"/>
      <c r="F574" s="67"/>
      <c r="G574" s="60"/>
      <c r="H574" s="60"/>
      <c r="I574" s="61"/>
      <c r="J574" s="61"/>
      <c r="K574" s="61"/>
      <c r="L574" s="73" t="str">
        <f>IF($E574="","",DATE(YEAR($E574),MONTH($E574),1))</f>
        <v/>
      </c>
      <c r="M574" s="65" t="str">
        <f ca="1">IF($D574="","",IF($C574="TANIMSIZ MÜŞTERİ","HATA",IF(OR($E574="",$F574&lt;=0,$G574=""),"EKSİK",IF($E574&gt;TODAY(),"İLERİ TARİH",IF(COUNTIF($S$7:$S$2503,$S574)&gt;1,"MÜKERRER?",IF($T574&gt;0,"KAPALI DÖNEM","UYGUN"))))))</f>
        <v/>
      </c>
      <c r="N574" s="74" t="str">
        <f>IF($C574="","",IF($C574="TANIMSIZ MÜŞTERİ","—",INDEX(MUSTERILER!$C$7:$C$156,MATCH($C574,MUSTERILER!$B$7:$B$156,0))))</f>
        <v/>
      </c>
      <c r="O574" s="2"/>
      <c r="P574" s="2"/>
      <c r="Q574" s="1" t="str">
        <f>IF($D574="","",$C574&amp;"|"&amp;COUNTIFS($C$7:$C574,$C574))</f>
        <v/>
      </c>
      <c r="R574" s="1" t="str">
        <f t="shared" si="16"/>
        <v/>
      </c>
      <c r="S574" s="1" t="str">
        <f t="shared" si="17"/>
        <v/>
      </c>
      <c r="T574" s="1">
        <f>IF($E574="",0,SUMPRODUCT((AY_SONU!$O$7:$O$42="Evet")*(AY_SONU!$B$7:$B$42=DATE(YEAR($E574),MONTH($E574),1))))</f>
        <v>0</v>
      </c>
      <c r="U574" s="1" t="str">
        <f>IF(OR($G574="",$H574="Mahsup"),"",$G574&amp;"|"&amp;COUNTIFS($G$7:$G574,$G574,$H$7:$H574,"&lt;&gt;Mahsup"))</f>
        <v/>
      </c>
    </row>
    <row r="575" spans="1:21" ht="18" customHeight="1" x14ac:dyDescent="0.3">
      <c r="A575" s="2"/>
      <c r="B575" s="65" t="str">
        <f>IF($D575="","","T"&amp;TEXT(ROW()-6,"00000"))</f>
        <v/>
      </c>
      <c r="C575" s="65" t="str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61"/>
      <c r="E575" s="66"/>
      <c r="F575" s="67"/>
      <c r="G575" s="60"/>
      <c r="H575" s="60"/>
      <c r="I575" s="61"/>
      <c r="J575" s="61"/>
      <c r="K575" s="61"/>
      <c r="L575" s="73" t="str">
        <f>IF($E575="","",DATE(YEAR($E575),MONTH($E575),1))</f>
        <v/>
      </c>
      <c r="M575" s="65" t="str">
        <f ca="1">IF($D575="","",IF($C575="TANIMSIZ MÜŞTERİ","HATA",IF(OR($E575="",$F575&lt;=0,$G575=""),"EKSİK",IF($E575&gt;TODAY(),"İLERİ TARİH",IF(COUNTIF($S$7:$S$2503,$S575)&gt;1,"MÜKERRER?",IF($T575&gt;0,"KAPALI DÖNEM","UYGUN"))))))</f>
        <v/>
      </c>
      <c r="N575" s="74" t="str">
        <f>IF($C575="","",IF($C575="TANIMSIZ MÜŞTERİ","—",INDEX(MUSTERILER!$C$7:$C$156,MATCH($C575,MUSTERILER!$B$7:$B$156,0))))</f>
        <v/>
      </c>
      <c r="O575" s="2"/>
      <c r="P575" s="2"/>
      <c r="Q575" s="1" t="str">
        <f>IF($D575="","",$C575&amp;"|"&amp;COUNTIFS($C$7:$C575,$C575))</f>
        <v/>
      </c>
      <c r="R575" s="1" t="str">
        <f t="shared" si="16"/>
        <v/>
      </c>
      <c r="S575" s="1" t="str">
        <f t="shared" si="17"/>
        <v/>
      </c>
      <c r="T575" s="1">
        <f>IF($E575="",0,SUMPRODUCT((AY_SONU!$O$7:$O$42="Evet")*(AY_SONU!$B$7:$B$42=DATE(YEAR($E575),MONTH($E575),1))))</f>
        <v>0</v>
      </c>
      <c r="U575" s="1" t="str">
        <f>IF(OR($G575="",$H575="Mahsup"),"",$G575&amp;"|"&amp;COUNTIFS($G$7:$G575,$G575,$H$7:$H575,"&lt;&gt;Mahsup"))</f>
        <v/>
      </c>
    </row>
    <row r="576" spans="1:21" ht="18" customHeight="1" x14ac:dyDescent="0.3">
      <c r="A576" s="2"/>
      <c r="B576" s="65" t="str">
        <f>IF($D576="","","T"&amp;TEXT(ROW()-6,"00000"))</f>
        <v/>
      </c>
      <c r="C576" s="65" t="str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61"/>
      <c r="E576" s="66"/>
      <c r="F576" s="67"/>
      <c r="G576" s="60"/>
      <c r="H576" s="60"/>
      <c r="I576" s="61"/>
      <c r="J576" s="61"/>
      <c r="K576" s="61"/>
      <c r="L576" s="73" t="str">
        <f>IF($E576="","",DATE(YEAR($E576),MONTH($E576),1))</f>
        <v/>
      </c>
      <c r="M576" s="65" t="str">
        <f ca="1">IF($D576="","",IF($C576="TANIMSIZ MÜŞTERİ","HATA",IF(OR($E576="",$F576&lt;=0,$G576=""),"EKSİK",IF($E576&gt;TODAY(),"İLERİ TARİH",IF(COUNTIF($S$7:$S$2503,$S576)&gt;1,"MÜKERRER?",IF($T576&gt;0,"KAPALI DÖNEM","UYGUN"))))))</f>
        <v/>
      </c>
      <c r="N576" s="74" t="str">
        <f>IF($C576="","",IF($C576="TANIMSIZ MÜŞTERİ","—",INDEX(MUSTERILER!$C$7:$C$156,MATCH($C576,MUSTERILER!$B$7:$B$156,0))))</f>
        <v/>
      </c>
      <c r="O576" s="2"/>
      <c r="P576" s="2"/>
      <c r="Q576" s="1" t="str">
        <f>IF($D576="","",$C576&amp;"|"&amp;COUNTIFS($C$7:$C576,$C576))</f>
        <v/>
      </c>
      <c r="R576" s="1" t="str">
        <f t="shared" si="16"/>
        <v/>
      </c>
      <c r="S576" s="1" t="str">
        <f t="shared" si="17"/>
        <v/>
      </c>
      <c r="T576" s="1">
        <f>IF($E576="",0,SUMPRODUCT((AY_SONU!$O$7:$O$42="Evet")*(AY_SONU!$B$7:$B$42=DATE(YEAR($E576),MONTH($E576),1))))</f>
        <v>0</v>
      </c>
      <c r="U576" s="1" t="str">
        <f>IF(OR($G576="",$H576="Mahsup"),"",$G576&amp;"|"&amp;COUNTIFS($G$7:$G576,$G576,$H$7:$H576,"&lt;&gt;Mahsup"))</f>
        <v/>
      </c>
    </row>
    <row r="577" spans="1:21" ht="18" customHeight="1" x14ac:dyDescent="0.3">
      <c r="A577" s="2"/>
      <c r="B577" s="65" t="str">
        <f>IF($D577="","","T"&amp;TEXT(ROW()-6,"00000"))</f>
        <v/>
      </c>
      <c r="C577" s="65" t="str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61"/>
      <c r="E577" s="66"/>
      <c r="F577" s="67"/>
      <c r="G577" s="60"/>
      <c r="H577" s="60"/>
      <c r="I577" s="61"/>
      <c r="J577" s="61"/>
      <c r="K577" s="61"/>
      <c r="L577" s="73" t="str">
        <f>IF($E577="","",DATE(YEAR($E577),MONTH($E577),1))</f>
        <v/>
      </c>
      <c r="M577" s="65" t="str">
        <f ca="1">IF($D577="","",IF($C577="TANIMSIZ MÜŞTERİ","HATA",IF(OR($E577="",$F577&lt;=0,$G577=""),"EKSİK",IF($E577&gt;TODAY(),"İLERİ TARİH",IF(COUNTIF($S$7:$S$2503,$S577)&gt;1,"MÜKERRER?",IF($T577&gt;0,"KAPALI DÖNEM","UYGUN"))))))</f>
        <v/>
      </c>
      <c r="N577" s="74" t="str">
        <f>IF($C577="","",IF($C577="TANIMSIZ MÜŞTERİ","—",INDEX(MUSTERILER!$C$7:$C$156,MATCH($C577,MUSTERILER!$B$7:$B$156,0))))</f>
        <v/>
      </c>
      <c r="O577" s="2"/>
      <c r="P577" s="2"/>
      <c r="Q577" s="1" t="str">
        <f>IF($D577="","",$C577&amp;"|"&amp;COUNTIFS($C$7:$C577,$C577))</f>
        <v/>
      </c>
      <c r="R577" s="1" t="str">
        <f t="shared" si="16"/>
        <v/>
      </c>
      <c r="S577" s="1" t="str">
        <f t="shared" si="17"/>
        <v/>
      </c>
      <c r="T577" s="1">
        <f>IF($E577="",0,SUMPRODUCT((AY_SONU!$O$7:$O$42="Evet")*(AY_SONU!$B$7:$B$42=DATE(YEAR($E577),MONTH($E577),1))))</f>
        <v>0</v>
      </c>
      <c r="U577" s="1" t="str">
        <f>IF(OR($G577="",$H577="Mahsup"),"",$G577&amp;"|"&amp;COUNTIFS($G$7:$G577,$G577,$H$7:$H577,"&lt;&gt;Mahsup"))</f>
        <v/>
      </c>
    </row>
    <row r="578" spans="1:21" ht="18" customHeight="1" x14ac:dyDescent="0.3">
      <c r="A578" s="2"/>
      <c r="B578" s="65" t="str">
        <f>IF($D578="","","T"&amp;TEXT(ROW()-6,"00000"))</f>
        <v/>
      </c>
      <c r="C578" s="65" t="str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61"/>
      <c r="E578" s="66"/>
      <c r="F578" s="67"/>
      <c r="G578" s="60"/>
      <c r="H578" s="60"/>
      <c r="I578" s="61"/>
      <c r="J578" s="61"/>
      <c r="K578" s="61"/>
      <c r="L578" s="73" t="str">
        <f>IF($E578="","",DATE(YEAR($E578),MONTH($E578),1))</f>
        <v/>
      </c>
      <c r="M578" s="65" t="str">
        <f ca="1">IF($D578="","",IF($C578="TANIMSIZ MÜŞTERİ","HATA",IF(OR($E578="",$F578&lt;=0,$G578=""),"EKSİK",IF($E578&gt;TODAY(),"İLERİ TARİH",IF(COUNTIF($S$7:$S$2503,$S578)&gt;1,"MÜKERRER?",IF($T578&gt;0,"KAPALI DÖNEM","UYGUN"))))))</f>
        <v/>
      </c>
      <c r="N578" s="74" t="str">
        <f>IF($C578="","",IF($C578="TANIMSIZ MÜŞTERİ","—",INDEX(MUSTERILER!$C$7:$C$156,MATCH($C578,MUSTERILER!$B$7:$B$156,0))))</f>
        <v/>
      </c>
      <c r="O578" s="2"/>
      <c r="P578" s="2"/>
      <c r="Q578" s="1" t="str">
        <f>IF($D578="","",$C578&amp;"|"&amp;COUNTIFS($C$7:$C578,$C578))</f>
        <v/>
      </c>
      <c r="R578" s="1" t="str">
        <f t="shared" si="16"/>
        <v/>
      </c>
      <c r="S578" s="1" t="str">
        <f t="shared" si="17"/>
        <v/>
      </c>
      <c r="T578" s="1">
        <f>IF($E578="",0,SUMPRODUCT((AY_SONU!$O$7:$O$42="Evet")*(AY_SONU!$B$7:$B$42=DATE(YEAR($E578),MONTH($E578),1))))</f>
        <v>0</v>
      </c>
      <c r="U578" s="1" t="str">
        <f>IF(OR($G578="",$H578="Mahsup"),"",$G578&amp;"|"&amp;COUNTIFS($G$7:$G578,$G578,$H$7:$H578,"&lt;&gt;Mahsup"))</f>
        <v/>
      </c>
    </row>
    <row r="579" spans="1:21" ht="18" customHeight="1" x14ac:dyDescent="0.3">
      <c r="A579" s="2"/>
      <c r="B579" s="65" t="str">
        <f>IF($D579="","","T"&amp;TEXT(ROW()-6,"00000"))</f>
        <v/>
      </c>
      <c r="C579" s="65" t="str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61"/>
      <c r="E579" s="66"/>
      <c r="F579" s="67"/>
      <c r="G579" s="60"/>
      <c r="H579" s="60"/>
      <c r="I579" s="61"/>
      <c r="J579" s="61"/>
      <c r="K579" s="61"/>
      <c r="L579" s="73" t="str">
        <f>IF($E579="","",DATE(YEAR($E579),MONTH($E579),1))</f>
        <v/>
      </c>
      <c r="M579" s="65" t="str">
        <f ca="1">IF($D579="","",IF($C579="TANIMSIZ MÜŞTERİ","HATA",IF(OR($E579="",$F579&lt;=0,$G579=""),"EKSİK",IF($E579&gt;TODAY(),"İLERİ TARİH",IF(COUNTIF($S$7:$S$2503,$S579)&gt;1,"MÜKERRER?",IF($T579&gt;0,"KAPALI DÖNEM","UYGUN"))))))</f>
        <v/>
      </c>
      <c r="N579" s="74" t="str">
        <f>IF($C579="","",IF($C579="TANIMSIZ MÜŞTERİ","—",INDEX(MUSTERILER!$C$7:$C$156,MATCH($C579,MUSTERILER!$B$7:$B$156,0))))</f>
        <v/>
      </c>
      <c r="O579" s="2"/>
      <c r="P579" s="2"/>
      <c r="Q579" s="1" t="str">
        <f>IF($D579="","",$C579&amp;"|"&amp;COUNTIFS($C$7:$C579,$C579))</f>
        <v/>
      </c>
      <c r="R579" s="1" t="str">
        <f t="shared" si="16"/>
        <v/>
      </c>
      <c r="S579" s="1" t="str">
        <f t="shared" si="17"/>
        <v/>
      </c>
      <c r="T579" s="1">
        <f>IF($E579="",0,SUMPRODUCT((AY_SONU!$O$7:$O$42="Evet")*(AY_SONU!$B$7:$B$42=DATE(YEAR($E579),MONTH($E579),1))))</f>
        <v>0</v>
      </c>
      <c r="U579" s="1" t="str">
        <f>IF(OR($G579="",$H579="Mahsup"),"",$G579&amp;"|"&amp;COUNTIFS($G$7:$G579,$G579,$H$7:$H579,"&lt;&gt;Mahsup"))</f>
        <v/>
      </c>
    </row>
    <row r="580" spans="1:21" ht="18" customHeight="1" x14ac:dyDescent="0.3">
      <c r="A580" s="2"/>
      <c r="B580" s="65" t="str">
        <f>IF($D580="","","T"&amp;TEXT(ROW()-6,"00000"))</f>
        <v/>
      </c>
      <c r="C580" s="65" t="str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61"/>
      <c r="E580" s="66"/>
      <c r="F580" s="67"/>
      <c r="G580" s="60"/>
      <c r="H580" s="60"/>
      <c r="I580" s="61"/>
      <c r="J580" s="61"/>
      <c r="K580" s="61"/>
      <c r="L580" s="73" t="str">
        <f>IF($E580="","",DATE(YEAR($E580),MONTH($E580),1))</f>
        <v/>
      </c>
      <c r="M580" s="65" t="str">
        <f ca="1">IF($D580="","",IF($C580="TANIMSIZ MÜŞTERİ","HATA",IF(OR($E580="",$F580&lt;=0,$G580=""),"EKSİK",IF($E580&gt;TODAY(),"İLERİ TARİH",IF(COUNTIF($S$7:$S$2503,$S580)&gt;1,"MÜKERRER?",IF($T580&gt;0,"KAPALI DÖNEM","UYGUN"))))))</f>
        <v/>
      </c>
      <c r="N580" s="74" t="str">
        <f>IF($C580="","",IF($C580="TANIMSIZ MÜŞTERİ","—",INDEX(MUSTERILER!$C$7:$C$156,MATCH($C580,MUSTERILER!$B$7:$B$156,0))))</f>
        <v/>
      </c>
      <c r="O580" s="2"/>
      <c r="P580" s="2"/>
      <c r="Q580" s="1" t="str">
        <f>IF($D580="","",$C580&amp;"|"&amp;COUNTIFS($C$7:$C580,$C580))</f>
        <v/>
      </c>
      <c r="R580" s="1" t="str">
        <f t="shared" si="16"/>
        <v/>
      </c>
      <c r="S580" s="1" t="str">
        <f t="shared" si="17"/>
        <v/>
      </c>
      <c r="T580" s="1">
        <f>IF($E580="",0,SUMPRODUCT((AY_SONU!$O$7:$O$42="Evet")*(AY_SONU!$B$7:$B$42=DATE(YEAR($E580),MONTH($E580),1))))</f>
        <v>0</v>
      </c>
      <c r="U580" s="1" t="str">
        <f>IF(OR($G580="",$H580="Mahsup"),"",$G580&amp;"|"&amp;COUNTIFS($G$7:$G580,$G580,$H$7:$H580,"&lt;&gt;Mahsup"))</f>
        <v/>
      </c>
    </row>
    <row r="581" spans="1:21" ht="18" customHeight="1" x14ac:dyDescent="0.3">
      <c r="A581" s="2"/>
      <c r="B581" s="65" t="str">
        <f>IF($D581="","","T"&amp;TEXT(ROW()-6,"00000"))</f>
        <v/>
      </c>
      <c r="C581" s="65" t="str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61"/>
      <c r="E581" s="66"/>
      <c r="F581" s="67"/>
      <c r="G581" s="60"/>
      <c r="H581" s="60"/>
      <c r="I581" s="61"/>
      <c r="J581" s="61"/>
      <c r="K581" s="61"/>
      <c r="L581" s="73" t="str">
        <f>IF($E581="","",DATE(YEAR($E581),MONTH($E581),1))</f>
        <v/>
      </c>
      <c r="M581" s="65" t="str">
        <f ca="1">IF($D581="","",IF($C581="TANIMSIZ MÜŞTERİ","HATA",IF(OR($E581="",$F581&lt;=0,$G581=""),"EKSİK",IF($E581&gt;TODAY(),"İLERİ TARİH",IF(COUNTIF($S$7:$S$2503,$S581)&gt;1,"MÜKERRER?",IF($T581&gt;0,"KAPALI DÖNEM","UYGUN"))))))</f>
        <v/>
      </c>
      <c r="N581" s="74" t="str">
        <f>IF($C581="","",IF($C581="TANIMSIZ MÜŞTERİ","—",INDEX(MUSTERILER!$C$7:$C$156,MATCH($C581,MUSTERILER!$B$7:$B$156,0))))</f>
        <v/>
      </c>
      <c r="O581" s="2"/>
      <c r="P581" s="2"/>
      <c r="Q581" s="1" t="str">
        <f>IF($D581="","",$C581&amp;"|"&amp;COUNTIFS($C$7:$C581,$C581))</f>
        <v/>
      </c>
      <c r="R581" s="1" t="str">
        <f t="shared" si="16"/>
        <v/>
      </c>
      <c r="S581" s="1" t="str">
        <f t="shared" si="17"/>
        <v/>
      </c>
      <c r="T581" s="1">
        <f>IF($E581="",0,SUMPRODUCT((AY_SONU!$O$7:$O$42="Evet")*(AY_SONU!$B$7:$B$42=DATE(YEAR($E581),MONTH($E581),1))))</f>
        <v>0</v>
      </c>
      <c r="U581" s="1" t="str">
        <f>IF(OR($G581="",$H581="Mahsup"),"",$G581&amp;"|"&amp;COUNTIFS($G$7:$G581,$G581,$H$7:$H581,"&lt;&gt;Mahsup"))</f>
        <v/>
      </c>
    </row>
    <row r="582" spans="1:21" ht="18" customHeight="1" x14ac:dyDescent="0.3">
      <c r="A582" s="2"/>
      <c r="B582" s="65" t="str">
        <f>IF($D582="","","T"&amp;TEXT(ROW()-6,"00000"))</f>
        <v/>
      </c>
      <c r="C582" s="65" t="str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61"/>
      <c r="E582" s="66"/>
      <c r="F582" s="67"/>
      <c r="G582" s="60"/>
      <c r="H582" s="60"/>
      <c r="I582" s="61"/>
      <c r="J582" s="61"/>
      <c r="K582" s="61"/>
      <c r="L582" s="73" t="str">
        <f>IF($E582="","",DATE(YEAR($E582),MONTH($E582),1))</f>
        <v/>
      </c>
      <c r="M582" s="65" t="str">
        <f ca="1">IF($D582="","",IF($C582="TANIMSIZ MÜŞTERİ","HATA",IF(OR($E582="",$F582&lt;=0,$G582=""),"EKSİK",IF($E582&gt;TODAY(),"İLERİ TARİH",IF(COUNTIF($S$7:$S$2503,$S582)&gt;1,"MÜKERRER?",IF($T582&gt;0,"KAPALI DÖNEM","UYGUN"))))))</f>
        <v/>
      </c>
      <c r="N582" s="74" t="str">
        <f>IF($C582="","",IF($C582="TANIMSIZ MÜŞTERİ","—",INDEX(MUSTERILER!$C$7:$C$156,MATCH($C582,MUSTERILER!$B$7:$B$156,0))))</f>
        <v/>
      </c>
      <c r="O582" s="2"/>
      <c r="P582" s="2"/>
      <c r="Q582" s="1" t="str">
        <f>IF($D582="","",$C582&amp;"|"&amp;COUNTIFS($C$7:$C582,$C582))</f>
        <v/>
      </c>
      <c r="R582" s="1" t="str">
        <f t="shared" si="16"/>
        <v/>
      </c>
      <c r="S582" s="1" t="str">
        <f t="shared" si="17"/>
        <v/>
      </c>
      <c r="T582" s="1">
        <f>IF($E582="",0,SUMPRODUCT((AY_SONU!$O$7:$O$42="Evet")*(AY_SONU!$B$7:$B$42=DATE(YEAR($E582),MONTH($E582),1))))</f>
        <v>0</v>
      </c>
      <c r="U582" s="1" t="str">
        <f>IF(OR($G582="",$H582="Mahsup"),"",$G582&amp;"|"&amp;COUNTIFS($G$7:$G582,$G582,$H$7:$H582,"&lt;&gt;Mahsup"))</f>
        <v/>
      </c>
    </row>
    <row r="583" spans="1:21" ht="18" customHeight="1" x14ac:dyDescent="0.3">
      <c r="A583" s="2"/>
      <c r="B583" s="65" t="str">
        <f>IF($D583="","","T"&amp;TEXT(ROW()-6,"00000"))</f>
        <v/>
      </c>
      <c r="C583" s="65" t="str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61"/>
      <c r="E583" s="66"/>
      <c r="F583" s="67"/>
      <c r="G583" s="60"/>
      <c r="H583" s="60"/>
      <c r="I583" s="61"/>
      <c r="J583" s="61"/>
      <c r="K583" s="61"/>
      <c r="L583" s="73" t="str">
        <f>IF($E583="","",DATE(YEAR($E583),MONTH($E583),1))</f>
        <v/>
      </c>
      <c r="M583" s="65" t="str">
        <f ca="1">IF($D583="","",IF($C583="TANIMSIZ MÜŞTERİ","HATA",IF(OR($E583="",$F583&lt;=0,$G583=""),"EKSİK",IF($E583&gt;TODAY(),"İLERİ TARİH",IF(COUNTIF($S$7:$S$2503,$S583)&gt;1,"MÜKERRER?",IF($T583&gt;0,"KAPALI DÖNEM","UYGUN"))))))</f>
        <v/>
      </c>
      <c r="N583" s="74" t="str">
        <f>IF($C583="","",IF($C583="TANIMSIZ MÜŞTERİ","—",INDEX(MUSTERILER!$C$7:$C$156,MATCH($C583,MUSTERILER!$B$7:$B$156,0))))</f>
        <v/>
      </c>
      <c r="O583" s="2"/>
      <c r="P583" s="2"/>
      <c r="Q583" s="1" t="str">
        <f>IF($D583="","",$C583&amp;"|"&amp;COUNTIFS($C$7:$C583,$C583))</f>
        <v/>
      </c>
      <c r="R583" s="1" t="str">
        <f t="shared" ref="R583:R646" si="18"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" t="str">
        <f t="shared" ref="S583:S646" si="19">IF($D583="","",$C583&amp;"|"&amp;TEXT($E583,"0")&amp;"|"&amp;TEXT($F583,"0")&amp;"|"&amp;$I583)</f>
        <v/>
      </c>
      <c r="T583" s="1">
        <f>IF($E583="",0,SUMPRODUCT((AY_SONU!$O$7:$O$42="Evet")*(AY_SONU!$B$7:$B$42=DATE(YEAR($E583),MONTH($E583),1))))</f>
        <v>0</v>
      </c>
      <c r="U583" s="1" t="str">
        <f>IF(OR($G583="",$H583="Mahsup"),"",$G583&amp;"|"&amp;COUNTIFS($G$7:$G583,$G583,$H$7:$H583,"&lt;&gt;Mahsup"))</f>
        <v/>
      </c>
    </row>
    <row r="584" spans="1:21" ht="18" customHeight="1" x14ac:dyDescent="0.3">
      <c r="A584" s="2"/>
      <c r="B584" s="65" t="str">
        <f>IF($D584="","","T"&amp;TEXT(ROW()-6,"00000"))</f>
        <v/>
      </c>
      <c r="C584" s="65" t="str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61"/>
      <c r="E584" s="66"/>
      <c r="F584" s="67"/>
      <c r="G584" s="60"/>
      <c r="H584" s="60"/>
      <c r="I584" s="61"/>
      <c r="J584" s="61"/>
      <c r="K584" s="61"/>
      <c r="L584" s="73" t="str">
        <f>IF($E584="","",DATE(YEAR($E584),MONTH($E584),1))</f>
        <v/>
      </c>
      <c r="M584" s="65" t="str">
        <f ca="1">IF($D584="","",IF($C584="TANIMSIZ MÜŞTERİ","HATA",IF(OR($E584="",$F584&lt;=0,$G584=""),"EKSİK",IF($E584&gt;TODAY(),"İLERİ TARİH",IF(COUNTIF($S$7:$S$2503,$S584)&gt;1,"MÜKERRER?",IF($T584&gt;0,"KAPALI DÖNEM","UYGUN"))))))</f>
        <v/>
      </c>
      <c r="N584" s="74" t="str">
        <f>IF($C584="","",IF($C584="TANIMSIZ MÜŞTERİ","—",INDEX(MUSTERILER!$C$7:$C$156,MATCH($C584,MUSTERILER!$B$7:$B$156,0))))</f>
        <v/>
      </c>
      <c r="O584" s="2"/>
      <c r="P584" s="2"/>
      <c r="Q584" s="1" t="str">
        <f>IF($D584="","",$C584&amp;"|"&amp;COUNTIFS($C$7:$C584,$C584))</f>
        <v/>
      </c>
      <c r="R584" s="1" t="str">
        <f t="shared" si="18"/>
        <v/>
      </c>
      <c r="S584" s="1" t="str">
        <f t="shared" si="19"/>
        <v/>
      </c>
      <c r="T584" s="1">
        <f>IF($E584="",0,SUMPRODUCT((AY_SONU!$O$7:$O$42="Evet")*(AY_SONU!$B$7:$B$42=DATE(YEAR($E584),MONTH($E584),1))))</f>
        <v>0</v>
      </c>
      <c r="U584" s="1" t="str">
        <f>IF(OR($G584="",$H584="Mahsup"),"",$G584&amp;"|"&amp;COUNTIFS($G$7:$G584,$G584,$H$7:$H584,"&lt;&gt;Mahsup"))</f>
        <v/>
      </c>
    </row>
    <row r="585" spans="1:21" ht="18" customHeight="1" x14ac:dyDescent="0.3">
      <c r="A585" s="2"/>
      <c r="B585" s="65" t="str">
        <f>IF($D585="","","T"&amp;TEXT(ROW()-6,"00000"))</f>
        <v/>
      </c>
      <c r="C585" s="65" t="str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61"/>
      <c r="E585" s="66"/>
      <c r="F585" s="67"/>
      <c r="G585" s="60"/>
      <c r="H585" s="60"/>
      <c r="I585" s="61"/>
      <c r="J585" s="61"/>
      <c r="K585" s="61"/>
      <c r="L585" s="73" t="str">
        <f>IF($E585="","",DATE(YEAR($E585),MONTH($E585),1))</f>
        <v/>
      </c>
      <c r="M585" s="65" t="str">
        <f ca="1">IF($D585="","",IF($C585="TANIMSIZ MÜŞTERİ","HATA",IF(OR($E585="",$F585&lt;=0,$G585=""),"EKSİK",IF($E585&gt;TODAY(),"İLERİ TARİH",IF(COUNTIF($S$7:$S$2503,$S585)&gt;1,"MÜKERRER?",IF($T585&gt;0,"KAPALI DÖNEM","UYGUN"))))))</f>
        <v/>
      </c>
      <c r="N585" s="74" t="str">
        <f>IF($C585="","",IF($C585="TANIMSIZ MÜŞTERİ","—",INDEX(MUSTERILER!$C$7:$C$156,MATCH($C585,MUSTERILER!$B$7:$B$156,0))))</f>
        <v/>
      </c>
      <c r="O585" s="2"/>
      <c r="P585" s="2"/>
      <c r="Q585" s="1" t="str">
        <f>IF($D585="","",$C585&amp;"|"&amp;COUNTIFS($C$7:$C585,$C585))</f>
        <v/>
      </c>
      <c r="R585" s="1" t="str">
        <f t="shared" si="18"/>
        <v/>
      </c>
      <c r="S585" s="1" t="str">
        <f t="shared" si="19"/>
        <v/>
      </c>
      <c r="T585" s="1">
        <f>IF($E585="",0,SUMPRODUCT((AY_SONU!$O$7:$O$42="Evet")*(AY_SONU!$B$7:$B$42=DATE(YEAR($E585),MONTH($E585),1))))</f>
        <v>0</v>
      </c>
      <c r="U585" s="1" t="str">
        <f>IF(OR($G585="",$H585="Mahsup"),"",$G585&amp;"|"&amp;COUNTIFS($G$7:$G585,$G585,$H$7:$H585,"&lt;&gt;Mahsup"))</f>
        <v/>
      </c>
    </row>
    <row r="586" spans="1:21" ht="18" customHeight="1" x14ac:dyDescent="0.3">
      <c r="A586" s="2"/>
      <c r="B586" s="65" t="str">
        <f>IF($D586="","","T"&amp;TEXT(ROW()-6,"00000"))</f>
        <v/>
      </c>
      <c r="C586" s="65" t="str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61"/>
      <c r="E586" s="66"/>
      <c r="F586" s="67"/>
      <c r="G586" s="60"/>
      <c r="H586" s="60"/>
      <c r="I586" s="61"/>
      <c r="J586" s="61"/>
      <c r="K586" s="61"/>
      <c r="L586" s="73" t="str">
        <f>IF($E586="","",DATE(YEAR($E586),MONTH($E586),1))</f>
        <v/>
      </c>
      <c r="M586" s="65" t="str">
        <f ca="1">IF($D586="","",IF($C586="TANIMSIZ MÜŞTERİ","HATA",IF(OR($E586="",$F586&lt;=0,$G586=""),"EKSİK",IF($E586&gt;TODAY(),"İLERİ TARİH",IF(COUNTIF($S$7:$S$2503,$S586)&gt;1,"MÜKERRER?",IF($T586&gt;0,"KAPALI DÖNEM","UYGUN"))))))</f>
        <v/>
      </c>
      <c r="N586" s="74" t="str">
        <f>IF($C586="","",IF($C586="TANIMSIZ MÜŞTERİ","—",INDEX(MUSTERILER!$C$7:$C$156,MATCH($C586,MUSTERILER!$B$7:$B$156,0))))</f>
        <v/>
      </c>
      <c r="O586" s="2"/>
      <c r="P586" s="2"/>
      <c r="Q586" s="1" t="str">
        <f>IF($D586="","",$C586&amp;"|"&amp;COUNTIFS($C$7:$C586,$C586))</f>
        <v/>
      </c>
      <c r="R586" s="1" t="str">
        <f t="shared" si="18"/>
        <v/>
      </c>
      <c r="S586" s="1" t="str">
        <f t="shared" si="19"/>
        <v/>
      </c>
      <c r="T586" s="1">
        <f>IF($E586="",0,SUMPRODUCT((AY_SONU!$O$7:$O$42="Evet")*(AY_SONU!$B$7:$B$42=DATE(YEAR($E586),MONTH($E586),1))))</f>
        <v>0</v>
      </c>
      <c r="U586" s="1" t="str">
        <f>IF(OR($G586="",$H586="Mahsup"),"",$G586&amp;"|"&amp;COUNTIFS($G$7:$G586,$G586,$H$7:$H586,"&lt;&gt;Mahsup"))</f>
        <v/>
      </c>
    </row>
    <row r="587" spans="1:21" ht="18" customHeight="1" x14ac:dyDescent="0.3">
      <c r="A587" s="2"/>
      <c r="B587" s="65" t="str">
        <f>IF($D587="","","T"&amp;TEXT(ROW()-6,"00000"))</f>
        <v/>
      </c>
      <c r="C587" s="65" t="str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61"/>
      <c r="E587" s="66"/>
      <c r="F587" s="67"/>
      <c r="G587" s="60"/>
      <c r="H587" s="60"/>
      <c r="I587" s="61"/>
      <c r="J587" s="61"/>
      <c r="K587" s="61"/>
      <c r="L587" s="73" t="str">
        <f>IF($E587="","",DATE(YEAR($E587),MONTH($E587),1))</f>
        <v/>
      </c>
      <c r="M587" s="65" t="str">
        <f ca="1">IF($D587="","",IF($C587="TANIMSIZ MÜŞTERİ","HATA",IF(OR($E587="",$F587&lt;=0,$G587=""),"EKSİK",IF($E587&gt;TODAY(),"İLERİ TARİH",IF(COUNTIF($S$7:$S$2503,$S587)&gt;1,"MÜKERRER?",IF($T587&gt;0,"KAPALI DÖNEM","UYGUN"))))))</f>
        <v/>
      </c>
      <c r="N587" s="74" t="str">
        <f>IF($C587="","",IF($C587="TANIMSIZ MÜŞTERİ","—",INDEX(MUSTERILER!$C$7:$C$156,MATCH($C587,MUSTERILER!$B$7:$B$156,0))))</f>
        <v/>
      </c>
      <c r="O587" s="2"/>
      <c r="P587" s="2"/>
      <c r="Q587" s="1" t="str">
        <f>IF($D587="","",$C587&amp;"|"&amp;COUNTIFS($C$7:$C587,$C587))</f>
        <v/>
      </c>
      <c r="R587" s="1" t="str">
        <f t="shared" si="18"/>
        <v/>
      </c>
      <c r="S587" s="1" t="str">
        <f t="shared" si="19"/>
        <v/>
      </c>
      <c r="T587" s="1">
        <f>IF($E587="",0,SUMPRODUCT((AY_SONU!$O$7:$O$42="Evet")*(AY_SONU!$B$7:$B$42=DATE(YEAR($E587),MONTH($E587),1))))</f>
        <v>0</v>
      </c>
      <c r="U587" s="1" t="str">
        <f>IF(OR($G587="",$H587="Mahsup"),"",$G587&amp;"|"&amp;COUNTIFS($G$7:$G587,$G587,$H$7:$H587,"&lt;&gt;Mahsup"))</f>
        <v/>
      </c>
    </row>
    <row r="588" spans="1:21" ht="18" customHeight="1" x14ac:dyDescent="0.3">
      <c r="A588" s="2"/>
      <c r="B588" s="65" t="str">
        <f>IF($D588="","","T"&amp;TEXT(ROW()-6,"00000"))</f>
        <v/>
      </c>
      <c r="C588" s="65" t="str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61"/>
      <c r="E588" s="66"/>
      <c r="F588" s="67"/>
      <c r="G588" s="60"/>
      <c r="H588" s="60"/>
      <c r="I588" s="61"/>
      <c r="J588" s="61"/>
      <c r="K588" s="61"/>
      <c r="L588" s="73" t="str">
        <f>IF($E588="","",DATE(YEAR($E588),MONTH($E588),1))</f>
        <v/>
      </c>
      <c r="M588" s="65" t="str">
        <f ca="1">IF($D588="","",IF($C588="TANIMSIZ MÜŞTERİ","HATA",IF(OR($E588="",$F588&lt;=0,$G588=""),"EKSİK",IF($E588&gt;TODAY(),"İLERİ TARİH",IF(COUNTIF($S$7:$S$2503,$S588)&gt;1,"MÜKERRER?",IF($T588&gt;0,"KAPALI DÖNEM","UYGUN"))))))</f>
        <v/>
      </c>
      <c r="N588" s="74" t="str">
        <f>IF($C588="","",IF($C588="TANIMSIZ MÜŞTERİ","—",INDEX(MUSTERILER!$C$7:$C$156,MATCH($C588,MUSTERILER!$B$7:$B$156,0))))</f>
        <v/>
      </c>
      <c r="O588" s="2"/>
      <c r="P588" s="2"/>
      <c r="Q588" s="1" t="str">
        <f>IF($D588="","",$C588&amp;"|"&amp;COUNTIFS($C$7:$C588,$C588))</f>
        <v/>
      </c>
      <c r="R588" s="1" t="str">
        <f t="shared" si="18"/>
        <v/>
      </c>
      <c r="S588" s="1" t="str">
        <f t="shared" si="19"/>
        <v/>
      </c>
      <c r="T588" s="1">
        <f>IF($E588="",0,SUMPRODUCT((AY_SONU!$O$7:$O$42="Evet")*(AY_SONU!$B$7:$B$42=DATE(YEAR($E588),MONTH($E588),1))))</f>
        <v>0</v>
      </c>
      <c r="U588" s="1" t="str">
        <f>IF(OR($G588="",$H588="Mahsup"),"",$G588&amp;"|"&amp;COUNTIFS($G$7:$G588,$G588,$H$7:$H588,"&lt;&gt;Mahsup"))</f>
        <v/>
      </c>
    </row>
    <row r="589" spans="1:21" ht="18" customHeight="1" x14ac:dyDescent="0.3">
      <c r="A589" s="2"/>
      <c r="B589" s="65" t="str">
        <f>IF($D589="","","T"&amp;TEXT(ROW()-6,"00000"))</f>
        <v/>
      </c>
      <c r="C589" s="65" t="str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61"/>
      <c r="E589" s="66"/>
      <c r="F589" s="67"/>
      <c r="G589" s="60"/>
      <c r="H589" s="60"/>
      <c r="I589" s="61"/>
      <c r="J589" s="61"/>
      <c r="K589" s="61"/>
      <c r="L589" s="73" t="str">
        <f>IF($E589="","",DATE(YEAR($E589),MONTH($E589),1))</f>
        <v/>
      </c>
      <c r="M589" s="65" t="str">
        <f ca="1">IF($D589="","",IF($C589="TANIMSIZ MÜŞTERİ","HATA",IF(OR($E589="",$F589&lt;=0,$G589=""),"EKSİK",IF($E589&gt;TODAY(),"İLERİ TARİH",IF(COUNTIF($S$7:$S$2503,$S589)&gt;1,"MÜKERRER?",IF($T589&gt;0,"KAPALI DÖNEM","UYGUN"))))))</f>
        <v/>
      </c>
      <c r="N589" s="74" t="str">
        <f>IF($C589="","",IF($C589="TANIMSIZ MÜŞTERİ","—",INDEX(MUSTERILER!$C$7:$C$156,MATCH($C589,MUSTERILER!$B$7:$B$156,0))))</f>
        <v/>
      </c>
      <c r="O589" s="2"/>
      <c r="P589" s="2"/>
      <c r="Q589" s="1" t="str">
        <f>IF($D589="","",$C589&amp;"|"&amp;COUNTIFS($C$7:$C589,$C589))</f>
        <v/>
      </c>
      <c r="R589" s="1" t="str">
        <f t="shared" si="18"/>
        <v/>
      </c>
      <c r="S589" s="1" t="str">
        <f t="shared" si="19"/>
        <v/>
      </c>
      <c r="T589" s="1">
        <f>IF($E589="",0,SUMPRODUCT((AY_SONU!$O$7:$O$42="Evet")*(AY_SONU!$B$7:$B$42=DATE(YEAR($E589),MONTH($E589),1))))</f>
        <v>0</v>
      </c>
      <c r="U589" s="1" t="str">
        <f>IF(OR($G589="",$H589="Mahsup"),"",$G589&amp;"|"&amp;COUNTIFS($G$7:$G589,$G589,$H$7:$H589,"&lt;&gt;Mahsup"))</f>
        <v/>
      </c>
    </row>
    <row r="590" spans="1:21" ht="18" customHeight="1" x14ac:dyDescent="0.3">
      <c r="A590" s="2"/>
      <c r="B590" s="65" t="str">
        <f>IF($D590="","","T"&amp;TEXT(ROW()-6,"00000"))</f>
        <v/>
      </c>
      <c r="C590" s="65" t="str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61"/>
      <c r="E590" s="66"/>
      <c r="F590" s="67"/>
      <c r="G590" s="60"/>
      <c r="H590" s="60"/>
      <c r="I590" s="61"/>
      <c r="J590" s="61"/>
      <c r="K590" s="61"/>
      <c r="L590" s="73" t="str">
        <f>IF($E590="","",DATE(YEAR($E590),MONTH($E590),1))</f>
        <v/>
      </c>
      <c r="M590" s="65" t="str">
        <f ca="1">IF($D590="","",IF($C590="TANIMSIZ MÜŞTERİ","HATA",IF(OR($E590="",$F590&lt;=0,$G590=""),"EKSİK",IF($E590&gt;TODAY(),"İLERİ TARİH",IF(COUNTIF($S$7:$S$2503,$S590)&gt;1,"MÜKERRER?",IF($T590&gt;0,"KAPALI DÖNEM","UYGUN"))))))</f>
        <v/>
      </c>
      <c r="N590" s="74" t="str">
        <f>IF($C590="","",IF($C590="TANIMSIZ MÜŞTERİ","—",INDEX(MUSTERILER!$C$7:$C$156,MATCH($C590,MUSTERILER!$B$7:$B$156,0))))</f>
        <v/>
      </c>
      <c r="O590" s="2"/>
      <c r="P590" s="2"/>
      <c r="Q590" s="1" t="str">
        <f>IF($D590="","",$C590&amp;"|"&amp;COUNTIFS($C$7:$C590,$C590))</f>
        <v/>
      </c>
      <c r="R590" s="1" t="str">
        <f t="shared" si="18"/>
        <v/>
      </c>
      <c r="S590" s="1" t="str">
        <f t="shared" si="19"/>
        <v/>
      </c>
      <c r="T590" s="1">
        <f>IF($E590="",0,SUMPRODUCT((AY_SONU!$O$7:$O$42="Evet")*(AY_SONU!$B$7:$B$42=DATE(YEAR($E590),MONTH($E590),1))))</f>
        <v>0</v>
      </c>
      <c r="U590" s="1" t="str">
        <f>IF(OR($G590="",$H590="Mahsup"),"",$G590&amp;"|"&amp;COUNTIFS($G$7:$G590,$G590,$H$7:$H590,"&lt;&gt;Mahsup"))</f>
        <v/>
      </c>
    </row>
    <row r="591" spans="1:21" ht="18" customHeight="1" x14ac:dyDescent="0.3">
      <c r="A591" s="2"/>
      <c r="B591" s="65" t="str">
        <f>IF($D591="","","T"&amp;TEXT(ROW()-6,"00000"))</f>
        <v/>
      </c>
      <c r="C591" s="65" t="str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61"/>
      <c r="E591" s="66"/>
      <c r="F591" s="67"/>
      <c r="G591" s="60"/>
      <c r="H591" s="60"/>
      <c r="I591" s="61"/>
      <c r="J591" s="61"/>
      <c r="K591" s="61"/>
      <c r="L591" s="73" t="str">
        <f>IF($E591="","",DATE(YEAR($E591),MONTH($E591),1))</f>
        <v/>
      </c>
      <c r="M591" s="65" t="str">
        <f ca="1">IF($D591="","",IF($C591="TANIMSIZ MÜŞTERİ","HATA",IF(OR($E591="",$F591&lt;=0,$G591=""),"EKSİK",IF($E591&gt;TODAY(),"İLERİ TARİH",IF(COUNTIF($S$7:$S$2503,$S591)&gt;1,"MÜKERRER?",IF($T591&gt;0,"KAPALI DÖNEM","UYGUN"))))))</f>
        <v/>
      </c>
      <c r="N591" s="74" t="str">
        <f>IF($C591="","",IF($C591="TANIMSIZ MÜŞTERİ","—",INDEX(MUSTERILER!$C$7:$C$156,MATCH($C591,MUSTERILER!$B$7:$B$156,0))))</f>
        <v/>
      </c>
      <c r="O591" s="2"/>
      <c r="P591" s="2"/>
      <c r="Q591" s="1" t="str">
        <f>IF($D591="","",$C591&amp;"|"&amp;COUNTIFS($C$7:$C591,$C591))</f>
        <v/>
      </c>
      <c r="R591" s="1" t="str">
        <f t="shared" si="18"/>
        <v/>
      </c>
      <c r="S591" s="1" t="str">
        <f t="shared" si="19"/>
        <v/>
      </c>
      <c r="T591" s="1">
        <f>IF($E591="",0,SUMPRODUCT((AY_SONU!$O$7:$O$42="Evet")*(AY_SONU!$B$7:$B$42=DATE(YEAR($E591),MONTH($E591),1))))</f>
        <v>0</v>
      </c>
      <c r="U591" s="1" t="str">
        <f>IF(OR($G591="",$H591="Mahsup"),"",$G591&amp;"|"&amp;COUNTIFS($G$7:$G591,$G591,$H$7:$H591,"&lt;&gt;Mahsup"))</f>
        <v/>
      </c>
    </row>
    <row r="592" spans="1:21" ht="18" customHeight="1" x14ac:dyDescent="0.3">
      <c r="A592" s="2"/>
      <c r="B592" s="65" t="str">
        <f>IF($D592="","","T"&amp;TEXT(ROW()-6,"00000"))</f>
        <v/>
      </c>
      <c r="C592" s="65" t="str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61"/>
      <c r="E592" s="66"/>
      <c r="F592" s="67"/>
      <c r="G592" s="60"/>
      <c r="H592" s="60"/>
      <c r="I592" s="61"/>
      <c r="J592" s="61"/>
      <c r="K592" s="61"/>
      <c r="L592" s="73" t="str">
        <f>IF($E592="","",DATE(YEAR($E592),MONTH($E592),1))</f>
        <v/>
      </c>
      <c r="M592" s="65" t="str">
        <f ca="1">IF($D592="","",IF($C592="TANIMSIZ MÜŞTERİ","HATA",IF(OR($E592="",$F592&lt;=0,$G592=""),"EKSİK",IF($E592&gt;TODAY(),"İLERİ TARİH",IF(COUNTIF($S$7:$S$2503,$S592)&gt;1,"MÜKERRER?",IF($T592&gt;0,"KAPALI DÖNEM","UYGUN"))))))</f>
        <v/>
      </c>
      <c r="N592" s="74" t="str">
        <f>IF($C592="","",IF($C592="TANIMSIZ MÜŞTERİ","—",INDEX(MUSTERILER!$C$7:$C$156,MATCH($C592,MUSTERILER!$B$7:$B$156,0))))</f>
        <v/>
      </c>
      <c r="O592" s="2"/>
      <c r="P592" s="2"/>
      <c r="Q592" s="1" t="str">
        <f>IF($D592="","",$C592&amp;"|"&amp;COUNTIFS($C$7:$C592,$C592))</f>
        <v/>
      </c>
      <c r="R592" s="1" t="str">
        <f t="shared" si="18"/>
        <v/>
      </c>
      <c r="S592" s="1" t="str">
        <f t="shared" si="19"/>
        <v/>
      </c>
      <c r="T592" s="1">
        <f>IF($E592="",0,SUMPRODUCT((AY_SONU!$O$7:$O$42="Evet")*(AY_SONU!$B$7:$B$42=DATE(YEAR($E592),MONTH($E592),1))))</f>
        <v>0</v>
      </c>
      <c r="U592" s="1" t="str">
        <f>IF(OR($G592="",$H592="Mahsup"),"",$G592&amp;"|"&amp;COUNTIFS($G$7:$G592,$G592,$H$7:$H592,"&lt;&gt;Mahsup"))</f>
        <v/>
      </c>
    </row>
    <row r="593" spans="1:21" ht="18" customHeight="1" x14ac:dyDescent="0.3">
      <c r="A593" s="2"/>
      <c r="B593" s="65" t="str">
        <f>IF($D593="","","T"&amp;TEXT(ROW()-6,"00000"))</f>
        <v/>
      </c>
      <c r="C593" s="65" t="str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61"/>
      <c r="E593" s="66"/>
      <c r="F593" s="67"/>
      <c r="G593" s="60"/>
      <c r="H593" s="60"/>
      <c r="I593" s="61"/>
      <c r="J593" s="61"/>
      <c r="K593" s="61"/>
      <c r="L593" s="73" t="str">
        <f>IF($E593="","",DATE(YEAR($E593),MONTH($E593),1))</f>
        <v/>
      </c>
      <c r="M593" s="65" t="str">
        <f ca="1">IF($D593="","",IF($C593="TANIMSIZ MÜŞTERİ","HATA",IF(OR($E593="",$F593&lt;=0,$G593=""),"EKSİK",IF($E593&gt;TODAY(),"İLERİ TARİH",IF(COUNTIF($S$7:$S$2503,$S593)&gt;1,"MÜKERRER?",IF($T593&gt;0,"KAPALI DÖNEM","UYGUN"))))))</f>
        <v/>
      </c>
      <c r="N593" s="74" t="str">
        <f>IF($C593="","",IF($C593="TANIMSIZ MÜŞTERİ","—",INDEX(MUSTERILER!$C$7:$C$156,MATCH($C593,MUSTERILER!$B$7:$B$156,0))))</f>
        <v/>
      </c>
      <c r="O593" s="2"/>
      <c r="P593" s="2"/>
      <c r="Q593" s="1" t="str">
        <f>IF($D593="","",$C593&amp;"|"&amp;COUNTIFS($C$7:$C593,$C593))</f>
        <v/>
      </c>
      <c r="R593" s="1" t="str">
        <f t="shared" si="18"/>
        <v/>
      </c>
      <c r="S593" s="1" t="str">
        <f t="shared" si="19"/>
        <v/>
      </c>
      <c r="T593" s="1">
        <f>IF($E593="",0,SUMPRODUCT((AY_SONU!$O$7:$O$42="Evet")*(AY_SONU!$B$7:$B$42=DATE(YEAR($E593),MONTH($E593),1))))</f>
        <v>0</v>
      </c>
      <c r="U593" s="1" t="str">
        <f>IF(OR($G593="",$H593="Mahsup"),"",$G593&amp;"|"&amp;COUNTIFS($G$7:$G593,$G593,$H$7:$H593,"&lt;&gt;Mahsup"))</f>
        <v/>
      </c>
    </row>
    <row r="594" spans="1:21" ht="18" customHeight="1" x14ac:dyDescent="0.3">
      <c r="A594" s="2"/>
      <c r="B594" s="65" t="str">
        <f>IF($D594="","","T"&amp;TEXT(ROW()-6,"00000"))</f>
        <v/>
      </c>
      <c r="C594" s="65" t="str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61"/>
      <c r="E594" s="66"/>
      <c r="F594" s="67"/>
      <c r="G594" s="60"/>
      <c r="H594" s="60"/>
      <c r="I594" s="61"/>
      <c r="J594" s="61"/>
      <c r="K594" s="61"/>
      <c r="L594" s="73" t="str">
        <f>IF($E594="","",DATE(YEAR($E594),MONTH($E594),1))</f>
        <v/>
      </c>
      <c r="M594" s="65" t="str">
        <f ca="1">IF($D594="","",IF($C594="TANIMSIZ MÜŞTERİ","HATA",IF(OR($E594="",$F594&lt;=0,$G594=""),"EKSİK",IF($E594&gt;TODAY(),"İLERİ TARİH",IF(COUNTIF($S$7:$S$2503,$S594)&gt;1,"MÜKERRER?",IF($T594&gt;0,"KAPALI DÖNEM","UYGUN"))))))</f>
        <v/>
      </c>
      <c r="N594" s="74" t="str">
        <f>IF($C594="","",IF($C594="TANIMSIZ MÜŞTERİ","—",INDEX(MUSTERILER!$C$7:$C$156,MATCH($C594,MUSTERILER!$B$7:$B$156,0))))</f>
        <v/>
      </c>
      <c r="O594" s="2"/>
      <c r="P594" s="2"/>
      <c r="Q594" s="1" t="str">
        <f>IF($D594="","",$C594&amp;"|"&amp;COUNTIFS($C$7:$C594,$C594))</f>
        <v/>
      </c>
      <c r="R594" s="1" t="str">
        <f t="shared" si="18"/>
        <v/>
      </c>
      <c r="S594" s="1" t="str">
        <f t="shared" si="19"/>
        <v/>
      </c>
      <c r="T594" s="1">
        <f>IF($E594="",0,SUMPRODUCT((AY_SONU!$O$7:$O$42="Evet")*(AY_SONU!$B$7:$B$42=DATE(YEAR($E594),MONTH($E594),1))))</f>
        <v>0</v>
      </c>
      <c r="U594" s="1" t="str">
        <f>IF(OR($G594="",$H594="Mahsup"),"",$G594&amp;"|"&amp;COUNTIFS($G$7:$G594,$G594,$H$7:$H594,"&lt;&gt;Mahsup"))</f>
        <v/>
      </c>
    </row>
    <row r="595" spans="1:21" ht="18" customHeight="1" x14ac:dyDescent="0.3">
      <c r="A595" s="2"/>
      <c r="B595" s="65" t="str">
        <f>IF($D595="","","T"&amp;TEXT(ROW()-6,"00000"))</f>
        <v/>
      </c>
      <c r="C595" s="65" t="str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61"/>
      <c r="E595" s="66"/>
      <c r="F595" s="67"/>
      <c r="G595" s="60"/>
      <c r="H595" s="60"/>
      <c r="I595" s="61"/>
      <c r="J595" s="61"/>
      <c r="K595" s="61"/>
      <c r="L595" s="73" t="str">
        <f>IF($E595="","",DATE(YEAR($E595),MONTH($E595),1))</f>
        <v/>
      </c>
      <c r="M595" s="65" t="str">
        <f ca="1">IF($D595="","",IF($C595="TANIMSIZ MÜŞTERİ","HATA",IF(OR($E595="",$F595&lt;=0,$G595=""),"EKSİK",IF($E595&gt;TODAY(),"İLERİ TARİH",IF(COUNTIF($S$7:$S$2503,$S595)&gt;1,"MÜKERRER?",IF($T595&gt;0,"KAPALI DÖNEM","UYGUN"))))))</f>
        <v/>
      </c>
      <c r="N595" s="74" t="str">
        <f>IF($C595="","",IF($C595="TANIMSIZ MÜŞTERİ","—",INDEX(MUSTERILER!$C$7:$C$156,MATCH($C595,MUSTERILER!$B$7:$B$156,0))))</f>
        <v/>
      </c>
      <c r="O595" s="2"/>
      <c r="P595" s="2"/>
      <c r="Q595" s="1" t="str">
        <f>IF($D595="","",$C595&amp;"|"&amp;COUNTIFS($C$7:$C595,$C595))</f>
        <v/>
      </c>
      <c r="R595" s="1" t="str">
        <f t="shared" si="18"/>
        <v/>
      </c>
      <c r="S595" s="1" t="str">
        <f t="shared" si="19"/>
        <v/>
      </c>
      <c r="T595" s="1">
        <f>IF($E595="",0,SUMPRODUCT((AY_SONU!$O$7:$O$42="Evet")*(AY_SONU!$B$7:$B$42=DATE(YEAR($E595),MONTH($E595),1))))</f>
        <v>0</v>
      </c>
      <c r="U595" s="1" t="str">
        <f>IF(OR($G595="",$H595="Mahsup"),"",$G595&amp;"|"&amp;COUNTIFS($G$7:$G595,$G595,$H$7:$H595,"&lt;&gt;Mahsup"))</f>
        <v/>
      </c>
    </row>
    <row r="596" spans="1:21" ht="18" customHeight="1" x14ac:dyDescent="0.3">
      <c r="A596" s="2"/>
      <c r="B596" s="65" t="str">
        <f>IF($D596="","","T"&amp;TEXT(ROW()-6,"00000"))</f>
        <v/>
      </c>
      <c r="C596" s="65" t="str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61"/>
      <c r="E596" s="66"/>
      <c r="F596" s="67"/>
      <c r="G596" s="60"/>
      <c r="H596" s="60"/>
      <c r="I596" s="61"/>
      <c r="J596" s="61"/>
      <c r="K596" s="61"/>
      <c r="L596" s="73" t="str">
        <f>IF($E596="","",DATE(YEAR($E596),MONTH($E596),1))</f>
        <v/>
      </c>
      <c r="M596" s="65" t="str">
        <f ca="1">IF($D596="","",IF($C596="TANIMSIZ MÜŞTERİ","HATA",IF(OR($E596="",$F596&lt;=0,$G596=""),"EKSİK",IF($E596&gt;TODAY(),"İLERİ TARİH",IF(COUNTIF($S$7:$S$2503,$S596)&gt;1,"MÜKERRER?",IF($T596&gt;0,"KAPALI DÖNEM","UYGUN"))))))</f>
        <v/>
      </c>
      <c r="N596" s="74" t="str">
        <f>IF($C596="","",IF($C596="TANIMSIZ MÜŞTERİ","—",INDEX(MUSTERILER!$C$7:$C$156,MATCH($C596,MUSTERILER!$B$7:$B$156,0))))</f>
        <v/>
      </c>
      <c r="O596" s="2"/>
      <c r="P596" s="2"/>
      <c r="Q596" s="1" t="str">
        <f>IF($D596="","",$C596&amp;"|"&amp;COUNTIFS($C$7:$C596,$C596))</f>
        <v/>
      </c>
      <c r="R596" s="1" t="str">
        <f t="shared" si="18"/>
        <v/>
      </c>
      <c r="S596" s="1" t="str">
        <f t="shared" si="19"/>
        <v/>
      </c>
      <c r="T596" s="1">
        <f>IF($E596="",0,SUMPRODUCT((AY_SONU!$O$7:$O$42="Evet")*(AY_SONU!$B$7:$B$42=DATE(YEAR($E596),MONTH($E596),1))))</f>
        <v>0</v>
      </c>
      <c r="U596" s="1" t="str">
        <f>IF(OR($G596="",$H596="Mahsup"),"",$G596&amp;"|"&amp;COUNTIFS($G$7:$G596,$G596,$H$7:$H596,"&lt;&gt;Mahsup"))</f>
        <v/>
      </c>
    </row>
    <row r="597" spans="1:21" ht="18" customHeight="1" x14ac:dyDescent="0.3">
      <c r="A597" s="2"/>
      <c r="B597" s="65" t="str">
        <f>IF($D597="","","T"&amp;TEXT(ROW()-6,"00000"))</f>
        <v/>
      </c>
      <c r="C597" s="65" t="str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61"/>
      <c r="E597" s="66"/>
      <c r="F597" s="67"/>
      <c r="G597" s="60"/>
      <c r="H597" s="60"/>
      <c r="I597" s="61"/>
      <c r="J597" s="61"/>
      <c r="K597" s="61"/>
      <c r="L597" s="73" t="str">
        <f>IF($E597="","",DATE(YEAR($E597),MONTH($E597),1))</f>
        <v/>
      </c>
      <c r="M597" s="65" t="str">
        <f ca="1">IF($D597="","",IF($C597="TANIMSIZ MÜŞTERİ","HATA",IF(OR($E597="",$F597&lt;=0,$G597=""),"EKSİK",IF($E597&gt;TODAY(),"İLERİ TARİH",IF(COUNTIF($S$7:$S$2503,$S597)&gt;1,"MÜKERRER?",IF($T597&gt;0,"KAPALI DÖNEM","UYGUN"))))))</f>
        <v/>
      </c>
      <c r="N597" s="74" t="str">
        <f>IF($C597="","",IF($C597="TANIMSIZ MÜŞTERİ","—",INDEX(MUSTERILER!$C$7:$C$156,MATCH($C597,MUSTERILER!$B$7:$B$156,0))))</f>
        <v/>
      </c>
      <c r="O597" s="2"/>
      <c r="P597" s="2"/>
      <c r="Q597" s="1" t="str">
        <f>IF($D597="","",$C597&amp;"|"&amp;COUNTIFS($C$7:$C597,$C597))</f>
        <v/>
      </c>
      <c r="R597" s="1" t="str">
        <f t="shared" si="18"/>
        <v/>
      </c>
      <c r="S597" s="1" t="str">
        <f t="shared" si="19"/>
        <v/>
      </c>
      <c r="T597" s="1">
        <f>IF($E597="",0,SUMPRODUCT((AY_SONU!$O$7:$O$42="Evet")*(AY_SONU!$B$7:$B$42=DATE(YEAR($E597),MONTH($E597),1))))</f>
        <v>0</v>
      </c>
      <c r="U597" s="1" t="str">
        <f>IF(OR($G597="",$H597="Mahsup"),"",$G597&amp;"|"&amp;COUNTIFS($G$7:$G597,$G597,$H$7:$H597,"&lt;&gt;Mahsup"))</f>
        <v/>
      </c>
    </row>
    <row r="598" spans="1:21" ht="18" customHeight="1" x14ac:dyDescent="0.3">
      <c r="A598" s="2"/>
      <c r="B598" s="65" t="str">
        <f>IF($D598="","","T"&amp;TEXT(ROW()-6,"00000"))</f>
        <v/>
      </c>
      <c r="C598" s="65" t="str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61"/>
      <c r="E598" s="66"/>
      <c r="F598" s="67"/>
      <c r="G598" s="60"/>
      <c r="H598" s="60"/>
      <c r="I598" s="61"/>
      <c r="J598" s="61"/>
      <c r="K598" s="61"/>
      <c r="L598" s="73" t="str">
        <f>IF($E598="","",DATE(YEAR($E598),MONTH($E598),1))</f>
        <v/>
      </c>
      <c r="M598" s="65" t="str">
        <f ca="1">IF($D598="","",IF($C598="TANIMSIZ MÜŞTERİ","HATA",IF(OR($E598="",$F598&lt;=0,$G598=""),"EKSİK",IF($E598&gt;TODAY(),"İLERİ TARİH",IF(COUNTIF($S$7:$S$2503,$S598)&gt;1,"MÜKERRER?",IF($T598&gt;0,"KAPALI DÖNEM","UYGUN"))))))</f>
        <v/>
      </c>
      <c r="N598" s="74" t="str">
        <f>IF($C598="","",IF($C598="TANIMSIZ MÜŞTERİ","—",INDEX(MUSTERILER!$C$7:$C$156,MATCH($C598,MUSTERILER!$B$7:$B$156,0))))</f>
        <v/>
      </c>
      <c r="O598" s="2"/>
      <c r="P598" s="2"/>
      <c r="Q598" s="1" t="str">
        <f>IF($D598="","",$C598&amp;"|"&amp;COUNTIFS($C$7:$C598,$C598))</f>
        <v/>
      </c>
      <c r="R598" s="1" t="str">
        <f t="shared" si="18"/>
        <v/>
      </c>
      <c r="S598" s="1" t="str">
        <f t="shared" si="19"/>
        <v/>
      </c>
      <c r="T598" s="1">
        <f>IF($E598="",0,SUMPRODUCT((AY_SONU!$O$7:$O$42="Evet")*(AY_SONU!$B$7:$B$42=DATE(YEAR($E598),MONTH($E598),1))))</f>
        <v>0</v>
      </c>
      <c r="U598" s="1" t="str">
        <f>IF(OR($G598="",$H598="Mahsup"),"",$G598&amp;"|"&amp;COUNTIFS($G$7:$G598,$G598,$H$7:$H598,"&lt;&gt;Mahsup"))</f>
        <v/>
      </c>
    </row>
    <row r="599" spans="1:21" ht="18" customHeight="1" x14ac:dyDescent="0.3">
      <c r="A599" s="2"/>
      <c r="B599" s="65" t="str">
        <f>IF($D599="","","T"&amp;TEXT(ROW()-6,"00000"))</f>
        <v/>
      </c>
      <c r="C599" s="65" t="str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61"/>
      <c r="E599" s="66"/>
      <c r="F599" s="67"/>
      <c r="G599" s="60"/>
      <c r="H599" s="60"/>
      <c r="I599" s="61"/>
      <c r="J599" s="61"/>
      <c r="K599" s="61"/>
      <c r="L599" s="73" t="str">
        <f>IF($E599="","",DATE(YEAR($E599),MONTH($E599),1))</f>
        <v/>
      </c>
      <c r="M599" s="65" t="str">
        <f ca="1">IF($D599="","",IF($C599="TANIMSIZ MÜŞTERİ","HATA",IF(OR($E599="",$F599&lt;=0,$G599=""),"EKSİK",IF($E599&gt;TODAY(),"İLERİ TARİH",IF(COUNTIF($S$7:$S$2503,$S599)&gt;1,"MÜKERRER?",IF($T599&gt;0,"KAPALI DÖNEM","UYGUN"))))))</f>
        <v/>
      </c>
      <c r="N599" s="74" t="str">
        <f>IF($C599="","",IF($C599="TANIMSIZ MÜŞTERİ","—",INDEX(MUSTERILER!$C$7:$C$156,MATCH($C599,MUSTERILER!$B$7:$B$156,0))))</f>
        <v/>
      </c>
      <c r="O599" s="2"/>
      <c r="P599" s="2"/>
      <c r="Q599" s="1" t="str">
        <f>IF($D599="","",$C599&amp;"|"&amp;COUNTIFS($C$7:$C599,$C599))</f>
        <v/>
      </c>
      <c r="R599" s="1" t="str">
        <f t="shared" si="18"/>
        <v/>
      </c>
      <c r="S599" s="1" t="str">
        <f t="shared" si="19"/>
        <v/>
      </c>
      <c r="T599" s="1">
        <f>IF($E599="",0,SUMPRODUCT((AY_SONU!$O$7:$O$42="Evet")*(AY_SONU!$B$7:$B$42=DATE(YEAR($E599),MONTH($E599),1))))</f>
        <v>0</v>
      </c>
      <c r="U599" s="1" t="str">
        <f>IF(OR($G599="",$H599="Mahsup"),"",$G599&amp;"|"&amp;COUNTIFS($G$7:$G599,$G599,$H$7:$H599,"&lt;&gt;Mahsup"))</f>
        <v/>
      </c>
    </row>
    <row r="600" spans="1:21" ht="18" customHeight="1" x14ac:dyDescent="0.3">
      <c r="A600" s="2"/>
      <c r="B600" s="65" t="str">
        <f>IF($D600="","","T"&amp;TEXT(ROW()-6,"00000"))</f>
        <v/>
      </c>
      <c r="C600" s="65" t="str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61"/>
      <c r="E600" s="66"/>
      <c r="F600" s="67"/>
      <c r="G600" s="60"/>
      <c r="H600" s="60"/>
      <c r="I600" s="61"/>
      <c r="J600" s="61"/>
      <c r="K600" s="61"/>
      <c r="L600" s="73" t="str">
        <f>IF($E600="","",DATE(YEAR($E600),MONTH($E600),1))</f>
        <v/>
      </c>
      <c r="M600" s="65" t="str">
        <f ca="1">IF($D600="","",IF($C600="TANIMSIZ MÜŞTERİ","HATA",IF(OR($E600="",$F600&lt;=0,$G600=""),"EKSİK",IF($E600&gt;TODAY(),"İLERİ TARİH",IF(COUNTIF($S$7:$S$2503,$S600)&gt;1,"MÜKERRER?",IF($T600&gt;0,"KAPALI DÖNEM","UYGUN"))))))</f>
        <v/>
      </c>
      <c r="N600" s="74" t="str">
        <f>IF($C600="","",IF($C600="TANIMSIZ MÜŞTERİ","—",INDEX(MUSTERILER!$C$7:$C$156,MATCH($C600,MUSTERILER!$B$7:$B$156,0))))</f>
        <v/>
      </c>
      <c r="O600" s="2"/>
      <c r="P600" s="2"/>
      <c r="Q600" s="1" t="str">
        <f>IF($D600="","",$C600&amp;"|"&amp;COUNTIFS($C$7:$C600,$C600))</f>
        <v/>
      </c>
      <c r="R600" s="1" t="str">
        <f t="shared" si="18"/>
        <v/>
      </c>
      <c r="S600" s="1" t="str">
        <f t="shared" si="19"/>
        <v/>
      </c>
      <c r="T600" s="1">
        <f>IF($E600="",0,SUMPRODUCT((AY_SONU!$O$7:$O$42="Evet")*(AY_SONU!$B$7:$B$42=DATE(YEAR($E600),MONTH($E600),1))))</f>
        <v>0</v>
      </c>
      <c r="U600" s="1" t="str">
        <f>IF(OR($G600="",$H600="Mahsup"),"",$G600&amp;"|"&amp;COUNTIFS($G$7:$G600,$G600,$H$7:$H600,"&lt;&gt;Mahsup"))</f>
        <v/>
      </c>
    </row>
    <row r="601" spans="1:21" ht="18" customHeight="1" x14ac:dyDescent="0.3">
      <c r="A601" s="2"/>
      <c r="B601" s="65" t="str">
        <f>IF($D601="","","T"&amp;TEXT(ROW()-6,"00000"))</f>
        <v/>
      </c>
      <c r="C601" s="65" t="str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61"/>
      <c r="E601" s="66"/>
      <c r="F601" s="67"/>
      <c r="G601" s="60"/>
      <c r="H601" s="60"/>
      <c r="I601" s="61"/>
      <c r="J601" s="61"/>
      <c r="K601" s="61"/>
      <c r="L601" s="73" t="str">
        <f>IF($E601="","",DATE(YEAR($E601),MONTH($E601),1))</f>
        <v/>
      </c>
      <c r="M601" s="65" t="str">
        <f ca="1">IF($D601="","",IF($C601="TANIMSIZ MÜŞTERİ","HATA",IF(OR($E601="",$F601&lt;=0,$G601=""),"EKSİK",IF($E601&gt;TODAY(),"İLERİ TARİH",IF(COUNTIF($S$7:$S$2503,$S601)&gt;1,"MÜKERRER?",IF($T601&gt;0,"KAPALI DÖNEM","UYGUN"))))))</f>
        <v/>
      </c>
      <c r="N601" s="74" t="str">
        <f>IF($C601="","",IF($C601="TANIMSIZ MÜŞTERİ","—",INDEX(MUSTERILER!$C$7:$C$156,MATCH($C601,MUSTERILER!$B$7:$B$156,0))))</f>
        <v/>
      </c>
      <c r="O601" s="2"/>
      <c r="P601" s="2"/>
      <c r="Q601" s="1" t="str">
        <f>IF($D601="","",$C601&amp;"|"&amp;COUNTIFS($C$7:$C601,$C601))</f>
        <v/>
      </c>
      <c r="R601" s="1" t="str">
        <f t="shared" si="18"/>
        <v/>
      </c>
      <c r="S601" s="1" t="str">
        <f t="shared" si="19"/>
        <v/>
      </c>
      <c r="T601" s="1">
        <f>IF($E601="",0,SUMPRODUCT((AY_SONU!$O$7:$O$42="Evet")*(AY_SONU!$B$7:$B$42=DATE(YEAR($E601),MONTH($E601),1))))</f>
        <v>0</v>
      </c>
      <c r="U601" s="1" t="str">
        <f>IF(OR($G601="",$H601="Mahsup"),"",$G601&amp;"|"&amp;COUNTIFS($G$7:$G601,$G601,$H$7:$H601,"&lt;&gt;Mahsup"))</f>
        <v/>
      </c>
    </row>
    <row r="602" spans="1:21" ht="18" customHeight="1" x14ac:dyDescent="0.3">
      <c r="A602" s="2"/>
      <c r="B602" s="65" t="str">
        <f>IF($D602="","","T"&amp;TEXT(ROW()-6,"00000"))</f>
        <v/>
      </c>
      <c r="C602" s="65" t="str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61"/>
      <c r="E602" s="66"/>
      <c r="F602" s="67"/>
      <c r="G602" s="60"/>
      <c r="H602" s="60"/>
      <c r="I602" s="61"/>
      <c r="J602" s="61"/>
      <c r="K602" s="61"/>
      <c r="L602" s="73" t="str">
        <f>IF($E602="","",DATE(YEAR($E602),MONTH($E602),1))</f>
        <v/>
      </c>
      <c r="M602" s="65" t="str">
        <f ca="1">IF($D602="","",IF($C602="TANIMSIZ MÜŞTERİ","HATA",IF(OR($E602="",$F602&lt;=0,$G602=""),"EKSİK",IF($E602&gt;TODAY(),"İLERİ TARİH",IF(COUNTIF($S$7:$S$2503,$S602)&gt;1,"MÜKERRER?",IF($T602&gt;0,"KAPALI DÖNEM","UYGUN"))))))</f>
        <v/>
      </c>
      <c r="N602" s="74" t="str">
        <f>IF($C602="","",IF($C602="TANIMSIZ MÜŞTERİ","—",INDEX(MUSTERILER!$C$7:$C$156,MATCH($C602,MUSTERILER!$B$7:$B$156,0))))</f>
        <v/>
      </c>
      <c r="O602" s="2"/>
      <c r="P602" s="2"/>
      <c r="Q602" s="1" t="str">
        <f>IF($D602="","",$C602&amp;"|"&amp;COUNTIFS($C$7:$C602,$C602))</f>
        <v/>
      </c>
      <c r="R602" s="1" t="str">
        <f t="shared" si="18"/>
        <v/>
      </c>
      <c r="S602" s="1" t="str">
        <f t="shared" si="19"/>
        <v/>
      </c>
      <c r="T602" s="1">
        <f>IF($E602="",0,SUMPRODUCT((AY_SONU!$O$7:$O$42="Evet")*(AY_SONU!$B$7:$B$42=DATE(YEAR($E602),MONTH($E602),1))))</f>
        <v>0</v>
      </c>
      <c r="U602" s="1" t="str">
        <f>IF(OR($G602="",$H602="Mahsup"),"",$G602&amp;"|"&amp;COUNTIFS($G$7:$G602,$G602,$H$7:$H602,"&lt;&gt;Mahsup"))</f>
        <v/>
      </c>
    </row>
    <row r="603" spans="1:21" ht="18" customHeight="1" x14ac:dyDescent="0.3">
      <c r="A603" s="2"/>
      <c r="B603" s="65" t="str">
        <f>IF($D603="","","T"&amp;TEXT(ROW()-6,"00000"))</f>
        <v/>
      </c>
      <c r="C603" s="65" t="str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61"/>
      <c r="E603" s="66"/>
      <c r="F603" s="67"/>
      <c r="G603" s="60"/>
      <c r="H603" s="60"/>
      <c r="I603" s="61"/>
      <c r="J603" s="61"/>
      <c r="K603" s="61"/>
      <c r="L603" s="73" t="str">
        <f>IF($E603="","",DATE(YEAR($E603),MONTH($E603),1))</f>
        <v/>
      </c>
      <c r="M603" s="65" t="str">
        <f ca="1">IF($D603="","",IF($C603="TANIMSIZ MÜŞTERİ","HATA",IF(OR($E603="",$F603&lt;=0,$G603=""),"EKSİK",IF($E603&gt;TODAY(),"İLERİ TARİH",IF(COUNTIF($S$7:$S$2503,$S603)&gt;1,"MÜKERRER?",IF($T603&gt;0,"KAPALI DÖNEM","UYGUN"))))))</f>
        <v/>
      </c>
      <c r="N603" s="74" t="str">
        <f>IF($C603="","",IF($C603="TANIMSIZ MÜŞTERİ","—",INDEX(MUSTERILER!$C$7:$C$156,MATCH($C603,MUSTERILER!$B$7:$B$156,0))))</f>
        <v/>
      </c>
      <c r="O603" s="2"/>
      <c r="P603" s="2"/>
      <c r="Q603" s="1" t="str">
        <f>IF($D603="","",$C603&amp;"|"&amp;COUNTIFS($C$7:$C603,$C603))</f>
        <v/>
      </c>
      <c r="R603" s="1" t="str">
        <f t="shared" si="18"/>
        <v/>
      </c>
      <c r="S603" s="1" t="str">
        <f t="shared" si="19"/>
        <v/>
      </c>
      <c r="T603" s="1">
        <f>IF($E603="",0,SUMPRODUCT((AY_SONU!$O$7:$O$42="Evet")*(AY_SONU!$B$7:$B$42=DATE(YEAR($E603),MONTH($E603),1))))</f>
        <v>0</v>
      </c>
      <c r="U603" s="1" t="str">
        <f>IF(OR($G603="",$H603="Mahsup"),"",$G603&amp;"|"&amp;COUNTIFS($G$7:$G603,$G603,$H$7:$H603,"&lt;&gt;Mahsup"))</f>
        <v/>
      </c>
    </row>
    <row r="604" spans="1:21" ht="18" customHeight="1" x14ac:dyDescent="0.3">
      <c r="A604" s="2"/>
      <c r="B604" s="65" t="str">
        <f>IF($D604="","","T"&amp;TEXT(ROW()-6,"00000"))</f>
        <v/>
      </c>
      <c r="C604" s="65" t="str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61"/>
      <c r="E604" s="66"/>
      <c r="F604" s="67"/>
      <c r="G604" s="60"/>
      <c r="H604" s="60"/>
      <c r="I604" s="61"/>
      <c r="J604" s="61"/>
      <c r="K604" s="61"/>
      <c r="L604" s="73" t="str">
        <f>IF($E604="","",DATE(YEAR($E604),MONTH($E604),1))</f>
        <v/>
      </c>
      <c r="M604" s="65" t="str">
        <f ca="1">IF($D604="","",IF($C604="TANIMSIZ MÜŞTERİ","HATA",IF(OR($E604="",$F604&lt;=0,$G604=""),"EKSİK",IF($E604&gt;TODAY(),"İLERİ TARİH",IF(COUNTIF($S$7:$S$2503,$S604)&gt;1,"MÜKERRER?",IF($T604&gt;0,"KAPALI DÖNEM","UYGUN"))))))</f>
        <v/>
      </c>
      <c r="N604" s="74" t="str">
        <f>IF($C604="","",IF($C604="TANIMSIZ MÜŞTERİ","—",INDEX(MUSTERILER!$C$7:$C$156,MATCH($C604,MUSTERILER!$B$7:$B$156,0))))</f>
        <v/>
      </c>
      <c r="O604" s="2"/>
      <c r="P604" s="2"/>
      <c r="Q604" s="1" t="str">
        <f>IF($D604="","",$C604&amp;"|"&amp;COUNTIFS($C$7:$C604,$C604))</f>
        <v/>
      </c>
      <c r="R604" s="1" t="str">
        <f t="shared" si="18"/>
        <v/>
      </c>
      <c r="S604" s="1" t="str">
        <f t="shared" si="19"/>
        <v/>
      </c>
      <c r="T604" s="1">
        <f>IF($E604="",0,SUMPRODUCT((AY_SONU!$O$7:$O$42="Evet")*(AY_SONU!$B$7:$B$42=DATE(YEAR($E604),MONTH($E604),1))))</f>
        <v>0</v>
      </c>
      <c r="U604" s="1" t="str">
        <f>IF(OR($G604="",$H604="Mahsup"),"",$G604&amp;"|"&amp;COUNTIFS($G$7:$G604,$G604,$H$7:$H604,"&lt;&gt;Mahsup"))</f>
        <v/>
      </c>
    </row>
    <row r="605" spans="1:21" ht="18" customHeight="1" x14ac:dyDescent="0.3">
      <c r="A605" s="2"/>
      <c r="B605" s="65" t="str">
        <f>IF($D605="","","T"&amp;TEXT(ROW()-6,"00000"))</f>
        <v/>
      </c>
      <c r="C605" s="65" t="str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61"/>
      <c r="E605" s="66"/>
      <c r="F605" s="67"/>
      <c r="G605" s="60"/>
      <c r="H605" s="60"/>
      <c r="I605" s="61"/>
      <c r="J605" s="61"/>
      <c r="K605" s="61"/>
      <c r="L605" s="73" t="str">
        <f>IF($E605="","",DATE(YEAR($E605),MONTH($E605),1))</f>
        <v/>
      </c>
      <c r="M605" s="65" t="str">
        <f ca="1">IF($D605="","",IF($C605="TANIMSIZ MÜŞTERİ","HATA",IF(OR($E605="",$F605&lt;=0,$G605=""),"EKSİK",IF($E605&gt;TODAY(),"İLERİ TARİH",IF(COUNTIF($S$7:$S$2503,$S605)&gt;1,"MÜKERRER?",IF($T605&gt;0,"KAPALI DÖNEM","UYGUN"))))))</f>
        <v/>
      </c>
      <c r="N605" s="74" t="str">
        <f>IF($C605="","",IF($C605="TANIMSIZ MÜŞTERİ","—",INDEX(MUSTERILER!$C$7:$C$156,MATCH($C605,MUSTERILER!$B$7:$B$156,0))))</f>
        <v/>
      </c>
      <c r="O605" s="2"/>
      <c r="P605" s="2"/>
      <c r="Q605" s="1" t="str">
        <f>IF($D605="","",$C605&amp;"|"&amp;COUNTIFS($C$7:$C605,$C605))</f>
        <v/>
      </c>
      <c r="R605" s="1" t="str">
        <f t="shared" si="18"/>
        <v/>
      </c>
      <c r="S605" s="1" t="str">
        <f t="shared" si="19"/>
        <v/>
      </c>
      <c r="T605" s="1">
        <f>IF($E605="",0,SUMPRODUCT((AY_SONU!$O$7:$O$42="Evet")*(AY_SONU!$B$7:$B$42=DATE(YEAR($E605),MONTH($E605),1))))</f>
        <v>0</v>
      </c>
      <c r="U605" s="1" t="str">
        <f>IF(OR($G605="",$H605="Mahsup"),"",$G605&amp;"|"&amp;COUNTIFS($G$7:$G605,$G605,$H$7:$H605,"&lt;&gt;Mahsup"))</f>
        <v/>
      </c>
    </row>
    <row r="606" spans="1:21" ht="18" customHeight="1" x14ac:dyDescent="0.3">
      <c r="A606" s="2"/>
      <c r="B606" s="65" t="str">
        <f>IF($D606="","","T"&amp;TEXT(ROW()-6,"00000"))</f>
        <v/>
      </c>
      <c r="C606" s="65" t="str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61"/>
      <c r="E606" s="66"/>
      <c r="F606" s="67"/>
      <c r="G606" s="60"/>
      <c r="H606" s="60"/>
      <c r="I606" s="61"/>
      <c r="J606" s="61"/>
      <c r="K606" s="61"/>
      <c r="L606" s="73" t="str">
        <f>IF($E606="","",DATE(YEAR($E606),MONTH($E606),1))</f>
        <v/>
      </c>
      <c r="M606" s="65" t="str">
        <f ca="1">IF($D606="","",IF($C606="TANIMSIZ MÜŞTERİ","HATA",IF(OR($E606="",$F606&lt;=0,$G606=""),"EKSİK",IF($E606&gt;TODAY(),"İLERİ TARİH",IF(COUNTIF($S$7:$S$2503,$S606)&gt;1,"MÜKERRER?",IF($T606&gt;0,"KAPALI DÖNEM","UYGUN"))))))</f>
        <v/>
      </c>
      <c r="N606" s="74" t="str">
        <f>IF($C606="","",IF($C606="TANIMSIZ MÜŞTERİ","—",INDEX(MUSTERILER!$C$7:$C$156,MATCH($C606,MUSTERILER!$B$7:$B$156,0))))</f>
        <v/>
      </c>
      <c r="O606" s="2"/>
      <c r="P606" s="2"/>
      <c r="Q606" s="1" t="str">
        <f>IF($D606="","",$C606&amp;"|"&amp;COUNTIFS($C$7:$C606,$C606))</f>
        <v/>
      </c>
      <c r="R606" s="1" t="str">
        <f t="shared" si="18"/>
        <v/>
      </c>
      <c r="S606" s="1" t="str">
        <f t="shared" si="19"/>
        <v/>
      </c>
      <c r="T606" s="1">
        <f>IF($E606="",0,SUMPRODUCT((AY_SONU!$O$7:$O$42="Evet")*(AY_SONU!$B$7:$B$42=DATE(YEAR($E606),MONTH($E606),1))))</f>
        <v>0</v>
      </c>
      <c r="U606" s="1" t="str">
        <f>IF(OR($G606="",$H606="Mahsup"),"",$G606&amp;"|"&amp;COUNTIFS($G$7:$G606,$G606,$H$7:$H606,"&lt;&gt;Mahsup"))</f>
        <v/>
      </c>
    </row>
    <row r="607" spans="1:21" ht="18" customHeight="1" x14ac:dyDescent="0.3">
      <c r="A607" s="2"/>
      <c r="B607" s="65" t="str">
        <f>IF($D607="","","T"&amp;TEXT(ROW()-6,"00000"))</f>
        <v/>
      </c>
      <c r="C607" s="65" t="str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61"/>
      <c r="E607" s="66"/>
      <c r="F607" s="67"/>
      <c r="G607" s="60"/>
      <c r="H607" s="60"/>
      <c r="I607" s="61"/>
      <c r="J607" s="61"/>
      <c r="K607" s="61"/>
      <c r="L607" s="73" t="str">
        <f>IF($E607="","",DATE(YEAR($E607),MONTH($E607),1))</f>
        <v/>
      </c>
      <c r="M607" s="65" t="str">
        <f ca="1">IF($D607="","",IF($C607="TANIMSIZ MÜŞTERİ","HATA",IF(OR($E607="",$F607&lt;=0,$G607=""),"EKSİK",IF($E607&gt;TODAY(),"İLERİ TARİH",IF(COUNTIF($S$7:$S$2503,$S607)&gt;1,"MÜKERRER?",IF($T607&gt;0,"KAPALI DÖNEM","UYGUN"))))))</f>
        <v/>
      </c>
      <c r="N607" s="74" t="str">
        <f>IF($C607="","",IF($C607="TANIMSIZ MÜŞTERİ","—",INDEX(MUSTERILER!$C$7:$C$156,MATCH($C607,MUSTERILER!$B$7:$B$156,0))))</f>
        <v/>
      </c>
      <c r="O607" s="2"/>
      <c r="P607" s="2"/>
      <c r="Q607" s="1" t="str">
        <f>IF($D607="","",$C607&amp;"|"&amp;COUNTIFS($C$7:$C607,$C607))</f>
        <v/>
      </c>
      <c r="R607" s="1" t="str">
        <f t="shared" si="18"/>
        <v/>
      </c>
      <c r="S607" s="1" t="str">
        <f t="shared" si="19"/>
        <v/>
      </c>
      <c r="T607" s="1">
        <f>IF($E607="",0,SUMPRODUCT((AY_SONU!$O$7:$O$42="Evet")*(AY_SONU!$B$7:$B$42=DATE(YEAR($E607),MONTH($E607),1))))</f>
        <v>0</v>
      </c>
      <c r="U607" s="1" t="str">
        <f>IF(OR($G607="",$H607="Mahsup"),"",$G607&amp;"|"&amp;COUNTIFS($G$7:$G607,$G607,$H$7:$H607,"&lt;&gt;Mahsup"))</f>
        <v/>
      </c>
    </row>
    <row r="608" spans="1:21" ht="18" customHeight="1" x14ac:dyDescent="0.3">
      <c r="A608" s="2"/>
      <c r="B608" s="65" t="str">
        <f>IF($D608="","","T"&amp;TEXT(ROW()-6,"00000"))</f>
        <v/>
      </c>
      <c r="C608" s="65" t="str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61"/>
      <c r="E608" s="66"/>
      <c r="F608" s="67"/>
      <c r="G608" s="60"/>
      <c r="H608" s="60"/>
      <c r="I608" s="61"/>
      <c r="J608" s="61"/>
      <c r="K608" s="61"/>
      <c r="L608" s="73" t="str">
        <f>IF($E608="","",DATE(YEAR($E608),MONTH($E608),1))</f>
        <v/>
      </c>
      <c r="M608" s="65" t="str">
        <f ca="1">IF($D608="","",IF($C608="TANIMSIZ MÜŞTERİ","HATA",IF(OR($E608="",$F608&lt;=0,$G608=""),"EKSİK",IF($E608&gt;TODAY(),"İLERİ TARİH",IF(COUNTIF($S$7:$S$2503,$S608)&gt;1,"MÜKERRER?",IF($T608&gt;0,"KAPALI DÖNEM","UYGUN"))))))</f>
        <v/>
      </c>
      <c r="N608" s="74" t="str">
        <f>IF($C608="","",IF($C608="TANIMSIZ MÜŞTERİ","—",INDEX(MUSTERILER!$C$7:$C$156,MATCH($C608,MUSTERILER!$B$7:$B$156,0))))</f>
        <v/>
      </c>
      <c r="O608" s="2"/>
      <c r="P608" s="2"/>
      <c r="Q608" s="1" t="str">
        <f>IF($D608="","",$C608&amp;"|"&amp;COUNTIFS($C$7:$C608,$C608))</f>
        <v/>
      </c>
      <c r="R608" s="1" t="str">
        <f t="shared" si="18"/>
        <v/>
      </c>
      <c r="S608" s="1" t="str">
        <f t="shared" si="19"/>
        <v/>
      </c>
      <c r="T608" s="1">
        <f>IF($E608="",0,SUMPRODUCT((AY_SONU!$O$7:$O$42="Evet")*(AY_SONU!$B$7:$B$42=DATE(YEAR($E608),MONTH($E608),1))))</f>
        <v>0</v>
      </c>
      <c r="U608" s="1" t="str">
        <f>IF(OR($G608="",$H608="Mahsup"),"",$G608&amp;"|"&amp;COUNTIFS($G$7:$G608,$G608,$H$7:$H608,"&lt;&gt;Mahsup"))</f>
        <v/>
      </c>
    </row>
    <row r="609" spans="1:21" ht="18" customHeight="1" x14ac:dyDescent="0.3">
      <c r="A609" s="2"/>
      <c r="B609" s="65" t="str">
        <f>IF($D609="","","T"&amp;TEXT(ROW()-6,"00000"))</f>
        <v/>
      </c>
      <c r="C609" s="65" t="str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61"/>
      <c r="E609" s="66"/>
      <c r="F609" s="67"/>
      <c r="G609" s="60"/>
      <c r="H609" s="60"/>
      <c r="I609" s="61"/>
      <c r="J609" s="61"/>
      <c r="K609" s="61"/>
      <c r="L609" s="73" t="str">
        <f>IF($E609="","",DATE(YEAR($E609),MONTH($E609),1))</f>
        <v/>
      </c>
      <c r="M609" s="65" t="str">
        <f ca="1">IF($D609="","",IF($C609="TANIMSIZ MÜŞTERİ","HATA",IF(OR($E609="",$F609&lt;=0,$G609=""),"EKSİK",IF($E609&gt;TODAY(),"İLERİ TARİH",IF(COUNTIF($S$7:$S$2503,$S609)&gt;1,"MÜKERRER?",IF($T609&gt;0,"KAPALI DÖNEM","UYGUN"))))))</f>
        <v/>
      </c>
      <c r="N609" s="74" t="str">
        <f>IF($C609="","",IF($C609="TANIMSIZ MÜŞTERİ","—",INDEX(MUSTERILER!$C$7:$C$156,MATCH($C609,MUSTERILER!$B$7:$B$156,0))))</f>
        <v/>
      </c>
      <c r="O609" s="2"/>
      <c r="P609" s="2"/>
      <c r="Q609" s="1" t="str">
        <f>IF($D609="","",$C609&amp;"|"&amp;COUNTIFS($C$7:$C609,$C609))</f>
        <v/>
      </c>
      <c r="R609" s="1" t="str">
        <f t="shared" si="18"/>
        <v/>
      </c>
      <c r="S609" s="1" t="str">
        <f t="shared" si="19"/>
        <v/>
      </c>
      <c r="T609" s="1">
        <f>IF($E609="",0,SUMPRODUCT((AY_SONU!$O$7:$O$42="Evet")*(AY_SONU!$B$7:$B$42=DATE(YEAR($E609),MONTH($E609),1))))</f>
        <v>0</v>
      </c>
      <c r="U609" s="1" t="str">
        <f>IF(OR($G609="",$H609="Mahsup"),"",$G609&amp;"|"&amp;COUNTIFS($G$7:$G609,$G609,$H$7:$H609,"&lt;&gt;Mahsup"))</f>
        <v/>
      </c>
    </row>
    <row r="610" spans="1:21" ht="18" customHeight="1" x14ac:dyDescent="0.3">
      <c r="A610" s="2"/>
      <c r="B610" s="65" t="str">
        <f>IF($D610="","","T"&amp;TEXT(ROW()-6,"00000"))</f>
        <v/>
      </c>
      <c r="C610" s="65" t="str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61"/>
      <c r="E610" s="66"/>
      <c r="F610" s="67"/>
      <c r="G610" s="60"/>
      <c r="H610" s="60"/>
      <c r="I610" s="61"/>
      <c r="J610" s="61"/>
      <c r="K610" s="61"/>
      <c r="L610" s="73" t="str">
        <f>IF($E610="","",DATE(YEAR($E610),MONTH($E610),1))</f>
        <v/>
      </c>
      <c r="M610" s="65" t="str">
        <f ca="1">IF($D610="","",IF($C610="TANIMSIZ MÜŞTERİ","HATA",IF(OR($E610="",$F610&lt;=0,$G610=""),"EKSİK",IF($E610&gt;TODAY(),"İLERİ TARİH",IF(COUNTIF($S$7:$S$2503,$S610)&gt;1,"MÜKERRER?",IF($T610&gt;0,"KAPALI DÖNEM","UYGUN"))))))</f>
        <v/>
      </c>
      <c r="N610" s="74" t="str">
        <f>IF($C610="","",IF($C610="TANIMSIZ MÜŞTERİ","—",INDEX(MUSTERILER!$C$7:$C$156,MATCH($C610,MUSTERILER!$B$7:$B$156,0))))</f>
        <v/>
      </c>
      <c r="O610" s="2"/>
      <c r="P610" s="2"/>
      <c r="Q610" s="1" t="str">
        <f>IF($D610="","",$C610&amp;"|"&amp;COUNTIFS($C$7:$C610,$C610))</f>
        <v/>
      </c>
      <c r="R610" s="1" t="str">
        <f t="shared" si="18"/>
        <v/>
      </c>
      <c r="S610" s="1" t="str">
        <f t="shared" si="19"/>
        <v/>
      </c>
      <c r="T610" s="1">
        <f>IF($E610="",0,SUMPRODUCT((AY_SONU!$O$7:$O$42="Evet")*(AY_SONU!$B$7:$B$42=DATE(YEAR($E610),MONTH($E610),1))))</f>
        <v>0</v>
      </c>
      <c r="U610" s="1" t="str">
        <f>IF(OR($G610="",$H610="Mahsup"),"",$G610&amp;"|"&amp;COUNTIFS($G$7:$G610,$G610,$H$7:$H610,"&lt;&gt;Mahsup"))</f>
        <v/>
      </c>
    </row>
    <row r="611" spans="1:21" ht="18" customHeight="1" x14ac:dyDescent="0.3">
      <c r="A611" s="2"/>
      <c r="B611" s="65" t="str">
        <f>IF($D611="","","T"&amp;TEXT(ROW()-6,"00000"))</f>
        <v/>
      </c>
      <c r="C611" s="65" t="str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61"/>
      <c r="E611" s="66"/>
      <c r="F611" s="67"/>
      <c r="G611" s="60"/>
      <c r="H611" s="60"/>
      <c r="I611" s="61"/>
      <c r="J611" s="61"/>
      <c r="K611" s="61"/>
      <c r="L611" s="73" t="str">
        <f>IF($E611="","",DATE(YEAR($E611),MONTH($E611),1))</f>
        <v/>
      </c>
      <c r="M611" s="65" t="str">
        <f ca="1">IF($D611="","",IF($C611="TANIMSIZ MÜŞTERİ","HATA",IF(OR($E611="",$F611&lt;=0,$G611=""),"EKSİK",IF($E611&gt;TODAY(),"İLERİ TARİH",IF(COUNTIF($S$7:$S$2503,$S611)&gt;1,"MÜKERRER?",IF($T611&gt;0,"KAPALI DÖNEM","UYGUN"))))))</f>
        <v/>
      </c>
      <c r="N611" s="74" t="str">
        <f>IF($C611="","",IF($C611="TANIMSIZ MÜŞTERİ","—",INDEX(MUSTERILER!$C$7:$C$156,MATCH($C611,MUSTERILER!$B$7:$B$156,0))))</f>
        <v/>
      </c>
      <c r="O611" s="2"/>
      <c r="P611" s="2"/>
      <c r="Q611" s="1" t="str">
        <f>IF($D611="","",$C611&amp;"|"&amp;COUNTIFS($C$7:$C611,$C611))</f>
        <v/>
      </c>
      <c r="R611" s="1" t="str">
        <f t="shared" si="18"/>
        <v/>
      </c>
      <c r="S611" s="1" t="str">
        <f t="shared" si="19"/>
        <v/>
      </c>
      <c r="T611" s="1">
        <f>IF($E611="",0,SUMPRODUCT((AY_SONU!$O$7:$O$42="Evet")*(AY_SONU!$B$7:$B$42=DATE(YEAR($E611),MONTH($E611),1))))</f>
        <v>0</v>
      </c>
      <c r="U611" s="1" t="str">
        <f>IF(OR($G611="",$H611="Mahsup"),"",$G611&amp;"|"&amp;COUNTIFS($G$7:$G611,$G611,$H$7:$H611,"&lt;&gt;Mahsup"))</f>
        <v/>
      </c>
    </row>
    <row r="612" spans="1:21" ht="18" customHeight="1" x14ac:dyDescent="0.3">
      <c r="A612" s="2"/>
      <c r="B612" s="65" t="str">
        <f>IF($D612="","","T"&amp;TEXT(ROW()-6,"00000"))</f>
        <v/>
      </c>
      <c r="C612" s="65" t="str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61"/>
      <c r="E612" s="66"/>
      <c r="F612" s="67"/>
      <c r="G612" s="60"/>
      <c r="H612" s="60"/>
      <c r="I612" s="61"/>
      <c r="J612" s="61"/>
      <c r="K612" s="61"/>
      <c r="L612" s="73" t="str">
        <f>IF($E612="","",DATE(YEAR($E612),MONTH($E612),1))</f>
        <v/>
      </c>
      <c r="M612" s="65" t="str">
        <f ca="1">IF($D612="","",IF($C612="TANIMSIZ MÜŞTERİ","HATA",IF(OR($E612="",$F612&lt;=0,$G612=""),"EKSİK",IF($E612&gt;TODAY(),"İLERİ TARİH",IF(COUNTIF($S$7:$S$2503,$S612)&gt;1,"MÜKERRER?",IF($T612&gt;0,"KAPALI DÖNEM","UYGUN"))))))</f>
        <v/>
      </c>
      <c r="N612" s="74" t="str">
        <f>IF($C612="","",IF($C612="TANIMSIZ MÜŞTERİ","—",INDEX(MUSTERILER!$C$7:$C$156,MATCH($C612,MUSTERILER!$B$7:$B$156,0))))</f>
        <v/>
      </c>
      <c r="O612" s="2"/>
      <c r="P612" s="2"/>
      <c r="Q612" s="1" t="str">
        <f>IF($D612="","",$C612&amp;"|"&amp;COUNTIFS($C$7:$C612,$C612))</f>
        <v/>
      </c>
      <c r="R612" s="1" t="str">
        <f t="shared" si="18"/>
        <v/>
      </c>
      <c r="S612" s="1" t="str">
        <f t="shared" si="19"/>
        <v/>
      </c>
      <c r="T612" s="1">
        <f>IF($E612="",0,SUMPRODUCT((AY_SONU!$O$7:$O$42="Evet")*(AY_SONU!$B$7:$B$42=DATE(YEAR($E612),MONTH($E612),1))))</f>
        <v>0</v>
      </c>
      <c r="U612" s="1" t="str">
        <f>IF(OR($G612="",$H612="Mahsup"),"",$G612&amp;"|"&amp;COUNTIFS($G$7:$G612,$G612,$H$7:$H612,"&lt;&gt;Mahsup"))</f>
        <v/>
      </c>
    </row>
    <row r="613" spans="1:21" ht="18" customHeight="1" x14ac:dyDescent="0.3">
      <c r="A613" s="2"/>
      <c r="B613" s="65" t="str">
        <f>IF($D613="","","T"&amp;TEXT(ROW()-6,"00000"))</f>
        <v/>
      </c>
      <c r="C613" s="65" t="str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61"/>
      <c r="E613" s="66"/>
      <c r="F613" s="67"/>
      <c r="G613" s="60"/>
      <c r="H613" s="60"/>
      <c r="I613" s="61"/>
      <c r="J613" s="61"/>
      <c r="K613" s="61"/>
      <c r="L613" s="73" t="str">
        <f>IF($E613="","",DATE(YEAR($E613),MONTH($E613),1))</f>
        <v/>
      </c>
      <c r="M613" s="65" t="str">
        <f ca="1">IF($D613="","",IF($C613="TANIMSIZ MÜŞTERİ","HATA",IF(OR($E613="",$F613&lt;=0,$G613=""),"EKSİK",IF($E613&gt;TODAY(),"İLERİ TARİH",IF(COUNTIF($S$7:$S$2503,$S613)&gt;1,"MÜKERRER?",IF($T613&gt;0,"KAPALI DÖNEM","UYGUN"))))))</f>
        <v/>
      </c>
      <c r="N613" s="74" t="str">
        <f>IF($C613="","",IF($C613="TANIMSIZ MÜŞTERİ","—",INDEX(MUSTERILER!$C$7:$C$156,MATCH($C613,MUSTERILER!$B$7:$B$156,0))))</f>
        <v/>
      </c>
      <c r="O613" s="2"/>
      <c r="P613" s="2"/>
      <c r="Q613" s="1" t="str">
        <f>IF($D613="","",$C613&amp;"|"&amp;COUNTIFS($C$7:$C613,$C613))</f>
        <v/>
      </c>
      <c r="R613" s="1" t="str">
        <f t="shared" si="18"/>
        <v/>
      </c>
      <c r="S613" s="1" t="str">
        <f t="shared" si="19"/>
        <v/>
      </c>
      <c r="T613" s="1">
        <f>IF($E613="",0,SUMPRODUCT((AY_SONU!$O$7:$O$42="Evet")*(AY_SONU!$B$7:$B$42=DATE(YEAR($E613),MONTH($E613),1))))</f>
        <v>0</v>
      </c>
      <c r="U613" s="1" t="str">
        <f>IF(OR($G613="",$H613="Mahsup"),"",$G613&amp;"|"&amp;COUNTIFS($G$7:$G613,$G613,$H$7:$H613,"&lt;&gt;Mahsup"))</f>
        <v/>
      </c>
    </row>
    <row r="614" spans="1:21" ht="18" customHeight="1" x14ac:dyDescent="0.3">
      <c r="A614" s="2"/>
      <c r="B614" s="65" t="str">
        <f>IF($D614="","","T"&amp;TEXT(ROW()-6,"00000"))</f>
        <v/>
      </c>
      <c r="C614" s="65" t="str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61"/>
      <c r="E614" s="66"/>
      <c r="F614" s="67"/>
      <c r="G614" s="60"/>
      <c r="H614" s="60"/>
      <c r="I614" s="61"/>
      <c r="J614" s="61"/>
      <c r="K614" s="61"/>
      <c r="L614" s="73" t="str">
        <f>IF($E614="","",DATE(YEAR($E614),MONTH($E614),1))</f>
        <v/>
      </c>
      <c r="M614" s="65" t="str">
        <f ca="1">IF($D614="","",IF($C614="TANIMSIZ MÜŞTERİ","HATA",IF(OR($E614="",$F614&lt;=0,$G614=""),"EKSİK",IF($E614&gt;TODAY(),"İLERİ TARİH",IF(COUNTIF($S$7:$S$2503,$S614)&gt;1,"MÜKERRER?",IF($T614&gt;0,"KAPALI DÖNEM","UYGUN"))))))</f>
        <v/>
      </c>
      <c r="N614" s="74" t="str">
        <f>IF($C614="","",IF($C614="TANIMSIZ MÜŞTERİ","—",INDEX(MUSTERILER!$C$7:$C$156,MATCH($C614,MUSTERILER!$B$7:$B$156,0))))</f>
        <v/>
      </c>
      <c r="O614" s="2"/>
      <c r="P614" s="2"/>
      <c r="Q614" s="1" t="str">
        <f>IF($D614="","",$C614&amp;"|"&amp;COUNTIFS($C$7:$C614,$C614))</f>
        <v/>
      </c>
      <c r="R614" s="1" t="str">
        <f t="shared" si="18"/>
        <v/>
      </c>
      <c r="S614" s="1" t="str">
        <f t="shared" si="19"/>
        <v/>
      </c>
      <c r="T614" s="1">
        <f>IF($E614="",0,SUMPRODUCT((AY_SONU!$O$7:$O$42="Evet")*(AY_SONU!$B$7:$B$42=DATE(YEAR($E614),MONTH($E614),1))))</f>
        <v>0</v>
      </c>
      <c r="U614" s="1" t="str">
        <f>IF(OR($G614="",$H614="Mahsup"),"",$G614&amp;"|"&amp;COUNTIFS($G$7:$G614,$G614,$H$7:$H614,"&lt;&gt;Mahsup"))</f>
        <v/>
      </c>
    </row>
    <row r="615" spans="1:21" ht="18" customHeight="1" x14ac:dyDescent="0.3">
      <c r="A615" s="2"/>
      <c r="B615" s="65" t="str">
        <f>IF($D615="","","T"&amp;TEXT(ROW()-6,"00000"))</f>
        <v/>
      </c>
      <c r="C615" s="65" t="str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61"/>
      <c r="E615" s="66"/>
      <c r="F615" s="67"/>
      <c r="G615" s="60"/>
      <c r="H615" s="60"/>
      <c r="I615" s="61"/>
      <c r="J615" s="61"/>
      <c r="K615" s="61"/>
      <c r="L615" s="73" t="str">
        <f>IF($E615="","",DATE(YEAR($E615),MONTH($E615),1))</f>
        <v/>
      </c>
      <c r="M615" s="65" t="str">
        <f ca="1">IF($D615="","",IF($C615="TANIMSIZ MÜŞTERİ","HATA",IF(OR($E615="",$F615&lt;=0,$G615=""),"EKSİK",IF($E615&gt;TODAY(),"İLERİ TARİH",IF(COUNTIF($S$7:$S$2503,$S615)&gt;1,"MÜKERRER?",IF($T615&gt;0,"KAPALI DÖNEM","UYGUN"))))))</f>
        <v/>
      </c>
      <c r="N615" s="74" t="str">
        <f>IF($C615="","",IF($C615="TANIMSIZ MÜŞTERİ","—",INDEX(MUSTERILER!$C$7:$C$156,MATCH($C615,MUSTERILER!$B$7:$B$156,0))))</f>
        <v/>
      </c>
      <c r="O615" s="2"/>
      <c r="P615" s="2"/>
      <c r="Q615" s="1" t="str">
        <f>IF($D615="","",$C615&amp;"|"&amp;COUNTIFS($C$7:$C615,$C615))</f>
        <v/>
      </c>
      <c r="R615" s="1" t="str">
        <f t="shared" si="18"/>
        <v/>
      </c>
      <c r="S615" s="1" t="str">
        <f t="shared" si="19"/>
        <v/>
      </c>
      <c r="T615" s="1">
        <f>IF($E615="",0,SUMPRODUCT((AY_SONU!$O$7:$O$42="Evet")*(AY_SONU!$B$7:$B$42=DATE(YEAR($E615),MONTH($E615),1))))</f>
        <v>0</v>
      </c>
      <c r="U615" s="1" t="str">
        <f>IF(OR($G615="",$H615="Mahsup"),"",$G615&amp;"|"&amp;COUNTIFS($G$7:$G615,$G615,$H$7:$H615,"&lt;&gt;Mahsup"))</f>
        <v/>
      </c>
    </row>
    <row r="616" spans="1:21" ht="18" customHeight="1" x14ac:dyDescent="0.3">
      <c r="A616" s="2"/>
      <c r="B616" s="65" t="str">
        <f>IF($D616="","","T"&amp;TEXT(ROW()-6,"00000"))</f>
        <v/>
      </c>
      <c r="C616" s="65" t="str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61"/>
      <c r="E616" s="66"/>
      <c r="F616" s="67"/>
      <c r="G616" s="60"/>
      <c r="H616" s="60"/>
      <c r="I616" s="61"/>
      <c r="J616" s="61"/>
      <c r="K616" s="61"/>
      <c r="L616" s="73" t="str">
        <f>IF($E616="","",DATE(YEAR($E616),MONTH($E616),1))</f>
        <v/>
      </c>
      <c r="M616" s="65" t="str">
        <f ca="1">IF($D616="","",IF($C616="TANIMSIZ MÜŞTERİ","HATA",IF(OR($E616="",$F616&lt;=0,$G616=""),"EKSİK",IF($E616&gt;TODAY(),"İLERİ TARİH",IF(COUNTIF($S$7:$S$2503,$S616)&gt;1,"MÜKERRER?",IF($T616&gt;0,"KAPALI DÖNEM","UYGUN"))))))</f>
        <v/>
      </c>
      <c r="N616" s="74" t="str">
        <f>IF($C616="","",IF($C616="TANIMSIZ MÜŞTERİ","—",INDEX(MUSTERILER!$C$7:$C$156,MATCH($C616,MUSTERILER!$B$7:$B$156,0))))</f>
        <v/>
      </c>
      <c r="O616" s="2"/>
      <c r="P616" s="2"/>
      <c r="Q616" s="1" t="str">
        <f>IF($D616="","",$C616&amp;"|"&amp;COUNTIFS($C$7:$C616,$C616))</f>
        <v/>
      </c>
      <c r="R616" s="1" t="str">
        <f t="shared" si="18"/>
        <v/>
      </c>
      <c r="S616" s="1" t="str">
        <f t="shared" si="19"/>
        <v/>
      </c>
      <c r="T616" s="1">
        <f>IF($E616="",0,SUMPRODUCT((AY_SONU!$O$7:$O$42="Evet")*(AY_SONU!$B$7:$B$42=DATE(YEAR($E616),MONTH($E616),1))))</f>
        <v>0</v>
      </c>
      <c r="U616" s="1" t="str">
        <f>IF(OR($G616="",$H616="Mahsup"),"",$G616&amp;"|"&amp;COUNTIFS($G$7:$G616,$G616,$H$7:$H616,"&lt;&gt;Mahsup"))</f>
        <v/>
      </c>
    </row>
    <row r="617" spans="1:21" ht="18" customHeight="1" x14ac:dyDescent="0.3">
      <c r="A617" s="2"/>
      <c r="B617" s="65" t="str">
        <f>IF($D617="","","T"&amp;TEXT(ROW()-6,"00000"))</f>
        <v/>
      </c>
      <c r="C617" s="65" t="str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61"/>
      <c r="E617" s="66"/>
      <c r="F617" s="67"/>
      <c r="G617" s="60"/>
      <c r="H617" s="60"/>
      <c r="I617" s="61"/>
      <c r="J617" s="61"/>
      <c r="K617" s="61"/>
      <c r="L617" s="73" t="str">
        <f>IF($E617="","",DATE(YEAR($E617),MONTH($E617),1))</f>
        <v/>
      </c>
      <c r="M617" s="65" t="str">
        <f ca="1">IF($D617="","",IF($C617="TANIMSIZ MÜŞTERİ","HATA",IF(OR($E617="",$F617&lt;=0,$G617=""),"EKSİK",IF($E617&gt;TODAY(),"İLERİ TARİH",IF(COUNTIF($S$7:$S$2503,$S617)&gt;1,"MÜKERRER?",IF($T617&gt;0,"KAPALI DÖNEM","UYGUN"))))))</f>
        <v/>
      </c>
      <c r="N617" s="74" t="str">
        <f>IF($C617="","",IF($C617="TANIMSIZ MÜŞTERİ","—",INDEX(MUSTERILER!$C$7:$C$156,MATCH($C617,MUSTERILER!$B$7:$B$156,0))))</f>
        <v/>
      </c>
      <c r="O617" s="2"/>
      <c r="P617" s="2"/>
      <c r="Q617" s="1" t="str">
        <f>IF($D617="","",$C617&amp;"|"&amp;COUNTIFS($C$7:$C617,$C617))</f>
        <v/>
      </c>
      <c r="R617" s="1" t="str">
        <f t="shared" si="18"/>
        <v/>
      </c>
      <c r="S617" s="1" t="str">
        <f t="shared" si="19"/>
        <v/>
      </c>
      <c r="T617" s="1">
        <f>IF($E617="",0,SUMPRODUCT((AY_SONU!$O$7:$O$42="Evet")*(AY_SONU!$B$7:$B$42=DATE(YEAR($E617),MONTH($E617),1))))</f>
        <v>0</v>
      </c>
      <c r="U617" s="1" t="str">
        <f>IF(OR($G617="",$H617="Mahsup"),"",$G617&amp;"|"&amp;COUNTIFS($G$7:$G617,$G617,$H$7:$H617,"&lt;&gt;Mahsup"))</f>
        <v/>
      </c>
    </row>
    <row r="618" spans="1:21" ht="18" customHeight="1" x14ac:dyDescent="0.3">
      <c r="A618" s="2"/>
      <c r="B618" s="65" t="str">
        <f>IF($D618="","","T"&amp;TEXT(ROW()-6,"00000"))</f>
        <v/>
      </c>
      <c r="C618" s="65" t="str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61"/>
      <c r="E618" s="66"/>
      <c r="F618" s="67"/>
      <c r="G618" s="60"/>
      <c r="H618" s="60"/>
      <c r="I618" s="61"/>
      <c r="J618" s="61"/>
      <c r="K618" s="61"/>
      <c r="L618" s="73" t="str">
        <f>IF($E618="","",DATE(YEAR($E618),MONTH($E618),1))</f>
        <v/>
      </c>
      <c r="M618" s="65" t="str">
        <f ca="1">IF($D618="","",IF($C618="TANIMSIZ MÜŞTERİ","HATA",IF(OR($E618="",$F618&lt;=0,$G618=""),"EKSİK",IF($E618&gt;TODAY(),"İLERİ TARİH",IF(COUNTIF($S$7:$S$2503,$S618)&gt;1,"MÜKERRER?",IF($T618&gt;0,"KAPALI DÖNEM","UYGUN"))))))</f>
        <v/>
      </c>
      <c r="N618" s="74" t="str">
        <f>IF($C618="","",IF($C618="TANIMSIZ MÜŞTERİ","—",INDEX(MUSTERILER!$C$7:$C$156,MATCH($C618,MUSTERILER!$B$7:$B$156,0))))</f>
        <v/>
      </c>
      <c r="O618" s="2"/>
      <c r="P618" s="2"/>
      <c r="Q618" s="1" t="str">
        <f>IF($D618="","",$C618&amp;"|"&amp;COUNTIFS($C$7:$C618,$C618))</f>
        <v/>
      </c>
      <c r="R618" s="1" t="str">
        <f t="shared" si="18"/>
        <v/>
      </c>
      <c r="S618" s="1" t="str">
        <f t="shared" si="19"/>
        <v/>
      </c>
      <c r="T618" s="1">
        <f>IF($E618="",0,SUMPRODUCT((AY_SONU!$O$7:$O$42="Evet")*(AY_SONU!$B$7:$B$42=DATE(YEAR($E618),MONTH($E618),1))))</f>
        <v>0</v>
      </c>
      <c r="U618" s="1" t="str">
        <f>IF(OR($G618="",$H618="Mahsup"),"",$G618&amp;"|"&amp;COUNTIFS($G$7:$G618,$G618,$H$7:$H618,"&lt;&gt;Mahsup"))</f>
        <v/>
      </c>
    </row>
    <row r="619" spans="1:21" ht="18" customHeight="1" x14ac:dyDescent="0.3">
      <c r="A619" s="2"/>
      <c r="B619" s="65" t="str">
        <f>IF($D619="","","T"&amp;TEXT(ROW()-6,"00000"))</f>
        <v/>
      </c>
      <c r="C619" s="65" t="str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61"/>
      <c r="E619" s="66"/>
      <c r="F619" s="67"/>
      <c r="G619" s="60"/>
      <c r="H619" s="60"/>
      <c r="I619" s="61"/>
      <c r="J619" s="61"/>
      <c r="K619" s="61"/>
      <c r="L619" s="73" t="str">
        <f>IF($E619="","",DATE(YEAR($E619),MONTH($E619),1))</f>
        <v/>
      </c>
      <c r="M619" s="65" t="str">
        <f ca="1">IF($D619="","",IF($C619="TANIMSIZ MÜŞTERİ","HATA",IF(OR($E619="",$F619&lt;=0,$G619=""),"EKSİK",IF($E619&gt;TODAY(),"İLERİ TARİH",IF(COUNTIF($S$7:$S$2503,$S619)&gt;1,"MÜKERRER?",IF($T619&gt;0,"KAPALI DÖNEM","UYGUN"))))))</f>
        <v/>
      </c>
      <c r="N619" s="74" t="str">
        <f>IF($C619="","",IF($C619="TANIMSIZ MÜŞTERİ","—",INDEX(MUSTERILER!$C$7:$C$156,MATCH($C619,MUSTERILER!$B$7:$B$156,0))))</f>
        <v/>
      </c>
      <c r="O619" s="2"/>
      <c r="P619" s="2"/>
      <c r="Q619" s="1" t="str">
        <f>IF($D619="","",$C619&amp;"|"&amp;COUNTIFS($C$7:$C619,$C619))</f>
        <v/>
      </c>
      <c r="R619" s="1" t="str">
        <f t="shared" si="18"/>
        <v/>
      </c>
      <c r="S619" s="1" t="str">
        <f t="shared" si="19"/>
        <v/>
      </c>
      <c r="T619" s="1">
        <f>IF($E619="",0,SUMPRODUCT((AY_SONU!$O$7:$O$42="Evet")*(AY_SONU!$B$7:$B$42=DATE(YEAR($E619),MONTH($E619),1))))</f>
        <v>0</v>
      </c>
      <c r="U619" s="1" t="str">
        <f>IF(OR($G619="",$H619="Mahsup"),"",$G619&amp;"|"&amp;COUNTIFS($G$7:$G619,$G619,$H$7:$H619,"&lt;&gt;Mahsup"))</f>
        <v/>
      </c>
    </row>
    <row r="620" spans="1:21" ht="18" customHeight="1" x14ac:dyDescent="0.3">
      <c r="A620" s="2"/>
      <c r="B620" s="65" t="str">
        <f>IF($D620="","","T"&amp;TEXT(ROW()-6,"00000"))</f>
        <v/>
      </c>
      <c r="C620" s="65" t="str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61"/>
      <c r="E620" s="66"/>
      <c r="F620" s="67"/>
      <c r="G620" s="60"/>
      <c r="H620" s="60"/>
      <c r="I620" s="61"/>
      <c r="J620" s="61"/>
      <c r="K620" s="61"/>
      <c r="L620" s="73" t="str">
        <f>IF($E620="","",DATE(YEAR($E620),MONTH($E620),1))</f>
        <v/>
      </c>
      <c r="M620" s="65" t="str">
        <f ca="1">IF($D620="","",IF($C620="TANIMSIZ MÜŞTERİ","HATA",IF(OR($E620="",$F620&lt;=0,$G620=""),"EKSİK",IF($E620&gt;TODAY(),"İLERİ TARİH",IF(COUNTIF($S$7:$S$2503,$S620)&gt;1,"MÜKERRER?",IF($T620&gt;0,"KAPALI DÖNEM","UYGUN"))))))</f>
        <v/>
      </c>
      <c r="N620" s="74" t="str">
        <f>IF($C620="","",IF($C620="TANIMSIZ MÜŞTERİ","—",INDEX(MUSTERILER!$C$7:$C$156,MATCH($C620,MUSTERILER!$B$7:$B$156,0))))</f>
        <v/>
      </c>
      <c r="O620" s="2"/>
      <c r="P620" s="2"/>
      <c r="Q620" s="1" t="str">
        <f>IF($D620="","",$C620&amp;"|"&amp;COUNTIFS($C$7:$C620,$C620))</f>
        <v/>
      </c>
      <c r="R620" s="1" t="str">
        <f t="shared" si="18"/>
        <v/>
      </c>
      <c r="S620" s="1" t="str">
        <f t="shared" si="19"/>
        <v/>
      </c>
      <c r="T620" s="1">
        <f>IF($E620="",0,SUMPRODUCT((AY_SONU!$O$7:$O$42="Evet")*(AY_SONU!$B$7:$B$42=DATE(YEAR($E620),MONTH($E620),1))))</f>
        <v>0</v>
      </c>
      <c r="U620" s="1" t="str">
        <f>IF(OR($G620="",$H620="Mahsup"),"",$G620&amp;"|"&amp;COUNTIFS($G$7:$G620,$G620,$H$7:$H620,"&lt;&gt;Mahsup"))</f>
        <v/>
      </c>
    </row>
    <row r="621" spans="1:21" ht="18" customHeight="1" x14ac:dyDescent="0.3">
      <c r="A621" s="2"/>
      <c r="B621" s="65" t="str">
        <f>IF($D621="","","T"&amp;TEXT(ROW()-6,"00000"))</f>
        <v/>
      </c>
      <c r="C621" s="65" t="str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61"/>
      <c r="E621" s="66"/>
      <c r="F621" s="67"/>
      <c r="G621" s="60"/>
      <c r="H621" s="60"/>
      <c r="I621" s="61"/>
      <c r="J621" s="61"/>
      <c r="K621" s="61"/>
      <c r="L621" s="73" t="str">
        <f>IF($E621="","",DATE(YEAR($E621),MONTH($E621),1))</f>
        <v/>
      </c>
      <c r="M621" s="65" t="str">
        <f ca="1">IF($D621="","",IF($C621="TANIMSIZ MÜŞTERİ","HATA",IF(OR($E621="",$F621&lt;=0,$G621=""),"EKSİK",IF($E621&gt;TODAY(),"İLERİ TARİH",IF(COUNTIF($S$7:$S$2503,$S621)&gt;1,"MÜKERRER?",IF($T621&gt;0,"KAPALI DÖNEM","UYGUN"))))))</f>
        <v/>
      </c>
      <c r="N621" s="74" t="str">
        <f>IF($C621="","",IF($C621="TANIMSIZ MÜŞTERİ","—",INDEX(MUSTERILER!$C$7:$C$156,MATCH($C621,MUSTERILER!$B$7:$B$156,0))))</f>
        <v/>
      </c>
      <c r="O621" s="2"/>
      <c r="P621" s="2"/>
      <c r="Q621" s="1" t="str">
        <f>IF($D621="","",$C621&amp;"|"&amp;COUNTIFS($C$7:$C621,$C621))</f>
        <v/>
      </c>
      <c r="R621" s="1" t="str">
        <f t="shared" si="18"/>
        <v/>
      </c>
      <c r="S621" s="1" t="str">
        <f t="shared" si="19"/>
        <v/>
      </c>
      <c r="T621" s="1">
        <f>IF($E621="",0,SUMPRODUCT((AY_SONU!$O$7:$O$42="Evet")*(AY_SONU!$B$7:$B$42=DATE(YEAR($E621),MONTH($E621),1))))</f>
        <v>0</v>
      </c>
      <c r="U621" s="1" t="str">
        <f>IF(OR($G621="",$H621="Mahsup"),"",$G621&amp;"|"&amp;COUNTIFS($G$7:$G621,$G621,$H$7:$H621,"&lt;&gt;Mahsup"))</f>
        <v/>
      </c>
    </row>
    <row r="622" spans="1:21" ht="18" customHeight="1" x14ac:dyDescent="0.3">
      <c r="A622" s="2"/>
      <c r="B622" s="65" t="str">
        <f>IF($D622="","","T"&amp;TEXT(ROW()-6,"00000"))</f>
        <v/>
      </c>
      <c r="C622" s="65" t="str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61"/>
      <c r="E622" s="66"/>
      <c r="F622" s="67"/>
      <c r="G622" s="60"/>
      <c r="H622" s="60"/>
      <c r="I622" s="61"/>
      <c r="J622" s="61"/>
      <c r="K622" s="61"/>
      <c r="L622" s="73" t="str">
        <f>IF($E622="","",DATE(YEAR($E622),MONTH($E622),1))</f>
        <v/>
      </c>
      <c r="M622" s="65" t="str">
        <f ca="1">IF($D622="","",IF($C622="TANIMSIZ MÜŞTERİ","HATA",IF(OR($E622="",$F622&lt;=0,$G622=""),"EKSİK",IF($E622&gt;TODAY(),"İLERİ TARİH",IF(COUNTIF($S$7:$S$2503,$S622)&gt;1,"MÜKERRER?",IF($T622&gt;0,"KAPALI DÖNEM","UYGUN"))))))</f>
        <v/>
      </c>
      <c r="N622" s="74" t="str">
        <f>IF($C622="","",IF($C622="TANIMSIZ MÜŞTERİ","—",INDEX(MUSTERILER!$C$7:$C$156,MATCH($C622,MUSTERILER!$B$7:$B$156,0))))</f>
        <v/>
      </c>
      <c r="O622" s="2"/>
      <c r="P622" s="2"/>
      <c r="Q622" s="1" t="str">
        <f>IF($D622="","",$C622&amp;"|"&amp;COUNTIFS($C$7:$C622,$C622))</f>
        <v/>
      </c>
      <c r="R622" s="1" t="str">
        <f t="shared" si="18"/>
        <v/>
      </c>
      <c r="S622" s="1" t="str">
        <f t="shared" si="19"/>
        <v/>
      </c>
      <c r="T622" s="1">
        <f>IF($E622="",0,SUMPRODUCT((AY_SONU!$O$7:$O$42="Evet")*(AY_SONU!$B$7:$B$42=DATE(YEAR($E622),MONTH($E622),1))))</f>
        <v>0</v>
      </c>
      <c r="U622" s="1" t="str">
        <f>IF(OR($G622="",$H622="Mahsup"),"",$G622&amp;"|"&amp;COUNTIFS($G$7:$G622,$G622,$H$7:$H622,"&lt;&gt;Mahsup"))</f>
        <v/>
      </c>
    </row>
    <row r="623" spans="1:21" ht="18" customHeight="1" x14ac:dyDescent="0.3">
      <c r="A623" s="2"/>
      <c r="B623" s="65" t="str">
        <f>IF($D623="","","T"&amp;TEXT(ROW()-6,"00000"))</f>
        <v/>
      </c>
      <c r="C623" s="65" t="str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61"/>
      <c r="E623" s="66"/>
      <c r="F623" s="67"/>
      <c r="G623" s="60"/>
      <c r="H623" s="60"/>
      <c r="I623" s="61"/>
      <c r="J623" s="61"/>
      <c r="K623" s="61"/>
      <c r="L623" s="73" t="str">
        <f>IF($E623="","",DATE(YEAR($E623),MONTH($E623),1))</f>
        <v/>
      </c>
      <c r="M623" s="65" t="str">
        <f ca="1">IF($D623="","",IF($C623="TANIMSIZ MÜŞTERİ","HATA",IF(OR($E623="",$F623&lt;=0,$G623=""),"EKSİK",IF($E623&gt;TODAY(),"İLERİ TARİH",IF(COUNTIF($S$7:$S$2503,$S623)&gt;1,"MÜKERRER?",IF($T623&gt;0,"KAPALI DÖNEM","UYGUN"))))))</f>
        <v/>
      </c>
      <c r="N623" s="74" t="str">
        <f>IF($C623="","",IF($C623="TANIMSIZ MÜŞTERİ","—",INDEX(MUSTERILER!$C$7:$C$156,MATCH($C623,MUSTERILER!$B$7:$B$156,0))))</f>
        <v/>
      </c>
      <c r="O623" s="2"/>
      <c r="P623" s="2"/>
      <c r="Q623" s="1" t="str">
        <f>IF($D623="","",$C623&amp;"|"&amp;COUNTIFS($C$7:$C623,$C623))</f>
        <v/>
      </c>
      <c r="R623" s="1" t="str">
        <f t="shared" si="18"/>
        <v/>
      </c>
      <c r="S623" s="1" t="str">
        <f t="shared" si="19"/>
        <v/>
      </c>
      <c r="T623" s="1">
        <f>IF($E623="",0,SUMPRODUCT((AY_SONU!$O$7:$O$42="Evet")*(AY_SONU!$B$7:$B$42=DATE(YEAR($E623),MONTH($E623),1))))</f>
        <v>0</v>
      </c>
      <c r="U623" s="1" t="str">
        <f>IF(OR($G623="",$H623="Mahsup"),"",$G623&amp;"|"&amp;COUNTIFS($G$7:$G623,$G623,$H$7:$H623,"&lt;&gt;Mahsup"))</f>
        <v/>
      </c>
    </row>
    <row r="624" spans="1:21" ht="18" customHeight="1" x14ac:dyDescent="0.3">
      <c r="A624" s="2"/>
      <c r="B624" s="65" t="str">
        <f>IF($D624="","","T"&amp;TEXT(ROW()-6,"00000"))</f>
        <v/>
      </c>
      <c r="C624" s="65" t="str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61"/>
      <c r="E624" s="66"/>
      <c r="F624" s="67"/>
      <c r="G624" s="60"/>
      <c r="H624" s="60"/>
      <c r="I624" s="61"/>
      <c r="J624" s="61"/>
      <c r="K624" s="61"/>
      <c r="L624" s="73" t="str">
        <f>IF($E624="","",DATE(YEAR($E624),MONTH($E624),1))</f>
        <v/>
      </c>
      <c r="M624" s="65" t="str">
        <f ca="1">IF($D624="","",IF($C624="TANIMSIZ MÜŞTERİ","HATA",IF(OR($E624="",$F624&lt;=0,$G624=""),"EKSİK",IF($E624&gt;TODAY(),"İLERİ TARİH",IF(COUNTIF($S$7:$S$2503,$S624)&gt;1,"MÜKERRER?",IF($T624&gt;0,"KAPALI DÖNEM","UYGUN"))))))</f>
        <v/>
      </c>
      <c r="N624" s="74" t="str">
        <f>IF($C624="","",IF($C624="TANIMSIZ MÜŞTERİ","—",INDEX(MUSTERILER!$C$7:$C$156,MATCH($C624,MUSTERILER!$B$7:$B$156,0))))</f>
        <v/>
      </c>
      <c r="O624" s="2"/>
      <c r="P624" s="2"/>
      <c r="Q624" s="1" t="str">
        <f>IF($D624="","",$C624&amp;"|"&amp;COUNTIFS($C$7:$C624,$C624))</f>
        <v/>
      </c>
      <c r="R624" s="1" t="str">
        <f t="shared" si="18"/>
        <v/>
      </c>
      <c r="S624" s="1" t="str">
        <f t="shared" si="19"/>
        <v/>
      </c>
      <c r="T624" s="1">
        <f>IF($E624="",0,SUMPRODUCT((AY_SONU!$O$7:$O$42="Evet")*(AY_SONU!$B$7:$B$42=DATE(YEAR($E624),MONTH($E624),1))))</f>
        <v>0</v>
      </c>
      <c r="U624" s="1" t="str">
        <f>IF(OR($G624="",$H624="Mahsup"),"",$G624&amp;"|"&amp;COUNTIFS($G$7:$G624,$G624,$H$7:$H624,"&lt;&gt;Mahsup"))</f>
        <v/>
      </c>
    </row>
    <row r="625" spans="1:21" ht="18" customHeight="1" x14ac:dyDescent="0.3">
      <c r="A625" s="2"/>
      <c r="B625" s="65" t="str">
        <f>IF($D625="","","T"&amp;TEXT(ROW()-6,"00000"))</f>
        <v/>
      </c>
      <c r="C625" s="65" t="str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61"/>
      <c r="E625" s="66"/>
      <c r="F625" s="67"/>
      <c r="G625" s="60"/>
      <c r="H625" s="60"/>
      <c r="I625" s="61"/>
      <c r="J625" s="61"/>
      <c r="K625" s="61"/>
      <c r="L625" s="73" t="str">
        <f>IF($E625="","",DATE(YEAR($E625),MONTH($E625),1))</f>
        <v/>
      </c>
      <c r="M625" s="65" t="str">
        <f ca="1">IF($D625="","",IF($C625="TANIMSIZ MÜŞTERİ","HATA",IF(OR($E625="",$F625&lt;=0,$G625=""),"EKSİK",IF($E625&gt;TODAY(),"İLERİ TARİH",IF(COUNTIF($S$7:$S$2503,$S625)&gt;1,"MÜKERRER?",IF($T625&gt;0,"KAPALI DÖNEM","UYGUN"))))))</f>
        <v/>
      </c>
      <c r="N625" s="74" t="str">
        <f>IF($C625="","",IF($C625="TANIMSIZ MÜŞTERİ","—",INDEX(MUSTERILER!$C$7:$C$156,MATCH($C625,MUSTERILER!$B$7:$B$156,0))))</f>
        <v/>
      </c>
      <c r="O625" s="2"/>
      <c r="P625" s="2"/>
      <c r="Q625" s="1" t="str">
        <f>IF($D625="","",$C625&amp;"|"&amp;COUNTIFS($C$7:$C625,$C625))</f>
        <v/>
      </c>
      <c r="R625" s="1" t="str">
        <f t="shared" si="18"/>
        <v/>
      </c>
      <c r="S625" s="1" t="str">
        <f t="shared" si="19"/>
        <v/>
      </c>
      <c r="T625" s="1">
        <f>IF($E625="",0,SUMPRODUCT((AY_SONU!$O$7:$O$42="Evet")*(AY_SONU!$B$7:$B$42=DATE(YEAR($E625),MONTH($E625),1))))</f>
        <v>0</v>
      </c>
      <c r="U625" s="1" t="str">
        <f>IF(OR($G625="",$H625="Mahsup"),"",$G625&amp;"|"&amp;COUNTIFS($G$7:$G625,$G625,$H$7:$H625,"&lt;&gt;Mahsup"))</f>
        <v/>
      </c>
    </row>
    <row r="626" spans="1:21" ht="18" customHeight="1" x14ac:dyDescent="0.3">
      <c r="A626" s="2"/>
      <c r="B626" s="65" t="str">
        <f>IF($D626="","","T"&amp;TEXT(ROW()-6,"00000"))</f>
        <v/>
      </c>
      <c r="C626" s="65" t="str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61"/>
      <c r="E626" s="66"/>
      <c r="F626" s="67"/>
      <c r="G626" s="60"/>
      <c r="H626" s="60"/>
      <c r="I626" s="61"/>
      <c r="J626" s="61"/>
      <c r="K626" s="61"/>
      <c r="L626" s="73" t="str">
        <f>IF($E626="","",DATE(YEAR($E626),MONTH($E626),1))</f>
        <v/>
      </c>
      <c r="M626" s="65" t="str">
        <f ca="1">IF($D626="","",IF($C626="TANIMSIZ MÜŞTERİ","HATA",IF(OR($E626="",$F626&lt;=0,$G626=""),"EKSİK",IF($E626&gt;TODAY(),"İLERİ TARİH",IF(COUNTIF($S$7:$S$2503,$S626)&gt;1,"MÜKERRER?",IF($T626&gt;0,"KAPALI DÖNEM","UYGUN"))))))</f>
        <v/>
      </c>
      <c r="N626" s="74" t="str">
        <f>IF($C626="","",IF($C626="TANIMSIZ MÜŞTERİ","—",INDEX(MUSTERILER!$C$7:$C$156,MATCH($C626,MUSTERILER!$B$7:$B$156,0))))</f>
        <v/>
      </c>
      <c r="O626" s="2"/>
      <c r="P626" s="2"/>
      <c r="Q626" s="1" t="str">
        <f>IF($D626="","",$C626&amp;"|"&amp;COUNTIFS($C$7:$C626,$C626))</f>
        <v/>
      </c>
      <c r="R626" s="1" t="str">
        <f t="shared" si="18"/>
        <v/>
      </c>
      <c r="S626" s="1" t="str">
        <f t="shared" si="19"/>
        <v/>
      </c>
      <c r="T626" s="1">
        <f>IF($E626="",0,SUMPRODUCT((AY_SONU!$O$7:$O$42="Evet")*(AY_SONU!$B$7:$B$42=DATE(YEAR($E626),MONTH($E626),1))))</f>
        <v>0</v>
      </c>
      <c r="U626" s="1" t="str">
        <f>IF(OR($G626="",$H626="Mahsup"),"",$G626&amp;"|"&amp;COUNTIFS($G$7:$G626,$G626,$H$7:$H626,"&lt;&gt;Mahsup"))</f>
        <v/>
      </c>
    </row>
    <row r="627" spans="1:21" ht="18" customHeight="1" x14ac:dyDescent="0.3">
      <c r="A627" s="2"/>
      <c r="B627" s="65" t="str">
        <f>IF($D627="","","T"&amp;TEXT(ROW()-6,"00000"))</f>
        <v/>
      </c>
      <c r="C627" s="65" t="str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61"/>
      <c r="E627" s="66"/>
      <c r="F627" s="67"/>
      <c r="G627" s="60"/>
      <c r="H627" s="60"/>
      <c r="I627" s="61"/>
      <c r="J627" s="61"/>
      <c r="K627" s="61"/>
      <c r="L627" s="73" t="str">
        <f>IF($E627="","",DATE(YEAR($E627),MONTH($E627),1))</f>
        <v/>
      </c>
      <c r="M627" s="65" t="str">
        <f ca="1">IF($D627="","",IF($C627="TANIMSIZ MÜŞTERİ","HATA",IF(OR($E627="",$F627&lt;=0,$G627=""),"EKSİK",IF($E627&gt;TODAY(),"İLERİ TARİH",IF(COUNTIF($S$7:$S$2503,$S627)&gt;1,"MÜKERRER?",IF($T627&gt;0,"KAPALI DÖNEM","UYGUN"))))))</f>
        <v/>
      </c>
      <c r="N627" s="74" t="str">
        <f>IF($C627="","",IF($C627="TANIMSIZ MÜŞTERİ","—",INDEX(MUSTERILER!$C$7:$C$156,MATCH($C627,MUSTERILER!$B$7:$B$156,0))))</f>
        <v/>
      </c>
      <c r="O627" s="2"/>
      <c r="P627" s="2"/>
      <c r="Q627" s="1" t="str">
        <f>IF($D627="","",$C627&amp;"|"&amp;COUNTIFS($C$7:$C627,$C627))</f>
        <v/>
      </c>
      <c r="R627" s="1" t="str">
        <f t="shared" si="18"/>
        <v/>
      </c>
      <c r="S627" s="1" t="str">
        <f t="shared" si="19"/>
        <v/>
      </c>
      <c r="T627" s="1">
        <f>IF($E627="",0,SUMPRODUCT((AY_SONU!$O$7:$O$42="Evet")*(AY_SONU!$B$7:$B$42=DATE(YEAR($E627),MONTH($E627),1))))</f>
        <v>0</v>
      </c>
      <c r="U627" s="1" t="str">
        <f>IF(OR($G627="",$H627="Mahsup"),"",$G627&amp;"|"&amp;COUNTIFS($G$7:$G627,$G627,$H$7:$H627,"&lt;&gt;Mahsup"))</f>
        <v/>
      </c>
    </row>
    <row r="628" spans="1:21" ht="18" customHeight="1" x14ac:dyDescent="0.3">
      <c r="A628" s="2"/>
      <c r="B628" s="65" t="str">
        <f>IF($D628="","","T"&amp;TEXT(ROW()-6,"00000"))</f>
        <v/>
      </c>
      <c r="C628" s="65" t="str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61"/>
      <c r="E628" s="66"/>
      <c r="F628" s="67"/>
      <c r="G628" s="60"/>
      <c r="H628" s="60"/>
      <c r="I628" s="61"/>
      <c r="J628" s="61"/>
      <c r="K628" s="61"/>
      <c r="L628" s="73" t="str">
        <f>IF($E628="","",DATE(YEAR($E628),MONTH($E628),1))</f>
        <v/>
      </c>
      <c r="M628" s="65" t="str">
        <f ca="1">IF($D628="","",IF($C628="TANIMSIZ MÜŞTERİ","HATA",IF(OR($E628="",$F628&lt;=0,$G628=""),"EKSİK",IF($E628&gt;TODAY(),"İLERİ TARİH",IF(COUNTIF($S$7:$S$2503,$S628)&gt;1,"MÜKERRER?",IF($T628&gt;0,"KAPALI DÖNEM","UYGUN"))))))</f>
        <v/>
      </c>
      <c r="N628" s="74" t="str">
        <f>IF($C628="","",IF($C628="TANIMSIZ MÜŞTERİ","—",INDEX(MUSTERILER!$C$7:$C$156,MATCH($C628,MUSTERILER!$B$7:$B$156,0))))</f>
        <v/>
      </c>
      <c r="O628" s="2"/>
      <c r="P628" s="2"/>
      <c r="Q628" s="1" t="str">
        <f>IF($D628="","",$C628&amp;"|"&amp;COUNTIFS($C$7:$C628,$C628))</f>
        <v/>
      </c>
      <c r="R628" s="1" t="str">
        <f t="shared" si="18"/>
        <v/>
      </c>
      <c r="S628" s="1" t="str">
        <f t="shared" si="19"/>
        <v/>
      </c>
      <c r="T628" s="1">
        <f>IF($E628="",0,SUMPRODUCT((AY_SONU!$O$7:$O$42="Evet")*(AY_SONU!$B$7:$B$42=DATE(YEAR($E628),MONTH($E628),1))))</f>
        <v>0</v>
      </c>
      <c r="U628" s="1" t="str">
        <f>IF(OR($G628="",$H628="Mahsup"),"",$G628&amp;"|"&amp;COUNTIFS($G$7:$G628,$G628,$H$7:$H628,"&lt;&gt;Mahsup"))</f>
        <v/>
      </c>
    </row>
    <row r="629" spans="1:21" ht="18" customHeight="1" x14ac:dyDescent="0.3">
      <c r="A629" s="2"/>
      <c r="B629" s="65" t="str">
        <f>IF($D629="","","T"&amp;TEXT(ROW()-6,"00000"))</f>
        <v/>
      </c>
      <c r="C629" s="65" t="str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61"/>
      <c r="E629" s="66"/>
      <c r="F629" s="67"/>
      <c r="G629" s="60"/>
      <c r="H629" s="60"/>
      <c r="I629" s="61"/>
      <c r="J629" s="61"/>
      <c r="K629" s="61"/>
      <c r="L629" s="73" t="str">
        <f>IF($E629="","",DATE(YEAR($E629),MONTH($E629),1))</f>
        <v/>
      </c>
      <c r="M629" s="65" t="str">
        <f ca="1">IF($D629="","",IF($C629="TANIMSIZ MÜŞTERİ","HATA",IF(OR($E629="",$F629&lt;=0,$G629=""),"EKSİK",IF($E629&gt;TODAY(),"İLERİ TARİH",IF(COUNTIF($S$7:$S$2503,$S629)&gt;1,"MÜKERRER?",IF($T629&gt;0,"KAPALI DÖNEM","UYGUN"))))))</f>
        <v/>
      </c>
      <c r="N629" s="74" t="str">
        <f>IF($C629="","",IF($C629="TANIMSIZ MÜŞTERİ","—",INDEX(MUSTERILER!$C$7:$C$156,MATCH($C629,MUSTERILER!$B$7:$B$156,0))))</f>
        <v/>
      </c>
      <c r="O629" s="2"/>
      <c r="P629" s="2"/>
      <c r="Q629" s="1" t="str">
        <f>IF($D629="","",$C629&amp;"|"&amp;COUNTIFS($C$7:$C629,$C629))</f>
        <v/>
      </c>
      <c r="R629" s="1" t="str">
        <f t="shared" si="18"/>
        <v/>
      </c>
      <c r="S629" s="1" t="str">
        <f t="shared" si="19"/>
        <v/>
      </c>
      <c r="T629" s="1">
        <f>IF($E629="",0,SUMPRODUCT((AY_SONU!$O$7:$O$42="Evet")*(AY_SONU!$B$7:$B$42=DATE(YEAR($E629),MONTH($E629),1))))</f>
        <v>0</v>
      </c>
      <c r="U629" s="1" t="str">
        <f>IF(OR($G629="",$H629="Mahsup"),"",$G629&amp;"|"&amp;COUNTIFS($G$7:$G629,$G629,$H$7:$H629,"&lt;&gt;Mahsup"))</f>
        <v/>
      </c>
    </row>
    <row r="630" spans="1:21" ht="18" customHeight="1" x14ac:dyDescent="0.3">
      <c r="A630" s="2"/>
      <c r="B630" s="65" t="str">
        <f>IF($D630="","","T"&amp;TEXT(ROW()-6,"00000"))</f>
        <v/>
      </c>
      <c r="C630" s="65" t="str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61"/>
      <c r="E630" s="66"/>
      <c r="F630" s="67"/>
      <c r="G630" s="60"/>
      <c r="H630" s="60"/>
      <c r="I630" s="61"/>
      <c r="J630" s="61"/>
      <c r="K630" s="61"/>
      <c r="L630" s="73" t="str">
        <f>IF($E630="","",DATE(YEAR($E630),MONTH($E630),1))</f>
        <v/>
      </c>
      <c r="M630" s="65" t="str">
        <f ca="1">IF($D630="","",IF($C630="TANIMSIZ MÜŞTERİ","HATA",IF(OR($E630="",$F630&lt;=0,$G630=""),"EKSİK",IF($E630&gt;TODAY(),"İLERİ TARİH",IF(COUNTIF($S$7:$S$2503,$S630)&gt;1,"MÜKERRER?",IF($T630&gt;0,"KAPALI DÖNEM","UYGUN"))))))</f>
        <v/>
      </c>
      <c r="N630" s="74" t="str">
        <f>IF($C630="","",IF($C630="TANIMSIZ MÜŞTERİ","—",INDEX(MUSTERILER!$C$7:$C$156,MATCH($C630,MUSTERILER!$B$7:$B$156,0))))</f>
        <v/>
      </c>
      <c r="O630" s="2"/>
      <c r="P630" s="2"/>
      <c r="Q630" s="1" t="str">
        <f>IF($D630="","",$C630&amp;"|"&amp;COUNTIFS($C$7:$C630,$C630))</f>
        <v/>
      </c>
      <c r="R630" s="1" t="str">
        <f t="shared" si="18"/>
        <v/>
      </c>
      <c r="S630" s="1" t="str">
        <f t="shared" si="19"/>
        <v/>
      </c>
      <c r="T630" s="1">
        <f>IF($E630="",0,SUMPRODUCT((AY_SONU!$O$7:$O$42="Evet")*(AY_SONU!$B$7:$B$42=DATE(YEAR($E630),MONTH($E630),1))))</f>
        <v>0</v>
      </c>
      <c r="U630" s="1" t="str">
        <f>IF(OR($G630="",$H630="Mahsup"),"",$G630&amp;"|"&amp;COUNTIFS($G$7:$G630,$G630,$H$7:$H630,"&lt;&gt;Mahsup"))</f>
        <v/>
      </c>
    </row>
    <row r="631" spans="1:21" ht="18" customHeight="1" x14ac:dyDescent="0.3">
      <c r="A631" s="2"/>
      <c r="B631" s="65" t="str">
        <f>IF($D631="","","T"&amp;TEXT(ROW()-6,"00000"))</f>
        <v/>
      </c>
      <c r="C631" s="65" t="str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61"/>
      <c r="E631" s="66"/>
      <c r="F631" s="67"/>
      <c r="G631" s="60"/>
      <c r="H631" s="60"/>
      <c r="I631" s="61"/>
      <c r="J631" s="61"/>
      <c r="K631" s="61"/>
      <c r="L631" s="73" t="str">
        <f>IF($E631="","",DATE(YEAR($E631),MONTH($E631),1))</f>
        <v/>
      </c>
      <c r="M631" s="65" t="str">
        <f ca="1">IF($D631="","",IF($C631="TANIMSIZ MÜŞTERİ","HATA",IF(OR($E631="",$F631&lt;=0,$G631=""),"EKSİK",IF($E631&gt;TODAY(),"İLERİ TARİH",IF(COUNTIF($S$7:$S$2503,$S631)&gt;1,"MÜKERRER?",IF($T631&gt;0,"KAPALI DÖNEM","UYGUN"))))))</f>
        <v/>
      </c>
      <c r="N631" s="74" t="str">
        <f>IF($C631="","",IF($C631="TANIMSIZ MÜŞTERİ","—",INDEX(MUSTERILER!$C$7:$C$156,MATCH($C631,MUSTERILER!$B$7:$B$156,0))))</f>
        <v/>
      </c>
      <c r="O631" s="2"/>
      <c r="P631" s="2"/>
      <c r="Q631" s="1" t="str">
        <f>IF($D631="","",$C631&amp;"|"&amp;COUNTIFS($C$7:$C631,$C631))</f>
        <v/>
      </c>
      <c r="R631" s="1" t="str">
        <f t="shared" si="18"/>
        <v/>
      </c>
      <c r="S631" s="1" t="str">
        <f t="shared" si="19"/>
        <v/>
      </c>
      <c r="T631" s="1">
        <f>IF($E631="",0,SUMPRODUCT((AY_SONU!$O$7:$O$42="Evet")*(AY_SONU!$B$7:$B$42=DATE(YEAR($E631),MONTH($E631),1))))</f>
        <v>0</v>
      </c>
      <c r="U631" s="1" t="str">
        <f>IF(OR($G631="",$H631="Mahsup"),"",$G631&amp;"|"&amp;COUNTIFS($G$7:$G631,$G631,$H$7:$H631,"&lt;&gt;Mahsup"))</f>
        <v/>
      </c>
    </row>
    <row r="632" spans="1:21" ht="18" customHeight="1" x14ac:dyDescent="0.3">
      <c r="A632" s="2"/>
      <c r="B632" s="65" t="str">
        <f>IF($D632="","","T"&amp;TEXT(ROW()-6,"00000"))</f>
        <v/>
      </c>
      <c r="C632" s="65" t="str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61"/>
      <c r="E632" s="66"/>
      <c r="F632" s="67"/>
      <c r="G632" s="60"/>
      <c r="H632" s="60"/>
      <c r="I632" s="61"/>
      <c r="J632" s="61"/>
      <c r="K632" s="61"/>
      <c r="L632" s="73" t="str">
        <f>IF($E632="","",DATE(YEAR($E632),MONTH($E632),1))</f>
        <v/>
      </c>
      <c r="M632" s="65" t="str">
        <f ca="1">IF($D632="","",IF($C632="TANIMSIZ MÜŞTERİ","HATA",IF(OR($E632="",$F632&lt;=0,$G632=""),"EKSİK",IF($E632&gt;TODAY(),"İLERİ TARİH",IF(COUNTIF($S$7:$S$2503,$S632)&gt;1,"MÜKERRER?",IF($T632&gt;0,"KAPALI DÖNEM","UYGUN"))))))</f>
        <v/>
      </c>
      <c r="N632" s="74" t="str">
        <f>IF($C632="","",IF($C632="TANIMSIZ MÜŞTERİ","—",INDEX(MUSTERILER!$C$7:$C$156,MATCH($C632,MUSTERILER!$B$7:$B$156,0))))</f>
        <v/>
      </c>
      <c r="O632" s="2"/>
      <c r="P632" s="2"/>
      <c r="Q632" s="1" t="str">
        <f>IF($D632="","",$C632&amp;"|"&amp;COUNTIFS($C$7:$C632,$C632))</f>
        <v/>
      </c>
      <c r="R632" s="1" t="str">
        <f t="shared" si="18"/>
        <v/>
      </c>
      <c r="S632" s="1" t="str">
        <f t="shared" si="19"/>
        <v/>
      </c>
      <c r="T632" s="1">
        <f>IF($E632="",0,SUMPRODUCT((AY_SONU!$O$7:$O$42="Evet")*(AY_SONU!$B$7:$B$42=DATE(YEAR($E632),MONTH($E632),1))))</f>
        <v>0</v>
      </c>
      <c r="U632" s="1" t="str">
        <f>IF(OR($G632="",$H632="Mahsup"),"",$G632&amp;"|"&amp;COUNTIFS($G$7:$G632,$G632,$H$7:$H632,"&lt;&gt;Mahsup"))</f>
        <v/>
      </c>
    </row>
    <row r="633" spans="1:21" ht="18" customHeight="1" x14ac:dyDescent="0.3">
      <c r="A633" s="2"/>
      <c r="B633" s="65" t="str">
        <f>IF($D633="","","T"&amp;TEXT(ROW()-6,"00000"))</f>
        <v/>
      </c>
      <c r="C633" s="65" t="str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61"/>
      <c r="E633" s="66"/>
      <c r="F633" s="67"/>
      <c r="G633" s="60"/>
      <c r="H633" s="60"/>
      <c r="I633" s="61"/>
      <c r="J633" s="61"/>
      <c r="K633" s="61"/>
      <c r="L633" s="73" t="str">
        <f>IF($E633="","",DATE(YEAR($E633),MONTH($E633),1))</f>
        <v/>
      </c>
      <c r="M633" s="65" t="str">
        <f ca="1">IF($D633="","",IF($C633="TANIMSIZ MÜŞTERİ","HATA",IF(OR($E633="",$F633&lt;=0,$G633=""),"EKSİK",IF($E633&gt;TODAY(),"İLERİ TARİH",IF(COUNTIF($S$7:$S$2503,$S633)&gt;1,"MÜKERRER?",IF($T633&gt;0,"KAPALI DÖNEM","UYGUN"))))))</f>
        <v/>
      </c>
      <c r="N633" s="74" t="str">
        <f>IF($C633="","",IF($C633="TANIMSIZ MÜŞTERİ","—",INDEX(MUSTERILER!$C$7:$C$156,MATCH($C633,MUSTERILER!$B$7:$B$156,0))))</f>
        <v/>
      </c>
      <c r="O633" s="2"/>
      <c r="P633" s="2"/>
      <c r="Q633" s="1" t="str">
        <f>IF($D633="","",$C633&amp;"|"&amp;COUNTIFS($C$7:$C633,$C633))</f>
        <v/>
      </c>
      <c r="R633" s="1" t="str">
        <f t="shared" si="18"/>
        <v/>
      </c>
      <c r="S633" s="1" t="str">
        <f t="shared" si="19"/>
        <v/>
      </c>
      <c r="T633" s="1">
        <f>IF($E633="",0,SUMPRODUCT((AY_SONU!$O$7:$O$42="Evet")*(AY_SONU!$B$7:$B$42=DATE(YEAR($E633),MONTH($E633),1))))</f>
        <v>0</v>
      </c>
      <c r="U633" s="1" t="str">
        <f>IF(OR($G633="",$H633="Mahsup"),"",$G633&amp;"|"&amp;COUNTIFS($G$7:$G633,$G633,$H$7:$H633,"&lt;&gt;Mahsup"))</f>
        <v/>
      </c>
    </row>
    <row r="634" spans="1:21" ht="18" customHeight="1" x14ac:dyDescent="0.3">
      <c r="A634" s="2"/>
      <c r="B634" s="65" t="str">
        <f>IF($D634="","","T"&amp;TEXT(ROW()-6,"00000"))</f>
        <v/>
      </c>
      <c r="C634" s="65" t="str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61"/>
      <c r="E634" s="66"/>
      <c r="F634" s="67"/>
      <c r="G634" s="60"/>
      <c r="H634" s="60"/>
      <c r="I634" s="61"/>
      <c r="J634" s="61"/>
      <c r="K634" s="61"/>
      <c r="L634" s="73" t="str">
        <f>IF($E634="","",DATE(YEAR($E634),MONTH($E634),1))</f>
        <v/>
      </c>
      <c r="M634" s="65" t="str">
        <f ca="1">IF($D634="","",IF($C634="TANIMSIZ MÜŞTERİ","HATA",IF(OR($E634="",$F634&lt;=0,$G634=""),"EKSİK",IF($E634&gt;TODAY(),"İLERİ TARİH",IF(COUNTIF($S$7:$S$2503,$S634)&gt;1,"MÜKERRER?",IF($T634&gt;0,"KAPALI DÖNEM","UYGUN"))))))</f>
        <v/>
      </c>
      <c r="N634" s="74" t="str">
        <f>IF($C634="","",IF($C634="TANIMSIZ MÜŞTERİ","—",INDEX(MUSTERILER!$C$7:$C$156,MATCH($C634,MUSTERILER!$B$7:$B$156,0))))</f>
        <v/>
      </c>
      <c r="O634" s="2"/>
      <c r="P634" s="2"/>
      <c r="Q634" s="1" t="str">
        <f>IF($D634="","",$C634&amp;"|"&amp;COUNTIFS($C$7:$C634,$C634))</f>
        <v/>
      </c>
      <c r="R634" s="1" t="str">
        <f t="shared" si="18"/>
        <v/>
      </c>
      <c r="S634" s="1" t="str">
        <f t="shared" si="19"/>
        <v/>
      </c>
      <c r="T634" s="1">
        <f>IF($E634="",0,SUMPRODUCT((AY_SONU!$O$7:$O$42="Evet")*(AY_SONU!$B$7:$B$42=DATE(YEAR($E634),MONTH($E634),1))))</f>
        <v>0</v>
      </c>
      <c r="U634" s="1" t="str">
        <f>IF(OR($G634="",$H634="Mahsup"),"",$G634&amp;"|"&amp;COUNTIFS($G$7:$G634,$G634,$H$7:$H634,"&lt;&gt;Mahsup"))</f>
        <v/>
      </c>
    </row>
    <row r="635" spans="1:21" ht="18" customHeight="1" x14ac:dyDescent="0.3">
      <c r="A635" s="2"/>
      <c r="B635" s="65" t="str">
        <f>IF($D635="","","T"&amp;TEXT(ROW()-6,"00000"))</f>
        <v/>
      </c>
      <c r="C635" s="65" t="str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61"/>
      <c r="E635" s="66"/>
      <c r="F635" s="67"/>
      <c r="G635" s="60"/>
      <c r="H635" s="60"/>
      <c r="I635" s="61"/>
      <c r="J635" s="61"/>
      <c r="K635" s="61"/>
      <c r="L635" s="73" t="str">
        <f>IF($E635="","",DATE(YEAR($E635),MONTH($E635),1))</f>
        <v/>
      </c>
      <c r="M635" s="65" t="str">
        <f ca="1">IF($D635="","",IF($C635="TANIMSIZ MÜŞTERİ","HATA",IF(OR($E635="",$F635&lt;=0,$G635=""),"EKSİK",IF($E635&gt;TODAY(),"İLERİ TARİH",IF(COUNTIF($S$7:$S$2503,$S635)&gt;1,"MÜKERRER?",IF($T635&gt;0,"KAPALI DÖNEM","UYGUN"))))))</f>
        <v/>
      </c>
      <c r="N635" s="74" t="str">
        <f>IF($C635="","",IF($C635="TANIMSIZ MÜŞTERİ","—",INDEX(MUSTERILER!$C$7:$C$156,MATCH($C635,MUSTERILER!$B$7:$B$156,0))))</f>
        <v/>
      </c>
      <c r="O635" s="2"/>
      <c r="P635" s="2"/>
      <c r="Q635" s="1" t="str">
        <f>IF($D635="","",$C635&amp;"|"&amp;COUNTIFS($C$7:$C635,$C635))</f>
        <v/>
      </c>
      <c r="R635" s="1" t="str">
        <f t="shared" si="18"/>
        <v/>
      </c>
      <c r="S635" s="1" t="str">
        <f t="shared" si="19"/>
        <v/>
      </c>
      <c r="T635" s="1">
        <f>IF($E635="",0,SUMPRODUCT((AY_SONU!$O$7:$O$42="Evet")*(AY_SONU!$B$7:$B$42=DATE(YEAR($E635),MONTH($E635),1))))</f>
        <v>0</v>
      </c>
      <c r="U635" s="1" t="str">
        <f>IF(OR($G635="",$H635="Mahsup"),"",$G635&amp;"|"&amp;COUNTIFS($G$7:$G635,$G635,$H$7:$H635,"&lt;&gt;Mahsup"))</f>
        <v/>
      </c>
    </row>
    <row r="636" spans="1:21" ht="18" customHeight="1" x14ac:dyDescent="0.3">
      <c r="A636" s="2"/>
      <c r="B636" s="65" t="str">
        <f>IF($D636="","","T"&amp;TEXT(ROW()-6,"00000"))</f>
        <v/>
      </c>
      <c r="C636" s="65" t="str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61"/>
      <c r="E636" s="66"/>
      <c r="F636" s="67"/>
      <c r="G636" s="60"/>
      <c r="H636" s="60"/>
      <c r="I636" s="61"/>
      <c r="J636" s="61"/>
      <c r="K636" s="61"/>
      <c r="L636" s="73" t="str">
        <f>IF($E636="","",DATE(YEAR($E636),MONTH($E636),1))</f>
        <v/>
      </c>
      <c r="M636" s="65" t="str">
        <f ca="1">IF($D636="","",IF($C636="TANIMSIZ MÜŞTERİ","HATA",IF(OR($E636="",$F636&lt;=0,$G636=""),"EKSİK",IF($E636&gt;TODAY(),"İLERİ TARİH",IF(COUNTIF($S$7:$S$2503,$S636)&gt;1,"MÜKERRER?",IF($T636&gt;0,"KAPALI DÖNEM","UYGUN"))))))</f>
        <v/>
      </c>
      <c r="N636" s="74" t="str">
        <f>IF($C636="","",IF($C636="TANIMSIZ MÜŞTERİ","—",INDEX(MUSTERILER!$C$7:$C$156,MATCH($C636,MUSTERILER!$B$7:$B$156,0))))</f>
        <v/>
      </c>
      <c r="O636" s="2"/>
      <c r="P636" s="2"/>
      <c r="Q636" s="1" t="str">
        <f>IF($D636="","",$C636&amp;"|"&amp;COUNTIFS($C$7:$C636,$C636))</f>
        <v/>
      </c>
      <c r="R636" s="1" t="str">
        <f t="shared" si="18"/>
        <v/>
      </c>
      <c r="S636" s="1" t="str">
        <f t="shared" si="19"/>
        <v/>
      </c>
      <c r="T636" s="1">
        <f>IF($E636="",0,SUMPRODUCT((AY_SONU!$O$7:$O$42="Evet")*(AY_SONU!$B$7:$B$42=DATE(YEAR($E636),MONTH($E636),1))))</f>
        <v>0</v>
      </c>
      <c r="U636" s="1" t="str">
        <f>IF(OR($G636="",$H636="Mahsup"),"",$G636&amp;"|"&amp;COUNTIFS($G$7:$G636,$G636,$H$7:$H636,"&lt;&gt;Mahsup"))</f>
        <v/>
      </c>
    </row>
    <row r="637" spans="1:21" ht="18" customHeight="1" x14ac:dyDescent="0.3">
      <c r="A637" s="2"/>
      <c r="B637" s="65" t="str">
        <f>IF($D637="","","T"&amp;TEXT(ROW()-6,"00000"))</f>
        <v/>
      </c>
      <c r="C637" s="65" t="str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61"/>
      <c r="E637" s="66"/>
      <c r="F637" s="67"/>
      <c r="G637" s="60"/>
      <c r="H637" s="60"/>
      <c r="I637" s="61"/>
      <c r="J637" s="61"/>
      <c r="K637" s="61"/>
      <c r="L637" s="73" t="str">
        <f>IF($E637="","",DATE(YEAR($E637),MONTH($E637),1))</f>
        <v/>
      </c>
      <c r="M637" s="65" t="str">
        <f ca="1">IF($D637="","",IF($C637="TANIMSIZ MÜŞTERİ","HATA",IF(OR($E637="",$F637&lt;=0,$G637=""),"EKSİK",IF($E637&gt;TODAY(),"İLERİ TARİH",IF(COUNTIF($S$7:$S$2503,$S637)&gt;1,"MÜKERRER?",IF($T637&gt;0,"KAPALI DÖNEM","UYGUN"))))))</f>
        <v/>
      </c>
      <c r="N637" s="74" t="str">
        <f>IF($C637="","",IF($C637="TANIMSIZ MÜŞTERİ","—",INDEX(MUSTERILER!$C$7:$C$156,MATCH($C637,MUSTERILER!$B$7:$B$156,0))))</f>
        <v/>
      </c>
      <c r="O637" s="2"/>
      <c r="P637" s="2"/>
      <c r="Q637" s="1" t="str">
        <f>IF($D637="","",$C637&amp;"|"&amp;COUNTIFS($C$7:$C637,$C637))</f>
        <v/>
      </c>
      <c r="R637" s="1" t="str">
        <f t="shared" si="18"/>
        <v/>
      </c>
      <c r="S637" s="1" t="str">
        <f t="shared" si="19"/>
        <v/>
      </c>
      <c r="T637" s="1">
        <f>IF($E637="",0,SUMPRODUCT((AY_SONU!$O$7:$O$42="Evet")*(AY_SONU!$B$7:$B$42=DATE(YEAR($E637),MONTH($E637),1))))</f>
        <v>0</v>
      </c>
      <c r="U637" s="1" t="str">
        <f>IF(OR($G637="",$H637="Mahsup"),"",$G637&amp;"|"&amp;COUNTIFS($G$7:$G637,$G637,$H$7:$H637,"&lt;&gt;Mahsup"))</f>
        <v/>
      </c>
    </row>
    <row r="638" spans="1:21" ht="18" customHeight="1" x14ac:dyDescent="0.3">
      <c r="A638" s="2"/>
      <c r="B638" s="65" t="str">
        <f>IF($D638="","","T"&amp;TEXT(ROW()-6,"00000"))</f>
        <v/>
      </c>
      <c r="C638" s="65" t="str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61"/>
      <c r="E638" s="66"/>
      <c r="F638" s="67"/>
      <c r="G638" s="60"/>
      <c r="H638" s="60"/>
      <c r="I638" s="61"/>
      <c r="J638" s="61"/>
      <c r="K638" s="61"/>
      <c r="L638" s="73" t="str">
        <f>IF($E638="","",DATE(YEAR($E638),MONTH($E638),1))</f>
        <v/>
      </c>
      <c r="M638" s="65" t="str">
        <f ca="1">IF($D638="","",IF($C638="TANIMSIZ MÜŞTERİ","HATA",IF(OR($E638="",$F638&lt;=0,$G638=""),"EKSİK",IF($E638&gt;TODAY(),"İLERİ TARİH",IF(COUNTIF($S$7:$S$2503,$S638)&gt;1,"MÜKERRER?",IF($T638&gt;0,"KAPALI DÖNEM","UYGUN"))))))</f>
        <v/>
      </c>
      <c r="N638" s="74" t="str">
        <f>IF($C638="","",IF($C638="TANIMSIZ MÜŞTERİ","—",INDEX(MUSTERILER!$C$7:$C$156,MATCH($C638,MUSTERILER!$B$7:$B$156,0))))</f>
        <v/>
      </c>
      <c r="O638" s="2"/>
      <c r="P638" s="2"/>
      <c r="Q638" s="1" t="str">
        <f>IF($D638="","",$C638&amp;"|"&amp;COUNTIFS($C$7:$C638,$C638))</f>
        <v/>
      </c>
      <c r="R638" s="1" t="str">
        <f t="shared" si="18"/>
        <v/>
      </c>
      <c r="S638" s="1" t="str">
        <f t="shared" si="19"/>
        <v/>
      </c>
      <c r="T638" s="1">
        <f>IF($E638="",0,SUMPRODUCT((AY_SONU!$O$7:$O$42="Evet")*(AY_SONU!$B$7:$B$42=DATE(YEAR($E638),MONTH($E638),1))))</f>
        <v>0</v>
      </c>
      <c r="U638" s="1" t="str">
        <f>IF(OR($G638="",$H638="Mahsup"),"",$G638&amp;"|"&amp;COUNTIFS($G$7:$G638,$G638,$H$7:$H638,"&lt;&gt;Mahsup"))</f>
        <v/>
      </c>
    </row>
    <row r="639" spans="1:21" ht="18" customHeight="1" x14ac:dyDescent="0.3">
      <c r="A639" s="2"/>
      <c r="B639" s="65" t="str">
        <f>IF($D639="","","T"&amp;TEXT(ROW()-6,"00000"))</f>
        <v/>
      </c>
      <c r="C639" s="65" t="str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61"/>
      <c r="E639" s="66"/>
      <c r="F639" s="67"/>
      <c r="G639" s="60"/>
      <c r="H639" s="60"/>
      <c r="I639" s="61"/>
      <c r="J639" s="61"/>
      <c r="K639" s="61"/>
      <c r="L639" s="73" t="str">
        <f>IF($E639="","",DATE(YEAR($E639),MONTH($E639),1))</f>
        <v/>
      </c>
      <c r="M639" s="65" t="str">
        <f ca="1">IF($D639="","",IF($C639="TANIMSIZ MÜŞTERİ","HATA",IF(OR($E639="",$F639&lt;=0,$G639=""),"EKSİK",IF($E639&gt;TODAY(),"İLERİ TARİH",IF(COUNTIF($S$7:$S$2503,$S639)&gt;1,"MÜKERRER?",IF($T639&gt;0,"KAPALI DÖNEM","UYGUN"))))))</f>
        <v/>
      </c>
      <c r="N639" s="74" t="str">
        <f>IF($C639="","",IF($C639="TANIMSIZ MÜŞTERİ","—",INDEX(MUSTERILER!$C$7:$C$156,MATCH($C639,MUSTERILER!$B$7:$B$156,0))))</f>
        <v/>
      </c>
      <c r="O639" s="2"/>
      <c r="P639" s="2"/>
      <c r="Q639" s="1" t="str">
        <f>IF($D639="","",$C639&amp;"|"&amp;COUNTIFS($C$7:$C639,$C639))</f>
        <v/>
      </c>
      <c r="R639" s="1" t="str">
        <f t="shared" si="18"/>
        <v/>
      </c>
      <c r="S639" s="1" t="str">
        <f t="shared" si="19"/>
        <v/>
      </c>
      <c r="T639" s="1">
        <f>IF($E639="",0,SUMPRODUCT((AY_SONU!$O$7:$O$42="Evet")*(AY_SONU!$B$7:$B$42=DATE(YEAR($E639),MONTH($E639),1))))</f>
        <v>0</v>
      </c>
      <c r="U639" s="1" t="str">
        <f>IF(OR($G639="",$H639="Mahsup"),"",$G639&amp;"|"&amp;COUNTIFS($G$7:$G639,$G639,$H$7:$H639,"&lt;&gt;Mahsup"))</f>
        <v/>
      </c>
    </row>
    <row r="640" spans="1:21" ht="18" customHeight="1" x14ac:dyDescent="0.3">
      <c r="A640" s="2"/>
      <c r="B640" s="65" t="str">
        <f>IF($D640="","","T"&amp;TEXT(ROW()-6,"00000"))</f>
        <v/>
      </c>
      <c r="C640" s="65" t="str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61"/>
      <c r="E640" s="66"/>
      <c r="F640" s="67"/>
      <c r="G640" s="60"/>
      <c r="H640" s="60"/>
      <c r="I640" s="61"/>
      <c r="J640" s="61"/>
      <c r="K640" s="61"/>
      <c r="L640" s="73" t="str">
        <f>IF($E640="","",DATE(YEAR($E640),MONTH($E640),1))</f>
        <v/>
      </c>
      <c r="M640" s="65" t="str">
        <f ca="1">IF($D640="","",IF($C640="TANIMSIZ MÜŞTERİ","HATA",IF(OR($E640="",$F640&lt;=0,$G640=""),"EKSİK",IF($E640&gt;TODAY(),"İLERİ TARİH",IF(COUNTIF($S$7:$S$2503,$S640)&gt;1,"MÜKERRER?",IF($T640&gt;0,"KAPALI DÖNEM","UYGUN"))))))</f>
        <v/>
      </c>
      <c r="N640" s="74" t="str">
        <f>IF($C640="","",IF($C640="TANIMSIZ MÜŞTERİ","—",INDEX(MUSTERILER!$C$7:$C$156,MATCH($C640,MUSTERILER!$B$7:$B$156,0))))</f>
        <v/>
      </c>
      <c r="O640" s="2"/>
      <c r="P640" s="2"/>
      <c r="Q640" s="1" t="str">
        <f>IF($D640="","",$C640&amp;"|"&amp;COUNTIFS($C$7:$C640,$C640))</f>
        <v/>
      </c>
      <c r="R640" s="1" t="str">
        <f t="shared" si="18"/>
        <v/>
      </c>
      <c r="S640" s="1" t="str">
        <f t="shared" si="19"/>
        <v/>
      </c>
      <c r="T640" s="1">
        <f>IF($E640="",0,SUMPRODUCT((AY_SONU!$O$7:$O$42="Evet")*(AY_SONU!$B$7:$B$42=DATE(YEAR($E640),MONTH($E640),1))))</f>
        <v>0</v>
      </c>
      <c r="U640" s="1" t="str">
        <f>IF(OR($G640="",$H640="Mahsup"),"",$G640&amp;"|"&amp;COUNTIFS($G$7:$G640,$G640,$H$7:$H640,"&lt;&gt;Mahsup"))</f>
        <v/>
      </c>
    </row>
    <row r="641" spans="1:21" ht="18" customHeight="1" x14ac:dyDescent="0.3">
      <c r="A641" s="2"/>
      <c r="B641" s="65" t="str">
        <f>IF($D641="","","T"&amp;TEXT(ROW()-6,"00000"))</f>
        <v/>
      </c>
      <c r="C641" s="65" t="str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61"/>
      <c r="E641" s="66"/>
      <c r="F641" s="67"/>
      <c r="G641" s="60"/>
      <c r="H641" s="60"/>
      <c r="I641" s="61"/>
      <c r="J641" s="61"/>
      <c r="K641" s="61"/>
      <c r="L641" s="73" t="str">
        <f>IF($E641="","",DATE(YEAR($E641),MONTH($E641),1))</f>
        <v/>
      </c>
      <c r="M641" s="65" t="str">
        <f ca="1">IF($D641="","",IF($C641="TANIMSIZ MÜŞTERİ","HATA",IF(OR($E641="",$F641&lt;=0,$G641=""),"EKSİK",IF($E641&gt;TODAY(),"İLERİ TARİH",IF(COUNTIF($S$7:$S$2503,$S641)&gt;1,"MÜKERRER?",IF($T641&gt;0,"KAPALI DÖNEM","UYGUN"))))))</f>
        <v/>
      </c>
      <c r="N641" s="74" t="str">
        <f>IF($C641="","",IF($C641="TANIMSIZ MÜŞTERİ","—",INDEX(MUSTERILER!$C$7:$C$156,MATCH($C641,MUSTERILER!$B$7:$B$156,0))))</f>
        <v/>
      </c>
      <c r="O641" s="2"/>
      <c r="P641" s="2"/>
      <c r="Q641" s="1" t="str">
        <f>IF($D641="","",$C641&amp;"|"&amp;COUNTIFS($C$7:$C641,$C641))</f>
        <v/>
      </c>
      <c r="R641" s="1" t="str">
        <f t="shared" si="18"/>
        <v/>
      </c>
      <c r="S641" s="1" t="str">
        <f t="shared" si="19"/>
        <v/>
      </c>
      <c r="T641" s="1">
        <f>IF($E641="",0,SUMPRODUCT((AY_SONU!$O$7:$O$42="Evet")*(AY_SONU!$B$7:$B$42=DATE(YEAR($E641),MONTH($E641),1))))</f>
        <v>0</v>
      </c>
      <c r="U641" s="1" t="str">
        <f>IF(OR($G641="",$H641="Mahsup"),"",$G641&amp;"|"&amp;COUNTIFS($G$7:$G641,$G641,$H$7:$H641,"&lt;&gt;Mahsup"))</f>
        <v/>
      </c>
    </row>
    <row r="642" spans="1:21" ht="18" customHeight="1" x14ac:dyDescent="0.3">
      <c r="A642" s="2"/>
      <c r="B642" s="65" t="str">
        <f>IF($D642="","","T"&amp;TEXT(ROW()-6,"00000"))</f>
        <v/>
      </c>
      <c r="C642" s="65" t="str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61"/>
      <c r="E642" s="66"/>
      <c r="F642" s="67"/>
      <c r="G642" s="60"/>
      <c r="H642" s="60"/>
      <c r="I642" s="61"/>
      <c r="J642" s="61"/>
      <c r="K642" s="61"/>
      <c r="L642" s="73" t="str">
        <f>IF($E642="","",DATE(YEAR($E642),MONTH($E642),1))</f>
        <v/>
      </c>
      <c r="M642" s="65" t="str">
        <f ca="1">IF($D642="","",IF($C642="TANIMSIZ MÜŞTERİ","HATA",IF(OR($E642="",$F642&lt;=0,$G642=""),"EKSİK",IF($E642&gt;TODAY(),"İLERİ TARİH",IF(COUNTIF($S$7:$S$2503,$S642)&gt;1,"MÜKERRER?",IF($T642&gt;0,"KAPALI DÖNEM","UYGUN"))))))</f>
        <v/>
      </c>
      <c r="N642" s="74" t="str">
        <f>IF($C642="","",IF($C642="TANIMSIZ MÜŞTERİ","—",INDEX(MUSTERILER!$C$7:$C$156,MATCH($C642,MUSTERILER!$B$7:$B$156,0))))</f>
        <v/>
      </c>
      <c r="O642" s="2"/>
      <c r="P642" s="2"/>
      <c r="Q642" s="1" t="str">
        <f>IF($D642="","",$C642&amp;"|"&amp;COUNTIFS($C$7:$C642,$C642))</f>
        <v/>
      </c>
      <c r="R642" s="1" t="str">
        <f t="shared" si="18"/>
        <v/>
      </c>
      <c r="S642" s="1" t="str">
        <f t="shared" si="19"/>
        <v/>
      </c>
      <c r="T642" s="1">
        <f>IF($E642="",0,SUMPRODUCT((AY_SONU!$O$7:$O$42="Evet")*(AY_SONU!$B$7:$B$42=DATE(YEAR($E642),MONTH($E642),1))))</f>
        <v>0</v>
      </c>
      <c r="U642" s="1" t="str">
        <f>IF(OR($G642="",$H642="Mahsup"),"",$G642&amp;"|"&amp;COUNTIFS($G$7:$G642,$G642,$H$7:$H642,"&lt;&gt;Mahsup"))</f>
        <v/>
      </c>
    </row>
    <row r="643" spans="1:21" ht="18" customHeight="1" x14ac:dyDescent="0.3">
      <c r="A643" s="2"/>
      <c r="B643" s="65" t="str">
        <f>IF($D643="","","T"&amp;TEXT(ROW()-6,"00000"))</f>
        <v/>
      </c>
      <c r="C643" s="65" t="str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61"/>
      <c r="E643" s="66"/>
      <c r="F643" s="67"/>
      <c r="G643" s="60"/>
      <c r="H643" s="60"/>
      <c r="I643" s="61"/>
      <c r="J643" s="61"/>
      <c r="K643" s="61"/>
      <c r="L643" s="73" t="str">
        <f>IF($E643="","",DATE(YEAR($E643),MONTH($E643),1))</f>
        <v/>
      </c>
      <c r="M643" s="65" t="str">
        <f ca="1">IF($D643="","",IF($C643="TANIMSIZ MÜŞTERİ","HATA",IF(OR($E643="",$F643&lt;=0,$G643=""),"EKSİK",IF($E643&gt;TODAY(),"İLERİ TARİH",IF(COUNTIF($S$7:$S$2503,$S643)&gt;1,"MÜKERRER?",IF($T643&gt;0,"KAPALI DÖNEM","UYGUN"))))))</f>
        <v/>
      </c>
      <c r="N643" s="74" t="str">
        <f>IF($C643="","",IF($C643="TANIMSIZ MÜŞTERİ","—",INDEX(MUSTERILER!$C$7:$C$156,MATCH($C643,MUSTERILER!$B$7:$B$156,0))))</f>
        <v/>
      </c>
      <c r="O643" s="2"/>
      <c r="P643" s="2"/>
      <c r="Q643" s="1" t="str">
        <f>IF($D643="","",$C643&amp;"|"&amp;COUNTIFS($C$7:$C643,$C643))</f>
        <v/>
      </c>
      <c r="R643" s="1" t="str">
        <f t="shared" si="18"/>
        <v/>
      </c>
      <c r="S643" s="1" t="str">
        <f t="shared" si="19"/>
        <v/>
      </c>
      <c r="T643" s="1">
        <f>IF($E643="",0,SUMPRODUCT((AY_SONU!$O$7:$O$42="Evet")*(AY_SONU!$B$7:$B$42=DATE(YEAR($E643),MONTH($E643),1))))</f>
        <v>0</v>
      </c>
      <c r="U643" s="1" t="str">
        <f>IF(OR($G643="",$H643="Mahsup"),"",$G643&amp;"|"&amp;COUNTIFS($G$7:$G643,$G643,$H$7:$H643,"&lt;&gt;Mahsup"))</f>
        <v/>
      </c>
    </row>
    <row r="644" spans="1:21" ht="18" customHeight="1" x14ac:dyDescent="0.3">
      <c r="A644" s="2"/>
      <c r="B644" s="65" t="str">
        <f>IF($D644="","","T"&amp;TEXT(ROW()-6,"00000"))</f>
        <v/>
      </c>
      <c r="C644" s="65" t="str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61"/>
      <c r="E644" s="66"/>
      <c r="F644" s="67"/>
      <c r="G644" s="60"/>
      <c r="H644" s="60"/>
      <c r="I644" s="61"/>
      <c r="J644" s="61"/>
      <c r="K644" s="61"/>
      <c r="L644" s="73" t="str">
        <f>IF($E644="","",DATE(YEAR($E644),MONTH($E644),1))</f>
        <v/>
      </c>
      <c r="M644" s="65" t="str">
        <f ca="1">IF($D644="","",IF($C644="TANIMSIZ MÜŞTERİ","HATA",IF(OR($E644="",$F644&lt;=0,$G644=""),"EKSİK",IF($E644&gt;TODAY(),"İLERİ TARİH",IF(COUNTIF($S$7:$S$2503,$S644)&gt;1,"MÜKERRER?",IF($T644&gt;0,"KAPALI DÖNEM","UYGUN"))))))</f>
        <v/>
      </c>
      <c r="N644" s="74" t="str">
        <f>IF($C644="","",IF($C644="TANIMSIZ MÜŞTERİ","—",INDEX(MUSTERILER!$C$7:$C$156,MATCH($C644,MUSTERILER!$B$7:$B$156,0))))</f>
        <v/>
      </c>
      <c r="O644" s="2"/>
      <c r="P644" s="2"/>
      <c r="Q644" s="1" t="str">
        <f>IF($D644="","",$C644&amp;"|"&amp;COUNTIFS($C$7:$C644,$C644))</f>
        <v/>
      </c>
      <c r="R644" s="1" t="str">
        <f t="shared" si="18"/>
        <v/>
      </c>
      <c r="S644" s="1" t="str">
        <f t="shared" si="19"/>
        <v/>
      </c>
      <c r="T644" s="1">
        <f>IF($E644="",0,SUMPRODUCT((AY_SONU!$O$7:$O$42="Evet")*(AY_SONU!$B$7:$B$42=DATE(YEAR($E644),MONTH($E644),1))))</f>
        <v>0</v>
      </c>
      <c r="U644" s="1" t="str">
        <f>IF(OR($G644="",$H644="Mahsup"),"",$G644&amp;"|"&amp;COUNTIFS($G$7:$G644,$G644,$H$7:$H644,"&lt;&gt;Mahsup"))</f>
        <v/>
      </c>
    </row>
    <row r="645" spans="1:21" ht="18" customHeight="1" x14ac:dyDescent="0.3">
      <c r="A645" s="2"/>
      <c r="B645" s="65" t="str">
        <f>IF($D645="","","T"&amp;TEXT(ROW()-6,"00000"))</f>
        <v/>
      </c>
      <c r="C645" s="65" t="str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61"/>
      <c r="E645" s="66"/>
      <c r="F645" s="67"/>
      <c r="G645" s="60"/>
      <c r="H645" s="60"/>
      <c r="I645" s="61"/>
      <c r="J645" s="61"/>
      <c r="K645" s="61"/>
      <c r="L645" s="73" t="str">
        <f>IF($E645="","",DATE(YEAR($E645),MONTH($E645),1))</f>
        <v/>
      </c>
      <c r="M645" s="65" t="str">
        <f ca="1">IF($D645="","",IF($C645="TANIMSIZ MÜŞTERİ","HATA",IF(OR($E645="",$F645&lt;=0,$G645=""),"EKSİK",IF($E645&gt;TODAY(),"İLERİ TARİH",IF(COUNTIF($S$7:$S$2503,$S645)&gt;1,"MÜKERRER?",IF($T645&gt;0,"KAPALI DÖNEM","UYGUN"))))))</f>
        <v/>
      </c>
      <c r="N645" s="74" t="str">
        <f>IF($C645="","",IF($C645="TANIMSIZ MÜŞTERİ","—",INDEX(MUSTERILER!$C$7:$C$156,MATCH($C645,MUSTERILER!$B$7:$B$156,0))))</f>
        <v/>
      </c>
      <c r="O645" s="2"/>
      <c r="P645" s="2"/>
      <c r="Q645" s="1" t="str">
        <f>IF($D645="","",$C645&amp;"|"&amp;COUNTIFS($C$7:$C645,$C645))</f>
        <v/>
      </c>
      <c r="R645" s="1" t="str">
        <f t="shared" si="18"/>
        <v/>
      </c>
      <c r="S645" s="1" t="str">
        <f t="shared" si="19"/>
        <v/>
      </c>
      <c r="T645" s="1">
        <f>IF($E645="",0,SUMPRODUCT((AY_SONU!$O$7:$O$42="Evet")*(AY_SONU!$B$7:$B$42=DATE(YEAR($E645),MONTH($E645),1))))</f>
        <v>0</v>
      </c>
      <c r="U645" s="1" t="str">
        <f>IF(OR($G645="",$H645="Mahsup"),"",$G645&amp;"|"&amp;COUNTIFS($G$7:$G645,$G645,$H$7:$H645,"&lt;&gt;Mahsup"))</f>
        <v/>
      </c>
    </row>
    <row r="646" spans="1:21" ht="18" customHeight="1" x14ac:dyDescent="0.3">
      <c r="A646" s="2"/>
      <c r="B646" s="65" t="str">
        <f>IF($D646="","","T"&amp;TEXT(ROW()-6,"00000"))</f>
        <v/>
      </c>
      <c r="C646" s="65" t="str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61"/>
      <c r="E646" s="66"/>
      <c r="F646" s="67"/>
      <c r="G646" s="60"/>
      <c r="H646" s="60"/>
      <c r="I646" s="61"/>
      <c r="J646" s="61"/>
      <c r="K646" s="61"/>
      <c r="L646" s="73" t="str">
        <f>IF($E646="","",DATE(YEAR($E646),MONTH($E646),1))</f>
        <v/>
      </c>
      <c r="M646" s="65" t="str">
        <f ca="1">IF($D646="","",IF($C646="TANIMSIZ MÜŞTERİ","HATA",IF(OR($E646="",$F646&lt;=0,$G646=""),"EKSİK",IF($E646&gt;TODAY(),"İLERİ TARİH",IF(COUNTIF($S$7:$S$2503,$S646)&gt;1,"MÜKERRER?",IF($T646&gt;0,"KAPALI DÖNEM","UYGUN"))))))</f>
        <v/>
      </c>
      <c r="N646" s="74" t="str">
        <f>IF($C646="","",IF($C646="TANIMSIZ MÜŞTERİ","—",INDEX(MUSTERILER!$C$7:$C$156,MATCH($C646,MUSTERILER!$B$7:$B$156,0))))</f>
        <v/>
      </c>
      <c r="O646" s="2"/>
      <c r="P646" s="2"/>
      <c r="Q646" s="1" t="str">
        <f>IF($D646="","",$C646&amp;"|"&amp;COUNTIFS($C$7:$C646,$C646))</f>
        <v/>
      </c>
      <c r="R646" s="1" t="str">
        <f t="shared" si="18"/>
        <v/>
      </c>
      <c r="S646" s="1" t="str">
        <f t="shared" si="19"/>
        <v/>
      </c>
      <c r="T646" s="1">
        <f>IF($E646="",0,SUMPRODUCT((AY_SONU!$O$7:$O$42="Evet")*(AY_SONU!$B$7:$B$42=DATE(YEAR($E646),MONTH($E646),1))))</f>
        <v>0</v>
      </c>
      <c r="U646" s="1" t="str">
        <f>IF(OR($G646="",$H646="Mahsup"),"",$G646&amp;"|"&amp;COUNTIFS($G$7:$G646,$G646,$H$7:$H646,"&lt;&gt;Mahsup"))</f>
        <v/>
      </c>
    </row>
    <row r="647" spans="1:21" ht="18" customHeight="1" x14ac:dyDescent="0.3">
      <c r="A647" s="2"/>
      <c r="B647" s="65" t="str">
        <f>IF($D647="","","T"&amp;TEXT(ROW()-6,"00000"))</f>
        <v/>
      </c>
      <c r="C647" s="65" t="str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61"/>
      <c r="E647" s="66"/>
      <c r="F647" s="67"/>
      <c r="G647" s="60"/>
      <c r="H647" s="60"/>
      <c r="I647" s="61"/>
      <c r="J647" s="61"/>
      <c r="K647" s="61"/>
      <c r="L647" s="73" t="str">
        <f>IF($E647="","",DATE(YEAR($E647),MONTH($E647),1))</f>
        <v/>
      </c>
      <c r="M647" s="65" t="str">
        <f ca="1">IF($D647="","",IF($C647="TANIMSIZ MÜŞTERİ","HATA",IF(OR($E647="",$F647&lt;=0,$G647=""),"EKSİK",IF($E647&gt;TODAY(),"İLERİ TARİH",IF(COUNTIF($S$7:$S$2503,$S647)&gt;1,"MÜKERRER?",IF($T647&gt;0,"KAPALI DÖNEM","UYGUN"))))))</f>
        <v/>
      </c>
      <c r="N647" s="74" t="str">
        <f>IF($C647="","",IF($C647="TANIMSIZ MÜŞTERİ","—",INDEX(MUSTERILER!$C$7:$C$156,MATCH($C647,MUSTERILER!$B$7:$B$156,0))))</f>
        <v/>
      </c>
      <c r="O647" s="2"/>
      <c r="P647" s="2"/>
      <c r="Q647" s="1" t="str">
        <f>IF($D647="","",$C647&amp;"|"&amp;COUNTIFS($C$7:$C647,$C647))</f>
        <v/>
      </c>
      <c r="R647" s="1" t="str">
        <f t="shared" ref="R647:R710" si="20"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" t="str">
        <f t="shared" ref="S647:S710" si="21">IF($D647="","",$C647&amp;"|"&amp;TEXT($E647,"0")&amp;"|"&amp;TEXT($F647,"0")&amp;"|"&amp;$I647)</f>
        <v/>
      </c>
      <c r="T647" s="1">
        <f>IF($E647="",0,SUMPRODUCT((AY_SONU!$O$7:$O$42="Evet")*(AY_SONU!$B$7:$B$42=DATE(YEAR($E647),MONTH($E647),1))))</f>
        <v>0</v>
      </c>
      <c r="U647" s="1" t="str">
        <f>IF(OR($G647="",$H647="Mahsup"),"",$G647&amp;"|"&amp;COUNTIFS($G$7:$G647,$G647,$H$7:$H647,"&lt;&gt;Mahsup"))</f>
        <v/>
      </c>
    </row>
    <row r="648" spans="1:21" ht="18" customHeight="1" x14ac:dyDescent="0.3">
      <c r="A648" s="2"/>
      <c r="B648" s="65" t="str">
        <f>IF($D648="","","T"&amp;TEXT(ROW()-6,"00000"))</f>
        <v/>
      </c>
      <c r="C648" s="65" t="str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61"/>
      <c r="E648" s="66"/>
      <c r="F648" s="67"/>
      <c r="G648" s="60"/>
      <c r="H648" s="60"/>
      <c r="I648" s="61"/>
      <c r="J648" s="61"/>
      <c r="K648" s="61"/>
      <c r="L648" s="73" t="str">
        <f>IF($E648="","",DATE(YEAR($E648),MONTH($E648),1))</f>
        <v/>
      </c>
      <c r="M648" s="65" t="str">
        <f ca="1">IF($D648="","",IF($C648="TANIMSIZ MÜŞTERİ","HATA",IF(OR($E648="",$F648&lt;=0,$G648=""),"EKSİK",IF($E648&gt;TODAY(),"İLERİ TARİH",IF(COUNTIF($S$7:$S$2503,$S648)&gt;1,"MÜKERRER?",IF($T648&gt;0,"KAPALI DÖNEM","UYGUN"))))))</f>
        <v/>
      </c>
      <c r="N648" s="74" t="str">
        <f>IF($C648="","",IF($C648="TANIMSIZ MÜŞTERİ","—",INDEX(MUSTERILER!$C$7:$C$156,MATCH($C648,MUSTERILER!$B$7:$B$156,0))))</f>
        <v/>
      </c>
      <c r="O648" s="2"/>
      <c r="P648" s="2"/>
      <c r="Q648" s="1" t="str">
        <f>IF($D648="","",$C648&amp;"|"&amp;COUNTIFS($C$7:$C648,$C648))</f>
        <v/>
      </c>
      <c r="R648" s="1" t="str">
        <f t="shared" si="20"/>
        <v/>
      </c>
      <c r="S648" s="1" t="str">
        <f t="shared" si="21"/>
        <v/>
      </c>
      <c r="T648" s="1">
        <f>IF($E648="",0,SUMPRODUCT((AY_SONU!$O$7:$O$42="Evet")*(AY_SONU!$B$7:$B$42=DATE(YEAR($E648),MONTH($E648),1))))</f>
        <v>0</v>
      </c>
      <c r="U648" s="1" t="str">
        <f>IF(OR($G648="",$H648="Mahsup"),"",$G648&amp;"|"&amp;COUNTIFS($G$7:$G648,$G648,$H$7:$H648,"&lt;&gt;Mahsup"))</f>
        <v/>
      </c>
    </row>
    <row r="649" spans="1:21" ht="18" customHeight="1" x14ac:dyDescent="0.3">
      <c r="A649" s="2"/>
      <c r="B649" s="65" t="str">
        <f>IF($D649="","","T"&amp;TEXT(ROW()-6,"00000"))</f>
        <v/>
      </c>
      <c r="C649" s="65" t="str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61"/>
      <c r="E649" s="66"/>
      <c r="F649" s="67"/>
      <c r="G649" s="60"/>
      <c r="H649" s="60"/>
      <c r="I649" s="61"/>
      <c r="J649" s="61"/>
      <c r="K649" s="61"/>
      <c r="L649" s="73" t="str">
        <f>IF($E649="","",DATE(YEAR($E649),MONTH($E649),1))</f>
        <v/>
      </c>
      <c r="M649" s="65" t="str">
        <f ca="1">IF($D649="","",IF($C649="TANIMSIZ MÜŞTERİ","HATA",IF(OR($E649="",$F649&lt;=0,$G649=""),"EKSİK",IF($E649&gt;TODAY(),"İLERİ TARİH",IF(COUNTIF($S$7:$S$2503,$S649)&gt;1,"MÜKERRER?",IF($T649&gt;0,"KAPALI DÖNEM","UYGUN"))))))</f>
        <v/>
      </c>
      <c r="N649" s="74" t="str">
        <f>IF($C649="","",IF($C649="TANIMSIZ MÜŞTERİ","—",INDEX(MUSTERILER!$C$7:$C$156,MATCH($C649,MUSTERILER!$B$7:$B$156,0))))</f>
        <v/>
      </c>
      <c r="O649" s="2"/>
      <c r="P649" s="2"/>
      <c r="Q649" s="1" t="str">
        <f>IF($D649="","",$C649&amp;"|"&amp;COUNTIFS($C$7:$C649,$C649))</f>
        <v/>
      </c>
      <c r="R649" s="1" t="str">
        <f t="shared" si="20"/>
        <v/>
      </c>
      <c r="S649" s="1" t="str">
        <f t="shared" si="21"/>
        <v/>
      </c>
      <c r="T649" s="1">
        <f>IF($E649="",0,SUMPRODUCT((AY_SONU!$O$7:$O$42="Evet")*(AY_SONU!$B$7:$B$42=DATE(YEAR($E649),MONTH($E649),1))))</f>
        <v>0</v>
      </c>
      <c r="U649" s="1" t="str">
        <f>IF(OR($G649="",$H649="Mahsup"),"",$G649&amp;"|"&amp;COUNTIFS($G$7:$G649,$G649,$H$7:$H649,"&lt;&gt;Mahsup"))</f>
        <v/>
      </c>
    </row>
    <row r="650" spans="1:21" ht="18" customHeight="1" x14ac:dyDescent="0.3">
      <c r="A650" s="2"/>
      <c r="B650" s="65" t="str">
        <f>IF($D650="","","T"&amp;TEXT(ROW()-6,"00000"))</f>
        <v/>
      </c>
      <c r="C650" s="65" t="str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61"/>
      <c r="E650" s="66"/>
      <c r="F650" s="67"/>
      <c r="G650" s="60"/>
      <c r="H650" s="60"/>
      <c r="I650" s="61"/>
      <c r="J650" s="61"/>
      <c r="K650" s="61"/>
      <c r="L650" s="73" t="str">
        <f>IF($E650="","",DATE(YEAR($E650),MONTH($E650),1))</f>
        <v/>
      </c>
      <c r="M650" s="65" t="str">
        <f ca="1">IF($D650="","",IF($C650="TANIMSIZ MÜŞTERİ","HATA",IF(OR($E650="",$F650&lt;=0,$G650=""),"EKSİK",IF($E650&gt;TODAY(),"İLERİ TARİH",IF(COUNTIF($S$7:$S$2503,$S650)&gt;1,"MÜKERRER?",IF($T650&gt;0,"KAPALI DÖNEM","UYGUN"))))))</f>
        <v/>
      </c>
      <c r="N650" s="74" t="str">
        <f>IF($C650="","",IF($C650="TANIMSIZ MÜŞTERİ","—",INDEX(MUSTERILER!$C$7:$C$156,MATCH($C650,MUSTERILER!$B$7:$B$156,0))))</f>
        <v/>
      </c>
      <c r="O650" s="2"/>
      <c r="P650" s="2"/>
      <c r="Q650" s="1" t="str">
        <f>IF($D650="","",$C650&amp;"|"&amp;COUNTIFS($C$7:$C650,$C650))</f>
        <v/>
      </c>
      <c r="R650" s="1" t="str">
        <f t="shared" si="20"/>
        <v/>
      </c>
      <c r="S650" s="1" t="str">
        <f t="shared" si="21"/>
        <v/>
      </c>
      <c r="T650" s="1">
        <f>IF($E650="",0,SUMPRODUCT((AY_SONU!$O$7:$O$42="Evet")*(AY_SONU!$B$7:$B$42=DATE(YEAR($E650),MONTH($E650),1))))</f>
        <v>0</v>
      </c>
      <c r="U650" s="1" t="str">
        <f>IF(OR($G650="",$H650="Mahsup"),"",$G650&amp;"|"&amp;COUNTIFS($G$7:$G650,$G650,$H$7:$H650,"&lt;&gt;Mahsup"))</f>
        <v/>
      </c>
    </row>
    <row r="651" spans="1:21" ht="18" customHeight="1" x14ac:dyDescent="0.3">
      <c r="A651" s="2"/>
      <c r="B651" s="65" t="str">
        <f>IF($D651="","","T"&amp;TEXT(ROW()-6,"00000"))</f>
        <v/>
      </c>
      <c r="C651" s="65" t="str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61"/>
      <c r="E651" s="66"/>
      <c r="F651" s="67"/>
      <c r="G651" s="60"/>
      <c r="H651" s="60"/>
      <c r="I651" s="61"/>
      <c r="J651" s="61"/>
      <c r="K651" s="61"/>
      <c r="L651" s="73" t="str">
        <f>IF($E651="","",DATE(YEAR($E651),MONTH($E651),1))</f>
        <v/>
      </c>
      <c r="M651" s="65" t="str">
        <f ca="1">IF($D651="","",IF($C651="TANIMSIZ MÜŞTERİ","HATA",IF(OR($E651="",$F651&lt;=0,$G651=""),"EKSİK",IF($E651&gt;TODAY(),"İLERİ TARİH",IF(COUNTIF($S$7:$S$2503,$S651)&gt;1,"MÜKERRER?",IF($T651&gt;0,"KAPALI DÖNEM","UYGUN"))))))</f>
        <v/>
      </c>
      <c r="N651" s="74" t="str">
        <f>IF($C651="","",IF($C651="TANIMSIZ MÜŞTERİ","—",INDEX(MUSTERILER!$C$7:$C$156,MATCH($C651,MUSTERILER!$B$7:$B$156,0))))</f>
        <v/>
      </c>
      <c r="O651" s="2"/>
      <c r="P651" s="2"/>
      <c r="Q651" s="1" t="str">
        <f>IF($D651="","",$C651&amp;"|"&amp;COUNTIFS($C$7:$C651,$C651))</f>
        <v/>
      </c>
      <c r="R651" s="1" t="str">
        <f t="shared" si="20"/>
        <v/>
      </c>
      <c r="S651" s="1" t="str">
        <f t="shared" si="21"/>
        <v/>
      </c>
      <c r="T651" s="1">
        <f>IF($E651="",0,SUMPRODUCT((AY_SONU!$O$7:$O$42="Evet")*(AY_SONU!$B$7:$B$42=DATE(YEAR($E651),MONTH($E651),1))))</f>
        <v>0</v>
      </c>
      <c r="U651" s="1" t="str">
        <f>IF(OR($G651="",$H651="Mahsup"),"",$G651&amp;"|"&amp;COUNTIFS($G$7:$G651,$G651,$H$7:$H651,"&lt;&gt;Mahsup"))</f>
        <v/>
      </c>
    </row>
    <row r="652" spans="1:21" ht="18" customHeight="1" x14ac:dyDescent="0.3">
      <c r="A652" s="2"/>
      <c r="B652" s="65" t="str">
        <f>IF($D652="","","T"&amp;TEXT(ROW()-6,"00000"))</f>
        <v/>
      </c>
      <c r="C652" s="65" t="str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61"/>
      <c r="E652" s="66"/>
      <c r="F652" s="67"/>
      <c r="G652" s="60"/>
      <c r="H652" s="60"/>
      <c r="I652" s="61"/>
      <c r="J652" s="61"/>
      <c r="K652" s="61"/>
      <c r="L652" s="73" t="str">
        <f>IF($E652="","",DATE(YEAR($E652),MONTH($E652),1))</f>
        <v/>
      </c>
      <c r="M652" s="65" t="str">
        <f ca="1">IF($D652="","",IF($C652="TANIMSIZ MÜŞTERİ","HATA",IF(OR($E652="",$F652&lt;=0,$G652=""),"EKSİK",IF($E652&gt;TODAY(),"İLERİ TARİH",IF(COUNTIF($S$7:$S$2503,$S652)&gt;1,"MÜKERRER?",IF($T652&gt;0,"KAPALI DÖNEM","UYGUN"))))))</f>
        <v/>
      </c>
      <c r="N652" s="74" t="str">
        <f>IF($C652="","",IF($C652="TANIMSIZ MÜŞTERİ","—",INDEX(MUSTERILER!$C$7:$C$156,MATCH($C652,MUSTERILER!$B$7:$B$156,0))))</f>
        <v/>
      </c>
      <c r="O652" s="2"/>
      <c r="P652" s="2"/>
      <c r="Q652" s="1" t="str">
        <f>IF($D652="","",$C652&amp;"|"&amp;COUNTIFS($C$7:$C652,$C652))</f>
        <v/>
      </c>
      <c r="R652" s="1" t="str">
        <f t="shared" si="20"/>
        <v/>
      </c>
      <c r="S652" s="1" t="str">
        <f t="shared" si="21"/>
        <v/>
      </c>
      <c r="T652" s="1">
        <f>IF($E652="",0,SUMPRODUCT((AY_SONU!$O$7:$O$42="Evet")*(AY_SONU!$B$7:$B$42=DATE(YEAR($E652),MONTH($E652),1))))</f>
        <v>0</v>
      </c>
      <c r="U652" s="1" t="str">
        <f>IF(OR($G652="",$H652="Mahsup"),"",$G652&amp;"|"&amp;COUNTIFS($G$7:$G652,$G652,$H$7:$H652,"&lt;&gt;Mahsup"))</f>
        <v/>
      </c>
    </row>
    <row r="653" spans="1:21" ht="18" customHeight="1" x14ac:dyDescent="0.3">
      <c r="A653" s="2"/>
      <c r="B653" s="65" t="str">
        <f>IF($D653="","","T"&amp;TEXT(ROW()-6,"00000"))</f>
        <v/>
      </c>
      <c r="C653" s="65" t="str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61"/>
      <c r="E653" s="66"/>
      <c r="F653" s="67"/>
      <c r="G653" s="60"/>
      <c r="H653" s="60"/>
      <c r="I653" s="61"/>
      <c r="J653" s="61"/>
      <c r="K653" s="61"/>
      <c r="L653" s="73" t="str">
        <f>IF($E653="","",DATE(YEAR($E653),MONTH($E653),1))</f>
        <v/>
      </c>
      <c r="M653" s="65" t="str">
        <f ca="1">IF($D653="","",IF($C653="TANIMSIZ MÜŞTERİ","HATA",IF(OR($E653="",$F653&lt;=0,$G653=""),"EKSİK",IF($E653&gt;TODAY(),"İLERİ TARİH",IF(COUNTIF($S$7:$S$2503,$S653)&gt;1,"MÜKERRER?",IF($T653&gt;0,"KAPALI DÖNEM","UYGUN"))))))</f>
        <v/>
      </c>
      <c r="N653" s="74" t="str">
        <f>IF($C653="","",IF($C653="TANIMSIZ MÜŞTERİ","—",INDEX(MUSTERILER!$C$7:$C$156,MATCH($C653,MUSTERILER!$B$7:$B$156,0))))</f>
        <v/>
      </c>
      <c r="O653" s="2"/>
      <c r="P653" s="2"/>
      <c r="Q653" s="1" t="str">
        <f>IF($D653="","",$C653&amp;"|"&amp;COUNTIFS($C$7:$C653,$C653))</f>
        <v/>
      </c>
      <c r="R653" s="1" t="str">
        <f t="shared" si="20"/>
        <v/>
      </c>
      <c r="S653" s="1" t="str">
        <f t="shared" si="21"/>
        <v/>
      </c>
      <c r="T653" s="1">
        <f>IF($E653="",0,SUMPRODUCT((AY_SONU!$O$7:$O$42="Evet")*(AY_SONU!$B$7:$B$42=DATE(YEAR($E653),MONTH($E653),1))))</f>
        <v>0</v>
      </c>
      <c r="U653" s="1" t="str">
        <f>IF(OR($G653="",$H653="Mahsup"),"",$G653&amp;"|"&amp;COUNTIFS($G$7:$G653,$G653,$H$7:$H653,"&lt;&gt;Mahsup"))</f>
        <v/>
      </c>
    </row>
    <row r="654" spans="1:21" ht="18" customHeight="1" x14ac:dyDescent="0.3">
      <c r="A654" s="2"/>
      <c r="B654" s="65" t="str">
        <f>IF($D654="","","T"&amp;TEXT(ROW()-6,"00000"))</f>
        <v/>
      </c>
      <c r="C654" s="65" t="str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61"/>
      <c r="E654" s="66"/>
      <c r="F654" s="67"/>
      <c r="G654" s="60"/>
      <c r="H654" s="60"/>
      <c r="I654" s="61"/>
      <c r="J654" s="61"/>
      <c r="K654" s="61"/>
      <c r="L654" s="73" t="str">
        <f>IF($E654="","",DATE(YEAR($E654),MONTH($E654),1))</f>
        <v/>
      </c>
      <c r="M654" s="65" t="str">
        <f ca="1">IF($D654="","",IF($C654="TANIMSIZ MÜŞTERİ","HATA",IF(OR($E654="",$F654&lt;=0,$G654=""),"EKSİK",IF($E654&gt;TODAY(),"İLERİ TARİH",IF(COUNTIF($S$7:$S$2503,$S654)&gt;1,"MÜKERRER?",IF($T654&gt;0,"KAPALI DÖNEM","UYGUN"))))))</f>
        <v/>
      </c>
      <c r="N654" s="74" t="str">
        <f>IF($C654="","",IF($C654="TANIMSIZ MÜŞTERİ","—",INDEX(MUSTERILER!$C$7:$C$156,MATCH($C654,MUSTERILER!$B$7:$B$156,0))))</f>
        <v/>
      </c>
      <c r="O654" s="2"/>
      <c r="P654" s="2"/>
      <c r="Q654" s="1" t="str">
        <f>IF($D654="","",$C654&amp;"|"&amp;COUNTIFS($C$7:$C654,$C654))</f>
        <v/>
      </c>
      <c r="R654" s="1" t="str">
        <f t="shared" si="20"/>
        <v/>
      </c>
      <c r="S654" s="1" t="str">
        <f t="shared" si="21"/>
        <v/>
      </c>
      <c r="T654" s="1">
        <f>IF($E654="",0,SUMPRODUCT((AY_SONU!$O$7:$O$42="Evet")*(AY_SONU!$B$7:$B$42=DATE(YEAR($E654),MONTH($E654),1))))</f>
        <v>0</v>
      </c>
      <c r="U654" s="1" t="str">
        <f>IF(OR($G654="",$H654="Mahsup"),"",$G654&amp;"|"&amp;COUNTIFS($G$7:$G654,$G654,$H$7:$H654,"&lt;&gt;Mahsup"))</f>
        <v/>
      </c>
    </row>
    <row r="655" spans="1:21" ht="18" customHeight="1" x14ac:dyDescent="0.3">
      <c r="A655" s="2"/>
      <c r="B655" s="65" t="str">
        <f>IF($D655="","","T"&amp;TEXT(ROW()-6,"00000"))</f>
        <v/>
      </c>
      <c r="C655" s="65" t="str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61"/>
      <c r="E655" s="66"/>
      <c r="F655" s="67"/>
      <c r="G655" s="60"/>
      <c r="H655" s="60"/>
      <c r="I655" s="61"/>
      <c r="J655" s="61"/>
      <c r="K655" s="61"/>
      <c r="L655" s="73" t="str">
        <f>IF($E655="","",DATE(YEAR($E655),MONTH($E655),1))</f>
        <v/>
      </c>
      <c r="M655" s="65" t="str">
        <f ca="1">IF($D655="","",IF($C655="TANIMSIZ MÜŞTERİ","HATA",IF(OR($E655="",$F655&lt;=0,$G655=""),"EKSİK",IF($E655&gt;TODAY(),"İLERİ TARİH",IF(COUNTIF($S$7:$S$2503,$S655)&gt;1,"MÜKERRER?",IF($T655&gt;0,"KAPALI DÖNEM","UYGUN"))))))</f>
        <v/>
      </c>
      <c r="N655" s="74" t="str">
        <f>IF($C655="","",IF($C655="TANIMSIZ MÜŞTERİ","—",INDEX(MUSTERILER!$C$7:$C$156,MATCH($C655,MUSTERILER!$B$7:$B$156,0))))</f>
        <v/>
      </c>
      <c r="O655" s="2"/>
      <c r="P655" s="2"/>
      <c r="Q655" s="1" t="str">
        <f>IF($D655="","",$C655&amp;"|"&amp;COUNTIFS($C$7:$C655,$C655))</f>
        <v/>
      </c>
      <c r="R655" s="1" t="str">
        <f t="shared" si="20"/>
        <v/>
      </c>
      <c r="S655" s="1" t="str">
        <f t="shared" si="21"/>
        <v/>
      </c>
      <c r="T655" s="1">
        <f>IF($E655="",0,SUMPRODUCT((AY_SONU!$O$7:$O$42="Evet")*(AY_SONU!$B$7:$B$42=DATE(YEAR($E655),MONTH($E655),1))))</f>
        <v>0</v>
      </c>
      <c r="U655" s="1" t="str">
        <f>IF(OR($G655="",$H655="Mahsup"),"",$G655&amp;"|"&amp;COUNTIFS($G$7:$G655,$G655,$H$7:$H655,"&lt;&gt;Mahsup"))</f>
        <v/>
      </c>
    </row>
    <row r="656" spans="1:21" ht="18" customHeight="1" x14ac:dyDescent="0.3">
      <c r="A656" s="2"/>
      <c r="B656" s="65" t="str">
        <f>IF($D656="","","T"&amp;TEXT(ROW()-6,"00000"))</f>
        <v/>
      </c>
      <c r="C656" s="65" t="str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61"/>
      <c r="E656" s="66"/>
      <c r="F656" s="67"/>
      <c r="G656" s="60"/>
      <c r="H656" s="60"/>
      <c r="I656" s="61"/>
      <c r="J656" s="61"/>
      <c r="K656" s="61"/>
      <c r="L656" s="73" t="str">
        <f>IF($E656="","",DATE(YEAR($E656),MONTH($E656),1))</f>
        <v/>
      </c>
      <c r="M656" s="65" t="str">
        <f ca="1">IF($D656="","",IF($C656="TANIMSIZ MÜŞTERİ","HATA",IF(OR($E656="",$F656&lt;=0,$G656=""),"EKSİK",IF($E656&gt;TODAY(),"İLERİ TARİH",IF(COUNTIF($S$7:$S$2503,$S656)&gt;1,"MÜKERRER?",IF($T656&gt;0,"KAPALI DÖNEM","UYGUN"))))))</f>
        <v/>
      </c>
      <c r="N656" s="74" t="str">
        <f>IF($C656="","",IF($C656="TANIMSIZ MÜŞTERİ","—",INDEX(MUSTERILER!$C$7:$C$156,MATCH($C656,MUSTERILER!$B$7:$B$156,0))))</f>
        <v/>
      </c>
      <c r="O656" s="2"/>
      <c r="P656" s="2"/>
      <c r="Q656" s="1" t="str">
        <f>IF($D656="","",$C656&amp;"|"&amp;COUNTIFS($C$7:$C656,$C656))</f>
        <v/>
      </c>
      <c r="R656" s="1" t="str">
        <f t="shared" si="20"/>
        <v/>
      </c>
      <c r="S656" s="1" t="str">
        <f t="shared" si="21"/>
        <v/>
      </c>
      <c r="T656" s="1">
        <f>IF($E656="",0,SUMPRODUCT((AY_SONU!$O$7:$O$42="Evet")*(AY_SONU!$B$7:$B$42=DATE(YEAR($E656),MONTH($E656),1))))</f>
        <v>0</v>
      </c>
      <c r="U656" s="1" t="str">
        <f>IF(OR($G656="",$H656="Mahsup"),"",$G656&amp;"|"&amp;COUNTIFS($G$7:$G656,$G656,$H$7:$H656,"&lt;&gt;Mahsup"))</f>
        <v/>
      </c>
    </row>
    <row r="657" spans="1:21" ht="18" customHeight="1" x14ac:dyDescent="0.3">
      <c r="A657" s="2"/>
      <c r="B657" s="65" t="str">
        <f>IF($D657="","","T"&amp;TEXT(ROW()-6,"00000"))</f>
        <v/>
      </c>
      <c r="C657" s="65" t="str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61"/>
      <c r="E657" s="66"/>
      <c r="F657" s="67"/>
      <c r="G657" s="60"/>
      <c r="H657" s="60"/>
      <c r="I657" s="61"/>
      <c r="J657" s="61"/>
      <c r="K657" s="61"/>
      <c r="L657" s="73" t="str">
        <f>IF($E657="","",DATE(YEAR($E657),MONTH($E657),1))</f>
        <v/>
      </c>
      <c r="M657" s="65" t="str">
        <f ca="1">IF($D657="","",IF($C657="TANIMSIZ MÜŞTERİ","HATA",IF(OR($E657="",$F657&lt;=0,$G657=""),"EKSİK",IF($E657&gt;TODAY(),"İLERİ TARİH",IF(COUNTIF($S$7:$S$2503,$S657)&gt;1,"MÜKERRER?",IF($T657&gt;0,"KAPALI DÖNEM","UYGUN"))))))</f>
        <v/>
      </c>
      <c r="N657" s="74" t="str">
        <f>IF($C657="","",IF($C657="TANIMSIZ MÜŞTERİ","—",INDEX(MUSTERILER!$C$7:$C$156,MATCH($C657,MUSTERILER!$B$7:$B$156,0))))</f>
        <v/>
      </c>
      <c r="O657" s="2"/>
      <c r="P657" s="2"/>
      <c r="Q657" s="1" t="str">
        <f>IF($D657="","",$C657&amp;"|"&amp;COUNTIFS($C$7:$C657,$C657))</f>
        <v/>
      </c>
      <c r="R657" s="1" t="str">
        <f t="shared" si="20"/>
        <v/>
      </c>
      <c r="S657" s="1" t="str">
        <f t="shared" si="21"/>
        <v/>
      </c>
      <c r="T657" s="1">
        <f>IF($E657="",0,SUMPRODUCT((AY_SONU!$O$7:$O$42="Evet")*(AY_SONU!$B$7:$B$42=DATE(YEAR($E657),MONTH($E657),1))))</f>
        <v>0</v>
      </c>
      <c r="U657" s="1" t="str">
        <f>IF(OR($G657="",$H657="Mahsup"),"",$G657&amp;"|"&amp;COUNTIFS($G$7:$G657,$G657,$H$7:$H657,"&lt;&gt;Mahsup"))</f>
        <v/>
      </c>
    </row>
    <row r="658" spans="1:21" ht="18" customHeight="1" x14ac:dyDescent="0.3">
      <c r="A658" s="2"/>
      <c r="B658" s="65" t="str">
        <f>IF($D658="","","T"&amp;TEXT(ROW()-6,"00000"))</f>
        <v/>
      </c>
      <c r="C658" s="65" t="str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61"/>
      <c r="E658" s="66"/>
      <c r="F658" s="67"/>
      <c r="G658" s="60"/>
      <c r="H658" s="60"/>
      <c r="I658" s="61"/>
      <c r="J658" s="61"/>
      <c r="K658" s="61"/>
      <c r="L658" s="73" t="str">
        <f>IF($E658="","",DATE(YEAR($E658),MONTH($E658),1))</f>
        <v/>
      </c>
      <c r="M658" s="65" t="str">
        <f ca="1">IF($D658="","",IF($C658="TANIMSIZ MÜŞTERİ","HATA",IF(OR($E658="",$F658&lt;=0,$G658=""),"EKSİK",IF($E658&gt;TODAY(),"İLERİ TARİH",IF(COUNTIF($S$7:$S$2503,$S658)&gt;1,"MÜKERRER?",IF($T658&gt;0,"KAPALI DÖNEM","UYGUN"))))))</f>
        <v/>
      </c>
      <c r="N658" s="74" t="str">
        <f>IF($C658="","",IF($C658="TANIMSIZ MÜŞTERİ","—",INDEX(MUSTERILER!$C$7:$C$156,MATCH($C658,MUSTERILER!$B$7:$B$156,0))))</f>
        <v/>
      </c>
      <c r="O658" s="2"/>
      <c r="P658" s="2"/>
      <c r="Q658" s="1" t="str">
        <f>IF($D658="","",$C658&amp;"|"&amp;COUNTIFS($C$7:$C658,$C658))</f>
        <v/>
      </c>
      <c r="R658" s="1" t="str">
        <f t="shared" si="20"/>
        <v/>
      </c>
      <c r="S658" s="1" t="str">
        <f t="shared" si="21"/>
        <v/>
      </c>
      <c r="T658" s="1">
        <f>IF($E658="",0,SUMPRODUCT((AY_SONU!$O$7:$O$42="Evet")*(AY_SONU!$B$7:$B$42=DATE(YEAR($E658),MONTH($E658),1))))</f>
        <v>0</v>
      </c>
      <c r="U658" s="1" t="str">
        <f>IF(OR($G658="",$H658="Mahsup"),"",$G658&amp;"|"&amp;COUNTIFS($G$7:$G658,$G658,$H$7:$H658,"&lt;&gt;Mahsup"))</f>
        <v/>
      </c>
    </row>
    <row r="659" spans="1:21" ht="18" customHeight="1" x14ac:dyDescent="0.3">
      <c r="A659" s="2"/>
      <c r="B659" s="65" t="str">
        <f>IF($D659="","","T"&amp;TEXT(ROW()-6,"00000"))</f>
        <v/>
      </c>
      <c r="C659" s="65" t="str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61"/>
      <c r="E659" s="66"/>
      <c r="F659" s="67"/>
      <c r="G659" s="60"/>
      <c r="H659" s="60"/>
      <c r="I659" s="61"/>
      <c r="J659" s="61"/>
      <c r="K659" s="61"/>
      <c r="L659" s="73" t="str">
        <f>IF($E659="","",DATE(YEAR($E659),MONTH($E659),1))</f>
        <v/>
      </c>
      <c r="M659" s="65" t="str">
        <f ca="1">IF($D659="","",IF($C659="TANIMSIZ MÜŞTERİ","HATA",IF(OR($E659="",$F659&lt;=0,$G659=""),"EKSİK",IF($E659&gt;TODAY(),"İLERİ TARİH",IF(COUNTIF($S$7:$S$2503,$S659)&gt;1,"MÜKERRER?",IF($T659&gt;0,"KAPALI DÖNEM","UYGUN"))))))</f>
        <v/>
      </c>
      <c r="N659" s="74" t="str">
        <f>IF($C659="","",IF($C659="TANIMSIZ MÜŞTERİ","—",INDEX(MUSTERILER!$C$7:$C$156,MATCH($C659,MUSTERILER!$B$7:$B$156,0))))</f>
        <v/>
      </c>
      <c r="O659" s="2"/>
      <c r="P659" s="2"/>
      <c r="Q659" s="1" t="str">
        <f>IF($D659="","",$C659&amp;"|"&amp;COUNTIFS($C$7:$C659,$C659))</f>
        <v/>
      </c>
      <c r="R659" s="1" t="str">
        <f t="shared" si="20"/>
        <v/>
      </c>
      <c r="S659" s="1" t="str">
        <f t="shared" si="21"/>
        <v/>
      </c>
      <c r="T659" s="1">
        <f>IF($E659="",0,SUMPRODUCT((AY_SONU!$O$7:$O$42="Evet")*(AY_SONU!$B$7:$B$42=DATE(YEAR($E659),MONTH($E659),1))))</f>
        <v>0</v>
      </c>
      <c r="U659" s="1" t="str">
        <f>IF(OR($G659="",$H659="Mahsup"),"",$G659&amp;"|"&amp;COUNTIFS($G$7:$G659,$G659,$H$7:$H659,"&lt;&gt;Mahsup"))</f>
        <v/>
      </c>
    </row>
    <row r="660" spans="1:21" ht="18" customHeight="1" x14ac:dyDescent="0.3">
      <c r="A660" s="2"/>
      <c r="B660" s="65" t="str">
        <f>IF($D660="","","T"&amp;TEXT(ROW()-6,"00000"))</f>
        <v/>
      </c>
      <c r="C660" s="65" t="str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61"/>
      <c r="E660" s="66"/>
      <c r="F660" s="67"/>
      <c r="G660" s="60"/>
      <c r="H660" s="60"/>
      <c r="I660" s="61"/>
      <c r="J660" s="61"/>
      <c r="K660" s="61"/>
      <c r="L660" s="73" t="str">
        <f>IF($E660="","",DATE(YEAR($E660),MONTH($E660),1))</f>
        <v/>
      </c>
      <c r="M660" s="65" t="str">
        <f ca="1">IF($D660="","",IF($C660="TANIMSIZ MÜŞTERİ","HATA",IF(OR($E660="",$F660&lt;=0,$G660=""),"EKSİK",IF($E660&gt;TODAY(),"İLERİ TARİH",IF(COUNTIF($S$7:$S$2503,$S660)&gt;1,"MÜKERRER?",IF($T660&gt;0,"KAPALI DÖNEM","UYGUN"))))))</f>
        <v/>
      </c>
      <c r="N660" s="74" t="str">
        <f>IF($C660="","",IF($C660="TANIMSIZ MÜŞTERİ","—",INDEX(MUSTERILER!$C$7:$C$156,MATCH($C660,MUSTERILER!$B$7:$B$156,0))))</f>
        <v/>
      </c>
      <c r="O660" s="2"/>
      <c r="P660" s="2"/>
      <c r="Q660" s="1" t="str">
        <f>IF($D660="","",$C660&amp;"|"&amp;COUNTIFS($C$7:$C660,$C660))</f>
        <v/>
      </c>
      <c r="R660" s="1" t="str">
        <f t="shared" si="20"/>
        <v/>
      </c>
      <c r="S660" s="1" t="str">
        <f t="shared" si="21"/>
        <v/>
      </c>
      <c r="T660" s="1">
        <f>IF($E660="",0,SUMPRODUCT((AY_SONU!$O$7:$O$42="Evet")*(AY_SONU!$B$7:$B$42=DATE(YEAR($E660),MONTH($E660),1))))</f>
        <v>0</v>
      </c>
      <c r="U660" s="1" t="str">
        <f>IF(OR($G660="",$H660="Mahsup"),"",$G660&amp;"|"&amp;COUNTIFS($G$7:$G660,$G660,$H$7:$H660,"&lt;&gt;Mahsup"))</f>
        <v/>
      </c>
    </row>
    <row r="661" spans="1:21" ht="18" customHeight="1" x14ac:dyDescent="0.3">
      <c r="A661" s="2"/>
      <c r="B661" s="65" t="str">
        <f>IF($D661="","","T"&amp;TEXT(ROW()-6,"00000"))</f>
        <v/>
      </c>
      <c r="C661" s="65" t="str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61"/>
      <c r="E661" s="66"/>
      <c r="F661" s="67"/>
      <c r="G661" s="60"/>
      <c r="H661" s="60"/>
      <c r="I661" s="61"/>
      <c r="J661" s="61"/>
      <c r="K661" s="61"/>
      <c r="L661" s="73" t="str">
        <f>IF($E661="","",DATE(YEAR($E661),MONTH($E661),1))</f>
        <v/>
      </c>
      <c r="M661" s="65" t="str">
        <f ca="1">IF($D661="","",IF($C661="TANIMSIZ MÜŞTERİ","HATA",IF(OR($E661="",$F661&lt;=0,$G661=""),"EKSİK",IF($E661&gt;TODAY(),"İLERİ TARİH",IF(COUNTIF($S$7:$S$2503,$S661)&gt;1,"MÜKERRER?",IF($T661&gt;0,"KAPALI DÖNEM","UYGUN"))))))</f>
        <v/>
      </c>
      <c r="N661" s="74" t="str">
        <f>IF($C661="","",IF($C661="TANIMSIZ MÜŞTERİ","—",INDEX(MUSTERILER!$C$7:$C$156,MATCH($C661,MUSTERILER!$B$7:$B$156,0))))</f>
        <v/>
      </c>
      <c r="O661" s="2"/>
      <c r="P661" s="2"/>
      <c r="Q661" s="1" t="str">
        <f>IF($D661="","",$C661&amp;"|"&amp;COUNTIFS($C$7:$C661,$C661))</f>
        <v/>
      </c>
      <c r="R661" s="1" t="str">
        <f t="shared" si="20"/>
        <v/>
      </c>
      <c r="S661" s="1" t="str">
        <f t="shared" si="21"/>
        <v/>
      </c>
      <c r="T661" s="1">
        <f>IF($E661="",0,SUMPRODUCT((AY_SONU!$O$7:$O$42="Evet")*(AY_SONU!$B$7:$B$42=DATE(YEAR($E661),MONTH($E661),1))))</f>
        <v>0</v>
      </c>
      <c r="U661" s="1" t="str">
        <f>IF(OR($G661="",$H661="Mahsup"),"",$G661&amp;"|"&amp;COUNTIFS($G$7:$G661,$G661,$H$7:$H661,"&lt;&gt;Mahsup"))</f>
        <v/>
      </c>
    </row>
    <row r="662" spans="1:21" ht="18" customHeight="1" x14ac:dyDescent="0.3">
      <c r="A662" s="2"/>
      <c r="B662" s="65" t="str">
        <f>IF($D662="","","T"&amp;TEXT(ROW()-6,"00000"))</f>
        <v/>
      </c>
      <c r="C662" s="65" t="str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61"/>
      <c r="E662" s="66"/>
      <c r="F662" s="67"/>
      <c r="G662" s="60"/>
      <c r="H662" s="60"/>
      <c r="I662" s="61"/>
      <c r="J662" s="61"/>
      <c r="K662" s="61"/>
      <c r="L662" s="73" t="str">
        <f>IF($E662="","",DATE(YEAR($E662),MONTH($E662),1))</f>
        <v/>
      </c>
      <c r="M662" s="65" t="str">
        <f ca="1">IF($D662="","",IF($C662="TANIMSIZ MÜŞTERİ","HATA",IF(OR($E662="",$F662&lt;=0,$G662=""),"EKSİK",IF($E662&gt;TODAY(),"İLERİ TARİH",IF(COUNTIF($S$7:$S$2503,$S662)&gt;1,"MÜKERRER?",IF($T662&gt;0,"KAPALI DÖNEM","UYGUN"))))))</f>
        <v/>
      </c>
      <c r="N662" s="74" t="str">
        <f>IF($C662="","",IF($C662="TANIMSIZ MÜŞTERİ","—",INDEX(MUSTERILER!$C$7:$C$156,MATCH($C662,MUSTERILER!$B$7:$B$156,0))))</f>
        <v/>
      </c>
      <c r="O662" s="2"/>
      <c r="P662" s="2"/>
      <c r="Q662" s="1" t="str">
        <f>IF($D662="","",$C662&amp;"|"&amp;COUNTIFS($C$7:$C662,$C662))</f>
        <v/>
      </c>
      <c r="R662" s="1" t="str">
        <f t="shared" si="20"/>
        <v/>
      </c>
      <c r="S662" s="1" t="str">
        <f t="shared" si="21"/>
        <v/>
      </c>
      <c r="T662" s="1">
        <f>IF($E662="",0,SUMPRODUCT((AY_SONU!$O$7:$O$42="Evet")*(AY_SONU!$B$7:$B$42=DATE(YEAR($E662),MONTH($E662),1))))</f>
        <v>0</v>
      </c>
      <c r="U662" s="1" t="str">
        <f>IF(OR($G662="",$H662="Mahsup"),"",$G662&amp;"|"&amp;COUNTIFS($G$7:$G662,$G662,$H$7:$H662,"&lt;&gt;Mahsup"))</f>
        <v/>
      </c>
    </row>
    <row r="663" spans="1:21" ht="18" customHeight="1" x14ac:dyDescent="0.3">
      <c r="A663" s="2"/>
      <c r="B663" s="65" t="str">
        <f>IF($D663="","","T"&amp;TEXT(ROW()-6,"00000"))</f>
        <v/>
      </c>
      <c r="C663" s="65" t="str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61"/>
      <c r="E663" s="66"/>
      <c r="F663" s="67"/>
      <c r="G663" s="60"/>
      <c r="H663" s="60"/>
      <c r="I663" s="61"/>
      <c r="J663" s="61"/>
      <c r="K663" s="61"/>
      <c r="L663" s="73" t="str">
        <f>IF($E663="","",DATE(YEAR($E663),MONTH($E663),1))</f>
        <v/>
      </c>
      <c r="M663" s="65" t="str">
        <f ca="1">IF($D663="","",IF($C663="TANIMSIZ MÜŞTERİ","HATA",IF(OR($E663="",$F663&lt;=0,$G663=""),"EKSİK",IF($E663&gt;TODAY(),"İLERİ TARİH",IF(COUNTIF($S$7:$S$2503,$S663)&gt;1,"MÜKERRER?",IF($T663&gt;0,"KAPALI DÖNEM","UYGUN"))))))</f>
        <v/>
      </c>
      <c r="N663" s="74" t="str">
        <f>IF($C663="","",IF($C663="TANIMSIZ MÜŞTERİ","—",INDEX(MUSTERILER!$C$7:$C$156,MATCH($C663,MUSTERILER!$B$7:$B$156,0))))</f>
        <v/>
      </c>
      <c r="O663" s="2"/>
      <c r="P663" s="2"/>
      <c r="Q663" s="1" t="str">
        <f>IF($D663="","",$C663&amp;"|"&amp;COUNTIFS($C$7:$C663,$C663))</f>
        <v/>
      </c>
      <c r="R663" s="1" t="str">
        <f t="shared" si="20"/>
        <v/>
      </c>
      <c r="S663" s="1" t="str">
        <f t="shared" si="21"/>
        <v/>
      </c>
      <c r="T663" s="1">
        <f>IF($E663="",0,SUMPRODUCT((AY_SONU!$O$7:$O$42="Evet")*(AY_SONU!$B$7:$B$42=DATE(YEAR($E663),MONTH($E663),1))))</f>
        <v>0</v>
      </c>
      <c r="U663" s="1" t="str">
        <f>IF(OR($G663="",$H663="Mahsup"),"",$G663&amp;"|"&amp;COUNTIFS($G$7:$G663,$G663,$H$7:$H663,"&lt;&gt;Mahsup"))</f>
        <v/>
      </c>
    </row>
    <row r="664" spans="1:21" ht="18" customHeight="1" x14ac:dyDescent="0.3">
      <c r="A664" s="2"/>
      <c r="B664" s="65" t="str">
        <f>IF($D664="","","T"&amp;TEXT(ROW()-6,"00000"))</f>
        <v/>
      </c>
      <c r="C664" s="65" t="str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61"/>
      <c r="E664" s="66"/>
      <c r="F664" s="67"/>
      <c r="G664" s="60"/>
      <c r="H664" s="60"/>
      <c r="I664" s="61"/>
      <c r="J664" s="61"/>
      <c r="K664" s="61"/>
      <c r="L664" s="73" t="str">
        <f>IF($E664="","",DATE(YEAR($E664),MONTH($E664),1))</f>
        <v/>
      </c>
      <c r="M664" s="65" t="str">
        <f ca="1">IF($D664="","",IF($C664="TANIMSIZ MÜŞTERİ","HATA",IF(OR($E664="",$F664&lt;=0,$G664=""),"EKSİK",IF($E664&gt;TODAY(),"İLERİ TARİH",IF(COUNTIF($S$7:$S$2503,$S664)&gt;1,"MÜKERRER?",IF($T664&gt;0,"KAPALI DÖNEM","UYGUN"))))))</f>
        <v/>
      </c>
      <c r="N664" s="74" t="str">
        <f>IF($C664="","",IF($C664="TANIMSIZ MÜŞTERİ","—",INDEX(MUSTERILER!$C$7:$C$156,MATCH($C664,MUSTERILER!$B$7:$B$156,0))))</f>
        <v/>
      </c>
      <c r="O664" s="2"/>
      <c r="P664" s="2"/>
      <c r="Q664" s="1" t="str">
        <f>IF($D664="","",$C664&amp;"|"&amp;COUNTIFS($C$7:$C664,$C664))</f>
        <v/>
      </c>
      <c r="R664" s="1" t="str">
        <f t="shared" si="20"/>
        <v/>
      </c>
      <c r="S664" s="1" t="str">
        <f t="shared" si="21"/>
        <v/>
      </c>
      <c r="T664" s="1">
        <f>IF($E664="",0,SUMPRODUCT((AY_SONU!$O$7:$O$42="Evet")*(AY_SONU!$B$7:$B$42=DATE(YEAR($E664),MONTH($E664),1))))</f>
        <v>0</v>
      </c>
      <c r="U664" s="1" t="str">
        <f>IF(OR($G664="",$H664="Mahsup"),"",$G664&amp;"|"&amp;COUNTIFS($G$7:$G664,$G664,$H$7:$H664,"&lt;&gt;Mahsup"))</f>
        <v/>
      </c>
    </row>
    <row r="665" spans="1:21" ht="18" customHeight="1" x14ac:dyDescent="0.3">
      <c r="A665" s="2"/>
      <c r="B665" s="65" t="str">
        <f>IF($D665="","","T"&amp;TEXT(ROW()-6,"00000"))</f>
        <v/>
      </c>
      <c r="C665" s="65" t="str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61"/>
      <c r="E665" s="66"/>
      <c r="F665" s="67"/>
      <c r="G665" s="60"/>
      <c r="H665" s="60"/>
      <c r="I665" s="61"/>
      <c r="J665" s="61"/>
      <c r="K665" s="61"/>
      <c r="L665" s="73" t="str">
        <f>IF($E665="","",DATE(YEAR($E665),MONTH($E665),1))</f>
        <v/>
      </c>
      <c r="M665" s="65" t="str">
        <f ca="1">IF($D665="","",IF($C665="TANIMSIZ MÜŞTERİ","HATA",IF(OR($E665="",$F665&lt;=0,$G665=""),"EKSİK",IF($E665&gt;TODAY(),"İLERİ TARİH",IF(COUNTIF($S$7:$S$2503,$S665)&gt;1,"MÜKERRER?",IF($T665&gt;0,"KAPALI DÖNEM","UYGUN"))))))</f>
        <v/>
      </c>
      <c r="N665" s="74" t="str">
        <f>IF($C665="","",IF($C665="TANIMSIZ MÜŞTERİ","—",INDEX(MUSTERILER!$C$7:$C$156,MATCH($C665,MUSTERILER!$B$7:$B$156,0))))</f>
        <v/>
      </c>
      <c r="O665" s="2"/>
      <c r="P665" s="2"/>
      <c r="Q665" s="1" t="str">
        <f>IF($D665="","",$C665&amp;"|"&amp;COUNTIFS($C$7:$C665,$C665))</f>
        <v/>
      </c>
      <c r="R665" s="1" t="str">
        <f t="shared" si="20"/>
        <v/>
      </c>
      <c r="S665" s="1" t="str">
        <f t="shared" si="21"/>
        <v/>
      </c>
      <c r="T665" s="1">
        <f>IF($E665="",0,SUMPRODUCT((AY_SONU!$O$7:$O$42="Evet")*(AY_SONU!$B$7:$B$42=DATE(YEAR($E665),MONTH($E665),1))))</f>
        <v>0</v>
      </c>
      <c r="U665" s="1" t="str">
        <f>IF(OR($G665="",$H665="Mahsup"),"",$G665&amp;"|"&amp;COUNTIFS($G$7:$G665,$G665,$H$7:$H665,"&lt;&gt;Mahsup"))</f>
        <v/>
      </c>
    </row>
    <row r="666" spans="1:21" ht="18" customHeight="1" x14ac:dyDescent="0.3">
      <c r="A666" s="2"/>
      <c r="B666" s="65" t="str">
        <f>IF($D666="","","T"&amp;TEXT(ROW()-6,"00000"))</f>
        <v/>
      </c>
      <c r="C666" s="65" t="str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61"/>
      <c r="E666" s="66"/>
      <c r="F666" s="67"/>
      <c r="G666" s="60"/>
      <c r="H666" s="60"/>
      <c r="I666" s="61"/>
      <c r="J666" s="61"/>
      <c r="K666" s="61"/>
      <c r="L666" s="73" t="str">
        <f>IF($E666="","",DATE(YEAR($E666),MONTH($E666),1))</f>
        <v/>
      </c>
      <c r="M666" s="65" t="str">
        <f ca="1">IF($D666="","",IF($C666="TANIMSIZ MÜŞTERİ","HATA",IF(OR($E666="",$F666&lt;=0,$G666=""),"EKSİK",IF($E666&gt;TODAY(),"İLERİ TARİH",IF(COUNTIF($S$7:$S$2503,$S666)&gt;1,"MÜKERRER?",IF($T666&gt;0,"KAPALI DÖNEM","UYGUN"))))))</f>
        <v/>
      </c>
      <c r="N666" s="74" t="str">
        <f>IF($C666="","",IF($C666="TANIMSIZ MÜŞTERİ","—",INDEX(MUSTERILER!$C$7:$C$156,MATCH($C666,MUSTERILER!$B$7:$B$156,0))))</f>
        <v/>
      </c>
      <c r="O666" s="2"/>
      <c r="P666" s="2"/>
      <c r="Q666" s="1" t="str">
        <f>IF($D666="","",$C666&amp;"|"&amp;COUNTIFS($C$7:$C666,$C666))</f>
        <v/>
      </c>
      <c r="R666" s="1" t="str">
        <f t="shared" si="20"/>
        <v/>
      </c>
      <c r="S666" s="1" t="str">
        <f t="shared" si="21"/>
        <v/>
      </c>
      <c r="T666" s="1">
        <f>IF($E666="",0,SUMPRODUCT((AY_SONU!$O$7:$O$42="Evet")*(AY_SONU!$B$7:$B$42=DATE(YEAR($E666),MONTH($E666),1))))</f>
        <v>0</v>
      </c>
      <c r="U666" s="1" t="str">
        <f>IF(OR($G666="",$H666="Mahsup"),"",$G666&amp;"|"&amp;COUNTIFS($G$7:$G666,$G666,$H$7:$H666,"&lt;&gt;Mahsup"))</f>
        <v/>
      </c>
    </row>
    <row r="667" spans="1:21" ht="18" customHeight="1" x14ac:dyDescent="0.3">
      <c r="A667" s="2"/>
      <c r="B667" s="65" t="str">
        <f>IF($D667="","","T"&amp;TEXT(ROW()-6,"00000"))</f>
        <v/>
      </c>
      <c r="C667" s="65" t="str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61"/>
      <c r="E667" s="66"/>
      <c r="F667" s="67"/>
      <c r="G667" s="60"/>
      <c r="H667" s="60"/>
      <c r="I667" s="61"/>
      <c r="J667" s="61"/>
      <c r="K667" s="61"/>
      <c r="L667" s="73" t="str">
        <f>IF($E667="","",DATE(YEAR($E667),MONTH($E667),1))</f>
        <v/>
      </c>
      <c r="M667" s="65" t="str">
        <f ca="1">IF($D667="","",IF($C667="TANIMSIZ MÜŞTERİ","HATA",IF(OR($E667="",$F667&lt;=0,$G667=""),"EKSİK",IF($E667&gt;TODAY(),"İLERİ TARİH",IF(COUNTIF($S$7:$S$2503,$S667)&gt;1,"MÜKERRER?",IF($T667&gt;0,"KAPALI DÖNEM","UYGUN"))))))</f>
        <v/>
      </c>
      <c r="N667" s="74" t="str">
        <f>IF($C667="","",IF($C667="TANIMSIZ MÜŞTERİ","—",INDEX(MUSTERILER!$C$7:$C$156,MATCH($C667,MUSTERILER!$B$7:$B$156,0))))</f>
        <v/>
      </c>
      <c r="O667" s="2"/>
      <c r="P667" s="2"/>
      <c r="Q667" s="1" t="str">
        <f>IF($D667="","",$C667&amp;"|"&amp;COUNTIFS($C$7:$C667,$C667))</f>
        <v/>
      </c>
      <c r="R667" s="1" t="str">
        <f t="shared" si="20"/>
        <v/>
      </c>
      <c r="S667" s="1" t="str">
        <f t="shared" si="21"/>
        <v/>
      </c>
      <c r="T667" s="1">
        <f>IF($E667="",0,SUMPRODUCT((AY_SONU!$O$7:$O$42="Evet")*(AY_SONU!$B$7:$B$42=DATE(YEAR($E667),MONTH($E667),1))))</f>
        <v>0</v>
      </c>
      <c r="U667" s="1" t="str">
        <f>IF(OR($G667="",$H667="Mahsup"),"",$G667&amp;"|"&amp;COUNTIFS($G$7:$G667,$G667,$H$7:$H667,"&lt;&gt;Mahsup"))</f>
        <v/>
      </c>
    </row>
    <row r="668" spans="1:21" ht="18" customHeight="1" x14ac:dyDescent="0.3">
      <c r="A668" s="2"/>
      <c r="B668" s="65" t="str">
        <f>IF($D668="","","T"&amp;TEXT(ROW()-6,"00000"))</f>
        <v/>
      </c>
      <c r="C668" s="65" t="str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61"/>
      <c r="E668" s="66"/>
      <c r="F668" s="67"/>
      <c r="G668" s="60"/>
      <c r="H668" s="60"/>
      <c r="I668" s="61"/>
      <c r="J668" s="61"/>
      <c r="K668" s="61"/>
      <c r="L668" s="73" t="str">
        <f>IF($E668="","",DATE(YEAR($E668),MONTH($E668),1))</f>
        <v/>
      </c>
      <c r="M668" s="65" t="str">
        <f ca="1">IF($D668="","",IF($C668="TANIMSIZ MÜŞTERİ","HATA",IF(OR($E668="",$F668&lt;=0,$G668=""),"EKSİK",IF($E668&gt;TODAY(),"İLERİ TARİH",IF(COUNTIF($S$7:$S$2503,$S668)&gt;1,"MÜKERRER?",IF($T668&gt;0,"KAPALI DÖNEM","UYGUN"))))))</f>
        <v/>
      </c>
      <c r="N668" s="74" t="str">
        <f>IF($C668="","",IF($C668="TANIMSIZ MÜŞTERİ","—",INDEX(MUSTERILER!$C$7:$C$156,MATCH($C668,MUSTERILER!$B$7:$B$156,0))))</f>
        <v/>
      </c>
      <c r="O668" s="2"/>
      <c r="P668" s="2"/>
      <c r="Q668" s="1" t="str">
        <f>IF($D668="","",$C668&amp;"|"&amp;COUNTIFS($C$7:$C668,$C668))</f>
        <v/>
      </c>
      <c r="R668" s="1" t="str">
        <f t="shared" si="20"/>
        <v/>
      </c>
      <c r="S668" s="1" t="str">
        <f t="shared" si="21"/>
        <v/>
      </c>
      <c r="T668" s="1">
        <f>IF($E668="",0,SUMPRODUCT((AY_SONU!$O$7:$O$42="Evet")*(AY_SONU!$B$7:$B$42=DATE(YEAR($E668),MONTH($E668),1))))</f>
        <v>0</v>
      </c>
      <c r="U668" s="1" t="str">
        <f>IF(OR($G668="",$H668="Mahsup"),"",$G668&amp;"|"&amp;COUNTIFS($G$7:$G668,$G668,$H$7:$H668,"&lt;&gt;Mahsup"))</f>
        <v/>
      </c>
    </row>
    <row r="669" spans="1:21" ht="18" customHeight="1" x14ac:dyDescent="0.3">
      <c r="A669" s="2"/>
      <c r="B669" s="65" t="str">
        <f>IF($D669="","","T"&amp;TEXT(ROW()-6,"00000"))</f>
        <v/>
      </c>
      <c r="C669" s="65" t="str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61"/>
      <c r="E669" s="66"/>
      <c r="F669" s="67"/>
      <c r="G669" s="60"/>
      <c r="H669" s="60"/>
      <c r="I669" s="61"/>
      <c r="J669" s="61"/>
      <c r="K669" s="61"/>
      <c r="L669" s="73" t="str">
        <f>IF($E669="","",DATE(YEAR($E669),MONTH($E669),1))</f>
        <v/>
      </c>
      <c r="M669" s="65" t="str">
        <f ca="1">IF($D669="","",IF($C669="TANIMSIZ MÜŞTERİ","HATA",IF(OR($E669="",$F669&lt;=0,$G669=""),"EKSİK",IF($E669&gt;TODAY(),"İLERİ TARİH",IF(COUNTIF($S$7:$S$2503,$S669)&gt;1,"MÜKERRER?",IF($T669&gt;0,"KAPALI DÖNEM","UYGUN"))))))</f>
        <v/>
      </c>
      <c r="N669" s="74" t="str">
        <f>IF($C669="","",IF($C669="TANIMSIZ MÜŞTERİ","—",INDEX(MUSTERILER!$C$7:$C$156,MATCH($C669,MUSTERILER!$B$7:$B$156,0))))</f>
        <v/>
      </c>
      <c r="O669" s="2"/>
      <c r="P669" s="2"/>
      <c r="Q669" s="1" t="str">
        <f>IF($D669="","",$C669&amp;"|"&amp;COUNTIFS($C$7:$C669,$C669))</f>
        <v/>
      </c>
      <c r="R669" s="1" t="str">
        <f t="shared" si="20"/>
        <v/>
      </c>
      <c r="S669" s="1" t="str">
        <f t="shared" si="21"/>
        <v/>
      </c>
      <c r="T669" s="1">
        <f>IF($E669="",0,SUMPRODUCT((AY_SONU!$O$7:$O$42="Evet")*(AY_SONU!$B$7:$B$42=DATE(YEAR($E669),MONTH($E669),1))))</f>
        <v>0</v>
      </c>
      <c r="U669" s="1" t="str">
        <f>IF(OR($G669="",$H669="Mahsup"),"",$G669&amp;"|"&amp;COUNTIFS($G$7:$G669,$G669,$H$7:$H669,"&lt;&gt;Mahsup"))</f>
        <v/>
      </c>
    </row>
    <row r="670" spans="1:21" ht="18" customHeight="1" x14ac:dyDescent="0.3">
      <c r="A670" s="2"/>
      <c r="B670" s="65" t="str">
        <f>IF($D670="","","T"&amp;TEXT(ROW()-6,"00000"))</f>
        <v/>
      </c>
      <c r="C670" s="65" t="str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61"/>
      <c r="E670" s="66"/>
      <c r="F670" s="67"/>
      <c r="G670" s="60"/>
      <c r="H670" s="60"/>
      <c r="I670" s="61"/>
      <c r="J670" s="61"/>
      <c r="K670" s="61"/>
      <c r="L670" s="73" t="str">
        <f>IF($E670="","",DATE(YEAR($E670),MONTH($E670),1))</f>
        <v/>
      </c>
      <c r="M670" s="65" t="str">
        <f ca="1">IF($D670="","",IF($C670="TANIMSIZ MÜŞTERİ","HATA",IF(OR($E670="",$F670&lt;=0,$G670=""),"EKSİK",IF($E670&gt;TODAY(),"İLERİ TARİH",IF(COUNTIF($S$7:$S$2503,$S670)&gt;1,"MÜKERRER?",IF($T670&gt;0,"KAPALI DÖNEM","UYGUN"))))))</f>
        <v/>
      </c>
      <c r="N670" s="74" t="str">
        <f>IF($C670="","",IF($C670="TANIMSIZ MÜŞTERİ","—",INDEX(MUSTERILER!$C$7:$C$156,MATCH($C670,MUSTERILER!$B$7:$B$156,0))))</f>
        <v/>
      </c>
      <c r="O670" s="2"/>
      <c r="P670" s="2"/>
      <c r="Q670" s="1" t="str">
        <f>IF($D670="","",$C670&amp;"|"&amp;COUNTIFS($C$7:$C670,$C670))</f>
        <v/>
      </c>
      <c r="R670" s="1" t="str">
        <f t="shared" si="20"/>
        <v/>
      </c>
      <c r="S670" s="1" t="str">
        <f t="shared" si="21"/>
        <v/>
      </c>
      <c r="T670" s="1">
        <f>IF($E670="",0,SUMPRODUCT((AY_SONU!$O$7:$O$42="Evet")*(AY_SONU!$B$7:$B$42=DATE(YEAR($E670),MONTH($E670),1))))</f>
        <v>0</v>
      </c>
      <c r="U670" s="1" t="str">
        <f>IF(OR($G670="",$H670="Mahsup"),"",$G670&amp;"|"&amp;COUNTIFS($G$7:$G670,$G670,$H$7:$H670,"&lt;&gt;Mahsup"))</f>
        <v/>
      </c>
    </row>
    <row r="671" spans="1:21" ht="18" customHeight="1" x14ac:dyDescent="0.3">
      <c r="A671" s="2"/>
      <c r="B671" s="65" t="str">
        <f>IF($D671="","","T"&amp;TEXT(ROW()-6,"00000"))</f>
        <v/>
      </c>
      <c r="C671" s="65" t="str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61"/>
      <c r="E671" s="66"/>
      <c r="F671" s="67"/>
      <c r="G671" s="60"/>
      <c r="H671" s="60"/>
      <c r="I671" s="61"/>
      <c r="J671" s="61"/>
      <c r="K671" s="61"/>
      <c r="L671" s="73" t="str">
        <f>IF($E671="","",DATE(YEAR($E671),MONTH($E671),1))</f>
        <v/>
      </c>
      <c r="M671" s="65" t="str">
        <f ca="1">IF($D671="","",IF($C671="TANIMSIZ MÜŞTERİ","HATA",IF(OR($E671="",$F671&lt;=0,$G671=""),"EKSİK",IF($E671&gt;TODAY(),"İLERİ TARİH",IF(COUNTIF($S$7:$S$2503,$S671)&gt;1,"MÜKERRER?",IF($T671&gt;0,"KAPALI DÖNEM","UYGUN"))))))</f>
        <v/>
      </c>
      <c r="N671" s="74" t="str">
        <f>IF($C671="","",IF($C671="TANIMSIZ MÜŞTERİ","—",INDEX(MUSTERILER!$C$7:$C$156,MATCH($C671,MUSTERILER!$B$7:$B$156,0))))</f>
        <v/>
      </c>
      <c r="O671" s="2"/>
      <c r="P671" s="2"/>
      <c r="Q671" s="1" t="str">
        <f>IF($D671="","",$C671&amp;"|"&amp;COUNTIFS($C$7:$C671,$C671))</f>
        <v/>
      </c>
      <c r="R671" s="1" t="str">
        <f t="shared" si="20"/>
        <v/>
      </c>
      <c r="S671" s="1" t="str">
        <f t="shared" si="21"/>
        <v/>
      </c>
      <c r="T671" s="1">
        <f>IF($E671="",0,SUMPRODUCT((AY_SONU!$O$7:$O$42="Evet")*(AY_SONU!$B$7:$B$42=DATE(YEAR($E671),MONTH($E671),1))))</f>
        <v>0</v>
      </c>
      <c r="U671" s="1" t="str">
        <f>IF(OR($G671="",$H671="Mahsup"),"",$G671&amp;"|"&amp;COUNTIFS($G$7:$G671,$G671,$H$7:$H671,"&lt;&gt;Mahsup"))</f>
        <v/>
      </c>
    </row>
    <row r="672" spans="1:21" ht="18" customHeight="1" x14ac:dyDescent="0.3">
      <c r="A672" s="2"/>
      <c r="B672" s="65" t="str">
        <f>IF($D672="","","T"&amp;TEXT(ROW()-6,"00000"))</f>
        <v/>
      </c>
      <c r="C672" s="65" t="str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61"/>
      <c r="E672" s="66"/>
      <c r="F672" s="67"/>
      <c r="G672" s="60"/>
      <c r="H672" s="60"/>
      <c r="I672" s="61"/>
      <c r="J672" s="61"/>
      <c r="K672" s="61"/>
      <c r="L672" s="73" t="str">
        <f>IF($E672="","",DATE(YEAR($E672),MONTH($E672),1))</f>
        <v/>
      </c>
      <c r="M672" s="65" t="str">
        <f ca="1">IF($D672="","",IF($C672="TANIMSIZ MÜŞTERİ","HATA",IF(OR($E672="",$F672&lt;=0,$G672=""),"EKSİK",IF($E672&gt;TODAY(),"İLERİ TARİH",IF(COUNTIF($S$7:$S$2503,$S672)&gt;1,"MÜKERRER?",IF($T672&gt;0,"KAPALI DÖNEM","UYGUN"))))))</f>
        <v/>
      </c>
      <c r="N672" s="74" t="str">
        <f>IF($C672="","",IF($C672="TANIMSIZ MÜŞTERİ","—",INDEX(MUSTERILER!$C$7:$C$156,MATCH($C672,MUSTERILER!$B$7:$B$156,0))))</f>
        <v/>
      </c>
      <c r="O672" s="2"/>
      <c r="P672" s="2"/>
      <c r="Q672" s="1" t="str">
        <f>IF($D672="","",$C672&amp;"|"&amp;COUNTIFS($C$7:$C672,$C672))</f>
        <v/>
      </c>
      <c r="R672" s="1" t="str">
        <f t="shared" si="20"/>
        <v/>
      </c>
      <c r="S672" s="1" t="str">
        <f t="shared" si="21"/>
        <v/>
      </c>
      <c r="T672" s="1">
        <f>IF($E672="",0,SUMPRODUCT((AY_SONU!$O$7:$O$42="Evet")*(AY_SONU!$B$7:$B$42=DATE(YEAR($E672),MONTH($E672),1))))</f>
        <v>0</v>
      </c>
      <c r="U672" s="1" t="str">
        <f>IF(OR($G672="",$H672="Mahsup"),"",$G672&amp;"|"&amp;COUNTIFS($G$7:$G672,$G672,$H$7:$H672,"&lt;&gt;Mahsup"))</f>
        <v/>
      </c>
    </row>
    <row r="673" spans="1:21" ht="18" customHeight="1" x14ac:dyDescent="0.3">
      <c r="A673" s="2"/>
      <c r="B673" s="65" t="str">
        <f>IF($D673="","","T"&amp;TEXT(ROW()-6,"00000"))</f>
        <v/>
      </c>
      <c r="C673" s="65" t="str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61"/>
      <c r="E673" s="66"/>
      <c r="F673" s="67"/>
      <c r="G673" s="60"/>
      <c r="H673" s="60"/>
      <c r="I673" s="61"/>
      <c r="J673" s="61"/>
      <c r="K673" s="61"/>
      <c r="L673" s="73" t="str">
        <f>IF($E673="","",DATE(YEAR($E673),MONTH($E673),1))</f>
        <v/>
      </c>
      <c r="M673" s="65" t="str">
        <f ca="1">IF($D673="","",IF($C673="TANIMSIZ MÜŞTERİ","HATA",IF(OR($E673="",$F673&lt;=0,$G673=""),"EKSİK",IF($E673&gt;TODAY(),"İLERİ TARİH",IF(COUNTIF($S$7:$S$2503,$S673)&gt;1,"MÜKERRER?",IF($T673&gt;0,"KAPALI DÖNEM","UYGUN"))))))</f>
        <v/>
      </c>
      <c r="N673" s="74" t="str">
        <f>IF($C673="","",IF($C673="TANIMSIZ MÜŞTERİ","—",INDEX(MUSTERILER!$C$7:$C$156,MATCH($C673,MUSTERILER!$B$7:$B$156,0))))</f>
        <v/>
      </c>
      <c r="O673" s="2"/>
      <c r="P673" s="2"/>
      <c r="Q673" s="1" t="str">
        <f>IF($D673="","",$C673&amp;"|"&amp;COUNTIFS($C$7:$C673,$C673))</f>
        <v/>
      </c>
      <c r="R673" s="1" t="str">
        <f t="shared" si="20"/>
        <v/>
      </c>
      <c r="S673" s="1" t="str">
        <f t="shared" si="21"/>
        <v/>
      </c>
      <c r="T673" s="1">
        <f>IF($E673="",0,SUMPRODUCT((AY_SONU!$O$7:$O$42="Evet")*(AY_SONU!$B$7:$B$42=DATE(YEAR($E673),MONTH($E673),1))))</f>
        <v>0</v>
      </c>
      <c r="U673" s="1" t="str">
        <f>IF(OR($G673="",$H673="Mahsup"),"",$G673&amp;"|"&amp;COUNTIFS($G$7:$G673,$G673,$H$7:$H673,"&lt;&gt;Mahsup"))</f>
        <v/>
      </c>
    </row>
    <row r="674" spans="1:21" ht="18" customHeight="1" x14ac:dyDescent="0.3">
      <c r="A674" s="2"/>
      <c r="B674" s="65" t="str">
        <f>IF($D674="","","T"&amp;TEXT(ROW()-6,"00000"))</f>
        <v/>
      </c>
      <c r="C674" s="65" t="str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61"/>
      <c r="E674" s="66"/>
      <c r="F674" s="67"/>
      <c r="G674" s="60"/>
      <c r="H674" s="60"/>
      <c r="I674" s="61"/>
      <c r="J674" s="61"/>
      <c r="K674" s="61"/>
      <c r="L674" s="73" t="str">
        <f>IF($E674="","",DATE(YEAR($E674),MONTH($E674),1))</f>
        <v/>
      </c>
      <c r="M674" s="65" t="str">
        <f ca="1">IF($D674="","",IF($C674="TANIMSIZ MÜŞTERİ","HATA",IF(OR($E674="",$F674&lt;=0,$G674=""),"EKSİK",IF($E674&gt;TODAY(),"İLERİ TARİH",IF(COUNTIF($S$7:$S$2503,$S674)&gt;1,"MÜKERRER?",IF($T674&gt;0,"KAPALI DÖNEM","UYGUN"))))))</f>
        <v/>
      </c>
      <c r="N674" s="74" t="str">
        <f>IF($C674="","",IF($C674="TANIMSIZ MÜŞTERİ","—",INDEX(MUSTERILER!$C$7:$C$156,MATCH($C674,MUSTERILER!$B$7:$B$156,0))))</f>
        <v/>
      </c>
      <c r="O674" s="2"/>
      <c r="P674" s="2"/>
      <c r="Q674" s="1" t="str">
        <f>IF($D674="","",$C674&amp;"|"&amp;COUNTIFS($C$7:$C674,$C674))</f>
        <v/>
      </c>
      <c r="R674" s="1" t="str">
        <f t="shared" si="20"/>
        <v/>
      </c>
      <c r="S674" s="1" t="str">
        <f t="shared" si="21"/>
        <v/>
      </c>
      <c r="T674" s="1">
        <f>IF($E674="",0,SUMPRODUCT((AY_SONU!$O$7:$O$42="Evet")*(AY_SONU!$B$7:$B$42=DATE(YEAR($E674),MONTH($E674),1))))</f>
        <v>0</v>
      </c>
      <c r="U674" s="1" t="str">
        <f>IF(OR($G674="",$H674="Mahsup"),"",$G674&amp;"|"&amp;COUNTIFS($G$7:$G674,$G674,$H$7:$H674,"&lt;&gt;Mahsup"))</f>
        <v/>
      </c>
    </row>
    <row r="675" spans="1:21" ht="18" customHeight="1" x14ac:dyDescent="0.3">
      <c r="A675" s="2"/>
      <c r="B675" s="65" t="str">
        <f>IF($D675="","","T"&amp;TEXT(ROW()-6,"00000"))</f>
        <v/>
      </c>
      <c r="C675" s="65" t="str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61"/>
      <c r="E675" s="66"/>
      <c r="F675" s="67"/>
      <c r="G675" s="60"/>
      <c r="H675" s="60"/>
      <c r="I675" s="61"/>
      <c r="J675" s="61"/>
      <c r="K675" s="61"/>
      <c r="L675" s="73" t="str">
        <f>IF($E675="","",DATE(YEAR($E675),MONTH($E675),1))</f>
        <v/>
      </c>
      <c r="M675" s="65" t="str">
        <f ca="1">IF($D675="","",IF($C675="TANIMSIZ MÜŞTERİ","HATA",IF(OR($E675="",$F675&lt;=0,$G675=""),"EKSİK",IF($E675&gt;TODAY(),"İLERİ TARİH",IF(COUNTIF($S$7:$S$2503,$S675)&gt;1,"MÜKERRER?",IF($T675&gt;0,"KAPALI DÖNEM","UYGUN"))))))</f>
        <v/>
      </c>
      <c r="N675" s="74" t="str">
        <f>IF($C675="","",IF($C675="TANIMSIZ MÜŞTERİ","—",INDEX(MUSTERILER!$C$7:$C$156,MATCH($C675,MUSTERILER!$B$7:$B$156,0))))</f>
        <v/>
      </c>
      <c r="O675" s="2"/>
      <c r="P675" s="2"/>
      <c r="Q675" s="1" t="str">
        <f>IF($D675="","",$C675&amp;"|"&amp;COUNTIFS($C$7:$C675,$C675))</f>
        <v/>
      </c>
      <c r="R675" s="1" t="str">
        <f t="shared" si="20"/>
        <v/>
      </c>
      <c r="S675" s="1" t="str">
        <f t="shared" si="21"/>
        <v/>
      </c>
      <c r="T675" s="1">
        <f>IF($E675="",0,SUMPRODUCT((AY_SONU!$O$7:$O$42="Evet")*(AY_SONU!$B$7:$B$42=DATE(YEAR($E675),MONTH($E675),1))))</f>
        <v>0</v>
      </c>
      <c r="U675" s="1" t="str">
        <f>IF(OR($G675="",$H675="Mahsup"),"",$G675&amp;"|"&amp;COUNTIFS($G$7:$G675,$G675,$H$7:$H675,"&lt;&gt;Mahsup"))</f>
        <v/>
      </c>
    </row>
    <row r="676" spans="1:21" ht="18" customHeight="1" x14ac:dyDescent="0.3">
      <c r="A676" s="2"/>
      <c r="B676" s="65" t="str">
        <f>IF($D676="","","T"&amp;TEXT(ROW()-6,"00000"))</f>
        <v/>
      </c>
      <c r="C676" s="65" t="str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61"/>
      <c r="E676" s="66"/>
      <c r="F676" s="67"/>
      <c r="G676" s="60"/>
      <c r="H676" s="60"/>
      <c r="I676" s="61"/>
      <c r="J676" s="61"/>
      <c r="K676" s="61"/>
      <c r="L676" s="73" t="str">
        <f>IF($E676="","",DATE(YEAR($E676),MONTH($E676),1))</f>
        <v/>
      </c>
      <c r="M676" s="65" t="str">
        <f ca="1">IF($D676="","",IF($C676="TANIMSIZ MÜŞTERİ","HATA",IF(OR($E676="",$F676&lt;=0,$G676=""),"EKSİK",IF($E676&gt;TODAY(),"İLERİ TARİH",IF(COUNTIF($S$7:$S$2503,$S676)&gt;1,"MÜKERRER?",IF($T676&gt;0,"KAPALI DÖNEM","UYGUN"))))))</f>
        <v/>
      </c>
      <c r="N676" s="74" t="str">
        <f>IF($C676="","",IF($C676="TANIMSIZ MÜŞTERİ","—",INDEX(MUSTERILER!$C$7:$C$156,MATCH($C676,MUSTERILER!$B$7:$B$156,0))))</f>
        <v/>
      </c>
      <c r="O676" s="2"/>
      <c r="P676" s="2"/>
      <c r="Q676" s="1" t="str">
        <f>IF($D676="","",$C676&amp;"|"&amp;COUNTIFS($C$7:$C676,$C676))</f>
        <v/>
      </c>
      <c r="R676" s="1" t="str">
        <f t="shared" si="20"/>
        <v/>
      </c>
      <c r="S676" s="1" t="str">
        <f t="shared" si="21"/>
        <v/>
      </c>
      <c r="T676" s="1">
        <f>IF($E676="",0,SUMPRODUCT((AY_SONU!$O$7:$O$42="Evet")*(AY_SONU!$B$7:$B$42=DATE(YEAR($E676),MONTH($E676),1))))</f>
        <v>0</v>
      </c>
      <c r="U676" s="1" t="str">
        <f>IF(OR($G676="",$H676="Mahsup"),"",$G676&amp;"|"&amp;COUNTIFS($G$7:$G676,$G676,$H$7:$H676,"&lt;&gt;Mahsup"))</f>
        <v/>
      </c>
    </row>
    <row r="677" spans="1:21" ht="18" customHeight="1" x14ac:dyDescent="0.3">
      <c r="A677" s="2"/>
      <c r="B677" s="65" t="str">
        <f>IF($D677="","","T"&amp;TEXT(ROW()-6,"00000"))</f>
        <v/>
      </c>
      <c r="C677" s="65" t="str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61"/>
      <c r="E677" s="66"/>
      <c r="F677" s="67"/>
      <c r="G677" s="60"/>
      <c r="H677" s="60"/>
      <c r="I677" s="61"/>
      <c r="J677" s="61"/>
      <c r="K677" s="61"/>
      <c r="L677" s="73" t="str">
        <f>IF($E677="","",DATE(YEAR($E677),MONTH($E677),1))</f>
        <v/>
      </c>
      <c r="M677" s="65" t="str">
        <f ca="1">IF($D677="","",IF($C677="TANIMSIZ MÜŞTERİ","HATA",IF(OR($E677="",$F677&lt;=0,$G677=""),"EKSİK",IF($E677&gt;TODAY(),"İLERİ TARİH",IF(COUNTIF($S$7:$S$2503,$S677)&gt;1,"MÜKERRER?",IF($T677&gt;0,"KAPALI DÖNEM","UYGUN"))))))</f>
        <v/>
      </c>
      <c r="N677" s="74" t="str">
        <f>IF($C677="","",IF($C677="TANIMSIZ MÜŞTERİ","—",INDEX(MUSTERILER!$C$7:$C$156,MATCH($C677,MUSTERILER!$B$7:$B$156,0))))</f>
        <v/>
      </c>
      <c r="O677" s="2"/>
      <c r="P677" s="2"/>
      <c r="Q677" s="1" t="str">
        <f>IF($D677="","",$C677&amp;"|"&amp;COUNTIFS($C$7:$C677,$C677))</f>
        <v/>
      </c>
      <c r="R677" s="1" t="str">
        <f t="shared" si="20"/>
        <v/>
      </c>
      <c r="S677" s="1" t="str">
        <f t="shared" si="21"/>
        <v/>
      </c>
      <c r="T677" s="1">
        <f>IF($E677="",0,SUMPRODUCT((AY_SONU!$O$7:$O$42="Evet")*(AY_SONU!$B$7:$B$42=DATE(YEAR($E677),MONTH($E677),1))))</f>
        <v>0</v>
      </c>
      <c r="U677" s="1" t="str">
        <f>IF(OR($G677="",$H677="Mahsup"),"",$G677&amp;"|"&amp;COUNTIFS($G$7:$G677,$G677,$H$7:$H677,"&lt;&gt;Mahsup"))</f>
        <v/>
      </c>
    </row>
    <row r="678" spans="1:21" ht="18" customHeight="1" x14ac:dyDescent="0.3">
      <c r="A678" s="2"/>
      <c r="B678" s="65" t="str">
        <f>IF($D678="","","T"&amp;TEXT(ROW()-6,"00000"))</f>
        <v/>
      </c>
      <c r="C678" s="65" t="str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61"/>
      <c r="E678" s="66"/>
      <c r="F678" s="67"/>
      <c r="G678" s="60"/>
      <c r="H678" s="60"/>
      <c r="I678" s="61"/>
      <c r="J678" s="61"/>
      <c r="K678" s="61"/>
      <c r="L678" s="73" t="str">
        <f>IF($E678="","",DATE(YEAR($E678),MONTH($E678),1))</f>
        <v/>
      </c>
      <c r="M678" s="65" t="str">
        <f ca="1">IF($D678="","",IF($C678="TANIMSIZ MÜŞTERİ","HATA",IF(OR($E678="",$F678&lt;=0,$G678=""),"EKSİK",IF($E678&gt;TODAY(),"İLERİ TARİH",IF(COUNTIF($S$7:$S$2503,$S678)&gt;1,"MÜKERRER?",IF($T678&gt;0,"KAPALI DÖNEM","UYGUN"))))))</f>
        <v/>
      </c>
      <c r="N678" s="74" t="str">
        <f>IF($C678="","",IF($C678="TANIMSIZ MÜŞTERİ","—",INDEX(MUSTERILER!$C$7:$C$156,MATCH($C678,MUSTERILER!$B$7:$B$156,0))))</f>
        <v/>
      </c>
      <c r="O678" s="2"/>
      <c r="P678" s="2"/>
      <c r="Q678" s="1" t="str">
        <f>IF($D678="","",$C678&amp;"|"&amp;COUNTIFS($C$7:$C678,$C678))</f>
        <v/>
      </c>
      <c r="R678" s="1" t="str">
        <f t="shared" si="20"/>
        <v/>
      </c>
      <c r="S678" s="1" t="str">
        <f t="shared" si="21"/>
        <v/>
      </c>
      <c r="T678" s="1">
        <f>IF($E678="",0,SUMPRODUCT((AY_SONU!$O$7:$O$42="Evet")*(AY_SONU!$B$7:$B$42=DATE(YEAR($E678),MONTH($E678),1))))</f>
        <v>0</v>
      </c>
      <c r="U678" s="1" t="str">
        <f>IF(OR($G678="",$H678="Mahsup"),"",$G678&amp;"|"&amp;COUNTIFS($G$7:$G678,$G678,$H$7:$H678,"&lt;&gt;Mahsup"))</f>
        <v/>
      </c>
    </row>
    <row r="679" spans="1:21" ht="18" customHeight="1" x14ac:dyDescent="0.3">
      <c r="A679" s="2"/>
      <c r="B679" s="65" t="str">
        <f>IF($D679="","","T"&amp;TEXT(ROW()-6,"00000"))</f>
        <v/>
      </c>
      <c r="C679" s="65" t="str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61"/>
      <c r="E679" s="66"/>
      <c r="F679" s="67"/>
      <c r="G679" s="60"/>
      <c r="H679" s="60"/>
      <c r="I679" s="61"/>
      <c r="J679" s="61"/>
      <c r="K679" s="61"/>
      <c r="L679" s="73" t="str">
        <f>IF($E679="","",DATE(YEAR($E679),MONTH($E679),1))</f>
        <v/>
      </c>
      <c r="M679" s="65" t="str">
        <f ca="1">IF($D679="","",IF($C679="TANIMSIZ MÜŞTERİ","HATA",IF(OR($E679="",$F679&lt;=0,$G679=""),"EKSİK",IF($E679&gt;TODAY(),"İLERİ TARİH",IF(COUNTIF($S$7:$S$2503,$S679)&gt;1,"MÜKERRER?",IF($T679&gt;0,"KAPALI DÖNEM","UYGUN"))))))</f>
        <v/>
      </c>
      <c r="N679" s="74" t="str">
        <f>IF($C679="","",IF($C679="TANIMSIZ MÜŞTERİ","—",INDEX(MUSTERILER!$C$7:$C$156,MATCH($C679,MUSTERILER!$B$7:$B$156,0))))</f>
        <v/>
      </c>
      <c r="O679" s="2"/>
      <c r="P679" s="2"/>
      <c r="Q679" s="1" t="str">
        <f>IF($D679="","",$C679&amp;"|"&amp;COUNTIFS($C$7:$C679,$C679))</f>
        <v/>
      </c>
      <c r="R679" s="1" t="str">
        <f t="shared" si="20"/>
        <v/>
      </c>
      <c r="S679" s="1" t="str">
        <f t="shared" si="21"/>
        <v/>
      </c>
      <c r="T679" s="1">
        <f>IF($E679="",0,SUMPRODUCT((AY_SONU!$O$7:$O$42="Evet")*(AY_SONU!$B$7:$B$42=DATE(YEAR($E679),MONTH($E679),1))))</f>
        <v>0</v>
      </c>
      <c r="U679" s="1" t="str">
        <f>IF(OR($G679="",$H679="Mahsup"),"",$G679&amp;"|"&amp;COUNTIFS($G$7:$G679,$G679,$H$7:$H679,"&lt;&gt;Mahsup"))</f>
        <v/>
      </c>
    </row>
    <row r="680" spans="1:21" ht="18" customHeight="1" x14ac:dyDescent="0.3">
      <c r="A680" s="2"/>
      <c r="B680" s="65" t="str">
        <f>IF($D680="","","T"&amp;TEXT(ROW()-6,"00000"))</f>
        <v/>
      </c>
      <c r="C680" s="65" t="str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61"/>
      <c r="E680" s="66"/>
      <c r="F680" s="67"/>
      <c r="G680" s="60"/>
      <c r="H680" s="60"/>
      <c r="I680" s="61"/>
      <c r="J680" s="61"/>
      <c r="K680" s="61"/>
      <c r="L680" s="73" t="str">
        <f>IF($E680="","",DATE(YEAR($E680),MONTH($E680),1))</f>
        <v/>
      </c>
      <c r="M680" s="65" t="str">
        <f ca="1">IF($D680="","",IF($C680="TANIMSIZ MÜŞTERİ","HATA",IF(OR($E680="",$F680&lt;=0,$G680=""),"EKSİK",IF($E680&gt;TODAY(),"İLERİ TARİH",IF(COUNTIF($S$7:$S$2503,$S680)&gt;1,"MÜKERRER?",IF($T680&gt;0,"KAPALI DÖNEM","UYGUN"))))))</f>
        <v/>
      </c>
      <c r="N680" s="74" t="str">
        <f>IF($C680="","",IF($C680="TANIMSIZ MÜŞTERİ","—",INDEX(MUSTERILER!$C$7:$C$156,MATCH($C680,MUSTERILER!$B$7:$B$156,0))))</f>
        <v/>
      </c>
      <c r="O680" s="2"/>
      <c r="P680" s="2"/>
      <c r="Q680" s="1" t="str">
        <f>IF($D680="","",$C680&amp;"|"&amp;COUNTIFS($C$7:$C680,$C680))</f>
        <v/>
      </c>
      <c r="R680" s="1" t="str">
        <f t="shared" si="20"/>
        <v/>
      </c>
      <c r="S680" s="1" t="str">
        <f t="shared" si="21"/>
        <v/>
      </c>
      <c r="T680" s="1">
        <f>IF($E680="",0,SUMPRODUCT((AY_SONU!$O$7:$O$42="Evet")*(AY_SONU!$B$7:$B$42=DATE(YEAR($E680),MONTH($E680),1))))</f>
        <v>0</v>
      </c>
      <c r="U680" s="1" t="str">
        <f>IF(OR($G680="",$H680="Mahsup"),"",$G680&amp;"|"&amp;COUNTIFS($G$7:$G680,$G680,$H$7:$H680,"&lt;&gt;Mahsup"))</f>
        <v/>
      </c>
    </row>
    <row r="681" spans="1:21" ht="18" customHeight="1" x14ac:dyDescent="0.3">
      <c r="A681" s="2"/>
      <c r="B681" s="65" t="str">
        <f>IF($D681="","","T"&amp;TEXT(ROW()-6,"00000"))</f>
        <v/>
      </c>
      <c r="C681" s="65" t="str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61"/>
      <c r="E681" s="66"/>
      <c r="F681" s="67"/>
      <c r="G681" s="60"/>
      <c r="H681" s="60"/>
      <c r="I681" s="61"/>
      <c r="J681" s="61"/>
      <c r="K681" s="61"/>
      <c r="L681" s="73" t="str">
        <f>IF($E681="","",DATE(YEAR($E681),MONTH($E681),1))</f>
        <v/>
      </c>
      <c r="M681" s="65" t="str">
        <f ca="1">IF($D681="","",IF($C681="TANIMSIZ MÜŞTERİ","HATA",IF(OR($E681="",$F681&lt;=0,$G681=""),"EKSİK",IF($E681&gt;TODAY(),"İLERİ TARİH",IF(COUNTIF($S$7:$S$2503,$S681)&gt;1,"MÜKERRER?",IF($T681&gt;0,"KAPALI DÖNEM","UYGUN"))))))</f>
        <v/>
      </c>
      <c r="N681" s="74" t="str">
        <f>IF($C681="","",IF($C681="TANIMSIZ MÜŞTERİ","—",INDEX(MUSTERILER!$C$7:$C$156,MATCH($C681,MUSTERILER!$B$7:$B$156,0))))</f>
        <v/>
      </c>
      <c r="O681" s="2"/>
      <c r="P681" s="2"/>
      <c r="Q681" s="1" t="str">
        <f>IF($D681="","",$C681&amp;"|"&amp;COUNTIFS($C$7:$C681,$C681))</f>
        <v/>
      </c>
      <c r="R681" s="1" t="str">
        <f t="shared" si="20"/>
        <v/>
      </c>
      <c r="S681" s="1" t="str">
        <f t="shared" si="21"/>
        <v/>
      </c>
      <c r="T681" s="1">
        <f>IF($E681="",0,SUMPRODUCT((AY_SONU!$O$7:$O$42="Evet")*(AY_SONU!$B$7:$B$42=DATE(YEAR($E681),MONTH($E681),1))))</f>
        <v>0</v>
      </c>
      <c r="U681" s="1" t="str">
        <f>IF(OR($G681="",$H681="Mahsup"),"",$G681&amp;"|"&amp;COUNTIFS($G$7:$G681,$G681,$H$7:$H681,"&lt;&gt;Mahsup"))</f>
        <v/>
      </c>
    </row>
    <row r="682" spans="1:21" ht="18" customHeight="1" x14ac:dyDescent="0.3">
      <c r="A682" s="2"/>
      <c r="B682" s="65" t="str">
        <f>IF($D682="","","T"&amp;TEXT(ROW()-6,"00000"))</f>
        <v/>
      </c>
      <c r="C682" s="65" t="str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61"/>
      <c r="E682" s="66"/>
      <c r="F682" s="67"/>
      <c r="G682" s="60"/>
      <c r="H682" s="60"/>
      <c r="I682" s="61"/>
      <c r="J682" s="61"/>
      <c r="K682" s="61"/>
      <c r="L682" s="73" t="str">
        <f>IF($E682="","",DATE(YEAR($E682),MONTH($E682),1))</f>
        <v/>
      </c>
      <c r="M682" s="65" t="str">
        <f ca="1">IF($D682="","",IF($C682="TANIMSIZ MÜŞTERİ","HATA",IF(OR($E682="",$F682&lt;=0,$G682=""),"EKSİK",IF($E682&gt;TODAY(),"İLERİ TARİH",IF(COUNTIF($S$7:$S$2503,$S682)&gt;1,"MÜKERRER?",IF($T682&gt;0,"KAPALI DÖNEM","UYGUN"))))))</f>
        <v/>
      </c>
      <c r="N682" s="74" t="str">
        <f>IF($C682="","",IF($C682="TANIMSIZ MÜŞTERİ","—",INDEX(MUSTERILER!$C$7:$C$156,MATCH($C682,MUSTERILER!$B$7:$B$156,0))))</f>
        <v/>
      </c>
      <c r="O682" s="2"/>
      <c r="P682" s="2"/>
      <c r="Q682" s="1" t="str">
        <f>IF($D682="","",$C682&amp;"|"&amp;COUNTIFS($C$7:$C682,$C682))</f>
        <v/>
      </c>
      <c r="R682" s="1" t="str">
        <f t="shared" si="20"/>
        <v/>
      </c>
      <c r="S682" s="1" t="str">
        <f t="shared" si="21"/>
        <v/>
      </c>
      <c r="T682" s="1">
        <f>IF($E682="",0,SUMPRODUCT((AY_SONU!$O$7:$O$42="Evet")*(AY_SONU!$B$7:$B$42=DATE(YEAR($E682),MONTH($E682),1))))</f>
        <v>0</v>
      </c>
      <c r="U682" s="1" t="str">
        <f>IF(OR($G682="",$H682="Mahsup"),"",$G682&amp;"|"&amp;COUNTIFS($G$7:$G682,$G682,$H$7:$H682,"&lt;&gt;Mahsup"))</f>
        <v/>
      </c>
    </row>
    <row r="683" spans="1:21" ht="18" customHeight="1" x14ac:dyDescent="0.3">
      <c r="A683" s="2"/>
      <c r="B683" s="65" t="str">
        <f>IF($D683="","","T"&amp;TEXT(ROW()-6,"00000"))</f>
        <v/>
      </c>
      <c r="C683" s="65" t="str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61"/>
      <c r="E683" s="66"/>
      <c r="F683" s="67"/>
      <c r="G683" s="60"/>
      <c r="H683" s="60"/>
      <c r="I683" s="61"/>
      <c r="J683" s="61"/>
      <c r="K683" s="61"/>
      <c r="L683" s="73" t="str">
        <f>IF($E683="","",DATE(YEAR($E683),MONTH($E683),1))</f>
        <v/>
      </c>
      <c r="M683" s="65" t="str">
        <f ca="1">IF($D683="","",IF($C683="TANIMSIZ MÜŞTERİ","HATA",IF(OR($E683="",$F683&lt;=0,$G683=""),"EKSİK",IF($E683&gt;TODAY(),"İLERİ TARİH",IF(COUNTIF($S$7:$S$2503,$S683)&gt;1,"MÜKERRER?",IF($T683&gt;0,"KAPALI DÖNEM","UYGUN"))))))</f>
        <v/>
      </c>
      <c r="N683" s="74" t="str">
        <f>IF($C683="","",IF($C683="TANIMSIZ MÜŞTERİ","—",INDEX(MUSTERILER!$C$7:$C$156,MATCH($C683,MUSTERILER!$B$7:$B$156,0))))</f>
        <v/>
      </c>
      <c r="O683" s="2"/>
      <c r="P683" s="2"/>
      <c r="Q683" s="1" t="str">
        <f>IF($D683="","",$C683&amp;"|"&amp;COUNTIFS($C$7:$C683,$C683))</f>
        <v/>
      </c>
      <c r="R683" s="1" t="str">
        <f t="shared" si="20"/>
        <v/>
      </c>
      <c r="S683" s="1" t="str">
        <f t="shared" si="21"/>
        <v/>
      </c>
      <c r="T683" s="1">
        <f>IF($E683="",0,SUMPRODUCT((AY_SONU!$O$7:$O$42="Evet")*(AY_SONU!$B$7:$B$42=DATE(YEAR($E683),MONTH($E683),1))))</f>
        <v>0</v>
      </c>
      <c r="U683" s="1" t="str">
        <f>IF(OR($G683="",$H683="Mahsup"),"",$G683&amp;"|"&amp;COUNTIFS($G$7:$G683,$G683,$H$7:$H683,"&lt;&gt;Mahsup"))</f>
        <v/>
      </c>
    </row>
    <row r="684" spans="1:21" ht="18" customHeight="1" x14ac:dyDescent="0.3">
      <c r="A684" s="2"/>
      <c r="B684" s="65" t="str">
        <f>IF($D684="","","T"&amp;TEXT(ROW()-6,"00000"))</f>
        <v/>
      </c>
      <c r="C684" s="65" t="str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61"/>
      <c r="E684" s="66"/>
      <c r="F684" s="67"/>
      <c r="G684" s="60"/>
      <c r="H684" s="60"/>
      <c r="I684" s="61"/>
      <c r="J684" s="61"/>
      <c r="K684" s="61"/>
      <c r="L684" s="73" t="str">
        <f>IF($E684="","",DATE(YEAR($E684),MONTH($E684),1))</f>
        <v/>
      </c>
      <c r="M684" s="65" t="str">
        <f ca="1">IF($D684="","",IF($C684="TANIMSIZ MÜŞTERİ","HATA",IF(OR($E684="",$F684&lt;=0,$G684=""),"EKSİK",IF($E684&gt;TODAY(),"İLERİ TARİH",IF(COUNTIF($S$7:$S$2503,$S684)&gt;1,"MÜKERRER?",IF($T684&gt;0,"KAPALI DÖNEM","UYGUN"))))))</f>
        <v/>
      </c>
      <c r="N684" s="74" t="str">
        <f>IF($C684="","",IF($C684="TANIMSIZ MÜŞTERİ","—",INDEX(MUSTERILER!$C$7:$C$156,MATCH($C684,MUSTERILER!$B$7:$B$156,0))))</f>
        <v/>
      </c>
      <c r="O684" s="2"/>
      <c r="P684" s="2"/>
      <c r="Q684" s="1" t="str">
        <f>IF($D684="","",$C684&amp;"|"&amp;COUNTIFS($C$7:$C684,$C684))</f>
        <v/>
      </c>
      <c r="R684" s="1" t="str">
        <f t="shared" si="20"/>
        <v/>
      </c>
      <c r="S684" s="1" t="str">
        <f t="shared" si="21"/>
        <v/>
      </c>
      <c r="T684" s="1">
        <f>IF($E684="",0,SUMPRODUCT((AY_SONU!$O$7:$O$42="Evet")*(AY_SONU!$B$7:$B$42=DATE(YEAR($E684),MONTH($E684),1))))</f>
        <v>0</v>
      </c>
      <c r="U684" s="1" t="str">
        <f>IF(OR($G684="",$H684="Mahsup"),"",$G684&amp;"|"&amp;COUNTIFS($G$7:$G684,$G684,$H$7:$H684,"&lt;&gt;Mahsup"))</f>
        <v/>
      </c>
    </row>
    <row r="685" spans="1:21" ht="18" customHeight="1" x14ac:dyDescent="0.3">
      <c r="A685" s="2"/>
      <c r="B685" s="65" t="str">
        <f>IF($D685="","","T"&amp;TEXT(ROW()-6,"00000"))</f>
        <v/>
      </c>
      <c r="C685" s="65" t="str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61"/>
      <c r="E685" s="66"/>
      <c r="F685" s="67"/>
      <c r="G685" s="60"/>
      <c r="H685" s="60"/>
      <c r="I685" s="61"/>
      <c r="J685" s="61"/>
      <c r="K685" s="61"/>
      <c r="L685" s="73" t="str">
        <f>IF($E685="","",DATE(YEAR($E685),MONTH($E685),1))</f>
        <v/>
      </c>
      <c r="M685" s="65" t="str">
        <f ca="1">IF($D685="","",IF($C685="TANIMSIZ MÜŞTERİ","HATA",IF(OR($E685="",$F685&lt;=0,$G685=""),"EKSİK",IF($E685&gt;TODAY(),"İLERİ TARİH",IF(COUNTIF($S$7:$S$2503,$S685)&gt;1,"MÜKERRER?",IF($T685&gt;0,"KAPALI DÖNEM","UYGUN"))))))</f>
        <v/>
      </c>
      <c r="N685" s="74" t="str">
        <f>IF($C685="","",IF($C685="TANIMSIZ MÜŞTERİ","—",INDEX(MUSTERILER!$C$7:$C$156,MATCH($C685,MUSTERILER!$B$7:$B$156,0))))</f>
        <v/>
      </c>
      <c r="O685" s="2"/>
      <c r="P685" s="2"/>
      <c r="Q685" s="1" t="str">
        <f>IF($D685="","",$C685&amp;"|"&amp;COUNTIFS($C$7:$C685,$C685))</f>
        <v/>
      </c>
      <c r="R685" s="1" t="str">
        <f t="shared" si="20"/>
        <v/>
      </c>
      <c r="S685" s="1" t="str">
        <f t="shared" si="21"/>
        <v/>
      </c>
      <c r="T685" s="1">
        <f>IF($E685="",0,SUMPRODUCT((AY_SONU!$O$7:$O$42="Evet")*(AY_SONU!$B$7:$B$42=DATE(YEAR($E685),MONTH($E685),1))))</f>
        <v>0</v>
      </c>
      <c r="U685" s="1" t="str">
        <f>IF(OR($G685="",$H685="Mahsup"),"",$G685&amp;"|"&amp;COUNTIFS($G$7:$G685,$G685,$H$7:$H685,"&lt;&gt;Mahsup"))</f>
        <v/>
      </c>
    </row>
    <row r="686" spans="1:21" ht="18" customHeight="1" x14ac:dyDescent="0.3">
      <c r="A686" s="2"/>
      <c r="B686" s="65" t="str">
        <f>IF($D686="","","T"&amp;TEXT(ROW()-6,"00000"))</f>
        <v/>
      </c>
      <c r="C686" s="65" t="str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61"/>
      <c r="E686" s="66"/>
      <c r="F686" s="67"/>
      <c r="G686" s="60"/>
      <c r="H686" s="60"/>
      <c r="I686" s="61"/>
      <c r="J686" s="61"/>
      <c r="K686" s="61"/>
      <c r="L686" s="73" t="str">
        <f>IF($E686="","",DATE(YEAR($E686),MONTH($E686),1))</f>
        <v/>
      </c>
      <c r="M686" s="65" t="str">
        <f ca="1">IF($D686="","",IF($C686="TANIMSIZ MÜŞTERİ","HATA",IF(OR($E686="",$F686&lt;=0,$G686=""),"EKSİK",IF($E686&gt;TODAY(),"İLERİ TARİH",IF(COUNTIF($S$7:$S$2503,$S686)&gt;1,"MÜKERRER?",IF($T686&gt;0,"KAPALI DÖNEM","UYGUN"))))))</f>
        <v/>
      </c>
      <c r="N686" s="74" t="str">
        <f>IF($C686="","",IF($C686="TANIMSIZ MÜŞTERİ","—",INDEX(MUSTERILER!$C$7:$C$156,MATCH($C686,MUSTERILER!$B$7:$B$156,0))))</f>
        <v/>
      </c>
      <c r="O686" s="2"/>
      <c r="P686" s="2"/>
      <c r="Q686" s="1" t="str">
        <f>IF($D686="","",$C686&amp;"|"&amp;COUNTIFS($C$7:$C686,$C686))</f>
        <v/>
      </c>
      <c r="R686" s="1" t="str">
        <f t="shared" si="20"/>
        <v/>
      </c>
      <c r="S686" s="1" t="str">
        <f t="shared" si="21"/>
        <v/>
      </c>
      <c r="T686" s="1">
        <f>IF($E686="",0,SUMPRODUCT((AY_SONU!$O$7:$O$42="Evet")*(AY_SONU!$B$7:$B$42=DATE(YEAR($E686),MONTH($E686),1))))</f>
        <v>0</v>
      </c>
      <c r="U686" s="1" t="str">
        <f>IF(OR($G686="",$H686="Mahsup"),"",$G686&amp;"|"&amp;COUNTIFS($G$7:$G686,$G686,$H$7:$H686,"&lt;&gt;Mahsup"))</f>
        <v/>
      </c>
    </row>
    <row r="687" spans="1:21" ht="18" customHeight="1" x14ac:dyDescent="0.3">
      <c r="A687" s="2"/>
      <c r="B687" s="65" t="str">
        <f>IF($D687="","","T"&amp;TEXT(ROW()-6,"00000"))</f>
        <v/>
      </c>
      <c r="C687" s="65" t="str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61"/>
      <c r="E687" s="66"/>
      <c r="F687" s="67"/>
      <c r="G687" s="60"/>
      <c r="H687" s="60"/>
      <c r="I687" s="61"/>
      <c r="J687" s="61"/>
      <c r="K687" s="61"/>
      <c r="L687" s="73" t="str">
        <f>IF($E687="","",DATE(YEAR($E687),MONTH($E687),1))</f>
        <v/>
      </c>
      <c r="M687" s="65" t="str">
        <f ca="1">IF($D687="","",IF($C687="TANIMSIZ MÜŞTERİ","HATA",IF(OR($E687="",$F687&lt;=0,$G687=""),"EKSİK",IF($E687&gt;TODAY(),"İLERİ TARİH",IF(COUNTIF($S$7:$S$2503,$S687)&gt;1,"MÜKERRER?",IF($T687&gt;0,"KAPALI DÖNEM","UYGUN"))))))</f>
        <v/>
      </c>
      <c r="N687" s="74" t="str">
        <f>IF($C687="","",IF($C687="TANIMSIZ MÜŞTERİ","—",INDEX(MUSTERILER!$C$7:$C$156,MATCH($C687,MUSTERILER!$B$7:$B$156,0))))</f>
        <v/>
      </c>
      <c r="O687" s="2"/>
      <c r="P687" s="2"/>
      <c r="Q687" s="1" t="str">
        <f>IF($D687="","",$C687&amp;"|"&amp;COUNTIFS($C$7:$C687,$C687))</f>
        <v/>
      </c>
      <c r="R687" s="1" t="str">
        <f t="shared" si="20"/>
        <v/>
      </c>
      <c r="S687" s="1" t="str">
        <f t="shared" si="21"/>
        <v/>
      </c>
      <c r="T687" s="1">
        <f>IF($E687="",0,SUMPRODUCT((AY_SONU!$O$7:$O$42="Evet")*(AY_SONU!$B$7:$B$42=DATE(YEAR($E687),MONTH($E687),1))))</f>
        <v>0</v>
      </c>
      <c r="U687" s="1" t="str">
        <f>IF(OR($G687="",$H687="Mahsup"),"",$G687&amp;"|"&amp;COUNTIFS($G$7:$G687,$G687,$H$7:$H687,"&lt;&gt;Mahsup"))</f>
        <v/>
      </c>
    </row>
    <row r="688" spans="1:21" ht="18" customHeight="1" x14ac:dyDescent="0.3">
      <c r="A688" s="2"/>
      <c r="B688" s="65" t="str">
        <f>IF($D688="","","T"&amp;TEXT(ROW()-6,"00000"))</f>
        <v/>
      </c>
      <c r="C688" s="65" t="str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61"/>
      <c r="E688" s="66"/>
      <c r="F688" s="67"/>
      <c r="G688" s="60"/>
      <c r="H688" s="60"/>
      <c r="I688" s="61"/>
      <c r="J688" s="61"/>
      <c r="K688" s="61"/>
      <c r="L688" s="73" t="str">
        <f>IF($E688="","",DATE(YEAR($E688),MONTH($E688),1))</f>
        <v/>
      </c>
      <c r="M688" s="65" t="str">
        <f ca="1">IF($D688="","",IF($C688="TANIMSIZ MÜŞTERİ","HATA",IF(OR($E688="",$F688&lt;=0,$G688=""),"EKSİK",IF($E688&gt;TODAY(),"İLERİ TARİH",IF(COUNTIF($S$7:$S$2503,$S688)&gt;1,"MÜKERRER?",IF($T688&gt;0,"KAPALI DÖNEM","UYGUN"))))))</f>
        <v/>
      </c>
      <c r="N688" s="74" t="str">
        <f>IF($C688="","",IF($C688="TANIMSIZ MÜŞTERİ","—",INDEX(MUSTERILER!$C$7:$C$156,MATCH($C688,MUSTERILER!$B$7:$B$156,0))))</f>
        <v/>
      </c>
      <c r="O688" s="2"/>
      <c r="P688" s="2"/>
      <c r="Q688" s="1" t="str">
        <f>IF($D688="","",$C688&amp;"|"&amp;COUNTIFS($C$7:$C688,$C688))</f>
        <v/>
      </c>
      <c r="R688" s="1" t="str">
        <f t="shared" si="20"/>
        <v/>
      </c>
      <c r="S688" s="1" t="str">
        <f t="shared" si="21"/>
        <v/>
      </c>
      <c r="T688" s="1">
        <f>IF($E688="",0,SUMPRODUCT((AY_SONU!$O$7:$O$42="Evet")*(AY_SONU!$B$7:$B$42=DATE(YEAR($E688),MONTH($E688),1))))</f>
        <v>0</v>
      </c>
      <c r="U688" s="1" t="str">
        <f>IF(OR($G688="",$H688="Mahsup"),"",$G688&amp;"|"&amp;COUNTIFS($G$7:$G688,$G688,$H$7:$H688,"&lt;&gt;Mahsup"))</f>
        <v/>
      </c>
    </row>
    <row r="689" spans="1:21" ht="18" customHeight="1" x14ac:dyDescent="0.3">
      <c r="A689" s="2"/>
      <c r="B689" s="65" t="str">
        <f>IF($D689="","","T"&amp;TEXT(ROW()-6,"00000"))</f>
        <v/>
      </c>
      <c r="C689" s="65" t="str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61"/>
      <c r="E689" s="66"/>
      <c r="F689" s="67"/>
      <c r="G689" s="60"/>
      <c r="H689" s="60"/>
      <c r="I689" s="61"/>
      <c r="J689" s="61"/>
      <c r="K689" s="61"/>
      <c r="L689" s="73" t="str">
        <f>IF($E689="","",DATE(YEAR($E689),MONTH($E689),1))</f>
        <v/>
      </c>
      <c r="M689" s="65" t="str">
        <f ca="1">IF($D689="","",IF($C689="TANIMSIZ MÜŞTERİ","HATA",IF(OR($E689="",$F689&lt;=0,$G689=""),"EKSİK",IF($E689&gt;TODAY(),"İLERİ TARİH",IF(COUNTIF($S$7:$S$2503,$S689)&gt;1,"MÜKERRER?",IF($T689&gt;0,"KAPALI DÖNEM","UYGUN"))))))</f>
        <v/>
      </c>
      <c r="N689" s="74" t="str">
        <f>IF($C689="","",IF($C689="TANIMSIZ MÜŞTERİ","—",INDEX(MUSTERILER!$C$7:$C$156,MATCH($C689,MUSTERILER!$B$7:$B$156,0))))</f>
        <v/>
      </c>
      <c r="O689" s="2"/>
      <c r="P689" s="2"/>
      <c r="Q689" s="1" t="str">
        <f>IF($D689="","",$C689&amp;"|"&amp;COUNTIFS($C$7:$C689,$C689))</f>
        <v/>
      </c>
      <c r="R689" s="1" t="str">
        <f t="shared" si="20"/>
        <v/>
      </c>
      <c r="S689" s="1" t="str">
        <f t="shared" si="21"/>
        <v/>
      </c>
      <c r="T689" s="1">
        <f>IF($E689="",0,SUMPRODUCT((AY_SONU!$O$7:$O$42="Evet")*(AY_SONU!$B$7:$B$42=DATE(YEAR($E689),MONTH($E689),1))))</f>
        <v>0</v>
      </c>
      <c r="U689" s="1" t="str">
        <f>IF(OR($G689="",$H689="Mahsup"),"",$G689&amp;"|"&amp;COUNTIFS($G$7:$G689,$G689,$H$7:$H689,"&lt;&gt;Mahsup"))</f>
        <v/>
      </c>
    </row>
    <row r="690" spans="1:21" ht="18" customHeight="1" x14ac:dyDescent="0.3">
      <c r="A690" s="2"/>
      <c r="B690" s="65" t="str">
        <f>IF($D690="","","T"&amp;TEXT(ROW()-6,"00000"))</f>
        <v/>
      </c>
      <c r="C690" s="65" t="str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61"/>
      <c r="E690" s="66"/>
      <c r="F690" s="67"/>
      <c r="G690" s="60"/>
      <c r="H690" s="60"/>
      <c r="I690" s="61"/>
      <c r="J690" s="61"/>
      <c r="K690" s="61"/>
      <c r="L690" s="73" t="str">
        <f>IF($E690="","",DATE(YEAR($E690),MONTH($E690),1))</f>
        <v/>
      </c>
      <c r="M690" s="65" t="str">
        <f ca="1">IF($D690="","",IF($C690="TANIMSIZ MÜŞTERİ","HATA",IF(OR($E690="",$F690&lt;=0,$G690=""),"EKSİK",IF($E690&gt;TODAY(),"İLERİ TARİH",IF(COUNTIF($S$7:$S$2503,$S690)&gt;1,"MÜKERRER?",IF($T690&gt;0,"KAPALI DÖNEM","UYGUN"))))))</f>
        <v/>
      </c>
      <c r="N690" s="74" t="str">
        <f>IF($C690="","",IF($C690="TANIMSIZ MÜŞTERİ","—",INDEX(MUSTERILER!$C$7:$C$156,MATCH($C690,MUSTERILER!$B$7:$B$156,0))))</f>
        <v/>
      </c>
      <c r="O690" s="2"/>
      <c r="P690" s="2"/>
      <c r="Q690" s="1" t="str">
        <f>IF($D690="","",$C690&amp;"|"&amp;COUNTIFS($C$7:$C690,$C690))</f>
        <v/>
      </c>
      <c r="R690" s="1" t="str">
        <f t="shared" si="20"/>
        <v/>
      </c>
      <c r="S690" s="1" t="str">
        <f t="shared" si="21"/>
        <v/>
      </c>
      <c r="T690" s="1">
        <f>IF($E690="",0,SUMPRODUCT((AY_SONU!$O$7:$O$42="Evet")*(AY_SONU!$B$7:$B$42=DATE(YEAR($E690),MONTH($E690),1))))</f>
        <v>0</v>
      </c>
      <c r="U690" s="1" t="str">
        <f>IF(OR($G690="",$H690="Mahsup"),"",$G690&amp;"|"&amp;COUNTIFS($G$7:$G690,$G690,$H$7:$H690,"&lt;&gt;Mahsup"))</f>
        <v/>
      </c>
    </row>
    <row r="691" spans="1:21" ht="18" customHeight="1" x14ac:dyDescent="0.3">
      <c r="A691" s="2"/>
      <c r="B691" s="65" t="str">
        <f>IF($D691="","","T"&amp;TEXT(ROW()-6,"00000"))</f>
        <v/>
      </c>
      <c r="C691" s="65" t="str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61"/>
      <c r="E691" s="66"/>
      <c r="F691" s="67"/>
      <c r="G691" s="60"/>
      <c r="H691" s="60"/>
      <c r="I691" s="61"/>
      <c r="J691" s="61"/>
      <c r="K691" s="61"/>
      <c r="L691" s="73" t="str">
        <f>IF($E691="","",DATE(YEAR($E691),MONTH($E691),1))</f>
        <v/>
      </c>
      <c r="M691" s="65" t="str">
        <f ca="1">IF($D691="","",IF($C691="TANIMSIZ MÜŞTERİ","HATA",IF(OR($E691="",$F691&lt;=0,$G691=""),"EKSİK",IF($E691&gt;TODAY(),"İLERİ TARİH",IF(COUNTIF($S$7:$S$2503,$S691)&gt;1,"MÜKERRER?",IF($T691&gt;0,"KAPALI DÖNEM","UYGUN"))))))</f>
        <v/>
      </c>
      <c r="N691" s="74" t="str">
        <f>IF($C691="","",IF($C691="TANIMSIZ MÜŞTERİ","—",INDEX(MUSTERILER!$C$7:$C$156,MATCH($C691,MUSTERILER!$B$7:$B$156,0))))</f>
        <v/>
      </c>
      <c r="O691" s="2"/>
      <c r="P691" s="2"/>
      <c r="Q691" s="1" t="str">
        <f>IF($D691="","",$C691&amp;"|"&amp;COUNTIFS($C$7:$C691,$C691))</f>
        <v/>
      </c>
      <c r="R691" s="1" t="str">
        <f t="shared" si="20"/>
        <v/>
      </c>
      <c r="S691" s="1" t="str">
        <f t="shared" si="21"/>
        <v/>
      </c>
      <c r="T691" s="1">
        <f>IF($E691="",0,SUMPRODUCT((AY_SONU!$O$7:$O$42="Evet")*(AY_SONU!$B$7:$B$42=DATE(YEAR($E691),MONTH($E691),1))))</f>
        <v>0</v>
      </c>
      <c r="U691" s="1" t="str">
        <f>IF(OR($G691="",$H691="Mahsup"),"",$G691&amp;"|"&amp;COUNTIFS($G$7:$G691,$G691,$H$7:$H691,"&lt;&gt;Mahsup"))</f>
        <v/>
      </c>
    </row>
    <row r="692" spans="1:21" ht="18" customHeight="1" x14ac:dyDescent="0.3">
      <c r="A692" s="2"/>
      <c r="B692" s="65" t="str">
        <f>IF($D692="","","T"&amp;TEXT(ROW()-6,"00000"))</f>
        <v/>
      </c>
      <c r="C692" s="65" t="str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61"/>
      <c r="E692" s="66"/>
      <c r="F692" s="67"/>
      <c r="G692" s="60"/>
      <c r="H692" s="60"/>
      <c r="I692" s="61"/>
      <c r="J692" s="61"/>
      <c r="K692" s="61"/>
      <c r="L692" s="73" t="str">
        <f>IF($E692="","",DATE(YEAR($E692),MONTH($E692),1))</f>
        <v/>
      </c>
      <c r="M692" s="65" t="str">
        <f ca="1">IF($D692="","",IF($C692="TANIMSIZ MÜŞTERİ","HATA",IF(OR($E692="",$F692&lt;=0,$G692=""),"EKSİK",IF($E692&gt;TODAY(),"İLERİ TARİH",IF(COUNTIF($S$7:$S$2503,$S692)&gt;1,"MÜKERRER?",IF($T692&gt;0,"KAPALI DÖNEM","UYGUN"))))))</f>
        <v/>
      </c>
      <c r="N692" s="74" t="str">
        <f>IF($C692="","",IF($C692="TANIMSIZ MÜŞTERİ","—",INDEX(MUSTERILER!$C$7:$C$156,MATCH($C692,MUSTERILER!$B$7:$B$156,0))))</f>
        <v/>
      </c>
      <c r="O692" s="2"/>
      <c r="P692" s="2"/>
      <c r="Q692" s="1" t="str">
        <f>IF($D692="","",$C692&amp;"|"&amp;COUNTIFS($C$7:$C692,$C692))</f>
        <v/>
      </c>
      <c r="R692" s="1" t="str">
        <f t="shared" si="20"/>
        <v/>
      </c>
      <c r="S692" s="1" t="str">
        <f t="shared" si="21"/>
        <v/>
      </c>
      <c r="T692" s="1">
        <f>IF($E692="",0,SUMPRODUCT((AY_SONU!$O$7:$O$42="Evet")*(AY_SONU!$B$7:$B$42=DATE(YEAR($E692),MONTH($E692),1))))</f>
        <v>0</v>
      </c>
      <c r="U692" s="1" t="str">
        <f>IF(OR($G692="",$H692="Mahsup"),"",$G692&amp;"|"&amp;COUNTIFS($G$7:$G692,$G692,$H$7:$H692,"&lt;&gt;Mahsup"))</f>
        <v/>
      </c>
    </row>
    <row r="693" spans="1:21" ht="18" customHeight="1" x14ac:dyDescent="0.3">
      <c r="A693" s="2"/>
      <c r="B693" s="65" t="str">
        <f>IF($D693="","","T"&amp;TEXT(ROW()-6,"00000"))</f>
        <v/>
      </c>
      <c r="C693" s="65" t="str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61"/>
      <c r="E693" s="66"/>
      <c r="F693" s="67"/>
      <c r="G693" s="60"/>
      <c r="H693" s="60"/>
      <c r="I693" s="61"/>
      <c r="J693" s="61"/>
      <c r="K693" s="61"/>
      <c r="L693" s="73" t="str">
        <f>IF($E693="","",DATE(YEAR($E693),MONTH($E693),1))</f>
        <v/>
      </c>
      <c r="M693" s="65" t="str">
        <f ca="1">IF($D693="","",IF($C693="TANIMSIZ MÜŞTERİ","HATA",IF(OR($E693="",$F693&lt;=0,$G693=""),"EKSİK",IF($E693&gt;TODAY(),"İLERİ TARİH",IF(COUNTIF($S$7:$S$2503,$S693)&gt;1,"MÜKERRER?",IF($T693&gt;0,"KAPALI DÖNEM","UYGUN"))))))</f>
        <v/>
      </c>
      <c r="N693" s="74" t="str">
        <f>IF($C693="","",IF($C693="TANIMSIZ MÜŞTERİ","—",INDEX(MUSTERILER!$C$7:$C$156,MATCH($C693,MUSTERILER!$B$7:$B$156,0))))</f>
        <v/>
      </c>
      <c r="O693" s="2"/>
      <c r="P693" s="2"/>
      <c r="Q693" s="1" t="str">
        <f>IF($D693="","",$C693&amp;"|"&amp;COUNTIFS($C$7:$C693,$C693))</f>
        <v/>
      </c>
      <c r="R693" s="1" t="str">
        <f t="shared" si="20"/>
        <v/>
      </c>
      <c r="S693" s="1" t="str">
        <f t="shared" si="21"/>
        <v/>
      </c>
      <c r="T693" s="1">
        <f>IF($E693="",0,SUMPRODUCT((AY_SONU!$O$7:$O$42="Evet")*(AY_SONU!$B$7:$B$42=DATE(YEAR($E693),MONTH($E693),1))))</f>
        <v>0</v>
      </c>
      <c r="U693" s="1" t="str">
        <f>IF(OR($G693="",$H693="Mahsup"),"",$G693&amp;"|"&amp;COUNTIFS($G$7:$G693,$G693,$H$7:$H693,"&lt;&gt;Mahsup"))</f>
        <v/>
      </c>
    </row>
    <row r="694" spans="1:21" ht="18" customHeight="1" x14ac:dyDescent="0.3">
      <c r="A694" s="2"/>
      <c r="B694" s="65" t="str">
        <f>IF($D694="","","T"&amp;TEXT(ROW()-6,"00000"))</f>
        <v/>
      </c>
      <c r="C694" s="65" t="str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61"/>
      <c r="E694" s="66"/>
      <c r="F694" s="67"/>
      <c r="G694" s="60"/>
      <c r="H694" s="60"/>
      <c r="I694" s="61"/>
      <c r="J694" s="61"/>
      <c r="K694" s="61"/>
      <c r="L694" s="73" t="str">
        <f>IF($E694="","",DATE(YEAR($E694),MONTH($E694),1))</f>
        <v/>
      </c>
      <c r="M694" s="65" t="str">
        <f ca="1">IF($D694="","",IF($C694="TANIMSIZ MÜŞTERİ","HATA",IF(OR($E694="",$F694&lt;=0,$G694=""),"EKSİK",IF($E694&gt;TODAY(),"İLERİ TARİH",IF(COUNTIF($S$7:$S$2503,$S694)&gt;1,"MÜKERRER?",IF($T694&gt;0,"KAPALI DÖNEM","UYGUN"))))))</f>
        <v/>
      </c>
      <c r="N694" s="74" t="str">
        <f>IF($C694="","",IF($C694="TANIMSIZ MÜŞTERİ","—",INDEX(MUSTERILER!$C$7:$C$156,MATCH($C694,MUSTERILER!$B$7:$B$156,0))))</f>
        <v/>
      </c>
      <c r="O694" s="2"/>
      <c r="P694" s="2"/>
      <c r="Q694" s="1" t="str">
        <f>IF($D694="","",$C694&amp;"|"&amp;COUNTIFS($C$7:$C694,$C694))</f>
        <v/>
      </c>
      <c r="R694" s="1" t="str">
        <f t="shared" si="20"/>
        <v/>
      </c>
      <c r="S694" s="1" t="str">
        <f t="shared" si="21"/>
        <v/>
      </c>
      <c r="T694" s="1">
        <f>IF($E694="",0,SUMPRODUCT((AY_SONU!$O$7:$O$42="Evet")*(AY_SONU!$B$7:$B$42=DATE(YEAR($E694),MONTH($E694),1))))</f>
        <v>0</v>
      </c>
      <c r="U694" s="1" t="str">
        <f>IF(OR($G694="",$H694="Mahsup"),"",$G694&amp;"|"&amp;COUNTIFS($G$7:$G694,$G694,$H$7:$H694,"&lt;&gt;Mahsup"))</f>
        <v/>
      </c>
    </row>
    <row r="695" spans="1:21" ht="18" customHeight="1" x14ac:dyDescent="0.3">
      <c r="A695" s="2"/>
      <c r="B695" s="65" t="str">
        <f>IF($D695="","","T"&amp;TEXT(ROW()-6,"00000"))</f>
        <v/>
      </c>
      <c r="C695" s="65" t="str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61"/>
      <c r="E695" s="66"/>
      <c r="F695" s="67"/>
      <c r="G695" s="60"/>
      <c r="H695" s="60"/>
      <c r="I695" s="61"/>
      <c r="J695" s="61"/>
      <c r="K695" s="61"/>
      <c r="L695" s="73" t="str">
        <f>IF($E695="","",DATE(YEAR($E695),MONTH($E695),1))</f>
        <v/>
      </c>
      <c r="M695" s="65" t="str">
        <f ca="1">IF($D695="","",IF($C695="TANIMSIZ MÜŞTERİ","HATA",IF(OR($E695="",$F695&lt;=0,$G695=""),"EKSİK",IF($E695&gt;TODAY(),"İLERİ TARİH",IF(COUNTIF($S$7:$S$2503,$S695)&gt;1,"MÜKERRER?",IF($T695&gt;0,"KAPALI DÖNEM","UYGUN"))))))</f>
        <v/>
      </c>
      <c r="N695" s="74" t="str">
        <f>IF($C695="","",IF($C695="TANIMSIZ MÜŞTERİ","—",INDEX(MUSTERILER!$C$7:$C$156,MATCH($C695,MUSTERILER!$B$7:$B$156,0))))</f>
        <v/>
      </c>
      <c r="O695" s="2"/>
      <c r="P695" s="2"/>
      <c r="Q695" s="1" t="str">
        <f>IF($D695="","",$C695&amp;"|"&amp;COUNTIFS($C$7:$C695,$C695))</f>
        <v/>
      </c>
      <c r="R695" s="1" t="str">
        <f t="shared" si="20"/>
        <v/>
      </c>
      <c r="S695" s="1" t="str">
        <f t="shared" si="21"/>
        <v/>
      </c>
      <c r="T695" s="1">
        <f>IF($E695="",0,SUMPRODUCT((AY_SONU!$O$7:$O$42="Evet")*(AY_SONU!$B$7:$B$42=DATE(YEAR($E695),MONTH($E695),1))))</f>
        <v>0</v>
      </c>
      <c r="U695" s="1" t="str">
        <f>IF(OR($G695="",$H695="Mahsup"),"",$G695&amp;"|"&amp;COUNTIFS($G$7:$G695,$G695,$H$7:$H695,"&lt;&gt;Mahsup"))</f>
        <v/>
      </c>
    </row>
    <row r="696" spans="1:21" ht="18" customHeight="1" x14ac:dyDescent="0.3">
      <c r="A696" s="2"/>
      <c r="B696" s="65" t="str">
        <f>IF($D696="","","T"&amp;TEXT(ROW()-6,"00000"))</f>
        <v/>
      </c>
      <c r="C696" s="65" t="str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61"/>
      <c r="E696" s="66"/>
      <c r="F696" s="67"/>
      <c r="G696" s="60"/>
      <c r="H696" s="60"/>
      <c r="I696" s="61"/>
      <c r="J696" s="61"/>
      <c r="K696" s="61"/>
      <c r="L696" s="73" t="str">
        <f>IF($E696="","",DATE(YEAR($E696),MONTH($E696),1))</f>
        <v/>
      </c>
      <c r="M696" s="65" t="str">
        <f ca="1">IF($D696="","",IF($C696="TANIMSIZ MÜŞTERİ","HATA",IF(OR($E696="",$F696&lt;=0,$G696=""),"EKSİK",IF($E696&gt;TODAY(),"İLERİ TARİH",IF(COUNTIF($S$7:$S$2503,$S696)&gt;1,"MÜKERRER?",IF($T696&gt;0,"KAPALI DÖNEM","UYGUN"))))))</f>
        <v/>
      </c>
      <c r="N696" s="74" t="str">
        <f>IF($C696="","",IF($C696="TANIMSIZ MÜŞTERİ","—",INDEX(MUSTERILER!$C$7:$C$156,MATCH($C696,MUSTERILER!$B$7:$B$156,0))))</f>
        <v/>
      </c>
      <c r="O696" s="2"/>
      <c r="P696" s="2"/>
      <c r="Q696" s="1" t="str">
        <f>IF($D696="","",$C696&amp;"|"&amp;COUNTIFS($C$7:$C696,$C696))</f>
        <v/>
      </c>
      <c r="R696" s="1" t="str">
        <f t="shared" si="20"/>
        <v/>
      </c>
      <c r="S696" s="1" t="str">
        <f t="shared" si="21"/>
        <v/>
      </c>
      <c r="T696" s="1">
        <f>IF($E696="",0,SUMPRODUCT((AY_SONU!$O$7:$O$42="Evet")*(AY_SONU!$B$7:$B$42=DATE(YEAR($E696),MONTH($E696),1))))</f>
        <v>0</v>
      </c>
      <c r="U696" s="1" t="str">
        <f>IF(OR($G696="",$H696="Mahsup"),"",$G696&amp;"|"&amp;COUNTIFS($G$7:$G696,$G696,$H$7:$H696,"&lt;&gt;Mahsup"))</f>
        <v/>
      </c>
    </row>
    <row r="697" spans="1:21" ht="18" customHeight="1" x14ac:dyDescent="0.3">
      <c r="A697" s="2"/>
      <c r="B697" s="65" t="str">
        <f>IF($D697="","","T"&amp;TEXT(ROW()-6,"00000"))</f>
        <v/>
      </c>
      <c r="C697" s="65" t="str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61"/>
      <c r="E697" s="66"/>
      <c r="F697" s="67"/>
      <c r="G697" s="60"/>
      <c r="H697" s="60"/>
      <c r="I697" s="61"/>
      <c r="J697" s="61"/>
      <c r="K697" s="61"/>
      <c r="L697" s="73" t="str">
        <f>IF($E697="","",DATE(YEAR($E697),MONTH($E697),1))</f>
        <v/>
      </c>
      <c r="M697" s="65" t="str">
        <f ca="1">IF($D697="","",IF($C697="TANIMSIZ MÜŞTERİ","HATA",IF(OR($E697="",$F697&lt;=0,$G697=""),"EKSİK",IF($E697&gt;TODAY(),"İLERİ TARİH",IF(COUNTIF($S$7:$S$2503,$S697)&gt;1,"MÜKERRER?",IF($T697&gt;0,"KAPALI DÖNEM","UYGUN"))))))</f>
        <v/>
      </c>
      <c r="N697" s="74" t="str">
        <f>IF($C697="","",IF($C697="TANIMSIZ MÜŞTERİ","—",INDEX(MUSTERILER!$C$7:$C$156,MATCH($C697,MUSTERILER!$B$7:$B$156,0))))</f>
        <v/>
      </c>
      <c r="O697" s="2"/>
      <c r="P697" s="2"/>
      <c r="Q697" s="1" t="str">
        <f>IF($D697="","",$C697&amp;"|"&amp;COUNTIFS($C$7:$C697,$C697))</f>
        <v/>
      </c>
      <c r="R697" s="1" t="str">
        <f t="shared" si="20"/>
        <v/>
      </c>
      <c r="S697" s="1" t="str">
        <f t="shared" si="21"/>
        <v/>
      </c>
      <c r="T697" s="1">
        <f>IF($E697="",0,SUMPRODUCT((AY_SONU!$O$7:$O$42="Evet")*(AY_SONU!$B$7:$B$42=DATE(YEAR($E697),MONTH($E697),1))))</f>
        <v>0</v>
      </c>
      <c r="U697" s="1" t="str">
        <f>IF(OR($G697="",$H697="Mahsup"),"",$G697&amp;"|"&amp;COUNTIFS($G$7:$G697,$G697,$H$7:$H697,"&lt;&gt;Mahsup"))</f>
        <v/>
      </c>
    </row>
    <row r="698" spans="1:21" ht="18" customHeight="1" x14ac:dyDescent="0.3">
      <c r="A698" s="2"/>
      <c r="B698" s="65" t="str">
        <f>IF($D698="","","T"&amp;TEXT(ROW()-6,"00000"))</f>
        <v/>
      </c>
      <c r="C698" s="65" t="str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61"/>
      <c r="E698" s="66"/>
      <c r="F698" s="67"/>
      <c r="G698" s="60"/>
      <c r="H698" s="60"/>
      <c r="I698" s="61"/>
      <c r="J698" s="61"/>
      <c r="K698" s="61"/>
      <c r="L698" s="73" t="str">
        <f>IF($E698="","",DATE(YEAR($E698),MONTH($E698),1))</f>
        <v/>
      </c>
      <c r="M698" s="65" t="str">
        <f ca="1">IF($D698="","",IF($C698="TANIMSIZ MÜŞTERİ","HATA",IF(OR($E698="",$F698&lt;=0,$G698=""),"EKSİK",IF($E698&gt;TODAY(),"İLERİ TARİH",IF(COUNTIF($S$7:$S$2503,$S698)&gt;1,"MÜKERRER?",IF($T698&gt;0,"KAPALI DÖNEM","UYGUN"))))))</f>
        <v/>
      </c>
      <c r="N698" s="74" t="str">
        <f>IF($C698="","",IF($C698="TANIMSIZ MÜŞTERİ","—",INDEX(MUSTERILER!$C$7:$C$156,MATCH($C698,MUSTERILER!$B$7:$B$156,0))))</f>
        <v/>
      </c>
      <c r="O698" s="2"/>
      <c r="P698" s="2"/>
      <c r="Q698" s="1" t="str">
        <f>IF($D698="","",$C698&amp;"|"&amp;COUNTIFS($C$7:$C698,$C698))</f>
        <v/>
      </c>
      <c r="R698" s="1" t="str">
        <f t="shared" si="20"/>
        <v/>
      </c>
      <c r="S698" s="1" t="str">
        <f t="shared" si="21"/>
        <v/>
      </c>
      <c r="T698" s="1">
        <f>IF($E698="",0,SUMPRODUCT((AY_SONU!$O$7:$O$42="Evet")*(AY_SONU!$B$7:$B$42=DATE(YEAR($E698),MONTH($E698),1))))</f>
        <v>0</v>
      </c>
      <c r="U698" s="1" t="str">
        <f>IF(OR($G698="",$H698="Mahsup"),"",$G698&amp;"|"&amp;COUNTIFS($G$7:$G698,$G698,$H$7:$H698,"&lt;&gt;Mahsup"))</f>
        <v/>
      </c>
    </row>
    <row r="699" spans="1:21" ht="18" customHeight="1" x14ac:dyDescent="0.3">
      <c r="A699" s="2"/>
      <c r="B699" s="65" t="str">
        <f>IF($D699="","","T"&amp;TEXT(ROW()-6,"00000"))</f>
        <v/>
      </c>
      <c r="C699" s="65" t="str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61"/>
      <c r="E699" s="66"/>
      <c r="F699" s="67"/>
      <c r="G699" s="60"/>
      <c r="H699" s="60"/>
      <c r="I699" s="61"/>
      <c r="J699" s="61"/>
      <c r="K699" s="61"/>
      <c r="L699" s="73" t="str">
        <f>IF($E699="","",DATE(YEAR($E699),MONTH($E699),1))</f>
        <v/>
      </c>
      <c r="M699" s="65" t="str">
        <f ca="1">IF($D699="","",IF($C699="TANIMSIZ MÜŞTERİ","HATA",IF(OR($E699="",$F699&lt;=0,$G699=""),"EKSİK",IF($E699&gt;TODAY(),"İLERİ TARİH",IF(COUNTIF($S$7:$S$2503,$S699)&gt;1,"MÜKERRER?",IF($T699&gt;0,"KAPALI DÖNEM","UYGUN"))))))</f>
        <v/>
      </c>
      <c r="N699" s="74" t="str">
        <f>IF($C699="","",IF($C699="TANIMSIZ MÜŞTERİ","—",INDEX(MUSTERILER!$C$7:$C$156,MATCH($C699,MUSTERILER!$B$7:$B$156,0))))</f>
        <v/>
      </c>
      <c r="O699" s="2"/>
      <c r="P699" s="2"/>
      <c r="Q699" s="1" t="str">
        <f>IF($D699="","",$C699&amp;"|"&amp;COUNTIFS($C$7:$C699,$C699))</f>
        <v/>
      </c>
      <c r="R699" s="1" t="str">
        <f t="shared" si="20"/>
        <v/>
      </c>
      <c r="S699" s="1" t="str">
        <f t="shared" si="21"/>
        <v/>
      </c>
      <c r="T699" s="1">
        <f>IF($E699="",0,SUMPRODUCT((AY_SONU!$O$7:$O$42="Evet")*(AY_SONU!$B$7:$B$42=DATE(YEAR($E699),MONTH($E699),1))))</f>
        <v>0</v>
      </c>
      <c r="U699" s="1" t="str">
        <f>IF(OR($G699="",$H699="Mahsup"),"",$G699&amp;"|"&amp;COUNTIFS($G$7:$G699,$G699,$H$7:$H699,"&lt;&gt;Mahsup"))</f>
        <v/>
      </c>
    </row>
    <row r="700" spans="1:21" ht="18" customHeight="1" x14ac:dyDescent="0.3">
      <c r="A700" s="2"/>
      <c r="B700" s="65" t="str">
        <f>IF($D700="","","T"&amp;TEXT(ROW()-6,"00000"))</f>
        <v/>
      </c>
      <c r="C700" s="65" t="str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61"/>
      <c r="E700" s="66"/>
      <c r="F700" s="67"/>
      <c r="G700" s="60"/>
      <c r="H700" s="60"/>
      <c r="I700" s="61"/>
      <c r="J700" s="61"/>
      <c r="K700" s="61"/>
      <c r="L700" s="73" t="str">
        <f>IF($E700="","",DATE(YEAR($E700),MONTH($E700),1))</f>
        <v/>
      </c>
      <c r="M700" s="65" t="str">
        <f ca="1">IF($D700="","",IF($C700="TANIMSIZ MÜŞTERİ","HATA",IF(OR($E700="",$F700&lt;=0,$G700=""),"EKSİK",IF($E700&gt;TODAY(),"İLERİ TARİH",IF(COUNTIF($S$7:$S$2503,$S700)&gt;1,"MÜKERRER?",IF($T700&gt;0,"KAPALI DÖNEM","UYGUN"))))))</f>
        <v/>
      </c>
      <c r="N700" s="74" t="str">
        <f>IF($C700="","",IF($C700="TANIMSIZ MÜŞTERİ","—",INDEX(MUSTERILER!$C$7:$C$156,MATCH($C700,MUSTERILER!$B$7:$B$156,0))))</f>
        <v/>
      </c>
      <c r="O700" s="2"/>
      <c r="P700" s="2"/>
      <c r="Q700" s="1" t="str">
        <f>IF($D700="","",$C700&amp;"|"&amp;COUNTIFS($C$7:$C700,$C700))</f>
        <v/>
      </c>
      <c r="R700" s="1" t="str">
        <f t="shared" si="20"/>
        <v/>
      </c>
      <c r="S700" s="1" t="str">
        <f t="shared" si="21"/>
        <v/>
      </c>
      <c r="T700" s="1">
        <f>IF($E700="",0,SUMPRODUCT((AY_SONU!$O$7:$O$42="Evet")*(AY_SONU!$B$7:$B$42=DATE(YEAR($E700),MONTH($E700),1))))</f>
        <v>0</v>
      </c>
      <c r="U700" s="1" t="str">
        <f>IF(OR($G700="",$H700="Mahsup"),"",$G700&amp;"|"&amp;COUNTIFS($G$7:$G700,$G700,$H$7:$H700,"&lt;&gt;Mahsup"))</f>
        <v/>
      </c>
    </row>
    <row r="701" spans="1:21" ht="18" customHeight="1" x14ac:dyDescent="0.3">
      <c r="A701" s="2"/>
      <c r="B701" s="65" t="str">
        <f>IF($D701="","","T"&amp;TEXT(ROW()-6,"00000"))</f>
        <v/>
      </c>
      <c r="C701" s="65" t="str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61"/>
      <c r="E701" s="66"/>
      <c r="F701" s="67"/>
      <c r="G701" s="60"/>
      <c r="H701" s="60"/>
      <c r="I701" s="61"/>
      <c r="J701" s="61"/>
      <c r="K701" s="61"/>
      <c r="L701" s="73" t="str">
        <f>IF($E701="","",DATE(YEAR($E701),MONTH($E701),1))</f>
        <v/>
      </c>
      <c r="M701" s="65" t="str">
        <f ca="1">IF($D701="","",IF($C701="TANIMSIZ MÜŞTERİ","HATA",IF(OR($E701="",$F701&lt;=0,$G701=""),"EKSİK",IF($E701&gt;TODAY(),"İLERİ TARİH",IF(COUNTIF($S$7:$S$2503,$S701)&gt;1,"MÜKERRER?",IF($T701&gt;0,"KAPALI DÖNEM","UYGUN"))))))</f>
        <v/>
      </c>
      <c r="N701" s="74" t="str">
        <f>IF($C701="","",IF($C701="TANIMSIZ MÜŞTERİ","—",INDEX(MUSTERILER!$C$7:$C$156,MATCH($C701,MUSTERILER!$B$7:$B$156,0))))</f>
        <v/>
      </c>
      <c r="O701" s="2"/>
      <c r="P701" s="2"/>
      <c r="Q701" s="1" t="str">
        <f>IF($D701="","",$C701&amp;"|"&amp;COUNTIFS($C$7:$C701,$C701))</f>
        <v/>
      </c>
      <c r="R701" s="1" t="str">
        <f t="shared" si="20"/>
        <v/>
      </c>
      <c r="S701" s="1" t="str">
        <f t="shared" si="21"/>
        <v/>
      </c>
      <c r="T701" s="1">
        <f>IF($E701="",0,SUMPRODUCT((AY_SONU!$O$7:$O$42="Evet")*(AY_SONU!$B$7:$B$42=DATE(YEAR($E701),MONTH($E701),1))))</f>
        <v>0</v>
      </c>
      <c r="U701" s="1" t="str">
        <f>IF(OR($G701="",$H701="Mahsup"),"",$G701&amp;"|"&amp;COUNTIFS($G$7:$G701,$G701,$H$7:$H701,"&lt;&gt;Mahsup"))</f>
        <v/>
      </c>
    </row>
    <row r="702" spans="1:21" ht="18" customHeight="1" x14ac:dyDescent="0.3">
      <c r="A702" s="2"/>
      <c r="B702" s="65" t="str">
        <f>IF($D702="","","T"&amp;TEXT(ROW()-6,"00000"))</f>
        <v/>
      </c>
      <c r="C702" s="65" t="str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61"/>
      <c r="E702" s="66"/>
      <c r="F702" s="67"/>
      <c r="G702" s="60"/>
      <c r="H702" s="60"/>
      <c r="I702" s="61"/>
      <c r="J702" s="61"/>
      <c r="K702" s="61"/>
      <c r="L702" s="73" t="str">
        <f>IF($E702="","",DATE(YEAR($E702),MONTH($E702),1))</f>
        <v/>
      </c>
      <c r="M702" s="65" t="str">
        <f ca="1">IF($D702="","",IF($C702="TANIMSIZ MÜŞTERİ","HATA",IF(OR($E702="",$F702&lt;=0,$G702=""),"EKSİK",IF($E702&gt;TODAY(),"İLERİ TARİH",IF(COUNTIF($S$7:$S$2503,$S702)&gt;1,"MÜKERRER?",IF($T702&gt;0,"KAPALI DÖNEM","UYGUN"))))))</f>
        <v/>
      </c>
      <c r="N702" s="74" t="str">
        <f>IF($C702="","",IF($C702="TANIMSIZ MÜŞTERİ","—",INDEX(MUSTERILER!$C$7:$C$156,MATCH($C702,MUSTERILER!$B$7:$B$156,0))))</f>
        <v/>
      </c>
      <c r="O702" s="2"/>
      <c r="P702" s="2"/>
      <c r="Q702" s="1" t="str">
        <f>IF($D702="","",$C702&amp;"|"&amp;COUNTIFS($C$7:$C702,$C702))</f>
        <v/>
      </c>
      <c r="R702" s="1" t="str">
        <f t="shared" si="20"/>
        <v/>
      </c>
      <c r="S702" s="1" t="str">
        <f t="shared" si="21"/>
        <v/>
      </c>
      <c r="T702" s="1">
        <f>IF($E702="",0,SUMPRODUCT((AY_SONU!$O$7:$O$42="Evet")*(AY_SONU!$B$7:$B$42=DATE(YEAR($E702),MONTH($E702),1))))</f>
        <v>0</v>
      </c>
      <c r="U702" s="1" t="str">
        <f>IF(OR($G702="",$H702="Mahsup"),"",$G702&amp;"|"&amp;COUNTIFS($G$7:$G702,$G702,$H$7:$H702,"&lt;&gt;Mahsup"))</f>
        <v/>
      </c>
    </row>
    <row r="703" spans="1:21" ht="18" customHeight="1" x14ac:dyDescent="0.3">
      <c r="A703" s="2"/>
      <c r="B703" s="65" t="str">
        <f>IF($D703="","","T"&amp;TEXT(ROW()-6,"00000"))</f>
        <v/>
      </c>
      <c r="C703" s="65" t="str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61"/>
      <c r="E703" s="66"/>
      <c r="F703" s="67"/>
      <c r="G703" s="60"/>
      <c r="H703" s="60"/>
      <c r="I703" s="61"/>
      <c r="J703" s="61"/>
      <c r="K703" s="61"/>
      <c r="L703" s="73" t="str">
        <f>IF($E703="","",DATE(YEAR($E703),MONTH($E703),1))</f>
        <v/>
      </c>
      <c r="M703" s="65" t="str">
        <f ca="1">IF($D703="","",IF($C703="TANIMSIZ MÜŞTERİ","HATA",IF(OR($E703="",$F703&lt;=0,$G703=""),"EKSİK",IF($E703&gt;TODAY(),"İLERİ TARİH",IF(COUNTIF($S$7:$S$2503,$S703)&gt;1,"MÜKERRER?",IF($T703&gt;0,"KAPALI DÖNEM","UYGUN"))))))</f>
        <v/>
      </c>
      <c r="N703" s="74" t="str">
        <f>IF($C703="","",IF($C703="TANIMSIZ MÜŞTERİ","—",INDEX(MUSTERILER!$C$7:$C$156,MATCH($C703,MUSTERILER!$B$7:$B$156,0))))</f>
        <v/>
      </c>
      <c r="O703" s="2"/>
      <c r="P703" s="2"/>
      <c r="Q703" s="1" t="str">
        <f>IF($D703="","",$C703&amp;"|"&amp;COUNTIFS($C$7:$C703,$C703))</f>
        <v/>
      </c>
      <c r="R703" s="1" t="str">
        <f t="shared" si="20"/>
        <v/>
      </c>
      <c r="S703" s="1" t="str">
        <f t="shared" si="21"/>
        <v/>
      </c>
      <c r="T703" s="1">
        <f>IF($E703="",0,SUMPRODUCT((AY_SONU!$O$7:$O$42="Evet")*(AY_SONU!$B$7:$B$42=DATE(YEAR($E703),MONTH($E703),1))))</f>
        <v>0</v>
      </c>
      <c r="U703" s="1" t="str">
        <f>IF(OR($G703="",$H703="Mahsup"),"",$G703&amp;"|"&amp;COUNTIFS($G$7:$G703,$G703,$H$7:$H703,"&lt;&gt;Mahsup"))</f>
        <v/>
      </c>
    </row>
    <row r="704" spans="1:21" ht="18" customHeight="1" x14ac:dyDescent="0.3">
      <c r="A704" s="2"/>
      <c r="B704" s="65" t="str">
        <f>IF($D704="","","T"&amp;TEXT(ROW()-6,"00000"))</f>
        <v/>
      </c>
      <c r="C704" s="65" t="str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61"/>
      <c r="E704" s="66"/>
      <c r="F704" s="67"/>
      <c r="G704" s="60"/>
      <c r="H704" s="60"/>
      <c r="I704" s="61"/>
      <c r="J704" s="61"/>
      <c r="K704" s="61"/>
      <c r="L704" s="73" t="str">
        <f>IF($E704="","",DATE(YEAR($E704),MONTH($E704),1))</f>
        <v/>
      </c>
      <c r="M704" s="65" t="str">
        <f ca="1">IF($D704="","",IF($C704="TANIMSIZ MÜŞTERİ","HATA",IF(OR($E704="",$F704&lt;=0,$G704=""),"EKSİK",IF($E704&gt;TODAY(),"İLERİ TARİH",IF(COUNTIF($S$7:$S$2503,$S704)&gt;1,"MÜKERRER?",IF($T704&gt;0,"KAPALI DÖNEM","UYGUN"))))))</f>
        <v/>
      </c>
      <c r="N704" s="74" t="str">
        <f>IF($C704="","",IF($C704="TANIMSIZ MÜŞTERİ","—",INDEX(MUSTERILER!$C$7:$C$156,MATCH($C704,MUSTERILER!$B$7:$B$156,0))))</f>
        <v/>
      </c>
      <c r="O704" s="2"/>
      <c r="P704" s="2"/>
      <c r="Q704" s="1" t="str">
        <f>IF($D704="","",$C704&amp;"|"&amp;COUNTIFS($C$7:$C704,$C704))</f>
        <v/>
      </c>
      <c r="R704" s="1" t="str">
        <f t="shared" si="20"/>
        <v/>
      </c>
      <c r="S704" s="1" t="str">
        <f t="shared" si="21"/>
        <v/>
      </c>
      <c r="T704" s="1">
        <f>IF($E704="",0,SUMPRODUCT((AY_SONU!$O$7:$O$42="Evet")*(AY_SONU!$B$7:$B$42=DATE(YEAR($E704),MONTH($E704),1))))</f>
        <v>0</v>
      </c>
      <c r="U704" s="1" t="str">
        <f>IF(OR($G704="",$H704="Mahsup"),"",$G704&amp;"|"&amp;COUNTIFS($G$7:$G704,$G704,$H$7:$H704,"&lt;&gt;Mahsup"))</f>
        <v/>
      </c>
    </row>
    <row r="705" spans="1:21" ht="18" customHeight="1" x14ac:dyDescent="0.3">
      <c r="A705" s="2"/>
      <c r="B705" s="65" t="str">
        <f>IF($D705="","","T"&amp;TEXT(ROW()-6,"00000"))</f>
        <v/>
      </c>
      <c r="C705" s="65" t="str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61"/>
      <c r="E705" s="66"/>
      <c r="F705" s="67"/>
      <c r="G705" s="60"/>
      <c r="H705" s="60"/>
      <c r="I705" s="61"/>
      <c r="J705" s="61"/>
      <c r="K705" s="61"/>
      <c r="L705" s="73" t="str">
        <f>IF($E705="","",DATE(YEAR($E705),MONTH($E705),1))</f>
        <v/>
      </c>
      <c r="M705" s="65" t="str">
        <f ca="1">IF($D705="","",IF($C705="TANIMSIZ MÜŞTERİ","HATA",IF(OR($E705="",$F705&lt;=0,$G705=""),"EKSİK",IF($E705&gt;TODAY(),"İLERİ TARİH",IF(COUNTIF($S$7:$S$2503,$S705)&gt;1,"MÜKERRER?",IF($T705&gt;0,"KAPALI DÖNEM","UYGUN"))))))</f>
        <v/>
      </c>
      <c r="N705" s="74" t="str">
        <f>IF($C705="","",IF($C705="TANIMSIZ MÜŞTERİ","—",INDEX(MUSTERILER!$C$7:$C$156,MATCH($C705,MUSTERILER!$B$7:$B$156,0))))</f>
        <v/>
      </c>
      <c r="O705" s="2"/>
      <c r="P705" s="2"/>
      <c r="Q705" s="1" t="str">
        <f>IF($D705="","",$C705&amp;"|"&amp;COUNTIFS($C$7:$C705,$C705))</f>
        <v/>
      </c>
      <c r="R705" s="1" t="str">
        <f t="shared" si="20"/>
        <v/>
      </c>
      <c r="S705" s="1" t="str">
        <f t="shared" si="21"/>
        <v/>
      </c>
      <c r="T705" s="1">
        <f>IF($E705="",0,SUMPRODUCT((AY_SONU!$O$7:$O$42="Evet")*(AY_SONU!$B$7:$B$42=DATE(YEAR($E705),MONTH($E705),1))))</f>
        <v>0</v>
      </c>
      <c r="U705" s="1" t="str">
        <f>IF(OR($G705="",$H705="Mahsup"),"",$G705&amp;"|"&amp;COUNTIFS($G$7:$G705,$G705,$H$7:$H705,"&lt;&gt;Mahsup"))</f>
        <v/>
      </c>
    </row>
    <row r="706" spans="1:21" ht="18" customHeight="1" x14ac:dyDescent="0.3">
      <c r="A706" s="2"/>
      <c r="B706" s="65" t="str">
        <f>IF($D706="","","T"&amp;TEXT(ROW()-6,"00000"))</f>
        <v/>
      </c>
      <c r="C706" s="65" t="str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61"/>
      <c r="E706" s="66"/>
      <c r="F706" s="67"/>
      <c r="G706" s="60"/>
      <c r="H706" s="60"/>
      <c r="I706" s="61"/>
      <c r="J706" s="61"/>
      <c r="K706" s="61"/>
      <c r="L706" s="73" t="str">
        <f>IF($E706="","",DATE(YEAR($E706),MONTH($E706),1))</f>
        <v/>
      </c>
      <c r="M706" s="65" t="str">
        <f ca="1">IF($D706="","",IF($C706="TANIMSIZ MÜŞTERİ","HATA",IF(OR($E706="",$F706&lt;=0,$G706=""),"EKSİK",IF($E706&gt;TODAY(),"İLERİ TARİH",IF(COUNTIF($S$7:$S$2503,$S706)&gt;1,"MÜKERRER?",IF($T706&gt;0,"KAPALI DÖNEM","UYGUN"))))))</f>
        <v/>
      </c>
      <c r="N706" s="74" t="str">
        <f>IF($C706="","",IF($C706="TANIMSIZ MÜŞTERİ","—",INDEX(MUSTERILER!$C$7:$C$156,MATCH($C706,MUSTERILER!$B$7:$B$156,0))))</f>
        <v/>
      </c>
      <c r="O706" s="2"/>
      <c r="P706" s="2"/>
      <c r="Q706" s="1" t="str">
        <f>IF($D706="","",$C706&amp;"|"&amp;COUNTIFS($C$7:$C706,$C706))</f>
        <v/>
      </c>
      <c r="R706" s="1" t="str">
        <f t="shared" si="20"/>
        <v/>
      </c>
      <c r="S706" s="1" t="str">
        <f t="shared" si="21"/>
        <v/>
      </c>
      <c r="T706" s="1">
        <f>IF($E706="",0,SUMPRODUCT((AY_SONU!$O$7:$O$42="Evet")*(AY_SONU!$B$7:$B$42=DATE(YEAR($E706),MONTH($E706),1))))</f>
        <v>0</v>
      </c>
      <c r="U706" s="1" t="str">
        <f>IF(OR($G706="",$H706="Mahsup"),"",$G706&amp;"|"&amp;COUNTIFS($G$7:$G706,$G706,$H$7:$H706,"&lt;&gt;Mahsup"))</f>
        <v/>
      </c>
    </row>
    <row r="707" spans="1:21" ht="18" customHeight="1" x14ac:dyDescent="0.3">
      <c r="A707" s="2"/>
      <c r="B707" s="65" t="str">
        <f>IF($D707="","","T"&amp;TEXT(ROW()-6,"00000"))</f>
        <v/>
      </c>
      <c r="C707" s="65" t="str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61"/>
      <c r="E707" s="66"/>
      <c r="F707" s="67"/>
      <c r="G707" s="60"/>
      <c r="H707" s="60"/>
      <c r="I707" s="61"/>
      <c r="J707" s="61"/>
      <c r="K707" s="61"/>
      <c r="L707" s="73" t="str">
        <f>IF($E707="","",DATE(YEAR($E707),MONTH($E707),1))</f>
        <v/>
      </c>
      <c r="M707" s="65" t="str">
        <f ca="1">IF($D707="","",IF($C707="TANIMSIZ MÜŞTERİ","HATA",IF(OR($E707="",$F707&lt;=0,$G707=""),"EKSİK",IF($E707&gt;TODAY(),"İLERİ TARİH",IF(COUNTIF($S$7:$S$2503,$S707)&gt;1,"MÜKERRER?",IF($T707&gt;0,"KAPALI DÖNEM","UYGUN"))))))</f>
        <v/>
      </c>
      <c r="N707" s="74" t="str">
        <f>IF($C707="","",IF($C707="TANIMSIZ MÜŞTERİ","—",INDEX(MUSTERILER!$C$7:$C$156,MATCH($C707,MUSTERILER!$B$7:$B$156,0))))</f>
        <v/>
      </c>
      <c r="O707" s="2"/>
      <c r="P707" s="2"/>
      <c r="Q707" s="1" t="str">
        <f>IF($D707="","",$C707&amp;"|"&amp;COUNTIFS($C$7:$C707,$C707))</f>
        <v/>
      </c>
      <c r="R707" s="1" t="str">
        <f t="shared" si="20"/>
        <v/>
      </c>
      <c r="S707" s="1" t="str">
        <f t="shared" si="21"/>
        <v/>
      </c>
      <c r="T707" s="1">
        <f>IF($E707="",0,SUMPRODUCT((AY_SONU!$O$7:$O$42="Evet")*(AY_SONU!$B$7:$B$42=DATE(YEAR($E707),MONTH($E707),1))))</f>
        <v>0</v>
      </c>
      <c r="U707" s="1" t="str">
        <f>IF(OR($G707="",$H707="Mahsup"),"",$G707&amp;"|"&amp;COUNTIFS($G$7:$G707,$G707,$H$7:$H707,"&lt;&gt;Mahsup"))</f>
        <v/>
      </c>
    </row>
    <row r="708" spans="1:21" ht="18" customHeight="1" x14ac:dyDescent="0.3">
      <c r="A708" s="2"/>
      <c r="B708" s="65" t="str">
        <f>IF($D708="","","T"&amp;TEXT(ROW()-6,"00000"))</f>
        <v/>
      </c>
      <c r="C708" s="65" t="str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61"/>
      <c r="E708" s="66"/>
      <c r="F708" s="67"/>
      <c r="G708" s="60"/>
      <c r="H708" s="60"/>
      <c r="I708" s="61"/>
      <c r="J708" s="61"/>
      <c r="K708" s="61"/>
      <c r="L708" s="73" t="str">
        <f>IF($E708="","",DATE(YEAR($E708),MONTH($E708),1))</f>
        <v/>
      </c>
      <c r="M708" s="65" t="str">
        <f ca="1">IF($D708="","",IF($C708="TANIMSIZ MÜŞTERİ","HATA",IF(OR($E708="",$F708&lt;=0,$G708=""),"EKSİK",IF($E708&gt;TODAY(),"İLERİ TARİH",IF(COUNTIF($S$7:$S$2503,$S708)&gt;1,"MÜKERRER?",IF($T708&gt;0,"KAPALI DÖNEM","UYGUN"))))))</f>
        <v/>
      </c>
      <c r="N708" s="74" t="str">
        <f>IF($C708="","",IF($C708="TANIMSIZ MÜŞTERİ","—",INDEX(MUSTERILER!$C$7:$C$156,MATCH($C708,MUSTERILER!$B$7:$B$156,0))))</f>
        <v/>
      </c>
      <c r="O708" s="2"/>
      <c r="P708" s="2"/>
      <c r="Q708" s="1" t="str">
        <f>IF($D708="","",$C708&amp;"|"&amp;COUNTIFS($C$7:$C708,$C708))</f>
        <v/>
      </c>
      <c r="R708" s="1" t="str">
        <f t="shared" si="20"/>
        <v/>
      </c>
      <c r="S708" s="1" t="str">
        <f t="shared" si="21"/>
        <v/>
      </c>
      <c r="T708" s="1">
        <f>IF($E708="",0,SUMPRODUCT((AY_SONU!$O$7:$O$42="Evet")*(AY_SONU!$B$7:$B$42=DATE(YEAR($E708),MONTH($E708),1))))</f>
        <v>0</v>
      </c>
      <c r="U708" s="1" t="str">
        <f>IF(OR($G708="",$H708="Mahsup"),"",$G708&amp;"|"&amp;COUNTIFS($G$7:$G708,$G708,$H$7:$H708,"&lt;&gt;Mahsup"))</f>
        <v/>
      </c>
    </row>
    <row r="709" spans="1:21" ht="18" customHeight="1" x14ac:dyDescent="0.3">
      <c r="A709" s="2"/>
      <c r="B709" s="65" t="str">
        <f>IF($D709="","","T"&amp;TEXT(ROW()-6,"00000"))</f>
        <v/>
      </c>
      <c r="C709" s="65" t="str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61"/>
      <c r="E709" s="66"/>
      <c r="F709" s="67"/>
      <c r="G709" s="60"/>
      <c r="H709" s="60"/>
      <c r="I709" s="61"/>
      <c r="J709" s="61"/>
      <c r="K709" s="61"/>
      <c r="L709" s="73" t="str">
        <f>IF($E709="","",DATE(YEAR($E709),MONTH($E709),1))</f>
        <v/>
      </c>
      <c r="M709" s="65" t="str">
        <f ca="1">IF($D709="","",IF($C709="TANIMSIZ MÜŞTERİ","HATA",IF(OR($E709="",$F709&lt;=0,$G709=""),"EKSİK",IF($E709&gt;TODAY(),"İLERİ TARİH",IF(COUNTIF($S$7:$S$2503,$S709)&gt;1,"MÜKERRER?",IF($T709&gt;0,"KAPALI DÖNEM","UYGUN"))))))</f>
        <v/>
      </c>
      <c r="N709" s="74" t="str">
        <f>IF($C709="","",IF($C709="TANIMSIZ MÜŞTERİ","—",INDEX(MUSTERILER!$C$7:$C$156,MATCH($C709,MUSTERILER!$B$7:$B$156,0))))</f>
        <v/>
      </c>
      <c r="O709" s="2"/>
      <c r="P709" s="2"/>
      <c r="Q709" s="1" t="str">
        <f>IF($D709="","",$C709&amp;"|"&amp;COUNTIFS($C$7:$C709,$C709))</f>
        <v/>
      </c>
      <c r="R709" s="1" t="str">
        <f t="shared" si="20"/>
        <v/>
      </c>
      <c r="S709" s="1" t="str">
        <f t="shared" si="21"/>
        <v/>
      </c>
      <c r="T709" s="1">
        <f>IF($E709="",0,SUMPRODUCT((AY_SONU!$O$7:$O$42="Evet")*(AY_SONU!$B$7:$B$42=DATE(YEAR($E709),MONTH($E709),1))))</f>
        <v>0</v>
      </c>
      <c r="U709" s="1" t="str">
        <f>IF(OR($G709="",$H709="Mahsup"),"",$G709&amp;"|"&amp;COUNTIFS($G$7:$G709,$G709,$H$7:$H709,"&lt;&gt;Mahsup"))</f>
        <v/>
      </c>
    </row>
    <row r="710" spans="1:21" ht="18" customHeight="1" x14ac:dyDescent="0.3">
      <c r="A710" s="2"/>
      <c r="B710" s="65" t="str">
        <f>IF($D710="","","T"&amp;TEXT(ROW()-6,"00000"))</f>
        <v/>
      </c>
      <c r="C710" s="65" t="str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61"/>
      <c r="E710" s="66"/>
      <c r="F710" s="67"/>
      <c r="G710" s="60"/>
      <c r="H710" s="60"/>
      <c r="I710" s="61"/>
      <c r="J710" s="61"/>
      <c r="K710" s="61"/>
      <c r="L710" s="73" t="str">
        <f>IF($E710="","",DATE(YEAR($E710),MONTH($E710),1))</f>
        <v/>
      </c>
      <c r="M710" s="65" t="str">
        <f ca="1">IF($D710="","",IF($C710="TANIMSIZ MÜŞTERİ","HATA",IF(OR($E710="",$F710&lt;=0,$G710=""),"EKSİK",IF($E710&gt;TODAY(),"İLERİ TARİH",IF(COUNTIF($S$7:$S$2503,$S710)&gt;1,"MÜKERRER?",IF($T710&gt;0,"KAPALI DÖNEM","UYGUN"))))))</f>
        <v/>
      </c>
      <c r="N710" s="74" t="str">
        <f>IF($C710="","",IF($C710="TANIMSIZ MÜŞTERİ","—",INDEX(MUSTERILER!$C$7:$C$156,MATCH($C710,MUSTERILER!$B$7:$B$156,0))))</f>
        <v/>
      </c>
      <c r="O710" s="2"/>
      <c r="P710" s="2"/>
      <c r="Q710" s="1" t="str">
        <f>IF($D710="","",$C710&amp;"|"&amp;COUNTIFS($C$7:$C710,$C710))</f>
        <v/>
      </c>
      <c r="R710" s="1" t="str">
        <f t="shared" si="20"/>
        <v/>
      </c>
      <c r="S710" s="1" t="str">
        <f t="shared" si="21"/>
        <v/>
      </c>
      <c r="T710" s="1">
        <f>IF($E710="",0,SUMPRODUCT((AY_SONU!$O$7:$O$42="Evet")*(AY_SONU!$B$7:$B$42=DATE(YEAR($E710),MONTH($E710),1))))</f>
        <v>0</v>
      </c>
      <c r="U710" s="1" t="str">
        <f>IF(OR($G710="",$H710="Mahsup"),"",$G710&amp;"|"&amp;COUNTIFS($G$7:$G710,$G710,$H$7:$H710,"&lt;&gt;Mahsup"))</f>
        <v/>
      </c>
    </row>
    <row r="711" spans="1:21" ht="18" customHeight="1" x14ac:dyDescent="0.3">
      <c r="A711" s="2"/>
      <c r="B711" s="65" t="str">
        <f>IF($D711="","","T"&amp;TEXT(ROW()-6,"00000"))</f>
        <v/>
      </c>
      <c r="C711" s="65" t="str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61"/>
      <c r="E711" s="66"/>
      <c r="F711" s="67"/>
      <c r="G711" s="60"/>
      <c r="H711" s="60"/>
      <c r="I711" s="61"/>
      <c r="J711" s="61"/>
      <c r="K711" s="61"/>
      <c r="L711" s="73" t="str">
        <f>IF($E711="","",DATE(YEAR($E711),MONTH($E711),1))</f>
        <v/>
      </c>
      <c r="M711" s="65" t="str">
        <f ca="1">IF($D711="","",IF($C711="TANIMSIZ MÜŞTERİ","HATA",IF(OR($E711="",$F711&lt;=0,$G711=""),"EKSİK",IF($E711&gt;TODAY(),"İLERİ TARİH",IF(COUNTIF($S$7:$S$2503,$S711)&gt;1,"MÜKERRER?",IF($T711&gt;0,"KAPALI DÖNEM","UYGUN"))))))</f>
        <v/>
      </c>
      <c r="N711" s="74" t="str">
        <f>IF($C711="","",IF($C711="TANIMSIZ MÜŞTERİ","—",INDEX(MUSTERILER!$C$7:$C$156,MATCH($C711,MUSTERILER!$B$7:$B$156,0))))</f>
        <v/>
      </c>
      <c r="O711" s="2"/>
      <c r="P711" s="2"/>
      <c r="Q711" s="1" t="str">
        <f>IF($D711="","",$C711&amp;"|"&amp;COUNTIFS($C$7:$C711,$C711))</f>
        <v/>
      </c>
      <c r="R711" s="1" t="str">
        <f t="shared" ref="R711:R774" si="22"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" t="str">
        <f t="shared" ref="S711:S774" si="23">IF($D711="","",$C711&amp;"|"&amp;TEXT($E711,"0")&amp;"|"&amp;TEXT($F711,"0")&amp;"|"&amp;$I711)</f>
        <v/>
      </c>
      <c r="T711" s="1">
        <f>IF($E711="",0,SUMPRODUCT((AY_SONU!$O$7:$O$42="Evet")*(AY_SONU!$B$7:$B$42=DATE(YEAR($E711),MONTH($E711),1))))</f>
        <v>0</v>
      </c>
      <c r="U711" s="1" t="str">
        <f>IF(OR($G711="",$H711="Mahsup"),"",$G711&amp;"|"&amp;COUNTIFS($G$7:$G711,$G711,$H$7:$H711,"&lt;&gt;Mahsup"))</f>
        <v/>
      </c>
    </row>
    <row r="712" spans="1:21" ht="18" customHeight="1" x14ac:dyDescent="0.3">
      <c r="A712" s="2"/>
      <c r="B712" s="65" t="str">
        <f>IF($D712="","","T"&amp;TEXT(ROW()-6,"00000"))</f>
        <v/>
      </c>
      <c r="C712" s="65" t="str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61"/>
      <c r="E712" s="66"/>
      <c r="F712" s="67"/>
      <c r="G712" s="60"/>
      <c r="H712" s="60"/>
      <c r="I712" s="61"/>
      <c r="J712" s="61"/>
      <c r="K712" s="61"/>
      <c r="L712" s="73" t="str">
        <f>IF($E712="","",DATE(YEAR($E712),MONTH($E712),1))</f>
        <v/>
      </c>
      <c r="M712" s="65" t="str">
        <f ca="1">IF($D712="","",IF($C712="TANIMSIZ MÜŞTERİ","HATA",IF(OR($E712="",$F712&lt;=0,$G712=""),"EKSİK",IF($E712&gt;TODAY(),"İLERİ TARİH",IF(COUNTIF($S$7:$S$2503,$S712)&gt;1,"MÜKERRER?",IF($T712&gt;0,"KAPALI DÖNEM","UYGUN"))))))</f>
        <v/>
      </c>
      <c r="N712" s="74" t="str">
        <f>IF($C712="","",IF($C712="TANIMSIZ MÜŞTERİ","—",INDEX(MUSTERILER!$C$7:$C$156,MATCH($C712,MUSTERILER!$B$7:$B$156,0))))</f>
        <v/>
      </c>
      <c r="O712" s="2"/>
      <c r="P712" s="2"/>
      <c r="Q712" s="1" t="str">
        <f>IF($D712="","",$C712&amp;"|"&amp;COUNTIFS($C$7:$C712,$C712))</f>
        <v/>
      </c>
      <c r="R712" s="1" t="str">
        <f t="shared" si="22"/>
        <v/>
      </c>
      <c r="S712" s="1" t="str">
        <f t="shared" si="23"/>
        <v/>
      </c>
      <c r="T712" s="1">
        <f>IF($E712="",0,SUMPRODUCT((AY_SONU!$O$7:$O$42="Evet")*(AY_SONU!$B$7:$B$42=DATE(YEAR($E712),MONTH($E712),1))))</f>
        <v>0</v>
      </c>
      <c r="U712" s="1" t="str">
        <f>IF(OR($G712="",$H712="Mahsup"),"",$G712&amp;"|"&amp;COUNTIFS($G$7:$G712,$G712,$H$7:$H712,"&lt;&gt;Mahsup"))</f>
        <v/>
      </c>
    </row>
    <row r="713" spans="1:21" ht="18" customHeight="1" x14ac:dyDescent="0.3">
      <c r="A713" s="2"/>
      <c r="B713" s="65" t="str">
        <f>IF($D713="","","T"&amp;TEXT(ROW()-6,"00000"))</f>
        <v/>
      </c>
      <c r="C713" s="65" t="str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61"/>
      <c r="E713" s="66"/>
      <c r="F713" s="67"/>
      <c r="G713" s="60"/>
      <c r="H713" s="60"/>
      <c r="I713" s="61"/>
      <c r="J713" s="61"/>
      <c r="K713" s="61"/>
      <c r="L713" s="73" t="str">
        <f>IF($E713="","",DATE(YEAR($E713),MONTH($E713),1))</f>
        <v/>
      </c>
      <c r="M713" s="65" t="str">
        <f ca="1">IF($D713="","",IF($C713="TANIMSIZ MÜŞTERİ","HATA",IF(OR($E713="",$F713&lt;=0,$G713=""),"EKSİK",IF($E713&gt;TODAY(),"İLERİ TARİH",IF(COUNTIF($S$7:$S$2503,$S713)&gt;1,"MÜKERRER?",IF($T713&gt;0,"KAPALI DÖNEM","UYGUN"))))))</f>
        <v/>
      </c>
      <c r="N713" s="74" t="str">
        <f>IF($C713="","",IF($C713="TANIMSIZ MÜŞTERİ","—",INDEX(MUSTERILER!$C$7:$C$156,MATCH($C713,MUSTERILER!$B$7:$B$156,0))))</f>
        <v/>
      </c>
      <c r="O713" s="2"/>
      <c r="P713" s="2"/>
      <c r="Q713" s="1" t="str">
        <f>IF($D713="","",$C713&amp;"|"&amp;COUNTIFS($C$7:$C713,$C713))</f>
        <v/>
      </c>
      <c r="R713" s="1" t="str">
        <f t="shared" si="22"/>
        <v/>
      </c>
      <c r="S713" s="1" t="str">
        <f t="shared" si="23"/>
        <v/>
      </c>
      <c r="T713" s="1">
        <f>IF($E713="",0,SUMPRODUCT((AY_SONU!$O$7:$O$42="Evet")*(AY_SONU!$B$7:$B$42=DATE(YEAR($E713),MONTH($E713),1))))</f>
        <v>0</v>
      </c>
      <c r="U713" s="1" t="str">
        <f>IF(OR($G713="",$H713="Mahsup"),"",$G713&amp;"|"&amp;COUNTIFS($G$7:$G713,$G713,$H$7:$H713,"&lt;&gt;Mahsup"))</f>
        <v/>
      </c>
    </row>
    <row r="714" spans="1:21" ht="18" customHeight="1" x14ac:dyDescent="0.3">
      <c r="A714" s="2"/>
      <c r="B714" s="65" t="str">
        <f>IF($D714="","","T"&amp;TEXT(ROW()-6,"00000"))</f>
        <v/>
      </c>
      <c r="C714" s="65" t="str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61"/>
      <c r="E714" s="66"/>
      <c r="F714" s="67"/>
      <c r="G714" s="60"/>
      <c r="H714" s="60"/>
      <c r="I714" s="61"/>
      <c r="J714" s="61"/>
      <c r="K714" s="61"/>
      <c r="L714" s="73" t="str">
        <f>IF($E714="","",DATE(YEAR($E714),MONTH($E714),1))</f>
        <v/>
      </c>
      <c r="M714" s="65" t="str">
        <f ca="1">IF($D714="","",IF($C714="TANIMSIZ MÜŞTERİ","HATA",IF(OR($E714="",$F714&lt;=0,$G714=""),"EKSİK",IF($E714&gt;TODAY(),"İLERİ TARİH",IF(COUNTIF($S$7:$S$2503,$S714)&gt;1,"MÜKERRER?",IF($T714&gt;0,"KAPALI DÖNEM","UYGUN"))))))</f>
        <v/>
      </c>
      <c r="N714" s="74" t="str">
        <f>IF($C714="","",IF($C714="TANIMSIZ MÜŞTERİ","—",INDEX(MUSTERILER!$C$7:$C$156,MATCH($C714,MUSTERILER!$B$7:$B$156,0))))</f>
        <v/>
      </c>
      <c r="O714" s="2"/>
      <c r="P714" s="2"/>
      <c r="Q714" s="1" t="str">
        <f>IF($D714="","",$C714&amp;"|"&amp;COUNTIFS($C$7:$C714,$C714))</f>
        <v/>
      </c>
      <c r="R714" s="1" t="str">
        <f t="shared" si="22"/>
        <v/>
      </c>
      <c r="S714" s="1" t="str">
        <f t="shared" si="23"/>
        <v/>
      </c>
      <c r="T714" s="1">
        <f>IF($E714="",0,SUMPRODUCT((AY_SONU!$O$7:$O$42="Evet")*(AY_SONU!$B$7:$B$42=DATE(YEAR($E714),MONTH($E714),1))))</f>
        <v>0</v>
      </c>
      <c r="U714" s="1" t="str">
        <f>IF(OR($G714="",$H714="Mahsup"),"",$G714&amp;"|"&amp;COUNTIFS($G$7:$G714,$G714,$H$7:$H714,"&lt;&gt;Mahsup"))</f>
        <v/>
      </c>
    </row>
    <row r="715" spans="1:21" ht="18" customHeight="1" x14ac:dyDescent="0.3">
      <c r="A715" s="2"/>
      <c r="B715" s="65" t="str">
        <f>IF($D715="","","T"&amp;TEXT(ROW()-6,"00000"))</f>
        <v/>
      </c>
      <c r="C715" s="65" t="str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61"/>
      <c r="E715" s="66"/>
      <c r="F715" s="67"/>
      <c r="G715" s="60"/>
      <c r="H715" s="60"/>
      <c r="I715" s="61"/>
      <c r="J715" s="61"/>
      <c r="K715" s="61"/>
      <c r="L715" s="73" t="str">
        <f>IF($E715="","",DATE(YEAR($E715),MONTH($E715),1))</f>
        <v/>
      </c>
      <c r="M715" s="65" t="str">
        <f ca="1">IF($D715="","",IF($C715="TANIMSIZ MÜŞTERİ","HATA",IF(OR($E715="",$F715&lt;=0,$G715=""),"EKSİK",IF($E715&gt;TODAY(),"İLERİ TARİH",IF(COUNTIF($S$7:$S$2503,$S715)&gt;1,"MÜKERRER?",IF($T715&gt;0,"KAPALI DÖNEM","UYGUN"))))))</f>
        <v/>
      </c>
      <c r="N715" s="74" t="str">
        <f>IF($C715="","",IF($C715="TANIMSIZ MÜŞTERİ","—",INDEX(MUSTERILER!$C$7:$C$156,MATCH($C715,MUSTERILER!$B$7:$B$156,0))))</f>
        <v/>
      </c>
      <c r="O715" s="2"/>
      <c r="P715" s="2"/>
      <c r="Q715" s="1" t="str">
        <f>IF($D715="","",$C715&amp;"|"&amp;COUNTIFS($C$7:$C715,$C715))</f>
        <v/>
      </c>
      <c r="R715" s="1" t="str">
        <f t="shared" si="22"/>
        <v/>
      </c>
      <c r="S715" s="1" t="str">
        <f t="shared" si="23"/>
        <v/>
      </c>
      <c r="T715" s="1">
        <f>IF($E715="",0,SUMPRODUCT((AY_SONU!$O$7:$O$42="Evet")*(AY_SONU!$B$7:$B$42=DATE(YEAR($E715),MONTH($E715),1))))</f>
        <v>0</v>
      </c>
      <c r="U715" s="1" t="str">
        <f>IF(OR($G715="",$H715="Mahsup"),"",$G715&amp;"|"&amp;COUNTIFS($G$7:$G715,$G715,$H$7:$H715,"&lt;&gt;Mahsup"))</f>
        <v/>
      </c>
    </row>
    <row r="716" spans="1:21" ht="18" customHeight="1" x14ac:dyDescent="0.3">
      <c r="A716" s="2"/>
      <c r="B716" s="65" t="str">
        <f>IF($D716="","","T"&amp;TEXT(ROW()-6,"00000"))</f>
        <v/>
      </c>
      <c r="C716" s="65" t="str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61"/>
      <c r="E716" s="66"/>
      <c r="F716" s="67"/>
      <c r="G716" s="60"/>
      <c r="H716" s="60"/>
      <c r="I716" s="61"/>
      <c r="J716" s="61"/>
      <c r="K716" s="61"/>
      <c r="L716" s="73" t="str">
        <f>IF($E716="","",DATE(YEAR($E716),MONTH($E716),1))</f>
        <v/>
      </c>
      <c r="M716" s="65" t="str">
        <f ca="1">IF($D716="","",IF($C716="TANIMSIZ MÜŞTERİ","HATA",IF(OR($E716="",$F716&lt;=0,$G716=""),"EKSİK",IF($E716&gt;TODAY(),"İLERİ TARİH",IF(COUNTIF($S$7:$S$2503,$S716)&gt;1,"MÜKERRER?",IF($T716&gt;0,"KAPALI DÖNEM","UYGUN"))))))</f>
        <v/>
      </c>
      <c r="N716" s="74" t="str">
        <f>IF($C716="","",IF($C716="TANIMSIZ MÜŞTERİ","—",INDEX(MUSTERILER!$C$7:$C$156,MATCH($C716,MUSTERILER!$B$7:$B$156,0))))</f>
        <v/>
      </c>
      <c r="O716" s="2"/>
      <c r="P716" s="2"/>
      <c r="Q716" s="1" t="str">
        <f>IF($D716="","",$C716&amp;"|"&amp;COUNTIFS($C$7:$C716,$C716))</f>
        <v/>
      </c>
      <c r="R716" s="1" t="str">
        <f t="shared" si="22"/>
        <v/>
      </c>
      <c r="S716" s="1" t="str">
        <f t="shared" si="23"/>
        <v/>
      </c>
      <c r="T716" s="1">
        <f>IF($E716="",0,SUMPRODUCT((AY_SONU!$O$7:$O$42="Evet")*(AY_SONU!$B$7:$B$42=DATE(YEAR($E716),MONTH($E716),1))))</f>
        <v>0</v>
      </c>
      <c r="U716" s="1" t="str">
        <f>IF(OR($G716="",$H716="Mahsup"),"",$G716&amp;"|"&amp;COUNTIFS($G$7:$G716,$G716,$H$7:$H716,"&lt;&gt;Mahsup"))</f>
        <v/>
      </c>
    </row>
    <row r="717" spans="1:21" ht="18" customHeight="1" x14ac:dyDescent="0.3">
      <c r="A717" s="2"/>
      <c r="B717" s="65" t="str">
        <f>IF($D717="","","T"&amp;TEXT(ROW()-6,"00000"))</f>
        <v/>
      </c>
      <c r="C717" s="65" t="str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61"/>
      <c r="E717" s="66"/>
      <c r="F717" s="67"/>
      <c r="G717" s="60"/>
      <c r="H717" s="60"/>
      <c r="I717" s="61"/>
      <c r="J717" s="61"/>
      <c r="K717" s="61"/>
      <c r="L717" s="73" t="str">
        <f>IF($E717="","",DATE(YEAR($E717),MONTH($E717),1))</f>
        <v/>
      </c>
      <c r="M717" s="65" t="str">
        <f ca="1">IF($D717="","",IF($C717="TANIMSIZ MÜŞTERİ","HATA",IF(OR($E717="",$F717&lt;=0,$G717=""),"EKSİK",IF($E717&gt;TODAY(),"İLERİ TARİH",IF(COUNTIF($S$7:$S$2503,$S717)&gt;1,"MÜKERRER?",IF($T717&gt;0,"KAPALI DÖNEM","UYGUN"))))))</f>
        <v/>
      </c>
      <c r="N717" s="74" t="str">
        <f>IF($C717="","",IF($C717="TANIMSIZ MÜŞTERİ","—",INDEX(MUSTERILER!$C$7:$C$156,MATCH($C717,MUSTERILER!$B$7:$B$156,0))))</f>
        <v/>
      </c>
      <c r="O717" s="2"/>
      <c r="P717" s="2"/>
      <c r="Q717" s="1" t="str">
        <f>IF($D717="","",$C717&amp;"|"&amp;COUNTIFS($C$7:$C717,$C717))</f>
        <v/>
      </c>
      <c r="R717" s="1" t="str">
        <f t="shared" si="22"/>
        <v/>
      </c>
      <c r="S717" s="1" t="str">
        <f t="shared" si="23"/>
        <v/>
      </c>
      <c r="T717" s="1">
        <f>IF($E717="",0,SUMPRODUCT((AY_SONU!$O$7:$O$42="Evet")*(AY_SONU!$B$7:$B$42=DATE(YEAR($E717),MONTH($E717),1))))</f>
        <v>0</v>
      </c>
      <c r="U717" s="1" t="str">
        <f>IF(OR($G717="",$H717="Mahsup"),"",$G717&amp;"|"&amp;COUNTIFS($G$7:$G717,$G717,$H$7:$H717,"&lt;&gt;Mahsup"))</f>
        <v/>
      </c>
    </row>
    <row r="718" spans="1:21" ht="18" customHeight="1" x14ac:dyDescent="0.3">
      <c r="A718" s="2"/>
      <c r="B718" s="65" t="str">
        <f>IF($D718="","","T"&amp;TEXT(ROW()-6,"00000"))</f>
        <v/>
      </c>
      <c r="C718" s="65" t="str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61"/>
      <c r="E718" s="66"/>
      <c r="F718" s="67"/>
      <c r="G718" s="60"/>
      <c r="H718" s="60"/>
      <c r="I718" s="61"/>
      <c r="J718" s="61"/>
      <c r="K718" s="61"/>
      <c r="L718" s="73" t="str">
        <f>IF($E718="","",DATE(YEAR($E718),MONTH($E718),1))</f>
        <v/>
      </c>
      <c r="M718" s="65" t="str">
        <f ca="1">IF($D718="","",IF($C718="TANIMSIZ MÜŞTERİ","HATA",IF(OR($E718="",$F718&lt;=0,$G718=""),"EKSİK",IF($E718&gt;TODAY(),"İLERİ TARİH",IF(COUNTIF($S$7:$S$2503,$S718)&gt;1,"MÜKERRER?",IF($T718&gt;0,"KAPALI DÖNEM","UYGUN"))))))</f>
        <v/>
      </c>
      <c r="N718" s="74" t="str">
        <f>IF($C718="","",IF($C718="TANIMSIZ MÜŞTERİ","—",INDEX(MUSTERILER!$C$7:$C$156,MATCH($C718,MUSTERILER!$B$7:$B$156,0))))</f>
        <v/>
      </c>
      <c r="O718" s="2"/>
      <c r="P718" s="2"/>
      <c r="Q718" s="1" t="str">
        <f>IF($D718="","",$C718&amp;"|"&amp;COUNTIFS($C$7:$C718,$C718))</f>
        <v/>
      </c>
      <c r="R718" s="1" t="str">
        <f t="shared" si="22"/>
        <v/>
      </c>
      <c r="S718" s="1" t="str">
        <f t="shared" si="23"/>
        <v/>
      </c>
      <c r="T718" s="1">
        <f>IF($E718="",0,SUMPRODUCT((AY_SONU!$O$7:$O$42="Evet")*(AY_SONU!$B$7:$B$42=DATE(YEAR($E718),MONTH($E718),1))))</f>
        <v>0</v>
      </c>
      <c r="U718" s="1" t="str">
        <f>IF(OR($G718="",$H718="Mahsup"),"",$G718&amp;"|"&amp;COUNTIFS($G$7:$G718,$G718,$H$7:$H718,"&lt;&gt;Mahsup"))</f>
        <v/>
      </c>
    </row>
    <row r="719" spans="1:21" ht="18" customHeight="1" x14ac:dyDescent="0.3">
      <c r="A719" s="2"/>
      <c r="B719" s="65" t="str">
        <f>IF($D719="","","T"&amp;TEXT(ROW()-6,"00000"))</f>
        <v/>
      </c>
      <c r="C719" s="65" t="str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61"/>
      <c r="E719" s="66"/>
      <c r="F719" s="67"/>
      <c r="G719" s="60"/>
      <c r="H719" s="60"/>
      <c r="I719" s="61"/>
      <c r="J719" s="61"/>
      <c r="K719" s="61"/>
      <c r="L719" s="73" t="str">
        <f>IF($E719="","",DATE(YEAR($E719),MONTH($E719),1))</f>
        <v/>
      </c>
      <c r="M719" s="65" t="str">
        <f ca="1">IF($D719="","",IF($C719="TANIMSIZ MÜŞTERİ","HATA",IF(OR($E719="",$F719&lt;=0,$G719=""),"EKSİK",IF($E719&gt;TODAY(),"İLERİ TARİH",IF(COUNTIF($S$7:$S$2503,$S719)&gt;1,"MÜKERRER?",IF($T719&gt;0,"KAPALI DÖNEM","UYGUN"))))))</f>
        <v/>
      </c>
      <c r="N719" s="74" t="str">
        <f>IF($C719="","",IF($C719="TANIMSIZ MÜŞTERİ","—",INDEX(MUSTERILER!$C$7:$C$156,MATCH($C719,MUSTERILER!$B$7:$B$156,0))))</f>
        <v/>
      </c>
      <c r="O719" s="2"/>
      <c r="P719" s="2"/>
      <c r="Q719" s="1" t="str">
        <f>IF($D719="","",$C719&amp;"|"&amp;COUNTIFS($C$7:$C719,$C719))</f>
        <v/>
      </c>
      <c r="R719" s="1" t="str">
        <f t="shared" si="22"/>
        <v/>
      </c>
      <c r="S719" s="1" t="str">
        <f t="shared" si="23"/>
        <v/>
      </c>
      <c r="T719" s="1">
        <f>IF($E719="",0,SUMPRODUCT((AY_SONU!$O$7:$O$42="Evet")*(AY_SONU!$B$7:$B$42=DATE(YEAR($E719),MONTH($E719),1))))</f>
        <v>0</v>
      </c>
      <c r="U719" s="1" t="str">
        <f>IF(OR($G719="",$H719="Mahsup"),"",$G719&amp;"|"&amp;COUNTIFS($G$7:$G719,$G719,$H$7:$H719,"&lt;&gt;Mahsup"))</f>
        <v/>
      </c>
    </row>
    <row r="720" spans="1:21" ht="18" customHeight="1" x14ac:dyDescent="0.3">
      <c r="A720" s="2"/>
      <c r="B720" s="65" t="str">
        <f>IF($D720="","","T"&amp;TEXT(ROW()-6,"00000"))</f>
        <v/>
      </c>
      <c r="C720" s="65" t="str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61"/>
      <c r="E720" s="66"/>
      <c r="F720" s="67"/>
      <c r="G720" s="60"/>
      <c r="H720" s="60"/>
      <c r="I720" s="61"/>
      <c r="J720" s="61"/>
      <c r="K720" s="61"/>
      <c r="L720" s="73" t="str">
        <f>IF($E720="","",DATE(YEAR($E720),MONTH($E720),1))</f>
        <v/>
      </c>
      <c r="M720" s="65" t="str">
        <f ca="1">IF($D720="","",IF($C720="TANIMSIZ MÜŞTERİ","HATA",IF(OR($E720="",$F720&lt;=0,$G720=""),"EKSİK",IF($E720&gt;TODAY(),"İLERİ TARİH",IF(COUNTIF($S$7:$S$2503,$S720)&gt;1,"MÜKERRER?",IF($T720&gt;0,"KAPALI DÖNEM","UYGUN"))))))</f>
        <v/>
      </c>
      <c r="N720" s="74" t="str">
        <f>IF($C720="","",IF($C720="TANIMSIZ MÜŞTERİ","—",INDEX(MUSTERILER!$C$7:$C$156,MATCH($C720,MUSTERILER!$B$7:$B$156,0))))</f>
        <v/>
      </c>
      <c r="O720" s="2"/>
      <c r="P720" s="2"/>
      <c r="Q720" s="1" t="str">
        <f>IF($D720="","",$C720&amp;"|"&amp;COUNTIFS($C$7:$C720,$C720))</f>
        <v/>
      </c>
      <c r="R720" s="1" t="str">
        <f t="shared" si="22"/>
        <v/>
      </c>
      <c r="S720" s="1" t="str">
        <f t="shared" si="23"/>
        <v/>
      </c>
      <c r="T720" s="1">
        <f>IF($E720="",0,SUMPRODUCT((AY_SONU!$O$7:$O$42="Evet")*(AY_SONU!$B$7:$B$42=DATE(YEAR($E720),MONTH($E720),1))))</f>
        <v>0</v>
      </c>
      <c r="U720" s="1" t="str">
        <f>IF(OR($G720="",$H720="Mahsup"),"",$G720&amp;"|"&amp;COUNTIFS($G$7:$G720,$G720,$H$7:$H720,"&lt;&gt;Mahsup"))</f>
        <v/>
      </c>
    </row>
    <row r="721" spans="1:21" ht="18" customHeight="1" x14ac:dyDescent="0.3">
      <c r="A721" s="2"/>
      <c r="B721" s="65" t="str">
        <f>IF($D721="","","T"&amp;TEXT(ROW()-6,"00000"))</f>
        <v/>
      </c>
      <c r="C721" s="65" t="str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61"/>
      <c r="E721" s="66"/>
      <c r="F721" s="67"/>
      <c r="G721" s="60"/>
      <c r="H721" s="60"/>
      <c r="I721" s="61"/>
      <c r="J721" s="61"/>
      <c r="K721" s="61"/>
      <c r="L721" s="73" t="str">
        <f>IF($E721="","",DATE(YEAR($E721),MONTH($E721),1))</f>
        <v/>
      </c>
      <c r="M721" s="65" t="str">
        <f ca="1">IF($D721="","",IF($C721="TANIMSIZ MÜŞTERİ","HATA",IF(OR($E721="",$F721&lt;=0,$G721=""),"EKSİK",IF($E721&gt;TODAY(),"İLERİ TARİH",IF(COUNTIF($S$7:$S$2503,$S721)&gt;1,"MÜKERRER?",IF($T721&gt;0,"KAPALI DÖNEM","UYGUN"))))))</f>
        <v/>
      </c>
      <c r="N721" s="74" t="str">
        <f>IF($C721="","",IF($C721="TANIMSIZ MÜŞTERİ","—",INDEX(MUSTERILER!$C$7:$C$156,MATCH($C721,MUSTERILER!$B$7:$B$156,0))))</f>
        <v/>
      </c>
      <c r="O721" s="2"/>
      <c r="P721" s="2"/>
      <c r="Q721" s="1" t="str">
        <f>IF($D721="","",$C721&amp;"|"&amp;COUNTIFS($C$7:$C721,$C721))</f>
        <v/>
      </c>
      <c r="R721" s="1" t="str">
        <f t="shared" si="22"/>
        <v/>
      </c>
      <c r="S721" s="1" t="str">
        <f t="shared" si="23"/>
        <v/>
      </c>
      <c r="T721" s="1">
        <f>IF($E721="",0,SUMPRODUCT((AY_SONU!$O$7:$O$42="Evet")*(AY_SONU!$B$7:$B$42=DATE(YEAR($E721),MONTH($E721),1))))</f>
        <v>0</v>
      </c>
      <c r="U721" s="1" t="str">
        <f>IF(OR($G721="",$H721="Mahsup"),"",$G721&amp;"|"&amp;COUNTIFS($G$7:$G721,$G721,$H$7:$H721,"&lt;&gt;Mahsup"))</f>
        <v/>
      </c>
    </row>
    <row r="722" spans="1:21" ht="18" customHeight="1" x14ac:dyDescent="0.3">
      <c r="A722" s="2"/>
      <c r="B722" s="65" t="str">
        <f>IF($D722="","","T"&amp;TEXT(ROW()-6,"00000"))</f>
        <v/>
      </c>
      <c r="C722" s="65" t="str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61"/>
      <c r="E722" s="66"/>
      <c r="F722" s="67"/>
      <c r="G722" s="60"/>
      <c r="H722" s="60"/>
      <c r="I722" s="61"/>
      <c r="J722" s="61"/>
      <c r="K722" s="61"/>
      <c r="L722" s="73" t="str">
        <f>IF($E722="","",DATE(YEAR($E722),MONTH($E722),1))</f>
        <v/>
      </c>
      <c r="M722" s="65" t="str">
        <f ca="1">IF($D722="","",IF($C722="TANIMSIZ MÜŞTERİ","HATA",IF(OR($E722="",$F722&lt;=0,$G722=""),"EKSİK",IF($E722&gt;TODAY(),"İLERİ TARİH",IF(COUNTIF($S$7:$S$2503,$S722)&gt;1,"MÜKERRER?",IF($T722&gt;0,"KAPALI DÖNEM","UYGUN"))))))</f>
        <v/>
      </c>
      <c r="N722" s="74" t="str">
        <f>IF($C722="","",IF($C722="TANIMSIZ MÜŞTERİ","—",INDEX(MUSTERILER!$C$7:$C$156,MATCH($C722,MUSTERILER!$B$7:$B$156,0))))</f>
        <v/>
      </c>
      <c r="O722" s="2"/>
      <c r="P722" s="2"/>
      <c r="Q722" s="1" t="str">
        <f>IF($D722="","",$C722&amp;"|"&amp;COUNTIFS($C$7:$C722,$C722))</f>
        <v/>
      </c>
      <c r="R722" s="1" t="str">
        <f t="shared" si="22"/>
        <v/>
      </c>
      <c r="S722" s="1" t="str">
        <f t="shared" si="23"/>
        <v/>
      </c>
      <c r="T722" s="1">
        <f>IF($E722="",0,SUMPRODUCT((AY_SONU!$O$7:$O$42="Evet")*(AY_SONU!$B$7:$B$42=DATE(YEAR($E722),MONTH($E722),1))))</f>
        <v>0</v>
      </c>
      <c r="U722" s="1" t="str">
        <f>IF(OR($G722="",$H722="Mahsup"),"",$G722&amp;"|"&amp;COUNTIFS($G$7:$G722,$G722,$H$7:$H722,"&lt;&gt;Mahsup"))</f>
        <v/>
      </c>
    </row>
    <row r="723" spans="1:21" ht="18" customHeight="1" x14ac:dyDescent="0.3">
      <c r="A723" s="2"/>
      <c r="B723" s="65" t="str">
        <f>IF($D723="","","T"&amp;TEXT(ROW()-6,"00000"))</f>
        <v/>
      </c>
      <c r="C723" s="65" t="str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61"/>
      <c r="E723" s="66"/>
      <c r="F723" s="67"/>
      <c r="G723" s="60"/>
      <c r="H723" s="60"/>
      <c r="I723" s="61"/>
      <c r="J723" s="61"/>
      <c r="K723" s="61"/>
      <c r="L723" s="73" t="str">
        <f>IF($E723="","",DATE(YEAR($E723),MONTH($E723),1))</f>
        <v/>
      </c>
      <c r="M723" s="65" t="str">
        <f ca="1">IF($D723="","",IF($C723="TANIMSIZ MÜŞTERİ","HATA",IF(OR($E723="",$F723&lt;=0,$G723=""),"EKSİK",IF($E723&gt;TODAY(),"İLERİ TARİH",IF(COUNTIF($S$7:$S$2503,$S723)&gt;1,"MÜKERRER?",IF($T723&gt;0,"KAPALI DÖNEM","UYGUN"))))))</f>
        <v/>
      </c>
      <c r="N723" s="74" t="str">
        <f>IF($C723="","",IF($C723="TANIMSIZ MÜŞTERİ","—",INDEX(MUSTERILER!$C$7:$C$156,MATCH($C723,MUSTERILER!$B$7:$B$156,0))))</f>
        <v/>
      </c>
      <c r="O723" s="2"/>
      <c r="P723" s="2"/>
      <c r="Q723" s="1" t="str">
        <f>IF($D723="","",$C723&amp;"|"&amp;COUNTIFS($C$7:$C723,$C723))</f>
        <v/>
      </c>
      <c r="R723" s="1" t="str">
        <f t="shared" si="22"/>
        <v/>
      </c>
      <c r="S723" s="1" t="str">
        <f t="shared" si="23"/>
        <v/>
      </c>
      <c r="T723" s="1">
        <f>IF($E723="",0,SUMPRODUCT((AY_SONU!$O$7:$O$42="Evet")*(AY_SONU!$B$7:$B$42=DATE(YEAR($E723),MONTH($E723),1))))</f>
        <v>0</v>
      </c>
      <c r="U723" s="1" t="str">
        <f>IF(OR($G723="",$H723="Mahsup"),"",$G723&amp;"|"&amp;COUNTIFS($G$7:$G723,$G723,$H$7:$H723,"&lt;&gt;Mahsup"))</f>
        <v/>
      </c>
    </row>
    <row r="724" spans="1:21" ht="18" customHeight="1" x14ac:dyDescent="0.3">
      <c r="A724" s="2"/>
      <c r="B724" s="65" t="str">
        <f>IF($D724="","","T"&amp;TEXT(ROW()-6,"00000"))</f>
        <v/>
      </c>
      <c r="C724" s="65" t="str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61"/>
      <c r="E724" s="66"/>
      <c r="F724" s="67"/>
      <c r="G724" s="60"/>
      <c r="H724" s="60"/>
      <c r="I724" s="61"/>
      <c r="J724" s="61"/>
      <c r="K724" s="61"/>
      <c r="L724" s="73" t="str">
        <f>IF($E724="","",DATE(YEAR($E724),MONTH($E724),1))</f>
        <v/>
      </c>
      <c r="M724" s="65" t="str">
        <f ca="1">IF($D724="","",IF($C724="TANIMSIZ MÜŞTERİ","HATA",IF(OR($E724="",$F724&lt;=0,$G724=""),"EKSİK",IF($E724&gt;TODAY(),"İLERİ TARİH",IF(COUNTIF($S$7:$S$2503,$S724)&gt;1,"MÜKERRER?",IF($T724&gt;0,"KAPALI DÖNEM","UYGUN"))))))</f>
        <v/>
      </c>
      <c r="N724" s="74" t="str">
        <f>IF($C724="","",IF($C724="TANIMSIZ MÜŞTERİ","—",INDEX(MUSTERILER!$C$7:$C$156,MATCH($C724,MUSTERILER!$B$7:$B$156,0))))</f>
        <v/>
      </c>
      <c r="O724" s="2"/>
      <c r="P724" s="2"/>
      <c r="Q724" s="1" t="str">
        <f>IF($D724="","",$C724&amp;"|"&amp;COUNTIFS($C$7:$C724,$C724))</f>
        <v/>
      </c>
      <c r="R724" s="1" t="str">
        <f t="shared" si="22"/>
        <v/>
      </c>
      <c r="S724" s="1" t="str">
        <f t="shared" si="23"/>
        <v/>
      </c>
      <c r="T724" s="1">
        <f>IF($E724="",0,SUMPRODUCT((AY_SONU!$O$7:$O$42="Evet")*(AY_SONU!$B$7:$B$42=DATE(YEAR($E724),MONTH($E724),1))))</f>
        <v>0</v>
      </c>
      <c r="U724" s="1" t="str">
        <f>IF(OR($G724="",$H724="Mahsup"),"",$G724&amp;"|"&amp;COUNTIFS($G$7:$G724,$G724,$H$7:$H724,"&lt;&gt;Mahsup"))</f>
        <v/>
      </c>
    </row>
    <row r="725" spans="1:21" ht="18" customHeight="1" x14ac:dyDescent="0.3">
      <c r="A725" s="2"/>
      <c r="B725" s="65" t="str">
        <f>IF($D725="","","T"&amp;TEXT(ROW()-6,"00000"))</f>
        <v/>
      </c>
      <c r="C725" s="65" t="str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61"/>
      <c r="E725" s="66"/>
      <c r="F725" s="67"/>
      <c r="G725" s="60"/>
      <c r="H725" s="60"/>
      <c r="I725" s="61"/>
      <c r="J725" s="61"/>
      <c r="K725" s="61"/>
      <c r="L725" s="73" t="str">
        <f>IF($E725="","",DATE(YEAR($E725),MONTH($E725),1))</f>
        <v/>
      </c>
      <c r="M725" s="65" t="str">
        <f ca="1">IF($D725="","",IF($C725="TANIMSIZ MÜŞTERİ","HATA",IF(OR($E725="",$F725&lt;=0,$G725=""),"EKSİK",IF($E725&gt;TODAY(),"İLERİ TARİH",IF(COUNTIF($S$7:$S$2503,$S725)&gt;1,"MÜKERRER?",IF($T725&gt;0,"KAPALI DÖNEM","UYGUN"))))))</f>
        <v/>
      </c>
      <c r="N725" s="74" t="str">
        <f>IF($C725="","",IF($C725="TANIMSIZ MÜŞTERİ","—",INDEX(MUSTERILER!$C$7:$C$156,MATCH($C725,MUSTERILER!$B$7:$B$156,0))))</f>
        <v/>
      </c>
      <c r="O725" s="2"/>
      <c r="P725" s="2"/>
      <c r="Q725" s="1" t="str">
        <f>IF($D725="","",$C725&amp;"|"&amp;COUNTIFS($C$7:$C725,$C725))</f>
        <v/>
      </c>
      <c r="R725" s="1" t="str">
        <f t="shared" si="22"/>
        <v/>
      </c>
      <c r="S725" s="1" t="str">
        <f t="shared" si="23"/>
        <v/>
      </c>
      <c r="T725" s="1">
        <f>IF($E725="",0,SUMPRODUCT((AY_SONU!$O$7:$O$42="Evet")*(AY_SONU!$B$7:$B$42=DATE(YEAR($E725),MONTH($E725),1))))</f>
        <v>0</v>
      </c>
      <c r="U725" s="1" t="str">
        <f>IF(OR($G725="",$H725="Mahsup"),"",$G725&amp;"|"&amp;COUNTIFS($G$7:$G725,$G725,$H$7:$H725,"&lt;&gt;Mahsup"))</f>
        <v/>
      </c>
    </row>
    <row r="726" spans="1:21" ht="18" customHeight="1" x14ac:dyDescent="0.3">
      <c r="A726" s="2"/>
      <c r="B726" s="65" t="str">
        <f>IF($D726="","","T"&amp;TEXT(ROW()-6,"00000"))</f>
        <v/>
      </c>
      <c r="C726" s="65" t="str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61"/>
      <c r="E726" s="66"/>
      <c r="F726" s="67"/>
      <c r="G726" s="60"/>
      <c r="H726" s="60"/>
      <c r="I726" s="61"/>
      <c r="J726" s="61"/>
      <c r="K726" s="61"/>
      <c r="L726" s="73" t="str">
        <f>IF($E726="","",DATE(YEAR($E726),MONTH($E726),1))</f>
        <v/>
      </c>
      <c r="M726" s="65" t="str">
        <f ca="1">IF($D726="","",IF($C726="TANIMSIZ MÜŞTERİ","HATA",IF(OR($E726="",$F726&lt;=0,$G726=""),"EKSİK",IF($E726&gt;TODAY(),"İLERİ TARİH",IF(COUNTIF($S$7:$S$2503,$S726)&gt;1,"MÜKERRER?",IF($T726&gt;0,"KAPALI DÖNEM","UYGUN"))))))</f>
        <v/>
      </c>
      <c r="N726" s="74" t="str">
        <f>IF($C726="","",IF($C726="TANIMSIZ MÜŞTERİ","—",INDEX(MUSTERILER!$C$7:$C$156,MATCH($C726,MUSTERILER!$B$7:$B$156,0))))</f>
        <v/>
      </c>
      <c r="O726" s="2"/>
      <c r="P726" s="2"/>
      <c r="Q726" s="1" t="str">
        <f>IF($D726="","",$C726&amp;"|"&amp;COUNTIFS($C$7:$C726,$C726))</f>
        <v/>
      </c>
      <c r="R726" s="1" t="str">
        <f t="shared" si="22"/>
        <v/>
      </c>
      <c r="S726" s="1" t="str">
        <f t="shared" si="23"/>
        <v/>
      </c>
      <c r="T726" s="1">
        <f>IF($E726="",0,SUMPRODUCT((AY_SONU!$O$7:$O$42="Evet")*(AY_SONU!$B$7:$B$42=DATE(YEAR($E726),MONTH($E726),1))))</f>
        <v>0</v>
      </c>
      <c r="U726" s="1" t="str">
        <f>IF(OR($G726="",$H726="Mahsup"),"",$G726&amp;"|"&amp;COUNTIFS($G$7:$G726,$G726,$H$7:$H726,"&lt;&gt;Mahsup"))</f>
        <v/>
      </c>
    </row>
    <row r="727" spans="1:21" ht="18" customHeight="1" x14ac:dyDescent="0.3">
      <c r="A727" s="2"/>
      <c r="B727" s="65" t="str">
        <f>IF($D727="","","T"&amp;TEXT(ROW()-6,"00000"))</f>
        <v/>
      </c>
      <c r="C727" s="65" t="str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61"/>
      <c r="E727" s="66"/>
      <c r="F727" s="67"/>
      <c r="G727" s="60"/>
      <c r="H727" s="60"/>
      <c r="I727" s="61"/>
      <c r="J727" s="61"/>
      <c r="K727" s="61"/>
      <c r="L727" s="73" t="str">
        <f>IF($E727="","",DATE(YEAR($E727),MONTH($E727),1))</f>
        <v/>
      </c>
      <c r="M727" s="65" t="str">
        <f ca="1">IF($D727="","",IF($C727="TANIMSIZ MÜŞTERİ","HATA",IF(OR($E727="",$F727&lt;=0,$G727=""),"EKSİK",IF($E727&gt;TODAY(),"İLERİ TARİH",IF(COUNTIF($S$7:$S$2503,$S727)&gt;1,"MÜKERRER?",IF($T727&gt;0,"KAPALI DÖNEM","UYGUN"))))))</f>
        <v/>
      </c>
      <c r="N727" s="74" t="str">
        <f>IF($C727="","",IF($C727="TANIMSIZ MÜŞTERİ","—",INDEX(MUSTERILER!$C$7:$C$156,MATCH($C727,MUSTERILER!$B$7:$B$156,0))))</f>
        <v/>
      </c>
      <c r="O727" s="2"/>
      <c r="P727" s="2"/>
      <c r="Q727" s="1" t="str">
        <f>IF($D727="","",$C727&amp;"|"&amp;COUNTIFS($C$7:$C727,$C727))</f>
        <v/>
      </c>
      <c r="R727" s="1" t="str">
        <f t="shared" si="22"/>
        <v/>
      </c>
      <c r="S727" s="1" t="str">
        <f t="shared" si="23"/>
        <v/>
      </c>
      <c r="T727" s="1">
        <f>IF($E727="",0,SUMPRODUCT((AY_SONU!$O$7:$O$42="Evet")*(AY_SONU!$B$7:$B$42=DATE(YEAR($E727),MONTH($E727),1))))</f>
        <v>0</v>
      </c>
      <c r="U727" s="1" t="str">
        <f>IF(OR($G727="",$H727="Mahsup"),"",$G727&amp;"|"&amp;COUNTIFS($G$7:$G727,$G727,$H$7:$H727,"&lt;&gt;Mahsup"))</f>
        <v/>
      </c>
    </row>
    <row r="728" spans="1:21" ht="18" customHeight="1" x14ac:dyDescent="0.3">
      <c r="A728" s="2"/>
      <c r="B728" s="65" t="str">
        <f>IF($D728="","","T"&amp;TEXT(ROW()-6,"00000"))</f>
        <v/>
      </c>
      <c r="C728" s="65" t="str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61"/>
      <c r="E728" s="66"/>
      <c r="F728" s="67"/>
      <c r="G728" s="60"/>
      <c r="H728" s="60"/>
      <c r="I728" s="61"/>
      <c r="J728" s="61"/>
      <c r="K728" s="61"/>
      <c r="L728" s="73" t="str">
        <f>IF($E728="","",DATE(YEAR($E728),MONTH($E728),1))</f>
        <v/>
      </c>
      <c r="M728" s="65" t="str">
        <f ca="1">IF($D728="","",IF($C728="TANIMSIZ MÜŞTERİ","HATA",IF(OR($E728="",$F728&lt;=0,$G728=""),"EKSİK",IF($E728&gt;TODAY(),"İLERİ TARİH",IF(COUNTIF($S$7:$S$2503,$S728)&gt;1,"MÜKERRER?",IF($T728&gt;0,"KAPALI DÖNEM","UYGUN"))))))</f>
        <v/>
      </c>
      <c r="N728" s="74" t="str">
        <f>IF($C728="","",IF($C728="TANIMSIZ MÜŞTERİ","—",INDEX(MUSTERILER!$C$7:$C$156,MATCH($C728,MUSTERILER!$B$7:$B$156,0))))</f>
        <v/>
      </c>
      <c r="O728" s="2"/>
      <c r="P728" s="2"/>
      <c r="Q728" s="1" t="str">
        <f>IF($D728="","",$C728&amp;"|"&amp;COUNTIFS($C$7:$C728,$C728))</f>
        <v/>
      </c>
      <c r="R728" s="1" t="str">
        <f t="shared" si="22"/>
        <v/>
      </c>
      <c r="S728" s="1" t="str">
        <f t="shared" si="23"/>
        <v/>
      </c>
      <c r="T728" s="1">
        <f>IF($E728="",0,SUMPRODUCT((AY_SONU!$O$7:$O$42="Evet")*(AY_SONU!$B$7:$B$42=DATE(YEAR($E728),MONTH($E728),1))))</f>
        <v>0</v>
      </c>
      <c r="U728" s="1" t="str">
        <f>IF(OR($G728="",$H728="Mahsup"),"",$G728&amp;"|"&amp;COUNTIFS($G$7:$G728,$G728,$H$7:$H728,"&lt;&gt;Mahsup"))</f>
        <v/>
      </c>
    </row>
    <row r="729" spans="1:21" ht="18" customHeight="1" x14ac:dyDescent="0.3">
      <c r="A729" s="2"/>
      <c r="B729" s="65" t="str">
        <f>IF($D729="","","T"&amp;TEXT(ROW()-6,"00000"))</f>
        <v/>
      </c>
      <c r="C729" s="65" t="str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61"/>
      <c r="E729" s="66"/>
      <c r="F729" s="67"/>
      <c r="G729" s="60"/>
      <c r="H729" s="60"/>
      <c r="I729" s="61"/>
      <c r="J729" s="61"/>
      <c r="K729" s="61"/>
      <c r="L729" s="73" t="str">
        <f>IF($E729="","",DATE(YEAR($E729),MONTH($E729),1))</f>
        <v/>
      </c>
      <c r="M729" s="65" t="str">
        <f ca="1">IF($D729="","",IF($C729="TANIMSIZ MÜŞTERİ","HATA",IF(OR($E729="",$F729&lt;=0,$G729=""),"EKSİK",IF($E729&gt;TODAY(),"İLERİ TARİH",IF(COUNTIF($S$7:$S$2503,$S729)&gt;1,"MÜKERRER?",IF($T729&gt;0,"KAPALI DÖNEM","UYGUN"))))))</f>
        <v/>
      </c>
      <c r="N729" s="74" t="str">
        <f>IF($C729="","",IF($C729="TANIMSIZ MÜŞTERİ","—",INDEX(MUSTERILER!$C$7:$C$156,MATCH($C729,MUSTERILER!$B$7:$B$156,0))))</f>
        <v/>
      </c>
      <c r="O729" s="2"/>
      <c r="P729" s="2"/>
      <c r="Q729" s="1" t="str">
        <f>IF($D729="","",$C729&amp;"|"&amp;COUNTIFS($C$7:$C729,$C729))</f>
        <v/>
      </c>
      <c r="R729" s="1" t="str">
        <f t="shared" si="22"/>
        <v/>
      </c>
      <c r="S729" s="1" t="str">
        <f t="shared" si="23"/>
        <v/>
      </c>
      <c r="T729" s="1">
        <f>IF($E729="",0,SUMPRODUCT((AY_SONU!$O$7:$O$42="Evet")*(AY_SONU!$B$7:$B$42=DATE(YEAR($E729),MONTH($E729),1))))</f>
        <v>0</v>
      </c>
      <c r="U729" s="1" t="str">
        <f>IF(OR($G729="",$H729="Mahsup"),"",$G729&amp;"|"&amp;COUNTIFS($G$7:$G729,$G729,$H$7:$H729,"&lt;&gt;Mahsup"))</f>
        <v/>
      </c>
    </row>
    <row r="730" spans="1:21" ht="18" customHeight="1" x14ac:dyDescent="0.3">
      <c r="A730" s="2"/>
      <c r="B730" s="65" t="str">
        <f>IF($D730="","","T"&amp;TEXT(ROW()-6,"00000"))</f>
        <v/>
      </c>
      <c r="C730" s="65" t="str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61"/>
      <c r="E730" s="66"/>
      <c r="F730" s="67"/>
      <c r="G730" s="60"/>
      <c r="H730" s="60"/>
      <c r="I730" s="61"/>
      <c r="J730" s="61"/>
      <c r="K730" s="61"/>
      <c r="L730" s="73" t="str">
        <f>IF($E730="","",DATE(YEAR($E730),MONTH($E730),1))</f>
        <v/>
      </c>
      <c r="M730" s="65" t="str">
        <f ca="1">IF($D730="","",IF($C730="TANIMSIZ MÜŞTERİ","HATA",IF(OR($E730="",$F730&lt;=0,$G730=""),"EKSİK",IF($E730&gt;TODAY(),"İLERİ TARİH",IF(COUNTIF($S$7:$S$2503,$S730)&gt;1,"MÜKERRER?",IF($T730&gt;0,"KAPALI DÖNEM","UYGUN"))))))</f>
        <v/>
      </c>
      <c r="N730" s="74" t="str">
        <f>IF($C730="","",IF($C730="TANIMSIZ MÜŞTERİ","—",INDEX(MUSTERILER!$C$7:$C$156,MATCH($C730,MUSTERILER!$B$7:$B$156,0))))</f>
        <v/>
      </c>
      <c r="O730" s="2"/>
      <c r="P730" s="2"/>
      <c r="Q730" s="1" t="str">
        <f>IF($D730="","",$C730&amp;"|"&amp;COUNTIFS($C$7:$C730,$C730))</f>
        <v/>
      </c>
      <c r="R730" s="1" t="str">
        <f t="shared" si="22"/>
        <v/>
      </c>
      <c r="S730" s="1" t="str">
        <f t="shared" si="23"/>
        <v/>
      </c>
      <c r="T730" s="1">
        <f>IF($E730="",0,SUMPRODUCT((AY_SONU!$O$7:$O$42="Evet")*(AY_SONU!$B$7:$B$42=DATE(YEAR($E730),MONTH($E730),1))))</f>
        <v>0</v>
      </c>
      <c r="U730" s="1" t="str">
        <f>IF(OR($G730="",$H730="Mahsup"),"",$G730&amp;"|"&amp;COUNTIFS($G$7:$G730,$G730,$H$7:$H730,"&lt;&gt;Mahsup"))</f>
        <v/>
      </c>
    </row>
    <row r="731" spans="1:21" ht="18" customHeight="1" x14ac:dyDescent="0.3">
      <c r="A731" s="2"/>
      <c r="B731" s="65" t="str">
        <f>IF($D731="","","T"&amp;TEXT(ROW()-6,"00000"))</f>
        <v/>
      </c>
      <c r="C731" s="65" t="str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61"/>
      <c r="E731" s="66"/>
      <c r="F731" s="67"/>
      <c r="G731" s="60"/>
      <c r="H731" s="60"/>
      <c r="I731" s="61"/>
      <c r="J731" s="61"/>
      <c r="K731" s="61"/>
      <c r="L731" s="73" t="str">
        <f>IF($E731="","",DATE(YEAR($E731),MONTH($E731),1))</f>
        <v/>
      </c>
      <c r="M731" s="65" t="str">
        <f ca="1">IF($D731="","",IF($C731="TANIMSIZ MÜŞTERİ","HATA",IF(OR($E731="",$F731&lt;=0,$G731=""),"EKSİK",IF($E731&gt;TODAY(),"İLERİ TARİH",IF(COUNTIF($S$7:$S$2503,$S731)&gt;1,"MÜKERRER?",IF($T731&gt;0,"KAPALI DÖNEM","UYGUN"))))))</f>
        <v/>
      </c>
      <c r="N731" s="74" t="str">
        <f>IF($C731="","",IF($C731="TANIMSIZ MÜŞTERİ","—",INDEX(MUSTERILER!$C$7:$C$156,MATCH($C731,MUSTERILER!$B$7:$B$156,0))))</f>
        <v/>
      </c>
      <c r="O731" s="2"/>
      <c r="P731" s="2"/>
      <c r="Q731" s="1" t="str">
        <f>IF($D731="","",$C731&amp;"|"&amp;COUNTIFS($C$7:$C731,$C731))</f>
        <v/>
      </c>
      <c r="R731" s="1" t="str">
        <f t="shared" si="22"/>
        <v/>
      </c>
      <c r="S731" s="1" t="str">
        <f t="shared" si="23"/>
        <v/>
      </c>
      <c r="T731" s="1">
        <f>IF($E731="",0,SUMPRODUCT((AY_SONU!$O$7:$O$42="Evet")*(AY_SONU!$B$7:$B$42=DATE(YEAR($E731),MONTH($E731),1))))</f>
        <v>0</v>
      </c>
      <c r="U731" s="1" t="str">
        <f>IF(OR($G731="",$H731="Mahsup"),"",$G731&amp;"|"&amp;COUNTIFS($G$7:$G731,$G731,$H$7:$H731,"&lt;&gt;Mahsup"))</f>
        <v/>
      </c>
    </row>
    <row r="732" spans="1:21" ht="18" customHeight="1" x14ac:dyDescent="0.3">
      <c r="A732" s="2"/>
      <c r="B732" s="65" t="str">
        <f>IF($D732="","","T"&amp;TEXT(ROW()-6,"00000"))</f>
        <v/>
      </c>
      <c r="C732" s="65" t="str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61"/>
      <c r="E732" s="66"/>
      <c r="F732" s="67"/>
      <c r="G732" s="60"/>
      <c r="H732" s="60"/>
      <c r="I732" s="61"/>
      <c r="J732" s="61"/>
      <c r="K732" s="61"/>
      <c r="L732" s="73" t="str">
        <f>IF($E732="","",DATE(YEAR($E732),MONTH($E732),1))</f>
        <v/>
      </c>
      <c r="M732" s="65" t="str">
        <f ca="1">IF($D732="","",IF($C732="TANIMSIZ MÜŞTERİ","HATA",IF(OR($E732="",$F732&lt;=0,$G732=""),"EKSİK",IF($E732&gt;TODAY(),"İLERİ TARİH",IF(COUNTIF($S$7:$S$2503,$S732)&gt;1,"MÜKERRER?",IF($T732&gt;0,"KAPALI DÖNEM","UYGUN"))))))</f>
        <v/>
      </c>
      <c r="N732" s="74" t="str">
        <f>IF($C732="","",IF($C732="TANIMSIZ MÜŞTERİ","—",INDEX(MUSTERILER!$C$7:$C$156,MATCH($C732,MUSTERILER!$B$7:$B$156,0))))</f>
        <v/>
      </c>
      <c r="O732" s="2"/>
      <c r="P732" s="2"/>
      <c r="Q732" s="1" t="str">
        <f>IF($D732="","",$C732&amp;"|"&amp;COUNTIFS($C$7:$C732,$C732))</f>
        <v/>
      </c>
      <c r="R732" s="1" t="str">
        <f t="shared" si="22"/>
        <v/>
      </c>
      <c r="S732" s="1" t="str">
        <f t="shared" si="23"/>
        <v/>
      </c>
      <c r="T732" s="1">
        <f>IF($E732="",0,SUMPRODUCT((AY_SONU!$O$7:$O$42="Evet")*(AY_SONU!$B$7:$B$42=DATE(YEAR($E732),MONTH($E732),1))))</f>
        <v>0</v>
      </c>
      <c r="U732" s="1" t="str">
        <f>IF(OR($G732="",$H732="Mahsup"),"",$G732&amp;"|"&amp;COUNTIFS($G$7:$G732,$G732,$H$7:$H732,"&lt;&gt;Mahsup"))</f>
        <v/>
      </c>
    </row>
    <row r="733" spans="1:21" ht="18" customHeight="1" x14ac:dyDescent="0.3">
      <c r="A733" s="2"/>
      <c r="B733" s="65" t="str">
        <f>IF($D733="","","T"&amp;TEXT(ROW()-6,"00000"))</f>
        <v/>
      </c>
      <c r="C733" s="65" t="str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61"/>
      <c r="E733" s="66"/>
      <c r="F733" s="67"/>
      <c r="G733" s="60"/>
      <c r="H733" s="60"/>
      <c r="I733" s="61"/>
      <c r="J733" s="61"/>
      <c r="K733" s="61"/>
      <c r="L733" s="73" t="str">
        <f>IF($E733="","",DATE(YEAR($E733),MONTH($E733),1))</f>
        <v/>
      </c>
      <c r="M733" s="65" t="str">
        <f ca="1">IF($D733="","",IF($C733="TANIMSIZ MÜŞTERİ","HATA",IF(OR($E733="",$F733&lt;=0,$G733=""),"EKSİK",IF($E733&gt;TODAY(),"İLERİ TARİH",IF(COUNTIF($S$7:$S$2503,$S733)&gt;1,"MÜKERRER?",IF($T733&gt;0,"KAPALI DÖNEM","UYGUN"))))))</f>
        <v/>
      </c>
      <c r="N733" s="74" t="str">
        <f>IF($C733="","",IF($C733="TANIMSIZ MÜŞTERİ","—",INDEX(MUSTERILER!$C$7:$C$156,MATCH($C733,MUSTERILER!$B$7:$B$156,0))))</f>
        <v/>
      </c>
      <c r="O733" s="2"/>
      <c r="P733" s="2"/>
      <c r="Q733" s="1" t="str">
        <f>IF($D733="","",$C733&amp;"|"&amp;COUNTIFS($C$7:$C733,$C733))</f>
        <v/>
      </c>
      <c r="R733" s="1" t="str">
        <f t="shared" si="22"/>
        <v/>
      </c>
      <c r="S733" s="1" t="str">
        <f t="shared" si="23"/>
        <v/>
      </c>
      <c r="T733" s="1">
        <f>IF($E733="",0,SUMPRODUCT((AY_SONU!$O$7:$O$42="Evet")*(AY_SONU!$B$7:$B$42=DATE(YEAR($E733),MONTH($E733),1))))</f>
        <v>0</v>
      </c>
      <c r="U733" s="1" t="str">
        <f>IF(OR($G733="",$H733="Mahsup"),"",$G733&amp;"|"&amp;COUNTIFS($G$7:$G733,$G733,$H$7:$H733,"&lt;&gt;Mahsup"))</f>
        <v/>
      </c>
    </row>
    <row r="734" spans="1:21" ht="18" customHeight="1" x14ac:dyDescent="0.3">
      <c r="A734" s="2"/>
      <c r="B734" s="65" t="str">
        <f>IF($D734="","","T"&amp;TEXT(ROW()-6,"00000"))</f>
        <v/>
      </c>
      <c r="C734" s="65" t="str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61"/>
      <c r="E734" s="66"/>
      <c r="F734" s="67"/>
      <c r="G734" s="60"/>
      <c r="H734" s="60"/>
      <c r="I734" s="61"/>
      <c r="J734" s="61"/>
      <c r="K734" s="61"/>
      <c r="L734" s="73" t="str">
        <f>IF($E734="","",DATE(YEAR($E734),MONTH($E734),1))</f>
        <v/>
      </c>
      <c r="M734" s="65" t="str">
        <f ca="1">IF($D734="","",IF($C734="TANIMSIZ MÜŞTERİ","HATA",IF(OR($E734="",$F734&lt;=0,$G734=""),"EKSİK",IF($E734&gt;TODAY(),"İLERİ TARİH",IF(COUNTIF($S$7:$S$2503,$S734)&gt;1,"MÜKERRER?",IF($T734&gt;0,"KAPALI DÖNEM","UYGUN"))))))</f>
        <v/>
      </c>
      <c r="N734" s="74" t="str">
        <f>IF($C734="","",IF($C734="TANIMSIZ MÜŞTERİ","—",INDEX(MUSTERILER!$C$7:$C$156,MATCH($C734,MUSTERILER!$B$7:$B$156,0))))</f>
        <v/>
      </c>
      <c r="O734" s="2"/>
      <c r="P734" s="2"/>
      <c r="Q734" s="1" t="str">
        <f>IF($D734="","",$C734&amp;"|"&amp;COUNTIFS($C$7:$C734,$C734))</f>
        <v/>
      </c>
      <c r="R734" s="1" t="str">
        <f t="shared" si="22"/>
        <v/>
      </c>
      <c r="S734" s="1" t="str">
        <f t="shared" si="23"/>
        <v/>
      </c>
      <c r="T734" s="1">
        <f>IF($E734="",0,SUMPRODUCT((AY_SONU!$O$7:$O$42="Evet")*(AY_SONU!$B$7:$B$42=DATE(YEAR($E734),MONTH($E734),1))))</f>
        <v>0</v>
      </c>
      <c r="U734" s="1" t="str">
        <f>IF(OR($G734="",$H734="Mahsup"),"",$G734&amp;"|"&amp;COUNTIFS($G$7:$G734,$G734,$H$7:$H734,"&lt;&gt;Mahsup"))</f>
        <v/>
      </c>
    </row>
    <row r="735" spans="1:21" ht="18" customHeight="1" x14ac:dyDescent="0.3">
      <c r="A735" s="2"/>
      <c r="B735" s="65" t="str">
        <f>IF($D735="","","T"&amp;TEXT(ROW()-6,"00000"))</f>
        <v/>
      </c>
      <c r="C735" s="65" t="str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61"/>
      <c r="E735" s="66"/>
      <c r="F735" s="67"/>
      <c r="G735" s="60"/>
      <c r="H735" s="60"/>
      <c r="I735" s="61"/>
      <c r="J735" s="61"/>
      <c r="K735" s="61"/>
      <c r="L735" s="73" t="str">
        <f>IF($E735="","",DATE(YEAR($E735),MONTH($E735),1))</f>
        <v/>
      </c>
      <c r="M735" s="65" t="str">
        <f ca="1">IF($D735="","",IF($C735="TANIMSIZ MÜŞTERİ","HATA",IF(OR($E735="",$F735&lt;=0,$G735=""),"EKSİK",IF($E735&gt;TODAY(),"İLERİ TARİH",IF(COUNTIF($S$7:$S$2503,$S735)&gt;1,"MÜKERRER?",IF($T735&gt;0,"KAPALI DÖNEM","UYGUN"))))))</f>
        <v/>
      </c>
      <c r="N735" s="74" t="str">
        <f>IF($C735="","",IF($C735="TANIMSIZ MÜŞTERİ","—",INDEX(MUSTERILER!$C$7:$C$156,MATCH($C735,MUSTERILER!$B$7:$B$156,0))))</f>
        <v/>
      </c>
      <c r="O735" s="2"/>
      <c r="P735" s="2"/>
      <c r="Q735" s="1" t="str">
        <f>IF($D735="","",$C735&amp;"|"&amp;COUNTIFS($C$7:$C735,$C735))</f>
        <v/>
      </c>
      <c r="R735" s="1" t="str">
        <f t="shared" si="22"/>
        <v/>
      </c>
      <c r="S735" s="1" t="str">
        <f t="shared" si="23"/>
        <v/>
      </c>
      <c r="T735" s="1">
        <f>IF($E735="",0,SUMPRODUCT((AY_SONU!$O$7:$O$42="Evet")*(AY_SONU!$B$7:$B$42=DATE(YEAR($E735),MONTH($E735),1))))</f>
        <v>0</v>
      </c>
      <c r="U735" s="1" t="str">
        <f>IF(OR($G735="",$H735="Mahsup"),"",$G735&amp;"|"&amp;COUNTIFS($G$7:$G735,$G735,$H$7:$H735,"&lt;&gt;Mahsup"))</f>
        <v/>
      </c>
    </row>
    <row r="736" spans="1:21" ht="18" customHeight="1" x14ac:dyDescent="0.3">
      <c r="A736" s="2"/>
      <c r="B736" s="65" t="str">
        <f>IF($D736="","","T"&amp;TEXT(ROW()-6,"00000"))</f>
        <v/>
      </c>
      <c r="C736" s="65" t="str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61"/>
      <c r="E736" s="66"/>
      <c r="F736" s="67"/>
      <c r="G736" s="60"/>
      <c r="H736" s="60"/>
      <c r="I736" s="61"/>
      <c r="J736" s="61"/>
      <c r="K736" s="61"/>
      <c r="L736" s="73" t="str">
        <f>IF($E736="","",DATE(YEAR($E736),MONTH($E736),1))</f>
        <v/>
      </c>
      <c r="M736" s="65" t="str">
        <f ca="1">IF($D736="","",IF($C736="TANIMSIZ MÜŞTERİ","HATA",IF(OR($E736="",$F736&lt;=0,$G736=""),"EKSİK",IF($E736&gt;TODAY(),"İLERİ TARİH",IF(COUNTIF($S$7:$S$2503,$S736)&gt;1,"MÜKERRER?",IF($T736&gt;0,"KAPALI DÖNEM","UYGUN"))))))</f>
        <v/>
      </c>
      <c r="N736" s="74" t="str">
        <f>IF($C736="","",IF($C736="TANIMSIZ MÜŞTERİ","—",INDEX(MUSTERILER!$C$7:$C$156,MATCH($C736,MUSTERILER!$B$7:$B$156,0))))</f>
        <v/>
      </c>
      <c r="O736" s="2"/>
      <c r="P736" s="2"/>
      <c r="Q736" s="1" t="str">
        <f>IF($D736="","",$C736&amp;"|"&amp;COUNTIFS($C$7:$C736,$C736))</f>
        <v/>
      </c>
      <c r="R736" s="1" t="str">
        <f t="shared" si="22"/>
        <v/>
      </c>
      <c r="S736" s="1" t="str">
        <f t="shared" si="23"/>
        <v/>
      </c>
      <c r="T736" s="1">
        <f>IF($E736="",0,SUMPRODUCT((AY_SONU!$O$7:$O$42="Evet")*(AY_SONU!$B$7:$B$42=DATE(YEAR($E736),MONTH($E736),1))))</f>
        <v>0</v>
      </c>
      <c r="U736" s="1" t="str">
        <f>IF(OR($G736="",$H736="Mahsup"),"",$G736&amp;"|"&amp;COUNTIFS($G$7:$G736,$G736,$H$7:$H736,"&lt;&gt;Mahsup"))</f>
        <v/>
      </c>
    </row>
    <row r="737" spans="1:21" ht="18" customHeight="1" x14ac:dyDescent="0.3">
      <c r="A737" s="2"/>
      <c r="B737" s="65" t="str">
        <f>IF($D737="","","T"&amp;TEXT(ROW()-6,"00000"))</f>
        <v/>
      </c>
      <c r="C737" s="65" t="str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61"/>
      <c r="E737" s="66"/>
      <c r="F737" s="67"/>
      <c r="G737" s="60"/>
      <c r="H737" s="60"/>
      <c r="I737" s="61"/>
      <c r="J737" s="61"/>
      <c r="K737" s="61"/>
      <c r="L737" s="73" t="str">
        <f>IF($E737="","",DATE(YEAR($E737),MONTH($E737),1))</f>
        <v/>
      </c>
      <c r="M737" s="65" t="str">
        <f ca="1">IF($D737="","",IF($C737="TANIMSIZ MÜŞTERİ","HATA",IF(OR($E737="",$F737&lt;=0,$G737=""),"EKSİK",IF($E737&gt;TODAY(),"İLERİ TARİH",IF(COUNTIF($S$7:$S$2503,$S737)&gt;1,"MÜKERRER?",IF($T737&gt;0,"KAPALI DÖNEM","UYGUN"))))))</f>
        <v/>
      </c>
      <c r="N737" s="74" t="str">
        <f>IF($C737="","",IF($C737="TANIMSIZ MÜŞTERİ","—",INDEX(MUSTERILER!$C$7:$C$156,MATCH($C737,MUSTERILER!$B$7:$B$156,0))))</f>
        <v/>
      </c>
      <c r="O737" s="2"/>
      <c r="P737" s="2"/>
      <c r="Q737" s="1" t="str">
        <f>IF($D737="","",$C737&amp;"|"&amp;COUNTIFS($C$7:$C737,$C737))</f>
        <v/>
      </c>
      <c r="R737" s="1" t="str">
        <f t="shared" si="22"/>
        <v/>
      </c>
      <c r="S737" s="1" t="str">
        <f t="shared" si="23"/>
        <v/>
      </c>
      <c r="T737" s="1">
        <f>IF($E737="",0,SUMPRODUCT((AY_SONU!$O$7:$O$42="Evet")*(AY_SONU!$B$7:$B$42=DATE(YEAR($E737),MONTH($E737),1))))</f>
        <v>0</v>
      </c>
      <c r="U737" s="1" t="str">
        <f>IF(OR($G737="",$H737="Mahsup"),"",$G737&amp;"|"&amp;COUNTIFS($G$7:$G737,$G737,$H$7:$H737,"&lt;&gt;Mahsup"))</f>
        <v/>
      </c>
    </row>
    <row r="738" spans="1:21" ht="18" customHeight="1" x14ac:dyDescent="0.3">
      <c r="A738" s="2"/>
      <c r="B738" s="65" t="str">
        <f>IF($D738="","","T"&amp;TEXT(ROW()-6,"00000"))</f>
        <v/>
      </c>
      <c r="C738" s="65" t="str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61"/>
      <c r="E738" s="66"/>
      <c r="F738" s="67"/>
      <c r="G738" s="60"/>
      <c r="H738" s="60"/>
      <c r="I738" s="61"/>
      <c r="J738" s="61"/>
      <c r="K738" s="61"/>
      <c r="L738" s="73" t="str">
        <f>IF($E738="","",DATE(YEAR($E738),MONTH($E738),1))</f>
        <v/>
      </c>
      <c r="M738" s="65" t="str">
        <f ca="1">IF($D738="","",IF($C738="TANIMSIZ MÜŞTERİ","HATA",IF(OR($E738="",$F738&lt;=0,$G738=""),"EKSİK",IF($E738&gt;TODAY(),"İLERİ TARİH",IF(COUNTIF($S$7:$S$2503,$S738)&gt;1,"MÜKERRER?",IF($T738&gt;0,"KAPALI DÖNEM","UYGUN"))))))</f>
        <v/>
      </c>
      <c r="N738" s="74" t="str">
        <f>IF($C738="","",IF($C738="TANIMSIZ MÜŞTERİ","—",INDEX(MUSTERILER!$C$7:$C$156,MATCH($C738,MUSTERILER!$B$7:$B$156,0))))</f>
        <v/>
      </c>
      <c r="O738" s="2"/>
      <c r="P738" s="2"/>
      <c r="Q738" s="1" t="str">
        <f>IF($D738="","",$C738&amp;"|"&amp;COUNTIFS($C$7:$C738,$C738))</f>
        <v/>
      </c>
      <c r="R738" s="1" t="str">
        <f t="shared" si="22"/>
        <v/>
      </c>
      <c r="S738" s="1" t="str">
        <f t="shared" si="23"/>
        <v/>
      </c>
      <c r="T738" s="1">
        <f>IF($E738="",0,SUMPRODUCT((AY_SONU!$O$7:$O$42="Evet")*(AY_SONU!$B$7:$B$42=DATE(YEAR($E738),MONTH($E738),1))))</f>
        <v>0</v>
      </c>
      <c r="U738" s="1" t="str">
        <f>IF(OR($G738="",$H738="Mahsup"),"",$G738&amp;"|"&amp;COUNTIFS($G$7:$G738,$G738,$H$7:$H738,"&lt;&gt;Mahsup"))</f>
        <v/>
      </c>
    </row>
    <row r="739" spans="1:21" ht="18" customHeight="1" x14ac:dyDescent="0.3">
      <c r="A739" s="2"/>
      <c r="B739" s="65" t="str">
        <f>IF($D739="","","T"&amp;TEXT(ROW()-6,"00000"))</f>
        <v/>
      </c>
      <c r="C739" s="65" t="str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61"/>
      <c r="E739" s="66"/>
      <c r="F739" s="67"/>
      <c r="G739" s="60"/>
      <c r="H739" s="60"/>
      <c r="I739" s="61"/>
      <c r="J739" s="61"/>
      <c r="K739" s="61"/>
      <c r="L739" s="73" t="str">
        <f>IF($E739="","",DATE(YEAR($E739),MONTH($E739),1))</f>
        <v/>
      </c>
      <c r="M739" s="65" t="str">
        <f ca="1">IF($D739="","",IF($C739="TANIMSIZ MÜŞTERİ","HATA",IF(OR($E739="",$F739&lt;=0,$G739=""),"EKSİK",IF($E739&gt;TODAY(),"İLERİ TARİH",IF(COUNTIF($S$7:$S$2503,$S739)&gt;1,"MÜKERRER?",IF($T739&gt;0,"KAPALI DÖNEM","UYGUN"))))))</f>
        <v/>
      </c>
      <c r="N739" s="74" t="str">
        <f>IF($C739="","",IF($C739="TANIMSIZ MÜŞTERİ","—",INDEX(MUSTERILER!$C$7:$C$156,MATCH($C739,MUSTERILER!$B$7:$B$156,0))))</f>
        <v/>
      </c>
      <c r="O739" s="2"/>
      <c r="P739" s="2"/>
      <c r="Q739" s="1" t="str">
        <f>IF($D739="","",$C739&amp;"|"&amp;COUNTIFS($C$7:$C739,$C739))</f>
        <v/>
      </c>
      <c r="R739" s="1" t="str">
        <f t="shared" si="22"/>
        <v/>
      </c>
      <c r="S739" s="1" t="str">
        <f t="shared" si="23"/>
        <v/>
      </c>
      <c r="T739" s="1">
        <f>IF($E739="",0,SUMPRODUCT((AY_SONU!$O$7:$O$42="Evet")*(AY_SONU!$B$7:$B$42=DATE(YEAR($E739),MONTH($E739),1))))</f>
        <v>0</v>
      </c>
      <c r="U739" s="1" t="str">
        <f>IF(OR($G739="",$H739="Mahsup"),"",$G739&amp;"|"&amp;COUNTIFS($G$7:$G739,$G739,$H$7:$H739,"&lt;&gt;Mahsup"))</f>
        <v/>
      </c>
    </row>
    <row r="740" spans="1:21" ht="18" customHeight="1" x14ac:dyDescent="0.3">
      <c r="A740" s="2"/>
      <c r="B740" s="65" t="str">
        <f>IF($D740="","","T"&amp;TEXT(ROW()-6,"00000"))</f>
        <v/>
      </c>
      <c r="C740" s="65" t="str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61"/>
      <c r="E740" s="66"/>
      <c r="F740" s="67"/>
      <c r="G740" s="60"/>
      <c r="H740" s="60"/>
      <c r="I740" s="61"/>
      <c r="J740" s="61"/>
      <c r="K740" s="61"/>
      <c r="L740" s="73" t="str">
        <f>IF($E740="","",DATE(YEAR($E740),MONTH($E740),1))</f>
        <v/>
      </c>
      <c r="M740" s="65" t="str">
        <f ca="1">IF($D740="","",IF($C740="TANIMSIZ MÜŞTERİ","HATA",IF(OR($E740="",$F740&lt;=0,$G740=""),"EKSİK",IF($E740&gt;TODAY(),"İLERİ TARİH",IF(COUNTIF($S$7:$S$2503,$S740)&gt;1,"MÜKERRER?",IF($T740&gt;0,"KAPALI DÖNEM","UYGUN"))))))</f>
        <v/>
      </c>
      <c r="N740" s="74" t="str">
        <f>IF($C740="","",IF($C740="TANIMSIZ MÜŞTERİ","—",INDEX(MUSTERILER!$C$7:$C$156,MATCH($C740,MUSTERILER!$B$7:$B$156,0))))</f>
        <v/>
      </c>
      <c r="O740" s="2"/>
      <c r="P740" s="2"/>
      <c r="Q740" s="1" t="str">
        <f>IF($D740="","",$C740&amp;"|"&amp;COUNTIFS($C$7:$C740,$C740))</f>
        <v/>
      </c>
      <c r="R740" s="1" t="str">
        <f t="shared" si="22"/>
        <v/>
      </c>
      <c r="S740" s="1" t="str">
        <f t="shared" si="23"/>
        <v/>
      </c>
      <c r="T740" s="1">
        <f>IF($E740="",0,SUMPRODUCT((AY_SONU!$O$7:$O$42="Evet")*(AY_SONU!$B$7:$B$42=DATE(YEAR($E740),MONTH($E740),1))))</f>
        <v>0</v>
      </c>
      <c r="U740" s="1" t="str">
        <f>IF(OR($G740="",$H740="Mahsup"),"",$G740&amp;"|"&amp;COUNTIFS($G$7:$G740,$G740,$H$7:$H740,"&lt;&gt;Mahsup"))</f>
        <v/>
      </c>
    </row>
    <row r="741" spans="1:21" ht="18" customHeight="1" x14ac:dyDescent="0.3">
      <c r="A741" s="2"/>
      <c r="B741" s="65" t="str">
        <f>IF($D741="","","T"&amp;TEXT(ROW()-6,"00000"))</f>
        <v/>
      </c>
      <c r="C741" s="65" t="str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61"/>
      <c r="E741" s="66"/>
      <c r="F741" s="67"/>
      <c r="G741" s="60"/>
      <c r="H741" s="60"/>
      <c r="I741" s="61"/>
      <c r="J741" s="61"/>
      <c r="K741" s="61"/>
      <c r="L741" s="73" t="str">
        <f>IF($E741="","",DATE(YEAR($E741),MONTH($E741),1))</f>
        <v/>
      </c>
      <c r="M741" s="65" t="str">
        <f ca="1">IF($D741="","",IF($C741="TANIMSIZ MÜŞTERİ","HATA",IF(OR($E741="",$F741&lt;=0,$G741=""),"EKSİK",IF($E741&gt;TODAY(),"İLERİ TARİH",IF(COUNTIF($S$7:$S$2503,$S741)&gt;1,"MÜKERRER?",IF($T741&gt;0,"KAPALI DÖNEM","UYGUN"))))))</f>
        <v/>
      </c>
      <c r="N741" s="74" t="str">
        <f>IF($C741="","",IF($C741="TANIMSIZ MÜŞTERİ","—",INDEX(MUSTERILER!$C$7:$C$156,MATCH($C741,MUSTERILER!$B$7:$B$156,0))))</f>
        <v/>
      </c>
      <c r="O741" s="2"/>
      <c r="P741" s="2"/>
      <c r="Q741" s="1" t="str">
        <f>IF($D741="","",$C741&amp;"|"&amp;COUNTIFS($C$7:$C741,$C741))</f>
        <v/>
      </c>
      <c r="R741" s="1" t="str">
        <f t="shared" si="22"/>
        <v/>
      </c>
      <c r="S741" s="1" t="str">
        <f t="shared" si="23"/>
        <v/>
      </c>
      <c r="T741" s="1">
        <f>IF($E741="",0,SUMPRODUCT((AY_SONU!$O$7:$O$42="Evet")*(AY_SONU!$B$7:$B$42=DATE(YEAR($E741),MONTH($E741),1))))</f>
        <v>0</v>
      </c>
      <c r="U741" s="1" t="str">
        <f>IF(OR($G741="",$H741="Mahsup"),"",$G741&amp;"|"&amp;COUNTIFS($G$7:$G741,$G741,$H$7:$H741,"&lt;&gt;Mahsup"))</f>
        <v/>
      </c>
    </row>
    <row r="742" spans="1:21" ht="18" customHeight="1" x14ac:dyDescent="0.3">
      <c r="A742" s="2"/>
      <c r="B742" s="65" t="str">
        <f>IF($D742="","","T"&amp;TEXT(ROW()-6,"00000"))</f>
        <v/>
      </c>
      <c r="C742" s="65" t="str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61"/>
      <c r="E742" s="66"/>
      <c r="F742" s="67"/>
      <c r="G742" s="60"/>
      <c r="H742" s="60"/>
      <c r="I742" s="61"/>
      <c r="J742" s="61"/>
      <c r="K742" s="61"/>
      <c r="L742" s="73" t="str">
        <f>IF($E742="","",DATE(YEAR($E742),MONTH($E742),1))</f>
        <v/>
      </c>
      <c r="M742" s="65" t="str">
        <f ca="1">IF($D742="","",IF($C742="TANIMSIZ MÜŞTERİ","HATA",IF(OR($E742="",$F742&lt;=0,$G742=""),"EKSİK",IF($E742&gt;TODAY(),"İLERİ TARİH",IF(COUNTIF($S$7:$S$2503,$S742)&gt;1,"MÜKERRER?",IF($T742&gt;0,"KAPALI DÖNEM","UYGUN"))))))</f>
        <v/>
      </c>
      <c r="N742" s="74" t="str">
        <f>IF($C742="","",IF($C742="TANIMSIZ MÜŞTERİ","—",INDEX(MUSTERILER!$C$7:$C$156,MATCH($C742,MUSTERILER!$B$7:$B$156,0))))</f>
        <v/>
      </c>
      <c r="O742" s="2"/>
      <c r="P742" s="2"/>
      <c r="Q742" s="1" t="str">
        <f>IF($D742="","",$C742&amp;"|"&amp;COUNTIFS($C$7:$C742,$C742))</f>
        <v/>
      </c>
      <c r="R742" s="1" t="str">
        <f t="shared" si="22"/>
        <v/>
      </c>
      <c r="S742" s="1" t="str">
        <f t="shared" si="23"/>
        <v/>
      </c>
      <c r="T742" s="1">
        <f>IF($E742="",0,SUMPRODUCT((AY_SONU!$O$7:$O$42="Evet")*(AY_SONU!$B$7:$B$42=DATE(YEAR($E742),MONTH($E742),1))))</f>
        <v>0</v>
      </c>
      <c r="U742" s="1" t="str">
        <f>IF(OR($G742="",$H742="Mahsup"),"",$G742&amp;"|"&amp;COUNTIFS($G$7:$G742,$G742,$H$7:$H742,"&lt;&gt;Mahsup"))</f>
        <v/>
      </c>
    </row>
    <row r="743" spans="1:21" ht="18" customHeight="1" x14ac:dyDescent="0.3">
      <c r="A743" s="2"/>
      <c r="B743" s="65" t="str">
        <f>IF($D743="","","T"&amp;TEXT(ROW()-6,"00000"))</f>
        <v/>
      </c>
      <c r="C743" s="65" t="str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61"/>
      <c r="E743" s="66"/>
      <c r="F743" s="67"/>
      <c r="G743" s="60"/>
      <c r="H743" s="60"/>
      <c r="I743" s="61"/>
      <c r="J743" s="61"/>
      <c r="K743" s="61"/>
      <c r="L743" s="73" t="str">
        <f>IF($E743="","",DATE(YEAR($E743),MONTH($E743),1))</f>
        <v/>
      </c>
      <c r="M743" s="65" t="str">
        <f ca="1">IF($D743="","",IF($C743="TANIMSIZ MÜŞTERİ","HATA",IF(OR($E743="",$F743&lt;=0,$G743=""),"EKSİK",IF($E743&gt;TODAY(),"İLERİ TARİH",IF(COUNTIF($S$7:$S$2503,$S743)&gt;1,"MÜKERRER?",IF($T743&gt;0,"KAPALI DÖNEM","UYGUN"))))))</f>
        <v/>
      </c>
      <c r="N743" s="74" t="str">
        <f>IF($C743="","",IF($C743="TANIMSIZ MÜŞTERİ","—",INDEX(MUSTERILER!$C$7:$C$156,MATCH($C743,MUSTERILER!$B$7:$B$156,0))))</f>
        <v/>
      </c>
      <c r="O743" s="2"/>
      <c r="P743" s="2"/>
      <c r="Q743" s="1" t="str">
        <f>IF($D743="","",$C743&amp;"|"&amp;COUNTIFS($C$7:$C743,$C743))</f>
        <v/>
      </c>
      <c r="R743" s="1" t="str">
        <f t="shared" si="22"/>
        <v/>
      </c>
      <c r="S743" s="1" t="str">
        <f t="shared" si="23"/>
        <v/>
      </c>
      <c r="T743" s="1">
        <f>IF($E743="",0,SUMPRODUCT((AY_SONU!$O$7:$O$42="Evet")*(AY_SONU!$B$7:$B$42=DATE(YEAR($E743),MONTH($E743),1))))</f>
        <v>0</v>
      </c>
      <c r="U743" s="1" t="str">
        <f>IF(OR($G743="",$H743="Mahsup"),"",$G743&amp;"|"&amp;COUNTIFS($G$7:$G743,$G743,$H$7:$H743,"&lt;&gt;Mahsup"))</f>
        <v/>
      </c>
    </row>
    <row r="744" spans="1:21" ht="18" customHeight="1" x14ac:dyDescent="0.3">
      <c r="A744" s="2"/>
      <c r="B744" s="65" t="str">
        <f>IF($D744="","","T"&amp;TEXT(ROW()-6,"00000"))</f>
        <v/>
      </c>
      <c r="C744" s="65" t="str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61"/>
      <c r="E744" s="66"/>
      <c r="F744" s="67"/>
      <c r="G744" s="60"/>
      <c r="H744" s="60"/>
      <c r="I744" s="61"/>
      <c r="J744" s="61"/>
      <c r="K744" s="61"/>
      <c r="L744" s="73" t="str">
        <f>IF($E744="","",DATE(YEAR($E744),MONTH($E744),1))</f>
        <v/>
      </c>
      <c r="M744" s="65" t="str">
        <f ca="1">IF($D744="","",IF($C744="TANIMSIZ MÜŞTERİ","HATA",IF(OR($E744="",$F744&lt;=0,$G744=""),"EKSİK",IF($E744&gt;TODAY(),"İLERİ TARİH",IF(COUNTIF($S$7:$S$2503,$S744)&gt;1,"MÜKERRER?",IF($T744&gt;0,"KAPALI DÖNEM","UYGUN"))))))</f>
        <v/>
      </c>
      <c r="N744" s="74" t="str">
        <f>IF($C744="","",IF($C744="TANIMSIZ MÜŞTERİ","—",INDEX(MUSTERILER!$C$7:$C$156,MATCH($C744,MUSTERILER!$B$7:$B$156,0))))</f>
        <v/>
      </c>
      <c r="O744" s="2"/>
      <c r="P744" s="2"/>
      <c r="Q744" s="1" t="str">
        <f>IF($D744="","",$C744&amp;"|"&amp;COUNTIFS($C$7:$C744,$C744))</f>
        <v/>
      </c>
      <c r="R744" s="1" t="str">
        <f t="shared" si="22"/>
        <v/>
      </c>
      <c r="S744" s="1" t="str">
        <f t="shared" si="23"/>
        <v/>
      </c>
      <c r="T744" s="1">
        <f>IF($E744="",0,SUMPRODUCT((AY_SONU!$O$7:$O$42="Evet")*(AY_SONU!$B$7:$B$42=DATE(YEAR($E744),MONTH($E744),1))))</f>
        <v>0</v>
      </c>
      <c r="U744" s="1" t="str">
        <f>IF(OR($G744="",$H744="Mahsup"),"",$G744&amp;"|"&amp;COUNTIFS($G$7:$G744,$G744,$H$7:$H744,"&lt;&gt;Mahsup"))</f>
        <v/>
      </c>
    </row>
    <row r="745" spans="1:21" ht="18" customHeight="1" x14ac:dyDescent="0.3">
      <c r="A745" s="2"/>
      <c r="B745" s="65" t="str">
        <f>IF($D745="","","T"&amp;TEXT(ROW()-6,"00000"))</f>
        <v/>
      </c>
      <c r="C745" s="65" t="str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61"/>
      <c r="E745" s="66"/>
      <c r="F745" s="67"/>
      <c r="G745" s="60"/>
      <c r="H745" s="60"/>
      <c r="I745" s="61"/>
      <c r="J745" s="61"/>
      <c r="K745" s="61"/>
      <c r="L745" s="73" t="str">
        <f>IF($E745="","",DATE(YEAR($E745),MONTH($E745),1))</f>
        <v/>
      </c>
      <c r="M745" s="65" t="str">
        <f ca="1">IF($D745="","",IF($C745="TANIMSIZ MÜŞTERİ","HATA",IF(OR($E745="",$F745&lt;=0,$G745=""),"EKSİK",IF($E745&gt;TODAY(),"İLERİ TARİH",IF(COUNTIF($S$7:$S$2503,$S745)&gt;1,"MÜKERRER?",IF($T745&gt;0,"KAPALI DÖNEM","UYGUN"))))))</f>
        <v/>
      </c>
      <c r="N745" s="74" t="str">
        <f>IF($C745="","",IF($C745="TANIMSIZ MÜŞTERİ","—",INDEX(MUSTERILER!$C$7:$C$156,MATCH($C745,MUSTERILER!$B$7:$B$156,0))))</f>
        <v/>
      </c>
      <c r="O745" s="2"/>
      <c r="P745" s="2"/>
      <c r="Q745" s="1" t="str">
        <f>IF($D745="","",$C745&amp;"|"&amp;COUNTIFS($C$7:$C745,$C745))</f>
        <v/>
      </c>
      <c r="R745" s="1" t="str">
        <f t="shared" si="22"/>
        <v/>
      </c>
      <c r="S745" s="1" t="str">
        <f t="shared" si="23"/>
        <v/>
      </c>
      <c r="T745" s="1">
        <f>IF($E745="",0,SUMPRODUCT((AY_SONU!$O$7:$O$42="Evet")*(AY_SONU!$B$7:$B$42=DATE(YEAR($E745),MONTH($E745),1))))</f>
        <v>0</v>
      </c>
      <c r="U745" s="1" t="str">
        <f>IF(OR($G745="",$H745="Mahsup"),"",$G745&amp;"|"&amp;COUNTIFS($G$7:$G745,$G745,$H$7:$H745,"&lt;&gt;Mahsup"))</f>
        <v/>
      </c>
    </row>
    <row r="746" spans="1:21" ht="18" customHeight="1" x14ac:dyDescent="0.3">
      <c r="A746" s="2"/>
      <c r="B746" s="65" t="str">
        <f>IF($D746="","","T"&amp;TEXT(ROW()-6,"00000"))</f>
        <v/>
      </c>
      <c r="C746" s="65" t="str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61"/>
      <c r="E746" s="66"/>
      <c r="F746" s="67"/>
      <c r="G746" s="60"/>
      <c r="H746" s="60"/>
      <c r="I746" s="61"/>
      <c r="J746" s="61"/>
      <c r="K746" s="61"/>
      <c r="L746" s="73" t="str">
        <f>IF($E746="","",DATE(YEAR($E746),MONTH($E746),1))</f>
        <v/>
      </c>
      <c r="M746" s="65" t="str">
        <f ca="1">IF($D746="","",IF($C746="TANIMSIZ MÜŞTERİ","HATA",IF(OR($E746="",$F746&lt;=0,$G746=""),"EKSİK",IF($E746&gt;TODAY(),"İLERİ TARİH",IF(COUNTIF($S$7:$S$2503,$S746)&gt;1,"MÜKERRER?",IF($T746&gt;0,"KAPALI DÖNEM","UYGUN"))))))</f>
        <v/>
      </c>
      <c r="N746" s="74" t="str">
        <f>IF($C746="","",IF($C746="TANIMSIZ MÜŞTERİ","—",INDEX(MUSTERILER!$C$7:$C$156,MATCH($C746,MUSTERILER!$B$7:$B$156,0))))</f>
        <v/>
      </c>
      <c r="O746" s="2"/>
      <c r="P746" s="2"/>
      <c r="Q746" s="1" t="str">
        <f>IF($D746="","",$C746&amp;"|"&amp;COUNTIFS($C$7:$C746,$C746))</f>
        <v/>
      </c>
      <c r="R746" s="1" t="str">
        <f t="shared" si="22"/>
        <v/>
      </c>
      <c r="S746" s="1" t="str">
        <f t="shared" si="23"/>
        <v/>
      </c>
      <c r="T746" s="1">
        <f>IF($E746="",0,SUMPRODUCT((AY_SONU!$O$7:$O$42="Evet")*(AY_SONU!$B$7:$B$42=DATE(YEAR($E746),MONTH($E746),1))))</f>
        <v>0</v>
      </c>
      <c r="U746" s="1" t="str">
        <f>IF(OR($G746="",$H746="Mahsup"),"",$G746&amp;"|"&amp;COUNTIFS($G$7:$G746,$G746,$H$7:$H746,"&lt;&gt;Mahsup"))</f>
        <v/>
      </c>
    </row>
    <row r="747" spans="1:21" ht="18" customHeight="1" x14ac:dyDescent="0.3">
      <c r="A747" s="2"/>
      <c r="B747" s="65" t="str">
        <f>IF($D747="","","T"&amp;TEXT(ROW()-6,"00000"))</f>
        <v/>
      </c>
      <c r="C747" s="65" t="str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61"/>
      <c r="E747" s="66"/>
      <c r="F747" s="67"/>
      <c r="G747" s="60"/>
      <c r="H747" s="60"/>
      <c r="I747" s="61"/>
      <c r="J747" s="61"/>
      <c r="K747" s="61"/>
      <c r="L747" s="73" t="str">
        <f>IF($E747="","",DATE(YEAR($E747),MONTH($E747),1))</f>
        <v/>
      </c>
      <c r="M747" s="65" t="str">
        <f ca="1">IF($D747="","",IF($C747="TANIMSIZ MÜŞTERİ","HATA",IF(OR($E747="",$F747&lt;=0,$G747=""),"EKSİK",IF($E747&gt;TODAY(),"İLERİ TARİH",IF(COUNTIF($S$7:$S$2503,$S747)&gt;1,"MÜKERRER?",IF($T747&gt;0,"KAPALI DÖNEM","UYGUN"))))))</f>
        <v/>
      </c>
      <c r="N747" s="74" t="str">
        <f>IF($C747="","",IF($C747="TANIMSIZ MÜŞTERİ","—",INDEX(MUSTERILER!$C$7:$C$156,MATCH($C747,MUSTERILER!$B$7:$B$156,0))))</f>
        <v/>
      </c>
      <c r="O747" s="2"/>
      <c r="P747" s="2"/>
      <c r="Q747" s="1" t="str">
        <f>IF($D747="","",$C747&amp;"|"&amp;COUNTIFS($C$7:$C747,$C747))</f>
        <v/>
      </c>
      <c r="R747" s="1" t="str">
        <f t="shared" si="22"/>
        <v/>
      </c>
      <c r="S747" s="1" t="str">
        <f t="shared" si="23"/>
        <v/>
      </c>
      <c r="T747" s="1">
        <f>IF($E747="",0,SUMPRODUCT((AY_SONU!$O$7:$O$42="Evet")*(AY_SONU!$B$7:$B$42=DATE(YEAR($E747),MONTH($E747),1))))</f>
        <v>0</v>
      </c>
      <c r="U747" s="1" t="str">
        <f>IF(OR($G747="",$H747="Mahsup"),"",$G747&amp;"|"&amp;COUNTIFS($G$7:$G747,$G747,$H$7:$H747,"&lt;&gt;Mahsup"))</f>
        <v/>
      </c>
    </row>
    <row r="748" spans="1:21" ht="18" customHeight="1" x14ac:dyDescent="0.3">
      <c r="A748" s="2"/>
      <c r="B748" s="65" t="str">
        <f>IF($D748="","","T"&amp;TEXT(ROW()-6,"00000"))</f>
        <v/>
      </c>
      <c r="C748" s="65" t="str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61"/>
      <c r="E748" s="66"/>
      <c r="F748" s="67"/>
      <c r="G748" s="60"/>
      <c r="H748" s="60"/>
      <c r="I748" s="61"/>
      <c r="J748" s="61"/>
      <c r="K748" s="61"/>
      <c r="L748" s="73" t="str">
        <f>IF($E748="","",DATE(YEAR($E748),MONTH($E748),1))</f>
        <v/>
      </c>
      <c r="M748" s="65" t="str">
        <f ca="1">IF($D748="","",IF($C748="TANIMSIZ MÜŞTERİ","HATA",IF(OR($E748="",$F748&lt;=0,$G748=""),"EKSİK",IF($E748&gt;TODAY(),"İLERİ TARİH",IF(COUNTIF($S$7:$S$2503,$S748)&gt;1,"MÜKERRER?",IF($T748&gt;0,"KAPALI DÖNEM","UYGUN"))))))</f>
        <v/>
      </c>
      <c r="N748" s="74" t="str">
        <f>IF($C748="","",IF($C748="TANIMSIZ MÜŞTERİ","—",INDEX(MUSTERILER!$C$7:$C$156,MATCH($C748,MUSTERILER!$B$7:$B$156,0))))</f>
        <v/>
      </c>
      <c r="O748" s="2"/>
      <c r="P748" s="2"/>
      <c r="Q748" s="1" t="str">
        <f>IF($D748="","",$C748&amp;"|"&amp;COUNTIFS($C$7:$C748,$C748))</f>
        <v/>
      </c>
      <c r="R748" s="1" t="str">
        <f t="shared" si="22"/>
        <v/>
      </c>
      <c r="S748" s="1" t="str">
        <f t="shared" si="23"/>
        <v/>
      </c>
      <c r="T748" s="1">
        <f>IF($E748="",0,SUMPRODUCT((AY_SONU!$O$7:$O$42="Evet")*(AY_SONU!$B$7:$B$42=DATE(YEAR($E748),MONTH($E748),1))))</f>
        <v>0</v>
      </c>
      <c r="U748" s="1" t="str">
        <f>IF(OR($G748="",$H748="Mahsup"),"",$G748&amp;"|"&amp;COUNTIFS($G$7:$G748,$G748,$H$7:$H748,"&lt;&gt;Mahsup"))</f>
        <v/>
      </c>
    </row>
    <row r="749" spans="1:21" ht="18" customHeight="1" x14ac:dyDescent="0.3">
      <c r="A749" s="2"/>
      <c r="B749" s="65" t="str">
        <f>IF($D749="","","T"&amp;TEXT(ROW()-6,"00000"))</f>
        <v/>
      </c>
      <c r="C749" s="65" t="str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61"/>
      <c r="E749" s="66"/>
      <c r="F749" s="67"/>
      <c r="G749" s="60"/>
      <c r="H749" s="60"/>
      <c r="I749" s="61"/>
      <c r="J749" s="61"/>
      <c r="K749" s="61"/>
      <c r="L749" s="73" t="str">
        <f>IF($E749="","",DATE(YEAR($E749),MONTH($E749),1))</f>
        <v/>
      </c>
      <c r="M749" s="65" t="str">
        <f ca="1">IF($D749="","",IF($C749="TANIMSIZ MÜŞTERİ","HATA",IF(OR($E749="",$F749&lt;=0,$G749=""),"EKSİK",IF($E749&gt;TODAY(),"İLERİ TARİH",IF(COUNTIF($S$7:$S$2503,$S749)&gt;1,"MÜKERRER?",IF($T749&gt;0,"KAPALI DÖNEM","UYGUN"))))))</f>
        <v/>
      </c>
      <c r="N749" s="74" t="str">
        <f>IF($C749="","",IF($C749="TANIMSIZ MÜŞTERİ","—",INDEX(MUSTERILER!$C$7:$C$156,MATCH($C749,MUSTERILER!$B$7:$B$156,0))))</f>
        <v/>
      </c>
      <c r="O749" s="2"/>
      <c r="P749" s="2"/>
      <c r="Q749" s="1" t="str">
        <f>IF($D749="","",$C749&amp;"|"&amp;COUNTIFS($C$7:$C749,$C749))</f>
        <v/>
      </c>
      <c r="R749" s="1" t="str">
        <f t="shared" si="22"/>
        <v/>
      </c>
      <c r="S749" s="1" t="str">
        <f t="shared" si="23"/>
        <v/>
      </c>
      <c r="T749" s="1">
        <f>IF($E749="",0,SUMPRODUCT((AY_SONU!$O$7:$O$42="Evet")*(AY_SONU!$B$7:$B$42=DATE(YEAR($E749),MONTH($E749),1))))</f>
        <v>0</v>
      </c>
      <c r="U749" s="1" t="str">
        <f>IF(OR($G749="",$H749="Mahsup"),"",$G749&amp;"|"&amp;COUNTIFS($G$7:$G749,$G749,$H$7:$H749,"&lt;&gt;Mahsup"))</f>
        <v/>
      </c>
    </row>
    <row r="750" spans="1:21" ht="18" customHeight="1" x14ac:dyDescent="0.3">
      <c r="A750" s="2"/>
      <c r="B750" s="65" t="str">
        <f>IF($D750="","","T"&amp;TEXT(ROW()-6,"00000"))</f>
        <v/>
      </c>
      <c r="C750" s="65" t="str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61"/>
      <c r="E750" s="66"/>
      <c r="F750" s="67"/>
      <c r="G750" s="60"/>
      <c r="H750" s="60"/>
      <c r="I750" s="61"/>
      <c r="J750" s="61"/>
      <c r="K750" s="61"/>
      <c r="L750" s="73" t="str">
        <f>IF($E750="","",DATE(YEAR($E750),MONTH($E750),1))</f>
        <v/>
      </c>
      <c r="M750" s="65" t="str">
        <f ca="1">IF($D750="","",IF($C750="TANIMSIZ MÜŞTERİ","HATA",IF(OR($E750="",$F750&lt;=0,$G750=""),"EKSİK",IF($E750&gt;TODAY(),"İLERİ TARİH",IF(COUNTIF($S$7:$S$2503,$S750)&gt;1,"MÜKERRER?",IF($T750&gt;0,"KAPALI DÖNEM","UYGUN"))))))</f>
        <v/>
      </c>
      <c r="N750" s="74" t="str">
        <f>IF($C750="","",IF($C750="TANIMSIZ MÜŞTERİ","—",INDEX(MUSTERILER!$C$7:$C$156,MATCH($C750,MUSTERILER!$B$7:$B$156,0))))</f>
        <v/>
      </c>
      <c r="O750" s="2"/>
      <c r="P750" s="2"/>
      <c r="Q750" s="1" t="str">
        <f>IF($D750="","",$C750&amp;"|"&amp;COUNTIFS($C$7:$C750,$C750))</f>
        <v/>
      </c>
      <c r="R750" s="1" t="str">
        <f t="shared" si="22"/>
        <v/>
      </c>
      <c r="S750" s="1" t="str">
        <f t="shared" si="23"/>
        <v/>
      </c>
      <c r="T750" s="1">
        <f>IF($E750="",0,SUMPRODUCT((AY_SONU!$O$7:$O$42="Evet")*(AY_SONU!$B$7:$B$42=DATE(YEAR($E750),MONTH($E750),1))))</f>
        <v>0</v>
      </c>
      <c r="U750" s="1" t="str">
        <f>IF(OR($G750="",$H750="Mahsup"),"",$G750&amp;"|"&amp;COUNTIFS($G$7:$G750,$G750,$H$7:$H750,"&lt;&gt;Mahsup"))</f>
        <v/>
      </c>
    </row>
    <row r="751" spans="1:21" ht="18" customHeight="1" x14ac:dyDescent="0.3">
      <c r="A751" s="2"/>
      <c r="B751" s="65" t="str">
        <f>IF($D751="","","T"&amp;TEXT(ROW()-6,"00000"))</f>
        <v/>
      </c>
      <c r="C751" s="65" t="str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61"/>
      <c r="E751" s="66"/>
      <c r="F751" s="67"/>
      <c r="G751" s="60"/>
      <c r="H751" s="60"/>
      <c r="I751" s="61"/>
      <c r="J751" s="61"/>
      <c r="K751" s="61"/>
      <c r="L751" s="73" t="str">
        <f>IF($E751="","",DATE(YEAR($E751),MONTH($E751),1))</f>
        <v/>
      </c>
      <c r="M751" s="65" t="str">
        <f ca="1">IF($D751="","",IF($C751="TANIMSIZ MÜŞTERİ","HATA",IF(OR($E751="",$F751&lt;=0,$G751=""),"EKSİK",IF($E751&gt;TODAY(),"İLERİ TARİH",IF(COUNTIF($S$7:$S$2503,$S751)&gt;1,"MÜKERRER?",IF($T751&gt;0,"KAPALI DÖNEM","UYGUN"))))))</f>
        <v/>
      </c>
      <c r="N751" s="74" t="str">
        <f>IF($C751="","",IF($C751="TANIMSIZ MÜŞTERİ","—",INDEX(MUSTERILER!$C$7:$C$156,MATCH($C751,MUSTERILER!$B$7:$B$156,0))))</f>
        <v/>
      </c>
      <c r="O751" s="2"/>
      <c r="P751" s="2"/>
      <c r="Q751" s="1" t="str">
        <f>IF($D751="","",$C751&amp;"|"&amp;COUNTIFS($C$7:$C751,$C751))</f>
        <v/>
      </c>
      <c r="R751" s="1" t="str">
        <f t="shared" si="22"/>
        <v/>
      </c>
      <c r="S751" s="1" t="str">
        <f t="shared" si="23"/>
        <v/>
      </c>
      <c r="T751" s="1">
        <f>IF($E751="",0,SUMPRODUCT((AY_SONU!$O$7:$O$42="Evet")*(AY_SONU!$B$7:$B$42=DATE(YEAR($E751),MONTH($E751),1))))</f>
        <v>0</v>
      </c>
      <c r="U751" s="1" t="str">
        <f>IF(OR($G751="",$H751="Mahsup"),"",$G751&amp;"|"&amp;COUNTIFS($G$7:$G751,$G751,$H$7:$H751,"&lt;&gt;Mahsup"))</f>
        <v/>
      </c>
    </row>
    <row r="752" spans="1:21" ht="18" customHeight="1" x14ac:dyDescent="0.3">
      <c r="A752" s="2"/>
      <c r="B752" s="65" t="str">
        <f>IF($D752="","","T"&amp;TEXT(ROW()-6,"00000"))</f>
        <v/>
      </c>
      <c r="C752" s="65" t="str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61"/>
      <c r="E752" s="66"/>
      <c r="F752" s="67"/>
      <c r="G752" s="60"/>
      <c r="H752" s="60"/>
      <c r="I752" s="61"/>
      <c r="J752" s="61"/>
      <c r="K752" s="61"/>
      <c r="L752" s="73" t="str">
        <f>IF($E752="","",DATE(YEAR($E752),MONTH($E752),1))</f>
        <v/>
      </c>
      <c r="M752" s="65" t="str">
        <f ca="1">IF($D752="","",IF($C752="TANIMSIZ MÜŞTERİ","HATA",IF(OR($E752="",$F752&lt;=0,$G752=""),"EKSİK",IF($E752&gt;TODAY(),"İLERİ TARİH",IF(COUNTIF($S$7:$S$2503,$S752)&gt;1,"MÜKERRER?",IF($T752&gt;0,"KAPALI DÖNEM","UYGUN"))))))</f>
        <v/>
      </c>
      <c r="N752" s="74" t="str">
        <f>IF($C752="","",IF($C752="TANIMSIZ MÜŞTERİ","—",INDEX(MUSTERILER!$C$7:$C$156,MATCH($C752,MUSTERILER!$B$7:$B$156,0))))</f>
        <v/>
      </c>
      <c r="O752" s="2"/>
      <c r="P752" s="2"/>
      <c r="Q752" s="1" t="str">
        <f>IF($D752="","",$C752&amp;"|"&amp;COUNTIFS($C$7:$C752,$C752))</f>
        <v/>
      </c>
      <c r="R752" s="1" t="str">
        <f t="shared" si="22"/>
        <v/>
      </c>
      <c r="S752" s="1" t="str">
        <f t="shared" si="23"/>
        <v/>
      </c>
      <c r="T752" s="1">
        <f>IF($E752="",0,SUMPRODUCT((AY_SONU!$O$7:$O$42="Evet")*(AY_SONU!$B$7:$B$42=DATE(YEAR($E752),MONTH($E752),1))))</f>
        <v>0</v>
      </c>
      <c r="U752" s="1" t="str">
        <f>IF(OR($G752="",$H752="Mahsup"),"",$G752&amp;"|"&amp;COUNTIFS($G$7:$G752,$G752,$H$7:$H752,"&lt;&gt;Mahsup"))</f>
        <v/>
      </c>
    </row>
    <row r="753" spans="1:21" ht="18" customHeight="1" x14ac:dyDescent="0.3">
      <c r="A753" s="2"/>
      <c r="B753" s="65" t="str">
        <f>IF($D753="","","T"&amp;TEXT(ROW()-6,"00000"))</f>
        <v/>
      </c>
      <c r="C753" s="65" t="str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61"/>
      <c r="E753" s="66"/>
      <c r="F753" s="67"/>
      <c r="G753" s="60"/>
      <c r="H753" s="60"/>
      <c r="I753" s="61"/>
      <c r="J753" s="61"/>
      <c r="K753" s="61"/>
      <c r="L753" s="73" t="str">
        <f>IF($E753="","",DATE(YEAR($E753),MONTH($E753),1))</f>
        <v/>
      </c>
      <c r="M753" s="65" t="str">
        <f ca="1">IF($D753="","",IF($C753="TANIMSIZ MÜŞTERİ","HATA",IF(OR($E753="",$F753&lt;=0,$G753=""),"EKSİK",IF($E753&gt;TODAY(),"İLERİ TARİH",IF(COUNTIF($S$7:$S$2503,$S753)&gt;1,"MÜKERRER?",IF($T753&gt;0,"KAPALI DÖNEM","UYGUN"))))))</f>
        <v/>
      </c>
      <c r="N753" s="74" t="str">
        <f>IF($C753="","",IF($C753="TANIMSIZ MÜŞTERİ","—",INDEX(MUSTERILER!$C$7:$C$156,MATCH($C753,MUSTERILER!$B$7:$B$156,0))))</f>
        <v/>
      </c>
      <c r="O753" s="2"/>
      <c r="P753" s="2"/>
      <c r="Q753" s="1" t="str">
        <f>IF($D753="","",$C753&amp;"|"&amp;COUNTIFS($C$7:$C753,$C753))</f>
        <v/>
      </c>
      <c r="R753" s="1" t="str">
        <f t="shared" si="22"/>
        <v/>
      </c>
      <c r="S753" s="1" t="str">
        <f t="shared" si="23"/>
        <v/>
      </c>
      <c r="T753" s="1">
        <f>IF($E753="",0,SUMPRODUCT((AY_SONU!$O$7:$O$42="Evet")*(AY_SONU!$B$7:$B$42=DATE(YEAR($E753),MONTH($E753),1))))</f>
        <v>0</v>
      </c>
      <c r="U753" s="1" t="str">
        <f>IF(OR($G753="",$H753="Mahsup"),"",$G753&amp;"|"&amp;COUNTIFS($G$7:$G753,$G753,$H$7:$H753,"&lt;&gt;Mahsup"))</f>
        <v/>
      </c>
    </row>
    <row r="754" spans="1:21" ht="18" customHeight="1" x14ac:dyDescent="0.3">
      <c r="A754" s="2"/>
      <c r="B754" s="65" t="str">
        <f>IF($D754="","","T"&amp;TEXT(ROW()-6,"00000"))</f>
        <v/>
      </c>
      <c r="C754" s="65" t="str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61"/>
      <c r="E754" s="66"/>
      <c r="F754" s="67"/>
      <c r="G754" s="60"/>
      <c r="H754" s="60"/>
      <c r="I754" s="61"/>
      <c r="J754" s="61"/>
      <c r="K754" s="61"/>
      <c r="L754" s="73" t="str">
        <f>IF($E754="","",DATE(YEAR($E754),MONTH($E754),1))</f>
        <v/>
      </c>
      <c r="M754" s="65" t="str">
        <f ca="1">IF($D754="","",IF($C754="TANIMSIZ MÜŞTERİ","HATA",IF(OR($E754="",$F754&lt;=0,$G754=""),"EKSİK",IF($E754&gt;TODAY(),"İLERİ TARİH",IF(COUNTIF($S$7:$S$2503,$S754)&gt;1,"MÜKERRER?",IF($T754&gt;0,"KAPALI DÖNEM","UYGUN"))))))</f>
        <v/>
      </c>
      <c r="N754" s="74" t="str">
        <f>IF($C754="","",IF($C754="TANIMSIZ MÜŞTERİ","—",INDEX(MUSTERILER!$C$7:$C$156,MATCH($C754,MUSTERILER!$B$7:$B$156,0))))</f>
        <v/>
      </c>
      <c r="O754" s="2"/>
      <c r="P754" s="2"/>
      <c r="Q754" s="1" t="str">
        <f>IF($D754="","",$C754&amp;"|"&amp;COUNTIFS($C$7:$C754,$C754))</f>
        <v/>
      </c>
      <c r="R754" s="1" t="str">
        <f t="shared" si="22"/>
        <v/>
      </c>
      <c r="S754" s="1" t="str">
        <f t="shared" si="23"/>
        <v/>
      </c>
      <c r="T754" s="1">
        <f>IF($E754="",0,SUMPRODUCT((AY_SONU!$O$7:$O$42="Evet")*(AY_SONU!$B$7:$B$42=DATE(YEAR($E754),MONTH($E754),1))))</f>
        <v>0</v>
      </c>
      <c r="U754" s="1" t="str">
        <f>IF(OR($G754="",$H754="Mahsup"),"",$G754&amp;"|"&amp;COUNTIFS($G$7:$G754,$G754,$H$7:$H754,"&lt;&gt;Mahsup"))</f>
        <v/>
      </c>
    </row>
    <row r="755" spans="1:21" ht="18" customHeight="1" x14ac:dyDescent="0.3">
      <c r="A755" s="2"/>
      <c r="B755" s="65" t="str">
        <f>IF($D755="","","T"&amp;TEXT(ROW()-6,"00000"))</f>
        <v/>
      </c>
      <c r="C755" s="65" t="str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61"/>
      <c r="E755" s="66"/>
      <c r="F755" s="67"/>
      <c r="G755" s="60"/>
      <c r="H755" s="60"/>
      <c r="I755" s="61"/>
      <c r="J755" s="61"/>
      <c r="K755" s="61"/>
      <c r="L755" s="73" t="str">
        <f>IF($E755="","",DATE(YEAR($E755),MONTH($E755),1))</f>
        <v/>
      </c>
      <c r="M755" s="65" t="str">
        <f ca="1">IF($D755="","",IF($C755="TANIMSIZ MÜŞTERİ","HATA",IF(OR($E755="",$F755&lt;=0,$G755=""),"EKSİK",IF($E755&gt;TODAY(),"İLERİ TARİH",IF(COUNTIF($S$7:$S$2503,$S755)&gt;1,"MÜKERRER?",IF($T755&gt;0,"KAPALI DÖNEM","UYGUN"))))))</f>
        <v/>
      </c>
      <c r="N755" s="74" t="str">
        <f>IF($C755="","",IF($C755="TANIMSIZ MÜŞTERİ","—",INDEX(MUSTERILER!$C$7:$C$156,MATCH($C755,MUSTERILER!$B$7:$B$156,0))))</f>
        <v/>
      </c>
      <c r="O755" s="2"/>
      <c r="P755" s="2"/>
      <c r="Q755" s="1" t="str">
        <f>IF($D755="","",$C755&amp;"|"&amp;COUNTIFS($C$7:$C755,$C755))</f>
        <v/>
      </c>
      <c r="R755" s="1" t="str">
        <f t="shared" si="22"/>
        <v/>
      </c>
      <c r="S755" s="1" t="str">
        <f t="shared" si="23"/>
        <v/>
      </c>
      <c r="T755" s="1">
        <f>IF($E755="",0,SUMPRODUCT((AY_SONU!$O$7:$O$42="Evet")*(AY_SONU!$B$7:$B$42=DATE(YEAR($E755),MONTH($E755),1))))</f>
        <v>0</v>
      </c>
      <c r="U755" s="1" t="str">
        <f>IF(OR($G755="",$H755="Mahsup"),"",$G755&amp;"|"&amp;COUNTIFS($G$7:$G755,$G755,$H$7:$H755,"&lt;&gt;Mahsup"))</f>
        <v/>
      </c>
    </row>
    <row r="756" spans="1:21" ht="18" customHeight="1" x14ac:dyDescent="0.3">
      <c r="A756" s="2"/>
      <c r="B756" s="65" t="str">
        <f>IF($D756="","","T"&amp;TEXT(ROW()-6,"00000"))</f>
        <v/>
      </c>
      <c r="C756" s="65" t="str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61"/>
      <c r="E756" s="66"/>
      <c r="F756" s="67"/>
      <c r="G756" s="60"/>
      <c r="H756" s="60"/>
      <c r="I756" s="61"/>
      <c r="J756" s="61"/>
      <c r="K756" s="61"/>
      <c r="L756" s="73" t="str">
        <f>IF($E756="","",DATE(YEAR($E756),MONTH($E756),1))</f>
        <v/>
      </c>
      <c r="M756" s="65" t="str">
        <f ca="1">IF($D756="","",IF($C756="TANIMSIZ MÜŞTERİ","HATA",IF(OR($E756="",$F756&lt;=0,$G756=""),"EKSİK",IF($E756&gt;TODAY(),"İLERİ TARİH",IF(COUNTIF($S$7:$S$2503,$S756)&gt;1,"MÜKERRER?",IF($T756&gt;0,"KAPALI DÖNEM","UYGUN"))))))</f>
        <v/>
      </c>
      <c r="N756" s="74" t="str">
        <f>IF($C756="","",IF($C756="TANIMSIZ MÜŞTERİ","—",INDEX(MUSTERILER!$C$7:$C$156,MATCH($C756,MUSTERILER!$B$7:$B$156,0))))</f>
        <v/>
      </c>
      <c r="O756" s="2"/>
      <c r="P756" s="2"/>
      <c r="Q756" s="1" t="str">
        <f>IF($D756="","",$C756&amp;"|"&amp;COUNTIFS($C$7:$C756,$C756))</f>
        <v/>
      </c>
      <c r="R756" s="1" t="str">
        <f t="shared" si="22"/>
        <v/>
      </c>
      <c r="S756" s="1" t="str">
        <f t="shared" si="23"/>
        <v/>
      </c>
      <c r="T756" s="1">
        <f>IF($E756="",0,SUMPRODUCT((AY_SONU!$O$7:$O$42="Evet")*(AY_SONU!$B$7:$B$42=DATE(YEAR($E756),MONTH($E756),1))))</f>
        <v>0</v>
      </c>
      <c r="U756" s="1" t="str">
        <f>IF(OR($G756="",$H756="Mahsup"),"",$G756&amp;"|"&amp;COUNTIFS($G$7:$G756,$G756,$H$7:$H756,"&lt;&gt;Mahsup"))</f>
        <v/>
      </c>
    </row>
    <row r="757" spans="1:21" ht="18" customHeight="1" x14ac:dyDescent="0.3">
      <c r="A757" s="2"/>
      <c r="B757" s="65" t="str">
        <f>IF($D757="","","T"&amp;TEXT(ROW()-6,"00000"))</f>
        <v/>
      </c>
      <c r="C757" s="65" t="str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61"/>
      <c r="E757" s="66"/>
      <c r="F757" s="67"/>
      <c r="G757" s="60"/>
      <c r="H757" s="60"/>
      <c r="I757" s="61"/>
      <c r="J757" s="61"/>
      <c r="K757" s="61"/>
      <c r="L757" s="73" t="str">
        <f>IF($E757="","",DATE(YEAR($E757),MONTH($E757),1))</f>
        <v/>
      </c>
      <c r="M757" s="65" t="str">
        <f ca="1">IF($D757="","",IF($C757="TANIMSIZ MÜŞTERİ","HATA",IF(OR($E757="",$F757&lt;=0,$G757=""),"EKSİK",IF($E757&gt;TODAY(),"İLERİ TARİH",IF(COUNTIF($S$7:$S$2503,$S757)&gt;1,"MÜKERRER?",IF($T757&gt;0,"KAPALI DÖNEM","UYGUN"))))))</f>
        <v/>
      </c>
      <c r="N757" s="74" t="str">
        <f>IF($C757="","",IF($C757="TANIMSIZ MÜŞTERİ","—",INDEX(MUSTERILER!$C$7:$C$156,MATCH($C757,MUSTERILER!$B$7:$B$156,0))))</f>
        <v/>
      </c>
      <c r="O757" s="2"/>
      <c r="P757" s="2"/>
      <c r="Q757" s="1" t="str">
        <f>IF($D757="","",$C757&amp;"|"&amp;COUNTIFS($C$7:$C757,$C757))</f>
        <v/>
      </c>
      <c r="R757" s="1" t="str">
        <f t="shared" si="22"/>
        <v/>
      </c>
      <c r="S757" s="1" t="str">
        <f t="shared" si="23"/>
        <v/>
      </c>
      <c r="T757" s="1">
        <f>IF($E757="",0,SUMPRODUCT((AY_SONU!$O$7:$O$42="Evet")*(AY_SONU!$B$7:$B$42=DATE(YEAR($E757),MONTH($E757),1))))</f>
        <v>0</v>
      </c>
      <c r="U757" s="1" t="str">
        <f>IF(OR($G757="",$H757="Mahsup"),"",$G757&amp;"|"&amp;COUNTIFS($G$7:$G757,$G757,$H$7:$H757,"&lt;&gt;Mahsup"))</f>
        <v/>
      </c>
    </row>
    <row r="758" spans="1:21" ht="18" customHeight="1" x14ac:dyDescent="0.3">
      <c r="A758" s="2"/>
      <c r="B758" s="65" t="str">
        <f>IF($D758="","","T"&amp;TEXT(ROW()-6,"00000"))</f>
        <v/>
      </c>
      <c r="C758" s="65" t="str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61"/>
      <c r="E758" s="66"/>
      <c r="F758" s="67"/>
      <c r="G758" s="60"/>
      <c r="H758" s="60"/>
      <c r="I758" s="61"/>
      <c r="J758" s="61"/>
      <c r="K758" s="61"/>
      <c r="L758" s="73" t="str">
        <f>IF($E758="","",DATE(YEAR($E758),MONTH($E758),1))</f>
        <v/>
      </c>
      <c r="M758" s="65" t="str">
        <f ca="1">IF($D758="","",IF($C758="TANIMSIZ MÜŞTERİ","HATA",IF(OR($E758="",$F758&lt;=0,$G758=""),"EKSİK",IF($E758&gt;TODAY(),"İLERİ TARİH",IF(COUNTIF($S$7:$S$2503,$S758)&gt;1,"MÜKERRER?",IF($T758&gt;0,"KAPALI DÖNEM","UYGUN"))))))</f>
        <v/>
      </c>
      <c r="N758" s="74" t="str">
        <f>IF($C758="","",IF($C758="TANIMSIZ MÜŞTERİ","—",INDEX(MUSTERILER!$C$7:$C$156,MATCH($C758,MUSTERILER!$B$7:$B$156,0))))</f>
        <v/>
      </c>
      <c r="O758" s="2"/>
      <c r="P758" s="2"/>
      <c r="Q758" s="1" t="str">
        <f>IF($D758="","",$C758&amp;"|"&amp;COUNTIFS($C$7:$C758,$C758))</f>
        <v/>
      </c>
      <c r="R758" s="1" t="str">
        <f t="shared" si="22"/>
        <v/>
      </c>
      <c r="S758" s="1" t="str">
        <f t="shared" si="23"/>
        <v/>
      </c>
      <c r="T758" s="1">
        <f>IF($E758="",0,SUMPRODUCT((AY_SONU!$O$7:$O$42="Evet")*(AY_SONU!$B$7:$B$42=DATE(YEAR($E758),MONTH($E758),1))))</f>
        <v>0</v>
      </c>
      <c r="U758" s="1" t="str">
        <f>IF(OR($G758="",$H758="Mahsup"),"",$G758&amp;"|"&amp;COUNTIFS($G$7:$G758,$G758,$H$7:$H758,"&lt;&gt;Mahsup"))</f>
        <v/>
      </c>
    </row>
    <row r="759" spans="1:21" ht="18" customHeight="1" x14ac:dyDescent="0.3">
      <c r="A759" s="2"/>
      <c r="B759" s="65" t="str">
        <f>IF($D759="","","T"&amp;TEXT(ROW()-6,"00000"))</f>
        <v/>
      </c>
      <c r="C759" s="65" t="str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61"/>
      <c r="E759" s="66"/>
      <c r="F759" s="67"/>
      <c r="G759" s="60"/>
      <c r="H759" s="60"/>
      <c r="I759" s="61"/>
      <c r="J759" s="61"/>
      <c r="K759" s="61"/>
      <c r="L759" s="73" t="str">
        <f>IF($E759="","",DATE(YEAR($E759),MONTH($E759),1))</f>
        <v/>
      </c>
      <c r="M759" s="65" t="str">
        <f ca="1">IF($D759="","",IF($C759="TANIMSIZ MÜŞTERİ","HATA",IF(OR($E759="",$F759&lt;=0,$G759=""),"EKSİK",IF($E759&gt;TODAY(),"İLERİ TARİH",IF(COUNTIF($S$7:$S$2503,$S759)&gt;1,"MÜKERRER?",IF($T759&gt;0,"KAPALI DÖNEM","UYGUN"))))))</f>
        <v/>
      </c>
      <c r="N759" s="74" t="str">
        <f>IF($C759="","",IF($C759="TANIMSIZ MÜŞTERİ","—",INDEX(MUSTERILER!$C$7:$C$156,MATCH($C759,MUSTERILER!$B$7:$B$156,0))))</f>
        <v/>
      </c>
      <c r="O759" s="2"/>
      <c r="P759" s="2"/>
      <c r="Q759" s="1" t="str">
        <f>IF($D759="","",$C759&amp;"|"&amp;COUNTIFS($C$7:$C759,$C759))</f>
        <v/>
      </c>
      <c r="R759" s="1" t="str">
        <f t="shared" si="22"/>
        <v/>
      </c>
      <c r="S759" s="1" t="str">
        <f t="shared" si="23"/>
        <v/>
      </c>
      <c r="T759" s="1">
        <f>IF($E759="",0,SUMPRODUCT((AY_SONU!$O$7:$O$42="Evet")*(AY_SONU!$B$7:$B$42=DATE(YEAR($E759),MONTH($E759),1))))</f>
        <v>0</v>
      </c>
      <c r="U759" s="1" t="str">
        <f>IF(OR($G759="",$H759="Mahsup"),"",$G759&amp;"|"&amp;COUNTIFS($G$7:$G759,$G759,$H$7:$H759,"&lt;&gt;Mahsup"))</f>
        <v/>
      </c>
    </row>
    <row r="760" spans="1:21" ht="18" customHeight="1" x14ac:dyDescent="0.3">
      <c r="A760" s="2"/>
      <c r="B760" s="65" t="str">
        <f>IF($D760="","","T"&amp;TEXT(ROW()-6,"00000"))</f>
        <v/>
      </c>
      <c r="C760" s="65" t="str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61"/>
      <c r="E760" s="66"/>
      <c r="F760" s="67"/>
      <c r="G760" s="60"/>
      <c r="H760" s="60"/>
      <c r="I760" s="61"/>
      <c r="J760" s="61"/>
      <c r="K760" s="61"/>
      <c r="L760" s="73" t="str">
        <f>IF($E760="","",DATE(YEAR($E760),MONTH($E760),1))</f>
        <v/>
      </c>
      <c r="M760" s="65" t="str">
        <f ca="1">IF($D760="","",IF($C760="TANIMSIZ MÜŞTERİ","HATA",IF(OR($E760="",$F760&lt;=0,$G760=""),"EKSİK",IF($E760&gt;TODAY(),"İLERİ TARİH",IF(COUNTIF($S$7:$S$2503,$S760)&gt;1,"MÜKERRER?",IF($T760&gt;0,"KAPALI DÖNEM","UYGUN"))))))</f>
        <v/>
      </c>
      <c r="N760" s="74" t="str">
        <f>IF($C760="","",IF($C760="TANIMSIZ MÜŞTERİ","—",INDEX(MUSTERILER!$C$7:$C$156,MATCH($C760,MUSTERILER!$B$7:$B$156,0))))</f>
        <v/>
      </c>
      <c r="O760" s="2"/>
      <c r="P760" s="2"/>
      <c r="Q760" s="1" t="str">
        <f>IF($D760="","",$C760&amp;"|"&amp;COUNTIFS($C$7:$C760,$C760))</f>
        <v/>
      </c>
      <c r="R760" s="1" t="str">
        <f t="shared" si="22"/>
        <v/>
      </c>
      <c r="S760" s="1" t="str">
        <f t="shared" si="23"/>
        <v/>
      </c>
      <c r="T760" s="1">
        <f>IF($E760="",0,SUMPRODUCT((AY_SONU!$O$7:$O$42="Evet")*(AY_SONU!$B$7:$B$42=DATE(YEAR($E760),MONTH($E760),1))))</f>
        <v>0</v>
      </c>
      <c r="U760" s="1" t="str">
        <f>IF(OR($G760="",$H760="Mahsup"),"",$G760&amp;"|"&amp;COUNTIFS($G$7:$G760,$G760,$H$7:$H760,"&lt;&gt;Mahsup"))</f>
        <v/>
      </c>
    </row>
    <row r="761" spans="1:21" ht="18" customHeight="1" x14ac:dyDescent="0.3">
      <c r="A761" s="2"/>
      <c r="B761" s="65" t="str">
        <f>IF($D761="","","T"&amp;TEXT(ROW()-6,"00000"))</f>
        <v/>
      </c>
      <c r="C761" s="65" t="str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61"/>
      <c r="E761" s="66"/>
      <c r="F761" s="67"/>
      <c r="G761" s="60"/>
      <c r="H761" s="60"/>
      <c r="I761" s="61"/>
      <c r="J761" s="61"/>
      <c r="K761" s="61"/>
      <c r="L761" s="73" t="str">
        <f>IF($E761="","",DATE(YEAR($E761),MONTH($E761),1))</f>
        <v/>
      </c>
      <c r="M761" s="65" t="str">
        <f ca="1">IF($D761="","",IF($C761="TANIMSIZ MÜŞTERİ","HATA",IF(OR($E761="",$F761&lt;=0,$G761=""),"EKSİK",IF($E761&gt;TODAY(),"İLERİ TARİH",IF(COUNTIF($S$7:$S$2503,$S761)&gt;1,"MÜKERRER?",IF($T761&gt;0,"KAPALI DÖNEM","UYGUN"))))))</f>
        <v/>
      </c>
      <c r="N761" s="74" t="str">
        <f>IF($C761="","",IF($C761="TANIMSIZ MÜŞTERİ","—",INDEX(MUSTERILER!$C$7:$C$156,MATCH($C761,MUSTERILER!$B$7:$B$156,0))))</f>
        <v/>
      </c>
      <c r="O761" s="2"/>
      <c r="P761" s="2"/>
      <c r="Q761" s="1" t="str">
        <f>IF($D761="","",$C761&amp;"|"&amp;COUNTIFS($C$7:$C761,$C761))</f>
        <v/>
      </c>
      <c r="R761" s="1" t="str">
        <f t="shared" si="22"/>
        <v/>
      </c>
      <c r="S761" s="1" t="str">
        <f t="shared" si="23"/>
        <v/>
      </c>
      <c r="T761" s="1">
        <f>IF($E761="",0,SUMPRODUCT((AY_SONU!$O$7:$O$42="Evet")*(AY_SONU!$B$7:$B$42=DATE(YEAR($E761),MONTH($E761),1))))</f>
        <v>0</v>
      </c>
      <c r="U761" s="1" t="str">
        <f>IF(OR($G761="",$H761="Mahsup"),"",$G761&amp;"|"&amp;COUNTIFS($G$7:$G761,$G761,$H$7:$H761,"&lt;&gt;Mahsup"))</f>
        <v/>
      </c>
    </row>
    <row r="762" spans="1:21" ht="18" customHeight="1" x14ac:dyDescent="0.3">
      <c r="A762" s="2"/>
      <c r="B762" s="65" t="str">
        <f>IF($D762="","","T"&amp;TEXT(ROW()-6,"00000"))</f>
        <v/>
      </c>
      <c r="C762" s="65" t="str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61"/>
      <c r="E762" s="66"/>
      <c r="F762" s="67"/>
      <c r="G762" s="60"/>
      <c r="H762" s="60"/>
      <c r="I762" s="61"/>
      <c r="J762" s="61"/>
      <c r="K762" s="61"/>
      <c r="L762" s="73" t="str">
        <f>IF($E762="","",DATE(YEAR($E762),MONTH($E762),1))</f>
        <v/>
      </c>
      <c r="M762" s="65" t="str">
        <f ca="1">IF($D762="","",IF($C762="TANIMSIZ MÜŞTERİ","HATA",IF(OR($E762="",$F762&lt;=0,$G762=""),"EKSİK",IF($E762&gt;TODAY(),"İLERİ TARİH",IF(COUNTIF($S$7:$S$2503,$S762)&gt;1,"MÜKERRER?",IF($T762&gt;0,"KAPALI DÖNEM","UYGUN"))))))</f>
        <v/>
      </c>
      <c r="N762" s="74" t="str">
        <f>IF($C762="","",IF($C762="TANIMSIZ MÜŞTERİ","—",INDEX(MUSTERILER!$C$7:$C$156,MATCH($C762,MUSTERILER!$B$7:$B$156,0))))</f>
        <v/>
      </c>
      <c r="O762" s="2"/>
      <c r="P762" s="2"/>
      <c r="Q762" s="1" t="str">
        <f>IF($D762="","",$C762&amp;"|"&amp;COUNTIFS($C$7:$C762,$C762))</f>
        <v/>
      </c>
      <c r="R762" s="1" t="str">
        <f t="shared" si="22"/>
        <v/>
      </c>
      <c r="S762" s="1" t="str">
        <f t="shared" si="23"/>
        <v/>
      </c>
      <c r="T762" s="1">
        <f>IF($E762="",0,SUMPRODUCT((AY_SONU!$O$7:$O$42="Evet")*(AY_SONU!$B$7:$B$42=DATE(YEAR($E762),MONTH($E762),1))))</f>
        <v>0</v>
      </c>
      <c r="U762" s="1" t="str">
        <f>IF(OR($G762="",$H762="Mahsup"),"",$G762&amp;"|"&amp;COUNTIFS($G$7:$G762,$G762,$H$7:$H762,"&lt;&gt;Mahsup"))</f>
        <v/>
      </c>
    </row>
    <row r="763" spans="1:21" ht="18" customHeight="1" x14ac:dyDescent="0.3">
      <c r="A763" s="2"/>
      <c r="B763" s="65" t="str">
        <f>IF($D763="","","T"&amp;TEXT(ROW()-6,"00000"))</f>
        <v/>
      </c>
      <c r="C763" s="65" t="str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61"/>
      <c r="E763" s="66"/>
      <c r="F763" s="67"/>
      <c r="G763" s="60"/>
      <c r="H763" s="60"/>
      <c r="I763" s="61"/>
      <c r="J763" s="61"/>
      <c r="K763" s="61"/>
      <c r="L763" s="73" t="str">
        <f>IF($E763="","",DATE(YEAR($E763),MONTH($E763),1))</f>
        <v/>
      </c>
      <c r="M763" s="65" t="str">
        <f ca="1">IF($D763="","",IF($C763="TANIMSIZ MÜŞTERİ","HATA",IF(OR($E763="",$F763&lt;=0,$G763=""),"EKSİK",IF($E763&gt;TODAY(),"İLERİ TARİH",IF(COUNTIF($S$7:$S$2503,$S763)&gt;1,"MÜKERRER?",IF($T763&gt;0,"KAPALI DÖNEM","UYGUN"))))))</f>
        <v/>
      </c>
      <c r="N763" s="74" t="str">
        <f>IF($C763="","",IF($C763="TANIMSIZ MÜŞTERİ","—",INDEX(MUSTERILER!$C$7:$C$156,MATCH($C763,MUSTERILER!$B$7:$B$156,0))))</f>
        <v/>
      </c>
      <c r="O763" s="2"/>
      <c r="P763" s="2"/>
      <c r="Q763" s="1" t="str">
        <f>IF($D763="","",$C763&amp;"|"&amp;COUNTIFS($C$7:$C763,$C763))</f>
        <v/>
      </c>
      <c r="R763" s="1" t="str">
        <f t="shared" si="22"/>
        <v/>
      </c>
      <c r="S763" s="1" t="str">
        <f t="shared" si="23"/>
        <v/>
      </c>
      <c r="T763" s="1">
        <f>IF($E763="",0,SUMPRODUCT((AY_SONU!$O$7:$O$42="Evet")*(AY_SONU!$B$7:$B$42=DATE(YEAR($E763),MONTH($E763),1))))</f>
        <v>0</v>
      </c>
      <c r="U763" s="1" t="str">
        <f>IF(OR($G763="",$H763="Mahsup"),"",$G763&amp;"|"&amp;COUNTIFS($G$7:$G763,$G763,$H$7:$H763,"&lt;&gt;Mahsup"))</f>
        <v/>
      </c>
    </row>
    <row r="764" spans="1:21" ht="18" customHeight="1" x14ac:dyDescent="0.3">
      <c r="A764" s="2"/>
      <c r="B764" s="65" t="str">
        <f>IF($D764="","","T"&amp;TEXT(ROW()-6,"00000"))</f>
        <v/>
      </c>
      <c r="C764" s="65" t="str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61"/>
      <c r="E764" s="66"/>
      <c r="F764" s="67"/>
      <c r="G764" s="60"/>
      <c r="H764" s="60"/>
      <c r="I764" s="61"/>
      <c r="J764" s="61"/>
      <c r="K764" s="61"/>
      <c r="L764" s="73" t="str">
        <f>IF($E764="","",DATE(YEAR($E764),MONTH($E764),1))</f>
        <v/>
      </c>
      <c r="M764" s="65" t="str">
        <f ca="1">IF($D764="","",IF($C764="TANIMSIZ MÜŞTERİ","HATA",IF(OR($E764="",$F764&lt;=0,$G764=""),"EKSİK",IF($E764&gt;TODAY(),"İLERİ TARİH",IF(COUNTIF($S$7:$S$2503,$S764)&gt;1,"MÜKERRER?",IF($T764&gt;0,"KAPALI DÖNEM","UYGUN"))))))</f>
        <v/>
      </c>
      <c r="N764" s="74" t="str">
        <f>IF($C764="","",IF($C764="TANIMSIZ MÜŞTERİ","—",INDEX(MUSTERILER!$C$7:$C$156,MATCH($C764,MUSTERILER!$B$7:$B$156,0))))</f>
        <v/>
      </c>
      <c r="O764" s="2"/>
      <c r="P764" s="2"/>
      <c r="Q764" s="1" t="str">
        <f>IF($D764="","",$C764&amp;"|"&amp;COUNTIFS($C$7:$C764,$C764))</f>
        <v/>
      </c>
      <c r="R764" s="1" t="str">
        <f t="shared" si="22"/>
        <v/>
      </c>
      <c r="S764" s="1" t="str">
        <f t="shared" si="23"/>
        <v/>
      </c>
      <c r="T764" s="1">
        <f>IF($E764="",0,SUMPRODUCT((AY_SONU!$O$7:$O$42="Evet")*(AY_SONU!$B$7:$B$42=DATE(YEAR($E764),MONTH($E764),1))))</f>
        <v>0</v>
      </c>
      <c r="U764" s="1" t="str">
        <f>IF(OR($G764="",$H764="Mahsup"),"",$G764&amp;"|"&amp;COUNTIFS($G$7:$G764,$G764,$H$7:$H764,"&lt;&gt;Mahsup"))</f>
        <v/>
      </c>
    </row>
    <row r="765" spans="1:21" ht="18" customHeight="1" x14ac:dyDescent="0.3">
      <c r="A765" s="2"/>
      <c r="B765" s="65" t="str">
        <f>IF($D765="","","T"&amp;TEXT(ROW()-6,"00000"))</f>
        <v/>
      </c>
      <c r="C765" s="65" t="str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61"/>
      <c r="E765" s="66"/>
      <c r="F765" s="67"/>
      <c r="G765" s="60"/>
      <c r="H765" s="60"/>
      <c r="I765" s="61"/>
      <c r="J765" s="61"/>
      <c r="K765" s="61"/>
      <c r="L765" s="73" t="str">
        <f>IF($E765="","",DATE(YEAR($E765),MONTH($E765),1))</f>
        <v/>
      </c>
      <c r="M765" s="65" t="str">
        <f ca="1">IF($D765="","",IF($C765="TANIMSIZ MÜŞTERİ","HATA",IF(OR($E765="",$F765&lt;=0,$G765=""),"EKSİK",IF($E765&gt;TODAY(),"İLERİ TARİH",IF(COUNTIF($S$7:$S$2503,$S765)&gt;1,"MÜKERRER?",IF($T765&gt;0,"KAPALI DÖNEM","UYGUN"))))))</f>
        <v/>
      </c>
      <c r="N765" s="74" t="str">
        <f>IF($C765="","",IF($C765="TANIMSIZ MÜŞTERİ","—",INDEX(MUSTERILER!$C$7:$C$156,MATCH($C765,MUSTERILER!$B$7:$B$156,0))))</f>
        <v/>
      </c>
      <c r="O765" s="2"/>
      <c r="P765" s="2"/>
      <c r="Q765" s="1" t="str">
        <f>IF($D765="","",$C765&amp;"|"&amp;COUNTIFS($C$7:$C765,$C765))</f>
        <v/>
      </c>
      <c r="R765" s="1" t="str">
        <f t="shared" si="22"/>
        <v/>
      </c>
      <c r="S765" s="1" t="str">
        <f t="shared" si="23"/>
        <v/>
      </c>
      <c r="T765" s="1">
        <f>IF($E765="",0,SUMPRODUCT((AY_SONU!$O$7:$O$42="Evet")*(AY_SONU!$B$7:$B$42=DATE(YEAR($E765),MONTH($E765),1))))</f>
        <v>0</v>
      </c>
      <c r="U765" s="1" t="str">
        <f>IF(OR($G765="",$H765="Mahsup"),"",$G765&amp;"|"&amp;COUNTIFS($G$7:$G765,$G765,$H$7:$H765,"&lt;&gt;Mahsup"))</f>
        <v/>
      </c>
    </row>
    <row r="766" spans="1:21" ht="18" customHeight="1" x14ac:dyDescent="0.3">
      <c r="A766" s="2"/>
      <c r="B766" s="65" t="str">
        <f>IF($D766="","","T"&amp;TEXT(ROW()-6,"00000"))</f>
        <v/>
      </c>
      <c r="C766" s="65" t="str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61"/>
      <c r="E766" s="66"/>
      <c r="F766" s="67"/>
      <c r="G766" s="60"/>
      <c r="H766" s="60"/>
      <c r="I766" s="61"/>
      <c r="J766" s="61"/>
      <c r="K766" s="61"/>
      <c r="L766" s="73" t="str">
        <f>IF($E766="","",DATE(YEAR($E766),MONTH($E766),1))</f>
        <v/>
      </c>
      <c r="M766" s="65" t="str">
        <f ca="1">IF($D766="","",IF($C766="TANIMSIZ MÜŞTERİ","HATA",IF(OR($E766="",$F766&lt;=0,$G766=""),"EKSİK",IF($E766&gt;TODAY(),"İLERİ TARİH",IF(COUNTIF($S$7:$S$2503,$S766)&gt;1,"MÜKERRER?",IF($T766&gt;0,"KAPALI DÖNEM","UYGUN"))))))</f>
        <v/>
      </c>
      <c r="N766" s="74" t="str">
        <f>IF($C766="","",IF($C766="TANIMSIZ MÜŞTERİ","—",INDEX(MUSTERILER!$C$7:$C$156,MATCH($C766,MUSTERILER!$B$7:$B$156,0))))</f>
        <v/>
      </c>
      <c r="O766" s="2"/>
      <c r="P766" s="2"/>
      <c r="Q766" s="1" t="str">
        <f>IF($D766="","",$C766&amp;"|"&amp;COUNTIFS($C$7:$C766,$C766))</f>
        <v/>
      </c>
      <c r="R766" s="1" t="str">
        <f t="shared" si="22"/>
        <v/>
      </c>
      <c r="S766" s="1" t="str">
        <f t="shared" si="23"/>
        <v/>
      </c>
      <c r="T766" s="1">
        <f>IF($E766="",0,SUMPRODUCT((AY_SONU!$O$7:$O$42="Evet")*(AY_SONU!$B$7:$B$42=DATE(YEAR($E766),MONTH($E766),1))))</f>
        <v>0</v>
      </c>
      <c r="U766" s="1" t="str">
        <f>IF(OR($G766="",$H766="Mahsup"),"",$G766&amp;"|"&amp;COUNTIFS($G$7:$G766,$G766,$H$7:$H766,"&lt;&gt;Mahsup"))</f>
        <v/>
      </c>
    </row>
    <row r="767" spans="1:21" ht="18" customHeight="1" x14ac:dyDescent="0.3">
      <c r="A767" s="2"/>
      <c r="B767" s="65" t="str">
        <f>IF($D767="","","T"&amp;TEXT(ROW()-6,"00000"))</f>
        <v/>
      </c>
      <c r="C767" s="65" t="str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61"/>
      <c r="E767" s="66"/>
      <c r="F767" s="67"/>
      <c r="G767" s="60"/>
      <c r="H767" s="60"/>
      <c r="I767" s="61"/>
      <c r="J767" s="61"/>
      <c r="K767" s="61"/>
      <c r="L767" s="73" t="str">
        <f>IF($E767="","",DATE(YEAR($E767),MONTH($E767),1))</f>
        <v/>
      </c>
      <c r="M767" s="65" t="str">
        <f ca="1">IF($D767="","",IF($C767="TANIMSIZ MÜŞTERİ","HATA",IF(OR($E767="",$F767&lt;=0,$G767=""),"EKSİK",IF($E767&gt;TODAY(),"İLERİ TARİH",IF(COUNTIF($S$7:$S$2503,$S767)&gt;1,"MÜKERRER?",IF($T767&gt;0,"KAPALI DÖNEM","UYGUN"))))))</f>
        <v/>
      </c>
      <c r="N767" s="74" t="str">
        <f>IF($C767="","",IF($C767="TANIMSIZ MÜŞTERİ","—",INDEX(MUSTERILER!$C$7:$C$156,MATCH($C767,MUSTERILER!$B$7:$B$156,0))))</f>
        <v/>
      </c>
      <c r="O767" s="2"/>
      <c r="P767" s="2"/>
      <c r="Q767" s="1" t="str">
        <f>IF($D767="","",$C767&amp;"|"&amp;COUNTIFS($C$7:$C767,$C767))</f>
        <v/>
      </c>
      <c r="R767" s="1" t="str">
        <f t="shared" si="22"/>
        <v/>
      </c>
      <c r="S767" s="1" t="str">
        <f t="shared" si="23"/>
        <v/>
      </c>
      <c r="T767" s="1">
        <f>IF($E767="",0,SUMPRODUCT((AY_SONU!$O$7:$O$42="Evet")*(AY_SONU!$B$7:$B$42=DATE(YEAR($E767),MONTH($E767),1))))</f>
        <v>0</v>
      </c>
      <c r="U767" s="1" t="str">
        <f>IF(OR($G767="",$H767="Mahsup"),"",$G767&amp;"|"&amp;COUNTIFS($G$7:$G767,$G767,$H$7:$H767,"&lt;&gt;Mahsup"))</f>
        <v/>
      </c>
    </row>
    <row r="768" spans="1:21" ht="18" customHeight="1" x14ac:dyDescent="0.3">
      <c r="A768" s="2"/>
      <c r="B768" s="65" t="str">
        <f>IF($D768="","","T"&amp;TEXT(ROW()-6,"00000"))</f>
        <v/>
      </c>
      <c r="C768" s="65" t="str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61"/>
      <c r="E768" s="66"/>
      <c r="F768" s="67"/>
      <c r="G768" s="60"/>
      <c r="H768" s="60"/>
      <c r="I768" s="61"/>
      <c r="J768" s="61"/>
      <c r="K768" s="61"/>
      <c r="L768" s="73" t="str">
        <f>IF($E768="","",DATE(YEAR($E768),MONTH($E768),1))</f>
        <v/>
      </c>
      <c r="M768" s="65" t="str">
        <f ca="1">IF($D768="","",IF($C768="TANIMSIZ MÜŞTERİ","HATA",IF(OR($E768="",$F768&lt;=0,$G768=""),"EKSİK",IF($E768&gt;TODAY(),"İLERİ TARİH",IF(COUNTIF($S$7:$S$2503,$S768)&gt;1,"MÜKERRER?",IF($T768&gt;0,"KAPALI DÖNEM","UYGUN"))))))</f>
        <v/>
      </c>
      <c r="N768" s="74" t="str">
        <f>IF($C768="","",IF($C768="TANIMSIZ MÜŞTERİ","—",INDEX(MUSTERILER!$C$7:$C$156,MATCH($C768,MUSTERILER!$B$7:$B$156,0))))</f>
        <v/>
      </c>
      <c r="O768" s="2"/>
      <c r="P768" s="2"/>
      <c r="Q768" s="1" t="str">
        <f>IF($D768="","",$C768&amp;"|"&amp;COUNTIFS($C$7:$C768,$C768))</f>
        <v/>
      </c>
      <c r="R768" s="1" t="str">
        <f t="shared" si="22"/>
        <v/>
      </c>
      <c r="S768" s="1" t="str">
        <f t="shared" si="23"/>
        <v/>
      </c>
      <c r="T768" s="1">
        <f>IF($E768="",0,SUMPRODUCT((AY_SONU!$O$7:$O$42="Evet")*(AY_SONU!$B$7:$B$42=DATE(YEAR($E768),MONTH($E768),1))))</f>
        <v>0</v>
      </c>
      <c r="U768" s="1" t="str">
        <f>IF(OR($G768="",$H768="Mahsup"),"",$G768&amp;"|"&amp;COUNTIFS($G$7:$G768,$G768,$H$7:$H768,"&lt;&gt;Mahsup"))</f>
        <v/>
      </c>
    </row>
    <row r="769" spans="1:21" ht="18" customHeight="1" x14ac:dyDescent="0.3">
      <c r="A769" s="2"/>
      <c r="B769" s="65" t="str">
        <f>IF($D769="","","T"&amp;TEXT(ROW()-6,"00000"))</f>
        <v/>
      </c>
      <c r="C769" s="65" t="str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61"/>
      <c r="E769" s="66"/>
      <c r="F769" s="67"/>
      <c r="G769" s="60"/>
      <c r="H769" s="60"/>
      <c r="I769" s="61"/>
      <c r="J769" s="61"/>
      <c r="K769" s="61"/>
      <c r="L769" s="73" t="str">
        <f>IF($E769="","",DATE(YEAR($E769),MONTH($E769),1))</f>
        <v/>
      </c>
      <c r="M769" s="65" t="str">
        <f ca="1">IF($D769="","",IF($C769="TANIMSIZ MÜŞTERİ","HATA",IF(OR($E769="",$F769&lt;=0,$G769=""),"EKSİK",IF($E769&gt;TODAY(),"İLERİ TARİH",IF(COUNTIF($S$7:$S$2503,$S769)&gt;1,"MÜKERRER?",IF($T769&gt;0,"KAPALI DÖNEM","UYGUN"))))))</f>
        <v/>
      </c>
      <c r="N769" s="74" t="str">
        <f>IF($C769="","",IF($C769="TANIMSIZ MÜŞTERİ","—",INDEX(MUSTERILER!$C$7:$C$156,MATCH($C769,MUSTERILER!$B$7:$B$156,0))))</f>
        <v/>
      </c>
      <c r="O769" s="2"/>
      <c r="P769" s="2"/>
      <c r="Q769" s="1" t="str">
        <f>IF($D769="","",$C769&amp;"|"&amp;COUNTIFS($C$7:$C769,$C769))</f>
        <v/>
      </c>
      <c r="R769" s="1" t="str">
        <f t="shared" si="22"/>
        <v/>
      </c>
      <c r="S769" s="1" t="str">
        <f t="shared" si="23"/>
        <v/>
      </c>
      <c r="T769" s="1">
        <f>IF($E769="",0,SUMPRODUCT((AY_SONU!$O$7:$O$42="Evet")*(AY_SONU!$B$7:$B$42=DATE(YEAR($E769),MONTH($E769),1))))</f>
        <v>0</v>
      </c>
      <c r="U769" s="1" t="str">
        <f>IF(OR($G769="",$H769="Mahsup"),"",$G769&amp;"|"&amp;COUNTIFS($G$7:$G769,$G769,$H$7:$H769,"&lt;&gt;Mahsup"))</f>
        <v/>
      </c>
    </row>
    <row r="770" spans="1:21" ht="18" customHeight="1" x14ac:dyDescent="0.3">
      <c r="A770" s="2"/>
      <c r="B770" s="65" t="str">
        <f>IF($D770="","","T"&amp;TEXT(ROW()-6,"00000"))</f>
        <v/>
      </c>
      <c r="C770" s="65" t="str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61"/>
      <c r="E770" s="66"/>
      <c r="F770" s="67"/>
      <c r="G770" s="60"/>
      <c r="H770" s="60"/>
      <c r="I770" s="61"/>
      <c r="J770" s="61"/>
      <c r="K770" s="61"/>
      <c r="L770" s="73" t="str">
        <f>IF($E770="","",DATE(YEAR($E770),MONTH($E770),1))</f>
        <v/>
      </c>
      <c r="M770" s="65" t="str">
        <f ca="1">IF($D770="","",IF($C770="TANIMSIZ MÜŞTERİ","HATA",IF(OR($E770="",$F770&lt;=0,$G770=""),"EKSİK",IF($E770&gt;TODAY(),"İLERİ TARİH",IF(COUNTIF($S$7:$S$2503,$S770)&gt;1,"MÜKERRER?",IF($T770&gt;0,"KAPALI DÖNEM","UYGUN"))))))</f>
        <v/>
      </c>
      <c r="N770" s="74" t="str">
        <f>IF($C770="","",IF($C770="TANIMSIZ MÜŞTERİ","—",INDEX(MUSTERILER!$C$7:$C$156,MATCH($C770,MUSTERILER!$B$7:$B$156,0))))</f>
        <v/>
      </c>
      <c r="O770" s="2"/>
      <c r="P770" s="2"/>
      <c r="Q770" s="1" t="str">
        <f>IF($D770="","",$C770&amp;"|"&amp;COUNTIFS($C$7:$C770,$C770))</f>
        <v/>
      </c>
      <c r="R770" s="1" t="str">
        <f t="shared" si="22"/>
        <v/>
      </c>
      <c r="S770" s="1" t="str">
        <f t="shared" si="23"/>
        <v/>
      </c>
      <c r="T770" s="1">
        <f>IF($E770="",0,SUMPRODUCT((AY_SONU!$O$7:$O$42="Evet")*(AY_SONU!$B$7:$B$42=DATE(YEAR($E770),MONTH($E770),1))))</f>
        <v>0</v>
      </c>
      <c r="U770" s="1" t="str">
        <f>IF(OR($G770="",$H770="Mahsup"),"",$G770&amp;"|"&amp;COUNTIFS($G$7:$G770,$G770,$H$7:$H770,"&lt;&gt;Mahsup"))</f>
        <v/>
      </c>
    </row>
    <row r="771" spans="1:21" ht="18" customHeight="1" x14ac:dyDescent="0.3">
      <c r="A771" s="2"/>
      <c r="B771" s="65" t="str">
        <f>IF($D771="","","T"&amp;TEXT(ROW()-6,"00000"))</f>
        <v/>
      </c>
      <c r="C771" s="65" t="str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61"/>
      <c r="E771" s="66"/>
      <c r="F771" s="67"/>
      <c r="G771" s="60"/>
      <c r="H771" s="60"/>
      <c r="I771" s="61"/>
      <c r="J771" s="61"/>
      <c r="K771" s="61"/>
      <c r="L771" s="73" t="str">
        <f>IF($E771="","",DATE(YEAR($E771),MONTH($E771),1))</f>
        <v/>
      </c>
      <c r="M771" s="65" t="str">
        <f ca="1">IF($D771="","",IF($C771="TANIMSIZ MÜŞTERİ","HATA",IF(OR($E771="",$F771&lt;=0,$G771=""),"EKSİK",IF($E771&gt;TODAY(),"İLERİ TARİH",IF(COUNTIF($S$7:$S$2503,$S771)&gt;1,"MÜKERRER?",IF($T771&gt;0,"KAPALI DÖNEM","UYGUN"))))))</f>
        <v/>
      </c>
      <c r="N771" s="74" t="str">
        <f>IF($C771="","",IF($C771="TANIMSIZ MÜŞTERİ","—",INDEX(MUSTERILER!$C$7:$C$156,MATCH($C771,MUSTERILER!$B$7:$B$156,0))))</f>
        <v/>
      </c>
      <c r="O771" s="2"/>
      <c r="P771" s="2"/>
      <c r="Q771" s="1" t="str">
        <f>IF($D771="","",$C771&amp;"|"&amp;COUNTIFS($C$7:$C771,$C771))</f>
        <v/>
      </c>
      <c r="R771" s="1" t="str">
        <f t="shared" si="22"/>
        <v/>
      </c>
      <c r="S771" s="1" t="str">
        <f t="shared" si="23"/>
        <v/>
      </c>
      <c r="T771" s="1">
        <f>IF($E771="",0,SUMPRODUCT((AY_SONU!$O$7:$O$42="Evet")*(AY_SONU!$B$7:$B$42=DATE(YEAR($E771),MONTH($E771),1))))</f>
        <v>0</v>
      </c>
      <c r="U771" s="1" t="str">
        <f>IF(OR($G771="",$H771="Mahsup"),"",$G771&amp;"|"&amp;COUNTIFS($G$7:$G771,$G771,$H$7:$H771,"&lt;&gt;Mahsup"))</f>
        <v/>
      </c>
    </row>
    <row r="772" spans="1:21" ht="18" customHeight="1" x14ac:dyDescent="0.3">
      <c r="A772" s="2"/>
      <c r="B772" s="65" t="str">
        <f>IF($D772="","","T"&amp;TEXT(ROW()-6,"00000"))</f>
        <v/>
      </c>
      <c r="C772" s="65" t="str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61"/>
      <c r="E772" s="66"/>
      <c r="F772" s="67"/>
      <c r="G772" s="60"/>
      <c r="H772" s="60"/>
      <c r="I772" s="61"/>
      <c r="J772" s="61"/>
      <c r="K772" s="61"/>
      <c r="L772" s="73" t="str">
        <f>IF($E772="","",DATE(YEAR($E772),MONTH($E772),1))</f>
        <v/>
      </c>
      <c r="M772" s="65" t="str">
        <f ca="1">IF($D772="","",IF($C772="TANIMSIZ MÜŞTERİ","HATA",IF(OR($E772="",$F772&lt;=0,$G772=""),"EKSİK",IF($E772&gt;TODAY(),"İLERİ TARİH",IF(COUNTIF($S$7:$S$2503,$S772)&gt;1,"MÜKERRER?",IF($T772&gt;0,"KAPALI DÖNEM","UYGUN"))))))</f>
        <v/>
      </c>
      <c r="N772" s="74" t="str">
        <f>IF($C772="","",IF($C772="TANIMSIZ MÜŞTERİ","—",INDEX(MUSTERILER!$C$7:$C$156,MATCH($C772,MUSTERILER!$B$7:$B$156,0))))</f>
        <v/>
      </c>
      <c r="O772" s="2"/>
      <c r="P772" s="2"/>
      <c r="Q772" s="1" t="str">
        <f>IF($D772="","",$C772&amp;"|"&amp;COUNTIFS($C$7:$C772,$C772))</f>
        <v/>
      </c>
      <c r="R772" s="1" t="str">
        <f t="shared" si="22"/>
        <v/>
      </c>
      <c r="S772" s="1" t="str">
        <f t="shared" si="23"/>
        <v/>
      </c>
      <c r="T772" s="1">
        <f>IF($E772="",0,SUMPRODUCT((AY_SONU!$O$7:$O$42="Evet")*(AY_SONU!$B$7:$B$42=DATE(YEAR($E772),MONTH($E772),1))))</f>
        <v>0</v>
      </c>
      <c r="U772" s="1" t="str">
        <f>IF(OR($G772="",$H772="Mahsup"),"",$G772&amp;"|"&amp;COUNTIFS($G$7:$G772,$G772,$H$7:$H772,"&lt;&gt;Mahsup"))</f>
        <v/>
      </c>
    </row>
    <row r="773" spans="1:21" ht="18" customHeight="1" x14ac:dyDescent="0.3">
      <c r="A773" s="2"/>
      <c r="B773" s="65" t="str">
        <f>IF($D773="","","T"&amp;TEXT(ROW()-6,"00000"))</f>
        <v/>
      </c>
      <c r="C773" s="65" t="str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61"/>
      <c r="E773" s="66"/>
      <c r="F773" s="67"/>
      <c r="G773" s="60"/>
      <c r="H773" s="60"/>
      <c r="I773" s="61"/>
      <c r="J773" s="61"/>
      <c r="K773" s="61"/>
      <c r="L773" s="73" t="str">
        <f>IF($E773="","",DATE(YEAR($E773),MONTH($E773),1))</f>
        <v/>
      </c>
      <c r="M773" s="65" t="str">
        <f ca="1">IF($D773="","",IF($C773="TANIMSIZ MÜŞTERİ","HATA",IF(OR($E773="",$F773&lt;=0,$G773=""),"EKSİK",IF($E773&gt;TODAY(),"İLERİ TARİH",IF(COUNTIF($S$7:$S$2503,$S773)&gt;1,"MÜKERRER?",IF($T773&gt;0,"KAPALI DÖNEM","UYGUN"))))))</f>
        <v/>
      </c>
      <c r="N773" s="74" t="str">
        <f>IF($C773="","",IF($C773="TANIMSIZ MÜŞTERİ","—",INDEX(MUSTERILER!$C$7:$C$156,MATCH($C773,MUSTERILER!$B$7:$B$156,0))))</f>
        <v/>
      </c>
      <c r="O773" s="2"/>
      <c r="P773" s="2"/>
      <c r="Q773" s="1" t="str">
        <f>IF($D773="","",$C773&amp;"|"&amp;COUNTIFS($C$7:$C773,$C773))</f>
        <v/>
      </c>
      <c r="R773" s="1" t="str">
        <f t="shared" si="22"/>
        <v/>
      </c>
      <c r="S773" s="1" t="str">
        <f t="shared" si="23"/>
        <v/>
      </c>
      <c r="T773" s="1">
        <f>IF($E773="",0,SUMPRODUCT((AY_SONU!$O$7:$O$42="Evet")*(AY_SONU!$B$7:$B$42=DATE(YEAR($E773),MONTH($E773),1))))</f>
        <v>0</v>
      </c>
      <c r="U773" s="1" t="str">
        <f>IF(OR($G773="",$H773="Mahsup"),"",$G773&amp;"|"&amp;COUNTIFS($G$7:$G773,$G773,$H$7:$H773,"&lt;&gt;Mahsup"))</f>
        <v/>
      </c>
    </row>
    <row r="774" spans="1:21" ht="18" customHeight="1" x14ac:dyDescent="0.3">
      <c r="A774" s="2"/>
      <c r="B774" s="65" t="str">
        <f>IF($D774="","","T"&amp;TEXT(ROW()-6,"00000"))</f>
        <v/>
      </c>
      <c r="C774" s="65" t="str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61"/>
      <c r="E774" s="66"/>
      <c r="F774" s="67"/>
      <c r="G774" s="60"/>
      <c r="H774" s="60"/>
      <c r="I774" s="61"/>
      <c r="J774" s="61"/>
      <c r="K774" s="61"/>
      <c r="L774" s="73" t="str">
        <f>IF($E774="","",DATE(YEAR($E774),MONTH($E774),1))</f>
        <v/>
      </c>
      <c r="M774" s="65" t="str">
        <f ca="1">IF($D774="","",IF($C774="TANIMSIZ MÜŞTERİ","HATA",IF(OR($E774="",$F774&lt;=0,$G774=""),"EKSİK",IF($E774&gt;TODAY(),"İLERİ TARİH",IF(COUNTIF($S$7:$S$2503,$S774)&gt;1,"MÜKERRER?",IF($T774&gt;0,"KAPALI DÖNEM","UYGUN"))))))</f>
        <v/>
      </c>
      <c r="N774" s="74" t="str">
        <f>IF($C774="","",IF($C774="TANIMSIZ MÜŞTERİ","—",INDEX(MUSTERILER!$C$7:$C$156,MATCH($C774,MUSTERILER!$B$7:$B$156,0))))</f>
        <v/>
      </c>
      <c r="O774" s="2"/>
      <c r="P774" s="2"/>
      <c r="Q774" s="1" t="str">
        <f>IF($D774="","",$C774&amp;"|"&amp;COUNTIFS($C$7:$C774,$C774))</f>
        <v/>
      </c>
      <c r="R774" s="1" t="str">
        <f t="shared" si="22"/>
        <v/>
      </c>
      <c r="S774" s="1" t="str">
        <f t="shared" si="23"/>
        <v/>
      </c>
      <c r="T774" s="1">
        <f>IF($E774="",0,SUMPRODUCT((AY_SONU!$O$7:$O$42="Evet")*(AY_SONU!$B$7:$B$42=DATE(YEAR($E774),MONTH($E774),1))))</f>
        <v>0</v>
      </c>
      <c r="U774" s="1" t="str">
        <f>IF(OR($G774="",$H774="Mahsup"),"",$G774&amp;"|"&amp;COUNTIFS($G$7:$G774,$G774,$H$7:$H774,"&lt;&gt;Mahsup"))</f>
        <v/>
      </c>
    </row>
    <row r="775" spans="1:21" ht="18" customHeight="1" x14ac:dyDescent="0.3">
      <c r="A775" s="2"/>
      <c r="B775" s="65" t="str">
        <f>IF($D775="","","T"&amp;TEXT(ROW()-6,"00000"))</f>
        <v/>
      </c>
      <c r="C775" s="65" t="str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61"/>
      <c r="E775" s="66"/>
      <c r="F775" s="67"/>
      <c r="G775" s="60"/>
      <c r="H775" s="60"/>
      <c r="I775" s="61"/>
      <c r="J775" s="61"/>
      <c r="K775" s="61"/>
      <c r="L775" s="73" t="str">
        <f>IF($E775="","",DATE(YEAR($E775),MONTH($E775),1))</f>
        <v/>
      </c>
      <c r="M775" s="65" t="str">
        <f ca="1">IF($D775="","",IF($C775="TANIMSIZ MÜŞTERİ","HATA",IF(OR($E775="",$F775&lt;=0,$G775=""),"EKSİK",IF($E775&gt;TODAY(),"İLERİ TARİH",IF(COUNTIF($S$7:$S$2503,$S775)&gt;1,"MÜKERRER?",IF($T775&gt;0,"KAPALI DÖNEM","UYGUN"))))))</f>
        <v/>
      </c>
      <c r="N775" s="74" t="str">
        <f>IF($C775="","",IF($C775="TANIMSIZ MÜŞTERİ","—",INDEX(MUSTERILER!$C$7:$C$156,MATCH($C775,MUSTERILER!$B$7:$B$156,0))))</f>
        <v/>
      </c>
      <c r="O775" s="2"/>
      <c r="P775" s="2"/>
      <c r="Q775" s="1" t="str">
        <f>IF($D775="","",$C775&amp;"|"&amp;COUNTIFS($C$7:$C775,$C775))</f>
        <v/>
      </c>
      <c r="R775" s="1" t="str">
        <f t="shared" ref="R775:R838" si="24"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" t="str">
        <f t="shared" ref="S775:S838" si="25">IF($D775="","",$C775&amp;"|"&amp;TEXT($E775,"0")&amp;"|"&amp;TEXT($F775,"0")&amp;"|"&amp;$I775)</f>
        <v/>
      </c>
      <c r="T775" s="1">
        <f>IF($E775="",0,SUMPRODUCT((AY_SONU!$O$7:$O$42="Evet")*(AY_SONU!$B$7:$B$42=DATE(YEAR($E775),MONTH($E775),1))))</f>
        <v>0</v>
      </c>
      <c r="U775" s="1" t="str">
        <f>IF(OR($G775="",$H775="Mahsup"),"",$G775&amp;"|"&amp;COUNTIFS($G$7:$G775,$G775,$H$7:$H775,"&lt;&gt;Mahsup"))</f>
        <v/>
      </c>
    </row>
    <row r="776" spans="1:21" ht="18" customHeight="1" x14ac:dyDescent="0.3">
      <c r="A776" s="2"/>
      <c r="B776" s="65" t="str">
        <f>IF($D776="","","T"&amp;TEXT(ROW()-6,"00000"))</f>
        <v/>
      </c>
      <c r="C776" s="65" t="str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61"/>
      <c r="E776" s="66"/>
      <c r="F776" s="67"/>
      <c r="G776" s="60"/>
      <c r="H776" s="60"/>
      <c r="I776" s="61"/>
      <c r="J776" s="61"/>
      <c r="K776" s="61"/>
      <c r="L776" s="73" t="str">
        <f>IF($E776="","",DATE(YEAR($E776),MONTH($E776),1))</f>
        <v/>
      </c>
      <c r="M776" s="65" t="str">
        <f ca="1">IF($D776="","",IF($C776="TANIMSIZ MÜŞTERİ","HATA",IF(OR($E776="",$F776&lt;=0,$G776=""),"EKSİK",IF($E776&gt;TODAY(),"İLERİ TARİH",IF(COUNTIF($S$7:$S$2503,$S776)&gt;1,"MÜKERRER?",IF($T776&gt;0,"KAPALI DÖNEM","UYGUN"))))))</f>
        <v/>
      </c>
      <c r="N776" s="74" t="str">
        <f>IF($C776="","",IF($C776="TANIMSIZ MÜŞTERİ","—",INDEX(MUSTERILER!$C$7:$C$156,MATCH($C776,MUSTERILER!$B$7:$B$156,0))))</f>
        <v/>
      </c>
      <c r="O776" s="2"/>
      <c r="P776" s="2"/>
      <c r="Q776" s="1" t="str">
        <f>IF($D776="","",$C776&amp;"|"&amp;COUNTIFS($C$7:$C776,$C776))</f>
        <v/>
      </c>
      <c r="R776" s="1" t="str">
        <f t="shared" si="24"/>
        <v/>
      </c>
      <c r="S776" s="1" t="str">
        <f t="shared" si="25"/>
        <v/>
      </c>
      <c r="T776" s="1">
        <f>IF($E776="",0,SUMPRODUCT((AY_SONU!$O$7:$O$42="Evet")*(AY_SONU!$B$7:$B$42=DATE(YEAR($E776),MONTH($E776),1))))</f>
        <v>0</v>
      </c>
      <c r="U776" s="1" t="str">
        <f>IF(OR($G776="",$H776="Mahsup"),"",$G776&amp;"|"&amp;COUNTIFS($G$7:$G776,$G776,$H$7:$H776,"&lt;&gt;Mahsup"))</f>
        <v/>
      </c>
    </row>
    <row r="777" spans="1:21" ht="18" customHeight="1" x14ac:dyDescent="0.3">
      <c r="A777" s="2"/>
      <c r="B777" s="65" t="str">
        <f>IF($D777="","","T"&amp;TEXT(ROW()-6,"00000"))</f>
        <v/>
      </c>
      <c r="C777" s="65" t="str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61"/>
      <c r="E777" s="66"/>
      <c r="F777" s="67"/>
      <c r="G777" s="60"/>
      <c r="H777" s="60"/>
      <c r="I777" s="61"/>
      <c r="J777" s="61"/>
      <c r="K777" s="61"/>
      <c r="L777" s="73" t="str">
        <f>IF($E777="","",DATE(YEAR($E777),MONTH($E777),1))</f>
        <v/>
      </c>
      <c r="M777" s="65" t="str">
        <f ca="1">IF($D777="","",IF($C777="TANIMSIZ MÜŞTERİ","HATA",IF(OR($E777="",$F777&lt;=0,$G777=""),"EKSİK",IF($E777&gt;TODAY(),"İLERİ TARİH",IF(COUNTIF($S$7:$S$2503,$S777)&gt;1,"MÜKERRER?",IF($T777&gt;0,"KAPALI DÖNEM","UYGUN"))))))</f>
        <v/>
      </c>
      <c r="N777" s="74" t="str">
        <f>IF($C777="","",IF($C777="TANIMSIZ MÜŞTERİ","—",INDEX(MUSTERILER!$C$7:$C$156,MATCH($C777,MUSTERILER!$B$7:$B$156,0))))</f>
        <v/>
      </c>
      <c r="O777" s="2"/>
      <c r="P777" s="2"/>
      <c r="Q777" s="1" t="str">
        <f>IF($D777="","",$C777&amp;"|"&amp;COUNTIFS($C$7:$C777,$C777))</f>
        <v/>
      </c>
      <c r="R777" s="1" t="str">
        <f t="shared" si="24"/>
        <v/>
      </c>
      <c r="S777" s="1" t="str">
        <f t="shared" si="25"/>
        <v/>
      </c>
      <c r="T777" s="1">
        <f>IF($E777="",0,SUMPRODUCT((AY_SONU!$O$7:$O$42="Evet")*(AY_SONU!$B$7:$B$42=DATE(YEAR($E777),MONTH($E777),1))))</f>
        <v>0</v>
      </c>
      <c r="U777" s="1" t="str">
        <f>IF(OR($G777="",$H777="Mahsup"),"",$G777&amp;"|"&amp;COUNTIFS($G$7:$G777,$G777,$H$7:$H777,"&lt;&gt;Mahsup"))</f>
        <v/>
      </c>
    </row>
    <row r="778" spans="1:21" ht="18" customHeight="1" x14ac:dyDescent="0.3">
      <c r="A778" s="2"/>
      <c r="B778" s="65" t="str">
        <f>IF($D778="","","T"&amp;TEXT(ROW()-6,"00000"))</f>
        <v/>
      </c>
      <c r="C778" s="65" t="str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61"/>
      <c r="E778" s="66"/>
      <c r="F778" s="67"/>
      <c r="G778" s="60"/>
      <c r="H778" s="60"/>
      <c r="I778" s="61"/>
      <c r="J778" s="61"/>
      <c r="K778" s="61"/>
      <c r="L778" s="73" t="str">
        <f>IF($E778="","",DATE(YEAR($E778),MONTH($E778),1))</f>
        <v/>
      </c>
      <c r="M778" s="65" t="str">
        <f ca="1">IF($D778="","",IF($C778="TANIMSIZ MÜŞTERİ","HATA",IF(OR($E778="",$F778&lt;=0,$G778=""),"EKSİK",IF($E778&gt;TODAY(),"İLERİ TARİH",IF(COUNTIF($S$7:$S$2503,$S778)&gt;1,"MÜKERRER?",IF($T778&gt;0,"KAPALI DÖNEM","UYGUN"))))))</f>
        <v/>
      </c>
      <c r="N778" s="74" t="str">
        <f>IF($C778="","",IF($C778="TANIMSIZ MÜŞTERİ","—",INDEX(MUSTERILER!$C$7:$C$156,MATCH($C778,MUSTERILER!$B$7:$B$156,0))))</f>
        <v/>
      </c>
      <c r="O778" s="2"/>
      <c r="P778" s="2"/>
      <c r="Q778" s="1" t="str">
        <f>IF($D778="","",$C778&amp;"|"&amp;COUNTIFS($C$7:$C778,$C778))</f>
        <v/>
      </c>
      <c r="R778" s="1" t="str">
        <f t="shared" si="24"/>
        <v/>
      </c>
      <c r="S778" s="1" t="str">
        <f t="shared" si="25"/>
        <v/>
      </c>
      <c r="T778" s="1">
        <f>IF($E778="",0,SUMPRODUCT((AY_SONU!$O$7:$O$42="Evet")*(AY_SONU!$B$7:$B$42=DATE(YEAR($E778),MONTH($E778),1))))</f>
        <v>0</v>
      </c>
      <c r="U778" s="1" t="str">
        <f>IF(OR($G778="",$H778="Mahsup"),"",$G778&amp;"|"&amp;COUNTIFS($G$7:$G778,$G778,$H$7:$H778,"&lt;&gt;Mahsup"))</f>
        <v/>
      </c>
    </row>
    <row r="779" spans="1:21" ht="18" customHeight="1" x14ac:dyDescent="0.3">
      <c r="A779" s="2"/>
      <c r="B779" s="65" t="str">
        <f>IF($D779="","","T"&amp;TEXT(ROW()-6,"00000"))</f>
        <v/>
      </c>
      <c r="C779" s="65" t="str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61"/>
      <c r="E779" s="66"/>
      <c r="F779" s="67"/>
      <c r="G779" s="60"/>
      <c r="H779" s="60"/>
      <c r="I779" s="61"/>
      <c r="J779" s="61"/>
      <c r="K779" s="61"/>
      <c r="L779" s="73" t="str">
        <f>IF($E779="","",DATE(YEAR($E779),MONTH($E779),1))</f>
        <v/>
      </c>
      <c r="M779" s="65" t="str">
        <f ca="1">IF($D779="","",IF($C779="TANIMSIZ MÜŞTERİ","HATA",IF(OR($E779="",$F779&lt;=0,$G779=""),"EKSİK",IF($E779&gt;TODAY(),"İLERİ TARİH",IF(COUNTIF($S$7:$S$2503,$S779)&gt;1,"MÜKERRER?",IF($T779&gt;0,"KAPALI DÖNEM","UYGUN"))))))</f>
        <v/>
      </c>
      <c r="N779" s="74" t="str">
        <f>IF($C779="","",IF($C779="TANIMSIZ MÜŞTERİ","—",INDEX(MUSTERILER!$C$7:$C$156,MATCH($C779,MUSTERILER!$B$7:$B$156,0))))</f>
        <v/>
      </c>
      <c r="O779" s="2"/>
      <c r="P779" s="2"/>
      <c r="Q779" s="1" t="str">
        <f>IF($D779="","",$C779&amp;"|"&amp;COUNTIFS($C$7:$C779,$C779))</f>
        <v/>
      </c>
      <c r="R779" s="1" t="str">
        <f t="shared" si="24"/>
        <v/>
      </c>
      <c r="S779" s="1" t="str">
        <f t="shared" si="25"/>
        <v/>
      </c>
      <c r="T779" s="1">
        <f>IF($E779="",0,SUMPRODUCT((AY_SONU!$O$7:$O$42="Evet")*(AY_SONU!$B$7:$B$42=DATE(YEAR($E779),MONTH($E779),1))))</f>
        <v>0</v>
      </c>
      <c r="U779" s="1" t="str">
        <f>IF(OR($G779="",$H779="Mahsup"),"",$G779&amp;"|"&amp;COUNTIFS($G$7:$G779,$G779,$H$7:$H779,"&lt;&gt;Mahsup"))</f>
        <v/>
      </c>
    </row>
    <row r="780" spans="1:21" ht="18" customHeight="1" x14ac:dyDescent="0.3">
      <c r="A780" s="2"/>
      <c r="B780" s="65" t="str">
        <f>IF($D780="","","T"&amp;TEXT(ROW()-6,"00000"))</f>
        <v/>
      </c>
      <c r="C780" s="65" t="str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61"/>
      <c r="E780" s="66"/>
      <c r="F780" s="67"/>
      <c r="G780" s="60"/>
      <c r="H780" s="60"/>
      <c r="I780" s="61"/>
      <c r="J780" s="61"/>
      <c r="K780" s="61"/>
      <c r="L780" s="73" t="str">
        <f>IF($E780="","",DATE(YEAR($E780),MONTH($E780),1))</f>
        <v/>
      </c>
      <c r="M780" s="65" t="str">
        <f ca="1">IF($D780="","",IF($C780="TANIMSIZ MÜŞTERİ","HATA",IF(OR($E780="",$F780&lt;=0,$G780=""),"EKSİK",IF($E780&gt;TODAY(),"İLERİ TARİH",IF(COUNTIF($S$7:$S$2503,$S780)&gt;1,"MÜKERRER?",IF($T780&gt;0,"KAPALI DÖNEM","UYGUN"))))))</f>
        <v/>
      </c>
      <c r="N780" s="74" t="str">
        <f>IF($C780="","",IF($C780="TANIMSIZ MÜŞTERİ","—",INDEX(MUSTERILER!$C$7:$C$156,MATCH($C780,MUSTERILER!$B$7:$B$156,0))))</f>
        <v/>
      </c>
      <c r="O780" s="2"/>
      <c r="P780" s="2"/>
      <c r="Q780" s="1" t="str">
        <f>IF($D780="","",$C780&amp;"|"&amp;COUNTIFS($C$7:$C780,$C780))</f>
        <v/>
      </c>
      <c r="R780" s="1" t="str">
        <f t="shared" si="24"/>
        <v/>
      </c>
      <c r="S780" s="1" t="str">
        <f t="shared" si="25"/>
        <v/>
      </c>
      <c r="T780" s="1">
        <f>IF($E780="",0,SUMPRODUCT((AY_SONU!$O$7:$O$42="Evet")*(AY_SONU!$B$7:$B$42=DATE(YEAR($E780),MONTH($E780),1))))</f>
        <v>0</v>
      </c>
      <c r="U780" s="1" t="str">
        <f>IF(OR($G780="",$H780="Mahsup"),"",$G780&amp;"|"&amp;COUNTIFS($G$7:$G780,$G780,$H$7:$H780,"&lt;&gt;Mahsup"))</f>
        <v/>
      </c>
    </row>
    <row r="781" spans="1:21" ht="18" customHeight="1" x14ac:dyDescent="0.3">
      <c r="A781" s="2"/>
      <c r="B781" s="65" t="str">
        <f>IF($D781="","","T"&amp;TEXT(ROW()-6,"00000"))</f>
        <v/>
      </c>
      <c r="C781" s="65" t="str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61"/>
      <c r="E781" s="66"/>
      <c r="F781" s="67"/>
      <c r="G781" s="60"/>
      <c r="H781" s="60"/>
      <c r="I781" s="61"/>
      <c r="J781" s="61"/>
      <c r="K781" s="61"/>
      <c r="L781" s="73" t="str">
        <f>IF($E781="","",DATE(YEAR($E781),MONTH($E781),1))</f>
        <v/>
      </c>
      <c r="M781" s="65" t="str">
        <f ca="1">IF($D781="","",IF($C781="TANIMSIZ MÜŞTERİ","HATA",IF(OR($E781="",$F781&lt;=0,$G781=""),"EKSİK",IF($E781&gt;TODAY(),"İLERİ TARİH",IF(COUNTIF($S$7:$S$2503,$S781)&gt;1,"MÜKERRER?",IF($T781&gt;0,"KAPALI DÖNEM","UYGUN"))))))</f>
        <v/>
      </c>
      <c r="N781" s="74" t="str">
        <f>IF($C781="","",IF($C781="TANIMSIZ MÜŞTERİ","—",INDEX(MUSTERILER!$C$7:$C$156,MATCH($C781,MUSTERILER!$B$7:$B$156,0))))</f>
        <v/>
      </c>
      <c r="O781" s="2"/>
      <c r="P781" s="2"/>
      <c r="Q781" s="1" t="str">
        <f>IF($D781="","",$C781&amp;"|"&amp;COUNTIFS($C$7:$C781,$C781))</f>
        <v/>
      </c>
      <c r="R781" s="1" t="str">
        <f t="shared" si="24"/>
        <v/>
      </c>
      <c r="S781" s="1" t="str">
        <f t="shared" si="25"/>
        <v/>
      </c>
      <c r="T781" s="1">
        <f>IF($E781="",0,SUMPRODUCT((AY_SONU!$O$7:$O$42="Evet")*(AY_SONU!$B$7:$B$42=DATE(YEAR($E781),MONTH($E781),1))))</f>
        <v>0</v>
      </c>
      <c r="U781" s="1" t="str">
        <f>IF(OR($G781="",$H781="Mahsup"),"",$G781&amp;"|"&amp;COUNTIFS($G$7:$G781,$G781,$H$7:$H781,"&lt;&gt;Mahsup"))</f>
        <v/>
      </c>
    </row>
    <row r="782" spans="1:21" ht="18" customHeight="1" x14ac:dyDescent="0.3">
      <c r="A782" s="2"/>
      <c r="B782" s="65" t="str">
        <f>IF($D782="","","T"&amp;TEXT(ROW()-6,"00000"))</f>
        <v/>
      </c>
      <c r="C782" s="65" t="str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61"/>
      <c r="E782" s="66"/>
      <c r="F782" s="67"/>
      <c r="G782" s="60"/>
      <c r="H782" s="60"/>
      <c r="I782" s="61"/>
      <c r="J782" s="61"/>
      <c r="K782" s="61"/>
      <c r="L782" s="73" t="str">
        <f>IF($E782="","",DATE(YEAR($E782),MONTH($E782),1))</f>
        <v/>
      </c>
      <c r="M782" s="65" t="str">
        <f ca="1">IF($D782="","",IF($C782="TANIMSIZ MÜŞTERİ","HATA",IF(OR($E782="",$F782&lt;=0,$G782=""),"EKSİK",IF($E782&gt;TODAY(),"İLERİ TARİH",IF(COUNTIF($S$7:$S$2503,$S782)&gt;1,"MÜKERRER?",IF($T782&gt;0,"KAPALI DÖNEM","UYGUN"))))))</f>
        <v/>
      </c>
      <c r="N782" s="74" t="str">
        <f>IF($C782="","",IF($C782="TANIMSIZ MÜŞTERİ","—",INDEX(MUSTERILER!$C$7:$C$156,MATCH($C782,MUSTERILER!$B$7:$B$156,0))))</f>
        <v/>
      </c>
      <c r="O782" s="2"/>
      <c r="P782" s="2"/>
      <c r="Q782" s="1" t="str">
        <f>IF($D782="","",$C782&amp;"|"&amp;COUNTIFS($C$7:$C782,$C782))</f>
        <v/>
      </c>
      <c r="R782" s="1" t="str">
        <f t="shared" si="24"/>
        <v/>
      </c>
      <c r="S782" s="1" t="str">
        <f t="shared" si="25"/>
        <v/>
      </c>
      <c r="T782" s="1">
        <f>IF($E782="",0,SUMPRODUCT((AY_SONU!$O$7:$O$42="Evet")*(AY_SONU!$B$7:$B$42=DATE(YEAR($E782),MONTH($E782),1))))</f>
        <v>0</v>
      </c>
      <c r="U782" s="1" t="str">
        <f>IF(OR($G782="",$H782="Mahsup"),"",$G782&amp;"|"&amp;COUNTIFS($G$7:$G782,$G782,$H$7:$H782,"&lt;&gt;Mahsup"))</f>
        <v/>
      </c>
    </row>
    <row r="783" spans="1:21" ht="18" customHeight="1" x14ac:dyDescent="0.3">
      <c r="A783" s="2"/>
      <c r="B783" s="65" t="str">
        <f>IF($D783="","","T"&amp;TEXT(ROW()-6,"00000"))</f>
        <v/>
      </c>
      <c r="C783" s="65" t="str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61"/>
      <c r="E783" s="66"/>
      <c r="F783" s="67"/>
      <c r="G783" s="60"/>
      <c r="H783" s="60"/>
      <c r="I783" s="61"/>
      <c r="J783" s="61"/>
      <c r="K783" s="61"/>
      <c r="L783" s="73" t="str">
        <f>IF($E783="","",DATE(YEAR($E783),MONTH($E783),1))</f>
        <v/>
      </c>
      <c r="M783" s="65" t="str">
        <f ca="1">IF($D783="","",IF($C783="TANIMSIZ MÜŞTERİ","HATA",IF(OR($E783="",$F783&lt;=0,$G783=""),"EKSİK",IF($E783&gt;TODAY(),"İLERİ TARİH",IF(COUNTIF($S$7:$S$2503,$S783)&gt;1,"MÜKERRER?",IF($T783&gt;0,"KAPALI DÖNEM","UYGUN"))))))</f>
        <v/>
      </c>
      <c r="N783" s="74" t="str">
        <f>IF($C783="","",IF($C783="TANIMSIZ MÜŞTERİ","—",INDEX(MUSTERILER!$C$7:$C$156,MATCH($C783,MUSTERILER!$B$7:$B$156,0))))</f>
        <v/>
      </c>
      <c r="O783" s="2"/>
      <c r="P783" s="2"/>
      <c r="Q783" s="1" t="str">
        <f>IF($D783="","",$C783&amp;"|"&amp;COUNTIFS($C$7:$C783,$C783))</f>
        <v/>
      </c>
      <c r="R783" s="1" t="str">
        <f t="shared" si="24"/>
        <v/>
      </c>
      <c r="S783" s="1" t="str">
        <f t="shared" si="25"/>
        <v/>
      </c>
      <c r="T783" s="1">
        <f>IF($E783="",0,SUMPRODUCT((AY_SONU!$O$7:$O$42="Evet")*(AY_SONU!$B$7:$B$42=DATE(YEAR($E783),MONTH($E783),1))))</f>
        <v>0</v>
      </c>
      <c r="U783" s="1" t="str">
        <f>IF(OR($G783="",$H783="Mahsup"),"",$G783&amp;"|"&amp;COUNTIFS($G$7:$G783,$G783,$H$7:$H783,"&lt;&gt;Mahsup"))</f>
        <v/>
      </c>
    </row>
    <row r="784" spans="1:21" ht="18" customHeight="1" x14ac:dyDescent="0.3">
      <c r="A784" s="2"/>
      <c r="B784" s="65" t="str">
        <f>IF($D784="","","T"&amp;TEXT(ROW()-6,"00000"))</f>
        <v/>
      </c>
      <c r="C784" s="65" t="str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61"/>
      <c r="E784" s="66"/>
      <c r="F784" s="67"/>
      <c r="G784" s="60"/>
      <c r="H784" s="60"/>
      <c r="I784" s="61"/>
      <c r="J784" s="61"/>
      <c r="K784" s="61"/>
      <c r="L784" s="73" t="str">
        <f>IF($E784="","",DATE(YEAR($E784),MONTH($E784),1))</f>
        <v/>
      </c>
      <c r="M784" s="65" t="str">
        <f ca="1">IF($D784="","",IF($C784="TANIMSIZ MÜŞTERİ","HATA",IF(OR($E784="",$F784&lt;=0,$G784=""),"EKSİK",IF($E784&gt;TODAY(),"İLERİ TARİH",IF(COUNTIF($S$7:$S$2503,$S784)&gt;1,"MÜKERRER?",IF($T784&gt;0,"KAPALI DÖNEM","UYGUN"))))))</f>
        <v/>
      </c>
      <c r="N784" s="74" t="str">
        <f>IF($C784="","",IF($C784="TANIMSIZ MÜŞTERİ","—",INDEX(MUSTERILER!$C$7:$C$156,MATCH($C784,MUSTERILER!$B$7:$B$156,0))))</f>
        <v/>
      </c>
      <c r="O784" s="2"/>
      <c r="P784" s="2"/>
      <c r="Q784" s="1" t="str">
        <f>IF($D784="","",$C784&amp;"|"&amp;COUNTIFS($C$7:$C784,$C784))</f>
        <v/>
      </c>
      <c r="R784" s="1" t="str">
        <f t="shared" si="24"/>
        <v/>
      </c>
      <c r="S784" s="1" t="str">
        <f t="shared" si="25"/>
        <v/>
      </c>
      <c r="T784" s="1">
        <f>IF($E784="",0,SUMPRODUCT((AY_SONU!$O$7:$O$42="Evet")*(AY_SONU!$B$7:$B$42=DATE(YEAR($E784),MONTH($E784),1))))</f>
        <v>0</v>
      </c>
      <c r="U784" s="1" t="str">
        <f>IF(OR($G784="",$H784="Mahsup"),"",$G784&amp;"|"&amp;COUNTIFS($G$7:$G784,$G784,$H$7:$H784,"&lt;&gt;Mahsup"))</f>
        <v/>
      </c>
    </row>
    <row r="785" spans="1:21" ht="18" customHeight="1" x14ac:dyDescent="0.3">
      <c r="A785" s="2"/>
      <c r="B785" s="65" t="str">
        <f>IF($D785="","","T"&amp;TEXT(ROW()-6,"00000"))</f>
        <v/>
      </c>
      <c r="C785" s="65" t="str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61"/>
      <c r="E785" s="66"/>
      <c r="F785" s="67"/>
      <c r="G785" s="60"/>
      <c r="H785" s="60"/>
      <c r="I785" s="61"/>
      <c r="J785" s="61"/>
      <c r="K785" s="61"/>
      <c r="L785" s="73" t="str">
        <f>IF($E785="","",DATE(YEAR($E785),MONTH($E785),1))</f>
        <v/>
      </c>
      <c r="M785" s="65" t="str">
        <f ca="1">IF($D785="","",IF($C785="TANIMSIZ MÜŞTERİ","HATA",IF(OR($E785="",$F785&lt;=0,$G785=""),"EKSİK",IF($E785&gt;TODAY(),"İLERİ TARİH",IF(COUNTIF($S$7:$S$2503,$S785)&gt;1,"MÜKERRER?",IF($T785&gt;0,"KAPALI DÖNEM","UYGUN"))))))</f>
        <v/>
      </c>
      <c r="N785" s="74" t="str">
        <f>IF($C785="","",IF($C785="TANIMSIZ MÜŞTERİ","—",INDEX(MUSTERILER!$C$7:$C$156,MATCH($C785,MUSTERILER!$B$7:$B$156,0))))</f>
        <v/>
      </c>
      <c r="O785" s="2"/>
      <c r="P785" s="2"/>
      <c r="Q785" s="1" t="str">
        <f>IF($D785="","",$C785&amp;"|"&amp;COUNTIFS($C$7:$C785,$C785))</f>
        <v/>
      </c>
      <c r="R785" s="1" t="str">
        <f t="shared" si="24"/>
        <v/>
      </c>
      <c r="S785" s="1" t="str">
        <f t="shared" si="25"/>
        <v/>
      </c>
      <c r="T785" s="1">
        <f>IF($E785="",0,SUMPRODUCT((AY_SONU!$O$7:$O$42="Evet")*(AY_SONU!$B$7:$B$42=DATE(YEAR($E785),MONTH($E785),1))))</f>
        <v>0</v>
      </c>
      <c r="U785" s="1" t="str">
        <f>IF(OR($G785="",$H785="Mahsup"),"",$G785&amp;"|"&amp;COUNTIFS($G$7:$G785,$G785,$H$7:$H785,"&lt;&gt;Mahsup"))</f>
        <v/>
      </c>
    </row>
    <row r="786" spans="1:21" ht="18" customHeight="1" x14ac:dyDescent="0.3">
      <c r="A786" s="2"/>
      <c r="B786" s="65" t="str">
        <f>IF($D786="","","T"&amp;TEXT(ROW()-6,"00000"))</f>
        <v/>
      </c>
      <c r="C786" s="65" t="str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61"/>
      <c r="E786" s="66"/>
      <c r="F786" s="67"/>
      <c r="G786" s="60"/>
      <c r="H786" s="60"/>
      <c r="I786" s="61"/>
      <c r="J786" s="61"/>
      <c r="K786" s="61"/>
      <c r="L786" s="73" t="str">
        <f>IF($E786="","",DATE(YEAR($E786),MONTH($E786),1))</f>
        <v/>
      </c>
      <c r="M786" s="65" t="str">
        <f ca="1">IF($D786="","",IF($C786="TANIMSIZ MÜŞTERİ","HATA",IF(OR($E786="",$F786&lt;=0,$G786=""),"EKSİK",IF($E786&gt;TODAY(),"İLERİ TARİH",IF(COUNTIF($S$7:$S$2503,$S786)&gt;1,"MÜKERRER?",IF($T786&gt;0,"KAPALI DÖNEM","UYGUN"))))))</f>
        <v/>
      </c>
      <c r="N786" s="74" t="str">
        <f>IF($C786="","",IF($C786="TANIMSIZ MÜŞTERİ","—",INDEX(MUSTERILER!$C$7:$C$156,MATCH($C786,MUSTERILER!$B$7:$B$156,0))))</f>
        <v/>
      </c>
      <c r="O786" s="2"/>
      <c r="P786" s="2"/>
      <c r="Q786" s="1" t="str">
        <f>IF($D786="","",$C786&amp;"|"&amp;COUNTIFS($C$7:$C786,$C786))</f>
        <v/>
      </c>
      <c r="R786" s="1" t="str">
        <f t="shared" si="24"/>
        <v/>
      </c>
      <c r="S786" s="1" t="str">
        <f t="shared" si="25"/>
        <v/>
      </c>
      <c r="T786" s="1">
        <f>IF($E786="",0,SUMPRODUCT((AY_SONU!$O$7:$O$42="Evet")*(AY_SONU!$B$7:$B$42=DATE(YEAR($E786),MONTH($E786),1))))</f>
        <v>0</v>
      </c>
      <c r="U786" s="1" t="str">
        <f>IF(OR($G786="",$H786="Mahsup"),"",$G786&amp;"|"&amp;COUNTIFS($G$7:$G786,$G786,$H$7:$H786,"&lt;&gt;Mahsup"))</f>
        <v/>
      </c>
    </row>
    <row r="787" spans="1:21" ht="18" customHeight="1" x14ac:dyDescent="0.3">
      <c r="A787" s="2"/>
      <c r="B787" s="65" t="str">
        <f>IF($D787="","","T"&amp;TEXT(ROW()-6,"00000"))</f>
        <v/>
      </c>
      <c r="C787" s="65" t="str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61"/>
      <c r="E787" s="66"/>
      <c r="F787" s="67"/>
      <c r="G787" s="60"/>
      <c r="H787" s="60"/>
      <c r="I787" s="61"/>
      <c r="J787" s="61"/>
      <c r="K787" s="61"/>
      <c r="L787" s="73" t="str">
        <f>IF($E787="","",DATE(YEAR($E787),MONTH($E787),1))</f>
        <v/>
      </c>
      <c r="M787" s="65" t="str">
        <f ca="1">IF($D787="","",IF($C787="TANIMSIZ MÜŞTERİ","HATA",IF(OR($E787="",$F787&lt;=0,$G787=""),"EKSİK",IF($E787&gt;TODAY(),"İLERİ TARİH",IF(COUNTIF($S$7:$S$2503,$S787)&gt;1,"MÜKERRER?",IF($T787&gt;0,"KAPALI DÖNEM","UYGUN"))))))</f>
        <v/>
      </c>
      <c r="N787" s="74" t="str">
        <f>IF($C787="","",IF($C787="TANIMSIZ MÜŞTERİ","—",INDEX(MUSTERILER!$C$7:$C$156,MATCH($C787,MUSTERILER!$B$7:$B$156,0))))</f>
        <v/>
      </c>
      <c r="O787" s="2"/>
      <c r="P787" s="2"/>
      <c r="Q787" s="1" t="str">
        <f>IF($D787="","",$C787&amp;"|"&amp;COUNTIFS($C$7:$C787,$C787))</f>
        <v/>
      </c>
      <c r="R787" s="1" t="str">
        <f t="shared" si="24"/>
        <v/>
      </c>
      <c r="S787" s="1" t="str">
        <f t="shared" si="25"/>
        <v/>
      </c>
      <c r="T787" s="1">
        <f>IF($E787="",0,SUMPRODUCT((AY_SONU!$O$7:$O$42="Evet")*(AY_SONU!$B$7:$B$42=DATE(YEAR($E787),MONTH($E787),1))))</f>
        <v>0</v>
      </c>
      <c r="U787" s="1" t="str">
        <f>IF(OR($G787="",$H787="Mahsup"),"",$G787&amp;"|"&amp;COUNTIFS($G$7:$G787,$G787,$H$7:$H787,"&lt;&gt;Mahsup"))</f>
        <v/>
      </c>
    </row>
    <row r="788" spans="1:21" ht="18" customHeight="1" x14ac:dyDescent="0.3">
      <c r="A788" s="2"/>
      <c r="B788" s="65" t="str">
        <f>IF($D788="","","T"&amp;TEXT(ROW()-6,"00000"))</f>
        <v/>
      </c>
      <c r="C788" s="65" t="str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61"/>
      <c r="E788" s="66"/>
      <c r="F788" s="67"/>
      <c r="G788" s="60"/>
      <c r="H788" s="60"/>
      <c r="I788" s="61"/>
      <c r="J788" s="61"/>
      <c r="K788" s="61"/>
      <c r="L788" s="73" t="str">
        <f>IF($E788="","",DATE(YEAR($E788),MONTH($E788),1))</f>
        <v/>
      </c>
      <c r="M788" s="65" t="str">
        <f ca="1">IF($D788="","",IF($C788="TANIMSIZ MÜŞTERİ","HATA",IF(OR($E788="",$F788&lt;=0,$G788=""),"EKSİK",IF($E788&gt;TODAY(),"İLERİ TARİH",IF(COUNTIF($S$7:$S$2503,$S788)&gt;1,"MÜKERRER?",IF($T788&gt;0,"KAPALI DÖNEM","UYGUN"))))))</f>
        <v/>
      </c>
      <c r="N788" s="74" t="str">
        <f>IF($C788="","",IF($C788="TANIMSIZ MÜŞTERİ","—",INDEX(MUSTERILER!$C$7:$C$156,MATCH($C788,MUSTERILER!$B$7:$B$156,0))))</f>
        <v/>
      </c>
      <c r="O788" s="2"/>
      <c r="P788" s="2"/>
      <c r="Q788" s="1" t="str">
        <f>IF($D788="","",$C788&amp;"|"&amp;COUNTIFS($C$7:$C788,$C788))</f>
        <v/>
      </c>
      <c r="R788" s="1" t="str">
        <f t="shared" si="24"/>
        <v/>
      </c>
      <c r="S788" s="1" t="str">
        <f t="shared" si="25"/>
        <v/>
      </c>
      <c r="T788" s="1">
        <f>IF($E788="",0,SUMPRODUCT((AY_SONU!$O$7:$O$42="Evet")*(AY_SONU!$B$7:$B$42=DATE(YEAR($E788),MONTH($E788),1))))</f>
        <v>0</v>
      </c>
      <c r="U788" s="1" t="str">
        <f>IF(OR($G788="",$H788="Mahsup"),"",$G788&amp;"|"&amp;COUNTIFS($G$7:$G788,$G788,$H$7:$H788,"&lt;&gt;Mahsup"))</f>
        <v/>
      </c>
    </row>
    <row r="789" spans="1:21" ht="18" customHeight="1" x14ac:dyDescent="0.3">
      <c r="A789" s="2"/>
      <c r="B789" s="65" t="str">
        <f>IF($D789="","","T"&amp;TEXT(ROW()-6,"00000"))</f>
        <v/>
      </c>
      <c r="C789" s="65" t="str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61"/>
      <c r="E789" s="66"/>
      <c r="F789" s="67"/>
      <c r="G789" s="60"/>
      <c r="H789" s="60"/>
      <c r="I789" s="61"/>
      <c r="J789" s="61"/>
      <c r="K789" s="61"/>
      <c r="L789" s="73" t="str">
        <f>IF($E789="","",DATE(YEAR($E789),MONTH($E789),1))</f>
        <v/>
      </c>
      <c r="M789" s="65" t="str">
        <f ca="1">IF($D789="","",IF($C789="TANIMSIZ MÜŞTERİ","HATA",IF(OR($E789="",$F789&lt;=0,$G789=""),"EKSİK",IF($E789&gt;TODAY(),"İLERİ TARİH",IF(COUNTIF($S$7:$S$2503,$S789)&gt;1,"MÜKERRER?",IF($T789&gt;0,"KAPALI DÖNEM","UYGUN"))))))</f>
        <v/>
      </c>
      <c r="N789" s="74" t="str">
        <f>IF($C789="","",IF($C789="TANIMSIZ MÜŞTERİ","—",INDEX(MUSTERILER!$C$7:$C$156,MATCH($C789,MUSTERILER!$B$7:$B$156,0))))</f>
        <v/>
      </c>
      <c r="O789" s="2"/>
      <c r="P789" s="2"/>
      <c r="Q789" s="1" t="str">
        <f>IF($D789="","",$C789&amp;"|"&amp;COUNTIFS($C$7:$C789,$C789))</f>
        <v/>
      </c>
      <c r="R789" s="1" t="str">
        <f t="shared" si="24"/>
        <v/>
      </c>
      <c r="S789" s="1" t="str">
        <f t="shared" si="25"/>
        <v/>
      </c>
      <c r="T789" s="1">
        <f>IF($E789="",0,SUMPRODUCT((AY_SONU!$O$7:$O$42="Evet")*(AY_SONU!$B$7:$B$42=DATE(YEAR($E789),MONTH($E789),1))))</f>
        <v>0</v>
      </c>
      <c r="U789" s="1" t="str">
        <f>IF(OR($G789="",$H789="Mahsup"),"",$G789&amp;"|"&amp;COUNTIFS($G$7:$G789,$G789,$H$7:$H789,"&lt;&gt;Mahsup"))</f>
        <v/>
      </c>
    </row>
    <row r="790" spans="1:21" ht="18" customHeight="1" x14ac:dyDescent="0.3">
      <c r="A790" s="2"/>
      <c r="B790" s="65" t="str">
        <f>IF($D790="","","T"&amp;TEXT(ROW()-6,"00000"))</f>
        <v/>
      </c>
      <c r="C790" s="65" t="str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61"/>
      <c r="E790" s="66"/>
      <c r="F790" s="67"/>
      <c r="G790" s="60"/>
      <c r="H790" s="60"/>
      <c r="I790" s="61"/>
      <c r="J790" s="61"/>
      <c r="K790" s="61"/>
      <c r="L790" s="73" t="str">
        <f>IF($E790="","",DATE(YEAR($E790),MONTH($E790),1))</f>
        <v/>
      </c>
      <c r="M790" s="65" t="str">
        <f ca="1">IF($D790="","",IF($C790="TANIMSIZ MÜŞTERİ","HATA",IF(OR($E790="",$F790&lt;=0,$G790=""),"EKSİK",IF($E790&gt;TODAY(),"İLERİ TARİH",IF(COUNTIF($S$7:$S$2503,$S790)&gt;1,"MÜKERRER?",IF($T790&gt;0,"KAPALI DÖNEM","UYGUN"))))))</f>
        <v/>
      </c>
      <c r="N790" s="74" t="str">
        <f>IF($C790="","",IF($C790="TANIMSIZ MÜŞTERİ","—",INDEX(MUSTERILER!$C$7:$C$156,MATCH($C790,MUSTERILER!$B$7:$B$156,0))))</f>
        <v/>
      </c>
      <c r="O790" s="2"/>
      <c r="P790" s="2"/>
      <c r="Q790" s="1" t="str">
        <f>IF($D790="","",$C790&amp;"|"&amp;COUNTIFS($C$7:$C790,$C790))</f>
        <v/>
      </c>
      <c r="R790" s="1" t="str">
        <f t="shared" si="24"/>
        <v/>
      </c>
      <c r="S790" s="1" t="str">
        <f t="shared" si="25"/>
        <v/>
      </c>
      <c r="T790" s="1">
        <f>IF($E790="",0,SUMPRODUCT((AY_SONU!$O$7:$O$42="Evet")*(AY_SONU!$B$7:$B$42=DATE(YEAR($E790),MONTH($E790),1))))</f>
        <v>0</v>
      </c>
      <c r="U790" s="1" t="str">
        <f>IF(OR($G790="",$H790="Mahsup"),"",$G790&amp;"|"&amp;COUNTIFS($G$7:$G790,$G790,$H$7:$H790,"&lt;&gt;Mahsup"))</f>
        <v/>
      </c>
    </row>
    <row r="791" spans="1:21" ht="18" customHeight="1" x14ac:dyDescent="0.3">
      <c r="A791" s="2"/>
      <c r="B791" s="65" t="str">
        <f>IF($D791="","","T"&amp;TEXT(ROW()-6,"00000"))</f>
        <v/>
      </c>
      <c r="C791" s="65" t="str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61"/>
      <c r="E791" s="66"/>
      <c r="F791" s="67"/>
      <c r="G791" s="60"/>
      <c r="H791" s="60"/>
      <c r="I791" s="61"/>
      <c r="J791" s="61"/>
      <c r="K791" s="61"/>
      <c r="L791" s="73" t="str">
        <f>IF($E791="","",DATE(YEAR($E791),MONTH($E791),1))</f>
        <v/>
      </c>
      <c r="M791" s="65" t="str">
        <f ca="1">IF($D791="","",IF($C791="TANIMSIZ MÜŞTERİ","HATA",IF(OR($E791="",$F791&lt;=0,$G791=""),"EKSİK",IF($E791&gt;TODAY(),"İLERİ TARİH",IF(COUNTIF($S$7:$S$2503,$S791)&gt;1,"MÜKERRER?",IF($T791&gt;0,"KAPALI DÖNEM","UYGUN"))))))</f>
        <v/>
      </c>
      <c r="N791" s="74" t="str">
        <f>IF($C791="","",IF($C791="TANIMSIZ MÜŞTERİ","—",INDEX(MUSTERILER!$C$7:$C$156,MATCH($C791,MUSTERILER!$B$7:$B$156,0))))</f>
        <v/>
      </c>
      <c r="O791" s="2"/>
      <c r="P791" s="2"/>
      <c r="Q791" s="1" t="str">
        <f>IF($D791="","",$C791&amp;"|"&amp;COUNTIFS($C$7:$C791,$C791))</f>
        <v/>
      </c>
      <c r="R791" s="1" t="str">
        <f t="shared" si="24"/>
        <v/>
      </c>
      <c r="S791" s="1" t="str">
        <f t="shared" si="25"/>
        <v/>
      </c>
      <c r="T791" s="1">
        <f>IF($E791="",0,SUMPRODUCT((AY_SONU!$O$7:$O$42="Evet")*(AY_SONU!$B$7:$B$42=DATE(YEAR($E791),MONTH($E791),1))))</f>
        <v>0</v>
      </c>
      <c r="U791" s="1" t="str">
        <f>IF(OR($G791="",$H791="Mahsup"),"",$G791&amp;"|"&amp;COUNTIFS($G$7:$G791,$G791,$H$7:$H791,"&lt;&gt;Mahsup"))</f>
        <v/>
      </c>
    </row>
    <row r="792" spans="1:21" ht="18" customHeight="1" x14ac:dyDescent="0.3">
      <c r="A792" s="2"/>
      <c r="B792" s="65" t="str">
        <f>IF($D792="","","T"&amp;TEXT(ROW()-6,"00000"))</f>
        <v/>
      </c>
      <c r="C792" s="65" t="str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61"/>
      <c r="E792" s="66"/>
      <c r="F792" s="67"/>
      <c r="G792" s="60"/>
      <c r="H792" s="60"/>
      <c r="I792" s="61"/>
      <c r="J792" s="61"/>
      <c r="K792" s="61"/>
      <c r="L792" s="73" t="str">
        <f>IF($E792="","",DATE(YEAR($E792),MONTH($E792),1))</f>
        <v/>
      </c>
      <c r="M792" s="65" t="str">
        <f ca="1">IF($D792="","",IF($C792="TANIMSIZ MÜŞTERİ","HATA",IF(OR($E792="",$F792&lt;=0,$G792=""),"EKSİK",IF($E792&gt;TODAY(),"İLERİ TARİH",IF(COUNTIF($S$7:$S$2503,$S792)&gt;1,"MÜKERRER?",IF($T792&gt;0,"KAPALI DÖNEM","UYGUN"))))))</f>
        <v/>
      </c>
      <c r="N792" s="74" t="str">
        <f>IF($C792="","",IF($C792="TANIMSIZ MÜŞTERİ","—",INDEX(MUSTERILER!$C$7:$C$156,MATCH($C792,MUSTERILER!$B$7:$B$156,0))))</f>
        <v/>
      </c>
      <c r="O792" s="2"/>
      <c r="P792" s="2"/>
      <c r="Q792" s="1" t="str">
        <f>IF($D792="","",$C792&amp;"|"&amp;COUNTIFS($C$7:$C792,$C792))</f>
        <v/>
      </c>
      <c r="R792" s="1" t="str">
        <f t="shared" si="24"/>
        <v/>
      </c>
      <c r="S792" s="1" t="str">
        <f t="shared" si="25"/>
        <v/>
      </c>
      <c r="T792" s="1">
        <f>IF($E792="",0,SUMPRODUCT((AY_SONU!$O$7:$O$42="Evet")*(AY_SONU!$B$7:$B$42=DATE(YEAR($E792),MONTH($E792),1))))</f>
        <v>0</v>
      </c>
      <c r="U792" s="1" t="str">
        <f>IF(OR($G792="",$H792="Mahsup"),"",$G792&amp;"|"&amp;COUNTIFS($G$7:$G792,$G792,$H$7:$H792,"&lt;&gt;Mahsup"))</f>
        <v/>
      </c>
    </row>
    <row r="793" spans="1:21" ht="18" customHeight="1" x14ac:dyDescent="0.3">
      <c r="A793" s="2"/>
      <c r="B793" s="65" t="str">
        <f>IF($D793="","","T"&amp;TEXT(ROW()-6,"00000"))</f>
        <v/>
      </c>
      <c r="C793" s="65" t="str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61"/>
      <c r="E793" s="66"/>
      <c r="F793" s="67"/>
      <c r="G793" s="60"/>
      <c r="H793" s="60"/>
      <c r="I793" s="61"/>
      <c r="J793" s="61"/>
      <c r="K793" s="61"/>
      <c r="L793" s="73" t="str">
        <f>IF($E793="","",DATE(YEAR($E793),MONTH($E793),1))</f>
        <v/>
      </c>
      <c r="M793" s="65" t="str">
        <f ca="1">IF($D793="","",IF($C793="TANIMSIZ MÜŞTERİ","HATA",IF(OR($E793="",$F793&lt;=0,$G793=""),"EKSİK",IF($E793&gt;TODAY(),"İLERİ TARİH",IF(COUNTIF($S$7:$S$2503,$S793)&gt;1,"MÜKERRER?",IF($T793&gt;0,"KAPALI DÖNEM","UYGUN"))))))</f>
        <v/>
      </c>
      <c r="N793" s="74" t="str">
        <f>IF($C793="","",IF($C793="TANIMSIZ MÜŞTERİ","—",INDEX(MUSTERILER!$C$7:$C$156,MATCH($C793,MUSTERILER!$B$7:$B$156,0))))</f>
        <v/>
      </c>
      <c r="O793" s="2"/>
      <c r="P793" s="2"/>
      <c r="Q793" s="1" t="str">
        <f>IF($D793="","",$C793&amp;"|"&amp;COUNTIFS($C$7:$C793,$C793))</f>
        <v/>
      </c>
      <c r="R793" s="1" t="str">
        <f t="shared" si="24"/>
        <v/>
      </c>
      <c r="S793" s="1" t="str">
        <f t="shared" si="25"/>
        <v/>
      </c>
      <c r="T793" s="1">
        <f>IF($E793="",0,SUMPRODUCT((AY_SONU!$O$7:$O$42="Evet")*(AY_SONU!$B$7:$B$42=DATE(YEAR($E793),MONTH($E793),1))))</f>
        <v>0</v>
      </c>
      <c r="U793" s="1" t="str">
        <f>IF(OR($G793="",$H793="Mahsup"),"",$G793&amp;"|"&amp;COUNTIFS($G$7:$G793,$G793,$H$7:$H793,"&lt;&gt;Mahsup"))</f>
        <v/>
      </c>
    </row>
    <row r="794" spans="1:21" ht="18" customHeight="1" x14ac:dyDescent="0.3">
      <c r="A794" s="2"/>
      <c r="B794" s="65" t="str">
        <f>IF($D794="","","T"&amp;TEXT(ROW()-6,"00000"))</f>
        <v/>
      </c>
      <c r="C794" s="65" t="str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61"/>
      <c r="E794" s="66"/>
      <c r="F794" s="67"/>
      <c r="G794" s="60"/>
      <c r="H794" s="60"/>
      <c r="I794" s="61"/>
      <c r="J794" s="61"/>
      <c r="K794" s="61"/>
      <c r="L794" s="73" t="str">
        <f>IF($E794="","",DATE(YEAR($E794),MONTH($E794),1))</f>
        <v/>
      </c>
      <c r="M794" s="65" t="str">
        <f ca="1">IF($D794="","",IF($C794="TANIMSIZ MÜŞTERİ","HATA",IF(OR($E794="",$F794&lt;=0,$G794=""),"EKSİK",IF($E794&gt;TODAY(),"İLERİ TARİH",IF(COUNTIF($S$7:$S$2503,$S794)&gt;1,"MÜKERRER?",IF($T794&gt;0,"KAPALI DÖNEM","UYGUN"))))))</f>
        <v/>
      </c>
      <c r="N794" s="74" t="str">
        <f>IF($C794="","",IF($C794="TANIMSIZ MÜŞTERİ","—",INDEX(MUSTERILER!$C$7:$C$156,MATCH($C794,MUSTERILER!$B$7:$B$156,0))))</f>
        <v/>
      </c>
      <c r="O794" s="2"/>
      <c r="P794" s="2"/>
      <c r="Q794" s="1" t="str">
        <f>IF($D794="","",$C794&amp;"|"&amp;COUNTIFS($C$7:$C794,$C794))</f>
        <v/>
      </c>
      <c r="R794" s="1" t="str">
        <f t="shared" si="24"/>
        <v/>
      </c>
      <c r="S794" s="1" t="str">
        <f t="shared" si="25"/>
        <v/>
      </c>
      <c r="T794" s="1">
        <f>IF($E794="",0,SUMPRODUCT((AY_SONU!$O$7:$O$42="Evet")*(AY_SONU!$B$7:$B$42=DATE(YEAR($E794),MONTH($E794),1))))</f>
        <v>0</v>
      </c>
      <c r="U794" s="1" t="str">
        <f>IF(OR($G794="",$H794="Mahsup"),"",$G794&amp;"|"&amp;COUNTIFS($G$7:$G794,$G794,$H$7:$H794,"&lt;&gt;Mahsup"))</f>
        <v/>
      </c>
    </row>
    <row r="795" spans="1:21" ht="18" customHeight="1" x14ac:dyDescent="0.3">
      <c r="A795" s="2"/>
      <c r="B795" s="65" t="str">
        <f>IF($D795="","","T"&amp;TEXT(ROW()-6,"00000"))</f>
        <v/>
      </c>
      <c r="C795" s="65" t="str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61"/>
      <c r="E795" s="66"/>
      <c r="F795" s="67"/>
      <c r="G795" s="60"/>
      <c r="H795" s="60"/>
      <c r="I795" s="61"/>
      <c r="J795" s="61"/>
      <c r="K795" s="61"/>
      <c r="L795" s="73" t="str">
        <f>IF($E795="","",DATE(YEAR($E795),MONTH($E795),1))</f>
        <v/>
      </c>
      <c r="M795" s="65" t="str">
        <f ca="1">IF($D795="","",IF($C795="TANIMSIZ MÜŞTERİ","HATA",IF(OR($E795="",$F795&lt;=0,$G795=""),"EKSİK",IF($E795&gt;TODAY(),"İLERİ TARİH",IF(COUNTIF($S$7:$S$2503,$S795)&gt;1,"MÜKERRER?",IF($T795&gt;0,"KAPALI DÖNEM","UYGUN"))))))</f>
        <v/>
      </c>
      <c r="N795" s="74" t="str">
        <f>IF($C795="","",IF($C795="TANIMSIZ MÜŞTERİ","—",INDEX(MUSTERILER!$C$7:$C$156,MATCH($C795,MUSTERILER!$B$7:$B$156,0))))</f>
        <v/>
      </c>
      <c r="O795" s="2"/>
      <c r="P795" s="2"/>
      <c r="Q795" s="1" t="str">
        <f>IF($D795="","",$C795&amp;"|"&amp;COUNTIFS($C$7:$C795,$C795))</f>
        <v/>
      </c>
      <c r="R795" s="1" t="str">
        <f t="shared" si="24"/>
        <v/>
      </c>
      <c r="S795" s="1" t="str">
        <f t="shared" si="25"/>
        <v/>
      </c>
      <c r="T795" s="1">
        <f>IF($E795="",0,SUMPRODUCT((AY_SONU!$O$7:$O$42="Evet")*(AY_SONU!$B$7:$B$42=DATE(YEAR($E795),MONTH($E795),1))))</f>
        <v>0</v>
      </c>
      <c r="U795" s="1" t="str">
        <f>IF(OR($G795="",$H795="Mahsup"),"",$G795&amp;"|"&amp;COUNTIFS($G$7:$G795,$G795,$H$7:$H795,"&lt;&gt;Mahsup"))</f>
        <v/>
      </c>
    </row>
    <row r="796" spans="1:21" ht="18" customHeight="1" x14ac:dyDescent="0.3">
      <c r="A796" s="2"/>
      <c r="B796" s="65" t="str">
        <f>IF($D796="","","T"&amp;TEXT(ROW()-6,"00000"))</f>
        <v/>
      </c>
      <c r="C796" s="65" t="str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61"/>
      <c r="E796" s="66"/>
      <c r="F796" s="67"/>
      <c r="G796" s="60"/>
      <c r="H796" s="60"/>
      <c r="I796" s="61"/>
      <c r="J796" s="61"/>
      <c r="K796" s="61"/>
      <c r="L796" s="73" t="str">
        <f>IF($E796="","",DATE(YEAR($E796),MONTH($E796),1))</f>
        <v/>
      </c>
      <c r="M796" s="65" t="str">
        <f ca="1">IF($D796="","",IF($C796="TANIMSIZ MÜŞTERİ","HATA",IF(OR($E796="",$F796&lt;=0,$G796=""),"EKSİK",IF($E796&gt;TODAY(),"İLERİ TARİH",IF(COUNTIF($S$7:$S$2503,$S796)&gt;1,"MÜKERRER?",IF($T796&gt;0,"KAPALI DÖNEM","UYGUN"))))))</f>
        <v/>
      </c>
      <c r="N796" s="74" t="str">
        <f>IF($C796="","",IF($C796="TANIMSIZ MÜŞTERİ","—",INDEX(MUSTERILER!$C$7:$C$156,MATCH($C796,MUSTERILER!$B$7:$B$156,0))))</f>
        <v/>
      </c>
      <c r="O796" s="2"/>
      <c r="P796" s="2"/>
      <c r="Q796" s="1" t="str">
        <f>IF($D796="","",$C796&amp;"|"&amp;COUNTIFS($C$7:$C796,$C796))</f>
        <v/>
      </c>
      <c r="R796" s="1" t="str">
        <f t="shared" si="24"/>
        <v/>
      </c>
      <c r="S796" s="1" t="str">
        <f t="shared" si="25"/>
        <v/>
      </c>
      <c r="T796" s="1">
        <f>IF($E796="",0,SUMPRODUCT((AY_SONU!$O$7:$O$42="Evet")*(AY_SONU!$B$7:$B$42=DATE(YEAR($E796),MONTH($E796),1))))</f>
        <v>0</v>
      </c>
      <c r="U796" s="1" t="str">
        <f>IF(OR($G796="",$H796="Mahsup"),"",$G796&amp;"|"&amp;COUNTIFS($G$7:$G796,$G796,$H$7:$H796,"&lt;&gt;Mahsup"))</f>
        <v/>
      </c>
    </row>
    <row r="797" spans="1:21" ht="18" customHeight="1" x14ac:dyDescent="0.3">
      <c r="A797" s="2"/>
      <c r="B797" s="65" t="str">
        <f>IF($D797="","","T"&amp;TEXT(ROW()-6,"00000"))</f>
        <v/>
      </c>
      <c r="C797" s="65" t="str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61"/>
      <c r="E797" s="66"/>
      <c r="F797" s="67"/>
      <c r="G797" s="60"/>
      <c r="H797" s="60"/>
      <c r="I797" s="61"/>
      <c r="J797" s="61"/>
      <c r="K797" s="61"/>
      <c r="L797" s="73" t="str">
        <f>IF($E797="","",DATE(YEAR($E797),MONTH($E797),1))</f>
        <v/>
      </c>
      <c r="M797" s="65" t="str">
        <f ca="1">IF($D797="","",IF($C797="TANIMSIZ MÜŞTERİ","HATA",IF(OR($E797="",$F797&lt;=0,$G797=""),"EKSİK",IF($E797&gt;TODAY(),"İLERİ TARİH",IF(COUNTIF($S$7:$S$2503,$S797)&gt;1,"MÜKERRER?",IF($T797&gt;0,"KAPALI DÖNEM","UYGUN"))))))</f>
        <v/>
      </c>
      <c r="N797" s="74" t="str">
        <f>IF($C797="","",IF($C797="TANIMSIZ MÜŞTERİ","—",INDEX(MUSTERILER!$C$7:$C$156,MATCH($C797,MUSTERILER!$B$7:$B$156,0))))</f>
        <v/>
      </c>
      <c r="O797" s="2"/>
      <c r="P797" s="2"/>
      <c r="Q797" s="1" t="str">
        <f>IF($D797="","",$C797&amp;"|"&amp;COUNTIFS($C$7:$C797,$C797))</f>
        <v/>
      </c>
      <c r="R797" s="1" t="str">
        <f t="shared" si="24"/>
        <v/>
      </c>
      <c r="S797" s="1" t="str">
        <f t="shared" si="25"/>
        <v/>
      </c>
      <c r="T797" s="1">
        <f>IF($E797="",0,SUMPRODUCT((AY_SONU!$O$7:$O$42="Evet")*(AY_SONU!$B$7:$B$42=DATE(YEAR($E797),MONTH($E797),1))))</f>
        <v>0</v>
      </c>
      <c r="U797" s="1" t="str">
        <f>IF(OR($G797="",$H797="Mahsup"),"",$G797&amp;"|"&amp;COUNTIFS($G$7:$G797,$G797,$H$7:$H797,"&lt;&gt;Mahsup"))</f>
        <v/>
      </c>
    </row>
    <row r="798" spans="1:21" ht="18" customHeight="1" x14ac:dyDescent="0.3">
      <c r="A798" s="2"/>
      <c r="B798" s="65" t="str">
        <f>IF($D798="","","T"&amp;TEXT(ROW()-6,"00000"))</f>
        <v/>
      </c>
      <c r="C798" s="65" t="str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61"/>
      <c r="E798" s="66"/>
      <c r="F798" s="67"/>
      <c r="G798" s="60"/>
      <c r="H798" s="60"/>
      <c r="I798" s="61"/>
      <c r="J798" s="61"/>
      <c r="K798" s="61"/>
      <c r="L798" s="73" t="str">
        <f>IF($E798="","",DATE(YEAR($E798),MONTH($E798),1))</f>
        <v/>
      </c>
      <c r="M798" s="65" t="str">
        <f ca="1">IF($D798="","",IF($C798="TANIMSIZ MÜŞTERİ","HATA",IF(OR($E798="",$F798&lt;=0,$G798=""),"EKSİK",IF($E798&gt;TODAY(),"İLERİ TARİH",IF(COUNTIF($S$7:$S$2503,$S798)&gt;1,"MÜKERRER?",IF($T798&gt;0,"KAPALI DÖNEM","UYGUN"))))))</f>
        <v/>
      </c>
      <c r="N798" s="74" t="str">
        <f>IF($C798="","",IF($C798="TANIMSIZ MÜŞTERİ","—",INDEX(MUSTERILER!$C$7:$C$156,MATCH($C798,MUSTERILER!$B$7:$B$156,0))))</f>
        <v/>
      </c>
      <c r="O798" s="2"/>
      <c r="P798" s="2"/>
      <c r="Q798" s="1" t="str">
        <f>IF($D798="","",$C798&amp;"|"&amp;COUNTIFS($C$7:$C798,$C798))</f>
        <v/>
      </c>
      <c r="R798" s="1" t="str">
        <f t="shared" si="24"/>
        <v/>
      </c>
      <c r="S798" s="1" t="str">
        <f t="shared" si="25"/>
        <v/>
      </c>
      <c r="T798" s="1">
        <f>IF($E798="",0,SUMPRODUCT((AY_SONU!$O$7:$O$42="Evet")*(AY_SONU!$B$7:$B$42=DATE(YEAR($E798),MONTH($E798),1))))</f>
        <v>0</v>
      </c>
      <c r="U798" s="1" t="str">
        <f>IF(OR($G798="",$H798="Mahsup"),"",$G798&amp;"|"&amp;COUNTIFS($G$7:$G798,$G798,$H$7:$H798,"&lt;&gt;Mahsup"))</f>
        <v/>
      </c>
    </row>
    <row r="799" spans="1:21" ht="18" customHeight="1" x14ac:dyDescent="0.3">
      <c r="A799" s="2"/>
      <c r="B799" s="65" t="str">
        <f>IF($D799="","","T"&amp;TEXT(ROW()-6,"00000"))</f>
        <v/>
      </c>
      <c r="C799" s="65" t="str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61"/>
      <c r="E799" s="66"/>
      <c r="F799" s="67"/>
      <c r="G799" s="60"/>
      <c r="H799" s="60"/>
      <c r="I799" s="61"/>
      <c r="J799" s="61"/>
      <c r="K799" s="61"/>
      <c r="L799" s="73" t="str">
        <f>IF($E799="","",DATE(YEAR($E799),MONTH($E799),1))</f>
        <v/>
      </c>
      <c r="M799" s="65" t="str">
        <f ca="1">IF($D799="","",IF($C799="TANIMSIZ MÜŞTERİ","HATA",IF(OR($E799="",$F799&lt;=0,$G799=""),"EKSİK",IF($E799&gt;TODAY(),"İLERİ TARİH",IF(COUNTIF($S$7:$S$2503,$S799)&gt;1,"MÜKERRER?",IF($T799&gt;0,"KAPALI DÖNEM","UYGUN"))))))</f>
        <v/>
      </c>
      <c r="N799" s="74" t="str">
        <f>IF($C799="","",IF($C799="TANIMSIZ MÜŞTERİ","—",INDEX(MUSTERILER!$C$7:$C$156,MATCH($C799,MUSTERILER!$B$7:$B$156,0))))</f>
        <v/>
      </c>
      <c r="O799" s="2"/>
      <c r="P799" s="2"/>
      <c r="Q799" s="1" t="str">
        <f>IF($D799="","",$C799&amp;"|"&amp;COUNTIFS($C$7:$C799,$C799))</f>
        <v/>
      </c>
      <c r="R799" s="1" t="str">
        <f t="shared" si="24"/>
        <v/>
      </c>
      <c r="S799" s="1" t="str">
        <f t="shared" si="25"/>
        <v/>
      </c>
      <c r="T799" s="1">
        <f>IF($E799="",0,SUMPRODUCT((AY_SONU!$O$7:$O$42="Evet")*(AY_SONU!$B$7:$B$42=DATE(YEAR($E799),MONTH($E799),1))))</f>
        <v>0</v>
      </c>
      <c r="U799" s="1" t="str">
        <f>IF(OR($G799="",$H799="Mahsup"),"",$G799&amp;"|"&amp;COUNTIFS($G$7:$G799,$G799,$H$7:$H799,"&lt;&gt;Mahsup"))</f>
        <v/>
      </c>
    </row>
    <row r="800" spans="1:21" ht="18" customHeight="1" x14ac:dyDescent="0.3">
      <c r="A800" s="2"/>
      <c r="B800" s="65" t="str">
        <f>IF($D800="","","T"&amp;TEXT(ROW()-6,"00000"))</f>
        <v/>
      </c>
      <c r="C800" s="65" t="str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61"/>
      <c r="E800" s="66"/>
      <c r="F800" s="67"/>
      <c r="G800" s="60"/>
      <c r="H800" s="60"/>
      <c r="I800" s="61"/>
      <c r="J800" s="61"/>
      <c r="K800" s="61"/>
      <c r="L800" s="73" t="str">
        <f>IF($E800="","",DATE(YEAR($E800),MONTH($E800),1))</f>
        <v/>
      </c>
      <c r="M800" s="65" t="str">
        <f ca="1">IF($D800="","",IF($C800="TANIMSIZ MÜŞTERİ","HATA",IF(OR($E800="",$F800&lt;=0,$G800=""),"EKSİK",IF($E800&gt;TODAY(),"İLERİ TARİH",IF(COUNTIF($S$7:$S$2503,$S800)&gt;1,"MÜKERRER?",IF($T800&gt;0,"KAPALI DÖNEM","UYGUN"))))))</f>
        <v/>
      </c>
      <c r="N800" s="74" t="str">
        <f>IF($C800="","",IF($C800="TANIMSIZ MÜŞTERİ","—",INDEX(MUSTERILER!$C$7:$C$156,MATCH($C800,MUSTERILER!$B$7:$B$156,0))))</f>
        <v/>
      </c>
      <c r="O800" s="2"/>
      <c r="P800" s="2"/>
      <c r="Q800" s="1" t="str">
        <f>IF($D800="","",$C800&amp;"|"&amp;COUNTIFS($C$7:$C800,$C800))</f>
        <v/>
      </c>
      <c r="R800" s="1" t="str">
        <f t="shared" si="24"/>
        <v/>
      </c>
      <c r="S800" s="1" t="str">
        <f t="shared" si="25"/>
        <v/>
      </c>
      <c r="T800" s="1">
        <f>IF($E800="",0,SUMPRODUCT((AY_SONU!$O$7:$O$42="Evet")*(AY_SONU!$B$7:$B$42=DATE(YEAR($E800),MONTH($E800),1))))</f>
        <v>0</v>
      </c>
      <c r="U800" s="1" t="str">
        <f>IF(OR($G800="",$H800="Mahsup"),"",$G800&amp;"|"&amp;COUNTIFS($G$7:$G800,$G800,$H$7:$H800,"&lt;&gt;Mahsup"))</f>
        <v/>
      </c>
    </row>
    <row r="801" spans="1:21" ht="18" customHeight="1" x14ac:dyDescent="0.3">
      <c r="A801" s="2"/>
      <c r="B801" s="65" t="str">
        <f>IF($D801="","","T"&amp;TEXT(ROW()-6,"00000"))</f>
        <v/>
      </c>
      <c r="C801" s="65" t="str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61"/>
      <c r="E801" s="66"/>
      <c r="F801" s="67"/>
      <c r="G801" s="60"/>
      <c r="H801" s="60"/>
      <c r="I801" s="61"/>
      <c r="J801" s="61"/>
      <c r="K801" s="61"/>
      <c r="L801" s="73" t="str">
        <f>IF($E801="","",DATE(YEAR($E801),MONTH($E801),1))</f>
        <v/>
      </c>
      <c r="M801" s="65" t="str">
        <f ca="1">IF($D801="","",IF($C801="TANIMSIZ MÜŞTERİ","HATA",IF(OR($E801="",$F801&lt;=0,$G801=""),"EKSİK",IF($E801&gt;TODAY(),"İLERİ TARİH",IF(COUNTIF($S$7:$S$2503,$S801)&gt;1,"MÜKERRER?",IF($T801&gt;0,"KAPALI DÖNEM","UYGUN"))))))</f>
        <v/>
      </c>
      <c r="N801" s="74" t="str">
        <f>IF($C801="","",IF($C801="TANIMSIZ MÜŞTERİ","—",INDEX(MUSTERILER!$C$7:$C$156,MATCH($C801,MUSTERILER!$B$7:$B$156,0))))</f>
        <v/>
      </c>
      <c r="O801" s="2"/>
      <c r="P801" s="2"/>
      <c r="Q801" s="1" t="str">
        <f>IF($D801="","",$C801&amp;"|"&amp;COUNTIFS($C$7:$C801,$C801))</f>
        <v/>
      </c>
      <c r="R801" s="1" t="str">
        <f t="shared" si="24"/>
        <v/>
      </c>
      <c r="S801" s="1" t="str">
        <f t="shared" si="25"/>
        <v/>
      </c>
      <c r="T801" s="1">
        <f>IF($E801="",0,SUMPRODUCT((AY_SONU!$O$7:$O$42="Evet")*(AY_SONU!$B$7:$B$42=DATE(YEAR($E801),MONTH($E801),1))))</f>
        <v>0</v>
      </c>
      <c r="U801" s="1" t="str">
        <f>IF(OR($G801="",$H801="Mahsup"),"",$G801&amp;"|"&amp;COUNTIFS($G$7:$G801,$G801,$H$7:$H801,"&lt;&gt;Mahsup"))</f>
        <v/>
      </c>
    </row>
    <row r="802" spans="1:21" ht="18" customHeight="1" x14ac:dyDescent="0.3">
      <c r="A802" s="2"/>
      <c r="B802" s="65" t="str">
        <f>IF($D802="","","T"&amp;TEXT(ROW()-6,"00000"))</f>
        <v/>
      </c>
      <c r="C802" s="65" t="str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61"/>
      <c r="E802" s="66"/>
      <c r="F802" s="67"/>
      <c r="G802" s="60"/>
      <c r="H802" s="60"/>
      <c r="I802" s="61"/>
      <c r="J802" s="61"/>
      <c r="K802" s="61"/>
      <c r="L802" s="73" t="str">
        <f>IF($E802="","",DATE(YEAR($E802),MONTH($E802),1))</f>
        <v/>
      </c>
      <c r="M802" s="65" t="str">
        <f ca="1">IF($D802="","",IF($C802="TANIMSIZ MÜŞTERİ","HATA",IF(OR($E802="",$F802&lt;=0,$G802=""),"EKSİK",IF($E802&gt;TODAY(),"İLERİ TARİH",IF(COUNTIF($S$7:$S$2503,$S802)&gt;1,"MÜKERRER?",IF($T802&gt;0,"KAPALI DÖNEM","UYGUN"))))))</f>
        <v/>
      </c>
      <c r="N802" s="74" t="str">
        <f>IF($C802="","",IF($C802="TANIMSIZ MÜŞTERİ","—",INDEX(MUSTERILER!$C$7:$C$156,MATCH($C802,MUSTERILER!$B$7:$B$156,0))))</f>
        <v/>
      </c>
      <c r="O802" s="2"/>
      <c r="P802" s="2"/>
      <c r="Q802" s="1" t="str">
        <f>IF($D802="","",$C802&amp;"|"&amp;COUNTIFS($C$7:$C802,$C802))</f>
        <v/>
      </c>
      <c r="R802" s="1" t="str">
        <f t="shared" si="24"/>
        <v/>
      </c>
      <c r="S802" s="1" t="str">
        <f t="shared" si="25"/>
        <v/>
      </c>
      <c r="T802" s="1">
        <f>IF($E802="",0,SUMPRODUCT((AY_SONU!$O$7:$O$42="Evet")*(AY_SONU!$B$7:$B$42=DATE(YEAR($E802),MONTH($E802),1))))</f>
        <v>0</v>
      </c>
      <c r="U802" s="1" t="str">
        <f>IF(OR($G802="",$H802="Mahsup"),"",$G802&amp;"|"&amp;COUNTIFS($G$7:$G802,$G802,$H$7:$H802,"&lt;&gt;Mahsup"))</f>
        <v/>
      </c>
    </row>
    <row r="803" spans="1:21" ht="18" customHeight="1" x14ac:dyDescent="0.3">
      <c r="A803" s="2"/>
      <c r="B803" s="65" t="str">
        <f>IF($D803="","","T"&amp;TEXT(ROW()-6,"00000"))</f>
        <v/>
      </c>
      <c r="C803" s="65" t="str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61"/>
      <c r="E803" s="66"/>
      <c r="F803" s="67"/>
      <c r="G803" s="60"/>
      <c r="H803" s="60"/>
      <c r="I803" s="61"/>
      <c r="J803" s="61"/>
      <c r="K803" s="61"/>
      <c r="L803" s="73" t="str">
        <f>IF($E803="","",DATE(YEAR($E803),MONTH($E803),1))</f>
        <v/>
      </c>
      <c r="M803" s="65" t="str">
        <f ca="1">IF($D803="","",IF($C803="TANIMSIZ MÜŞTERİ","HATA",IF(OR($E803="",$F803&lt;=0,$G803=""),"EKSİK",IF($E803&gt;TODAY(),"İLERİ TARİH",IF(COUNTIF($S$7:$S$2503,$S803)&gt;1,"MÜKERRER?",IF($T803&gt;0,"KAPALI DÖNEM","UYGUN"))))))</f>
        <v/>
      </c>
      <c r="N803" s="74" t="str">
        <f>IF($C803="","",IF($C803="TANIMSIZ MÜŞTERİ","—",INDEX(MUSTERILER!$C$7:$C$156,MATCH($C803,MUSTERILER!$B$7:$B$156,0))))</f>
        <v/>
      </c>
      <c r="O803" s="2"/>
      <c r="P803" s="2"/>
      <c r="Q803" s="1" t="str">
        <f>IF($D803="","",$C803&amp;"|"&amp;COUNTIFS($C$7:$C803,$C803))</f>
        <v/>
      </c>
      <c r="R803" s="1" t="str">
        <f t="shared" si="24"/>
        <v/>
      </c>
      <c r="S803" s="1" t="str">
        <f t="shared" si="25"/>
        <v/>
      </c>
      <c r="T803" s="1">
        <f>IF($E803="",0,SUMPRODUCT((AY_SONU!$O$7:$O$42="Evet")*(AY_SONU!$B$7:$B$42=DATE(YEAR($E803),MONTH($E803),1))))</f>
        <v>0</v>
      </c>
      <c r="U803" s="1" t="str">
        <f>IF(OR($G803="",$H803="Mahsup"),"",$G803&amp;"|"&amp;COUNTIFS($G$7:$G803,$G803,$H$7:$H803,"&lt;&gt;Mahsup"))</f>
        <v/>
      </c>
    </row>
    <row r="804" spans="1:21" ht="18" customHeight="1" x14ac:dyDescent="0.3">
      <c r="A804" s="2"/>
      <c r="B804" s="65" t="str">
        <f>IF($D804="","","T"&amp;TEXT(ROW()-6,"00000"))</f>
        <v/>
      </c>
      <c r="C804" s="65" t="str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61"/>
      <c r="E804" s="66"/>
      <c r="F804" s="67"/>
      <c r="G804" s="60"/>
      <c r="H804" s="60"/>
      <c r="I804" s="61"/>
      <c r="J804" s="61"/>
      <c r="K804" s="61"/>
      <c r="L804" s="73" t="str">
        <f>IF($E804="","",DATE(YEAR($E804),MONTH($E804),1))</f>
        <v/>
      </c>
      <c r="M804" s="65" t="str">
        <f ca="1">IF($D804="","",IF($C804="TANIMSIZ MÜŞTERİ","HATA",IF(OR($E804="",$F804&lt;=0,$G804=""),"EKSİK",IF($E804&gt;TODAY(),"İLERİ TARİH",IF(COUNTIF($S$7:$S$2503,$S804)&gt;1,"MÜKERRER?",IF($T804&gt;0,"KAPALI DÖNEM","UYGUN"))))))</f>
        <v/>
      </c>
      <c r="N804" s="74" t="str">
        <f>IF($C804="","",IF($C804="TANIMSIZ MÜŞTERİ","—",INDEX(MUSTERILER!$C$7:$C$156,MATCH($C804,MUSTERILER!$B$7:$B$156,0))))</f>
        <v/>
      </c>
      <c r="O804" s="2"/>
      <c r="P804" s="2"/>
      <c r="Q804" s="1" t="str">
        <f>IF($D804="","",$C804&amp;"|"&amp;COUNTIFS($C$7:$C804,$C804))</f>
        <v/>
      </c>
      <c r="R804" s="1" t="str">
        <f t="shared" si="24"/>
        <v/>
      </c>
      <c r="S804" s="1" t="str">
        <f t="shared" si="25"/>
        <v/>
      </c>
      <c r="T804" s="1">
        <f>IF($E804="",0,SUMPRODUCT((AY_SONU!$O$7:$O$42="Evet")*(AY_SONU!$B$7:$B$42=DATE(YEAR($E804),MONTH($E804),1))))</f>
        <v>0</v>
      </c>
      <c r="U804" s="1" t="str">
        <f>IF(OR($G804="",$H804="Mahsup"),"",$G804&amp;"|"&amp;COUNTIFS($G$7:$G804,$G804,$H$7:$H804,"&lt;&gt;Mahsup"))</f>
        <v/>
      </c>
    </row>
    <row r="805" spans="1:21" ht="18" customHeight="1" x14ac:dyDescent="0.3">
      <c r="A805" s="2"/>
      <c r="B805" s="65" t="str">
        <f>IF($D805="","","T"&amp;TEXT(ROW()-6,"00000"))</f>
        <v/>
      </c>
      <c r="C805" s="65" t="str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61"/>
      <c r="E805" s="66"/>
      <c r="F805" s="67"/>
      <c r="G805" s="60"/>
      <c r="H805" s="60"/>
      <c r="I805" s="61"/>
      <c r="J805" s="61"/>
      <c r="K805" s="61"/>
      <c r="L805" s="73" t="str">
        <f>IF($E805="","",DATE(YEAR($E805),MONTH($E805),1))</f>
        <v/>
      </c>
      <c r="M805" s="65" t="str">
        <f ca="1">IF($D805="","",IF($C805="TANIMSIZ MÜŞTERİ","HATA",IF(OR($E805="",$F805&lt;=0,$G805=""),"EKSİK",IF($E805&gt;TODAY(),"İLERİ TARİH",IF(COUNTIF($S$7:$S$2503,$S805)&gt;1,"MÜKERRER?",IF($T805&gt;0,"KAPALI DÖNEM","UYGUN"))))))</f>
        <v/>
      </c>
      <c r="N805" s="74" t="str">
        <f>IF($C805="","",IF($C805="TANIMSIZ MÜŞTERİ","—",INDEX(MUSTERILER!$C$7:$C$156,MATCH($C805,MUSTERILER!$B$7:$B$156,0))))</f>
        <v/>
      </c>
      <c r="O805" s="2"/>
      <c r="P805" s="2"/>
      <c r="Q805" s="1" t="str">
        <f>IF($D805="","",$C805&amp;"|"&amp;COUNTIFS($C$7:$C805,$C805))</f>
        <v/>
      </c>
      <c r="R805" s="1" t="str">
        <f t="shared" si="24"/>
        <v/>
      </c>
      <c r="S805" s="1" t="str">
        <f t="shared" si="25"/>
        <v/>
      </c>
      <c r="T805" s="1">
        <f>IF($E805="",0,SUMPRODUCT((AY_SONU!$O$7:$O$42="Evet")*(AY_SONU!$B$7:$B$42=DATE(YEAR($E805),MONTH($E805),1))))</f>
        <v>0</v>
      </c>
      <c r="U805" s="1" t="str">
        <f>IF(OR($G805="",$H805="Mahsup"),"",$G805&amp;"|"&amp;COUNTIFS($G$7:$G805,$G805,$H$7:$H805,"&lt;&gt;Mahsup"))</f>
        <v/>
      </c>
    </row>
    <row r="806" spans="1:21" ht="18" customHeight="1" x14ac:dyDescent="0.3">
      <c r="A806" s="2"/>
      <c r="B806" s="65" t="str">
        <f>IF($D806="","","T"&amp;TEXT(ROW()-6,"00000"))</f>
        <v/>
      </c>
      <c r="C806" s="65" t="str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61"/>
      <c r="E806" s="66"/>
      <c r="F806" s="67"/>
      <c r="G806" s="60"/>
      <c r="H806" s="60"/>
      <c r="I806" s="61"/>
      <c r="J806" s="61"/>
      <c r="K806" s="61"/>
      <c r="L806" s="73" t="str">
        <f>IF($E806="","",DATE(YEAR($E806),MONTH($E806),1))</f>
        <v/>
      </c>
      <c r="M806" s="65" t="str">
        <f ca="1">IF($D806="","",IF($C806="TANIMSIZ MÜŞTERİ","HATA",IF(OR($E806="",$F806&lt;=0,$G806=""),"EKSİK",IF($E806&gt;TODAY(),"İLERİ TARİH",IF(COUNTIF($S$7:$S$2503,$S806)&gt;1,"MÜKERRER?",IF($T806&gt;0,"KAPALI DÖNEM","UYGUN"))))))</f>
        <v/>
      </c>
      <c r="N806" s="74" t="str">
        <f>IF($C806="","",IF($C806="TANIMSIZ MÜŞTERİ","—",INDEX(MUSTERILER!$C$7:$C$156,MATCH($C806,MUSTERILER!$B$7:$B$156,0))))</f>
        <v/>
      </c>
      <c r="O806" s="2"/>
      <c r="P806" s="2"/>
      <c r="Q806" s="1" t="str">
        <f>IF($D806="","",$C806&amp;"|"&amp;COUNTIFS($C$7:$C806,$C806))</f>
        <v/>
      </c>
      <c r="R806" s="1" t="str">
        <f t="shared" si="24"/>
        <v/>
      </c>
      <c r="S806" s="1" t="str">
        <f t="shared" si="25"/>
        <v/>
      </c>
      <c r="T806" s="1">
        <f>IF($E806="",0,SUMPRODUCT((AY_SONU!$O$7:$O$42="Evet")*(AY_SONU!$B$7:$B$42=DATE(YEAR($E806),MONTH($E806),1))))</f>
        <v>0</v>
      </c>
      <c r="U806" s="1" t="str">
        <f>IF(OR($G806="",$H806="Mahsup"),"",$G806&amp;"|"&amp;COUNTIFS($G$7:$G806,$G806,$H$7:$H806,"&lt;&gt;Mahsup"))</f>
        <v/>
      </c>
    </row>
    <row r="807" spans="1:21" ht="18" customHeight="1" x14ac:dyDescent="0.3">
      <c r="A807" s="2"/>
      <c r="B807" s="65" t="str">
        <f>IF($D807="","","T"&amp;TEXT(ROW()-6,"00000"))</f>
        <v/>
      </c>
      <c r="C807" s="65" t="str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61"/>
      <c r="E807" s="66"/>
      <c r="F807" s="67"/>
      <c r="G807" s="60"/>
      <c r="H807" s="60"/>
      <c r="I807" s="61"/>
      <c r="J807" s="61"/>
      <c r="K807" s="61"/>
      <c r="L807" s="73" t="str">
        <f>IF($E807="","",DATE(YEAR($E807),MONTH($E807),1))</f>
        <v/>
      </c>
      <c r="M807" s="65" t="str">
        <f ca="1">IF($D807="","",IF($C807="TANIMSIZ MÜŞTERİ","HATA",IF(OR($E807="",$F807&lt;=0,$G807=""),"EKSİK",IF($E807&gt;TODAY(),"İLERİ TARİH",IF(COUNTIF($S$7:$S$2503,$S807)&gt;1,"MÜKERRER?",IF($T807&gt;0,"KAPALI DÖNEM","UYGUN"))))))</f>
        <v/>
      </c>
      <c r="N807" s="74" t="str">
        <f>IF($C807="","",IF($C807="TANIMSIZ MÜŞTERİ","—",INDEX(MUSTERILER!$C$7:$C$156,MATCH($C807,MUSTERILER!$B$7:$B$156,0))))</f>
        <v/>
      </c>
      <c r="O807" s="2"/>
      <c r="P807" s="2"/>
      <c r="Q807" s="1" t="str">
        <f>IF($D807="","",$C807&amp;"|"&amp;COUNTIFS($C$7:$C807,$C807))</f>
        <v/>
      </c>
      <c r="R807" s="1" t="str">
        <f t="shared" si="24"/>
        <v/>
      </c>
      <c r="S807" s="1" t="str">
        <f t="shared" si="25"/>
        <v/>
      </c>
      <c r="T807" s="1">
        <f>IF($E807="",0,SUMPRODUCT((AY_SONU!$O$7:$O$42="Evet")*(AY_SONU!$B$7:$B$42=DATE(YEAR($E807),MONTH($E807),1))))</f>
        <v>0</v>
      </c>
      <c r="U807" s="1" t="str">
        <f>IF(OR($G807="",$H807="Mahsup"),"",$G807&amp;"|"&amp;COUNTIFS($G$7:$G807,$G807,$H$7:$H807,"&lt;&gt;Mahsup"))</f>
        <v/>
      </c>
    </row>
    <row r="808" spans="1:21" ht="18" customHeight="1" x14ac:dyDescent="0.3">
      <c r="A808" s="2"/>
      <c r="B808" s="65" t="str">
        <f>IF($D808="","","T"&amp;TEXT(ROW()-6,"00000"))</f>
        <v/>
      </c>
      <c r="C808" s="65" t="str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61"/>
      <c r="E808" s="66"/>
      <c r="F808" s="67"/>
      <c r="G808" s="60"/>
      <c r="H808" s="60"/>
      <c r="I808" s="61"/>
      <c r="J808" s="61"/>
      <c r="K808" s="61"/>
      <c r="L808" s="73" t="str">
        <f>IF($E808="","",DATE(YEAR($E808),MONTH($E808),1))</f>
        <v/>
      </c>
      <c r="M808" s="65" t="str">
        <f ca="1">IF($D808="","",IF($C808="TANIMSIZ MÜŞTERİ","HATA",IF(OR($E808="",$F808&lt;=0,$G808=""),"EKSİK",IF($E808&gt;TODAY(),"İLERİ TARİH",IF(COUNTIF($S$7:$S$2503,$S808)&gt;1,"MÜKERRER?",IF($T808&gt;0,"KAPALI DÖNEM","UYGUN"))))))</f>
        <v/>
      </c>
      <c r="N808" s="74" t="str">
        <f>IF($C808="","",IF($C808="TANIMSIZ MÜŞTERİ","—",INDEX(MUSTERILER!$C$7:$C$156,MATCH($C808,MUSTERILER!$B$7:$B$156,0))))</f>
        <v/>
      </c>
      <c r="O808" s="2"/>
      <c r="P808" s="2"/>
      <c r="Q808" s="1" t="str">
        <f>IF($D808="","",$C808&amp;"|"&amp;COUNTIFS($C$7:$C808,$C808))</f>
        <v/>
      </c>
      <c r="R808" s="1" t="str">
        <f t="shared" si="24"/>
        <v/>
      </c>
      <c r="S808" s="1" t="str">
        <f t="shared" si="25"/>
        <v/>
      </c>
      <c r="T808" s="1">
        <f>IF($E808="",0,SUMPRODUCT((AY_SONU!$O$7:$O$42="Evet")*(AY_SONU!$B$7:$B$42=DATE(YEAR($E808),MONTH($E808),1))))</f>
        <v>0</v>
      </c>
      <c r="U808" s="1" t="str">
        <f>IF(OR($G808="",$H808="Mahsup"),"",$G808&amp;"|"&amp;COUNTIFS($G$7:$G808,$G808,$H$7:$H808,"&lt;&gt;Mahsup"))</f>
        <v/>
      </c>
    </row>
    <row r="809" spans="1:21" ht="18" customHeight="1" x14ac:dyDescent="0.3">
      <c r="A809" s="2"/>
      <c r="B809" s="65" t="str">
        <f>IF($D809="","","T"&amp;TEXT(ROW()-6,"00000"))</f>
        <v/>
      </c>
      <c r="C809" s="65" t="str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61"/>
      <c r="E809" s="66"/>
      <c r="F809" s="67"/>
      <c r="G809" s="60"/>
      <c r="H809" s="60"/>
      <c r="I809" s="61"/>
      <c r="J809" s="61"/>
      <c r="K809" s="61"/>
      <c r="L809" s="73" t="str">
        <f>IF($E809="","",DATE(YEAR($E809),MONTH($E809),1))</f>
        <v/>
      </c>
      <c r="M809" s="65" t="str">
        <f ca="1">IF($D809="","",IF($C809="TANIMSIZ MÜŞTERİ","HATA",IF(OR($E809="",$F809&lt;=0,$G809=""),"EKSİK",IF($E809&gt;TODAY(),"İLERİ TARİH",IF(COUNTIF($S$7:$S$2503,$S809)&gt;1,"MÜKERRER?",IF($T809&gt;0,"KAPALI DÖNEM","UYGUN"))))))</f>
        <v/>
      </c>
      <c r="N809" s="74" t="str">
        <f>IF($C809="","",IF($C809="TANIMSIZ MÜŞTERİ","—",INDEX(MUSTERILER!$C$7:$C$156,MATCH($C809,MUSTERILER!$B$7:$B$156,0))))</f>
        <v/>
      </c>
      <c r="O809" s="2"/>
      <c r="P809" s="2"/>
      <c r="Q809" s="1" t="str">
        <f>IF($D809="","",$C809&amp;"|"&amp;COUNTIFS($C$7:$C809,$C809))</f>
        <v/>
      </c>
      <c r="R809" s="1" t="str">
        <f t="shared" si="24"/>
        <v/>
      </c>
      <c r="S809" s="1" t="str">
        <f t="shared" si="25"/>
        <v/>
      </c>
      <c r="T809" s="1">
        <f>IF($E809="",0,SUMPRODUCT((AY_SONU!$O$7:$O$42="Evet")*(AY_SONU!$B$7:$B$42=DATE(YEAR($E809),MONTH($E809),1))))</f>
        <v>0</v>
      </c>
      <c r="U809" s="1" t="str">
        <f>IF(OR($G809="",$H809="Mahsup"),"",$G809&amp;"|"&amp;COUNTIFS($G$7:$G809,$G809,$H$7:$H809,"&lt;&gt;Mahsup"))</f>
        <v/>
      </c>
    </row>
    <row r="810" spans="1:21" ht="18" customHeight="1" x14ac:dyDescent="0.3">
      <c r="A810" s="2"/>
      <c r="B810" s="65" t="str">
        <f>IF($D810="","","T"&amp;TEXT(ROW()-6,"00000"))</f>
        <v/>
      </c>
      <c r="C810" s="65" t="str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61"/>
      <c r="E810" s="66"/>
      <c r="F810" s="67"/>
      <c r="G810" s="60"/>
      <c r="H810" s="60"/>
      <c r="I810" s="61"/>
      <c r="J810" s="61"/>
      <c r="K810" s="61"/>
      <c r="L810" s="73" t="str">
        <f>IF($E810="","",DATE(YEAR($E810),MONTH($E810),1))</f>
        <v/>
      </c>
      <c r="M810" s="65" t="str">
        <f ca="1">IF($D810="","",IF($C810="TANIMSIZ MÜŞTERİ","HATA",IF(OR($E810="",$F810&lt;=0,$G810=""),"EKSİK",IF($E810&gt;TODAY(),"İLERİ TARİH",IF(COUNTIF($S$7:$S$2503,$S810)&gt;1,"MÜKERRER?",IF($T810&gt;0,"KAPALI DÖNEM","UYGUN"))))))</f>
        <v/>
      </c>
      <c r="N810" s="74" t="str">
        <f>IF($C810="","",IF($C810="TANIMSIZ MÜŞTERİ","—",INDEX(MUSTERILER!$C$7:$C$156,MATCH($C810,MUSTERILER!$B$7:$B$156,0))))</f>
        <v/>
      </c>
      <c r="O810" s="2"/>
      <c r="P810" s="2"/>
      <c r="Q810" s="1" t="str">
        <f>IF($D810="","",$C810&amp;"|"&amp;COUNTIFS($C$7:$C810,$C810))</f>
        <v/>
      </c>
      <c r="R810" s="1" t="str">
        <f t="shared" si="24"/>
        <v/>
      </c>
      <c r="S810" s="1" t="str">
        <f t="shared" si="25"/>
        <v/>
      </c>
      <c r="T810" s="1">
        <f>IF($E810="",0,SUMPRODUCT((AY_SONU!$O$7:$O$42="Evet")*(AY_SONU!$B$7:$B$42=DATE(YEAR($E810),MONTH($E810),1))))</f>
        <v>0</v>
      </c>
      <c r="U810" s="1" t="str">
        <f>IF(OR($G810="",$H810="Mahsup"),"",$G810&amp;"|"&amp;COUNTIFS($G$7:$G810,$G810,$H$7:$H810,"&lt;&gt;Mahsup"))</f>
        <v/>
      </c>
    </row>
    <row r="811" spans="1:21" ht="18" customHeight="1" x14ac:dyDescent="0.3">
      <c r="A811" s="2"/>
      <c r="B811" s="65" t="str">
        <f>IF($D811="","","T"&amp;TEXT(ROW()-6,"00000"))</f>
        <v/>
      </c>
      <c r="C811" s="65" t="str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61"/>
      <c r="E811" s="66"/>
      <c r="F811" s="67"/>
      <c r="G811" s="60"/>
      <c r="H811" s="60"/>
      <c r="I811" s="61"/>
      <c r="J811" s="61"/>
      <c r="K811" s="61"/>
      <c r="L811" s="73" t="str">
        <f>IF($E811="","",DATE(YEAR($E811),MONTH($E811),1))</f>
        <v/>
      </c>
      <c r="M811" s="65" t="str">
        <f ca="1">IF($D811="","",IF($C811="TANIMSIZ MÜŞTERİ","HATA",IF(OR($E811="",$F811&lt;=0,$G811=""),"EKSİK",IF($E811&gt;TODAY(),"İLERİ TARİH",IF(COUNTIF($S$7:$S$2503,$S811)&gt;1,"MÜKERRER?",IF($T811&gt;0,"KAPALI DÖNEM","UYGUN"))))))</f>
        <v/>
      </c>
      <c r="N811" s="74" t="str">
        <f>IF($C811="","",IF($C811="TANIMSIZ MÜŞTERİ","—",INDEX(MUSTERILER!$C$7:$C$156,MATCH($C811,MUSTERILER!$B$7:$B$156,0))))</f>
        <v/>
      </c>
      <c r="O811" s="2"/>
      <c r="P811" s="2"/>
      <c r="Q811" s="1" t="str">
        <f>IF($D811="","",$C811&amp;"|"&amp;COUNTIFS($C$7:$C811,$C811))</f>
        <v/>
      </c>
      <c r="R811" s="1" t="str">
        <f t="shared" si="24"/>
        <v/>
      </c>
      <c r="S811" s="1" t="str">
        <f t="shared" si="25"/>
        <v/>
      </c>
      <c r="T811" s="1">
        <f>IF($E811="",0,SUMPRODUCT((AY_SONU!$O$7:$O$42="Evet")*(AY_SONU!$B$7:$B$42=DATE(YEAR($E811),MONTH($E811),1))))</f>
        <v>0</v>
      </c>
      <c r="U811" s="1" t="str">
        <f>IF(OR($G811="",$H811="Mahsup"),"",$G811&amp;"|"&amp;COUNTIFS($G$7:$G811,$G811,$H$7:$H811,"&lt;&gt;Mahsup"))</f>
        <v/>
      </c>
    </row>
    <row r="812" spans="1:21" ht="18" customHeight="1" x14ac:dyDescent="0.3">
      <c r="A812" s="2"/>
      <c r="B812" s="65" t="str">
        <f>IF($D812="","","T"&amp;TEXT(ROW()-6,"00000"))</f>
        <v/>
      </c>
      <c r="C812" s="65" t="str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61"/>
      <c r="E812" s="66"/>
      <c r="F812" s="67"/>
      <c r="G812" s="60"/>
      <c r="H812" s="60"/>
      <c r="I812" s="61"/>
      <c r="J812" s="61"/>
      <c r="K812" s="61"/>
      <c r="L812" s="73" t="str">
        <f>IF($E812="","",DATE(YEAR($E812),MONTH($E812),1))</f>
        <v/>
      </c>
      <c r="M812" s="65" t="str">
        <f ca="1">IF($D812="","",IF($C812="TANIMSIZ MÜŞTERİ","HATA",IF(OR($E812="",$F812&lt;=0,$G812=""),"EKSİK",IF($E812&gt;TODAY(),"İLERİ TARİH",IF(COUNTIF($S$7:$S$2503,$S812)&gt;1,"MÜKERRER?",IF($T812&gt;0,"KAPALI DÖNEM","UYGUN"))))))</f>
        <v/>
      </c>
      <c r="N812" s="74" t="str">
        <f>IF($C812="","",IF($C812="TANIMSIZ MÜŞTERİ","—",INDEX(MUSTERILER!$C$7:$C$156,MATCH($C812,MUSTERILER!$B$7:$B$156,0))))</f>
        <v/>
      </c>
      <c r="O812" s="2"/>
      <c r="P812" s="2"/>
      <c r="Q812" s="1" t="str">
        <f>IF($D812="","",$C812&amp;"|"&amp;COUNTIFS($C$7:$C812,$C812))</f>
        <v/>
      </c>
      <c r="R812" s="1" t="str">
        <f t="shared" si="24"/>
        <v/>
      </c>
      <c r="S812" s="1" t="str">
        <f t="shared" si="25"/>
        <v/>
      </c>
      <c r="T812" s="1">
        <f>IF($E812="",0,SUMPRODUCT((AY_SONU!$O$7:$O$42="Evet")*(AY_SONU!$B$7:$B$42=DATE(YEAR($E812),MONTH($E812),1))))</f>
        <v>0</v>
      </c>
      <c r="U812" s="1" t="str">
        <f>IF(OR($G812="",$H812="Mahsup"),"",$G812&amp;"|"&amp;COUNTIFS($G$7:$G812,$G812,$H$7:$H812,"&lt;&gt;Mahsup"))</f>
        <v/>
      </c>
    </row>
    <row r="813" spans="1:21" ht="18" customHeight="1" x14ac:dyDescent="0.3">
      <c r="A813" s="2"/>
      <c r="B813" s="65" t="str">
        <f>IF($D813="","","T"&amp;TEXT(ROW()-6,"00000"))</f>
        <v/>
      </c>
      <c r="C813" s="65" t="str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61"/>
      <c r="E813" s="66"/>
      <c r="F813" s="67"/>
      <c r="G813" s="60"/>
      <c r="H813" s="60"/>
      <c r="I813" s="61"/>
      <c r="J813" s="61"/>
      <c r="K813" s="61"/>
      <c r="L813" s="73" t="str">
        <f>IF($E813="","",DATE(YEAR($E813),MONTH($E813),1))</f>
        <v/>
      </c>
      <c r="M813" s="65" t="str">
        <f ca="1">IF($D813="","",IF($C813="TANIMSIZ MÜŞTERİ","HATA",IF(OR($E813="",$F813&lt;=0,$G813=""),"EKSİK",IF($E813&gt;TODAY(),"İLERİ TARİH",IF(COUNTIF($S$7:$S$2503,$S813)&gt;1,"MÜKERRER?",IF($T813&gt;0,"KAPALI DÖNEM","UYGUN"))))))</f>
        <v/>
      </c>
      <c r="N813" s="74" t="str">
        <f>IF($C813="","",IF($C813="TANIMSIZ MÜŞTERİ","—",INDEX(MUSTERILER!$C$7:$C$156,MATCH($C813,MUSTERILER!$B$7:$B$156,0))))</f>
        <v/>
      </c>
      <c r="O813" s="2"/>
      <c r="P813" s="2"/>
      <c r="Q813" s="1" t="str">
        <f>IF($D813="","",$C813&amp;"|"&amp;COUNTIFS($C$7:$C813,$C813))</f>
        <v/>
      </c>
      <c r="R813" s="1" t="str">
        <f t="shared" si="24"/>
        <v/>
      </c>
      <c r="S813" s="1" t="str">
        <f t="shared" si="25"/>
        <v/>
      </c>
      <c r="T813" s="1">
        <f>IF($E813="",0,SUMPRODUCT((AY_SONU!$O$7:$O$42="Evet")*(AY_SONU!$B$7:$B$42=DATE(YEAR($E813),MONTH($E813),1))))</f>
        <v>0</v>
      </c>
      <c r="U813" s="1" t="str">
        <f>IF(OR($G813="",$H813="Mahsup"),"",$G813&amp;"|"&amp;COUNTIFS($G$7:$G813,$G813,$H$7:$H813,"&lt;&gt;Mahsup"))</f>
        <v/>
      </c>
    </row>
    <row r="814" spans="1:21" ht="18" customHeight="1" x14ac:dyDescent="0.3">
      <c r="A814" s="2"/>
      <c r="B814" s="65" t="str">
        <f>IF($D814="","","T"&amp;TEXT(ROW()-6,"00000"))</f>
        <v/>
      </c>
      <c r="C814" s="65" t="str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61"/>
      <c r="E814" s="66"/>
      <c r="F814" s="67"/>
      <c r="G814" s="60"/>
      <c r="H814" s="60"/>
      <c r="I814" s="61"/>
      <c r="J814" s="61"/>
      <c r="K814" s="61"/>
      <c r="L814" s="73" t="str">
        <f>IF($E814="","",DATE(YEAR($E814),MONTH($E814),1))</f>
        <v/>
      </c>
      <c r="M814" s="65" t="str">
        <f ca="1">IF($D814="","",IF($C814="TANIMSIZ MÜŞTERİ","HATA",IF(OR($E814="",$F814&lt;=0,$G814=""),"EKSİK",IF($E814&gt;TODAY(),"İLERİ TARİH",IF(COUNTIF($S$7:$S$2503,$S814)&gt;1,"MÜKERRER?",IF($T814&gt;0,"KAPALI DÖNEM","UYGUN"))))))</f>
        <v/>
      </c>
      <c r="N814" s="74" t="str">
        <f>IF($C814="","",IF($C814="TANIMSIZ MÜŞTERİ","—",INDEX(MUSTERILER!$C$7:$C$156,MATCH($C814,MUSTERILER!$B$7:$B$156,0))))</f>
        <v/>
      </c>
      <c r="O814" s="2"/>
      <c r="P814" s="2"/>
      <c r="Q814" s="1" t="str">
        <f>IF($D814="","",$C814&amp;"|"&amp;COUNTIFS($C$7:$C814,$C814))</f>
        <v/>
      </c>
      <c r="R814" s="1" t="str">
        <f t="shared" si="24"/>
        <v/>
      </c>
      <c r="S814" s="1" t="str">
        <f t="shared" si="25"/>
        <v/>
      </c>
      <c r="T814" s="1">
        <f>IF($E814="",0,SUMPRODUCT((AY_SONU!$O$7:$O$42="Evet")*(AY_SONU!$B$7:$B$42=DATE(YEAR($E814),MONTH($E814),1))))</f>
        <v>0</v>
      </c>
      <c r="U814" s="1" t="str">
        <f>IF(OR($G814="",$H814="Mahsup"),"",$G814&amp;"|"&amp;COUNTIFS($G$7:$G814,$G814,$H$7:$H814,"&lt;&gt;Mahsup"))</f>
        <v/>
      </c>
    </row>
    <row r="815" spans="1:21" ht="18" customHeight="1" x14ac:dyDescent="0.3">
      <c r="A815" s="2"/>
      <c r="B815" s="65" t="str">
        <f>IF($D815="","","T"&amp;TEXT(ROW()-6,"00000"))</f>
        <v/>
      </c>
      <c r="C815" s="65" t="str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61"/>
      <c r="E815" s="66"/>
      <c r="F815" s="67"/>
      <c r="G815" s="60"/>
      <c r="H815" s="60"/>
      <c r="I815" s="61"/>
      <c r="J815" s="61"/>
      <c r="K815" s="61"/>
      <c r="L815" s="73" t="str">
        <f>IF($E815="","",DATE(YEAR($E815),MONTH($E815),1))</f>
        <v/>
      </c>
      <c r="M815" s="65" t="str">
        <f ca="1">IF($D815="","",IF($C815="TANIMSIZ MÜŞTERİ","HATA",IF(OR($E815="",$F815&lt;=0,$G815=""),"EKSİK",IF($E815&gt;TODAY(),"İLERİ TARİH",IF(COUNTIF($S$7:$S$2503,$S815)&gt;1,"MÜKERRER?",IF($T815&gt;0,"KAPALI DÖNEM","UYGUN"))))))</f>
        <v/>
      </c>
      <c r="N815" s="74" t="str">
        <f>IF($C815="","",IF($C815="TANIMSIZ MÜŞTERİ","—",INDEX(MUSTERILER!$C$7:$C$156,MATCH($C815,MUSTERILER!$B$7:$B$156,0))))</f>
        <v/>
      </c>
      <c r="O815" s="2"/>
      <c r="P815" s="2"/>
      <c r="Q815" s="1" t="str">
        <f>IF($D815="","",$C815&amp;"|"&amp;COUNTIFS($C$7:$C815,$C815))</f>
        <v/>
      </c>
      <c r="R815" s="1" t="str">
        <f t="shared" si="24"/>
        <v/>
      </c>
      <c r="S815" s="1" t="str">
        <f t="shared" si="25"/>
        <v/>
      </c>
      <c r="T815" s="1">
        <f>IF($E815="",0,SUMPRODUCT((AY_SONU!$O$7:$O$42="Evet")*(AY_SONU!$B$7:$B$42=DATE(YEAR($E815),MONTH($E815),1))))</f>
        <v>0</v>
      </c>
      <c r="U815" s="1" t="str">
        <f>IF(OR($G815="",$H815="Mahsup"),"",$G815&amp;"|"&amp;COUNTIFS($G$7:$G815,$G815,$H$7:$H815,"&lt;&gt;Mahsup"))</f>
        <v/>
      </c>
    </row>
    <row r="816" spans="1:21" ht="18" customHeight="1" x14ac:dyDescent="0.3">
      <c r="A816" s="2"/>
      <c r="B816" s="65" t="str">
        <f>IF($D816="","","T"&amp;TEXT(ROW()-6,"00000"))</f>
        <v/>
      </c>
      <c r="C816" s="65" t="str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61"/>
      <c r="E816" s="66"/>
      <c r="F816" s="67"/>
      <c r="G816" s="60"/>
      <c r="H816" s="60"/>
      <c r="I816" s="61"/>
      <c r="J816" s="61"/>
      <c r="K816" s="61"/>
      <c r="L816" s="73" t="str">
        <f>IF($E816="","",DATE(YEAR($E816),MONTH($E816),1))</f>
        <v/>
      </c>
      <c r="M816" s="65" t="str">
        <f ca="1">IF($D816="","",IF($C816="TANIMSIZ MÜŞTERİ","HATA",IF(OR($E816="",$F816&lt;=0,$G816=""),"EKSİK",IF($E816&gt;TODAY(),"İLERİ TARİH",IF(COUNTIF($S$7:$S$2503,$S816)&gt;1,"MÜKERRER?",IF($T816&gt;0,"KAPALI DÖNEM","UYGUN"))))))</f>
        <v/>
      </c>
      <c r="N816" s="74" t="str">
        <f>IF($C816="","",IF($C816="TANIMSIZ MÜŞTERİ","—",INDEX(MUSTERILER!$C$7:$C$156,MATCH($C816,MUSTERILER!$B$7:$B$156,0))))</f>
        <v/>
      </c>
      <c r="O816" s="2"/>
      <c r="P816" s="2"/>
      <c r="Q816" s="1" t="str">
        <f>IF($D816="","",$C816&amp;"|"&amp;COUNTIFS($C$7:$C816,$C816))</f>
        <v/>
      </c>
      <c r="R816" s="1" t="str">
        <f t="shared" si="24"/>
        <v/>
      </c>
      <c r="S816" s="1" t="str">
        <f t="shared" si="25"/>
        <v/>
      </c>
      <c r="T816" s="1">
        <f>IF($E816="",0,SUMPRODUCT((AY_SONU!$O$7:$O$42="Evet")*(AY_SONU!$B$7:$B$42=DATE(YEAR($E816),MONTH($E816),1))))</f>
        <v>0</v>
      </c>
      <c r="U816" s="1" t="str">
        <f>IF(OR($G816="",$H816="Mahsup"),"",$G816&amp;"|"&amp;COUNTIFS($G$7:$G816,$G816,$H$7:$H816,"&lt;&gt;Mahsup"))</f>
        <v/>
      </c>
    </row>
    <row r="817" spans="1:21" ht="18" customHeight="1" x14ac:dyDescent="0.3">
      <c r="A817" s="2"/>
      <c r="B817" s="65" t="str">
        <f>IF($D817="","","T"&amp;TEXT(ROW()-6,"00000"))</f>
        <v/>
      </c>
      <c r="C817" s="65" t="str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61"/>
      <c r="E817" s="66"/>
      <c r="F817" s="67"/>
      <c r="G817" s="60"/>
      <c r="H817" s="60"/>
      <c r="I817" s="61"/>
      <c r="J817" s="61"/>
      <c r="K817" s="61"/>
      <c r="L817" s="73" t="str">
        <f>IF($E817="","",DATE(YEAR($E817),MONTH($E817),1))</f>
        <v/>
      </c>
      <c r="M817" s="65" t="str">
        <f ca="1">IF($D817="","",IF($C817="TANIMSIZ MÜŞTERİ","HATA",IF(OR($E817="",$F817&lt;=0,$G817=""),"EKSİK",IF($E817&gt;TODAY(),"İLERİ TARİH",IF(COUNTIF($S$7:$S$2503,$S817)&gt;1,"MÜKERRER?",IF($T817&gt;0,"KAPALI DÖNEM","UYGUN"))))))</f>
        <v/>
      </c>
      <c r="N817" s="74" t="str">
        <f>IF($C817="","",IF($C817="TANIMSIZ MÜŞTERİ","—",INDEX(MUSTERILER!$C$7:$C$156,MATCH($C817,MUSTERILER!$B$7:$B$156,0))))</f>
        <v/>
      </c>
      <c r="O817" s="2"/>
      <c r="P817" s="2"/>
      <c r="Q817" s="1" t="str">
        <f>IF($D817="","",$C817&amp;"|"&amp;COUNTIFS($C$7:$C817,$C817))</f>
        <v/>
      </c>
      <c r="R817" s="1" t="str">
        <f t="shared" si="24"/>
        <v/>
      </c>
      <c r="S817" s="1" t="str">
        <f t="shared" si="25"/>
        <v/>
      </c>
      <c r="T817" s="1">
        <f>IF($E817="",0,SUMPRODUCT((AY_SONU!$O$7:$O$42="Evet")*(AY_SONU!$B$7:$B$42=DATE(YEAR($E817),MONTH($E817),1))))</f>
        <v>0</v>
      </c>
      <c r="U817" s="1" t="str">
        <f>IF(OR($G817="",$H817="Mahsup"),"",$G817&amp;"|"&amp;COUNTIFS($G$7:$G817,$G817,$H$7:$H817,"&lt;&gt;Mahsup"))</f>
        <v/>
      </c>
    </row>
    <row r="818" spans="1:21" ht="18" customHeight="1" x14ac:dyDescent="0.3">
      <c r="A818" s="2"/>
      <c r="B818" s="65" t="str">
        <f>IF($D818="","","T"&amp;TEXT(ROW()-6,"00000"))</f>
        <v/>
      </c>
      <c r="C818" s="65" t="str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61"/>
      <c r="E818" s="66"/>
      <c r="F818" s="67"/>
      <c r="G818" s="60"/>
      <c r="H818" s="60"/>
      <c r="I818" s="61"/>
      <c r="J818" s="61"/>
      <c r="K818" s="61"/>
      <c r="L818" s="73" t="str">
        <f>IF($E818="","",DATE(YEAR($E818),MONTH($E818),1))</f>
        <v/>
      </c>
      <c r="M818" s="65" t="str">
        <f ca="1">IF($D818="","",IF($C818="TANIMSIZ MÜŞTERİ","HATA",IF(OR($E818="",$F818&lt;=0,$G818=""),"EKSİK",IF($E818&gt;TODAY(),"İLERİ TARİH",IF(COUNTIF($S$7:$S$2503,$S818)&gt;1,"MÜKERRER?",IF($T818&gt;0,"KAPALI DÖNEM","UYGUN"))))))</f>
        <v/>
      </c>
      <c r="N818" s="74" t="str">
        <f>IF($C818="","",IF($C818="TANIMSIZ MÜŞTERİ","—",INDEX(MUSTERILER!$C$7:$C$156,MATCH($C818,MUSTERILER!$B$7:$B$156,0))))</f>
        <v/>
      </c>
      <c r="O818" s="2"/>
      <c r="P818" s="2"/>
      <c r="Q818" s="1" t="str">
        <f>IF($D818="","",$C818&amp;"|"&amp;COUNTIFS($C$7:$C818,$C818))</f>
        <v/>
      </c>
      <c r="R818" s="1" t="str">
        <f t="shared" si="24"/>
        <v/>
      </c>
      <c r="S818" s="1" t="str">
        <f t="shared" si="25"/>
        <v/>
      </c>
      <c r="T818" s="1">
        <f>IF($E818="",0,SUMPRODUCT((AY_SONU!$O$7:$O$42="Evet")*(AY_SONU!$B$7:$B$42=DATE(YEAR($E818),MONTH($E818),1))))</f>
        <v>0</v>
      </c>
      <c r="U818" s="1" t="str">
        <f>IF(OR($G818="",$H818="Mahsup"),"",$G818&amp;"|"&amp;COUNTIFS($G$7:$G818,$G818,$H$7:$H818,"&lt;&gt;Mahsup"))</f>
        <v/>
      </c>
    </row>
    <row r="819" spans="1:21" ht="18" customHeight="1" x14ac:dyDescent="0.3">
      <c r="A819" s="2"/>
      <c r="B819" s="65" t="str">
        <f>IF($D819="","","T"&amp;TEXT(ROW()-6,"00000"))</f>
        <v/>
      </c>
      <c r="C819" s="65" t="str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61"/>
      <c r="E819" s="66"/>
      <c r="F819" s="67"/>
      <c r="G819" s="60"/>
      <c r="H819" s="60"/>
      <c r="I819" s="61"/>
      <c r="J819" s="61"/>
      <c r="K819" s="61"/>
      <c r="L819" s="73" t="str">
        <f>IF($E819="","",DATE(YEAR($E819),MONTH($E819),1))</f>
        <v/>
      </c>
      <c r="M819" s="65" t="str">
        <f ca="1">IF($D819="","",IF($C819="TANIMSIZ MÜŞTERİ","HATA",IF(OR($E819="",$F819&lt;=0,$G819=""),"EKSİK",IF($E819&gt;TODAY(),"İLERİ TARİH",IF(COUNTIF($S$7:$S$2503,$S819)&gt;1,"MÜKERRER?",IF($T819&gt;0,"KAPALI DÖNEM","UYGUN"))))))</f>
        <v/>
      </c>
      <c r="N819" s="74" t="str">
        <f>IF($C819="","",IF($C819="TANIMSIZ MÜŞTERİ","—",INDEX(MUSTERILER!$C$7:$C$156,MATCH($C819,MUSTERILER!$B$7:$B$156,0))))</f>
        <v/>
      </c>
      <c r="O819" s="2"/>
      <c r="P819" s="2"/>
      <c r="Q819" s="1" t="str">
        <f>IF($D819="","",$C819&amp;"|"&amp;COUNTIFS($C$7:$C819,$C819))</f>
        <v/>
      </c>
      <c r="R819" s="1" t="str">
        <f t="shared" si="24"/>
        <v/>
      </c>
      <c r="S819" s="1" t="str">
        <f t="shared" si="25"/>
        <v/>
      </c>
      <c r="T819" s="1">
        <f>IF($E819="",0,SUMPRODUCT((AY_SONU!$O$7:$O$42="Evet")*(AY_SONU!$B$7:$B$42=DATE(YEAR($E819),MONTH($E819),1))))</f>
        <v>0</v>
      </c>
      <c r="U819" s="1" t="str">
        <f>IF(OR($G819="",$H819="Mahsup"),"",$G819&amp;"|"&amp;COUNTIFS($G$7:$G819,$G819,$H$7:$H819,"&lt;&gt;Mahsup"))</f>
        <v/>
      </c>
    </row>
    <row r="820" spans="1:21" ht="18" customHeight="1" x14ac:dyDescent="0.3">
      <c r="A820" s="2"/>
      <c r="B820" s="65" t="str">
        <f>IF($D820="","","T"&amp;TEXT(ROW()-6,"00000"))</f>
        <v/>
      </c>
      <c r="C820" s="65" t="str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61"/>
      <c r="E820" s="66"/>
      <c r="F820" s="67"/>
      <c r="G820" s="60"/>
      <c r="H820" s="60"/>
      <c r="I820" s="61"/>
      <c r="J820" s="61"/>
      <c r="K820" s="61"/>
      <c r="L820" s="73" t="str">
        <f>IF($E820="","",DATE(YEAR($E820),MONTH($E820),1))</f>
        <v/>
      </c>
      <c r="M820" s="65" t="str">
        <f ca="1">IF($D820="","",IF($C820="TANIMSIZ MÜŞTERİ","HATA",IF(OR($E820="",$F820&lt;=0,$G820=""),"EKSİK",IF($E820&gt;TODAY(),"İLERİ TARİH",IF(COUNTIF($S$7:$S$2503,$S820)&gt;1,"MÜKERRER?",IF($T820&gt;0,"KAPALI DÖNEM","UYGUN"))))))</f>
        <v/>
      </c>
      <c r="N820" s="74" t="str">
        <f>IF($C820="","",IF($C820="TANIMSIZ MÜŞTERİ","—",INDEX(MUSTERILER!$C$7:$C$156,MATCH($C820,MUSTERILER!$B$7:$B$156,0))))</f>
        <v/>
      </c>
      <c r="O820" s="2"/>
      <c r="P820" s="2"/>
      <c r="Q820" s="1" t="str">
        <f>IF($D820="","",$C820&amp;"|"&amp;COUNTIFS($C$7:$C820,$C820))</f>
        <v/>
      </c>
      <c r="R820" s="1" t="str">
        <f t="shared" si="24"/>
        <v/>
      </c>
      <c r="S820" s="1" t="str">
        <f t="shared" si="25"/>
        <v/>
      </c>
      <c r="T820" s="1">
        <f>IF($E820="",0,SUMPRODUCT((AY_SONU!$O$7:$O$42="Evet")*(AY_SONU!$B$7:$B$42=DATE(YEAR($E820),MONTH($E820),1))))</f>
        <v>0</v>
      </c>
      <c r="U820" s="1" t="str">
        <f>IF(OR($G820="",$H820="Mahsup"),"",$G820&amp;"|"&amp;COUNTIFS($G$7:$G820,$G820,$H$7:$H820,"&lt;&gt;Mahsup"))</f>
        <v/>
      </c>
    </row>
    <row r="821" spans="1:21" ht="18" customHeight="1" x14ac:dyDescent="0.3">
      <c r="A821" s="2"/>
      <c r="B821" s="65" t="str">
        <f>IF($D821="","","T"&amp;TEXT(ROW()-6,"00000"))</f>
        <v/>
      </c>
      <c r="C821" s="65" t="str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61"/>
      <c r="E821" s="66"/>
      <c r="F821" s="67"/>
      <c r="G821" s="60"/>
      <c r="H821" s="60"/>
      <c r="I821" s="61"/>
      <c r="J821" s="61"/>
      <c r="K821" s="61"/>
      <c r="L821" s="73" t="str">
        <f>IF($E821="","",DATE(YEAR($E821),MONTH($E821),1))</f>
        <v/>
      </c>
      <c r="M821" s="65" t="str">
        <f ca="1">IF($D821="","",IF($C821="TANIMSIZ MÜŞTERİ","HATA",IF(OR($E821="",$F821&lt;=0,$G821=""),"EKSİK",IF($E821&gt;TODAY(),"İLERİ TARİH",IF(COUNTIF($S$7:$S$2503,$S821)&gt;1,"MÜKERRER?",IF($T821&gt;0,"KAPALI DÖNEM","UYGUN"))))))</f>
        <v/>
      </c>
      <c r="N821" s="74" t="str">
        <f>IF($C821="","",IF($C821="TANIMSIZ MÜŞTERİ","—",INDEX(MUSTERILER!$C$7:$C$156,MATCH($C821,MUSTERILER!$B$7:$B$156,0))))</f>
        <v/>
      </c>
      <c r="O821" s="2"/>
      <c r="P821" s="2"/>
      <c r="Q821" s="1" t="str">
        <f>IF($D821="","",$C821&amp;"|"&amp;COUNTIFS($C$7:$C821,$C821))</f>
        <v/>
      </c>
      <c r="R821" s="1" t="str">
        <f t="shared" si="24"/>
        <v/>
      </c>
      <c r="S821" s="1" t="str">
        <f t="shared" si="25"/>
        <v/>
      </c>
      <c r="T821" s="1">
        <f>IF($E821="",0,SUMPRODUCT((AY_SONU!$O$7:$O$42="Evet")*(AY_SONU!$B$7:$B$42=DATE(YEAR($E821),MONTH($E821),1))))</f>
        <v>0</v>
      </c>
      <c r="U821" s="1" t="str">
        <f>IF(OR($G821="",$H821="Mahsup"),"",$G821&amp;"|"&amp;COUNTIFS($G$7:$G821,$G821,$H$7:$H821,"&lt;&gt;Mahsup"))</f>
        <v/>
      </c>
    </row>
    <row r="822" spans="1:21" ht="18" customHeight="1" x14ac:dyDescent="0.3">
      <c r="A822" s="2"/>
      <c r="B822" s="65" t="str">
        <f>IF($D822="","","T"&amp;TEXT(ROW()-6,"00000"))</f>
        <v/>
      </c>
      <c r="C822" s="65" t="str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61"/>
      <c r="E822" s="66"/>
      <c r="F822" s="67"/>
      <c r="G822" s="60"/>
      <c r="H822" s="60"/>
      <c r="I822" s="61"/>
      <c r="J822" s="61"/>
      <c r="K822" s="61"/>
      <c r="L822" s="73" t="str">
        <f>IF($E822="","",DATE(YEAR($E822),MONTH($E822),1))</f>
        <v/>
      </c>
      <c r="M822" s="65" t="str">
        <f ca="1">IF($D822="","",IF($C822="TANIMSIZ MÜŞTERİ","HATA",IF(OR($E822="",$F822&lt;=0,$G822=""),"EKSİK",IF($E822&gt;TODAY(),"İLERİ TARİH",IF(COUNTIF($S$7:$S$2503,$S822)&gt;1,"MÜKERRER?",IF($T822&gt;0,"KAPALI DÖNEM","UYGUN"))))))</f>
        <v/>
      </c>
      <c r="N822" s="74" t="str">
        <f>IF($C822="","",IF($C822="TANIMSIZ MÜŞTERİ","—",INDEX(MUSTERILER!$C$7:$C$156,MATCH($C822,MUSTERILER!$B$7:$B$156,0))))</f>
        <v/>
      </c>
      <c r="O822" s="2"/>
      <c r="P822" s="2"/>
      <c r="Q822" s="1" t="str">
        <f>IF($D822="","",$C822&amp;"|"&amp;COUNTIFS($C$7:$C822,$C822))</f>
        <v/>
      </c>
      <c r="R822" s="1" t="str">
        <f t="shared" si="24"/>
        <v/>
      </c>
      <c r="S822" s="1" t="str">
        <f t="shared" si="25"/>
        <v/>
      </c>
      <c r="T822" s="1">
        <f>IF($E822="",0,SUMPRODUCT((AY_SONU!$O$7:$O$42="Evet")*(AY_SONU!$B$7:$B$42=DATE(YEAR($E822),MONTH($E822),1))))</f>
        <v>0</v>
      </c>
      <c r="U822" s="1" t="str">
        <f>IF(OR($G822="",$H822="Mahsup"),"",$G822&amp;"|"&amp;COUNTIFS($G$7:$G822,$G822,$H$7:$H822,"&lt;&gt;Mahsup"))</f>
        <v/>
      </c>
    </row>
    <row r="823" spans="1:21" ht="18" customHeight="1" x14ac:dyDescent="0.3">
      <c r="A823" s="2"/>
      <c r="B823" s="65" t="str">
        <f>IF($D823="","","T"&amp;TEXT(ROW()-6,"00000"))</f>
        <v/>
      </c>
      <c r="C823" s="65" t="str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61"/>
      <c r="E823" s="66"/>
      <c r="F823" s="67"/>
      <c r="G823" s="60"/>
      <c r="H823" s="60"/>
      <c r="I823" s="61"/>
      <c r="J823" s="61"/>
      <c r="K823" s="61"/>
      <c r="L823" s="73" t="str">
        <f>IF($E823="","",DATE(YEAR($E823),MONTH($E823),1))</f>
        <v/>
      </c>
      <c r="M823" s="65" t="str">
        <f ca="1">IF($D823="","",IF($C823="TANIMSIZ MÜŞTERİ","HATA",IF(OR($E823="",$F823&lt;=0,$G823=""),"EKSİK",IF($E823&gt;TODAY(),"İLERİ TARİH",IF(COUNTIF($S$7:$S$2503,$S823)&gt;1,"MÜKERRER?",IF($T823&gt;0,"KAPALI DÖNEM","UYGUN"))))))</f>
        <v/>
      </c>
      <c r="N823" s="74" t="str">
        <f>IF($C823="","",IF($C823="TANIMSIZ MÜŞTERİ","—",INDEX(MUSTERILER!$C$7:$C$156,MATCH($C823,MUSTERILER!$B$7:$B$156,0))))</f>
        <v/>
      </c>
      <c r="O823" s="2"/>
      <c r="P823" s="2"/>
      <c r="Q823" s="1" t="str">
        <f>IF($D823="","",$C823&amp;"|"&amp;COUNTIFS($C$7:$C823,$C823))</f>
        <v/>
      </c>
      <c r="R823" s="1" t="str">
        <f t="shared" si="24"/>
        <v/>
      </c>
      <c r="S823" s="1" t="str">
        <f t="shared" si="25"/>
        <v/>
      </c>
      <c r="T823" s="1">
        <f>IF($E823="",0,SUMPRODUCT((AY_SONU!$O$7:$O$42="Evet")*(AY_SONU!$B$7:$B$42=DATE(YEAR($E823),MONTH($E823),1))))</f>
        <v>0</v>
      </c>
      <c r="U823" s="1" t="str">
        <f>IF(OR($G823="",$H823="Mahsup"),"",$G823&amp;"|"&amp;COUNTIFS($G$7:$G823,$G823,$H$7:$H823,"&lt;&gt;Mahsup"))</f>
        <v/>
      </c>
    </row>
    <row r="824" spans="1:21" ht="18" customHeight="1" x14ac:dyDescent="0.3">
      <c r="A824" s="2"/>
      <c r="B824" s="65" t="str">
        <f>IF($D824="","","T"&amp;TEXT(ROW()-6,"00000"))</f>
        <v/>
      </c>
      <c r="C824" s="65" t="str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61"/>
      <c r="E824" s="66"/>
      <c r="F824" s="67"/>
      <c r="G824" s="60"/>
      <c r="H824" s="60"/>
      <c r="I824" s="61"/>
      <c r="J824" s="61"/>
      <c r="K824" s="61"/>
      <c r="L824" s="73" t="str">
        <f>IF($E824="","",DATE(YEAR($E824),MONTH($E824),1))</f>
        <v/>
      </c>
      <c r="M824" s="65" t="str">
        <f ca="1">IF($D824="","",IF($C824="TANIMSIZ MÜŞTERİ","HATA",IF(OR($E824="",$F824&lt;=0,$G824=""),"EKSİK",IF($E824&gt;TODAY(),"İLERİ TARİH",IF(COUNTIF($S$7:$S$2503,$S824)&gt;1,"MÜKERRER?",IF($T824&gt;0,"KAPALI DÖNEM","UYGUN"))))))</f>
        <v/>
      </c>
      <c r="N824" s="74" t="str">
        <f>IF($C824="","",IF($C824="TANIMSIZ MÜŞTERİ","—",INDEX(MUSTERILER!$C$7:$C$156,MATCH($C824,MUSTERILER!$B$7:$B$156,0))))</f>
        <v/>
      </c>
      <c r="O824" s="2"/>
      <c r="P824" s="2"/>
      <c r="Q824" s="1" t="str">
        <f>IF($D824="","",$C824&amp;"|"&amp;COUNTIFS($C$7:$C824,$C824))</f>
        <v/>
      </c>
      <c r="R824" s="1" t="str">
        <f t="shared" si="24"/>
        <v/>
      </c>
      <c r="S824" s="1" t="str">
        <f t="shared" si="25"/>
        <v/>
      </c>
      <c r="T824" s="1">
        <f>IF($E824="",0,SUMPRODUCT((AY_SONU!$O$7:$O$42="Evet")*(AY_SONU!$B$7:$B$42=DATE(YEAR($E824),MONTH($E824),1))))</f>
        <v>0</v>
      </c>
      <c r="U824" s="1" t="str">
        <f>IF(OR($G824="",$H824="Mahsup"),"",$G824&amp;"|"&amp;COUNTIFS($G$7:$G824,$G824,$H$7:$H824,"&lt;&gt;Mahsup"))</f>
        <v/>
      </c>
    </row>
    <row r="825" spans="1:21" ht="18" customHeight="1" x14ac:dyDescent="0.3">
      <c r="A825" s="2"/>
      <c r="B825" s="65" t="str">
        <f>IF($D825="","","T"&amp;TEXT(ROW()-6,"00000"))</f>
        <v/>
      </c>
      <c r="C825" s="65" t="str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61"/>
      <c r="E825" s="66"/>
      <c r="F825" s="67"/>
      <c r="G825" s="60"/>
      <c r="H825" s="60"/>
      <c r="I825" s="61"/>
      <c r="J825" s="61"/>
      <c r="K825" s="61"/>
      <c r="L825" s="73" t="str">
        <f>IF($E825="","",DATE(YEAR($E825),MONTH($E825),1))</f>
        <v/>
      </c>
      <c r="M825" s="65" t="str">
        <f ca="1">IF($D825="","",IF($C825="TANIMSIZ MÜŞTERİ","HATA",IF(OR($E825="",$F825&lt;=0,$G825=""),"EKSİK",IF($E825&gt;TODAY(),"İLERİ TARİH",IF(COUNTIF($S$7:$S$2503,$S825)&gt;1,"MÜKERRER?",IF($T825&gt;0,"KAPALI DÖNEM","UYGUN"))))))</f>
        <v/>
      </c>
      <c r="N825" s="74" t="str">
        <f>IF($C825="","",IF($C825="TANIMSIZ MÜŞTERİ","—",INDEX(MUSTERILER!$C$7:$C$156,MATCH($C825,MUSTERILER!$B$7:$B$156,0))))</f>
        <v/>
      </c>
      <c r="O825" s="2"/>
      <c r="P825" s="2"/>
      <c r="Q825" s="1" t="str">
        <f>IF($D825="","",$C825&amp;"|"&amp;COUNTIFS($C$7:$C825,$C825))</f>
        <v/>
      </c>
      <c r="R825" s="1" t="str">
        <f t="shared" si="24"/>
        <v/>
      </c>
      <c r="S825" s="1" t="str">
        <f t="shared" si="25"/>
        <v/>
      </c>
      <c r="T825" s="1">
        <f>IF($E825="",0,SUMPRODUCT((AY_SONU!$O$7:$O$42="Evet")*(AY_SONU!$B$7:$B$42=DATE(YEAR($E825),MONTH($E825),1))))</f>
        <v>0</v>
      </c>
      <c r="U825" s="1" t="str">
        <f>IF(OR($G825="",$H825="Mahsup"),"",$G825&amp;"|"&amp;COUNTIFS($G$7:$G825,$G825,$H$7:$H825,"&lt;&gt;Mahsup"))</f>
        <v/>
      </c>
    </row>
    <row r="826" spans="1:21" ht="18" customHeight="1" x14ac:dyDescent="0.3">
      <c r="A826" s="2"/>
      <c r="B826" s="65" t="str">
        <f>IF($D826="","","T"&amp;TEXT(ROW()-6,"00000"))</f>
        <v/>
      </c>
      <c r="C826" s="65" t="str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61"/>
      <c r="E826" s="66"/>
      <c r="F826" s="67"/>
      <c r="G826" s="60"/>
      <c r="H826" s="60"/>
      <c r="I826" s="61"/>
      <c r="J826" s="61"/>
      <c r="K826" s="61"/>
      <c r="L826" s="73" t="str">
        <f>IF($E826="","",DATE(YEAR($E826),MONTH($E826),1))</f>
        <v/>
      </c>
      <c r="M826" s="65" t="str">
        <f ca="1">IF($D826="","",IF($C826="TANIMSIZ MÜŞTERİ","HATA",IF(OR($E826="",$F826&lt;=0,$G826=""),"EKSİK",IF($E826&gt;TODAY(),"İLERİ TARİH",IF(COUNTIF($S$7:$S$2503,$S826)&gt;1,"MÜKERRER?",IF($T826&gt;0,"KAPALI DÖNEM","UYGUN"))))))</f>
        <v/>
      </c>
      <c r="N826" s="74" t="str">
        <f>IF($C826="","",IF($C826="TANIMSIZ MÜŞTERİ","—",INDEX(MUSTERILER!$C$7:$C$156,MATCH($C826,MUSTERILER!$B$7:$B$156,0))))</f>
        <v/>
      </c>
      <c r="O826" s="2"/>
      <c r="P826" s="2"/>
      <c r="Q826" s="1" t="str">
        <f>IF($D826="","",$C826&amp;"|"&amp;COUNTIFS($C$7:$C826,$C826))</f>
        <v/>
      </c>
      <c r="R826" s="1" t="str">
        <f t="shared" si="24"/>
        <v/>
      </c>
      <c r="S826" s="1" t="str">
        <f t="shared" si="25"/>
        <v/>
      </c>
      <c r="T826" s="1">
        <f>IF($E826="",0,SUMPRODUCT((AY_SONU!$O$7:$O$42="Evet")*(AY_SONU!$B$7:$B$42=DATE(YEAR($E826),MONTH($E826),1))))</f>
        <v>0</v>
      </c>
      <c r="U826" s="1" t="str">
        <f>IF(OR($G826="",$H826="Mahsup"),"",$G826&amp;"|"&amp;COUNTIFS($G$7:$G826,$G826,$H$7:$H826,"&lt;&gt;Mahsup"))</f>
        <v/>
      </c>
    </row>
    <row r="827" spans="1:21" ht="18" customHeight="1" x14ac:dyDescent="0.3">
      <c r="A827" s="2"/>
      <c r="B827" s="65" t="str">
        <f>IF($D827="","","T"&amp;TEXT(ROW()-6,"00000"))</f>
        <v/>
      </c>
      <c r="C827" s="65" t="str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61"/>
      <c r="E827" s="66"/>
      <c r="F827" s="67"/>
      <c r="G827" s="60"/>
      <c r="H827" s="60"/>
      <c r="I827" s="61"/>
      <c r="J827" s="61"/>
      <c r="K827" s="61"/>
      <c r="L827" s="73" t="str">
        <f>IF($E827="","",DATE(YEAR($E827),MONTH($E827),1))</f>
        <v/>
      </c>
      <c r="M827" s="65" t="str">
        <f ca="1">IF($D827="","",IF($C827="TANIMSIZ MÜŞTERİ","HATA",IF(OR($E827="",$F827&lt;=0,$G827=""),"EKSİK",IF($E827&gt;TODAY(),"İLERİ TARİH",IF(COUNTIF($S$7:$S$2503,$S827)&gt;1,"MÜKERRER?",IF($T827&gt;0,"KAPALI DÖNEM","UYGUN"))))))</f>
        <v/>
      </c>
      <c r="N827" s="74" t="str">
        <f>IF($C827="","",IF($C827="TANIMSIZ MÜŞTERİ","—",INDEX(MUSTERILER!$C$7:$C$156,MATCH($C827,MUSTERILER!$B$7:$B$156,0))))</f>
        <v/>
      </c>
      <c r="O827" s="2"/>
      <c r="P827" s="2"/>
      <c r="Q827" s="1" t="str">
        <f>IF($D827="","",$C827&amp;"|"&amp;COUNTIFS($C$7:$C827,$C827))</f>
        <v/>
      </c>
      <c r="R827" s="1" t="str">
        <f t="shared" si="24"/>
        <v/>
      </c>
      <c r="S827" s="1" t="str">
        <f t="shared" si="25"/>
        <v/>
      </c>
      <c r="T827" s="1">
        <f>IF($E827="",0,SUMPRODUCT((AY_SONU!$O$7:$O$42="Evet")*(AY_SONU!$B$7:$B$42=DATE(YEAR($E827),MONTH($E827),1))))</f>
        <v>0</v>
      </c>
      <c r="U827" s="1" t="str">
        <f>IF(OR($G827="",$H827="Mahsup"),"",$G827&amp;"|"&amp;COUNTIFS($G$7:$G827,$G827,$H$7:$H827,"&lt;&gt;Mahsup"))</f>
        <v/>
      </c>
    </row>
    <row r="828" spans="1:21" ht="18" customHeight="1" x14ac:dyDescent="0.3">
      <c r="A828" s="2"/>
      <c r="B828" s="65" t="str">
        <f>IF($D828="","","T"&amp;TEXT(ROW()-6,"00000"))</f>
        <v/>
      </c>
      <c r="C828" s="65" t="str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61"/>
      <c r="E828" s="66"/>
      <c r="F828" s="67"/>
      <c r="G828" s="60"/>
      <c r="H828" s="60"/>
      <c r="I828" s="61"/>
      <c r="J828" s="61"/>
      <c r="K828" s="61"/>
      <c r="L828" s="73" t="str">
        <f>IF($E828="","",DATE(YEAR($E828),MONTH($E828),1))</f>
        <v/>
      </c>
      <c r="M828" s="65" t="str">
        <f ca="1">IF($D828="","",IF($C828="TANIMSIZ MÜŞTERİ","HATA",IF(OR($E828="",$F828&lt;=0,$G828=""),"EKSİK",IF($E828&gt;TODAY(),"İLERİ TARİH",IF(COUNTIF($S$7:$S$2503,$S828)&gt;1,"MÜKERRER?",IF($T828&gt;0,"KAPALI DÖNEM","UYGUN"))))))</f>
        <v/>
      </c>
      <c r="N828" s="74" t="str">
        <f>IF($C828="","",IF($C828="TANIMSIZ MÜŞTERİ","—",INDEX(MUSTERILER!$C$7:$C$156,MATCH($C828,MUSTERILER!$B$7:$B$156,0))))</f>
        <v/>
      </c>
      <c r="O828" s="2"/>
      <c r="P828" s="2"/>
      <c r="Q828" s="1" t="str">
        <f>IF($D828="","",$C828&amp;"|"&amp;COUNTIFS($C$7:$C828,$C828))</f>
        <v/>
      </c>
      <c r="R828" s="1" t="str">
        <f t="shared" si="24"/>
        <v/>
      </c>
      <c r="S828" s="1" t="str">
        <f t="shared" si="25"/>
        <v/>
      </c>
      <c r="T828" s="1">
        <f>IF($E828="",0,SUMPRODUCT((AY_SONU!$O$7:$O$42="Evet")*(AY_SONU!$B$7:$B$42=DATE(YEAR($E828),MONTH($E828),1))))</f>
        <v>0</v>
      </c>
      <c r="U828" s="1" t="str">
        <f>IF(OR($G828="",$H828="Mahsup"),"",$G828&amp;"|"&amp;COUNTIFS($G$7:$G828,$G828,$H$7:$H828,"&lt;&gt;Mahsup"))</f>
        <v/>
      </c>
    </row>
    <row r="829" spans="1:21" ht="18" customHeight="1" x14ac:dyDescent="0.3">
      <c r="A829" s="2"/>
      <c r="B829" s="65" t="str">
        <f>IF($D829="","","T"&amp;TEXT(ROW()-6,"00000"))</f>
        <v/>
      </c>
      <c r="C829" s="65" t="str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61"/>
      <c r="E829" s="66"/>
      <c r="F829" s="67"/>
      <c r="G829" s="60"/>
      <c r="H829" s="60"/>
      <c r="I829" s="61"/>
      <c r="J829" s="61"/>
      <c r="K829" s="61"/>
      <c r="L829" s="73" t="str">
        <f>IF($E829="","",DATE(YEAR($E829),MONTH($E829),1))</f>
        <v/>
      </c>
      <c r="M829" s="65" t="str">
        <f ca="1">IF($D829="","",IF($C829="TANIMSIZ MÜŞTERİ","HATA",IF(OR($E829="",$F829&lt;=0,$G829=""),"EKSİK",IF($E829&gt;TODAY(),"İLERİ TARİH",IF(COUNTIF($S$7:$S$2503,$S829)&gt;1,"MÜKERRER?",IF($T829&gt;0,"KAPALI DÖNEM","UYGUN"))))))</f>
        <v/>
      </c>
      <c r="N829" s="74" t="str">
        <f>IF($C829="","",IF($C829="TANIMSIZ MÜŞTERİ","—",INDEX(MUSTERILER!$C$7:$C$156,MATCH($C829,MUSTERILER!$B$7:$B$156,0))))</f>
        <v/>
      </c>
      <c r="O829" s="2"/>
      <c r="P829" s="2"/>
      <c r="Q829" s="1" t="str">
        <f>IF($D829="","",$C829&amp;"|"&amp;COUNTIFS($C$7:$C829,$C829))</f>
        <v/>
      </c>
      <c r="R829" s="1" t="str">
        <f t="shared" si="24"/>
        <v/>
      </c>
      <c r="S829" s="1" t="str">
        <f t="shared" si="25"/>
        <v/>
      </c>
      <c r="T829" s="1">
        <f>IF($E829="",0,SUMPRODUCT((AY_SONU!$O$7:$O$42="Evet")*(AY_SONU!$B$7:$B$42=DATE(YEAR($E829),MONTH($E829),1))))</f>
        <v>0</v>
      </c>
      <c r="U829" s="1" t="str">
        <f>IF(OR($G829="",$H829="Mahsup"),"",$G829&amp;"|"&amp;COUNTIFS($G$7:$G829,$G829,$H$7:$H829,"&lt;&gt;Mahsup"))</f>
        <v/>
      </c>
    </row>
    <row r="830" spans="1:21" ht="18" customHeight="1" x14ac:dyDescent="0.3">
      <c r="A830" s="2"/>
      <c r="B830" s="65" t="str">
        <f>IF($D830="","","T"&amp;TEXT(ROW()-6,"00000"))</f>
        <v/>
      </c>
      <c r="C830" s="65" t="str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61"/>
      <c r="E830" s="66"/>
      <c r="F830" s="67"/>
      <c r="G830" s="60"/>
      <c r="H830" s="60"/>
      <c r="I830" s="61"/>
      <c r="J830" s="61"/>
      <c r="K830" s="61"/>
      <c r="L830" s="73" t="str">
        <f>IF($E830="","",DATE(YEAR($E830),MONTH($E830),1))</f>
        <v/>
      </c>
      <c r="M830" s="65" t="str">
        <f ca="1">IF($D830="","",IF($C830="TANIMSIZ MÜŞTERİ","HATA",IF(OR($E830="",$F830&lt;=0,$G830=""),"EKSİK",IF($E830&gt;TODAY(),"İLERİ TARİH",IF(COUNTIF($S$7:$S$2503,$S830)&gt;1,"MÜKERRER?",IF($T830&gt;0,"KAPALI DÖNEM","UYGUN"))))))</f>
        <v/>
      </c>
      <c r="N830" s="74" t="str">
        <f>IF($C830="","",IF($C830="TANIMSIZ MÜŞTERİ","—",INDEX(MUSTERILER!$C$7:$C$156,MATCH($C830,MUSTERILER!$B$7:$B$156,0))))</f>
        <v/>
      </c>
      <c r="O830" s="2"/>
      <c r="P830" s="2"/>
      <c r="Q830" s="1" t="str">
        <f>IF($D830="","",$C830&amp;"|"&amp;COUNTIFS($C$7:$C830,$C830))</f>
        <v/>
      </c>
      <c r="R830" s="1" t="str">
        <f t="shared" si="24"/>
        <v/>
      </c>
      <c r="S830" s="1" t="str">
        <f t="shared" si="25"/>
        <v/>
      </c>
      <c r="T830" s="1">
        <f>IF($E830="",0,SUMPRODUCT((AY_SONU!$O$7:$O$42="Evet")*(AY_SONU!$B$7:$B$42=DATE(YEAR($E830),MONTH($E830),1))))</f>
        <v>0</v>
      </c>
      <c r="U830" s="1" t="str">
        <f>IF(OR($G830="",$H830="Mahsup"),"",$G830&amp;"|"&amp;COUNTIFS($G$7:$G830,$G830,$H$7:$H830,"&lt;&gt;Mahsup"))</f>
        <v/>
      </c>
    </row>
    <row r="831" spans="1:21" ht="18" customHeight="1" x14ac:dyDescent="0.3">
      <c r="A831" s="2"/>
      <c r="B831" s="65" t="str">
        <f>IF($D831="","","T"&amp;TEXT(ROW()-6,"00000"))</f>
        <v/>
      </c>
      <c r="C831" s="65" t="str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61"/>
      <c r="E831" s="66"/>
      <c r="F831" s="67"/>
      <c r="G831" s="60"/>
      <c r="H831" s="60"/>
      <c r="I831" s="61"/>
      <c r="J831" s="61"/>
      <c r="K831" s="61"/>
      <c r="L831" s="73" t="str">
        <f>IF($E831="","",DATE(YEAR($E831),MONTH($E831),1))</f>
        <v/>
      </c>
      <c r="M831" s="65" t="str">
        <f ca="1">IF($D831="","",IF($C831="TANIMSIZ MÜŞTERİ","HATA",IF(OR($E831="",$F831&lt;=0,$G831=""),"EKSİK",IF($E831&gt;TODAY(),"İLERİ TARİH",IF(COUNTIF($S$7:$S$2503,$S831)&gt;1,"MÜKERRER?",IF($T831&gt;0,"KAPALI DÖNEM","UYGUN"))))))</f>
        <v/>
      </c>
      <c r="N831" s="74" t="str">
        <f>IF($C831="","",IF($C831="TANIMSIZ MÜŞTERİ","—",INDEX(MUSTERILER!$C$7:$C$156,MATCH($C831,MUSTERILER!$B$7:$B$156,0))))</f>
        <v/>
      </c>
      <c r="O831" s="2"/>
      <c r="P831" s="2"/>
      <c r="Q831" s="1" t="str">
        <f>IF($D831="","",$C831&amp;"|"&amp;COUNTIFS($C$7:$C831,$C831))</f>
        <v/>
      </c>
      <c r="R831" s="1" t="str">
        <f t="shared" si="24"/>
        <v/>
      </c>
      <c r="S831" s="1" t="str">
        <f t="shared" si="25"/>
        <v/>
      </c>
      <c r="T831" s="1">
        <f>IF($E831="",0,SUMPRODUCT((AY_SONU!$O$7:$O$42="Evet")*(AY_SONU!$B$7:$B$42=DATE(YEAR($E831),MONTH($E831),1))))</f>
        <v>0</v>
      </c>
      <c r="U831" s="1" t="str">
        <f>IF(OR($G831="",$H831="Mahsup"),"",$G831&amp;"|"&amp;COUNTIFS($G$7:$G831,$G831,$H$7:$H831,"&lt;&gt;Mahsup"))</f>
        <v/>
      </c>
    </row>
    <row r="832" spans="1:21" ht="18" customHeight="1" x14ac:dyDescent="0.3">
      <c r="A832" s="2"/>
      <c r="B832" s="65" t="str">
        <f>IF($D832="","","T"&amp;TEXT(ROW()-6,"00000"))</f>
        <v/>
      </c>
      <c r="C832" s="65" t="str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61"/>
      <c r="E832" s="66"/>
      <c r="F832" s="67"/>
      <c r="G832" s="60"/>
      <c r="H832" s="60"/>
      <c r="I832" s="61"/>
      <c r="J832" s="61"/>
      <c r="K832" s="61"/>
      <c r="L832" s="73" t="str">
        <f>IF($E832="","",DATE(YEAR($E832),MONTH($E832),1))</f>
        <v/>
      </c>
      <c r="M832" s="65" t="str">
        <f ca="1">IF($D832="","",IF($C832="TANIMSIZ MÜŞTERİ","HATA",IF(OR($E832="",$F832&lt;=0,$G832=""),"EKSİK",IF($E832&gt;TODAY(),"İLERİ TARİH",IF(COUNTIF($S$7:$S$2503,$S832)&gt;1,"MÜKERRER?",IF($T832&gt;0,"KAPALI DÖNEM","UYGUN"))))))</f>
        <v/>
      </c>
      <c r="N832" s="74" t="str">
        <f>IF($C832="","",IF($C832="TANIMSIZ MÜŞTERİ","—",INDEX(MUSTERILER!$C$7:$C$156,MATCH($C832,MUSTERILER!$B$7:$B$156,0))))</f>
        <v/>
      </c>
      <c r="O832" s="2"/>
      <c r="P832" s="2"/>
      <c r="Q832" s="1" t="str">
        <f>IF($D832="","",$C832&amp;"|"&amp;COUNTIFS($C$7:$C832,$C832))</f>
        <v/>
      </c>
      <c r="R832" s="1" t="str">
        <f t="shared" si="24"/>
        <v/>
      </c>
      <c r="S832" s="1" t="str">
        <f t="shared" si="25"/>
        <v/>
      </c>
      <c r="T832" s="1">
        <f>IF($E832="",0,SUMPRODUCT((AY_SONU!$O$7:$O$42="Evet")*(AY_SONU!$B$7:$B$42=DATE(YEAR($E832),MONTH($E832),1))))</f>
        <v>0</v>
      </c>
      <c r="U832" s="1" t="str">
        <f>IF(OR($G832="",$H832="Mahsup"),"",$G832&amp;"|"&amp;COUNTIFS($G$7:$G832,$G832,$H$7:$H832,"&lt;&gt;Mahsup"))</f>
        <v/>
      </c>
    </row>
    <row r="833" spans="1:21" ht="18" customHeight="1" x14ac:dyDescent="0.3">
      <c r="A833" s="2"/>
      <c r="B833" s="65" t="str">
        <f>IF($D833="","","T"&amp;TEXT(ROW()-6,"00000"))</f>
        <v/>
      </c>
      <c r="C833" s="65" t="str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61"/>
      <c r="E833" s="66"/>
      <c r="F833" s="67"/>
      <c r="G833" s="60"/>
      <c r="H833" s="60"/>
      <c r="I833" s="61"/>
      <c r="J833" s="61"/>
      <c r="K833" s="61"/>
      <c r="L833" s="73" t="str">
        <f>IF($E833="","",DATE(YEAR($E833),MONTH($E833),1))</f>
        <v/>
      </c>
      <c r="M833" s="65" t="str">
        <f ca="1">IF($D833="","",IF($C833="TANIMSIZ MÜŞTERİ","HATA",IF(OR($E833="",$F833&lt;=0,$G833=""),"EKSİK",IF($E833&gt;TODAY(),"İLERİ TARİH",IF(COUNTIF($S$7:$S$2503,$S833)&gt;1,"MÜKERRER?",IF($T833&gt;0,"KAPALI DÖNEM","UYGUN"))))))</f>
        <v/>
      </c>
      <c r="N833" s="74" t="str">
        <f>IF($C833="","",IF($C833="TANIMSIZ MÜŞTERİ","—",INDEX(MUSTERILER!$C$7:$C$156,MATCH($C833,MUSTERILER!$B$7:$B$156,0))))</f>
        <v/>
      </c>
      <c r="O833" s="2"/>
      <c r="P833" s="2"/>
      <c r="Q833" s="1" t="str">
        <f>IF($D833="","",$C833&amp;"|"&amp;COUNTIFS($C$7:$C833,$C833))</f>
        <v/>
      </c>
      <c r="R833" s="1" t="str">
        <f t="shared" si="24"/>
        <v/>
      </c>
      <c r="S833" s="1" t="str">
        <f t="shared" si="25"/>
        <v/>
      </c>
      <c r="T833" s="1">
        <f>IF($E833="",0,SUMPRODUCT((AY_SONU!$O$7:$O$42="Evet")*(AY_SONU!$B$7:$B$42=DATE(YEAR($E833),MONTH($E833),1))))</f>
        <v>0</v>
      </c>
      <c r="U833" s="1" t="str">
        <f>IF(OR($G833="",$H833="Mahsup"),"",$G833&amp;"|"&amp;COUNTIFS($G$7:$G833,$G833,$H$7:$H833,"&lt;&gt;Mahsup"))</f>
        <v/>
      </c>
    </row>
    <row r="834" spans="1:21" ht="18" customHeight="1" x14ac:dyDescent="0.3">
      <c r="A834" s="2"/>
      <c r="B834" s="65" t="str">
        <f>IF($D834="","","T"&amp;TEXT(ROW()-6,"00000"))</f>
        <v/>
      </c>
      <c r="C834" s="65" t="str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61"/>
      <c r="E834" s="66"/>
      <c r="F834" s="67"/>
      <c r="G834" s="60"/>
      <c r="H834" s="60"/>
      <c r="I834" s="61"/>
      <c r="J834" s="61"/>
      <c r="K834" s="61"/>
      <c r="L834" s="73" t="str">
        <f>IF($E834="","",DATE(YEAR($E834),MONTH($E834),1))</f>
        <v/>
      </c>
      <c r="M834" s="65" t="str">
        <f ca="1">IF($D834="","",IF($C834="TANIMSIZ MÜŞTERİ","HATA",IF(OR($E834="",$F834&lt;=0,$G834=""),"EKSİK",IF($E834&gt;TODAY(),"İLERİ TARİH",IF(COUNTIF($S$7:$S$2503,$S834)&gt;1,"MÜKERRER?",IF($T834&gt;0,"KAPALI DÖNEM","UYGUN"))))))</f>
        <v/>
      </c>
      <c r="N834" s="74" t="str">
        <f>IF($C834="","",IF($C834="TANIMSIZ MÜŞTERİ","—",INDEX(MUSTERILER!$C$7:$C$156,MATCH($C834,MUSTERILER!$B$7:$B$156,0))))</f>
        <v/>
      </c>
      <c r="O834" s="2"/>
      <c r="P834" s="2"/>
      <c r="Q834" s="1" t="str">
        <f>IF($D834="","",$C834&amp;"|"&amp;COUNTIFS($C$7:$C834,$C834))</f>
        <v/>
      </c>
      <c r="R834" s="1" t="str">
        <f t="shared" si="24"/>
        <v/>
      </c>
      <c r="S834" s="1" t="str">
        <f t="shared" si="25"/>
        <v/>
      </c>
      <c r="T834" s="1">
        <f>IF($E834="",0,SUMPRODUCT((AY_SONU!$O$7:$O$42="Evet")*(AY_SONU!$B$7:$B$42=DATE(YEAR($E834),MONTH($E834),1))))</f>
        <v>0</v>
      </c>
      <c r="U834" s="1" t="str">
        <f>IF(OR($G834="",$H834="Mahsup"),"",$G834&amp;"|"&amp;COUNTIFS($G$7:$G834,$G834,$H$7:$H834,"&lt;&gt;Mahsup"))</f>
        <v/>
      </c>
    </row>
    <row r="835" spans="1:21" ht="18" customHeight="1" x14ac:dyDescent="0.3">
      <c r="A835" s="2"/>
      <c r="B835" s="65" t="str">
        <f>IF($D835="","","T"&amp;TEXT(ROW()-6,"00000"))</f>
        <v/>
      </c>
      <c r="C835" s="65" t="str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61"/>
      <c r="E835" s="66"/>
      <c r="F835" s="67"/>
      <c r="G835" s="60"/>
      <c r="H835" s="60"/>
      <c r="I835" s="61"/>
      <c r="J835" s="61"/>
      <c r="K835" s="61"/>
      <c r="L835" s="73" t="str">
        <f>IF($E835="","",DATE(YEAR($E835),MONTH($E835),1))</f>
        <v/>
      </c>
      <c r="M835" s="65" t="str">
        <f ca="1">IF($D835="","",IF($C835="TANIMSIZ MÜŞTERİ","HATA",IF(OR($E835="",$F835&lt;=0,$G835=""),"EKSİK",IF($E835&gt;TODAY(),"İLERİ TARİH",IF(COUNTIF($S$7:$S$2503,$S835)&gt;1,"MÜKERRER?",IF($T835&gt;0,"KAPALI DÖNEM","UYGUN"))))))</f>
        <v/>
      </c>
      <c r="N835" s="74" t="str">
        <f>IF($C835="","",IF($C835="TANIMSIZ MÜŞTERİ","—",INDEX(MUSTERILER!$C$7:$C$156,MATCH($C835,MUSTERILER!$B$7:$B$156,0))))</f>
        <v/>
      </c>
      <c r="O835" s="2"/>
      <c r="P835" s="2"/>
      <c r="Q835" s="1" t="str">
        <f>IF($D835="","",$C835&amp;"|"&amp;COUNTIFS($C$7:$C835,$C835))</f>
        <v/>
      </c>
      <c r="R835" s="1" t="str">
        <f t="shared" si="24"/>
        <v/>
      </c>
      <c r="S835" s="1" t="str">
        <f t="shared" si="25"/>
        <v/>
      </c>
      <c r="T835" s="1">
        <f>IF($E835="",0,SUMPRODUCT((AY_SONU!$O$7:$O$42="Evet")*(AY_SONU!$B$7:$B$42=DATE(YEAR($E835),MONTH($E835),1))))</f>
        <v>0</v>
      </c>
      <c r="U835" s="1" t="str">
        <f>IF(OR($G835="",$H835="Mahsup"),"",$G835&amp;"|"&amp;COUNTIFS($G$7:$G835,$G835,$H$7:$H835,"&lt;&gt;Mahsup"))</f>
        <v/>
      </c>
    </row>
    <row r="836" spans="1:21" ht="18" customHeight="1" x14ac:dyDescent="0.3">
      <c r="A836" s="2"/>
      <c r="B836" s="65" t="str">
        <f>IF($D836="","","T"&amp;TEXT(ROW()-6,"00000"))</f>
        <v/>
      </c>
      <c r="C836" s="65" t="str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61"/>
      <c r="E836" s="66"/>
      <c r="F836" s="67"/>
      <c r="G836" s="60"/>
      <c r="H836" s="60"/>
      <c r="I836" s="61"/>
      <c r="J836" s="61"/>
      <c r="K836" s="61"/>
      <c r="L836" s="73" t="str">
        <f>IF($E836="","",DATE(YEAR($E836),MONTH($E836),1))</f>
        <v/>
      </c>
      <c r="M836" s="65" t="str">
        <f ca="1">IF($D836="","",IF($C836="TANIMSIZ MÜŞTERİ","HATA",IF(OR($E836="",$F836&lt;=0,$G836=""),"EKSİK",IF($E836&gt;TODAY(),"İLERİ TARİH",IF(COUNTIF($S$7:$S$2503,$S836)&gt;1,"MÜKERRER?",IF($T836&gt;0,"KAPALI DÖNEM","UYGUN"))))))</f>
        <v/>
      </c>
      <c r="N836" s="74" t="str">
        <f>IF($C836="","",IF($C836="TANIMSIZ MÜŞTERİ","—",INDEX(MUSTERILER!$C$7:$C$156,MATCH($C836,MUSTERILER!$B$7:$B$156,0))))</f>
        <v/>
      </c>
      <c r="O836" s="2"/>
      <c r="P836" s="2"/>
      <c r="Q836" s="1" t="str">
        <f>IF($D836="","",$C836&amp;"|"&amp;COUNTIFS($C$7:$C836,$C836))</f>
        <v/>
      </c>
      <c r="R836" s="1" t="str">
        <f t="shared" si="24"/>
        <v/>
      </c>
      <c r="S836" s="1" t="str">
        <f t="shared" si="25"/>
        <v/>
      </c>
      <c r="T836" s="1">
        <f>IF($E836="",0,SUMPRODUCT((AY_SONU!$O$7:$O$42="Evet")*(AY_SONU!$B$7:$B$42=DATE(YEAR($E836),MONTH($E836),1))))</f>
        <v>0</v>
      </c>
      <c r="U836" s="1" t="str">
        <f>IF(OR($G836="",$H836="Mahsup"),"",$G836&amp;"|"&amp;COUNTIFS($G$7:$G836,$G836,$H$7:$H836,"&lt;&gt;Mahsup"))</f>
        <v/>
      </c>
    </row>
    <row r="837" spans="1:21" ht="18" customHeight="1" x14ac:dyDescent="0.3">
      <c r="A837" s="2"/>
      <c r="B837" s="65" t="str">
        <f>IF($D837="","","T"&amp;TEXT(ROW()-6,"00000"))</f>
        <v/>
      </c>
      <c r="C837" s="65" t="str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61"/>
      <c r="E837" s="66"/>
      <c r="F837" s="67"/>
      <c r="G837" s="60"/>
      <c r="H837" s="60"/>
      <c r="I837" s="61"/>
      <c r="J837" s="61"/>
      <c r="K837" s="61"/>
      <c r="L837" s="73" t="str">
        <f>IF($E837="","",DATE(YEAR($E837),MONTH($E837),1))</f>
        <v/>
      </c>
      <c r="M837" s="65" t="str">
        <f ca="1">IF($D837="","",IF($C837="TANIMSIZ MÜŞTERİ","HATA",IF(OR($E837="",$F837&lt;=0,$G837=""),"EKSİK",IF($E837&gt;TODAY(),"İLERİ TARİH",IF(COUNTIF($S$7:$S$2503,$S837)&gt;1,"MÜKERRER?",IF($T837&gt;0,"KAPALI DÖNEM","UYGUN"))))))</f>
        <v/>
      </c>
      <c r="N837" s="74" t="str">
        <f>IF($C837="","",IF($C837="TANIMSIZ MÜŞTERİ","—",INDEX(MUSTERILER!$C$7:$C$156,MATCH($C837,MUSTERILER!$B$7:$B$156,0))))</f>
        <v/>
      </c>
      <c r="O837" s="2"/>
      <c r="P837" s="2"/>
      <c r="Q837" s="1" t="str">
        <f>IF($D837="","",$C837&amp;"|"&amp;COUNTIFS($C$7:$C837,$C837))</f>
        <v/>
      </c>
      <c r="R837" s="1" t="str">
        <f t="shared" si="24"/>
        <v/>
      </c>
      <c r="S837" s="1" t="str">
        <f t="shared" si="25"/>
        <v/>
      </c>
      <c r="T837" s="1">
        <f>IF($E837="",0,SUMPRODUCT((AY_SONU!$O$7:$O$42="Evet")*(AY_SONU!$B$7:$B$42=DATE(YEAR($E837),MONTH($E837),1))))</f>
        <v>0</v>
      </c>
      <c r="U837" s="1" t="str">
        <f>IF(OR($G837="",$H837="Mahsup"),"",$G837&amp;"|"&amp;COUNTIFS($G$7:$G837,$G837,$H$7:$H837,"&lt;&gt;Mahsup"))</f>
        <v/>
      </c>
    </row>
    <row r="838" spans="1:21" ht="18" customHeight="1" x14ac:dyDescent="0.3">
      <c r="A838" s="2"/>
      <c r="B838" s="65" t="str">
        <f>IF($D838="","","T"&amp;TEXT(ROW()-6,"00000"))</f>
        <v/>
      </c>
      <c r="C838" s="65" t="str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61"/>
      <c r="E838" s="66"/>
      <c r="F838" s="67"/>
      <c r="G838" s="60"/>
      <c r="H838" s="60"/>
      <c r="I838" s="61"/>
      <c r="J838" s="61"/>
      <c r="K838" s="61"/>
      <c r="L838" s="73" t="str">
        <f>IF($E838="","",DATE(YEAR($E838),MONTH($E838),1))</f>
        <v/>
      </c>
      <c r="M838" s="65" t="str">
        <f ca="1">IF($D838="","",IF($C838="TANIMSIZ MÜŞTERİ","HATA",IF(OR($E838="",$F838&lt;=0,$G838=""),"EKSİK",IF($E838&gt;TODAY(),"İLERİ TARİH",IF(COUNTIF($S$7:$S$2503,$S838)&gt;1,"MÜKERRER?",IF($T838&gt;0,"KAPALI DÖNEM","UYGUN"))))))</f>
        <v/>
      </c>
      <c r="N838" s="74" t="str">
        <f>IF($C838="","",IF($C838="TANIMSIZ MÜŞTERİ","—",INDEX(MUSTERILER!$C$7:$C$156,MATCH($C838,MUSTERILER!$B$7:$B$156,0))))</f>
        <v/>
      </c>
      <c r="O838" s="2"/>
      <c r="P838" s="2"/>
      <c r="Q838" s="1" t="str">
        <f>IF($D838="","",$C838&amp;"|"&amp;COUNTIFS($C$7:$C838,$C838))</f>
        <v/>
      </c>
      <c r="R838" s="1" t="str">
        <f t="shared" si="24"/>
        <v/>
      </c>
      <c r="S838" s="1" t="str">
        <f t="shared" si="25"/>
        <v/>
      </c>
      <c r="T838" s="1">
        <f>IF($E838="",0,SUMPRODUCT((AY_SONU!$O$7:$O$42="Evet")*(AY_SONU!$B$7:$B$42=DATE(YEAR($E838),MONTH($E838),1))))</f>
        <v>0</v>
      </c>
      <c r="U838" s="1" t="str">
        <f>IF(OR($G838="",$H838="Mahsup"),"",$G838&amp;"|"&amp;COUNTIFS($G$7:$G838,$G838,$H$7:$H838,"&lt;&gt;Mahsup"))</f>
        <v/>
      </c>
    </row>
    <row r="839" spans="1:21" ht="18" customHeight="1" x14ac:dyDescent="0.3">
      <c r="A839" s="2"/>
      <c r="B839" s="65" t="str">
        <f>IF($D839="","","T"&amp;TEXT(ROW()-6,"00000"))</f>
        <v/>
      </c>
      <c r="C839" s="65" t="str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61"/>
      <c r="E839" s="66"/>
      <c r="F839" s="67"/>
      <c r="G839" s="60"/>
      <c r="H839" s="60"/>
      <c r="I839" s="61"/>
      <c r="J839" s="61"/>
      <c r="K839" s="61"/>
      <c r="L839" s="73" t="str">
        <f>IF($E839="","",DATE(YEAR($E839),MONTH($E839),1))</f>
        <v/>
      </c>
      <c r="M839" s="65" t="str">
        <f ca="1">IF($D839="","",IF($C839="TANIMSIZ MÜŞTERİ","HATA",IF(OR($E839="",$F839&lt;=0,$G839=""),"EKSİK",IF($E839&gt;TODAY(),"İLERİ TARİH",IF(COUNTIF($S$7:$S$2503,$S839)&gt;1,"MÜKERRER?",IF($T839&gt;0,"KAPALI DÖNEM","UYGUN"))))))</f>
        <v/>
      </c>
      <c r="N839" s="74" t="str">
        <f>IF($C839="","",IF($C839="TANIMSIZ MÜŞTERİ","—",INDEX(MUSTERILER!$C$7:$C$156,MATCH($C839,MUSTERILER!$B$7:$B$156,0))))</f>
        <v/>
      </c>
      <c r="O839" s="2"/>
      <c r="P839" s="2"/>
      <c r="Q839" s="1" t="str">
        <f>IF($D839="","",$C839&amp;"|"&amp;COUNTIFS($C$7:$C839,$C839))</f>
        <v/>
      </c>
      <c r="R839" s="1" t="str">
        <f t="shared" ref="R839:R902" si="26"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" t="str">
        <f t="shared" ref="S839:S902" si="27">IF($D839="","",$C839&amp;"|"&amp;TEXT($E839,"0")&amp;"|"&amp;TEXT($F839,"0")&amp;"|"&amp;$I839)</f>
        <v/>
      </c>
      <c r="T839" s="1">
        <f>IF($E839="",0,SUMPRODUCT((AY_SONU!$O$7:$O$42="Evet")*(AY_SONU!$B$7:$B$42=DATE(YEAR($E839),MONTH($E839),1))))</f>
        <v>0</v>
      </c>
      <c r="U839" s="1" t="str">
        <f>IF(OR($G839="",$H839="Mahsup"),"",$G839&amp;"|"&amp;COUNTIFS($G$7:$G839,$G839,$H$7:$H839,"&lt;&gt;Mahsup"))</f>
        <v/>
      </c>
    </row>
    <row r="840" spans="1:21" ht="18" customHeight="1" x14ac:dyDescent="0.3">
      <c r="A840" s="2"/>
      <c r="B840" s="65" t="str">
        <f>IF($D840="","","T"&amp;TEXT(ROW()-6,"00000"))</f>
        <v/>
      </c>
      <c r="C840" s="65" t="str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61"/>
      <c r="E840" s="66"/>
      <c r="F840" s="67"/>
      <c r="G840" s="60"/>
      <c r="H840" s="60"/>
      <c r="I840" s="61"/>
      <c r="J840" s="61"/>
      <c r="K840" s="61"/>
      <c r="L840" s="73" t="str">
        <f>IF($E840="","",DATE(YEAR($E840),MONTH($E840),1))</f>
        <v/>
      </c>
      <c r="M840" s="65" t="str">
        <f ca="1">IF($D840="","",IF($C840="TANIMSIZ MÜŞTERİ","HATA",IF(OR($E840="",$F840&lt;=0,$G840=""),"EKSİK",IF($E840&gt;TODAY(),"İLERİ TARİH",IF(COUNTIF($S$7:$S$2503,$S840)&gt;1,"MÜKERRER?",IF($T840&gt;0,"KAPALI DÖNEM","UYGUN"))))))</f>
        <v/>
      </c>
      <c r="N840" s="74" t="str">
        <f>IF($C840="","",IF($C840="TANIMSIZ MÜŞTERİ","—",INDEX(MUSTERILER!$C$7:$C$156,MATCH($C840,MUSTERILER!$B$7:$B$156,0))))</f>
        <v/>
      </c>
      <c r="O840" s="2"/>
      <c r="P840" s="2"/>
      <c r="Q840" s="1" t="str">
        <f>IF($D840="","",$C840&amp;"|"&amp;COUNTIFS($C$7:$C840,$C840))</f>
        <v/>
      </c>
      <c r="R840" s="1" t="str">
        <f t="shared" si="26"/>
        <v/>
      </c>
      <c r="S840" s="1" t="str">
        <f t="shared" si="27"/>
        <v/>
      </c>
      <c r="T840" s="1">
        <f>IF($E840="",0,SUMPRODUCT((AY_SONU!$O$7:$O$42="Evet")*(AY_SONU!$B$7:$B$42=DATE(YEAR($E840),MONTH($E840),1))))</f>
        <v>0</v>
      </c>
      <c r="U840" s="1" t="str">
        <f>IF(OR($G840="",$H840="Mahsup"),"",$G840&amp;"|"&amp;COUNTIFS($G$7:$G840,$G840,$H$7:$H840,"&lt;&gt;Mahsup"))</f>
        <v/>
      </c>
    </row>
    <row r="841" spans="1:21" ht="18" customHeight="1" x14ac:dyDescent="0.3">
      <c r="A841" s="2"/>
      <c r="B841" s="65" t="str">
        <f>IF($D841="","","T"&amp;TEXT(ROW()-6,"00000"))</f>
        <v/>
      </c>
      <c r="C841" s="65" t="str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61"/>
      <c r="E841" s="66"/>
      <c r="F841" s="67"/>
      <c r="G841" s="60"/>
      <c r="H841" s="60"/>
      <c r="I841" s="61"/>
      <c r="J841" s="61"/>
      <c r="K841" s="61"/>
      <c r="L841" s="73" t="str">
        <f>IF($E841="","",DATE(YEAR($E841),MONTH($E841),1))</f>
        <v/>
      </c>
      <c r="M841" s="65" t="str">
        <f ca="1">IF($D841="","",IF($C841="TANIMSIZ MÜŞTERİ","HATA",IF(OR($E841="",$F841&lt;=0,$G841=""),"EKSİK",IF($E841&gt;TODAY(),"İLERİ TARİH",IF(COUNTIF($S$7:$S$2503,$S841)&gt;1,"MÜKERRER?",IF($T841&gt;0,"KAPALI DÖNEM","UYGUN"))))))</f>
        <v/>
      </c>
      <c r="N841" s="74" t="str">
        <f>IF($C841="","",IF($C841="TANIMSIZ MÜŞTERİ","—",INDEX(MUSTERILER!$C$7:$C$156,MATCH($C841,MUSTERILER!$B$7:$B$156,0))))</f>
        <v/>
      </c>
      <c r="O841" s="2"/>
      <c r="P841" s="2"/>
      <c r="Q841" s="1" t="str">
        <f>IF($D841="","",$C841&amp;"|"&amp;COUNTIFS($C$7:$C841,$C841))</f>
        <v/>
      </c>
      <c r="R841" s="1" t="str">
        <f t="shared" si="26"/>
        <v/>
      </c>
      <c r="S841" s="1" t="str">
        <f t="shared" si="27"/>
        <v/>
      </c>
      <c r="T841" s="1">
        <f>IF($E841="",0,SUMPRODUCT((AY_SONU!$O$7:$O$42="Evet")*(AY_SONU!$B$7:$B$42=DATE(YEAR($E841),MONTH($E841),1))))</f>
        <v>0</v>
      </c>
      <c r="U841" s="1" t="str">
        <f>IF(OR($G841="",$H841="Mahsup"),"",$G841&amp;"|"&amp;COUNTIFS($G$7:$G841,$G841,$H$7:$H841,"&lt;&gt;Mahsup"))</f>
        <v/>
      </c>
    </row>
    <row r="842" spans="1:21" ht="18" customHeight="1" x14ac:dyDescent="0.3">
      <c r="A842" s="2"/>
      <c r="B842" s="65" t="str">
        <f>IF($D842="","","T"&amp;TEXT(ROW()-6,"00000"))</f>
        <v/>
      </c>
      <c r="C842" s="65" t="str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61"/>
      <c r="E842" s="66"/>
      <c r="F842" s="67"/>
      <c r="G842" s="60"/>
      <c r="H842" s="60"/>
      <c r="I842" s="61"/>
      <c r="J842" s="61"/>
      <c r="K842" s="61"/>
      <c r="L842" s="73" t="str">
        <f>IF($E842="","",DATE(YEAR($E842),MONTH($E842),1))</f>
        <v/>
      </c>
      <c r="M842" s="65" t="str">
        <f ca="1">IF($D842="","",IF($C842="TANIMSIZ MÜŞTERİ","HATA",IF(OR($E842="",$F842&lt;=0,$G842=""),"EKSİK",IF($E842&gt;TODAY(),"İLERİ TARİH",IF(COUNTIF($S$7:$S$2503,$S842)&gt;1,"MÜKERRER?",IF($T842&gt;0,"KAPALI DÖNEM","UYGUN"))))))</f>
        <v/>
      </c>
      <c r="N842" s="74" t="str">
        <f>IF($C842="","",IF($C842="TANIMSIZ MÜŞTERİ","—",INDEX(MUSTERILER!$C$7:$C$156,MATCH($C842,MUSTERILER!$B$7:$B$156,0))))</f>
        <v/>
      </c>
      <c r="O842" s="2"/>
      <c r="P842" s="2"/>
      <c r="Q842" s="1" t="str">
        <f>IF($D842="","",$C842&amp;"|"&amp;COUNTIFS($C$7:$C842,$C842))</f>
        <v/>
      </c>
      <c r="R842" s="1" t="str">
        <f t="shared" si="26"/>
        <v/>
      </c>
      <c r="S842" s="1" t="str">
        <f t="shared" si="27"/>
        <v/>
      </c>
      <c r="T842" s="1">
        <f>IF($E842="",0,SUMPRODUCT((AY_SONU!$O$7:$O$42="Evet")*(AY_SONU!$B$7:$B$42=DATE(YEAR($E842),MONTH($E842),1))))</f>
        <v>0</v>
      </c>
      <c r="U842" s="1" t="str">
        <f>IF(OR($G842="",$H842="Mahsup"),"",$G842&amp;"|"&amp;COUNTIFS($G$7:$G842,$G842,$H$7:$H842,"&lt;&gt;Mahsup"))</f>
        <v/>
      </c>
    </row>
    <row r="843" spans="1:21" ht="18" customHeight="1" x14ac:dyDescent="0.3">
      <c r="A843" s="2"/>
      <c r="B843" s="65" t="str">
        <f>IF($D843="","","T"&amp;TEXT(ROW()-6,"00000"))</f>
        <v/>
      </c>
      <c r="C843" s="65" t="str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61"/>
      <c r="E843" s="66"/>
      <c r="F843" s="67"/>
      <c r="G843" s="60"/>
      <c r="H843" s="60"/>
      <c r="I843" s="61"/>
      <c r="J843" s="61"/>
      <c r="K843" s="61"/>
      <c r="L843" s="73" t="str">
        <f>IF($E843="","",DATE(YEAR($E843),MONTH($E843),1))</f>
        <v/>
      </c>
      <c r="M843" s="65" t="str">
        <f ca="1">IF($D843="","",IF($C843="TANIMSIZ MÜŞTERİ","HATA",IF(OR($E843="",$F843&lt;=0,$G843=""),"EKSİK",IF($E843&gt;TODAY(),"İLERİ TARİH",IF(COUNTIF($S$7:$S$2503,$S843)&gt;1,"MÜKERRER?",IF($T843&gt;0,"KAPALI DÖNEM","UYGUN"))))))</f>
        <v/>
      </c>
      <c r="N843" s="74" t="str">
        <f>IF($C843="","",IF($C843="TANIMSIZ MÜŞTERİ","—",INDEX(MUSTERILER!$C$7:$C$156,MATCH($C843,MUSTERILER!$B$7:$B$156,0))))</f>
        <v/>
      </c>
      <c r="O843" s="2"/>
      <c r="P843" s="2"/>
      <c r="Q843" s="1" t="str">
        <f>IF($D843="","",$C843&amp;"|"&amp;COUNTIFS($C$7:$C843,$C843))</f>
        <v/>
      </c>
      <c r="R843" s="1" t="str">
        <f t="shared" si="26"/>
        <v/>
      </c>
      <c r="S843" s="1" t="str">
        <f t="shared" si="27"/>
        <v/>
      </c>
      <c r="T843" s="1">
        <f>IF($E843="",0,SUMPRODUCT((AY_SONU!$O$7:$O$42="Evet")*(AY_SONU!$B$7:$B$42=DATE(YEAR($E843),MONTH($E843),1))))</f>
        <v>0</v>
      </c>
      <c r="U843" s="1" t="str">
        <f>IF(OR($G843="",$H843="Mahsup"),"",$G843&amp;"|"&amp;COUNTIFS($G$7:$G843,$G843,$H$7:$H843,"&lt;&gt;Mahsup"))</f>
        <v/>
      </c>
    </row>
    <row r="844" spans="1:21" ht="18" customHeight="1" x14ac:dyDescent="0.3">
      <c r="A844" s="2"/>
      <c r="B844" s="65" t="str">
        <f>IF($D844="","","T"&amp;TEXT(ROW()-6,"00000"))</f>
        <v/>
      </c>
      <c r="C844" s="65" t="str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61"/>
      <c r="E844" s="66"/>
      <c r="F844" s="67"/>
      <c r="G844" s="60"/>
      <c r="H844" s="60"/>
      <c r="I844" s="61"/>
      <c r="J844" s="61"/>
      <c r="K844" s="61"/>
      <c r="L844" s="73" t="str">
        <f>IF($E844="","",DATE(YEAR($E844),MONTH($E844),1))</f>
        <v/>
      </c>
      <c r="M844" s="65" t="str">
        <f ca="1">IF($D844="","",IF($C844="TANIMSIZ MÜŞTERİ","HATA",IF(OR($E844="",$F844&lt;=0,$G844=""),"EKSİK",IF($E844&gt;TODAY(),"İLERİ TARİH",IF(COUNTIF($S$7:$S$2503,$S844)&gt;1,"MÜKERRER?",IF($T844&gt;0,"KAPALI DÖNEM","UYGUN"))))))</f>
        <v/>
      </c>
      <c r="N844" s="74" t="str">
        <f>IF($C844="","",IF($C844="TANIMSIZ MÜŞTERİ","—",INDEX(MUSTERILER!$C$7:$C$156,MATCH($C844,MUSTERILER!$B$7:$B$156,0))))</f>
        <v/>
      </c>
      <c r="O844" s="2"/>
      <c r="P844" s="2"/>
      <c r="Q844" s="1" t="str">
        <f>IF($D844="","",$C844&amp;"|"&amp;COUNTIFS($C$7:$C844,$C844))</f>
        <v/>
      </c>
      <c r="R844" s="1" t="str">
        <f t="shared" si="26"/>
        <v/>
      </c>
      <c r="S844" s="1" t="str">
        <f t="shared" si="27"/>
        <v/>
      </c>
      <c r="T844" s="1">
        <f>IF($E844="",0,SUMPRODUCT((AY_SONU!$O$7:$O$42="Evet")*(AY_SONU!$B$7:$B$42=DATE(YEAR($E844),MONTH($E844),1))))</f>
        <v>0</v>
      </c>
      <c r="U844" s="1" t="str">
        <f>IF(OR($G844="",$H844="Mahsup"),"",$G844&amp;"|"&amp;COUNTIFS($G$7:$G844,$G844,$H$7:$H844,"&lt;&gt;Mahsup"))</f>
        <v/>
      </c>
    </row>
    <row r="845" spans="1:21" ht="18" customHeight="1" x14ac:dyDescent="0.3">
      <c r="A845" s="2"/>
      <c r="B845" s="65" t="str">
        <f>IF($D845="","","T"&amp;TEXT(ROW()-6,"00000"))</f>
        <v/>
      </c>
      <c r="C845" s="65" t="str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61"/>
      <c r="E845" s="66"/>
      <c r="F845" s="67"/>
      <c r="G845" s="60"/>
      <c r="H845" s="60"/>
      <c r="I845" s="61"/>
      <c r="J845" s="61"/>
      <c r="K845" s="61"/>
      <c r="L845" s="73" t="str">
        <f>IF($E845="","",DATE(YEAR($E845),MONTH($E845),1))</f>
        <v/>
      </c>
      <c r="M845" s="65" t="str">
        <f ca="1">IF($D845="","",IF($C845="TANIMSIZ MÜŞTERİ","HATA",IF(OR($E845="",$F845&lt;=0,$G845=""),"EKSİK",IF($E845&gt;TODAY(),"İLERİ TARİH",IF(COUNTIF($S$7:$S$2503,$S845)&gt;1,"MÜKERRER?",IF($T845&gt;0,"KAPALI DÖNEM","UYGUN"))))))</f>
        <v/>
      </c>
      <c r="N845" s="74" t="str">
        <f>IF($C845="","",IF($C845="TANIMSIZ MÜŞTERİ","—",INDEX(MUSTERILER!$C$7:$C$156,MATCH($C845,MUSTERILER!$B$7:$B$156,0))))</f>
        <v/>
      </c>
      <c r="O845" s="2"/>
      <c r="P845" s="2"/>
      <c r="Q845" s="1" t="str">
        <f>IF($D845="","",$C845&amp;"|"&amp;COUNTIFS($C$7:$C845,$C845))</f>
        <v/>
      </c>
      <c r="R845" s="1" t="str">
        <f t="shared" si="26"/>
        <v/>
      </c>
      <c r="S845" s="1" t="str">
        <f t="shared" si="27"/>
        <v/>
      </c>
      <c r="T845" s="1">
        <f>IF($E845="",0,SUMPRODUCT((AY_SONU!$O$7:$O$42="Evet")*(AY_SONU!$B$7:$B$42=DATE(YEAR($E845),MONTH($E845),1))))</f>
        <v>0</v>
      </c>
      <c r="U845" s="1" t="str">
        <f>IF(OR($G845="",$H845="Mahsup"),"",$G845&amp;"|"&amp;COUNTIFS($G$7:$G845,$G845,$H$7:$H845,"&lt;&gt;Mahsup"))</f>
        <v/>
      </c>
    </row>
    <row r="846" spans="1:21" ht="18" customHeight="1" x14ac:dyDescent="0.3">
      <c r="A846" s="2"/>
      <c r="B846" s="65" t="str">
        <f>IF($D846="","","T"&amp;TEXT(ROW()-6,"00000"))</f>
        <v/>
      </c>
      <c r="C846" s="65" t="str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61"/>
      <c r="E846" s="66"/>
      <c r="F846" s="67"/>
      <c r="G846" s="60"/>
      <c r="H846" s="60"/>
      <c r="I846" s="61"/>
      <c r="J846" s="61"/>
      <c r="K846" s="61"/>
      <c r="L846" s="73" t="str">
        <f>IF($E846="","",DATE(YEAR($E846),MONTH($E846),1))</f>
        <v/>
      </c>
      <c r="M846" s="65" t="str">
        <f ca="1">IF($D846="","",IF($C846="TANIMSIZ MÜŞTERİ","HATA",IF(OR($E846="",$F846&lt;=0,$G846=""),"EKSİK",IF($E846&gt;TODAY(),"İLERİ TARİH",IF(COUNTIF($S$7:$S$2503,$S846)&gt;1,"MÜKERRER?",IF($T846&gt;0,"KAPALI DÖNEM","UYGUN"))))))</f>
        <v/>
      </c>
      <c r="N846" s="74" t="str">
        <f>IF($C846="","",IF($C846="TANIMSIZ MÜŞTERİ","—",INDEX(MUSTERILER!$C$7:$C$156,MATCH($C846,MUSTERILER!$B$7:$B$156,0))))</f>
        <v/>
      </c>
      <c r="O846" s="2"/>
      <c r="P846" s="2"/>
      <c r="Q846" s="1" t="str">
        <f>IF($D846="","",$C846&amp;"|"&amp;COUNTIFS($C$7:$C846,$C846))</f>
        <v/>
      </c>
      <c r="R846" s="1" t="str">
        <f t="shared" si="26"/>
        <v/>
      </c>
      <c r="S846" s="1" t="str">
        <f t="shared" si="27"/>
        <v/>
      </c>
      <c r="T846" s="1">
        <f>IF($E846="",0,SUMPRODUCT((AY_SONU!$O$7:$O$42="Evet")*(AY_SONU!$B$7:$B$42=DATE(YEAR($E846),MONTH($E846),1))))</f>
        <v>0</v>
      </c>
      <c r="U846" s="1" t="str">
        <f>IF(OR($G846="",$H846="Mahsup"),"",$G846&amp;"|"&amp;COUNTIFS($G$7:$G846,$G846,$H$7:$H846,"&lt;&gt;Mahsup"))</f>
        <v/>
      </c>
    </row>
    <row r="847" spans="1:21" ht="18" customHeight="1" x14ac:dyDescent="0.3">
      <c r="A847" s="2"/>
      <c r="B847" s="65" t="str">
        <f>IF($D847="","","T"&amp;TEXT(ROW()-6,"00000"))</f>
        <v/>
      </c>
      <c r="C847" s="65" t="str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61"/>
      <c r="E847" s="66"/>
      <c r="F847" s="67"/>
      <c r="G847" s="60"/>
      <c r="H847" s="60"/>
      <c r="I847" s="61"/>
      <c r="J847" s="61"/>
      <c r="K847" s="61"/>
      <c r="L847" s="73" t="str">
        <f>IF($E847="","",DATE(YEAR($E847),MONTH($E847),1))</f>
        <v/>
      </c>
      <c r="M847" s="65" t="str">
        <f ca="1">IF($D847="","",IF($C847="TANIMSIZ MÜŞTERİ","HATA",IF(OR($E847="",$F847&lt;=0,$G847=""),"EKSİK",IF($E847&gt;TODAY(),"İLERİ TARİH",IF(COUNTIF($S$7:$S$2503,$S847)&gt;1,"MÜKERRER?",IF($T847&gt;0,"KAPALI DÖNEM","UYGUN"))))))</f>
        <v/>
      </c>
      <c r="N847" s="74" t="str">
        <f>IF($C847="","",IF($C847="TANIMSIZ MÜŞTERİ","—",INDEX(MUSTERILER!$C$7:$C$156,MATCH($C847,MUSTERILER!$B$7:$B$156,0))))</f>
        <v/>
      </c>
      <c r="O847" s="2"/>
      <c r="P847" s="2"/>
      <c r="Q847" s="1" t="str">
        <f>IF($D847="","",$C847&amp;"|"&amp;COUNTIFS($C$7:$C847,$C847))</f>
        <v/>
      </c>
      <c r="R847" s="1" t="str">
        <f t="shared" si="26"/>
        <v/>
      </c>
      <c r="S847" s="1" t="str">
        <f t="shared" si="27"/>
        <v/>
      </c>
      <c r="T847" s="1">
        <f>IF($E847="",0,SUMPRODUCT((AY_SONU!$O$7:$O$42="Evet")*(AY_SONU!$B$7:$B$42=DATE(YEAR($E847),MONTH($E847),1))))</f>
        <v>0</v>
      </c>
      <c r="U847" s="1" t="str">
        <f>IF(OR($G847="",$H847="Mahsup"),"",$G847&amp;"|"&amp;COUNTIFS($G$7:$G847,$G847,$H$7:$H847,"&lt;&gt;Mahsup"))</f>
        <v/>
      </c>
    </row>
    <row r="848" spans="1:21" ht="18" customHeight="1" x14ac:dyDescent="0.3">
      <c r="A848" s="2"/>
      <c r="B848" s="65" t="str">
        <f>IF($D848="","","T"&amp;TEXT(ROW()-6,"00000"))</f>
        <v/>
      </c>
      <c r="C848" s="65" t="str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61"/>
      <c r="E848" s="66"/>
      <c r="F848" s="67"/>
      <c r="G848" s="60"/>
      <c r="H848" s="60"/>
      <c r="I848" s="61"/>
      <c r="J848" s="61"/>
      <c r="K848" s="61"/>
      <c r="L848" s="73" t="str">
        <f>IF($E848="","",DATE(YEAR($E848),MONTH($E848),1))</f>
        <v/>
      </c>
      <c r="M848" s="65" t="str">
        <f ca="1">IF($D848="","",IF($C848="TANIMSIZ MÜŞTERİ","HATA",IF(OR($E848="",$F848&lt;=0,$G848=""),"EKSİK",IF($E848&gt;TODAY(),"İLERİ TARİH",IF(COUNTIF($S$7:$S$2503,$S848)&gt;1,"MÜKERRER?",IF($T848&gt;0,"KAPALI DÖNEM","UYGUN"))))))</f>
        <v/>
      </c>
      <c r="N848" s="74" t="str">
        <f>IF($C848="","",IF($C848="TANIMSIZ MÜŞTERİ","—",INDEX(MUSTERILER!$C$7:$C$156,MATCH($C848,MUSTERILER!$B$7:$B$156,0))))</f>
        <v/>
      </c>
      <c r="O848" s="2"/>
      <c r="P848" s="2"/>
      <c r="Q848" s="1" t="str">
        <f>IF($D848="","",$C848&amp;"|"&amp;COUNTIFS($C$7:$C848,$C848))</f>
        <v/>
      </c>
      <c r="R848" s="1" t="str">
        <f t="shared" si="26"/>
        <v/>
      </c>
      <c r="S848" s="1" t="str">
        <f t="shared" si="27"/>
        <v/>
      </c>
      <c r="T848" s="1">
        <f>IF($E848="",0,SUMPRODUCT((AY_SONU!$O$7:$O$42="Evet")*(AY_SONU!$B$7:$B$42=DATE(YEAR($E848),MONTH($E848),1))))</f>
        <v>0</v>
      </c>
      <c r="U848" s="1" t="str">
        <f>IF(OR($G848="",$H848="Mahsup"),"",$G848&amp;"|"&amp;COUNTIFS($G$7:$G848,$G848,$H$7:$H848,"&lt;&gt;Mahsup"))</f>
        <v/>
      </c>
    </row>
    <row r="849" spans="1:21" ht="18" customHeight="1" x14ac:dyDescent="0.3">
      <c r="A849" s="2"/>
      <c r="B849" s="65" t="str">
        <f>IF($D849="","","T"&amp;TEXT(ROW()-6,"00000"))</f>
        <v/>
      </c>
      <c r="C849" s="65" t="str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61"/>
      <c r="E849" s="66"/>
      <c r="F849" s="67"/>
      <c r="G849" s="60"/>
      <c r="H849" s="60"/>
      <c r="I849" s="61"/>
      <c r="J849" s="61"/>
      <c r="K849" s="61"/>
      <c r="L849" s="73" t="str">
        <f>IF($E849="","",DATE(YEAR($E849),MONTH($E849),1))</f>
        <v/>
      </c>
      <c r="M849" s="65" t="str">
        <f ca="1">IF($D849="","",IF($C849="TANIMSIZ MÜŞTERİ","HATA",IF(OR($E849="",$F849&lt;=0,$G849=""),"EKSİK",IF($E849&gt;TODAY(),"İLERİ TARİH",IF(COUNTIF($S$7:$S$2503,$S849)&gt;1,"MÜKERRER?",IF($T849&gt;0,"KAPALI DÖNEM","UYGUN"))))))</f>
        <v/>
      </c>
      <c r="N849" s="74" t="str">
        <f>IF($C849="","",IF($C849="TANIMSIZ MÜŞTERİ","—",INDEX(MUSTERILER!$C$7:$C$156,MATCH($C849,MUSTERILER!$B$7:$B$156,0))))</f>
        <v/>
      </c>
      <c r="O849" s="2"/>
      <c r="P849" s="2"/>
      <c r="Q849" s="1" t="str">
        <f>IF($D849="","",$C849&amp;"|"&amp;COUNTIFS($C$7:$C849,$C849))</f>
        <v/>
      </c>
      <c r="R849" s="1" t="str">
        <f t="shared" si="26"/>
        <v/>
      </c>
      <c r="S849" s="1" t="str">
        <f t="shared" si="27"/>
        <v/>
      </c>
      <c r="T849" s="1">
        <f>IF($E849="",0,SUMPRODUCT((AY_SONU!$O$7:$O$42="Evet")*(AY_SONU!$B$7:$B$42=DATE(YEAR($E849),MONTH($E849),1))))</f>
        <v>0</v>
      </c>
      <c r="U849" s="1" t="str">
        <f>IF(OR($G849="",$H849="Mahsup"),"",$G849&amp;"|"&amp;COUNTIFS($G$7:$G849,$G849,$H$7:$H849,"&lt;&gt;Mahsup"))</f>
        <v/>
      </c>
    </row>
    <row r="850" spans="1:21" ht="18" customHeight="1" x14ac:dyDescent="0.3">
      <c r="A850" s="2"/>
      <c r="B850" s="65" t="str">
        <f>IF($D850="","","T"&amp;TEXT(ROW()-6,"00000"))</f>
        <v/>
      </c>
      <c r="C850" s="65" t="str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61"/>
      <c r="E850" s="66"/>
      <c r="F850" s="67"/>
      <c r="G850" s="60"/>
      <c r="H850" s="60"/>
      <c r="I850" s="61"/>
      <c r="J850" s="61"/>
      <c r="K850" s="61"/>
      <c r="L850" s="73" t="str">
        <f>IF($E850="","",DATE(YEAR($E850),MONTH($E850),1))</f>
        <v/>
      </c>
      <c r="M850" s="65" t="str">
        <f ca="1">IF($D850="","",IF($C850="TANIMSIZ MÜŞTERİ","HATA",IF(OR($E850="",$F850&lt;=0,$G850=""),"EKSİK",IF($E850&gt;TODAY(),"İLERİ TARİH",IF(COUNTIF($S$7:$S$2503,$S850)&gt;1,"MÜKERRER?",IF($T850&gt;0,"KAPALI DÖNEM","UYGUN"))))))</f>
        <v/>
      </c>
      <c r="N850" s="74" t="str">
        <f>IF($C850="","",IF($C850="TANIMSIZ MÜŞTERİ","—",INDEX(MUSTERILER!$C$7:$C$156,MATCH($C850,MUSTERILER!$B$7:$B$156,0))))</f>
        <v/>
      </c>
      <c r="O850" s="2"/>
      <c r="P850" s="2"/>
      <c r="Q850" s="1" t="str">
        <f>IF($D850="","",$C850&amp;"|"&amp;COUNTIFS($C$7:$C850,$C850))</f>
        <v/>
      </c>
      <c r="R850" s="1" t="str">
        <f t="shared" si="26"/>
        <v/>
      </c>
      <c r="S850" s="1" t="str">
        <f t="shared" si="27"/>
        <v/>
      </c>
      <c r="T850" s="1">
        <f>IF($E850="",0,SUMPRODUCT((AY_SONU!$O$7:$O$42="Evet")*(AY_SONU!$B$7:$B$42=DATE(YEAR($E850),MONTH($E850),1))))</f>
        <v>0</v>
      </c>
      <c r="U850" s="1" t="str">
        <f>IF(OR($G850="",$H850="Mahsup"),"",$G850&amp;"|"&amp;COUNTIFS($G$7:$G850,$G850,$H$7:$H850,"&lt;&gt;Mahsup"))</f>
        <v/>
      </c>
    </row>
    <row r="851" spans="1:21" ht="18" customHeight="1" x14ac:dyDescent="0.3">
      <c r="A851" s="2"/>
      <c r="B851" s="65" t="str">
        <f>IF($D851="","","T"&amp;TEXT(ROW()-6,"00000"))</f>
        <v/>
      </c>
      <c r="C851" s="65" t="str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61"/>
      <c r="E851" s="66"/>
      <c r="F851" s="67"/>
      <c r="G851" s="60"/>
      <c r="H851" s="60"/>
      <c r="I851" s="61"/>
      <c r="J851" s="61"/>
      <c r="K851" s="61"/>
      <c r="L851" s="73" t="str">
        <f>IF($E851="","",DATE(YEAR($E851),MONTH($E851),1))</f>
        <v/>
      </c>
      <c r="M851" s="65" t="str">
        <f ca="1">IF($D851="","",IF($C851="TANIMSIZ MÜŞTERİ","HATA",IF(OR($E851="",$F851&lt;=0,$G851=""),"EKSİK",IF($E851&gt;TODAY(),"İLERİ TARİH",IF(COUNTIF($S$7:$S$2503,$S851)&gt;1,"MÜKERRER?",IF($T851&gt;0,"KAPALI DÖNEM","UYGUN"))))))</f>
        <v/>
      </c>
      <c r="N851" s="74" t="str">
        <f>IF($C851="","",IF($C851="TANIMSIZ MÜŞTERİ","—",INDEX(MUSTERILER!$C$7:$C$156,MATCH($C851,MUSTERILER!$B$7:$B$156,0))))</f>
        <v/>
      </c>
      <c r="O851" s="2"/>
      <c r="P851" s="2"/>
      <c r="Q851" s="1" t="str">
        <f>IF($D851="","",$C851&amp;"|"&amp;COUNTIFS($C$7:$C851,$C851))</f>
        <v/>
      </c>
      <c r="R851" s="1" t="str">
        <f t="shared" si="26"/>
        <v/>
      </c>
      <c r="S851" s="1" t="str">
        <f t="shared" si="27"/>
        <v/>
      </c>
      <c r="T851" s="1">
        <f>IF($E851="",0,SUMPRODUCT((AY_SONU!$O$7:$O$42="Evet")*(AY_SONU!$B$7:$B$42=DATE(YEAR($E851),MONTH($E851),1))))</f>
        <v>0</v>
      </c>
      <c r="U851" s="1" t="str">
        <f>IF(OR($G851="",$H851="Mahsup"),"",$G851&amp;"|"&amp;COUNTIFS($G$7:$G851,$G851,$H$7:$H851,"&lt;&gt;Mahsup"))</f>
        <v/>
      </c>
    </row>
    <row r="852" spans="1:21" ht="18" customHeight="1" x14ac:dyDescent="0.3">
      <c r="A852" s="2"/>
      <c r="B852" s="65" t="str">
        <f>IF($D852="","","T"&amp;TEXT(ROW()-6,"00000"))</f>
        <v/>
      </c>
      <c r="C852" s="65" t="str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61"/>
      <c r="E852" s="66"/>
      <c r="F852" s="67"/>
      <c r="G852" s="60"/>
      <c r="H852" s="60"/>
      <c r="I852" s="61"/>
      <c r="J852" s="61"/>
      <c r="K852" s="61"/>
      <c r="L852" s="73" t="str">
        <f>IF($E852="","",DATE(YEAR($E852),MONTH($E852),1))</f>
        <v/>
      </c>
      <c r="M852" s="65" t="str">
        <f ca="1">IF($D852="","",IF($C852="TANIMSIZ MÜŞTERİ","HATA",IF(OR($E852="",$F852&lt;=0,$G852=""),"EKSİK",IF($E852&gt;TODAY(),"İLERİ TARİH",IF(COUNTIF($S$7:$S$2503,$S852)&gt;1,"MÜKERRER?",IF($T852&gt;0,"KAPALI DÖNEM","UYGUN"))))))</f>
        <v/>
      </c>
      <c r="N852" s="74" t="str">
        <f>IF($C852="","",IF($C852="TANIMSIZ MÜŞTERİ","—",INDEX(MUSTERILER!$C$7:$C$156,MATCH($C852,MUSTERILER!$B$7:$B$156,0))))</f>
        <v/>
      </c>
      <c r="O852" s="2"/>
      <c r="P852" s="2"/>
      <c r="Q852" s="1" t="str">
        <f>IF($D852="","",$C852&amp;"|"&amp;COUNTIFS($C$7:$C852,$C852))</f>
        <v/>
      </c>
      <c r="R852" s="1" t="str">
        <f t="shared" si="26"/>
        <v/>
      </c>
      <c r="S852" s="1" t="str">
        <f t="shared" si="27"/>
        <v/>
      </c>
      <c r="T852" s="1">
        <f>IF($E852="",0,SUMPRODUCT((AY_SONU!$O$7:$O$42="Evet")*(AY_SONU!$B$7:$B$42=DATE(YEAR($E852),MONTH($E852),1))))</f>
        <v>0</v>
      </c>
      <c r="U852" s="1" t="str">
        <f>IF(OR($G852="",$H852="Mahsup"),"",$G852&amp;"|"&amp;COUNTIFS($G$7:$G852,$G852,$H$7:$H852,"&lt;&gt;Mahsup"))</f>
        <v/>
      </c>
    </row>
    <row r="853" spans="1:21" ht="18" customHeight="1" x14ac:dyDescent="0.3">
      <c r="A853" s="2"/>
      <c r="B853" s="65" t="str">
        <f>IF($D853="","","T"&amp;TEXT(ROW()-6,"00000"))</f>
        <v/>
      </c>
      <c r="C853" s="65" t="str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61"/>
      <c r="E853" s="66"/>
      <c r="F853" s="67"/>
      <c r="G853" s="60"/>
      <c r="H853" s="60"/>
      <c r="I853" s="61"/>
      <c r="J853" s="61"/>
      <c r="K853" s="61"/>
      <c r="L853" s="73" t="str">
        <f>IF($E853="","",DATE(YEAR($E853),MONTH($E853),1))</f>
        <v/>
      </c>
      <c r="M853" s="65" t="str">
        <f ca="1">IF($D853="","",IF($C853="TANIMSIZ MÜŞTERİ","HATA",IF(OR($E853="",$F853&lt;=0,$G853=""),"EKSİK",IF($E853&gt;TODAY(),"İLERİ TARİH",IF(COUNTIF($S$7:$S$2503,$S853)&gt;1,"MÜKERRER?",IF($T853&gt;0,"KAPALI DÖNEM","UYGUN"))))))</f>
        <v/>
      </c>
      <c r="N853" s="74" t="str">
        <f>IF($C853="","",IF($C853="TANIMSIZ MÜŞTERİ","—",INDEX(MUSTERILER!$C$7:$C$156,MATCH($C853,MUSTERILER!$B$7:$B$156,0))))</f>
        <v/>
      </c>
      <c r="O853" s="2"/>
      <c r="P853" s="2"/>
      <c r="Q853" s="1" t="str">
        <f>IF($D853="","",$C853&amp;"|"&amp;COUNTIFS($C$7:$C853,$C853))</f>
        <v/>
      </c>
      <c r="R853" s="1" t="str">
        <f t="shared" si="26"/>
        <v/>
      </c>
      <c r="S853" s="1" t="str">
        <f t="shared" si="27"/>
        <v/>
      </c>
      <c r="T853" s="1">
        <f>IF($E853="",0,SUMPRODUCT((AY_SONU!$O$7:$O$42="Evet")*(AY_SONU!$B$7:$B$42=DATE(YEAR($E853),MONTH($E853),1))))</f>
        <v>0</v>
      </c>
      <c r="U853" s="1" t="str">
        <f>IF(OR($G853="",$H853="Mahsup"),"",$G853&amp;"|"&amp;COUNTIFS($G$7:$G853,$G853,$H$7:$H853,"&lt;&gt;Mahsup"))</f>
        <v/>
      </c>
    </row>
    <row r="854" spans="1:21" ht="18" customHeight="1" x14ac:dyDescent="0.3">
      <c r="A854" s="2"/>
      <c r="B854" s="65" t="str">
        <f>IF($D854="","","T"&amp;TEXT(ROW()-6,"00000"))</f>
        <v/>
      </c>
      <c r="C854" s="65" t="str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61"/>
      <c r="E854" s="66"/>
      <c r="F854" s="67"/>
      <c r="G854" s="60"/>
      <c r="H854" s="60"/>
      <c r="I854" s="61"/>
      <c r="J854" s="61"/>
      <c r="K854" s="61"/>
      <c r="L854" s="73" t="str">
        <f>IF($E854="","",DATE(YEAR($E854),MONTH($E854),1))</f>
        <v/>
      </c>
      <c r="M854" s="65" t="str">
        <f ca="1">IF($D854="","",IF($C854="TANIMSIZ MÜŞTERİ","HATA",IF(OR($E854="",$F854&lt;=0,$G854=""),"EKSİK",IF($E854&gt;TODAY(),"İLERİ TARİH",IF(COUNTIF($S$7:$S$2503,$S854)&gt;1,"MÜKERRER?",IF($T854&gt;0,"KAPALI DÖNEM","UYGUN"))))))</f>
        <v/>
      </c>
      <c r="N854" s="74" t="str">
        <f>IF($C854="","",IF($C854="TANIMSIZ MÜŞTERİ","—",INDEX(MUSTERILER!$C$7:$C$156,MATCH($C854,MUSTERILER!$B$7:$B$156,0))))</f>
        <v/>
      </c>
      <c r="O854" s="2"/>
      <c r="P854" s="2"/>
      <c r="Q854" s="1" t="str">
        <f>IF($D854="","",$C854&amp;"|"&amp;COUNTIFS($C$7:$C854,$C854))</f>
        <v/>
      </c>
      <c r="R854" s="1" t="str">
        <f t="shared" si="26"/>
        <v/>
      </c>
      <c r="S854" s="1" t="str">
        <f t="shared" si="27"/>
        <v/>
      </c>
      <c r="T854" s="1">
        <f>IF($E854="",0,SUMPRODUCT((AY_SONU!$O$7:$O$42="Evet")*(AY_SONU!$B$7:$B$42=DATE(YEAR($E854),MONTH($E854),1))))</f>
        <v>0</v>
      </c>
      <c r="U854" s="1" t="str">
        <f>IF(OR($G854="",$H854="Mahsup"),"",$G854&amp;"|"&amp;COUNTIFS($G$7:$G854,$G854,$H$7:$H854,"&lt;&gt;Mahsup"))</f>
        <v/>
      </c>
    </row>
    <row r="855" spans="1:21" ht="18" customHeight="1" x14ac:dyDescent="0.3">
      <c r="A855" s="2"/>
      <c r="B855" s="65" t="str">
        <f>IF($D855="","","T"&amp;TEXT(ROW()-6,"00000"))</f>
        <v/>
      </c>
      <c r="C855" s="65" t="str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61"/>
      <c r="E855" s="66"/>
      <c r="F855" s="67"/>
      <c r="G855" s="60"/>
      <c r="H855" s="60"/>
      <c r="I855" s="61"/>
      <c r="J855" s="61"/>
      <c r="K855" s="61"/>
      <c r="L855" s="73" t="str">
        <f>IF($E855="","",DATE(YEAR($E855),MONTH($E855),1))</f>
        <v/>
      </c>
      <c r="M855" s="65" t="str">
        <f ca="1">IF($D855="","",IF($C855="TANIMSIZ MÜŞTERİ","HATA",IF(OR($E855="",$F855&lt;=0,$G855=""),"EKSİK",IF($E855&gt;TODAY(),"İLERİ TARİH",IF(COUNTIF($S$7:$S$2503,$S855)&gt;1,"MÜKERRER?",IF($T855&gt;0,"KAPALI DÖNEM","UYGUN"))))))</f>
        <v/>
      </c>
      <c r="N855" s="74" t="str">
        <f>IF($C855="","",IF($C855="TANIMSIZ MÜŞTERİ","—",INDEX(MUSTERILER!$C$7:$C$156,MATCH($C855,MUSTERILER!$B$7:$B$156,0))))</f>
        <v/>
      </c>
      <c r="O855" s="2"/>
      <c r="P855" s="2"/>
      <c r="Q855" s="1" t="str">
        <f>IF($D855="","",$C855&amp;"|"&amp;COUNTIFS($C$7:$C855,$C855))</f>
        <v/>
      </c>
      <c r="R855" s="1" t="str">
        <f t="shared" si="26"/>
        <v/>
      </c>
      <c r="S855" s="1" t="str">
        <f t="shared" si="27"/>
        <v/>
      </c>
      <c r="T855" s="1">
        <f>IF($E855="",0,SUMPRODUCT((AY_SONU!$O$7:$O$42="Evet")*(AY_SONU!$B$7:$B$42=DATE(YEAR($E855),MONTH($E855),1))))</f>
        <v>0</v>
      </c>
      <c r="U855" s="1" t="str">
        <f>IF(OR($G855="",$H855="Mahsup"),"",$G855&amp;"|"&amp;COUNTIFS($G$7:$G855,$G855,$H$7:$H855,"&lt;&gt;Mahsup"))</f>
        <v/>
      </c>
    </row>
    <row r="856" spans="1:21" ht="18" customHeight="1" x14ac:dyDescent="0.3">
      <c r="A856" s="2"/>
      <c r="B856" s="65" t="str">
        <f>IF($D856="","","T"&amp;TEXT(ROW()-6,"00000"))</f>
        <v/>
      </c>
      <c r="C856" s="65" t="str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61"/>
      <c r="E856" s="66"/>
      <c r="F856" s="67"/>
      <c r="G856" s="60"/>
      <c r="H856" s="60"/>
      <c r="I856" s="61"/>
      <c r="J856" s="61"/>
      <c r="K856" s="61"/>
      <c r="L856" s="73" t="str">
        <f>IF($E856="","",DATE(YEAR($E856),MONTH($E856),1))</f>
        <v/>
      </c>
      <c r="M856" s="65" t="str">
        <f ca="1">IF($D856="","",IF($C856="TANIMSIZ MÜŞTERİ","HATA",IF(OR($E856="",$F856&lt;=0,$G856=""),"EKSİK",IF($E856&gt;TODAY(),"İLERİ TARİH",IF(COUNTIF($S$7:$S$2503,$S856)&gt;1,"MÜKERRER?",IF($T856&gt;0,"KAPALI DÖNEM","UYGUN"))))))</f>
        <v/>
      </c>
      <c r="N856" s="74" t="str">
        <f>IF($C856="","",IF($C856="TANIMSIZ MÜŞTERİ","—",INDEX(MUSTERILER!$C$7:$C$156,MATCH($C856,MUSTERILER!$B$7:$B$156,0))))</f>
        <v/>
      </c>
      <c r="O856" s="2"/>
      <c r="P856" s="2"/>
      <c r="Q856" s="1" t="str">
        <f>IF($D856="","",$C856&amp;"|"&amp;COUNTIFS($C$7:$C856,$C856))</f>
        <v/>
      </c>
      <c r="R856" s="1" t="str">
        <f t="shared" si="26"/>
        <v/>
      </c>
      <c r="S856" s="1" t="str">
        <f t="shared" si="27"/>
        <v/>
      </c>
      <c r="T856" s="1">
        <f>IF($E856="",0,SUMPRODUCT((AY_SONU!$O$7:$O$42="Evet")*(AY_SONU!$B$7:$B$42=DATE(YEAR($E856),MONTH($E856),1))))</f>
        <v>0</v>
      </c>
      <c r="U856" s="1" t="str">
        <f>IF(OR($G856="",$H856="Mahsup"),"",$G856&amp;"|"&amp;COUNTIFS($G$7:$G856,$G856,$H$7:$H856,"&lt;&gt;Mahsup"))</f>
        <v/>
      </c>
    </row>
    <row r="857" spans="1:21" ht="18" customHeight="1" x14ac:dyDescent="0.3">
      <c r="A857" s="2"/>
      <c r="B857" s="65" t="str">
        <f>IF($D857="","","T"&amp;TEXT(ROW()-6,"00000"))</f>
        <v/>
      </c>
      <c r="C857" s="65" t="str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61"/>
      <c r="E857" s="66"/>
      <c r="F857" s="67"/>
      <c r="G857" s="60"/>
      <c r="H857" s="60"/>
      <c r="I857" s="61"/>
      <c r="J857" s="61"/>
      <c r="K857" s="61"/>
      <c r="L857" s="73" t="str">
        <f>IF($E857="","",DATE(YEAR($E857),MONTH($E857),1))</f>
        <v/>
      </c>
      <c r="M857" s="65" t="str">
        <f ca="1">IF($D857="","",IF($C857="TANIMSIZ MÜŞTERİ","HATA",IF(OR($E857="",$F857&lt;=0,$G857=""),"EKSİK",IF($E857&gt;TODAY(),"İLERİ TARİH",IF(COUNTIF($S$7:$S$2503,$S857)&gt;1,"MÜKERRER?",IF($T857&gt;0,"KAPALI DÖNEM","UYGUN"))))))</f>
        <v/>
      </c>
      <c r="N857" s="74" t="str">
        <f>IF($C857="","",IF($C857="TANIMSIZ MÜŞTERİ","—",INDEX(MUSTERILER!$C$7:$C$156,MATCH($C857,MUSTERILER!$B$7:$B$156,0))))</f>
        <v/>
      </c>
      <c r="O857" s="2"/>
      <c r="P857" s="2"/>
      <c r="Q857" s="1" t="str">
        <f>IF($D857="","",$C857&amp;"|"&amp;COUNTIFS($C$7:$C857,$C857))</f>
        <v/>
      </c>
      <c r="R857" s="1" t="str">
        <f t="shared" si="26"/>
        <v/>
      </c>
      <c r="S857" s="1" t="str">
        <f t="shared" si="27"/>
        <v/>
      </c>
      <c r="T857" s="1">
        <f>IF($E857="",0,SUMPRODUCT((AY_SONU!$O$7:$O$42="Evet")*(AY_SONU!$B$7:$B$42=DATE(YEAR($E857),MONTH($E857),1))))</f>
        <v>0</v>
      </c>
      <c r="U857" s="1" t="str">
        <f>IF(OR($G857="",$H857="Mahsup"),"",$G857&amp;"|"&amp;COUNTIFS($G$7:$G857,$G857,$H$7:$H857,"&lt;&gt;Mahsup"))</f>
        <v/>
      </c>
    </row>
    <row r="858" spans="1:21" ht="18" customHeight="1" x14ac:dyDescent="0.3">
      <c r="A858" s="2"/>
      <c r="B858" s="65" t="str">
        <f>IF($D858="","","T"&amp;TEXT(ROW()-6,"00000"))</f>
        <v/>
      </c>
      <c r="C858" s="65" t="str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61"/>
      <c r="E858" s="66"/>
      <c r="F858" s="67"/>
      <c r="G858" s="60"/>
      <c r="H858" s="60"/>
      <c r="I858" s="61"/>
      <c r="J858" s="61"/>
      <c r="K858" s="61"/>
      <c r="L858" s="73" t="str">
        <f>IF($E858="","",DATE(YEAR($E858),MONTH($E858),1))</f>
        <v/>
      </c>
      <c r="M858" s="65" t="str">
        <f ca="1">IF($D858="","",IF($C858="TANIMSIZ MÜŞTERİ","HATA",IF(OR($E858="",$F858&lt;=0,$G858=""),"EKSİK",IF($E858&gt;TODAY(),"İLERİ TARİH",IF(COUNTIF($S$7:$S$2503,$S858)&gt;1,"MÜKERRER?",IF($T858&gt;0,"KAPALI DÖNEM","UYGUN"))))))</f>
        <v/>
      </c>
      <c r="N858" s="74" t="str">
        <f>IF($C858="","",IF($C858="TANIMSIZ MÜŞTERİ","—",INDEX(MUSTERILER!$C$7:$C$156,MATCH($C858,MUSTERILER!$B$7:$B$156,0))))</f>
        <v/>
      </c>
      <c r="O858" s="2"/>
      <c r="P858" s="2"/>
      <c r="Q858" s="1" t="str">
        <f>IF($D858="","",$C858&amp;"|"&amp;COUNTIFS($C$7:$C858,$C858))</f>
        <v/>
      </c>
      <c r="R858" s="1" t="str">
        <f t="shared" si="26"/>
        <v/>
      </c>
      <c r="S858" s="1" t="str">
        <f t="shared" si="27"/>
        <v/>
      </c>
      <c r="T858" s="1">
        <f>IF($E858="",0,SUMPRODUCT((AY_SONU!$O$7:$O$42="Evet")*(AY_SONU!$B$7:$B$42=DATE(YEAR($E858),MONTH($E858),1))))</f>
        <v>0</v>
      </c>
      <c r="U858" s="1" t="str">
        <f>IF(OR($G858="",$H858="Mahsup"),"",$G858&amp;"|"&amp;COUNTIFS($G$7:$G858,$G858,$H$7:$H858,"&lt;&gt;Mahsup"))</f>
        <v/>
      </c>
    </row>
    <row r="859" spans="1:21" ht="18" customHeight="1" x14ac:dyDescent="0.3">
      <c r="A859" s="2"/>
      <c r="B859" s="65" t="str">
        <f>IF($D859="","","T"&amp;TEXT(ROW()-6,"00000"))</f>
        <v/>
      </c>
      <c r="C859" s="65" t="str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61"/>
      <c r="E859" s="66"/>
      <c r="F859" s="67"/>
      <c r="G859" s="60"/>
      <c r="H859" s="60"/>
      <c r="I859" s="61"/>
      <c r="J859" s="61"/>
      <c r="K859" s="61"/>
      <c r="L859" s="73" t="str">
        <f>IF($E859="","",DATE(YEAR($E859),MONTH($E859),1))</f>
        <v/>
      </c>
      <c r="M859" s="65" t="str">
        <f ca="1">IF($D859="","",IF($C859="TANIMSIZ MÜŞTERİ","HATA",IF(OR($E859="",$F859&lt;=0,$G859=""),"EKSİK",IF($E859&gt;TODAY(),"İLERİ TARİH",IF(COUNTIF($S$7:$S$2503,$S859)&gt;1,"MÜKERRER?",IF($T859&gt;0,"KAPALI DÖNEM","UYGUN"))))))</f>
        <v/>
      </c>
      <c r="N859" s="74" t="str">
        <f>IF($C859="","",IF($C859="TANIMSIZ MÜŞTERİ","—",INDEX(MUSTERILER!$C$7:$C$156,MATCH($C859,MUSTERILER!$B$7:$B$156,0))))</f>
        <v/>
      </c>
      <c r="O859" s="2"/>
      <c r="P859" s="2"/>
      <c r="Q859" s="1" t="str">
        <f>IF($D859="","",$C859&amp;"|"&amp;COUNTIFS($C$7:$C859,$C859))</f>
        <v/>
      </c>
      <c r="R859" s="1" t="str">
        <f t="shared" si="26"/>
        <v/>
      </c>
      <c r="S859" s="1" t="str">
        <f t="shared" si="27"/>
        <v/>
      </c>
      <c r="T859" s="1">
        <f>IF($E859="",0,SUMPRODUCT((AY_SONU!$O$7:$O$42="Evet")*(AY_SONU!$B$7:$B$42=DATE(YEAR($E859),MONTH($E859),1))))</f>
        <v>0</v>
      </c>
      <c r="U859" s="1" t="str">
        <f>IF(OR($G859="",$H859="Mahsup"),"",$G859&amp;"|"&amp;COUNTIFS($G$7:$G859,$G859,$H$7:$H859,"&lt;&gt;Mahsup"))</f>
        <v/>
      </c>
    </row>
    <row r="860" spans="1:21" ht="18" customHeight="1" x14ac:dyDescent="0.3">
      <c r="A860" s="2"/>
      <c r="B860" s="65" t="str">
        <f>IF($D860="","","T"&amp;TEXT(ROW()-6,"00000"))</f>
        <v/>
      </c>
      <c r="C860" s="65" t="str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61"/>
      <c r="E860" s="66"/>
      <c r="F860" s="67"/>
      <c r="G860" s="60"/>
      <c r="H860" s="60"/>
      <c r="I860" s="61"/>
      <c r="J860" s="61"/>
      <c r="K860" s="61"/>
      <c r="L860" s="73" t="str">
        <f>IF($E860="","",DATE(YEAR($E860),MONTH($E860),1))</f>
        <v/>
      </c>
      <c r="M860" s="65" t="str">
        <f ca="1">IF($D860="","",IF($C860="TANIMSIZ MÜŞTERİ","HATA",IF(OR($E860="",$F860&lt;=0,$G860=""),"EKSİK",IF($E860&gt;TODAY(),"İLERİ TARİH",IF(COUNTIF($S$7:$S$2503,$S860)&gt;1,"MÜKERRER?",IF($T860&gt;0,"KAPALI DÖNEM","UYGUN"))))))</f>
        <v/>
      </c>
      <c r="N860" s="74" t="str">
        <f>IF($C860="","",IF($C860="TANIMSIZ MÜŞTERİ","—",INDEX(MUSTERILER!$C$7:$C$156,MATCH($C860,MUSTERILER!$B$7:$B$156,0))))</f>
        <v/>
      </c>
      <c r="O860" s="2"/>
      <c r="P860" s="2"/>
      <c r="Q860" s="1" t="str">
        <f>IF($D860="","",$C860&amp;"|"&amp;COUNTIFS($C$7:$C860,$C860))</f>
        <v/>
      </c>
      <c r="R860" s="1" t="str">
        <f t="shared" si="26"/>
        <v/>
      </c>
      <c r="S860" s="1" t="str">
        <f t="shared" si="27"/>
        <v/>
      </c>
      <c r="T860" s="1">
        <f>IF($E860="",0,SUMPRODUCT((AY_SONU!$O$7:$O$42="Evet")*(AY_SONU!$B$7:$B$42=DATE(YEAR($E860),MONTH($E860),1))))</f>
        <v>0</v>
      </c>
      <c r="U860" s="1" t="str">
        <f>IF(OR($G860="",$H860="Mahsup"),"",$G860&amp;"|"&amp;COUNTIFS($G$7:$G860,$G860,$H$7:$H860,"&lt;&gt;Mahsup"))</f>
        <v/>
      </c>
    </row>
    <row r="861" spans="1:21" ht="18" customHeight="1" x14ac:dyDescent="0.3">
      <c r="A861" s="2"/>
      <c r="B861" s="65" t="str">
        <f>IF($D861="","","T"&amp;TEXT(ROW()-6,"00000"))</f>
        <v/>
      </c>
      <c r="C861" s="65" t="str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61"/>
      <c r="E861" s="66"/>
      <c r="F861" s="67"/>
      <c r="G861" s="60"/>
      <c r="H861" s="60"/>
      <c r="I861" s="61"/>
      <c r="J861" s="61"/>
      <c r="K861" s="61"/>
      <c r="L861" s="73" t="str">
        <f>IF($E861="","",DATE(YEAR($E861),MONTH($E861),1))</f>
        <v/>
      </c>
      <c r="M861" s="65" t="str">
        <f ca="1">IF($D861="","",IF($C861="TANIMSIZ MÜŞTERİ","HATA",IF(OR($E861="",$F861&lt;=0,$G861=""),"EKSİK",IF($E861&gt;TODAY(),"İLERİ TARİH",IF(COUNTIF($S$7:$S$2503,$S861)&gt;1,"MÜKERRER?",IF($T861&gt;0,"KAPALI DÖNEM","UYGUN"))))))</f>
        <v/>
      </c>
      <c r="N861" s="74" t="str">
        <f>IF($C861="","",IF($C861="TANIMSIZ MÜŞTERİ","—",INDEX(MUSTERILER!$C$7:$C$156,MATCH($C861,MUSTERILER!$B$7:$B$156,0))))</f>
        <v/>
      </c>
      <c r="O861" s="2"/>
      <c r="P861" s="2"/>
      <c r="Q861" s="1" t="str">
        <f>IF($D861="","",$C861&amp;"|"&amp;COUNTIFS($C$7:$C861,$C861))</f>
        <v/>
      </c>
      <c r="R861" s="1" t="str">
        <f t="shared" si="26"/>
        <v/>
      </c>
      <c r="S861" s="1" t="str">
        <f t="shared" si="27"/>
        <v/>
      </c>
      <c r="T861" s="1">
        <f>IF($E861="",0,SUMPRODUCT((AY_SONU!$O$7:$O$42="Evet")*(AY_SONU!$B$7:$B$42=DATE(YEAR($E861),MONTH($E861),1))))</f>
        <v>0</v>
      </c>
      <c r="U861" s="1" t="str">
        <f>IF(OR($G861="",$H861="Mahsup"),"",$G861&amp;"|"&amp;COUNTIFS($G$7:$G861,$G861,$H$7:$H861,"&lt;&gt;Mahsup"))</f>
        <v/>
      </c>
    </row>
    <row r="862" spans="1:21" ht="18" customHeight="1" x14ac:dyDescent="0.3">
      <c r="A862" s="2"/>
      <c r="B862" s="65" t="str">
        <f>IF($D862="","","T"&amp;TEXT(ROW()-6,"00000"))</f>
        <v/>
      </c>
      <c r="C862" s="65" t="str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61"/>
      <c r="E862" s="66"/>
      <c r="F862" s="67"/>
      <c r="G862" s="60"/>
      <c r="H862" s="60"/>
      <c r="I862" s="61"/>
      <c r="J862" s="61"/>
      <c r="K862" s="61"/>
      <c r="L862" s="73" t="str">
        <f>IF($E862="","",DATE(YEAR($E862),MONTH($E862),1))</f>
        <v/>
      </c>
      <c r="M862" s="65" t="str">
        <f ca="1">IF($D862="","",IF($C862="TANIMSIZ MÜŞTERİ","HATA",IF(OR($E862="",$F862&lt;=0,$G862=""),"EKSİK",IF($E862&gt;TODAY(),"İLERİ TARİH",IF(COUNTIF($S$7:$S$2503,$S862)&gt;1,"MÜKERRER?",IF($T862&gt;0,"KAPALI DÖNEM","UYGUN"))))))</f>
        <v/>
      </c>
      <c r="N862" s="74" t="str">
        <f>IF($C862="","",IF($C862="TANIMSIZ MÜŞTERİ","—",INDEX(MUSTERILER!$C$7:$C$156,MATCH($C862,MUSTERILER!$B$7:$B$156,0))))</f>
        <v/>
      </c>
      <c r="O862" s="2"/>
      <c r="P862" s="2"/>
      <c r="Q862" s="1" t="str">
        <f>IF($D862="","",$C862&amp;"|"&amp;COUNTIFS($C$7:$C862,$C862))</f>
        <v/>
      </c>
      <c r="R862" s="1" t="str">
        <f t="shared" si="26"/>
        <v/>
      </c>
      <c r="S862" s="1" t="str">
        <f t="shared" si="27"/>
        <v/>
      </c>
      <c r="T862" s="1">
        <f>IF($E862="",0,SUMPRODUCT((AY_SONU!$O$7:$O$42="Evet")*(AY_SONU!$B$7:$B$42=DATE(YEAR($E862),MONTH($E862),1))))</f>
        <v>0</v>
      </c>
      <c r="U862" s="1" t="str">
        <f>IF(OR($G862="",$H862="Mahsup"),"",$G862&amp;"|"&amp;COUNTIFS($G$7:$G862,$G862,$H$7:$H862,"&lt;&gt;Mahsup"))</f>
        <v/>
      </c>
    </row>
    <row r="863" spans="1:21" ht="18" customHeight="1" x14ac:dyDescent="0.3">
      <c r="A863" s="2"/>
      <c r="B863" s="65" t="str">
        <f>IF($D863="","","T"&amp;TEXT(ROW()-6,"00000"))</f>
        <v/>
      </c>
      <c r="C863" s="65" t="str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61"/>
      <c r="E863" s="66"/>
      <c r="F863" s="67"/>
      <c r="G863" s="60"/>
      <c r="H863" s="60"/>
      <c r="I863" s="61"/>
      <c r="J863" s="61"/>
      <c r="K863" s="61"/>
      <c r="L863" s="73" t="str">
        <f>IF($E863="","",DATE(YEAR($E863),MONTH($E863),1))</f>
        <v/>
      </c>
      <c r="M863" s="65" t="str">
        <f ca="1">IF($D863="","",IF($C863="TANIMSIZ MÜŞTERİ","HATA",IF(OR($E863="",$F863&lt;=0,$G863=""),"EKSİK",IF($E863&gt;TODAY(),"İLERİ TARİH",IF(COUNTIF($S$7:$S$2503,$S863)&gt;1,"MÜKERRER?",IF($T863&gt;0,"KAPALI DÖNEM","UYGUN"))))))</f>
        <v/>
      </c>
      <c r="N863" s="74" t="str">
        <f>IF($C863="","",IF($C863="TANIMSIZ MÜŞTERİ","—",INDEX(MUSTERILER!$C$7:$C$156,MATCH($C863,MUSTERILER!$B$7:$B$156,0))))</f>
        <v/>
      </c>
      <c r="O863" s="2"/>
      <c r="P863" s="2"/>
      <c r="Q863" s="1" t="str">
        <f>IF($D863="","",$C863&amp;"|"&amp;COUNTIFS($C$7:$C863,$C863))</f>
        <v/>
      </c>
      <c r="R863" s="1" t="str">
        <f t="shared" si="26"/>
        <v/>
      </c>
      <c r="S863" s="1" t="str">
        <f t="shared" si="27"/>
        <v/>
      </c>
      <c r="T863" s="1">
        <f>IF($E863="",0,SUMPRODUCT((AY_SONU!$O$7:$O$42="Evet")*(AY_SONU!$B$7:$B$42=DATE(YEAR($E863),MONTH($E863),1))))</f>
        <v>0</v>
      </c>
      <c r="U863" s="1" t="str">
        <f>IF(OR($G863="",$H863="Mahsup"),"",$G863&amp;"|"&amp;COUNTIFS($G$7:$G863,$G863,$H$7:$H863,"&lt;&gt;Mahsup"))</f>
        <v/>
      </c>
    </row>
    <row r="864" spans="1:21" ht="18" customHeight="1" x14ac:dyDescent="0.3">
      <c r="A864" s="2"/>
      <c r="B864" s="65" t="str">
        <f>IF($D864="","","T"&amp;TEXT(ROW()-6,"00000"))</f>
        <v/>
      </c>
      <c r="C864" s="65" t="str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61"/>
      <c r="E864" s="66"/>
      <c r="F864" s="67"/>
      <c r="G864" s="60"/>
      <c r="H864" s="60"/>
      <c r="I864" s="61"/>
      <c r="J864" s="61"/>
      <c r="K864" s="61"/>
      <c r="L864" s="73" t="str">
        <f>IF($E864="","",DATE(YEAR($E864),MONTH($E864),1))</f>
        <v/>
      </c>
      <c r="M864" s="65" t="str">
        <f ca="1">IF($D864="","",IF($C864="TANIMSIZ MÜŞTERİ","HATA",IF(OR($E864="",$F864&lt;=0,$G864=""),"EKSİK",IF($E864&gt;TODAY(),"İLERİ TARİH",IF(COUNTIF($S$7:$S$2503,$S864)&gt;1,"MÜKERRER?",IF($T864&gt;0,"KAPALI DÖNEM","UYGUN"))))))</f>
        <v/>
      </c>
      <c r="N864" s="74" t="str">
        <f>IF($C864="","",IF($C864="TANIMSIZ MÜŞTERİ","—",INDEX(MUSTERILER!$C$7:$C$156,MATCH($C864,MUSTERILER!$B$7:$B$156,0))))</f>
        <v/>
      </c>
      <c r="O864" s="2"/>
      <c r="P864" s="2"/>
      <c r="Q864" s="1" t="str">
        <f>IF($D864="","",$C864&amp;"|"&amp;COUNTIFS($C$7:$C864,$C864))</f>
        <v/>
      </c>
      <c r="R864" s="1" t="str">
        <f t="shared" si="26"/>
        <v/>
      </c>
      <c r="S864" s="1" t="str">
        <f t="shared" si="27"/>
        <v/>
      </c>
      <c r="T864" s="1">
        <f>IF($E864="",0,SUMPRODUCT((AY_SONU!$O$7:$O$42="Evet")*(AY_SONU!$B$7:$B$42=DATE(YEAR($E864),MONTH($E864),1))))</f>
        <v>0</v>
      </c>
      <c r="U864" s="1" t="str">
        <f>IF(OR($G864="",$H864="Mahsup"),"",$G864&amp;"|"&amp;COUNTIFS($G$7:$G864,$G864,$H$7:$H864,"&lt;&gt;Mahsup"))</f>
        <v/>
      </c>
    </row>
    <row r="865" spans="1:21" ht="18" customHeight="1" x14ac:dyDescent="0.3">
      <c r="A865" s="2"/>
      <c r="B865" s="65" t="str">
        <f>IF($D865="","","T"&amp;TEXT(ROW()-6,"00000"))</f>
        <v/>
      </c>
      <c r="C865" s="65" t="str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61"/>
      <c r="E865" s="66"/>
      <c r="F865" s="67"/>
      <c r="G865" s="60"/>
      <c r="H865" s="60"/>
      <c r="I865" s="61"/>
      <c r="J865" s="61"/>
      <c r="K865" s="61"/>
      <c r="L865" s="73" t="str">
        <f>IF($E865="","",DATE(YEAR($E865),MONTH($E865),1))</f>
        <v/>
      </c>
      <c r="M865" s="65" t="str">
        <f ca="1">IF($D865="","",IF($C865="TANIMSIZ MÜŞTERİ","HATA",IF(OR($E865="",$F865&lt;=0,$G865=""),"EKSİK",IF($E865&gt;TODAY(),"İLERİ TARİH",IF(COUNTIF($S$7:$S$2503,$S865)&gt;1,"MÜKERRER?",IF($T865&gt;0,"KAPALI DÖNEM","UYGUN"))))))</f>
        <v/>
      </c>
      <c r="N865" s="74" t="str">
        <f>IF($C865="","",IF($C865="TANIMSIZ MÜŞTERİ","—",INDEX(MUSTERILER!$C$7:$C$156,MATCH($C865,MUSTERILER!$B$7:$B$156,0))))</f>
        <v/>
      </c>
      <c r="O865" s="2"/>
      <c r="P865" s="2"/>
      <c r="Q865" s="1" t="str">
        <f>IF($D865="","",$C865&amp;"|"&amp;COUNTIFS($C$7:$C865,$C865))</f>
        <v/>
      </c>
      <c r="R865" s="1" t="str">
        <f t="shared" si="26"/>
        <v/>
      </c>
      <c r="S865" s="1" t="str">
        <f t="shared" si="27"/>
        <v/>
      </c>
      <c r="T865" s="1">
        <f>IF($E865="",0,SUMPRODUCT((AY_SONU!$O$7:$O$42="Evet")*(AY_SONU!$B$7:$B$42=DATE(YEAR($E865),MONTH($E865),1))))</f>
        <v>0</v>
      </c>
      <c r="U865" s="1" t="str">
        <f>IF(OR($G865="",$H865="Mahsup"),"",$G865&amp;"|"&amp;COUNTIFS($G$7:$G865,$G865,$H$7:$H865,"&lt;&gt;Mahsup"))</f>
        <v/>
      </c>
    </row>
    <row r="866" spans="1:21" ht="18" customHeight="1" x14ac:dyDescent="0.3">
      <c r="A866" s="2"/>
      <c r="B866" s="65" t="str">
        <f>IF($D866="","","T"&amp;TEXT(ROW()-6,"00000"))</f>
        <v/>
      </c>
      <c r="C866" s="65" t="str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61"/>
      <c r="E866" s="66"/>
      <c r="F866" s="67"/>
      <c r="G866" s="60"/>
      <c r="H866" s="60"/>
      <c r="I866" s="61"/>
      <c r="J866" s="61"/>
      <c r="K866" s="61"/>
      <c r="L866" s="73" t="str">
        <f>IF($E866="","",DATE(YEAR($E866),MONTH($E866),1))</f>
        <v/>
      </c>
      <c r="M866" s="65" t="str">
        <f ca="1">IF($D866="","",IF($C866="TANIMSIZ MÜŞTERİ","HATA",IF(OR($E866="",$F866&lt;=0,$G866=""),"EKSİK",IF($E866&gt;TODAY(),"İLERİ TARİH",IF(COUNTIF($S$7:$S$2503,$S866)&gt;1,"MÜKERRER?",IF($T866&gt;0,"KAPALI DÖNEM","UYGUN"))))))</f>
        <v/>
      </c>
      <c r="N866" s="74" t="str">
        <f>IF($C866="","",IF($C866="TANIMSIZ MÜŞTERİ","—",INDEX(MUSTERILER!$C$7:$C$156,MATCH($C866,MUSTERILER!$B$7:$B$156,0))))</f>
        <v/>
      </c>
      <c r="O866" s="2"/>
      <c r="P866" s="2"/>
      <c r="Q866" s="1" t="str">
        <f>IF($D866="","",$C866&amp;"|"&amp;COUNTIFS($C$7:$C866,$C866))</f>
        <v/>
      </c>
      <c r="R866" s="1" t="str">
        <f t="shared" si="26"/>
        <v/>
      </c>
      <c r="S866" s="1" t="str">
        <f t="shared" si="27"/>
        <v/>
      </c>
      <c r="T866" s="1">
        <f>IF($E866="",0,SUMPRODUCT((AY_SONU!$O$7:$O$42="Evet")*(AY_SONU!$B$7:$B$42=DATE(YEAR($E866),MONTH($E866),1))))</f>
        <v>0</v>
      </c>
      <c r="U866" s="1" t="str">
        <f>IF(OR($G866="",$H866="Mahsup"),"",$G866&amp;"|"&amp;COUNTIFS($G$7:$G866,$G866,$H$7:$H866,"&lt;&gt;Mahsup"))</f>
        <v/>
      </c>
    </row>
    <row r="867" spans="1:21" ht="18" customHeight="1" x14ac:dyDescent="0.3">
      <c r="A867" s="2"/>
      <c r="B867" s="65" t="str">
        <f>IF($D867="","","T"&amp;TEXT(ROW()-6,"00000"))</f>
        <v/>
      </c>
      <c r="C867" s="65" t="str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61"/>
      <c r="E867" s="66"/>
      <c r="F867" s="67"/>
      <c r="G867" s="60"/>
      <c r="H867" s="60"/>
      <c r="I867" s="61"/>
      <c r="J867" s="61"/>
      <c r="K867" s="61"/>
      <c r="L867" s="73" t="str">
        <f>IF($E867="","",DATE(YEAR($E867),MONTH($E867),1))</f>
        <v/>
      </c>
      <c r="M867" s="65" t="str">
        <f ca="1">IF($D867="","",IF($C867="TANIMSIZ MÜŞTERİ","HATA",IF(OR($E867="",$F867&lt;=0,$G867=""),"EKSİK",IF($E867&gt;TODAY(),"İLERİ TARİH",IF(COUNTIF($S$7:$S$2503,$S867)&gt;1,"MÜKERRER?",IF($T867&gt;0,"KAPALI DÖNEM","UYGUN"))))))</f>
        <v/>
      </c>
      <c r="N867" s="74" t="str">
        <f>IF($C867="","",IF($C867="TANIMSIZ MÜŞTERİ","—",INDEX(MUSTERILER!$C$7:$C$156,MATCH($C867,MUSTERILER!$B$7:$B$156,0))))</f>
        <v/>
      </c>
      <c r="O867" s="2"/>
      <c r="P867" s="2"/>
      <c r="Q867" s="1" t="str">
        <f>IF($D867="","",$C867&amp;"|"&amp;COUNTIFS($C$7:$C867,$C867))</f>
        <v/>
      </c>
      <c r="R867" s="1" t="str">
        <f t="shared" si="26"/>
        <v/>
      </c>
      <c r="S867" s="1" t="str">
        <f t="shared" si="27"/>
        <v/>
      </c>
      <c r="T867" s="1">
        <f>IF($E867="",0,SUMPRODUCT((AY_SONU!$O$7:$O$42="Evet")*(AY_SONU!$B$7:$B$42=DATE(YEAR($E867),MONTH($E867),1))))</f>
        <v>0</v>
      </c>
      <c r="U867" s="1" t="str">
        <f>IF(OR($G867="",$H867="Mahsup"),"",$G867&amp;"|"&amp;COUNTIFS($G$7:$G867,$G867,$H$7:$H867,"&lt;&gt;Mahsup"))</f>
        <v/>
      </c>
    </row>
    <row r="868" spans="1:21" ht="18" customHeight="1" x14ac:dyDescent="0.3">
      <c r="A868" s="2"/>
      <c r="B868" s="65" t="str">
        <f>IF($D868="","","T"&amp;TEXT(ROW()-6,"00000"))</f>
        <v/>
      </c>
      <c r="C868" s="65" t="str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61"/>
      <c r="E868" s="66"/>
      <c r="F868" s="67"/>
      <c r="G868" s="60"/>
      <c r="H868" s="60"/>
      <c r="I868" s="61"/>
      <c r="J868" s="61"/>
      <c r="K868" s="61"/>
      <c r="L868" s="73" t="str">
        <f>IF($E868="","",DATE(YEAR($E868),MONTH($E868),1))</f>
        <v/>
      </c>
      <c r="M868" s="65" t="str">
        <f ca="1">IF($D868="","",IF($C868="TANIMSIZ MÜŞTERİ","HATA",IF(OR($E868="",$F868&lt;=0,$G868=""),"EKSİK",IF($E868&gt;TODAY(),"İLERİ TARİH",IF(COUNTIF($S$7:$S$2503,$S868)&gt;1,"MÜKERRER?",IF($T868&gt;0,"KAPALI DÖNEM","UYGUN"))))))</f>
        <v/>
      </c>
      <c r="N868" s="74" t="str">
        <f>IF($C868="","",IF($C868="TANIMSIZ MÜŞTERİ","—",INDEX(MUSTERILER!$C$7:$C$156,MATCH($C868,MUSTERILER!$B$7:$B$156,0))))</f>
        <v/>
      </c>
      <c r="O868" s="2"/>
      <c r="P868" s="2"/>
      <c r="Q868" s="1" t="str">
        <f>IF($D868="","",$C868&amp;"|"&amp;COUNTIFS($C$7:$C868,$C868))</f>
        <v/>
      </c>
      <c r="R868" s="1" t="str">
        <f t="shared" si="26"/>
        <v/>
      </c>
      <c r="S868" s="1" t="str">
        <f t="shared" si="27"/>
        <v/>
      </c>
      <c r="T868" s="1">
        <f>IF($E868="",0,SUMPRODUCT((AY_SONU!$O$7:$O$42="Evet")*(AY_SONU!$B$7:$B$42=DATE(YEAR($E868),MONTH($E868),1))))</f>
        <v>0</v>
      </c>
      <c r="U868" s="1" t="str">
        <f>IF(OR($G868="",$H868="Mahsup"),"",$G868&amp;"|"&amp;COUNTIFS($G$7:$G868,$G868,$H$7:$H868,"&lt;&gt;Mahsup"))</f>
        <v/>
      </c>
    </row>
    <row r="869" spans="1:21" ht="18" customHeight="1" x14ac:dyDescent="0.3">
      <c r="A869" s="2"/>
      <c r="B869" s="65" t="str">
        <f>IF($D869="","","T"&amp;TEXT(ROW()-6,"00000"))</f>
        <v/>
      </c>
      <c r="C869" s="65" t="str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61"/>
      <c r="E869" s="66"/>
      <c r="F869" s="67"/>
      <c r="G869" s="60"/>
      <c r="H869" s="60"/>
      <c r="I869" s="61"/>
      <c r="J869" s="61"/>
      <c r="K869" s="61"/>
      <c r="L869" s="73" t="str">
        <f>IF($E869="","",DATE(YEAR($E869),MONTH($E869),1))</f>
        <v/>
      </c>
      <c r="M869" s="65" t="str">
        <f ca="1">IF($D869="","",IF($C869="TANIMSIZ MÜŞTERİ","HATA",IF(OR($E869="",$F869&lt;=0,$G869=""),"EKSİK",IF($E869&gt;TODAY(),"İLERİ TARİH",IF(COUNTIF($S$7:$S$2503,$S869)&gt;1,"MÜKERRER?",IF($T869&gt;0,"KAPALI DÖNEM","UYGUN"))))))</f>
        <v/>
      </c>
      <c r="N869" s="74" t="str">
        <f>IF($C869="","",IF($C869="TANIMSIZ MÜŞTERİ","—",INDEX(MUSTERILER!$C$7:$C$156,MATCH($C869,MUSTERILER!$B$7:$B$156,0))))</f>
        <v/>
      </c>
      <c r="O869" s="2"/>
      <c r="P869" s="2"/>
      <c r="Q869" s="1" t="str">
        <f>IF($D869="","",$C869&amp;"|"&amp;COUNTIFS($C$7:$C869,$C869))</f>
        <v/>
      </c>
      <c r="R869" s="1" t="str">
        <f t="shared" si="26"/>
        <v/>
      </c>
      <c r="S869" s="1" t="str">
        <f t="shared" si="27"/>
        <v/>
      </c>
      <c r="T869" s="1">
        <f>IF($E869="",0,SUMPRODUCT((AY_SONU!$O$7:$O$42="Evet")*(AY_SONU!$B$7:$B$42=DATE(YEAR($E869),MONTH($E869),1))))</f>
        <v>0</v>
      </c>
      <c r="U869" s="1" t="str">
        <f>IF(OR($G869="",$H869="Mahsup"),"",$G869&amp;"|"&amp;COUNTIFS($G$7:$G869,$G869,$H$7:$H869,"&lt;&gt;Mahsup"))</f>
        <v/>
      </c>
    </row>
    <row r="870" spans="1:21" ht="18" customHeight="1" x14ac:dyDescent="0.3">
      <c r="A870" s="2"/>
      <c r="B870" s="65" t="str">
        <f>IF($D870="","","T"&amp;TEXT(ROW()-6,"00000"))</f>
        <v/>
      </c>
      <c r="C870" s="65" t="str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61"/>
      <c r="E870" s="66"/>
      <c r="F870" s="67"/>
      <c r="G870" s="60"/>
      <c r="H870" s="60"/>
      <c r="I870" s="61"/>
      <c r="J870" s="61"/>
      <c r="K870" s="61"/>
      <c r="L870" s="73" t="str">
        <f>IF($E870="","",DATE(YEAR($E870),MONTH($E870),1))</f>
        <v/>
      </c>
      <c r="M870" s="65" t="str">
        <f ca="1">IF($D870="","",IF($C870="TANIMSIZ MÜŞTERİ","HATA",IF(OR($E870="",$F870&lt;=0,$G870=""),"EKSİK",IF($E870&gt;TODAY(),"İLERİ TARİH",IF(COUNTIF($S$7:$S$2503,$S870)&gt;1,"MÜKERRER?",IF($T870&gt;0,"KAPALI DÖNEM","UYGUN"))))))</f>
        <v/>
      </c>
      <c r="N870" s="74" t="str">
        <f>IF($C870="","",IF($C870="TANIMSIZ MÜŞTERİ","—",INDEX(MUSTERILER!$C$7:$C$156,MATCH($C870,MUSTERILER!$B$7:$B$156,0))))</f>
        <v/>
      </c>
      <c r="O870" s="2"/>
      <c r="P870" s="2"/>
      <c r="Q870" s="1" t="str">
        <f>IF($D870="","",$C870&amp;"|"&amp;COUNTIFS($C$7:$C870,$C870))</f>
        <v/>
      </c>
      <c r="R870" s="1" t="str">
        <f t="shared" si="26"/>
        <v/>
      </c>
      <c r="S870" s="1" t="str">
        <f t="shared" si="27"/>
        <v/>
      </c>
      <c r="T870" s="1">
        <f>IF($E870="",0,SUMPRODUCT((AY_SONU!$O$7:$O$42="Evet")*(AY_SONU!$B$7:$B$42=DATE(YEAR($E870),MONTH($E870),1))))</f>
        <v>0</v>
      </c>
      <c r="U870" s="1" t="str">
        <f>IF(OR($G870="",$H870="Mahsup"),"",$G870&amp;"|"&amp;COUNTIFS($G$7:$G870,$G870,$H$7:$H870,"&lt;&gt;Mahsup"))</f>
        <v/>
      </c>
    </row>
    <row r="871" spans="1:21" ht="18" customHeight="1" x14ac:dyDescent="0.3">
      <c r="A871" s="2"/>
      <c r="B871" s="65" t="str">
        <f>IF($D871="","","T"&amp;TEXT(ROW()-6,"00000"))</f>
        <v/>
      </c>
      <c r="C871" s="65" t="str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61"/>
      <c r="E871" s="66"/>
      <c r="F871" s="67"/>
      <c r="G871" s="60"/>
      <c r="H871" s="60"/>
      <c r="I871" s="61"/>
      <c r="J871" s="61"/>
      <c r="K871" s="61"/>
      <c r="L871" s="73" t="str">
        <f>IF($E871="","",DATE(YEAR($E871),MONTH($E871),1))</f>
        <v/>
      </c>
      <c r="M871" s="65" t="str">
        <f ca="1">IF($D871="","",IF($C871="TANIMSIZ MÜŞTERİ","HATA",IF(OR($E871="",$F871&lt;=0,$G871=""),"EKSİK",IF($E871&gt;TODAY(),"İLERİ TARİH",IF(COUNTIF($S$7:$S$2503,$S871)&gt;1,"MÜKERRER?",IF($T871&gt;0,"KAPALI DÖNEM","UYGUN"))))))</f>
        <v/>
      </c>
      <c r="N871" s="74" t="str">
        <f>IF($C871="","",IF($C871="TANIMSIZ MÜŞTERİ","—",INDEX(MUSTERILER!$C$7:$C$156,MATCH($C871,MUSTERILER!$B$7:$B$156,0))))</f>
        <v/>
      </c>
      <c r="O871" s="2"/>
      <c r="P871" s="2"/>
      <c r="Q871" s="1" t="str">
        <f>IF($D871="","",$C871&amp;"|"&amp;COUNTIFS($C$7:$C871,$C871))</f>
        <v/>
      </c>
      <c r="R871" s="1" t="str">
        <f t="shared" si="26"/>
        <v/>
      </c>
      <c r="S871" s="1" t="str">
        <f t="shared" si="27"/>
        <v/>
      </c>
      <c r="T871" s="1">
        <f>IF($E871="",0,SUMPRODUCT((AY_SONU!$O$7:$O$42="Evet")*(AY_SONU!$B$7:$B$42=DATE(YEAR($E871),MONTH($E871),1))))</f>
        <v>0</v>
      </c>
      <c r="U871" s="1" t="str">
        <f>IF(OR($G871="",$H871="Mahsup"),"",$G871&amp;"|"&amp;COUNTIFS($G$7:$G871,$G871,$H$7:$H871,"&lt;&gt;Mahsup"))</f>
        <v/>
      </c>
    </row>
    <row r="872" spans="1:21" ht="18" customHeight="1" x14ac:dyDescent="0.3">
      <c r="A872" s="2"/>
      <c r="B872" s="65" t="str">
        <f>IF($D872="","","T"&amp;TEXT(ROW()-6,"00000"))</f>
        <v/>
      </c>
      <c r="C872" s="65" t="str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61"/>
      <c r="E872" s="66"/>
      <c r="F872" s="67"/>
      <c r="G872" s="60"/>
      <c r="H872" s="60"/>
      <c r="I872" s="61"/>
      <c r="J872" s="61"/>
      <c r="K872" s="61"/>
      <c r="L872" s="73" t="str">
        <f>IF($E872="","",DATE(YEAR($E872),MONTH($E872),1))</f>
        <v/>
      </c>
      <c r="M872" s="65" t="str">
        <f ca="1">IF($D872="","",IF($C872="TANIMSIZ MÜŞTERİ","HATA",IF(OR($E872="",$F872&lt;=0,$G872=""),"EKSİK",IF($E872&gt;TODAY(),"İLERİ TARİH",IF(COUNTIF($S$7:$S$2503,$S872)&gt;1,"MÜKERRER?",IF($T872&gt;0,"KAPALI DÖNEM","UYGUN"))))))</f>
        <v/>
      </c>
      <c r="N872" s="74" t="str">
        <f>IF($C872="","",IF($C872="TANIMSIZ MÜŞTERİ","—",INDEX(MUSTERILER!$C$7:$C$156,MATCH($C872,MUSTERILER!$B$7:$B$156,0))))</f>
        <v/>
      </c>
      <c r="O872" s="2"/>
      <c r="P872" s="2"/>
      <c r="Q872" s="1" t="str">
        <f>IF($D872="","",$C872&amp;"|"&amp;COUNTIFS($C$7:$C872,$C872))</f>
        <v/>
      </c>
      <c r="R872" s="1" t="str">
        <f t="shared" si="26"/>
        <v/>
      </c>
      <c r="S872" s="1" t="str">
        <f t="shared" si="27"/>
        <v/>
      </c>
      <c r="T872" s="1">
        <f>IF($E872="",0,SUMPRODUCT((AY_SONU!$O$7:$O$42="Evet")*(AY_SONU!$B$7:$B$42=DATE(YEAR($E872),MONTH($E872),1))))</f>
        <v>0</v>
      </c>
      <c r="U872" s="1" t="str">
        <f>IF(OR($G872="",$H872="Mahsup"),"",$G872&amp;"|"&amp;COUNTIFS($G$7:$G872,$G872,$H$7:$H872,"&lt;&gt;Mahsup"))</f>
        <v/>
      </c>
    </row>
    <row r="873" spans="1:21" ht="18" customHeight="1" x14ac:dyDescent="0.3">
      <c r="A873" s="2"/>
      <c r="B873" s="65" t="str">
        <f>IF($D873="","","T"&amp;TEXT(ROW()-6,"00000"))</f>
        <v/>
      </c>
      <c r="C873" s="65" t="str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61"/>
      <c r="E873" s="66"/>
      <c r="F873" s="67"/>
      <c r="G873" s="60"/>
      <c r="H873" s="60"/>
      <c r="I873" s="61"/>
      <c r="J873" s="61"/>
      <c r="K873" s="61"/>
      <c r="L873" s="73" t="str">
        <f>IF($E873="","",DATE(YEAR($E873),MONTH($E873),1))</f>
        <v/>
      </c>
      <c r="M873" s="65" t="str">
        <f ca="1">IF($D873="","",IF($C873="TANIMSIZ MÜŞTERİ","HATA",IF(OR($E873="",$F873&lt;=0,$G873=""),"EKSİK",IF($E873&gt;TODAY(),"İLERİ TARİH",IF(COUNTIF($S$7:$S$2503,$S873)&gt;1,"MÜKERRER?",IF($T873&gt;0,"KAPALI DÖNEM","UYGUN"))))))</f>
        <v/>
      </c>
      <c r="N873" s="74" t="str">
        <f>IF($C873="","",IF($C873="TANIMSIZ MÜŞTERİ","—",INDEX(MUSTERILER!$C$7:$C$156,MATCH($C873,MUSTERILER!$B$7:$B$156,0))))</f>
        <v/>
      </c>
      <c r="O873" s="2"/>
      <c r="P873" s="2"/>
      <c r="Q873" s="1" t="str">
        <f>IF($D873="","",$C873&amp;"|"&amp;COUNTIFS($C$7:$C873,$C873))</f>
        <v/>
      </c>
      <c r="R873" s="1" t="str">
        <f t="shared" si="26"/>
        <v/>
      </c>
      <c r="S873" s="1" t="str">
        <f t="shared" si="27"/>
        <v/>
      </c>
      <c r="T873" s="1">
        <f>IF($E873="",0,SUMPRODUCT((AY_SONU!$O$7:$O$42="Evet")*(AY_SONU!$B$7:$B$42=DATE(YEAR($E873),MONTH($E873),1))))</f>
        <v>0</v>
      </c>
      <c r="U873" s="1" t="str">
        <f>IF(OR($G873="",$H873="Mahsup"),"",$G873&amp;"|"&amp;COUNTIFS($G$7:$G873,$G873,$H$7:$H873,"&lt;&gt;Mahsup"))</f>
        <v/>
      </c>
    </row>
    <row r="874" spans="1:21" ht="18" customHeight="1" x14ac:dyDescent="0.3">
      <c r="A874" s="2"/>
      <c r="B874" s="65" t="str">
        <f>IF($D874="","","T"&amp;TEXT(ROW()-6,"00000"))</f>
        <v/>
      </c>
      <c r="C874" s="65" t="str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61"/>
      <c r="E874" s="66"/>
      <c r="F874" s="67"/>
      <c r="G874" s="60"/>
      <c r="H874" s="60"/>
      <c r="I874" s="61"/>
      <c r="J874" s="61"/>
      <c r="K874" s="61"/>
      <c r="L874" s="73" t="str">
        <f>IF($E874="","",DATE(YEAR($E874),MONTH($E874),1))</f>
        <v/>
      </c>
      <c r="M874" s="65" t="str">
        <f ca="1">IF($D874="","",IF($C874="TANIMSIZ MÜŞTERİ","HATA",IF(OR($E874="",$F874&lt;=0,$G874=""),"EKSİK",IF($E874&gt;TODAY(),"İLERİ TARİH",IF(COUNTIF($S$7:$S$2503,$S874)&gt;1,"MÜKERRER?",IF($T874&gt;0,"KAPALI DÖNEM","UYGUN"))))))</f>
        <v/>
      </c>
      <c r="N874" s="74" t="str">
        <f>IF($C874="","",IF($C874="TANIMSIZ MÜŞTERİ","—",INDEX(MUSTERILER!$C$7:$C$156,MATCH($C874,MUSTERILER!$B$7:$B$156,0))))</f>
        <v/>
      </c>
      <c r="O874" s="2"/>
      <c r="P874" s="2"/>
      <c r="Q874" s="1" t="str">
        <f>IF($D874="","",$C874&amp;"|"&amp;COUNTIFS($C$7:$C874,$C874))</f>
        <v/>
      </c>
      <c r="R874" s="1" t="str">
        <f t="shared" si="26"/>
        <v/>
      </c>
      <c r="S874" s="1" t="str">
        <f t="shared" si="27"/>
        <v/>
      </c>
      <c r="T874" s="1">
        <f>IF($E874="",0,SUMPRODUCT((AY_SONU!$O$7:$O$42="Evet")*(AY_SONU!$B$7:$B$42=DATE(YEAR($E874),MONTH($E874),1))))</f>
        <v>0</v>
      </c>
      <c r="U874" s="1" t="str">
        <f>IF(OR($G874="",$H874="Mahsup"),"",$G874&amp;"|"&amp;COUNTIFS($G$7:$G874,$G874,$H$7:$H874,"&lt;&gt;Mahsup"))</f>
        <v/>
      </c>
    </row>
    <row r="875" spans="1:21" ht="18" customHeight="1" x14ac:dyDescent="0.3">
      <c r="A875" s="2"/>
      <c r="B875" s="65" t="str">
        <f>IF($D875="","","T"&amp;TEXT(ROW()-6,"00000"))</f>
        <v/>
      </c>
      <c r="C875" s="65" t="str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61"/>
      <c r="E875" s="66"/>
      <c r="F875" s="67"/>
      <c r="G875" s="60"/>
      <c r="H875" s="60"/>
      <c r="I875" s="61"/>
      <c r="J875" s="61"/>
      <c r="K875" s="61"/>
      <c r="L875" s="73" t="str">
        <f>IF($E875="","",DATE(YEAR($E875),MONTH($E875),1))</f>
        <v/>
      </c>
      <c r="M875" s="65" t="str">
        <f ca="1">IF($D875="","",IF($C875="TANIMSIZ MÜŞTERİ","HATA",IF(OR($E875="",$F875&lt;=0,$G875=""),"EKSİK",IF($E875&gt;TODAY(),"İLERİ TARİH",IF(COUNTIF($S$7:$S$2503,$S875)&gt;1,"MÜKERRER?",IF($T875&gt;0,"KAPALI DÖNEM","UYGUN"))))))</f>
        <v/>
      </c>
      <c r="N875" s="74" t="str">
        <f>IF($C875="","",IF($C875="TANIMSIZ MÜŞTERİ","—",INDEX(MUSTERILER!$C$7:$C$156,MATCH($C875,MUSTERILER!$B$7:$B$156,0))))</f>
        <v/>
      </c>
      <c r="O875" s="2"/>
      <c r="P875" s="2"/>
      <c r="Q875" s="1" t="str">
        <f>IF($D875="","",$C875&amp;"|"&amp;COUNTIFS($C$7:$C875,$C875))</f>
        <v/>
      </c>
      <c r="R875" s="1" t="str">
        <f t="shared" si="26"/>
        <v/>
      </c>
      <c r="S875" s="1" t="str">
        <f t="shared" si="27"/>
        <v/>
      </c>
      <c r="T875" s="1">
        <f>IF($E875="",0,SUMPRODUCT((AY_SONU!$O$7:$O$42="Evet")*(AY_SONU!$B$7:$B$42=DATE(YEAR($E875),MONTH($E875),1))))</f>
        <v>0</v>
      </c>
      <c r="U875" s="1" t="str">
        <f>IF(OR($G875="",$H875="Mahsup"),"",$G875&amp;"|"&amp;COUNTIFS($G$7:$G875,$G875,$H$7:$H875,"&lt;&gt;Mahsup"))</f>
        <v/>
      </c>
    </row>
    <row r="876" spans="1:21" ht="18" customHeight="1" x14ac:dyDescent="0.3">
      <c r="A876" s="2"/>
      <c r="B876" s="65" t="str">
        <f>IF($D876="","","T"&amp;TEXT(ROW()-6,"00000"))</f>
        <v/>
      </c>
      <c r="C876" s="65" t="str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61"/>
      <c r="E876" s="66"/>
      <c r="F876" s="67"/>
      <c r="G876" s="60"/>
      <c r="H876" s="60"/>
      <c r="I876" s="61"/>
      <c r="J876" s="61"/>
      <c r="K876" s="61"/>
      <c r="L876" s="73" t="str">
        <f>IF($E876="","",DATE(YEAR($E876),MONTH($E876),1))</f>
        <v/>
      </c>
      <c r="M876" s="65" t="str">
        <f ca="1">IF($D876="","",IF($C876="TANIMSIZ MÜŞTERİ","HATA",IF(OR($E876="",$F876&lt;=0,$G876=""),"EKSİK",IF($E876&gt;TODAY(),"İLERİ TARİH",IF(COUNTIF($S$7:$S$2503,$S876)&gt;1,"MÜKERRER?",IF($T876&gt;0,"KAPALI DÖNEM","UYGUN"))))))</f>
        <v/>
      </c>
      <c r="N876" s="74" t="str">
        <f>IF($C876="","",IF($C876="TANIMSIZ MÜŞTERİ","—",INDEX(MUSTERILER!$C$7:$C$156,MATCH($C876,MUSTERILER!$B$7:$B$156,0))))</f>
        <v/>
      </c>
      <c r="O876" s="2"/>
      <c r="P876" s="2"/>
      <c r="Q876" s="1" t="str">
        <f>IF($D876="","",$C876&amp;"|"&amp;COUNTIFS($C$7:$C876,$C876))</f>
        <v/>
      </c>
      <c r="R876" s="1" t="str">
        <f t="shared" si="26"/>
        <v/>
      </c>
      <c r="S876" s="1" t="str">
        <f t="shared" si="27"/>
        <v/>
      </c>
      <c r="T876" s="1">
        <f>IF($E876="",0,SUMPRODUCT((AY_SONU!$O$7:$O$42="Evet")*(AY_SONU!$B$7:$B$42=DATE(YEAR($E876),MONTH($E876),1))))</f>
        <v>0</v>
      </c>
      <c r="U876" s="1" t="str">
        <f>IF(OR($G876="",$H876="Mahsup"),"",$G876&amp;"|"&amp;COUNTIFS($G$7:$G876,$G876,$H$7:$H876,"&lt;&gt;Mahsup"))</f>
        <v/>
      </c>
    </row>
    <row r="877" spans="1:21" ht="18" customHeight="1" x14ac:dyDescent="0.3">
      <c r="A877" s="2"/>
      <c r="B877" s="65" t="str">
        <f>IF($D877="","","T"&amp;TEXT(ROW()-6,"00000"))</f>
        <v/>
      </c>
      <c r="C877" s="65" t="str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61"/>
      <c r="E877" s="66"/>
      <c r="F877" s="67"/>
      <c r="G877" s="60"/>
      <c r="H877" s="60"/>
      <c r="I877" s="61"/>
      <c r="J877" s="61"/>
      <c r="K877" s="61"/>
      <c r="L877" s="73" t="str">
        <f>IF($E877="","",DATE(YEAR($E877),MONTH($E877),1))</f>
        <v/>
      </c>
      <c r="M877" s="65" t="str">
        <f ca="1">IF($D877="","",IF($C877="TANIMSIZ MÜŞTERİ","HATA",IF(OR($E877="",$F877&lt;=0,$G877=""),"EKSİK",IF($E877&gt;TODAY(),"İLERİ TARİH",IF(COUNTIF($S$7:$S$2503,$S877)&gt;1,"MÜKERRER?",IF($T877&gt;0,"KAPALI DÖNEM","UYGUN"))))))</f>
        <v/>
      </c>
      <c r="N877" s="74" t="str">
        <f>IF($C877="","",IF($C877="TANIMSIZ MÜŞTERİ","—",INDEX(MUSTERILER!$C$7:$C$156,MATCH($C877,MUSTERILER!$B$7:$B$156,0))))</f>
        <v/>
      </c>
      <c r="O877" s="2"/>
      <c r="P877" s="2"/>
      <c r="Q877" s="1" t="str">
        <f>IF($D877="","",$C877&amp;"|"&amp;COUNTIFS($C$7:$C877,$C877))</f>
        <v/>
      </c>
      <c r="R877" s="1" t="str">
        <f t="shared" si="26"/>
        <v/>
      </c>
      <c r="S877" s="1" t="str">
        <f t="shared" si="27"/>
        <v/>
      </c>
      <c r="T877" s="1">
        <f>IF($E877="",0,SUMPRODUCT((AY_SONU!$O$7:$O$42="Evet")*(AY_SONU!$B$7:$B$42=DATE(YEAR($E877),MONTH($E877),1))))</f>
        <v>0</v>
      </c>
      <c r="U877" s="1" t="str">
        <f>IF(OR($G877="",$H877="Mahsup"),"",$G877&amp;"|"&amp;COUNTIFS($G$7:$G877,$G877,$H$7:$H877,"&lt;&gt;Mahsup"))</f>
        <v/>
      </c>
    </row>
    <row r="878" spans="1:21" ht="18" customHeight="1" x14ac:dyDescent="0.3">
      <c r="A878" s="2"/>
      <c r="B878" s="65" t="str">
        <f>IF($D878="","","T"&amp;TEXT(ROW()-6,"00000"))</f>
        <v/>
      </c>
      <c r="C878" s="65" t="str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61"/>
      <c r="E878" s="66"/>
      <c r="F878" s="67"/>
      <c r="G878" s="60"/>
      <c r="H878" s="60"/>
      <c r="I878" s="61"/>
      <c r="J878" s="61"/>
      <c r="K878" s="61"/>
      <c r="L878" s="73" t="str">
        <f>IF($E878="","",DATE(YEAR($E878),MONTH($E878),1))</f>
        <v/>
      </c>
      <c r="M878" s="65" t="str">
        <f ca="1">IF($D878="","",IF($C878="TANIMSIZ MÜŞTERİ","HATA",IF(OR($E878="",$F878&lt;=0,$G878=""),"EKSİK",IF($E878&gt;TODAY(),"İLERİ TARİH",IF(COUNTIF($S$7:$S$2503,$S878)&gt;1,"MÜKERRER?",IF($T878&gt;0,"KAPALI DÖNEM","UYGUN"))))))</f>
        <v/>
      </c>
      <c r="N878" s="74" t="str">
        <f>IF($C878="","",IF($C878="TANIMSIZ MÜŞTERİ","—",INDEX(MUSTERILER!$C$7:$C$156,MATCH($C878,MUSTERILER!$B$7:$B$156,0))))</f>
        <v/>
      </c>
      <c r="O878" s="2"/>
      <c r="P878" s="2"/>
      <c r="Q878" s="1" t="str">
        <f>IF($D878="","",$C878&amp;"|"&amp;COUNTIFS($C$7:$C878,$C878))</f>
        <v/>
      </c>
      <c r="R878" s="1" t="str">
        <f t="shared" si="26"/>
        <v/>
      </c>
      <c r="S878" s="1" t="str">
        <f t="shared" si="27"/>
        <v/>
      </c>
      <c r="T878" s="1">
        <f>IF($E878="",0,SUMPRODUCT((AY_SONU!$O$7:$O$42="Evet")*(AY_SONU!$B$7:$B$42=DATE(YEAR($E878),MONTH($E878),1))))</f>
        <v>0</v>
      </c>
      <c r="U878" s="1" t="str">
        <f>IF(OR($G878="",$H878="Mahsup"),"",$G878&amp;"|"&amp;COUNTIFS($G$7:$G878,$G878,$H$7:$H878,"&lt;&gt;Mahsup"))</f>
        <v/>
      </c>
    </row>
    <row r="879" spans="1:21" ht="18" customHeight="1" x14ac:dyDescent="0.3">
      <c r="A879" s="2"/>
      <c r="B879" s="65" t="str">
        <f>IF($D879="","","T"&amp;TEXT(ROW()-6,"00000"))</f>
        <v/>
      </c>
      <c r="C879" s="65" t="str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61"/>
      <c r="E879" s="66"/>
      <c r="F879" s="67"/>
      <c r="G879" s="60"/>
      <c r="H879" s="60"/>
      <c r="I879" s="61"/>
      <c r="J879" s="61"/>
      <c r="K879" s="61"/>
      <c r="L879" s="73" t="str">
        <f>IF($E879="","",DATE(YEAR($E879),MONTH($E879),1))</f>
        <v/>
      </c>
      <c r="M879" s="65" t="str">
        <f ca="1">IF($D879="","",IF($C879="TANIMSIZ MÜŞTERİ","HATA",IF(OR($E879="",$F879&lt;=0,$G879=""),"EKSİK",IF($E879&gt;TODAY(),"İLERİ TARİH",IF(COUNTIF($S$7:$S$2503,$S879)&gt;1,"MÜKERRER?",IF($T879&gt;0,"KAPALI DÖNEM","UYGUN"))))))</f>
        <v/>
      </c>
      <c r="N879" s="74" t="str">
        <f>IF($C879="","",IF($C879="TANIMSIZ MÜŞTERİ","—",INDEX(MUSTERILER!$C$7:$C$156,MATCH($C879,MUSTERILER!$B$7:$B$156,0))))</f>
        <v/>
      </c>
      <c r="O879" s="2"/>
      <c r="P879" s="2"/>
      <c r="Q879" s="1" t="str">
        <f>IF($D879="","",$C879&amp;"|"&amp;COUNTIFS($C$7:$C879,$C879))</f>
        <v/>
      </c>
      <c r="R879" s="1" t="str">
        <f t="shared" si="26"/>
        <v/>
      </c>
      <c r="S879" s="1" t="str">
        <f t="shared" si="27"/>
        <v/>
      </c>
      <c r="T879" s="1">
        <f>IF($E879="",0,SUMPRODUCT((AY_SONU!$O$7:$O$42="Evet")*(AY_SONU!$B$7:$B$42=DATE(YEAR($E879),MONTH($E879),1))))</f>
        <v>0</v>
      </c>
      <c r="U879" s="1" t="str">
        <f>IF(OR($G879="",$H879="Mahsup"),"",$G879&amp;"|"&amp;COUNTIFS($G$7:$G879,$G879,$H$7:$H879,"&lt;&gt;Mahsup"))</f>
        <v/>
      </c>
    </row>
    <row r="880" spans="1:21" ht="18" customHeight="1" x14ac:dyDescent="0.3">
      <c r="A880" s="2"/>
      <c r="B880" s="65" t="str">
        <f>IF($D880="","","T"&amp;TEXT(ROW()-6,"00000"))</f>
        <v/>
      </c>
      <c r="C880" s="65" t="str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61"/>
      <c r="E880" s="66"/>
      <c r="F880" s="67"/>
      <c r="G880" s="60"/>
      <c r="H880" s="60"/>
      <c r="I880" s="61"/>
      <c r="J880" s="61"/>
      <c r="K880" s="61"/>
      <c r="L880" s="73" t="str">
        <f>IF($E880="","",DATE(YEAR($E880),MONTH($E880),1))</f>
        <v/>
      </c>
      <c r="M880" s="65" t="str">
        <f ca="1">IF($D880="","",IF($C880="TANIMSIZ MÜŞTERİ","HATA",IF(OR($E880="",$F880&lt;=0,$G880=""),"EKSİK",IF($E880&gt;TODAY(),"İLERİ TARİH",IF(COUNTIF($S$7:$S$2503,$S880)&gt;1,"MÜKERRER?",IF($T880&gt;0,"KAPALI DÖNEM","UYGUN"))))))</f>
        <v/>
      </c>
      <c r="N880" s="74" t="str">
        <f>IF($C880="","",IF($C880="TANIMSIZ MÜŞTERİ","—",INDEX(MUSTERILER!$C$7:$C$156,MATCH($C880,MUSTERILER!$B$7:$B$156,0))))</f>
        <v/>
      </c>
      <c r="O880" s="2"/>
      <c r="P880" s="2"/>
      <c r="Q880" s="1" t="str">
        <f>IF($D880="","",$C880&amp;"|"&amp;COUNTIFS($C$7:$C880,$C880))</f>
        <v/>
      </c>
      <c r="R880" s="1" t="str">
        <f t="shared" si="26"/>
        <v/>
      </c>
      <c r="S880" s="1" t="str">
        <f t="shared" si="27"/>
        <v/>
      </c>
      <c r="T880" s="1">
        <f>IF($E880="",0,SUMPRODUCT((AY_SONU!$O$7:$O$42="Evet")*(AY_SONU!$B$7:$B$42=DATE(YEAR($E880),MONTH($E880),1))))</f>
        <v>0</v>
      </c>
      <c r="U880" s="1" t="str">
        <f>IF(OR($G880="",$H880="Mahsup"),"",$G880&amp;"|"&amp;COUNTIFS($G$7:$G880,$G880,$H$7:$H880,"&lt;&gt;Mahsup"))</f>
        <v/>
      </c>
    </row>
    <row r="881" spans="1:21" ht="18" customHeight="1" x14ac:dyDescent="0.3">
      <c r="A881" s="2"/>
      <c r="B881" s="65" t="str">
        <f>IF($D881="","","T"&amp;TEXT(ROW()-6,"00000"))</f>
        <v/>
      </c>
      <c r="C881" s="65" t="str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61"/>
      <c r="E881" s="66"/>
      <c r="F881" s="67"/>
      <c r="G881" s="60"/>
      <c r="H881" s="60"/>
      <c r="I881" s="61"/>
      <c r="J881" s="61"/>
      <c r="K881" s="61"/>
      <c r="L881" s="73" t="str">
        <f>IF($E881="","",DATE(YEAR($E881),MONTH($E881),1))</f>
        <v/>
      </c>
      <c r="M881" s="65" t="str">
        <f ca="1">IF($D881="","",IF($C881="TANIMSIZ MÜŞTERİ","HATA",IF(OR($E881="",$F881&lt;=0,$G881=""),"EKSİK",IF($E881&gt;TODAY(),"İLERİ TARİH",IF(COUNTIF($S$7:$S$2503,$S881)&gt;1,"MÜKERRER?",IF($T881&gt;0,"KAPALI DÖNEM","UYGUN"))))))</f>
        <v/>
      </c>
      <c r="N881" s="74" t="str">
        <f>IF($C881="","",IF($C881="TANIMSIZ MÜŞTERİ","—",INDEX(MUSTERILER!$C$7:$C$156,MATCH($C881,MUSTERILER!$B$7:$B$156,0))))</f>
        <v/>
      </c>
      <c r="O881" s="2"/>
      <c r="P881" s="2"/>
      <c r="Q881" s="1" t="str">
        <f>IF($D881="","",$C881&amp;"|"&amp;COUNTIFS($C$7:$C881,$C881))</f>
        <v/>
      </c>
      <c r="R881" s="1" t="str">
        <f t="shared" si="26"/>
        <v/>
      </c>
      <c r="S881" s="1" t="str">
        <f t="shared" si="27"/>
        <v/>
      </c>
      <c r="T881" s="1">
        <f>IF($E881="",0,SUMPRODUCT((AY_SONU!$O$7:$O$42="Evet")*(AY_SONU!$B$7:$B$42=DATE(YEAR($E881),MONTH($E881),1))))</f>
        <v>0</v>
      </c>
      <c r="U881" s="1" t="str">
        <f>IF(OR($G881="",$H881="Mahsup"),"",$G881&amp;"|"&amp;COUNTIFS($G$7:$G881,$G881,$H$7:$H881,"&lt;&gt;Mahsup"))</f>
        <v/>
      </c>
    </row>
    <row r="882" spans="1:21" ht="18" customHeight="1" x14ac:dyDescent="0.3">
      <c r="A882" s="2"/>
      <c r="B882" s="65" t="str">
        <f>IF($D882="","","T"&amp;TEXT(ROW()-6,"00000"))</f>
        <v/>
      </c>
      <c r="C882" s="65" t="str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61"/>
      <c r="E882" s="66"/>
      <c r="F882" s="67"/>
      <c r="G882" s="60"/>
      <c r="H882" s="60"/>
      <c r="I882" s="61"/>
      <c r="J882" s="61"/>
      <c r="K882" s="61"/>
      <c r="L882" s="73" t="str">
        <f>IF($E882="","",DATE(YEAR($E882),MONTH($E882),1))</f>
        <v/>
      </c>
      <c r="M882" s="65" t="str">
        <f ca="1">IF($D882="","",IF($C882="TANIMSIZ MÜŞTERİ","HATA",IF(OR($E882="",$F882&lt;=0,$G882=""),"EKSİK",IF($E882&gt;TODAY(),"İLERİ TARİH",IF(COUNTIF($S$7:$S$2503,$S882)&gt;1,"MÜKERRER?",IF($T882&gt;0,"KAPALI DÖNEM","UYGUN"))))))</f>
        <v/>
      </c>
      <c r="N882" s="74" t="str">
        <f>IF($C882="","",IF($C882="TANIMSIZ MÜŞTERİ","—",INDEX(MUSTERILER!$C$7:$C$156,MATCH($C882,MUSTERILER!$B$7:$B$156,0))))</f>
        <v/>
      </c>
      <c r="O882" s="2"/>
      <c r="P882" s="2"/>
      <c r="Q882" s="1" t="str">
        <f>IF($D882="","",$C882&amp;"|"&amp;COUNTIFS($C$7:$C882,$C882))</f>
        <v/>
      </c>
      <c r="R882" s="1" t="str">
        <f t="shared" si="26"/>
        <v/>
      </c>
      <c r="S882" s="1" t="str">
        <f t="shared" si="27"/>
        <v/>
      </c>
      <c r="T882" s="1">
        <f>IF($E882="",0,SUMPRODUCT((AY_SONU!$O$7:$O$42="Evet")*(AY_SONU!$B$7:$B$42=DATE(YEAR($E882),MONTH($E882),1))))</f>
        <v>0</v>
      </c>
      <c r="U882" s="1" t="str">
        <f>IF(OR($G882="",$H882="Mahsup"),"",$G882&amp;"|"&amp;COUNTIFS($G$7:$G882,$G882,$H$7:$H882,"&lt;&gt;Mahsup"))</f>
        <v/>
      </c>
    </row>
    <row r="883" spans="1:21" ht="18" customHeight="1" x14ac:dyDescent="0.3">
      <c r="A883" s="2"/>
      <c r="B883" s="65" t="str">
        <f>IF($D883="","","T"&amp;TEXT(ROW()-6,"00000"))</f>
        <v/>
      </c>
      <c r="C883" s="65" t="str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61"/>
      <c r="E883" s="66"/>
      <c r="F883" s="67"/>
      <c r="G883" s="60"/>
      <c r="H883" s="60"/>
      <c r="I883" s="61"/>
      <c r="J883" s="61"/>
      <c r="K883" s="61"/>
      <c r="L883" s="73" t="str">
        <f>IF($E883="","",DATE(YEAR($E883),MONTH($E883),1))</f>
        <v/>
      </c>
      <c r="M883" s="65" t="str">
        <f ca="1">IF($D883="","",IF($C883="TANIMSIZ MÜŞTERİ","HATA",IF(OR($E883="",$F883&lt;=0,$G883=""),"EKSİK",IF($E883&gt;TODAY(),"İLERİ TARİH",IF(COUNTIF($S$7:$S$2503,$S883)&gt;1,"MÜKERRER?",IF($T883&gt;0,"KAPALI DÖNEM","UYGUN"))))))</f>
        <v/>
      </c>
      <c r="N883" s="74" t="str">
        <f>IF($C883="","",IF($C883="TANIMSIZ MÜŞTERİ","—",INDEX(MUSTERILER!$C$7:$C$156,MATCH($C883,MUSTERILER!$B$7:$B$156,0))))</f>
        <v/>
      </c>
      <c r="O883" s="2"/>
      <c r="P883" s="2"/>
      <c r="Q883" s="1" t="str">
        <f>IF($D883="","",$C883&amp;"|"&amp;COUNTIFS($C$7:$C883,$C883))</f>
        <v/>
      </c>
      <c r="R883" s="1" t="str">
        <f t="shared" si="26"/>
        <v/>
      </c>
      <c r="S883" s="1" t="str">
        <f t="shared" si="27"/>
        <v/>
      </c>
      <c r="T883" s="1">
        <f>IF($E883="",0,SUMPRODUCT((AY_SONU!$O$7:$O$42="Evet")*(AY_SONU!$B$7:$B$42=DATE(YEAR($E883),MONTH($E883),1))))</f>
        <v>0</v>
      </c>
      <c r="U883" s="1" t="str">
        <f>IF(OR($G883="",$H883="Mahsup"),"",$G883&amp;"|"&amp;COUNTIFS($G$7:$G883,$G883,$H$7:$H883,"&lt;&gt;Mahsup"))</f>
        <v/>
      </c>
    </row>
    <row r="884" spans="1:21" ht="18" customHeight="1" x14ac:dyDescent="0.3">
      <c r="A884" s="2"/>
      <c r="B884" s="65" t="str">
        <f>IF($D884="","","T"&amp;TEXT(ROW()-6,"00000"))</f>
        <v/>
      </c>
      <c r="C884" s="65" t="str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61"/>
      <c r="E884" s="66"/>
      <c r="F884" s="67"/>
      <c r="G884" s="60"/>
      <c r="H884" s="60"/>
      <c r="I884" s="61"/>
      <c r="J884" s="61"/>
      <c r="K884" s="61"/>
      <c r="L884" s="73" t="str">
        <f>IF($E884="","",DATE(YEAR($E884),MONTH($E884),1))</f>
        <v/>
      </c>
      <c r="M884" s="65" t="str">
        <f ca="1">IF($D884="","",IF($C884="TANIMSIZ MÜŞTERİ","HATA",IF(OR($E884="",$F884&lt;=0,$G884=""),"EKSİK",IF($E884&gt;TODAY(),"İLERİ TARİH",IF(COUNTIF($S$7:$S$2503,$S884)&gt;1,"MÜKERRER?",IF($T884&gt;0,"KAPALI DÖNEM","UYGUN"))))))</f>
        <v/>
      </c>
      <c r="N884" s="74" t="str">
        <f>IF($C884="","",IF($C884="TANIMSIZ MÜŞTERİ","—",INDEX(MUSTERILER!$C$7:$C$156,MATCH($C884,MUSTERILER!$B$7:$B$156,0))))</f>
        <v/>
      </c>
      <c r="O884" s="2"/>
      <c r="P884" s="2"/>
      <c r="Q884" s="1" t="str">
        <f>IF($D884="","",$C884&amp;"|"&amp;COUNTIFS($C$7:$C884,$C884))</f>
        <v/>
      </c>
      <c r="R884" s="1" t="str">
        <f t="shared" si="26"/>
        <v/>
      </c>
      <c r="S884" s="1" t="str">
        <f t="shared" si="27"/>
        <v/>
      </c>
      <c r="T884" s="1">
        <f>IF($E884="",0,SUMPRODUCT((AY_SONU!$O$7:$O$42="Evet")*(AY_SONU!$B$7:$B$42=DATE(YEAR($E884),MONTH($E884),1))))</f>
        <v>0</v>
      </c>
      <c r="U884" s="1" t="str">
        <f>IF(OR($G884="",$H884="Mahsup"),"",$G884&amp;"|"&amp;COUNTIFS($G$7:$G884,$G884,$H$7:$H884,"&lt;&gt;Mahsup"))</f>
        <v/>
      </c>
    </row>
    <row r="885" spans="1:21" ht="18" customHeight="1" x14ac:dyDescent="0.3">
      <c r="A885" s="2"/>
      <c r="B885" s="65" t="str">
        <f>IF($D885="","","T"&amp;TEXT(ROW()-6,"00000"))</f>
        <v/>
      </c>
      <c r="C885" s="65" t="str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61"/>
      <c r="E885" s="66"/>
      <c r="F885" s="67"/>
      <c r="G885" s="60"/>
      <c r="H885" s="60"/>
      <c r="I885" s="61"/>
      <c r="J885" s="61"/>
      <c r="K885" s="61"/>
      <c r="L885" s="73" t="str">
        <f>IF($E885="","",DATE(YEAR($E885),MONTH($E885),1))</f>
        <v/>
      </c>
      <c r="M885" s="65" t="str">
        <f ca="1">IF($D885="","",IF($C885="TANIMSIZ MÜŞTERİ","HATA",IF(OR($E885="",$F885&lt;=0,$G885=""),"EKSİK",IF($E885&gt;TODAY(),"İLERİ TARİH",IF(COUNTIF($S$7:$S$2503,$S885)&gt;1,"MÜKERRER?",IF($T885&gt;0,"KAPALI DÖNEM","UYGUN"))))))</f>
        <v/>
      </c>
      <c r="N885" s="74" t="str">
        <f>IF($C885="","",IF($C885="TANIMSIZ MÜŞTERİ","—",INDEX(MUSTERILER!$C$7:$C$156,MATCH($C885,MUSTERILER!$B$7:$B$156,0))))</f>
        <v/>
      </c>
      <c r="O885" s="2"/>
      <c r="P885" s="2"/>
      <c r="Q885" s="1" t="str">
        <f>IF($D885="","",$C885&amp;"|"&amp;COUNTIFS($C$7:$C885,$C885))</f>
        <v/>
      </c>
      <c r="R885" s="1" t="str">
        <f t="shared" si="26"/>
        <v/>
      </c>
      <c r="S885" s="1" t="str">
        <f t="shared" si="27"/>
        <v/>
      </c>
      <c r="T885" s="1">
        <f>IF($E885="",0,SUMPRODUCT((AY_SONU!$O$7:$O$42="Evet")*(AY_SONU!$B$7:$B$42=DATE(YEAR($E885),MONTH($E885),1))))</f>
        <v>0</v>
      </c>
      <c r="U885" s="1" t="str">
        <f>IF(OR($G885="",$H885="Mahsup"),"",$G885&amp;"|"&amp;COUNTIFS($G$7:$G885,$G885,$H$7:$H885,"&lt;&gt;Mahsup"))</f>
        <v/>
      </c>
    </row>
    <row r="886" spans="1:21" ht="18" customHeight="1" x14ac:dyDescent="0.3">
      <c r="A886" s="2"/>
      <c r="B886" s="65" t="str">
        <f>IF($D886="","","T"&amp;TEXT(ROW()-6,"00000"))</f>
        <v/>
      </c>
      <c r="C886" s="65" t="str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61"/>
      <c r="E886" s="66"/>
      <c r="F886" s="67"/>
      <c r="G886" s="60"/>
      <c r="H886" s="60"/>
      <c r="I886" s="61"/>
      <c r="J886" s="61"/>
      <c r="K886" s="61"/>
      <c r="L886" s="73" t="str">
        <f>IF($E886="","",DATE(YEAR($E886),MONTH($E886),1))</f>
        <v/>
      </c>
      <c r="M886" s="65" t="str">
        <f ca="1">IF($D886="","",IF($C886="TANIMSIZ MÜŞTERİ","HATA",IF(OR($E886="",$F886&lt;=0,$G886=""),"EKSİK",IF($E886&gt;TODAY(),"İLERİ TARİH",IF(COUNTIF($S$7:$S$2503,$S886)&gt;1,"MÜKERRER?",IF($T886&gt;0,"KAPALI DÖNEM","UYGUN"))))))</f>
        <v/>
      </c>
      <c r="N886" s="74" t="str">
        <f>IF($C886="","",IF($C886="TANIMSIZ MÜŞTERİ","—",INDEX(MUSTERILER!$C$7:$C$156,MATCH($C886,MUSTERILER!$B$7:$B$156,0))))</f>
        <v/>
      </c>
      <c r="O886" s="2"/>
      <c r="P886" s="2"/>
      <c r="Q886" s="1" t="str">
        <f>IF($D886="","",$C886&amp;"|"&amp;COUNTIFS($C$7:$C886,$C886))</f>
        <v/>
      </c>
      <c r="R886" s="1" t="str">
        <f t="shared" si="26"/>
        <v/>
      </c>
      <c r="S886" s="1" t="str">
        <f t="shared" si="27"/>
        <v/>
      </c>
      <c r="T886" s="1">
        <f>IF($E886="",0,SUMPRODUCT((AY_SONU!$O$7:$O$42="Evet")*(AY_SONU!$B$7:$B$42=DATE(YEAR($E886),MONTH($E886),1))))</f>
        <v>0</v>
      </c>
      <c r="U886" s="1" t="str">
        <f>IF(OR($G886="",$H886="Mahsup"),"",$G886&amp;"|"&amp;COUNTIFS($G$7:$G886,$G886,$H$7:$H886,"&lt;&gt;Mahsup"))</f>
        <v/>
      </c>
    </row>
    <row r="887" spans="1:21" ht="18" customHeight="1" x14ac:dyDescent="0.3">
      <c r="A887" s="2"/>
      <c r="B887" s="65" t="str">
        <f>IF($D887="","","T"&amp;TEXT(ROW()-6,"00000"))</f>
        <v/>
      </c>
      <c r="C887" s="65" t="str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61"/>
      <c r="E887" s="66"/>
      <c r="F887" s="67"/>
      <c r="G887" s="60"/>
      <c r="H887" s="60"/>
      <c r="I887" s="61"/>
      <c r="J887" s="61"/>
      <c r="K887" s="61"/>
      <c r="L887" s="73" t="str">
        <f>IF($E887="","",DATE(YEAR($E887),MONTH($E887),1))</f>
        <v/>
      </c>
      <c r="M887" s="65" t="str">
        <f ca="1">IF($D887="","",IF($C887="TANIMSIZ MÜŞTERİ","HATA",IF(OR($E887="",$F887&lt;=0,$G887=""),"EKSİK",IF($E887&gt;TODAY(),"İLERİ TARİH",IF(COUNTIF($S$7:$S$2503,$S887)&gt;1,"MÜKERRER?",IF($T887&gt;0,"KAPALI DÖNEM","UYGUN"))))))</f>
        <v/>
      </c>
      <c r="N887" s="74" t="str">
        <f>IF($C887="","",IF($C887="TANIMSIZ MÜŞTERİ","—",INDEX(MUSTERILER!$C$7:$C$156,MATCH($C887,MUSTERILER!$B$7:$B$156,0))))</f>
        <v/>
      </c>
      <c r="O887" s="2"/>
      <c r="P887" s="2"/>
      <c r="Q887" s="1" t="str">
        <f>IF($D887="","",$C887&amp;"|"&amp;COUNTIFS($C$7:$C887,$C887))</f>
        <v/>
      </c>
      <c r="R887" s="1" t="str">
        <f t="shared" si="26"/>
        <v/>
      </c>
      <c r="S887" s="1" t="str">
        <f t="shared" si="27"/>
        <v/>
      </c>
      <c r="T887" s="1">
        <f>IF($E887="",0,SUMPRODUCT((AY_SONU!$O$7:$O$42="Evet")*(AY_SONU!$B$7:$B$42=DATE(YEAR($E887),MONTH($E887),1))))</f>
        <v>0</v>
      </c>
      <c r="U887" s="1" t="str">
        <f>IF(OR($G887="",$H887="Mahsup"),"",$G887&amp;"|"&amp;COUNTIFS($G$7:$G887,$G887,$H$7:$H887,"&lt;&gt;Mahsup"))</f>
        <v/>
      </c>
    </row>
    <row r="888" spans="1:21" ht="18" customHeight="1" x14ac:dyDescent="0.3">
      <c r="A888" s="2"/>
      <c r="B888" s="65" t="str">
        <f>IF($D888="","","T"&amp;TEXT(ROW()-6,"00000"))</f>
        <v/>
      </c>
      <c r="C888" s="65" t="str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61"/>
      <c r="E888" s="66"/>
      <c r="F888" s="67"/>
      <c r="G888" s="60"/>
      <c r="H888" s="60"/>
      <c r="I888" s="61"/>
      <c r="J888" s="61"/>
      <c r="K888" s="61"/>
      <c r="L888" s="73" t="str">
        <f>IF($E888="","",DATE(YEAR($E888),MONTH($E888),1))</f>
        <v/>
      </c>
      <c r="M888" s="65" t="str">
        <f ca="1">IF($D888="","",IF($C888="TANIMSIZ MÜŞTERİ","HATA",IF(OR($E888="",$F888&lt;=0,$G888=""),"EKSİK",IF($E888&gt;TODAY(),"İLERİ TARİH",IF(COUNTIF($S$7:$S$2503,$S888)&gt;1,"MÜKERRER?",IF($T888&gt;0,"KAPALI DÖNEM","UYGUN"))))))</f>
        <v/>
      </c>
      <c r="N888" s="74" t="str">
        <f>IF($C888="","",IF($C888="TANIMSIZ MÜŞTERİ","—",INDEX(MUSTERILER!$C$7:$C$156,MATCH($C888,MUSTERILER!$B$7:$B$156,0))))</f>
        <v/>
      </c>
      <c r="O888" s="2"/>
      <c r="P888" s="2"/>
      <c r="Q888" s="1" t="str">
        <f>IF($D888="","",$C888&amp;"|"&amp;COUNTIFS($C$7:$C888,$C888))</f>
        <v/>
      </c>
      <c r="R888" s="1" t="str">
        <f t="shared" si="26"/>
        <v/>
      </c>
      <c r="S888" s="1" t="str">
        <f t="shared" si="27"/>
        <v/>
      </c>
      <c r="T888" s="1">
        <f>IF($E888="",0,SUMPRODUCT((AY_SONU!$O$7:$O$42="Evet")*(AY_SONU!$B$7:$B$42=DATE(YEAR($E888),MONTH($E888),1))))</f>
        <v>0</v>
      </c>
      <c r="U888" s="1" t="str">
        <f>IF(OR($G888="",$H888="Mahsup"),"",$G888&amp;"|"&amp;COUNTIFS($G$7:$G888,$G888,$H$7:$H888,"&lt;&gt;Mahsup"))</f>
        <v/>
      </c>
    </row>
    <row r="889" spans="1:21" ht="18" customHeight="1" x14ac:dyDescent="0.3">
      <c r="A889" s="2"/>
      <c r="B889" s="65" t="str">
        <f>IF($D889="","","T"&amp;TEXT(ROW()-6,"00000"))</f>
        <v/>
      </c>
      <c r="C889" s="65" t="str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61"/>
      <c r="E889" s="66"/>
      <c r="F889" s="67"/>
      <c r="G889" s="60"/>
      <c r="H889" s="60"/>
      <c r="I889" s="61"/>
      <c r="J889" s="61"/>
      <c r="K889" s="61"/>
      <c r="L889" s="73" t="str">
        <f>IF($E889="","",DATE(YEAR($E889),MONTH($E889),1))</f>
        <v/>
      </c>
      <c r="M889" s="65" t="str">
        <f ca="1">IF($D889="","",IF($C889="TANIMSIZ MÜŞTERİ","HATA",IF(OR($E889="",$F889&lt;=0,$G889=""),"EKSİK",IF($E889&gt;TODAY(),"İLERİ TARİH",IF(COUNTIF($S$7:$S$2503,$S889)&gt;1,"MÜKERRER?",IF($T889&gt;0,"KAPALI DÖNEM","UYGUN"))))))</f>
        <v/>
      </c>
      <c r="N889" s="74" t="str">
        <f>IF($C889="","",IF($C889="TANIMSIZ MÜŞTERİ","—",INDEX(MUSTERILER!$C$7:$C$156,MATCH($C889,MUSTERILER!$B$7:$B$156,0))))</f>
        <v/>
      </c>
      <c r="O889" s="2"/>
      <c r="P889" s="2"/>
      <c r="Q889" s="1" t="str">
        <f>IF($D889="","",$C889&amp;"|"&amp;COUNTIFS($C$7:$C889,$C889))</f>
        <v/>
      </c>
      <c r="R889" s="1" t="str">
        <f t="shared" si="26"/>
        <v/>
      </c>
      <c r="S889" s="1" t="str">
        <f t="shared" si="27"/>
        <v/>
      </c>
      <c r="T889" s="1">
        <f>IF($E889="",0,SUMPRODUCT((AY_SONU!$O$7:$O$42="Evet")*(AY_SONU!$B$7:$B$42=DATE(YEAR($E889),MONTH($E889),1))))</f>
        <v>0</v>
      </c>
      <c r="U889" s="1" t="str">
        <f>IF(OR($G889="",$H889="Mahsup"),"",$G889&amp;"|"&amp;COUNTIFS($G$7:$G889,$G889,$H$7:$H889,"&lt;&gt;Mahsup"))</f>
        <v/>
      </c>
    </row>
    <row r="890" spans="1:21" ht="18" customHeight="1" x14ac:dyDescent="0.3">
      <c r="A890" s="2"/>
      <c r="B890" s="65" t="str">
        <f>IF($D890="","","T"&amp;TEXT(ROW()-6,"00000"))</f>
        <v/>
      </c>
      <c r="C890" s="65" t="str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61"/>
      <c r="E890" s="66"/>
      <c r="F890" s="67"/>
      <c r="G890" s="60"/>
      <c r="H890" s="60"/>
      <c r="I890" s="61"/>
      <c r="J890" s="61"/>
      <c r="K890" s="61"/>
      <c r="L890" s="73" t="str">
        <f>IF($E890="","",DATE(YEAR($E890),MONTH($E890),1))</f>
        <v/>
      </c>
      <c r="M890" s="65" t="str">
        <f ca="1">IF($D890="","",IF($C890="TANIMSIZ MÜŞTERİ","HATA",IF(OR($E890="",$F890&lt;=0,$G890=""),"EKSİK",IF($E890&gt;TODAY(),"İLERİ TARİH",IF(COUNTIF($S$7:$S$2503,$S890)&gt;1,"MÜKERRER?",IF($T890&gt;0,"KAPALI DÖNEM","UYGUN"))))))</f>
        <v/>
      </c>
      <c r="N890" s="74" t="str">
        <f>IF($C890="","",IF($C890="TANIMSIZ MÜŞTERİ","—",INDEX(MUSTERILER!$C$7:$C$156,MATCH($C890,MUSTERILER!$B$7:$B$156,0))))</f>
        <v/>
      </c>
      <c r="O890" s="2"/>
      <c r="P890" s="2"/>
      <c r="Q890" s="1" t="str">
        <f>IF($D890="","",$C890&amp;"|"&amp;COUNTIFS($C$7:$C890,$C890))</f>
        <v/>
      </c>
      <c r="R890" s="1" t="str">
        <f t="shared" si="26"/>
        <v/>
      </c>
      <c r="S890" s="1" t="str">
        <f t="shared" si="27"/>
        <v/>
      </c>
      <c r="T890" s="1">
        <f>IF($E890="",0,SUMPRODUCT((AY_SONU!$O$7:$O$42="Evet")*(AY_SONU!$B$7:$B$42=DATE(YEAR($E890),MONTH($E890),1))))</f>
        <v>0</v>
      </c>
      <c r="U890" s="1" t="str">
        <f>IF(OR($G890="",$H890="Mahsup"),"",$G890&amp;"|"&amp;COUNTIFS($G$7:$G890,$G890,$H$7:$H890,"&lt;&gt;Mahsup"))</f>
        <v/>
      </c>
    </row>
    <row r="891" spans="1:21" ht="18" customHeight="1" x14ac:dyDescent="0.3">
      <c r="A891" s="2"/>
      <c r="B891" s="65" t="str">
        <f>IF($D891="","","T"&amp;TEXT(ROW()-6,"00000"))</f>
        <v/>
      </c>
      <c r="C891" s="65" t="str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61"/>
      <c r="E891" s="66"/>
      <c r="F891" s="67"/>
      <c r="G891" s="60"/>
      <c r="H891" s="60"/>
      <c r="I891" s="61"/>
      <c r="J891" s="61"/>
      <c r="K891" s="61"/>
      <c r="L891" s="73" t="str">
        <f>IF($E891="","",DATE(YEAR($E891),MONTH($E891),1))</f>
        <v/>
      </c>
      <c r="M891" s="65" t="str">
        <f ca="1">IF($D891="","",IF($C891="TANIMSIZ MÜŞTERİ","HATA",IF(OR($E891="",$F891&lt;=0,$G891=""),"EKSİK",IF($E891&gt;TODAY(),"İLERİ TARİH",IF(COUNTIF($S$7:$S$2503,$S891)&gt;1,"MÜKERRER?",IF($T891&gt;0,"KAPALI DÖNEM","UYGUN"))))))</f>
        <v/>
      </c>
      <c r="N891" s="74" t="str">
        <f>IF($C891="","",IF($C891="TANIMSIZ MÜŞTERİ","—",INDEX(MUSTERILER!$C$7:$C$156,MATCH($C891,MUSTERILER!$B$7:$B$156,0))))</f>
        <v/>
      </c>
      <c r="O891" s="2"/>
      <c r="P891" s="2"/>
      <c r="Q891" s="1" t="str">
        <f>IF($D891="","",$C891&amp;"|"&amp;COUNTIFS($C$7:$C891,$C891))</f>
        <v/>
      </c>
      <c r="R891" s="1" t="str">
        <f t="shared" si="26"/>
        <v/>
      </c>
      <c r="S891" s="1" t="str">
        <f t="shared" si="27"/>
        <v/>
      </c>
      <c r="T891" s="1">
        <f>IF($E891="",0,SUMPRODUCT((AY_SONU!$O$7:$O$42="Evet")*(AY_SONU!$B$7:$B$42=DATE(YEAR($E891),MONTH($E891),1))))</f>
        <v>0</v>
      </c>
      <c r="U891" s="1" t="str">
        <f>IF(OR($G891="",$H891="Mahsup"),"",$G891&amp;"|"&amp;COUNTIFS($G$7:$G891,$G891,$H$7:$H891,"&lt;&gt;Mahsup"))</f>
        <v/>
      </c>
    </row>
    <row r="892" spans="1:21" ht="18" customHeight="1" x14ac:dyDescent="0.3">
      <c r="A892" s="2"/>
      <c r="B892" s="65" t="str">
        <f>IF($D892="","","T"&amp;TEXT(ROW()-6,"00000"))</f>
        <v/>
      </c>
      <c r="C892" s="65" t="str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61"/>
      <c r="E892" s="66"/>
      <c r="F892" s="67"/>
      <c r="G892" s="60"/>
      <c r="H892" s="60"/>
      <c r="I892" s="61"/>
      <c r="J892" s="61"/>
      <c r="K892" s="61"/>
      <c r="L892" s="73" t="str">
        <f>IF($E892="","",DATE(YEAR($E892),MONTH($E892),1))</f>
        <v/>
      </c>
      <c r="M892" s="65" t="str">
        <f ca="1">IF($D892="","",IF($C892="TANIMSIZ MÜŞTERİ","HATA",IF(OR($E892="",$F892&lt;=0,$G892=""),"EKSİK",IF($E892&gt;TODAY(),"İLERİ TARİH",IF(COUNTIF($S$7:$S$2503,$S892)&gt;1,"MÜKERRER?",IF($T892&gt;0,"KAPALI DÖNEM","UYGUN"))))))</f>
        <v/>
      </c>
      <c r="N892" s="74" t="str">
        <f>IF($C892="","",IF($C892="TANIMSIZ MÜŞTERİ","—",INDEX(MUSTERILER!$C$7:$C$156,MATCH($C892,MUSTERILER!$B$7:$B$156,0))))</f>
        <v/>
      </c>
      <c r="O892" s="2"/>
      <c r="P892" s="2"/>
      <c r="Q892" s="1" t="str">
        <f>IF($D892="","",$C892&amp;"|"&amp;COUNTIFS($C$7:$C892,$C892))</f>
        <v/>
      </c>
      <c r="R892" s="1" t="str">
        <f t="shared" si="26"/>
        <v/>
      </c>
      <c r="S892" s="1" t="str">
        <f t="shared" si="27"/>
        <v/>
      </c>
      <c r="T892" s="1">
        <f>IF($E892="",0,SUMPRODUCT((AY_SONU!$O$7:$O$42="Evet")*(AY_SONU!$B$7:$B$42=DATE(YEAR($E892),MONTH($E892),1))))</f>
        <v>0</v>
      </c>
      <c r="U892" s="1" t="str">
        <f>IF(OR($G892="",$H892="Mahsup"),"",$G892&amp;"|"&amp;COUNTIFS($G$7:$G892,$G892,$H$7:$H892,"&lt;&gt;Mahsup"))</f>
        <v/>
      </c>
    </row>
    <row r="893" spans="1:21" ht="18" customHeight="1" x14ac:dyDescent="0.3">
      <c r="A893" s="2"/>
      <c r="B893" s="65" t="str">
        <f>IF($D893="","","T"&amp;TEXT(ROW()-6,"00000"))</f>
        <v/>
      </c>
      <c r="C893" s="65" t="str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61"/>
      <c r="E893" s="66"/>
      <c r="F893" s="67"/>
      <c r="G893" s="60"/>
      <c r="H893" s="60"/>
      <c r="I893" s="61"/>
      <c r="J893" s="61"/>
      <c r="K893" s="61"/>
      <c r="L893" s="73" t="str">
        <f>IF($E893="","",DATE(YEAR($E893),MONTH($E893),1))</f>
        <v/>
      </c>
      <c r="M893" s="65" t="str">
        <f ca="1">IF($D893="","",IF($C893="TANIMSIZ MÜŞTERİ","HATA",IF(OR($E893="",$F893&lt;=0,$G893=""),"EKSİK",IF($E893&gt;TODAY(),"İLERİ TARİH",IF(COUNTIF($S$7:$S$2503,$S893)&gt;1,"MÜKERRER?",IF($T893&gt;0,"KAPALI DÖNEM","UYGUN"))))))</f>
        <v/>
      </c>
      <c r="N893" s="74" t="str">
        <f>IF($C893="","",IF($C893="TANIMSIZ MÜŞTERİ","—",INDEX(MUSTERILER!$C$7:$C$156,MATCH($C893,MUSTERILER!$B$7:$B$156,0))))</f>
        <v/>
      </c>
      <c r="O893" s="2"/>
      <c r="P893" s="2"/>
      <c r="Q893" s="1" t="str">
        <f>IF($D893="","",$C893&amp;"|"&amp;COUNTIFS($C$7:$C893,$C893))</f>
        <v/>
      </c>
      <c r="R893" s="1" t="str">
        <f t="shared" si="26"/>
        <v/>
      </c>
      <c r="S893" s="1" t="str">
        <f t="shared" si="27"/>
        <v/>
      </c>
      <c r="T893" s="1">
        <f>IF($E893="",0,SUMPRODUCT((AY_SONU!$O$7:$O$42="Evet")*(AY_SONU!$B$7:$B$42=DATE(YEAR($E893),MONTH($E893),1))))</f>
        <v>0</v>
      </c>
      <c r="U893" s="1" t="str">
        <f>IF(OR($G893="",$H893="Mahsup"),"",$G893&amp;"|"&amp;COUNTIFS($G$7:$G893,$G893,$H$7:$H893,"&lt;&gt;Mahsup"))</f>
        <v/>
      </c>
    </row>
    <row r="894" spans="1:21" ht="18" customHeight="1" x14ac:dyDescent="0.3">
      <c r="A894" s="2"/>
      <c r="B894" s="65" t="str">
        <f>IF($D894="","","T"&amp;TEXT(ROW()-6,"00000"))</f>
        <v/>
      </c>
      <c r="C894" s="65" t="str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61"/>
      <c r="E894" s="66"/>
      <c r="F894" s="67"/>
      <c r="G894" s="60"/>
      <c r="H894" s="60"/>
      <c r="I894" s="61"/>
      <c r="J894" s="61"/>
      <c r="K894" s="61"/>
      <c r="L894" s="73" t="str">
        <f>IF($E894="","",DATE(YEAR($E894),MONTH($E894),1))</f>
        <v/>
      </c>
      <c r="M894" s="65" t="str">
        <f ca="1">IF($D894="","",IF($C894="TANIMSIZ MÜŞTERİ","HATA",IF(OR($E894="",$F894&lt;=0,$G894=""),"EKSİK",IF($E894&gt;TODAY(),"İLERİ TARİH",IF(COUNTIF($S$7:$S$2503,$S894)&gt;1,"MÜKERRER?",IF($T894&gt;0,"KAPALI DÖNEM","UYGUN"))))))</f>
        <v/>
      </c>
      <c r="N894" s="74" t="str">
        <f>IF($C894="","",IF($C894="TANIMSIZ MÜŞTERİ","—",INDEX(MUSTERILER!$C$7:$C$156,MATCH($C894,MUSTERILER!$B$7:$B$156,0))))</f>
        <v/>
      </c>
      <c r="O894" s="2"/>
      <c r="P894" s="2"/>
      <c r="Q894" s="1" t="str">
        <f>IF($D894="","",$C894&amp;"|"&amp;COUNTIFS($C$7:$C894,$C894))</f>
        <v/>
      </c>
      <c r="R894" s="1" t="str">
        <f t="shared" si="26"/>
        <v/>
      </c>
      <c r="S894" s="1" t="str">
        <f t="shared" si="27"/>
        <v/>
      </c>
      <c r="T894" s="1">
        <f>IF($E894="",0,SUMPRODUCT((AY_SONU!$O$7:$O$42="Evet")*(AY_SONU!$B$7:$B$42=DATE(YEAR($E894),MONTH($E894),1))))</f>
        <v>0</v>
      </c>
      <c r="U894" s="1" t="str">
        <f>IF(OR($G894="",$H894="Mahsup"),"",$G894&amp;"|"&amp;COUNTIFS($G$7:$G894,$G894,$H$7:$H894,"&lt;&gt;Mahsup"))</f>
        <v/>
      </c>
    </row>
    <row r="895" spans="1:21" ht="18" customHeight="1" x14ac:dyDescent="0.3">
      <c r="A895" s="2"/>
      <c r="B895" s="65" t="str">
        <f>IF($D895="","","T"&amp;TEXT(ROW()-6,"00000"))</f>
        <v/>
      </c>
      <c r="C895" s="65" t="str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61"/>
      <c r="E895" s="66"/>
      <c r="F895" s="67"/>
      <c r="G895" s="60"/>
      <c r="H895" s="60"/>
      <c r="I895" s="61"/>
      <c r="J895" s="61"/>
      <c r="K895" s="61"/>
      <c r="L895" s="73" t="str">
        <f>IF($E895="","",DATE(YEAR($E895),MONTH($E895),1))</f>
        <v/>
      </c>
      <c r="M895" s="65" t="str">
        <f ca="1">IF($D895="","",IF($C895="TANIMSIZ MÜŞTERİ","HATA",IF(OR($E895="",$F895&lt;=0,$G895=""),"EKSİK",IF($E895&gt;TODAY(),"İLERİ TARİH",IF(COUNTIF($S$7:$S$2503,$S895)&gt;1,"MÜKERRER?",IF($T895&gt;0,"KAPALI DÖNEM","UYGUN"))))))</f>
        <v/>
      </c>
      <c r="N895" s="74" t="str">
        <f>IF($C895="","",IF($C895="TANIMSIZ MÜŞTERİ","—",INDEX(MUSTERILER!$C$7:$C$156,MATCH($C895,MUSTERILER!$B$7:$B$156,0))))</f>
        <v/>
      </c>
      <c r="O895" s="2"/>
      <c r="P895" s="2"/>
      <c r="Q895" s="1" t="str">
        <f>IF($D895="","",$C895&amp;"|"&amp;COUNTIFS($C$7:$C895,$C895))</f>
        <v/>
      </c>
      <c r="R895" s="1" t="str">
        <f t="shared" si="26"/>
        <v/>
      </c>
      <c r="S895" s="1" t="str">
        <f t="shared" si="27"/>
        <v/>
      </c>
      <c r="T895" s="1">
        <f>IF($E895="",0,SUMPRODUCT((AY_SONU!$O$7:$O$42="Evet")*(AY_SONU!$B$7:$B$42=DATE(YEAR($E895),MONTH($E895),1))))</f>
        <v>0</v>
      </c>
      <c r="U895" s="1" t="str">
        <f>IF(OR($G895="",$H895="Mahsup"),"",$G895&amp;"|"&amp;COUNTIFS($G$7:$G895,$G895,$H$7:$H895,"&lt;&gt;Mahsup"))</f>
        <v/>
      </c>
    </row>
    <row r="896" spans="1:21" ht="18" customHeight="1" x14ac:dyDescent="0.3">
      <c r="A896" s="2"/>
      <c r="B896" s="65" t="str">
        <f>IF($D896="","","T"&amp;TEXT(ROW()-6,"00000"))</f>
        <v/>
      </c>
      <c r="C896" s="65" t="str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61"/>
      <c r="E896" s="66"/>
      <c r="F896" s="67"/>
      <c r="G896" s="60"/>
      <c r="H896" s="60"/>
      <c r="I896" s="61"/>
      <c r="J896" s="61"/>
      <c r="K896" s="61"/>
      <c r="L896" s="73" t="str">
        <f>IF($E896="","",DATE(YEAR($E896),MONTH($E896),1))</f>
        <v/>
      </c>
      <c r="M896" s="65" t="str">
        <f ca="1">IF($D896="","",IF($C896="TANIMSIZ MÜŞTERİ","HATA",IF(OR($E896="",$F896&lt;=0,$G896=""),"EKSİK",IF($E896&gt;TODAY(),"İLERİ TARİH",IF(COUNTIF($S$7:$S$2503,$S896)&gt;1,"MÜKERRER?",IF($T896&gt;0,"KAPALI DÖNEM","UYGUN"))))))</f>
        <v/>
      </c>
      <c r="N896" s="74" t="str">
        <f>IF($C896="","",IF($C896="TANIMSIZ MÜŞTERİ","—",INDEX(MUSTERILER!$C$7:$C$156,MATCH($C896,MUSTERILER!$B$7:$B$156,0))))</f>
        <v/>
      </c>
      <c r="O896" s="2"/>
      <c r="P896" s="2"/>
      <c r="Q896" s="1" t="str">
        <f>IF($D896="","",$C896&amp;"|"&amp;COUNTIFS($C$7:$C896,$C896))</f>
        <v/>
      </c>
      <c r="R896" s="1" t="str">
        <f t="shared" si="26"/>
        <v/>
      </c>
      <c r="S896" s="1" t="str">
        <f t="shared" si="27"/>
        <v/>
      </c>
      <c r="T896" s="1">
        <f>IF($E896="",0,SUMPRODUCT((AY_SONU!$O$7:$O$42="Evet")*(AY_SONU!$B$7:$B$42=DATE(YEAR($E896),MONTH($E896),1))))</f>
        <v>0</v>
      </c>
      <c r="U896" s="1" t="str">
        <f>IF(OR($G896="",$H896="Mahsup"),"",$G896&amp;"|"&amp;COUNTIFS($G$7:$G896,$G896,$H$7:$H896,"&lt;&gt;Mahsup"))</f>
        <v/>
      </c>
    </row>
    <row r="897" spans="1:21" ht="18" customHeight="1" x14ac:dyDescent="0.3">
      <c r="A897" s="2"/>
      <c r="B897" s="65" t="str">
        <f>IF($D897="","","T"&amp;TEXT(ROW()-6,"00000"))</f>
        <v/>
      </c>
      <c r="C897" s="65" t="str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61"/>
      <c r="E897" s="66"/>
      <c r="F897" s="67"/>
      <c r="G897" s="60"/>
      <c r="H897" s="60"/>
      <c r="I897" s="61"/>
      <c r="J897" s="61"/>
      <c r="K897" s="61"/>
      <c r="L897" s="73" t="str">
        <f>IF($E897="","",DATE(YEAR($E897),MONTH($E897),1))</f>
        <v/>
      </c>
      <c r="M897" s="65" t="str">
        <f ca="1">IF($D897="","",IF($C897="TANIMSIZ MÜŞTERİ","HATA",IF(OR($E897="",$F897&lt;=0,$G897=""),"EKSİK",IF($E897&gt;TODAY(),"İLERİ TARİH",IF(COUNTIF($S$7:$S$2503,$S897)&gt;1,"MÜKERRER?",IF($T897&gt;0,"KAPALI DÖNEM","UYGUN"))))))</f>
        <v/>
      </c>
      <c r="N897" s="74" t="str">
        <f>IF($C897="","",IF($C897="TANIMSIZ MÜŞTERİ","—",INDEX(MUSTERILER!$C$7:$C$156,MATCH($C897,MUSTERILER!$B$7:$B$156,0))))</f>
        <v/>
      </c>
      <c r="O897" s="2"/>
      <c r="P897" s="2"/>
      <c r="Q897" s="1" t="str">
        <f>IF($D897="","",$C897&amp;"|"&amp;COUNTIFS($C$7:$C897,$C897))</f>
        <v/>
      </c>
      <c r="R897" s="1" t="str">
        <f t="shared" si="26"/>
        <v/>
      </c>
      <c r="S897" s="1" t="str">
        <f t="shared" si="27"/>
        <v/>
      </c>
      <c r="T897" s="1">
        <f>IF($E897="",0,SUMPRODUCT((AY_SONU!$O$7:$O$42="Evet")*(AY_SONU!$B$7:$B$42=DATE(YEAR($E897),MONTH($E897),1))))</f>
        <v>0</v>
      </c>
      <c r="U897" s="1" t="str">
        <f>IF(OR($G897="",$H897="Mahsup"),"",$G897&amp;"|"&amp;COUNTIFS($G$7:$G897,$G897,$H$7:$H897,"&lt;&gt;Mahsup"))</f>
        <v/>
      </c>
    </row>
    <row r="898" spans="1:21" ht="18" customHeight="1" x14ac:dyDescent="0.3">
      <c r="A898" s="2"/>
      <c r="B898" s="65" t="str">
        <f>IF($D898="","","T"&amp;TEXT(ROW()-6,"00000"))</f>
        <v/>
      </c>
      <c r="C898" s="65" t="str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61"/>
      <c r="E898" s="66"/>
      <c r="F898" s="67"/>
      <c r="G898" s="60"/>
      <c r="H898" s="60"/>
      <c r="I898" s="61"/>
      <c r="J898" s="61"/>
      <c r="K898" s="61"/>
      <c r="L898" s="73" t="str">
        <f>IF($E898="","",DATE(YEAR($E898),MONTH($E898),1))</f>
        <v/>
      </c>
      <c r="M898" s="65" t="str">
        <f ca="1">IF($D898="","",IF($C898="TANIMSIZ MÜŞTERİ","HATA",IF(OR($E898="",$F898&lt;=0,$G898=""),"EKSİK",IF($E898&gt;TODAY(),"İLERİ TARİH",IF(COUNTIF($S$7:$S$2503,$S898)&gt;1,"MÜKERRER?",IF($T898&gt;0,"KAPALI DÖNEM","UYGUN"))))))</f>
        <v/>
      </c>
      <c r="N898" s="74" t="str">
        <f>IF($C898="","",IF($C898="TANIMSIZ MÜŞTERİ","—",INDEX(MUSTERILER!$C$7:$C$156,MATCH($C898,MUSTERILER!$B$7:$B$156,0))))</f>
        <v/>
      </c>
      <c r="O898" s="2"/>
      <c r="P898" s="2"/>
      <c r="Q898" s="1" t="str">
        <f>IF($D898="","",$C898&amp;"|"&amp;COUNTIFS($C$7:$C898,$C898))</f>
        <v/>
      </c>
      <c r="R898" s="1" t="str">
        <f t="shared" si="26"/>
        <v/>
      </c>
      <c r="S898" s="1" t="str">
        <f t="shared" si="27"/>
        <v/>
      </c>
      <c r="T898" s="1">
        <f>IF($E898="",0,SUMPRODUCT((AY_SONU!$O$7:$O$42="Evet")*(AY_SONU!$B$7:$B$42=DATE(YEAR($E898),MONTH($E898),1))))</f>
        <v>0</v>
      </c>
      <c r="U898" s="1" t="str">
        <f>IF(OR($G898="",$H898="Mahsup"),"",$G898&amp;"|"&amp;COUNTIFS($G$7:$G898,$G898,$H$7:$H898,"&lt;&gt;Mahsup"))</f>
        <v/>
      </c>
    </row>
    <row r="899" spans="1:21" ht="18" customHeight="1" x14ac:dyDescent="0.3">
      <c r="A899" s="2"/>
      <c r="B899" s="65" t="str">
        <f>IF($D899="","","T"&amp;TEXT(ROW()-6,"00000"))</f>
        <v/>
      </c>
      <c r="C899" s="65" t="str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61"/>
      <c r="E899" s="66"/>
      <c r="F899" s="67"/>
      <c r="G899" s="60"/>
      <c r="H899" s="60"/>
      <c r="I899" s="61"/>
      <c r="J899" s="61"/>
      <c r="K899" s="61"/>
      <c r="L899" s="73" t="str">
        <f>IF($E899="","",DATE(YEAR($E899),MONTH($E899),1))</f>
        <v/>
      </c>
      <c r="M899" s="65" t="str">
        <f ca="1">IF($D899="","",IF($C899="TANIMSIZ MÜŞTERİ","HATA",IF(OR($E899="",$F899&lt;=0,$G899=""),"EKSİK",IF($E899&gt;TODAY(),"İLERİ TARİH",IF(COUNTIF($S$7:$S$2503,$S899)&gt;1,"MÜKERRER?",IF($T899&gt;0,"KAPALI DÖNEM","UYGUN"))))))</f>
        <v/>
      </c>
      <c r="N899" s="74" t="str">
        <f>IF($C899="","",IF($C899="TANIMSIZ MÜŞTERİ","—",INDEX(MUSTERILER!$C$7:$C$156,MATCH($C899,MUSTERILER!$B$7:$B$156,0))))</f>
        <v/>
      </c>
      <c r="O899" s="2"/>
      <c r="P899" s="2"/>
      <c r="Q899" s="1" t="str">
        <f>IF($D899="","",$C899&amp;"|"&amp;COUNTIFS($C$7:$C899,$C899))</f>
        <v/>
      </c>
      <c r="R899" s="1" t="str">
        <f t="shared" si="26"/>
        <v/>
      </c>
      <c r="S899" s="1" t="str">
        <f t="shared" si="27"/>
        <v/>
      </c>
      <c r="T899" s="1">
        <f>IF($E899="",0,SUMPRODUCT((AY_SONU!$O$7:$O$42="Evet")*(AY_SONU!$B$7:$B$42=DATE(YEAR($E899),MONTH($E899),1))))</f>
        <v>0</v>
      </c>
      <c r="U899" s="1" t="str">
        <f>IF(OR($G899="",$H899="Mahsup"),"",$G899&amp;"|"&amp;COUNTIFS($G$7:$G899,$G899,$H$7:$H899,"&lt;&gt;Mahsup"))</f>
        <v/>
      </c>
    </row>
    <row r="900" spans="1:21" ht="18" customHeight="1" x14ac:dyDescent="0.3">
      <c r="A900" s="2"/>
      <c r="B900" s="65" t="str">
        <f>IF($D900="","","T"&amp;TEXT(ROW()-6,"00000"))</f>
        <v/>
      </c>
      <c r="C900" s="65" t="str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61"/>
      <c r="E900" s="66"/>
      <c r="F900" s="67"/>
      <c r="G900" s="60"/>
      <c r="H900" s="60"/>
      <c r="I900" s="61"/>
      <c r="J900" s="61"/>
      <c r="K900" s="61"/>
      <c r="L900" s="73" t="str">
        <f>IF($E900="","",DATE(YEAR($E900),MONTH($E900),1))</f>
        <v/>
      </c>
      <c r="M900" s="65" t="str">
        <f ca="1">IF($D900="","",IF($C900="TANIMSIZ MÜŞTERİ","HATA",IF(OR($E900="",$F900&lt;=0,$G900=""),"EKSİK",IF($E900&gt;TODAY(),"İLERİ TARİH",IF(COUNTIF($S$7:$S$2503,$S900)&gt;1,"MÜKERRER?",IF($T900&gt;0,"KAPALI DÖNEM","UYGUN"))))))</f>
        <v/>
      </c>
      <c r="N900" s="74" t="str">
        <f>IF($C900="","",IF($C900="TANIMSIZ MÜŞTERİ","—",INDEX(MUSTERILER!$C$7:$C$156,MATCH($C900,MUSTERILER!$B$7:$B$156,0))))</f>
        <v/>
      </c>
      <c r="O900" s="2"/>
      <c r="P900" s="2"/>
      <c r="Q900" s="1" t="str">
        <f>IF($D900="","",$C900&amp;"|"&amp;COUNTIFS($C$7:$C900,$C900))</f>
        <v/>
      </c>
      <c r="R900" s="1" t="str">
        <f t="shared" si="26"/>
        <v/>
      </c>
      <c r="S900" s="1" t="str">
        <f t="shared" si="27"/>
        <v/>
      </c>
      <c r="T900" s="1">
        <f>IF($E900="",0,SUMPRODUCT((AY_SONU!$O$7:$O$42="Evet")*(AY_SONU!$B$7:$B$42=DATE(YEAR($E900),MONTH($E900),1))))</f>
        <v>0</v>
      </c>
      <c r="U900" s="1" t="str">
        <f>IF(OR($G900="",$H900="Mahsup"),"",$G900&amp;"|"&amp;COUNTIFS($G$7:$G900,$G900,$H$7:$H900,"&lt;&gt;Mahsup"))</f>
        <v/>
      </c>
    </row>
    <row r="901" spans="1:21" ht="18" customHeight="1" x14ac:dyDescent="0.3">
      <c r="A901" s="2"/>
      <c r="B901" s="65" t="str">
        <f>IF($D901="","","T"&amp;TEXT(ROW()-6,"00000"))</f>
        <v/>
      </c>
      <c r="C901" s="65" t="str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61"/>
      <c r="E901" s="66"/>
      <c r="F901" s="67"/>
      <c r="G901" s="60"/>
      <c r="H901" s="60"/>
      <c r="I901" s="61"/>
      <c r="J901" s="61"/>
      <c r="K901" s="61"/>
      <c r="L901" s="73" t="str">
        <f>IF($E901="","",DATE(YEAR($E901),MONTH($E901),1))</f>
        <v/>
      </c>
      <c r="M901" s="65" t="str">
        <f ca="1">IF($D901="","",IF($C901="TANIMSIZ MÜŞTERİ","HATA",IF(OR($E901="",$F901&lt;=0,$G901=""),"EKSİK",IF($E901&gt;TODAY(),"İLERİ TARİH",IF(COUNTIF($S$7:$S$2503,$S901)&gt;1,"MÜKERRER?",IF($T901&gt;0,"KAPALI DÖNEM","UYGUN"))))))</f>
        <v/>
      </c>
      <c r="N901" s="74" t="str">
        <f>IF($C901="","",IF($C901="TANIMSIZ MÜŞTERİ","—",INDEX(MUSTERILER!$C$7:$C$156,MATCH($C901,MUSTERILER!$B$7:$B$156,0))))</f>
        <v/>
      </c>
      <c r="O901" s="2"/>
      <c r="P901" s="2"/>
      <c r="Q901" s="1" t="str">
        <f>IF($D901="","",$C901&amp;"|"&amp;COUNTIFS($C$7:$C901,$C901))</f>
        <v/>
      </c>
      <c r="R901" s="1" t="str">
        <f t="shared" si="26"/>
        <v/>
      </c>
      <c r="S901" s="1" t="str">
        <f t="shared" si="27"/>
        <v/>
      </c>
      <c r="T901" s="1">
        <f>IF($E901="",0,SUMPRODUCT((AY_SONU!$O$7:$O$42="Evet")*(AY_SONU!$B$7:$B$42=DATE(YEAR($E901),MONTH($E901),1))))</f>
        <v>0</v>
      </c>
      <c r="U901" s="1" t="str">
        <f>IF(OR($G901="",$H901="Mahsup"),"",$G901&amp;"|"&amp;COUNTIFS($G$7:$G901,$G901,$H$7:$H901,"&lt;&gt;Mahsup"))</f>
        <v/>
      </c>
    </row>
    <row r="902" spans="1:21" ht="18" customHeight="1" x14ac:dyDescent="0.3">
      <c r="A902" s="2"/>
      <c r="B902" s="65" t="str">
        <f>IF($D902="","","T"&amp;TEXT(ROW()-6,"00000"))</f>
        <v/>
      </c>
      <c r="C902" s="65" t="str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61"/>
      <c r="E902" s="66"/>
      <c r="F902" s="67"/>
      <c r="G902" s="60"/>
      <c r="H902" s="60"/>
      <c r="I902" s="61"/>
      <c r="J902" s="61"/>
      <c r="K902" s="61"/>
      <c r="L902" s="73" t="str">
        <f>IF($E902="","",DATE(YEAR($E902),MONTH($E902),1))</f>
        <v/>
      </c>
      <c r="M902" s="65" t="str">
        <f ca="1">IF($D902="","",IF($C902="TANIMSIZ MÜŞTERİ","HATA",IF(OR($E902="",$F902&lt;=0,$G902=""),"EKSİK",IF($E902&gt;TODAY(),"İLERİ TARİH",IF(COUNTIF($S$7:$S$2503,$S902)&gt;1,"MÜKERRER?",IF($T902&gt;0,"KAPALI DÖNEM","UYGUN"))))))</f>
        <v/>
      </c>
      <c r="N902" s="74" t="str">
        <f>IF($C902="","",IF($C902="TANIMSIZ MÜŞTERİ","—",INDEX(MUSTERILER!$C$7:$C$156,MATCH($C902,MUSTERILER!$B$7:$B$156,0))))</f>
        <v/>
      </c>
      <c r="O902" s="2"/>
      <c r="P902" s="2"/>
      <c r="Q902" s="1" t="str">
        <f>IF($D902="","",$C902&amp;"|"&amp;COUNTIFS($C$7:$C902,$C902))</f>
        <v/>
      </c>
      <c r="R902" s="1" t="str">
        <f t="shared" si="26"/>
        <v/>
      </c>
      <c r="S902" s="1" t="str">
        <f t="shared" si="27"/>
        <v/>
      </c>
      <c r="T902" s="1">
        <f>IF($E902="",0,SUMPRODUCT((AY_SONU!$O$7:$O$42="Evet")*(AY_SONU!$B$7:$B$42=DATE(YEAR($E902),MONTH($E902),1))))</f>
        <v>0</v>
      </c>
      <c r="U902" s="1" t="str">
        <f>IF(OR($G902="",$H902="Mahsup"),"",$G902&amp;"|"&amp;COUNTIFS($G$7:$G902,$G902,$H$7:$H902,"&lt;&gt;Mahsup"))</f>
        <v/>
      </c>
    </row>
    <row r="903" spans="1:21" ht="18" customHeight="1" x14ac:dyDescent="0.3">
      <c r="A903" s="2"/>
      <c r="B903" s="65" t="str">
        <f>IF($D903="","","T"&amp;TEXT(ROW()-6,"00000"))</f>
        <v/>
      </c>
      <c r="C903" s="65" t="str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61"/>
      <c r="E903" s="66"/>
      <c r="F903" s="67"/>
      <c r="G903" s="60"/>
      <c r="H903" s="60"/>
      <c r="I903" s="61"/>
      <c r="J903" s="61"/>
      <c r="K903" s="61"/>
      <c r="L903" s="73" t="str">
        <f>IF($E903="","",DATE(YEAR($E903),MONTH($E903),1))</f>
        <v/>
      </c>
      <c r="M903" s="65" t="str">
        <f ca="1">IF($D903="","",IF($C903="TANIMSIZ MÜŞTERİ","HATA",IF(OR($E903="",$F903&lt;=0,$G903=""),"EKSİK",IF($E903&gt;TODAY(),"İLERİ TARİH",IF(COUNTIF($S$7:$S$2503,$S903)&gt;1,"MÜKERRER?",IF($T903&gt;0,"KAPALI DÖNEM","UYGUN"))))))</f>
        <v/>
      </c>
      <c r="N903" s="74" t="str">
        <f>IF($C903="","",IF($C903="TANIMSIZ MÜŞTERİ","—",INDEX(MUSTERILER!$C$7:$C$156,MATCH($C903,MUSTERILER!$B$7:$B$156,0))))</f>
        <v/>
      </c>
      <c r="O903" s="2"/>
      <c r="P903" s="2"/>
      <c r="Q903" s="1" t="str">
        <f>IF($D903="","",$C903&amp;"|"&amp;COUNTIFS($C$7:$C903,$C903))</f>
        <v/>
      </c>
      <c r="R903" s="1" t="str">
        <f t="shared" ref="R903:R966" si="28"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" t="str">
        <f t="shared" ref="S903:S966" si="29">IF($D903="","",$C903&amp;"|"&amp;TEXT($E903,"0")&amp;"|"&amp;TEXT($F903,"0")&amp;"|"&amp;$I903)</f>
        <v/>
      </c>
      <c r="T903" s="1">
        <f>IF($E903="",0,SUMPRODUCT((AY_SONU!$O$7:$O$42="Evet")*(AY_SONU!$B$7:$B$42=DATE(YEAR($E903),MONTH($E903),1))))</f>
        <v>0</v>
      </c>
      <c r="U903" s="1" t="str">
        <f>IF(OR($G903="",$H903="Mahsup"),"",$G903&amp;"|"&amp;COUNTIFS($G$7:$G903,$G903,$H$7:$H903,"&lt;&gt;Mahsup"))</f>
        <v/>
      </c>
    </row>
    <row r="904" spans="1:21" ht="18" customHeight="1" x14ac:dyDescent="0.3">
      <c r="A904" s="2"/>
      <c r="B904" s="65" t="str">
        <f>IF($D904="","","T"&amp;TEXT(ROW()-6,"00000"))</f>
        <v/>
      </c>
      <c r="C904" s="65" t="str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61"/>
      <c r="E904" s="66"/>
      <c r="F904" s="67"/>
      <c r="G904" s="60"/>
      <c r="H904" s="60"/>
      <c r="I904" s="61"/>
      <c r="J904" s="61"/>
      <c r="K904" s="61"/>
      <c r="L904" s="73" t="str">
        <f>IF($E904="","",DATE(YEAR($E904),MONTH($E904),1))</f>
        <v/>
      </c>
      <c r="M904" s="65" t="str">
        <f ca="1">IF($D904="","",IF($C904="TANIMSIZ MÜŞTERİ","HATA",IF(OR($E904="",$F904&lt;=0,$G904=""),"EKSİK",IF($E904&gt;TODAY(),"İLERİ TARİH",IF(COUNTIF($S$7:$S$2503,$S904)&gt;1,"MÜKERRER?",IF($T904&gt;0,"KAPALI DÖNEM","UYGUN"))))))</f>
        <v/>
      </c>
      <c r="N904" s="74" t="str">
        <f>IF($C904="","",IF($C904="TANIMSIZ MÜŞTERİ","—",INDEX(MUSTERILER!$C$7:$C$156,MATCH($C904,MUSTERILER!$B$7:$B$156,0))))</f>
        <v/>
      </c>
      <c r="O904" s="2"/>
      <c r="P904" s="2"/>
      <c r="Q904" s="1" t="str">
        <f>IF($D904="","",$C904&amp;"|"&amp;COUNTIFS($C$7:$C904,$C904))</f>
        <v/>
      </c>
      <c r="R904" s="1" t="str">
        <f t="shared" si="28"/>
        <v/>
      </c>
      <c r="S904" s="1" t="str">
        <f t="shared" si="29"/>
        <v/>
      </c>
      <c r="T904" s="1">
        <f>IF($E904="",0,SUMPRODUCT((AY_SONU!$O$7:$O$42="Evet")*(AY_SONU!$B$7:$B$42=DATE(YEAR($E904),MONTH($E904),1))))</f>
        <v>0</v>
      </c>
      <c r="U904" s="1" t="str">
        <f>IF(OR($G904="",$H904="Mahsup"),"",$G904&amp;"|"&amp;COUNTIFS($G$7:$G904,$G904,$H$7:$H904,"&lt;&gt;Mahsup"))</f>
        <v/>
      </c>
    </row>
    <row r="905" spans="1:21" ht="18" customHeight="1" x14ac:dyDescent="0.3">
      <c r="A905" s="2"/>
      <c r="B905" s="65" t="str">
        <f>IF($D905="","","T"&amp;TEXT(ROW()-6,"00000"))</f>
        <v/>
      </c>
      <c r="C905" s="65" t="str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61"/>
      <c r="E905" s="66"/>
      <c r="F905" s="67"/>
      <c r="G905" s="60"/>
      <c r="H905" s="60"/>
      <c r="I905" s="61"/>
      <c r="J905" s="61"/>
      <c r="K905" s="61"/>
      <c r="L905" s="73" t="str">
        <f>IF($E905="","",DATE(YEAR($E905),MONTH($E905),1))</f>
        <v/>
      </c>
      <c r="M905" s="65" t="str">
        <f ca="1">IF($D905="","",IF($C905="TANIMSIZ MÜŞTERİ","HATA",IF(OR($E905="",$F905&lt;=0,$G905=""),"EKSİK",IF($E905&gt;TODAY(),"İLERİ TARİH",IF(COUNTIF($S$7:$S$2503,$S905)&gt;1,"MÜKERRER?",IF($T905&gt;0,"KAPALI DÖNEM","UYGUN"))))))</f>
        <v/>
      </c>
      <c r="N905" s="74" t="str">
        <f>IF($C905="","",IF($C905="TANIMSIZ MÜŞTERİ","—",INDEX(MUSTERILER!$C$7:$C$156,MATCH($C905,MUSTERILER!$B$7:$B$156,0))))</f>
        <v/>
      </c>
      <c r="O905" s="2"/>
      <c r="P905" s="2"/>
      <c r="Q905" s="1" t="str">
        <f>IF($D905="","",$C905&amp;"|"&amp;COUNTIFS($C$7:$C905,$C905))</f>
        <v/>
      </c>
      <c r="R905" s="1" t="str">
        <f t="shared" si="28"/>
        <v/>
      </c>
      <c r="S905" s="1" t="str">
        <f t="shared" si="29"/>
        <v/>
      </c>
      <c r="T905" s="1">
        <f>IF($E905="",0,SUMPRODUCT((AY_SONU!$O$7:$O$42="Evet")*(AY_SONU!$B$7:$B$42=DATE(YEAR($E905),MONTH($E905),1))))</f>
        <v>0</v>
      </c>
      <c r="U905" s="1" t="str">
        <f>IF(OR($G905="",$H905="Mahsup"),"",$G905&amp;"|"&amp;COUNTIFS($G$7:$G905,$G905,$H$7:$H905,"&lt;&gt;Mahsup"))</f>
        <v/>
      </c>
    </row>
    <row r="906" spans="1:21" ht="18" customHeight="1" x14ac:dyDescent="0.3">
      <c r="A906" s="2"/>
      <c r="B906" s="65" t="str">
        <f>IF($D906="","","T"&amp;TEXT(ROW()-6,"00000"))</f>
        <v/>
      </c>
      <c r="C906" s="65" t="str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61"/>
      <c r="E906" s="66"/>
      <c r="F906" s="67"/>
      <c r="G906" s="60"/>
      <c r="H906" s="60"/>
      <c r="I906" s="61"/>
      <c r="J906" s="61"/>
      <c r="K906" s="61"/>
      <c r="L906" s="73" t="str">
        <f>IF($E906="","",DATE(YEAR($E906),MONTH($E906),1))</f>
        <v/>
      </c>
      <c r="M906" s="65" t="str">
        <f ca="1">IF($D906="","",IF($C906="TANIMSIZ MÜŞTERİ","HATA",IF(OR($E906="",$F906&lt;=0,$G906=""),"EKSİK",IF($E906&gt;TODAY(),"İLERİ TARİH",IF(COUNTIF($S$7:$S$2503,$S906)&gt;1,"MÜKERRER?",IF($T906&gt;0,"KAPALI DÖNEM","UYGUN"))))))</f>
        <v/>
      </c>
      <c r="N906" s="74" t="str">
        <f>IF($C906="","",IF($C906="TANIMSIZ MÜŞTERİ","—",INDEX(MUSTERILER!$C$7:$C$156,MATCH($C906,MUSTERILER!$B$7:$B$156,0))))</f>
        <v/>
      </c>
      <c r="O906" s="2"/>
      <c r="P906" s="2"/>
      <c r="Q906" s="1" t="str">
        <f>IF($D906="","",$C906&amp;"|"&amp;COUNTIFS($C$7:$C906,$C906))</f>
        <v/>
      </c>
      <c r="R906" s="1" t="str">
        <f t="shared" si="28"/>
        <v/>
      </c>
      <c r="S906" s="1" t="str">
        <f t="shared" si="29"/>
        <v/>
      </c>
      <c r="T906" s="1">
        <f>IF($E906="",0,SUMPRODUCT((AY_SONU!$O$7:$O$42="Evet")*(AY_SONU!$B$7:$B$42=DATE(YEAR($E906),MONTH($E906),1))))</f>
        <v>0</v>
      </c>
      <c r="U906" s="1" t="str">
        <f>IF(OR($G906="",$H906="Mahsup"),"",$G906&amp;"|"&amp;COUNTIFS($G$7:$G906,$G906,$H$7:$H906,"&lt;&gt;Mahsup"))</f>
        <v/>
      </c>
    </row>
    <row r="907" spans="1:21" ht="18" customHeight="1" x14ac:dyDescent="0.3">
      <c r="A907" s="2"/>
      <c r="B907" s="65" t="str">
        <f>IF($D907="","","T"&amp;TEXT(ROW()-6,"00000"))</f>
        <v/>
      </c>
      <c r="C907" s="65" t="str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61"/>
      <c r="E907" s="66"/>
      <c r="F907" s="67"/>
      <c r="G907" s="60"/>
      <c r="H907" s="60"/>
      <c r="I907" s="61"/>
      <c r="J907" s="61"/>
      <c r="K907" s="61"/>
      <c r="L907" s="73" t="str">
        <f>IF($E907="","",DATE(YEAR($E907),MONTH($E907),1))</f>
        <v/>
      </c>
      <c r="M907" s="65" t="str">
        <f ca="1">IF($D907="","",IF($C907="TANIMSIZ MÜŞTERİ","HATA",IF(OR($E907="",$F907&lt;=0,$G907=""),"EKSİK",IF($E907&gt;TODAY(),"İLERİ TARİH",IF(COUNTIF($S$7:$S$2503,$S907)&gt;1,"MÜKERRER?",IF($T907&gt;0,"KAPALI DÖNEM","UYGUN"))))))</f>
        <v/>
      </c>
      <c r="N907" s="74" t="str">
        <f>IF($C907="","",IF($C907="TANIMSIZ MÜŞTERİ","—",INDEX(MUSTERILER!$C$7:$C$156,MATCH($C907,MUSTERILER!$B$7:$B$156,0))))</f>
        <v/>
      </c>
      <c r="O907" s="2"/>
      <c r="P907" s="2"/>
      <c r="Q907" s="1" t="str">
        <f>IF($D907="","",$C907&amp;"|"&amp;COUNTIFS($C$7:$C907,$C907))</f>
        <v/>
      </c>
      <c r="R907" s="1" t="str">
        <f t="shared" si="28"/>
        <v/>
      </c>
      <c r="S907" s="1" t="str">
        <f t="shared" si="29"/>
        <v/>
      </c>
      <c r="T907" s="1">
        <f>IF($E907="",0,SUMPRODUCT((AY_SONU!$O$7:$O$42="Evet")*(AY_SONU!$B$7:$B$42=DATE(YEAR($E907),MONTH($E907),1))))</f>
        <v>0</v>
      </c>
      <c r="U907" s="1" t="str">
        <f>IF(OR($G907="",$H907="Mahsup"),"",$G907&amp;"|"&amp;COUNTIFS($G$7:$G907,$G907,$H$7:$H907,"&lt;&gt;Mahsup"))</f>
        <v/>
      </c>
    </row>
    <row r="908" spans="1:21" ht="18" customHeight="1" x14ac:dyDescent="0.3">
      <c r="A908" s="2"/>
      <c r="B908" s="65" t="str">
        <f>IF($D908="","","T"&amp;TEXT(ROW()-6,"00000"))</f>
        <v/>
      </c>
      <c r="C908" s="65" t="str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61"/>
      <c r="E908" s="66"/>
      <c r="F908" s="67"/>
      <c r="G908" s="60"/>
      <c r="H908" s="60"/>
      <c r="I908" s="61"/>
      <c r="J908" s="61"/>
      <c r="K908" s="61"/>
      <c r="L908" s="73" t="str">
        <f>IF($E908="","",DATE(YEAR($E908),MONTH($E908),1))</f>
        <v/>
      </c>
      <c r="M908" s="65" t="str">
        <f ca="1">IF($D908="","",IF($C908="TANIMSIZ MÜŞTERİ","HATA",IF(OR($E908="",$F908&lt;=0,$G908=""),"EKSİK",IF($E908&gt;TODAY(),"İLERİ TARİH",IF(COUNTIF($S$7:$S$2503,$S908)&gt;1,"MÜKERRER?",IF($T908&gt;0,"KAPALI DÖNEM","UYGUN"))))))</f>
        <v/>
      </c>
      <c r="N908" s="74" t="str">
        <f>IF($C908="","",IF($C908="TANIMSIZ MÜŞTERİ","—",INDEX(MUSTERILER!$C$7:$C$156,MATCH($C908,MUSTERILER!$B$7:$B$156,0))))</f>
        <v/>
      </c>
      <c r="O908" s="2"/>
      <c r="P908" s="2"/>
      <c r="Q908" s="1" t="str">
        <f>IF($D908="","",$C908&amp;"|"&amp;COUNTIFS($C$7:$C908,$C908))</f>
        <v/>
      </c>
      <c r="R908" s="1" t="str">
        <f t="shared" si="28"/>
        <v/>
      </c>
      <c r="S908" s="1" t="str">
        <f t="shared" si="29"/>
        <v/>
      </c>
      <c r="T908" s="1">
        <f>IF($E908="",0,SUMPRODUCT((AY_SONU!$O$7:$O$42="Evet")*(AY_SONU!$B$7:$B$42=DATE(YEAR($E908),MONTH($E908),1))))</f>
        <v>0</v>
      </c>
      <c r="U908" s="1" t="str">
        <f>IF(OR($G908="",$H908="Mahsup"),"",$G908&amp;"|"&amp;COUNTIFS($G$7:$G908,$G908,$H$7:$H908,"&lt;&gt;Mahsup"))</f>
        <v/>
      </c>
    </row>
    <row r="909" spans="1:21" ht="18" customHeight="1" x14ac:dyDescent="0.3">
      <c r="A909" s="2"/>
      <c r="B909" s="65" t="str">
        <f>IF($D909="","","T"&amp;TEXT(ROW()-6,"00000"))</f>
        <v/>
      </c>
      <c r="C909" s="65" t="str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61"/>
      <c r="E909" s="66"/>
      <c r="F909" s="67"/>
      <c r="G909" s="60"/>
      <c r="H909" s="60"/>
      <c r="I909" s="61"/>
      <c r="J909" s="61"/>
      <c r="K909" s="61"/>
      <c r="L909" s="73" t="str">
        <f>IF($E909="","",DATE(YEAR($E909),MONTH($E909),1))</f>
        <v/>
      </c>
      <c r="M909" s="65" t="str">
        <f ca="1">IF($D909="","",IF($C909="TANIMSIZ MÜŞTERİ","HATA",IF(OR($E909="",$F909&lt;=0,$G909=""),"EKSİK",IF($E909&gt;TODAY(),"İLERİ TARİH",IF(COUNTIF($S$7:$S$2503,$S909)&gt;1,"MÜKERRER?",IF($T909&gt;0,"KAPALI DÖNEM","UYGUN"))))))</f>
        <v/>
      </c>
      <c r="N909" s="74" t="str">
        <f>IF($C909="","",IF($C909="TANIMSIZ MÜŞTERİ","—",INDEX(MUSTERILER!$C$7:$C$156,MATCH($C909,MUSTERILER!$B$7:$B$156,0))))</f>
        <v/>
      </c>
      <c r="O909" s="2"/>
      <c r="P909" s="2"/>
      <c r="Q909" s="1" t="str">
        <f>IF($D909="","",$C909&amp;"|"&amp;COUNTIFS($C$7:$C909,$C909))</f>
        <v/>
      </c>
      <c r="R909" s="1" t="str">
        <f t="shared" si="28"/>
        <v/>
      </c>
      <c r="S909" s="1" t="str">
        <f t="shared" si="29"/>
        <v/>
      </c>
      <c r="T909" s="1">
        <f>IF($E909="",0,SUMPRODUCT((AY_SONU!$O$7:$O$42="Evet")*(AY_SONU!$B$7:$B$42=DATE(YEAR($E909),MONTH($E909),1))))</f>
        <v>0</v>
      </c>
      <c r="U909" s="1" t="str">
        <f>IF(OR($G909="",$H909="Mahsup"),"",$G909&amp;"|"&amp;COUNTIFS($G$7:$G909,$G909,$H$7:$H909,"&lt;&gt;Mahsup"))</f>
        <v/>
      </c>
    </row>
    <row r="910" spans="1:21" ht="18" customHeight="1" x14ac:dyDescent="0.3">
      <c r="A910" s="2"/>
      <c r="B910" s="65" t="str">
        <f>IF($D910="","","T"&amp;TEXT(ROW()-6,"00000"))</f>
        <v/>
      </c>
      <c r="C910" s="65" t="str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61"/>
      <c r="E910" s="66"/>
      <c r="F910" s="67"/>
      <c r="G910" s="60"/>
      <c r="H910" s="60"/>
      <c r="I910" s="61"/>
      <c r="J910" s="61"/>
      <c r="K910" s="61"/>
      <c r="L910" s="73" t="str">
        <f>IF($E910="","",DATE(YEAR($E910),MONTH($E910),1))</f>
        <v/>
      </c>
      <c r="M910" s="65" t="str">
        <f ca="1">IF($D910="","",IF($C910="TANIMSIZ MÜŞTERİ","HATA",IF(OR($E910="",$F910&lt;=0,$G910=""),"EKSİK",IF($E910&gt;TODAY(),"İLERİ TARİH",IF(COUNTIF($S$7:$S$2503,$S910)&gt;1,"MÜKERRER?",IF($T910&gt;0,"KAPALI DÖNEM","UYGUN"))))))</f>
        <v/>
      </c>
      <c r="N910" s="74" t="str">
        <f>IF($C910="","",IF($C910="TANIMSIZ MÜŞTERİ","—",INDEX(MUSTERILER!$C$7:$C$156,MATCH($C910,MUSTERILER!$B$7:$B$156,0))))</f>
        <v/>
      </c>
      <c r="O910" s="2"/>
      <c r="P910" s="2"/>
      <c r="Q910" s="1" t="str">
        <f>IF($D910="","",$C910&amp;"|"&amp;COUNTIFS($C$7:$C910,$C910))</f>
        <v/>
      </c>
      <c r="R910" s="1" t="str">
        <f t="shared" si="28"/>
        <v/>
      </c>
      <c r="S910" s="1" t="str">
        <f t="shared" si="29"/>
        <v/>
      </c>
      <c r="T910" s="1">
        <f>IF($E910="",0,SUMPRODUCT((AY_SONU!$O$7:$O$42="Evet")*(AY_SONU!$B$7:$B$42=DATE(YEAR($E910),MONTH($E910),1))))</f>
        <v>0</v>
      </c>
      <c r="U910" s="1" t="str">
        <f>IF(OR($G910="",$H910="Mahsup"),"",$G910&amp;"|"&amp;COUNTIFS($G$7:$G910,$G910,$H$7:$H910,"&lt;&gt;Mahsup"))</f>
        <v/>
      </c>
    </row>
    <row r="911" spans="1:21" ht="18" customHeight="1" x14ac:dyDescent="0.3">
      <c r="A911" s="2"/>
      <c r="B911" s="65" t="str">
        <f>IF($D911="","","T"&amp;TEXT(ROW()-6,"00000"))</f>
        <v/>
      </c>
      <c r="C911" s="65" t="str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61"/>
      <c r="E911" s="66"/>
      <c r="F911" s="67"/>
      <c r="G911" s="60"/>
      <c r="H911" s="60"/>
      <c r="I911" s="61"/>
      <c r="J911" s="61"/>
      <c r="K911" s="61"/>
      <c r="L911" s="73" t="str">
        <f>IF($E911="","",DATE(YEAR($E911),MONTH($E911),1))</f>
        <v/>
      </c>
      <c r="M911" s="65" t="str">
        <f ca="1">IF($D911="","",IF($C911="TANIMSIZ MÜŞTERİ","HATA",IF(OR($E911="",$F911&lt;=0,$G911=""),"EKSİK",IF($E911&gt;TODAY(),"İLERİ TARİH",IF(COUNTIF($S$7:$S$2503,$S911)&gt;1,"MÜKERRER?",IF($T911&gt;0,"KAPALI DÖNEM","UYGUN"))))))</f>
        <v/>
      </c>
      <c r="N911" s="74" t="str">
        <f>IF($C911="","",IF($C911="TANIMSIZ MÜŞTERİ","—",INDEX(MUSTERILER!$C$7:$C$156,MATCH($C911,MUSTERILER!$B$7:$B$156,0))))</f>
        <v/>
      </c>
      <c r="O911" s="2"/>
      <c r="P911" s="2"/>
      <c r="Q911" s="1" t="str">
        <f>IF($D911="","",$C911&amp;"|"&amp;COUNTIFS($C$7:$C911,$C911))</f>
        <v/>
      </c>
      <c r="R911" s="1" t="str">
        <f t="shared" si="28"/>
        <v/>
      </c>
      <c r="S911" s="1" t="str">
        <f t="shared" si="29"/>
        <v/>
      </c>
      <c r="T911" s="1">
        <f>IF($E911="",0,SUMPRODUCT((AY_SONU!$O$7:$O$42="Evet")*(AY_SONU!$B$7:$B$42=DATE(YEAR($E911),MONTH($E911),1))))</f>
        <v>0</v>
      </c>
      <c r="U911" s="1" t="str">
        <f>IF(OR($G911="",$H911="Mahsup"),"",$G911&amp;"|"&amp;COUNTIFS($G$7:$G911,$G911,$H$7:$H911,"&lt;&gt;Mahsup"))</f>
        <v/>
      </c>
    </row>
    <row r="912" spans="1:21" ht="18" customHeight="1" x14ac:dyDescent="0.3">
      <c r="A912" s="2"/>
      <c r="B912" s="65" t="str">
        <f>IF($D912="","","T"&amp;TEXT(ROW()-6,"00000"))</f>
        <v/>
      </c>
      <c r="C912" s="65" t="str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61"/>
      <c r="E912" s="66"/>
      <c r="F912" s="67"/>
      <c r="G912" s="60"/>
      <c r="H912" s="60"/>
      <c r="I912" s="61"/>
      <c r="J912" s="61"/>
      <c r="K912" s="61"/>
      <c r="L912" s="73" t="str">
        <f>IF($E912="","",DATE(YEAR($E912),MONTH($E912),1))</f>
        <v/>
      </c>
      <c r="M912" s="65" t="str">
        <f ca="1">IF($D912="","",IF($C912="TANIMSIZ MÜŞTERİ","HATA",IF(OR($E912="",$F912&lt;=0,$G912=""),"EKSİK",IF($E912&gt;TODAY(),"İLERİ TARİH",IF(COUNTIF($S$7:$S$2503,$S912)&gt;1,"MÜKERRER?",IF($T912&gt;0,"KAPALI DÖNEM","UYGUN"))))))</f>
        <v/>
      </c>
      <c r="N912" s="74" t="str">
        <f>IF($C912="","",IF($C912="TANIMSIZ MÜŞTERİ","—",INDEX(MUSTERILER!$C$7:$C$156,MATCH($C912,MUSTERILER!$B$7:$B$156,0))))</f>
        <v/>
      </c>
      <c r="O912" s="2"/>
      <c r="P912" s="2"/>
      <c r="Q912" s="1" t="str">
        <f>IF($D912="","",$C912&amp;"|"&amp;COUNTIFS($C$7:$C912,$C912))</f>
        <v/>
      </c>
      <c r="R912" s="1" t="str">
        <f t="shared" si="28"/>
        <v/>
      </c>
      <c r="S912" s="1" t="str">
        <f t="shared" si="29"/>
        <v/>
      </c>
      <c r="T912" s="1">
        <f>IF($E912="",0,SUMPRODUCT((AY_SONU!$O$7:$O$42="Evet")*(AY_SONU!$B$7:$B$42=DATE(YEAR($E912),MONTH($E912),1))))</f>
        <v>0</v>
      </c>
      <c r="U912" s="1" t="str">
        <f>IF(OR($G912="",$H912="Mahsup"),"",$G912&amp;"|"&amp;COUNTIFS($G$7:$G912,$G912,$H$7:$H912,"&lt;&gt;Mahsup"))</f>
        <v/>
      </c>
    </row>
    <row r="913" spans="1:21" ht="18" customHeight="1" x14ac:dyDescent="0.3">
      <c r="A913" s="2"/>
      <c r="B913" s="65" t="str">
        <f>IF($D913="","","T"&amp;TEXT(ROW()-6,"00000"))</f>
        <v/>
      </c>
      <c r="C913" s="65" t="str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61"/>
      <c r="E913" s="66"/>
      <c r="F913" s="67"/>
      <c r="G913" s="60"/>
      <c r="H913" s="60"/>
      <c r="I913" s="61"/>
      <c r="J913" s="61"/>
      <c r="K913" s="61"/>
      <c r="L913" s="73" t="str">
        <f>IF($E913="","",DATE(YEAR($E913),MONTH($E913),1))</f>
        <v/>
      </c>
      <c r="M913" s="65" t="str">
        <f ca="1">IF($D913="","",IF($C913="TANIMSIZ MÜŞTERİ","HATA",IF(OR($E913="",$F913&lt;=0,$G913=""),"EKSİK",IF($E913&gt;TODAY(),"İLERİ TARİH",IF(COUNTIF($S$7:$S$2503,$S913)&gt;1,"MÜKERRER?",IF($T913&gt;0,"KAPALI DÖNEM","UYGUN"))))))</f>
        <v/>
      </c>
      <c r="N913" s="74" t="str">
        <f>IF($C913="","",IF($C913="TANIMSIZ MÜŞTERİ","—",INDEX(MUSTERILER!$C$7:$C$156,MATCH($C913,MUSTERILER!$B$7:$B$156,0))))</f>
        <v/>
      </c>
      <c r="O913" s="2"/>
      <c r="P913" s="2"/>
      <c r="Q913" s="1" t="str">
        <f>IF($D913="","",$C913&amp;"|"&amp;COUNTIFS($C$7:$C913,$C913))</f>
        <v/>
      </c>
      <c r="R913" s="1" t="str">
        <f t="shared" si="28"/>
        <v/>
      </c>
      <c r="S913" s="1" t="str">
        <f t="shared" si="29"/>
        <v/>
      </c>
      <c r="T913" s="1">
        <f>IF($E913="",0,SUMPRODUCT((AY_SONU!$O$7:$O$42="Evet")*(AY_SONU!$B$7:$B$42=DATE(YEAR($E913),MONTH($E913),1))))</f>
        <v>0</v>
      </c>
      <c r="U913" s="1" t="str">
        <f>IF(OR($G913="",$H913="Mahsup"),"",$G913&amp;"|"&amp;COUNTIFS($G$7:$G913,$G913,$H$7:$H913,"&lt;&gt;Mahsup"))</f>
        <v/>
      </c>
    </row>
    <row r="914" spans="1:21" ht="18" customHeight="1" x14ac:dyDescent="0.3">
      <c r="A914" s="2"/>
      <c r="B914" s="65" t="str">
        <f>IF($D914="","","T"&amp;TEXT(ROW()-6,"00000"))</f>
        <v/>
      </c>
      <c r="C914" s="65" t="str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61"/>
      <c r="E914" s="66"/>
      <c r="F914" s="67"/>
      <c r="G914" s="60"/>
      <c r="H914" s="60"/>
      <c r="I914" s="61"/>
      <c r="J914" s="61"/>
      <c r="K914" s="61"/>
      <c r="L914" s="73" t="str">
        <f>IF($E914="","",DATE(YEAR($E914),MONTH($E914),1))</f>
        <v/>
      </c>
      <c r="M914" s="65" t="str">
        <f ca="1">IF($D914="","",IF($C914="TANIMSIZ MÜŞTERİ","HATA",IF(OR($E914="",$F914&lt;=0,$G914=""),"EKSİK",IF($E914&gt;TODAY(),"İLERİ TARİH",IF(COUNTIF($S$7:$S$2503,$S914)&gt;1,"MÜKERRER?",IF($T914&gt;0,"KAPALI DÖNEM","UYGUN"))))))</f>
        <v/>
      </c>
      <c r="N914" s="74" t="str">
        <f>IF($C914="","",IF($C914="TANIMSIZ MÜŞTERİ","—",INDEX(MUSTERILER!$C$7:$C$156,MATCH($C914,MUSTERILER!$B$7:$B$156,0))))</f>
        <v/>
      </c>
      <c r="O914" s="2"/>
      <c r="P914" s="2"/>
      <c r="Q914" s="1" t="str">
        <f>IF($D914="","",$C914&amp;"|"&amp;COUNTIFS($C$7:$C914,$C914))</f>
        <v/>
      </c>
      <c r="R914" s="1" t="str">
        <f t="shared" si="28"/>
        <v/>
      </c>
      <c r="S914" s="1" t="str">
        <f t="shared" si="29"/>
        <v/>
      </c>
      <c r="T914" s="1">
        <f>IF($E914="",0,SUMPRODUCT((AY_SONU!$O$7:$O$42="Evet")*(AY_SONU!$B$7:$B$42=DATE(YEAR($E914),MONTH($E914),1))))</f>
        <v>0</v>
      </c>
      <c r="U914" s="1" t="str">
        <f>IF(OR($G914="",$H914="Mahsup"),"",$G914&amp;"|"&amp;COUNTIFS($G$7:$G914,$G914,$H$7:$H914,"&lt;&gt;Mahsup"))</f>
        <v/>
      </c>
    </row>
    <row r="915" spans="1:21" ht="18" customHeight="1" x14ac:dyDescent="0.3">
      <c r="A915" s="2"/>
      <c r="B915" s="65" t="str">
        <f>IF($D915="","","T"&amp;TEXT(ROW()-6,"00000"))</f>
        <v/>
      </c>
      <c r="C915" s="65" t="str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61"/>
      <c r="E915" s="66"/>
      <c r="F915" s="67"/>
      <c r="G915" s="60"/>
      <c r="H915" s="60"/>
      <c r="I915" s="61"/>
      <c r="J915" s="61"/>
      <c r="K915" s="61"/>
      <c r="L915" s="73" t="str">
        <f>IF($E915="","",DATE(YEAR($E915),MONTH($E915),1))</f>
        <v/>
      </c>
      <c r="M915" s="65" t="str">
        <f ca="1">IF($D915="","",IF($C915="TANIMSIZ MÜŞTERİ","HATA",IF(OR($E915="",$F915&lt;=0,$G915=""),"EKSİK",IF($E915&gt;TODAY(),"İLERİ TARİH",IF(COUNTIF($S$7:$S$2503,$S915)&gt;1,"MÜKERRER?",IF($T915&gt;0,"KAPALI DÖNEM","UYGUN"))))))</f>
        <v/>
      </c>
      <c r="N915" s="74" t="str">
        <f>IF($C915="","",IF($C915="TANIMSIZ MÜŞTERİ","—",INDEX(MUSTERILER!$C$7:$C$156,MATCH($C915,MUSTERILER!$B$7:$B$156,0))))</f>
        <v/>
      </c>
      <c r="O915" s="2"/>
      <c r="P915" s="2"/>
      <c r="Q915" s="1" t="str">
        <f>IF($D915="","",$C915&amp;"|"&amp;COUNTIFS($C$7:$C915,$C915))</f>
        <v/>
      </c>
      <c r="R915" s="1" t="str">
        <f t="shared" si="28"/>
        <v/>
      </c>
      <c r="S915" s="1" t="str">
        <f t="shared" si="29"/>
        <v/>
      </c>
      <c r="T915" s="1">
        <f>IF($E915="",0,SUMPRODUCT((AY_SONU!$O$7:$O$42="Evet")*(AY_SONU!$B$7:$B$42=DATE(YEAR($E915),MONTH($E915),1))))</f>
        <v>0</v>
      </c>
      <c r="U915" s="1" t="str">
        <f>IF(OR($G915="",$H915="Mahsup"),"",$G915&amp;"|"&amp;COUNTIFS($G$7:$G915,$G915,$H$7:$H915,"&lt;&gt;Mahsup"))</f>
        <v/>
      </c>
    </row>
    <row r="916" spans="1:21" ht="18" customHeight="1" x14ac:dyDescent="0.3">
      <c r="A916" s="2"/>
      <c r="B916" s="65" t="str">
        <f>IF($D916="","","T"&amp;TEXT(ROW()-6,"00000"))</f>
        <v/>
      </c>
      <c r="C916" s="65" t="str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61"/>
      <c r="E916" s="66"/>
      <c r="F916" s="67"/>
      <c r="G916" s="60"/>
      <c r="H916" s="60"/>
      <c r="I916" s="61"/>
      <c r="J916" s="61"/>
      <c r="K916" s="61"/>
      <c r="L916" s="73" t="str">
        <f>IF($E916="","",DATE(YEAR($E916),MONTH($E916),1))</f>
        <v/>
      </c>
      <c r="M916" s="65" t="str">
        <f ca="1">IF($D916="","",IF($C916="TANIMSIZ MÜŞTERİ","HATA",IF(OR($E916="",$F916&lt;=0,$G916=""),"EKSİK",IF($E916&gt;TODAY(),"İLERİ TARİH",IF(COUNTIF($S$7:$S$2503,$S916)&gt;1,"MÜKERRER?",IF($T916&gt;0,"KAPALI DÖNEM","UYGUN"))))))</f>
        <v/>
      </c>
      <c r="N916" s="74" t="str">
        <f>IF($C916="","",IF($C916="TANIMSIZ MÜŞTERİ","—",INDEX(MUSTERILER!$C$7:$C$156,MATCH($C916,MUSTERILER!$B$7:$B$156,0))))</f>
        <v/>
      </c>
      <c r="O916" s="2"/>
      <c r="P916" s="2"/>
      <c r="Q916" s="1" t="str">
        <f>IF($D916="","",$C916&amp;"|"&amp;COUNTIFS($C$7:$C916,$C916))</f>
        <v/>
      </c>
      <c r="R916" s="1" t="str">
        <f t="shared" si="28"/>
        <v/>
      </c>
      <c r="S916" s="1" t="str">
        <f t="shared" si="29"/>
        <v/>
      </c>
      <c r="T916" s="1">
        <f>IF($E916="",0,SUMPRODUCT((AY_SONU!$O$7:$O$42="Evet")*(AY_SONU!$B$7:$B$42=DATE(YEAR($E916),MONTH($E916),1))))</f>
        <v>0</v>
      </c>
      <c r="U916" s="1" t="str">
        <f>IF(OR($G916="",$H916="Mahsup"),"",$G916&amp;"|"&amp;COUNTIFS($G$7:$G916,$G916,$H$7:$H916,"&lt;&gt;Mahsup"))</f>
        <v/>
      </c>
    </row>
    <row r="917" spans="1:21" ht="18" customHeight="1" x14ac:dyDescent="0.3">
      <c r="A917" s="2"/>
      <c r="B917" s="65" t="str">
        <f>IF($D917="","","T"&amp;TEXT(ROW()-6,"00000"))</f>
        <v/>
      </c>
      <c r="C917" s="65" t="str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61"/>
      <c r="E917" s="66"/>
      <c r="F917" s="67"/>
      <c r="G917" s="60"/>
      <c r="H917" s="60"/>
      <c r="I917" s="61"/>
      <c r="J917" s="61"/>
      <c r="K917" s="61"/>
      <c r="L917" s="73" t="str">
        <f>IF($E917="","",DATE(YEAR($E917),MONTH($E917),1))</f>
        <v/>
      </c>
      <c r="M917" s="65" t="str">
        <f ca="1">IF($D917="","",IF($C917="TANIMSIZ MÜŞTERİ","HATA",IF(OR($E917="",$F917&lt;=0,$G917=""),"EKSİK",IF($E917&gt;TODAY(),"İLERİ TARİH",IF(COUNTIF($S$7:$S$2503,$S917)&gt;1,"MÜKERRER?",IF($T917&gt;0,"KAPALI DÖNEM","UYGUN"))))))</f>
        <v/>
      </c>
      <c r="N917" s="74" t="str">
        <f>IF($C917="","",IF($C917="TANIMSIZ MÜŞTERİ","—",INDEX(MUSTERILER!$C$7:$C$156,MATCH($C917,MUSTERILER!$B$7:$B$156,0))))</f>
        <v/>
      </c>
      <c r="O917" s="2"/>
      <c r="P917" s="2"/>
      <c r="Q917" s="1" t="str">
        <f>IF($D917="","",$C917&amp;"|"&amp;COUNTIFS($C$7:$C917,$C917))</f>
        <v/>
      </c>
      <c r="R917" s="1" t="str">
        <f t="shared" si="28"/>
        <v/>
      </c>
      <c r="S917" s="1" t="str">
        <f t="shared" si="29"/>
        <v/>
      </c>
      <c r="T917" s="1">
        <f>IF($E917="",0,SUMPRODUCT((AY_SONU!$O$7:$O$42="Evet")*(AY_SONU!$B$7:$B$42=DATE(YEAR($E917),MONTH($E917),1))))</f>
        <v>0</v>
      </c>
      <c r="U917" s="1" t="str">
        <f>IF(OR($G917="",$H917="Mahsup"),"",$G917&amp;"|"&amp;COUNTIFS($G$7:$G917,$G917,$H$7:$H917,"&lt;&gt;Mahsup"))</f>
        <v/>
      </c>
    </row>
    <row r="918" spans="1:21" ht="18" customHeight="1" x14ac:dyDescent="0.3">
      <c r="A918" s="2"/>
      <c r="B918" s="65" t="str">
        <f>IF($D918="","","T"&amp;TEXT(ROW()-6,"00000"))</f>
        <v/>
      </c>
      <c r="C918" s="65" t="str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61"/>
      <c r="E918" s="66"/>
      <c r="F918" s="67"/>
      <c r="G918" s="60"/>
      <c r="H918" s="60"/>
      <c r="I918" s="61"/>
      <c r="J918" s="61"/>
      <c r="K918" s="61"/>
      <c r="L918" s="73" t="str">
        <f>IF($E918="","",DATE(YEAR($E918),MONTH($E918),1))</f>
        <v/>
      </c>
      <c r="M918" s="65" t="str">
        <f ca="1">IF($D918="","",IF($C918="TANIMSIZ MÜŞTERİ","HATA",IF(OR($E918="",$F918&lt;=0,$G918=""),"EKSİK",IF($E918&gt;TODAY(),"İLERİ TARİH",IF(COUNTIF($S$7:$S$2503,$S918)&gt;1,"MÜKERRER?",IF($T918&gt;0,"KAPALI DÖNEM","UYGUN"))))))</f>
        <v/>
      </c>
      <c r="N918" s="74" t="str">
        <f>IF($C918="","",IF($C918="TANIMSIZ MÜŞTERİ","—",INDEX(MUSTERILER!$C$7:$C$156,MATCH($C918,MUSTERILER!$B$7:$B$156,0))))</f>
        <v/>
      </c>
      <c r="O918" s="2"/>
      <c r="P918" s="2"/>
      <c r="Q918" s="1" t="str">
        <f>IF($D918="","",$C918&amp;"|"&amp;COUNTIFS($C$7:$C918,$C918))</f>
        <v/>
      </c>
      <c r="R918" s="1" t="str">
        <f t="shared" si="28"/>
        <v/>
      </c>
      <c r="S918" s="1" t="str">
        <f t="shared" si="29"/>
        <v/>
      </c>
      <c r="T918" s="1">
        <f>IF($E918="",0,SUMPRODUCT((AY_SONU!$O$7:$O$42="Evet")*(AY_SONU!$B$7:$B$42=DATE(YEAR($E918),MONTH($E918),1))))</f>
        <v>0</v>
      </c>
      <c r="U918" s="1" t="str">
        <f>IF(OR($G918="",$H918="Mahsup"),"",$G918&amp;"|"&amp;COUNTIFS($G$7:$G918,$G918,$H$7:$H918,"&lt;&gt;Mahsup"))</f>
        <v/>
      </c>
    </row>
    <row r="919" spans="1:21" ht="18" customHeight="1" x14ac:dyDescent="0.3">
      <c r="A919" s="2"/>
      <c r="B919" s="65" t="str">
        <f>IF($D919="","","T"&amp;TEXT(ROW()-6,"00000"))</f>
        <v/>
      </c>
      <c r="C919" s="65" t="str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61"/>
      <c r="E919" s="66"/>
      <c r="F919" s="67"/>
      <c r="G919" s="60"/>
      <c r="H919" s="60"/>
      <c r="I919" s="61"/>
      <c r="J919" s="61"/>
      <c r="K919" s="61"/>
      <c r="L919" s="73" t="str">
        <f>IF($E919="","",DATE(YEAR($E919),MONTH($E919),1))</f>
        <v/>
      </c>
      <c r="M919" s="65" t="str">
        <f ca="1">IF($D919="","",IF($C919="TANIMSIZ MÜŞTERİ","HATA",IF(OR($E919="",$F919&lt;=0,$G919=""),"EKSİK",IF($E919&gt;TODAY(),"İLERİ TARİH",IF(COUNTIF($S$7:$S$2503,$S919)&gt;1,"MÜKERRER?",IF($T919&gt;0,"KAPALI DÖNEM","UYGUN"))))))</f>
        <v/>
      </c>
      <c r="N919" s="74" t="str">
        <f>IF($C919="","",IF($C919="TANIMSIZ MÜŞTERİ","—",INDEX(MUSTERILER!$C$7:$C$156,MATCH($C919,MUSTERILER!$B$7:$B$156,0))))</f>
        <v/>
      </c>
      <c r="O919" s="2"/>
      <c r="P919" s="2"/>
      <c r="Q919" s="1" t="str">
        <f>IF($D919="","",$C919&amp;"|"&amp;COUNTIFS($C$7:$C919,$C919))</f>
        <v/>
      </c>
      <c r="R919" s="1" t="str">
        <f t="shared" si="28"/>
        <v/>
      </c>
      <c r="S919" s="1" t="str">
        <f t="shared" si="29"/>
        <v/>
      </c>
      <c r="T919" s="1">
        <f>IF($E919="",0,SUMPRODUCT((AY_SONU!$O$7:$O$42="Evet")*(AY_SONU!$B$7:$B$42=DATE(YEAR($E919),MONTH($E919),1))))</f>
        <v>0</v>
      </c>
      <c r="U919" s="1" t="str">
        <f>IF(OR($G919="",$H919="Mahsup"),"",$G919&amp;"|"&amp;COUNTIFS($G$7:$G919,$G919,$H$7:$H919,"&lt;&gt;Mahsup"))</f>
        <v/>
      </c>
    </row>
    <row r="920" spans="1:21" ht="18" customHeight="1" x14ac:dyDescent="0.3">
      <c r="A920" s="2"/>
      <c r="B920" s="65" t="str">
        <f>IF($D920="","","T"&amp;TEXT(ROW()-6,"00000"))</f>
        <v/>
      </c>
      <c r="C920" s="65" t="str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61"/>
      <c r="E920" s="66"/>
      <c r="F920" s="67"/>
      <c r="G920" s="60"/>
      <c r="H920" s="60"/>
      <c r="I920" s="61"/>
      <c r="J920" s="61"/>
      <c r="K920" s="61"/>
      <c r="L920" s="73" t="str">
        <f>IF($E920="","",DATE(YEAR($E920),MONTH($E920),1))</f>
        <v/>
      </c>
      <c r="M920" s="65" t="str">
        <f ca="1">IF($D920="","",IF($C920="TANIMSIZ MÜŞTERİ","HATA",IF(OR($E920="",$F920&lt;=0,$G920=""),"EKSİK",IF($E920&gt;TODAY(),"İLERİ TARİH",IF(COUNTIF($S$7:$S$2503,$S920)&gt;1,"MÜKERRER?",IF($T920&gt;0,"KAPALI DÖNEM","UYGUN"))))))</f>
        <v/>
      </c>
      <c r="N920" s="74" t="str">
        <f>IF($C920="","",IF($C920="TANIMSIZ MÜŞTERİ","—",INDEX(MUSTERILER!$C$7:$C$156,MATCH($C920,MUSTERILER!$B$7:$B$156,0))))</f>
        <v/>
      </c>
      <c r="O920" s="2"/>
      <c r="P920" s="2"/>
      <c r="Q920" s="1" t="str">
        <f>IF($D920="","",$C920&amp;"|"&amp;COUNTIFS($C$7:$C920,$C920))</f>
        <v/>
      </c>
      <c r="R920" s="1" t="str">
        <f t="shared" si="28"/>
        <v/>
      </c>
      <c r="S920" s="1" t="str">
        <f t="shared" si="29"/>
        <v/>
      </c>
      <c r="T920" s="1">
        <f>IF($E920="",0,SUMPRODUCT((AY_SONU!$O$7:$O$42="Evet")*(AY_SONU!$B$7:$B$42=DATE(YEAR($E920),MONTH($E920),1))))</f>
        <v>0</v>
      </c>
      <c r="U920" s="1" t="str">
        <f>IF(OR($G920="",$H920="Mahsup"),"",$G920&amp;"|"&amp;COUNTIFS($G$7:$G920,$G920,$H$7:$H920,"&lt;&gt;Mahsup"))</f>
        <v/>
      </c>
    </row>
    <row r="921" spans="1:21" ht="18" customHeight="1" x14ac:dyDescent="0.3">
      <c r="A921" s="2"/>
      <c r="B921" s="65" t="str">
        <f>IF($D921="","","T"&amp;TEXT(ROW()-6,"00000"))</f>
        <v/>
      </c>
      <c r="C921" s="65" t="str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61"/>
      <c r="E921" s="66"/>
      <c r="F921" s="67"/>
      <c r="G921" s="60"/>
      <c r="H921" s="60"/>
      <c r="I921" s="61"/>
      <c r="J921" s="61"/>
      <c r="K921" s="61"/>
      <c r="L921" s="73" t="str">
        <f>IF($E921="","",DATE(YEAR($E921),MONTH($E921),1))</f>
        <v/>
      </c>
      <c r="M921" s="65" t="str">
        <f ca="1">IF($D921="","",IF($C921="TANIMSIZ MÜŞTERİ","HATA",IF(OR($E921="",$F921&lt;=0,$G921=""),"EKSİK",IF($E921&gt;TODAY(),"İLERİ TARİH",IF(COUNTIF($S$7:$S$2503,$S921)&gt;1,"MÜKERRER?",IF($T921&gt;0,"KAPALI DÖNEM","UYGUN"))))))</f>
        <v/>
      </c>
      <c r="N921" s="74" t="str">
        <f>IF($C921="","",IF($C921="TANIMSIZ MÜŞTERİ","—",INDEX(MUSTERILER!$C$7:$C$156,MATCH($C921,MUSTERILER!$B$7:$B$156,0))))</f>
        <v/>
      </c>
      <c r="O921" s="2"/>
      <c r="P921" s="2"/>
      <c r="Q921" s="1" t="str">
        <f>IF($D921="","",$C921&amp;"|"&amp;COUNTIFS($C$7:$C921,$C921))</f>
        <v/>
      </c>
      <c r="R921" s="1" t="str">
        <f t="shared" si="28"/>
        <v/>
      </c>
      <c r="S921" s="1" t="str">
        <f t="shared" si="29"/>
        <v/>
      </c>
      <c r="T921" s="1">
        <f>IF($E921="",0,SUMPRODUCT((AY_SONU!$O$7:$O$42="Evet")*(AY_SONU!$B$7:$B$42=DATE(YEAR($E921),MONTH($E921),1))))</f>
        <v>0</v>
      </c>
      <c r="U921" s="1" t="str">
        <f>IF(OR($G921="",$H921="Mahsup"),"",$G921&amp;"|"&amp;COUNTIFS($G$7:$G921,$G921,$H$7:$H921,"&lt;&gt;Mahsup"))</f>
        <v/>
      </c>
    </row>
    <row r="922" spans="1:21" ht="18" customHeight="1" x14ac:dyDescent="0.3">
      <c r="A922" s="2"/>
      <c r="B922" s="65" t="str">
        <f>IF($D922="","","T"&amp;TEXT(ROW()-6,"00000"))</f>
        <v/>
      </c>
      <c r="C922" s="65" t="str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61"/>
      <c r="E922" s="66"/>
      <c r="F922" s="67"/>
      <c r="G922" s="60"/>
      <c r="H922" s="60"/>
      <c r="I922" s="61"/>
      <c r="J922" s="61"/>
      <c r="K922" s="61"/>
      <c r="L922" s="73" t="str">
        <f>IF($E922="","",DATE(YEAR($E922),MONTH($E922),1))</f>
        <v/>
      </c>
      <c r="M922" s="65" t="str">
        <f ca="1">IF($D922="","",IF($C922="TANIMSIZ MÜŞTERİ","HATA",IF(OR($E922="",$F922&lt;=0,$G922=""),"EKSİK",IF($E922&gt;TODAY(),"İLERİ TARİH",IF(COUNTIF($S$7:$S$2503,$S922)&gt;1,"MÜKERRER?",IF($T922&gt;0,"KAPALI DÖNEM","UYGUN"))))))</f>
        <v/>
      </c>
      <c r="N922" s="74" t="str">
        <f>IF($C922="","",IF($C922="TANIMSIZ MÜŞTERİ","—",INDEX(MUSTERILER!$C$7:$C$156,MATCH($C922,MUSTERILER!$B$7:$B$156,0))))</f>
        <v/>
      </c>
      <c r="O922" s="2"/>
      <c r="P922" s="2"/>
      <c r="Q922" s="1" t="str">
        <f>IF($D922="","",$C922&amp;"|"&amp;COUNTIFS($C$7:$C922,$C922))</f>
        <v/>
      </c>
      <c r="R922" s="1" t="str">
        <f t="shared" si="28"/>
        <v/>
      </c>
      <c r="S922" s="1" t="str">
        <f t="shared" si="29"/>
        <v/>
      </c>
      <c r="T922" s="1">
        <f>IF($E922="",0,SUMPRODUCT((AY_SONU!$O$7:$O$42="Evet")*(AY_SONU!$B$7:$B$42=DATE(YEAR($E922),MONTH($E922),1))))</f>
        <v>0</v>
      </c>
      <c r="U922" s="1" t="str">
        <f>IF(OR($G922="",$H922="Mahsup"),"",$G922&amp;"|"&amp;COUNTIFS($G$7:$G922,$G922,$H$7:$H922,"&lt;&gt;Mahsup"))</f>
        <v/>
      </c>
    </row>
    <row r="923" spans="1:21" ht="18" customHeight="1" x14ac:dyDescent="0.3">
      <c r="A923" s="2"/>
      <c r="B923" s="65" t="str">
        <f>IF($D923="","","T"&amp;TEXT(ROW()-6,"00000"))</f>
        <v/>
      </c>
      <c r="C923" s="65" t="str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61"/>
      <c r="E923" s="66"/>
      <c r="F923" s="67"/>
      <c r="G923" s="60"/>
      <c r="H923" s="60"/>
      <c r="I923" s="61"/>
      <c r="J923" s="61"/>
      <c r="K923" s="61"/>
      <c r="L923" s="73" t="str">
        <f>IF($E923="","",DATE(YEAR($E923),MONTH($E923),1))</f>
        <v/>
      </c>
      <c r="M923" s="65" t="str">
        <f ca="1">IF($D923="","",IF($C923="TANIMSIZ MÜŞTERİ","HATA",IF(OR($E923="",$F923&lt;=0,$G923=""),"EKSİK",IF($E923&gt;TODAY(),"İLERİ TARİH",IF(COUNTIF($S$7:$S$2503,$S923)&gt;1,"MÜKERRER?",IF($T923&gt;0,"KAPALI DÖNEM","UYGUN"))))))</f>
        <v/>
      </c>
      <c r="N923" s="74" t="str">
        <f>IF($C923="","",IF($C923="TANIMSIZ MÜŞTERİ","—",INDEX(MUSTERILER!$C$7:$C$156,MATCH($C923,MUSTERILER!$B$7:$B$156,0))))</f>
        <v/>
      </c>
      <c r="O923" s="2"/>
      <c r="P923" s="2"/>
      <c r="Q923" s="1" t="str">
        <f>IF($D923="","",$C923&amp;"|"&amp;COUNTIFS($C$7:$C923,$C923))</f>
        <v/>
      </c>
      <c r="R923" s="1" t="str">
        <f t="shared" si="28"/>
        <v/>
      </c>
      <c r="S923" s="1" t="str">
        <f t="shared" si="29"/>
        <v/>
      </c>
      <c r="T923" s="1">
        <f>IF($E923="",0,SUMPRODUCT((AY_SONU!$O$7:$O$42="Evet")*(AY_SONU!$B$7:$B$42=DATE(YEAR($E923),MONTH($E923),1))))</f>
        <v>0</v>
      </c>
      <c r="U923" s="1" t="str">
        <f>IF(OR($G923="",$H923="Mahsup"),"",$G923&amp;"|"&amp;COUNTIFS($G$7:$G923,$G923,$H$7:$H923,"&lt;&gt;Mahsup"))</f>
        <v/>
      </c>
    </row>
    <row r="924" spans="1:21" ht="18" customHeight="1" x14ac:dyDescent="0.3">
      <c r="A924" s="2"/>
      <c r="B924" s="65" t="str">
        <f>IF($D924="","","T"&amp;TEXT(ROW()-6,"00000"))</f>
        <v/>
      </c>
      <c r="C924" s="65" t="str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61"/>
      <c r="E924" s="66"/>
      <c r="F924" s="67"/>
      <c r="G924" s="60"/>
      <c r="H924" s="60"/>
      <c r="I924" s="61"/>
      <c r="J924" s="61"/>
      <c r="K924" s="61"/>
      <c r="L924" s="73" t="str">
        <f>IF($E924="","",DATE(YEAR($E924),MONTH($E924),1))</f>
        <v/>
      </c>
      <c r="M924" s="65" t="str">
        <f ca="1">IF($D924="","",IF($C924="TANIMSIZ MÜŞTERİ","HATA",IF(OR($E924="",$F924&lt;=0,$G924=""),"EKSİK",IF($E924&gt;TODAY(),"İLERİ TARİH",IF(COUNTIF($S$7:$S$2503,$S924)&gt;1,"MÜKERRER?",IF($T924&gt;0,"KAPALI DÖNEM","UYGUN"))))))</f>
        <v/>
      </c>
      <c r="N924" s="74" t="str">
        <f>IF($C924="","",IF($C924="TANIMSIZ MÜŞTERİ","—",INDEX(MUSTERILER!$C$7:$C$156,MATCH($C924,MUSTERILER!$B$7:$B$156,0))))</f>
        <v/>
      </c>
      <c r="O924" s="2"/>
      <c r="P924" s="2"/>
      <c r="Q924" s="1" t="str">
        <f>IF($D924="","",$C924&amp;"|"&amp;COUNTIFS($C$7:$C924,$C924))</f>
        <v/>
      </c>
      <c r="R924" s="1" t="str">
        <f t="shared" si="28"/>
        <v/>
      </c>
      <c r="S924" s="1" t="str">
        <f t="shared" si="29"/>
        <v/>
      </c>
      <c r="T924" s="1">
        <f>IF($E924="",0,SUMPRODUCT((AY_SONU!$O$7:$O$42="Evet")*(AY_SONU!$B$7:$B$42=DATE(YEAR($E924),MONTH($E924),1))))</f>
        <v>0</v>
      </c>
      <c r="U924" s="1" t="str">
        <f>IF(OR($G924="",$H924="Mahsup"),"",$G924&amp;"|"&amp;COUNTIFS($G$7:$G924,$G924,$H$7:$H924,"&lt;&gt;Mahsup"))</f>
        <v/>
      </c>
    </row>
    <row r="925" spans="1:21" ht="18" customHeight="1" x14ac:dyDescent="0.3">
      <c r="A925" s="2"/>
      <c r="B925" s="65" t="str">
        <f>IF($D925="","","T"&amp;TEXT(ROW()-6,"00000"))</f>
        <v/>
      </c>
      <c r="C925" s="65" t="str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61"/>
      <c r="E925" s="66"/>
      <c r="F925" s="67"/>
      <c r="G925" s="60"/>
      <c r="H925" s="60"/>
      <c r="I925" s="61"/>
      <c r="J925" s="61"/>
      <c r="K925" s="61"/>
      <c r="L925" s="73" t="str">
        <f>IF($E925="","",DATE(YEAR($E925),MONTH($E925),1))</f>
        <v/>
      </c>
      <c r="M925" s="65" t="str">
        <f ca="1">IF($D925="","",IF($C925="TANIMSIZ MÜŞTERİ","HATA",IF(OR($E925="",$F925&lt;=0,$G925=""),"EKSİK",IF($E925&gt;TODAY(),"İLERİ TARİH",IF(COUNTIF($S$7:$S$2503,$S925)&gt;1,"MÜKERRER?",IF($T925&gt;0,"KAPALI DÖNEM","UYGUN"))))))</f>
        <v/>
      </c>
      <c r="N925" s="74" t="str">
        <f>IF($C925="","",IF($C925="TANIMSIZ MÜŞTERİ","—",INDEX(MUSTERILER!$C$7:$C$156,MATCH($C925,MUSTERILER!$B$7:$B$156,0))))</f>
        <v/>
      </c>
      <c r="O925" s="2"/>
      <c r="P925" s="2"/>
      <c r="Q925" s="1" t="str">
        <f>IF($D925="","",$C925&amp;"|"&amp;COUNTIFS($C$7:$C925,$C925))</f>
        <v/>
      </c>
      <c r="R925" s="1" t="str">
        <f t="shared" si="28"/>
        <v/>
      </c>
      <c r="S925" s="1" t="str">
        <f t="shared" si="29"/>
        <v/>
      </c>
      <c r="T925" s="1">
        <f>IF($E925="",0,SUMPRODUCT((AY_SONU!$O$7:$O$42="Evet")*(AY_SONU!$B$7:$B$42=DATE(YEAR($E925),MONTH($E925),1))))</f>
        <v>0</v>
      </c>
      <c r="U925" s="1" t="str">
        <f>IF(OR($G925="",$H925="Mahsup"),"",$G925&amp;"|"&amp;COUNTIFS($G$7:$G925,$G925,$H$7:$H925,"&lt;&gt;Mahsup"))</f>
        <v/>
      </c>
    </row>
    <row r="926" spans="1:21" ht="18" customHeight="1" x14ac:dyDescent="0.3">
      <c r="A926" s="2"/>
      <c r="B926" s="65" t="str">
        <f>IF($D926="","","T"&amp;TEXT(ROW()-6,"00000"))</f>
        <v/>
      </c>
      <c r="C926" s="65" t="str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61"/>
      <c r="E926" s="66"/>
      <c r="F926" s="67"/>
      <c r="G926" s="60"/>
      <c r="H926" s="60"/>
      <c r="I926" s="61"/>
      <c r="J926" s="61"/>
      <c r="K926" s="61"/>
      <c r="L926" s="73" t="str">
        <f>IF($E926="","",DATE(YEAR($E926),MONTH($E926),1))</f>
        <v/>
      </c>
      <c r="M926" s="65" t="str">
        <f ca="1">IF($D926="","",IF($C926="TANIMSIZ MÜŞTERİ","HATA",IF(OR($E926="",$F926&lt;=0,$G926=""),"EKSİK",IF($E926&gt;TODAY(),"İLERİ TARİH",IF(COUNTIF($S$7:$S$2503,$S926)&gt;1,"MÜKERRER?",IF($T926&gt;0,"KAPALI DÖNEM","UYGUN"))))))</f>
        <v/>
      </c>
      <c r="N926" s="74" t="str">
        <f>IF($C926="","",IF($C926="TANIMSIZ MÜŞTERİ","—",INDEX(MUSTERILER!$C$7:$C$156,MATCH($C926,MUSTERILER!$B$7:$B$156,0))))</f>
        <v/>
      </c>
      <c r="O926" s="2"/>
      <c r="P926" s="2"/>
      <c r="Q926" s="1" t="str">
        <f>IF($D926="","",$C926&amp;"|"&amp;COUNTIFS($C$7:$C926,$C926))</f>
        <v/>
      </c>
      <c r="R926" s="1" t="str">
        <f t="shared" si="28"/>
        <v/>
      </c>
      <c r="S926" s="1" t="str">
        <f t="shared" si="29"/>
        <v/>
      </c>
      <c r="T926" s="1">
        <f>IF($E926="",0,SUMPRODUCT((AY_SONU!$O$7:$O$42="Evet")*(AY_SONU!$B$7:$B$42=DATE(YEAR($E926),MONTH($E926),1))))</f>
        <v>0</v>
      </c>
      <c r="U926" s="1" t="str">
        <f>IF(OR($G926="",$H926="Mahsup"),"",$G926&amp;"|"&amp;COUNTIFS($G$7:$G926,$G926,$H$7:$H926,"&lt;&gt;Mahsup"))</f>
        <v/>
      </c>
    </row>
    <row r="927" spans="1:21" ht="18" customHeight="1" x14ac:dyDescent="0.3">
      <c r="A927" s="2"/>
      <c r="B927" s="65" t="str">
        <f>IF($D927="","","T"&amp;TEXT(ROW()-6,"00000"))</f>
        <v/>
      </c>
      <c r="C927" s="65" t="str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61"/>
      <c r="E927" s="66"/>
      <c r="F927" s="67"/>
      <c r="G927" s="60"/>
      <c r="H927" s="60"/>
      <c r="I927" s="61"/>
      <c r="J927" s="61"/>
      <c r="K927" s="61"/>
      <c r="L927" s="73" t="str">
        <f>IF($E927="","",DATE(YEAR($E927),MONTH($E927),1))</f>
        <v/>
      </c>
      <c r="M927" s="65" t="str">
        <f ca="1">IF($D927="","",IF($C927="TANIMSIZ MÜŞTERİ","HATA",IF(OR($E927="",$F927&lt;=0,$G927=""),"EKSİK",IF($E927&gt;TODAY(),"İLERİ TARİH",IF(COUNTIF($S$7:$S$2503,$S927)&gt;1,"MÜKERRER?",IF($T927&gt;0,"KAPALI DÖNEM","UYGUN"))))))</f>
        <v/>
      </c>
      <c r="N927" s="74" t="str">
        <f>IF($C927="","",IF($C927="TANIMSIZ MÜŞTERİ","—",INDEX(MUSTERILER!$C$7:$C$156,MATCH($C927,MUSTERILER!$B$7:$B$156,0))))</f>
        <v/>
      </c>
      <c r="O927" s="2"/>
      <c r="P927" s="2"/>
      <c r="Q927" s="1" t="str">
        <f>IF($D927="","",$C927&amp;"|"&amp;COUNTIFS($C$7:$C927,$C927))</f>
        <v/>
      </c>
      <c r="R927" s="1" t="str">
        <f t="shared" si="28"/>
        <v/>
      </c>
      <c r="S927" s="1" t="str">
        <f t="shared" si="29"/>
        <v/>
      </c>
      <c r="T927" s="1">
        <f>IF($E927="",0,SUMPRODUCT((AY_SONU!$O$7:$O$42="Evet")*(AY_SONU!$B$7:$B$42=DATE(YEAR($E927),MONTH($E927),1))))</f>
        <v>0</v>
      </c>
      <c r="U927" s="1" t="str">
        <f>IF(OR($G927="",$H927="Mahsup"),"",$G927&amp;"|"&amp;COUNTIFS($G$7:$G927,$G927,$H$7:$H927,"&lt;&gt;Mahsup"))</f>
        <v/>
      </c>
    </row>
    <row r="928" spans="1:21" ht="18" customHeight="1" x14ac:dyDescent="0.3">
      <c r="A928" s="2"/>
      <c r="B928" s="65" t="str">
        <f>IF($D928="","","T"&amp;TEXT(ROW()-6,"00000"))</f>
        <v/>
      </c>
      <c r="C928" s="65" t="str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61"/>
      <c r="E928" s="66"/>
      <c r="F928" s="67"/>
      <c r="G928" s="60"/>
      <c r="H928" s="60"/>
      <c r="I928" s="61"/>
      <c r="J928" s="61"/>
      <c r="K928" s="61"/>
      <c r="L928" s="73" t="str">
        <f>IF($E928="","",DATE(YEAR($E928),MONTH($E928),1))</f>
        <v/>
      </c>
      <c r="M928" s="65" t="str">
        <f ca="1">IF($D928="","",IF($C928="TANIMSIZ MÜŞTERİ","HATA",IF(OR($E928="",$F928&lt;=0,$G928=""),"EKSİK",IF($E928&gt;TODAY(),"İLERİ TARİH",IF(COUNTIF($S$7:$S$2503,$S928)&gt;1,"MÜKERRER?",IF($T928&gt;0,"KAPALI DÖNEM","UYGUN"))))))</f>
        <v/>
      </c>
      <c r="N928" s="74" t="str">
        <f>IF($C928="","",IF($C928="TANIMSIZ MÜŞTERİ","—",INDEX(MUSTERILER!$C$7:$C$156,MATCH($C928,MUSTERILER!$B$7:$B$156,0))))</f>
        <v/>
      </c>
      <c r="O928" s="2"/>
      <c r="P928" s="2"/>
      <c r="Q928" s="1" t="str">
        <f>IF($D928="","",$C928&amp;"|"&amp;COUNTIFS($C$7:$C928,$C928))</f>
        <v/>
      </c>
      <c r="R928" s="1" t="str">
        <f t="shared" si="28"/>
        <v/>
      </c>
      <c r="S928" s="1" t="str">
        <f t="shared" si="29"/>
        <v/>
      </c>
      <c r="T928" s="1">
        <f>IF($E928="",0,SUMPRODUCT((AY_SONU!$O$7:$O$42="Evet")*(AY_SONU!$B$7:$B$42=DATE(YEAR($E928),MONTH($E928),1))))</f>
        <v>0</v>
      </c>
      <c r="U928" s="1" t="str">
        <f>IF(OR($G928="",$H928="Mahsup"),"",$G928&amp;"|"&amp;COUNTIFS($G$7:$G928,$G928,$H$7:$H928,"&lt;&gt;Mahsup"))</f>
        <v/>
      </c>
    </row>
    <row r="929" spans="1:21" ht="18" customHeight="1" x14ac:dyDescent="0.3">
      <c r="A929" s="2"/>
      <c r="B929" s="65" t="str">
        <f>IF($D929="","","T"&amp;TEXT(ROW()-6,"00000"))</f>
        <v/>
      </c>
      <c r="C929" s="65" t="str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61"/>
      <c r="E929" s="66"/>
      <c r="F929" s="67"/>
      <c r="G929" s="60"/>
      <c r="H929" s="60"/>
      <c r="I929" s="61"/>
      <c r="J929" s="61"/>
      <c r="K929" s="61"/>
      <c r="L929" s="73" t="str">
        <f>IF($E929="","",DATE(YEAR($E929),MONTH($E929),1))</f>
        <v/>
      </c>
      <c r="M929" s="65" t="str">
        <f ca="1">IF($D929="","",IF($C929="TANIMSIZ MÜŞTERİ","HATA",IF(OR($E929="",$F929&lt;=0,$G929=""),"EKSİK",IF($E929&gt;TODAY(),"İLERİ TARİH",IF(COUNTIF($S$7:$S$2503,$S929)&gt;1,"MÜKERRER?",IF($T929&gt;0,"KAPALI DÖNEM","UYGUN"))))))</f>
        <v/>
      </c>
      <c r="N929" s="74" t="str">
        <f>IF($C929="","",IF($C929="TANIMSIZ MÜŞTERİ","—",INDEX(MUSTERILER!$C$7:$C$156,MATCH($C929,MUSTERILER!$B$7:$B$156,0))))</f>
        <v/>
      </c>
      <c r="O929" s="2"/>
      <c r="P929" s="2"/>
      <c r="Q929" s="1" t="str">
        <f>IF($D929="","",$C929&amp;"|"&amp;COUNTIFS($C$7:$C929,$C929))</f>
        <v/>
      </c>
      <c r="R929" s="1" t="str">
        <f t="shared" si="28"/>
        <v/>
      </c>
      <c r="S929" s="1" t="str">
        <f t="shared" si="29"/>
        <v/>
      </c>
      <c r="T929" s="1">
        <f>IF($E929="",0,SUMPRODUCT((AY_SONU!$O$7:$O$42="Evet")*(AY_SONU!$B$7:$B$42=DATE(YEAR($E929),MONTH($E929),1))))</f>
        <v>0</v>
      </c>
      <c r="U929" s="1" t="str">
        <f>IF(OR($G929="",$H929="Mahsup"),"",$G929&amp;"|"&amp;COUNTIFS($G$7:$G929,$G929,$H$7:$H929,"&lt;&gt;Mahsup"))</f>
        <v/>
      </c>
    </row>
    <row r="930" spans="1:21" ht="18" customHeight="1" x14ac:dyDescent="0.3">
      <c r="A930" s="2"/>
      <c r="B930" s="65" t="str">
        <f>IF($D930="","","T"&amp;TEXT(ROW()-6,"00000"))</f>
        <v/>
      </c>
      <c r="C930" s="65" t="str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61"/>
      <c r="E930" s="66"/>
      <c r="F930" s="67"/>
      <c r="G930" s="60"/>
      <c r="H930" s="60"/>
      <c r="I930" s="61"/>
      <c r="J930" s="61"/>
      <c r="K930" s="61"/>
      <c r="L930" s="73" t="str">
        <f>IF($E930="","",DATE(YEAR($E930),MONTH($E930),1))</f>
        <v/>
      </c>
      <c r="M930" s="65" t="str">
        <f ca="1">IF($D930="","",IF($C930="TANIMSIZ MÜŞTERİ","HATA",IF(OR($E930="",$F930&lt;=0,$G930=""),"EKSİK",IF($E930&gt;TODAY(),"İLERİ TARİH",IF(COUNTIF($S$7:$S$2503,$S930)&gt;1,"MÜKERRER?",IF($T930&gt;0,"KAPALI DÖNEM","UYGUN"))))))</f>
        <v/>
      </c>
      <c r="N930" s="74" t="str">
        <f>IF($C930="","",IF($C930="TANIMSIZ MÜŞTERİ","—",INDEX(MUSTERILER!$C$7:$C$156,MATCH($C930,MUSTERILER!$B$7:$B$156,0))))</f>
        <v/>
      </c>
      <c r="O930" s="2"/>
      <c r="P930" s="2"/>
      <c r="Q930" s="1" t="str">
        <f>IF($D930="","",$C930&amp;"|"&amp;COUNTIFS($C$7:$C930,$C930))</f>
        <v/>
      </c>
      <c r="R930" s="1" t="str">
        <f t="shared" si="28"/>
        <v/>
      </c>
      <c r="S930" s="1" t="str">
        <f t="shared" si="29"/>
        <v/>
      </c>
      <c r="T930" s="1">
        <f>IF($E930="",0,SUMPRODUCT((AY_SONU!$O$7:$O$42="Evet")*(AY_SONU!$B$7:$B$42=DATE(YEAR($E930),MONTH($E930),1))))</f>
        <v>0</v>
      </c>
      <c r="U930" s="1" t="str">
        <f>IF(OR($G930="",$H930="Mahsup"),"",$G930&amp;"|"&amp;COUNTIFS($G$7:$G930,$G930,$H$7:$H930,"&lt;&gt;Mahsup"))</f>
        <v/>
      </c>
    </row>
    <row r="931" spans="1:21" ht="18" customHeight="1" x14ac:dyDescent="0.3">
      <c r="A931" s="2"/>
      <c r="B931" s="65" t="str">
        <f>IF($D931="","","T"&amp;TEXT(ROW()-6,"00000"))</f>
        <v/>
      </c>
      <c r="C931" s="65" t="str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61"/>
      <c r="E931" s="66"/>
      <c r="F931" s="67"/>
      <c r="G931" s="60"/>
      <c r="H931" s="60"/>
      <c r="I931" s="61"/>
      <c r="J931" s="61"/>
      <c r="K931" s="61"/>
      <c r="L931" s="73" t="str">
        <f>IF($E931="","",DATE(YEAR($E931),MONTH($E931),1))</f>
        <v/>
      </c>
      <c r="M931" s="65" t="str">
        <f ca="1">IF($D931="","",IF($C931="TANIMSIZ MÜŞTERİ","HATA",IF(OR($E931="",$F931&lt;=0,$G931=""),"EKSİK",IF($E931&gt;TODAY(),"İLERİ TARİH",IF(COUNTIF($S$7:$S$2503,$S931)&gt;1,"MÜKERRER?",IF($T931&gt;0,"KAPALI DÖNEM","UYGUN"))))))</f>
        <v/>
      </c>
      <c r="N931" s="74" t="str">
        <f>IF($C931="","",IF($C931="TANIMSIZ MÜŞTERİ","—",INDEX(MUSTERILER!$C$7:$C$156,MATCH($C931,MUSTERILER!$B$7:$B$156,0))))</f>
        <v/>
      </c>
      <c r="O931" s="2"/>
      <c r="P931" s="2"/>
      <c r="Q931" s="1" t="str">
        <f>IF($D931="","",$C931&amp;"|"&amp;COUNTIFS($C$7:$C931,$C931))</f>
        <v/>
      </c>
      <c r="R931" s="1" t="str">
        <f t="shared" si="28"/>
        <v/>
      </c>
      <c r="S931" s="1" t="str">
        <f t="shared" si="29"/>
        <v/>
      </c>
      <c r="T931" s="1">
        <f>IF($E931="",0,SUMPRODUCT((AY_SONU!$O$7:$O$42="Evet")*(AY_SONU!$B$7:$B$42=DATE(YEAR($E931),MONTH($E931),1))))</f>
        <v>0</v>
      </c>
      <c r="U931" s="1" t="str">
        <f>IF(OR($G931="",$H931="Mahsup"),"",$G931&amp;"|"&amp;COUNTIFS($G$7:$G931,$G931,$H$7:$H931,"&lt;&gt;Mahsup"))</f>
        <v/>
      </c>
    </row>
    <row r="932" spans="1:21" ht="18" customHeight="1" x14ac:dyDescent="0.3">
      <c r="A932" s="2"/>
      <c r="B932" s="65" t="str">
        <f>IF($D932="","","T"&amp;TEXT(ROW()-6,"00000"))</f>
        <v/>
      </c>
      <c r="C932" s="65" t="str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61"/>
      <c r="E932" s="66"/>
      <c r="F932" s="67"/>
      <c r="G932" s="60"/>
      <c r="H932" s="60"/>
      <c r="I932" s="61"/>
      <c r="J932" s="61"/>
      <c r="K932" s="61"/>
      <c r="L932" s="73" t="str">
        <f>IF($E932="","",DATE(YEAR($E932),MONTH($E932),1))</f>
        <v/>
      </c>
      <c r="M932" s="65" t="str">
        <f ca="1">IF($D932="","",IF($C932="TANIMSIZ MÜŞTERİ","HATA",IF(OR($E932="",$F932&lt;=0,$G932=""),"EKSİK",IF($E932&gt;TODAY(),"İLERİ TARİH",IF(COUNTIF($S$7:$S$2503,$S932)&gt;1,"MÜKERRER?",IF($T932&gt;0,"KAPALI DÖNEM","UYGUN"))))))</f>
        <v/>
      </c>
      <c r="N932" s="74" t="str">
        <f>IF($C932="","",IF($C932="TANIMSIZ MÜŞTERİ","—",INDEX(MUSTERILER!$C$7:$C$156,MATCH($C932,MUSTERILER!$B$7:$B$156,0))))</f>
        <v/>
      </c>
      <c r="O932" s="2"/>
      <c r="P932" s="2"/>
      <c r="Q932" s="1" t="str">
        <f>IF($D932="","",$C932&amp;"|"&amp;COUNTIFS($C$7:$C932,$C932))</f>
        <v/>
      </c>
      <c r="R932" s="1" t="str">
        <f t="shared" si="28"/>
        <v/>
      </c>
      <c r="S932" s="1" t="str">
        <f t="shared" si="29"/>
        <v/>
      </c>
      <c r="T932" s="1">
        <f>IF($E932="",0,SUMPRODUCT((AY_SONU!$O$7:$O$42="Evet")*(AY_SONU!$B$7:$B$42=DATE(YEAR($E932),MONTH($E932),1))))</f>
        <v>0</v>
      </c>
      <c r="U932" s="1" t="str">
        <f>IF(OR($G932="",$H932="Mahsup"),"",$G932&amp;"|"&amp;COUNTIFS($G$7:$G932,$G932,$H$7:$H932,"&lt;&gt;Mahsup"))</f>
        <v/>
      </c>
    </row>
    <row r="933" spans="1:21" ht="18" customHeight="1" x14ac:dyDescent="0.3">
      <c r="A933" s="2"/>
      <c r="B933" s="65" t="str">
        <f>IF($D933="","","T"&amp;TEXT(ROW()-6,"00000"))</f>
        <v/>
      </c>
      <c r="C933" s="65" t="str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61"/>
      <c r="E933" s="66"/>
      <c r="F933" s="67"/>
      <c r="G933" s="60"/>
      <c r="H933" s="60"/>
      <c r="I933" s="61"/>
      <c r="J933" s="61"/>
      <c r="K933" s="61"/>
      <c r="L933" s="73" t="str">
        <f>IF($E933="","",DATE(YEAR($E933),MONTH($E933),1))</f>
        <v/>
      </c>
      <c r="M933" s="65" t="str">
        <f ca="1">IF($D933="","",IF($C933="TANIMSIZ MÜŞTERİ","HATA",IF(OR($E933="",$F933&lt;=0,$G933=""),"EKSİK",IF($E933&gt;TODAY(),"İLERİ TARİH",IF(COUNTIF($S$7:$S$2503,$S933)&gt;1,"MÜKERRER?",IF($T933&gt;0,"KAPALI DÖNEM","UYGUN"))))))</f>
        <v/>
      </c>
      <c r="N933" s="74" t="str">
        <f>IF($C933="","",IF($C933="TANIMSIZ MÜŞTERİ","—",INDEX(MUSTERILER!$C$7:$C$156,MATCH($C933,MUSTERILER!$B$7:$B$156,0))))</f>
        <v/>
      </c>
      <c r="O933" s="2"/>
      <c r="P933" s="2"/>
      <c r="Q933" s="1" t="str">
        <f>IF($D933="","",$C933&amp;"|"&amp;COUNTIFS($C$7:$C933,$C933))</f>
        <v/>
      </c>
      <c r="R933" s="1" t="str">
        <f t="shared" si="28"/>
        <v/>
      </c>
      <c r="S933" s="1" t="str">
        <f t="shared" si="29"/>
        <v/>
      </c>
      <c r="T933" s="1">
        <f>IF($E933="",0,SUMPRODUCT((AY_SONU!$O$7:$O$42="Evet")*(AY_SONU!$B$7:$B$42=DATE(YEAR($E933),MONTH($E933),1))))</f>
        <v>0</v>
      </c>
      <c r="U933" s="1" t="str">
        <f>IF(OR($G933="",$H933="Mahsup"),"",$G933&amp;"|"&amp;COUNTIFS($G$7:$G933,$G933,$H$7:$H933,"&lt;&gt;Mahsup"))</f>
        <v/>
      </c>
    </row>
    <row r="934" spans="1:21" ht="18" customHeight="1" x14ac:dyDescent="0.3">
      <c r="A934" s="2"/>
      <c r="B934" s="65" t="str">
        <f>IF($D934="","","T"&amp;TEXT(ROW()-6,"00000"))</f>
        <v/>
      </c>
      <c r="C934" s="65" t="str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61"/>
      <c r="E934" s="66"/>
      <c r="F934" s="67"/>
      <c r="G934" s="60"/>
      <c r="H934" s="60"/>
      <c r="I934" s="61"/>
      <c r="J934" s="61"/>
      <c r="K934" s="61"/>
      <c r="L934" s="73" t="str">
        <f>IF($E934="","",DATE(YEAR($E934),MONTH($E934),1))</f>
        <v/>
      </c>
      <c r="M934" s="65" t="str">
        <f ca="1">IF($D934="","",IF($C934="TANIMSIZ MÜŞTERİ","HATA",IF(OR($E934="",$F934&lt;=0,$G934=""),"EKSİK",IF($E934&gt;TODAY(),"İLERİ TARİH",IF(COUNTIF($S$7:$S$2503,$S934)&gt;1,"MÜKERRER?",IF($T934&gt;0,"KAPALI DÖNEM","UYGUN"))))))</f>
        <v/>
      </c>
      <c r="N934" s="74" t="str">
        <f>IF($C934="","",IF($C934="TANIMSIZ MÜŞTERİ","—",INDEX(MUSTERILER!$C$7:$C$156,MATCH($C934,MUSTERILER!$B$7:$B$156,0))))</f>
        <v/>
      </c>
      <c r="O934" s="2"/>
      <c r="P934" s="2"/>
      <c r="Q934" s="1" t="str">
        <f>IF($D934="","",$C934&amp;"|"&amp;COUNTIFS($C$7:$C934,$C934))</f>
        <v/>
      </c>
      <c r="R934" s="1" t="str">
        <f t="shared" si="28"/>
        <v/>
      </c>
      <c r="S934" s="1" t="str">
        <f t="shared" si="29"/>
        <v/>
      </c>
      <c r="T934" s="1">
        <f>IF($E934="",0,SUMPRODUCT((AY_SONU!$O$7:$O$42="Evet")*(AY_SONU!$B$7:$B$42=DATE(YEAR($E934),MONTH($E934),1))))</f>
        <v>0</v>
      </c>
      <c r="U934" s="1" t="str">
        <f>IF(OR($G934="",$H934="Mahsup"),"",$G934&amp;"|"&amp;COUNTIFS($G$7:$G934,$G934,$H$7:$H934,"&lt;&gt;Mahsup"))</f>
        <v/>
      </c>
    </row>
    <row r="935" spans="1:21" ht="18" customHeight="1" x14ac:dyDescent="0.3">
      <c r="A935" s="2"/>
      <c r="B935" s="65" t="str">
        <f>IF($D935="","","T"&amp;TEXT(ROW()-6,"00000"))</f>
        <v/>
      </c>
      <c r="C935" s="65" t="str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61"/>
      <c r="E935" s="66"/>
      <c r="F935" s="67"/>
      <c r="G935" s="60"/>
      <c r="H935" s="60"/>
      <c r="I935" s="61"/>
      <c r="J935" s="61"/>
      <c r="K935" s="61"/>
      <c r="L935" s="73" t="str">
        <f>IF($E935="","",DATE(YEAR($E935),MONTH($E935),1))</f>
        <v/>
      </c>
      <c r="M935" s="65" t="str">
        <f ca="1">IF($D935="","",IF($C935="TANIMSIZ MÜŞTERİ","HATA",IF(OR($E935="",$F935&lt;=0,$G935=""),"EKSİK",IF($E935&gt;TODAY(),"İLERİ TARİH",IF(COUNTIF($S$7:$S$2503,$S935)&gt;1,"MÜKERRER?",IF($T935&gt;0,"KAPALI DÖNEM","UYGUN"))))))</f>
        <v/>
      </c>
      <c r="N935" s="74" t="str">
        <f>IF($C935="","",IF($C935="TANIMSIZ MÜŞTERİ","—",INDEX(MUSTERILER!$C$7:$C$156,MATCH($C935,MUSTERILER!$B$7:$B$156,0))))</f>
        <v/>
      </c>
      <c r="O935" s="2"/>
      <c r="P935" s="2"/>
      <c r="Q935" s="1" t="str">
        <f>IF($D935="","",$C935&amp;"|"&amp;COUNTIFS($C$7:$C935,$C935))</f>
        <v/>
      </c>
      <c r="R935" s="1" t="str">
        <f t="shared" si="28"/>
        <v/>
      </c>
      <c r="S935" s="1" t="str">
        <f t="shared" si="29"/>
        <v/>
      </c>
      <c r="T935" s="1">
        <f>IF($E935="",0,SUMPRODUCT((AY_SONU!$O$7:$O$42="Evet")*(AY_SONU!$B$7:$B$42=DATE(YEAR($E935),MONTH($E935),1))))</f>
        <v>0</v>
      </c>
      <c r="U935" s="1" t="str">
        <f>IF(OR($G935="",$H935="Mahsup"),"",$G935&amp;"|"&amp;COUNTIFS($G$7:$G935,$G935,$H$7:$H935,"&lt;&gt;Mahsup"))</f>
        <v/>
      </c>
    </row>
    <row r="936" spans="1:21" ht="18" customHeight="1" x14ac:dyDescent="0.3">
      <c r="A936" s="2"/>
      <c r="B936" s="65" t="str">
        <f>IF($D936="","","T"&amp;TEXT(ROW()-6,"00000"))</f>
        <v/>
      </c>
      <c r="C936" s="65" t="str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61"/>
      <c r="E936" s="66"/>
      <c r="F936" s="67"/>
      <c r="G936" s="60"/>
      <c r="H936" s="60"/>
      <c r="I936" s="61"/>
      <c r="J936" s="61"/>
      <c r="K936" s="61"/>
      <c r="L936" s="73" t="str">
        <f>IF($E936="","",DATE(YEAR($E936),MONTH($E936),1))</f>
        <v/>
      </c>
      <c r="M936" s="65" t="str">
        <f ca="1">IF($D936="","",IF($C936="TANIMSIZ MÜŞTERİ","HATA",IF(OR($E936="",$F936&lt;=0,$G936=""),"EKSİK",IF($E936&gt;TODAY(),"İLERİ TARİH",IF(COUNTIF($S$7:$S$2503,$S936)&gt;1,"MÜKERRER?",IF($T936&gt;0,"KAPALI DÖNEM","UYGUN"))))))</f>
        <v/>
      </c>
      <c r="N936" s="74" t="str">
        <f>IF($C936="","",IF($C936="TANIMSIZ MÜŞTERİ","—",INDEX(MUSTERILER!$C$7:$C$156,MATCH($C936,MUSTERILER!$B$7:$B$156,0))))</f>
        <v/>
      </c>
      <c r="O936" s="2"/>
      <c r="P936" s="2"/>
      <c r="Q936" s="1" t="str">
        <f>IF($D936="","",$C936&amp;"|"&amp;COUNTIFS($C$7:$C936,$C936))</f>
        <v/>
      </c>
      <c r="R936" s="1" t="str">
        <f t="shared" si="28"/>
        <v/>
      </c>
      <c r="S936" s="1" t="str">
        <f t="shared" si="29"/>
        <v/>
      </c>
      <c r="T936" s="1">
        <f>IF($E936="",0,SUMPRODUCT((AY_SONU!$O$7:$O$42="Evet")*(AY_SONU!$B$7:$B$42=DATE(YEAR($E936),MONTH($E936),1))))</f>
        <v>0</v>
      </c>
      <c r="U936" s="1" t="str">
        <f>IF(OR($G936="",$H936="Mahsup"),"",$G936&amp;"|"&amp;COUNTIFS($G$7:$G936,$G936,$H$7:$H936,"&lt;&gt;Mahsup"))</f>
        <v/>
      </c>
    </row>
    <row r="937" spans="1:21" ht="18" customHeight="1" x14ac:dyDescent="0.3">
      <c r="A937" s="2"/>
      <c r="B937" s="65" t="str">
        <f>IF($D937="","","T"&amp;TEXT(ROW()-6,"00000"))</f>
        <v/>
      </c>
      <c r="C937" s="65" t="str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61"/>
      <c r="E937" s="66"/>
      <c r="F937" s="67"/>
      <c r="G937" s="60"/>
      <c r="H937" s="60"/>
      <c r="I937" s="61"/>
      <c r="J937" s="61"/>
      <c r="K937" s="61"/>
      <c r="L937" s="73" t="str">
        <f>IF($E937="","",DATE(YEAR($E937),MONTH($E937),1))</f>
        <v/>
      </c>
      <c r="M937" s="65" t="str">
        <f ca="1">IF($D937="","",IF($C937="TANIMSIZ MÜŞTERİ","HATA",IF(OR($E937="",$F937&lt;=0,$G937=""),"EKSİK",IF($E937&gt;TODAY(),"İLERİ TARİH",IF(COUNTIF($S$7:$S$2503,$S937)&gt;1,"MÜKERRER?",IF($T937&gt;0,"KAPALI DÖNEM","UYGUN"))))))</f>
        <v/>
      </c>
      <c r="N937" s="74" t="str">
        <f>IF($C937="","",IF($C937="TANIMSIZ MÜŞTERİ","—",INDEX(MUSTERILER!$C$7:$C$156,MATCH($C937,MUSTERILER!$B$7:$B$156,0))))</f>
        <v/>
      </c>
      <c r="O937" s="2"/>
      <c r="P937" s="2"/>
      <c r="Q937" s="1" t="str">
        <f>IF($D937="","",$C937&amp;"|"&amp;COUNTIFS($C$7:$C937,$C937))</f>
        <v/>
      </c>
      <c r="R937" s="1" t="str">
        <f t="shared" si="28"/>
        <v/>
      </c>
      <c r="S937" s="1" t="str">
        <f t="shared" si="29"/>
        <v/>
      </c>
      <c r="T937" s="1">
        <f>IF($E937="",0,SUMPRODUCT((AY_SONU!$O$7:$O$42="Evet")*(AY_SONU!$B$7:$B$42=DATE(YEAR($E937),MONTH($E937),1))))</f>
        <v>0</v>
      </c>
      <c r="U937" s="1" t="str">
        <f>IF(OR($G937="",$H937="Mahsup"),"",$G937&amp;"|"&amp;COUNTIFS($G$7:$G937,$G937,$H$7:$H937,"&lt;&gt;Mahsup"))</f>
        <v/>
      </c>
    </row>
    <row r="938" spans="1:21" ht="18" customHeight="1" x14ac:dyDescent="0.3">
      <c r="A938" s="2"/>
      <c r="B938" s="65" t="str">
        <f>IF($D938="","","T"&amp;TEXT(ROW()-6,"00000"))</f>
        <v/>
      </c>
      <c r="C938" s="65" t="str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61"/>
      <c r="E938" s="66"/>
      <c r="F938" s="67"/>
      <c r="G938" s="60"/>
      <c r="H938" s="60"/>
      <c r="I938" s="61"/>
      <c r="J938" s="61"/>
      <c r="K938" s="61"/>
      <c r="L938" s="73" t="str">
        <f>IF($E938="","",DATE(YEAR($E938),MONTH($E938),1))</f>
        <v/>
      </c>
      <c r="M938" s="65" t="str">
        <f ca="1">IF($D938="","",IF($C938="TANIMSIZ MÜŞTERİ","HATA",IF(OR($E938="",$F938&lt;=0,$G938=""),"EKSİK",IF($E938&gt;TODAY(),"İLERİ TARİH",IF(COUNTIF($S$7:$S$2503,$S938)&gt;1,"MÜKERRER?",IF($T938&gt;0,"KAPALI DÖNEM","UYGUN"))))))</f>
        <v/>
      </c>
      <c r="N938" s="74" t="str">
        <f>IF($C938="","",IF($C938="TANIMSIZ MÜŞTERİ","—",INDEX(MUSTERILER!$C$7:$C$156,MATCH($C938,MUSTERILER!$B$7:$B$156,0))))</f>
        <v/>
      </c>
      <c r="O938" s="2"/>
      <c r="P938" s="2"/>
      <c r="Q938" s="1" t="str">
        <f>IF($D938="","",$C938&amp;"|"&amp;COUNTIFS($C$7:$C938,$C938))</f>
        <v/>
      </c>
      <c r="R938" s="1" t="str">
        <f t="shared" si="28"/>
        <v/>
      </c>
      <c r="S938" s="1" t="str">
        <f t="shared" si="29"/>
        <v/>
      </c>
      <c r="T938" s="1">
        <f>IF($E938="",0,SUMPRODUCT((AY_SONU!$O$7:$O$42="Evet")*(AY_SONU!$B$7:$B$42=DATE(YEAR($E938),MONTH($E938),1))))</f>
        <v>0</v>
      </c>
      <c r="U938" s="1" t="str">
        <f>IF(OR($G938="",$H938="Mahsup"),"",$G938&amp;"|"&amp;COUNTIFS($G$7:$G938,$G938,$H$7:$H938,"&lt;&gt;Mahsup"))</f>
        <v/>
      </c>
    </row>
    <row r="939" spans="1:21" ht="18" customHeight="1" x14ac:dyDescent="0.3">
      <c r="A939" s="2"/>
      <c r="B939" s="65" t="str">
        <f>IF($D939="","","T"&amp;TEXT(ROW()-6,"00000"))</f>
        <v/>
      </c>
      <c r="C939" s="65" t="str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61"/>
      <c r="E939" s="66"/>
      <c r="F939" s="67"/>
      <c r="G939" s="60"/>
      <c r="H939" s="60"/>
      <c r="I939" s="61"/>
      <c r="J939" s="61"/>
      <c r="K939" s="61"/>
      <c r="L939" s="73" t="str">
        <f>IF($E939="","",DATE(YEAR($E939),MONTH($E939),1))</f>
        <v/>
      </c>
      <c r="M939" s="65" t="str">
        <f ca="1">IF($D939="","",IF($C939="TANIMSIZ MÜŞTERİ","HATA",IF(OR($E939="",$F939&lt;=0,$G939=""),"EKSİK",IF($E939&gt;TODAY(),"İLERİ TARİH",IF(COUNTIF($S$7:$S$2503,$S939)&gt;1,"MÜKERRER?",IF($T939&gt;0,"KAPALI DÖNEM","UYGUN"))))))</f>
        <v/>
      </c>
      <c r="N939" s="74" t="str">
        <f>IF($C939="","",IF($C939="TANIMSIZ MÜŞTERİ","—",INDEX(MUSTERILER!$C$7:$C$156,MATCH($C939,MUSTERILER!$B$7:$B$156,0))))</f>
        <v/>
      </c>
      <c r="O939" s="2"/>
      <c r="P939" s="2"/>
      <c r="Q939" s="1" t="str">
        <f>IF($D939="","",$C939&amp;"|"&amp;COUNTIFS($C$7:$C939,$C939))</f>
        <v/>
      </c>
      <c r="R939" s="1" t="str">
        <f t="shared" si="28"/>
        <v/>
      </c>
      <c r="S939" s="1" t="str">
        <f t="shared" si="29"/>
        <v/>
      </c>
      <c r="T939" s="1">
        <f>IF($E939="",0,SUMPRODUCT((AY_SONU!$O$7:$O$42="Evet")*(AY_SONU!$B$7:$B$42=DATE(YEAR($E939),MONTH($E939),1))))</f>
        <v>0</v>
      </c>
      <c r="U939" s="1" t="str">
        <f>IF(OR($G939="",$H939="Mahsup"),"",$G939&amp;"|"&amp;COUNTIFS($G$7:$G939,$G939,$H$7:$H939,"&lt;&gt;Mahsup"))</f>
        <v/>
      </c>
    </row>
    <row r="940" spans="1:21" ht="18" customHeight="1" x14ac:dyDescent="0.3">
      <c r="A940" s="2"/>
      <c r="B940" s="65" t="str">
        <f>IF($D940="","","T"&amp;TEXT(ROW()-6,"00000"))</f>
        <v/>
      </c>
      <c r="C940" s="65" t="str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61"/>
      <c r="E940" s="66"/>
      <c r="F940" s="67"/>
      <c r="G940" s="60"/>
      <c r="H940" s="60"/>
      <c r="I940" s="61"/>
      <c r="J940" s="61"/>
      <c r="K940" s="61"/>
      <c r="L940" s="73" t="str">
        <f>IF($E940="","",DATE(YEAR($E940),MONTH($E940),1))</f>
        <v/>
      </c>
      <c r="M940" s="65" t="str">
        <f ca="1">IF($D940="","",IF($C940="TANIMSIZ MÜŞTERİ","HATA",IF(OR($E940="",$F940&lt;=0,$G940=""),"EKSİK",IF($E940&gt;TODAY(),"İLERİ TARİH",IF(COUNTIF($S$7:$S$2503,$S940)&gt;1,"MÜKERRER?",IF($T940&gt;0,"KAPALI DÖNEM","UYGUN"))))))</f>
        <v/>
      </c>
      <c r="N940" s="74" t="str">
        <f>IF($C940="","",IF($C940="TANIMSIZ MÜŞTERİ","—",INDEX(MUSTERILER!$C$7:$C$156,MATCH($C940,MUSTERILER!$B$7:$B$156,0))))</f>
        <v/>
      </c>
      <c r="O940" s="2"/>
      <c r="P940" s="2"/>
      <c r="Q940" s="1" t="str">
        <f>IF($D940="","",$C940&amp;"|"&amp;COUNTIFS($C$7:$C940,$C940))</f>
        <v/>
      </c>
      <c r="R940" s="1" t="str">
        <f t="shared" si="28"/>
        <v/>
      </c>
      <c r="S940" s="1" t="str">
        <f t="shared" si="29"/>
        <v/>
      </c>
      <c r="T940" s="1">
        <f>IF($E940="",0,SUMPRODUCT((AY_SONU!$O$7:$O$42="Evet")*(AY_SONU!$B$7:$B$42=DATE(YEAR($E940),MONTH($E940),1))))</f>
        <v>0</v>
      </c>
      <c r="U940" s="1" t="str">
        <f>IF(OR($G940="",$H940="Mahsup"),"",$G940&amp;"|"&amp;COUNTIFS($G$7:$G940,$G940,$H$7:$H940,"&lt;&gt;Mahsup"))</f>
        <v/>
      </c>
    </row>
    <row r="941" spans="1:21" ht="18" customHeight="1" x14ac:dyDescent="0.3">
      <c r="A941" s="2"/>
      <c r="B941" s="65" t="str">
        <f>IF($D941="","","T"&amp;TEXT(ROW()-6,"00000"))</f>
        <v/>
      </c>
      <c r="C941" s="65" t="str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61"/>
      <c r="E941" s="66"/>
      <c r="F941" s="67"/>
      <c r="G941" s="60"/>
      <c r="H941" s="60"/>
      <c r="I941" s="61"/>
      <c r="J941" s="61"/>
      <c r="K941" s="61"/>
      <c r="L941" s="73" t="str">
        <f>IF($E941="","",DATE(YEAR($E941),MONTH($E941),1))</f>
        <v/>
      </c>
      <c r="M941" s="65" t="str">
        <f ca="1">IF($D941="","",IF($C941="TANIMSIZ MÜŞTERİ","HATA",IF(OR($E941="",$F941&lt;=0,$G941=""),"EKSİK",IF($E941&gt;TODAY(),"İLERİ TARİH",IF(COUNTIF($S$7:$S$2503,$S941)&gt;1,"MÜKERRER?",IF($T941&gt;0,"KAPALI DÖNEM","UYGUN"))))))</f>
        <v/>
      </c>
      <c r="N941" s="74" t="str">
        <f>IF($C941="","",IF($C941="TANIMSIZ MÜŞTERİ","—",INDEX(MUSTERILER!$C$7:$C$156,MATCH($C941,MUSTERILER!$B$7:$B$156,0))))</f>
        <v/>
      </c>
      <c r="O941" s="2"/>
      <c r="P941" s="2"/>
      <c r="Q941" s="1" t="str">
        <f>IF($D941="","",$C941&amp;"|"&amp;COUNTIFS($C$7:$C941,$C941))</f>
        <v/>
      </c>
      <c r="R941" s="1" t="str">
        <f t="shared" si="28"/>
        <v/>
      </c>
      <c r="S941" s="1" t="str">
        <f t="shared" si="29"/>
        <v/>
      </c>
      <c r="T941" s="1">
        <f>IF($E941="",0,SUMPRODUCT((AY_SONU!$O$7:$O$42="Evet")*(AY_SONU!$B$7:$B$42=DATE(YEAR($E941),MONTH($E941),1))))</f>
        <v>0</v>
      </c>
      <c r="U941" s="1" t="str">
        <f>IF(OR($G941="",$H941="Mahsup"),"",$G941&amp;"|"&amp;COUNTIFS($G$7:$G941,$G941,$H$7:$H941,"&lt;&gt;Mahsup"))</f>
        <v/>
      </c>
    </row>
    <row r="942" spans="1:21" ht="18" customHeight="1" x14ac:dyDescent="0.3">
      <c r="A942" s="2"/>
      <c r="B942" s="65" t="str">
        <f>IF($D942="","","T"&amp;TEXT(ROW()-6,"00000"))</f>
        <v/>
      </c>
      <c r="C942" s="65" t="str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61"/>
      <c r="E942" s="66"/>
      <c r="F942" s="67"/>
      <c r="G942" s="60"/>
      <c r="H942" s="60"/>
      <c r="I942" s="61"/>
      <c r="J942" s="61"/>
      <c r="K942" s="61"/>
      <c r="L942" s="73" t="str">
        <f>IF($E942="","",DATE(YEAR($E942),MONTH($E942),1))</f>
        <v/>
      </c>
      <c r="M942" s="65" t="str">
        <f ca="1">IF($D942="","",IF($C942="TANIMSIZ MÜŞTERİ","HATA",IF(OR($E942="",$F942&lt;=0,$G942=""),"EKSİK",IF($E942&gt;TODAY(),"İLERİ TARİH",IF(COUNTIF($S$7:$S$2503,$S942)&gt;1,"MÜKERRER?",IF($T942&gt;0,"KAPALI DÖNEM","UYGUN"))))))</f>
        <v/>
      </c>
      <c r="N942" s="74" t="str">
        <f>IF($C942="","",IF($C942="TANIMSIZ MÜŞTERİ","—",INDEX(MUSTERILER!$C$7:$C$156,MATCH($C942,MUSTERILER!$B$7:$B$156,0))))</f>
        <v/>
      </c>
      <c r="O942" s="2"/>
      <c r="P942" s="2"/>
      <c r="Q942" s="1" t="str">
        <f>IF($D942="","",$C942&amp;"|"&amp;COUNTIFS($C$7:$C942,$C942))</f>
        <v/>
      </c>
      <c r="R942" s="1" t="str">
        <f t="shared" si="28"/>
        <v/>
      </c>
      <c r="S942" s="1" t="str">
        <f t="shared" si="29"/>
        <v/>
      </c>
      <c r="T942" s="1">
        <f>IF($E942="",0,SUMPRODUCT((AY_SONU!$O$7:$O$42="Evet")*(AY_SONU!$B$7:$B$42=DATE(YEAR($E942),MONTH($E942),1))))</f>
        <v>0</v>
      </c>
      <c r="U942" s="1" t="str">
        <f>IF(OR($G942="",$H942="Mahsup"),"",$G942&amp;"|"&amp;COUNTIFS($G$7:$G942,$G942,$H$7:$H942,"&lt;&gt;Mahsup"))</f>
        <v/>
      </c>
    </row>
    <row r="943" spans="1:21" ht="18" customHeight="1" x14ac:dyDescent="0.3">
      <c r="A943" s="2"/>
      <c r="B943" s="65" t="str">
        <f>IF($D943="","","T"&amp;TEXT(ROW()-6,"00000"))</f>
        <v/>
      </c>
      <c r="C943" s="65" t="str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61"/>
      <c r="E943" s="66"/>
      <c r="F943" s="67"/>
      <c r="G943" s="60"/>
      <c r="H943" s="60"/>
      <c r="I943" s="61"/>
      <c r="J943" s="61"/>
      <c r="K943" s="61"/>
      <c r="L943" s="73" t="str">
        <f>IF($E943="","",DATE(YEAR($E943),MONTH($E943),1))</f>
        <v/>
      </c>
      <c r="M943" s="65" t="str">
        <f ca="1">IF($D943="","",IF($C943="TANIMSIZ MÜŞTERİ","HATA",IF(OR($E943="",$F943&lt;=0,$G943=""),"EKSİK",IF($E943&gt;TODAY(),"İLERİ TARİH",IF(COUNTIF($S$7:$S$2503,$S943)&gt;1,"MÜKERRER?",IF($T943&gt;0,"KAPALI DÖNEM","UYGUN"))))))</f>
        <v/>
      </c>
      <c r="N943" s="74" t="str">
        <f>IF($C943="","",IF($C943="TANIMSIZ MÜŞTERİ","—",INDEX(MUSTERILER!$C$7:$C$156,MATCH($C943,MUSTERILER!$B$7:$B$156,0))))</f>
        <v/>
      </c>
      <c r="O943" s="2"/>
      <c r="P943" s="2"/>
      <c r="Q943" s="1" t="str">
        <f>IF($D943="","",$C943&amp;"|"&amp;COUNTIFS($C$7:$C943,$C943))</f>
        <v/>
      </c>
      <c r="R943" s="1" t="str">
        <f t="shared" si="28"/>
        <v/>
      </c>
      <c r="S943" s="1" t="str">
        <f t="shared" si="29"/>
        <v/>
      </c>
      <c r="T943" s="1">
        <f>IF($E943="",0,SUMPRODUCT((AY_SONU!$O$7:$O$42="Evet")*(AY_SONU!$B$7:$B$42=DATE(YEAR($E943),MONTH($E943),1))))</f>
        <v>0</v>
      </c>
      <c r="U943" s="1" t="str">
        <f>IF(OR($G943="",$H943="Mahsup"),"",$G943&amp;"|"&amp;COUNTIFS($G$7:$G943,$G943,$H$7:$H943,"&lt;&gt;Mahsup"))</f>
        <v/>
      </c>
    </row>
    <row r="944" spans="1:21" ht="18" customHeight="1" x14ac:dyDescent="0.3">
      <c r="A944" s="2"/>
      <c r="B944" s="65" t="str">
        <f>IF($D944="","","T"&amp;TEXT(ROW()-6,"00000"))</f>
        <v/>
      </c>
      <c r="C944" s="65" t="str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61"/>
      <c r="E944" s="66"/>
      <c r="F944" s="67"/>
      <c r="G944" s="60"/>
      <c r="H944" s="60"/>
      <c r="I944" s="61"/>
      <c r="J944" s="61"/>
      <c r="K944" s="61"/>
      <c r="L944" s="73" t="str">
        <f>IF($E944="","",DATE(YEAR($E944),MONTH($E944),1))</f>
        <v/>
      </c>
      <c r="M944" s="65" t="str">
        <f ca="1">IF($D944="","",IF($C944="TANIMSIZ MÜŞTERİ","HATA",IF(OR($E944="",$F944&lt;=0,$G944=""),"EKSİK",IF($E944&gt;TODAY(),"İLERİ TARİH",IF(COUNTIF($S$7:$S$2503,$S944)&gt;1,"MÜKERRER?",IF($T944&gt;0,"KAPALI DÖNEM","UYGUN"))))))</f>
        <v/>
      </c>
      <c r="N944" s="74" t="str">
        <f>IF($C944="","",IF($C944="TANIMSIZ MÜŞTERİ","—",INDEX(MUSTERILER!$C$7:$C$156,MATCH($C944,MUSTERILER!$B$7:$B$156,0))))</f>
        <v/>
      </c>
      <c r="O944" s="2"/>
      <c r="P944" s="2"/>
      <c r="Q944" s="1" t="str">
        <f>IF($D944="","",$C944&amp;"|"&amp;COUNTIFS($C$7:$C944,$C944))</f>
        <v/>
      </c>
      <c r="R944" s="1" t="str">
        <f t="shared" si="28"/>
        <v/>
      </c>
      <c r="S944" s="1" t="str">
        <f t="shared" si="29"/>
        <v/>
      </c>
      <c r="T944" s="1">
        <f>IF($E944="",0,SUMPRODUCT((AY_SONU!$O$7:$O$42="Evet")*(AY_SONU!$B$7:$B$42=DATE(YEAR($E944),MONTH($E944),1))))</f>
        <v>0</v>
      </c>
      <c r="U944" s="1" t="str">
        <f>IF(OR($G944="",$H944="Mahsup"),"",$G944&amp;"|"&amp;COUNTIFS($G$7:$G944,$G944,$H$7:$H944,"&lt;&gt;Mahsup"))</f>
        <v/>
      </c>
    </row>
    <row r="945" spans="1:21" ht="18" customHeight="1" x14ac:dyDescent="0.3">
      <c r="A945" s="2"/>
      <c r="B945" s="65" t="str">
        <f>IF($D945="","","T"&amp;TEXT(ROW()-6,"00000"))</f>
        <v/>
      </c>
      <c r="C945" s="65" t="str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61"/>
      <c r="E945" s="66"/>
      <c r="F945" s="67"/>
      <c r="G945" s="60"/>
      <c r="H945" s="60"/>
      <c r="I945" s="61"/>
      <c r="J945" s="61"/>
      <c r="K945" s="61"/>
      <c r="L945" s="73" t="str">
        <f>IF($E945="","",DATE(YEAR($E945),MONTH($E945),1))</f>
        <v/>
      </c>
      <c r="M945" s="65" t="str">
        <f ca="1">IF($D945="","",IF($C945="TANIMSIZ MÜŞTERİ","HATA",IF(OR($E945="",$F945&lt;=0,$G945=""),"EKSİK",IF($E945&gt;TODAY(),"İLERİ TARİH",IF(COUNTIF($S$7:$S$2503,$S945)&gt;1,"MÜKERRER?",IF($T945&gt;0,"KAPALI DÖNEM","UYGUN"))))))</f>
        <v/>
      </c>
      <c r="N945" s="74" t="str">
        <f>IF($C945="","",IF($C945="TANIMSIZ MÜŞTERİ","—",INDEX(MUSTERILER!$C$7:$C$156,MATCH($C945,MUSTERILER!$B$7:$B$156,0))))</f>
        <v/>
      </c>
      <c r="O945" s="2"/>
      <c r="P945" s="2"/>
      <c r="Q945" s="1" t="str">
        <f>IF($D945="","",$C945&amp;"|"&amp;COUNTIFS($C$7:$C945,$C945))</f>
        <v/>
      </c>
      <c r="R945" s="1" t="str">
        <f t="shared" si="28"/>
        <v/>
      </c>
      <c r="S945" s="1" t="str">
        <f t="shared" si="29"/>
        <v/>
      </c>
      <c r="T945" s="1">
        <f>IF($E945="",0,SUMPRODUCT((AY_SONU!$O$7:$O$42="Evet")*(AY_SONU!$B$7:$B$42=DATE(YEAR($E945),MONTH($E945),1))))</f>
        <v>0</v>
      </c>
      <c r="U945" s="1" t="str">
        <f>IF(OR($G945="",$H945="Mahsup"),"",$G945&amp;"|"&amp;COUNTIFS($G$7:$G945,$G945,$H$7:$H945,"&lt;&gt;Mahsup"))</f>
        <v/>
      </c>
    </row>
    <row r="946" spans="1:21" ht="18" customHeight="1" x14ac:dyDescent="0.3">
      <c r="A946" s="2"/>
      <c r="B946" s="65" t="str">
        <f>IF($D946="","","T"&amp;TEXT(ROW()-6,"00000"))</f>
        <v/>
      </c>
      <c r="C946" s="65" t="str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61"/>
      <c r="E946" s="66"/>
      <c r="F946" s="67"/>
      <c r="G946" s="60"/>
      <c r="H946" s="60"/>
      <c r="I946" s="61"/>
      <c r="J946" s="61"/>
      <c r="K946" s="61"/>
      <c r="L946" s="73" t="str">
        <f>IF($E946="","",DATE(YEAR($E946),MONTH($E946),1))</f>
        <v/>
      </c>
      <c r="M946" s="65" t="str">
        <f ca="1">IF($D946="","",IF($C946="TANIMSIZ MÜŞTERİ","HATA",IF(OR($E946="",$F946&lt;=0,$G946=""),"EKSİK",IF($E946&gt;TODAY(),"İLERİ TARİH",IF(COUNTIF($S$7:$S$2503,$S946)&gt;1,"MÜKERRER?",IF($T946&gt;0,"KAPALI DÖNEM","UYGUN"))))))</f>
        <v/>
      </c>
      <c r="N946" s="74" t="str">
        <f>IF($C946="","",IF($C946="TANIMSIZ MÜŞTERİ","—",INDEX(MUSTERILER!$C$7:$C$156,MATCH($C946,MUSTERILER!$B$7:$B$156,0))))</f>
        <v/>
      </c>
      <c r="O946" s="2"/>
      <c r="P946" s="2"/>
      <c r="Q946" s="1" t="str">
        <f>IF($D946="","",$C946&amp;"|"&amp;COUNTIFS($C$7:$C946,$C946))</f>
        <v/>
      </c>
      <c r="R946" s="1" t="str">
        <f t="shared" si="28"/>
        <v/>
      </c>
      <c r="S946" s="1" t="str">
        <f t="shared" si="29"/>
        <v/>
      </c>
      <c r="T946" s="1">
        <f>IF($E946="",0,SUMPRODUCT((AY_SONU!$O$7:$O$42="Evet")*(AY_SONU!$B$7:$B$42=DATE(YEAR($E946),MONTH($E946),1))))</f>
        <v>0</v>
      </c>
      <c r="U946" s="1" t="str">
        <f>IF(OR($G946="",$H946="Mahsup"),"",$G946&amp;"|"&amp;COUNTIFS($G$7:$G946,$G946,$H$7:$H946,"&lt;&gt;Mahsup"))</f>
        <v/>
      </c>
    </row>
    <row r="947" spans="1:21" ht="18" customHeight="1" x14ac:dyDescent="0.3">
      <c r="A947" s="2"/>
      <c r="B947" s="65" t="str">
        <f>IF($D947="","","T"&amp;TEXT(ROW()-6,"00000"))</f>
        <v/>
      </c>
      <c r="C947" s="65" t="str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61"/>
      <c r="E947" s="66"/>
      <c r="F947" s="67"/>
      <c r="G947" s="60"/>
      <c r="H947" s="60"/>
      <c r="I947" s="61"/>
      <c r="J947" s="61"/>
      <c r="K947" s="61"/>
      <c r="L947" s="73" t="str">
        <f>IF($E947="","",DATE(YEAR($E947),MONTH($E947),1))</f>
        <v/>
      </c>
      <c r="M947" s="65" t="str">
        <f ca="1">IF($D947="","",IF($C947="TANIMSIZ MÜŞTERİ","HATA",IF(OR($E947="",$F947&lt;=0,$G947=""),"EKSİK",IF($E947&gt;TODAY(),"İLERİ TARİH",IF(COUNTIF($S$7:$S$2503,$S947)&gt;1,"MÜKERRER?",IF($T947&gt;0,"KAPALI DÖNEM","UYGUN"))))))</f>
        <v/>
      </c>
      <c r="N947" s="74" t="str">
        <f>IF($C947="","",IF($C947="TANIMSIZ MÜŞTERİ","—",INDEX(MUSTERILER!$C$7:$C$156,MATCH($C947,MUSTERILER!$B$7:$B$156,0))))</f>
        <v/>
      </c>
      <c r="O947" s="2"/>
      <c r="P947" s="2"/>
      <c r="Q947" s="1" t="str">
        <f>IF($D947="","",$C947&amp;"|"&amp;COUNTIFS($C$7:$C947,$C947))</f>
        <v/>
      </c>
      <c r="R947" s="1" t="str">
        <f t="shared" si="28"/>
        <v/>
      </c>
      <c r="S947" s="1" t="str">
        <f t="shared" si="29"/>
        <v/>
      </c>
      <c r="T947" s="1">
        <f>IF($E947="",0,SUMPRODUCT((AY_SONU!$O$7:$O$42="Evet")*(AY_SONU!$B$7:$B$42=DATE(YEAR($E947),MONTH($E947),1))))</f>
        <v>0</v>
      </c>
      <c r="U947" s="1" t="str">
        <f>IF(OR($G947="",$H947="Mahsup"),"",$G947&amp;"|"&amp;COUNTIFS($G$7:$G947,$G947,$H$7:$H947,"&lt;&gt;Mahsup"))</f>
        <v/>
      </c>
    </row>
    <row r="948" spans="1:21" ht="18" customHeight="1" x14ac:dyDescent="0.3">
      <c r="A948" s="2"/>
      <c r="B948" s="65" t="str">
        <f>IF($D948="","","T"&amp;TEXT(ROW()-6,"00000"))</f>
        <v/>
      </c>
      <c r="C948" s="65" t="str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61"/>
      <c r="E948" s="66"/>
      <c r="F948" s="67"/>
      <c r="G948" s="60"/>
      <c r="H948" s="60"/>
      <c r="I948" s="61"/>
      <c r="J948" s="61"/>
      <c r="K948" s="61"/>
      <c r="L948" s="73" t="str">
        <f>IF($E948="","",DATE(YEAR($E948),MONTH($E948),1))</f>
        <v/>
      </c>
      <c r="M948" s="65" t="str">
        <f ca="1">IF($D948="","",IF($C948="TANIMSIZ MÜŞTERİ","HATA",IF(OR($E948="",$F948&lt;=0,$G948=""),"EKSİK",IF($E948&gt;TODAY(),"İLERİ TARİH",IF(COUNTIF($S$7:$S$2503,$S948)&gt;1,"MÜKERRER?",IF($T948&gt;0,"KAPALI DÖNEM","UYGUN"))))))</f>
        <v/>
      </c>
      <c r="N948" s="74" t="str">
        <f>IF($C948="","",IF($C948="TANIMSIZ MÜŞTERİ","—",INDEX(MUSTERILER!$C$7:$C$156,MATCH($C948,MUSTERILER!$B$7:$B$156,0))))</f>
        <v/>
      </c>
      <c r="O948" s="2"/>
      <c r="P948" s="2"/>
      <c r="Q948" s="1" t="str">
        <f>IF($D948="","",$C948&amp;"|"&amp;COUNTIFS($C$7:$C948,$C948))</f>
        <v/>
      </c>
      <c r="R948" s="1" t="str">
        <f t="shared" si="28"/>
        <v/>
      </c>
      <c r="S948" s="1" t="str">
        <f t="shared" si="29"/>
        <v/>
      </c>
      <c r="T948" s="1">
        <f>IF($E948="",0,SUMPRODUCT((AY_SONU!$O$7:$O$42="Evet")*(AY_SONU!$B$7:$B$42=DATE(YEAR($E948),MONTH($E948),1))))</f>
        <v>0</v>
      </c>
      <c r="U948" s="1" t="str">
        <f>IF(OR($G948="",$H948="Mahsup"),"",$G948&amp;"|"&amp;COUNTIFS($G$7:$G948,$G948,$H$7:$H948,"&lt;&gt;Mahsup"))</f>
        <v/>
      </c>
    </row>
    <row r="949" spans="1:21" ht="18" customHeight="1" x14ac:dyDescent="0.3">
      <c r="A949" s="2"/>
      <c r="B949" s="65" t="str">
        <f>IF($D949="","","T"&amp;TEXT(ROW()-6,"00000"))</f>
        <v/>
      </c>
      <c r="C949" s="65" t="str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61"/>
      <c r="E949" s="66"/>
      <c r="F949" s="67"/>
      <c r="G949" s="60"/>
      <c r="H949" s="60"/>
      <c r="I949" s="61"/>
      <c r="J949" s="61"/>
      <c r="K949" s="61"/>
      <c r="L949" s="73" t="str">
        <f>IF($E949="","",DATE(YEAR($E949),MONTH($E949),1))</f>
        <v/>
      </c>
      <c r="M949" s="65" t="str">
        <f ca="1">IF($D949="","",IF($C949="TANIMSIZ MÜŞTERİ","HATA",IF(OR($E949="",$F949&lt;=0,$G949=""),"EKSİK",IF($E949&gt;TODAY(),"İLERİ TARİH",IF(COUNTIF($S$7:$S$2503,$S949)&gt;1,"MÜKERRER?",IF($T949&gt;0,"KAPALI DÖNEM","UYGUN"))))))</f>
        <v/>
      </c>
      <c r="N949" s="74" t="str">
        <f>IF($C949="","",IF($C949="TANIMSIZ MÜŞTERİ","—",INDEX(MUSTERILER!$C$7:$C$156,MATCH($C949,MUSTERILER!$B$7:$B$156,0))))</f>
        <v/>
      </c>
      <c r="O949" s="2"/>
      <c r="P949" s="2"/>
      <c r="Q949" s="1" t="str">
        <f>IF($D949="","",$C949&amp;"|"&amp;COUNTIFS($C$7:$C949,$C949))</f>
        <v/>
      </c>
      <c r="R949" s="1" t="str">
        <f t="shared" si="28"/>
        <v/>
      </c>
      <c r="S949" s="1" t="str">
        <f t="shared" si="29"/>
        <v/>
      </c>
      <c r="T949" s="1">
        <f>IF($E949="",0,SUMPRODUCT((AY_SONU!$O$7:$O$42="Evet")*(AY_SONU!$B$7:$B$42=DATE(YEAR($E949),MONTH($E949),1))))</f>
        <v>0</v>
      </c>
      <c r="U949" s="1" t="str">
        <f>IF(OR($G949="",$H949="Mahsup"),"",$G949&amp;"|"&amp;COUNTIFS($G$7:$G949,$G949,$H$7:$H949,"&lt;&gt;Mahsup"))</f>
        <v/>
      </c>
    </row>
    <row r="950" spans="1:21" ht="18" customHeight="1" x14ac:dyDescent="0.3">
      <c r="A950" s="2"/>
      <c r="B950" s="65" t="str">
        <f>IF($D950="","","T"&amp;TEXT(ROW()-6,"00000"))</f>
        <v/>
      </c>
      <c r="C950" s="65" t="str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61"/>
      <c r="E950" s="66"/>
      <c r="F950" s="67"/>
      <c r="G950" s="60"/>
      <c r="H950" s="60"/>
      <c r="I950" s="61"/>
      <c r="J950" s="61"/>
      <c r="K950" s="61"/>
      <c r="L950" s="73" t="str">
        <f>IF($E950="","",DATE(YEAR($E950),MONTH($E950),1))</f>
        <v/>
      </c>
      <c r="M950" s="65" t="str">
        <f ca="1">IF($D950="","",IF($C950="TANIMSIZ MÜŞTERİ","HATA",IF(OR($E950="",$F950&lt;=0,$G950=""),"EKSİK",IF($E950&gt;TODAY(),"İLERİ TARİH",IF(COUNTIF($S$7:$S$2503,$S950)&gt;1,"MÜKERRER?",IF($T950&gt;0,"KAPALI DÖNEM","UYGUN"))))))</f>
        <v/>
      </c>
      <c r="N950" s="74" t="str">
        <f>IF($C950="","",IF($C950="TANIMSIZ MÜŞTERİ","—",INDEX(MUSTERILER!$C$7:$C$156,MATCH($C950,MUSTERILER!$B$7:$B$156,0))))</f>
        <v/>
      </c>
      <c r="O950" s="2"/>
      <c r="P950" s="2"/>
      <c r="Q950" s="1" t="str">
        <f>IF($D950="","",$C950&amp;"|"&amp;COUNTIFS($C$7:$C950,$C950))</f>
        <v/>
      </c>
      <c r="R950" s="1" t="str">
        <f t="shared" si="28"/>
        <v/>
      </c>
      <c r="S950" s="1" t="str">
        <f t="shared" si="29"/>
        <v/>
      </c>
      <c r="T950" s="1">
        <f>IF($E950="",0,SUMPRODUCT((AY_SONU!$O$7:$O$42="Evet")*(AY_SONU!$B$7:$B$42=DATE(YEAR($E950),MONTH($E950),1))))</f>
        <v>0</v>
      </c>
      <c r="U950" s="1" t="str">
        <f>IF(OR($G950="",$H950="Mahsup"),"",$G950&amp;"|"&amp;COUNTIFS($G$7:$G950,$G950,$H$7:$H950,"&lt;&gt;Mahsup"))</f>
        <v/>
      </c>
    </row>
    <row r="951" spans="1:21" ht="18" customHeight="1" x14ac:dyDescent="0.3">
      <c r="A951" s="2"/>
      <c r="B951" s="65" t="str">
        <f>IF($D951="","","T"&amp;TEXT(ROW()-6,"00000"))</f>
        <v/>
      </c>
      <c r="C951" s="65" t="str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61"/>
      <c r="E951" s="66"/>
      <c r="F951" s="67"/>
      <c r="G951" s="60"/>
      <c r="H951" s="60"/>
      <c r="I951" s="61"/>
      <c r="J951" s="61"/>
      <c r="K951" s="61"/>
      <c r="L951" s="73" t="str">
        <f>IF($E951="","",DATE(YEAR($E951),MONTH($E951),1))</f>
        <v/>
      </c>
      <c r="M951" s="65" t="str">
        <f ca="1">IF($D951="","",IF($C951="TANIMSIZ MÜŞTERİ","HATA",IF(OR($E951="",$F951&lt;=0,$G951=""),"EKSİK",IF($E951&gt;TODAY(),"İLERİ TARİH",IF(COUNTIF($S$7:$S$2503,$S951)&gt;1,"MÜKERRER?",IF($T951&gt;0,"KAPALI DÖNEM","UYGUN"))))))</f>
        <v/>
      </c>
      <c r="N951" s="74" t="str">
        <f>IF($C951="","",IF($C951="TANIMSIZ MÜŞTERİ","—",INDEX(MUSTERILER!$C$7:$C$156,MATCH($C951,MUSTERILER!$B$7:$B$156,0))))</f>
        <v/>
      </c>
      <c r="O951" s="2"/>
      <c r="P951" s="2"/>
      <c r="Q951" s="1" t="str">
        <f>IF($D951="","",$C951&amp;"|"&amp;COUNTIFS($C$7:$C951,$C951))</f>
        <v/>
      </c>
      <c r="R951" s="1" t="str">
        <f t="shared" si="28"/>
        <v/>
      </c>
      <c r="S951" s="1" t="str">
        <f t="shared" si="29"/>
        <v/>
      </c>
      <c r="T951" s="1">
        <f>IF($E951="",0,SUMPRODUCT((AY_SONU!$O$7:$O$42="Evet")*(AY_SONU!$B$7:$B$42=DATE(YEAR($E951),MONTH($E951),1))))</f>
        <v>0</v>
      </c>
      <c r="U951" s="1" t="str">
        <f>IF(OR($G951="",$H951="Mahsup"),"",$G951&amp;"|"&amp;COUNTIFS($G$7:$G951,$G951,$H$7:$H951,"&lt;&gt;Mahsup"))</f>
        <v/>
      </c>
    </row>
    <row r="952" spans="1:21" ht="18" customHeight="1" x14ac:dyDescent="0.3">
      <c r="A952" s="2"/>
      <c r="B952" s="65" t="str">
        <f>IF($D952="","","T"&amp;TEXT(ROW()-6,"00000"))</f>
        <v/>
      </c>
      <c r="C952" s="65" t="str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61"/>
      <c r="E952" s="66"/>
      <c r="F952" s="67"/>
      <c r="G952" s="60"/>
      <c r="H952" s="60"/>
      <c r="I952" s="61"/>
      <c r="J952" s="61"/>
      <c r="K952" s="61"/>
      <c r="L952" s="73" t="str">
        <f>IF($E952="","",DATE(YEAR($E952),MONTH($E952),1))</f>
        <v/>
      </c>
      <c r="M952" s="65" t="str">
        <f ca="1">IF($D952="","",IF($C952="TANIMSIZ MÜŞTERİ","HATA",IF(OR($E952="",$F952&lt;=0,$G952=""),"EKSİK",IF($E952&gt;TODAY(),"İLERİ TARİH",IF(COUNTIF($S$7:$S$2503,$S952)&gt;1,"MÜKERRER?",IF($T952&gt;0,"KAPALI DÖNEM","UYGUN"))))))</f>
        <v/>
      </c>
      <c r="N952" s="74" t="str">
        <f>IF($C952="","",IF($C952="TANIMSIZ MÜŞTERİ","—",INDEX(MUSTERILER!$C$7:$C$156,MATCH($C952,MUSTERILER!$B$7:$B$156,0))))</f>
        <v/>
      </c>
      <c r="O952" s="2"/>
      <c r="P952" s="2"/>
      <c r="Q952" s="1" t="str">
        <f>IF($D952="","",$C952&amp;"|"&amp;COUNTIFS($C$7:$C952,$C952))</f>
        <v/>
      </c>
      <c r="R952" s="1" t="str">
        <f t="shared" si="28"/>
        <v/>
      </c>
      <c r="S952" s="1" t="str">
        <f t="shared" si="29"/>
        <v/>
      </c>
      <c r="T952" s="1">
        <f>IF($E952="",0,SUMPRODUCT((AY_SONU!$O$7:$O$42="Evet")*(AY_SONU!$B$7:$B$42=DATE(YEAR($E952),MONTH($E952),1))))</f>
        <v>0</v>
      </c>
      <c r="U952" s="1" t="str">
        <f>IF(OR($G952="",$H952="Mahsup"),"",$G952&amp;"|"&amp;COUNTIFS($G$7:$G952,$G952,$H$7:$H952,"&lt;&gt;Mahsup"))</f>
        <v/>
      </c>
    </row>
    <row r="953" spans="1:21" ht="18" customHeight="1" x14ac:dyDescent="0.3">
      <c r="A953" s="2"/>
      <c r="B953" s="65" t="str">
        <f>IF($D953="","","T"&amp;TEXT(ROW()-6,"00000"))</f>
        <v/>
      </c>
      <c r="C953" s="65" t="str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61"/>
      <c r="E953" s="66"/>
      <c r="F953" s="67"/>
      <c r="G953" s="60"/>
      <c r="H953" s="60"/>
      <c r="I953" s="61"/>
      <c r="J953" s="61"/>
      <c r="K953" s="61"/>
      <c r="L953" s="73" t="str">
        <f>IF($E953="","",DATE(YEAR($E953),MONTH($E953),1))</f>
        <v/>
      </c>
      <c r="M953" s="65" t="str">
        <f ca="1">IF($D953="","",IF($C953="TANIMSIZ MÜŞTERİ","HATA",IF(OR($E953="",$F953&lt;=0,$G953=""),"EKSİK",IF($E953&gt;TODAY(),"İLERİ TARİH",IF(COUNTIF($S$7:$S$2503,$S953)&gt;1,"MÜKERRER?",IF($T953&gt;0,"KAPALI DÖNEM","UYGUN"))))))</f>
        <v/>
      </c>
      <c r="N953" s="74" t="str">
        <f>IF($C953="","",IF($C953="TANIMSIZ MÜŞTERİ","—",INDEX(MUSTERILER!$C$7:$C$156,MATCH($C953,MUSTERILER!$B$7:$B$156,0))))</f>
        <v/>
      </c>
      <c r="O953" s="2"/>
      <c r="P953" s="2"/>
      <c r="Q953" s="1" t="str">
        <f>IF($D953="","",$C953&amp;"|"&amp;COUNTIFS($C$7:$C953,$C953))</f>
        <v/>
      </c>
      <c r="R953" s="1" t="str">
        <f t="shared" si="28"/>
        <v/>
      </c>
      <c r="S953" s="1" t="str">
        <f t="shared" si="29"/>
        <v/>
      </c>
      <c r="T953" s="1">
        <f>IF($E953="",0,SUMPRODUCT((AY_SONU!$O$7:$O$42="Evet")*(AY_SONU!$B$7:$B$42=DATE(YEAR($E953),MONTH($E953),1))))</f>
        <v>0</v>
      </c>
      <c r="U953" s="1" t="str">
        <f>IF(OR($G953="",$H953="Mahsup"),"",$G953&amp;"|"&amp;COUNTIFS($G$7:$G953,$G953,$H$7:$H953,"&lt;&gt;Mahsup"))</f>
        <v/>
      </c>
    </row>
    <row r="954" spans="1:21" ht="18" customHeight="1" x14ac:dyDescent="0.3">
      <c r="A954" s="2"/>
      <c r="B954" s="65" t="str">
        <f>IF($D954="","","T"&amp;TEXT(ROW()-6,"00000"))</f>
        <v/>
      </c>
      <c r="C954" s="65" t="str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61"/>
      <c r="E954" s="66"/>
      <c r="F954" s="67"/>
      <c r="G954" s="60"/>
      <c r="H954" s="60"/>
      <c r="I954" s="61"/>
      <c r="J954" s="61"/>
      <c r="K954" s="61"/>
      <c r="L954" s="73" t="str">
        <f>IF($E954="","",DATE(YEAR($E954),MONTH($E954),1))</f>
        <v/>
      </c>
      <c r="M954" s="65" t="str">
        <f ca="1">IF($D954="","",IF($C954="TANIMSIZ MÜŞTERİ","HATA",IF(OR($E954="",$F954&lt;=0,$G954=""),"EKSİK",IF($E954&gt;TODAY(),"İLERİ TARİH",IF(COUNTIF($S$7:$S$2503,$S954)&gt;1,"MÜKERRER?",IF($T954&gt;0,"KAPALI DÖNEM","UYGUN"))))))</f>
        <v/>
      </c>
      <c r="N954" s="74" t="str">
        <f>IF($C954="","",IF($C954="TANIMSIZ MÜŞTERİ","—",INDEX(MUSTERILER!$C$7:$C$156,MATCH($C954,MUSTERILER!$B$7:$B$156,0))))</f>
        <v/>
      </c>
      <c r="O954" s="2"/>
      <c r="P954" s="2"/>
      <c r="Q954" s="1" t="str">
        <f>IF($D954="","",$C954&amp;"|"&amp;COUNTIFS($C$7:$C954,$C954))</f>
        <v/>
      </c>
      <c r="R954" s="1" t="str">
        <f t="shared" si="28"/>
        <v/>
      </c>
      <c r="S954" s="1" t="str">
        <f t="shared" si="29"/>
        <v/>
      </c>
      <c r="T954" s="1">
        <f>IF($E954="",0,SUMPRODUCT((AY_SONU!$O$7:$O$42="Evet")*(AY_SONU!$B$7:$B$42=DATE(YEAR($E954),MONTH($E954),1))))</f>
        <v>0</v>
      </c>
      <c r="U954" s="1" t="str">
        <f>IF(OR($G954="",$H954="Mahsup"),"",$G954&amp;"|"&amp;COUNTIFS($G$7:$G954,$G954,$H$7:$H954,"&lt;&gt;Mahsup"))</f>
        <v/>
      </c>
    </row>
    <row r="955" spans="1:21" ht="18" customHeight="1" x14ac:dyDescent="0.3">
      <c r="A955" s="2"/>
      <c r="B955" s="65" t="str">
        <f>IF($D955="","","T"&amp;TEXT(ROW()-6,"00000"))</f>
        <v/>
      </c>
      <c r="C955" s="65" t="str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61"/>
      <c r="E955" s="66"/>
      <c r="F955" s="67"/>
      <c r="G955" s="60"/>
      <c r="H955" s="60"/>
      <c r="I955" s="61"/>
      <c r="J955" s="61"/>
      <c r="K955" s="61"/>
      <c r="L955" s="73" t="str">
        <f>IF($E955="","",DATE(YEAR($E955),MONTH($E955),1))</f>
        <v/>
      </c>
      <c r="M955" s="65" t="str">
        <f ca="1">IF($D955="","",IF($C955="TANIMSIZ MÜŞTERİ","HATA",IF(OR($E955="",$F955&lt;=0,$G955=""),"EKSİK",IF($E955&gt;TODAY(),"İLERİ TARİH",IF(COUNTIF($S$7:$S$2503,$S955)&gt;1,"MÜKERRER?",IF($T955&gt;0,"KAPALI DÖNEM","UYGUN"))))))</f>
        <v/>
      </c>
      <c r="N955" s="74" t="str">
        <f>IF($C955="","",IF($C955="TANIMSIZ MÜŞTERİ","—",INDEX(MUSTERILER!$C$7:$C$156,MATCH($C955,MUSTERILER!$B$7:$B$156,0))))</f>
        <v/>
      </c>
      <c r="O955" s="2"/>
      <c r="P955" s="2"/>
      <c r="Q955" s="1" t="str">
        <f>IF($D955="","",$C955&amp;"|"&amp;COUNTIFS($C$7:$C955,$C955))</f>
        <v/>
      </c>
      <c r="R955" s="1" t="str">
        <f t="shared" si="28"/>
        <v/>
      </c>
      <c r="S955" s="1" t="str">
        <f t="shared" si="29"/>
        <v/>
      </c>
      <c r="T955" s="1">
        <f>IF($E955="",0,SUMPRODUCT((AY_SONU!$O$7:$O$42="Evet")*(AY_SONU!$B$7:$B$42=DATE(YEAR($E955),MONTH($E955),1))))</f>
        <v>0</v>
      </c>
      <c r="U955" s="1" t="str">
        <f>IF(OR($G955="",$H955="Mahsup"),"",$G955&amp;"|"&amp;COUNTIFS($G$7:$G955,$G955,$H$7:$H955,"&lt;&gt;Mahsup"))</f>
        <v/>
      </c>
    </row>
    <row r="956" spans="1:21" ht="18" customHeight="1" x14ac:dyDescent="0.3">
      <c r="A956" s="2"/>
      <c r="B956" s="65" t="str">
        <f>IF($D956="","","T"&amp;TEXT(ROW()-6,"00000"))</f>
        <v/>
      </c>
      <c r="C956" s="65" t="str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61"/>
      <c r="E956" s="66"/>
      <c r="F956" s="67"/>
      <c r="G956" s="60"/>
      <c r="H956" s="60"/>
      <c r="I956" s="61"/>
      <c r="J956" s="61"/>
      <c r="K956" s="61"/>
      <c r="L956" s="73" t="str">
        <f>IF($E956="","",DATE(YEAR($E956),MONTH($E956),1))</f>
        <v/>
      </c>
      <c r="M956" s="65" t="str">
        <f ca="1">IF($D956="","",IF($C956="TANIMSIZ MÜŞTERİ","HATA",IF(OR($E956="",$F956&lt;=0,$G956=""),"EKSİK",IF($E956&gt;TODAY(),"İLERİ TARİH",IF(COUNTIF($S$7:$S$2503,$S956)&gt;1,"MÜKERRER?",IF($T956&gt;0,"KAPALI DÖNEM","UYGUN"))))))</f>
        <v/>
      </c>
      <c r="N956" s="74" t="str">
        <f>IF($C956="","",IF($C956="TANIMSIZ MÜŞTERİ","—",INDEX(MUSTERILER!$C$7:$C$156,MATCH($C956,MUSTERILER!$B$7:$B$156,0))))</f>
        <v/>
      </c>
      <c r="O956" s="2"/>
      <c r="P956" s="2"/>
      <c r="Q956" s="1" t="str">
        <f>IF($D956="","",$C956&amp;"|"&amp;COUNTIFS($C$7:$C956,$C956))</f>
        <v/>
      </c>
      <c r="R956" s="1" t="str">
        <f t="shared" si="28"/>
        <v/>
      </c>
      <c r="S956" s="1" t="str">
        <f t="shared" si="29"/>
        <v/>
      </c>
      <c r="T956" s="1">
        <f>IF($E956="",0,SUMPRODUCT((AY_SONU!$O$7:$O$42="Evet")*(AY_SONU!$B$7:$B$42=DATE(YEAR($E956),MONTH($E956),1))))</f>
        <v>0</v>
      </c>
      <c r="U956" s="1" t="str">
        <f>IF(OR($G956="",$H956="Mahsup"),"",$G956&amp;"|"&amp;COUNTIFS($G$7:$G956,$G956,$H$7:$H956,"&lt;&gt;Mahsup"))</f>
        <v/>
      </c>
    </row>
    <row r="957" spans="1:21" ht="18" customHeight="1" x14ac:dyDescent="0.3">
      <c r="A957" s="2"/>
      <c r="B957" s="65" t="str">
        <f>IF($D957="","","T"&amp;TEXT(ROW()-6,"00000"))</f>
        <v/>
      </c>
      <c r="C957" s="65" t="str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61"/>
      <c r="E957" s="66"/>
      <c r="F957" s="67"/>
      <c r="G957" s="60"/>
      <c r="H957" s="60"/>
      <c r="I957" s="61"/>
      <c r="J957" s="61"/>
      <c r="K957" s="61"/>
      <c r="L957" s="73" t="str">
        <f>IF($E957="","",DATE(YEAR($E957),MONTH($E957),1))</f>
        <v/>
      </c>
      <c r="M957" s="65" t="str">
        <f ca="1">IF($D957="","",IF($C957="TANIMSIZ MÜŞTERİ","HATA",IF(OR($E957="",$F957&lt;=0,$G957=""),"EKSİK",IF($E957&gt;TODAY(),"İLERİ TARİH",IF(COUNTIF($S$7:$S$2503,$S957)&gt;1,"MÜKERRER?",IF($T957&gt;0,"KAPALI DÖNEM","UYGUN"))))))</f>
        <v/>
      </c>
      <c r="N957" s="74" t="str">
        <f>IF($C957="","",IF($C957="TANIMSIZ MÜŞTERİ","—",INDEX(MUSTERILER!$C$7:$C$156,MATCH($C957,MUSTERILER!$B$7:$B$156,0))))</f>
        <v/>
      </c>
      <c r="O957" s="2"/>
      <c r="P957" s="2"/>
      <c r="Q957" s="1" t="str">
        <f>IF($D957="","",$C957&amp;"|"&amp;COUNTIFS($C$7:$C957,$C957))</f>
        <v/>
      </c>
      <c r="R957" s="1" t="str">
        <f t="shared" si="28"/>
        <v/>
      </c>
      <c r="S957" s="1" t="str">
        <f t="shared" si="29"/>
        <v/>
      </c>
      <c r="T957" s="1">
        <f>IF($E957="",0,SUMPRODUCT((AY_SONU!$O$7:$O$42="Evet")*(AY_SONU!$B$7:$B$42=DATE(YEAR($E957),MONTH($E957),1))))</f>
        <v>0</v>
      </c>
      <c r="U957" s="1" t="str">
        <f>IF(OR($G957="",$H957="Mahsup"),"",$G957&amp;"|"&amp;COUNTIFS($G$7:$G957,$G957,$H$7:$H957,"&lt;&gt;Mahsup"))</f>
        <v/>
      </c>
    </row>
    <row r="958" spans="1:21" ht="18" customHeight="1" x14ac:dyDescent="0.3">
      <c r="A958" s="2"/>
      <c r="B958" s="65" t="str">
        <f>IF($D958="","","T"&amp;TEXT(ROW()-6,"00000"))</f>
        <v/>
      </c>
      <c r="C958" s="65" t="str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61"/>
      <c r="E958" s="66"/>
      <c r="F958" s="67"/>
      <c r="G958" s="60"/>
      <c r="H958" s="60"/>
      <c r="I958" s="61"/>
      <c r="J958" s="61"/>
      <c r="K958" s="61"/>
      <c r="L958" s="73" t="str">
        <f>IF($E958="","",DATE(YEAR($E958),MONTH($E958),1))</f>
        <v/>
      </c>
      <c r="M958" s="65" t="str">
        <f ca="1">IF($D958="","",IF($C958="TANIMSIZ MÜŞTERİ","HATA",IF(OR($E958="",$F958&lt;=0,$G958=""),"EKSİK",IF($E958&gt;TODAY(),"İLERİ TARİH",IF(COUNTIF($S$7:$S$2503,$S958)&gt;1,"MÜKERRER?",IF($T958&gt;0,"KAPALI DÖNEM","UYGUN"))))))</f>
        <v/>
      </c>
      <c r="N958" s="74" t="str">
        <f>IF($C958="","",IF($C958="TANIMSIZ MÜŞTERİ","—",INDEX(MUSTERILER!$C$7:$C$156,MATCH($C958,MUSTERILER!$B$7:$B$156,0))))</f>
        <v/>
      </c>
      <c r="O958" s="2"/>
      <c r="P958" s="2"/>
      <c r="Q958" s="1" t="str">
        <f>IF($D958="","",$C958&amp;"|"&amp;COUNTIFS($C$7:$C958,$C958))</f>
        <v/>
      </c>
      <c r="R958" s="1" t="str">
        <f t="shared" si="28"/>
        <v/>
      </c>
      <c r="S958" s="1" t="str">
        <f t="shared" si="29"/>
        <v/>
      </c>
      <c r="T958" s="1">
        <f>IF($E958="",0,SUMPRODUCT((AY_SONU!$O$7:$O$42="Evet")*(AY_SONU!$B$7:$B$42=DATE(YEAR($E958),MONTH($E958),1))))</f>
        <v>0</v>
      </c>
      <c r="U958" s="1" t="str">
        <f>IF(OR($G958="",$H958="Mahsup"),"",$G958&amp;"|"&amp;COUNTIFS($G$7:$G958,$G958,$H$7:$H958,"&lt;&gt;Mahsup"))</f>
        <v/>
      </c>
    </row>
    <row r="959" spans="1:21" ht="18" customHeight="1" x14ac:dyDescent="0.3">
      <c r="A959" s="2"/>
      <c r="B959" s="65" t="str">
        <f>IF($D959="","","T"&amp;TEXT(ROW()-6,"00000"))</f>
        <v/>
      </c>
      <c r="C959" s="65" t="str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61"/>
      <c r="E959" s="66"/>
      <c r="F959" s="67"/>
      <c r="G959" s="60"/>
      <c r="H959" s="60"/>
      <c r="I959" s="61"/>
      <c r="J959" s="61"/>
      <c r="K959" s="61"/>
      <c r="L959" s="73" t="str">
        <f>IF($E959="","",DATE(YEAR($E959),MONTH($E959),1))</f>
        <v/>
      </c>
      <c r="M959" s="65" t="str">
        <f ca="1">IF($D959="","",IF($C959="TANIMSIZ MÜŞTERİ","HATA",IF(OR($E959="",$F959&lt;=0,$G959=""),"EKSİK",IF($E959&gt;TODAY(),"İLERİ TARİH",IF(COUNTIF($S$7:$S$2503,$S959)&gt;1,"MÜKERRER?",IF($T959&gt;0,"KAPALI DÖNEM","UYGUN"))))))</f>
        <v/>
      </c>
      <c r="N959" s="74" t="str">
        <f>IF($C959="","",IF($C959="TANIMSIZ MÜŞTERİ","—",INDEX(MUSTERILER!$C$7:$C$156,MATCH($C959,MUSTERILER!$B$7:$B$156,0))))</f>
        <v/>
      </c>
      <c r="O959" s="2"/>
      <c r="P959" s="2"/>
      <c r="Q959" s="1" t="str">
        <f>IF($D959="","",$C959&amp;"|"&amp;COUNTIFS($C$7:$C959,$C959))</f>
        <v/>
      </c>
      <c r="R959" s="1" t="str">
        <f t="shared" si="28"/>
        <v/>
      </c>
      <c r="S959" s="1" t="str">
        <f t="shared" si="29"/>
        <v/>
      </c>
      <c r="T959" s="1">
        <f>IF($E959="",0,SUMPRODUCT((AY_SONU!$O$7:$O$42="Evet")*(AY_SONU!$B$7:$B$42=DATE(YEAR($E959),MONTH($E959),1))))</f>
        <v>0</v>
      </c>
      <c r="U959" s="1" t="str">
        <f>IF(OR($G959="",$H959="Mahsup"),"",$G959&amp;"|"&amp;COUNTIFS($G$7:$G959,$G959,$H$7:$H959,"&lt;&gt;Mahsup"))</f>
        <v/>
      </c>
    </row>
    <row r="960" spans="1:21" ht="18" customHeight="1" x14ac:dyDescent="0.3">
      <c r="A960" s="2"/>
      <c r="B960" s="65" t="str">
        <f>IF($D960="","","T"&amp;TEXT(ROW()-6,"00000"))</f>
        <v/>
      </c>
      <c r="C960" s="65" t="str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61"/>
      <c r="E960" s="66"/>
      <c r="F960" s="67"/>
      <c r="G960" s="60"/>
      <c r="H960" s="60"/>
      <c r="I960" s="61"/>
      <c r="J960" s="61"/>
      <c r="K960" s="61"/>
      <c r="L960" s="73" t="str">
        <f>IF($E960="","",DATE(YEAR($E960),MONTH($E960),1))</f>
        <v/>
      </c>
      <c r="M960" s="65" t="str">
        <f ca="1">IF($D960="","",IF($C960="TANIMSIZ MÜŞTERİ","HATA",IF(OR($E960="",$F960&lt;=0,$G960=""),"EKSİK",IF($E960&gt;TODAY(),"İLERİ TARİH",IF(COUNTIF($S$7:$S$2503,$S960)&gt;1,"MÜKERRER?",IF($T960&gt;0,"KAPALI DÖNEM","UYGUN"))))))</f>
        <v/>
      </c>
      <c r="N960" s="74" t="str">
        <f>IF($C960="","",IF($C960="TANIMSIZ MÜŞTERİ","—",INDEX(MUSTERILER!$C$7:$C$156,MATCH($C960,MUSTERILER!$B$7:$B$156,0))))</f>
        <v/>
      </c>
      <c r="O960" s="2"/>
      <c r="P960" s="2"/>
      <c r="Q960" s="1" t="str">
        <f>IF($D960="","",$C960&amp;"|"&amp;COUNTIFS($C$7:$C960,$C960))</f>
        <v/>
      </c>
      <c r="R960" s="1" t="str">
        <f t="shared" si="28"/>
        <v/>
      </c>
      <c r="S960" s="1" t="str">
        <f t="shared" si="29"/>
        <v/>
      </c>
      <c r="T960" s="1">
        <f>IF($E960="",0,SUMPRODUCT((AY_SONU!$O$7:$O$42="Evet")*(AY_SONU!$B$7:$B$42=DATE(YEAR($E960),MONTH($E960),1))))</f>
        <v>0</v>
      </c>
      <c r="U960" s="1" t="str">
        <f>IF(OR($G960="",$H960="Mahsup"),"",$G960&amp;"|"&amp;COUNTIFS($G$7:$G960,$G960,$H$7:$H960,"&lt;&gt;Mahsup"))</f>
        <v/>
      </c>
    </row>
    <row r="961" spans="1:21" ht="18" customHeight="1" x14ac:dyDescent="0.3">
      <c r="A961" s="2"/>
      <c r="B961" s="65" t="str">
        <f>IF($D961="","","T"&amp;TEXT(ROW()-6,"00000"))</f>
        <v/>
      </c>
      <c r="C961" s="65" t="str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61"/>
      <c r="E961" s="66"/>
      <c r="F961" s="67"/>
      <c r="G961" s="60"/>
      <c r="H961" s="60"/>
      <c r="I961" s="61"/>
      <c r="J961" s="61"/>
      <c r="K961" s="61"/>
      <c r="L961" s="73" t="str">
        <f>IF($E961="","",DATE(YEAR($E961),MONTH($E961),1))</f>
        <v/>
      </c>
      <c r="M961" s="65" t="str">
        <f ca="1">IF($D961="","",IF($C961="TANIMSIZ MÜŞTERİ","HATA",IF(OR($E961="",$F961&lt;=0,$G961=""),"EKSİK",IF($E961&gt;TODAY(),"İLERİ TARİH",IF(COUNTIF($S$7:$S$2503,$S961)&gt;1,"MÜKERRER?",IF($T961&gt;0,"KAPALI DÖNEM","UYGUN"))))))</f>
        <v/>
      </c>
      <c r="N961" s="74" t="str">
        <f>IF($C961="","",IF($C961="TANIMSIZ MÜŞTERİ","—",INDEX(MUSTERILER!$C$7:$C$156,MATCH($C961,MUSTERILER!$B$7:$B$156,0))))</f>
        <v/>
      </c>
      <c r="O961" s="2"/>
      <c r="P961" s="2"/>
      <c r="Q961" s="1" t="str">
        <f>IF($D961="","",$C961&amp;"|"&amp;COUNTIFS($C$7:$C961,$C961))</f>
        <v/>
      </c>
      <c r="R961" s="1" t="str">
        <f t="shared" si="28"/>
        <v/>
      </c>
      <c r="S961" s="1" t="str">
        <f t="shared" si="29"/>
        <v/>
      </c>
      <c r="T961" s="1">
        <f>IF($E961="",0,SUMPRODUCT((AY_SONU!$O$7:$O$42="Evet")*(AY_SONU!$B$7:$B$42=DATE(YEAR($E961),MONTH($E961),1))))</f>
        <v>0</v>
      </c>
      <c r="U961" s="1" t="str">
        <f>IF(OR($G961="",$H961="Mahsup"),"",$G961&amp;"|"&amp;COUNTIFS($G$7:$G961,$G961,$H$7:$H961,"&lt;&gt;Mahsup"))</f>
        <v/>
      </c>
    </row>
    <row r="962" spans="1:21" ht="18" customHeight="1" x14ac:dyDescent="0.3">
      <c r="A962" s="2"/>
      <c r="B962" s="65" t="str">
        <f>IF($D962="","","T"&amp;TEXT(ROW()-6,"00000"))</f>
        <v/>
      </c>
      <c r="C962" s="65" t="str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61"/>
      <c r="E962" s="66"/>
      <c r="F962" s="67"/>
      <c r="G962" s="60"/>
      <c r="H962" s="60"/>
      <c r="I962" s="61"/>
      <c r="J962" s="61"/>
      <c r="K962" s="61"/>
      <c r="L962" s="73" t="str">
        <f>IF($E962="","",DATE(YEAR($E962),MONTH($E962),1))</f>
        <v/>
      </c>
      <c r="M962" s="65" t="str">
        <f ca="1">IF($D962="","",IF($C962="TANIMSIZ MÜŞTERİ","HATA",IF(OR($E962="",$F962&lt;=0,$G962=""),"EKSİK",IF($E962&gt;TODAY(),"İLERİ TARİH",IF(COUNTIF($S$7:$S$2503,$S962)&gt;1,"MÜKERRER?",IF($T962&gt;0,"KAPALI DÖNEM","UYGUN"))))))</f>
        <v/>
      </c>
      <c r="N962" s="74" t="str">
        <f>IF($C962="","",IF($C962="TANIMSIZ MÜŞTERİ","—",INDEX(MUSTERILER!$C$7:$C$156,MATCH($C962,MUSTERILER!$B$7:$B$156,0))))</f>
        <v/>
      </c>
      <c r="O962" s="2"/>
      <c r="P962" s="2"/>
      <c r="Q962" s="1" t="str">
        <f>IF($D962="","",$C962&amp;"|"&amp;COUNTIFS($C$7:$C962,$C962))</f>
        <v/>
      </c>
      <c r="R962" s="1" t="str">
        <f t="shared" si="28"/>
        <v/>
      </c>
      <c r="S962" s="1" t="str">
        <f t="shared" si="29"/>
        <v/>
      </c>
      <c r="T962" s="1">
        <f>IF($E962="",0,SUMPRODUCT((AY_SONU!$O$7:$O$42="Evet")*(AY_SONU!$B$7:$B$42=DATE(YEAR($E962),MONTH($E962),1))))</f>
        <v>0</v>
      </c>
      <c r="U962" s="1" t="str">
        <f>IF(OR($G962="",$H962="Mahsup"),"",$G962&amp;"|"&amp;COUNTIFS($G$7:$G962,$G962,$H$7:$H962,"&lt;&gt;Mahsup"))</f>
        <v/>
      </c>
    </row>
    <row r="963" spans="1:21" ht="18" customHeight="1" x14ac:dyDescent="0.3">
      <c r="A963" s="2"/>
      <c r="B963" s="65" t="str">
        <f>IF($D963="","","T"&amp;TEXT(ROW()-6,"00000"))</f>
        <v/>
      </c>
      <c r="C963" s="65" t="str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61"/>
      <c r="E963" s="66"/>
      <c r="F963" s="67"/>
      <c r="G963" s="60"/>
      <c r="H963" s="60"/>
      <c r="I963" s="61"/>
      <c r="J963" s="61"/>
      <c r="K963" s="61"/>
      <c r="L963" s="73" t="str">
        <f>IF($E963="","",DATE(YEAR($E963),MONTH($E963),1))</f>
        <v/>
      </c>
      <c r="M963" s="65" t="str">
        <f ca="1">IF($D963="","",IF($C963="TANIMSIZ MÜŞTERİ","HATA",IF(OR($E963="",$F963&lt;=0,$G963=""),"EKSİK",IF($E963&gt;TODAY(),"İLERİ TARİH",IF(COUNTIF($S$7:$S$2503,$S963)&gt;1,"MÜKERRER?",IF($T963&gt;0,"KAPALI DÖNEM","UYGUN"))))))</f>
        <v/>
      </c>
      <c r="N963" s="74" t="str">
        <f>IF($C963="","",IF($C963="TANIMSIZ MÜŞTERİ","—",INDEX(MUSTERILER!$C$7:$C$156,MATCH($C963,MUSTERILER!$B$7:$B$156,0))))</f>
        <v/>
      </c>
      <c r="O963" s="2"/>
      <c r="P963" s="2"/>
      <c r="Q963" s="1" t="str">
        <f>IF($D963="","",$C963&amp;"|"&amp;COUNTIFS($C$7:$C963,$C963))</f>
        <v/>
      </c>
      <c r="R963" s="1" t="str">
        <f t="shared" si="28"/>
        <v/>
      </c>
      <c r="S963" s="1" t="str">
        <f t="shared" si="29"/>
        <v/>
      </c>
      <c r="T963" s="1">
        <f>IF($E963="",0,SUMPRODUCT((AY_SONU!$O$7:$O$42="Evet")*(AY_SONU!$B$7:$B$42=DATE(YEAR($E963),MONTH($E963),1))))</f>
        <v>0</v>
      </c>
      <c r="U963" s="1" t="str">
        <f>IF(OR($G963="",$H963="Mahsup"),"",$G963&amp;"|"&amp;COUNTIFS($G$7:$G963,$G963,$H$7:$H963,"&lt;&gt;Mahsup"))</f>
        <v/>
      </c>
    </row>
    <row r="964" spans="1:21" ht="18" customHeight="1" x14ac:dyDescent="0.3">
      <c r="A964" s="2"/>
      <c r="B964" s="65" t="str">
        <f>IF($D964="","","T"&amp;TEXT(ROW()-6,"00000"))</f>
        <v/>
      </c>
      <c r="C964" s="65" t="str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61"/>
      <c r="E964" s="66"/>
      <c r="F964" s="67"/>
      <c r="G964" s="60"/>
      <c r="H964" s="60"/>
      <c r="I964" s="61"/>
      <c r="J964" s="61"/>
      <c r="K964" s="61"/>
      <c r="L964" s="73" t="str">
        <f>IF($E964="","",DATE(YEAR($E964),MONTH($E964),1))</f>
        <v/>
      </c>
      <c r="M964" s="65" t="str">
        <f ca="1">IF($D964="","",IF($C964="TANIMSIZ MÜŞTERİ","HATA",IF(OR($E964="",$F964&lt;=0,$G964=""),"EKSİK",IF($E964&gt;TODAY(),"İLERİ TARİH",IF(COUNTIF($S$7:$S$2503,$S964)&gt;1,"MÜKERRER?",IF($T964&gt;0,"KAPALI DÖNEM","UYGUN"))))))</f>
        <v/>
      </c>
      <c r="N964" s="74" t="str">
        <f>IF($C964="","",IF($C964="TANIMSIZ MÜŞTERİ","—",INDEX(MUSTERILER!$C$7:$C$156,MATCH($C964,MUSTERILER!$B$7:$B$156,0))))</f>
        <v/>
      </c>
      <c r="O964" s="2"/>
      <c r="P964" s="2"/>
      <c r="Q964" s="1" t="str">
        <f>IF($D964="","",$C964&amp;"|"&amp;COUNTIFS($C$7:$C964,$C964))</f>
        <v/>
      </c>
      <c r="R964" s="1" t="str">
        <f t="shared" si="28"/>
        <v/>
      </c>
      <c r="S964" s="1" t="str">
        <f t="shared" si="29"/>
        <v/>
      </c>
      <c r="T964" s="1">
        <f>IF($E964="",0,SUMPRODUCT((AY_SONU!$O$7:$O$42="Evet")*(AY_SONU!$B$7:$B$42=DATE(YEAR($E964),MONTH($E964),1))))</f>
        <v>0</v>
      </c>
      <c r="U964" s="1" t="str">
        <f>IF(OR($G964="",$H964="Mahsup"),"",$G964&amp;"|"&amp;COUNTIFS($G$7:$G964,$G964,$H$7:$H964,"&lt;&gt;Mahsup"))</f>
        <v/>
      </c>
    </row>
    <row r="965" spans="1:21" ht="18" customHeight="1" x14ac:dyDescent="0.3">
      <c r="A965" s="2"/>
      <c r="B965" s="65" t="str">
        <f>IF($D965="","","T"&amp;TEXT(ROW()-6,"00000"))</f>
        <v/>
      </c>
      <c r="C965" s="65" t="str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61"/>
      <c r="E965" s="66"/>
      <c r="F965" s="67"/>
      <c r="G965" s="60"/>
      <c r="H965" s="60"/>
      <c r="I965" s="61"/>
      <c r="J965" s="61"/>
      <c r="K965" s="61"/>
      <c r="L965" s="73" t="str">
        <f>IF($E965="","",DATE(YEAR($E965),MONTH($E965),1))</f>
        <v/>
      </c>
      <c r="M965" s="65" t="str">
        <f ca="1">IF($D965="","",IF($C965="TANIMSIZ MÜŞTERİ","HATA",IF(OR($E965="",$F965&lt;=0,$G965=""),"EKSİK",IF($E965&gt;TODAY(),"İLERİ TARİH",IF(COUNTIF($S$7:$S$2503,$S965)&gt;1,"MÜKERRER?",IF($T965&gt;0,"KAPALI DÖNEM","UYGUN"))))))</f>
        <v/>
      </c>
      <c r="N965" s="74" t="str">
        <f>IF($C965="","",IF($C965="TANIMSIZ MÜŞTERİ","—",INDEX(MUSTERILER!$C$7:$C$156,MATCH($C965,MUSTERILER!$B$7:$B$156,0))))</f>
        <v/>
      </c>
      <c r="O965" s="2"/>
      <c r="P965" s="2"/>
      <c r="Q965" s="1" t="str">
        <f>IF($D965="","",$C965&amp;"|"&amp;COUNTIFS($C$7:$C965,$C965))</f>
        <v/>
      </c>
      <c r="R965" s="1" t="str">
        <f t="shared" si="28"/>
        <v/>
      </c>
      <c r="S965" s="1" t="str">
        <f t="shared" si="29"/>
        <v/>
      </c>
      <c r="T965" s="1">
        <f>IF($E965="",0,SUMPRODUCT((AY_SONU!$O$7:$O$42="Evet")*(AY_SONU!$B$7:$B$42=DATE(YEAR($E965),MONTH($E965),1))))</f>
        <v>0</v>
      </c>
      <c r="U965" s="1" t="str">
        <f>IF(OR($G965="",$H965="Mahsup"),"",$G965&amp;"|"&amp;COUNTIFS($G$7:$G965,$G965,$H$7:$H965,"&lt;&gt;Mahsup"))</f>
        <v/>
      </c>
    </row>
    <row r="966" spans="1:21" ht="18" customHeight="1" x14ac:dyDescent="0.3">
      <c r="A966" s="2"/>
      <c r="B966" s="65" t="str">
        <f>IF($D966="","","T"&amp;TEXT(ROW()-6,"00000"))</f>
        <v/>
      </c>
      <c r="C966" s="65" t="str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61"/>
      <c r="E966" s="66"/>
      <c r="F966" s="67"/>
      <c r="G966" s="60"/>
      <c r="H966" s="60"/>
      <c r="I966" s="61"/>
      <c r="J966" s="61"/>
      <c r="K966" s="61"/>
      <c r="L966" s="73" t="str">
        <f>IF($E966="","",DATE(YEAR($E966),MONTH($E966),1))</f>
        <v/>
      </c>
      <c r="M966" s="65" t="str">
        <f ca="1">IF($D966="","",IF($C966="TANIMSIZ MÜŞTERİ","HATA",IF(OR($E966="",$F966&lt;=0,$G966=""),"EKSİK",IF($E966&gt;TODAY(),"İLERİ TARİH",IF(COUNTIF($S$7:$S$2503,$S966)&gt;1,"MÜKERRER?",IF($T966&gt;0,"KAPALI DÖNEM","UYGUN"))))))</f>
        <v/>
      </c>
      <c r="N966" s="74" t="str">
        <f>IF($C966="","",IF($C966="TANIMSIZ MÜŞTERİ","—",INDEX(MUSTERILER!$C$7:$C$156,MATCH($C966,MUSTERILER!$B$7:$B$156,0))))</f>
        <v/>
      </c>
      <c r="O966" s="2"/>
      <c r="P966" s="2"/>
      <c r="Q966" s="1" t="str">
        <f>IF($D966="","",$C966&amp;"|"&amp;COUNTIFS($C$7:$C966,$C966))</f>
        <v/>
      </c>
      <c r="R966" s="1" t="str">
        <f t="shared" si="28"/>
        <v/>
      </c>
      <c r="S966" s="1" t="str">
        <f t="shared" si="29"/>
        <v/>
      </c>
      <c r="T966" s="1">
        <f>IF($E966="",0,SUMPRODUCT((AY_SONU!$O$7:$O$42="Evet")*(AY_SONU!$B$7:$B$42=DATE(YEAR($E966),MONTH($E966),1))))</f>
        <v>0</v>
      </c>
      <c r="U966" s="1" t="str">
        <f>IF(OR($G966="",$H966="Mahsup"),"",$G966&amp;"|"&amp;COUNTIFS($G$7:$G966,$G966,$H$7:$H966,"&lt;&gt;Mahsup"))</f>
        <v/>
      </c>
    </row>
    <row r="967" spans="1:21" ht="18" customHeight="1" x14ac:dyDescent="0.3">
      <c r="A967" s="2"/>
      <c r="B967" s="65" t="str">
        <f>IF($D967="","","T"&amp;TEXT(ROW()-6,"00000"))</f>
        <v/>
      </c>
      <c r="C967" s="65" t="str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61"/>
      <c r="E967" s="66"/>
      <c r="F967" s="67"/>
      <c r="G967" s="60"/>
      <c r="H967" s="60"/>
      <c r="I967" s="61"/>
      <c r="J967" s="61"/>
      <c r="K967" s="61"/>
      <c r="L967" s="73" t="str">
        <f>IF($E967="","",DATE(YEAR($E967),MONTH($E967),1))</f>
        <v/>
      </c>
      <c r="M967" s="65" t="str">
        <f ca="1">IF($D967="","",IF($C967="TANIMSIZ MÜŞTERİ","HATA",IF(OR($E967="",$F967&lt;=0,$G967=""),"EKSİK",IF($E967&gt;TODAY(),"İLERİ TARİH",IF(COUNTIF($S$7:$S$2503,$S967)&gt;1,"MÜKERRER?",IF($T967&gt;0,"KAPALI DÖNEM","UYGUN"))))))</f>
        <v/>
      </c>
      <c r="N967" s="74" t="str">
        <f>IF($C967="","",IF($C967="TANIMSIZ MÜŞTERİ","—",INDEX(MUSTERILER!$C$7:$C$156,MATCH($C967,MUSTERILER!$B$7:$B$156,0))))</f>
        <v/>
      </c>
      <c r="O967" s="2"/>
      <c r="P967" s="2"/>
      <c r="Q967" s="1" t="str">
        <f>IF($D967="","",$C967&amp;"|"&amp;COUNTIFS($C$7:$C967,$C967))</f>
        <v/>
      </c>
      <c r="R967" s="1" t="str">
        <f t="shared" ref="R967:R1030" si="30"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" t="str">
        <f t="shared" ref="S967:S1030" si="31">IF($D967="","",$C967&amp;"|"&amp;TEXT($E967,"0")&amp;"|"&amp;TEXT($F967,"0")&amp;"|"&amp;$I967)</f>
        <v/>
      </c>
      <c r="T967" s="1">
        <f>IF($E967="",0,SUMPRODUCT((AY_SONU!$O$7:$O$42="Evet")*(AY_SONU!$B$7:$B$42=DATE(YEAR($E967),MONTH($E967),1))))</f>
        <v>0</v>
      </c>
      <c r="U967" s="1" t="str">
        <f>IF(OR($G967="",$H967="Mahsup"),"",$G967&amp;"|"&amp;COUNTIFS($G$7:$G967,$G967,$H$7:$H967,"&lt;&gt;Mahsup"))</f>
        <v/>
      </c>
    </row>
    <row r="968" spans="1:21" ht="18" customHeight="1" x14ac:dyDescent="0.3">
      <c r="A968" s="2"/>
      <c r="B968" s="65" t="str">
        <f>IF($D968="","","T"&amp;TEXT(ROW()-6,"00000"))</f>
        <v/>
      </c>
      <c r="C968" s="65" t="str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61"/>
      <c r="E968" s="66"/>
      <c r="F968" s="67"/>
      <c r="G968" s="60"/>
      <c r="H968" s="60"/>
      <c r="I968" s="61"/>
      <c r="J968" s="61"/>
      <c r="K968" s="61"/>
      <c r="L968" s="73" t="str">
        <f>IF($E968="","",DATE(YEAR($E968),MONTH($E968),1))</f>
        <v/>
      </c>
      <c r="M968" s="65" t="str">
        <f ca="1">IF($D968="","",IF($C968="TANIMSIZ MÜŞTERİ","HATA",IF(OR($E968="",$F968&lt;=0,$G968=""),"EKSİK",IF($E968&gt;TODAY(),"İLERİ TARİH",IF(COUNTIF($S$7:$S$2503,$S968)&gt;1,"MÜKERRER?",IF($T968&gt;0,"KAPALI DÖNEM","UYGUN"))))))</f>
        <v/>
      </c>
      <c r="N968" s="74" t="str">
        <f>IF($C968="","",IF($C968="TANIMSIZ MÜŞTERİ","—",INDEX(MUSTERILER!$C$7:$C$156,MATCH($C968,MUSTERILER!$B$7:$B$156,0))))</f>
        <v/>
      </c>
      <c r="O968" s="2"/>
      <c r="P968" s="2"/>
      <c r="Q968" s="1" t="str">
        <f>IF($D968="","",$C968&amp;"|"&amp;COUNTIFS($C$7:$C968,$C968))</f>
        <v/>
      </c>
      <c r="R968" s="1" t="str">
        <f t="shared" si="30"/>
        <v/>
      </c>
      <c r="S968" s="1" t="str">
        <f t="shared" si="31"/>
        <v/>
      </c>
      <c r="T968" s="1">
        <f>IF($E968="",0,SUMPRODUCT((AY_SONU!$O$7:$O$42="Evet")*(AY_SONU!$B$7:$B$42=DATE(YEAR($E968),MONTH($E968),1))))</f>
        <v>0</v>
      </c>
      <c r="U968" s="1" t="str">
        <f>IF(OR($G968="",$H968="Mahsup"),"",$G968&amp;"|"&amp;COUNTIFS($G$7:$G968,$G968,$H$7:$H968,"&lt;&gt;Mahsup"))</f>
        <v/>
      </c>
    </row>
    <row r="969" spans="1:21" ht="18" customHeight="1" x14ac:dyDescent="0.3">
      <c r="A969" s="2"/>
      <c r="B969" s="65" t="str">
        <f>IF($D969="","","T"&amp;TEXT(ROW()-6,"00000"))</f>
        <v/>
      </c>
      <c r="C969" s="65" t="str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61"/>
      <c r="E969" s="66"/>
      <c r="F969" s="67"/>
      <c r="G969" s="60"/>
      <c r="H969" s="60"/>
      <c r="I969" s="61"/>
      <c r="J969" s="61"/>
      <c r="K969" s="61"/>
      <c r="L969" s="73" t="str">
        <f>IF($E969="","",DATE(YEAR($E969),MONTH($E969),1))</f>
        <v/>
      </c>
      <c r="M969" s="65" t="str">
        <f ca="1">IF($D969="","",IF($C969="TANIMSIZ MÜŞTERİ","HATA",IF(OR($E969="",$F969&lt;=0,$G969=""),"EKSİK",IF($E969&gt;TODAY(),"İLERİ TARİH",IF(COUNTIF($S$7:$S$2503,$S969)&gt;1,"MÜKERRER?",IF($T969&gt;0,"KAPALI DÖNEM","UYGUN"))))))</f>
        <v/>
      </c>
      <c r="N969" s="74" t="str">
        <f>IF($C969="","",IF($C969="TANIMSIZ MÜŞTERİ","—",INDEX(MUSTERILER!$C$7:$C$156,MATCH($C969,MUSTERILER!$B$7:$B$156,0))))</f>
        <v/>
      </c>
      <c r="O969" s="2"/>
      <c r="P969" s="2"/>
      <c r="Q969" s="1" t="str">
        <f>IF($D969="","",$C969&amp;"|"&amp;COUNTIFS($C$7:$C969,$C969))</f>
        <v/>
      </c>
      <c r="R969" s="1" t="str">
        <f t="shared" si="30"/>
        <v/>
      </c>
      <c r="S969" s="1" t="str">
        <f t="shared" si="31"/>
        <v/>
      </c>
      <c r="T969" s="1">
        <f>IF($E969="",0,SUMPRODUCT((AY_SONU!$O$7:$O$42="Evet")*(AY_SONU!$B$7:$B$42=DATE(YEAR($E969),MONTH($E969),1))))</f>
        <v>0</v>
      </c>
      <c r="U969" s="1" t="str">
        <f>IF(OR($G969="",$H969="Mahsup"),"",$G969&amp;"|"&amp;COUNTIFS($G$7:$G969,$G969,$H$7:$H969,"&lt;&gt;Mahsup"))</f>
        <v/>
      </c>
    </row>
    <row r="970" spans="1:21" ht="18" customHeight="1" x14ac:dyDescent="0.3">
      <c r="A970" s="2"/>
      <c r="B970" s="65" t="str">
        <f>IF($D970="","","T"&amp;TEXT(ROW()-6,"00000"))</f>
        <v/>
      </c>
      <c r="C970" s="65" t="str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61"/>
      <c r="E970" s="66"/>
      <c r="F970" s="67"/>
      <c r="G970" s="60"/>
      <c r="H970" s="60"/>
      <c r="I970" s="61"/>
      <c r="J970" s="61"/>
      <c r="K970" s="61"/>
      <c r="L970" s="73" t="str">
        <f>IF($E970="","",DATE(YEAR($E970),MONTH($E970),1))</f>
        <v/>
      </c>
      <c r="M970" s="65" t="str">
        <f ca="1">IF($D970="","",IF($C970="TANIMSIZ MÜŞTERİ","HATA",IF(OR($E970="",$F970&lt;=0,$G970=""),"EKSİK",IF($E970&gt;TODAY(),"İLERİ TARİH",IF(COUNTIF($S$7:$S$2503,$S970)&gt;1,"MÜKERRER?",IF($T970&gt;0,"KAPALI DÖNEM","UYGUN"))))))</f>
        <v/>
      </c>
      <c r="N970" s="74" t="str">
        <f>IF($C970="","",IF($C970="TANIMSIZ MÜŞTERİ","—",INDEX(MUSTERILER!$C$7:$C$156,MATCH($C970,MUSTERILER!$B$7:$B$156,0))))</f>
        <v/>
      </c>
      <c r="O970" s="2"/>
      <c r="P970" s="2"/>
      <c r="Q970" s="1" t="str">
        <f>IF($D970="","",$C970&amp;"|"&amp;COUNTIFS($C$7:$C970,$C970))</f>
        <v/>
      </c>
      <c r="R970" s="1" t="str">
        <f t="shared" si="30"/>
        <v/>
      </c>
      <c r="S970" s="1" t="str">
        <f t="shared" si="31"/>
        <v/>
      </c>
      <c r="T970" s="1">
        <f>IF($E970="",0,SUMPRODUCT((AY_SONU!$O$7:$O$42="Evet")*(AY_SONU!$B$7:$B$42=DATE(YEAR($E970),MONTH($E970),1))))</f>
        <v>0</v>
      </c>
      <c r="U970" s="1" t="str">
        <f>IF(OR($G970="",$H970="Mahsup"),"",$G970&amp;"|"&amp;COUNTIFS($G$7:$G970,$G970,$H$7:$H970,"&lt;&gt;Mahsup"))</f>
        <v/>
      </c>
    </row>
    <row r="971" spans="1:21" ht="18" customHeight="1" x14ac:dyDescent="0.3">
      <c r="A971" s="2"/>
      <c r="B971" s="65" t="str">
        <f>IF($D971="","","T"&amp;TEXT(ROW()-6,"00000"))</f>
        <v/>
      </c>
      <c r="C971" s="65" t="str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61"/>
      <c r="E971" s="66"/>
      <c r="F971" s="67"/>
      <c r="G971" s="60"/>
      <c r="H971" s="60"/>
      <c r="I971" s="61"/>
      <c r="J971" s="61"/>
      <c r="K971" s="61"/>
      <c r="L971" s="73" t="str">
        <f>IF($E971="","",DATE(YEAR($E971),MONTH($E971),1))</f>
        <v/>
      </c>
      <c r="M971" s="65" t="str">
        <f ca="1">IF($D971="","",IF($C971="TANIMSIZ MÜŞTERİ","HATA",IF(OR($E971="",$F971&lt;=0,$G971=""),"EKSİK",IF($E971&gt;TODAY(),"İLERİ TARİH",IF(COUNTIF($S$7:$S$2503,$S971)&gt;1,"MÜKERRER?",IF($T971&gt;0,"KAPALI DÖNEM","UYGUN"))))))</f>
        <v/>
      </c>
      <c r="N971" s="74" t="str">
        <f>IF($C971="","",IF($C971="TANIMSIZ MÜŞTERİ","—",INDEX(MUSTERILER!$C$7:$C$156,MATCH($C971,MUSTERILER!$B$7:$B$156,0))))</f>
        <v/>
      </c>
      <c r="O971" s="2"/>
      <c r="P971" s="2"/>
      <c r="Q971" s="1" t="str">
        <f>IF($D971="","",$C971&amp;"|"&amp;COUNTIFS($C$7:$C971,$C971))</f>
        <v/>
      </c>
      <c r="R971" s="1" t="str">
        <f t="shared" si="30"/>
        <v/>
      </c>
      <c r="S971" s="1" t="str">
        <f t="shared" si="31"/>
        <v/>
      </c>
      <c r="T971" s="1">
        <f>IF($E971="",0,SUMPRODUCT((AY_SONU!$O$7:$O$42="Evet")*(AY_SONU!$B$7:$B$42=DATE(YEAR($E971),MONTH($E971),1))))</f>
        <v>0</v>
      </c>
      <c r="U971" s="1" t="str">
        <f>IF(OR($G971="",$H971="Mahsup"),"",$G971&amp;"|"&amp;COUNTIFS($G$7:$G971,$G971,$H$7:$H971,"&lt;&gt;Mahsup"))</f>
        <v/>
      </c>
    </row>
    <row r="972" spans="1:21" ht="18" customHeight="1" x14ac:dyDescent="0.3">
      <c r="A972" s="2"/>
      <c r="B972" s="65" t="str">
        <f>IF($D972="","","T"&amp;TEXT(ROW()-6,"00000"))</f>
        <v/>
      </c>
      <c r="C972" s="65" t="str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61"/>
      <c r="E972" s="66"/>
      <c r="F972" s="67"/>
      <c r="G972" s="60"/>
      <c r="H972" s="60"/>
      <c r="I972" s="61"/>
      <c r="J972" s="61"/>
      <c r="K972" s="61"/>
      <c r="L972" s="73" t="str">
        <f>IF($E972="","",DATE(YEAR($E972),MONTH($E972),1))</f>
        <v/>
      </c>
      <c r="M972" s="65" t="str">
        <f ca="1">IF($D972="","",IF($C972="TANIMSIZ MÜŞTERİ","HATA",IF(OR($E972="",$F972&lt;=0,$G972=""),"EKSİK",IF($E972&gt;TODAY(),"İLERİ TARİH",IF(COUNTIF($S$7:$S$2503,$S972)&gt;1,"MÜKERRER?",IF($T972&gt;0,"KAPALI DÖNEM","UYGUN"))))))</f>
        <v/>
      </c>
      <c r="N972" s="74" t="str">
        <f>IF($C972="","",IF($C972="TANIMSIZ MÜŞTERİ","—",INDEX(MUSTERILER!$C$7:$C$156,MATCH($C972,MUSTERILER!$B$7:$B$156,0))))</f>
        <v/>
      </c>
      <c r="O972" s="2"/>
      <c r="P972" s="2"/>
      <c r="Q972" s="1" t="str">
        <f>IF($D972="","",$C972&amp;"|"&amp;COUNTIFS($C$7:$C972,$C972))</f>
        <v/>
      </c>
      <c r="R972" s="1" t="str">
        <f t="shared" si="30"/>
        <v/>
      </c>
      <c r="S972" s="1" t="str">
        <f t="shared" si="31"/>
        <v/>
      </c>
      <c r="T972" s="1">
        <f>IF($E972="",0,SUMPRODUCT((AY_SONU!$O$7:$O$42="Evet")*(AY_SONU!$B$7:$B$42=DATE(YEAR($E972),MONTH($E972),1))))</f>
        <v>0</v>
      </c>
      <c r="U972" s="1" t="str">
        <f>IF(OR($G972="",$H972="Mahsup"),"",$G972&amp;"|"&amp;COUNTIFS($G$7:$G972,$G972,$H$7:$H972,"&lt;&gt;Mahsup"))</f>
        <v/>
      </c>
    </row>
    <row r="973" spans="1:21" ht="18" customHeight="1" x14ac:dyDescent="0.3">
      <c r="A973" s="2"/>
      <c r="B973" s="65" t="str">
        <f>IF($D973="","","T"&amp;TEXT(ROW()-6,"00000"))</f>
        <v/>
      </c>
      <c r="C973" s="65" t="str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61"/>
      <c r="E973" s="66"/>
      <c r="F973" s="67"/>
      <c r="G973" s="60"/>
      <c r="H973" s="60"/>
      <c r="I973" s="61"/>
      <c r="J973" s="61"/>
      <c r="K973" s="61"/>
      <c r="L973" s="73" t="str">
        <f>IF($E973="","",DATE(YEAR($E973),MONTH($E973),1))</f>
        <v/>
      </c>
      <c r="M973" s="65" t="str">
        <f ca="1">IF($D973="","",IF($C973="TANIMSIZ MÜŞTERİ","HATA",IF(OR($E973="",$F973&lt;=0,$G973=""),"EKSİK",IF($E973&gt;TODAY(),"İLERİ TARİH",IF(COUNTIF($S$7:$S$2503,$S973)&gt;1,"MÜKERRER?",IF($T973&gt;0,"KAPALI DÖNEM","UYGUN"))))))</f>
        <v/>
      </c>
      <c r="N973" s="74" t="str">
        <f>IF($C973="","",IF($C973="TANIMSIZ MÜŞTERİ","—",INDEX(MUSTERILER!$C$7:$C$156,MATCH($C973,MUSTERILER!$B$7:$B$156,0))))</f>
        <v/>
      </c>
      <c r="O973" s="2"/>
      <c r="P973" s="2"/>
      <c r="Q973" s="1" t="str">
        <f>IF($D973="","",$C973&amp;"|"&amp;COUNTIFS($C$7:$C973,$C973))</f>
        <v/>
      </c>
      <c r="R973" s="1" t="str">
        <f t="shared" si="30"/>
        <v/>
      </c>
      <c r="S973" s="1" t="str">
        <f t="shared" si="31"/>
        <v/>
      </c>
      <c r="T973" s="1">
        <f>IF($E973="",0,SUMPRODUCT((AY_SONU!$O$7:$O$42="Evet")*(AY_SONU!$B$7:$B$42=DATE(YEAR($E973),MONTH($E973),1))))</f>
        <v>0</v>
      </c>
      <c r="U973" s="1" t="str">
        <f>IF(OR($G973="",$H973="Mahsup"),"",$G973&amp;"|"&amp;COUNTIFS($G$7:$G973,$G973,$H$7:$H973,"&lt;&gt;Mahsup"))</f>
        <v/>
      </c>
    </row>
    <row r="974" spans="1:21" ht="18" customHeight="1" x14ac:dyDescent="0.3">
      <c r="A974" s="2"/>
      <c r="B974" s="65" t="str">
        <f>IF($D974="","","T"&amp;TEXT(ROW()-6,"00000"))</f>
        <v/>
      </c>
      <c r="C974" s="65" t="str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61"/>
      <c r="E974" s="66"/>
      <c r="F974" s="67"/>
      <c r="G974" s="60"/>
      <c r="H974" s="60"/>
      <c r="I974" s="61"/>
      <c r="J974" s="61"/>
      <c r="K974" s="61"/>
      <c r="L974" s="73" t="str">
        <f>IF($E974="","",DATE(YEAR($E974),MONTH($E974),1))</f>
        <v/>
      </c>
      <c r="M974" s="65" t="str">
        <f ca="1">IF($D974="","",IF($C974="TANIMSIZ MÜŞTERİ","HATA",IF(OR($E974="",$F974&lt;=0,$G974=""),"EKSİK",IF($E974&gt;TODAY(),"İLERİ TARİH",IF(COUNTIF($S$7:$S$2503,$S974)&gt;1,"MÜKERRER?",IF($T974&gt;0,"KAPALI DÖNEM","UYGUN"))))))</f>
        <v/>
      </c>
      <c r="N974" s="74" t="str">
        <f>IF($C974="","",IF($C974="TANIMSIZ MÜŞTERİ","—",INDEX(MUSTERILER!$C$7:$C$156,MATCH($C974,MUSTERILER!$B$7:$B$156,0))))</f>
        <v/>
      </c>
      <c r="O974" s="2"/>
      <c r="P974" s="2"/>
      <c r="Q974" s="1" t="str">
        <f>IF($D974="","",$C974&amp;"|"&amp;COUNTIFS($C$7:$C974,$C974))</f>
        <v/>
      </c>
      <c r="R974" s="1" t="str">
        <f t="shared" si="30"/>
        <v/>
      </c>
      <c r="S974" s="1" t="str">
        <f t="shared" si="31"/>
        <v/>
      </c>
      <c r="T974" s="1">
        <f>IF($E974="",0,SUMPRODUCT((AY_SONU!$O$7:$O$42="Evet")*(AY_SONU!$B$7:$B$42=DATE(YEAR($E974),MONTH($E974),1))))</f>
        <v>0</v>
      </c>
      <c r="U974" s="1" t="str">
        <f>IF(OR($G974="",$H974="Mahsup"),"",$G974&amp;"|"&amp;COUNTIFS($G$7:$G974,$G974,$H$7:$H974,"&lt;&gt;Mahsup"))</f>
        <v/>
      </c>
    </row>
    <row r="975" spans="1:21" ht="18" customHeight="1" x14ac:dyDescent="0.3">
      <c r="A975" s="2"/>
      <c r="B975" s="65" t="str">
        <f>IF($D975="","","T"&amp;TEXT(ROW()-6,"00000"))</f>
        <v/>
      </c>
      <c r="C975" s="65" t="str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61"/>
      <c r="E975" s="66"/>
      <c r="F975" s="67"/>
      <c r="G975" s="60"/>
      <c r="H975" s="60"/>
      <c r="I975" s="61"/>
      <c r="J975" s="61"/>
      <c r="K975" s="61"/>
      <c r="L975" s="73" t="str">
        <f>IF($E975="","",DATE(YEAR($E975),MONTH($E975),1))</f>
        <v/>
      </c>
      <c r="M975" s="65" t="str">
        <f ca="1">IF($D975="","",IF($C975="TANIMSIZ MÜŞTERİ","HATA",IF(OR($E975="",$F975&lt;=0,$G975=""),"EKSİK",IF($E975&gt;TODAY(),"İLERİ TARİH",IF(COUNTIF($S$7:$S$2503,$S975)&gt;1,"MÜKERRER?",IF($T975&gt;0,"KAPALI DÖNEM","UYGUN"))))))</f>
        <v/>
      </c>
      <c r="N975" s="74" t="str">
        <f>IF($C975="","",IF($C975="TANIMSIZ MÜŞTERİ","—",INDEX(MUSTERILER!$C$7:$C$156,MATCH($C975,MUSTERILER!$B$7:$B$156,0))))</f>
        <v/>
      </c>
      <c r="O975" s="2"/>
      <c r="P975" s="2"/>
      <c r="Q975" s="1" t="str">
        <f>IF($D975="","",$C975&amp;"|"&amp;COUNTIFS($C$7:$C975,$C975))</f>
        <v/>
      </c>
      <c r="R975" s="1" t="str">
        <f t="shared" si="30"/>
        <v/>
      </c>
      <c r="S975" s="1" t="str">
        <f t="shared" si="31"/>
        <v/>
      </c>
      <c r="T975" s="1">
        <f>IF($E975="",0,SUMPRODUCT((AY_SONU!$O$7:$O$42="Evet")*(AY_SONU!$B$7:$B$42=DATE(YEAR($E975),MONTH($E975),1))))</f>
        <v>0</v>
      </c>
      <c r="U975" s="1" t="str">
        <f>IF(OR($G975="",$H975="Mahsup"),"",$G975&amp;"|"&amp;COUNTIFS($G$7:$G975,$G975,$H$7:$H975,"&lt;&gt;Mahsup"))</f>
        <v/>
      </c>
    </row>
    <row r="976" spans="1:21" ht="18" customHeight="1" x14ac:dyDescent="0.3">
      <c r="A976" s="2"/>
      <c r="B976" s="65" t="str">
        <f>IF($D976="","","T"&amp;TEXT(ROW()-6,"00000"))</f>
        <v/>
      </c>
      <c r="C976" s="65" t="str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61"/>
      <c r="E976" s="66"/>
      <c r="F976" s="67"/>
      <c r="G976" s="60"/>
      <c r="H976" s="60"/>
      <c r="I976" s="61"/>
      <c r="J976" s="61"/>
      <c r="K976" s="61"/>
      <c r="L976" s="73" t="str">
        <f>IF($E976="","",DATE(YEAR($E976),MONTH($E976),1))</f>
        <v/>
      </c>
      <c r="M976" s="65" t="str">
        <f ca="1">IF($D976="","",IF($C976="TANIMSIZ MÜŞTERİ","HATA",IF(OR($E976="",$F976&lt;=0,$G976=""),"EKSİK",IF($E976&gt;TODAY(),"İLERİ TARİH",IF(COUNTIF($S$7:$S$2503,$S976)&gt;1,"MÜKERRER?",IF($T976&gt;0,"KAPALI DÖNEM","UYGUN"))))))</f>
        <v/>
      </c>
      <c r="N976" s="74" t="str">
        <f>IF($C976="","",IF($C976="TANIMSIZ MÜŞTERİ","—",INDEX(MUSTERILER!$C$7:$C$156,MATCH($C976,MUSTERILER!$B$7:$B$156,0))))</f>
        <v/>
      </c>
      <c r="O976" s="2"/>
      <c r="P976" s="2"/>
      <c r="Q976" s="1" t="str">
        <f>IF($D976="","",$C976&amp;"|"&amp;COUNTIFS($C$7:$C976,$C976))</f>
        <v/>
      </c>
      <c r="R976" s="1" t="str">
        <f t="shared" si="30"/>
        <v/>
      </c>
      <c r="S976" s="1" t="str">
        <f t="shared" si="31"/>
        <v/>
      </c>
      <c r="T976" s="1">
        <f>IF($E976="",0,SUMPRODUCT((AY_SONU!$O$7:$O$42="Evet")*(AY_SONU!$B$7:$B$42=DATE(YEAR($E976),MONTH($E976),1))))</f>
        <v>0</v>
      </c>
      <c r="U976" s="1" t="str">
        <f>IF(OR($G976="",$H976="Mahsup"),"",$G976&amp;"|"&amp;COUNTIFS($G$7:$G976,$G976,$H$7:$H976,"&lt;&gt;Mahsup"))</f>
        <v/>
      </c>
    </row>
    <row r="977" spans="1:21" ht="18" customHeight="1" x14ac:dyDescent="0.3">
      <c r="A977" s="2"/>
      <c r="B977" s="65" t="str">
        <f>IF($D977="","","T"&amp;TEXT(ROW()-6,"00000"))</f>
        <v/>
      </c>
      <c r="C977" s="65" t="str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61"/>
      <c r="E977" s="66"/>
      <c r="F977" s="67"/>
      <c r="G977" s="60"/>
      <c r="H977" s="60"/>
      <c r="I977" s="61"/>
      <c r="J977" s="61"/>
      <c r="K977" s="61"/>
      <c r="L977" s="73" t="str">
        <f>IF($E977="","",DATE(YEAR($E977),MONTH($E977),1))</f>
        <v/>
      </c>
      <c r="M977" s="65" t="str">
        <f ca="1">IF($D977="","",IF($C977="TANIMSIZ MÜŞTERİ","HATA",IF(OR($E977="",$F977&lt;=0,$G977=""),"EKSİK",IF($E977&gt;TODAY(),"İLERİ TARİH",IF(COUNTIF($S$7:$S$2503,$S977)&gt;1,"MÜKERRER?",IF($T977&gt;0,"KAPALI DÖNEM","UYGUN"))))))</f>
        <v/>
      </c>
      <c r="N977" s="74" t="str">
        <f>IF($C977="","",IF($C977="TANIMSIZ MÜŞTERİ","—",INDEX(MUSTERILER!$C$7:$C$156,MATCH($C977,MUSTERILER!$B$7:$B$156,0))))</f>
        <v/>
      </c>
      <c r="O977" s="2"/>
      <c r="P977" s="2"/>
      <c r="Q977" s="1" t="str">
        <f>IF($D977="","",$C977&amp;"|"&amp;COUNTIFS($C$7:$C977,$C977))</f>
        <v/>
      </c>
      <c r="R977" s="1" t="str">
        <f t="shared" si="30"/>
        <v/>
      </c>
      <c r="S977" s="1" t="str">
        <f t="shared" si="31"/>
        <v/>
      </c>
      <c r="T977" s="1">
        <f>IF($E977="",0,SUMPRODUCT((AY_SONU!$O$7:$O$42="Evet")*(AY_SONU!$B$7:$B$42=DATE(YEAR($E977),MONTH($E977),1))))</f>
        <v>0</v>
      </c>
      <c r="U977" s="1" t="str">
        <f>IF(OR($G977="",$H977="Mahsup"),"",$G977&amp;"|"&amp;COUNTIFS($G$7:$G977,$G977,$H$7:$H977,"&lt;&gt;Mahsup"))</f>
        <v/>
      </c>
    </row>
    <row r="978" spans="1:21" ht="18" customHeight="1" x14ac:dyDescent="0.3">
      <c r="A978" s="2"/>
      <c r="B978" s="65" t="str">
        <f>IF($D978="","","T"&amp;TEXT(ROW()-6,"00000"))</f>
        <v/>
      </c>
      <c r="C978" s="65" t="str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61"/>
      <c r="E978" s="66"/>
      <c r="F978" s="67"/>
      <c r="G978" s="60"/>
      <c r="H978" s="60"/>
      <c r="I978" s="61"/>
      <c r="J978" s="61"/>
      <c r="K978" s="61"/>
      <c r="L978" s="73" t="str">
        <f>IF($E978="","",DATE(YEAR($E978),MONTH($E978),1))</f>
        <v/>
      </c>
      <c r="M978" s="65" t="str">
        <f ca="1">IF($D978="","",IF($C978="TANIMSIZ MÜŞTERİ","HATA",IF(OR($E978="",$F978&lt;=0,$G978=""),"EKSİK",IF($E978&gt;TODAY(),"İLERİ TARİH",IF(COUNTIF($S$7:$S$2503,$S978)&gt;1,"MÜKERRER?",IF($T978&gt;0,"KAPALI DÖNEM","UYGUN"))))))</f>
        <v/>
      </c>
      <c r="N978" s="74" t="str">
        <f>IF($C978="","",IF($C978="TANIMSIZ MÜŞTERİ","—",INDEX(MUSTERILER!$C$7:$C$156,MATCH($C978,MUSTERILER!$B$7:$B$156,0))))</f>
        <v/>
      </c>
      <c r="O978" s="2"/>
      <c r="P978" s="2"/>
      <c r="Q978" s="1" t="str">
        <f>IF($D978="","",$C978&amp;"|"&amp;COUNTIFS($C$7:$C978,$C978))</f>
        <v/>
      </c>
      <c r="R978" s="1" t="str">
        <f t="shared" si="30"/>
        <v/>
      </c>
      <c r="S978" s="1" t="str">
        <f t="shared" si="31"/>
        <v/>
      </c>
      <c r="T978" s="1">
        <f>IF($E978="",0,SUMPRODUCT((AY_SONU!$O$7:$O$42="Evet")*(AY_SONU!$B$7:$B$42=DATE(YEAR($E978),MONTH($E978),1))))</f>
        <v>0</v>
      </c>
      <c r="U978" s="1" t="str">
        <f>IF(OR($G978="",$H978="Mahsup"),"",$G978&amp;"|"&amp;COUNTIFS($G$7:$G978,$G978,$H$7:$H978,"&lt;&gt;Mahsup"))</f>
        <v/>
      </c>
    </row>
    <row r="979" spans="1:21" ht="18" customHeight="1" x14ac:dyDescent="0.3">
      <c r="A979" s="2"/>
      <c r="B979" s="65" t="str">
        <f>IF($D979="","","T"&amp;TEXT(ROW()-6,"00000"))</f>
        <v/>
      </c>
      <c r="C979" s="65" t="str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61"/>
      <c r="E979" s="66"/>
      <c r="F979" s="67"/>
      <c r="G979" s="60"/>
      <c r="H979" s="60"/>
      <c r="I979" s="61"/>
      <c r="J979" s="61"/>
      <c r="K979" s="61"/>
      <c r="L979" s="73" t="str">
        <f>IF($E979="","",DATE(YEAR($E979),MONTH($E979),1))</f>
        <v/>
      </c>
      <c r="M979" s="65" t="str">
        <f ca="1">IF($D979="","",IF($C979="TANIMSIZ MÜŞTERİ","HATA",IF(OR($E979="",$F979&lt;=0,$G979=""),"EKSİK",IF($E979&gt;TODAY(),"İLERİ TARİH",IF(COUNTIF($S$7:$S$2503,$S979)&gt;1,"MÜKERRER?",IF($T979&gt;0,"KAPALI DÖNEM","UYGUN"))))))</f>
        <v/>
      </c>
      <c r="N979" s="74" t="str">
        <f>IF($C979="","",IF($C979="TANIMSIZ MÜŞTERİ","—",INDEX(MUSTERILER!$C$7:$C$156,MATCH($C979,MUSTERILER!$B$7:$B$156,0))))</f>
        <v/>
      </c>
      <c r="O979" s="2"/>
      <c r="P979" s="2"/>
      <c r="Q979" s="1" t="str">
        <f>IF($D979="","",$C979&amp;"|"&amp;COUNTIFS($C$7:$C979,$C979))</f>
        <v/>
      </c>
      <c r="R979" s="1" t="str">
        <f t="shared" si="30"/>
        <v/>
      </c>
      <c r="S979" s="1" t="str">
        <f t="shared" si="31"/>
        <v/>
      </c>
      <c r="T979" s="1">
        <f>IF($E979="",0,SUMPRODUCT((AY_SONU!$O$7:$O$42="Evet")*(AY_SONU!$B$7:$B$42=DATE(YEAR($E979),MONTH($E979),1))))</f>
        <v>0</v>
      </c>
      <c r="U979" s="1" t="str">
        <f>IF(OR($G979="",$H979="Mahsup"),"",$G979&amp;"|"&amp;COUNTIFS($G$7:$G979,$G979,$H$7:$H979,"&lt;&gt;Mahsup"))</f>
        <v/>
      </c>
    </row>
    <row r="980" spans="1:21" ht="18" customHeight="1" x14ac:dyDescent="0.3">
      <c r="A980" s="2"/>
      <c r="B980" s="65" t="str">
        <f>IF($D980="","","T"&amp;TEXT(ROW()-6,"00000"))</f>
        <v/>
      </c>
      <c r="C980" s="65" t="str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61"/>
      <c r="E980" s="66"/>
      <c r="F980" s="67"/>
      <c r="G980" s="60"/>
      <c r="H980" s="60"/>
      <c r="I980" s="61"/>
      <c r="J980" s="61"/>
      <c r="K980" s="61"/>
      <c r="L980" s="73" t="str">
        <f>IF($E980="","",DATE(YEAR($E980),MONTH($E980),1))</f>
        <v/>
      </c>
      <c r="M980" s="65" t="str">
        <f ca="1">IF($D980="","",IF($C980="TANIMSIZ MÜŞTERİ","HATA",IF(OR($E980="",$F980&lt;=0,$G980=""),"EKSİK",IF($E980&gt;TODAY(),"İLERİ TARİH",IF(COUNTIF($S$7:$S$2503,$S980)&gt;1,"MÜKERRER?",IF($T980&gt;0,"KAPALI DÖNEM","UYGUN"))))))</f>
        <v/>
      </c>
      <c r="N980" s="74" t="str">
        <f>IF($C980="","",IF($C980="TANIMSIZ MÜŞTERİ","—",INDEX(MUSTERILER!$C$7:$C$156,MATCH($C980,MUSTERILER!$B$7:$B$156,0))))</f>
        <v/>
      </c>
      <c r="O980" s="2"/>
      <c r="P980" s="2"/>
      <c r="Q980" s="1" t="str">
        <f>IF($D980="","",$C980&amp;"|"&amp;COUNTIFS($C$7:$C980,$C980))</f>
        <v/>
      </c>
      <c r="R980" s="1" t="str">
        <f t="shared" si="30"/>
        <v/>
      </c>
      <c r="S980" s="1" t="str">
        <f t="shared" si="31"/>
        <v/>
      </c>
      <c r="T980" s="1">
        <f>IF($E980="",0,SUMPRODUCT((AY_SONU!$O$7:$O$42="Evet")*(AY_SONU!$B$7:$B$42=DATE(YEAR($E980),MONTH($E980),1))))</f>
        <v>0</v>
      </c>
      <c r="U980" s="1" t="str">
        <f>IF(OR($G980="",$H980="Mahsup"),"",$G980&amp;"|"&amp;COUNTIFS($G$7:$G980,$G980,$H$7:$H980,"&lt;&gt;Mahsup"))</f>
        <v/>
      </c>
    </row>
    <row r="981" spans="1:21" ht="18" customHeight="1" x14ac:dyDescent="0.3">
      <c r="A981" s="2"/>
      <c r="B981" s="65" t="str">
        <f>IF($D981="","","T"&amp;TEXT(ROW()-6,"00000"))</f>
        <v/>
      </c>
      <c r="C981" s="65" t="str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61"/>
      <c r="E981" s="66"/>
      <c r="F981" s="67"/>
      <c r="G981" s="60"/>
      <c r="H981" s="60"/>
      <c r="I981" s="61"/>
      <c r="J981" s="61"/>
      <c r="K981" s="61"/>
      <c r="L981" s="73" t="str">
        <f>IF($E981="","",DATE(YEAR($E981),MONTH($E981),1))</f>
        <v/>
      </c>
      <c r="M981" s="65" t="str">
        <f ca="1">IF($D981="","",IF($C981="TANIMSIZ MÜŞTERİ","HATA",IF(OR($E981="",$F981&lt;=0,$G981=""),"EKSİK",IF($E981&gt;TODAY(),"İLERİ TARİH",IF(COUNTIF($S$7:$S$2503,$S981)&gt;1,"MÜKERRER?",IF($T981&gt;0,"KAPALI DÖNEM","UYGUN"))))))</f>
        <v/>
      </c>
      <c r="N981" s="74" t="str">
        <f>IF($C981="","",IF($C981="TANIMSIZ MÜŞTERİ","—",INDEX(MUSTERILER!$C$7:$C$156,MATCH($C981,MUSTERILER!$B$7:$B$156,0))))</f>
        <v/>
      </c>
      <c r="O981" s="2"/>
      <c r="P981" s="2"/>
      <c r="Q981" s="1" t="str">
        <f>IF($D981="","",$C981&amp;"|"&amp;COUNTIFS($C$7:$C981,$C981))</f>
        <v/>
      </c>
      <c r="R981" s="1" t="str">
        <f t="shared" si="30"/>
        <v/>
      </c>
      <c r="S981" s="1" t="str">
        <f t="shared" si="31"/>
        <v/>
      </c>
      <c r="T981" s="1">
        <f>IF($E981="",0,SUMPRODUCT((AY_SONU!$O$7:$O$42="Evet")*(AY_SONU!$B$7:$B$42=DATE(YEAR($E981),MONTH($E981),1))))</f>
        <v>0</v>
      </c>
      <c r="U981" s="1" t="str">
        <f>IF(OR($G981="",$H981="Mahsup"),"",$G981&amp;"|"&amp;COUNTIFS($G$7:$G981,$G981,$H$7:$H981,"&lt;&gt;Mahsup"))</f>
        <v/>
      </c>
    </row>
    <row r="982" spans="1:21" ht="18" customHeight="1" x14ac:dyDescent="0.3">
      <c r="A982" s="2"/>
      <c r="B982" s="65" t="str">
        <f>IF($D982="","","T"&amp;TEXT(ROW()-6,"00000"))</f>
        <v/>
      </c>
      <c r="C982" s="65" t="str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61"/>
      <c r="E982" s="66"/>
      <c r="F982" s="67"/>
      <c r="G982" s="60"/>
      <c r="H982" s="60"/>
      <c r="I982" s="61"/>
      <c r="J982" s="61"/>
      <c r="K982" s="61"/>
      <c r="L982" s="73" t="str">
        <f>IF($E982="","",DATE(YEAR($E982),MONTH($E982),1))</f>
        <v/>
      </c>
      <c r="M982" s="65" t="str">
        <f ca="1">IF($D982="","",IF($C982="TANIMSIZ MÜŞTERİ","HATA",IF(OR($E982="",$F982&lt;=0,$G982=""),"EKSİK",IF($E982&gt;TODAY(),"İLERİ TARİH",IF(COUNTIF($S$7:$S$2503,$S982)&gt;1,"MÜKERRER?",IF($T982&gt;0,"KAPALI DÖNEM","UYGUN"))))))</f>
        <v/>
      </c>
      <c r="N982" s="74" t="str">
        <f>IF($C982="","",IF($C982="TANIMSIZ MÜŞTERİ","—",INDEX(MUSTERILER!$C$7:$C$156,MATCH($C982,MUSTERILER!$B$7:$B$156,0))))</f>
        <v/>
      </c>
      <c r="O982" s="2"/>
      <c r="P982" s="2"/>
      <c r="Q982" s="1" t="str">
        <f>IF($D982="","",$C982&amp;"|"&amp;COUNTIFS($C$7:$C982,$C982))</f>
        <v/>
      </c>
      <c r="R982" s="1" t="str">
        <f t="shared" si="30"/>
        <v/>
      </c>
      <c r="S982" s="1" t="str">
        <f t="shared" si="31"/>
        <v/>
      </c>
      <c r="T982" s="1">
        <f>IF($E982="",0,SUMPRODUCT((AY_SONU!$O$7:$O$42="Evet")*(AY_SONU!$B$7:$B$42=DATE(YEAR($E982),MONTH($E982),1))))</f>
        <v>0</v>
      </c>
      <c r="U982" s="1" t="str">
        <f>IF(OR($G982="",$H982="Mahsup"),"",$G982&amp;"|"&amp;COUNTIFS($G$7:$G982,$G982,$H$7:$H982,"&lt;&gt;Mahsup"))</f>
        <v/>
      </c>
    </row>
    <row r="983" spans="1:21" ht="18" customHeight="1" x14ac:dyDescent="0.3">
      <c r="A983" s="2"/>
      <c r="B983" s="65" t="str">
        <f>IF($D983="","","T"&amp;TEXT(ROW()-6,"00000"))</f>
        <v/>
      </c>
      <c r="C983" s="65" t="str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61"/>
      <c r="E983" s="66"/>
      <c r="F983" s="67"/>
      <c r="G983" s="60"/>
      <c r="H983" s="60"/>
      <c r="I983" s="61"/>
      <c r="J983" s="61"/>
      <c r="K983" s="61"/>
      <c r="L983" s="73" t="str">
        <f>IF($E983="","",DATE(YEAR($E983),MONTH($E983),1))</f>
        <v/>
      </c>
      <c r="M983" s="65" t="str">
        <f ca="1">IF($D983="","",IF($C983="TANIMSIZ MÜŞTERİ","HATA",IF(OR($E983="",$F983&lt;=0,$G983=""),"EKSİK",IF($E983&gt;TODAY(),"İLERİ TARİH",IF(COUNTIF($S$7:$S$2503,$S983)&gt;1,"MÜKERRER?",IF($T983&gt;0,"KAPALI DÖNEM","UYGUN"))))))</f>
        <v/>
      </c>
      <c r="N983" s="74" t="str">
        <f>IF($C983="","",IF($C983="TANIMSIZ MÜŞTERİ","—",INDEX(MUSTERILER!$C$7:$C$156,MATCH($C983,MUSTERILER!$B$7:$B$156,0))))</f>
        <v/>
      </c>
      <c r="O983" s="2"/>
      <c r="P983" s="2"/>
      <c r="Q983" s="1" t="str">
        <f>IF($D983="","",$C983&amp;"|"&amp;COUNTIFS($C$7:$C983,$C983))</f>
        <v/>
      </c>
      <c r="R983" s="1" t="str">
        <f t="shared" si="30"/>
        <v/>
      </c>
      <c r="S983" s="1" t="str">
        <f t="shared" si="31"/>
        <v/>
      </c>
      <c r="T983" s="1">
        <f>IF($E983="",0,SUMPRODUCT((AY_SONU!$O$7:$O$42="Evet")*(AY_SONU!$B$7:$B$42=DATE(YEAR($E983),MONTH($E983),1))))</f>
        <v>0</v>
      </c>
      <c r="U983" s="1" t="str">
        <f>IF(OR($G983="",$H983="Mahsup"),"",$G983&amp;"|"&amp;COUNTIFS($G$7:$G983,$G983,$H$7:$H983,"&lt;&gt;Mahsup"))</f>
        <v/>
      </c>
    </row>
    <row r="984" spans="1:21" ht="18" customHeight="1" x14ac:dyDescent="0.3">
      <c r="A984" s="2"/>
      <c r="B984" s="65" t="str">
        <f>IF($D984="","","T"&amp;TEXT(ROW()-6,"00000"))</f>
        <v/>
      </c>
      <c r="C984" s="65" t="str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61"/>
      <c r="E984" s="66"/>
      <c r="F984" s="67"/>
      <c r="G984" s="60"/>
      <c r="H984" s="60"/>
      <c r="I984" s="61"/>
      <c r="J984" s="61"/>
      <c r="K984" s="61"/>
      <c r="L984" s="73" t="str">
        <f>IF($E984="","",DATE(YEAR($E984),MONTH($E984),1))</f>
        <v/>
      </c>
      <c r="M984" s="65" t="str">
        <f ca="1">IF($D984="","",IF($C984="TANIMSIZ MÜŞTERİ","HATA",IF(OR($E984="",$F984&lt;=0,$G984=""),"EKSİK",IF($E984&gt;TODAY(),"İLERİ TARİH",IF(COUNTIF($S$7:$S$2503,$S984)&gt;1,"MÜKERRER?",IF($T984&gt;0,"KAPALI DÖNEM","UYGUN"))))))</f>
        <v/>
      </c>
      <c r="N984" s="74" t="str">
        <f>IF($C984="","",IF($C984="TANIMSIZ MÜŞTERİ","—",INDEX(MUSTERILER!$C$7:$C$156,MATCH($C984,MUSTERILER!$B$7:$B$156,0))))</f>
        <v/>
      </c>
      <c r="O984" s="2"/>
      <c r="P984" s="2"/>
      <c r="Q984" s="1" t="str">
        <f>IF($D984="","",$C984&amp;"|"&amp;COUNTIFS($C$7:$C984,$C984))</f>
        <v/>
      </c>
      <c r="R984" s="1" t="str">
        <f t="shared" si="30"/>
        <v/>
      </c>
      <c r="S984" s="1" t="str">
        <f t="shared" si="31"/>
        <v/>
      </c>
      <c r="T984" s="1">
        <f>IF($E984="",0,SUMPRODUCT((AY_SONU!$O$7:$O$42="Evet")*(AY_SONU!$B$7:$B$42=DATE(YEAR($E984),MONTH($E984),1))))</f>
        <v>0</v>
      </c>
      <c r="U984" s="1" t="str">
        <f>IF(OR($G984="",$H984="Mahsup"),"",$G984&amp;"|"&amp;COUNTIFS($G$7:$G984,$G984,$H$7:$H984,"&lt;&gt;Mahsup"))</f>
        <v/>
      </c>
    </row>
    <row r="985" spans="1:21" ht="18" customHeight="1" x14ac:dyDescent="0.3">
      <c r="A985" s="2"/>
      <c r="B985" s="65" t="str">
        <f>IF($D985="","","T"&amp;TEXT(ROW()-6,"00000"))</f>
        <v/>
      </c>
      <c r="C985" s="65" t="str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61"/>
      <c r="E985" s="66"/>
      <c r="F985" s="67"/>
      <c r="G985" s="60"/>
      <c r="H985" s="60"/>
      <c r="I985" s="61"/>
      <c r="J985" s="61"/>
      <c r="K985" s="61"/>
      <c r="L985" s="73" t="str">
        <f>IF($E985="","",DATE(YEAR($E985),MONTH($E985),1))</f>
        <v/>
      </c>
      <c r="M985" s="65" t="str">
        <f ca="1">IF($D985="","",IF($C985="TANIMSIZ MÜŞTERİ","HATA",IF(OR($E985="",$F985&lt;=0,$G985=""),"EKSİK",IF($E985&gt;TODAY(),"İLERİ TARİH",IF(COUNTIF($S$7:$S$2503,$S985)&gt;1,"MÜKERRER?",IF($T985&gt;0,"KAPALI DÖNEM","UYGUN"))))))</f>
        <v/>
      </c>
      <c r="N985" s="74" t="str">
        <f>IF($C985="","",IF($C985="TANIMSIZ MÜŞTERİ","—",INDEX(MUSTERILER!$C$7:$C$156,MATCH($C985,MUSTERILER!$B$7:$B$156,0))))</f>
        <v/>
      </c>
      <c r="O985" s="2"/>
      <c r="P985" s="2"/>
      <c r="Q985" s="1" t="str">
        <f>IF($D985="","",$C985&amp;"|"&amp;COUNTIFS($C$7:$C985,$C985))</f>
        <v/>
      </c>
      <c r="R985" s="1" t="str">
        <f t="shared" si="30"/>
        <v/>
      </c>
      <c r="S985" s="1" t="str">
        <f t="shared" si="31"/>
        <v/>
      </c>
      <c r="T985" s="1">
        <f>IF($E985="",0,SUMPRODUCT((AY_SONU!$O$7:$O$42="Evet")*(AY_SONU!$B$7:$B$42=DATE(YEAR($E985),MONTH($E985),1))))</f>
        <v>0</v>
      </c>
      <c r="U985" s="1" t="str">
        <f>IF(OR($G985="",$H985="Mahsup"),"",$G985&amp;"|"&amp;COUNTIFS($G$7:$G985,$G985,$H$7:$H985,"&lt;&gt;Mahsup"))</f>
        <v/>
      </c>
    </row>
    <row r="986" spans="1:21" ht="18" customHeight="1" x14ac:dyDescent="0.3">
      <c r="A986" s="2"/>
      <c r="B986" s="65" t="str">
        <f>IF($D986="","","T"&amp;TEXT(ROW()-6,"00000"))</f>
        <v/>
      </c>
      <c r="C986" s="65" t="str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61"/>
      <c r="E986" s="66"/>
      <c r="F986" s="67"/>
      <c r="G986" s="60"/>
      <c r="H986" s="60"/>
      <c r="I986" s="61"/>
      <c r="J986" s="61"/>
      <c r="K986" s="61"/>
      <c r="L986" s="73" t="str">
        <f>IF($E986="","",DATE(YEAR($E986),MONTH($E986),1))</f>
        <v/>
      </c>
      <c r="M986" s="65" t="str">
        <f ca="1">IF($D986="","",IF($C986="TANIMSIZ MÜŞTERİ","HATA",IF(OR($E986="",$F986&lt;=0,$G986=""),"EKSİK",IF($E986&gt;TODAY(),"İLERİ TARİH",IF(COUNTIF($S$7:$S$2503,$S986)&gt;1,"MÜKERRER?",IF($T986&gt;0,"KAPALI DÖNEM","UYGUN"))))))</f>
        <v/>
      </c>
      <c r="N986" s="74" t="str">
        <f>IF($C986="","",IF($C986="TANIMSIZ MÜŞTERİ","—",INDEX(MUSTERILER!$C$7:$C$156,MATCH($C986,MUSTERILER!$B$7:$B$156,0))))</f>
        <v/>
      </c>
      <c r="O986" s="2"/>
      <c r="P986" s="2"/>
      <c r="Q986" s="1" t="str">
        <f>IF($D986="","",$C986&amp;"|"&amp;COUNTIFS($C$7:$C986,$C986))</f>
        <v/>
      </c>
      <c r="R986" s="1" t="str">
        <f t="shared" si="30"/>
        <v/>
      </c>
      <c r="S986" s="1" t="str">
        <f t="shared" si="31"/>
        <v/>
      </c>
      <c r="T986" s="1">
        <f>IF($E986="",0,SUMPRODUCT((AY_SONU!$O$7:$O$42="Evet")*(AY_SONU!$B$7:$B$42=DATE(YEAR($E986),MONTH($E986),1))))</f>
        <v>0</v>
      </c>
      <c r="U986" s="1" t="str">
        <f>IF(OR($G986="",$H986="Mahsup"),"",$G986&amp;"|"&amp;COUNTIFS($G$7:$G986,$G986,$H$7:$H986,"&lt;&gt;Mahsup"))</f>
        <v/>
      </c>
    </row>
    <row r="987" spans="1:21" ht="18" customHeight="1" x14ac:dyDescent="0.3">
      <c r="A987" s="2"/>
      <c r="B987" s="65" t="str">
        <f>IF($D987="","","T"&amp;TEXT(ROW()-6,"00000"))</f>
        <v/>
      </c>
      <c r="C987" s="65" t="str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61"/>
      <c r="E987" s="66"/>
      <c r="F987" s="67"/>
      <c r="G987" s="60"/>
      <c r="H987" s="60"/>
      <c r="I987" s="61"/>
      <c r="J987" s="61"/>
      <c r="K987" s="61"/>
      <c r="L987" s="73" t="str">
        <f>IF($E987="","",DATE(YEAR($E987),MONTH($E987),1))</f>
        <v/>
      </c>
      <c r="M987" s="65" t="str">
        <f ca="1">IF($D987="","",IF($C987="TANIMSIZ MÜŞTERİ","HATA",IF(OR($E987="",$F987&lt;=0,$G987=""),"EKSİK",IF($E987&gt;TODAY(),"İLERİ TARİH",IF(COUNTIF($S$7:$S$2503,$S987)&gt;1,"MÜKERRER?",IF($T987&gt;0,"KAPALI DÖNEM","UYGUN"))))))</f>
        <v/>
      </c>
      <c r="N987" s="74" t="str">
        <f>IF($C987="","",IF($C987="TANIMSIZ MÜŞTERİ","—",INDEX(MUSTERILER!$C$7:$C$156,MATCH($C987,MUSTERILER!$B$7:$B$156,0))))</f>
        <v/>
      </c>
      <c r="O987" s="2"/>
      <c r="P987" s="2"/>
      <c r="Q987" s="1" t="str">
        <f>IF($D987="","",$C987&amp;"|"&amp;COUNTIFS($C$7:$C987,$C987))</f>
        <v/>
      </c>
      <c r="R987" s="1" t="str">
        <f t="shared" si="30"/>
        <v/>
      </c>
      <c r="S987" s="1" t="str">
        <f t="shared" si="31"/>
        <v/>
      </c>
      <c r="T987" s="1">
        <f>IF($E987="",0,SUMPRODUCT((AY_SONU!$O$7:$O$42="Evet")*(AY_SONU!$B$7:$B$42=DATE(YEAR($E987),MONTH($E987),1))))</f>
        <v>0</v>
      </c>
      <c r="U987" s="1" t="str">
        <f>IF(OR($G987="",$H987="Mahsup"),"",$G987&amp;"|"&amp;COUNTIFS($G$7:$G987,$G987,$H$7:$H987,"&lt;&gt;Mahsup"))</f>
        <v/>
      </c>
    </row>
    <row r="988" spans="1:21" ht="18" customHeight="1" x14ac:dyDescent="0.3">
      <c r="A988" s="2"/>
      <c r="B988" s="65" t="str">
        <f>IF($D988="","","T"&amp;TEXT(ROW()-6,"00000"))</f>
        <v/>
      </c>
      <c r="C988" s="65" t="str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61"/>
      <c r="E988" s="66"/>
      <c r="F988" s="67"/>
      <c r="G988" s="60"/>
      <c r="H988" s="60"/>
      <c r="I988" s="61"/>
      <c r="J988" s="61"/>
      <c r="K988" s="61"/>
      <c r="L988" s="73" t="str">
        <f>IF($E988="","",DATE(YEAR($E988),MONTH($E988),1))</f>
        <v/>
      </c>
      <c r="M988" s="65" t="str">
        <f ca="1">IF($D988="","",IF($C988="TANIMSIZ MÜŞTERİ","HATA",IF(OR($E988="",$F988&lt;=0,$G988=""),"EKSİK",IF($E988&gt;TODAY(),"İLERİ TARİH",IF(COUNTIF($S$7:$S$2503,$S988)&gt;1,"MÜKERRER?",IF($T988&gt;0,"KAPALI DÖNEM","UYGUN"))))))</f>
        <v/>
      </c>
      <c r="N988" s="74" t="str">
        <f>IF($C988="","",IF($C988="TANIMSIZ MÜŞTERİ","—",INDEX(MUSTERILER!$C$7:$C$156,MATCH($C988,MUSTERILER!$B$7:$B$156,0))))</f>
        <v/>
      </c>
      <c r="O988" s="2"/>
      <c r="P988" s="2"/>
      <c r="Q988" s="1" t="str">
        <f>IF($D988="","",$C988&amp;"|"&amp;COUNTIFS($C$7:$C988,$C988))</f>
        <v/>
      </c>
      <c r="R988" s="1" t="str">
        <f t="shared" si="30"/>
        <v/>
      </c>
      <c r="S988" s="1" t="str">
        <f t="shared" si="31"/>
        <v/>
      </c>
      <c r="T988" s="1">
        <f>IF($E988="",0,SUMPRODUCT((AY_SONU!$O$7:$O$42="Evet")*(AY_SONU!$B$7:$B$42=DATE(YEAR($E988),MONTH($E988),1))))</f>
        <v>0</v>
      </c>
      <c r="U988" s="1" t="str">
        <f>IF(OR($G988="",$H988="Mahsup"),"",$G988&amp;"|"&amp;COUNTIFS($G$7:$G988,$G988,$H$7:$H988,"&lt;&gt;Mahsup"))</f>
        <v/>
      </c>
    </row>
    <row r="989" spans="1:21" ht="18" customHeight="1" x14ac:dyDescent="0.3">
      <c r="A989" s="2"/>
      <c r="B989" s="65" t="str">
        <f>IF($D989="","","T"&amp;TEXT(ROW()-6,"00000"))</f>
        <v/>
      </c>
      <c r="C989" s="65" t="str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61"/>
      <c r="E989" s="66"/>
      <c r="F989" s="67"/>
      <c r="G989" s="60"/>
      <c r="H989" s="60"/>
      <c r="I989" s="61"/>
      <c r="J989" s="61"/>
      <c r="K989" s="61"/>
      <c r="L989" s="73" t="str">
        <f>IF($E989="","",DATE(YEAR($E989),MONTH($E989),1))</f>
        <v/>
      </c>
      <c r="M989" s="65" t="str">
        <f ca="1">IF($D989="","",IF($C989="TANIMSIZ MÜŞTERİ","HATA",IF(OR($E989="",$F989&lt;=0,$G989=""),"EKSİK",IF($E989&gt;TODAY(),"İLERİ TARİH",IF(COUNTIF($S$7:$S$2503,$S989)&gt;1,"MÜKERRER?",IF($T989&gt;0,"KAPALI DÖNEM","UYGUN"))))))</f>
        <v/>
      </c>
      <c r="N989" s="74" t="str">
        <f>IF($C989="","",IF($C989="TANIMSIZ MÜŞTERİ","—",INDEX(MUSTERILER!$C$7:$C$156,MATCH($C989,MUSTERILER!$B$7:$B$156,0))))</f>
        <v/>
      </c>
      <c r="O989" s="2"/>
      <c r="P989" s="2"/>
      <c r="Q989" s="1" t="str">
        <f>IF($D989="","",$C989&amp;"|"&amp;COUNTIFS($C$7:$C989,$C989))</f>
        <v/>
      </c>
      <c r="R989" s="1" t="str">
        <f t="shared" si="30"/>
        <v/>
      </c>
      <c r="S989" s="1" t="str">
        <f t="shared" si="31"/>
        <v/>
      </c>
      <c r="T989" s="1">
        <f>IF($E989="",0,SUMPRODUCT((AY_SONU!$O$7:$O$42="Evet")*(AY_SONU!$B$7:$B$42=DATE(YEAR($E989),MONTH($E989),1))))</f>
        <v>0</v>
      </c>
      <c r="U989" s="1" t="str">
        <f>IF(OR($G989="",$H989="Mahsup"),"",$G989&amp;"|"&amp;COUNTIFS($G$7:$G989,$G989,$H$7:$H989,"&lt;&gt;Mahsup"))</f>
        <v/>
      </c>
    </row>
    <row r="990" spans="1:21" ht="18" customHeight="1" x14ac:dyDescent="0.3">
      <c r="A990" s="2"/>
      <c r="B990" s="65" t="str">
        <f>IF($D990="","","T"&amp;TEXT(ROW()-6,"00000"))</f>
        <v/>
      </c>
      <c r="C990" s="65" t="str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61"/>
      <c r="E990" s="66"/>
      <c r="F990" s="67"/>
      <c r="G990" s="60"/>
      <c r="H990" s="60"/>
      <c r="I990" s="61"/>
      <c r="J990" s="61"/>
      <c r="K990" s="61"/>
      <c r="L990" s="73" t="str">
        <f>IF($E990="","",DATE(YEAR($E990),MONTH($E990),1))</f>
        <v/>
      </c>
      <c r="M990" s="65" t="str">
        <f ca="1">IF($D990="","",IF($C990="TANIMSIZ MÜŞTERİ","HATA",IF(OR($E990="",$F990&lt;=0,$G990=""),"EKSİK",IF($E990&gt;TODAY(),"İLERİ TARİH",IF(COUNTIF($S$7:$S$2503,$S990)&gt;1,"MÜKERRER?",IF($T990&gt;0,"KAPALI DÖNEM","UYGUN"))))))</f>
        <v/>
      </c>
      <c r="N990" s="74" t="str">
        <f>IF($C990="","",IF($C990="TANIMSIZ MÜŞTERİ","—",INDEX(MUSTERILER!$C$7:$C$156,MATCH($C990,MUSTERILER!$B$7:$B$156,0))))</f>
        <v/>
      </c>
      <c r="O990" s="2"/>
      <c r="P990" s="2"/>
      <c r="Q990" s="1" t="str">
        <f>IF($D990="","",$C990&amp;"|"&amp;COUNTIFS($C$7:$C990,$C990))</f>
        <v/>
      </c>
      <c r="R990" s="1" t="str">
        <f t="shared" si="30"/>
        <v/>
      </c>
      <c r="S990" s="1" t="str">
        <f t="shared" si="31"/>
        <v/>
      </c>
      <c r="T990" s="1">
        <f>IF($E990="",0,SUMPRODUCT((AY_SONU!$O$7:$O$42="Evet")*(AY_SONU!$B$7:$B$42=DATE(YEAR($E990),MONTH($E990),1))))</f>
        <v>0</v>
      </c>
      <c r="U990" s="1" t="str">
        <f>IF(OR($G990="",$H990="Mahsup"),"",$G990&amp;"|"&amp;COUNTIFS($G$7:$G990,$G990,$H$7:$H990,"&lt;&gt;Mahsup"))</f>
        <v/>
      </c>
    </row>
    <row r="991" spans="1:21" ht="18" customHeight="1" x14ac:dyDescent="0.3">
      <c r="A991" s="2"/>
      <c r="B991" s="65" t="str">
        <f>IF($D991="","","T"&amp;TEXT(ROW()-6,"00000"))</f>
        <v/>
      </c>
      <c r="C991" s="65" t="str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61"/>
      <c r="E991" s="66"/>
      <c r="F991" s="67"/>
      <c r="G991" s="60"/>
      <c r="H991" s="60"/>
      <c r="I991" s="61"/>
      <c r="J991" s="61"/>
      <c r="K991" s="61"/>
      <c r="L991" s="73" t="str">
        <f>IF($E991="","",DATE(YEAR($E991),MONTH($E991),1))</f>
        <v/>
      </c>
      <c r="M991" s="65" t="str">
        <f ca="1">IF($D991="","",IF($C991="TANIMSIZ MÜŞTERİ","HATA",IF(OR($E991="",$F991&lt;=0,$G991=""),"EKSİK",IF($E991&gt;TODAY(),"İLERİ TARİH",IF(COUNTIF($S$7:$S$2503,$S991)&gt;1,"MÜKERRER?",IF($T991&gt;0,"KAPALI DÖNEM","UYGUN"))))))</f>
        <v/>
      </c>
      <c r="N991" s="74" t="str">
        <f>IF($C991="","",IF($C991="TANIMSIZ MÜŞTERİ","—",INDEX(MUSTERILER!$C$7:$C$156,MATCH($C991,MUSTERILER!$B$7:$B$156,0))))</f>
        <v/>
      </c>
      <c r="O991" s="2"/>
      <c r="P991" s="2"/>
      <c r="Q991" s="1" t="str">
        <f>IF($D991="","",$C991&amp;"|"&amp;COUNTIFS($C$7:$C991,$C991))</f>
        <v/>
      </c>
      <c r="R991" s="1" t="str">
        <f t="shared" si="30"/>
        <v/>
      </c>
      <c r="S991" s="1" t="str">
        <f t="shared" si="31"/>
        <v/>
      </c>
      <c r="T991" s="1">
        <f>IF($E991="",0,SUMPRODUCT((AY_SONU!$O$7:$O$42="Evet")*(AY_SONU!$B$7:$B$42=DATE(YEAR($E991),MONTH($E991),1))))</f>
        <v>0</v>
      </c>
      <c r="U991" s="1" t="str">
        <f>IF(OR($G991="",$H991="Mahsup"),"",$G991&amp;"|"&amp;COUNTIFS($G$7:$G991,$G991,$H$7:$H991,"&lt;&gt;Mahsup"))</f>
        <v/>
      </c>
    </row>
    <row r="992" spans="1:21" ht="18" customHeight="1" x14ac:dyDescent="0.3">
      <c r="A992" s="2"/>
      <c r="B992" s="65" t="str">
        <f>IF($D992="","","T"&amp;TEXT(ROW()-6,"00000"))</f>
        <v/>
      </c>
      <c r="C992" s="65" t="str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61"/>
      <c r="E992" s="66"/>
      <c r="F992" s="67"/>
      <c r="G992" s="60"/>
      <c r="H992" s="60"/>
      <c r="I992" s="61"/>
      <c r="J992" s="61"/>
      <c r="K992" s="61"/>
      <c r="L992" s="73" t="str">
        <f>IF($E992="","",DATE(YEAR($E992),MONTH($E992),1))</f>
        <v/>
      </c>
      <c r="M992" s="65" t="str">
        <f ca="1">IF($D992="","",IF($C992="TANIMSIZ MÜŞTERİ","HATA",IF(OR($E992="",$F992&lt;=0,$G992=""),"EKSİK",IF($E992&gt;TODAY(),"İLERİ TARİH",IF(COUNTIF($S$7:$S$2503,$S992)&gt;1,"MÜKERRER?",IF($T992&gt;0,"KAPALI DÖNEM","UYGUN"))))))</f>
        <v/>
      </c>
      <c r="N992" s="74" t="str">
        <f>IF($C992="","",IF($C992="TANIMSIZ MÜŞTERİ","—",INDEX(MUSTERILER!$C$7:$C$156,MATCH($C992,MUSTERILER!$B$7:$B$156,0))))</f>
        <v/>
      </c>
      <c r="O992" s="2"/>
      <c r="P992" s="2"/>
      <c r="Q992" s="1" t="str">
        <f>IF($D992="","",$C992&amp;"|"&amp;COUNTIFS($C$7:$C992,$C992))</f>
        <v/>
      </c>
      <c r="R992" s="1" t="str">
        <f t="shared" si="30"/>
        <v/>
      </c>
      <c r="S992" s="1" t="str">
        <f t="shared" si="31"/>
        <v/>
      </c>
      <c r="T992" s="1">
        <f>IF($E992="",0,SUMPRODUCT((AY_SONU!$O$7:$O$42="Evet")*(AY_SONU!$B$7:$B$42=DATE(YEAR($E992),MONTH($E992),1))))</f>
        <v>0</v>
      </c>
      <c r="U992" s="1" t="str">
        <f>IF(OR($G992="",$H992="Mahsup"),"",$G992&amp;"|"&amp;COUNTIFS($G$7:$G992,$G992,$H$7:$H992,"&lt;&gt;Mahsup"))</f>
        <v/>
      </c>
    </row>
    <row r="993" spans="1:21" ht="18" customHeight="1" x14ac:dyDescent="0.3">
      <c r="A993" s="2"/>
      <c r="B993" s="65" t="str">
        <f>IF($D993="","","T"&amp;TEXT(ROW()-6,"00000"))</f>
        <v/>
      </c>
      <c r="C993" s="65" t="str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61"/>
      <c r="E993" s="66"/>
      <c r="F993" s="67"/>
      <c r="G993" s="60"/>
      <c r="H993" s="60"/>
      <c r="I993" s="61"/>
      <c r="J993" s="61"/>
      <c r="K993" s="61"/>
      <c r="L993" s="73" t="str">
        <f>IF($E993="","",DATE(YEAR($E993),MONTH($E993),1))</f>
        <v/>
      </c>
      <c r="M993" s="65" t="str">
        <f ca="1">IF($D993="","",IF($C993="TANIMSIZ MÜŞTERİ","HATA",IF(OR($E993="",$F993&lt;=0,$G993=""),"EKSİK",IF($E993&gt;TODAY(),"İLERİ TARİH",IF(COUNTIF($S$7:$S$2503,$S993)&gt;1,"MÜKERRER?",IF($T993&gt;0,"KAPALI DÖNEM","UYGUN"))))))</f>
        <v/>
      </c>
      <c r="N993" s="74" t="str">
        <f>IF($C993="","",IF($C993="TANIMSIZ MÜŞTERİ","—",INDEX(MUSTERILER!$C$7:$C$156,MATCH($C993,MUSTERILER!$B$7:$B$156,0))))</f>
        <v/>
      </c>
      <c r="O993" s="2"/>
      <c r="P993" s="2"/>
      <c r="Q993" s="1" t="str">
        <f>IF($D993="","",$C993&amp;"|"&amp;COUNTIFS($C$7:$C993,$C993))</f>
        <v/>
      </c>
      <c r="R993" s="1" t="str">
        <f t="shared" si="30"/>
        <v/>
      </c>
      <c r="S993" s="1" t="str">
        <f t="shared" si="31"/>
        <v/>
      </c>
      <c r="T993" s="1">
        <f>IF($E993="",0,SUMPRODUCT((AY_SONU!$O$7:$O$42="Evet")*(AY_SONU!$B$7:$B$42=DATE(YEAR($E993),MONTH($E993),1))))</f>
        <v>0</v>
      </c>
      <c r="U993" s="1" t="str">
        <f>IF(OR($G993="",$H993="Mahsup"),"",$G993&amp;"|"&amp;COUNTIFS($G$7:$G993,$G993,$H$7:$H993,"&lt;&gt;Mahsup"))</f>
        <v/>
      </c>
    </row>
    <row r="994" spans="1:21" ht="18" customHeight="1" x14ac:dyDescent="0.3">
      <c r="A994" s="2"/>
      <c r="B994" s="65" t="str">
        <f>IF($D994="","","T"&amp;TEXT(ROW()-6,"00000"))</f>
        <v/>
      </c>
      <c r="C994" s="65" t="str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61"/>
      <c r="E994" s="66"/>
      <c r="F994" s="67"/>
      <c r="G994" s="60"/>
      <c r="H994" s="60"/>
      <c r="I994" s="61"/>
      <c r="J994" s="61"/>
      <c r="K994" s="61"/>
      <c r="L994" s="73" t="str">
        <f>IF($E994="","",DATE(YEAR($E994),MONTH($E994),1))</f>
        <v/>
      </c>
      <c r="M994" s="65" t="str">
        <f ca="1">IF($D994="","",IF($C994="TANIMSIZ MÜŞTERİ","HATA",IF(OR($E994="",$F994&lt;=0,$G994=""),"EKSİK",IF($E994&gt;TODAY(),"İLERİ TARİH",IF(COUNTIF($S$7:$S$2503,$S994)&gt;1,"MÜKERRER?",IF($T994&gt;0,"KAPALI DÖNEM","UYGUN"))))))</f>
        <v/>
      </c>
      <c r="N994" s="74" t="str">
        <f>IF($C994="","",IF($C994="TANIMSIZ MÜŞTERİ","—",INDEX(MUSTERILER!$C$7:$C$156,MATCH($C994,MUSTERILER!$B$7:$B$156,0))))</f>
        <v/>
      </c>
      <c r="O994" s="2"/>
      <c r="P994" s="2"/>
      <c r="Q994" s="1" t="str">
        <f>IF($D994="","",$C994&amp;"|"&amp;COUNTIFS($C$7:$C994,$C994))</f>
        <v/>
      </c>
      <c r="R994" s="1" t="str">
        <f t="shared" si="30"/>
        <v/>
      </c>
      <c r="S994" s="1" t="str">
        <f t="shared" si="31"/>
        <v/>
      </c>
      <c r="T994" s="1">
        <f>IF($E994="",0,SUMPRODUCT((AY_SONU!$O$7:$O$42="Evet")*(AY_SONU!$B$7:$B$42=DATE(YEAR($E994),MONTH($E994),1))))</f>
        <v>0</v>
      </c>
      <c r="U994" s="1" t="str">
        <f>IF(OR($G994="",$H994="Mahsup"),"",$G994&amp;"|"&amp;COUNTIFS($G$7:$G994,$G994,$H$7:$H994,"&lt;&gt;Mahsup"))</f>
        <v/>
      </c>
    </row>
    <row r="995" spans="1:21" ht="18" customHeight="1" x14ac:dyDescent="0.3">
      <c r="A995" s="2"/>
      <c r="B995" s="65" t="str">
        <f>IF($D995="","","T"&amp;TEXT(ROW()-6,"00000"))</f>
        <v/>
      </c>
      <c r="C995" s="65" t="str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61"/>
      <c r="E995" s="66"/>
      <c r="F995" s="67"/>
      <c r="G995" s="60"/>
      <c r="H995" s="60"/>
      <c r="I995" s="61"/>
      <c r="J995" s="61"/>
      <c r="K995" s="61"/>
      <c r="L995" s="73" t="str">
        <f>IF($E995="","",DATE(YEAR($E995),MONTH($E995),1))</f>
        <v/>
      </c>
      <c r="M995" s="65" t="str">
        <f ca="1">IF($D995="","",IF($C995="TANIMSIZ MÜŞTERİ","HATA",IF(OR($E995="",$F995&lt;=0,$G995=""),"EKSİK",IF($E995&gt;TODAY(),"İLERİ TARİH",IF(COUNTIF($S$7:$S$2503,$S995)&gt;1,"MÜKERRER?",IF($T995&gt;0,"KAPALI DÖNEM","UYGUN"))))))</f>
        <v/>
      </c>
      <c r="N995" s="74" t="str">
        <f>IF($C995="","",IF($C995="TANIMSIZ MÜŞTERİ","—",INDEX(MUSTERILER!$C$7:$C$156,MATCH($C995,MUSTERILER!$B$7:$B$156,0))))</f>
        <v/>
      </c>
      <c r="O995" s="2"/>
      <c r="P995" s="2"/>
      <c r="Q995" s="1" t="str">
        <f>IF($D995="","",$C995&amp;"|"&amp;COUNTIFS($C$7:$C995,$C995))</f>
        <v/>
      </c>
      <c r="R995" s="1" t="str">
        <f t="shared" si="30"/>
        <v/>
      </c>
      <c r="S995" s="1" t="str">
        <f t="shared" si="31"/>
        <v/>
      </c>
      <c r="T995" s="1">
        <f>IF($E995="",0,SUMPRODUCT((AY_SONU!$O$7:$O$42="Evet")*(AY_SONU!$B$7:$B$42=DATE(YEAR($E995),MONTH($E995),1))))</f>
        <v>0</v>
      </c>
      <c r="U995" s="1" t="str">
        <f>IF(OR($G995="",$H995="Mahsup"),"",$G995&amp;"|"&amp;COUNTIFS($G$7:$G995,$G995,$H$7:$H995,"&lt;&gt;Mahsup"))</f>
        <v/>
      </c>
    </row>
    <row r="996" spans="1:21" ht="18" customHeight="1" x14ac:dyDescent="0.3">
      <c r="A996" s="2"/>
      <c r="B996" s="65" t="str">
        <f>IF($D996="","","T"&amp;TEXT(ROW()-6,"00000"))</f>
        <v/>
      </c>
      <c r="C996" s="65" t="str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61"/>
      <c r="E996" s="66"/>
      <c r="F996" s="67"/>
      <c r="G996" s="60"/>
      <c r="H996" s="60"/>
      <c r="I996" s="61"/>
      <c r="J996" s="61"/>
      <c r="K996" s="61"/>
      <c r="L996" s="73" t="str">
        <f>IF($E996="","",DATE(YEAR($E996),MONTH($E996),1))</f>
        <v/>
      </c>
      <c r="M996" s="65" t="str">
        <f ca="1">IF($D996="","",IF($C996="TANIMSIZ MÜŞTERİ","HATA",IF(OR($E996="",$F996&lt;=0,$G996=""),"EKSİK",IF($E996&gt;TODAY(),"İLERİ TARİH",IF(COUNTIF($S$7:$S$2503,$S996)&gt;1,"MÜKERRER?",IF($T996&gt;0,"KAPALI DÖNEM","UYGUN"))))))</f>
        <v/>
      </c>
      <c r="N996" s="74" t="str">
        <f>IF($C996="","",IF($C996="TANIMSIZ MÜŞTERİ","—",INDEX(MUSTERILER!$C$7:$C$156,MATCH($C996,MUSTERILER!$B$7:$B$156,0))))</f>
        <v/>
      </c>
      <c r="O996" s="2"/>
      <c r="P996" s="2"/>
      <c r="Q996" s="1" t="str">
        <f>IF($D996="","",$C996&amp;"|"&amp;COUNTIFS($C$7:$C996,$C996))</f>
        <v/>
      </c>
      <c r="R996" s="1" t="str">
        <f t="shared" si="30"/>
        <v/>
      </c>
      <c r="S996" s="1" t="str">
        <f t="shared" si="31"/>
        <v/>
      </c>
      <c r="T996" s="1">
        <f>IF($E996="",0,SUMPRODUCT((AY_SONU!$O$7:$O$42="Evet")*(AY_SONU!$B$7:$B$42=DATE(YEAR($E996),MONTH($E996),1))))</f>
        <v>0</v>
      </c>
      <c r="U996" s="1" t="str">
        <f>IF(OR($G996="",$H996="Mahsup"),"",$G996&amp;"|"&amp;COUNTIFS($G$7:$G996,$G996,$H$7:$H996,"&lt;&gt;Mahsup"))</f>
        <v/>
      </c>
    </row>
    <row r="997" spans="1:21" ht="18" customHeight="1" x14ac:dyDescent="0.3">
      <c r="A997" s="2"/>
      <c r="B997" s="65" t="str">
        <f>IF($D997="","","T"&amp;TEXT(ROW()-6,"00000"))</f>
        <v/>
      </c>
      <c r="C997" s="65" t="str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61"/>
      <c r="E997" s="66"/>
      <c r="F997" s="67"/>
      <c r="G997" s="60"/>
      <c r="H997" s="60"/>
      <c r="I997" s="61"/>
      <c r="J997" s="61"/>
      <c r="K997" s="61"/>
      <c r="L997" s="73" t="str">
        <f>IF($E997="","",DATE(YEAR($E997),MONTH($E997),1))</f>
        <v/>
      </c>
      <c r="M997" s="65" t="str">
        <f ca="1">IF($D997="","",IF($C997="TANIMSIZ MÜŞTERİ","HATA",IF(OR($E997="",$F997&lt;=0,$G997=""),"EKSİK",IF($E997&gt;TODAY(),"İLERİ TARİH",IF(COUNTIF($S$7:$S$2503,$S997)&gt;1,"MÜKERRER?",IF($T997&gt;0,"KAPALI DÖNEM","UYGUN"))))))</f>
        <v/>
      </c>
      <c r="N997" s="74" t="str">
        <f>IF($C997="","",IF($C997="TANIMSIZ MÜŞTERİ","—",INDEX(MUSTERILER!$C$7:$C$156,MATCH($C997,MUSTERILER!$B$7:$B$156,0))))</f>
        <v/>
      </c>
      <c r="O997" s="2"/>
      <c r="P997" s="2"/>
      <c r="Q997" s="1" t="str">
        <f>IF($D997="","",$C997&amp;"|"&amp;COUNTIFS($C$7:$C997,$C997))</f>
        <v/>
      </c>
      <c r="R997" s="1" t="str">
        <f t="shared" si="30"/>
        <v/>
      </c>
      <c r="S997" s="1" t="str">
        <f t="shared" si="31"/>
        <v/>
      </c>
      <c r="T997" s="1">
        <f>IF($E997="",0,SUMPRODUCT((AY_SONU!$O$7:$O$42="Evet")*(AY_SONU!$B$7:$B$42=DATE(YEAR($E997),MONTH($E997),1))))</f>
        <v>0</v>
      </c>
      <c r="U997" s="1" t="str">
        <f>IF(OR($G997="",$H997="Mahsup"),"",$G997&amp;"|"&amp;COUNTIFS($G$7:$G997,$G997,$H$7:$H997,"&lt;&gt;Mahsup"))</f>
        <v/>
      </c>
    </row>
    <row r="998" spans="1:21" ht="18" customHeight="1" x14ac:dyDescent="0.3">
      <c r="A998" s="2"/>
      <c r="B998" s="65" t="str">
        <f>IF($D998="","","T"&amp;TEXT(ROW()-6,"00000"))</f>
        <v/>
      </c>
      <c r="C998" s="65" t="str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61"/>
      <c r="E998" s="66"/>
      <c r="F998" s="67"/>
      <c r="G998" s="60"/>
      <c r="H998" s="60"/>
      <c r="I998" s="61"/>
      <c r="J998" s="61"/>
      <c r="K998" s="61"/>
      <c r="L998" s="73" t="str">
        <f>IF($E998="","",DATE(YEAR($E998),MONTH($E998),1))</f>
        <v/>
      </c>
      <c r="M998" s="65" t="str">
        <f ca="1">IF($D998="","",IF($C998="TANIMSIZ MÜŞTERİ","HATA",IF(OR($E998="",$F998&lt;=0,$G998=""),"EKSİK",IF($E998&gt;TODAY(),"İLERİ TARİH",IF(COUNTIF($S$7:$S$2503,$S998)&gt;1,"MÜKERRER?",IF($T998&gt;0,"KAPALI DÖNEM","UYGUN"))))))</f>
        <v/>
      </c>
      <c r="N998" s="74" t="str">
        <f>IF($C998="","",IF($C998="TANIMSIZ MÜŞTERİ","—",INDEX(MUSTERILER!$C$7:$C$156,MATCH($C998,MUSTERILER!$B$7:$B$156,0))))</f>
        <v/>
      </c>
      <c r="O998" s="2"/>
      <c r="P998" s="2"/>
      <c r="Q998" s="1" t="str">
        <f>IF($D998="","",$C998&amp;"|"&amp;COUNTIFS($C$7:$C998,$C998))</f>
        <v/>
      </c>
      <c r="R998" s="1" t="str">
        <f t="shared" si="30"/>
        <v/>
      </c>
      <c r="S998" s="1" t="str">
        <f t="shared" si="31"/>
        <v/>
      </c>
      <c r="T998" s="1">
        <f>IF($E998="",0,SUMPRODUCT((AY_SONU!$O$7:$O$42="Evet")*(AY_SONU!$B$7:$B$42=DATE(YEAR($E998),MONTH($E998),1))))</f>
        <v>0</v>
      </c>
      <c r="U998" s="1" t="str">
        <f>IF(OR($G998="",$H998="Mahsup"),"",$G998&amp;"|"&amp;COUNTIFS($G$7:$G998,$G998,$H$7:$H998,"&lt;&gt;Mahsup"))</f>
        <v/>
      </c>
    </row>
    <row r="999" spans="1:21" ht="18" customHeight="1" x14ac:dyDescent="0.3">
      <c r="A999" s="2"/>
      <c r="B999" s="65" t="str">
        <f>IF($D999="","","T"&amp;TEXT(ROW()-6,"00000"))</f>
        <v/>
      </c>
      <c r="C999" s="65" t="str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61"/>
      <c r="E999" s="66"/>
      <c r="F999" s="67"/>
      <c r="G999" s="60"/>
      <c r="H999" s="60"/>
      <c r="I999" s="61"/>
      <c r="J999" s="61"/>
      <c r="K999" s="61"/>
      <c r="L999" s="73" t="str">
        <f>IF($E999="","",DATE(YEAR($E999),MONTH($E999),1))</f>
        <v/>
      </c>
      <c r="M999" s="65" t="str">
        <f ca="1">IF($D999="","",IF($C999="TANIMSIZ MÜŞTERİ","HATA",IF(OR($E999="",$F999&lt;=0,$G999=""),"EKSİK",IF($E999&gt;TODAY(),"İLERİ TARİH",IF(COUNTIF($S$7:$S$2503,$S999)&gt;1,"MÜKERRER?",IF($T999&gt;0,"KAPALI DÖNEM","UYGUN"))))))</f>
        <v/>
      </c>
      <c r="N999" s="74" t="str">
        <f>IF($C999="","",IF($C999="TANIMSIZ MÜŞTERİ","—",INDEX(MUSTERILER!$C$7:$C$156,MATCH($C999,MUSTERILER!$B$7:$B$156,0))))</f>
        <v/>
      </c>
      <c r="O999" s="2"/>
      <c r="P999" s="2"/>
      <c r="Q999" s="1" t="str">
        <f>IF($D999="","",$C999&amp;"|"&amp;COUNTIFS($C$7:$C999,$C999))</f>
        <v/>
      </c>
      <c r="R999" s="1" t="str">
        <f t="shared" si="30"/>
        <v/>
      </c>
      <c r="S999" s="1" t="str">
        <f t="shared" si="31"/>
        <v/>
      </c>
      <c r="T999" s="1">
        <f>IF($E999="",0,SUMPRODUCT((AY_SONU!$O$7:$O$42="Evet")*(AY_SONU!$B$7:$B$42=DATE(YEAR($E999),MONTH($E999),1))))</f>
        <v>0</v>
      </c>
      <c r="U999" s="1" t="str">
        <f>IF(OR($G999="",$H999="Mahsup"),"",$G999&amp;"|"&amp;COUNTIFS($G$7:$G999,$G999,$H$7:$H999,"&lt;&gt;Mahsup"))</f>
        <v/>
      </c>
    </row>
    <row r="1000" spans="1:21" ht="18" customHeight="1" x14ac:dyDescent="0.3">
      <c r="A1000" s="2"/>
      <c r="B1000" s="65" t="str">
        <f>IF($D1000="","","T"&amp;TEXT(ROW()-6,"00000"))</f>
        <v/>
      </c>
      <c r="C1000" s="65" t="str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61"/>
      <c r="E1000" s="66"/>
      <c r="F1000" s="67"/>
      <c r="G1000" s="60"/>
      <c r="H1000" s="60"/>
      <c r="I1000" s="61"/>
      <c r="J1000" s="61"/>
      <c r="K1000" s="61"/>
      <c r="L1000" s="73" t="str">
        <f>IF($E1000="","",DATE(YEAR($E1000),MONTH($E1000),1))</f>
        <v/>
      </c>
      <c r="M1000" s="65" t="str">
        <f ca="1">IF($D1000="","",IF($C1000="TANIMSIZ MÜŞTERİ","HATA",IF(OR($E1000="",$F1000&lt;=0,$G1000=""),"EKSİK",IF($E1000&gt;TODAY(),"İLERİ TARİH",IF(COUNTIF($S$7:$S$2503,$S1000)&gt;1,"MÜKERRER?",IF($T1000&gt;0,"KAPALI DÖNEM","UYGUN"))))))</f>
        <v/>
      </c>
      <c r="N1000" s="74" t="str">
        <f>IF($C1000="","",IF($C1000="TANIMSIZ MÜŞTERİ","—",INDEX(MUSTERILER!$C$7:$C$156,MATCH($C1000,MUSTERILER!$B$7:$B$156,0))))</f>
        <v/>
      </c>
      <c r="O1000" s="2"/>
      <c r="P1000" s="2"/>
      <c r="Q1000" s="1" t="str">
        <f>IF($D1000="","",$C1000&amp;"|"&amp;COUNTIFS($C$7:$C1000,$C1000))</f>
        <v/>
      </c>
      <c r="R1000" s="1" t="str">
        <f t="shared" si="30"/>
        <v/>
      </c>
      <c r="S1000" s="1" t="str">
        <f t="shared" si="31"/>
        <v/>
      </c>
      <c r="T1000" s="1">
        <f>IF($E1000="",0,SUMPRODUCT((AY_SONU!$O$7:$O$42="Evet")*(AY_SONU!$B$7:$B$42=DATE(YEAR($E1000),MONTH($E1000),1))))</f>
        <v>0</v>
      </c>
      <c r="U1000" s="1" t="str">
        <f>IF(OR($G1000="",$H1000="Mahsup"),"",$G1000&amp;"|"&amp;COUNTIFS($G$7:$G1000,$G1000,$H$7:$H1000,"&lt;&gt;Mahsup"))</f>
        <v/>
      </c>
    </row>
    <row r="1001" spans="1:21" ht="18" customHeight="1" x14ac:dyDescent="0.3">
      <c r="A1001" s="2"/>
      <c r="B1001" s="65" t="str">
        <f>IF($D1001="","","T"&amp;TEXT(ROW()-6,"00000"))</f>
        <v/>
      </c>
      <c r="C1001" s="65" t="str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61"/>
      <c r="E1001" s="66"/>
      <c r="F1001" s="67"/>
      <c r="G1001" s="60"/>
      <c r="H1001" s="60"/>
      <c r="I1001" s="61"/>
      <c r="J1001" s="61"/>
      <c r="K1001" s="61"/>
      <c r="L1001" s="73" t="str">
        <f>IF($E1001="","",DATE(YEAR($E1001),MONTH($E1001),1))</f>
        <v/>
      </c>
      <c r="M1001" s="65" t="str">
        <f ca="1">IF($D1001="","",IF($C1001="TANIMSIZ MÜŞTERİ","HATA",IF(OR($E1001="",$F1001&lt;=0,$G1001=""),"EKSİK",IF($E1001&gt;TODAY(),"İLERİ TARİH",IF(COUNTIF($S$7:$S$2503,$S1001)&gt;1,"MÜKERRER?",IF($T1001&gt;0,"KAPALI DÖNEM","UYGUN"))))))</f>
        <v/>
      </c>
      <c r="N1001" s="74" t="str">
        <f>IF($C1001="","",IF($C1001="TANIMSIZ MÜŞTERİ","—",INDEX(MUSTERILER!$C$7:$C$156,MATCH($C1001,MUSTERILER!$B$7:$B$156,0))))</f>
        <v/>
      </c>
      <c r="O1001" s="2"/>
      <c r="P1001" s="2"/>
      <c r="Q1001" s="1" t="str">
        <f>IF($D1001="","",$C1001&amp;"|"&amp;COUNTIFS($C$7:$C1001,$C1001))</f>
        <v/>
      </c>
      <c r="R1001" s="1" t="str">
        <f t="shared" si="30"/>
        <v/>
      </c>
      <c r="S1001" s="1" t="str">
        <f t="shared" si="31"/>
        <v/>
      </c>
      <c r="T1001" s="1">
        <f>IF($E1001="",0,SUMPRODUCT((AY_SONU!$O$7:$O$42="Evet")*(AY_SONU!$B$7:$B$42=DATE(YEAR($E1001),MONTH($E1001),1))))</f>
        <v>0</v>
      </c>
      <c r="U1001" s="1" t="str">
        <f>IF(OR($G1001="",$H1001="Mahsup"),"",$G1001&amp;"|"&amp;COUNTIFS($G$7:$G1001,$G1001,$H$7:$H1001,"&lt;&gt;Mahsup"))</f>
        <v/>
      </c>
    </row>
    <row r="1002" spans="1:21" ht="18" customHeight="1" x14ac:dyDescent="0.3">
      <c r="A1002" s="2"/>
      <c r="B1002" s="65" t="str">
        <f>IF($D1002="","","T"&amp;TEXT(ROW()-6,"00000"))</f>
        <v/>
      </c>
      <c r="C1002" s="65" t="str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61"/>
      <c r="E1002" s="66"/>
      <c r="F1002" s="67"/>
      <c r="G1002" s="60"/>
      <c r="H1002" s="60"/>
      <c r="I1002" s="61"/>
      <c r="J1002" s="61"/>
      <c r="K1002" s="61"/>
      <c r="L1002" s="73" t="str">
        <f>IF($E1002="","",DATE(YEAR($E1002),MONTH($E1002),1))</f>
        <v/>
      </c>
      <c r="M1002" s="65" t="str">
        <f ca="1">IF($D1002="","",IF($C1002="TANIMSIZ MÜŞTERİ","HATA",IF(OR($E1002="",$F1002&lt;=0,$G1002=""),"EKSİK",IF($E1002&gt;TODAY(),"İLERİ TARİH",IF(COUNTIF($S$7:$S$2503,$S1002)&gt;1,"MÜKERRER?",IF($T1002&gt;0,"KAPALI DÖNEM","UYGUN"))))))</f>
        <v/>
      </c>
      <c r="N1002" s="74" t="str">
        <f>IF($C1002="","",IF($C1002="TANIMSIZ MÜŞTERİ","—",INDEX(MUSTERILER!$C$7:$C$156,MATCH($C1002,MUSTERILER!$B$7:$B$156,0))))</f>
        <v/>
      </c>
      <c r="O1002" s="2"/>
      <c r="P1002" s="2"/>
      <c r="Q1002" s="1" t="str">
        <f>IF($D1002="","",$C1002&amp;"|"&amp;COUNTIFS($C$7:$C1002,$C1002))</f>
        <v/>
      </c>
      <c r="R1002" s="1" t="str">
        <f t="shared" si="30"/>
        <v/>
      </c>
      <c r="S1002" s="1" t="str">
        <f t="shared" si="31"/>
        <v/>
      </c>
      <c r="T1002" s="1">
        <f>IF($E1002="",0,SUMPRODUCT((AY_SONU!$O$7:$O$42="Evet")*(AY_SONU!$B$7:$B$42=DATE(YEAR($E1002),MONTH($E1002),1))))</f>
        <v>0</v>
      </c>
      <c r="U1002" s="1" t="str">
        <f>IF(OR($G1002="",$H1002="Mahsup"),"",$G1002&amp;"|"&amp;COUNTIFS($G$7:$G1002,$G1002,$H$7:$H1002,"&lt;&gt;Mahsup"))</f>
        <v/>
      </c>
    </row>
    <row r="1003" spans="1:21" ht="18" customHeight="1" x14ac:dyDescent="0.3">
      <c r="A1003" s="2"/>
      <c r="B1003" s="65" t="str">
        <f>IF($D1003="","","T"&amp;TEXT(ROW()-6,"00000"))</f>
        <v/>
      </c>
      <c r="C1003" s="65" t="str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61"/>
      <c r="E1003" s="66"/>
      <c r="F1003" s="67"/>
      <c r="G1003" s="60"/>
      <c r="H1003" s="60"/>
      <c r="I1003" s="61"/>
      <c r="J1003" s="61"/>
      <c r="K1003" s="61"/>
      <c r="L1003" s="73" t="str">
        <f>IF($E1003="","",DATE(YEAR($E1003),MONTH($E1003),1))</f>
        <v/>
      </c>
      <c r="M1003" s="65" t="str">
        <f ca="1">IF($D1003="","",IF($C1003="TANIMSIZ MÜŞTERİ","HATA",IF(OR($E1003="",$F1003&lt;=0,$G1003=""),"EKSİK",IF($E1003&gt;TODAY(),"İLERİ TARİH",IF(COUNTIF($S$7:$S$2503,$S1003)&gt;1,"MÜKERRER?",IF($T1003&gt;0,"KAPALI DÖNEM","UYGUN"))))))</f>
        <v/>
      </c>
      <c r="N1003" s="74" t="str">
        <f>IF($C1003="","",IF($C1003="TANIMSIZ MÜŞTERİ","—",INDEX(MUSTERILER!$C$7:$C$156,MATCH($C1003,MUSTERILER!$B$7:$B$156,0))))</f>
        <v/>
      </c>
      <c r="O1003" s="2"/>
      <c r="P1003" s="2"/>
      <c r="Q1003" s="1" t="str">
        <f>IF($D1003="","",$C1003&amp;"|"&amp;COUNTIFS($C$7:$C1003,$C1003))</f>
        <v/>
      </c>
      <c r="R1003" s="1" t="str">
        <f t="shared" si="30"/>
        <v/>
      </c>
      <c r="S1003" s="1" t="str">
        <f t="shared" si="31"/>
        <v/>
      </c>
      <c r="T1003" s="1">
        <f>IF($E1003="",0,SUMPRODUCT((AY_SONU!$O$7:$O$42="Evet")*(AY_SONU!$B$7:$B$42=DATE(YEAR($E1003),MONTH($E1003),1))))</f>
        <v>0</v>
      </c>
      <c r="U1003" s="1" t="str">
        <f>IF(OR($G1003="",$H1003="Mahsup"),"",$G1003&amp;"|"&amp;COUNTIFS($G$7:$G1003,$G1003,$H$7:$H1003,"&lt;&gt;Mahsup"))</f>
        <v/>
      </c>
    </row>
    <row r="1004" spans="1:21" ht="18" customHeight="1" x14ac:dyDescent="0.3">
      <c r="A1004" s="2"/>
      <c r="B1004" s="65" t="str">
        <f>IF($D1004="","","T"&amp;TEXT(ROW()-6,"00000"))</f>
        <v/>
      </c>
      <c r="C1004" s="65" t="str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61"/>
      <c r="E1004" s="66"/>
      <c r="F1004" s="67"/>
      <c r="G1004" s="60"/>
      <c r="H1004" s="60"/>
      <c r="I1004" s="61"/>
      <c r="J1004" s="61"/>
      <c r="K1004" s="61"/>
      <c r="L1004" s="73" t="str">
        <f>IF($E1004="","",DATE(YEAR($E1004),MONTH($E1004),1))</f>
        <v/>
      </c>
      <c r="M1004" s="65" t="str">
        <f ca="1">IF($D1004="","",IF($C1004="TANIMSIZ MÜŞTERİ","HATA",IF(OR($E1004="",$F1004&lt;=0,$G1004=""),"EKSİK",IF($E1004&gt;TODAY(),"İLERİ TARİH",IF(COUNTIF($S$7:$S$2503,$S1004)&gt;1,"MÜKERRER?",IF($T1004&gt;0,"KAPALI DÖNEM","UYGUN"))))))</f>
        <v/>
      </c>
      <c r="N1004" s="74" t="str">
        <f>IF($C1004="","",IF($C1004="TANIMSIZ MÜŞTERİ","—",INDEX(MUSTERILER!$C$7:$C$156,MATCH($C1004,MUSTERILER!$B$7:$B$156,0))))</f>
        <v/>
      </c>
      <c r="O1004" s="2"/>
      <c r="P1004" s="2"/>
      <c r="Q1004" s="1" t="str">
        <f>IF($D1004="","",$C1004&amp;"|"&amp;COUNTIFS($C$7:$C1004,$C1004))</f>
        <v/>
      </c>
      <c r="R1004" s="1" t="str">
        <f t="shared" si="30"/>
        <v/>
      </c>
      <c r="S1004" s="1" t="str">
        <f t="shared" si="31"/>
        <v/>
      </c>
      <c r="T1004" s="1">
        <f>IF($E1004="",0,SUMPRODUCT((AY_SONU!$O$7:$O$42="Evet")*(AY_SONU!$B$7:$B$42=DATE(YEAR($E1004),MONTH($E1004),1))))</f>
        <v>0</v>
      </c>
      <c r="U1004" s="1" t="str">
        <f>IF(OR($G1004="",$H1004="Mahsup"),"",$G1004&amp;"|"&amp;COUNTIFS($G$7:$G1004,$G1004,$H$7:$H1004,"&lt;&gt;Mahsup"))</f>
        <v/>
      </c>
    </row>
    <row r="1005" spans="1:21" ht="18" customHeight="1" x14ac:dyDescent="0.3">
      <c r="A1005" s="2"/>
      <c r="B1005" s="65" t="str">
        <f>IF($D1005="","","T"&amp;TEXT(ROW()-6,"00000"))</f>
        <v/>
      </c>
      <c r="C1005" s="65" t="str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61"/>
      <c r="E1005" s="66"/>
      <c r="F1005" s="67"/>
      <c r="G1005" s="60"/>
      <c r="H1005" s="60"/>
      <c r="I1005" s="61"/>
      <c r="J1005" s="61"/>
      <c r="K1005" s="61"/>
      <c r="L1005" s="73" t="str">
        <f>IF($E1005="","",DATE(YEAR($E1005),MONTH($E1005),1))</f>
        <v/>
      </c>
      <c r="M1005" s="65" t="str">
        <f ca="1">IF($D1005="","",IF($C1005="TANIMSIZ MÜŞTERİ","HATA",IF(OR($E1005="",$F1005&lt;=0,$G1005=""),"EKSİK",IF($E1005&gt;TODAY(),"İLERİ TARİH",IF(COUNTIF($S$7:$S$2503,$S1005)&gt;1,"MÜKERRER?",IF($T1005&gt;0,"KAPALI DÖNEM","UYGUN"))))))</f>
        <v/>
      </c>
      <c r="N1005" s="74" t="str">
        <f>IF($C1005="","",IF($C1005="TANIMSIZ MÜŞTERİ","—",INDEX(MUSTERILER!$C$7:$C$156,MATCH($C1005,MUSTERILER!$B$7:$B$156,0))))</f>
        <v/>
      </c>
      <c r="O1005" s="2"/>
      <c r="P1005" s="2"/>
      <c r="Q1005" s="1" t="str">
        <f>IF($D1005="","",$C1005&amp;"|"&amp;COUNTIFS($C$7:$C1005,$C1005))</f>
        <v/>
      </c>
      <c r="R1005" s="1" t="str">
        <f t="shared" si="30"/>
        <v/>
      </c>
      <c r="S1005" s="1" t="str">
        <f t="shared" si="31"/>
        <v/>
      </c>
      <c r="T1005" s="1">
        <f>IF($E1005="",0,SUMPRODUCT((AY_SONU!$O$7:$O$42="Evet")*(AY_SONU!$B$7:$B$42=DATE(YEAR($E1005),MONTH($E1005),1))))</f>
        <v>0</v>
      </c>
      <c r="U1005" s="1" t="str">
        <f>IF(OR($G1005="",$H1005="Mahsup"),"",$G1005&amp;"|"&amp;COUNTIFS($G$7:$G1005,$G1005,$H$7:$H1005,"&lt;&gt;Mahsup"))</f>
        <v/>
      </c>
    </row>
    <row r="1006" spans="1:21" ht="18" customHeight="1" x14ac:dyDescent="0.3">
      <c r="A1006" s="2"/>
      <c r="B1006" s="65" t="str">
        <f>IF($D1006="","","T"&amp;TEXT(ROW()-6,"00000"))</f>
        <v/>
      </c>
      <c r="C1006" s="65" t="str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61"/>
      <c r="E1006" s="66"/>
      <c r="F1006" s="67"/>
      <c r="G1006" s="60"/>
      <c r="H1006" s="60"/>
      <c r="I1006" s="61"/>
      <c r="J1006" s="61"/>
      <c r="K1006" s="61"/>
      <c r="L1006" s="73" t="str">
        <f>IF($E1006="","",DATE(YEAR($E1006),MONTH($E1006),1))</f>
        <v/>
      </c>
      <c r="M1006" s="65" t="str">
        <f ca="1">IF($D1006="","",IF($C1006="TANIMSIZ MÜŞTERİ","HATA",IF(OR($E1006="",$F1006&lt;=0,$G1006=""),"EKSİK",IF($E1006&gt;TODAY(),"İLERİ TARİH",IF(COUNTIF($S$7:$S$2503,$S1006)&gt;1,"MÜKERRER?",IF($T1006&gt;0,"KAPALI DÖNEM","UYGUN"))))))</f>
        <v/>
      </c>
      <c r="N1006" s="74" t="str">
        <f>IF($C1006="","",IF($C1006="TANIMSIZ MÜŞTERİ","—",INDEX(MUSTERILER!$C$7:$C$156,MATCH($C1006,MUSTERILER!$B$7:$B$156,0))))</f>
        <v/>
      </c>
      <c r="O1006" s="2"/>
      <c r="P1006" s="2"/>
      <c r="Q1006" s="1" t="str">
        <f>IF($D1006="","",$C1006&amp;"|"&amp;COUNTIFS($C$7:$C1006,$C1006))</f>
        <v/>
      </c>
      <c r="R1006" s="1" t="str">
        <f t="shared" si="30"/>
        <v/>
      </c>
      <c r="S1006" s="1" t="str">
        <f t="shared" si="31"/>
        <v/>
      </c>
      <c r="T1006" s="1">
        <f>IF($E1006="",0,SUMPRODUCT((AY_SONU!$O$7:$O$42="Evet")*(AY_SONU!$B$7:$B$42=DATE(YEAR($E1006),MONTH($E1006),1))))</f>
        <v>0</v>
      </c>
      <c r="U1006" s="1" t="str">
        <f>IF(OR($G1006="",$H1006="Mahsup"),"",$G1006&amp;"|"&amp;COUNTIFS($G$7:$G1006,$G1006,$H$7:$H1006,"&lt;&gt;Mahsup"))</f>
        <v/>
      </c>
    </row>
    <row r="1007" spans="1:21" ht="18" customHeight="1" x14ac:dyDescent="0.3">
      <c r="A1007" s="2"/>
      <c r="B1007" s="65" t="str">
        <f>IF($D1007="","","T"&amp;TEXT(ROW()-6,"00000"))</f>
        <v/>
      </c>
      <c r="C1007" s="65" t="str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61"/>
      <c r="E1007" s="66"/>
      <c r="F1007" s="67"/>
      <c r="G1007" s="60"/>
      <c r="H1007" s="60"/>
      <c r="I1007" s="61"/>
      <c r="J1007" s="61"/>
      <c r="K1007" s="61"/>
      <c r="L1007" s="73" t="str">
        <f>IF($E1007="","",DATE(YEAR($E1007),MONTH($E1007),1))</f>
        <v/>
      </c>
      <c r="M1007" s="65" t="str">
        <f ca="1">IF($D1007="","",IF($C1007="TANIMSIZ MÜŞTERİ","HATA",IF(OR($E1007="",$F1007&lt;=0,$G1007=""),"EKSİK",IF($E1007&gt;TODAY(),"İLERİ TARİH",IF(COUNTIF($S$7:$S$2503,$S1007)&gt;1,"MÜKERRER?",IF($T1007&gt;0,"KAPALI DÖNEM","UYGUN"))))))</f>
        <v/>
      </c>
      <c r="N1007" s="74" t="str">
        <f>IF($C1007="","",IF($C1007="TANIMSIZ MÜŞTERİ","—",INDEX(MUSTERILER!$C$7:$C$156,MATCH($C1007,MUSTERILER!$B$7:$B$156,0))))</f>
        <v/>
      </c>
      <c r="O1007" s="2"/>
      <c r="P1007" s="2"/>
      <c r="Q1007" s="1" t="str">
        <f>IF($D1007="","",$C1007&amp;"|"&amp;COUNTIFS($C$7:$C1007,$C1007))</f>
        <v/>
      </c>
      <c r="R1007" s="1" t="str">
        <f t="shared" si="30"/>
        <v/>
      </c>
      <c r="S1007" s="1" t="str">
        <f t="shared" si="31"/>
        <v/>
      </c>
      <c r="T1007" s="1">
        <f>IF($E1007="",0,SUMPRODUCT((AY_SONU!$O$7:$O$42="Evet")*(AY_SONU!$B$7:$B$42=DATE(YEAR($E1007),MONTH($E1007),1))))</f>
        <v>0</v>
      </c>
      <c r="U1007" s="1" t="str">
        <f>IF(OR($G1007="",$H1007="Mahsup"),"",$G1007&amp;"|"&amp;COUNTIFS($G$7:$G1007,$G1007,$H$7:$H1007,"&lt;&gt;Mahsup"))</f>
        <v/>
      </c>
    </row>
    <row r="1008" spans="1:21" ht="18" customHeight="1" x14ac:dyDescent="0.3">
      <c r="A1008" s="2"/>
      <c r="B1008" s="65" t="str">
        <f>IF($D1008="","","T"&amp;TEXT(ROW()-6,"00000"))</f>
        <v/>
      </c>
      <c r="C1008" s="65" t="str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61"/>
      <c r="E1008" s="66"/>
      <c r="F1008" s="67"/>
      <c r="G1008" s="60"/>
      <c r="H1008" s="60"/>
      <c r="I1008" s="61"/>
      <c r="J1008" s="61"/>
      <c r="K1008" s="61"/>
      <c r="L1008" s="73" t="str">
        <f>IF($E1008="","",DATE(YEAR($E1008),MONTH($E1008),1))</f>
        <v/>
      </c>
      <c r="M1008" s="65" t="str">
        <f ca="1">IF($D1008="","",IF($C1008="TANIMSIZ MÜŞTERİ","HATA",IF(OR($E1008="",$F1008&lt;=0,$G1008=""),"EKSİK",IF($E1008&gt;TODAY(),"İLERİ TARİH",IF(COUNTIF($S$7:$S$2503,$S1008)&gt;1,"MÜKERRER?",IF($T1008&gt;0,"KAPALI DÖNEM","UYGUN"))))))</f>
        <v/>
      </c>
      <c r="N1008" s="74" t="str">
        <f>IF($C1008="","",IF($C1008="TANIMSIZ MÜŞTERİ","—",INDEX(MUSTERILER!$C$7:$C$156,MATCH($C1008,MUSTERILER!$B$7:$B$156,0))))</f>
        <v/>
      </c>
      <c r="O1008" s="2"/>
      <c r="P1008" s="2"/>
      <c r="Q1008" s="1" t="str">
        <f>IF($D1008="","",$C1008&amp;"|"&amp;COUNTIFS($C$7:$C1008,$C1008))</f>
        <v/>
      </c>
      <c r="R1008" s="1" t="str">
        <f t="shared" si="30"/>
        <v/>
      </c>
      <c r="S1008" s="1" t="str">
        <f t="shared" si="31"/>
        <v/>
      </c>
      <c r="T1008" s="1">
        <f>IF($E1008="",0,SUMPRODUCT((AY_SONU!$O$7:$O$42="Evet")*(AY_SONU!$B$7:$B$42=DATE(YEAR($E1008),MONTH($E1008),1))))</f>
        <v>0</v>
      </c>
      <c r="U1008" s="1" t="str">
        <f>IF(OR($G1008="",$H1008="Mahsup"),"",$G1008&amp;"|"&amp;COUNTIFS($G$7:$G1008,$G1008,$H$7:$H1008,"&lt;&gt;Mahsup"))</f>
        <v/>
      </c>
    </row>
    <row r="1009" spans="1:21" ht="18" customHeight="1" x14ac:dyDescent="0.3">
      <c r="A1009" s="2"/>
      <c r="B1009" s="65" t="str">
        <f>IF($D1009="","","T"&amp;TEXT(ROW()-6,"00000"))</f>
        <v/>
      </c>
      <c r="C1009" s="65" t="str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61"/>
      <c r="E1009" s="66"/>
      <c r="F1009" s="67"/>
      <c r="G1009" s="60"/>
      <c r="H1009" s="60"/>
      <c r="I1009" s="61"/>
      <c r="J1009" s="61"/>
      <c r="K1009" s="61"/>
      <c r="L1009" s="73" t="str">
        <f>IF($E1009="","",DATE(YEAR($E1009),MONTH($E1009),1))</f>
        <v/>
      </c>
      <c r="M1009" s="65" t="str">
        <f ca="1">IF($D1009="","",IF($C1009="TANIMSIZ MÜŞTERİ","HATA",IF(OR($E1009="",$F1009&lt;=0,$G1009=""),"EKSİK",IF($E1009&gt;TODAY(),"İLERİ TARİH",IF(COUNTIF($S$7:$S$2503,$S1009)&gt;1,"MÜKERRER?",IF($T1009&gt;0,"KAPALI DÖNEM","UYGUN"))))))</f>
        <v/>
      </c>
      <c r="N1009" s="74" t="str">
        <f>IF($C1009="","",IF($C1009="TANIMSIZ MÜŞTERİ","—",INDEX(MUSTERILER!$C$7:$C$156,MATCH($C1009,MUSTERILER!$B$7:$B$156,0))))</f>
        <v/>
      </c>
      <c r="O1009" s="2"/>
      <c r="P1009" s="2"/>
      <c r="Q1009" s="1" t="str">
        <f>IF($D1009="","",$C1009&amp;"|"&amp;COUNTIFS($C$7:$C1009,$C1009))</f>
        <v/>
      </c>
      <c r="R1009" s="1" t="str">
        <f t="shared" si="30"/>
        <v/>
      </c>
      <c r="S1009" s="1" t="str">
        <f t="shared" si="31"/>
        <v/>
      </c>
      <c r="T1009" s="1">
        <f>IF($E1009="",0,SUMPRODUCT((AY_SONU!$O$7:$O$42="Evet")*(AY_SONU!$B$7:$B$42=DATE(YEAR($E1009),MONTH($E1009),1))))</f>
        <v>0</v>
      </c>
      <c r="U1009" s="1" t="str">
        <f>IF(OR($G1009="",$H1009="Mahsup"),"",$G1009&amp;"|"&amp;COUNTIFS($G$7:$G1009,$G1009,$H$7:$H1009,"&lt;&gt;Mahsup"))</f>
        <v/>
      </c>
    </row>
    <row r="1010" spans="1:21" ht="18" customHeight="1" x14ac:dyDescent="0.3">
      <c r="A1010" s="2"/>
      <c r="B1010" s="65" t="str">
        <f>IF($D1010="","","T"&amp;TEXT(ROW()-6,"00000"))</f>
        <v/>
      </c>
      <c r="C1010" s="65" t="str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61"/>
      <c r="E1010" s="66"/>
      <c r="F1010" s="67"/>
      <c r="G1010" s="60"/>
      <c r="H1010" s="60"/>
      <c r="I1010" s="61"/>
      <c r="J1010" s="61"/>
      <c r="K1010" s="61"/>
      <c r="L1010" s="73" t="str">
        <f>IF($E1010="","",DATE(YEAR($E1010),MONTH($E1010),1))</f>
        <v/>
      </c>
      <c r="M1010" s="65" t="str">
        <f ca="1">IF($D1010="","",IF($C1010="TANIMSIZ MÜŞTERİ","HATA",IF(OR($E1010="",$F1010&lt;=0,$G1010=""),"EKSİK",IF($E1010&gt;TODAY(),"İLERİ TARİH",IF(COUNTIF($S$7:$S$2503,$S1010)&gt;1,"MÜKERRER?",IF($T1010&gt;0,"KAPALI DÖNEM","UYGUN"))))))</f>
        <v/>
      </c>
      <c r="N1010" s="74" t="str">
        <f>IF($C1010="","",IF($C1010="TANIMSIZ MÜŞTERİ","—",INDEX(MUSTERILER!$C$7:$C$156,MATCH($C1010,MUSTERILER!$B$7:$B$156,0))))</f>
        <v/>
      </c>
      <c r="O1010" s="2"/>
      <c r="P1010" s="2"/>
      <c r="Q1010" s="1" t="str">
        <f>IF($D1010="","",$C1010&amp;"|"&amp;COUNTIFS($C$7:$C1010,$C1010))</f>
        <v/>
      </c>
      <c r="R1010" s="1" t="str">
        <f t="shared" si="30"/>
        <v/>
      </c>
      <c r="S1010" s="1" t="str">
        <f t="shared" si="31"/>
        <v/>
      </c>
      <c r="T1010" s="1">
        <f>IF($E1010="",0,SUMPRODUCT((AY_SONU!$O$7:$O$42="Evet")*(AY_SONU!$B$7:$B$42=DATE(YEAR($E1010),MONTH($E1010),1))))</f>
        <v>0</v>
      </c>
      <c r="U1010" s="1" t="str">
        <f>IF(OR($G1010="",$H1010="Mahsup"),"",$G1010&amp;"|"&amp;COUNTIFS($G$7:$G1010,$G1010,$H$7:$H1010,"&lt;&gt;Mahsup"))</f>
        <v/>
      </c>
    </row>
    <row r="1011" spans="1:21" ht="18" customHeight="1" x14ac:dyDescent="0.3">
      <c r="A1011" s="2"/>
      <c r="B1011" s="65" t="str">
        <f>IF($D1011="","","T"&amp;TEXT(ROW()-6,"00000"))</f>
        <v/>
      </c>
      <c r="C1011" s="65" t="str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61"/>
      <c r="E1011" s="66"/>
      <c r="F1011" s="67"/>
      <c r="G1011" s="60"/>
      <c r="H1011" s="60"/>
      <c r="I1011" s="61"/>
      <c r="J1011" s="61"/>
      <c r="K1011" s="61"/>
      <c r="L1011" s="73" t="str">
        <f>IF($E1011="","",DATE(YEAR($E1011),MONTH($E1011),1))</f>
        <v/>
      </c>
      <c r="M1011" s="65" t="str">
        <f ca="1">IF($D1011="","",IF($C1011="TANIMSIZ MÜŞTERİ","HATA",IF(OR($E1011="",$F1011&lt;=0,$G1011=""),"EKSİK",IF($E1011&gt;TODAY(),"İLERİ TARİH",IF(COUNTIF($S$7:$S$2503,$S1011)&gt;1,"MÜKERRER?",IF($T1011&gt;0,"KAPALI DÖNEM","UYGUN"))))))</f>
        <v/>
      </c>
      <c r="N1011" s="74" t="str">
        <f>IF($C1011="","",IF($C1011="TANIMSIZ MÜŞTERİ","—",INDEX(MUSTERILER!$C$7:$C$156,MATCH($C1011,MUSTERILER!$B$7:$B$156,0))))</f>
        <v/>
      </c>
      <c r="O1011" s="2"/>
      <c r="P1011" s="2"/>
      <c r="Q1011" s="1" t="str">
        <f>IF($D1011="","",$C1011&amp;"|"&amp;COUNTIFS($C$7:$C1011,$C1011))</f>
        <v/>
      </c>
      <c r="R1011" s="1" t="str">
        <f t="shared" si="30"/>
        <v/>
      </c>
      <c r="S1011" s="1" t="str">
        <f t="shared" si="31"/>
        <v/>
      </c>
      <c r="T1011" s="1">
        <f>IF($E1011="",0,SUMPRODUCT((AY_SONU!$O$7:$O$42="Evet")*(AY_SONU!$B$7:$B$42=DATE(YEAR($E1011),MONTH($E1011),1))))</f>
        <v>0</v>
      </c>
      <c r="U1011" s="1" t="str">
        <f>IF(OR($G1011="",$H1011="Mahsup"),"",$G1011&amp;"|"&amp;COUNTIFS($G$7:$G1011,$G1011,$H$7:$H1011,"&lt;&gt;Mahsup"))</f>
        <v/>
      </c>
    </row>
    <row r="1012" spans="1:21" ht="18" customHeight="1" x14ac:dyDescent="0.3">
      <c r="A1012" s="2"/>
      <c r="B1012" s="65" t="str">
        <f>IF($D1012="","","T"&amp;TEXT(ROW()-6,"00000"))</f>
        <v/>
      </c>
      <c r="C1012" s="65" t="str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61"/>
      <c r="E1012" s="66"/>
      <c r="F1012" s="67"/>
      <c r="G1012" s="60"/>
      <c r="H1012" s="60"/>
      <c r="I1012" s="61"/>
      <c r="J1012" s="61"/>
      <c r="K1012" s="61"/>
      <c r="L1012" s="73" t="str">
        <f>IF($E1012="","",DATE(YEAR($E1012),MONTH($E1012),1))</f>
        <v/>
      </c>
      <c r="M1012" s="65" t="str">
        <f ca="1">IF($D1012="","",IF($C1012="TANIMSIZ MÜŞTERİ","HATA",IF(OR($E1012="",$F1012&lt;=0,$G1012=""),"EKSİK",IF($E1012&gt;TODAY(),"İLERİ TARİH",IF(COUNTIF($S$7:$S$2503,$S1012)&gt;1,"MÜKERRER?",IF($T1012&gt;0,"KAPALI DÖNEM","UYGUN"))))))</f>
        <v/>
      </c>
      <c r="N1012" s="74" t="str">
        <f>IF($C1012="","",IF($C1012="TANIMSIZ MÜŞTERİ","—",INDEX(MUSTERILER!$C$7:$C$156,MATCH($C1012,MUSTERILER!$B$7:$B$156,0))))</f>
        <v/>
      </c>
      <c r="O1012" s="2"/>
      <c r="P1012" s="2"/>
      <c r="Q1012" s="1" t="str">
        <f>IF($D1012="","",$C1012&amp;"|"&amp;COUNTIFS($C$7:$C1012,$C1012))</f>
        <v/>
      </c>
      <c r="R1012" s="1" t="str">
        <f t="shared" si="30"/>
        <v/>
      </c>
      <c r="S1012" s="1" t="str">
        <f t="shared" si="31"/>
        <v/>
      </c>
      <c r="T1012" s="1">
        <f>IF($E1012="",0,SUMPRODUCT((AY_SONU!$O$7:$O$42="Evet")*(AY_SONU!$B$7:$B$42=DATE(YEAR($E1012),MONTH($E1012),1))))</f>
        <v>0</v>
      </c>
      <c r="U1012" s="1" t="str">
        <f>IF(OR($G1012="",$H1012="Mahsup"),"",$G1012&amp;"|"&amp;COUNTIFS($G$7:$G1012,$G1012,$H$7:$H1012,"&lt;&gt;Mahsup"))</f>
        <v/>
      </c>
    </row>
    <row r="1013" spans="1:21" ht="18" customHeight="1" x14ac:dyDescent="0.3">
      <c r="A1013" s="2"/>
      <c r="B1013" s="65" t="str">
        <f>IF($D1013="","","T"&amp;TEXT(ROW()-6,"00000"))</f>
        <v/>
      </c>
      <c r="C1013" s="65" t="str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61"/>
      <c r="E1013" s="66"/>
      <c r="F1013" s="67"/>
      <c r="G1013" s="60"/>
      <c r="H1013" s="60"/>
      <c r="I1013" s="61"/>
      <c r="J1013" s="61"/>
      <c r="K1013" s="61"/>
      <c r="L1013" s="73" t="str">
        <f>IF($E1013="","",DATE(YEAR($E1013),MONTH($E1013),1))</f>
        <v/>
      </c>
      <c r="M1013" s="65" t="str">
        <f ca="1">IF($D1013="","",IF($C1013="TANIMSIZ MÜŞTERİ","HATA",IF(OR($E1013="",$F1013&lt;=0,$G1013=""),"EKSİK",IF($E1013&gt;TODAY(),"İLERİ TARİH",IF(COUNTIF($S$7:$S$2503,$S1013)&gt;1,"MÜKERRER?",IF($T1013&gt;0,"KAPALI DÖNEM","UYGUN"))))))</f>
        <v/>
      </c>
      <c r="N1013" s="74" t="str">
        <f>IF($C1013="","",IF($C1013="TANIMSIZ MÜŞTERİ","—",INDEX(MUSTERILER!$C$7:$C$156,MATCH($C1013,MUSTERILER!$B$7:$B$156,0))))</f>
        <v/>
      </c>
      <c r="O1013" s="2"/>
      <c r="P1013" s="2"/>
      <c r="Q1013" s="1" t="str">
        <f>IF($D1013="","",$C1013&amp;"|"&amp;COUNTIFS($C$7:$C1013,$C1013))</f>
        <v/>
      </c>
      <c r="R1013" s="1" t="str">
        <f t="shared" si="30"/>
        <v/>
      </c>
      <c r="S1013" s="1" t="str">
        <f t="shared" si="31"/>
        <v/>
      </c>
      <c r="T1013" s="1">
        <f>IF($E1013="",0,SUMPRODUCT((AY_SONU!$O$7:$O$42="Evet")*(AY_SONU!$B$7:$B$42=DATE(YEAR($E1013),MONTH($E1013),1))))</f>
        <v>0</v>
      </c>
      <c r="U1013" s="1" t="str">
        <f>IF(OR($G1013="",$H1013="Mahsup"),"",$G1013&amp;"|"&amp;COUNTIFS($G$7:$G1013,$G1013,$H$7:$H1013,"&lt;&gt;Mahsup"))</f>
        <v/>
      </c>
    </row>
    <row r="1014" spans="1:21" ht="18" customHeight="1" x14ac:dyDescent="0.3">
      <c r="A1014" s="2"/>
      <c r="B1014" s="65" t="str">
        <f>IF($D1014="","","T"&amp;TEXT(ROW()-6,"00000"))</f>
        <v/>
      </c>
      <c r="C1014" s="65" t="str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61"/>
      <c r="E1014" s="66"/>
      <c r="F1014" s="67"/>
      <c r="G1014" s="60"/>
      <c r="H1014" s="60"/>
      <c r="I1014" s="61"/>
      <c r="J1014" s="61"/>
      <c r="K1014" s="61"/>
      <c r="L1014" s="73" t="str">
        <f>IF($E1014="","",DATE(YEAR($E1014),MONTH($E1014),1))</f>
        <v/>
      </c>
      <c r="M1014" s="65" t="str">
        <f ca="1">IF($D1014="","",IF($C1014="TANIMSIZ MÜŞTERİ","HATA",IF(OR($E1014="",$F1014&lt;=0,$G1014=""),"EKSİK",IF($E1014&gt;TODAY(),"İLERİ TARİH",IF(COUNTIF($S$7:$S$2503,$S1014)&gt;1,"MÜKERRER?",IF($T1014&gt;0,"KAPALI DÖNEM","UYGUN"))))))</f>
        <v/>
      </c>
      <c r="N1014" s="74" t="str">
        <f>IF($C1014="","",IF($C1014="TANIMSIZ MÜŞTERİ","—",INDEX(MUSTERILER!$C$7:$C$156,MATCH($C1014,MUSTERILER!$B$7:$B$156,0))))</f>
        <v/>
      </c>
      <c r="O1014" s="2"/>
      <c r="P1014" s="2"/>
      <c r="Q1014" s="1" t="str">
        <f>IF($D1014="","",$C1014&amp;"|"&amp;COUNTIFS($C$7:$C1014,$C1014))</f>
        <v/>
      </c>
      <c r="R1014" s="1" t="str">
        <f t="shared" si="30"/>
        <v/>
      </c>
      <c r="S1014" s="1" t="str">
        <f t="shared" si="31"/>
        <v/>
      </c>
      <c r="T1014" s="1">
        <f>IF($E1014="",0,SUMPRODUCT((AY_SONU!$O$7:$O$42="Evet")*(AY_SONU!$B$7:$B$42=DATE(YEAR($E1014),MONTH($E1014),1))))</f>
        <v>0</v>
      </c>
      <c r="U1014" s="1" t="str">
        <f>IF(OR($G1014="",$H1014="Mahsup"),"",$G1014&amp;"|"&amp;COUNTIFS($G$7:$G1014,$G1014,$H$7:$H1014,"&lt;&gt;Mahsup"))</f>
        <v/>
      </c>
    </row>
    <row r="1015" spans="1:21" ht="18" customHeight="1" x14ac:dyDescent="0.3">
      <c r="A1015" s="2"/>
      <c r="B1015" s="65" t="str">
        <f>IF($D1015="","","T"&amp;TEXT(ROW()-6,"00000"))</f>
        <v/>
      </c>
      <c r="C1015" s="65" t="str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61"/>
      <c r="E1015" s="66"/>
      <c r="F1015" s="67"/>
      <c r="G1015" s="60"/>
      <c r="H1015" s="60"/>
      <c r="I1015" s="61"/>
      <c r="J1015" s="61"/>
      <c r="K1015" s="61"/>
      <c r="L1015" s="73" t="str">
        <f>IF($E1015="","",DATE(YEAR($E1015),MONTH($E1015),1))</f>
        <v/>
      </c>
      <c r="M1015" s="65" t="str">
        <f ca="1">IF($D1015="","",IF($C1015="TANIMSIZ MÜŞTERİ","HATA",IF(OR($E1015="",$F1015&lt;=0,$G1015=""),"EKSİK",IF($E1015&gt;TODAY(),"İLERİ TARİH",IF(COUNTIF($S$7:$S$2503,$S1015)&gt;1,"MÜKERRER?",IF($T1015&gt;0,"KAPALI DÖNEM","UYGUN"))))))</f>
        <v/>
      </c>
      <c r="N1015" s="74" t="str">
        <f>IF($C1015="","",IF($C1015="TANIMSIZ MÜŞTERİ","—",INDEX(MUSTERILER!$C$7:$C$156,MATCH($C1015,MUSTERILER!$B$7:$B$156,0))))</f>
        <v/>
      </c>
      <c r="O1015" s="2"/>
      <c r="P1015" s="2"/>
      <c r="Q1015" s="1" t="str">
        <f>IF($D1015="","",$C1015&amp;"|"&amp;COUNTIFS($C$7:$C1015,$C1015))</f>
        <v/>
      </c>
      <c r="R1015" s="1" t="str">
        <f t="shared" si="30"/>
        <v/>
      </c>
      <c r="S1015" s="1" t="str">
        <f t="shared" si="31"/>
        <v/>
      </c>
      <c r="T1015" s="1">
        <f>IF($E1015="",0,SUMPRODUCT((AY_SONU!$O$7:$O$42="Evet")*(AY_SONU!$B$7:$B$42=DATE(YEAR($E1015),MONTH($E1015),1))))</f>
        <v>0</v>
      </c>
      <c r="U1015" s="1" t="str">
        <f>IF(OR($G1015="",$H1015="Mahsup"),"",$G1015&amp;"|"&amp;COUNTIFS($G$7:$G1015,$G1015,$H$7:$H1015,"&lt;&gt;Mahsup"))</f>
        <v/>
      </c>
    </row>
    <row r="1016" spans="1:21" ht="18" customHeight="1" x14ac:dyDescent="0.3">
      <c r="A1016" s="2"/>
      <c r="B1016" s="65" t="str">
        <f>IF($D1016="","","T"&amp;TEXT(ROW()-6,"00000"))</f>
        <v/>
      </c>
      <c r="C1016" s="65" t="str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61"/>
      <c r="E1016" s="66"/>
      <c r="F1016" s="67"/>
      <c r="G1016" s="60"/>
      <c r="H1016" s="60"/>
      <c r="I1016" s="61"/>
      <c r="J1016" s="61"/>
      <c r="K1016" s="61"/>
      <c r="L1016" s="73" t="str">
        <f>IF($E1016="","",DATE(YEAR($E1016),MONTH($E1016),1))</f>
        <v/>
      </c>
      <c r="M1016" s="65" t="str">
        <f ca="1">IF($D1016="","",IF($C1016="TANIMSIZ MÜŞTERİ","HATA",IF(OR($E1016="",$F1016&lt;=0,$G1016=""),"EKSİK",IF($E1016&gt;TODAY(),"İLERİ TARİH",IF(COUNTIF($S$7:$S$2503,$S1016)&gt;1,"MÜKERRER?",IF($T1016&gt;0,"KAPALI DÖNEM","UYGUN"))))))</f>
        <v/>
      </c>
      <c r="N1016" s="74" t="str">
        <f>IF($C1016="","",IF($C1016="TANIMSIZ MÜŞTERİ","—",INDEX(MUSTERILER!$C$7:$C$156,MATCH($C1016,MUSTERILER!$B$7:$B$156,0))))</f>
        <v/>
      </c>
      <c r="O1016" s="2"/>
      <c r="P1016" s="2"/>
      <c r="Q1016" s="1" t="str">
        <f>IF($D1016="","",$C1016&amp;"|"&amp;COUNTIFS($C$7:$C1016,$C1016))</f>
        <v/>
      </c>
      <c r="R1016" s="1" t="str">
        <f t="shared" si="30"/>
        <v/>
      </c>
      <c r="S1016" s="1" t="str">
        <f t="shared" si="31"/>
        <v/>
      </c>
      <c r="T1016" s="1">
        <f>IF($E1016="",0,SUMPRODUCT((AY_SONU!$O$7:$O$42="Evet")*(AY_SONU!$B$7:$B$42=DATE(YEAR($E1016),MONTH($E1016),1))))</f>
        <v>0</v>
      </c>
      <c r="U1016" s="1" t="str">
        <f>IF(OR($G1016="",$H1016="Mahsup"),"",$G1016&amp;"|"&amp;COUNTIFS($G$7:$G1016,$G1016,$H$7:$H1016,"&lt;&gt;Mahsup"))</f>
        <v/>
      </c>
    </row>
    <row r="1017" spans="1:21" ht="18" customHeight="1" x14ac:dyDescent="0.3">
      <c r="A1017" s="2"/>
      <c r="B1017" s="65" t="str">
        <f>IF($D1017="","","T"&amp;TEXT(ROW()-6,"00000"))</f>
        <v/>
      </c>
      <c r="C1017" s="65" t="str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61"/>
      <c r="E1017" s="66"/>
      <c r="F1017" s="67"/>
      <c r="G1017" s="60"/>
      <c r="H1017" s="60"/>
      <c r="I1017" s="61"/>
      <c r="J1017" s="61"/>
      <c r="K1017" s="61"/>
      <c r="L1017" s="73" t="str">
        <f>IF($E1017="","",DATE(YEAR($E1017),MONTH($E1017),1))</f>
        <v/>
      </c>
      <c r="M1017" s="65" t="str">
        <f ca="1">IF($D1017="","",IF($C1017="TANIMSIZ MÜŞTERİ","HATA",IF(OR($E1017="",$F1017&lt;=0,$G1017=""),"EKSİK",IF($E1017&gt;TODAY(),"İLERİ TARİH",IF(COUNTIF($S$7:$S$2503,$S1017)&gt;1,"MÜKERRER?",IF($T1017&gt;0,"KAPALI DÖNEM","UYGUN"))))))</f>
        <v/>
      </c>
      <c r="N1017" s="74" t="str">
        <f>IF($C1017="","",IF($C1017="TANIMSIZ MÜŞTERİ","—",INDEX(MUSTERILER!$C$7:$C$156,MATCH($C1017,MUSTERILER!$B$7:$B$156,0))))</f>
        <v/>
      </c>
      <c r="O1017" s="2"/>
      <c r="P1017" s="2"/>
      <c r="Q1017" s="1" t="str">
        <f>IF($D1017="","",$C1017&amp;"|"&amp;COUNTIFS($C$7:$C1017,$C1017))</f>
        <v/>
      </c>
      <c r="R1017" s="1" t="str">
        <f t="shared" si="30"/>
        <v/>
      </c>
      <c r="S1017" s="1" t="str">
        <f t="shared" si="31"/>
        <v/>
      </c>
      <c r="T1017" s="1">
        <f>IF($E1017="",0,SUMPRODUCT((AY_SONU!$O$7:$O$42="Evet")*(AY_SONU!$B$7:$B$42=DATE(YEAR($E1017),MONTH($E1017),1))))</f>
        <v>0</v>
      </c>
      <c r="U1017" s="1" t="str">
        <f>IF(OR($G1017="",$H1017="Mahsup"),"",$G1017&amp;"|"&amp;COUNTIFS($G$7:$G1017,$G1017,$H$7:$H1017,"&lt;&gt;Mahsup"))</f>
        <v/>
      </c>
    </row>
    <row r="1018" spans="1:21" ht="18" customHeight="1" x14ac:dyDescent="0.3">
      <c r="A1018" s="2"/>
      <c r="B1018" s="65" t="str">
        <f>IF($D1018="","","T"&amp;TEXT(ROW()-6,"00000"))</f>
        <v/>
      </c>
      <c r="C1018" s="65" t="str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61"/>
      <c r="E1018" s="66"/>
      <c r="F1018" s="67"/>
      <c r="G1018" s="60"/>
      <c r="H1018" s="60"/>
      <c r="I1018" s="61"/>
      <c r="J1018" s="61"/>
      <c r="K1018" s="61"/>
      <c r="L1018" s="73" t="str">
        <f>IF($E1018="","",DATE(YEAR($E1018),MONTH($E1018),1))</f>
        <v/>
      </c>
      <c r="M1018" s="65" t="str">
        <f ca="1">IF($D1018="","",IF($C1018="TANIMSIZ MÜŞTERİ","HATA",IF(OR($E1018="",$F1018&lt;=0,$G1018=""),"EKSİK",IF($E1018&gt;TODAY(),"İLERİ TARİH",IF(COUNTIF($S$7:$S$2503,$S1018)&gt;1,"MÜKERRER?",IF($T1018&gt;0,"KAPALI DÖNEM","UYGUN"))))))</f>
        <v/>
      </c>
      <c r="N1018" s="74" t="str">
        <f>IF($C1018="","",IF($C1018="TANIMSIZ MÜŞTERİ","—",INDEX(MUSTERILER!$C$7:$C$156,MATCH($C1018,MUSTERILER!$B$7:$B$156,0))))</f>
        <v/>
      </c>
      <c r="O1018" s="2"/>
      <c r="P1018" s="2"/>
      <c r="Q1018" s="1" t="str">
        <f>IF($D1018="","",$C1018&amp;"|"&amp;COUNTIFS($C$7:$C1018,$C1018))</f>
        <v/>
      </c>
      <c r="R1018" s="1" t="str">
        <f t="shared" si="30"/>
        <v/>
      </c>
      <c r="S1018" s="1" t="str">
        <f t="shared" si="31"/>
        <v/>
      </c>
      <c r="T1018" s="1">
        <f>IF($E1018="",0,SUMPRODUCT((AY_SONU!$O$7:$O$42="Evet")*(AY_SONU!$B$7:$B$42=DATE(YEAR($E1018),MONTH($E1018),1))))</f>
        <v>0</v>
      </c>
      <c r="U1018" s="1" t="str">
        <f>IF(OR($G1018="",$H1018="Mahsup"),"",$G1018&amp;"|"&amp;COUNTIFS($G$7:$G1018,$G1018,$H$7:$H1018,"&lt;&gt;Mahsup"))</f>
        <v/>
      </c>
    </row>
    <row r="1019" spans="1:21" ht="18" customHeight="1" x14ac:dyDescent="0.3">
      <c r="A1019" s="2"/>
      <c r="B1019" s="65" t="str">
        <f>IF($D1019="","","T"&amp;TEXT(ROW()-6,"00000"))</f>
        <v/>
      </c>
      <c r="C1019" s="65" t="str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61"/>
      <c r="E1019" s="66"/>
      <c r="F1019" s="67"/>
      <c r="G1019" s="60"/>
      <c r="H1019" s="60"/>
      <c r="I1019" s="61"/>
      <c r="J1019" s="61"/>
      <c r="K1019" s="61"/>
      <c r="L1019" s="73" t="str">
        <f>IF($E1019="","",DATE(YEAR($E1019),MONTH($E1019),1))</f>
        <v/>
      </c>
      <c r="M1019" s="65" t="str">
        <f ca="1">IF($D1019="","",IF($C1019="TANIMSIZ MÜŞTERİ","HATA",IF(OR($E1019="",$F1019&lt;=0,$G1019=""),"EKSİK",IF($E1019&gt;TODAY(),"İLERİ TARİH",IF(COUNTIF($S$7:$S$2503,$S1019)&gt;1,"MÜKERRER?",IF($T1019&gt;0,"KAPALI DÖNEM","UYGUN"))))))</f>
        <v/>
      </c>
      <c r="N1019" s="74" t="str">
        <f>IF($C1019="","",IF($C1019="TANIMSIZ MÜŞTERİ","—",INDEX(MUSTERILER!$C$7:$C$156,MATCH($C1019,MUSTERILER!$B$7:$B$156,0))))</f>
        <v/>
      </c>
      <c r="O1019" s="2"/>
      <c r="P1019" s="2"/>
      <c r="Q1019" s="1" t="str">
        <f>IF($D1019="","",$C1019&amp;"|"&amp;COUNTIFS($C$7:$C1019,$C1019))</f>
        <v/>
      </c>
      <c r="R1019" s="1" t="str">
        <f t="shared" si="30"/>
        <v/>
      </c>
      <c r="S1019" s="1" t="str">
        <f t="shared" si="31"/>
        <v/>
      </c>
      <c r="T1019" s="1">
        <f>IF($E1019="",0,SUMPRODUCT((AY_SONU!$O$7:$O$42="Evet")*(AY_SONU!$B$7:$B$42=DATE(YEAR($E1019),MONTH($E1019),1))))</f>
        <v>0</v>
      </c>
      <c r="U1019" s="1" t="str">
        <f>IF(OR($G1019="",$H1019="Mahsup"),"",$G1019&amp;"|"&amp;COUNTIFS($G$7:$G1019,$G1019,$H$7:$H1019,"&lt;&gt;Mahsup"))</f>
        <v/>
      </c>
    </row>
    <row r="1020" spans="1:21" ht="18" customHeight="1" x14ac:dyDescent="0.3">
      <c r="A1020" s="2"/>
      <c r="B1020" s="65" t="str">
        <f>IF($D1020="","","T"&amp;TEXT(ROW()-6,"00000"))</f>
        <v/>
      </c>
      <c r="C1020" s="65" t="str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61"/>
      <c r="E1020" s="66"/>
      <c r="F1020" s="67"/>
      <c r="G1020" s="60"/>
      <c r="H1020" s="60"/>
      <c r="I1020" s="61"/>
      <c r="J1020" s="61"/>
      <c r="K1020" s="61"/>
      <c r="L1020" s="73" t="str">
        <f>IF($E1020="","",DATE(YEAR($E1020),MONTH($E1020),1))</f>
        <v/>
      </c>
      <c r="M1020" s="65" t="str">
        <f ca="1">IF($D1020="","",IF($C1020="TANIMSIZ MÜŞTERİ","HATA",IF(OR($E1020="",$F1020&lt;=0,$G1020=""),"EKSİK",IF($E1020&gt;TODAY(),"İLERİ TARİH",IF(COUNTIF($S$7:$S$2503,$S1020)&gt;1,"MÜKERRER?",IF($T1020&gt;0,"KAPALI DÖNEM","UYGUN"))))))</f>
        <v/>
      </c>
      <c r="N1020" s="74" t="str">
        <f>IF($C1020="","",IF($C1020="TANIMSIZ MÜŞTERİ","—",INDEX(MUSTERILER!$C$7:$C$156,MATCH($C1020,MUSTERILER!$B$7:$B$156,0))))</f>
        <v/>
      </c>
      <c r="O1020" s="2"/>
      <c r="P1020" s="2"/>
      <c r="Q1020" s="1" t="str">
        <f>IF($D1020="","",$C1020&amp;"|"&amp;COUNTIFS($C$7:$C1020,$C1020))</f>
        <v/>
      </c>
      <c r="R1020" s="1" t="str">
        <f t="shared" si="30"/>
        <v/>
      </c>
      <c r="S1020" s="1" t="str">
        <f t="shared" si="31"/>
        <v/>
      </c>
      <c r="T1020" s="1">
        <f>IF($E1020="",0,SUMPRODUCT((AY_SONU!$O$7:$O$42="Evet")*(AY_SONU!$B$7:$B$42=DATE(YEAR($E1020),MONTH($E1020),1))))</f>
        <v>0</v>
      </c>
      <c r="U1020" s="1" t="str">
        <f>IF(OR($G1020="",$H1020="Mahsup"),"",$G1020&amp;"|"&amp;COUNTIFS($G$7:$G1020,$G1020,$H$7:$H1020,"&lt;&gt;Mahsup"))</f>
        <v/>
      </c>
    </row>
    <row r="1021" spans="1:21" ht="18" customHeight="1" x14ac:dyDescent="0.3">
      <c r="A1021" s="2"/>
      <c r="B1021" s="65" t="str">
        <f>IF($D1021="","","T"&amp;TEXT(ROW()-6,"00000"))</f>
        <v/>
      </c>
      <c r="C1021" s="65" t="str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61"/>
      <c r="E1021" s="66"/>
      <c r="F1021" s="67"/>
      <c r="G1021" s="60"/>
      <c r="H1021" s="60"/>
      <c r="I1021" s="61"/>
      <c r="J1021" s="61"/>
      <c r="K1021" s="61"/>
      <c r="L1021" s="73" t="str">
        <f>IF($E1021="","",DATE(YEAR($E1021),MONTH($E1021),1))</f>
        <v/>
      </c>
      <c r="M1021" s="65" t="str">
        <f ca="1">IF($D1021="","",IF($C1021="TANIMSIZ MÜŞTERİ","HATA",IF(OR($E1021="",$F1021&lt;=0,$G1021=""),"EKSİK",IF($E1021&gt;TODAY(),"İLERİ TARİH",IF(COUNTIF($S$7:$S$2503,$S1021)&gt;1,"MÜKERRER?",IF($T1021&gt;0,"KAPALI DÖNEM","UYGUN"))))))</f>
        <v/>
      </c>
      <c r="N1021" s="74" t="str">
        <f>IF($C1021="","",IF($C1021="TANIMSIZ MÜŞTERİ","—",INDEX(MUSTERILER!$C$7:$C$156,MATCH($C1021,MUSTERILER!$B$7:$B$156,0))))</f>
        <v/>
      </c>
      <c r="O1021" s="2"/>
      <c r="P1021" s="2"/>
      <c r="Q1021" s="1" t="str">
        <f>IF($D1021="","",$C1021&amp;"|"&amp;COUNTIFS($C$7:$C1021,$C1021))</f>
        <v/>
      </c>
      <c r="R1021" s="1" t="str">
        <f t="shared" si="30"/>
        <v/>
      </c>
      <c r="S1021" s="1" t="str">
        <f t="shared" si="31"/>
        <v/>
      </c>
      <c r="T1021" s="1">
        <f>IF($E1021="",0,SUMPRODUCT((AY_SONU!$O$7:$O$42="Evet")*(AY_SONU!$B$7:$B$42=DATE(YEAR($E1021),MONTH($E1021),1))))</f>
        <v>0</v>
      </c>
      <c r="U1021" s="1" t="str">
        <f>IF(OR($G1021="",$H1021="Mahsup"),"",$G1021&amp;"|"&amp;COUNTIFS($G$7:$G1021,$G1021,$H$7:$H1021,"&lt;&gt;Mahsup"))</f>
        <v/>
      </c>
    </row>
    <row r="1022" spans="1:21" ht="18" customHeight="1" x14ac:dyDescent="0.3">
      <c r="A1022" s="2"/>
      <c r="B1022" s="65" t="str">
        <f>IF($D1022="","","T"&amp;TEXT(ROW()-6,"00000"))</f>
        <v/>
      </c>
      <c r="C1022" s="65" t="str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61"/>
      <c r="E1022" s="66"/>
      <c r="F1022" s="67"/>
      <c r="G1022" s="60"/>
      <c r="H1022" s="60"/>
      <c r="I1022" s="61"/>
      <c r="J1022" s="61"/>
      <c r="K1022" s="61"/>
      <c r="L1022" s="73" t="str">
        <f>IF($E1022="","",DATE(YEAR($E1022),MONTH($E1022),1))</f>
        <v/>
      </c>
      <c r="M1022" s="65" t="str">
        <f ca="1">IF($D1022="","",IF($C1022="TANIMSIZ MÜŞTERİ","HATA",IF(OR($E1022="",$F1022&lt;=0,$G1022=""),"EKSİK",IF($E1022&gt;TODAY(),"İLERİ TARİH",IF(COUNTIF($S$7:$S$2503,$S1022)&gt;1,"MÜKERRER?",IF($T1022&gt;0,"KAPALI DÖNEM","UYGUN"))))))</f>
        <v/>
      </c>
      <c r="N1022" s="74" t="str">
        <f>IF($C1022="","",IF($C1022="TANIMSIZ MÜŞTERİ","—",INDEX(MUSTERILER!$C$7:$C$156,MATCH($C1022,MUSTERILER!$B$7:$B$156,0))))</f>
        <v/>
      </c>
      <c r="O1022" s="2"/>
      <c r="P1022" s="2"/>
      <c r="Q1022" s="1" t="str">
        <f>IF($D1022="","",$C1022&amp;"|"&amp;COUNTIFS($C$7:$C1022,$C1022))</f>
        <v/>
      </c>
      <c r="R1022" s="1" t="str">
        <f t="shared" si="30"/>
        <v/>
      </c>
      <c r="S1022" s="1" t="str">
        <f t="shared" si="31"/>
        <v/>
      </c>
      <c r="T1022" s="1">
        <f>IF($E1022="",0,SUMPRODUCT((AY_SONU!$O$7:$O$42="Evet")*(AY_SONU!$B$7:$B$42=DATE(YEAR($E1022),MONTH($E1022),1))))</f>
        <v>0</v>
      </c>
      <c r="U1022" s="1" t="str">
        <f>IF(OR($G1022="",$H1022="Mahsup"),"",$G1022&amp;"|"&amp;COUNTIFS($G$7:$G1022,$G1022,$H$7:$H1022,"&lt;&gt;Mahsup"))</f>
        <v/>
      </c>
    </row>
    <row r="1023" spans="1:21" ht="18" customHeight="1" x14ac:dyDescent="0.3">
      <c r="A1023" s="2"/>
      <c r="B1023" s="65" t="str">
        <f>IF($D1023="","","T"&amp;TEXT(ROW()-6,"00000"))</f>
        <v/>
      </c>
      <c r="C1023" s="65" t="str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61"/>
      <c r="E1023" s="66"/>
      <c r="F1023" s="67"/>
      <c r="G1023" s="60"/>
      <c r="H1023" s="60"/>
      <c r="I1023" s="61"/>
      <c r="J1023" s="61"/>
      <c r="K1023" s="61"/>
      <c r="L1023" s="73" t="str">
        <f>IF($E1023="","",DATE(YEAR($E1023),MONTH($E1023),1))</f>
        <v/>
      </c>
      <c r="M1023" s="65" t="str">
        <f ca="1">IF($D1023="","",IF($C1023="TANIMSIZ MÜŞTERİ","HATA",IF(OR($E1023="",$F1023&lt;=0,$G1023=""),"EKSİK",IF($E1023&gt;TODAY(),"İLERİ TARİH",IF(COUNTIF($S$7:$S$2503,$S1023)&gt;1,"MÜKERRER?",IF($T1023&gt;0,"KAPALI DÖNEM","UYGUN"))))))</f>
        <v/>
      </c>
      <c r="N1023" s="74" t="str">
        <f>IF($C1023="","",IF($C1023="TANIMSIZ MÜŞTERİ","—",INDEX(MUSTERILER!$C$7:$C$156,MATCH($C1023,MUSTERILER!$B$7:$B$156,0))))</f>
        <v/>
      </c>
      <c r="O1023" s="2"/>
      <c r="P1023" s="2"/>
      <c r="Q1023" s="1" t="str">
        <f>IF($D1023="","",$C1023&amp;"|"&amp;COUNTIFS($C$7:$C1023,$C1023))</f>
        <v/>
      </c>
      <c r="R1023" s="1" t="str">
        <f t="shared" si="30"/>
        <v/>
      </c>
      <c r="S1023" s="1" t="str">
        <f t="shared" si="31"/>
        <v/>
      </c>
      <c r="T1023" s="1">
        <f>IF($E1023="",0,SUMPRODUCT((AY_SONU!$O$7:$O$42="Evet")*(AY_SONU!$B$7:$B$42=DATE(YEAR($E1023),MONTH($E1023),1))))</f>
        <v>0</v>
      </c>
      <c r="U1023" s="1" t="str">
        <f>IF(OR($G1023="",$H1023="Mahsup"),"",$G1023&amp;"|"&amp;COUNTIFS($G$7:$G1023,$G1023,$H$7:$H1023,"&lt;&gt;Mahsup"))</f>
        <v/>
      </c>
    </row>
    <row r="1024" spans="1:21" ht="18" customHeight="1" x14ac:dyDescent="0.3">
      <c r="A1024" s="2"/>
      <c r="B1024" s="65" t="str">
        <f>IF($D1024="","","T"&amp;TEXT(ROW()-6,"00000"))</f>
        <v/>
      </c>
      <c r="C1024" s="65" t="str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61"/>
      <c r="E1024" s="66"/>
      <c r="F1024" s="67"/>
      <c r="G1024" s="60"/>
      <c r="H1024" s="60"/>
      <c r="I1024" s="61"/>
      <c r="J1024" s="61"/>
      <c r="K1024" s="61"/>
      <c r="L1024" s="73" t="str">
        <f>IF($E1024="","",DATE(YEAR($E1024),MONTH($E1024),1))</f>
        <v/>
      </c>
      <c r="M1024" s="65" t="str">
        <f ca="1">IF($D1024="","",IF($C1024="TANIMSIZ MÜŞTERİ","HATA",IF(OR($E1024="",$F1024&lt;=0,$G1024=""),"EKSİK",IF($E1024&gt;TODAY(),"İLERİ TARİH",IF(COUNTIF($S$7:$S$2503,$S1024)&gt;1,"MÜKERRER?",IF($T1024&gt;0,"KAPALI DÖNEM","UYGUN"))))))</f>
        <v/>
      </c>
      <c r="N1024" s="74" t="str">
        <f>IF($C1024="","",IF($C1024="TANIMSIZ MÜŞTERİ","—",INDEX(MUSTERILER!$C$7:$C$156,MATCH($C1024,MUSTERILER!$B$7:$B$156,0))))</f>
        <v/>
      </c>
      <c r="O1024" s="2"/>
      <c r="P1024" s="2"/>
      <c r="Q1024" s="1" t="str">
        <f>IF($D1024="","",$C1024&amp;"|"&amp;COUNTIFS($C$7:$C1024,$C1024))</f>
        <v/>
      </c>
      <c r="R1024" s="1" t="str">
        <f t="shared" si="30"/>
        <v/>
      </c>
      <c r="S1024" s="1" t="str">
        <f t="shared" si="31"/>
        <v/>
      </c>
      <c r="T1024" s="1">
        <f>IF($E1024="",0,SUMPRODUCT((AY_SONU!$O$7:$O$42="Evet")*(AY_SONU!$B$7:$B$42=DATE(YEAR($E1024),MONTH($E1024),1))))</f>
        <v>0</v>
      </c>
      <c r="U1024" s="1" t="str">
        <f>IF(OR($G1024="",$H1024="Mahsup"),"",$G1024&amp;"|"&amp;COUNTIFS($G$7:$G1024,$G1024,$H$7:$H1024,"&lt;&gt;Mahsup"))</f>
        <v/>
      </c>
    </row>
    <row r="1025" spans="1:21" ht="18" customHeight="1" x14ac:dyDescent="0.3">
      <c r="A1025" s="2"/>
      <c r="B1025" s="65" t="str">
        <f>IF($D1025="","","T"&amp;TEXT(ROW()-6,"00000"))</f>
        <v/>
      </c>
      <c r="C1025" s="65" t="str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61"/>
      <c r="E1025" s="66"/>
      <c r="F1025" s="67"/>
      <c r="G1025" s="60"/>
      <c r="H1025" s="60"/>
      <c r="I1025" s="61"/>
      <c r="J1025" s="61"/>
      <c r="K1025" s="61"/>
      <c r="L1025" s="73" t="str">
        <f>IF($E1025="","",DATE(YEAR($E1025),MONTH($E1025),1))</f>
        <v/>
      </c>
      <c r="M1025" s="65" t="str">
        <f ca="1">IF($D1025="","",IF($C1025="TANIMSIZ MÜŞTERİ","HATA",IF(OR($E1025="",$F1025&lt;=0,$G1025=""),"EKSİK",IF($E1025&gt;TODAY(),"İLERİ TARİH",IF(COUNTIF($S$7:$S$2503,$S1025)&gt;1,"MÜKERRER?",IF($T1025&gt;0,"KAPALI DÖNEM","UYGUN"))))))</f>
        <v/>
      </c>
      <c r="N1025" s="74" t="str">
        <f>IF($C1025="","",IF($C1025="TANIMSIZ MÜŞTERİ","—",INDEX(MUSTERILER!$C$7:$C$156,MATCH($C1025,MUSTERILER!$B$7:$B$156,0))))</f>
        <v/>
      </c>
      <c r="O1025" s="2"/>
      <c r="P1025" s="2"/>
      <c r="Q1025" s="1" t="str">
        <f>IF($D1025="","",$C1025&amp;"|"&amp;COUNTIFS($C$7:$C1025,$C1025))</f>
        <v/>
      </c>
      <c r="R1025" s="1" t="str">
        <f t="shared" si="30"/>
        <v/>
      </c>
      <c r="S1025" s="1" t="str">
        <f t="shared" si="31"/>
        <v/>
      </c>
      <c r="T1025" s="1">
        <f>IF($E1025="",0,SUMPRODUCT((AY_SONU!$O$7:$O$42="Evet")*(AY_SONU!$B$7:$B$42=DATE(YEAR($E1025),MONTH($E1025),1))))</f>
        <v>0</v>
      </c>
      <c r="U1025" s="1" t="str">
        <f>IF(OR($G1025="",$H1025="Mahsup"),"",$G1025&amp;"|"&amp;COUNTIFS($G$7:$G1025,$G1025,$H$7:$H1025,"&lt;&gt;Mahsup"))</f>
        <v/>
      </c>
    </row>
    <row r="1026" spans="1:21" ht="18" customHeight="1" x14ac:dyDescent="0.3">
      <c r="A1026" s="2"/>
      <c r="B1026" s="65" t="str">
        <f>IF($D1026="","","T"&amp;TEXT(ROW()-6,"00000"))</f>
        <v/>
      </c>
      <c r="C1026" s="65" t="str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61"/>
      <c r="E1026" s="66"/>
      <c r="F1026" s="67"/>
      <c r="G1026" s="60"/>
      <c r="H1026" s="60"/>
      <c r="I1026" s="61"/>
      <c r="J1026" s="61"/>
      <c r="K1026" s="61"/>
      <c r="L1026" s="73" t="str">
        <f>IF($E1026="","",DATE(YEAR($E1026),MONTH($E1026),1))</f>
        <v/>
      </c>
      <c r="M1026" s="65" t="str">
        <f ca="1">IF($D1026="","",IF($C1026="TANIMSIZ MÜŞTERİ","HATA",IF(OR($E1026="",$F1026&lt;=0,$G1026=""),"EKSİK",IF($E1026&gt;TODAY(),"İLERİ TARİH",IF(COUNTIF($S$7:$S$2503,$S1026)&gt;1,"MÜKERRER?",IF($T1026&gt;0,"KAPALI DÖNEM","UYGUN"))))))</f>
        <v/>
      </c>
      <c r="N1026" s="74" t="str">
        <f>IF($C1026="","",IF($C1026="TANIMSIZ MÜŞTERİ","—",INDEX(MUSTERILER!$C$7:$C$156,MATCH($C1026,MUSTERILER!$B$7:$B$156,0))))</f>
        <v/>
      </c>
      <c r="O1026" s="2"/>
      <c r="P1026" s="2"/>
      <c r="Q1026" s="1" t="str">
        <f>IF($D1026="","",$C1026&amp;"|"&amp;COUNTIFS($C$7:$C1026,$C1026))</f>
        <v/>
      </c>
      <c r="R1026" s="1" t="str">
        <f t="shared" si="30"/>
        <v/>
      </c>
      <c r="S1026" s="1" t="str">
        <f t="shared" si="31"/>
        <v/>
      </c>
      <c r="T1026" s="1">
        <f>IF($E1026="",0,SUMPRODUCT((AY_SONU!$O$7:$O$42="Evet")*(AY_SONU!$B$7:$B$42=DATE(YEAR($E1026),MONTH($E1026),1))))</f>
        <v>0</v>
      </c>
      <c r="U1026" s="1" t="str">
        <f>IF(OR($G1026="",$H1026="Mahsup"),"",$G1026&amp;"|"&amp;COUNTIFS($G$7:$G1026,$G1026,$H$7:$H1026,"&lt;&gt;Mahsup"))</f>
        <v/>
      </c>
    </row>
    <row r="1027" spans="1:21" ht="18" customHeight="1" x14ac:dyDescent="0.3">
      <c r="A1027" s="2"/>
      <c r="B1027" s="65" t="str">
        <f>IF($D1027="","","T"&amp;TEXT(ROW()-6,"00000"))</f>
        <v/>
      </c>
      <c r="C1027" s="65" t="str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61"/>
      <c r="E1027" s="66"/>
      <c r="F1027" s="67"/>
      <c r="G1027" s="60"/>
      <c r="H1027" s="60"/>
      <c r="I1027" s="61"/>
      <c r="J1027" s="61"/>
      <c r="K1027" s="61"/>
      <c r="L1027" s="73" t="str">
        <f>IF($E1027="","",DATE(YEAR($E1027),MONTH($E1027),1))</f>
        <v/>
      </c>
      <c r="M1027" s="65" t="str">
        <f ca="1">IF($D1027="","",IF($C1027="TANIMSIZ MÜŞTERİ","HATA",IF(OR($E1027="",$F1027&lt;=0,$G1027=""),"EKSİK",IF($E1027&gt;TODAY(),"İLERİ TARİH",IF(COUNTIF($S$7:$S$2503,$S1027)&gt;1,"MÜKERRER?",IF($T1027&gt;0,"KAPALI DÖNEM","UYGUN"))))))</f>
        <v/>
      </c>
      <c r="N1027" s="74" t="str">
        <f>IF($C1027="","",IF($C1027="TANIMSIZ MÜŞTERİ","—",INDEX(MUSTERILER!$C$7:$C$156,MATCH($C1027,MUSTERILER!$B$7:$B$156,0))))</f>
        <v/>
      </c>
      <c r="O1027" s="2"/>
      <c r="P1027" s="2"/>
      <c r="Q1027" s="1" t="str">
        <f>IF($D1027="","",$C1027&amp;"|"&amp;COUNTIFS($C$7:$C1027,$C1027))</f>
        <v/>
      </c>
      <c r="R1027" s="1" t="str">
        <f t="shared" si="30"/>
        <v/>
      </c>
      <c r="S1027" s="1" t="str">
        <f t="shared" si="31"/>
        <v/>
      </c>
      <c r="T1027" s="1">
        <f>IF($E1027="",0,SUMPRODUCT((AY_SONU!$O$7:$O$42="Evet")*(AY_SONU!$B$7:$B$42=DATE(YEAR($E1027),MONTH($E1027),1))))</f>
        <v>0</v>
      </c>
      <c r="U1027" s="1" t="str">
        <f>IF(OR($G1027="",$H1027="Mahsup"),"",$G1027&amp;"|"&amp;COUNTIFS($G$7:$G1027,$G1027,$H$7:$H1027,"&lt;&gt;Mahsup"))</f>
        <v/>
      </c>
    </row>
    <row r="1028" spans="1:21" ht="18" customHeight="1" x14ac:dyDescent="0.3">
      <c r="A1028" s="2"/>
      <c r="B1028" s="65" t="str">
        <f>IF($D1028="","","T"&amp;TEXT(ROW()-6,"00000"))</f>
        <v/>
      </c>
      <c r="C1028" s="65" t="str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61"/>
      <c r="E1028" s="66"/>
      <c r="F1028" s="67"/>
      <c r="G1028" s="60"/>
      <c r="H1028" s="60"/>
      <c r="I1028" s="61"/>
      <c r="J1028" s="61"/>
      <c r="K1028" s="61"/>
      <c r="L1028" s="73" t="str">
        <f>IF($E1028="","",DATE(YEAR($E1028),MONTH($E1028),1))</f>
        <v/>
      </c>
      <c r="M1028" s="65" t="str">
        <f ca="1">IF($D1028="","",IF($C1028="TANIMSIZ MÜŞTERİ","HATA",IF(OR($E1028="",$F1028&lt;=0,$G1028=""),"EKSİK",IF($E1028&gt;TODAY(),"İLERİ TARİH",IF(COUNTIF($S$7:$S$2503,$S1028)&gt;1,"MÜKERRER?",IF($T1028&gt;0,"KAPALI DÖNEM","UYGUN"))))))</f>
        <v/>
      </c>
      <c r="N1028" s="74" t="str">
        <f>IF($C1028="","",IF($C1028="TANIMSIZ MÜŞTERİ","—",INDEX(MUSTERILER!$C$7:$C$156,MATCH($C1028,MUSTERILER!$B$7:$B$156,0))))</f>
        <v/>
      </c>
      <c r="O1028" s="2"/>
      <c r="P1028" s="2"/>
      <c r="Q1028" s="1" t="str">
        <f>IF($D1028="","",$C1028&amp;"|"&amp;COUNTIFS($C$7:$C1028,$C1028))</f>
        <v/>
      </c>
      <c r="R1028" s="1" t="str">
        <f t="shared" si="30"/>
        <v/>
      </c>
      <c r="S1028" s="1" t="str">
        <f t="shared" si="31"/>
        <v/>
      </c>
      <c r="T1028" s="1">
        <f>IF($E1028="",0,SUMPRODUCT((AY_SONU!$O$7:$O$42="Evet")*(AY_SONU!$B$7:$B$42=DATE(YEAR($E1028),MONTH($E1028),1))))</f>
        <v>0</v>
      </c>
      <c r="U1028" s="1" t="str">
        <f>IF(OR($G1028="",$H1028="Mahsup"),"",$G1028&amp;"|"&amp;COUNTIFS($G$7:$G1028,$G1028,$H$7:$H1028,"&lt;&gt;Mahsup"))</f>
        <v/>
      </c>
    </row>
    <row r="1029" spans="1:21" ht="18" customHeight="1" x14ac:dyDescent="0.3">
      <c r="A1029" s="2"/>
      <c r="B1029" s="65" t="str">
        <f>IF($D1029="","","T"&amp;TEXT(ROW()-6,"00000"))</f>
        <v/>
      </c>
      <c r="C1029" s="65" t="str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61"/>
      <c r="E1029" s="66"/>
      <c r="F1029" s="67"/>
      <c r="G1029" s="60"/>
      <c r="H1029" s="60"/>
      <c r="I1029" s="61"/>
      <c r="J1029" s="61"/>
      <c r="K1029" s="61"/>
      <c r="L1029" s="73" t="str">
        <f>IF($E1029="","",DATE(YEAR($E1029),MONTH($E1029),1))</f>
        <v/>
      </c>
      <c r="M1029" s="65" t="str">
        <f ca="1">IF($D1029="","",IF($C1029="TANIMSIZ MÜŞTERİ","HATA",IF(OR($E1029="",$F1029&lt;=0,$G1029=""),"EKSİK",IF($E1029&gt;TODAY(),"İLERİ TARİH",IF(COUNTIF($S$7:$S$2503,$S1029)&gt;1,"MÜKERRER?",IF($T1029&gt;0,"KAPALI DÖNEM","UYGUN"))))))</f>
        <v/>
      </c>
      <c r="N1029" s="74" t="str">
        <f>IF($C1029="","",IF($C1029="TANIMSIZ MÜŞTERİ","—",INDEX(MUSTERILER!$C$7:$C$156,MATCH($C1029,MUSTERILER!$B$7:$B$156,0))))</f>
        <v/>
      </c>
      <c r="O1029" s="2"/>
      <c r="P1029" s="2"/>
      <c r="Q1029" s="1" t="str">
        <f>IF($D1029="","",$C1029&amp;"|"&amp;COUNTIFS($C$7:$C1029,$C1029))</f>
        <v/>
      </c>
      <c r="R1029" s="1" t="str">
        <f t="shared" si="30"/>
        <v/>
      </c>
      <c r="S1029" s="1" t="str">
        <f t="shared" si="31"/>
        <v/>
      </c>
      <c r="T1029" s="1">
        <f>IF($E1029="",0,SUMPRODUCT((AY_SONU!$O$7:$O$42="Evet")*(AY_SONU!$B$7:$B$42=DATE(YEAR($E1029),MONTH($E1029),1))))</f>
        <v>0</v>
      </c>
      <c r="U1029" s="1" t="str">
        <f>IF(OR($G1029="",$H1029="Mahsup"),"",$G1029&amp;"|"&amp;COUNTIFS($G$7:$G1029,$G1029,$H$7:$H1029,"&lt;&gt;Mahsup"))</f>
        <v/>
      </c>
    </row>
    <row r="1030" spans="1:21" ht="18" customHeight="1" x14ac:dyDescent="0.3">
      <c r="A1030" s="2"/>
      <c r="B1030" s="65" t="str">
        <f>IF($D1030="","","T"&amp;TEXT(ROW()-6,"00000"))</f>
        <v/>
      </c>
      <c r="C1030" s="65" t="str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61"/>
      <c r="E1030" s="66"/>
      <c r="F1030" s="67"/>
      <c r="G1030" s="60"/>
      <c r="H1030" s="60"/>
      <c r="I1030" s="61"/>
      <c r="J1030" s="61"/>
      <c r="K1030" s="61"/>
      <c r="L1030" s="73" t="str">
        <f>IF($E1030="","",DATE(YEAR($E1030),MONTH($E1030),1))</f>
        <v/>
      </c>
      <c r="M1030" s="65" t="str">
        <f ca="1">IF($D1030="","",IF($C1030="TANIMSIZ MÜŞTERİ","HATA",IF(OR($E1030="",$F1030&lt;=0,$G1030=""),"EKSİK",IF($E1030&gt;TODAY(),"İLERİ TARİH",IF(COUNTIF($S$7:$S$2503,$S1030)&gt;1,"MÜKERRER?",IF($T1030&gt;0,"KAPALI DÖNEM","UYGUN"))))))</f>
        <v/>
      </c>
      <c r="N1030" s="74" t="str">
        <f>IF($C1030="","",IF($C1030="TANIMSIZ MÜŞTERİ","—",INDEX(MUSTERILER!$C$7:$C$156,MATCH($C1030,MUSTERILER!$B$7:$B$156,0))))</f>
        <v/>
      </c>
      <c r="O1030" s="2"/>
      <c r="P1030" s="2"/>
      <c r="Q1030" s="1" t="str">
        <f>IF($D1030="","",$C1030&amp;"|"&amp;COUNTIFS($C$7:$C1030,$C1030))</f>
        <v/>
      </c>
      <c r="R1030" s="1" t="str">
        <f t="shared" si="30"/>
        <v/>
      </c>
      <c r="S1030" s="1" t="str">
        <f t="shared" si="31"/>
        <v/>
      </c>
      <c r="T1030" s="1">
        <f>IF($E1030="",0,SUMPRODUCT((AY_SONU!$O$7:$O$42="Evet")*(AY_SONU!$B$7:$B$42=DATE(YEAR($E1030),MONTH($E1030),1))))</f>
        <v>0</v>
      </c>
      <c r="U1030" s="1" t="str">
        <f>IF(OR($G1030="",$H1030="Mahsup"),"",$G1030&amp;"|"&amp;COUNTIFS($G$7:$G1030,$G1030,$H$7:$H1030,"&lt;&gt;Mahsup"))</f>
        <v/>
      </c>
    </row>
    <row r="1031" spans="1:21" ht="18" customHeight="1" x14ac:dyDescent="0.3">
      <c r="A1031" s="2"/>
      <c r="B1031" s="65" t="str">
        <f>IF($D1031="","","T"&amp;TEXT(ROW()-6,"00000"))</f>
        <v/>
      </c>
      <c r="C1031" s="65" t="str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61"/>
      <c r="E1031" s="66"/>
      <c r="F1031" s="67"/>
      <c r="G1031" s="60"/>
      <c r="H1031" s="60"/>
      <c r="I1031" s="61"/>
      <c r="J1031" s="61"/>
      <c r="K1031" s="61"/>
      <c r="L1031" s="73" t="str">
        <f>IF($E1031="","",DATE(YEAR($E1031),MONTH($E1031),1))</f>
        <v/>
      </c>
      <c r="M1031" s="65" t="str">
        <f ca="1">IF($D1031="","",IF($C1031="TANIMSIZ MÜŞTERİ","HATA",IF(OR($E1031="",$F1031&lt;=0,$G1031=""),"EKSİK",IF($E1031&gt;TODAY(),"İLERİ TARİH",IF(COUNTIF($S$7:$S$2503,$S1031)&gt;1,"MÜKERRER?",IF($T1031&gt;0,"KAPALI DÖNEM","UYGUN"))))))</f>
        <v/>
      </c>
      <c r="N1031" s="74" t="str">
        <f>IF($C1031="","",IF($C1031="TANIMSIZ MÜŞTERİ","—",INDEX(MUSTERILER!$C$7:$C$156,MATCH($C1031,MUSTERILER!$B$7:$B$156,0))))</f>
        <v/>
      </c>
      <c r="O1031" s="2"/>
      <c r="P1031" s="2"/>
      <c r="Q1031" s="1" t="str">
        <f>IF($D1031="","",$C1031&amp;"|"&amp;COUNTIFS($C$7:$C1031,$C1031))</f>
        <v/>
      </c>
      <c r="R1031" s="1" t="str">
        <f t="shared" ref="R1031:R1094" si="32"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" t="str">
        <f t="shared" ref="S1031:S1094" si="33">IF($D1031="","",$C1031&amp;"|"&amp;TEXT($E1031,"0")&amp;"|"&amp;TEXT($F1031,"0")&amp;"|"&amp;$I1031)</f>
        <v/>
      </c>
      <c r="T1031" s="1">
        <f>IF($E1031="",0,SUMPRODUCT((AY_SONU!$O$7:$O$42="Evet")*(AY_SONU!$B$7:$B$42=DATE(YEAR($E1031),MONTH($E1031),1))))</f>
        <v>0</v>
      </c>
      <c r="U1031" s="1" t="str">
        <f>IF(OR($G1031="",$H1031="Mahsup"),"",$G1031&amp;"|"&amp;COUNTIFS($G$7:$G1031,$G1031,$H$7:$H1031,"&lt;&gt;Mahsup"))</f>
        <v/>
      </c>
    </row>
    <row r="1032" spans="1:21" ht="18" customHeight="1" x14ac:dyDescent="0.3">
      <c r="A1032" s="2"/>
      <c r="B1032" s="65" t="str">
        <f>IF($D1032="","","T"&amp;TEXT(ROW()-6,"00000"))</f>
        <v/>
      </c>
      <c r="C1032" s="65" t="str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61"/>
      <c r="E1032" s="66"/>
      <c r="F1032" s="67"/>
      <c r="G1032" s="60"/>
      <c r="H1032" s="60"/>
      <c r="I1032" s="61"/>
      <c r="J1032" s="61"/>
      <c r="K1032" s="61"/>
      <c r="L1032" s="73" t="str">
        <f>IF($E1032="","",DATE(YEAR($E1032),MONTH($E1032),1))</f>
        <v/>
      </c>
      <c r="M1032" s="65" t="str">
        <f ca="1">IF($D1032="","",IF($C1032="TANIMSIZ MÜŞTERİ","HATA",IF(OR($E1032="",$F1032&lt;=0,$G1032=""),"EKSİK",IF($E1032&gt;TODAY(),"İLERİ TARİH",IF(COUNTIF($S$7:$S$2503,$S1032)&gt;1,"MÜKERRER?",IF($T1032&gt;0,"KAPALI DÖNEM","UYGUN"))))))</f>
        <v/>
      </c>
      <c r="N1032" s="74" t="str">
        <f>IF($C1032="","",IF($C1032="TANIMSIZ MÜŞTERİ","—",INDEX(MUSTERILER!$C$7:$C$156,MATCH($C1032,MUSTERILER!$B$7:$B$156,0))))</f>
        <v/>
      </c>
      <c r="O1032" s="2"/>
      <c r="P1032" s="2"/>
      <c r="Q1032" s="1" t="str">
        <f>IF($D1032="","",$C1032&amp;"|"&amp;COUNTIFS($C$7:$C1032,$C1032))</f>
        <v/>
      </c>
      <c r="R1032" s="1" t="str">
        <f t="shared" si="32"/>
        <v/>
      </c>
      <c r="S1032" s="1" t="str">
        <f t="shared" si="33"/>
        <v/>
      </c>
      <c r="T1032" s="1">
        <f>IF($E1032="",0,SUMPRODUCT((AY_SONU!$O$7:$O$42="Evet")*(AY_SONU!$B$7:$B$42=DATE(YEAR($E1032),MONTH($E1032),1))))</f>
        <v>0</v>
      </c>
      <c r="U1032" s="1" t="str">
        <f>IF(OR($G1032="",$H1032="Mahsup"),"",$G1032&amp;"|"&amp;COUNTIFS($G$7:$G1032,$G1032,$H$7:$H1032,"&lt;&gt;Mahsup"))</f>
        <v/>
      </c>
    </row>
    <row r="1033" spans="1:21" ht="18" customHeight="1" x14ac:dyDescent="0.3">
      <c r="A1033" s="2"/>
      <c r="B1033" s="65" t="str">
        <f>IF($D1033="","","T"&amp;TEXT(ROW()-6,"00000"))</f>
        <v/>
      </c>
      <c r="C1033" s="65" t="str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61"/>
      <c r="E1033" s="66"/>
      <c r="F1033" s="67"/>
      <c r="G1033" s="60"/>
      <c r="H1033" s="60"/>
      <c r="I1033" s="61"/>
      <c r="J1033" s="61"/>
      <c r="K1033" s="61"/>
      <c r="L1033" s="73" t="str">
        <f>IF($E1033="","",DATE(YEAR($E1033),MONTH($E1033),1))</f>
        <v/>
      </c>
      <c r="M1033" s="65" t="str">
        <f ca="1">IF($D1033="","",IF($C1033="TANIMSIZ MÜŞTERİ","HATA",IF(OR($E1033="",$F1033&lt;=0,$G1033=""),"EKSİK",IF($E1033&gt;TODAY(),"İLERİ TARİH",IF(COUNTIF($S$7:$S$2503,$S1033)&gt;1,"MÜKERRER?",IF($T1033&gt;0,"KAPALI DÖNEM","UYGUN"))))))</f>
        <v/>
      </c>
      <c r="N1033" s="74" t="str">
        <f>IF($C1033="","",IF($C1033="TANIMSIZ MÜŞTERİ","—",INDEX(MUSTERILER!$C$7:$C$156,MATCH($C1033,MUSTERILER!$B$7:$B$156,0))))</f>
        <v/>
      </c>
      <c r="O1033" s="2"/>
      <c r="P1033" s="2"/>
      <c r="Q1033" s="1" t="str">
        <f>IF($D1033="","",$C1033&amp;"|"&amp;COUNTIFS($C$7:$C1033,$C1033))</f>
        <v/>
      </c>
      <c r="R1033" s="1" t="str">
        <f t="shared" si="32"/>
        <v/>
      </c>
      <c r="S1033" s="1" t="str">
        <f t="shared" si="33"/>
        <v/>
      </c>
      <c r="T1033" s="1">
        <f>IF($E1033="",0,SUMPRODUCT((AY_SONU!$O$7:$O$42="Evet")*(AY_SONU!$B$7:$B$42=DATE(YEAR($E1033),MONTH($E1033),1))))</f>
        <v>0</v>
      </c>
      <c r="U1033" s="1" t="str">
        <f>IF(OR($G1033="",$H1033="Mahsup"),"",$G1033&amp;"|"&amp;COUNTIFS($G$7:$G1033,$G1033,$H$7:$H1033,"&lt;&gt;Mahsup"))</f>
        <v/>
      </c>
    </row>
    <row r="1034" spans="1:21" ht="18" customHeight="1" x14ac:dyDescent="0.3">
      <c r="A1034" s="2"/>
      <c r="B1034" s="65" t="str">
        <f>IF($D1034="","","T"&amp;TEXT(ROW()-6,"00000"))</f>
        <v/>
      </c>
      <c r="C1034" s="65" t="str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61"/>
      <c r="E1034" s="66"/>
      <c r="F1034" s="67"/>
      <c r="G1034" s="60"/>
      <c r="H1034" s="60"/>
      <c r="I1034" s="61"/>
      <c r="J1034" s="61"/>
      <c r="K1034" s="61"/>
      <c r="L1034" s="73" t="str">
        <f>IF($E1034="","",DATE(YEAR($E1034),MONTH($E1034),1))</f>
        <v/>
      </c>
      <c r="M1034" s="65" t="str">
        <f ca="1">IF($D1034="","",IF($C1034="TANIMSIZ MÜŞTERİ","HATA",IF(OR($E1034="",$F1034&lt;=0,$G1034=""),"EKSİK",IF($E1034&gt;TODAY(),"İLERİ TARİH",IF(COUNTIF($S$7:$S$2503,$S1034)&gt;1,"MÜKERRER?",IF($T1034&gt;0,"KAPALI DÖNEM","UYGUN"))))))</f>
        <v/>
      </c>
      <c r="N1034" s="74" t="str">
        <f>IF($C1034="","",IF($C1034="TANIMSIZ MÜŞTERİ","—",INDEX(MUSTERILER!$C$7:$C$156,MATCH($C1034,MUSTERILER!$B$7:$B$156,0))))</f>
        <v/>
      </c>
      <c r="O1034" s="2"/>
      <c r="P1034" s="2"/>
      <c r="Q1034" s="1" t="str">
        <f>IF($D1034="","",$C1034&amp;"|"&amp;COUNTIFS($C$7:$C1034,$C1034))</f>
        <v/>
      </c>
      <c r="R1034" s="1" t="str">
        <f t="shared" si="32"/>
        <v/>
      </c>
      <c r="S1034" s="1" t="str">
        <f t="shared" si="33"/>
        <v/>
      </c>
      <c r="T1034" s="1">
        <f>IF($E1034="",0,SUMPRODUCT((AY_SONU!$O$7:$O$42="Evet")*(AY_SONU!$B$7:$B$42=DATE(YEAR($E1034),MONTH($E1034),1))))</f>
        <v>0</v>
      </c>
      <c r="U1034" s="1" t="str">
        <f>IF(OR($G1034="",$H1034="Mahsup"),"",$G1034&amp;"|"&amp;COUNTIFS($G$7:$G1034,$G1034,$H$7:$H1034,"&lt;&gt;Mahsup"))</f>
        <v/>
      </c>
    </row>
    <row r="1035" spans="1:21" ht="18" customHeight="1" x14ac:dyDescent="0.3">
      <c r="A1035" s="2"/>
      <c r="B1035" s="65" t="str">
        <f>IF($D1035="","","T"&amp;TEXT(ROW()-6,"00000"))</f>
        <v/>
      </c>
      <c r="C1035" s="65" t="str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61"/>
      <c r="E1035" s="66"/>
      <c r="F1035" s="67"/>
      <c r="G1035" s="60"/>
      <c r="H1035" s="60"/>
      <c r="I1035" s="61"/>
      <c r="J1035" s="61"/>
      <c r="K1035" s="61"/>
      <c r="L1035" s="73" t="str">
        <f>IF($E1035="","",DATE(YEAR($E1035),MONTH($E1035),1))</f>
        <v/>
      </c>
      <c r="M1035" s="65" t="str">
        <f ca="1">IF($D1035="","",IF($C1035="TANIMSIZ MÜŞTERİ","HATA",IF(OR($E1035="",$F1035&lt;=0,$G1035=""),"EKSİK",IF($E1035&gt;TODAY(),"İLERİ TARİH",IF(COUNTIF($S$7:$S$2503,$S1035)&gt;1,"MÜKERRER?",IF($T1035&gt;0,"KAPALI DÖNEM","UYGUN"))))))</f>
        <v/>
      </c>
      <c r="N1035" s="74" t="str">
        <f>IF($C1035="","",IF($C1035="TANIMSIZ MÜŞTERİ","—",INDEX(MUSTERILER!$C$7:$C$156,MATCH($C1035,MUSTERILER!$B$7:$B$156,0))))</f>
        <v/>
      </c>
      <c r="O1035" s="2"/>
      <c r="P1035" s="2"/>
      <c r="Q1035" s="1" t="str">
        <f>IF($D1035="","",$C1035&amp;"|"&amp;COUNTIFS($C$7:$C1035,$C1035))</f>
        <v/>
      </c>
      <c r="R1035" s="1" t="str">
        <f t="shared" si="32"/>
        <v/>
      </c>
      <c r="S1035" s="1" t="str">
        <f t="shared" si="33"/>
        <v/>
      </c>
      <c r="T1035" s="1">
        <f>IF($E1035="",0,SUMPRODUCT((AY_SONU!$O$7:$O$42="Evet")*(AY_SONU!$B$7:$B$42=DATE(YEAR($E1035),MONTH($E1035),1))))</f>
        <v>0</v>
      </c>
      <c r="U1035" s="1" t="str">
        <f>IF(OR($G1035="",$H1035="Mahsup"),"",$G1035&amp;"|"&amp;COUNTIFS($G$7:$G1035,$G1035,$H$7:$H1035,"&lt;&gt;Mahsup"))</f>
        <v/>
      </c>
    </row>
    <row r="1036" spans="1:21" ht="18" customHeight="1" x14ac:dyDescent="0.3">
      <c r="A1036" s="2"/>
      <c r="B1036" s="65" t="str">
        <f>IF($D1036="","","T"&amp;TEXT(ROW()-6,"00000"))</f>
        <v/>
      </c>
      <c r="C1036" s="65" t="str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61"/>
      <c r="E1036" s="66"/>
      <c r="F1036" s="67"/>
      <c r="G1036" s="60"/>
      <c r="H1036" s="60"/>
      <c r="I1036" s="61"/>
      <c r="J1036" s="61"/>
      <c r="K1036" s="61"/>
      <c r="L1036" s="73" t="str">
        <f>IF($E1036="","",DATE(YEAR($E1036),MONTH($E1036),1))</f>
        <v/>
      </c>
      <c r="M1036" s="65" t="str">
        <f ca="1">IF($D1036="","",IF($C1036="TANIMSIZ MÜŞTERİ","HATA",IF(OR($E1036="",$F1036&lt;=0,$G1036=""),"EKSİK",IF($E1036&gt;TODAY(),"İLERİ TARİH",IF(COUNTIF($S$7:$S$2503,$S1036)&gt;1,"MÜKERRER?",IF($T1036&gt;0,"KAPALI DÖNEM","UYGUN"))))))</f>
        <v/>
      </c>
      <c r="N1036" s="74" t="str">
        <f>IF($C1036="","",IF($C1036="TANIMSIZ MÜŞTERİ","—",INDEX(MUSTERILER!$C$7:$C$156,MATCH($C1036,MUSTERILER!$B$7:$B$156,0))))</f>
        <v/>
      </c>
      <c r="O1036" s="2"/>
      <c r="P1036" s="2"/>
      <c r="Q1036" s="1" t="str">
        <f>IF($D1036="","",$C1036&amp;"|"&amp;COUNTIFS($C$7:$C1036,$C1036))</f>
        <v/>
      </c>
      <c r="R1036" s="1" t="str">
        <f t="shared" si="32"/>
        <v/>
      </c>
      <c r="S1036" s="1" t="str">
        <f t="shared" si="33"/>
        <v/>
      </c>
      <c r="T1036" s="1">
        <f>IF($E1036="",0,SUMPRODUCT((AY_SONU!$O$7:$O$42="Evet")*(AY_SONU!$B$7:$B$42=DATE(YEAR($E1036),MONTH($E1036),1))))</f>
        <v>0</v>
      </c>
      <c r="U1036" s="1" t="str">
        <f>IF(OR($G1036="",$H1036="Mahsup"),"",$G1036&amp;"|"&amp;COUNTIFS($G$7:$G1036,$G1036,$H$7:$H1036,"&lt;&gt;Mahsup"))</f>
        <v/>
      </c>
    </row>
    <row r="1037" spans="1:21" ht="18" customHeight="1" x14ac:dyDescent="0.3">
      <c r="A1037" s="2"/>
      <c r="B1037" s="65" t="str">
        <f>IF($D1037="","","T"&amp;TEXT(ROW()-6,"00000"))</f>
        <v/>
      </c>
      <c r="C1037" s="65" t="str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61"/>
      <c r="E1037" s="66"/>
      <c r="F1037" s="67"/>
      <c r="G1037" s="60"/>
      <c r="H1037" s="60"/>
      <c r="I1037" s="61"/>
      <c r="J1037" s="61"/>
      <c r="K1037" s="61"/>
      <c r="L1037" s="73" t="str">
        <f>IF($E1037="","",DATE(YEAR($E1037),MONTH($E1037),1))</f>
        <v/>
      </c>
      <c r="M1037" s="65" t="str">
        <f ca="1">IF($D1037="","",IF($C1037="TANIMSIZ MÜŞTERİ","HATA",IF(OR($E1037="",$F1037&lt;=0,$G1037=""),"EKSİK",IF($E1037&gt;TODAY(),"İLERİ TARİH",IF(COUNTIF($S$7:$S$2503,$S1037)&gt;1,"MÜKERRER?",IF($T1037&gt;0,"KAPALI DÖNEM","UYGUN"))))))</f>
        <v/>
      </c>
      <c r="N1037" s="74" t="str">
        <f>IF($C1037="","",IF($C1037="TANIMSIZ MÜŞTERİ","—",INDEX(MUSTERILER!$C$7:$C$156,MATCH($C1037,MUSTERILER!$B$7:$B$156,0))))</f>
        <v/>
      </c>
      <c r="O1037" s="2"/>
      <c r="P1037" s="2"/>
      <c r="Q1037" s="1" t="str">
        <f>IF($D1037="","",$C1037&amp;"|"&amp;COUNTIFS($C$7:$C1037,$C1037))</f>
        <v/>
      </c>
      <c r="R1037" s="1" t="str">
        <f t="shared" si="32"/>
        <v/>
      </c>
      <c r="S1037" s="1" t="str">
        <f t="shared" si="33"/>
        <v/>
      </c>
      <c r="T1037" s="1">
        <f>IF($E1037="",0,SUMPRODUCT((AY_SONU!$O$7:$O$42="Evet")*(AY_SONU!$B$7:$B$42=DATE(YEAR($E1037),MONTH($E1037),1))))</f>
        <v>0</v>
      </c>
      <c r="U1037" s="1" t="str">
        <f>IF(OR($G1037="",$H1037="Mahsup"),"",$G1037&amp;"|"&amp;COUNTIFS($G$7:$G1037,$G1037,$H$7:$H1037,"&lt;&gt;Mahsup"))</f>
        <v/>
      </c>
    </row>
    <row r="1038" spans="1:21" ht="18" customHeight="1" x14ac:dyDescent="0.3">
      <c r="A1038" s="2"/>
      <c r="B1038" s="65" t="str">
        <f>IF($D1038="","","T"&amp;TEXT(ROW()-6,"00000"))</f>
        <v/>
      </c>
      <c r="C1038" s="65" t="str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61"/>
      <c r="E1038" s="66"/>
      <c r="F1038" s="67"/>
      <c r="G1038" s="60"/>
      <c r="H1038" s="60"/>
      <c r="I1038" s="61"/>
      <c r="J1038" s="61"/>
      <c r="K1038" s="61"/>
      <c r="L1038" s="73" t="str">
        <f>IF($E1038="","",DATE(YEAR($E1038),MONTH($E1038),1))</f>
        <v/>
      </c>
      <c r="M1038" s="65" t="str">
        <f ca="1">IF($D1038="","",IF($C1038="TANIMSIZ MÜŞTERİ","HATA",IF(OR($E1038="",$F1038&lt;=0,$G1038=""),"EKSİK",IF($E1038&gt;TODAY(),"İLERİ TARİH",IF(COUNTIF($S$7:$S$2503,$S1038)&gt;1,"MÜKERRER?",IF($T1038&gt;0,"KAPALI DÖNEM","UYGUN"))))))</f>
        <v/>
      </c>
      <c r="N1038" s="74" t="str">
        <f>IF($C1038="","",IF($C1038="TANIMSIZ MÜŞTERİ","—",INDEX(MUSTERILER!$C$7:$C$156,MATCH($C1038,MUSTERILER!$B$7:$B$156,0))))</f>
        <v/>
      </c>
      <c r="O1038" s="2"/>
      <c r="P1038" s="2"/>
      <c r="Q1038" s="1" t="str">
        <f>IF($D1038="","",$C1038&amp;"|"&amp;COUNTIFS($C$7:$C1038,$C1038))</f>
        <v/>
      </c>
      <c r="R1038" s="1" t="str">
        <f t="shared" si="32"/>
        <v/>
      </c>
      <c r="S1038" s="1" t="str">
        <f t="shared" si="33"/>
        <v/>
      </c>
      <c r="T1038" s="1">
        <f>IF($E1038="",0,SUMPRODUCT((AY_SONU!$O$7:$O$42="Evet")*(AY_SONU!$B$7:$B$42=DATE(YEAR($E1038),MONTH($E1038),1))))</f>
        <v>0</v>
      </c>
      <c r="U1038" s="1" t="str">
        <f>IF(OR($G1038="",$H1038="Mahsup"),"",$G1038&amp;"|"&amp;COUNTIFS($G$7:$G1038,$G1038,$H$7:$H1038,"&lt;&gt;Mahsup"))</f>
        <v/>
      </c>
    </row>
    <row r="1039" spans="1:21" ht="18" customHeight="1" x14ac:dyDescent="0.3">
      <c r="A1039" s="2"/>
      <c r="B1039" s="65" t="str">
        <f>IF($D1039="","","T"&amp;TEXT(ROW()-6,"00000"))</f>
        <v/>
      </c>
      <c r="C1039" s="65" t="str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61"/>
      <c r="E1039" s="66"/>
      <c r="F1039" s="67"/>
      <c r="G1039" s="60"/>
      <c r="H1039" s="60"/>
      <c r="I1039" s="61"/>
      <c r="J1039" s="61"/>
      <c r="K1039" s="61"/>
      <c r="L1039" s="73" t="str">
        <f>IF($E1039="","",DATE(YEAR($E1039),MONTH($E1039),1))</f>
        <v/>
      </c>
      <c r="M1039" s="65" t="str">
        <f ca="1">IF($D1039="","",IF($C1039="TANIMSIZ MÜŞTERİ","HATA",IF(OR($E1039="",$F1039&lt;=0,$G1039=""),"EKSİK",IF($E1039&gt;TODAY(),"İLERİ TARİH",IF(COUNTIF($S$7:$S$2503,$S1039)&gt;1,"MÜKERRER?",IF($T1039&gt;0,"KAPALI DÖNEM","UYGUN"))))))</f>
        <v/>
      </c>
      <c r="N1039" s="74" t="str">
        <f>IF($C1039="","",IF($C1039="TANIMSIZ MÜŞTERİ","—",INDEX(MUSTERILER!$C$7:$C$156,MATCH($C1039,MUSTERILER!$B$7:$B$156,0))))</f>
        <v/>
      </c>
      <c r="O1039" s="2"/>
      <c r="P1039" s="2"/>
      <c r="Q1039" s="1" t="str">
        <f>IF($D1039="","",$C1039&amp;"|"&amp;COUNTIFS($C$7:$C1039,$C1039))</f>
        <v/>
      </c>
      <c r="R1039" s="1" t="str">
        <f t="shared" si="32"/>
        <v/>
      </c>
      <c r="S1039" s="1" t="str">
        <f t="shared" si="33"/>
        <v/>
      </c>
      <c r="T1039" s="1">
        <f>IF($E1039="",0,SUMPRODUCT((AY_SONU!$O$7:$O$42="Evet")*(AY_SONU!$B$7:$B$42=DATE(YEAR($E1039),MONTH($E1039),1))))</f>
        <v>0</v>
      </c>
      <c r="U1039" s="1" t="str">
        <f>IF(OR($G1039="",$H1039="Mahsup"),"",$G1039&amp;"|"&amp;COUNTIFS($G$7:$G1039,$G1039,$H$7:$H1039,"&lt;&gt;Mahsup"))</f>
        <v/>
      </c>
    </row>
    <row r="1040" spans="1:21" ht="18" customHeight="1" x14ac:dyDescent="0.3">
      <c r="A1040" s="2"/>
      <c r="B1040" s="65" t="str">
        <f>IF($D1040="","","T"&amp;TEXT(ROW()-6,"00000"))</f>
        <v/>
      </c>
      <c r="C1040" s="65" t="str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61"/>
      <c r="E1040" s="66"/>
      <c r="F1040" s="67"/>
      <c r="G1040" s="60"/>
      <c r="H1040" s="60"/>
      <c r="I1040" s="61"/>
      <c r="J1040" s="61"/>
      <c r="K1040" s="61"/>
      <c r="L1040" s="73" t="str">
        <f>IF($E1040="","",DATE(YEAR($E1040),MONTH($E1040),1))</f>
        <v/>
      </c>
      <c r="M1040" s="65" t="str">
        <f ca="1">IF($D1040="","",IF($C1040="TANIMSIZ MÜŞTERİ","HATA",IF(OR($E1040="",$F1040&lt;=0,$G1040=""),"EKSİK",IF($E1040&gt;TODAY(),"İLERİ TARİH",IF(COUNTIF($S$7:$S$2503,$S1040)&gt;1,"MÜKERRER?",IF($T1040&gt;0,"KAPALI DÖNEM","UYGUN"))))))</f>
        <v/>
      </c>
      <c r="N1040" s="74" t="str">
        <f>IF($C1040="","",IF($C1040="TANIMSIZ MÜŞTERİ","—",INDEX(MUSTERILER!$C$7:$C$156,MATCH($C1040,MUSTERILER!$B$7:$B$156,0))))</f>
        <v/>
      </c>
      <c r="O1040" s="2"/>
      <c r="P1040" s="2"/>
      <c r="Q1040" s="1" t="str">
        <f>IF($D1040="","",$C1040&amp;"|"&amp;COUNTIFS($C$7:$C1040,$C1040))</f>
        <v/>
      </c>
      <c r="R1040" s="1" t="str">
        <f t="shared" si="32"/>
        <v/>
      </c>
      <c r="S1040" s="1" t="str">
        <f t="shared" si="33"/>
        <v/>
      </c>
      <c r="T1040" s="1">
        <f>IF($E1040="",0,SUMPRODUCT((AY_SONU!$O$7:$O$42="Evet")*(AY_SONU!$B$7:$B$42=DATE(YEAR($E1040),MONTH($E1040),1))))</f>
        <v>0</v>
      </c>
      <c r="U1040" s="1" t="str">
        <f>IF(OR($G1040="",$H1040="Mahsup"),"",$G1040&amp;"|"&amp;COUNTIFS($G$7:$G1040,$G1040,$H$7:$H1040,"&lt;&gt;Mahsup"))</f>
        <v/>
      </c>
    </row>
    <row r="1041" spans="1:21" ht="18" customHeight="1" x14ac:dyDescent="0.3">
      <c r="A1041" s="2"/>
      <c r="B1041" s="65" t="str">
        <f>IF($D1041="","","T"&amp;TEXT(ROW()-6,"00000"))</f>
        <v/>
      </c>
      <c r="C1041" s="65" t="str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61"/>
      <c r="E1041" s="66"/>
      <c r="F1041" s="67"/>
      <c r="G1041" s="60"/>
      <c r="H1041" s="60"/>
      <c r="I1041" s="61"/>
      <c r="J1041" s="61"/>
      <c r="K1041" s="61"/>
      <c r="L1041" s="73" t="str">
        <f>IF($E1041="","",DATE(YEAR($E1041),MONTH($E1041),1))</f>
        <v/>
      </c>
      <c r="M1041" s="65" t="str">
        <f ca="1">IF($D1041="","",IF($C1041="TANIMSIZ MÜŞTERİ","HATA",IF(OR($E1041="",$F1041&lt;=0,$G1041=""),"EKSİK",IF($E1041&gt;TODAY(),"İLERİ TARİH",IF(COUNTIF($S$7:$S$2503,$S1041)&gt;1,"MÜKERRER?",IF($T1041&gt;0,"KAPALI DÖNEM","UYGUN"))))))</f>
        <v/>
      </c>
      <c r="N1041" s="74" t="str">
        <f>IF($C1041="","",IF($C1041="TANIMSIZ MÜŞTERİ","—",INDEX(MUSTERILER!$C$7:$C$156,MATCH($C1041,MUSTERILER!$B$7:$B$156,0))))</f>
        <v/>
      </c>
      <c r="O1041" s="2"/>
      <c r="P1041" s="2"/>
      <c r="Q1041" s="1" t="str">
        <f>IF($D1041="","",$C1041&amp;"|"&amp;COUNTIFS($C$7:$C1041,$C1041))</f>
        <v/>
      </c>
      <c r="R1041" s="1" t="str">
        <f t="shared" si="32"/>
        <v/>
      </c>
      <c r="S1041" s="1" t="str">
        <f t="shared" si="33"/>
        <v/>
      </c>
      <c r="T1041" s="1">
        <f>IF($E1041="",0,SUMPRODUCT((AY_SONU!$O$7:$O$42="Evet")*(AY_SONU!$B$7:$B$42=DATE(YEAR($E1041),MONTH($E1041),1))))</f>
        <v>0</v>
      </c>
      <c r="U1041" s="1" t="str">
        <f>IF(OR($G1041="",$H1041="Mahsup"),"",$G1041&amp;"|"&amp;COUNTIFS($G$7:$G1041,$G1041,$H$7:$H1041,"&lt;&gt;Mahsup"))</f>
        <v/>
      </c>
    </row>
    <row r="1042" spans="1:21" ht="18" customHeight="1" x14ac:dyDescent="0.3">
      <c r="A1042" s="2"/>
      <c r="B1042" s="65" t="str">
        <f>IF($D1042="","","T"&amp;TEXT(ROW()-6,"00000"))</f>
        <v/>
      </c>
      <c r="C1042" s="65" t="str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61"/>
      <c r="E1042" s="66"/>
      <c r="F1042" s="67"/>
      <c r="G1042" s="60"/>
      <c r="H1042" s="60"/>
      <c r="I1042" s="61"/>
      <c r="J1042" s="61"/>
      <c r="K1042" s="61"/>
      <c r="L1042" s="73" t="str">
        <f>IF($E1042="","",DATE(YEAR($E1042),MONTH($E1042),1))</f>
        <v/>
      </c>
      <c r="M1042" s="65" t="str">
        <f ca="1">IF($D1042="","",IF($C1042="TANIMSIZ MÜŞTERİ","HATA",IF(OR($E1042="",$F1042&lt;=0,$G1042=""),"EKSİK",IF($E1042&gt;TODAY(),"İLERİ TARİH",IF(COUNTIF($S$7:$S$2503,$S1042)&gt;1,"MÜKERRER?",IF($T1042&gt;0,"KAPALI DÖNEM","UYGUN"))))))</f>
        <v/>
      </c>
      <c r="N1042" s="74" t="str">
        <f>IF($C1042="","",IF($C1042="TANIMSIZ MÜŞTERİ","—",INDEX(MUSTERILER!$C$7:$C$156,MATCH($C1042,MUSTERILER!$B$7:$B$156,0))))</f>
        <v/>
      </c>
      <c r="O1042" s="2"/>
      <c r="P1042" s="2"/>
      <c r="Q1042" s="1" t="str">
        <f>IF($D1042="","",$C1042&amp;"|"&amp;COUNTIFS($C$7:$C1042,$C1042))</f>
        <v/>
      </c>
      <c r="R1042" s="1" t="str">
        <f t="shared" si="32"/>
        <v/>
      </c>
      <c r="S1042" s="1" t="str">
        <f t="shared" si="33"/>
        <v/>
      </c>
      <c r="T1042" s="1">
        <f>IF($E1042="",0,SUMPRODUCT((AY_SONU!$O$7:$O$42="Evet")*(AY_SONU!$B$7:$B$42=DATE(YEAR($E1042),MONTH($E1042),1))))</f>
        <v>0</v>
      </c>
      <c r="U1042" s="1" t="str">
        <f>IF(OR($G1042="",$H1042="Mahsup"),"",$G1042&amp;"|"&amp;COUNTIFS($G$7:$G1042,$G1042,$H$7:$H1042,"&lt;&gt;Mahsup"))</f>
        <v/>
      </c>
    </row>
    <row r="1043" spans="1:21" ht="18" customHeight="1" x14ac:dyDescent="0.3">
      <c r="A1043" s="2"/>
      <c r="B1043" s="65" t="str">
        <f>IF($D1043="","","T"&amp;TEXT(ROW()-6,"00000"))</f>
        <v/>
      </c>
      <c r="C1043" s="65" t="str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61"/>
      <c r="E1043" s="66"/>
      <c r="F1043" s="67"/>
      <c r="G1043" s="60"/>
      <c r="H1043" s="60"/>
      <c r="I1043" s="61"/>
      <c r="J1043" s="61"/>
      <c r="K1043" s="61"/>
      <c r="L1043" s="73" t="str">
        <f>IF($E1043="","",DATE(YEAR($E1043),MONTH($E1043),1))</f>
        <v/>
      </c>
      <c r="M1043" s="65" t="str">
        <f ca="1">IF($D1043="","",IF($C1043="TANIMSIZ MÜŞTERİ","HATA",IF(OR($E1043="",$F1043&lt;=0,$G1043=""),"EKSİK",IF($E1043&gt;TODAY(),"İLERİ TARİH",IF(COUNTIF($S$7:$S$2503,$S1043)&gt;1,"MÜKERRER?",IF($T1043&gt;0,"KAPALI DÖNEM","UYGUN"))))))</f>
        <v/>
      </c>
      <c r="N1043" s="74" t="str">
        <f>IF($C1043="","",IF($C1043="TANIMSIZ MÜŞTERİ","—",INDEX(MUSTERILER!$C$7:$C$156,MATCH($C1043,MUSTERILER!$B$7:$B$156,0))))</f>
        <v/>
      </c>
      <c r="O1043" s="2"/>
      <c r="P1043" s="2"/>
      <c r="Q1043" s="1" t="str">
        <f>IF($D1043="","",$C1043&amp;"|"&amp;COUNTIFS($C$7:$C1043,$C1043))</f>
        <v/>
      </c>
      <c r="R1043" s="1" t="str">
        <f t="shared" si="32"/>
        <v/>
      </c>
      <c r="S1043" s="1" t="str">
        <f t="shared" si="33"/>
        <v/>
      </c>
      <c r="T1043" s="1">
        <f>IF($E1043="",0,SUMPRODUCT((AY_SONU!$O$7:$O$42="Evet")*(AY_SONU!$B$7:$B$42=DATE(YEAR($E1043),MONTH($E1043),1))))</f>
        <v>0</v>
      </c>
      <c r="U1043" s="1" t="str">
        <f>IF(OR($G1043="",$H1043="Mahsup"),"",$G1043&amp;"|"&amp;COUNTIFS($G$7:$G1043,$G1043,$H$7:$H1043,"&lt;&gt;Mahsup"))</f>
        <v/>
      </c>
    </row>
    <row r="1044" spans="1:21" ht="18" customHeight="1" x14ac:dyDescent="0.3">
      <c r="A1044" s="2"/>
      <c r="B1044" s="65" t="str">
        <f>IF($D1044="","","T"&amp;TEXT(ROW()-6,"00000"))</f>
        <v/>
      </c>
      <c r="C1044" s="65" t="str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61"/>
      <c r="E1044" s="66"/>
      <c r="F1044" s="67"/>
      <c r="G1044" s="60"/>
      <c r="H1044" s="60"/>
      <c r="I1044" s="61"/>
      <c r="J1044" s="61"/>
      <c r="K1044" s="61"/>
      <c r="L1044" s="73" t="str">
        <f>IF($E1044="","",DATE(YEAR($E1044),MONTH($E1044),1))</f>
        <v/>
      </c>
      <c r="M1044" s="65" t="str">
        <f ca="1">IF($D1044="","",IF($C1044="TANIMSIZ MÜŞTERİ","HATA",IF(OR($E1044="",$F1044&lt;=0,$G1044=""),"EKSİK",IF($E1044&gt;TODAY(),"İLERİ TARİH",IF(COUNTIF($S$7:$S$2503,$S1044)&gt;1,"MÜKERRER?",IF($T1044&gt;0,"KAPALI DÖNEM","UYGUN"))))))</f>
        <v/>
      </c>
      <c r="N1044" s="74" t="str">
        <f>IF($C1044="","",IF($C1044="TANIMSIZ MÜŞTERİ","—",INDEX(MUSTERILER!$C$7:$C$156,MATCH($C1044,MUSTERILER!$B$7:$B$156,0))))</f>
        <v/>
      </c>
      <c r="O1044" s="2"/>
      <c r="P1044" s="2"/>
      <c r="Q1044" s="1" t="str">
        <f>IF($D1044="","",$C1044&amp;"|"&amp;COUNTIFS($C$7:$C1044,$C1044))</f>
        <v/>
      </c>
      <c r="R1044" s="1" t="str">
        <f t="shared" si="32"/>
        <v/>
      </c>
      <c r="S1044" s="1" t="str">
        <f t="shared" si="33"/>
        <v/>
      </c>
      <c r="T1044" s="1">
        <f>IF($E1044="",0,SUMPRODUCT((AY_SONU!$O$7:$O$42="Evet")*(AY_SONU!$B$7:$B$42=DATE(YEAR($E1044),MONTH($E1044),1))))</f>
        <v>0</v>
      </c>
      <c r="U1044" s="1" t="str">
        <f>IF(OR($G1044="",$H1044="Mahsup"),"",$G1044&amp;"|"&amp;COUNTIFS($G$7:$G1044,$G1044,$H$7:$H1044,"&lt;&gt;Mahsup"))</f>
        <v/>
      </c>
    </row>
    <row r="1045" spans="1:21" ht="18" customHeight="1" x14ac:dyDescent="0.3">
      <c r="A1045" s="2"/>
      <c r="B1045" s="65" t="str">
        <f>IF($D1045="","","T"&amp;TEXT(ROW()-6,"00000"))</f>
        <v/>
      </c>
      <c r="C1045" s="65" t="str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61"/>
      <c r="E1045" s="66"/>
      <c r="F1045" s="67"/>
      <c r="G1045" s="60"/>
      <c r="H1045" s="60"/>
      <c r="I1045" s="61"/>
      <c r="J1045" s="61"/>
      <c r="K1045" s="61"/>
      <c r="L1045" s="73" t="str">
        <f>IF($E1045="","",DATE(YEAR($E1045),MONTH($E1045),1))</f>
        <v/>
      </c>
      <c r="M1045" s="65" t="str">
        <f ca="1">IF($D1045="","",IF($C1045="TANIMSIZ MÜŞTERİ","HATA",IF(OR($E1045="",$F1045&lt;=0,$G1045=""),"EKSİK",IF($E1045&gt;TODAY(),"İLERİ TARİH",IF(COUNTIF($S$7:$S$2503,$S1045)&gt;1,"MÜKERRER?",IF($T1045&gt;0,"KAPALI DÖNEM","UYGUN"))))))</f>
        <v/>
      </c>
      <c r="N1045" s="74" t="str">
        <f>IF($C1045="","",IF($C1045="TANIMSIZ MÜŞTERİ","—",INDEX(MUSTERILER!$C$7:$C$156,MATCH($C1045,MUSTERILER!$B$7:$B$156,0))))</f>
        <v/>
      </c>
      <c r="O1045" s="2"/>
      <c r="P1045" s="2"/>
      <c r="Q1045" s="1" t="str">
        <f>IF($D1045="","",$C1045&amp;"|"&amp;COUNTIFS($C$7:$C1045,$C1045))</f>
        <v/>
      </c>
      <c r="R1045" s="1" t="str">
        <f t="shared" si="32"/>
        <v/>
      </c>
      <c r="S1045" s="1" t="str">
        <f t="shared" si="33"/>
        <v/>
      </c>
      <c r="T1045" s="1">
        <f>IF($E1045="",0,SUMPRODUCT((AY_SONU!$O$7:$O$42="Evet")*(AY_SONU!$B$7:$B$42=DATE(YEAR($E1045),MONTH($E1045),1))))</f>
        <v>0</v>
      </c>
      <c r="U1045" s="1" t="str">
        <f>IF(OR($G1045="",$H1045="Mahsup"),"",$G1045&amp;"|"&amp;COUNTIFS($G$7:$G1045,$G1045,$H$7:$H1045,"&lt;&gt;Mahsup"))</f>
        <v/>
      </c>
    </row>
    <row r="1046" spans="1:21" ht="18" customHeight="1" x14ac:dyDescent="0.3">
      <c r="A1046" s="2"/>
      <c r="B1046" s="65" t="str">
        <f>IF($D1046="","","T"&amp;TEXT(ROW()-6,"00000"))</f>
        <v/>
      </c>
      <c r="C1046" s="65" t="str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61"/>
      <c r="E1046" s="66"/>
      <c r="F1046" s="67"/>
      <c r="G1046" s="60"/>
      <c r="H1046" s="60"/>
      <c r="I1046" s="61"/>
      <c r="J1046" s="61"/>
      <c r="K1046" s="61"/>
      <c r="L1046" s="73" t="str">
        <f>IF($E1046="","",DATE(YEAR($E1046),MONTH($E1046),1))</f>
        <v/>
      </c>
      <c r="M1046" s="65" t="str">
        <f ca="1">IF($D1046="","",IF($C1046="TANIMSIZ MÜŞTERİ","HATA",IF(OR($E1046="",$F1046&lt;=0,$G1046=""),"EKSİK",IF($E1046&gt;TODAY(),"İLERİ TARİH",IF(COUNTIF($S$7:$S$2503,$S1046)&gt;1,"MÜKERRER?",IF($T1046&gt;0,"KAPALI DÖNEM","UYGUN"))))))</f>
        <v/>
      </c>
      <c r="N1046" s="74" t="str">
        <f>IF($C1046="","",IF($C1046="TANIMSIZ MÜŞTERİ","—",INDEX(MUSTERILER!$C$7:$C$156,MATCH($C1046,MUSTERILER!$B$7:$B$156,0))))</f>
        <v/>
      </c>
      <c r="O1046" s="2"/>
      <c r="P1046" s="2"/>
      <c r="Q1046" s="1" t="str">
        <f>IF($D1046="","",$C1046&amp;"|"&amp;COUNTIFS($C$7:$C1046,$C1046))</f>
        <v/>
      </c>
      <c r="R1046" s="1" t="str">
        <f t="shared" si="32"/>
        <v/>
      </c>
      <c r="S1046" s="1" t="str">
        <f t="shared" si="33"/>
        <v/>
      </c>
      <c r="T1046" s="1">
        <f>IF($E1046="",0,SUMPRODUCT((AY_SONU!$O$7:$O$42="Evet")*(AY_SONU!$B$7:$B$42=DATE(YEAR($E1046),MONTH($E1046),1))))</f>
        <v>0</v>
      </c>
      <c r="U1046" s="1" t="str">
        <f>IF(OR($G1046="",$H1046="Mahsup"),"",$G1046&amp;"|"&amp;COUNTIFS($G$7:$G1046,$G1046,$H$7:$H1046,"&lt;&gt;Mahsup"))</f>
        <v/>
      </c>
    </row>
    <row r="1047" spans="1:21" ht="18" customHeight="1" x14ac:dyDescent="0.3">
      <c r="A1047" s="2"/>
      <c r="B1047" s="65" t="str">
        <f>IF($D1047="","","T"&amp;TEXT(ROW()-6,"00000"))</f>
        <v/>
      </c>
      <c r="C1047" s="65" t="str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61"/>
      <c r="E1047" s="66"/>
      <c r="F1047" s="67"/>
      <c r="G1047" s="60"/>
      <c r="H1047" s="60"/>
      <c r="I1047" s="61"/>
      <c r="J1047" s="61"/>
      <c r="K1047" s="61"/>
      <c r="L1047" s="73" t="str">
        <f>IF($E1047="","",DATE(YEAR($E1047),MONTH($E1047),1))</f>
        <v/>
      </c>
      <c r="M1047" s="65" t="str">
        <f ca="1">IF($D1047="","",IF($C1047="TANIMSIZ MÜŞTERİ","HATA",IF(OR($E1047="",$F1047&lt;=0,$G1047=""),"EKSİK",IF($E1047&gt;TODAY(),"İLERİ TARİH",IF(COUNTIF($S$7:$S$2503,$S1047)&gt;1,"MÜKERRER?",IF($T1047&gt;0,"KAPALI DÖNEM","UYGUN"))))))</f>
        <v/>
      </c>
      <c r="N1047" s="74" t="str">
        <f>IF($C1047="","",IF($C1047="TANIMSIZ MÜŞTERİ","—",INDEX(MUSTERILER!$C$7:$C$156,MATCH($C1047,MUSTERILER!$B$7:$B$156,0))))</f>
        <v/>
      </c>
      <c r="O1047" s="2"/>
      <c r="P1047" s="2"/>
      <c r="Q1047" s="1" t="str">
        <f>IF($D1047="","",$C1047&amp;"|"&amp;COUNTIFS($C$7:$C1047,$C1047))</f>
        <v/>
      </c>
      <c r="R1047" s="1" t="str">
        <f t="shared" si="32"/>
        <v/>
      </c>
      <c r="S1047" s="1" t="str">
        <f t="shared" si="33"/>
        <v/>
      </c>
      <c r="T1047" s="1">
        <f>IF($E1047="",0,SUMPRODUCT((AY_SONU!$O$7:$O$42="Evet")*(AY_SONU!$B$7:$B$42=DATE(YEAR($E1047),MONTH($E1047),1))))</f>
        <v>0</v>
      </c>
      <c r="U1047" s="1" t="str">
        <f>IF(OR($G1047="",$H1047="Mahsup"),"",$G1047&amp;"|"&amp;COUNTIFS($G$7:$G1047,$G1047,$H$7:$H1047,"&lt;&gt;Mahsup"))</f>
        <v/>
      </c>
    </row>
    <row r="1048" spans="1:21" ht="18" customHeight="1" x14ac:dyDescent="0.3">
      <c r="A1048" s="2"/>
      <c r="B1048" s="65" t="str">
        <f>IF($D1048="","","T"&amp;TEXT(ROW()-6,"00000"))</f>
        <v/>
      </c>
      <c r="C1048" s="65" t="str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61"/>
      <c r="E1048" s="66"/>
      <c r="F1048" s="67"/>
      <c r="G1048" s="60"/>
      <c r="H1048" s="60"/>
      <c r="I1048" s="61"/>
      <c r="J1048" s="61"/>
      <c r="K1048" s="61"/>
      <c r="L1048" s="73" t="str">
        <f>IF($E1048="","",DATE(YEAR($E1048),MONTH($E1048),1))</f>
        <v/>
      </c>
      <c r="M1048" s="65" t="str">
        <f ca="1">IF($D1048="","",IF($C1048="TANIMSIZ MÜŞTERİ","HATA",IF(OR($E1048="",$F1048&lt;=0,$G1048=""),"EKSİK",IF($E1048&gt;TODAY(),"İLERİ TARİH",IF(COUNTIF($S$7:$S$2503,$S1048)&gt;1,"MÜKERRER?",IF($T1048&gt;0,"KAPALI DÖNEM","UYGUN"))))))</f>
        <v/>
      </c>
      <c r="N1048" s="74" t="str">
        <f>IF($C1048="","",IF($C1048="TANIMSIZ MÜŞTERİ","—",INDEX(MUSTERILER!$C$7:$C$156,MATCH($C1048,MUSTERILER!$B$7:$B$156,0))))</f>
        <v/>
      </c>
      <c r="O1048" s="2"/>
      <c r="P1048" s="2"/>
      <c r="Q1048" s="1" t="str">
        <f>IF($D1048="","",$C1048&amp;"|"&amp;COUNTIFS($C$7:$C1048,$C1048))</f>
        <v/>
      </c>
      <c r="R1048" s="1" t="str">
        <f t="shared" si="32"/>
        <v/>
      </c>
      <c r="S1048" s="1" t="str">
        <f t="shared" si="33"/>
        <v/>
      </c>
      <c r="T1048" s="1">
        <f>IF($E1048="",0,SUMPRODUCT((AY_SONU!$O$7:$O$42="Evet")*(AY_SONU!$B$7:$B$42=DATE(YEAR($E1048),MONTH($E1048),1))))</f>
        <v>0</v>
      </c>
      <c r="U1048" s="1" t="str">
        <f>IF(OR($G1048="",$H1048="Mahsup"),"",$G1048&amp;"|"&amp;COUNTIFS($G$7:$G1048,$G1048,$H$7:$H1048,"&lt;&gt;Mahsup"))</f>
        <v/>
      </c>
    </row>
    <row r="1049" spans="1:21" ht="18" customHeight="1" x14ac:dyDescent="0.3">
      <c r="A1049" s="2"/>
      <c r="B1049" s="65" t="str">
        <f>IF($D1049="","","T"&amp;TEXT(ROW()-6,"00000"))</f>
        <v/>
      </c>
      <c r="C1049" s="65" t="str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61"/>
      <c r="E1049" s="66"/>
      <c r="F1049" s="67"/>
      <c r="G1049" s="60"/>
      <c r="H1049" s="60"/>
      <c r="I1049" s="61"/>
      <c r="J1049" s="61"/>
      <c r="K1049" s="61"/>
      <c r="L1049" s="73" t="str">
        <f>IF($E1049="","",DATE(YEAR($E1049),MONTH($E1049),1))</f>
        <v/>
      </c>
      <c r="M1049" s="65" t="str">
        <f ca="1">IF($D1049="","",IF($C1049="TANIMSIZ MÜŞTERİ","HATA",IF(OR($E1049="",$F1049&lt;=0,$G1049=""),"EKSİK",IF($E1049&gt;TODAY(),"İLERİ TARİH",IF(COUNTIF($S$7:$S$2503,$S1049)&gt;1,"MÜKERRER?",IF($T1049&gt;0,"KAPALI DÖNEM","UYGUN"))))))</f>
        <v/>
      </c>
      <c r="N1049" s="74" t="str">
        <f>IF($C1049="","",IF($C1049="TANIMSIZ MÜŞTERİ","—",INDEX(MUSTERILER!$C$7:$C$156,MATCH($C1049,MUSTERILER!$B$7:$B$156,0))))</f>
        <v/>
      </c>
      <c r="O1049" s="2"/>
      <c r="P1049" s="2"/>
      <c r="Q1049" s="1" t="str">
        <f>IF($D1049="","",$C1049&amp;"|"&amp;COUNTIFS($C$7:$C1049,$C1049))</f>
        <v/>
      </c>
      <c r="R1049" s="1" t="str">
        <f t="shared" si="32"/>
        <v/>
      </c>
      <c r="S1049" s="1" t="str">
        <f t="shared" si="33"/>
        <v/>
      </c>
      <c r="T1049" s="1">
        <f>IF($E1049="",0,SUMPRODUCT((AY_SONU!$O$7:$O$42="Evet")*(AY_SONU!$B$7:$B$42=DATE(YEAR($E1049),MONTH($E1049),1))))</f>
        <v>0</v>
      </c>
      <c r="U1049" s="1" t="str">
        <f>IF(OR($G1049="",$H1049="Mahsup"),"",$G1049&amp;"|"&amp;COUNTIFS($G$7:$G1049,$G1049,$H$7:$H1049,"&lt;&gt;Mahsup"))</f>
        <v/>
      </c>
    </row>
    <row r="1050" spans="1:21" ht="18" customHeight="1" x14ac:dyDescent="0.3">
      <c r="A1050" s="2"/>
      <c r="B1050" s="65" t="str">
        <f>IF($D1050="","","T"&amp;TEXT(ROW()-6,"00000"))</f>
        <v/>
      </c>
      <c r="C1050" s="65" t="str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61"/>
      <c r="E1050" s="66"/>
      <c r="F1050" s="67"/>
      <c r="G1050" s="60"/>
      <c r="H1050" s="60"/>
      <c r="I1050" s="61"/>
      <c r="J1050" s="61"/>
      <c r="K1050" s="61"/>
      <c r="L1050" s="73" t="str">
        <f>IF($E1050="","",DATE(YEAR($E1050),MONTH($E1050),1))</f>
        <v/>
      </c>
      <c r="M1050" s="65" t="str">
        <f ca="1">IF($D1050="","",IF($C1050="TANIMSIZ MÜŞTERİ","HATA",IF(OR($E1050="",$F1050&lt;=0,$G1050=""),"EKSİK",IF($E1050&gt;TODAY(),"İLERİ TARİH",IF(COUNTIF($S$7:$S$2503,$S1050)&gt;1,"MÜKERRER?",IF($T1050&gt;0,"KAPALI DÖNEM","UYGUN"))))))</f>
        <v/>
      </c>
      <c r="N1050" s="74" t="str">
        <f>IF($C1050="","",IF($C1050="TANIMSIZ MÜŞTERİ","—",INDEX(MUSTERILER!$C$7:$C$156,MATCH($C1050,MUSTERILER!$B$7:$B$156,0))))</f>
        <v/>
      </c>
      <c r="O1050" s="2"/>
      <c r="P1050" s="2"/>
      <c r="Q1050" s="1" t="str">
        <f>IF($D1050="","",$C1050&amp;"|"&amp;COUNTIFS($C$7:$C1050,$C1050))</f>
        <v/>
      </c>
      <c r="R1050" s="1" t="str">
        <f t="shared" si="32"/>
        <v/>
      </c>
      <c r="S1050" s="1" t="str">
        <f t="shared" si="33"/>
        <v/>
      </c>
      <c r="T1050" s="1">
        <f>IF($E1050="",0,SUMPRODUCT((AY_SONU!$O$7:$O$42="Evet")*(AY_SONU!$B$7:$B$42=DATE(YEAR($E1050),MONTH($E1050),1))))</f>
        <v>0</v>
      </c>
      <c r="U1050" s="1" t="str">
        <f>IF(OR($G1050="",$H1050="Mahsup"),"",$G1050&amp;"|"&amp;COUNTIFS($G$7:$G1050,$G1050,$H$7:$H1050,"&lt;&gt;Mahsup"))</f>
        <v/>
      </c>
    </row>
    <row r="1051" spans="1:21" ht="18" customHeight="1" x14ac:dyDescent="0.3">
      <c r="A1051" s="2"/>
      <c r="B1051" s="65" t="str">
        <f>IF($D1051="","","T"&amp;TEXT(ROW()-6,"00000"))</f>
        <v/>
      </c>
      <c r="C1051" s="65" t="str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61"/>
      <c r="E1051" s="66"/>
      <c r="F1051" s="67"/>
      <c r="G1051" s="60"/>
      <c r="H1051" s="60"/>
      <c r="I1051" s="61"/>
      <c r="J1051" s="61"/>
      <c r="K1051" s="61"/>
      <c r="L1051" s="73" t="str">
        <f>IF($E1051="","",DATE(YEAR($E1051),MONTH($E1051),1))</f>
        <v/>
      </c>
      <c r="M1051" s="65" t="str">
        <f ca="1">IF($D1051="","",IF($C1051="TANIMSIZ MÜŞTERİ","HATA",IF(OR($E1051="",$F1051&lt;=0,$G1051=""),"EKSİK",IF($E1051&gt;TODAY(),"İLERİ TARİH",IF(COUNTIF($S$7:$S$2503,$S1051)&gt;1,"MÜKERRER?",IF($T1051&gt;0,"KAPALI DÖNEM","UYGUN"))))))</f>
        <v/>
      </c>
      <c r="N1051" s="74" t="str">
        <f>IF($C1051="","",IF($C1051="TANIMSIZ MÜŞTERİ","—",INDEX(MUSTERILER!$C$7:$C$156,MATCH($C1051,MUSTERILER!$B$7:$B$156,0))))</f>
        <v/>
      </c>
      <c r="O1051" s="2"/>
      <c r="P1051" s="2"/>
      <c r="Q1051" s="1" t="str">
        <f>IF($D1051="","",$C1051&amp;"|"&amp;COUNTIFS($C$7:$C1051,$C1051))</f>
        <v/>
      </c>
      <c r="R1051" s="1" t="str">
        <f t="shared" si="32"/>
        <v/>
      </c>
      <c r="S1051" s="1" t="str">
        <f t="shared" si="33"/>
        <v/>
      </c>
      <c r="T1051" s="1">
        <f>IF($E1051="",0,SUMPRODUCT((AY_SONU!$O$7:$O$42="Evet")*(AY_SONU!$B$7:$B$42=DATE(YEAR($E1051),MONTH($E1051),1))))</f>
        <v>0</v>
      </c>
      <c r="U1051" s="1" t="str">
        <f>IF(OR($G1051="",$H1051="Mahsup"),"",$G1051&amp;"|"&amp;COUNTIFS($G$7:$G1051,$G1051,$H$7:$H1051,"&lt;&gt;Mahsup"))</f>
        <v/>
      </c>
    </row>
    <row r="1052" spans="1:21" ht="18" customHeight="1" x14ac:dyDescent="0.3">
      <c r="A1052" s="2"/>
      <c r="B1052" s="65" t="str">
        <f>IF($D1052="","","T"&amp;TEXT(ROW()-6,"00000"))</f>
        <v/>
      </c>
      <c r="C1052" s="65" t="str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61"/>
      <c r="E1052" s="66"/>
      <c r="F1052" s="67"/>
      <c r="G1052" s="60"/>
      <c r="H1052" s="60"/>
      <c r="I1052" s="61"/>
      <c r="J1052" s="61"/>
      <c r="K1052" s="61"/>
      <c r="L1052" s="73" t="str">
        <f>IF($E1052="","",DATE(YEAR($E1052),MONTH($E1052),1))</f>
        <v/>
      </c>
      <c r="M1052" s="65" t="str">
        <f ca="1">IF($D1052="","",IF($C1052="TANIMSIZ MÜŞTERİ","HATA",IF(OR($E1052="",$F1052&lt;=0,$G1052=""),"EKSİK",IF($E1052&gt;TODAY(),"İLERİ TARİH",IF(COUNTIF($S$7:$S$2503,$S1052)&gt;1,"MÜKERRER?",IF($T1052&gt;0,"KAPALI DÖNEM","UYGUN"))))))</f>
        <v/>
      </c>
      <c r="N1052" s="74" t="str">
        <f>IF($C1052="","",IF($C1052="TANIMSIZ MÜŞTERİ","—",INDEX(MUSTERILER!$C$7:$C$156,MATCH($C1052,MUSTERILER!$B$7:$B$156,0))))</f>
        <v/>
      </c>
      <c r="O1052" s="2"/>
      <c r="P1052" s="2"/>
      <c r="Q1052" s="1" t="str">
        <f>IF($D1052="","",$C1052&amp;"|"&amp;COUNTIFS($C$7:$C1052,$C1052))</f>
        <v/>
      </c>
      <c r="R1052" s="1" t="str">
        <f t="shared" si="32"/>
        <v/>
      </c>
      <c r="S1052" s="1" t="str">
        <f t="shared" si="33"/>
        <v/>
      </c>
      <c r="T1052" s="1">
        <f>IF($E1052="",0,SUMPRODUCT((AY_SONU!$O$7:$O$42="Evet")*(AY_SONU!$B$7:$B$42=DATE(YEAR($E1052),MONTH($E1052),1))))</f>
        <v>0</v>
      </c>
      <c r="U1052" s="1" t="str">
        <f>IF(OR($G1052="",$H1052="Mahsup"),"",$G1052&amp;"|"&amp;COUNTIFS($G$7:$G1052,$G1052,$H$7:$H1052,"&lt;&gt;Mahsup"))</f>
        <v/>
      </c>
    </row>
    <row r="1053" spans="1:21" ht="18" customHeight="1" x14ac:dyDescent="0.3">
      <c r="A1053" s="2"/>
      <c r="B1053" s="65" t="str">
        <f>IF($D1053="","","T"&amp;TEXT(ROW()-6,"00000"))</f>
        <v/>
      </c>
      <c r="C1053" s="65" t="str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61"/>
      <c r="E1053" s="66"/>
      <c r="F1053" s="67"/>
      <c r="G1053" s="60"/>
      <c r="H1053" s="60"/>
      <c r="I1053" s="61"/>
      <c r="J1053" s="61"/>
      <c r="K1053" s="61"/>
      <c r="L1053" s="73" t="str">
        <f>IF($E1053="","",DATE(YEAR($E1053),MONTH($E1053),1))</f>
        <v/>
      </c>
      <c r="M1053" s="65" t="str">
        <f ca="1">IF($D1053="","",IF($C1053="TANIMSIZ MÜŞTERİ","HATA",IF(OR($E1053="",$F1053&lt;=0,$G1053=""),"EKSİK",IF($E1053&gt;TODAY(),"İLERİ TARİH",IF(COUNTIF($S$7:$S$2503,$S1053)&gt;1,"MÜKERRER?",IF($T1053&gt;0,"KAPALI DÖNEM","UYGUN"))))))</f>
        <v/>
      </c>
      <c r="N1053" s="74" t="str">
        <f>IF($C1053="","",IF($C1053="TANIMSIZ MÜŞTERİ","—",INDEX(MUSTERILER!$C$7:$C$156,MATCH($C1053,MUSTERILER!$B$7:$B$156,0))))</f>
        <v/>
      </c>
      <c r="O1053" s="2"/>
      <c r="P1053" s="2"/>
      <c r="Q1053" s="1" t="str">
        <f>IF($D1053="","",$C1053&amp;"|"&amp;COUNTIFS($C$7:$C1053,$C1053))</f>
        <v/>
      </c>
      <c r="R1053" s="1" t="str">
        <f t="shared" si="32"/>
        <v/>
      </c>
      <c r="S1053" s="1" t="str">
        <f t="shared" si="33"/>
        <v/>
      </c>
      <c r="T1053" s="1">
        <f>IF($E1053="",0,SUMPRODUCT((AY_SONU!$O$7:$O$42="Evet")*(AY_SONU!$B$7:$B$42=DATE(YEAR($E1053),MONTH($E1053),1))))</f>
        <v>0</v>
      </c>
      <c r="U1053" s="1" t="str">
        <f>IF(OR($G1053="",$H1053="Mahsup"),"",$G1053&amp;"|"&amp;COUNTIFS($G$7:$G1053,$G1053,$H$7:$H1053,"&lt;&gt;Mahsup"))</f>
        <v/>
      </c>
    </row>
    <row r="1054" spans="1:21" ht="18" customHeight="1" x14ac:dyDescent="0.3">
      <c r="A1054" s="2"/>
      <c r="B1054" s="65" t="str">
        <f>IF($D1054="","","T"&amp;TEXT(ROW()-6,"00000"))</f>
        <v/>
      </c>
      <c r="C1054" s="65" t="str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61"/>
      <c r="E1054" s="66"/>
      <c r="F1054" s="67"/>
      <c r="G1054" s="60"/>
      <c r="H1054" s="60"/>
      <c r="I1054" s="61"/>
      <c r="J1054" s="61"/>
      <c r="K1054" s="61"/>
      <c r="L1054" s="73" t="str">
        <f>IF($E1054="","",DATE(YEAR($E1054),MONTH($E1054),1))</f>
        <v/>
      </c>
      <c r="M1054" s="65" t="str">
        <f ca="1">IF($D1054="","",IF($C1054="TANIMSIZ MÜŞTERİ","HATA",IF(OR($E1054="",$F1054&lt;=0,$G1054=""),"EKSİK",IF($E1054&gt;TODAY(),"İLERİ TARİH",IF(COUNTIF($S$7:$S$2503,$S1054)&gt;1,"MÜKERRER?",IF($T1054&gt;0,"KAPALI DÖNEM","UYGUN"))))))</f>
        <v/>
      </c>
      <c r="N1054" s="74" t="str">
        <f>IF($C1054="","",IF($C1054="TANIMSIZ MÜŞTERİ","—",INDEX(MUSTERILER!$C$7:$C$156,MATCH($C1054,MUSTERILER!$B$7:$B$156,0))))</f>
        <v/>
      </c>
      <c r="O1054" s="2"/>
      <c r="P1054" s="2"/>
      <c r="Q1054" s="1" t="str">
        <f>IF($D1054="","",$C1054&amp;"|"&amp;COUNTIFS($C$7:$C1054,$C1054))</f>
        <v/>
      </c>
      <c r="R1054" s="1" t="str">
        <f t="shared" si="32"/>
        <v/>
      </c>
      <c r="S1054" s="1" t="str">
        <f t="shared" si="33"/>
        <v/>
      </c>
      <c r="T1054" s="1">
        <f>IF($E1054="",0,SUMPRODUCT((AY_SONU!$O$7:$O$42="Evet")*(AY_SONU!$B$7:$B$42=DATE(YEAR($E1054),MONTH($E1054),1))))</f>
        <v>0</v>
      </c>
      <c r="U1054" s="1" t="str">
        <f>IF(OR($G1054="",$H1054="Mahsup"),"",$G1054&amp;"|"&amp;COUNTIFS($G$7:$G1054,$G1054,$H$7:$H1054,"&lt;&gt;Mahsup"))</f>
        <v/>
      </c>
    </row>
    <row r="1055" spans="1:21" ht="18" customHeight="1" x14ac:dyDescent="0.3">
      <c r="A1055" s="2"/>
      <c r="B1055" s="65" t="str">
        <f>IF($D1055="","","T"&amp;TEXT(ROW()-6,"00000"))</f>
        <v/>
      </c>
      <c r="C1055" s="65" t="str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61"/>
      <c r="E1055" s="66"/>
      <c r="F1055" s="67"/>
      <c r="G1055" s="60"/>
      <c r="H1055" s="60"/>
      <c r="I1055" s="61"/>
      <c r="J1055" s="61"/>
      <c r="K1055" s="61"/>
      <c r="L1055" s="73" t="str">
        <f>IF($E1055="","",DATE(YEAR($E1055),MONTH($E1055),1))</f>
        <v/>
      </c>
      <c r="M1055" s="65" t="str">
        <f ca="1">IF($D1055="","",IF($C1055="TANIMSIZ MÜŞTERİ","HATA",IF(OR($E1055="",$F1055&lt;=0,$G1055=""),"EKSİK",IF($E1055&gt;TODAY(),"İLERİ TARİH",IF(COUNTIF($S$7:$S$2503,$S1055)&gt;1,"MÜKERRER?",IF($T1055&gt;0,"KAPALI DÖNEM","UYGUN"))))))</f>
        <v/>
      </c>
      <c r="N1055" s="74" t="str">
        <f>IF($C1055="","",IF($C1055="TANIMSIZ MÜŞTERİ","—",INDEX(MUSTERILER!$C$7:$C$156,MATCH($C1055,MUSTERILER!$B$7:$B$156,0))))</f>
        <v/>
      </c>
      <c r="O1055" s="2"/>
      <c r="P1055" s="2"/>
      <c r="Q1055" s="1" t="str">
        <f>IF($D1055="","",$C1055&amp;"|"&amp;COUNTIFS($C$7:$C1055,$C1055))</f>
        <v/>
      </c>
      <c r="R1055" s="1" t="str">
        <f t="shared" si="32"/>
        <v/>
      </c>
      <c r="S1055" s="1" t="str">
        <f t="shared" si="33"/>
        <v/>
      </c>
      <c r="T1055" s="1">
        <f>IF($E1055="",0,SUMPRODUCT((AY_SONU!$O$7:$O$42="Evet")*(AY_SONU!$B$7:$B$42=DATE(YEAR($E1055),MONTH($E1055),1))))</f>
        <v>0</v>
      </c>
      <c r="U1055" s="1" t="str">
        <f>IF(OR($G1055="",$H1055="Mahsup"),"",$G1055&amp;"|"&amp;COUNTIFS($G$7:$G1055,$G1055,$H$7:$H1055,"&lt;&gt;Mahsup"))</f>
        <v/>
      </c>
    </row>
    <row r="1056" spans="1:21" ht="18" customHeight="1" x14ac:dyDescent="0.3">
      <c r="A1056" s="2"/>
      <c r="B1056" s="65" t="str">
        <f>IF($D1056="","","T"&amp;TEXT(ROW()-6,"00000"))</f>
        <v/>
      </c>
      <c r="C1056" s="65" t="str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61"/>
      <c r="E1056" s="66"/>
      <c r="F1056" s="67"/>
      <c r="G1056" s="60"/>
      <c r="H1056" s="60"/>
      <c r="I1056" s="61"/>
      <c r="J1056" s="61"/>
      <c r="K1056" s="61"/>
      <c r="L1056" s="73" t="str">
        <f>IF($E1056="","",DATE(YEAR($E1056),MONTH($E1056),1))</f>
        <v/>
      </c>
      <c r="M1056" s="65" t="str">
        <f ca="1">IF($D1056="","",IF($C1056="TANIMSIZ MÜŞTERİ","HATA",IF(OR($E1056="",$F1056&lt;=0,$G1056=""),"EKSİK",IF($E1056&gt;TODAY(),"İLERİ TARİH",IF(COUNTIF($S$7:$S$2503,$S1056)&gt;1,"MÜKERRER?",IF($T1056&gt;0,"KAPALI DÖNEM","UYGUN"))))))</f>
        <v/>
      </c>
      <c r="N1056" s="74" t="str">
        <f>IF($C1056="","",IF($C1056="TANIMSIZ MÜŞTERİ","—",INDEX(MUSTERILER!$C$7:$C$156,MATCH($C1056,MUSTERILER!$B$7:$B$156,0))))</f>
        <v/>
      </c>
      <c r="O1056" s="2"/>
      <c r="P1056" s="2"/>
      <c r="Q1056" s="1" t="str">
        <f>IF($D1056="","",$C1056&amp;"|"&amp;COUNTIFS($C$7:$C1056,$C1056))</f>
        <v/>
      </c>
      <c r="R1056" s="1" t="str">
        <f t="shared" si="32"/>
        <v/>
      </c>
      <c r="S1056" s="1" t="str">
        <f t="shared" si="33"/>
        <v/>
      </c>
      <c r="T1056" s="1">
        <f>IF($E1056="",0,SUMPRODUCT((AY_SONU!$O$7:$O$42="Evet")*(AY_SONU!$B$7:$B$42=DATE(YEAR($E1056),MONTH($E1056),1))))</f>
        <v>0</v>
      </c>
      <c r="U1056" s="1" t="str">
        <f>IF(OR($G1056="",$H1056="Mahsup"),"",$G1056&amp;"|"&amp;COUNTIFS($G$7:$G1056,$G1056,$H$7:$H1056,"&lt;&gt;Mahsup"))</f>
        <v/>
      </c>
    </row>
    <row r="1057" spans="1:21" ht="18" customHeight="1" x14ac:dyDescent="0.3">
      <c r="A1057" s="2"/>
      <c r="B1057" s="65" t="str">
        <f>IF($D1057="","","T"&amp;TEXT(ROW()-6,"00000"))</f>
        <v/>
      </c>
      <c r="C1057" s="65" t="str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61"/>
      <c r="E1057" s="66"/>
      <c r="F1057" s="67"/>
      <c r="G1057" s="60"/>
      <c r="H1057" s="60"/>
      <c r="I1057" s="61"/>
      <c r="J1057" s="61"/>
      <c r="K1057" s="61"/>
      <c r="L1057" s="73" t="str">
        <f>IF($E1057="","",DATE(YEAR($E1057),MONTH($E1057),1))</f>
        <v/>
      </c>
      <c r="M1057" s="65" t="str">
        <f ca="1">IF($D1057="","",IF($C1057="TANIMSIZ MÜŞTERİ","HATA",IF(OR($E1057="",$F1057&lt;=0,$G1057=""),"EKSİK",IF($E1057&gt;TODAY(),"İLERİ TARİH",IF(COUNTIF($S$7:$S$2503,$S1057)&gt;1,"MÜKERRER?",IF($T1057&gt;0,"KAPALI DÖNEM","UYGUN"))))))</f>
        <v/>
      </c>
      <c r="N1057" s="74" t="str">
        <f>IF($C1057="","",IF($C1057="TANIMSIZ MÜŞTERİ","—",INDEX(MUSTERILER!$C$7:$C$156,MATCH($C1057,MUSTERILER!$B$7:$B$156,0))))</f>
        <v/>
      </c>
      <c r="O1057" s="2"/>
      <c r="P1057" s="2"/>
      <c r="Q1057" s="1" t="str">
        <f>IF($D1057="","",$C1057&amp;"|"&amp;COUNTIFS($C$7:$C1057,$C1057))</f>
        <v/>
      </c>
      <c r="R1057" s="1" t="str">
        <f t="shared" si="32"/>
        <v/>
      </c>
      <c r="S1057" s="1" t="str">
        <f t="shared" si="33"/>
        <v/>
      </c>
      <c r="T1057" s="1">
        <f>IF($E1057="",0,SUMPRODUCT((AY_SONU!$O$7:$O$42="Evet")*(AY_SONU!$B$7:$B$42=DATE(YEAR($E1057),MONTH($E1057),1))))</f>
        <v>0</v>
      </c>
      <c r="U1057" s="1" t="str">
        <f>IF(OR($G1057="",$H1057="Mahsup"),"",$G1057&amp;"|"&amp;COUNTIFS($G$7:$G1057,$G1057,$H$7:$H1057,"&lt;&gt;Mahsup"))</f>
        <v/>
      </c>
    </row>
    <row r="1058" spans="1:21" ht="18" customHeight="1" x14ac:dyDescent="0.3">
      <c r="A1058" s="2"/>
      <c r="B1058" s="65" t="str">
        <f>IF($D1058="","","T"&amp;TEXT(ROW()-6,"00000"))</f>
        <v/>
      </c>
      <c r="C1058" s="65" t="str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61"/>
      <c r="E1058" s="66"/>
      <c r="F1058" s="67"/>
      <c r="G1058" s="60"/>
      <c r="H1058" s="60"/>
      <c r="I1058" s="61"/>
      <c r="J1058" s="61"/>
      <c r="K1058" s="61"/>
      <c r="L1058" s="73" t="str">
        <f>IF($E1058="","",DATE(YEAR($E1058),MONTH($E1058),1))</f>
        <v/>
      </c>
      <c r="M1058" s="65" t="str">
        <f ca="1">IF($D1058="","",IF($C1058="TANIMSIZ MÜŞTERİ","HATA",IF(OR($E1058="",$F1058&lt;=0,$G1058=""),"EKSİK",IF($E1058&gt;TODAY(),"İLERİ TARİH",IF(COUNTIF($S$7:$S$2503,$S1058)&gt;1,"MÜKERRER?",IF($T1058&gt;0,"KAPALI DÖNEM","UYGUN"))))))</f>
        <v/>
      </c>
      <c r="N1058" s="74" t="str">
        <f>IF($C1058="","",IF($C1058="TANIMSIZ MÜŞTERİ","—",INDEX(MUSTERILER!$C$7:$C$156,MATCH($C1058,MUSTERILER!$B$7:$B$156,0))))</f>
        <v/>
      </c>
      <c r="O1058" s="2"/>
      <c r="P1058" s="2"/>
      <c r="Q1058" s="1" t="str">
        <f>IF($D1058="","",$C1058&amp;"|"&amp;COUNTIFS($C$7:$C1058,$C1058))</f>
        <v/>
      </c>
      <c r="R1058" s="1" t="str">
        <f t="shared" si="32"/>
        <v/>
      </c>
      <c r="S1058" s="1" t="str">
        <f t="shared" si="33"/>
        <v/>
      </c>
      <c r="T1058" s="1">
        <f>IF($E1058="",0,SUMPRODUCT((AY_SONU!$O$7:$O$42="Evet")*(AY_SONU!$B$7:$B$42=DATE(YEAR($E1058),MONTH($E1058),1))))</f>
        <v>0</v>
      </c>
      <c r="U1058" s="1" t="str">
        <f>IF(OR($G1058="",$H1058="Mahsup"),"",$G1058&amp;"|"&amp;COUNTIFS($G$7:$G1058,$G1058,$H$7:$H1058,"&lt;&gt;Mahsup"))</f>
        <v/>
      </c>
    </row>
    <row r="1059" spans="1:21" ht="18" customHeight="1" x14ac:dyDescent="0.3">
      <c r="A1059" s="2"/>
      <c r="B1059" s="65" t="str">
        <f>IF($D1059="","","T"&amp;TEXT(ROW()-6,"00000"))</f>
        <v/>
      </c>
      <c r="C1059" s="65" t="str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61"/>
      <c r="E1059" s="66"/>
      <c r="F1059" s="67"/>
      <c r="G1059" s="60"/>
      <c r="H1059" s="60"/>
      <c r="I1059" s="61"/>
      <c r="J1059" s="61"/>
      <c r="K1059" s="61"/>
      <c r="L1059" s="73" t="str">
        <f>IF($E1059="","",DATE(YEAR($E1059),MONTH($E1059),1))</f>
        <v/>
      </c>
      <c r="M1059" s="65" t="str">
        <f ca="1">IF($D1059="","",IF($C1059="TANIMSIZ MÜŞTERİ","HATA",IF(OR($E1059="",$F1059&lt;=0,$G1059=""),"EKSİK",IF($E1059&gt;TODAY(),"İLERİ TARİH",IF(COUNTIF($S$7:$S$2503,$S1059)&gt;1,"MÜKERRER?",IF($T1059&gt;0,"KAPALI DÖNEM","UYGUN"))))))</f>
        <v/>
      </c>
      <c r="N1059" s="74" t="str">
        <f>IF($C1059="","",IF($C1059="TANIMSIZ MÜŞTERİ","—",INDEX(MUSTERILER!$C$7:$C$156,MATCH($C1059,MUSTERILER!$B$7:$B$156,0))))</f>
        <v/>
      </c>
      <c r="O1059" s="2"/>
      <c r="P1059" s="2"/>
      <c r="Q1059" s="1" t="str">
        <f>IF($D1059="","",$C1059&amp;"|"&amp;COUNTIFS($C$7:$C1059,$C1059))</f>
        <v/>
      </c>
      <c r="R1059" s="1" t="str">
        <f t="shared" si="32"/>
        <v/>
      </c>
      <c r="S1059" s="1" t="str">
        <f t="shared" si="33"/>
        <v/>
      </c>
      <c r="T1059" s="1">
        <f>IF($E1059="",0,SUMPRODUCT((AY_SONU!$O$7:$O$42="Evet")*(AY_SONU!$B$7:$B$42=DATE(YEAR($E1059),MONTH($E1059),1))))</f>
        <v>0</v>
      </c>
      <c r="U1059" s="1" t="str">
        <f>IF(OR($G1059="",$H1059="Mahsup"),"",$G1059&amp;"|"&amp;COUNTIFS($G$7:$G1059,$G1059,$H$7:$H1059,"&lt;&gt;Mahsup"))</f>
        <v/>
      </c>
    </row>
    <row r="1060" spans="1:21" ht="18" customHeight="1" x14ac:dyDescent="0.3">
      <c r="A1060" s="2"/>
      <c r="B1060" s="65" t="str">
        <f>IF($D1060="","","T"&amp;TEXT(ROW()-6,"00000"))</f>
        <v/>
      </c>
      <c r="C1060" s="65" t="str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61"/>
      <c r="E1060" s="66"/>
      <c r="F1060" s="67"/>
      <c r="G1060" s="60"/>
      <c r="H1060" s="60"/>
      <c r="I1060" s="61"/>
      <c r="J1060" s="61"/>
      <c r="K1060" s="61"/>
      <c r="L1060" s="73" t="str">
        <f>IF($E1060="","",DATE(YEAR($E1060),MONTH($E1060),1))</f>
        <v/>
      </c>
      <c r="M1060" s="65" t="str">
        <f ca="1">IF($D1060="","",IF($C1060="TANIMSIZ MÜŞTERİ","HATA",IF(OR($E1060="",$F1060&lt;=0,$G1060=""),"EKSİK",IF($E1060&gt;TODAY(),"İLERİ TARİH",IF(COUNTIF($S$7:$S$2503,$S1060)&gt;1,"MÜKERRER?",IF($T1060&gt;0,"KAPALI DÖNEM","UYGUN"))))))</f>
        <v/>
      </c>
      <c r="N1060" s="74" t="str">
        <f>IF($C1060="","",IF($C1060="TANIMSIZ MÜŞTERİ","—",INDEX(MUSTERILER!$C$7:$C$156,MATCH($C1060,MUSTERILER!$B$7:$B$156,0))))</f>
        <v/>
      </c>
      <c r="O1060" s="2"/>
      <c r="P1060" s="2"/>
      <c r="Q1060" s="1" t="str">
        <f>IF($D1060="","",$C1060&amp;"|"&amp;COUNTIFS($C$7:$C1060,$C1060))</f>
        <v/>
      </c>
      <c r="R1060" s="1" t="str">
        <f t="shared" si="32"/>
        <v/>
      </c>
      <c r="S1060" s="1" t="str">
        <f t="shared" si="33"/>
        <v/>
      </c>
      <c r="T1060" s="1">
        <f>IF($E1060="",0,SUMPRODUCT((AY_SONU!$O$7:$O$42="Evet")*(AY_SONU!$B$7:$B$42=DATE(YEAR($E1060),MONTH($E1060),1))))</f>
        <v>0</v>
      </c>
      <c r="U1060" s="1" t="str">
        <f>IF(OR($G1060="",$H1060="Mahsup"),"",$G1060&amp;"|"&amp;COUNTIFS($G$7:$G1060,$G1060,$H$7:$H1060,"&lt;&gt;Mahsup"))</f>
        <v/>
      </c>
    </row>
    <row r="1061" spans="1:21" ht="18" customHeight="1" x14ac:dyDescent="0.3">
      <c r="A1061" s="2"/>
      <c r="B1061" s="65" t="str">
        <f>IF($D1061="","","T"&amp;TEXT(ROW()-6,"00000"))</f>
        <v/>
      </c>
      <c r="C1061" s="65" t="str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61"/>
      <c r="E1061" s="66"/>
      <c r="F1061" s="67"/>
      <c r="G1061" s="60"/>
      <c r="H1061" s="60"/>
      <c r="I1061" s="61"/>
      <c r="J1061" s="61"/>
      <c r="K1061" s="61"/>
      <c r="L1061" s="73" t="str">
        <f>IF($E1061="","",DATE(YEAR($E1061),MONTH($E1061),1))</f>
        <v/>
      </c>
      <c r="M1061" s="65" t="str">
        <f ca="1">IF($D1061="","",IF($C1061="TANIMSIZ MÜŞTERİ","HATA",IF(OR($E1061="",$F1061&lt;=0,$G1061=""),"EKSİK",IF($E1061&gt;TODAY(),"İLERİ TARİH",IF(COUNTIF($S$7:$S$2503,$S1061)&gt;1,"MÜKERRER?",IF($T1061&gt;0,"KAPALI DÖNEM","UYGUN"))))))</f>
        <v/>
      </c>
      <c r="N1061" s="74" t="str">
        <f>IF($C1061="","",IF($C1061="TANIMSIZ MÜŞTERİ","—",INDEX(MUSTERILER!$C$7:$C$156,MATCH($C1061,MUSTERILER!$B$7:$B$156,0))))</f>
        <v/>
      </c>
      <c r="O1061" s="2"/>
      <c r="P1061" s="2"/>
      <c r="Q1061" s="1" t="str">
        <f>IF($D1061="","",$C1061&amp;"|"&amp;COUNTIFS($C$7:$C1061,$C1061))</f>
        <v/>
      </c>
      <c r="R1061" s="1" t="str">
        <f t="shared" si="32"/>
        <v/>
      </c>
      <c r="S1061" s="1" t="str">
        <f t="shared" si="33"/>
        <v/>
      </c>
      <c r="T1061" s="1">
        <f>IF($E1061="",0,SUMPRODUCT((AY_SONU!$O$7:$O$42="Evet")*(AY_SONU!$B$7:$B$42=DATE(YEAR($E1061),MONTH($E1061),1))))</f>
        <v>0</v>
      </c>
      <c r="U1061" s="1" t="str">
        <f>IF(OR($G1061="",$H1061="Mahsup"),"",$G1061&amp;"|"&amp;COUNTIFS($G$7:$G1061,$G1061,$H$7:$H1061,"&lt;&gt;Mahsup"))</f>
        <v/>
      </c>
    </row>
    <row r="1062" spans="1:21" ht="18" customHeight="1" x14ac:dyDescent="0.3">
      <c r="A1062" s="2"/>
      <c r="B1062" s="65" t="str">
        <f>IF($D1062="","","T"&amp;TEXT(ROW()-6,"00000"))</f>
        <v/>
      </c>
      <c r="C1062" s="65" t="str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61"/>
      <c r="E1062" s="66"/>
      <c r="F1062" s="67"/>
      <c r="G1062" s="60"/>
      <c r="H1062" s="60"/>
      <c r="I1062" s="61"/>
      <c r="J1062" s="61"/>
      <c r="K1062" s="61"/>
      <c r="L1062" s="73" t="str">
        <f>IF($E1062="","",DATE(YEAR($E1062),MONTH($E1062),1))</f>
        <v/>
      </c>
      <c r="M1062" s="65" t="str">
        <f ca="1">IF($D1062="","",IF($C1062="TANIMSIZ MÜŞTERİ","HATA",IF(OR($E1062="",$F1062&lt;=0,$G1062=""),"EKSİK",IF($E1062&gt;TODAY(),"İLERİ TARİH",IF(COUNTIF($S$7:$S$2503,$S1062)&gt;1,"MÜKERRER?",IF($T1062&gt;0,"KAPALI DÖNEM","UYGUN"))))))</f>
        <v/>
      </c>
      <c r="N1062" s="74" t="str">
        <f>IF($C1062="","",IF($C1062="TANIMSIZ MÜŞTERİ","—",INDEX(MUSTERILER!$C$7:$C$156,MATCH($C1062,MUSTERILER!$B$7:$B$156,0))))</f>
        <v/>
      </c>
      <c r="O1062" s="2"/>
      <c r="P1062" s="2"/>
      <c r="Q1062" s="1" t="str">
        <f>IF($D1062="","",$C1062&amp;"|"&amp;COUNTIFS($C$7:$C1062,$C1062))</f>
        <v/>
      </c>
      <c r="R1062" s="1" t="str">
        <f t="shared" si="32"/>
        <v/>
      </c>
      <c r="S1062" s="1" t="str">
        <f t="shared" si="33"/>
        <v/>
      </c>
      <c r="T1062" s="1">
        <f>IF($E1062="",0,SUMPRODUCT((AY_SONU!$O$7:$O$42="Evet")*(AY_SONU!$B$7:$B$42=DATE(YEAR($E1062),MONTH($E1062),1))))</f>
        <v>0</v>
      </c>
      <c r="U1062" s="1" t="str">
        <f>IF(OR($G1062="",$H1062="Mahsup"),"",$G1062&amp;"|"&amp;COUNTIFS($G$7:$G1062,$G1062,$H$7:$H1062,"&lt;&gt;Mahsup"))</f>
        <v/>
      </c>
    </row>
    <row r="1063" spans="1:21" ht="18" customHeight="1" x14ac:dyDescent="0.3">
      <c r="A1063" s="2"/>
      <c r="B1063" s="65" t="str">
        <f>IF($D1063="","","T"&amp;TEXT(ROW()-6,"00000"))</f>
        <v/>
      </c>
      <c r="C1063" s="65" t="str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61"/>
      <c r="E1063" s="66"/>
      <c r="F1063" s="67"/>
      <c r="G1063" s="60"/>
      <c r="H1063" s="60"/>
      <c r="I1063" s="61"/>
      <c r="J1063" s="61"/>
      <c r="K1063" s="61"/>
      <c r="L1063" s="73" t="str">
        <f>IF($E1063="","",DATE(YEAR($E1063),MONTH($E1063),1))</f>
        <v/>
      </c>
      <c r="M1063" s="65" t="str">
        <f ca="1">IF($D1063="","",IF($C1063="TANIMSIZ MÜŞTERİ","HATA",IF(OR($E1063="",$F1063&lt;=0,$G1063=""),"EKSİK",IF($E1063&gt;TODAY(),"İLERİ TARİH",IF(COUNTIF($S$7:$S$2503,$S1063)&gt;1,"MÜKERRER?",IF($T1063&gt;0,"KAPALI DÖNEM","UYGUN"))))))</f>
        <v/>
      </c>
      <c r="N1063" s="74" t="str">
        <f>IF($C1063="","",IF($C1063="TANIMSIZ MÜŞTERİ","—",INDEX(MUSTERILER!$C$7:$C$156,MATCH($C1063,MUSTERILER!$B$7:$B$156,0))))</f>
        <v/>
      </c>
      <c r="O1063" s="2"/>
      <c r="P1063" s="2"/>
      <c r="Q1063" s="1" t="str">
        <f>IF($D1063="","",$C1063&amp;"|"&amp;COUNTIFS($C$7:$C1063,$C1063))</f>
        <v/>
      </c>
      <c r="R1063" s="1" t="str">
        <f t="shared" si="32"/>
        <v/>
      </c>
      <c r="S1063" s="1" t="str">
        <f t="shared" si="33"/>
        <v/>
      </c>
      <c r="T1063" s="1">
        <f>IF($E1063="",0,SUMPRODUCT((AY_SONU!$O$7:$O$42="Evet")*(AY_SONU!$B$7:$B$42=DATE(YEAR($E1063),MONTH($E1063),1))))</f>
        <v>0</v>
      </c>
      <c r="U1063" s="1" t="str">
        <f>IF(OR($G1063="",$H1063="Mahsup"),"",$G1063&amp;"|"&amp;COUNTIFS($G$7:$G1063,$G1063,$H$7:$H1063,"&lt;&gt;Mahsup"))</f>
        <v/>
      </c>
    </row>
    <row r="1064" spans="1:21" ht="18" customHeight="1" x14ac:dyDescent="0.3">
      <c r="A1064" s="2"/>
      <c r="B1064" s="65" t="str">
        <f>IF($D1064="","","T"&amp;TEXT(ROW()-6,"00000"))</f>
        <v/>
      </c>
      <c r="C1064" s="65" t="str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61"/>
      <c r="E1064" s="66"/>
      <c r="F1064" s="67"/>
      <c r="G1064" s="60"/>
      <c r="H1064" s="60"/>
      <c r="I1064" s="61"/>
      <c r="J1064" s="61"/>
      <c r="K1064" s="61"/>
      <c r="L1064" s="73" t="str">
        <f>IF($E1064="","",DATE(YEAR($E1064),MONTH($E1064),1))</f>
        <v/>
      </c>
      <c r="M1064" s="65" t="str">
        <f ca="1">IF($D1064="","",IF($C1064="TANIMSIZ MÜŞTERİ","HATA",IF(OR($E1064="",$F1064&lt;=0,$G1064=""),"EKSİK",IF($E1064&gt;TODAY(),"İLERİ TARİH",IF(COUNTIF($S$7:$S$2503,$S1064)&gt;1,"MÜKERRER?",IF($T1064&gt;0,"KAPALI DÖNEM","UYGUN"))))))</f>
        <v/>
      </c>
      <c r="N1064" s="74" t="str">
        <f>IF($C1064="","",IF($C1064="TANIMSIZ MÜŞTERİ","—",INDEX(MUSTERILER!$C$7:$C$156,MATCH($C1064,MUSTERILER!$B$7:$B$156,0))))</f>
        <v/>
      </c>
      <c r="O1064" s="2"/>
      <c r="P1064" s="2"/>
      <c r="Q1064" s="1" t="str">
        <f>IF($D1064="","",$C1064&amp;"|"&amp;COUNTIFS($C$7:$C1064,$C1064))</f>
        <v/>
      </c>
      <c r="R1064" s="1" t="str">
        <f t="shared" si="32"/>
        <v/>
      </c>
      <c r="S1064" s="1" t="str">
        <f t="shared" si="33"/>
        <v/>
      </c>
      <c r="T1064" s="1">
        <f>IF($E1064="",0,SUMPRODUCT((AY_SONU!$O$7:$O$42="Evet")*(AY_SONU!$B$7:$B$42=DATE(YEAR($E1064),MONTH($E1064),1))))</f>
        <v>0</v>
      </c>
      <c r="U1064" s="1" t="str">
        <f>IF(OR($G1064="",$H1064="Mahsup"),"",$G1064&amp;"|"&amp;COUNTIFS($G$7:$G1064,$G1064,$H$7:$H1064,"&lt;&gt;Mahsup"))</f>
        <v/>
      </c>
    </row>
    <row r="1065" spans="1:21" ht="18" customHeight="1" x14ac:dyDescent="0.3">
      <c r="A1065" s="2"/>
      <c r="B1065" s="65" t="str">
        <f>IF($D1065="","","T"&amp;TEXT(ROW()-6,"00000"))</f>
        <v/>
      </c>
      <c r="C1065" s="65" t="str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61"/>
      <c r="E1065" s="66"/>
      <c r="F1065" s="67"/>
      <c r="G1065" s="60"/>
      <c r="H1065" s="60"/>
      <c r="I1065" s="61"/>
      <c r="J1065" s="61"/>
      <c r="K1065" s="61"/>
      <c r="L1065" s="73" t="str">
        <f>IF($E1065="","",DATE(YEAR($E1065),MONTH($E1065),1))</f>
        <v/>
      </c>
      <c r="M1065" s="65" t="str">
        <f ca="1">IF($D1065="","",IF($C1065="TANIMSIZ MÜŞTERİ","HATA",IF(OR($E1065="",$F1065&lt;=0,$G1065=""),"EKSİK",IF($E1065&gt;TODAY(),"İLERİ TARİH",IF(COUNTIF($S$7:$S$2503,$S1065)&gt;1,"MÜKERRER?",IF($T1065&gt;0,"KAPALI DÖNEM","UYGUN"))))))</f>
        <v/>
      </c>
      <c r="N1065" s="74" t="str">
        <f>IF($C1065="","",IF($C1065="TANIMSIZ MÜŞTERİ","—",INDEX(MUSTERILER!$C$7:$C$156,MATCH($C1065,MUSTERILER!$B$7:$B$156,0))))</f>
        <v/>
      </c>
      <c r="O1065" s="2"/>
      <c r="P1065" s="2"/>
      <c r="Q1065" s="1" t="str">
        <f>IF($D1065="","",$C1065&amp;"|"&amp;COUNTIFS($C$7:$C1065,$C1065))</f>
        <v/>
      </c>
      <c r="R1065" s="1" t="str">
        <f t="shared" si="32"/>
        <v/>
      </c>
      <c r="S1065" s="1" t="str">
        <f t="shared" si="33"/>
        <v/>
      </c>
      <c r="T1065" s="1">
        <f>IF($E1065="",0,SUMPRODUCT((AY_SONU!$O$7:$O$42="Evet")*(AY_SONU!$B$7:$B$42=DATE(YEAR($E1065),MONTH($E1065),1))))</f>
        <v>0</v>
      </c>
      <c r="U1065" s="1" t="str">
        <f>IF(OR($G1065="",$H1065="Mahsup"),"",$G1065&amp;"|"&amp;COUNTIFS($G$7:$G1065,$G1065,$H$7:$H1065,"&lt;&gt;Mahsup"))</f>
        <v/>
      </c>
    </row>
    <row r="1066" spans="1:21" ht="18" customHeight="1" x14ac:dyDescent="0.3">
      <c r="A1066" s="2"/>
      <c r="B1066" s="65" t="str">
        <f>IF($D1066="","","T"&amp;TEXT(ROW()-6,"00000"))</f>
        <v/>
      </c>
      <c r="C1066" s="65" t="str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61"/>
      <c r="E1066" s="66"/>
      <c r="F1066" s="67"/>
      <c r="G1066" s="60"/>
      <c r="H1066" s="60"/>
      <c r="I1066" s="61"/>
      <c r="J1066" s="61"/>
      <c r="K1066" s="61"/>
      <c r="L1066" s="73" t="str">
        <f>IF($E1066="","",DATE(YEAR($E1066),MONTH($E1066),1))</f>
        <v/>
      </c>
      <c r="M1066" s="65" t="str">
        <f ca="1">IF($D1066="","",IF($C1066="TANIMSIZ MÜŞTERİ","HATA",IF(OR($E1066="",$F1066&lt;=0,$G1066=""),"EKSİK",IF($E1066&gt;TODAY(),"İLERİ TARİH",IF(COUNTIF($S$7:$S$2503,$S1066)&gt;1,"MÜKERRER?",IF($T1066&gt;0,"KAPALI DÖNEM","UYGUN"))))))</f>
        <v/>
      </c>
      <c r="N1066" s="74" t="str">
        <f>IF($C1066="","",IF($C1066="TANIMSIZ MÜŞTERİ","—",INDEX(MUSTERILER!$C$7:$C$156,MATCH($C1066,MUSTERILER!$B$7:$B$156,0))))</f>
        <v/>
      </c>
      <c r="O1066" s="2"/>
      <c r="P1066" s="2"/>
      <c r="Q1066" s="1" t="str">
        <f>IF($D1066="","",$C1066&amp;"|"&amp;COUNTIFS($C$7:$C1066,$C1066))</f>
        <v/>
      </c>
      <c r="R1066" s="1" t="str">
        <f t="shared" si="32"/>
        <v/>
      </c>
      <c r="S1066" s="1" t="str">
        <f t="shared" si="33"/>
        <v/>
      </c>
      <c r="T1066" s="1">
        <f>IF($E1066="",0,SUMPRODUCT((AY_SONU!$O$7:$O$42="Evet")*(AY_SONU!$B$7:$B$42=DATE(YEAR($E1066),MONTH($E1066),1))))</f>
        <v>0</v>
      </c>
      <c r="U1066" s="1" t="str">
        <f>IF(OR($G1066="",$H1066="Mahsup"),"",$G1066&amp;"|"&amp;COUNTIFS($G$7:$G1066,$G1066,$H$7:$H1066,"&lt;&gt;Mahsup"))</f>
        <v/>
      </c>
    </row>
    <row r="1067" spans="1:21" ht="18" customHeight="1" x14ac:dyDescent="0.3">
      <c r="A1067" s="2"/>
      <c r="B1067" s="65" t="str">
        <f>IF($D1067="","","T"&amp;TEXT(ROW()-6,"00000"))</f>
        <v/>
      </c>
      <c r="C1067" s="65" t="str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61"/>
      <c r="E1067" s="66"/>
      <c r="F1067" s="67"/>
      <c r="G1067" s="60"/>
      <c r="H1067" s="60"/>
      <c r="I1067" s="61"/>
      <c r="J1067" s="61"/>
      <c r="K1067" s="61"/>
      <c r="L1067" s="73" t="str">
        <f>IF($E1067="","",DATE(YEAR($E1067),MONTH($E1067),1))</f>
        <v/>
      </c>
      <c r="M1067" s="65" t="str">
        <f ca="1">IF($D1067="","",IF($C1067="TANIMSIZ MÜŞTERİ","HATA",IF(OR($E1067="",$F1067&lt;=0,$G1067=""),"EKSİK",IF($E1067&gt;TODAY(),"İLERİ TARİH",IF(COUNTIF($S$7:$S$2503,$S1067)&gt;1,"MÜKERRER?",IF($T1067&gt;0,"KAPALI DÖNEM","UYGUN"))))))</f>
        <v/>
      </c>
      <c r="N1067" s="74" t="str">
        <f>IF($C1067="","",IF($C1067="TANIMSIZ MÜŞTERİ","—",INDEX(MUSTERILER!$C$7:$C$156,MATCH($C1067,MUSTERILER!$B$7:$B$156,0))))</f>
        <v/>
      </c>
      <c r="O1067" s="2"/>
      <c r="P1067" s="2"/>
      <c r="Q1067" s="1" t="str">
        <f>IF($D1067="","",$C1067&amp;"|"&amp;COUNTIFS($C$7:$C1067,$C1067))</f>
        <v/>
      </c>
      <c r="R1067" s="1" t="str">
        <f t="shared" si="32"/>
        <v/>
      </c>
      <c r="S1067" s="1" t="str">
        <f t="shared" si="33"/>
        <v/>
      </c>
      <c r="T1067" s="1">
        <f>IF($E1067="",0,SUMPRODUCT((AY_SONU!$O$7:$O$42="Evet")*(AY_SONU!$B$7:$B$42=DATE(YEAR($E1067),MONTH($E1067),1))))</f>
        <v>0</v>
      </c>
      <c r="U1067" s="1" t="str">
        <f>IF(OR($G1067="",$H1067="Mahsup"),"",$G1067&amp;"|"&amp;COUNTIFS($G$7:$G1067,$G1067,$H$7:$H1067,"&lt;&gt;Mahsup"))</f>
        <v/>
      </c>
    </row>
    <row r="1068" spans="1:21" ht="18" customHeight="1" x14ac:dyDescent="0.3">
      <c r="A1068" s="2"/>
      <c r="B1068" s="65" t="str">
        <f>IF($D1068="","","T"&amp;TEXT(ROW()-6,"00000"))</f>
        <v/>
      </c>
      <c r="C1068" s="65" t="str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61"/>
      <c r="E1068" s="66"/>
      <c r="F1068" s="67"/>
      <c r="G1068" s="60"/>
      <c r="H1068" s="60"/>
      <c r="I1068" s="61"/>
      <c r="J1068" s="61"/>
      <c r="K1068" s="61"/>
      <c r="L1068" s="73" t="str">
        <f>IF($E1068="","",DATE(YEAR($E1068),MONTH($E1068),1))</f>
        <v/>
      </c>
      <c r="M1068" s="65" t="str">
        <f ca="1">IF($D1068="","",IF($C1068="TANIMSIZ MÜŞTERİ","HATA",IF(OR($E1068="",$F1068&lt;=0,$G1068=""),"EKSİK",IF($E1068&gt;TODAY(),"İLERİ TARİH",IF(COUNTIF($S$7:$S$2503,$S1068)&gt;1,"MÜKERRER?",IF($T1068&gt;0,"KAPALI DÖNEM","UYGUN"))))))</f>
        <v/>
      </c>
      <c r="N1068" s="74" t="str">
        <f>IF($C1068="","",IF($C1068="TANIMSIZ MÜŞTERİ","—",INDEX(MUSTERILER!$C$7:$C$156,MATCH($C1068,MUSTERILER!$B$7:$B$156,0))))</f>
        <v/>
      </c>
      <c r="O1068" s="2"/>
      <c r="P1068" s="2"/>
      <c r="Q1068" s="1" t="str">
        <f>IF($D1068="","",$C1068&amp;"|"&amp;COUNTIFS($C$7:$C1068,$C1068))</f>
        <v/>
      </c>
      <c r="R1068" s="1" t="str">
        <f t="shared" si="32"/>
        <v/>
      </c>
      <c r="S1068" s="1" t="str">
        <f t="shared" si="33"/>
        <v/>
      </c>
      <c r="T1068" s="1">
        <f>IF($E1068="",0,SUMPRODUCT((AY_SONU!$O$7:$O$42="Evet")*(AY_SONU!$B$7:$B$42=DATE(YEAR($E1068),MONTH($E1068),1))))</f>
        <v>0</v>
      </c>
      <c r="U1068" s="1" t="str">
        <f>IF(OR($G1068="",$H1068="Mahsup"),"",$G1068&amp;"|"&amp;COUNTIFS($G$7:$G1068,$G1068,$H$7:$H1068,"&lt;&gt;Mahsup"))</f>
        <v/>
      </c>
    </row>
    <row r="1069" spans="1:21" ht="18" customHeight="1" x14ac:dyDescent="0.3">
      <c r="A1069" s="2"/>
      <c r="B1069" s="65" t="str">
        <f>IF($D1069="","","T"&amp;TEXT(ROW()-6,"00000"))</f>
        <v/>
      </c>
      <c r="C1069" s="65" t="str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61"/>
      <c r="E1069" s="66"/>
      <c r="F1069" s="67"/>
      <c r="G1069" s="60"/>
      <c r="H1069" s="60"/>
      <c r="I1069" s="61"/>
      <c r="J1069" s="61"/>
      <c r="K1069" s="61"/>
      <c r="L1069" s="73" t="str">
        <f>IF($E1069="","",DATE(YEAR($E1069),MONTH($E1069),1))</f>
        <v/>
      </c>
      <c r="M1069" s="65" t="str">
        <f ca="1">IF($D1069="","",IF($C1069="TANIMSIZ MÜŞTERİ","HATA",IF(OR($E1069="",$F1069&lt;=0,$G1069=""),"EKSİK",IF($E1069&gt;TODAY(),"İLERİ TARİH",IF(COUNTIF($S$7:$S$2503,$S1069)&gt;1,"MÜKERRER?",IF($T1069&gt;0,"KAPALI DÖNEM","UYGUN"))))))</f>
        <v/>
      </c>
      <c r="N1069" s="74" t="str">
        <f>IF($C1069="","",IF($C1069="TANIMSIZ MÜŞTERİ","—",INDEX(MUSTERILER!$C$7:$C$156,MATCH($C1069,MUSTERILER!$B$7:$B$156,0))))</f>
        <v/>
      </c>
      <c r="O1069" s="2"/>
      <c r="P1069" s="2"/>
      <c r="Q1069" s="1" t="str">
        <f>IF($D1069="","",$C1069&amp;"|"&amp;COUNTIFS($C$7:$C1069,$C1069))</f>
        <v/>
      </c>
      <c r="R1069" s="1" t="str">
        <f t="shared" si="32"/>
        <v/>
      </c>
      <c r="S1069" s="1" t="str">
        <f t="shared" si="33"/>
        <v/>
      </c>
      <c r="T1069" s="1">
        <f>IF($E1069="",0,SUMPRODUCT((AY_SONU!$O$7:$O$42="Evet")*(AY_SONU!$B$7:$B$42=DATE(YEAR($E1069),MONTH($E1069),1))))</f>
        <v>0</v>
      </c>
      <c r="U1069" s="1" t="str">
        <f>IF(OR($G1069="",$H1069="Mahsup"),"",$G1069&amp;"|"&amp;COUNTIFS($G$7:$G1069,$G1069,$H$7:$H1069,"&lt;&gt;Mahsup"))</f>
        <v/>
      </c>
    </row>
    <row r="1070" spans="1:21" ht="18" customHeight="1" x14ac:dyDescent="0.3">
      <c r="A1070" s="2"/>
      <c r="B1070" s="65" t="str">
        <f>IF($D1070="","","T"&amp;TEXT(ROW()-6,"00000"))</f>
        <v/>
      </c>
      <c r="C1070" s="65" t="str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61"/>
      <c r="E1070" s="66"/>
      <c r="F1070" s="67"/>
      <c r="G1070" s="60"/>
      <c r="H1070" s="60"/>
      <c r="I1070" s="61"/>
      <c r="J1070" s="61"/>
      <c r="K1070" s="61"/>
      <c r="L1070" s="73" t="str">
        <f>IF($E1070="","",DATE(YEAR($E1070),MONTH($E1070),1))</f>
        <v/>
      </c>
      <c r="M1070" s="65" t="str">
        <f ca="1">IF($D1070="","",IF($C1070="TANIMSIZ MÜŞTERİ","HATA",IF(OR($E1070="",$F1070&lt;=0,$G1070=""),"EKSİK",IF($E1070&gt;TODAY(),"İLERİ TARİH",IF(COUNTIF($S$7:$S$2503,$S1070)&gt;1,"MÜKERRER?",IF($T1070&gt;0,"KAPALI DÖNEM","UYGUN"))))))</f>
        <v/>
      </c>
      <c r="N1070" s="74" t="str">
        <f>IF($C1070="","",IF($C1070="TANIMSIZ MÜŞTERİ","—",INDEX(MUSTERILER!$C$7:$C$156,MATCH($C1070,MUSTERILER!$B$7:$B$156,0))))</f>
        <v/>
      </c>
      <c r="O1070" s="2"/>
      <c r="P1070" s="2"/>
      <c r="Q1070" s="1" t="str">
        <f>IF($D1070="","",$C1070&amp;"|"&amp;COUNTIFS($C$7:$C1070,$C1070))</f>
        <v/>
      </c>
      <c r="R1070" s="1" t="str">
        <f t="shared" si="32"/>
        <v/>
      </c>
      <c r="S1070" s="1" t="str">
        <f t="shared" si="33"/>
        <v/>
      </c>
      <c r="T1070" s="1">
        <f>IF($E1070="",0,SUMPRODUCT((AY_SONU!$O$7:$O$42="Evet")*(AY_SONU!$B$7:$B$42=DATE(YEAR($E1070),MONTH($E1070),1))))</f>
        <v>0</v>
      </c>
      <c r="U1070" s="1" t="str">
        <f>IF(OR($G1070="",$H1070="Mahsup"),"",$G1070&amp;"|"&amp;COUNTIFS($G$7:$G1070,$G1070,$H$7:$H1070,"&lt;&gt;Mahsup"))</f>
        <v/>
      </c>
    </row>
    <row r="1071" spans="1:21" ht="18" customHeight="1" x14ac:dyDescent="0.3">
      <c r="A1071" s="2"/>
      <c r="B1071" s="65" t="str">
        <f>IF($D1071="","","T"&amp;TEXT(ROW()-6,"00000"))</f>
        <v/>
      </c>
      <c r="C1071" s="65" t="str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61"/>
      <c r="E1071" s="66"/>
      <c r="F1071" s="67"/>
      <c r="G1071" s="60"/>
      <c r="H1071" s="60"/>
      <c r="I1071" s="61"/>
      <c r="J1071" s="61"/>
      <c r="K1071" s="61"/>
      <c r="L1071" s="73" t="str">
        <f>IF($E1071="","",DATE(YEAR($E1071),MONTH($E1071),1))</f>
        <v/>
      </c>
      <c r="M1071" s="65" t="str">
        <f ca="1">IF($D1071="","",IF($C1071="TANIMSIZ MÜŞTERİ","HATA",IF(OR($E1071="",$F1071&lt;=0,$G1071=""),"EKSİK",IF($E1071&gt;TODAY(),"İLERİ TARİH",IF(COUNTIF($S$7:$S$2503,$S1071)&gt;1,"MÜKERRER?",IF($T1071&gt;0,"KAPALI DÖNEM","UYGUN"))))))</f>
        <v/>
      </c>
      <c r="N1071" s="74" t="str">
        <f>IF($C1071="","",IF($C1071="TANIMSIZ MÜŞTERİ","—",INDEX(MUSTERILER!$C$7:$C$156,MATCH($C1071,MUSTERILER!$B$7:$B$156,0))))</f>
        <v/>
      </c>
      <c r="O1071" s="2"/>
      <c r="P1071" s="2"/>
      <c r="Q1071" s="1" t="str">
        <f>IF($D1071="","",$C1071&amp;"|"&amp;COUNTIFS($C$7:$C1071,$C1071))</f>
        <v/>
      </c>
      <c r="R1071" s="1" t="str">
        <f t="shared" si="32"/>
        <v/>
      </c>
      <c r="S1071" s="1" t="str">
        <f t="shared" si="33"/>
        <v/>
      </c>
      <c r="T1071" s="1">
        <f>IF($E1071="",0,SUMPRODUCT((AY_SONU!$O$7:$O$42="Evet")*(AY_SONU!$B$7:$B$42=DATE(YEAR($E1071),MONTH($E1071),1))))</f>
        <v>0</v>
      </c>
      <c r="U1071" s="1" t="str">
        <f>IF(OR($G1071="",$H1071="Mahsup"),"",$G1071&amp;"|"&amp;COUNTIFS($G$7:$G1071,$G1071,$H$7:$H1071,"&lt;&gt;Mahsup"))</f>
        <v/>
      </c>
    </row>
    <row r="1072" spans="1:21" ht="18" customHeight="1" x14ac:dyDescent="0.3">
      <c r="A1072" s="2"/>
      <c r="B1072" s="65" t="str">
        <f>IF($D1072="","","T"&amp;TEXT(ROW()-6,"00000"))</f>
        <v/>
      </c>
      <c r="C1072" s="65" t="str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61"/>
      <c r="E1072" s="66"/>
      <c r="F1072" s="67"/>
      <c r="G1072" s="60"/>
      <c r="H1072" s="60"/>
      <c r="I1072" s="61"/>
      <c r="J1072" s="61"/>
      <c r="K1072" s="61"/>
      <c r="L1072" s="73" t="str">
        <f>IF($E1072="","",DATE(YEAR($E1072),MONTH($E1072),1))</f>
        <v/>
      </c>
      <c r="M1072" s="65" t="str">
        <f ca="1">IF($D1072="","",IF($C1072="TANIMSIZ MÜŞTERİ","HATA",IF(OR($E1072="",$F1072&lt;=0,$G1072=""),"EKSİK",IF($E1072&gt;TODAY(),"İLERİ TARİH",IF(COUNTIF($S$7:$S$2503,$S1072)&gt;1,"MÜKERRER?",IF($T1072&gt;0,"KAPALI DÖNEM","UYGUN"))))))</f>
        <v/>
      </c>
      <c r="N1072" s="74" t="str">
        <f>IF($C1072="","",IF($C1072="TANIMSIZ MÜŞTERİ","—",INDEX(MUSTERILER!$C$7:$C$156,MATCH($C1072,MUSTERILER!$B$7:$B$156,0))))</f>
        <v/>
      </c>
      <c r="O1072" s="2"/>
      <c r="P1072" s="2"/>
      <c r="Q1072" s="1" t="str">
        <f>IF($D1072="","",$C1072&amp;"|"&amp;COUNTIFS($C$7:$C1072,$C1072))</f>
        <v/>
      </c>
      <c r="R1072" s="1" t="str">
        <f t="shared" si="32"/>
        <v/>
      </c>
      <c r="S1072" s="1" t="str">
        <f t="shared" si="33"/>
        <v/>
      </c>
      <c r="T1072" s="1">
        <f>IF($E1072="",0,SUMPRODUCT((AY_SONU!$O$7:$O$42="Evet")*(AY_SONU!$B$7:$B$42=DATE(YEAR($E1072),MONTH($E1072),1))))</f>
        <v>0</v>
      </c>
      <c r="U1072" s="1" t="str">
        <f>IF(OR($G1072="",$H1072="Mahsup"),"",$G1072&amp;"|"&amp;COUNTIFS($G$7:$G1072,$G1072,$H$7:$H1072,"&lt;&gt;Mahsup"))</f>
        <v/>
      </c>
    </row>
    <row r="1073" spans="1:21" ht="18" customHeight="1" x14ac:dyDescent="0.3">
      <c r="A1073" s="2"/>
      <c r="B1073" s="65" t="str">
        <f>IF($D1073="","","T"&amp;TEXT(ROW()-6,"00000"))</f>
        <v/>
      </c>
      <c r="C1073" s="65" t="str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61"/>
      <c r="E1073" s="66"/>
      <c r="F1073" s="67"/>
      <c r="G1073" s="60"/>
      <c r="H1073" s="60"/>
      <c r="I1073" s="61"/>
      <c r="J1073" s="61"/>
      <c r="K1073" s="61"/>
      <c r="L1073" s="73" t="str">
        <f>IF($E1073="","",DATE(YEAR($E1073),MONTH($E1073),1))</f>
        <v/>
      </c>
      <c r="M1073" s="65" t="str">
        <f ca="1">IF($D1073="","",IF($C1073="TANIMSIZ MÜŞTERİ","HATA",IF(OR($E1073="",$F1073&lt;=0,$G1073=""),"EKSİK",IF($E1073&gt;TODAY(),"İLERİ TARİH",IF(COUNTIF($S$7:$S$2503,$S1073)&gt;1,"MÜKERRER?",IF($T1073&gt;0,"KAPALI DÖNEM","UYGUN"))))))</f>
        <v/>
      </c>
      <c r="N1073" s="74" t="str">
        <f>IF($C1073="","",IF($C1073="TANIMSIZ MÜŞTERİ","—",INDEX(MUSTERILER!$C$7:$C$156,MATCH($C1073,MUSTERILER!$B$7:$B$156,0))))</f>
        <v/>
      </c>
      <c r="O1073" s="2"/>
      <c r="P1073" s="2"/>
      <c r="Q1073" s="1" t="str">
        <f>IF($D1073="","",$C1073&amp;"|"&amp;COUNTIFS($C$7:$C1073,$C1073))</f>
        <v/>
      </c>
      <c r="R1073" s="1" t="str">
        <f t="shared" si="32"/>
        <v/>
      </c>
      <c r="S1073" s="1" t="str">
        <f t="shared" si="33"/>
        <v/>
      </c>
      <c r="T1073" s="1">
        <f>IF($E1073="",0,SUMPRODUCT((AY_SONU!$O$7:$O$42="Evet")*(AY_SONU!$B$7:$B$42=DATE(YEAR($E1073),MONTH($E1073),1))))</f>
        <v>0</v>
      </c>
      <c r="U1073" s="1" t="str">
        <f>IF(OR($G1073="",$H1073="Mahsup"),"",$G1073&amp;"|"&amp;COUNTIFS($G$7:$G1073,$G1073,$H$7:$H1073,"&lt;&gt;Mahsup"))</f>
        <v/>
      </c>
    </row>
    <row r="1074" spans="1:21" ht="18" customHeight="1" x14ac:dyDescent="0.3">
      <c r="A1074" s="2"/>
      <c r="B1074" s="65" t="str">
        <f>IF($D1074="","","T"&amp;TEXT(ROW()-6,"00000"))</f>
        <v/>
      </c>
      <c r="C1074" s="65" t="str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61"/>
      <c r="E1074" s="66"/>
      <c r="F1074" s="67"/>
      <c r="G1074" s="60"/>
      <c r="H1074" s="60"/>
      <c r="I1074" s="61"/>
      <c r="J1074" s="61"/>
      <c r="K1074" s="61"/>
      <c r="L1074" s="73" t="str">
        <f>IF($E1074="","",DATE(YEAR($E1074),MONTH($E1074),1))</f>
        <v/>
      </c>
      <c r="M1074" s="65" t="str">
        <f ca="1">IF($D1074="","",IF($C1074="TANIMSIZ MÜŞTERİ","HATA",IF(OR($E1074="",$F1074&lt;=0,$G1074=""),"EKSİK",IF($E1074&gt;TODAY(),"İLERİ TARİH",IF(COUNTIF($S$7:$S$2503,$S1074)&gt;1,"MÜKERRER?",IF($T1074&gt;0,"KAPALI DÖNEM","UYGUN"))))))</f>
        <v/>
      </c>
      <c r="N1074" s="74" t="str">
        <f>IF($C1074="","",IF($C1074="TANIMSIZ MÜŞTERİ","—",INDEX(MUSTERILER!$C$7:$C$156,MATCH($C1074,MUSTERILER!$B$7:$B$156,0))))</f>
        <v/>
      </c>
      <c r="O1074" s="2"/>
      <c r="P1074" s="2"/>
      <c r="Q1074" s="1" t="str">
        <f>IF($D1074="","",$C1074&amp;"|"&amp;COUNTIFS($C$7:$C1074,$C1074))</f>
        <v/>
      </c>
      <c r="R1074" s="1" t="str">
        <f t="shared" si="32"/>
        <v/>
      </c>
      <c r="S1074" s="1" t="str">
        <f t="shared" si="33"/>
        <v/>
      </c>
      <c r="T1074" s="1">
        <f>IF($E1074="",0,SUMPRODUCT((AY_SONU!$O$7:$O$42="Evet")*(AY_SONU!$B$7:$B$42=DATE(YEAR($E1074),MONTH($E1074),1))))</f>
        <v>0</v>
      </c>
      <c r="U1074" s="1" t="str">
        <f>IF(OR($G1074="",$H1074="Mahsup"),"",$G1074&amp;"|"&amp;COUNTIFS($G$7:$G1074,$G1074,$H$7:$H1074,"&lt;&gt;Mahsup"))</f>
        <v/>
      </c>
    </row>
    <row r="1075" spans="1:21" ht="18" customHeight="1" x14ac:dyDescent="0.3">
      <c r="A1075" s="2"/>
      <c r="B1075" s="65" t="str">
        <f>IF($D1075="","","T"&amp;TEXT(ROW()-6,"00000"))</f>
        <v/>
      </c>
      <c r="C1075" s="65" t="str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61"/>
      <c r="E1075" s="66"/>
      <c r="F1075" s="67"/>
      <c r="G1075" s="60"/>
      <c r="H1075" s="60"/>
      <c r="I1075" s="61"/>
      <c r="J1075" s="61"/>
      <c r="K1075" s="61"/>
      <c r="L1075" s="73" t="str">
        <f>IF($E1075="","",DATE(YEAR($E1075),MONTH($E1075),1))</f>
        <v/>
      </c>
      <c r="M1075" s="65" t="str">
        <f ca="1">IF($D1075="","",IF($C1075="TANIMSIZ MÜŞTERİ","HATA",IF(OR($E1075="",$F1075&lt;=0,$G1075=""),"EKSİK",IF($E1075&gt;TODAY(),"İLERİ TARİH",IF(COUNTIF($S$7:$S$2503,$S1075)&gt;1,"MÜKERRER?",IF($T1075&gt;0,"KAPALI DÖNEM","UYGUN"))))))</f>
        <v/>
      </c>
      <c r="N1075" s="74" t="str">
        <f>IF($C1075="","",IF($C1075="TANIMSIZ MÜŞTERİ","—",INDEX(MUSTERILER!$C$7:$C$156,MATCH($C1075,MUSTERILER!$B$7:$B$156,0))))</f>
        <v/>
      </c>
      <c r="O1075" s="2"/>
      <c r="P1075" s="2"/>
      <c r="Q1075" s="1" t="str">
        <f>IF($D1075="","",$C1075&amp;"|"&amp;COUNTIFS($C$7:$C1075,$C1075))</f>
        <v/>
      </c>
      <c r="R1075" s="1" t="str">
        <f t="shared" si="32"/>
        <v/>
      </c>
      <c r="S1075" s="1" t="str">
        <f t="shared" si="33"/>
        <v/>
      </c>
      <c r="T1075" s="1">
        <f>IF($E1075="",0,SUMPRODUCT((AY_SONU!$O$7:$O$42="Evet")*(AY_SONU!$B$7:$B$42=DATE(YEAR($E1075),MONTH($E1075),1))))</f>
        <v>0</v>
      </c>
      <c r="U1075" s="1" t="str">
        <f>IF(OR($G1075="",$H1075="Mahsup"),"",$G1075&amp;"|"&amp;COUNTIFS($G$7:$G1075,$G1075,$H$7:$H1075,"&lt;&gt;Mahsup"))</f>
        <v/>
      </c>
    </row>
    <row r="1076" spans="1:21" ht="18" customHeight="1" x14ac:dyDescent="0.3">
      <c r="A1076" s="2"/>
      <c r="B1076" s="65" t="str">
        <f>IF($D1076="","","T"&amp;TEXT(ROW()-6,"00000"))</f>
        <v/>
      </c>
      <c r="C1076" s="65" t="str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61"/>
      <c r="E1076" s="66"/>
      <c r="F1076" s="67"/>
      <c r="G1076" s="60"/>
      <c r="H1076" s="60"/>
      <c r="I1076" s="61"/>
      <c r="J1076" s="61"/>
      <c r="K1076" s="61"/>
      <c r="L1076" s="73" t="str">
        <f>IF($E1076="","",DATE(YEAR($E1076),MONTH($E1076),1))</f>
        <v/>
      </c>
      <c r="M1076" s="65" t="str">
        <f ca="1">IF($D1076="","",IF($C1076="TANIMSIZ MÜŞTERİ","HATA",IF(OR($E1076="",$F1076&lt;=0,$G1076=""),"EKSİK",IF($E1076&gt;TODAY(),"İLERİ TARİH",IF(COUNTIF($S$7:$S$2503,$S1076)&gt;1,"MÜKERRER?",IF($T1076&gt;0,"KAPALI DÖNEM","UYGUN"))))))</f>
        <v/>
      </c>
      <c r="N1076" s="74" t="str">
        <f>IF($C1076="","",IF($C1076="TANIMSIZ MÜŞTERİ","—",INDEX(MUSTERILER!$C$7:$C$156,MATCH($C1076,MUSTERILER!$B$7:$B$156,0))))</f>
        <v/>
      </c>
      <c r="O1076" s="2"/>
      <c r="P1076" s="2"/>
      <c r="Q1076" s="1" t="str">
        <f>IF($D1076="","",$C1076&amp;"|"&amp;COUNTIFS($C$7:$C1076,$C1076))</f>
        <v/>
      </c>
      <c r="R1076" s="1" t="str">
        <f t="shared" si="32"/>
        <v/>
      </c>
      <c r="S1076" s="1" t="str">
        <f t="shared" si="33"/>
        <v/>
      </c>
      <c r="T1076" s="1">
        <f>IF($E1076="",0,SUMPRODUCT((AY_SONU!$O$7:$O$42="Evet")*(AY_SONU!$B$7:$B$42=DATE(YEAR($E1076),MONTH($E1076),1))))</f>
        <v>0</v>
      </c>
      <c r="U1076" s="1" t="str">
        <f>IF(OR($G1076="",$H1076="Mahsup"),"",$G1076&amp;"|"&amp;COUNTIFS($G$7:$G1076,$G1076,$H$7:$H1076,"&lt;&gt;Mahsup"))</f>
        <v/>
      </c>
    </row>
    <row r="1077" spans="1:21" ht="18" customHeight="1" x14ac:dyDescent="0.3">
      <c r="A1077" s="2"/>
      <c r="B1077" s="65" t="str">
        <f>IF($D1077="","","T"&amp;TEXT(ROW()-6,"00000"))</f>
        <v/>
      </c>
      <c r="C1077" s="65" t="str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61"/>
      <c r="E1077" s="66"/>
      <c r="F1077" s="67"/>
      <c r="G1077" s="60"/>
      <c r="H1077" s="60"/>
      <c r="I1077" s="61"/>
      <c r="J1077" s="61"/>
      <c r="K1077" s="61"/>
      <c r="L1077" s="73" t="str">
        <f>IF($E1077="","",DATE(YEAR($E1077),MONTH($E1077),1))</f>
        <v/>
      </c>
      <c r="M1077" s="65" t="str">
        <f ca="1">IF($D1077="","",IF($C1077="TANIMSIZ MÜŞTERİ","HATA",IF(OR($E1077="",$F1077&lt;=0,$G1077=""),"EKSİK",IF($E1077&gt;TODAY(),"İLERİ TARİH",IF(COUNTIF($S$7:$S$2503,$S1077)&gt;1,"MÜKERRER?",IF($T1077&gt;0,"KAPALI DÖNEM","UYGUN"))))))</f>
        <v/>
      </c>
      <c r="N1077" s="74" t="str">
        <f>IF($C1077="","",IF($C1077="TANIMSIZ MÜŞTERİ","—",INDEX(MUSTERILER!$C$7:$C$156,MATCH($C1077,MUSTERILER!$B$7:$B$156,0))))</f>
        <v/>
      </c>
      <c r="O1077" s="2"/>
      <c r="P1077" s="2"/>
      <c r="Q1077" s="1" t="str">
        <f>IF($D1077="","",$C1077&amp;"|"&amp;COUNTIFS($C$7:$C1077,$C1077))</f>
        <v/>
      </c>
      <c r="R1077" s="1" t="str">
        <f t="shared" si="32"/>
        <v/>
      </c>
      <c r="S1077" s="1" t="str">
        <f t="shared" si="33"/>
        <v/>
      </c>
      <c r="T1077" s="1">
        <f>IF($E1077="",0,SUMPRODUCT((AY_SONU!$O$7:$O$42="Evet")*(AY_SONU!$B$7:$B$42=DATE(YEAR($E1077),MONTH($E1077),1))))</f>
        <v>0</v>
      </c>
      <c r="U1077" s="1" t="str">
        <f>IF(OR($G1077="",$H1077="Mahsup"),"",$G1077&amp;"|"&amp;COUNTIFS($G$7:$G1077,$G1077,$H$7:$H1077,"&lt;&gt;Mahsup"))</f>
        <v/>
      </c>
    </row>
    <row r="1078" spans="1:21" ht="18" customHeight="1" x14ac:dyDescent="0.3">
      <c r="A1078" s="2"/>
      <c r="B1078" s="65" t="str">
        <f>IF($D1078="","","T"&amp;TEXT(ROW()-6,"00000"))</f>
        <v/>
      </c>
      <c r="C1078" s="65" t="str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61"/>
      <c r="E1078" s="66"/>
      <c r="F1078" s="67"/>
      <c r="G1078" s="60"/>
      <c r="H1078" s="60"/>
      <c r="I1078" s="61"/>
      <c r="J1078" s="61"/>
      <c r="K1078" s="61"/>
      <c r="L1078" s="73" t="str">
        <f>IF($E1078="","",DATE(YEAR($E1078),MONTH($E1078),1))</f>
        <v/>
      </c>
      <c r="M1078" s="65" t="str">
        <f ca="1">IF($D1078="","",IF($C1078="TANIMSIZ MÜŞTERİ","HATA",IF(OR($E1078="",$F1078&lt;=0,$G1078=""),"EKSİK",IF($E1078&gt;TODAY(),"İLERİ TARİH",IF(COUNTIF($S$7:$S$2503,$S1078)&gt;1,"MÜKERRER?",IF($T1078&gt;0,"KAPALI DÖNEM","UYGUN"))))))</f>
        <v/>
      </c>
      <c r="N1078" s="74" t="str">
        <f>IF($C1078="","",IF($C1078="TANIMSIZ MÜŞTERİ","—",INDEX(MUSTERILER!$C$7:$C$156,MATCH($C1078,MUSTERILER!$B$7:$B$156,0))))</f>
        <v/>
      </c>
      <c r="O1078" s="2"/>
      <c r="P1078" s="2"/>
      <c r="Q1078" s="1" t="str">
        <f>IF($D1078="","",$C1078&amp;"|"&amp;COUNTIFS($C$7:$C1078,$C1078))</f>
        <v/>
      </c>
      <c r="R1078" s="1" t="str">
        <f t="shared" si="32"/>
        <v/>
      </c>
      <c r="S1078" s="1" t="str">
        <f t="shared" si="33"/>
        <v/>
      </c>
      <c r="T1078" s="1">
        <f>IF($E1078="",0,SUMPRODUCT((AY_SONU!$O$7:$O$42="Evet")*(AY_SONU!$B$7:$B$42=DATE(YEAR($E1078),MONTH($E1078),1))))</f>
        <v>0</v>
      </c>
      <c r="U1078" s="1" t="str">
        <f>IF(OR($G1078="",$H1078="Mahsup"),"",$G1078&amp;"|"&amp;COUNTIFS($G$7:$G1078,$G1078,$H$7:$H1078,"&lt;&gt;Mahsup"))</f>
        <v/>
      </c>
    </row>
    <row r="1079" spans="1:21" ht="18" customHeight="1" x14ac:dyDescent="0.3">
      <c r="A1079" s="2"/>
      <c r="B1079" s="65" t="str">
        <f>IF($D1079="","","T"&amp;TEXT(ROW()-6,"00000"))</f>
        <v/>
      </c>
      <c r="C1079" s="65" t="str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61"/>
      <c r="E1079" s="66"/>
      <c r="F1079" s="67"/>
      <c r="G1079" s="60"/>
      <c r="H1079" s="60"/>
      <c r="I1079" s="61"/>
      <c r="J1079" s="61"/>
      <c r="K1079" s="61"/>
      <c r="L1079" s="73" t="str">
        <f>IF($E1079="","",DATE(YEAR($E1079),MONTH($E1079),1))</f>
        <v/>
      </c>
      <c r="M1079" s="65" t="str">
        <f ca="1">IF($D1079="","",IF($C1079="TANIMSIZ MÜŞTERİ","HATA",IF(OR($E1079="",$F1079&lt;=0,$G1079=""),"EKSİK",IF($E1079&gt;TODAY(),"İLERİ TARİH",IF(COUNTIF($S$7:$S$2503,$S1079)&gt;1,"MÜKERRER?",IF($T1079&gt;0,"KAPALI DÖNEM","UYGUN"))))))</f>
        <v/>
      </c>
      <c r="N1079" s="74" t="str">
        <f>IF($C1079="","",IF($C1079="TANIMSIZ MÜŞTERİ","—",INDEX(MUSTERILER!$C$7:$C$156,MATCH($C1079,MUSTERILER!$B$7:$B$156,0))))</f>
        <v/>
      </c>
      <c r="O1079" s="2"/>
      <c r="P1079" s="2"/>
      <c r="Q1079" s="1" t="str">
        <f>IF($D1079="","",$C1079&amp;"|"&amp;COUNTIFS($C$7:$C1079,$C1079))</f>
        <v/>
      </c>
      <c r="R1079" s="1" t="str">
        <f t="shared" si="32"/>
        <v/>
      </c>
      <c r="S1079" s="1" t="str">
        <f t="shared" si="33"/>
        <v/>
      </c>
      <c r="T1079" s="1">
        <f>IF($E1079="",0,SUMPRODUCT((AY_SONU!$O$7:$O$42="Evet")*(AY_SONU!$B$7:$B$42=DATE(YEAR($E1079),MONTH($E1079),1))))</f>
        <v>0</v>
      </c>
      <c r="U1079" s="1" t="str">
        <f>IF(OR($G1079="",$H1079="Mahsup"),"",$G1079&amp;"|"&amp;COUNTIFS($G$7:$G1079,$G1079,$H$7:$H1079,"&lt;&gt;Mahsup"))</f>
        <v/>
      </c>
    </row>
    <row r="1080" spans="1:21" ht="18" customHeight="1" x14ac:dyDescent="0.3">
      <c r="A1080" s="2"/>
      <c r="B1080" s="65" t="str">
        <f>IF($D1080="","","T"&amp;TEXT(ROW()-6,"00000"))</f>
        <v/>
      </c>
      <c r="C1080" s="65" t="str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61"/>
      <c r="E1080" s="66"/>
      <c r="F1080" s="67"/>
      <c r="G1080" s="60"/>
      <c r="H1080" s="60"/>
      <c r="I1080" s="61"/>
      <c r="J1080" s="61"/>
      <c r="K1080" s="61"/>
      <c r="L1080" s="73" t="str">
        <f>IF($E1080="","",DATE(YEAR($E1080),MONTH($E1080),1))</f>
        <v/>
      </c>
      <c r="M1080" s="65" t="str">
        <f ca="1">IF($D1080="","",IF($C1080="TANIMSIZ MÜŞTERİ","HATA",IF(OR($E1080="",$F1080&lt;=0,$G1080=""),"EKSİK",IF($E1080&gt;TODAY(),"İLERİ TARİH",IF(COUNTIF($S$7:$S$2503,$S1080)&gt;1,"MÜKERRER?",IF($T1080&gt;0,"KAPALI DÖNEM","UYGUN"))))))</f>
        <v/>
      </c>
      <c r="N1080" s="74" t="str">
        <f>IF($C1080="","",IF($C1080="TANIMSIZ MÜŞTERİ","—",INDEX(MUSTERILER!$C$7:$C$156,MATCH($C1080,MUSTERILER!$B$7:$B$156,0))))</f>
        <v/>
      </c>
      <c r="O1080" s="2"/>
      <c r="P1080" s="2"/>
      <c r="Q1080" s="1" t="str">
        <f>IF($D1080="","",$C1080&amp;"|"&amp;COUNTIFS($C$7:$C1080,$C1080))</f>
        <v/>
      </c>
      <c r="R1080" s="1" t="str">
        <f t="shared" si="32"/>
        <v/>
      </c>
      <c r="S1080" s="1" t="str">
        <f t="shared" si="33"/>
        <v/>
      </c>
      <c r="T1080" s="1">
        <f>IF($E1080="",0,SUMPRODUCT((AY_SONU!$O$7:$O$42="Evet")*(AY_SONU!$B$7:$B$42=DATE(YEAR($E1080),MONTH($E1080),1))))</f>
        <v>0</v>
      </c>
      <c r="U1080" s="1" t="str">
        <f>IF(OR($G1080="",$H1080="Mahsup"),"",$G1080&amp;"|"&amp;COUNTIFS($G$7:$G1080,$G1080,$H$7:$H1080,"&lt;&gt;Mahsup"))</f>
        <v/>
      </c>
    </row>
    <row r="1081" spans="1:21" ht="18" customHeight="1" x14ac:dyDescent="0.3">
      <c r="A1081" s="2"/>
      <c r="B1081" s="65" t="str">
        <f>IF($D1081="","","T"&amp;TEXT(ROW()-6,"00000"))</f>
        <v/>
      </c>
      <c r="C1081" s="65" t="str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61"/>
      <c r="E1081" s="66"/>
      <c r="F1081" s="67"/>
      <c r="G1081" s="60"/>
      <c r="H1081" s="60"/>
      <c r="I1081" s="61"/>
      <c r="J1081" s="61"/>
      <c r="K1081" s="61"/>
      <c r="L1081" s="73" t="str">
        <f>IF($E1081="","",DATE(YEAR($E1081),MONTH($E1081),1))</f>
        <v/>
      </c>
      <c r="M1081" s="65" t="str">
        <f ca="1">IF($D1081="","",IF($C1081="TANIMSIZ MÜŞTERİ","HATA",IF(OR($E1081="",$F1081&lt;=0,$G1081=""),"EKSİK",IF($E1081&gt;TODAY(),"İLERİ TARİH",IF(COUNTIF($S$7:$S$2503,$S1081)&gt;1,"MÜKERRER?",IF($T1081&gt;0,"KAPALI DÖNEM","UYGUN"))))))</f>
        <v/>
      </c>
      <c r="N1081" s="74" t="str">
        <f>IF($C1081="","",IF($C1081="TANIMSIZ MÜŞTERİ","—",INDEX(MUSTERILER!$C$7:$C$156,MATCH($C1081,MUSTERILER!$B$7:$B$156,0))))</f>
        <v/>
      </c>
      <c r="O1081" s="2"/>
      <c r="P1081" s="2"/>
      <c r="Q1081" s="1" t="str">
        <f>IF($D1081="","",$C1081&amp;"|"&amp;COUNTIFS($C$7:$C1081,$C1081))</f>
        <v/>
      </c>
      <c r="R1081" s="1" t="str">
        <f t="shared" si="32"/>
        <v/>
      </c>
      <c r="S1081" s="1" t="str">
        <f t="shared" si="33"/>
        <v/>
      </c>
      <c r="T1081" s="1">
        <f>IF($E1081="",0,SUMPRODUCT((AY_SONU!$O$7:$O$42="Evet")*(AY_SONU!$B$7:$B$42=DATE(YEAR($E1081),MONTH($E1081),1))))</f>
        <v>0</v>
      </c>
      <c r="U1081" s="1" t="str">
        <f>IF(OR($G1081="",$H1081="Mahsup"),"",$G1081&amp;"|"&amp;COUNTIFS($G$7:$G1081,$G1081,$H$7:$H1081,"&lt;&gt;Mahsup"))</f>
        <v/>
      </c>
    </row>
    <row r="1082" spans="1:21" ht="18" customHeight="1" x14ac:dyDescent="0.3">
      <c r="A1082" s="2"/>
      <c r="B1082" s="65" t="str">
        <f>IF($D1082="","","T"&amp;TEXT(ROW()-6,"00000"))</f>
        <v/>
      </c>
      <c r="C1082" s="65" t="str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61"/>
      <c r="E1082" s="66"/>
      <c r="F1082" s="67"/>
      <c r="G1082" s="60"/>
      <c r="H1082" s="60"/>
      <c r="I1082" s="61"/>
      <c r="J1082" s="61"/>
      <c r="K1082" s="61"/>
      <c r="L1082" s="73" t="str">
        <f>IF($E1082="","",DATE(YEAR($E1082),MONTH($E1082),1))</f>
        <v/>
      </c>
      <c r="M1082" s="65" t="str">
        <f ca="1">IF($D1082="","",IF($C1082="TANIMSIZ MÜŞTERİ","HATA",IF(OR($E1082="",$F1082&lt;=0,$G1082=""),"EKSİK",IF($E1082&gt;TODAY(),"İLERİ TARİH",IF(COUNTIF($S$7:$S$2503,$S1082)&gt;1,"MÜKERRER?",IF($T1082&gt;0,"KAPALI DÖNEM","UYGUN"))))))</f>
        <v/>
      </c>
      <c r="N1082" s="74" t="str">
        <f>IF($C1082="","",IF($C1082="TANIMSIZ MÜŞTERİ","—",INDEX(MUSTERILER!$C$7:$C$156,MATCH($C1082,MUSTERILER!$B$7:$B$156,0))))</f>
        <v/>
      </c>
      <c r="O1082" s="2"/>
      <c r="P1082" s="2"/>
      <c r="Q1082" s="1" t="str">
        <f>IF($D1082="","",$C1082&amp;"|"&amp;COUNTIFS($C$7:$C1082,$C1082))</f>
        <v/>
      </c>
      <c r="R1082" s="1" t="str">
        <f t="shared" si="32"/>
        <v/>
      </c>
      <c r="S1082" s="1" t="str">
        <f t="shared" si="33"/>
        <v/>
      </c>
      <c r="T1082" s="1">
        <f>IF($E1082="",0,SUMPRODUCT((AY_SONU!$O$7:$O$42="Evet")*(AY_SONU!$B$7:$B$42=DATE(YEAR($E1082),MONTH($E1082),1))))</f>
        <v>0</v>
      </c>
      <c r="U1082" s="1" t="str">
        <f>IF(OR($G1082="",$H1082="Mahsup"),"",$G1082&amp;"|"&amp;COUNTIFS($G$7:$G1082,$G1082,$H$7:$H1082,"&lt;&gt;Mahsup"))</f>
        <v/>
      </c>
    </row>
    <row r="1083" spans="1:21" ht="18" customHeight="1" x14ac:dyDescent="0.3">
      <c r="A1083" s="2"/>
      <c r="B1083" s="65" t="str">
        <f>IF($D1083="","","T"&amp;TEXT(ROW()-6,"00000"))</f>
        <v/>
      </c>
      <c r="C1083" s="65" t="str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61"/>
      <c r="E1083" s="66"/>
      <c r="F1083" s="67"/>
      <c r="G1083" s="60"/>
      <c r="H1083" s="60"/>
      <c r="I1083" s="61"/>
      <c r="J1083" s="61"/>
      <c r="K1083" s="61"/>
      <c r="L1083" s="73" t="str">
        <f>IF($E1083="","",DATE(YEAR($E1083),MONTH($E1083),1))</f>
        <v/>
      </c>
      <c r="M1083" s="65" t="str">
        <f ca="1">IF($D1083="","",IF($C1083="TANIMSIZ MÜŞTERİ","HATA",IF(OR($E1083="",$F1083&lt;=0,$G1083=""),"EKSİK",IF($E1083&gt;TODAY(),"İLERİ TARİH",IF(COUNTIF($S$7:$S$2503,$S1083)&gt;1,"MÜKERRER?",IF($T1083&gt;0,"KAPALI DÖNEM","UYGUN"))))))</f>
        <v/>
      </c>
      <c r="N1083" s="74" t="str">
        <f>IF($C1083="","",IF($C1083="TANIMSIZ MÜŞTERİ","—",INDEX(MUSTERILER!$C$7:$C$156,MATCH($C1083,MUSTERILER!$B$7:$B$156,0))))</f>
        <v/>
      </c>
      <c r="O1083" s="2"/>
      <c r="P1083" s="2"/>
      <c r="Q1083" s="1" t="str">
        <f>IF($D1083="","",$C1083&amp;"|"&amp;COUNTIFS($C$7:$C1083,$C1083))</f>
        <v/>
      </c>
      <c r="R1083" s="1" t="str">
        <f t="shared" si="32"/>
        <v/>
      </c>
      <c r="S1083" s="1" t="str">
        <f t="shared" si="33"/>
        <v/>
      </c>
      <c r="T1083" s="1">
        <f>IF($E1083="",0,SUMPRODUCT((AY_SONU!$O$7:$O$42="Evet")*(AY_SONU!$B$7:$B$42=DATE(YEAR($E1083),MONTH($E1083),1))))</f>
        <v>0</v>
      </c>
      <c r="U1083" s="1" t="str">
        <f>IF(OR($G1083="",$H1083="Mahsup"),"",$G1083&amp;"|"&amp;COUNTIFS($G$7:$G1083,$G1083,$H$7:$H1083,"&lt;&gt;Mahsup"))</f>
        <v/>
      </c>
    </row>
    <row r="1084" spans="1:21" ht="18" customHeight="1" x14ac:dyDescent="0.3">
      <c r="A1084" s="2"/>
      <c r="B1084" s="65" t="str">
        <f>IF($D1084="","","T"&amp;TEXT(ROW()-6,"00000"))</f>
        <v/>
      </c>
      <c r="C1084" s="65" t="str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61"/>
      <c r="E1084" s="66"/>
      <c r="F1084" s="67"/>
      <c r="G1084" s="60"/>
      <c r="H1084" s="60"/>
      <c r="I1084" s="61"/>
      <c r="J1084" s="61"/>
      <c r="K1084" s="61"/>
      <c r="L1084" s="73" t="str">
        <f>IF($E1084="","",DATE(YEAR($E1084),MONTH($E1084),1))</f>
        <v/>
      </c>
      <c r="M1084" s="65" t="str">
        <f ca="1">IF($D1084="","",IF($C1084="TANIMSIZ MÜŞTERİ","HATA",IF(OR($E1084="",$F1084&lt;=0,$G1084=""),"EKSİK",IF($E1084&gt;TODAY(),"İLERİ TARİH",IF(COUNTIF($S$7:$S$2503,$S1084)&gt;1,"MÜKERRER?",IF($T1084&gt;0,"KAPALI DÖNEM","UYGUN"))))))</f>
        <v/>
      </c>
      <c r="N1084" s="74" t="str">
        <f>IF($C1084="","",IF($C1084="TANIMSIZ MÜŞTERİ","—",INDEX(MUSTERILER!$C$7:$C$156,MATCH($C1084,MUSTERILER!$B$7:$B$156,0))))</f>
        <v/>
      </c>
      <c r="O1084" s="2"/>
      <c r="P1084" s="2"/>
      <c r="Q1084" s="1" t="str">
        <f>IF($D1084="","",$C1084&amp;"|"&amp;COUNTIFS($C$7:$C1084,$C1084))</f>
        <v/>
      </c>
      <c r="R1084" s="1" t="str">
        <f t="shared" si="32"/>
        <v/>
      </c>
      <c r="S1084" s="1" t="str">
        <f t="shared" si="33"/>
        <v/>
      </c>
      <c r="T1084" s="1">
        <f>IF($E1084="",0,SUMPRODUCT((AY_SONU!$O$7:$O$42="Evet")*(AY_SONU!$B$7:$B$42=DATE(YEAR($E1084),MONTH($E1084),1))))</f>
        <v>0</v>
      </c>
      <c r="U1084" s="1" t="str">
        <f>IF(OR($G1084="",$H1084="Mahsup"),"",$G1084&amp;"|"&amp;COUNTIFS($G$7:$G1084,$G1084,$H$7:$H1084,"&lt;&gt;Mahsup"))</f>
        <v/>
      </c>
    </row>
    <row r="1085" spans="1:21" ht="18" customHeight="1" x14ac:dyDescent="0.3">
      <c r="A1085" s="2"/>
      <c r="B1085" s="65" t="str">
        <f>IF($D1085="","","T"&amp;TEXT(ROW()-6,"00000"))</f>
        <v/>
      </c>
      <c r="C1085" s="65" t="str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61"/>
      <c r="E1085" s="66"/>
      <c r="F1085" s="67"/>
      <c r="G1085" s="60"/>
      <c r="H1085" s="60"/>
      <c r="I1085" s="61"/>
      <c r="J1085" s="61"/>
      <c r="K1085" s="61"/>
      <c r="L1085" s="73" t="str">
        <f>IF($E1085="","",DATE(YEAR($E1085),MONTH($E1085),1))</f>
        <v/>
      </c>
      <c r="M1085" s="65" t="str">
        <f ca="1">IF($D1085="","",IF($C1085="TANIMSIZ MÜŞTERİ","HATA",IF(OR($E1085="",$F1085&lt;=0,$G1085=""),"EKSİK",IF($E1085&gt;TODAY(),"İLERİ TARİH",IF(COUNTIF($S$7:$S$2503,$S1085)&gt;1,"MÜKERRER?",IF($T1085&gt;0,"KAPALI DÖNEM","UYGUN"))))))</f>
        <v/>
      </c>
      <c r="N1085" s="74" t="str">
        <f>IF($C1085="","",IF($C1085="TANIMSIZ MÜŞTERİ","—",INDEX(MUSTERILER!$C$7:$C$156,MATCH($C1085,MUSTERILER!$B$7:$B$156,0))))</f>
        <v/>
      </c>
      <c r="O1085" s="2"/>
      <c r="P1085" s="2"/>
      <c r="Q1085" s="1" t="str">
        <f>IF($D1085="","",$C1085&amp;"|"&amp;COUNTIFS($C$7:$C1085,$C1085))</f>
        <v/>
      </c>
      <c r="R1085" s="1" t="str">
        <f t="shared" si="32"/>
        <v/>
      </c>
      <c r="S1085" s="1" t="str">
        <f t="shared" si="33"/>
        <v/>
      </c>
      <c r="T1085" s="1">
        <f>IF($E1085="",0,SUMPRODUCT((AY_SONU!$O$7:$O$42="Evet")*(AY_SONU!$B$7:$B$42=DATE(YEAR($E1085),MONTH($E1085),1))))</f>
        <v>0</v>
      </c>
      <c r="U1085" s="1" t="str">
        <f>IF(OR($G1085="",$H1085="Mahsup"),"",$G1085&amp;"|"&amp;COUNTIFS($G$7:$G1085,$G1085,$H$7:$H1085,"&lt;&gt;Mahsup"))</f>
        <v/>
      </c>
    </row>
    <row r="1086" spans="1:21" ht="18" customHeight="1" x14ac:dyDescent="0.3">
      <c r="A1086" s="2"/>
      <c r="B1086" s="65" t="str">
        <f>IF($D1086="","","T"&amp;TEXT(ROW()-6,"00000"))</f>
        <v/>
      </c>
      <c r="C1086" s="65" t="str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61"/>
      <c r="E1086" s="66"/>
      <c r="F1086" s="67"/>
      <c r="G1086" s="60"/>
      <c r="H1086" s="60"/>
      <c r="I1086" s="61"/>
      <c r="J1086" s="61"/>
      <c r="K1086" s="61"/>
      <c r="L1086" s="73" t="str">
        <f>IF($E1086="","",DATE(YEAR($E1086),MONTH($E1086),1))</f>
        <v/>
      </c>
      <c r="M1086" s="65" t="str">
        <f ca="1">IF($D1086="","",IF($C1086="TANIMSIZ MÜŞTERİ","HATA",IF(OR($E1086="",$F1086&lt;=0,$G1086=""),"EKSİK",IF($E1086&gt;TODAY(),"İLERİ TARİH",IF(COUNTIF($S$7:$S$2503,$S1086)&gt;1,"MÜKERRER?",IF($T1086&gt;0,"KAPALI DÖNEM","UYGUN"))))))</f>
        <v/>
      </c>
      <c r="N1086" s="74" t="str">
        <f>IF($C1086="","",IF($C1086="TANIMSIZ MÜŞTERİ","—",INDEX(MUSTERILER!$C$7:$C$156,MATCH($C1086,MUSTERILER!$B$7:$B$156,0))))</f>
        <v/>
      </c>
      <c r="O1086" s="2"/>
      <c r="P1086" s="2"/>
      <c r="Q1086" s="1" t="str">
        <f>IF($D1086="","",$C1086&amp;"|"&amp;COUNTIFS($C$7:$C1086,$C1086))</f>
        <v/>
      </c>
      <c r="R1086" s="1" t="str">
        <f t="shared" si="32"/>
        <v/>
      </c>
      <c r="S1086" s="1" t="str">
        <f t="shared" si="33"/>
        <v/>
      </c>
      <c r="T1086" s="1">
        <f>IF($E1086="",0,SUMPRODUCT((AY_SONU!$O$7:$O$42="Evet")*(AY_SONU!$B$7:$B$42=DATE(YEAR($E1086),MONTH($E1086),1))))</f>
        <v>0</v>
      </c>
      <c r="U1086" s="1" t="str">
        <f>IF(OR($G1086="",$H1086="Mahsup"),"",$G1086&amp;"|"&amp;COUNTIFS($G$7:$G1086,$G1086,$H$7:$H1086,"&lt;&gt;Mahsup"))</f>
        <v/>
      </c>
    </row>
    <row r="1087" spans="1:21" ht="18" customHeight="1" x14ac:dyDescent="0.3">
      <c r="A1087" s="2"/>
      <c r="B1087" s="65" t="str">
        <f>IF($D1087="","","T"&amp;TEXT(ROW()-6,"00000"))</f>
        <v/>
      </c>
      <c r="C1087" s="65" t="str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61"/>
      <c r="E1087" s="66"/>
      <c r="F1087" s="67"/>
      <c r="G1087" s="60"/>
      <c r="H1087" s="60"/>
      <c r="I1087" s="61"/>
      <c r="J1087" s="61"/>
      <c r="K1087" s="61"/>
      <c r="L1087" s="73" t="str">
        <f>IF($E1087="","",DATE(YEAR($E1087),MONTH($E1087),1))</f>
        <v/>
      </c>
      <c r="M1087" s="65" t="str">
        <f ca="1">IF($D1087="","",IF($C1087="TANIMSIZ MÜŞTERİ","HATA",IF(OR($E1087="",$F1087&lt;=0,$G1087=""),"EKSİK",IF($E1087&gt;TODAY(),"İLERİ TARİH",IF(COUNTIF($S$7:$S$2503,$S1087)&gt;1,"MÜKERRER?",IF($T1087&gt;0,"KAPALI DÖNEM","UYGUN"))))))</f>
        <v/>
      </c>
      <c r="N1087" s="74" t="str">
        <f>IF($C1087="","",IF($C1087="TANIMSIZ MÜŞTERİ","—",INDEX(MUSTERILER!$C$7:$C$156,MATCH($C1087,MUSTERILER!$B$7:$B$156,0))))</f>
        <v/>
      </c>
      <c r="O1087" s="2"/>
      <c r="P1087" s="2"/>
      <c r="Q1087" s="1" t="str">
        <f>IF($D1087="","",$C1087&amp;"|"&amp;COUNTIFS($C$7:$C1087,$C1087))</f>
        <v/>
      </c>
      <c r="R1087" s="1" t="str">
        <f t="shared" si="32"/>
        <v/>
      </c>
      <c r="S1087" s="1" t="str">
        <f t="shared" si="33"/>
        <v/>
      </c>
      <c r="T1087" s="1">
        <f>IF($E1087="",0,SUMPRODUCT((AY_SONU!$O$7:$O$42="Evet")*(AY_SONU!$B$7:$B$42=DATE(YEAR($E1087),MONTH($E1087),1))))</f>
        <v>0</v>
      </c>
      <c r="U1087" s="1" t="str">
        <f>IF(OR($G1087="",$H1087="Mahsup"),"",$G1087&amp;"|"&amp;COUNTIFS($G$7:$G1087,$G1087,$H$7:$H1087,"&lt;&gt;Mahsup"))</f>
        <v/>
      </c>
    </row>
    <row r="1088" spans="1:21" ht="18" customHeight="1" x14ac:dyDescent="0.3">
      <c r="A1088" s="2"/>
      <c r="B1088" s="65" t="str">
        <f>IF($D1088="","","T"&amp;TEXT(ROW()-6,"00000"))</f>
        <v/>
      </c>
      <c r="C1088" s="65" t="str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61"/>
      <c r="E1088" s="66"/>
      <c r="F1088" s="67"/>
      <c r="G1088" s="60"/>
      <c r="H1088" s="60"/>
      <c r="I1088" s="61"/>
      <c r="J1088" s="61"/>
      <c r="K1088" s="61"/>
      <c r="L1088" s="73" t="str">
        <f>IF($E1088="","",DATE(YEAR($E1088),MONTH($E1088),1))</f>
        <v/>
      </c>
      <c r="M1088" s="65" t="str">
        <f ca="1">IF($D1088="","",IF($C1088="TANIMSIZ MÜŞTERİ","HATA",IF(OR($E1088="",$F1088&lt;=0,$G1088=""),"EKSİK",IF($E1088&gt;TODAY(),"İLERİ TARİH",IF(COUNTIF($S$7:$S$2503,$S1088)&gt;1,"MÜKERRER?",IF($T1088&gt;0,"KAPALI DÖNEM","UYGUN"))))))</f>
        <v/>
      </c>
      <c r="N1088" s="74" t="str">
        <f>IF($C1088="","",IF($C1088="TANIMSIZ MÜŞTERİ","—",INDEX(MUSTERILER!$C$7:$C$156,MATCH($C1088,MUSTERILER!$B$7:$B$156,0))))</f>
        <v/>
      </c>
      <c r="O1088" s="2"/>
      <c r="P1088" s="2"/>
      <c r="Q1088" s="1" t="str">
        <f>IF($D1088="","",$C1088&amp;"|"&amp;COUNTIFS($C$7:$C1088,$C1088))</f>
        <v/>
      </c>
      <c r="R1088" s="1" t="str">
        <f t="shared" si="32"/>
        <v/>
      </c>
      <c r="S1088" s="1" t="str">
        <f t="shared" si="33"/>
        <v/>
      </c>
      <c r="T1088" s="1">
        <f>IF($E1088="",0,SUMPRODUCT((AY_SONU!$O$7:$O$42="Evet")*(AY_SONU!$B$7:$B$42=DATE(YEAR($E1088),MONTH($E1088),1))))</f>
        <v>0</v>
      </c>
      <c r="U1088" s="1" t="str">
        <f>IF(OR($G1088="",$H1088="Mahsup"),"",$G1088&amp;"|"&amp;COUNTIFS($G$7:$G1088,$G1088,$H$7:$H1088,"&lt;&gt;Mahsup"))</f>
        <v/>
      </c>
    </row>
    <row r="1089" spans="1:21" ht="18" customHeight="1" x14ac:dyDescent="0.3">
      <c r="A1089" s="2"/>
      <c r="B1089" s="65" t="str">
        <f>IF($D1089="","","T"&amp;TEXT(ROW()-6,"00000"))</f>
        <v/>
      </c>
      <c r="C1089" s="65" t="str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61"/>
      <c r="E1089" s="66"/>
      <c r="F1089" s="67"/>
      <c r="G1089" s="60"/>
      <c r="H1089" s="60"/>
      <c r="I1089" s="61"/>
      <c r="J1089" s="61"/>
      <c r="K1089" s="61"/>
      <c r="L1089" s="73" t="str">
        <f>IF($E1089="","",DATE(YEAR($E1089),MONTH($E1089),1))</f>
        <v/>
      </c>
      <c r="M1089" s="65" t="str">
        <f ca="1">IF($D1089="","",IF($C1089="TANIMSIZ MÜŞTERİ","HATA",IF(OR($E1089="",$F1089&lt;=0,$G1089=""),"EKSİK",IF($E1089&gt;TODAY(),"İLERİ TARİH",IF(COUNTIF($S$7:$S$2503,$S1089)&gt;1,"MÜKERRER?",IF($T1089&gt;0,"KAPALI DÖNEM","UYGUN"))))))</f>
        <v/>
      </c>
      <c r="N1089" s="74" t="str">
        <f>IF($C1089="","",IF($C1089="TANIMSIZ MÜŞTERİ","—",INDEX(MUSTERILER!$C$7:$C$156,MATCH($C1089,MUSTERILER!$B$7:$B$156,0))))</f>
        <v/>
      </c>
      <c r="O1089" s="2"/>
      <c r="P1089" s="2"/>
      <c r="Q1089" s="1" t="str">
        <f>IF($D1089="","",$C1089&amp;"|"&amp;COUNTIFS($C$7:$C1089,$C1089))</f>
        <v/>
      </c>
      <c r="R1089" s="1" t="str">
        <f t="shared" si="32"/>
        <v/>
      </c>
      <c r="S1089" s="1" t="str">
        <f t="shared" si="33"/>
        <v/>
      </c>
      <c r="T1089" s="1">
        <f>IF($E1089="",0,SUMPRODUCT((AY_SONU!$O$7:$O$42="Evet")*(AY_SONU!$B$7:$B$42=DATE(YEAR($E1089),MONTH($E1089),1))))</f>
        <v>0</v>
      </c>
      <c r="U1089" s="1" t="str">
        <f>IF(OR($G1089="",$H1089="Mahsup"),"",$G1089&amp;"|"&amp;COUNTIFS($G$7:$G1089,$G1089,$H$7:$H1089,"&lt;&gt;Mahsup"))</f>
        <v/>
      </c>
    </row>
    <row r="1090" spans="1:21" ht="18" customHeight="1" x14ac:dyDescent="0.3">
      <c r="A1090" s="2"/>
      <c r="B1090" s="65" t="str">
        <f>IF($D1090="","","T"&amp;TEXT(ROW()-6,"00000"))</f>
        <v/>
      </c>
      <c r="C1090" s="65" t="str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61"/>
      <c r="E1090" s="66"/>
      <c r="F1090" s="67"/>
      <c r="G1090" s="60"/>
      <c r="H1090" s="60"/>
      <c r="I1090" s="61"/>
      <c r="J1090" s="61"/>
      <c r="K1090" s="61"/>
      <c r="L1090" s="73" t="str">
        <f>IF($E1090="","",DATE(YEAR($E1090),MONTH($E1090),1))</f>
        <v/>
      </c>
      <c r="M1090" s="65" t="str">
        <f ca="1">IF($D1090="","",IF($C1090="TANIMSIZ MÜŞTERİ","HATA",IF(OR($E1090="",$F1090&lt;=0,$G1090=""),"EKSİK",IF($E1090&gt;TODAY(),"İLERİ TARİH",IF(COUNTIF($S$7:$S$2503,$S1090)&gt;1,"MÜKERRER?",IF($T1090&gt;0,"KAPALI DÖNEM","UYGUN"))))))</f>
        <v/>
      </c>
      <c r="N1090" s="74" t="str">
        <f>IF($C1090="","",IF($C1090="TANIMSIZ MÜŞTERİ","—",INDEX(MUSTERILER!$C$7:$C$156,MATCH($C1090,MUSTERILER!$B$7:$B$156,0))))</f>
        <v/>
      </c>
      <c r="O1090" s="2"/>
      <c r="P1090" s="2"/>
      <c r="Q1090" s="1" t="str">
        <f>IF($D1090="","",$C1090&amp;"|"&amp;COUNTIFS($C$7:$C1090,$C1090))</f>
        <v/>
      </c>
      <c r="R1090" s="1" t="str">
        <f t="shared" si="32"/>
        <v/>
      </c>
      <c r="S1090" s="1" t="str">
        <f t="shared" si="33"/>
        <v/>
      </c>
      <c r="T1090" s="1">
        <f>IF($E1090="",0,SUMPRODUCT((AY_SONU!$O$7:$O$42="Evet")*(AY_SONU!$B$7:$B$42=DATE(YEAR($E1090),MONTH($E1090),1))))</f>
        <v>0</v>
      </c>
      <c r="U1090" s="1" t="str">
        <f>IF(OR($G1090="",$H1090="Mahsup"),"",$G1090&amp;"|"&amp;COUNTIFS($G$7:$G1090,$G1090,$H$7:$H1090,"&lt;&gt;Mahsup"))</f>
        <v/>
      </c>
    </row>
    <row r="1091" spans="1:21" ht="18" customHeight="1" x14ac:dyDescent="0.3">
      <c r="A1091" s="2"/>
      <c r="B1091" s="65" t="str">
        <f>IF($D1091="","","T"&amp;TEXT(ROW()-6,"00000"))</f>
        <v/>
      </c>
      <c r="C1091" s="65" t="str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61"/>
      <c r="E1091" s="66"/>
      <c r="F1091" s="67"/>
      <c r="G1091" s="60"/>
      <c r="H1091" s="60"/>
      <c r="I1091" s="61"/>
      <c r="J1091" s="61"/>
      <c r="K1091" s="61"/>
      <c r="L1091" s="73" t="str">
        <f>IF($E1091="","",DATE(YEAR($E1091),MONTH($E1091),1))</f>
        <v/>
      </c>
      <c r="M1091" s="65" t="str">
        <f ca="1">IF($D1091="","",IF($C1091="TANIMSIZ MÜŞTERİ","HATA",IF(OR($E1091="",$F1091&lt;=0,$G1091=""),"EKSİK",IF($E1091&gt;TODAY(),"İLERİ TARİH",IF(COUNTIF($S$7:$S$2503,$S1091)&gt;1,"MÜKERRER?",IF($T1091&gt;0,"KAPALI DÖNEM","UYGUN"))))))</f>
        <v/>
      </c>
      <c r="N1091" s="74" t="str">
        <f>IF($C1091="","",IF($C1091="TANIMSIZ MÜŞTERİ","—",INDEX(MUSTERILER!$C$7:$C$156,MATCH($C1091,MUSTERILER!$B$7:$B$156,0))))</f>
        <v/>
      </c>
      <c r="O1091" s="2"/>
      <c r="P1091" s="2"/>
      <c r="Q1091" s="1" t="str">
        <f>IF($D1091="","",$C1091&amp;"|"&amp;COUNTIFS($C$7:$C1091,$C1091))</f>
        <v/>
      </c>
      <c r="R1091" s="1" t="str">
        <f t="shared" si="32"/>
        <v/>
      </c>
      <c r="S1091" s="1" t="str">
        <f t="shared" si="33"/>
        <v/>
      </c>
      <c r="T1091" s="1">
        <f>IF($E1091="",0,SUMPRODUCT((AY_SONU!$O$7:$O$42="Evet")*(AY_SONU!$B$7:$B$42=DATE(YEAR($E1091),MONTH($E1091),1))))</f>
        <v>0</v>
      </c>
      <c r="U1091" s="1" t="str">
        <f>IF(OR($G1091="",$H1091="Mahsup"),"",$G1091&amp;"|"&amp;COUNTIFS($G$7:$G1091,$G1091,$H$7:$H1091,"&lt;&gt;Mahsup"))</f>
        <v/>
      </c>
    </row>
    <row r="1092" spans="1:21" ht="18" customHeight="1" x14ac:dyDescent="0.3">
      <c r="A1092" s="2"/>
      <c r="B1092" s="65" t="str">
        <f>IF($D1092="","","T"&amp;TEXT(ROW()-6,"00000"))</f>
        <v/>
      </c>
      <c r="C1092" s="65" t="str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61"/>
      <c r="E1092" s="66"/>
      <c r="F1092" s="67"/>
      <c r="G1092" s="60"/>
      <c r="H1092" s="60"/>
      <c r="I1092" s="61"/>
      <c r="J1092" s="61"/>
      <c r="K1092" s="61"/>
      <c r="L1092" s="73" t="str">
        <f>IF($E1092="","",DATE(YEAR($E1092),MONTH($E1092),1))</f>
        <v/>
      </c>
      <c r="M1092" s="65" t="str">
        <f ca="1">IF($D1092="","",IF($C1092="TANIMSIZ MÜŞTERİ","HATA",IF(OR($E1092="",$F1092&lt;=0,$G1092=""),"EKSİK",IF($E1092&gt;TODAY(),"İLERİ TARİH",IF(COUNTIF($S$7:$S$2503,$S1092)&gt;1,"MÜKERRER?",IF($T1092&gt;0,"KAPALI DÖNEM","UYGUN"))))))</f>
        <v/>
      </c>
      <c r="N1092" s="74" t="str">
        <f>IF($C1092="","",IF($C1092="TANIMSIZ MÜŞTERİ","—",INDEX(MUSTERILER!$C$7:$C$156,MATCH($C1092,MUSTERILER!$B$7:$B$156,0))))</f>
        <v/>
      </c>
      <c r="O1092" s="2"/>
      <c r="P1092" s="2"/>
      <c r="Q1092" s="1" t="str">
        <f>IF($D1092="","",$C1092&amp;"|"&amp;COUNTIFS($C$7:$C1092,$C1092))</f>
        <v/>
      </c>
      <c r="R1092" s="1" t="str">
        <f t="shared" si="32"/>
        <v/>
      </c>
      <c r="S1092" s="1" t="str">
        <f t="shared" si="33"/>
        <v/>
      </c>
      <c r="T1092" s="1">
        <f>IF($E1092="",0,SUMPRODUCT((AY_SONU!$O$7:$O$42="Evet")*(AY_SONU!$B$7:$B$42=DATE(YEAR($E1092),MONTH($E1092),1))))</f>
        <v>0</v>
      </c>
      <c r="U1092" s="1" t="str">
        <f>IF(OR($G1092="",$H1092="Mahsup"),"",$G1092&amp;"|"&amp;COUNTIFS($G$7:$G1092,$G1092,$H$7:$H1092,"&lt;&gt;Mahsup"))</f>
        <v/>
      </c>
    </row>
    <row r="1093" spans="1:21" ht="18" customHeight="1" x14ac:dyDescent="0.3">
      <c r="A1093" s="2"/>
      <c r="B1093" s="65" t="str">
        <f>IF($D1093="","","T"&amp;TEXT(ROW()-6,"00000"))</f>
        <v/>
      </c>
      <c r="C1093" s="65" t="str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61"/>
      <c r="E1093" s="66"/>
      <c r="F1093" s="67"/>
      <c r="G1093" s="60"/>
      <c r="H1093" s="60"/>
      <c r="I1093" s="61"/>
      <c r="J1093" s="61"/>
      <c r="K1093" s="61"/>
      <c r="L1093" s="73" t="str">
        <f>IF($E1093="","",DATE(YEAR($E1093),MONTH($E1093),1))</f>
        <v/>
      </c>
      <c r="M1093" s="65" t="str">
        <f ca="1">IF($D1093="","",IF($C1093="TANIMSIZ MÜŞTERİ","HATA",IF(OR($E1093="",$F1093&lt;=0,$G1093=""),"EKSİK",IF($E1093&gt;TODAY(),"İLERİ TARİH",IF(COUNTIF($S$7:$S$2503,$S1093)&gt;1,"MÜKERRER?",IF($T1093&gt;0,"KAPALI DÖNEM","UYGUN"))))))</f>
        <v/>
      </c>
      <c r="N1093" s="74" t="str">
        <f>IF($C1093="","",IF($C1093="TANIMSIZ MÜŞTERİ","—",INDEX(MUSTERILER!$C$7:$C$156,MATCH($C1093,MUSTERILER!$B$7:$B$156,0))))</f>
        <v/>
      </c>
      <c r="O1093" s="2"/>
      <c r="P1093" s="2"/>
      <c r="Q1093" s="1" t="str">
        <f>IF($D1093="","",$C1093&amp;"|"&amp;COUNTIFS($C$7:$C1093,$C1093))</f>
        <v/>
      </c>
      <c r="R1093" s="1" t="str">
        <f t="shared" si="32"/>
        <v/>
      </c>
      <c r="S1093" s="1" t="str">
        <f t="shared" si="33"/>
        <v/>
      </c>
      <c r="T1093" s="1">
        <f>IF($E1093="",0,SUMPRODUCT((AY_SONU!$O$7:$O$42="Evet")*(AY_SONU!$B$7:$B$42=DATE(YEAR($E1093),MONTH($E1093),1))))</f>
        <v>0</v>
      </c>
      <c r="U1093" s="1" t="str">
        <f>IF(OR($G1093="",$H1093="Mahsup"),"",$G1093&amp;"|"&amp;COUNTIFS($G$7:$G1093,$G1093,$H$7:$H1093,"&lt;&gt;Mahsup"))</f>
        <v/>
      </c>
    </row>
    <row r="1094" spans="1:21" ht="18" customHeight="1" x14ac:dyDescent="0.3">
      <c r="A1094" s="2"/>
      <c r="B1094" s="65" t="str">
        <f>IF($D1094="","","T"&amp;TEXT(ROW()-6,"00000"))</f>
        <v/>
      </c>
      <c r="C1094" s="65" t="str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61"/>
      <c r="E1094" s="66"/>
      <c r="F1094" s="67"/>
      <c r="G1094" s="60"/>
      <c r="H1094" s="60"/>
      <c r="I1094" s="61"/>
      <c r="J1094" s="61"/>
      <c r="K1094" s="61"/>
      <c r="L1094" s="73" t="str">
        <f>IF($E1094="","",DATE(YEAR($E1094),MONTH($E1094),1))</f>
        <v/>
      </c>
      <c r="M1094" s="65" t="str">
        <f ca="1">IF($D1094="","",IF($C1094="TANIMSIZ MÜŞTERİ","HATA",IF(OR($E1094="",$F1094&lt;=0,$G1094=""),"EKSİK",IF($E1094&gt;TODAY(),"İLERİ TARİH",IF(COUNTIF($S$7:$S$2503,$S1094)&gt;1,"MÜKERRER?",IF($T1094&gt;0,"KAPALI DÖNEM","UYGUN"))))))</f>
        <v/>
      </c>
      <c r="N1094" s="74" t="str">
        <f>IF($C1094="","",IF($C1094="TANIMSIZ MÜŞTERİ","—",INDEX(MUSTERILER!$C$7:$C$156,MATCH($C1094,MUSTERILER!$B$7:$B$156,0))))</f>
        <v/>
      </c>
      <c r="O1094" s="2"/>
      <c r="P1094" s="2"/>
      <c r="Q1094" s="1" t="str">
        <f>IF($D1094="","",$C1094&amp;"|"&amp;COUNTIFS($C$7:$C1094,$C1094))</f>
        <v/>
      </c>
      <c r="R1094" s="1" t="str">
        <f t="shared" si="32"/>
        <v/>
      </c>
      <c r="S1094" s="1" t="str">
        <f t="shared" si="33"/>
        <v/>
      </c>
      <c r="T1094" s="1">
        <f>IF($E1094="",0,SUMPRODUCT((AY_SONU!$O$7:$O$42="Evet")*(AY_SONU!$B$7:$B$42=DATE(YEAR($E1094),MONTH($E1094),1))))</f>
        <v>0</v>
      </c>
      <c r="U1094" s="1" t="str">
        <f>IF(OR($G1094="",$H1094="Mahsup"),"",$G1094&amp;"|"&amp;COUNTIFS($G$7:$G1094,$G1094,$H$7:$H1094,"&lt;&gt;Mahsup"))</f>
        <v/>
      </c>
    </row>
    <row r="1095" spans="1:21" ht="18" customHeight="1" x14ac:dyDescent="0.3">
      <c r="A1095" s="2"/>
      <c r="B1095" s="65" t="str">
        <f>IF($D1095="","","T"&amp;TEXT(ROW()-6,"00000"))</f>
        <v/>
      </c>
      <c r="C1095" s="65" t="str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61"/>
      <c r="E1095" s="66"/>
      <c r="F1095" s="67"/>
      <c r="G1095" s="60"/>
      <c r="H1095" s="60"/>
      <c r="I1095" s="61"/>
      <c r="J1095" s="61"/>
      <c r="K1095" s="61"/>
      <c r="L1095" s="73" t="str">
        <f>IF($E1095="","",DATE(YEAR($E1095),MONTH($E1095),1))</f>
        <v/>
      </c>
      <c r="M1095" s="65" t="str">
        <f ca="1">IF($D1095="","",IF($C1095="TANIMSIZ MÜŞTERİ","HATA",IF(OR($E1095="",$F1095&lt;=0,$G1095=""),"EKSİK",IF($E1095&gt;TODAY(),"İLERİ TARİH",IF(COUNTIF($S$7:$S$2503,$S1095)&gt;1,"MÜKERRER?",IF($T1095&gt;0,"KAPALI DÖNEM","UYGUN"))))))</f>
        <v/>
      </c>
      <c r="N1095" s="74" t="str">
        <f>IF($C1095="","",IF($C1095="TANIMSIZ MÜŞTERİ","—",INDEX(MUSTERILER!$C$7:$C$156,MATCH($C1095,MUSTERILER!$B$7:$B$156,0))))</f>
        <v/>
      </c>
      <c r="O1095" s="2"/>
      <c r="P1095" s="2"/>
      <c r="Q1095" s="1" t="str">
        <f>IF($D1095="","",$C1095&amp;"|"&amp;COUNTIFS($C$7:$C1095,$C1095))</f>
        <v/>
      </c>
      <c r="R1095" s="1" t="str">
        <f t="shared" ref="R1095:R1158" si="34"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" t="str">
        <f t="shared" ref="S1095:S1158" si="35">IF($D1095="","",$C1095&amp;"|"&amp;TEXT($E1095,"0")&amp;"|"&amp;TEXT($F1095,"0")&amp;"|"&amp;$I1095)</f>
        <v/>
      </c>
      <c r="T1095" s="1">
        <f>IF($E1095="",0,SUMPRODUCT((AY_SONU!$O$7:$O$42="Evet")*(AY_SONU!$B$7:$B$42=DATE(YEAR($E1095),MONTH($E1095),1))))</f>
        <v>0</v>
      </c>
      <c r="U1095" s="1" t="str">
        <f>IF(OR($G1095="",$H1095="Mahsup"),"",$G1095&amp;"|"&amp;COUNTIFS($G$7:$G1095,$G1095,$H$7:$H1095,"&lt;&gt;Mahsup"))</f>
        <v/>
      </c>
    </row>
    <row r="1096" spans="1:21" ht="18" customHeight="1" x14ac:dyDescent="0.3">
      <c r="A1096" s="2"/>
      <c r="B1096" s="65" t="str">
        <f>IF($D1096="","","T"&amp;TEXT(ROW()-6,"00000"))</f>
        <v/>
      </c>
      <c r="C1096" s="65" t="str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61"/>
      <c r="E1096" s="66"/>
      <c r="F1096" s="67"/>
      <c r="G1096" s="60"/>
      <c r="H1096" s="60"/>
      <c r="I1096" s="61"/>
      <c r="J1096" s="61"/>
      <c r="K1096" s="61"/>
      <c r="L1096" s="73" t="str">
        <f>IF($E1096="","",DATE(YEAR($E1096),MONTH($E1096),1))</f>
        <v/>
      </c>
      <c r="M1096" s="65" t="str">
        <f ca="1">IF($D1096="","",IF($C1096="TANIMSIZ MÜŞTERİ","HATA",IF(OR($E1096="",$F1096&lt;=0,$G1096=""),"EKSİK",IF($E1096&gt;TODAY(),"İLERİ TARİH",IF(COUNTIF($S$7:$S$2503,$S1096)&gt;1,"MÜKERRER?",IF($T1096&gt;0,"KAPALI DÖNEM","UYGUN"))))))</f>
        <v/>
      </c>
      <c r="N1096" s="74" t="str">
        <f>IF($C1096="","",IF($C1096="TANIMSIZ MÜŞTERİ","—",INDEX(MUSTERILER!$C$7:$C$156,MATCH($C1096,MUSTERILER!$B$7:$B$156,0))))</f>
        <v/>
      </c>
      <c r="O1096" s="2"/>
      <c r="P1096" s="2"/>
      <c r="Q1096" s="1" t="str">
        <f>IF($D1096="","",$C1096&amp;"|"&amp;COUNTIFS($C$7:$C1096,$C1096))</f>
        <v/>
      </c>
      <c r="R1096" s="1" t="str">
        <f t="shared" si="34"/>
        <v/>
      </c>
      <c r="S1096" s="1" t="str">
        <f t="shared" si="35"/>
        <v/>
      </c>
      <c r="T1096" s="1">
        <f>IF($E1096="",0,SUMPRODUCT((AY_SONU!$O$7:$O$42="Evet")*(AY_SONU!$B$7:$B$42=DATE(YEAR($E1096),MONTH($E1096),1))))</f>
        <v>0</v>
      </c>
      <c r="U1096" s="1" t="str">
        <f>IF(OR($G1096="",$H1096="Mahsup"),"",$G1096&amp;"|"&amp;COUNTIFS($G$7:$G1096,$G1096,$H$7:$H1096,"&lt;&gt;Mahsup"))</f>
        <v/>
      </c>
    </row>
    <row r="1097" spans="1:21" ht="18" customHeight="1" x14ac:dyDescent="0.3">
      <c r="A1097" s="2"/>
      <c r="B1097" s="65" t="str">
        <f>IF($D1097="","","T"&amp;TEXT(ROW()-6,"00000"))</f>
        <v/>
      </c>
      <c r="C1097" s="65" t="str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61"/>
      <c r="E1097" s="66"/>
      <c r="F1097" s="67"/>
      <c r="G1097" s="60"/>
      <c r="H1097" s="60"/>
      <c r="I1097" s="61"/>
      <c r="J1097" s="61"/>
      <c r="K1097" s="61"/>
      <c r="L1097" s="73" t="str">
        <f>IF($E1097="","",DATE(YEAR($E1097),MONTH($E1097),1))</f>
        <v/>
      </c>
      <c r="M1097" s="65" t="str">
        <f ca="1">IF($D1097="","",IF($C1097="TANIMSIZ MÜŞTERİ","HATA",IF(OR($E1097="",$F1097&lt;=0,$G1097=""),"EKSİK",IF($E1097&gt;TODAY(),"İLERİ TARİH",IF(COUNTIF($S$7:$S$2503,$S1097)&gt;1,"MÜKERRER?",IF($T1097&gt;0,"KAPALI DÖNEM","UYGUN"))))))</f>
        <v/>
      </c>
      <c r="N1097" s="74" t="str">
        <f>IF($C1097="","",IF($C1097="TANIMSIZ MÜŞTERİ","—",INDEX(MUSTERILER!$C$7:$C$156,MATCH($C1097,MUSTERILER!$B$7:$B$156,0))))</f>
        <v/>
      </c>
      <c r="O1097" s="2"/>
      <c r="P1097" s="2"/>
      <c r="Q1097" s="1" t="str">
        <f>IF($D1097="","",$C1097&amp;"|"&amp;COUNTIFS($C$7:$C1097,$C1097))</f>
        <v/>
      </c>
      <c r="R1097" s="1" t="str">
        <f t="shared" si="34"/>
        <v/>
      </c>
      <c r="S1097" s="1" t="str">
        <f t="shared" si="35"/>
        <v/>
      </c>
      <c r="T1097" s="1">
        <f>IF($E1097="",0,SUMPRODUCT((AY_SONU!$O$7:$O$42="Evet")*(AY_SONU!$B$7:$B$42=DATE(YEAR($E1097),MONTH($E1097),1))))</f>
        <v>0</v>
      </c>
      <c r="U1097" s="1" t="str">
        <f>IF(OR($G1097="",$H1097="Mahsup"),"",$G1097&amp;"|"&amp;COUNTIFS($G$7:$G1097,$G1097,$H$7:$H1097,"&lt;&gt;Mahsup"))</f>
        <v/>
      </c>
    </row>
    <row r="1098" spans="1:21" ht="18" customHeight="1" x14ac:dyDescent="0.3">
      <c r="A1098" s="2"/>
      <c r="B1098" s="65" t="str">
        <f>IF($D1098="","","T"&amp;TEXT(ROW()-6,"00000"))</f>
        <v/>
      </c>
      <c r="C1098" s="65" t="str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61"/>
      <c r="E1098" s="66"/>
      <c r="F1098" s="67"/>
      <c r="G1098" s="60"/>
      <c r="H1098" s="60"/>
      <c r="I1098" s="61"/>
      <c r="J1098" s="61"/>
      <c r="K1098" s="61"/>
      <c r="L1098" s="73" t="str">
        <f>IF($E1098="","",DATE(YEAR($E1098),MONTH($E1098),1))</f>
        <v/>
      </c>
      <c r="M1098" s="65" t="str">
        <f ca="1">IF($D1098="","",IF($C1098="TANIMSIZ MÜŞTERİ","HATA",IF(OR($E1098="",$F1098&lt;=0,$G1098=""),"EKSİK",IF($E1098&gt;TODAY(),"İLERİ TARİH",IF(COUNTIF($S$7:$S$2503,$S1098)&gt;1,"MÜKERRER?",IF($T1098&gt;0,"KAPALI DÖNEM","UYGUN"))))))</f>
        <v/>
      </c>
      <c r="N1098" s="74" t="str">
        <f>IF($C1098="","",IF($C1098="TANIMSIZ MÜŞTERİ","—",INDEX(MUSTERILER!$C$7:$C$156,MATCH($C1098,MUSTERILER!$B$7:$B$156,0))))</f>
        <v/>
      </c>
      <c r="O1098" s="2"/>
      <c r="P1098" s="2"/>
      <c r="Q1098" s="1" t="str">
        <f>IF($D1098="","",$C1098&amp;"|"&amp;COUNTIFS($C$7:$C1098,$C1098))</f>
        <v/>
      </c>
      <c r="R1098" s="1" t="str">
        <f t="shared" si="34"/>
        <v/>
      </c>
      <c r="S1098" s="1" t="str">
        <f t="shared" si="35"/>
        <v/>
      </c>
      <c r="T1098" s="1">
        <f>IF($E1098="",0,SUMPRODUCT((AY_SONU!$O$7:$O$42="Evet")*(AY_SONU!$B$7:$B$42=DATE(YEAR($E1098),MONTH($E1098),1))))</f>
        <v>0</v>
      </c>
      <c r="U1098" s="1" t="str">
        <f>IF(OR($G1098="",$H1098="Mahsup"),"",$G1098&amp;"|"&amp;COUNTIFS($G$7:$G1098,$G1098,$H$7:$H1098,"&lt;&gt;Mahsup"))</f>
        <v/>
      </c>
    </row>
    <row r="1099" spans="1:21" ht="18" customHeight="1" x14ac:dyDescent="0.3">
      <c r="A1099" s="2"/>
      <c r="B1099" s="65" t="str">
        <f>IF($D1099="","","T"&amp;TEXT(ROW()-6,"00000"))</f>
        <v/>
      </c>
      <c r="C1099" s="65" t="str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61"/>
      <c r="E1099" s="66"/>
      <c r="F1099" s="67"/>
      <c r="G1099" s="60"/>
      <c r="H1099" s="60"/>
      <c r="I1099" s="61"/>
      <c r="J1099" s="61"/>
      <c r="K1099" s="61"/>
      <c r="L1099" s="73" t="str">
        <f>IF($E1099="","",DATE(YEAR($E1099),MONTH($E1099),1))</f>
        <v/>
      </c>
      <c r="M1099" s="65" t="str">
        <f ca="1">IF($D1099="","",IF($C1099="TANIMSIZ MÜŞTERİ","HATA",IF(OR($E1099="",$F1099&lt;=0,$G1099=""),"EKSİK",IF($E1099&gt;TODAY(),"İLERİ TARİH",IF(COUNTIF($S$7:$S$2503,$S1099)&gt;1,"MÜKERRER?",IF($T1099&gt;0,"KAPALI DÖNEM","UYGUN"))))))</f>
        <v/>
      </c>
      <c r="N1099" s="74" t="str">
        <f>IF($C1099="","",IF($C1099="TANIMSIZ MÜŞTERİ","—",INDEX(MUSTERILER!$C$7:$C$156,MATCH($C1099,MUSTERILER!$B$7:$B$156,0))))</f>
        <v/>
      </c>
      <c r="O1099" s="2"/>
      <c r="P1099" s="2"/>
      <c r="Q1099" s="1" t="str">
        <f>IF($D1099="","",$C1099&amp;"|"&amp;COUNTIFS($C$7:$C1099,$C1099))</f>
        <v/>
      </c>
      <c r="R1099" s="1" t="str">
        <f t="shared" si="34"/>
        <v/>
      </c>
      <c r="S1099" s="1" t="str">
        <f t="shared" si="35"/>
        <v/>
      </c>
      <c r="T1099" s="1">
        <f>IF($E1099="",0,SUMPRODUCT((AY_SONU!$O$7:$O$42="Evet")*(AY_SONU!$B$7:$B$42=DATE(YEAR($E1099),MONTH($E1099),1))))</f>
        <v>0</v>
      </c>
      <c r="U1099" s="1" t="str">
        <f>IF(OR($G1099="",$H1099="Mahsup"),"",$G1099&amp;"|"&amp;COUNTIFS($G$7:$G1099,$G1099,$H$7:$H1099,"&lt;&gt;Mahsup"))</f>
        <v/>
      </c>
    </row>
    <row r="1100" spans="1:21" ht="18" customHeight="1" x14ac:dyDescent="0.3">
      <c r="A1100" s="2"/>
      <c r="B1100" s="65" t="str">
        <f>IF($D1100="","","T"&amp;TEXT(ROW()-6,"00000"))</f>
        <v/>
      </c>
      <c r="C1100" s="65" t="str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61"/>
      <c r="E1100" s="66"/>
      <c r="F1100" s="67"/>
      <c r="G1100" s="60"/>
      <c r="H1100" s="60"/>
      <c r="I1100" s="61"/>
      <c r="J1100" s="61"/>
      <c r="K1100" s="61"/>
      <c r="L1100" s="73" t="str">
        <f>IF($E1100="","",DATE(YEAR($E1100),MONTH($E1100),1))</f>
        <v/>
      </c>
      <c r="M1100" s="65" t="str">
        <f ca="1">IF($D1100="","",IF($C1100="TANIMSIZ MÜŞTERİ","HATA",IF(OR($E1100="",$F1100&lt;=0,$G1100=""),"EKSİK",IF($E1100&gt;TODAY(),"İLERİ TARİH",IF(COUNTIF($S$7:$S$2503,$S1100)&gt;1,"MÜKERRER?",IF($T1100&gt;0,"KAPALI DÖNEM","UYGUN"))))))</f>
        <v/>
      </c>
      <c r="N1100" s="74" t="str">
        <f>IF($C1100="","",IF($C1100="TANIMSIZ MÜŞTERİ","—",INDEX(MUSTERILER!$C$7:$C$156,MATCH($C1100,MUSTERILER!$B$7:$B$156,0))))</f>
        <v/>
      </c>
      <c r="O1100" s="2"/>
      <c r="P1100" s="2"/>
      <c r="Q1100" s="1" t="str">
        <f>IF($D1100="","",$C1100&amp;"|"&amp;COUNTIFS($C$7:$C1100,$C1100))</f>
        <v/>
      </c>
      <c r="R1100" s="1" t="str">
        <f t="shared" si="34"/>
        <v/>
      </c>
      <c r="S1100" s="1" t="str">
        <f t="shared" si="35"/>
        <v/>
      </c>
      <c r="T1100" s="1">
        <f>IF($E1100="",0,SUMPRODUCT((AY_SONU!$O$7:$O$42="Evet")*(AY_SONU!$B$7:$B$42=DATE(YEAR($E1100),MONTH($E1100),1))))</f>
        <v>0</v>
      </c>
      <c r="U1100" s="1" t="str">
        <f>IF(OR($G1100="",$H1100="Mahsup"),"",$G1100&amp;"|"&amp;COUNTIFS($G$7:$G1100,$G1100,$H$7:$H1100,"&lt;&gt;Mahsup"))</f>
        <v/>
      </c>
    </row>
    <row r="1101" spans="1:21" ht="18" customHeight="1" x14ac:dyDescent="0.3">
      <c r="A1101" s="2"/>
      <c r="B1101" s="65" t="str">
        <f>IF($D1101="","","T"&amp;TEXT(ROW()-6,"00000"))</f>
        <v/>
      </c>
      <c r="C1101" s="65" t="str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61"/>
      <c r="E1101" s="66"/>
      <c r="F1101" s="67"/>
      <c r="G1101" s="60"/>
      <c r="H1101" s="60"/>
      <c r="I1101" s="61"/>
      <c r="J1101" s="61"/>
      <c r="K1101" s="61"/>
      <c r="L1101" s="73" t="str">
        <f>IF($E1101="","",DATE(YEAR($E1101),MONTH($E1101),1))</f>
        <v/>
      </c>
      <c r="M1101" s="65" t="str">
        <f ca="1">IF($D1101="","",IF($C1101="TANIMSIZ MÜŞTERİ","HATA",IF(OR($E1101="",$F1101&lt;=0,$G1101=""),"EKSİK",IF($E1101&gt;TODAY(),"İLERİ TARİH",IF(COUNTIF($S$7:$S$2503,$S1101)&gt;1,"MÜKERRER?",IF($T1101&gt;0,"KAPALI DÖNEM","UYGUN"))))))</f>
        <v/>
      </c>
      <c r="N1101" s="74" t="str">
        <f>IF($C1101="","",IF($C1101="TANIMSIZ MÜŞTERİ","—",INDEX(MUSTERILER!$C$7:$C$156,MATCH($C1101,MUSTERILER!$B$7:$B$156,0))))</f>
        <v/>
      </c>
      <c r="O1101" s="2"/>
      <c r="P1101" s="2"/>
      <c r="Q1101" s="1" t="str">
        <f>IF($D1101="","",$C1101&amp;"|"&amp;COUNTIFS($C$7:$C1101,$C1101))</f>
        <v/>
      </c>
      <c r="R1101" s="1" t="str">
        <f t="shared" si="34"/>
        <v/>
      </c>
      <c r="S1101" s="1" t="str">
        <f t="shared" si="35"/>
        <v/>
      </c>
      <c r="T1101" s="1">
        <f>IF($E1101="",0,SUMPRODUCT((AY_SONU!$O$7:$O$42="Evet")*(AY_SONU!$B$7:$B$42=DATE(YEAR($E1101),MONTH($E1101),1))))</f>
        <v>0</v>
      </c>
      <c r="U1101" s="1" t="str">
        <f>IF(OR($G1101="",$H1101="Mahsup"),"",$G1101&amp;"|"&amp;COUNTIFS($G$7:$G1101,$G1101,$H$7:$H1101,"&lt;&gt;Mahsup"))</f>
        <v/>
      </c>
    </row>
    <row r="1102" spans="1:21" ht="18" customHeight="1" x14ac:dyDescent="0.3">
      <c r="A1102" s="2"/>
      <c r="B1102" s="65" t="str">
        <f>IF($D1102="","","T"&amp;TEXT(ROW()-6,"00000"))</f>
        <v/>
      </c>
      <c r="C1102" s="65" t="str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61"/>
      <c r="E1102" s="66"/>
      <c r="F1102" s="67"/>
      <c r="G1102" s="60"/>
      <c r="H1102" s="60"/>
      <c r="I1102" s="61"/>
      <c r="J1102" s="61"/>
      <c r="K1102" s="61"/>
      <c r="L1102" s="73" t="str">
        <f>IF($E1102="","",DATE(YEAR($E1102),MONTH($E1102),1))</f>
        <v/>
      </c>
      <c r="M1102" s="65" t="str">
        <f ca="1">IF($D1102="","",IF($C1102="TANIMSIZ MÜŞTERİ","HATA",IF(OR($E1102="",$F1102&lt;=0,$G1102=""),"EKSİK",IF($E1102&gt;TODAY(),"İLERİ TARİH",IF(COUNTIF($S$7:$S$2503,$S1102)&gt;1,"MÜKERRER?",IF($T1102&gt;0,"KAPALI DÖNEM","UYGUN"))))))</f>
        <v/>
      </c>
      <c r="N1102" s="74" t="str">
        <f>IF($C1102="","",IF($C1102="TANIMSIZ MÜŞTERİ","—",INDEX(MUSTERILER!$C$7:$C$156,MATCH($C1102,MUSTERILER!$B$7:$B$156,0))))</f>
        <v/>
      </c>
      <c r="O1102" s="2"/>
      <c r="P1102" s="2"/>
      <c r="Q1102" s="1" t="str">
        <f>IF($D1102="","",$C1102&amp;"|"&amp;COUNTIFS($C$7:$C1102,$C1102))</f>
        <v/>
      </c>
      <c r="R1102" s="1" t="str">
        <f t="shared" si="34"/>
        <v/>
      </c>
      <c r="S1102" s="1" t="str">
        <f t="shared" si="35"/>
        <v/>
      </c>
      <c r="T1102" s="1">
        <f>IF($E1102="",0,SUMPRODUCT((AY_SONU!$O$7:$O$42="Evet")*(AY_SONU!$B$7:$B$42=DATE(YEAR($E1102),MONTH($E1102),1))))</f>
        <v>0</v>
      </c>
      <c r="U1102" s="1" t="str">
        <f>IF(OR($G1102="",$H1102="Mahsup"),"",$G1102&amp;"|"&amp;COUNTIFS($G$7:$G1102,$G1102,$H$7:$H1102,"&lt;&gt;Mahsup"))</f>
        <v/>
      </c>
    </row>
    <row r="1103" spans="1:21" ht="18" customHeight="1" x14ac:dyDescent="0.3">
      <c r="A1103" s="2"/>
      <c r="B1103" s="65" t="str">
        <f>IF($D1103="","","T"&amp;TEXT(ROW()-6,"00000"))</f>
        <v/>
      </c>
      <c r="C1103" s="65" t="str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61"/>
      <c r="E1103" s="66"/>
      <c r="F1103" s="67"/>
      <c r="G1103" s="60"/>
      <c r="H1103" s="60"/>
      <c r="I1103" s="61"/>
      <c r="J1103" s="61"/>
      <c r="K1103" s="61"/>
      <c r="L1103" s="73" t="str">
        <f>IF($E1103="","",DATE(YEAR($E1103),MONTH($E1103),1))</f>
        <v/>
      </c>
      <c r="M1103" s="65" t="str">
        <f ca="1">IF($D1103="","",IF($C1103="TANIMSIZ MÜŞTERİ","HATA",IF(OR($E1103="",$F1103&lt;=0,$G1103=""),"EKSİK",IF($E1103&gt;TODAY(),"İLERİ TARİH",IF(COUNTIF($S$7:$S$2503,$S1103)&gt;1,"MÜKERRER?",IF($T1103&gt;0,"KAPALI DÖNEM","UYGUN"))))))</f>
        <v/>
      </c>
      <c r="N1103" s="74" t="str">
        <f>IF($C1103="","",IF($C1103="TANIMSIZ MÜŞTERİ","—",INDEX(MUSTERILER!$C$7:$C$156,MATCH($C1103,MUSTERILER!$B$7:$B$156,0))))</f>
        <v/>
      </c>
      <c r="O1103" s="2"/>
      <c r="P1103" s="2"/>
      <c r="Q1103" s="1" t="str">
        <f>IF($D1103="","",$C1103&amp;"|"&amp;COUNTIFS($C$7:$C1103,$C1103))</f>
        <v/>
      </c>
      <c r="R1103" s="1" t="str">
        <f t="shared" si="34"/>
        <v/>
      </c>
      <c r="S1103" s="1" t="str">
        <f t="shared" si="35"/>
        <v/>
      </c>
      <c r="T1103" s="1">
        <f>IF($E1103="",0,SUMPRODUCT((AY_SONU!$O$7:$O$42="Evet")*(AY_SONU!$B$7:$B$42=DATE(YEAR($E1103),MONTH($E1103),1))))</f>
        <v>0</v>
      </c>
      <c r="U1103" s="1" t="str">
        <f>IF(OR($G1103="",$H1103="Mahsup"),"",$G1103&amp;"|"&amp;COUNTIFS($G$7:$G1103,$G1103,$H$7:$H1103,"&lt;&gt;Mahsup"))</f>
        <v/>
      </c>
    </row>
    <row r="1104" spans="1:21" ht="18" customHeight="1" x14ac:dyDescent="0.3">
      <c r="A1104" s="2"/>
      <c r="B1104" s="65" t="str">
        <f>IF($D1104="","","T"&amp;TEXT(ROW()-6,"00000"))</f>
        <v/>
      </c>
      <c r="C1104" s="65" t="str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61"/>
      <c r="E1104" s="66"/>
      <c r="F1104" s="67"/>
      <c r="G1104" s="60"/>
      <c r="H1104" s="60"/>
      <c r="I1104" s="61"/>
      <c r="J1104" s="61"/>
      <c r="K1104" s="61"/>
      <c r="L1104" s="73" t="str">
        <f>IF($E1104="","",DATE(YEAR($E1104),MONTH($E1104),1))</f>
        <v/>
      </c>
      <c r="M1104" s="65" t="str">
        <f ca="1">IF($D1104="","",IF($C1104="TANIMSIZ MÜŞTERİ","HATA",IF(OR($E1104="",$F1104&lt;=0,$G1104=""),"EKSİK",IF($E1104&gt;TODAY(),"İLERİ TARİH",IF(COUNTIF($S$7:$S$2503,$S1104)&gt;1,"MÜKERRER?",IF($T1104&gt;0,"KAPALI DÖNEM","UYGUN"))))))</f>
        <v/>
      </c>
      <c r="N1104" s="74" t="str">
        <f>IF($C1104="","",IF($C1104="TANIMSIZ MÜŞTERİ","—",INDEX(MUSTERILER!$C$7:$C$156,MATCH($C1104,MUSTERILER!$B$7:$B$156,0))))</f>
        <v/>
      </c>
      <c r="O1104" s="2"/>
      <c r="P1104" s="2"/>
      <c r="Q1104" s="1" t="str">
        <f>IF($D1104="","",$C1104&amp;"|"&amp;COUNTIFS($C$7:$C1104,$C1104))</f>
        <v/>
      </c>
      <c r="R1104" s="1" t="str">
        <f t="shared" si="34"/>
        <v/>
      </c>
      <c r="S1104" s="1" t="str">
        <f t="shared" si="35"/>
        <v/>
      </c>
      <c r="T1104" s="1">
        <f>IF($E1104="",0,SUMPRODUCT((AY_SONU!$O$7:$O$42="Evet")*(AY_SONU!$B$7:$B$42=DATE(YEAR($E1104),MONTH($E1104),1))))</f>
        <v>0</v>
      </c>
      <c r="U1104" s="1" t="str">
        <f>IF(OR($G1104="",$H1104="Mahsup"),"",$G1104&amp;"|"&amp;COUNTIFS($G$7:$G1104,$G1104,$H$7:$H1104,"&lt;&gt;Mahsup"))</f>
        <v/>
      </c>
    </row>
    <row r="1105" spans="1:21" ht="18" customHeight="1" x14ac:dyDescent="0.3">
      <c r="A1105" s="2"/>
      <c r="B1105" s="65" t="str">
        <f>IF($D1105="","","T"&amp;TEXT(ROW()-6,"00000"))</f>
        <v/>
      </c>
      <c r="C1105" s="65" t="str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61"/>
      <c r="E1105" s="66"/>
      <c r="F1105" s="67"/>
      <c r="G1105" s="60"/>
      <c r="H1105" s="60"/>
      <c r="I1105" s="61"/>
      <c r="J1105" s="61"/>
      <c r="K1105" s="61"/>
      <c r="L1105" s="73" t="str">
        <f>IF($E1105="","",DATE(YEAR($E1105),MONTH($E1105),1))</f>
        <v/>
      </c>
      <c r="M1105" s="65" t="str">
        <f ca="1">IF($D1105="","",IF($C1105="TANIMSIZ MÜŞTERİ","HATA",IF(OR($E1105="",$F1105&lt;=0,$G1105=""),"EKSİK",IF($E1105&gt;TODAY(),"İLERİ TARİH",IF(COUNTIF($S$7:$S$2503,$S1105)&gt;1,"MÜKERRER?",IF($T1105&gt;0,"KAPALI DÖNEM","UYGUN"))))))</f>
        <v/>
      </c>
      <c r="N1105" s="74" t="str">
        <f>IF($C1105="","",IF($C1105="TANIMSIZ MÜŞTERİ","—",INDEX(MUSTERILER!$C$7:$C$156,MATCH($C1105,MUSTERILER!$B$7:$B$156,0))))</f>
        <v/>
      </c>
      <c r="O1105" s="2"/>
      <c r="P1105" s="2"/>
      <c r="Q1105" s="1" t="str">
        <f>IF($D1105="","",$C1105&amp;"|"&amp;COUNTIFS($C$7:$C1105,$C1105))</f>
        <v/>
      </c>
      <c r="R1105" s="1" t="str">
        <f t="shared" si="34"/>
        <v/>
      </c>
      <c r="S1105" s="1" t="str">
        <f t="shared" si="35"/>
        <v/>
      </c>
      <c r="T1105" s="1">
        <f>IF($E1105="",0,SUMPRODUCT((AY_SONU!$O$7:$O$42="Evet")*(AY_SONU!$B$7:$B$42=DATE(YEAR($E1105),MONTH($E1105),1))))</f>
        <v>0</v>
      </c>
      <c r="U1105" s="1" t="str">
        <f>IF(OR($G1105="",$H1105="Mahsup"),"",$G1105&amp;"|"&amp;COUNTIFS($G$7:$G1105,$G1105,$H$7:$H1105,"&lt;&gt;Mahsup"))</f>
        <v/>
      </c>
    </row>
    <row r="1106" spans="1:21" ht="18" customHeight="1" x14ac:dyDescent="0.3">
      <c r="A1106" s="2"/>
      <c r="B1106" s="65" t="str">
        <f>IF($D1106="","","T"&amp;TEXT(ROW()-6,"00000"))</f>
        <v/>
      </c>
      <c r="C1106" s="65" t="str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61"/>
      <c r="E1106" s="66"/>
      <c r="F1106" s="67"/>
      <c r="G1106" s="60"/>
      <c r="H1106" s="60"/>
      <c r="I1106" s="61"/>
      <c r="J1106" s="61"/>
      <c r="K1106" s="61"/>
      <c r="L1106" s="73" t="str">
        <f>IF($E1106="","",DATE(YEAR($E1106),MONTH($E1106),1))</f>
        <v/>
      </c>
      <c r="M1106" s="65" t="str">
        <f ca="1">IF($D1106="","",IF($C1106="TANIMSIZ MÜŞTERİ","HATA",IF(OR($E1106="",$F1106&lt;=0,$G1106=""),"EKSİK",IF($E1106&gt;TODAY(),"İLERİ TARİH",IF(COUNTIF($S$7:$S$2503,$S1106)&gt;1,"MÜKERRER?",IF($T1106&gt;0,"KAPALI DÖNEM","UYGUN"))))))</f>
        <v/>
      </c>
      <c r="N1106" s="74" t="str">
        <f>IF($C1106="","",IF($C1106="TANIMSIZ MÜŞTERİ","—",INDEX(MUSTERILER!$C$7:$C$156,MATCH($C1106,MUSTERILER!$B$7:$B$156,0))))</f>
        <v/>
      </c>
      <c r="O1106" s="2"/>
      <c r="P1106" s="2"/>
      <c r="Q1106" s="1" t="str">
        <f>IF($D1106="","",$C1106&amp;"|"&amp;COUNTIFS($C$7:$C1106,$C1106))</f>
        <v/>
      </c>
      <c r="R1106" s="1" t="str">
        <f t="shared" si="34"/>
        <v/>
      </c>
      <c r="S1106" s="1" t="str">
        <f t="shared" si="35"/>
        <v/>
      </c>
      <c r="T1106" s="1">
        <f>IF($E1106="",0,SUMPRODUCT((AY_SONU!$O$7:$O$42="Evet")*(AY_SONU!$B$7:$B$42=DATE(YEAR($E1106),MONTH($E1106),1))))</f>
        <v>0</v>
      </c>
      <c r="U1106" s="1" t="str">
        <f>IF(OR($G1106="",$H1106="Mahsup"),"",$G1106&amp;"|"&amp;COUNTIFS($G$7:$G1106,$G1106,$H$7:$H1106,"&lt;&gt;Mahsup"))</f>
        <v/>
      </c>
    </row>
    <row r="1107" spans="1:21" ht="18" customHeight="1" x14ac:dyDescent="0.3">
      <c r="A1107" s="2"/>
      <c r="B1107" s="65" t="str">
        <f>IF($D1107="","","T"&amp;TEXT(ROW()-6,"00000"))</f>
        <v/>
      </c>
      <c r="C1107" s="65" t="str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61"/>
      <c r="E1107" s="66"/>
      <c r="F1107" s="67"/>
      <c r="G1107" s="60"/>
      <c r="H1107" s="60"/>
      <c r="I1107" s="61"/>
      <c r="J1107" s="61"/>
      <c r="K1107" s="61"/>
      <c r="L1107" s="73" t="str">
        <f>IF($E1107="","",DATE(YEAR($E1107),MONTH($E1107),1))</f>
        <v/>
      </c>
      <c r="M1107" s="65" t="str">
        <f ca="1">IF($D1107="","",IF($C1107="TANIMSIZ MÜŞTERİ","HATA",IF(OR($E1107="",$F1107&lt;=0,$G1107=""),"EKSİK",IF($E1107&gt;TODAY(),"İLERİ TARİH",IF(COUNTIF($S$7:$S$2503,$S1107)&gt;1,"MÜKERRER?",IF($T1107&gt;0,"KAPALI DÖNEM","UYGUN"))))))</f>
        <v/>
      </c>
      <c r="N1107" s="74" t="str">
        <f>IF($C1107="","",IF($C1107="TANIMSIZ MÜŞTERİ","—",INDEX(MUSTERILER!$C$7:$C$156,MATCH($C1107,MUSTERILER!$B$7:$B$156,0))))</f>
        <v/>
      </c>
      <c r="O1107" s="2"/>
      <c r="P1107" s="2"/>
      <c r="Q1107" s="1" t="str">
        <f>IF($D1107="","",$C1107&amp;"|"&amp;COUNTIFS($C$7:$C1107,$C1107))</f>
        <v/>
      </c>
      <c r="R1107" s="1" t="str">
        <f t="shared" si="34"/>
        <v/>
      </c>
      <c r="S1107" s="1" t="str">
        <f t="shared" si="35"/>
        <v/>
      </c>
      <c r="T1107" s="1">
        <f>IF($E1107="",0,SUMPRODUCT((AY_SONU!$O$7:$O$42="Evet")*(AY_SONU!$B$7:$B$42=DATE(YEAR($E1107),MONTH($E1107),1))))</f>
        <v>0</v>
      </c>
      <c r="U1107" s="1" t="str">
        <f>IF(OR($G1107="",$H1107="Mahsup"),"",$G1107&amp;"|"&amp;COUNTIFS($G$7:$G1107,$G1107,$H$7:$H1107,"&lt;&gt;Mahsup"))</f>
        <v/>
      </c>
    </row>
    <row r="1108" spans="1:21" ht="18" customHeight="1" x14ac:dyDescent="0.3">
      <c r="A1108" s="2"/>
      <c r="B1108" s="65" t="str">
        <f>IF($D1108="","","T"&amp;TEXT(ROW()-6,"00000"))</f>
        <v/>
      </c>
      <c r="C1108" s="65" t="str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61"/>
      <c r="E1108" s="66"/>
      <c r="F1108" s="67"/>
      <c r="G1108" s="60"/>
      <c r="H1108" s="60"/>
      <c r="I1108" s="61"/>
      <c r="J1108" s="61"/>
      <c r="K1108" s="61"/>
      <c r="L1108" s="73" t="str">
        <f>IF($E1108="","",DATE(YEAR($E1108),MONTH($E1108),1))</f>
        <v/>
      </c>
      <c r="M1108" s="65" t="str">
        <f ca="1">IF($D1108="","",IF($C1108="TANIMSIZ MÜŞTERİ","HATA",IF(OR($E1108="",$F1108&lt;=0,$G1108=""),"EKSİK",IF($E1108&gt;TODAY(),"İLERİ TARİH",IF(COUNTIF($S$7:$S$2503,$S1108)&gt;1,"MÜKERRER?",IF($T1108&gt;0,"KAPALI DÖNEM","UYGUN"))))))</f>
        <v/>
      </c>
      <c r="N1108" s="74" t="str">
        <f>IF($C1108="","",IF($C1108="TANIMSIZ MÜŞTERİ","—",INDEX(MUSTERILER!$C$7:$C$156,MATCH($C1108,MUSTERILER!$B$7:$B$156,0))))</f>
        <v/>
      </c>
      <c r="O1108" s="2"/>
      <c r="P1108" s="2"/>
      <c r="Q1108" s="1" t="str">
        <f>IF($D1108="","",$C1108&amp;"|"&amp;COUNTIFS($C$7:$C1108,$C1108))</f>
        <v/>
      </c>
      <c r="R1108" s="1" t="str">
        <f t="shared" si="34"/>
        <v/>
      </c>
      <c r="S1108" s="1" t="str">
        <f t="shared" si="35"/>
        <v/>
      </c>
      <c r="T1108" s="1">
        <f>IF($E1108="",0,SUMPRODUCT((AY_SONU!$O$7:$O$42="Evet")*(AY_SONU!$B$7:$B$42=DATE(YEAR($E1108),MONTH($E1108),1))))</f>
        <v>0</v>
      </c>
      <c r="U1108" s="1" t="str">
        <f>IF(OR($G1108="",$H1108="Mahsup"),"",$G1108&amp;"|"&amp;COUNTIFS($G$7:$G1108,$G1108,$H$7:$H1108,"&lt;&gt;Mahsup"))</f>
        <v/>
      </c>
    </row>
    <row r="1109" spans="1:21" ht="18" customHeight="1" x14ac:dyDescent="0.3">
      <c r="A1109" s="2"/>
      <c r="B1109" s="65" t="str">
        <f>IF($D1109="","","T"&amp;TEXT(ROW()-6,"00000"))</f>
        <v/>
      </c>
      <c r="C1109" s="65" t="str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61"/>
      <c r="E1109" s="66"/>
      <c r="F1109" s="67"/>
      <c r="G1109" s="60"/>
      <c r="H1109" s="60"/>
      <c r="I1109" s="61"/>
      <c r="J1109" s="61"/>
      <c r="K1109" s="61"/>
      <c r="L1109" s="73" t="str">
        <f>IF($E1109="","",DATE(YEAR($E1109),MONTH($E1109),1))</f>
        <v/>
      </c>
      <c r="M1109" s="65" t="str">
        <f ca="1">IF($D1109="","",IF($C1109="TANIMSIZ MÜŞTERİ","HATA",IF(OR($E1109="",$F1109&lt;=0,$G1109=""),"EKSİK",IF($E1109&gt;TODAY(),"İLERİ TARİH",IF(COUNTIF($S$7:$S$2503,$S1109)&gt;1,"MÜKERRER?",IF($T1109&gt;0,"KAPALI DÖNEM","UYGUN"))))))</f>
        <v/>
      </c>
      <c r="N1109" s="74" t="str">
        <f>IF($C1109="","",IF($C1109="TANIMSIZ MÜŞTERİ","—",INDEX(MUSTERILER!$C$7:$C$156,MATCH($C1109,MUSTERILER!$B$7:$B$156,0))))</f>
        <v/>
      </c>
      <c r="O1109" s="2"/>
      <c r="P1109" s="2"/>
      <c r="Q1109" s="1" t="str">
        <f>IF($D1109="","",$C1109&amp;"|"&amp;COUNTIFS($C$7:$C1109,$C1109))</f>
        <v/>
      </c>
      <c r="R1109" s="1" t="str">
        <f t="shared" si="34"/>
        <v/>
      </c>
      <c r="S1109" s="1" t="str">
        <f t="shared" si="35"/>
        <v/>
      </c>
      <c r="T1109" s="1">
        <f>IF($E1109="",0,SUMPRODUCT((AY_SONU!$O$7:$O$42="Evet")*(AY_SONU!$B$7:$B$42=DATE(YEAR($E1109),MONTH($E1109),1))))</f>
        <v>0</v>
      </c>
      <c r="U1109" s="1" t="str">
        <f>IF(OR($G1109="",$H1109="Mahsup"),"",$G1109&amp;"|"&amp;COUNTIFS($G$7:$G1109,$G1109,$H$7:$H1109,"&lt;&gt;Mahsup"))</f>
        <v/>
      </c>
    </row>
    <row r="1110" spans="1:21" ht="18" customHeight="1" x14ac:dyDescent="0.3">
      <c r="A1110" s="2"/>
      <c r="B1110" s="65" t="str">
        <f>IF($D1110="","","T"&amp;TEXT(ROW()-6,"00000"))</f>
        <v/>
      </c>
      <c r="C1110" s="65" t="str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61"/>
      <c r="E1110" s="66"/>
      <c r="F1110" s="67"/>
      <c r="G1110" s="60"/>
      <c r="H1110" s="60"/>
      <c r="I1110" s="61"/>
      <c r="J1110" s="61"/>
      <c r="K1110" s="61"/>
      <c r="L1110" s="73" t="str">
        <f>IF($E1110="","",DATE(YEAR($E1110),MONTH($E1110),1))</f>
        <v/>
      </c>
      <c r="M1110" s="65" t="str">
        <f ca="1">IF($D1110="","",IF($C1110="TANIMSIZ MÜŞTERİ","HATA",IF(OR($E1110="",$F1110&lt;=0,$G1110=""),"EKSİK",IF($E1110&gt;TODAY(),"İLERİ TARİH",IF(COUNTIF($S$7:$S$2503,$S1110)&gt;1,"MÜKERRER?",IF($T1110&gt;0,"KAPALI DÖNEM","UYGUN"))))))</f>
        <v/>
      </c>
      <c r="N1110" s="74" t="str">
        <f>IF($C1110="","",IF($C1110="TANIMSIZ MÜŞTERİ","—",INDEX(MUSTERILER!$C$7:$C$156,MATCH($C1110,MUSTERILER!$B$7:$B$156,0))))</f>
        <v/>
      </c>
      <c r="O1110" s="2"/>
      <c r="P1110" s="2"/>
      <c r="Q1110" s="1" t="str">
        <f>IF($D1110="","",$C1110&amp;"|"&amp;COUNTIFS($C$7:$C1110,$C1110))</f>
        <v/>
      </c>
      <c r="R1110" s="1" t="str">
        <f t="shared" si="34"/>
        <v/>
      </c>
      <c r="S1110" s="1" t="str">
        <f t="shared" si="35"/>
        <v/>
      </c>
      <c r="T1110" s="1">
        <f>IF($E1110="",0,SUMPRODUCT((AY_SONU!$O$7:$O$42="Evet")*(AY_SONU!$B$7:$B$42=DATE(YEAR($E1110),MONTH($E1110),1))))</f>
        <v>0</v>
      </c>
      <c r="U1110" s="1" t="str">
        <f>IF(OR($G1110="",$H1110="Mahsup"),"",$G1110&amp;"|"&amp;COUNTIFS($G$7:$G1110,$G1110,$H$7:$H1110,"&lt;&gt;Mahsup"))</f>
        <v/>
      </c>
    </row>
    <row r="1111" spans="1:21" ht="18" customHeight="1" x14ac:dyDescent="0.3">
      <c r="A1111" s="2"/>
      <c r="B1111" s="65" t="str">
        <f>IF($D1111="","","T"&amp;TEXT(ROW()-6,"00000"))</f>
        <v/>
      </c>
      <c r="C1111" s="65" t="str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61"/>
      <c r="E1111" s="66"/>
      <c r="F1111" s="67"/>
      <c r="G1111" s="60"/>
      <c r="H1111" s="60"/>
      <c r="I1111" s="61"/>
      <c r="J1111" s="61"/>
      <c r="K1111" s="61"/>
      <c r="L1111" s="73" t="str">
        <f>IF($E1111="","",DATE(YEAR($E1111),MONTH($E1111),1))</f>
        <v/>
      </c>
      <c r="M1111" s="65" t="str">
        <f ca="1">IF($D1111="","",IF($C1111="TANIMSIZ MÜŞTERİ","HATA",IF(OR($E1111="",$F1111&lt;=0,$G1111=""),"EKSİK",IF($E1111&gt;TODAY(),"İLERİ TARİH",IF(COUNTIF($S$7:$S$2503,$S1111)&gt;1,"MÜKERRER?",IF($T1111&gt;0,"KAPALI DÖNEM","UYGUN"))))))</f>
        <v/>
      </c>
      <c r="N1111" s="74" t="str">
        <f>IF($C1111="","",IF($C1111="TANIMSIZ MÜŞTERİ","—",INDEX(MUSTERILER!$C$7:$C$156,MATCH($C1111,MUSTERILER!$B$7:$B$156,0))))</f>
        <v/>
      </c>
      <c r="O1111" s="2"/>
      <c r="P1111" s="2"/>
      <c r="Q1111" s="1" t="str">
        <f>IF($D1111="","",$C1111&amp;"|"&amp;COUNTIFS($C$7:$C1111,$C1111))</f>
        <v/>
      </c>
      <c r="R1111" s="1" t="str">
        <f t="shared" si="34"/>
        <v/>
      </c>
      <c r="S1111" s="1" t="str">
        <f t="shared" si="35"/>
        <v/>
      </c>
      <c r="T1111" s="1">
        <f>IF($E1111="",0,SUMPRODUCT((AY_SONU!$O$7:$O$42="Evet")*(AY_SONU!$B$7:$B$42=DATE(YEAR($E1111),MONTH($E1111),1))))</f>
        <v>0</v>
      </c>
      <c r="U1111" s="1" t="str">
        <f>IF(OR($G1111="",$H1111="Mahsup"),"",$G1111&amp;"|"&amp;COUNTIFS($G$7:$G1111,$G1111,$H$7:$H1111,"&lt;&gt;Mahsup"))</f>
        <v/>
      </c>
    </row>
    <row r="1112" spans="1:21" ht="18" customHeight="1" x14ac:dyDescent="0.3">
      <c r="A1112" s="2"/>
      <c r="B1112" s="65" t="str">
        <f>IF($D1112="","","T"&amp;TEXT(ROW()-6,"00000"))</f>
        <v/>
      </c>
      <c r="C1112" s="65" t="str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61"/>
      <c r="E1112" s="66"/>
      <c r="F1112" s="67"/>
      <c r="G1112" s="60"/>
      <c r="H1112" s="60"/>
      <c r="I1112" s="61"/>
      <c r="J1112" s="61"/>
      <c r="K1112" s="61"/>
      <c r="L1112" s="73" t="str">
        <f>IF($E1112="","",DATE(YEAR($E1112),MONTH($E1112),1))</f>
        <v/>
      </c>
      <c r="M1112" s="65" t="str">
        <f ca="1">IF($D1112="","",IF($C1112="TANIMSIZ MÜŞTERİ","HATA",IF(OR($E1112="",$F1112&lt;=0,$G1112=""),"EKSİK",IF($E1112&gt;TODAY(),"İLERİ TARİH",IF(COUNTIF($S$7:$S$2503,$S1112)&gt;1,"MÜKERRER?",IF($T1112&gt;0,"KAPALI DÖNEM","UYGUN"))))))</f>
        <v/>
      </c>
      <c r="N1112" s="74" t="str">
        <f>IF($C1112="","",IF($C1112="TANIMSIZ MÜŞTERİ","—",INDEX(MUSTERILER!$C$7:$C$156,MATCH($C1112,MUSTERILER!$B$7:$B$156,0))))</f>
        <v/>
      </c>
      <c r="O1112" s="2"/>
      <c r="P1112" s="2"/>
      <c r="Q1112" s="1" t="str">
        <f>IF($D1112="","",$C1112&amp;"|"&amp;COUNTIFS($C$7:$C1112,$C1112))</f>
        <v/>
      </c>
      <c r="R1112" s="1" t="str">
        <f t="shared" si="34"/>
        <v/>
      </c>
      <c r="S1112" s="1" t="str">
        <f t="shared" si="35"/>
        <v/>
      </c>
      <c r="T1112" s="1">
        <f>IF($E1112="",0,SUMPRODUCT((AY_SONU!$O$7:$O$42="Evet")*(AY_SONU!$B$7:$B$42=DATE(YEAR($E1112),MONTH($E1112),1))))</f>
        <v>0</v>
      </c>
      <c r="U1112" s="1" t="str">
        <f>IF(OR($G1112="",$H1112="Mahsup"),"",$G1112&amp;"|"&amp;COUNTIFS($G$7:$G1112,$G1112,$H$7:$H1112,"&lt;&gt;Mahsup"))</f>
        <v/>
      </c>
    </row>
    <row r="1113" spans="1:21" ht="18" customHeight="1" x14ac:dyDescent="0.3">
      <c r="A1113" s="2"/>
      <c r="B1113" s="65" t="str">
        <f>IF($D1113="","","T"&amp;TEXT(ROW()-6,"00000"))</f>
        <v/>
      </c>
      <c r="C1113" s="65" t="str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61"/>
      <c r="E1113" s="66"/>
      <c r="F1113" s="67"/>
      <c r="G1113" s="60"/>
      <c r="H1113" s="60"/>
      <c r="I1113" s="61"/>
      <c r="J1113" s="61"/>
      <c r="K1113" s="61"/>
      <c r="L1113" s="73" t="str">
        <f>IF($E1113="","",DATE(YEAR($E1113),MONTH($E1113),1))</f>
        <v/>
      </c>
      <c r="M1113" s="65" t="str">
        <f ca="1">IF($D1113="","",IF($C1113="TANIMSIZ MÜŞTERİ","HATA",IF(OR($E1113="",$F1113&lt;=0,$G1113=""),"EKSİK",IF($E1113&gt;TODAY(),"İLERİ TARİH",IF(COUNTIF($S$7:$S$2503,$S1113)&gt;1,"MÜKERRER?",IF($T1113&gt;0,"KAPALI DÖNEM","UYGUN"))))))</f>
        <v/>
      </c>
      <c r="N1113" s="74" t="str">
        <f>IF($C1113="","",IF($C1113="TANIMSIZ MÜŞTERİ","—",INDEX(MUSTERILER!$C$7:$C$156,MATCH($C1113,MUSTERILER!$B$7:$B$156,0))))</f>
        <v/>
      </c>
      <c r="O1113" s="2"/>
      <c r="P1113" s="2"/>
      <c r="Q1113" s="1" t="str">
        <f>IF($D1113="","",$C1113&amp;"|"&amp;COUNTIFS($C$7:$C1113,$C1113))</f>
        <v/>
      </c>
      <c r="R1113" s="1" t="str">
        <f t="shared" si="34"/>
        <v/>
      </c>
      <c r="S1113" s="1" t="str">
        <f t="shared" si="35"/>
        <v/>
      </c>
      <c r="T1113" s="1">
        <f>IF($E1113="",0,SUMPRODUCT((AY_SONU!$O$7:$O$42="Evet")*(AY_SONU!$B$7:$B$42=DATE(YEAR($E1113),MONTH($E1113),1))))</f>
        <v>0</v>
      </c>
      <c r="U1113" s="1" t="str">
        <f>IF(OR($G1113="",$H1113="Mahsup"),"",$G1113&amp;"|"&amp;COUNTIFS($G$7:$G1113,$G1113,$H$7:$H1113,"&lt;&gt;Mahsup"))</f>
        <v/>
      </c>
    </row>
    <row r="1114" spans="1:21" ht="18" customHeight="1" x14ac:dyDescent="0.3">
      <c r="A1114" s="2"/>
      <c r="B1114" s="65" t="str">
        <f>IF($D1114="","","T"&amp;TEXT(ROW()-6,"00000"))</f>
        <v/>
      </c>
      <c r="C1114" s="65" t="str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61"/>
      <c r="E1114" s="66"/>
      <c r="F1114" s="67"/>
      <c r="G1114" s="60"/>
      <c r="H1114" s="60"/>
      <c r="I1114" s="61"/>
      <c r="J1114" s="61"/>
      <c r="K1114" s="61"/>
      <c r="L1114" s="73" t="str">
        <f>IF($E1114="","",DATE(YEAR($E1114),MONTH($E1114),1))</f>
        <v/>
      </c>
      <c r="M1114" s="65" t="str">
        <f ca="1">IF($D1114="","",IF($C1114="TANIMSIZ MÜŞTERİ","HATA",IF(OR($E1114="",$F1114&lt;=0,$G1114=""),"EKSİK",IF($E1114&gt;TODAY(),"İLERİ TARİH",IF(COUNTIF($S$7:$S$2503,$S1114)&gt;1,"MÜKERRER?",IF($T1114&gt;0,"KAPALI DÖNEM","UYGUN"))))))</f>
        <v/>
      </c>
      <c r="N1114" s="74" t="str">
        <f>IF($C1114="","",IF($C1114="TANIMSIZ MÜŞTERİ","—",INDEX(MUSTERILER!$C$7:$C$156,MATCH($C1114,MUSTERILER!$B$7:$B$156,0))))</f>
        <v/>
      </c>
      <c r="O1114" s="2"/>
      <c r="P1114" s="2"/>
      <c r="Q1114" s="1" t="str">
        <f>IF($D1114="","",$C1114&amp;"|"&amp;COUNTIFS($C$7:$C1114,$C1114))</f>
        <v/>
      </c>
      <c r="R1114" s="1" t="str">
        <f t="shared" si="34"/>
        <v/>
      </c>
      <c r="S1114" s="1" t="str">
        <f t="shared" si="35"/>
        <v/>
      </c>
      <c r="T1114" s="1">
        <f>IF($E1114="",0,SUMPRODUCT((AY_SONU!$O$7:$O$42="Evet")*(AY_SONU!$B$7:$B$42=DATE(YEAR($E1114),MONTH($E1114),1))))</f>
        <v>0</v>
      </c>
      <c r="U1114" s="1" t="str">
        <f>IF(OR($G1114="",$H1114="Mahsup"),"",$G1114&amp;"|"&amp;COUNTIFS($G$7:$G1114,$G1114,$H$7:$H1114,"&lt;&gt;Mahsup"))</f>
        <v/>
      </c>
    </row>
    <row r="1115" spans="1:21" ht="18" customHeight="1" x14ac:dyDescent="0.3">
      <c r="A1115" s="2"/>
      <c r="B1115" s="65" t="str">
        <f>IF($D1115="","","T"&amp;TEXT(ROW()-6,"00000"))</f>
        <v/>
      </c>
      <c r="C1115" s="65" t="str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61"/>
      <c r="E1115" s="66"/>
      <c r="F1115" s="67"/>
      <c r="G1115" s="60"/>
      <c r="H1115" s="60"/>
      <c r="I1115" s="61"/>
      <c r="J1115" s="61"/>
      <c r="K1115" s="61"/>
      <c r="L1115" s="73" t="str">
        <f>IF($E1115="","",DATE(YEAR($E1115),MONTH($E1115),1))</f>
        <v/>
      </c>
      <c r="M1115" s="65" t="str">
        <f ca="1">IF($D1115="","",IF($C1115="TANIMSIZ MÜŞTERİ","HATA",IF(OR($E1115="",$F1115&lt;=0,$G1115=""),"EKSİK",IF($E1115&gt;TODAY(),"İLERİ TARİH",IF(COUNTIF($S$7:$S$2503,$S1115)&gt;1,"MÜKERRER?",IF($T1115&gt;0,"KAPALI DÖNEM","UYGUN"))))))</f>
        <v/>
      </c>
      <c r="N1115" s="74" t="str">
        <f>IF($C1115="","",IF($C1115="TANIMSIZ MÜŞTERİ","—",INDEX(MUSTERILER!$C$7:$C$156,MATCH($C1115,MUSTERILER!$B$7:$B$156,0))))</f>
        <v/>
      </c>
      <c r="O1115" s="2"/>
      <c r="P1115" s="2"/>
      <c r="Q1115" s="1" t="str">
        <f>IF($D1115="","",$C1115&amp;"|"&amp;COUNTIFS($C$7:$C1115,$C1115))</f>
        <v/>
      </c>
      <c r="R1115" s="1" t="str">
        <f t="shared" si="34"/>
        <v/>
      </c>
      <c r="S1115" s="1" t="str">
        <f t="shared" si="35"/>
        <v/>
      </c>
      <c r="T1115" s="1">
        <f>IF($E1115="",0,SUMPRODUCT((AY_SONU!$O$7:$O$42="Evet")*(AY_SONU!$B$7:$B$42=DATE(YEAR($E1115),MONTH($E1115),1))))</f>
        <v>0</v>
      </c>
      <c r="U1115" s="1" t="str">
        <f>IF(OR($G1115="",$H1115="Mahsup"),"",$G1115&amp;"|"&amp;COUNTIFS($G$7:$G1115,$G1115,$H$7:$H1115,"&lt;&gt;Mahsup"))</f>
        <v/>
      </c>
    </row>
    <row r="1116" spans="1:21" ht="18" customHeight="1" x14ac:dyDescent="0.3">
      <c r="A1116" s="2"/>
      <c r="B1116" s="65" t="str">
        <f>IF($D1116="","","T"&amp;TEXT(ROW()-6,"00000"))</f>
        <v/>
      </c>
      <c r="C1116" s="65" t="str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61"/>
      <c r="E1116" s="66"/>
      <c r="F1116" s="67"/>
      <c r="G1116" s="60"/>
      <c r="H1116" s="60"/>
      <c r="I1116" s="61"/>
      <c r="J1116" s="61"/>
      <c r="K1116" s="61"/>
      <c r="L1116" s="73" t="str">
        <f>IF($E1116="","",DATE(YEAR($E1116),MONTH($E1116),1))</f>
        <v/>
      </c>
      <c r="M1116" s="65" t="str">
        <f ca="1">IF($D1116="","",IF($C1116="TANIMSIZ MÜŞTERİ","HATA",IF(OR($E1116="",$F1116&lt;=0,$G1116=""),"EKSİK",IF($E1116&gt;TODAY(),"İLERİ TARİH",IF(COUNTIF($S$7:$S$2503,$S1116)&gt;1,"MÜKERRER?",IF($T1116&gt;0,"KAPALI DÖNEM","UYGUN"))))))</f>
        <v/>
      </c>
      <c r="N1116" s="74" t="str">
        <f>IF($C1116="","",IF($C1116="TANIMSIZ MÜŞTERİ","—",INDEX(MUSTERILER!$C$7:$C$156,MATCH($C1116,MUSTERILER!$B$7:$B$156,0))))</f>
        <v/>
      </c>
      <c r="O1116" s="2"/>
      <c r="P1116" s="2"/>
      <c r="Q1116" s="1" t="str">
        <f>IF($D1116="","",$C1116&amp;"|"&amp;COUNTIFS($C$7:$C1116,$C1116))</f>
        <v/>
      </c>
      <c r="R1116" s="1" t="str">
        <f t="shared" si="34"/>
        <v/>
      </c>
      <c r="S1116" s="1" t="str">
        <f t="shared" si="35"/>
        <v/>
      </c>
      <c r="T1116" s="1">
        <f>IF($E1116="",0,SUMPRODUCT((AY_SONU!$O$7:$O$42="Evet")*(AY_SONU!$B$7:$B$42=DATE(YEAR($E1116),MONTH($E1116),1))))</f>
        <v>0</v>
      </c>
      <c r="U1116" s="1" t="str">
        <f>IF(OR($G1116="",$H1116="Mahsup"),"",$G1116&amp;"|"&amp;COUNTIFS($G$7:$G1116,$G1116,$H$7:$H1116,"&lt;&gt;Mahsup"))</f>
        <v/>
      </c>
    </row>
    <row r="1117" spans="1:21" ht="18" customHeight="1" x14ac:dyDescent="0.3">
      <c r="A1117" s="2"/>
      <c r="B1117" s="65" t="str">
        <f>IF($D1117="","","T"&amp;TEXT(ROW()-6,"00000"))</f>
        <v/>
      </c>
      <c r="C1117" s="65" t="str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61"/>
      <c r="E1117" s="66"/>
      <c r="F1117" s="67"/>
      <c r="G1117" s="60"/>
      <c r="H1117" s="60"/>
      <c r="I1117" s="61"/>
      <c r="J1117" s="61"/>
      <c r="K1117" s="61"/>
      <c r="L1117" s="73" t="str">
        <f>IF($E1117="","",DATE(YEAR($E1117),MONTH($E1117),1))</f>
        <v/>
      </c>
      <c r="M1117" s="65" t="str">
        <f ca="1">IF($D1117="","",IF($C1117="TANIMSIZ MÜŞTERİ","HATA",IF(OR($E1117="",$F1117&lt;=0,$G1117=""),"EKSİK",IF($E1117&gt;TODAY(),"İLERİ TARİH",IF(COUNTIF($S$7:$S$2503,$S1117)&gt;1,"MÜKERRER?",IF($T1117&gt;0,"KAPALI DÖNEM","UYGUN"))))))</f>
        <v/>
      </c>
      <c r="N1117" s="74" t="str">
        <f>IF($C1117="","",IF($C1117="TANIMSIZ MÜŞTERİ","—",INDEX(MUSTERILER!$C$7:$C$156,MATCH($C1117,MUSTERILER!$B$7:$B$156,0))))</f>
        <v/>
      </c>
      <c r="O1117" s="2"/>
      <c r="P1117" s="2"/>
      <c r="Q1117" s="1" t="str">
        <f>IF($D1117="","",$C1117&amp;"|"&amp;COUNTIFS($C$7:$C1117,$C1117))</f>
        <v/>
      </c>
      <c r="R1117" s="1" t="str">
        <f t="shared" si="34"/>
        <v/>
      </c>
      <c r="S1117" s="1" t="str">
        <f t="shared" si="35"/>
        <v/>
      </c>
      <c r="T1117" s="1">
        <f>IF($E1117="",0,SUMPRODUCT((AY_SONU!$O$7:$O$42="Evet")*(AY_SONU!$B$7:$B$42=DATE(YEAR($E1117),MONTH($E1117),1))))</f>
        <v>0</v>
      </c>
      <c r="U1117" s="1" t="str">
        <f>IF(OR($G1117="",$H1117="Mahsup"),"",$G1117&amp;"|"&amp;COUNTIFS($G$7:$G1117,$G1117,$H$7:$H1117,"&lt;&gt;Mahsup"))</f>
        <v/>
      </c>
    </row>
    <row r="1118" spans="1:21" ht="18" customHeight="1" x14ac:dyDescent="0.3">
      <c r="A1118" s="2"/>
      <c r="B1118" s="65" t="str">
        <f>IF($D1118="","","T"&amp;TEXT(ROW()-6,"00000"))</f>
        <v/>
      </c>
      <c r="C1118" s="65" t="str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61"/>
      <c r="E1118" s="66"/>
      <c r="F1118" s="67"/>
      <c r="G1118" s="60"/>
      <c r="H1118" s="60"/>
      <c r="I1118" s="61"/>
      <c r="J1118" s="61"/>
      <c r="K1118" s="61"/>
      <c r="L1118" s="73" t="str">
        <f>IF($E1118="","",DATE(YEAR($E1118),MONTH($E1118),1))</f>
        <v/>
      </c>
      <c r="M1118" s="65" t="str">
        <f ca="1">IF($D1118="","",IF($C1118="TANIMSIZ MÜŞTERİ","HATA",IF(OR($E1118="",$F1118&lt;=0,$G1118=""),"EKSİK",IF($E1118&gt;TODAY(),"İLERİ TARİH",IF(COUNTIF($S$7:$S$2503,$S1118)&gt;1,"MÜKERRER?",IF($T1118&gt;0,"KAPALI DÖNEM","UYGUN"))))))</f>
        <v/>
      </c>
      <c r="N1118" s="74" t="str">
        <f>IF($C1118="","",IF($C1118="TANIMSIZ MÜŞTERİ","—",INDEX(MUSTERILER!$C$7:$C$156,MATCH($C1118,MUSTERILER!$B$7:$B$156,0))))</f>
        <v/>
      </c>
      <c r="O1118" s="2"/>
      <c r="P1118" s="2"/>
      <c r="Q1118" s="1" t="str">
        <f>IF($D1118="","",$C1118&amp;"|"&amp;COUNTIFS($C$7:$C1118,$C1118))</f>
        <v/>
      </c>
      <c r="R1118" s="1" t="str">
        <f t="shared" si="34"/>
        <v/>
      </c>
      <c r="S1118" s="1" t="str">
        <f t="shared" si="35"/>
        <v/>
      </c>
      <c r="T1118" s="1">
        <f>IF($E1118="",0,SUMPRODUCT((AY_SONU!$O$7:$O$42="Evet")*(AY_SONU!$B$7:$B$42=DATE(YEAR($E1118),MONTH($E1118),1))))</f>
        <v>0</v>
      </c>
      <c r="U1118" s="1" t="str">
        <f>IF(OR($G1118="",$H1118="Mahsup"),"",$G1118&amp;"|"&amp;COUNTIFS($G$7:$G1118,$G1118,$H$7:$H1118,"&lt;&gt;Mahsup"))</f>
        <v/>
      </c>
    </row>
    <row r="1119" spans="1:21" ht="18" customHeight="1" x14ac:dyDescent="0.3">
      <c r="A1119" s="2"/>
      <c r="B1119" s="65" t="str">
        <f>IF($D1119="","","T"&amp;TEXT(ROW()-6,"00000"))</f>
        <v/>
      </c>
      <c r="C1119" s="65" t="str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61"/>
      <c r="E1119" s="66"/>
      <c r="F1119" s="67"/>
      <c r="G1119" s="60"/>
      <c r="H1119" s="60"/>
      <c r="I1119" s="61"/>
      <c r="J1119" s="61"/>
      <c r="K1119" s="61"/>
      <c r="L1119" s="73" t="str">
        <f>IF($E1119="","",DATE(YEAR($E1119),MONTH($E1119),1))</f>
        <v/>
      </c>
      <c r="M1119" s="65" t="str">
        <f ca="1">IF($D1119="","",IF($C1119="TANIMSIZ MÜŞTERİ","HATA",IF(OR($E1119="",$F1119&lt;=0,$G1119=""),"EKSİK",IF($E1119&gt;TODAY(),"İLERİ TARİH",IF(COUNTIF($S$7:$S$2503,$S1119)&gt;1,"MÜKERRER?",IF($T1119&gt;0,"KAPALI DÖNEM","UYGUN"))))))</f>
        <v/>
      </c>
      <c r="N1119" s="74" t="str">
        <f>IF($C1119="","",IF($C1119="TANIMSIZ MÜŞTERİ","—",INDEX(MUSTERILER!$C$7:$C$156,MATCH($C1119,MUSTERILER!$B$7:$B$156,0))))</f>
        <v/>
      </c>
      <c r="O1119" s="2"/>
      <c r="P1119" s="2"/>
      <c r="Q1119" s="1" t="str">
        <f>IF($D1119="","",$C1119&amp;"|"&amp;COUNTIFS($C$7:$C1119,$C1119))</f>
        <v/>
      </c>
      <c r="R1119" s="1" t="str">
        <f t="shared" si="34"/>
        <v/>
      </c>
      <c r="S1119" s="1" t="str">
        <f t="shared" si="35"/>
        <v/>
      </c>
      <c r="T1119" s="1">
        <f>IF($E1119="",0,SUMPRODUCT((AY_SONU!$O$7:$O$42="Evet")*(AY_SONU!$B$7:$B$42=DATE(YEAR($E1119),MONTH($E1119),1))))</f>
        <v>0</v>
      </c>
      <c r="U1119" s="1" t="str">
        <f>IF(OR($G1119="",$H1119="Mahsup"),"",$G1119&amp;"|"&amp;COUNTIFS($G$7:$G1119,$G1119,$H$7:$H1119,"&lt;&gt;Mahsup"))</f>
        <v/>
      </c>
    </row>
    <row r="1120" spans="1:21" ht="18" customHeight="1" x14ac:dyDescent="0.3">
      <c r="A1120" s="2"/>
      <c r="B1120" s="65" t="str">
        <f>IF($D1120="","","T"&amp;TEXT(ROW()-6,"00000"))</f>
        <v/>
      </c>
      <c r="C1120" s="65" t="str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61"/>
      <c r="E1120" s="66"/>
      <c r="F1120" s="67"/>
      <c r="G1120" s="60"/>
      <c r="H1120" s="60"/>
      <c r="I1120" s="61"/>
      <c r="J1120" s="61"/>
      <c r="K1120" s="61"/>
      <c r="L1120" s="73" t="str">
        <f>IF($E1120="","",DATE(YEAR($E1120),MONTH($E1120),1))</f>
        <v/>
      </c>
      <c r="M1120" s="65" t="str">
        <f ca="1">IF($D1120="","",IF($C1120="TANIMSIZ MÜŞTERİ","HATA",IF(OR($E1120="",$F1120&lt;=0,$G1120=""),"EKSİK",IF($E1120&gt;TODAY(),"İLERİ TARİH",IF(COUNTIF($S$7:$S$2503,$S1120)&gt;1,"MÜKERRER?",IF($T1120&gt;0,"KAPALI DÖNEM","UYGUN"))))))</f>
        <v/>
      </c>
      <c r="N1120" s="74" t="str">
        <f>IF($C1120="","",IF($C1120="TANIMSIZ MÜŞTERİ","—",INDEX(MUSTERILER!$C$7:$C$156,MATCH($C1120,MUSTERILER!$B$7:$B$156,0))))</f>
        <v/>
      </c>
      <c r="O1120" s="2"/>
      <c r="P1120" s="2"/>
      <c r="Q1120" s="1" t="str">
        <f>IF($D1120="","",$C1120&amp;"|"&amp;COUNTIFS($C$7:$C1120,$C1120))</f>
        <v/>
      </c>
      <c r="R1120" s="1" t="str">
        <f t="shared" si="34"/>
        <v/>
      </c>
      <c r="S1120" s="1" t="str">
        <f t="shared" si="35"/>
        <v/>
      </c>
      <c r="T1120" s="1">
        <f>IF($E1120="",0,SUMPRODUCT((AY_SONU!$O$7:$O$42="Evet")*(AY_SONU!$B$7:$B$42=DATE(YEAR($E1120),MONTH($E1120),1))))</f>
        <v>0</v>
      </c>
      <c r="U1120" s="1" t="str">
        <f>IF(OR($G1120="",$H1120="Mahsup"),"",$G1120&amp;"|"&amp;COUNTIFS($G$7:$G1120,$G1120,$H$7:$H1120,"&lt;&gt;Mahsup"))</f>
        <v/>
      </c>
    </row>
    <row r="1121" spans="1:21" ht="18" customHeight="1" x14ac:dyDescent="0.3">
      <c r="A1121" s="2"/>
      <c r="B1121" s="65" t="str">
        <f>IF($D1121="","","T"&amp;TEXT(ROW()-6,"00000"))</f>
        <v/>
      </c>
      <c r="C1121" s="65" t="str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61"/>
      <c r="E1121" s="66"/>
      <c r="F1121" s="67"/>
      <c r="G1121" s="60"/>
      <c r="H1121" s="60"/>
      <c r="I1121" s="61"/>
      <c r="J1121" s="61"/>
      <c r="K1121" s="61"/>
      <c r="L1121" s="73" t="str">
        <f>IF($E1121="","",DATE(YEAR($E1121),MONTH($E1121),1))</f>
        <v/>
      </c>
      <c r="M1121" s="65" t="str">
        <f ca="1">IF($D1121="","",IF($C1121="TANIMSIZ MÜŞTERİ","HATA",IF(OR($E1121="",$F1121&lt;=0,$G1121=""),"EKSİK",IF($E1121&gt;TODAY(),"İLERİ TARİH",IF(COUNTIF($S$7:$S$2503,$S1121)&gt;1,"MÜKERRER?",IF($T1121&gt;0,"KAPALI DÖNEM","UYGUN"))))))</f>
        <v/>
      </c>
      <c r="N1121" s="74" t="str">
        <f>IF($C1121="","",IF($C1121="TANIMSIZ MÜŞTERİ","—",INDEX(MUSTERILER!$C$7:$C$156,MATCH($C1121,MUSTERILER!$B$7:$B$156,0))))</f>
        <v/>
      </c>
      <c r="O1121" s="2"/>
      <c r="P1121" s="2"/>
      <c r="Q1121" s="1" t="str">
        <f>IF($D1121="","",$C1121&amp;"|"&amp;COUNTIFS($C$7:$C1121,$C1121))</f>
        <v/>
      </c>
      <c r="R1121" s="1" t="str">
        <f t="shared" si="34"/>
        <v/>
      </c>
      <c r="S1121" s="1" t="str">
        <f t="shared" si="35"/>
        <v/>
      </c>
      <c r="T1121" s="1">
        <f>IF($E1121="",0,SUMPRODUCT((AY_SONU!$O$7:$O$42="Evet")*(AY_SONU!$B$7:$B$42=DATE(YEAR($E1121),MONTH($E1121),1))))</f>
        <v>0</v>
      </c>
      <c r="U1121" s="1" t="str">
        <f>IF(OR($G1121="",$H1121="Mahsup"),"",$G1121&amp;"|"&amp;COUNTIFS($G$7:$G1121,$G1121,$H$7:$H1121,"&lt;&gt;Mahsup"))</f>
        <v/>
      </c>
    </row>
    <row r="1122" spans="1:21" ht="18" customHeight="1" x14ac:dyDescent="0.3">
      <c r="A1122" s="2"/>
      <c r="B1122" s="65" t="str">
        <f>IF($D1122="","","T"&amp;TEXT(ROW()-6,"00000"))</f>
        <v/>
      </c>
      <c r="C1122" s="65" t="str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61"/>
      <c r="E1122" s="66"/>
      <c r="F1122" s="67"/>
      <c r="G1122" s="60"/>
      <c r="H1122" s="60"/>
      <c r="I1122" s="61"/>
      <c r="J1122" s="61"/>
      <c r="K1122" s="61"/>
      <c r="L1122" s="73" t="str">
        <f>IF($E1122="","",DATE(YEAR($E1122),MONTH($E1122),1))</f>
        <v/>
      </c>
      <c r="M1122" s="65" t="str">
        <f ca="1">IF($D1122="","",IF($C1122="TANIMSIZ MÜŞTERİ","HATA",IF(OR($E1122="",$F1122&lt;=0,$G1122=""),"EKSİK",IF($E1122&gt;TODAY(),"İLERİ TARİH",IF(COUNTIF($S$7:$S$2503,$S1122)&gt;1,"MÜKERRER?",IF($T1122&gt;0,"KAPALI DÖNEM","UYGUN"))))))</f>
        <v/>
      </c>
      <c r="N1122" s="74" t="str">
        <f>IF($C1122="","",IF($C1122="TANIMSIZ MÜŞTERİ","—",INDEX(MUSTERILER!$C$7:$C$156,MATCH($C1122,MUSTERILER!$B$7:$B$156,0))))</f>
        <v/>
      </c>
      <c r="O1122" s="2"/>
      <c r="P1122" s="2"/>
      <c r="Q1122" s="1" t="str">
        <f>IF($D1122="","",$C1122&amp;"|"&amp;COUNTIFS($C$7:$C1122,$C1122))</f>
        <v/>
      </c>
      <c r="R1122" s="1" t="str">
        <f t="shared" si="34"/>
        <v/>
      </c>
      <c r="S1122" s="1" t="str">
        <f t="shared" si="35"/>
        <v/>
      </c>
      <c r="T1122" s="1">
        <f>IF($E1122="",0,SUMPRODUCT((AY_SONU!$O$7:$O$42="Evet")*(AY_SONU!$B$7:$B$42=DATE(YEAR($E1122),MONTH($E1122),1))))</f>
        <v>0</v>
      </c>
      <c r="U1122" s="1" t="str">
        <f>IF(OR($G1122="",$H1122="Mahsup"),"",$G1122&amp;"|"&amp;COUNTIFS($G$7:$G1122,$G1122,$H$7:$H1122,"&lt;&gt;Mahsup"))</f>
        <v/>
      </c>
    </row>
    <row r="1123" spans="1:21" ht="18" customHeight="1" x14ac:dyDescent="0.3">
      <c r="A1123" s="2"/>
      <c r="B1123" s="65" t="str">
        <f>IF($D1123="","","T"&amp;TEXT(ROW()-6,"00000"))</f>
        <v/>
      </c>
      <c r="C1123" s="65" t="str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61"/>
      <c r="E1123" s="66"/>
      <c r="F1123" s="67"/>
      <c r="G1123" s="60"/>
      <c r="H1123" s="60"/>
      <c r="I1123" s="61"/>
      <c r="J1123" s="61"/>
      <c r="K1123" s="61"/>
      <c r="L1123" s="73" t="str">
        <f>IF($E1123="","",DATE(YEAR($E1123),MONTH($E1123),1))</f>
        <v/>
      </c>
      <c r="M1123" s="65" t="str">
        <f ca="1">IF($D1123="","",IF($C1123="TANIMSIZ MÜŞTERİ","HATA",IF(OR($E1123="",$F1123&lt;=0,$G1123=""),"EKSİK",IF($E1123&gt;TODAY(),"İLERİ TARİH",IF(COUNTIF($S$7:$S$2503,$S1123)&gt;1,"MÜKERRER?",IF($T1123&gt;0,"KAPALI DÖNEM","UYGUN"))))))</f>
        <v/>
      </c>
      <c r="N1123" s="74" t="str">
        <f>IF($C1123="","",IF($C1123="TANIMSIZ MÜŞTERİ","—",INDEX(MUSTERILER!$C$7:$C$156,MATCH($C1123,MUSTERILER!$B$7:$B$156,0))))</f>
        <v/>
      </c>
      <c r="O1123" s="2"/>
      <c r="P1123" s="2"/>
      <c r="Q1123" s="1" t="str">
        <f>IF($D1123="","",$C1123&amp;"|"&amp;COUNTIFS($C$7:$C1123,$C1123))</f>
        <v/>
      </c>
      <c r="R1123" s="1" t="str">
        <f t="shared" si="34"/>
        <v/>
      </c>
      <c r="S1123" s="1" t="str">
        <f t="shared" si="35"/>
        <v/>
      </c>
      <c r="T1123" s="1">
        <f>IF($E1123="",0,SUMPRODUCT((AY_SONU!$O$7:$O$42="Evet")*(AY_SONU!$B$7:$B$42=DATE(YEAR($E1123),MONTH($E1123),1))))</f>
        <v>0</v>
      </c>
      <c r="U1123" s="1" t="str">
        <f>IF(OR($G1123="",$H1123="Mahsup"),"",$G1123&amp;"|"&amp;COUNTIFS($G$7:$G1123,$G1123,$H$7:$H1123,"&lt;&gt;Mahsup"))</f>
        <v/>
      </c>
    </row>
    <row r="1124" spans="1:21" ht="18" customHeight="1" x14ac:dyDescent="0.3">
      <c r="A1124" s="2"/>
      <c r="B1124" s="65" t="str">
        <f>IF($D1124="","","T"&amp;TEXT(ROW()-6,"00000"))</f>
        <v/>
      </c>
      <c r="C1124" s="65" t="str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61"/>
      <c r="E1124" s="66"/>
      <c r="F1124" s="67"/>
      <c r="G1124" s="60"/>
      <c r="H1124" s="60"/>
      <c r="I1124" s="61"/>
      <c r="J1124" s="61"/>
      <c r="K1124" s="61"/>
      <c r="L1124" s="73" t="str">
        <f>IF($E1124="","",DATE(YEAR($E1124),MONTH($E1124),1))</f>
        <v/>
      </c>
      <c r="M1124" s="65" t="str">
        <f ca="1">IF($D1124="","",IF($C1124="TANIMSIZ MÜŞTERİ","HATA",IF(OR($E1124="",$F1124&lt;=0,$G1124=""),"EKSİK",IF($E1124&gt;TODAY(),"İLERİ TARİH",IF(COUNTIF($S$7:$S$2503,$S1124)&gt;1,"MÜKERRER?",IF($T1124&gt;0,"KAPALI DÖNEM","UYGUN"))))))</f>
        <v/>
      </c>
      <c r="N1124" s="74" t="str">
        <f>IF($C1124="","",IF($C1124="TANIMSIZ MÜŞTERİ","—",INDEX(MUSTERILER!$C$7:$C$156,MATCH($C1124,MUSTERILER!$B$7:$B$156,0))))</f>
        <v/>
      </c>
      <c r="O1124" s="2"/>
      <c r="P1124" s="2"/>
      <c r="Q1124" s="1" t="str">
        <f>IF($D1124="","",$C1124&amp;"|"&amp;COUNTIFS($C$7:$C1124,$C1124))</f>
        <v/>
      </c>
      <c r="R1124" s="1" t="str">
        <f t="shared" si="34"/>
        <v/>
      </c>
      <c r="S1124" s="1" t="str">
        <f t="shared" si="35"/>
        <v/>
      </c>
      <c r="T1124" s="1">
        <f>IF($E1124="",0,SUMPRODUCT((AY_SONU!$O$7:$O$42="Evet")*(AY_SONU!$B$7:$B$42=DATE(YEAR($E1124),MONTH($E1124),1))))</f>
        <v>0</v>
      </c>
      <c r="U1124" s="1" t="str">
        <f>IF(OR($G1124="",$H1124="Mahsup"),"",$G1124&amp;"|"&amp;COUNTIFS($G$7:$G1124,$G1124,$H$7:$H1124,"&lt;&gt;Mahsup"))</f>
        <v/>
      </c>
    </row>
    <row r="1125" spans="1:21" ht="18" customHeight="1" x14ac:dyDescent="0.3">
      <c r="A1125" s="2"/>
      <c r="B1125" s="65" t="str">
        <f>IF($D1125="","","T"&amp;TEXT(ROW()-6,"00000"))</f>
        <v/>
      </c>
      <c r="C1125" s="65" t="str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61"/>
      <c r="E1125" s="66"/>
      <c r="F1125" s="67"/>
      <c r="G1125" s="60"/>
      <c r="H1125" s="60"/>
      <c r="I1125" s="61"/>
      <c r="J1125" s="61"/>
      <c r="K1125" s="61"/>
      <c r="L1125" s="73" t="str">
        <f>IF($E1125="","",DATE(YEAR($E1125),MONTH($E1125),1))</f>
        <v/>
      </c>
      <c r="M1125" s="65" t="str">
        <f ca="1">IF($D1125="","",IF($C1125="TANIMSIZ MÜŞTERİ","HATA",IF(OR($E1125="",$F1125&lt;=0,$G1125=""),"EKSİK",IF($E1125&gt;TODAY(),"İLERİ TARİH",IF(COUNTIF($S$7:$S$2503,$S1125)&gt;1,"MÜKERRER?",IF($T1125&gt;0,"KAPALI DÖNEM","UYGUN"))))))</f>
        <v/>
      </c>
      <c r="N1125" s="74" t="str">
        <f>IF($C1125="","",IF($C1125="TANIMSIZ MÜŞTERİ","—",INDEX(MUSTERILER!$C$7:$C$156,MATCH($C1125,MUSTERILER!$B$7:$B$156,0))))</f>
        <v/>
      </c>
      <c r="O1125" s="2"/>
      <c r="P1125" s="2"/>
      <c r="Q1125" s="1" t="str">
        <f>IF($D1125="","",$C1125&amp;"|"&amp;COUNTIFS($C$7:$C1125,$C1125))</f>
        <v/>
      </c>
      <c r="R1125" s="1" t="str">
        <f t="shared" si="34"/>
        <v/>
      </c>
      <c r="S1125" s="1" t="str">
        <f t="shared" si="35"/>
        <v/>
      </c>
      <c r="T1125" s="1">
        <f>IF($E1125="",0,SUMPRODUCT((AY_SONU!$O$7:$O$42="Evet")*(AY_SONU!$B$7:$B$42=DATE(YEAR($E1125),MONTH($E1125),1))))</f>
        <v>0</v>
      </c>
      <c r="U1125" s="1" t="str">
        <f>IF(OR($G1125="",$H1125="Mahsup"),"",$G1125&amp;"|"&amp;COUNTIFS($G$7:$G1125,$G1125,$H$7:$H1125,"&lt;&gt;Mahsup"))</f>
        <v/>
      </c>
    </row>
    <row r="1126" spans="1:21" ht="18" customHeight="1" x14ac:dyDescent="0.3">
      <c r="A1126" s="2"/>
      <c r="B1126" s="65" t="str">
        <f>IF($D1126="","","T"&amp;TEXT(ROW()-6,"00000"))</f>
        <v/>
      </c>
      <c r="C1126" s="65" t="str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61"/>
      <c r="E1126" s="66"/>
      <c r="F1126" s="67"/>
      <c r="G1126" s="60"/>
      <c r="H1126" s="60"/>
      <c r="I1126" s="61"/>
      <c r="J1126" s="61"/>
      <c r="K1126" s="61"/>
      <c r="L1126" s="73" t="str">
        <f>IF($E1126="","",DATE(YEAR($E1126),MONTH($E1126),1))</f>
        <v/>
      </c>
      <c r="M1126" s="65" t="str">
        <f ca="1">IF($D1126="","",IF($C1126="TANIMSIZ MÜŞTERİ","HATA",IF(OR($E1126="",$F1126&lt;=0,$G1126=""),"EKSİK",IF($E1126&gt;TODAY(),"İLERİ TARİH",IF(COUNTIF($S$7:$S$2503,$S1126)&gt;1,"MÜKERRER?",IF($T1126&gt;0,"KAPALI DÖNEM","UYGUN"))))))</f>
        <v/>
      </c>
      <c r="N1126" s="74" t="str">
        <f>IF($C1126="","",IF($C1126="TANIMSIZ MÜŞTERİ","—",INDEX(MUSTERILER!$C$7:$C$156,MATCH($C1126,MUSTERILER!$B$7:$B$156,0))))</f>
        <v/>
      </c>
      <c r="O1126" s="2"/>
      <c r="P1126" s="2"/>
      <c r="Q1126" s="1" t="str">
        <f>IF($D1126="","",$C1126&amp;"|"&amp;COUNTIFS($C$7:$C1126,$C1126))</f>
        <v/>
      </c>
      <c r="R1126" s="1" t="str">
        <f t="shared" si="34"/>
        <v/>
      </c>
      <c r="S1126" s="1" t="str">
        <f t="shared" si="35"/>
        <v/>
      </c>
      <c r="T1126" s="1">
        <f>IF($E1126="",0,SUMPRODUCT((AY_SONU!$O$7:$O$42="Evet")*(AY_SONU!$B$7:$B$42=DATE(YEAR($E1126),MONTH($E1126),1))))</f>
        <v>0</v>
      </c>
      <c r="U1126" s="1" t="str">
        <f>IF(OR($G1126="",$H1126="Mahsup"),"",$G1126&amp;"|"&amp;COUNTIFS($G$7:$G1126,$G1126,$H$7:$H1126,"&lt;&gt;Mahsup"))</f>
        <v/>
      </c>
    </row>
    <row r="1127" spans="1:21" ht="18" customHeight="1" x14ac:dyDescent="0.3">
      <c r="A1127" s="2"/>
      <c r="B1127" s="65" t="str">
        <f>IF($D1127="","","T"&amp;TEXT(ROW()-6,"00000"))</f>
        <v/>
      </c>
      <c r="C1127" s="65" t="str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61"/>
      <c r="E1127" s="66"/>
      <c r="F1127" s="67"/>
      <c r="G1127" s="60"/>
      <c r="H1127" s="60"/>
      <c r="I1127" s="61"/>
      <c r="J1127" s="61"/>
      <c r="K1127" s="61"/>
      <c r="L1127" s="73" t="str">
        <f>IF($E1127="","",DATE(YEAR($E1127),MONTH($E1127),1))</f>
        <v/>
      </c>
      <c r="M1127" s="65" t="str">
        <f ca="1">IF($D1127="","",IF($C1127="TANIMSIZ MÜŞTERİ","HATA",IF(OR($E1127="",$F1127&lt;=0,$G1127=""),"EKSİK",IF($E1127&gt;TODAY(),"İLERİ TARİH",IF(COUNTIF($S$7:$S$2503,$S1127)&gt;1,"MÜKERRER?",IF($T1127&gt;0,"KAPALI DÖNEM","UYGUN"))))))</f>
        <v/>
      </c>
      <c r="N1127" s="74" t="str">
        <f>IF($C1127="","",IF($C1127="TANIMSIZ MÜŞTERİ","—",INDEX(MUSTERILER!$C$7:$C$156,MATCH($C1127,MUSTERILER!$B$7:$B$156,0))))</f>
        <v/>
      </c>
      <c r="O1127" s="2"/>
      <c r="P1127" s="2"/>
      <c r="Q1127" s="1" t="str">
        <f>IF($D1127="","",$C1127&amp;"|"&amp;COUNTIFS($C$7:$C1127,$C1127))</f>
        <v/>
      </c>
      <c r="R1127" s="1" t="str">
        <f t="shared" si="34"/>
        <v/>
      </c>
      <c r="S1127" s="1" t="str">
        <f t="shared" si="35"/>
        <v/>
      </c>
      <c r="T1127" s="1">
        <f>IF($E1127="",0,SUMPRODUCT((AY_SONU!$O$7:$O$42="Evet")*(AY_SONU!$B$7:$B$42=DATE(YEAR($E1127),MONTH($E1127),1))))</f>
        <v>0</v>
      </c>
      <c r="U1127" s="1" t="str">
        <f>IF(OR($G1127="",$H1127="Mahsup"),"",$G1127&amp;"|"&amp;COUNTIFS($G$7:$G1127,$G1127,$H$7:$H1127,"&lt;&gt;Mahsup"))</f>
        <v/>
      </c>
    </row>
    <row r="1128" spans="1:21" ht="18" customHeight="1" x14ac:dyDescent="0.3">
      <c r="A1128" s="2"/>
      <c r="B1128" s="65" t="str">
        <f>IF($D1128="","","T"&amp;TEXT(ROW()-6,"00000"))</f>
        <v/>
      </c>
      <c r="C1128" s="65" t="str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61"/>
      <c r="E1128" s="66"/>
      <c r="F1128" s="67"/>
      <c r="G1128" s="60"/>
      <c r="H1128" s="60"/>
      <c r="I1128" s="61"/>
      <c r="J1128" s="61"/>
      <c r="K1128" s="61"/>
      <c r="L1128" s="73" t="str">
        <f>IF($E1128="","",DATE(YEAR($E1128),MONTH($E1128),1))</f>
        <v/>
      </c>
      <c r="M1128" s="65" t="str">
        <f ca="1">IF($D1128="","",IF($C1128="TANIMSIZ MÜŞTERİ","HATA",IF(OR($E1128="",$F1128&lt;=0,$G1128=""),"EKSİK",IF($E1128&gt;TODAY(),"İLERİ TARİH",IF(COUNTIF($S$7:$S$2503,$S1128)&gt;1,"MÜKERRER?",IF($T1128&gt;0,"KAPALI DÖNEM","UYGUN"))))))</f>
        <v/>
      </c>
      <c r="N1128" s="74" t="str">
        <f>IF($C1128="","",IF($C1128="TANIMSIZ MÜŞTERİ","—",INDEX(MUSTERILER!$C$7:$C$156,MATCH($C1128,MUSTERILER!$B$7:$B$156,0))))</f>
        <v/>
      </c>
      <c r="O1128" s="2"/>
      <c r="P1128" s="2"/>
      <c r="Q1128" s="1" t="str">
        <f>IF($D1128="","",$C1128&amp;"|"&amp;COUNTIFS($C$7:$C1128,$C1128))</f>
        <v/>
      </c>
      <c r="R1128" s="1" t="str">
        <f t="shared" si="34"/>
        <v/>
      </c>
      <c r="S1128" s="1" t="str">
        <f t="shared" si="35"/>
        <v/>
      </c>
      <c r="T1128" s="1">
        <f>IF($E1128="",0,SUMPRODUCT((AY_SONU!$O$7:$O$42="Evet")*(AY_SONU!$B$7:$B$42=DATE(YEAR($E1128),MONTH($E1128),1))))</f>
        <v>0</v>
      </c>
      <c r="U1128" s="1" t="str">
        <f>IF(OR($G1128="",$H1128="Mahsup"),"",$G1128&amp;"|"&amp;COUNTIFS($G$7:$G1128,$G1128,$H$7:$H1128,"&lt;&gt;Mahsup"))</f>
        <v/>
      </c>
    </row>
    <row r="1129" spans="1:21" ht="18" customHeight="1" x14ac:dyDescent="0.3">
      <c r="A1129" s="2"/>
      <c r="B1129" s="65" t="str">
        <f>IF($D1129="","","T"&amp;TEXT(ROW()-6,"00000"))</f>
        <v/>
      </c>
      <c r="C1129" s="65" t="str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61"/>
      <c r="E1129" s="66"/>
      <c r="F1129" s="67"/>
      <c r="G1129" s="60"/>
      <c r="H1129" s="60"/>
      <c r="I1129" s="61"/>
      <c r="J1129" s="61"/>
      <c r="K1129" s="61"/>
      <c r="L1129" s="73" t="str">
        <f>IF($E1129="","",DATE(YEAR($E1129),MONTH($E1129),1))</f>
        <v/>
      </c>
      <c r="M1129" s="65" t="str">
        <f ca="1">IF($D1129="","",IF($C1129="TANIMSIZ MÜŞTERİ","HATA",IF(OR($E1129="",$F1129&lt;=0,$G1129=""),"EKSİK",IF($E1129&gt;TODAY(),"İLERİ TARİH",IF(COUNTIF($S$7:$S$2503,$S1129)&gt;1,"MÜKERRER?",IF($T1129&gt;0,"KAPALI DÖNEM","UYGUN"))))))</f>
        <v/>
      </c>
      <c r="N1129" s="74" t="str">
        <f>IF($C1129="","",IF($C1129="TANIMSIZ MÜŞTERİ","—",INDEX(MUSTERILER!$C$7:$C$156,MATCH($C1129,MUSTERILER!$B$7:$B$156,0))))</f>
        <v/>
      </c>
      <c r="O1129" s="2"/>
      <c r="P1129" s="2"/>
      <c r="Q1129" s="1" t="str">
        <f>IF($D1129="","",$C1129&amp;"|"&amp;COUNTIFS($C$7:$C1129,$C1129))</f>
        <v/>
      </c>
      <c r="R1129" s="1" t="str">
        <f t="shared" si="34"/>
        <v/>
      </c>
      <c r="S1129" s="1" t="str">
        <f t="shared" si="35"/>
        <v/>
      </c>
      <c r="T1129" s="1">
        <f>IF($E1129="",0,SUMPRODUCT((AY_SONU!$O$7:$O$42="Evet")*(AY_SONU!$B$7:$B$42=DATE(YEAR($E1129),MONTH($E1129),1))))</f>
        <v>0</v>
      </c>
      <c r="U1129" s="1" t="str">
        <f>IF(OR($G1129="",$H1129="Mahsup"),"",$G1129&amp;"|"&amp;COUNTIFS($G$7:$G1129,$G1129,$H$7:$H1129,"&lt;&gt;Mahsup"))</f>
        <v/>
      </c>
    </row>
    <row r="1130" spans="1:21" ht="18" customHeight="1" x14ac:dyDescent="0.3">
      <c r="A1130" s="2"/>
      <c r="B1130" s="65" t="str">
        <f>IF($D1130="","","T"&amp;TEXT(ROW()-6,"00000"))</f>
        <v/>
      </c>
      <c r="C1130" s="65" t="str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61"/>
      <c r="E1130" s="66"/>
      <c r="F1130" s="67"/>
      <c r="G1130" s="60"/>
      <c r="H1130" s="60"/>
      <c r="I1130" s="61"/>
      <c r="J1130" s="61"/>
      <c r="K1130" s="61"/>
      <c r="L1130" s="73" t="str">
        <f>IF($E1130="","",DATE(YEAR($E1130),MONTH($E1130),1))</f>
        <v/>
      </c>
      <c r="M1130" s="65" t="str">
        <f ca="1">IF($D1130="","",IF($C1130="TANIMSIZ MÜŞTERİ","HATA",IF(OR($E1130="",$F1130&lt;=0,$G1130=""),"EKSİK",IF($E1130&gt;TODAY(),"İLERİ TARİH",IF(COUNTIF($S$7:$S$2503,$S1130)&gt;1,"MÜKERRER?",IF($T1130&gt;0,"KAPALI DÖNEM","UYGUN"))))))</f>
        <v/>
      </c>
      <c r="N1130" s="74" t="str">
        <f>IF($C1130="","",IF($C1130="TANIMSIZ MÜŞTERİ","—",INDEX(MUSTERILER!$C$7:$C$156,MATCH($C1130,MUSTERILER!$B$7:$B$156,0))))</f>
        <v/>
      </c>
      <c r="O1130" s="2"/>
      <c r="P1130" s="2"/>
      <c r="Q1130" s="1" t="str">
        <f>IF($D1130="","",$C1130&amp;"|"&amp;COUNTIFS($C$7:$C1130,$C1130))</f>
        <v/>
      </c>
      <c r="R1130" s="1" t="str">
        <f t="shared" si="34"/>
        <v/>
      </c>
      <c r="S1130" s="1" t="str">
        <f t="shared" si="35"/>
        <v/>
      </c>
      <c r="T1130" s="1">
        <f>IF($E1130="",0,SUMPRODUCT((AY_SONU!$O$7:$O$42="Evet")*(AY_SONU!$B$7:$B$42=DATE(YEAR($E1130),MONTH($E1130),1))))</f>
        <v>0</v>
      </c>
      <c r="U1130" s="1" t="str">
        <f>IF(OR($G1130="",$H1130="Mahsup"),"",$G1130&amp;"|"&amp;COUNTIFS($G$7:$G1130,$G1130,$H$7:$H1130,"&lt;&gt;Mahsup"))</f>
        <v/>
      </c>
    </row>
    <row r="1131" spans="1:21" ht="18" customHeight="1" x14ac:dyDescent="0.3">
      <c r="A1131" s="2"/>
      <c r="B1131" s="65" t="str">
        <f>IF($D1131="","","T"&amp;TEXT(ROW()-6,"00000"))</f>
        <v/>
      </c>
      <c r="C1131" s="65" t="str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61"/>
      <c r="E1131" s="66"/>
      <c r="F1131" s="67"/>
      <c r="G1131" s="60"/>
      <c r="H1131" s="60"/>
      <c r="I1131" s="61"/>
      <c r="J1131" s="61"/>
      <c r="K1131" s="61"/>
      <c r="L1131" s="73" t="str">
        <f>IF($E1131="","",DATE(YEAR($E1131),MONTH($E1131),1))</f>
        <v/>
      </c>
      <c r="M1131" s="65" t="str">
        <f ca="1">IF($D1131="","",IF($C1131="TANIMSIZ MÜŞTERİ","HATA",IF(OR($E1131="",$F1131&lt;=0,$G1131=""),"EKSİK",IF($E1131&gt;TODAY(),"İLERİ TARİH",IF(COUNTIF($S$7:$S$2503,$S1131)&gt;1,"MÜKERRER?",IF($T1131&gt;0,"KAPALI DÖNEM","UYGUN"))))))</f>
        <v/>
      </c>
      <c r="N1131" s="74" t="str">
        <f>IF($C1131="","",IF($C1131="TANIMSIZ MÜŞTERİ","—",INDEX(MUSTERILER!$C$7:$C$156,MATCH($C1131,MUSTERILER!$B$7:$B$156,0))))</f>
        <v/>
      </c>
      <c r="O1131" s="2"/>
      <c r="P1131" s="2"/>
      <c r="Q1131" s="1" t="str">
        <f>IF($D1131="","",$C1131&amp;"|"&amp;COUNTIFS($C$7:$C1131,$C1131))</f>
        <v/>
      </c>
      <c r="R1131" s="1" t="str">
        <f t="shared" si="34"/>
        <v/>
      </c>
      <c r="S1131" s="1" t="str">
        <f t="shared" si="35"/>
        <v/>
      </c>
      <c r="T1131" s="1">
        <f>IF($E1131="",0,SUMPRODUCT((AY_SONU!$O$7:$O$42="Evet")*(AY_SONU!$B$7:$B$42=DATE(YEAR($E1131),MONTH($E1131),1))))</f>
        <v>0</v>
      </c>
      <c r="U1131" s="1" t="str">
        <f>IF(OR($G1131="",$H1131="Mahsup"),"",$G1131&amp;"|"&amp;COUNTIFS($G$7:$G1131,$G1131,$H$7:$H1131,"&lt;&gt;Mahsup"))</f>
        <v/>
      </c>
    </row>
    <row r="1132" spans="1:21" ht="18" customHeight="1" x14ac:dyDescent="0.3">
      <c r="A1132" s="2"/>
      <c r="B1132" s="65" t="str">
        <f>IF($D1132="","","T"&amp;TEXT(ROW()-6,"00000"))</f>
        <v/>
      </c>
      <c r="C1132" s="65" t="str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61"/>
      <c r="E1132" s="66"/>
      <c r="F1132" s="67"/>
      <c r="G1132" s="60"/>
      <c r="H1132" s="60"/>
      <c r="I1132" s="61"/>
      <c r="J1132" s="61"/>
      <c r="K1132" s="61"/>
      <c r="L1132" s="73" t="str">
        <f>IF($E1132="","",DATE(YEAR($E1132),MONTH($E1132),1))</f>
        <v/>
      </c>
      <c r="M1132" s="65" t="str">
        <f ca="1">IF($D1132="","",IF($C1132="TANIMSIZ MÜŞTERİ","HATA",IF(OR($E1132="",$F1132&lt;=0,$G1132=""),"EKSİK",IF($E1132&gt;TODAY(),"İLERİ TARİH",IF(COUNTIF($S$7:$S$2503,$S1132)&gt;1,"MÜKERRER?",IF($T1132&gt;0,"KAPALI DÖNEM","UYGUN"))))))</f>
        <v/>
      </c>
      <c r="N1132" s="74" t="str">
        <f>IF($C1132="","",IF($C1132="TANIMSIZ MÜŞTERİ","—",INDEX(MUSTERILER!$C$7:$C$156,MATCH($C1132,MUSTERILER!$B$7:$B$156,0))))</f>
        <v/>
      </c>
      <c r="O1132" s="2"/>
      <c r="P1132" s="2"/>
      <c r="Q1132" s="1" t="str">
        <f>IF($D1132="","",$C1132&amp;"|"&amp;COUNTIFS($C$7:$C1132,$C1132))</f>
        <v/>
      </c>
      <c r="R1132" s="1" t="str">
        <f t="shared" si="34"/>
        <v/>
      </c>
      <c r="S1132" s="1" t="str">
        <f t="shared" si="35"/>
        <v/>
      </c>
      <c r="T1132" s="1">
        <f>IF($E1132="",0,SUMPRODUCT((AY_SONU!$O$7:$O$42="Evet")*(AY_SONU!$B$7:$B$42=DATE(YEAR($E1132),MONTH($E1132),1))))</f>
        <v>0</v>
      </c>
      <c r="U1132" s="1" t="str">
        <f>IF(OR($G1132="",$H1132="Mahsup"),"",$G1132&amp;"|"&amp;COUNTIFS($G$7:$G1132,$G1132,$H$7:$H1132,"&lt;&gt;Mahsup"))</f>
        <v/>
      </c>
    </row>
    <row r="1133" spans="1:21" ht="18" customHeight="1" x14ac:dyDescent="0.3">
      <c r="A1133" s="2"/>
      <c r="B1133" s="65" t="str">
        <f>IF($D1133="","","T"&amp;TEXT(ROW()-6,"00000"))</f>
        <v/>
      </c>
      <c r="C1133" s="65" t="str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61"/>
      <c r="E1133" s="66"/>
      <c r="F1133" s="67"/>
      <c r="G1133" s="60"/>
      <c r="H1133" s="60"/>
      <c r="I1133" s="61"/>
      <c r="J1133" s="61"/>
      <c r="K1133" s="61"/>
      <c r="L1133" s="73" t="str">
        <f>IF($E1133="","",DATE(YEAR($E1133),MONTH($E1133),1))</f>
        <v/>
      </c>
      <c r="M1133" s="65" t="str">
        <f ca="1">IF($D1133="","",IF($C1133="TANIMSIZ MÜŞTERİ","HATA",IF(OR($E1133="",$F1133&lt;=0,$G1133=""),"EKSİK",IF($E1133&gt;TODAY(),"İLERİ TARİH",IF(COUNTIF($S$7:$S$2503,$S1133)&gt;1,"MÜKERRER?",IF($T1133&gt;0,"KAPALI DÖNEM","UYGUN"))))))</f>
        <v/>
      </c>
      <c r="N1133" s="74" t="str">
        <f>IF($C1133="","",IF($C1133="TANIMSIZ MÜŞTERİ","—",INDEX(MUSTERILER!$C$7:$C$156,MATCH($C1133,MUSTERILER!$B$7:$B$156,0))))</f>
        <v/>
      </c>
      <c r="O1133" s="2"/>
      <c r="P1133" s="2"/>
      <c r="Q1133" s="1" t="str">
        <f>IF($D1133="","",$C1133&amp;"|"&amp;COUNTIFS($C$7:$C1133,$C1133))</f>
        <v/>
      </c>
      <c r="R1133" s="1" t="str">
        <f t="shared" si="34"/>
        <v/>
      </c>
      <c r="S1133" s="1" t="str">
        <f t="shared" si="35"/>
        <v/>
      </c>
      <c r="T1133" s="1">
        <f>IF($E1133="",0,SUMPRODUCT((AY_SONU!$O$7:$O$42="Evet")*(AY_SONU!$B$7:$B$42=DATE(YEAR($E1133),MONTH($E1133),1))))</f>
        <v>0</v>
      </c>
      <c r="U1133" s="1" t="str">
        <f>IF(OR($G1133="",$H1133="Mahsup"),"",$G1133&amp;"|"&amp;COUNTIFS($G$7:$G1133,$G1133,$H$7:$H1133,"&lt;&gt;Mahsup"))</f>
        <v/>
      </c>
    </row>
    <row r="1134" spans="1:21" ht="18" customHeight="1" x14ac:dyDescent="0.3">
      <c r="A1134" s="2"/>
      <c r="B1134" s="65" t="str">
        <f>IF($D1134="","","T"&amp;TEXT(ROW()-6,"00000"))</f>
        <v/>
      </c>
      <c r="C1134" s="65" t="str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61"/>
      <c r="E1134" s="66"/>
      <c r="F1134" s="67"/>
      <c r="G1134" s="60"/>
      <c r="H1134" s="60"/>
      <c r="I1134" s="61"/>
      <c r="J1134" s="61"/>
      <c r="K1134" s="61"/>
      <c r="L1134" s="73" t="str">
        <f>IF($E1134="","",DATE(YEAR($E1134),MONTH($E1134),1))</f>
        <v/>
      </c>
      <c r="M1134" s="65" t="str">
        <f ca="1">IF($D1134="","",IF($C1134="TANIMSIZ MÜŞTERİ","HATA",IF(OR($E1134="",$F1134&lt;=0,$G1134=""),"EKSİK",IF($E1134&gt;TODAY(),"İLERİ TARİH",IF(COUNTIF($S$7:$S$2503,$S1134)&gt;1,"MÜKERRER?",IF($T1134&gt;0,"KAPALI DÖNEM","UYGUN"))))))</f>
        <v/>
      </c>
      <c r="N1134" s="74" t="str">
        <f>IF($C1134="","",IF($C1134="TANIMSIZ MÜŞTERİ","—",INDEX(MUSTERILER!$C$7:$C$156,MATCH($C1134,MUSTERILER!$B$7:$B$156,0))))</f>
        <v/>
      </c>
      <c r="O1134" s="2"/>
      <c r="P1134" s="2"/>
      <c r="Q1134" s="1" t="str">
        <f>IF($D1134="","",$C1134&amp;"|"&amp;COUNTIFS($C$7:$C1134,$C1134))</f>
        <v/>
      </c>
      <c r="R1134" s="1" t="str">
        <f t="shared" si="34"/>
        <v/>
      </c>
      <c r="S1134" s="1" t="str">
        <f t="shared" si="35"/>
        <v/>
      </c>
      <c r="T1134" s="1">
        <f>IF($E1134="",0,SUMPRODUCT((AY_SONU!$O$7:$O$42="Evet")*(AY_SONU!$B$7:$B$42=DATE(YEAR($E1134),MONTH($E1134),1))))</f>
        <v>0</v>
      </c>
      <c r="U1134" s="1" t="str">
        <f>IF(OR($G1134="",$H1134="Mahsup"),"",$G1134&amp;"|"&amp;COUNTIFS($G$7:$G1134,$G1134,$H$7:$H1134,"&lt;&gt;Mahsup"))</f>
        <v/>
      </c>
    </row>
    <row r="1135" spans="1:21" ht="18" customHeight="1" x14ac:dyDescent="0.3">
      <c r="A1135" s="2"/>
      <c r="B1135" s="65" t="str">
        <f>IF($D1135="","","T"&amp;TEXT(ROW()-6,"00000"))</f>
        <v/>
      </c>
      <c r="C1135" s="65" t="str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61"/>
      <c r="E1135" s="66"/>
      <c r="F1135" s="67"/>
      <c r="G1135" s="60"/>
      <c r="H1135" s="60"/>
      <c r="I1135" s="61"/>
      <c r="J1135" s="61"/>
      <c r="K1135" s="61"/>
      <c r="L1135" s="73" t="str">
        <f>IF($E1135="","",DATE(YEAR($E1135),MONTH($E1135),1))</f>
        <v/>
      </c>
      <c r="M1135" s="65" t="str">
        <f ca="1">IF($D1135="","",IF($C1135="TANIMSIZ MÜŞTERİ","HATA",IF(OR($E1135="",$F1135&lt;=0,$G1135=""),"EKSİK",IF($E1135&gt;TODAY(),"İLERİ TARİH",IF(COUNTIF($S$7:$S$2503,$S1135)&gt;1,"MÜKERRER?",IF($T1135&gt;0,"KAPALI DÖNEM","UYGUN"))))))</f>
        <v/>
      </c>
      <c r="N1135" s="74" t="str">
        <f>IF($C1135="","",IF($C1135="TANIMSIZ MÜŞTERİ","—",INDEX(MUSTERILER!$C$7:$C$156,MATCH($C1135,MUSTERILER!$B$7:$B$156,0))))</f>
        <v/>
      </c>
      <c r="O1135" s="2"/>
      <c r="P1135" s="2"/>
      <c r="Q1135" s="1" t="str">
        <f>IF($D1135="","",$C1135&amp;"|"&amp;COUNTIFS($C$7:$C1135,$C1135))</f>
        <v/>
      </c>
      <c r="R1135" s="1" t="str">
        <f t="shared" si="34"/>
        <v/>
      </c>
      <c r="S1135" s="1" t="str">
        <f t="shared" si="35"/>
        <v/>
      </c>
      <c r="T1135" s="1">
        <f>IF($E1135="",0,SUMPRODUCT((AY_SONU!$O$7:$O$42="Evet")*(AY_SONU!$B$7:$B$42=DATE(YEAR($E1135),MONTH($E1135),1))))</f>
        <v>0</v>
      </c>
      <c r="U1135" s="1" t="str">
        <f>IF(OR($G1135="",$H1135="Mahsup"),"",$G1135&amp;"|"&amp;COUNTIFS($G$7:$G1135,$G1135,$H$7:$H1135,"&lt;&gt;Mahsup"))</f>
        <v/>
      </c>
    </row>
    <row r="1136" spans="1:21" ht="18" customHeight="1" x14ac:dyDescent="0.3">
      <c r="A1136" s="2"/>
      <c r="B1136" s="65" t="str">
        <f>IF($D1136="","","T"&amp;TEXT(ROW()-6,"00000"))</f>
        <v/>
      </c>
      <c r="C1136" s="65" t="str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61"/>
      <c r="E1136" s="66"/>
      <c r="F1136" s="67"/>
      <c r="G1136" s="60"/>
      <c r="H1136" s="60"/>
      <c r="I1136" s="61"/>
      <c r="J1136" s="61"/>
      <c r="K1136" s="61"/>
      <c r="L1136" s="73" t="str">
        <f>IF($E1136="","",DATE(YEAR($E1136),MONTH($E1136),1))</f>
        <v/>
      </c>
      <c r="M1136" s="65" t="str">
        <f ca="1">IF($D1136="","",IF($C1136="TANIMSIZ MÜŞTERİ","HATA",IF(OR($E1136="",$F1136&lt;=0,$G1136=""),"EKSİK",IF($E1136&gt;TODAY(),"İLERİ TARİH",IF(COUNTIF($S$7:$S$2503,$S1136)&gt;1,"MÜKERRER?",IF($T1136&gt;0,"KAPALI DÖNEM","UYGUN"))))))</f>
        <v/>
      </c>
      <c r="N1136" s="74" t="str">
        <f>IF($C1136="","",IF($C1136="TANIMSIZ MÜŞTERİ","—",INDEX(MUSTERILER!$C$7:$C$156,MATCH($C1136,MUSTERILER!$B$7:$B$156,0))))</f>
        <v/>
      </c>
      <c r="O1136" s="2"/>
      <c r="P1136" s="2"/>
      <c r="Q1136" s="1" t="str">
        <f>IF($D1136="","",$C1136&amp;"|"&amp;COUNTIFS($C$7:$C1136,$C1136))</f>
        <v/>
      </c>
      <c r="R1136" s="1" t="str">
        <f t="shared" si="34"/>
        <v/>
      </c>
      <c r="S1136" s="1" t="str">
        <f t="shared" si="35"/>
        <v/>
      </c>
      <c r="T1136" s="1">
        <f>IF($E1136="",0,SUMPRODUCT((AY_SONU!$O$7:$O$42="Evet")*(AY_SONU!$B$7:$B$42=DATE(YEAR($E1136),MONTH($E1136),1))))</f>
        <v>0</v>
      </c>
      <c r="U1136" s="1" t="str">
        <f>IF(OR($G1136="",$H1136="Mahsup"),"",$G1136&amp;"|"&amp;COUNTIFS($G$7:$G1136,$G1136,$H$7:$H1136,"&lt;&gt;Mahsup"))</f>
        <v/>
      </c>
    </row>
    <row r="1137" spans="1:21" ht="18" customHeight="1" x14ac:dyDescent="0.3">
      <c r="A1137" s="2"/>
      <c r="B1137" s="65" t="str">
        <f>IF($D1137="","","T"&amp;TEXT(ROW()-6,"00000"))</f>
        <v/>
      </c>
      <c r="C1137" s="65" t="str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61"/>
      <c r="E1137" s="66"/>
      <c r="F1137" s="67"/>
      <c r="G1137" s="60"/>
      <c r="H1137" s="60"/>
      <c r="I1137" s="61"/>
      <c r="J1137" s="61"/>
      <c r="K1137" s="61"/>
      <c r="L1137" s="73" t="str">
        <f>IF($E1137="","",DATE(YEAR($E1137),MONTH($E1137),1))</f>
        <v/>
      </c>
      <c r="M1137" s="65" t="str">
        <f ca="1">IF($D1137="","",IF($C1137="TANIMSIZ MÜŞTERİ","HATA",IF(OR($E1137="",$F1137&lt;=0,$G1137=""),"EKSİK",IF($E1137&gt;TODAY(),"İLERİ TARİH",IF(COUNTIF($S$7:$S$2503,$S1137)&gt;1,"MÜKERRER?",IF($T1137&gt;0,"KAPALI DÖNEM","UYGUN"))))))</f>
        <v/>
      </c>
      <c r="N1137" s="74" t="str">
        <f>IF($C1137="","",IF($C1137="TANIMSIZ MÜŞTERİ","—",INDEX(MUSTERILER!$C$7:$C$156,MATCH($C1137,MUSTERILER!$B$7:$B$156,0))))</f>
        <v/>
      </c>
      <c r="O1137" s="2"/>
      <c r="P1137" s="2"/>
      <c r="Q1137" s="1" t="str">
        <f>IF($D1137="","",$C1137&amp;"|"&amp;COUNTIFS($C$7:$C1137,$C1137))</f>
        <v/>
      </c>
      <c r="R1137" s="1" t="str">
        <f t="shared" si="34"/>
        <v/>
      </c>
      <c r="S1137" s="1" t="str">
        <f t="shared" si="35"/>
        <v/>
      </c>
      <c r="T1137" s="1">
        <f>IF($E1137="",0,SUMPRODUCT((AY_SONU!$O$7:$O$42="Evet")*(AY_SONU!$B$7:$B$42=DATE(YEAR($E1137),MONTH($E1137),1))))</f>
        <v>0</v>
      </c>
      <c r="U1137" s="1" t="str">
        <f>IF(OR($G1137="",$H1137="Mahsup"),"",$G1137&amp;"|"&amp;COUNTIFS($G$7:$G1137,$G1137,$H$7:$H1137,"&lt;&gt;Mahsup"))</f>
        <v/>
      </c>
    </row>
    <row r="1138" spans="1:21" ht="18" customHeight="1" x14ac:dyDescent="0.3">
      <c r="A1138" s="2"/>
      <c r="B1138" s="65" t="str">
        <f>IF($D1138="","","T"&amp;TEXT(ROW()-6,"00000"))</f>
        <v/>
      </c>
      <c r="C1138" s="65" t="str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61"/>
      <c r="E1138" s="66"/>
      <c r="F1138" s="67"/>
      <c r="G1138" s="60"/>
      <c r="H1138" s="60"/>
      <c r="I1138" s="61"/>
      <c r="J1138" s="61"/>
      <c r="K1138" s="61"/>
      <c r="L1138" s="73" t="str">
        <f>IF($E1138="","",DATE(YEAR($E1138),MONTH($E1138),1))</f>
        <v/>
      </c>
      <c r="M1138" s="65" t="str">
        <f ca="1">IF($D1138="","",IF($C1138="TANIMSIZ MÜŞTERİ","HATA",IF(OR($E1138="",$F1138&lt;=0,$G1138=""),"EKSİK",IF($E1138&gt;TODAY(),"İLERİ TARİH",IF(COUNTIF($S$7:$S$2503,$S1138)&gt;1,"MÜKERRER?",IF($T1138&gt;0,"KAPALI DÖNEM","UYGUN"))))))</f>
        <v/>
      </c>
      <c r="N1138" s="74" t="str">
        <f>IF($C1138="","",IF($C1138="TANIMSIZ MÜŞTERİ","—",INDEX(MUSTERILER!$C$7:$C$156,MATCH($C1138,MUSTERILER!$B$7:$B$156,0))))</f>
        <v/>
      </c>
      <c r="O1138" s="2"/>
      <c r="P1138" s="2"/>
      <c r="Q1138" s="1" t="str">
        <f>IF($D1138="","",$C1138&amp;"|"&amp;COUNTIFS($C$7:$C1138,$C1138))</f>
        <v/>
      </c>
      <c r="R1138" s="1" t="str">
        <f t="shared" si="34"/>
        <v/>
      </c>
      <c r="S1138" s="1" t="str">
        <f t="shared" si="35"/>
        <v/>
      </c>
      <c r="T1138" s="1">
        <f>IF($E1138="",0,SUMPRODUCT((AY_SONU!$O$7:$O$42="Evet")*(AY_SONU!$B$7:$B$42=DATE(YEAR($E1138),MONTH($E1138),1))))</f>
        <v>0</v>
      </c>
      <c r="U1138" s="1" t="str">
        <f>IF(OR($G1138="",$H1138="Mahsup"),"",$G1138&amp;"|"&amp;COUNTIFS($G$7:$G1138,$G1138,$H$7:$H1138,"&lt;&gt;Mahsup"))</f>
        <v/>
      </c>
    </row>
    <row r="1139" spans="1:21" ht="18" customHeight="1" x14ac:dyDescent="0.3">
      <c r="A1139" s="2"/>
      <c r="B1139" s="65" t="str">
        <f>IF($D1139="","","T"&amp;TEXT(ROW()-6,"00000"))</f>
        <v/>
      </c>
      <c r="C1139" s="65" t="str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61"/>
      <c r="E1139" s="66"/>
      <c r="F1139" s="67"/>
      <c r="G1139" s="60"/>
      <c r="H1139" s="60"/>
      <c r="I1139" s="61"/>
      <c r="J1139" s="61"/>
      <c r="K1139" s="61"/>
      <c r="L1139" s="73" t="str">
        <f>IF($E1139="","",DATE(YEAR($E1139),MONTH($E1139),1))</f>
        <v/>
      </c>
      <c r="M1139" s="65" t="str">
        <f ca="1">IF($D1139="","",IF($C1139="TANIMSIZ MÜŞTERİ","HATA",IF(OR($E1139="",$F1139&lt;=0,$G1139=""),"EKSİK",IF($E1139&gt;TODAY(),"İLERİ TARİH",IF(COUNTIF($S$7:$S$2503,$S1139)&gt;1,"MÜKERRER?",IF($T1139&gt;0,"KAPALI DÖNEM","UYGUN"))))))</f>
        <v/>
      </c>
      <c r="N1139" s="74" t="str">
        <f>IF($C1139="","",IF($C1139="TANIMSIZ MÜŞTERİ","—",INDEX(MUSTERILER!$C$7:$C$156,MATCH($C1139,MUSTERILER!$B$7:$B$156,0))))</f>
        <v/>
      </c>
      <c r="O1139" s="2"/>
      <c r="P1139" s="2"/>
      <c r="Q1139" s="1" t="str">
        <f>IF($D1139="","",$C1139&amp;"|"&amp;COUNTIFS($C$7:$C1139,$C1139))</f>
        <v/>
      </c>
      <c r="R1139" s="1" t="str">
        <f t="shared" si="34"/>
        <v/>
      </c>
      <c r="S1139" s="1" t="str">
        <f t="shared" si="35"/>
        <v/>
      </c>
      <c r="T1139" s="1">
        <f>IF($E1139="",0,SUMPRODUCT((AY_SONU!$O$7:$O$42="Evet")*(AY_SONU!$B$7:$B$42=DATE(YEAR($E1139),MONTH($E1139),1))))</f>
        <v>0</v>
      </c>
      <c r="U1139" s="1" t="str">
        <f>IF(OR($G1139="",$H1139="Mahsup"),"",$G1139&amp;"|"&amp;COUNTIFS($G$7:$G1139,$G1139,$H$7:$H1139,"&lt;&gt;Mahsup"))</f>
        <v/>
      </c>
    </row>
    <row r="1140" spans="1:21" ht="18" customHeight="1" x14ac:dyDescent="0.3">
      <c r="A1140" s="2"/>
      <c r="B1140" s="65" t="str">
        <f>IF($D1140="","","T"&amp;TEXT(ROW()-6,"00000"))</f>
        <v/>
      </c>
      <c r="C1140" s="65" t="str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61"/>
      <c r="E1140" s="66"/>
      <c r="F1140" s="67"/>
      <c r="G1140" s="60"/>
      <c r="H1140" s="60"/>
      <c r="I1140" s="61"/>
      <c r="J1140" s="61"/>
      <c r="K1140" s="61"/>
      <c r="L1140" s="73" t="str">
        <f>IF($E1140="","",DATE(YEAR($E1140),MONTH($E1140),1))</f>
        <v/>
      </c>
      <c r="M1140" s="65" t="str">
        <f ca="1">IF($D1140="","",IF($C1140="TANIMSIZ MÜŞTERİ","HATA",IF(OR($E1140="",$F1140&lt;=0,$G1140=""),"EKSİK",IF($E1140&gt;TODAY(),"İLERİ TARİH",IF(COUNTIF($S$7:$S$2503,$S1140)&gt;1,"MÜKERRER?",IF($T1140&gt;0,"KAPALI DÖNEM","UYGUN"))))))</f>
        <v/>
      </c>
      <c r="N1140" s="74" t="str">
        <f>IF($C1140="","",IF($C1140="TANIMSIZ MÜŞTERİ","—",INDEX(MUSTERILER!$C$7:$C$156,MATCH($C1140,MUSTERILER!$B$7:$B$156,0))))</f>
        <v/>
      </c>
      <c r="O1140" s="2"/>
      <c r="P1140" s="2"/>
      <c r="Q1140" s="1" t="str">
        <f>IF($D1140="","",$C1140&amp;"|"&amp;COUNTIFS($C$7:$C1140,$C1140))</f>
        <v/>
      </c>
      <c r="R1140" s="1" t="str">
        <f t="shared" si="34"/>
        <v/>
      </c>
      <c r="S1140" s="1" t="str">
        <f t="shared" si="35"/>
        <v/>
      </c>
      <c r="T1140" s="1">
        <f>IF($E1140="",0,SUMPRODUCT((AY_SONU!$O$7:$O$42="Evet")*(AY_SONU!$B$7:$B$42=DATE(YEAR($E1140),MONTH($E1140),1))))</f>
        <v>0</v>
      </c>
      <c r="U1140" s="1" t="str">
        <f>IF(OR($G1140="",$H1140="Mahsup"),"",$G1140&amp;"|"&amp;COUNTIFS($G$7:$G1140,$G1140,$H$7:$H1140,"&lt;&gt;Mahsup"))</f>
        <v/>
      </c>
    </row>
    <row r="1141" spans="1:21" ht="18" customHeight="1" x14ac:dyDescent="0.3">
      <c r="A1141" s="2"/>
      <c r="B1141" s="65" t="str">
        <f>IF($D1141="","","T"&amp;TEXT(ROW()-6,"00000"))</f>
        <v/>
      </c>
      <c r="C1141" s="65" t="str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61"/>
      <c r="E1141" s="66"/>
      <c r="F1141" s="67"/>
      <c r="G1141" s="60"/>
      <c r="H1141" s="60"/>
      <c r="I1141" s="61"/>
      <c r="J1141" s="61"/>
      <c r="K1141" s="61"/>
      <c r="L1141" s="73" t="str">
        <f>IF($E1141="","",DATE(YEAR($E1141),MONTH($E1141),1))</f>
        <v/>
      </c>
      <c r="M1141" s="65" t="str">
        <f ca="1">IF($D1141="","",IF($C1141="TANIMSIZ MÜŞTERİ","HATA",IF(OR($E1141="",$F1141&lt;=0,$G1141=""),"EKSİK",IF($E1141&gt;TODAY(),"İLERİ TARİH",IF(COUNTIF($S$7:$S$2503,$S1141)&gt;1,"MÜKERRER?",IF($T1141&gt;0,"KAPALI DÖNEM","UYGUN"))))))</f>
        <v/>
      </c>
      <c r="N1141" s="74" t="str">
        <f>IF($C1141="","",IF($C1141="TANIMSIZ MÜŞTERİ","—",INDEX(MUSTERILER!$C$7:$C$156,MATCH($C1141,MUSTERILER!$B$7:$B$156,0))))</f>
        <v/>
      </c>
      <c r="O1141" s="2"/>
      <c r="P1141" s="2"/>
      <c r="Q1141" s="1" t="str">
        <f>IF($D1141="","",$C1141&amp;"|"&amp;COUNTIFS($C$7:$C1141,$C1141))</f>
        <v/>
      </c>
      <c r="R1141" s="1" t="str">
        <f t="shared" si="34"/>
        <v/>
      </c>
      <c r="S1141" s="1" t="str">
        <f t="shared" si="35"/>
        <v/>
      </c>
      <c r="T1141" s="1">
        <f>IF($E1141="",0,SUMPRODUCT((AY_SONU!$O$7:$O$42="Evet")*(AY_SONU!$B$7:$B$42=DATE(YEAR($E1141),MONTH($E1141),1))))</f>
        <v>0</v>
      </c>
      <c r="U1141" s="1" t="str">
        <f>IF(OR($G1141="",$H1141="Mahsup"),"",$G1141&amp;"|"&amp;COUNTIFS($G$7:$G1141,$G1141,$H$7:$H1141,"&lt;&gt;Mahsup"))</f>
        <v/>
      </c>
    </row>
    <row r="1142" spans="1:21" ht="18" customHeight="1" x14ac:dyDescent="0.3">
      <c r="A1142" s="2"/>
      <c r="B1142" s="65" t="str">
        <f>IF($D1142="","","T"&amp;TEXT(ROW()-6,"00000"))</f>
        <v/>
      </c>
      <c r="C1142" s="65" t="str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61"/>
      <c r="E1142" s="66"/>
      <c r="F1142" s="67"/>
      <c r="G1142" s="60"/>
      <c r="H1142" s="60"/>
      <c r="I1142" s="61"/>
      <c r="J1142" s="61"/>
      <c r="K1142" s="61"/>
      <c r="L1142" s="73" t="str">
        <f>IF($E1142="","",DATE(YEAR($E1142),MONTH($E1142),1))</f>
        <v/>
      </c>
      <c r="M1142" s="65" t="str">
        <f ca="1">IF($D1142="","",IF($C1142="TANIMSIZ MÜŞTERİ","HATA",IF(OR($E1142="",$F1142&lt;=0,$G1142=""),"EKSİK",IF($E1142&gt;TODAY(),"İLERİ TARİH",IF(COUNTIF($S$7:$S$2503,$S1142)&gt;1,"MÜKERRER?",IF($T1142&gt;0,"KAPALI DÖNEM","UYGUN"))))))</f>
        <v/>
      </c>
      <c r="N1142" s="74" t="str">
        <f>IF($C1142="","",IF($C1142="TANIMSIZ MÜŞTERİ","—",INDEX(MUSTERILER!$C$7:$C$156,MATCH($C1142,MUSTERILER!$B$7:$B$156,0))))</f>
        <v/>
      </c>
      <c r="O1142" s="2"/>
      <c r="P1142" s="2"/>
      <c r="Q1142" s="1" t="str">
        <f>IF($D1142="","",$C1142&amp;"|"&amp;COUNTIFS($C$7:$C1142,$C1142))</f>
        <v/>
      </c>
      <c r="R1142" s="1" t="str">
        <f t="shared" si="34"/>
        <v/>
      </c>
      <c r="S1142" s="1" t="str">
        <f t="shared" si="35"/>
        <v/>
      </c>
      <c r="T1142" s="1">
        <f>IF($E1142="",0,SUMPRODUCT((AY_SONU!$O$7:$O$42="Evet")*(AY_SONU!$B$7:$B$42=DATE(YEAR($E1142),MONTH($E1142),1))))</f>
        <v>0</v>
      </c>
      <c r="U1142" s="1" t="str">
        <f>IF(OR($G1142="",$H1142="Mahsup"),"",$G1142&amp;"|"&amp;COUNTIFS($G$7:$G1142,$G1142,$H$7:$H1142,"&lt;&gt;Mahsup"))</f>
        <v/>
      </c>
    </row>
    <row r="1143" spans="1:21" ht="18" customHeight="1" x14ac:dyDescent="0.3">
      <c r="A1143" s="2"/>
      <c r="B1143" s="65" t="str">
        <f>IF($D1143="","","T"&amp;TEXT(ROW()-6,"00000"))</f>
        <v/>
      </c>
      <c r="C1143" s="65" t="str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61"/>
      <c r="E1143" s="66"/>
      <c r="F1143" s="67"/>
      <c r="G1143" s="60"/>
      <c r="H1143" s="60"/>
      <c r="I1143" s="61"/>
      <c r="J1143" s="61"/>
      <c r="K1143" s="61"/>
      <c r="L1143" s="73" t="str">
        <f>IF($E1143="","",DATE(YEAR($E1143),MONTH($E1143),1))</f>
        <v/>
      </c>
      <c r="M1143" s="65" t="str">
        <f ca="1">IF($D1143="","",IF($C1143="TANIMSIZ MÜŞTERİ","HATA",IF(OR($E1143="",$F1143&lt;=0,$G1143=""),"EKSİK",IF($E1143&gt;TODAY(),"İLERİ TARİH",IF(COUNTIF($S$7:$S$2503,$S1143)&gt;1,"MÜKERRER?",IF($T1143&gt;0,"KAPALI DÖNEM","UYGUN"))))))</f>
        <v/>
      </c>
      <c r="N1143" s="74" t="str">
        <f>IF($C1143="","",IF($C1143="TANIMSIZ MÜŞTERİ","—",INDEX(MUSTERILER!$C$7:$C$156,MATCH($C1143,MUSTERILER!$B$7:$B$156,0))))</f>
        <v/>
      </c>
      <c r="O1143" s="2"/>
      <c r="P1143" s="2"/>
      <c r="Q1143" s="1" t="str">
        <f>IF($D1143="","",$C1143&amp;"|"&amp;COUNTIFS($C$7:$C1143,$C1143))</f>
        <v/>
      </c>
      <c r="R1143" s="1" t="str">
        <f t="shared" si="34"/>
        <v/>
      </c>
      <c r="S1143" s="1" t="str">
        <f t="shared" si="35"/>
        <v/>
      </c>
      <c r="T1143" s="1">
        <f>IF($E1143="",0,SUMPRODUCT((AY_SONU!$O$7:$O$42="Evet")*(AY_SONU!$B$7:$B$42=DATE(YEAR($E1143),MONTH($E1143),1))))</f>
        <v>0</v>
      </c>
      <c r="U1143" s="1" t="str">
        <f>IF(OR($G1143="",$H1143="Mahsup"),"",$G1143&amp;"|"&amp;COUNTIFS($G$7:$G1143,$G1143,$H$7:$H1143,"&lt;&gt;Mahsup"))</f>
        <v/>
      </c>
    </row>
    <row r="1144" spans="1:21" ht="18" customHeight="1" x14ac:dyDescent="0.3">
      <c r="A1144" s="2"/>
      <c r="B1144" s="65" t="str">
        <f>IF($D1144="","","T"&amp;TEXT(ROW()-6,"00000"))</f>
        <v/>
      </c>
      <c r="C1144" s="65" t="str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61"/>
      <c r="E1144" s="66"/>
      <c r="F1144" s="67"/>
      <c r="G1144" s="60"/>
      <c r="H1144" s="60"/>
      <c r="I1144" s="61"/>
      <c r="J1144" s="61"/>
      <c r="K1144" s="61"/>
      <c r="L1144" s="73" t="str">
        <f>IF($E1144="","",DATE(YEAR($E1144),MONTH($E1144),1))</f>
        <v/>
      </c>
      <c r="M1144" s="65" t="str">
        <f ca="1">IF($D1144="","",IF($C1144="TANIMSIZ MÜŞTERİ","HATA",IF(OR($E1144="",$F1144&lt;=0,$G1144=""),"EKSİK",IF($E1144&gt;TODAY(),"İLERİ TARİH",IF(COUNTIF($S$7:$S$2503,$S1144)&gt;1,"MÜKERRER?",IF($T1144&gt;0,"KAPALI DÖNEM","UYGUN"))))))</f>
        <v/>
      </c>
      <c r="N1144" s="74" t="str">
        <f>IF($C1144="","",IF($C1144="TANIMSIZ MÜŞTERİ","—",INDEX(MUSTERILER!$C$7:$C$156,MATCH($C1144,MUSTERILER!$B$7:$B$156,0))))</f>
        <v/>
      </c>
      <c r="O1144" s="2"/>
      <c r="P1144" s="2"/>
      <c r="Q1144" s="1" t="str">
        <f>IF($D1144="","",$C1144&amp;"|"&amp;COUNTIFS($C$7:$C1144,$C1144))</f>
        <v/>
      </c>
      <c r="R1144" s="1" t="str">
        <f t="shared" si="34"/>
        <v/>
      </c>
      <c r="S1144" s="1" t="str">
        <f t="shared" si="35"/>
        <v/>
      </c>
      <c r="T1144" s="1">
        <f>IF($E1144="",0,SUMPRODUCT((AY_SONU!$O$7:$O$42="Evet")*(AY_SONU!$B$7:$B$42=DATE(YEAR($E1144),MONTH($E1144),1))))</f>
        <v>0</v>
      </c>
      <c r="U1144" s="1" t="str">
        <f>IF(OR($G1144="",$H1144="Mahsup"),"",$G1144&amp;"|"&amp;COUNTIFS($G$7:$G1144,$G1144,$H$7:$H1144,"&lt;&gt;Mahsup"))</f>
        <v/>
      </c>
    </row>
    <row r="1145" spans="1:21" ht="18" customHeight="1" x14ac:dyDescent="0.3">
      <c r="A1145" s="2"/>
      <c r="B1145" s="65" t="str">
        <f>IF($D1145="","","T"&amp;TEXT(ROW()-6,"00000"))</f>
        <v/>
      </c>
      <c r="C1145" s="65" t="str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61"/>
      <c r="E1145" s="66"/>
      <c r="F1145" s="67"/>
      <c r="G1145" s="60"/>
      <c r="H1145" s="60"/>
      <c r="I1145" s="61"/>
      <c r="J1145" s="61"/>
      <c r="K1145" s="61"/>
      <c r="L1145" s="73" t="str">
        <f>IF($E1145="","",DATE(YEAR($E1145),MONTH($E1145),1))</f>
        <v/>
      </c>
      <c r="M1145" s="65" t="str">
        <f ca="1">IF($D1145="","",IF($C1145="TANIMSIZ MÜŞTERİ","HATA",IF(OR($E1145="",$F1145&lt;=0,$G1145=""),"EKSİK",IF($E1145&gt;TODAY(),"İLERİ TARİH",IF(COUNTIF($S$7:$S$2503,$S1145)&gt;1,"MÜKERRER?",IF($T1145&gt;0,"KAPALI DÖNEM","UYGUN"))))))</f>
        <v/>
      </c>
      <c r="N1145" s="74" t="str">
        <f>IF($C1145="","",IF($C1145="TANIMSIZ MÜŞTERİ","—",INDEX(MUSTERILER!$C$7:$C$156,MATCH($C1145,MUSTERILER!$B$7:$B$156,0))))</f>
        <v/>
      </c>
      <c r="O1145" s="2"/>
      <c r="P1145" s="2"/>
      <c r="Q1145" s="1" t="str">
        <f>IF($D1145="","",$C1145&amp;"|"&amp;COUNTIFS($C$7:$C1145,$C1145))</f>
        <v/>
      </c>
      <c r="R1145" s="1" t="str">
        <f t="shared" si="34"/>
        <v/>
      </c>
      <c r="S1145" s="1" t="str">
        <f t="shared" si="35"/>
        <v/>
      </c>
      <c r="T1145" s="1">
        <f>IF($E1145="",0,SUMPRODUCT((AY_SONU!$O$7:$O$42="Evet")*(AY_SONU!$B$7:$B$42=DATE(YEAR($E1145),MONTH($E1145),1))))</f>
        <v>0</v>
      </c>
      <c r="U1145" s="1" t="str">
        <f>IF(OR($G1145="",$H1145="Mahsup"),"",$G1145&amp;"|"&amp;COUNTIFS($G$7:$G1145,$G1145,$H$7:$H1145,"&lt;&gt;Mahsup"))</f>
        <v/>
      </c>
    </row>
    <row r="1146" spans="1:21" ht="18" customHeight="1" x14ac:dyDescent="0.3">
      <c r="A1146" s="2"/>
      <c r="B1146" s="65" t="str">
        <f>IF($D1146="","","T"&amp;TEXT(ROW()-6,"00000"))</f>
        <v/>
      </c>
      <c r="C1146" s="65" t="str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61"/>
      <c r="E1146" s="66"/>
      <c r="F1146" s="67"/>
      <c r="G1146" s="60"/>
      <c r="H1146" s="60"/>
      <c r="I1146" s="61"/>
      <c r="J1146" s="61"/>
      <c r="K1146" s="61"/>
      <c r="L1146" s="73" t="str">
        <f>IF($E1146="","",DATE(YEAR($E1146),MONTH($E1146),1))</f>
        <v/>
      </c>
      <c r="M1146" s="65" t="str">
        <f ca="1">IF($D1146="","",IF($C1146="TANIMSIZ MÜŞTERİ","HATA",IF(OR($E1146="",$F1146&lt;=0,$G1146=""),"EKSİK",IF($E1146&gt;TODAY(),"İLERİ TARİH",IF(COUNTIF($S$7:$S$2503,$S1146)&gt;1,"MÜKERRER?",IF($T1146&gt;0,"KAPALI DÖNEM","UYGUN"))))))</f>
        <v/>
      </c>
      <c r="N1146" s="74" t="str">
        <f>IF($C1146="","",IF($C1146="TANIMSIZ MÜŞTERİ","—",INDEX(MUSTERILER!$C$7:$C$156,MATCH($C1146,MUSTERILER!$B$7:$B$156,0))))</f>
        <v/>
      </c>
      <c r="O1146" s="2"/>
      <c r="P1146" s="2"/>
      <c r="Q1146" s="1" t="str">
        <f>IF($D1146="","",$C1146&amp;"|"&amp;COUNTIFS($C$7:$C1146,$C1146))</f>
        <v/>
      </c>
      <c r="R1146" s="1" t="str">
        <f t="shared" si="34"/>
        <v/>
      </c>
      <c r="S1146" s="1" t="str">
        <f t="shared" si="35"/>
        <v/>
      </c>
      <c r="T1146" s="1">
        <f>IF($E1146="",0,SUMPRODUCT((AY_SONU!$O$7:$O$42="Evet")*(AY_SONU!$B$7:$B$42=DATE(YEAR($E1146),MONTH($E1146),1))))</f>
        <v>0</v>
      </c>
      <c r="U1146" s="1" t="str">
        <f>IF(OR($G1146="",$H1146="Mahsup"),"",$G1146&amp;"|"&amp;COUNTIFS($G$7:$G1146,$G1146,$H$7:$H1146,"&lt;&gt;Mahsup"))</f>
        <v/>
      </c>
    </row>
    <row r="1147" spans="1:21" ht="18" customHeight="1" x14ac:dyDescent="0.3">
      <c r="A1147" s="2"/>
      <c r="B1147" s="65" t="str">
        <f>IF($D1147="","","T"&amp;TEXT(ROW()-6,"00000"))</f>
        <v/>
      </c>
      <c r="C1147" s="65" t="str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61"/>
      <c r="E1147" s="66"/>
      <c r="F1147" s="67"/>
      <c r="G1147" s="60"/>
      <c r="H1147" s="60"/>
      <c r="I1147" s="61"/>
      <c r="J1147" s="61"/>
      <c r="K1147" s="61"/>
      <c r="L1147" s="73" t="str">
        <f>IF($E1147="","",DATE(YEAR($E1147),MONTH($E1147),1))</f>
        <v/>
      </c>
      <c r="M1147" s="65" t="str">
        <f ca="1">IF($D1147="","",IF($C1147="TANIMSIZ MÜŞTERİ","HATA",IF(OR($E1147="",$F1147&lt;=0,$G1147=""),"EKSİK",IF($E1147&gt;TODAY(),"İLERİ TARİH",IF(COUNTIF($S$7:$S$2503,$S1147)&gt;1,"MÜKERRER?",IF($T1147&gt;0,"KAPALI DÖNEM","UYGUN"))))))</f>
        <v/>
      </c>
      <c r="N1147" s="74" t="str">
        <f>IF($C1147="","",IF($C1147="TANIMSIZ MÜŞTERİ","—",INDEX(MUSTERILER!$C$7:$C$156,MATCH($C1147,MUSTERILER!$B$7:$B$156,0))))</f>
        <v/>
      </c>
      <c r="O1147" s="2"/>
      <c r="P1147" s="2"/>
      <c r="Q1147" s="1" t="str">
        <f>IF($D1147="","",$C1147&amp;"|"&amp;COUNTIFS($C$7:$C1147,$C1147))</f>
        <v/>
      </c>
      <c r="R1147" s="1" t="str">
        <f t="shared" si="34"/>
        <v/>
      </c>
      <c r="S1147" s="1" t="str">
        <f t="shared" si="35"/>
        <v/>
      </c>
      <c r="T1147" s="1">
        <f>IF($E1147="",0,SUMPRODUCT((AY_SONU!$O$7:$O$42="Evet")*(AY_SONU!$B$7:$B$42=DATE(YEAR($E1147),MONTH($E1147),1))))</f>
        <v>0</v>
      </c>
      <c r="U1147" s="1" t="str">
        <f>IF(OR($G1147="",$H1147="Mahsup"),"",$G1147&amp;"|"&amp;COUNTIFS($G$7:$G1147,$G1147,$H$7:$H1147,"&lt;&gt;Mahsup"))</f>
        <v/>
      </c>
    </row>
    <row r="1148" spans="1:21" ht="18" customHeight="1" x14ac:dyDescent="0.3">
      <c r="A1148" s="2"/>
      <c r="B1148" s="65" t="str">
        <f>IF($D1148="","","T"&amp;TEXT(ROW()-6,"00000"))</f>
        <v/>
      </c>
      <c r="C1148" s="65" t="str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61"/>
      <c r="E1148" s="66"/>
      <c r="F1148" s="67"/>
      <c r="G1148" s="60"/>
      <c r="H1148" s="60"/>
      <c r="I1148" s="61"/>
      <c r="J1148" s="61"/>
      <c r="K1148" s="61"/>
      <c r="L1148" s="73" t="str">
        <f>IF($E1148="","",DATE(YEAR($E1148),MONTH($E1148),1))</f>
        <v/>
      </c>
      <c r="M1148" s="65" t="str">
        <f ca="1">IF($D1148="","",IF($C1148="TANIMSIZ MÜŞTERİ","HATA",IF(OR($E1148="",$F1148&lt;=0,$G1148=""),"EKSİK",IF($E1148&gt;TODAY(),"İLERİ TARİH",IF(COUNTIF($S$7:$S$2503,$S1148)&gt;1,"MÜKERRER?",IF($T1148&gt;0,"KAPALI DÖNEM","UYGUN"))))))</f>
        <v/>
      </c>
      <c r="N1148" s="74" t="str">
        <f>IF($C1148="","",IF($C1148="TANIMSIZ MÜŞTERİ","—",INDEX(MUSTERILER!$C$7:$C$156,MATCH($C1148,MUSTERILER!$B$7:$B$156,0))))</f>
        <v/>
      </c>
      <c r="O1148" s="2"/>
      <c r="P1148" s="2"/>
      <c r="Q1148" s="1" t="str">
        <f>IF($D1148="","",$C1148&amp;"|"&amp;COUNTIFS($C$7:$C1148,$C1148))</f>
        <v/>
      </c>
      <c r="R1148" s="1" t="str">
        <f t="shared" si="34"/>
        <v/>
      </c>
      <c r="S1148" s="1" t="str">
        <f t="shared" si="35"/>
        <v/>
      </c>
      <c r="T1148" s="1">
        <f>IF($E1148="",0,SUMPRODUCT((AY_SONU!$O$7:$O$42="Evet")*(AY_SONU!$B$7:$B$42=DATE(YEAR($E1148),MONTH($E1148),1))))</f>
        <v>0</v>
      </c>
      <c r="U1148" s="1" t="str">
        <f>IF(OR($G1148="",$H1148="Mahsup"),"",$G1148&amp;"|"&amp;COUNTIFS($G$7:$G1148,$G1148,$H$7:$H1148,"&lt;&gt;Mahsup"))</f>
        <v/>
      </c>
    </row>
    <row r="1149" spans="1:21" ht="18" customHeight="1" x14ac:dyDescent="0.3">
      <c r="A1149" s="2"/>
      <c r="B1149" s="65" t="str">
        <f>IF($D1149="","","T"&amp;TEXT(ROW()-6,"00000"))</f>
        <v/>
      </c>
      <c r="C1149" s="65" t="str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61"/>
      <c r="E1149" s="66"/>
      <c r="F1149" s="67"/>
      <c r="G1149" s="60"/>
      <c r="H1149" s="60"/>
      <c r="I1149" s="61"/>
      <c r="J1149" s="61"/>
      <c r="K1149" s="61"/>
      <c r="L1149" s="73" t="str">
        <f>IF($E1149="","",DATE(YEAR($E1149),MONTH($E1149),1))</f>
        <v/>
      </c>
      <c r="M1149" s="65" t="str">
        <f ca="1">IF($D1149="","",IF($C1149="TANIMSIZ MÜŞTERİ","HATA",IF(OR($E1149="",$F1149&lt;=0,$G1149=""),"EKSİK",IF($E1149&gt;TODAY(),"İLERİ TARİH",IF(COUNTIF($S$7:$S$2503,$S1149)&gt;1,"MÜKERRER?",IF($T1149&gt;0,"KAPALI DÖNEM","UYGUN"))))))</f>
        <v/>
      </c>
      <c r="N1149" s="74" t="str">
        <f>IF($C1149="","",IF($C1149="TANIMSIZ MÜŞTERİ","—",INDEX(MUSTERILER!$C$7:$C$156,MATCH($C1149,MUSTERILER!$B$7:$B$156,0))))</f>
        <v/>
      </c>
      <c r="O1149" s="2"/>
      <c r="P1149" s="2"/>
      <c r="Q1149" s="1" t="str">
        <f>IF($D1149="","",$C1149&amp;"|"&amp;COUNTIFS($C$7:$C1149,$C1149))</f>
        <v/>
      </c>
      <c r="R1149" s="1" t="str">
        <f t="shared" si="34"/>
        <v/>
      </c>
      <c r="S1149" s="1" t="str">
        <f t="shared" si="35"/>
        <v/>
      </c>
      <c r="T1149" s="1">
        <f>IF($E1149="",0,SUMPRODUCT((AY_SONU!$O$7:$O$42="Evet")*(AY_SONU!$B$7:$B$42=DATE(YEAR($E1149),MONTH($E1149),1))))</f>
        <v>0</v>
      </c>
      <c r="U1149" s="1" t="str">
        <f>IF(OR($G1149="",$H1149="Mahsup"),"",$G1149&amp;"|"&amp;COUNTIFS($G$7:$G1149,$G1149,$H$7:$H1149,"&lt;&gt;Mahsup"))</f>
        <v/>
      </c>
    </row>
    <row r="1150" spans="1:21" ht="18" customHeight="1" x14ac:dyDescent="0.3">
      <c r="A1150" s="2"/>
      <c r="B1150" s="65" t="str">
        <f>IF($D1150="","","T"&amp;TEXT(ROW()-6,"00000"))</f>
        <v/>
      </c>
      <c r="C1150" s="65" t="str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61"/>
      <c r="E1150" s="66"/>
      <c r="F1150" s="67"/>
      <c r="G1150" s="60"/>
      <c r="H1150" s="60"/>
      <c r="I1150" s="61"/>
      <c r="J1150" s="61"/>
      <c r="K1150" s="61"/>
      <c r="L1150" s="73" t="str">
        <f>IF($E1150="","",DATE(YEAR($E1150),MONTH($E1150),1))</f>
        <v/>
      </c>
      <c r="M1150" s="65" t="str">
        <f ca="1">IF($D1150="","",IF($C1150="TANIMSIZ MÜŞTERİ","HATA",IF(OR($E1150="",$F1150&lt;=0,$G1150=""),"EKSİK",IF($E1150&gt;TODAY(),"İLERİ TARİH",IF(COUNTIF($S$7:$S$2503,$S1150)&gt;1,"MÜKERRER?",IF($T1150&gt;0,"KAPALI DÖNEM","UYGUN"))))))</f>
        <v/>
      </c>
      <c r="N1150" s="74" t="str">
        <f>IF($C1150="","",IF($C1150="TANIMSIZ MÜŞTERİ","—",INDEX(MUSTERILER!$C$7:$C$156,MATCH($C1150,MUSTERILER!$B$7:$B$156,0))))</f>
        <v/>
      </c>
      <c r="O1150" s="2"/>
      <c r="P1150" s="2"/>
      <c r="Q1150" s="1" t="str">
        <f>IF($D1150="","",$C1150&amp;"|"&amp;COUNTIFS($C$7:$C1150,$C1150))</f>
        <v/>
      </c>
      <c r="R1150" s="1" t="str">
        <f t="shared" si="34"/>
        <v/>
      </c>
      <c r="S1150" s="1" t="str">
        <f t="shared" si="35"/>
        <v/>
      </c>
      <c r="T1150" s="1">
        <f>IF($E1150="",0,SUMPRODUCT((AY_SONU!$O$7:$O$42="Evet")*(AY_SONU!$B$7:$B$42=DATE(YEAR($E1150),MONTH($E1150),1))))</f>
        <v>0</v>
      </c>
      <c r="U1150" s="1" t="str">
        <f>IF(OR($G1150="",$H1150="Mahsup"),"",$G1150&amp;"|"&amp;COUNTIFS($G$7:$G1150,$G1150,$H$7:$H1150,"&lt;&gt;Mahsup"))</f>
        <v/>
      </c>
    </row>
    <row r="1151" spans="1:21" ht="18" customHeight="1" x14ac:dyDescent="0.3">
      <c r="A1151" s="2"/>
      <c r="B1151" s="65" t="str">
        <f>IF($D1151="","","T"&amp;TEXT(ROW()-6,"00000"))</f>
        <v/>
      </c>
      <c r="C1151" s="65" t="str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61"/>
      <c r="E1151" s="66"/>
      <c r="F1151" s="67"/>
      <c r="G1151" s="60"/>
      <c r="H1151" s="60"/>
      <c r="I1151" s="61"/>
      <c r="J1151" s="61"/>
      <c r="K1151" s="61"/>
      <c r="L1151" s="73" t="str">
        <f>IF($E1151="","",DATE(YEAR($E1151),MONTH($E1151),1))</f>
        <v/>
      </c>
      <c r="M1151" s="65" t="str">
        <f ca="1">IF($D1151="","",IF($C1151="TANIMSIZ MÜŞTERİ","HATA",IF(OR($E1151="",$F1151&lt;=0,$G1151=""),"EKSİK",IF($E1151&gt;TODAY(),"İLERİ TARİH",IF(COUNTIF($S$7:$S$2503,$S1151)&gt;1,"MÜKERRER?",IF($T1151&gt;0,"KAPALI DÖNEM","UYGUN"))))))</f>
        <v/>
      </c>
      <c r="N1151" s="74" t="str">
        <f>IF($C1151="","",IF($C1151="TANIMSIZ MÜŞTERİ","—",INDEX(MUSTERILER!$C$7:$C$156,MATCH($C1151,MUSTERILER!$B$7:$B$156,0))))</f>
        <v/>
      </c>
      <c r="O1151" s="2"/>
      <c r="P1151" s="2"/>
      <c r="Q1151" s="1" t="str">
        <f>IF($D1151="","",$C1151&amp;"|"&amp;COUNTIFS($C$7:$C1151,$C1151))</f>
        <v/>
      </c>
      <c r="R1151" s="1" t="str">
        <f t="shared" si="34"/>
        <v/>
      </c>
      <c r="S1151" s="1" t="str">
        <f t="shared" si="35"/>
        <v/>
      </c>
      <c r="T1151" s="1">
        <f>IF($E1151="",0,SUMPRODUCT((AY_SONU!$O$7:$O$42="Evet")*(AY_SONU!$B$7:$B$42=DATE(YEAR($E1151),MONTH($E1151),1))))</f>
        <v>0</v>
      </c>
      <c r="U1151" s="1" t="str">
        <f>IF(OR($G1151="",$H1151="Mahsup"),"",$G1151&amp;"|"&amp;COUNTIFS($G$7:$G1151,$G1151,$H$7:$H1151,"&lt;&gt;Mahsup"))</f>
        <v/>
      </c>
    </row>
    <row r="1152" spans="1:21" ht="18" customHeight="1" x14ac:dyDescent="0.3">
      <c r="A1152" s="2"/>
      <c r="B1152" s="65" t="str">
        <f>IF($D1152="","","T"&amp;TEXT(ROW()-6,"00000"))</f>
        <v/>
      </c>
      <c r="C1152" s="65" t="str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61"/>
      <c r="E1152" s="66"/>
      <c r="F1152" s="67"/>
      <c r="G1152" s="60"/>
      <c r="H1152" s="60"/>
      <c r="I1152" s="61"/>
      <c r="J1152" s="61"/>
      <c r="K1152" s="61"/>
      <c r="L1152" s="73" t="str">
        <f>IF($E1152="","",DATE(YEAR($E1152),MONTH($E1152),1))</f>
        <v/>
      </c>
      <c r="M1152" s="65" t="str">
        <f ca="1">IF($D1152="","",IF($C1152="TANIMSIZ MÜŞTERİ","HATA",IF(OR($E1152="",$F1152&lt;=0,$G1152=""),"EKSİK",IF($E1152&gt;TODAY(),"İLERİ TARİH",IF(COUNTIF($S$7:$S$2503,$S1152)&gt;1,"MÜKERRER?",IF($T1152&gt;0,"KAPALI DÖNEM","UYGUN"))))))</f>
        <v/>
      </c>
      <c r="N1152" s="74" t="str">
        <f>IF($C1152="","",IF($C1152="TANIMSIZ MÜŞTERİ","—",INDEX(MUSTERILER!$C$7:$C$156,MATCH($C1152,MUSTERILER!$B$7:$B$156,0))))</f>
        <v/>
      </c>
      <c r="O1152" s="2"/>
      <c r="P1152" s="2"/>
      <c r="Q1152" s="1" t="str">
        <f>IF($D1152="","",$C1152&amp;"|"&amp;COUNTIFS($C$7:$C1152,$C1152))</f>
        <v/>
      </c>
      <c r="R1152" s="1" t="str">
        <f t="shared" si="34"/>
        <v/>
      </c>
      <c r="S1152" s="1" t="str">
        <f t="shared" si="35"/>
        <v/>
      </c>
      <c r="T1152" s="1">
        <f>IF($E1152="",0,SUMPRODUCT((AY_SONU!$O$7:$O$42="Evet")*(AY_SONU!$B$7:$B$42=DATE(YEAR($E1152),MONTH($E1152),1))))</f>
        <v>0</v>
      </c>
      <c r="U1152" s="1" t="str">
        <f>IF(OR($G1152="",$H1152="Mahsup"),"",$G1152&amp;"|"&amp;COUNTIFS($G$7:$G1152,$G1152,$H$7:$H1152,"&lt;&gt;Mahsup"))</f>
        <v/>
      </c>
    </row>
    <row r="1153" spans="1:21" ht="18" customHeight="1" x14ac:dyDescent="0.3">
      <c r="A1153" s="2"/>
      <c r="B1153" s="65" t="str">
        <f>IF($D1153="","","T"&amp;TEXT(ROW()-6,"00000"))</f>
        <v/>
      </c>
      <c r="C1153" s="65" t="str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61"/>
      <c r="E1153" s="66"/>
      <c r="F1153" s="67"/>
      <c r="G1153" s="60"/>
      <c r="H1153" s="60"/>
      <c r="I1153" s="61"/>
      <c r="J1153" s="61"/>
      <c r="K1153" s="61"/>
      <c r="L1153" s="73" t="str">
        <f>IF($E1153="","",DATE(YEAR($E1153),MONTH($E1153),1))</f>
        <v/>
      </c>
      <c r="M1153" s="65" t="str">
        <f ca="1">IF($D1153="","",IF($C1153="TANIMSIZ MÜŞTERİ","HATA",IF(OR($E1153="",$F1153&lt;=0,$G1153=""),"EKSİK",IF($E1153&gt;TODAY(),"İLERİ TARİH",IF(COUNTIF($S$7:$S$2503,$S1153)&gt;1,"MÜKERRER?",IF($T1153&gt;0,"KAPALI DÖNEM","UYGUN"))))))</f>
        <v/>
      </c>
      <c r="N1153" s="74" t="str">
        <f>IF($C1153="","",IF($C1153="TANIMSIZ MÜŞTERİ","—",INDEX(MUSTERILER!$C$7:$C$156,MATCH($C1153,MUSTERILER!$B$7:$B$156,0))))</f>
        <v/>
      </c>
      <c r="O1153" s="2"/>
      <c r="P1153" s="2"/>
      <c r="Q1153" s="1" t="str">
        <f>IF($D1153="","",$C1153&amp;"|"&amp;COUNTIFS($C$7:$C1153,$C1153))</f>
        <v/>
      </c>
      <c r="R1153" s="1" t="str">
        <f t="shared" si="34"/>
        <v/>
      </c>
      <c r="S1153" s="1" t="str">
        <f t="shared" si="35"/>
        <v/>
      </c>
      <c r="T1153" s="1">
        <f>IF($E1153="",0,SUMPRODUCT((AY_SONU!$O$7:$O$42="Evet")*(AY_SONU!$B$7:$B$42=DATE(YEAR($E1153),MONTH($E1153),1))))</f>
        <v>0</v>
      </c>
      <c r="U1153" s="1" t="str">
        <f>IF(OR($G1153="",$H1153="Mahsup"),"",$G1153&amp;"|"&amp;COUNTIFS($G$7:$G1153,$G1153,$H$7:$H1153,"&lt;&gt;Mahsup"))</f>
        <v/>
      </c>
    </row>
    <row r="1154" spans="1:21" ht="18" customHeight="1" x14ac:dyDescent="0.3">
      <c r="A1154" s="2"/>
      <c r="B1154" s="65" t="str">
        <f>IF($D1154="","","T"&amp;TEXT(ROW()-6,"00000"))</f>
        <v/>
      </c>
      <c r="C1154" s="65" t="str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61"/>
      <c r="E1154" s="66"/>
      <c r="F1154" s="67"/>
      <c r="G1154" s="60"/>
      <c r="H1154" s="60"/>
      <c r="I1154" s="61"/>
      <c r="J1154" s="61"/>
      <c r="K1154" s="61"/>
      <c r="L1154" s="73" t="str">
        <f>IF($E1154="","",DATE(YEAR($E1154),MONTH($E1154),1))</f>
        <v/>
      </c>
      <c r="M1154" s="65" t="str">
        <f ca="1">IF($D1154="","",IF($C1154="TANIMSIZ MÜŞTERİ","HATA",IF(OR($E1154="",$F1154&lt;=0,$G1154=""),"EKSİK",IF($E1154&gt;TODAY(),"İLERİ TARİH",IF(COUNTIF($S$7:$S$2503,$S1154)&gt;1,"MÜKERRER?",IF($T1154&gt;0,"KAPALI DÖNEM","UYGUN"))))))</f>
        <v/>
      </c>
      <c r="N1154" s="74" t="str">
        <f>IF($C1154="","",IF($C1154="TANIMSIZ MÜŞTERİ","—",INDEX(MUSTERILER!$C$7:$C$156,MATCH($C1154,MUSTERILER!$B$7:$B$156,0))))</f>
        <v/>
      </c>
      <c r="O1154" s="2"/>
      <c r="P1154" s="2"/>
      <c r="Q1154" s="1" t="str">
        <f>IF($D1154="","",$C1154&amp;"|"&amp;COUNTIFS($C$7:$C1154,$C1154))</f>
        <v/>
      </c>
      <c r="R1154" s="1" t="str">
        <f t="shared" si="34"/>
        <v/>
      </c>
      <c r="S1154" s="1" t="str">
        <f t="shared" si="35"/>
        <v/>
      </c>
      <c r="T1154" s="1">
        <f>IF($E1154="",0,SUMPRODUCT((AY_SONU!$O$7:$O$42="Evet")*(AY_SONU!$B$7:$B$42=DATE(YEAR($E1154),MONTH($E1154),1))))</f>
        <v>0</v>
      </c>
      <c r="U1154" s="1" t="str">
        <f>IF(OR($G1154="",$H1154="Mahsup"),"",$G1154&amp;"|"&amp;COUNTIFS($G$7:$G1154,$G1154,$H$7:$H1154,"&lt;&gt;Mahsup"))</f>
        <v/>
      </c>
    </row>
    <row r="1155" spans="1:21" ht="18" customHeight="1" x14ac:dyDescent="0.3">
      <c r="A1155" s="2"/>
      <c r="B1155" s="65" t="str">
        <f>IF($D1155="","","T"&amp;TEXT(ROW()-6,"00000"))</f>
        <v/>
      </c>
      <c r="C1155" s="65" t="str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61"/>
      <c r="E1155" s="66"/>
      <c r="F1155" s="67"/>
      <c r="G1155" s="60"/>
      <c r="H1155" s="60"/>
      <c r="I1155" s="61"/>
      <c r="J1155" s="61"/>
      <c r="K1155" s="61"/>
      <c r="L1155" s="73" t="str">
        <f>IF($E1155="","",DATE(YEAR($E1155),MONTH($E1155),1))</f>
        <v/>
      </c>
      <c r="M1155" s="65" t="str">
        <f ca="1">IF($D1155="","",IF($C1155="TANIMSIZ MÜŞTERİ","HATA",IF(OR($E1155="",$F1155&lt;=0,$G1155=""),"EKSİK",IF($E1155&gt;TODAY(),"İLERİ TARİH",IF(COUNTIF($S$7:$S$2503,$S1155)&gt;1,"MÜKERRER?",IF($T1155&gt;0,"KAPALI DÖNEM","UYGUN"))))))</f>
        <v/>
      </c>
      <c r="N1155" s="74" t="str">
        <f>IF($C1155="","",IF($C1155="TANIMSIZ MÜŞTERİ","—",INDEX(MUSTERILER!$C$7:$C$156,MATCH($C1155,MUSTERILER!$B$7:$B$156,0))))</f>
        <v/>
      </c>
      <c r="O1155" s="2"/>
      <c r="P1155" s="2"/>
      <c r="Q1155" s="1" t="str">
        <f>IF($D1155="","",$C1155&amp;"|"&amp;COUNTIFS($C$7:$C1155,$C1155))</f>
        <v/>
      </c>
      <c r="R1155" s="1" t="str">
        <f t="shared" si="34"/>
        <v/>
      </c>
      <c r="S1155" s="1" t="str">
        <f t="shared" si="35"/>
        <v/>
      </c>
      <c r="T1155" s="1">
        <f>IF($E1155="",0,SUMPRODUCT((AY_SONU!$O$7:$O$42="Evet")*(AY_SONU!$B$7:$B$42=DATE(YEAR($E1155),MONTH($E1155),1))))</f>
        <v>0</v>
      </c>
      <c r="U1155" s="1" t="str">
        <f>IF(OR($G1155="",$H1155="Mahsup"),"",$G1155&amp;"|"&amp;COUNTIFS($G$7:$G1155,$G1155,$H$7:$H1155,"&lt;&gt;Mahsup"))</f>
        <v/>
      </c>
    </row>
    <row r="1156" spans="1:21" ht="18" customHeight="1" x14ac:dyDescent="0.3">
      <c r="A1156" s="2"/>
      <c r="B1156" s="65" t="str">
        <f>IF($D1156="","","T"&amp;TEXT(ROW()-6,"00000"))</f>
        <v/>
      </c>
      <c r="C1156" s="65" t="str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61"/>
      <c r="E1156" s="66"/>
      <c r="F1156" s="67"/>
      <c r="G1156" s="60"/>
      <c r="H1156" s="60"/>
      <c r="I1156" s="61"/>
      <c r="J1156" s="61"/>
      <c r="K1156" s="61"/>
      <c r="L1156" s="73" t="str">
        <f>IF($E1156="","",DATE(YEAR($E1156),MONTH($E1156),1))</f>
        <v/>
      </c>
      <c r="M1156" s="65" t="str">
        <f ca="1">IF($D1156="","",IF($C1156="TANIMSIZ MÜŞTERİ","HATA",IF(OR($E1156="",$F1156&lt;=0,$G1156=""),"EKSİK",IF($E1156&gt;TODAY(),"İLERİ TARİH",IF(COUNTIF($S$7:$S$2503,$S1156)&gt;1,"MÜKERRER?",IF($T1156&gt;0,"KAPALI DÖNEM","UYGUN"))))))</f>
        <v/>
      </c>
      <c r="N1156" s="74" t="str">
        <f>IF($C1156="","",IF($C1156="TANIMSIZ MÜŞTERİ","—",INDEX(MUSTERILER!$C$7:$C$156,MATCH($C1156,MUSTERILER!$B$7:$B$156,0))))</f>
        <v/>
      </c>
      <c r="O1156" s="2"/>
      <c r="P1156" s="2"/>
      <c r="Q1156" s="1" t="str">
        <f>IF($D1156="","",$C1156&amp;"|"&amp;COUNTIFS($C$7:$C1156,$C1156))</f>
        <v/>
      </c>
      <c r="R1156" s="1" t="str">
        <f t="shared" si="34"/>
        <v/>
      </c>
      <c r="S1156" s="1" t="str">
        <f t="shared" si="35"/>
        <v/>
      </c>
      <c r="T1156" s="1">
        <f>IF($E1156="",0,SUMPRODUCT((AY_SONU!$O$7:$O$42="Evet")*(AY_SONU!$B$7:$B$42=DATE(YEAR($E1156),MONTH($E1156),1))))</f>
        <v>0</v>
      </c>
      <c r="U1156" s="1" t="str">
        <f>IF(OR($G1156="",$H1156="Mahsup"),"",$G1156&amp;"|"&amp;COUNTIFS($G$7:$G1156,$G1156,$H$7:$H1156,"&lt;&gt;Mahsup"))</f>
        <v/>
      </c>
    </row>
    <row r="1157" spans="1:21" ht="18" customHeight="1" x14ac:dyDescent="0.3">
      <c r="A1157" s="2"/>
      <c r="B1157" s="65" t="str">
        <f>IF($D1157="","","T"&amp;TEXT(ROW()-6,"00000"))</f>
        <v/>
      </c>
      <c r="C1157" s="65" t="str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61"/>
      <c r="E1157" s="66"/>
      <c r="F1157" s="67"/>
      <c r="G1157" s="60"/>
      <c r="H1157" s="60"/>
      <c r="I1157" s="61"/>
      <c r="J1157" s="61"/>
      <c r="K1157" s="61"/>
      <c r="L1157" s="73" t="str">
        <f>IF($E1157="","",DATE(YEAR($E1157),MONTH($E1157),1))</f>
        <v/>
      </c>
      <c r="M1157" s="65" t="str">
        <f ca="1">IF($D1157="","",IF($C1157="TANIMSIZ MÜŞTERİ","HATA",IF(OR($E1157="",$F1157&lt;=0,$G1157=""),"EKSİK",IF($E1157&gt;TODAY(),"İLERİ TARİH",IF(COUNTIF($S$7:$S$2503,$S1157)&gt;1,"MÜKERRER?",IF($T1157&gt;0,"KAPALI DÖNEM","UYGUN"))))))</f>
        <v/>
      </c>
      <c r="N1157" s="74" t="str">
        <f>IF($C1157="","",IF($C1157="TANIMSIZ MÜŞTERİ","—",INDEX(MUSTERILER!$C$7:$C$156,MATCH($C1157,MUSTERILER!$B$7:$B$156,0))))</f>
        <v/>
      </c>
      <c r="O1157" s="2"/>
      <c r="P1157" s="2"/>
      <c r="Q1157" s="1" t="str">
        <f>IF($D1157="","",$C1157&amp;"|"&amp;COUNTIFS($C$7:$C1157,$C1157))</f>
        <v/>
      </c>
      <c r="R1157" s="1" t="str">
        <f t="shared" si="34"/>
        <v/>
      </c>
      <c r="S1157" s="1" t="str">
        <f t="shared" si="35"/>
        <v/>
      </c>
      <c r="T1157" s="1">
        <f>IF($E1157="",0,SUMPRODUCT((AY_SONU!$O$7:$O$42="Evet")*(AY_SONU!$B$7:$B$42=DATE(YEAR($E1157),MONTH($E1157),1))))</f>
        <v>0</v>
      </c>
      <c r="U1157" s="1" t="str">
        <f>IF(OR($G1157="",$H1157="Mahsup"),"",$G1157&amp;"|"&amp;COUNTIFS($G$7:$G1157,$G1157,$H$7:$H1157,"&lt;&gt;Mahsup"))</f>
        <v/>
      </c>
    </row>
    <row r="1158" spans="1:21" ht="18" customHeight="1" x14ac:dyDescent="0.3">
      <c r="A1158" s="2"/>
      <c r="B1158" s="65" t="str">
        <f>IF($D1158="","","T"&amp;TEXT(ROW()-6,"00000"))</f>
        <v/>
      </c>
      <c r="C1158" s="65" t="str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61"/>
      <c r="E1158" s="66"/>
      <c r="F1158" s="67"/>
      <c r="G1158" s="60"/>
      <c r="H1158" s="60"/>
      <c r="I1158" s="61"/>
      <c r="J1158" s="61"/>
      <c r="K1158" s="61"/>
      <c r="L1158" s="73" t="str">
        <f>IF($E1158="","",DATE(YEAR($E1158),MONTH($E1158),1))</f>
        <v/>
      </c>
      <c r="M1158" s="65" t="str">
        <f ca="1">IF($D1158="","",IF($C1158="TANIMSIZ MÜŞTERİ","HATA",IF(OR($E1158="",$F1158&lt;=0,$G1158=""),"EKSİK",IF($E1158&gt;TODAY(),"İLERİ TARİH",IF(COUNTIF($S$7:$S$2503,$S1158)&gt;1,"MÜKERRER?",IF($T1158&gt;0,"KAPALI DÖNEM","UYGUN"))))))</f>
        <v/>
      </c>
      <c r="N1158" s="74" t="str">
        <f>IF($C1158="","",IF($C1158="TANIMSIZ MÜŞTERİ","—",INDEX(MUSTERILER!$C$7:$C$156,MATCH($C1158,MUSTERILER!$B$7:$B$156,0))))</f>
        <v/>
      </c>
      <c r="O1158" s="2"/>
      <c r="P1158" s="2"/>
      <c r="Q1158" s="1" t="str">
        <f>IF($D1158="","",$C1158&amp;"|"&amp;COUNTIFS($C$7:$C1158,$C1158))</f>
        <v/>
      </c>
      <c r="R1158" s="1" t="str">
        <f t="shared" si="34"/>
        <v/>
      </c>
      <c r="S1158" s="1" t="str">
        <f t="shared" si="35"/>
        <v/>
      </c>
      <c r="T1158" s="1">
        <f>IF($E1158="",0,SUMPRODUCT((AY_SONU!$O$7:$O$42="Evet")*(AY_SONU!$B$7:$B$42=DATE(YEAR($E1158),MONTH($E1158),1))))</f>
        <v>0</v>
      </c>
      <c r="U1158" s="1" t="str">
        <f>IF(OR($G1158="",$H1158="Mahsup"),"",$G1158&amp;"|"&amp;COUNTIFS($G$7:$G1158,$G1158,$H$7:$H1158,"&lt;&gt;Mahsup"))</f>
        <v/>
      </c>
    </row>
    <row r="1159" spans="1:21" ht="18" customHeight="1" x14ac:dyDescent="0.3">
      <c r="A1159" s="2"/>
      <c r="B1159" s="65" t="str">
        <f>IF($D1159="","","T"&amp;TEXT(ROW()-6,"00000"))</f>
        <v/>
      </c>
      <c r="C1159" s="65" t="str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61"/>
      <c r="E1159" s="66"/>
      <c r="F1159" s="67"/>
      <c r="G1159" s="60"/>
      <c r="H1159" s="60"/>
      <c r="I1159" s="61"/>
      <c r="J1159" s="61"/>
      <c r="K1159" s="61"/>
      <c r="L1159" s="73" t="str">
        <f>IF($E1159="","",DATE(YEAR($E1159),MONTH($E1159),1))</f>
        <v/>
      </c>
      <c r="M1159" s="65" t="str">
        <f ca="1">IF($D1159="","",IF($C1159="TANIMSIZ MÜŞTERİ","HATA",IF(OR($E1159="",$F1159&lt;=0,$G1159=""),"EKSİK",IF($E1159&gt;TODAY(),"İLERİ TARİH",IF(COUNTIF($S$7:$S$2503,$S1159)&gt;1,"MÜKERRER?",IF($T1159&gt;0,"KAPALI DÖNEM","UYGUN"))))))</f>
        <v/>
      </c>
      <c r="N1159" s="74" t="str">
        <f>IF($C1159="","",IF($C1159="TANIMSIZ MÜŞTERİ","—",INDEX(MUSTERILER!$C$7:$C$156,MATCH($C1159,MUSTERILER!$B$7:$B$156,0))))</f>
        <v/>
      </c>
      <c r="O1159" s="2"/>
      <c r="P1159" s="2"/>
      <c r="Q1159" s="1" t="str">
        <f>IF($D1159="","",$C1159&amp;"|"&amp;COUNTIFS($C$7:$C1159,$C1159))</f>
        <v/>
      </c>
      <c r="R1159" s="1" t="str">
        <f t="shared" ref="R1159:R1222" si="36"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" t="str">
        <f t="shared" ref="S1159:S1222" si="37">IF($D1159="","",$C1159&amp;"|"&amp;TEXT($E1159,"0")&amp;"|"&amp;TEXT($F1159,"0")&amp;"|"&amp;$I1159)</f>
        <v/>
      </c>
      <c r="T1159" s="1">
        <f>IF($E1159="",0,SUMPRODUCT((AY_SONU!$O$7:$O$42="Evet")*(AY_SONU!$B$7:$B$42=DATE(YEAR($E1159),MONTH($E1159),1))))</f>
        <v>0</v>
      </c>
      <c r="U1159" s="1" t="str">
        <f>IF(OR($G1159="",$H1159="Mahsup"),"",$G1159&amp;"|"&amp;COUNTIFS($G$7:$G1159,$G1159,$H$7:$H1159,"&lt;&gt;Mahsup"))</f>
        <v/>
      </c>
    </row>
    <row r="1160" spans="1:21" ht="18" customHeight="1" x14ac:dyDescent="0.3">
      <c r="A1160" s="2"/>
      <c r="B1160" s="65" t="str">
        <f>IF($D1160="","","T"&amp;TEXT(ROW()-6,"00000"))</f>
        <v/>
      </c>
      <c r="C1160" s="65" t="str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61"/>
      <c r="E1160" s="66"/>
      <c r="F1160" s="67"/>
      <c r="G1160" s="60"/>
      <c r="H1160" s="60"/>
      <c r="I1160" s="61"/>
      <c r="J1160" s="61"/>
      <c r="K1160" s="61"/>
      <c r="L1160" s="73" t="str">
        <f>IF($E1160="","",DATE(YEAR($E1160),MONTH($E1160),1))</f>
        <v/>
      </c>
      <c r="M1160" s="65" t="str">
        <f ca="1">IF($D1160="","",IF($C1160="TANIMSIZ MÜŞTERİ","HATA",IF(OR($E1160="",$F1160&lt;=0,$G1160=""),"EKSİK",IF($E1160&gt;TODAY(),"İLERİ TARİH",IF(COUNTIF($S$7:$S$2503,$S1160)&gt;1,"MÜKERRER?",IF($T1160&gt;0,"KAPALI DÖNEM","UYGUN"))))))</f>
        <v/>
      </c>
      <c r="N1160" s="74" t="str">
        <f>IF($C1160="","",IF($C1160="TANIMSIZ MÜŞTERİ","—",INDEX(MUSTERILER!$C$7:$C$156,MATCH($C1160,MUSTERILER!$B$7:$B$156,0))))</f>
        <v/>
      </c>
      <c r="O1160" s="2"/>
      <c r="P1160" s="2"/>
      <c r="Q1160" s="1" t="str">
        <f>IF($D1160="","",$C1160&amp;"|"&amp;COUNTIFS($C$7:$C1160,$C1160))</f>
        <v/>
      </c>
      <c r="R1160" s="1" t="str">
        <f t="shared" si="36"/>
        <v/>
      </c>
      <c r="S1160" s="1" t="str">
        <f t="shared" si="37"/>
        <v/>
      </c>
      <c r="T1160" s="1">
        <f>IF($E1160="",0,SUMPRODUCT((AY_SONU!$O$7:$O$42="Evet")*(AY_SONU!$B$7:$B$42=DATE(YEAR($E1160),MONTH($E1160),1))))</f>
        <v>0</v>
      </c>
      <c r="U1160" s="1" t="str">
        <f>IF(OR($G1160="",$H1160="Mahsup"),"",$G1160&amp;"|"&amp;COUNTIFS($G$7:$G1160,$G1160,$H$7:$H1160,"&lt;&gt;Mahsup"))</f>
        <v/>
      </c>
    </row>
    <row r="1161" spans="1:21" ht="18" customHeight="1" x14ac:dyDescent="0.3">
      <c r="A1161" s="2"/>
      <c r="B1161" s="65" t="str">
        <f>IF($D1161="","","T"&amp;TEXT(ROW()-6,"00000"))</f>
        <v/>
      </c>
      <c r="C1161" s="65" t="str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61"/>
      <c r="E1161" s="66"/>
      <c r="F1161" s="67"/>
      <c r="G1161" s="60"/>
      <c r="H1161" s="60"/>
      <c r="I1161" s="61"/>
      <c r="J1161" s="61"/>
      <c r="K1161" s="61"/>
      <c r="L1161" s="73" t="str">
        <f>IF($E1161="","",DATE(YEAR($E1161),MONTH($E1161),1))</f>
        <v/>
      </c>
      <c r="M1161" s="65" t="str">
        <f ca="1">IF($D1161="","",IF($C1161="TANIMSIZ MÜŞTERİ","HATA",IF(OR($E1161="",$F1161&lt;=0,$G1161=""),"EKSİK",IF($E1161&gt;TODAY(),"İLERİ TARİH",IF(COUNTIF($S$7:$S$2503,$S1161)&gt;1,"MÜKERRER?",IF($T1161&gt;0,"KAPALI DÖNEM","UYGUN"))))))</f>
        <v/>
      </c>
      <c r="N1161" s="74" t="str">
        <f>IF($C1161="","",IF($C1161="TANIMSIZ MÜŞTERİ","—",INDEX(MUSTERILER!$C$7:$C$156,MATCH($C1161,MUSTERILER!$B$7:$B$156,0))))</f>
        <v/>
      </c>
      <c r="O1161" s="2"/>
      <c r="P1161" s="2"/>
      <c r="Q1161" s="1" t="str">
        <f>IF($D1161="","",$C1161&amp;"|"&amp;COUNTIFS($C$7:$C1161,$C1161))</f>
        <v/>
      </c>
      <c r="R1161" s="1" t="str">
        <f t="shared" si="36"/>
        <v/>
      </c>
      <c r="S1161" s="1" t="str">
        <f t="shared" si="37"/>
        <v/>
      </c>
      <c r="T1161" s="1">
        <f>IF($E1161="",0,SUMPRODUCT((AY_SONU!$O$7:$O$42="Evet")*(AY_SONU!$B$7:$B$42=DATE(YEAR($E1161),MONTH($E1161),1))))</f>
        <v>0</v>
      </c>
      <c r="U1161" s="1" t="str">
        <f>IF(OR($G1161="",$H1161="Mahsup"),"",$G1161&amp;"|"&amp;COUNTIFS($G$7:$G1161,$G1161,$H$7:$H1161,"&lt;&gt;Mahsup"))</f>
        <v/>
      </c>
    </row>
    <row r="1162" spans="1:21" ht="18" customHeight="1" x14ac:dyDescent="0.3">
      <c r="A1162" s="2"/>
      <c r="B1162" s="65" t="str">
        <f>IF($D1162="","","T"&amp;TEXT(ROW()-6,"00000"))</f>
        <v/>
      </c>
      <c r="C1162" s="65" t="str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61"/>
      <c r="E1162" s="66"/>
      <c r="F1162" s="67"/>
      <c r="G1162" s="60"/>
      <c r="H1162" s="60"/>
      <c r="I1162" s="61"/>
      <c r="J1162" s="61"/>
      <c r="K1162" s="61"/>
      <c r="L1162" s="73" t="str">
        <f>IF($E1162="","",DATE(YEAR($E1162),MONTH($E1162),1))</f>
        <v/>
      </c>
      <c r="M1162" s="65" t="str">
        <f ca="1">IF($D1162="","",IF($C1162="TANIMSIZ MÜŞTERİ","HATA",IF(OR($E1162="",$F1162&lt;=0,$G1162=""),"EKSİK",IF($E1162&gt;TODAY(),"İLERİ TARİH",IF(COUNTIF($S$7:$S$2503,$S1162)&gt;1,"MÜKERRER?",IF($T1162&gt;0,"KAPALI DÖNEM","UYGUN"))))))</f>
        <v/>
      </c>
      <c r="N1162" s="74" t="str">
        <f>IF($C1162="","",IF($C1162="TANIMSIZ MÜŞTERİ","—",INDEX(MUSTERILER!$C$7:$C$156,MATCH($C1162,MUSTERILER!$B$7:$B$156,0))))</f>
        <v/>
      </c>
      <c r="O1162" s="2"/>
      <c r="P1162" s="2"/>
      <c r="Q1162" s="1" t="str">
        <f>IF($D1162="","",$C1162&amp;"|"&amp;COUNTIFS($C$7:$C1162,$C1162))</f>
        <v/>
      </c>
      <c r="R1162" s="1" t="str">
        <f t="shared" si="36"/>
        <v/>
      </c>
      <c r="S1162" s="1" t="str">
        <f t="shared" si="37"/>
        <v/>
      </c>
      <c r="T1162" s="1">
        <f>IF($E1162="",0,SUMPRODUCT((AY_SONU!$O$7:$O$42="Evet")*(AY_SONU!$B$7:$B$42=DATE(YEAR($E1162),MONTH($E1162),1))))</f>
        <v>0</v>
      </c>
      <c r="U1162" s="1" t="str">
        <f>IF(OR($G1162="",$H1162="Mahsup"),"",$G1162&amp;"|"&amp;COUNTIFS($G$7:$G1162,$G1162,$H$7:$H1162,"&lt;&gt;Mahsup"))</f>
        <v/>
      </c>
    </row>
    <row r="1163" spans="1:21" ht="18" customHeight="1" x14ac:dyDescent="0.3">
      <c r="A1163" s="2"/>
      <c r="B1163" s="65" t="str">
        <f>IF($D1163="","","T"&amp;TEXT(ROW()-6,"00000"))</f>
        <v/>
      </c>
      <c r="C1163" s="65" t="str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61"/>
      <c r="E1163" s="66"/>
      <c r="F1163" s="67"/>
      <c r="G1163" s="60"/>
      <c r="H1163" s="60"/>
      <c r="I1163" s="61"/>
      <c r="J1163" s="61"/>
      <c r="K1163" s="61"/>
      <c r="L1163" s="73" t="str">
        <f>IF($E1163="","",DATE(YEAR($E1163),MONTH($E1163),1))</f>
        <v/>
      </c>
      <c r="M1163" s="65" t="str">
        <f ca="1">IF($D1163="","",IF($C1163="TANIMSIZ MÜŞTERİ","HATA",IF(OR($E1163="",$F1163&lt;=0,$G1163=""),"EKSİK",IF($E1163&gt;TODAY(),"İLERİ TARİH",IF(COUNTIF($S$7:$S$2503,$S1163)&gt;1,"MÜKERRER?",IF($T1163&gt;0,"KAPALI DÖNEM","UYGUN"))))))</f>
        <v/>
      </c>
      <c r="N1163" s="74" t="str">
        <f>IF($C1163="","",IF($C1163="TANIMSIZ MÜŞTERİ","—",INDEX(MUSTERILER!$C$7:$C$156,MATCH($C1163,MUSTERILER!$B$7:$B$156,0))))</f>
        <v/>
      </c>
      <c r="O1163" s="2"/>
      <c r="P1163" s="2"/>
      <c r="Q1163" s="1" t="str">
        <f>IF($D1163="","",$C1163&amp;"|"&amp;COUNTIFS($C$7:$C1163,$C1163))</f>
        <v/>
      </c>
      <c r="R1163" s="1" t="str">
        <f t="shared" si="36"/>
        <v/>
      </c>
      <c r="S1163" s="1" t="str">
        <f t="shared" si="37"/>
        <v/>
      </c>
      <c r="T1163" s="1">
        <f>IF($E1163="",0,SUMPRODUCT((AY_SONU!$O$7:$O$42="Evet")*(AY_SONU!$B$7:$B$42=DATE(YEAR($E1163),MONTH($E1163),1))))</f>
        <v>0</v>
      </c>
      <c r="U1163" s="1" t="str">
        <f>IF(OR($G1163="",$H1163="Mahsup"),"",$G1163&amp;"|"&amp;COUNTIFS($G$7:$G1163,$G1163,$H$7:$H1163,"&lt;&gt;Mahsup"))</f>
        <v/>
      </c>
    </row>
    <row r="1164" spans="1:21" ht="18" customHeight="1" x14ac:dyDescent="0.3">
      <c r="A1164" s="2"/>
      <c r="B1164" s="65" t="str">
        <f>IF($D1164="","","T"&amp;TEXT(ROW()-6,"00000"))</f>
        <v/>
      </c>
      <c r="C1164" s="65" t="str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61"/>
      <c r="E1164" s="66"/>
      <c r="F1164" s="67"/>
      <c r="G1164" s="60"/>
      <c r="H1164" s="60"/>
      <c r="I1164" s="61"/>
      <c r="J1164" s="61"/>
      <c r="K1164" s="61"/>
      <c r="L1164" s="73" t="str">
        <f>IF($E1164="","",DATE(YEAR($E1164),MONTH($E1164),1))</f>
        <v/>
      </c>
      <c r="M1164" s="65" t="str">
        <f ca="1">IF($D1164="","",IF($C1164="TANIMSIZ MÜŞTERİ","HATA",IF(OR($E1164="",$F1164&lt;=0,$G1164=""),"EKSİK",IF($E1164&gt;TODAY(),"İLERİ TARİH",IF(COUNTIF($S$7:$S$2503,$S1164)&gt;1,"MÜKERRER?",IF($T1164&gt;0,"KAPALI DÖNEM","UYGUN"))))))</f>
        <v/>
      </c>
      <c r="N1164" s="74" t="str">
        <f>IF($C1164="","",IF($C1164="TANIMSIZ MÜŞTERİ","—",INDEX(MUSTERILER!$C$7:$C$156,MATCH($C1164,MUSTERILER!$B$7:$B$156,0))))</f>
        <v/>
      </c>
      <c r="O1164" s="2"/>
      <c r="P1164" s="2"/>
      <c r="Q1164" s="1" t="str">
        <f>IF($D1164="","",$C1164&amp;"|"&amp;COUNTIFS($C$7:$C1164,$C1164))</f>
        <v/>
      </c>
      <c r="R1164" s="1" t="str">
        <f t="shared" si="36"/>
        <v/>
      </c>
      <c r="S1164" s="1" t="str">
        <f t="shared" si="37"/>
        <v/>
      </c>
      <c r="T1164" s="1">
        <f>IF($E1164="",0,SUMPRODUCT((AY_SONU!$O$7:$O$42="Evet")*(AY_SONU!$B$7:$B$42=DATE(YEAR($E1164),MONTH($E1164),1))))</f>
        <v>0</v>
      </c>
      <c r="U1164" s="1" t="str">
        <f>IF(OR($G1164="",$H1164="Mahsup"),"",$G1164&amp;"|"&amp;COUNTIFS($G$7:$G1164,$G1164,$H$7:$H1164,"&lt;&gt;Mahsup"))</f>
        <v/>
      </c>
    </row>
    <row r="1165" spans="1:21" ht="18" customHeight="1" x14ac:dyDescent="0.3">
      <c r="A1165" s="2"/>
      <c r="B1165" s="65" t="str">
        <f>IF($D1165="","","T"&amp;TEXT(ROW()-6,"00000"))</f>
        <v/>
      </c>
      <c r="C1165" s="65" t="str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61"/>
      <c r="E1165" s="66"/>
      <c r="F1165" s="67"/>
      <c r="G1165" s="60"/>
      <c r="H1165" s="60"/>
      <c r="I1165" s="61"/>
      <c r="J1165" s="61"/>
      <c r="K1165" s="61"/>
      <c r="L1165" s="73" t="str">
        <f>IF($E1165="","",DATE(YEAR($E1165),MONTH($E1165),1))</f>
        <v/>
      </c>
      <c r="M1165" s="65" t="str">
        <f ca="1">IF($D1165="","",IF($C1165="TANIMSIZ MÜŞTERİ","HATA",IF(OR($E1165="",$F1165&lt;=0,$G1165=""),"EKSİK",IF($E1165&gt;TODAY(),"İLERİ TARİH",IF(COUNTIF($S$7:$S$2503,$S1165)&gt;1,"MÜKERRER?",IF($T1165&gt;0,"KAPALI DÖNEM","UYGUN"))))))</f>
        <v/>
      </c>
      <c r="N1165" s="74" t="str">
        <f>IF($C1165="","",IF($C1165="TANIMSIZ MÜŞTERİ","—",INDEX(MUSTERILER!$C$7:$C$156,MATCH($C1165,MUSTERILER!$B$7:$B$156,0))))</f>
        <v/>
      </c>
      <c r="O1165" s="2"/>
      <c r="P1165" s="2"/>
      <c r="Q1165" s="1" t="str">
        <f>IF($D1165="","",$C1165&amp;"|"&amp;COUNTIFS($C$7:$C1165,$C1165))</f>
        <v/>
      </c>
      <c r="R1165" s="1" t="str">
        <f t="shared" si="36"/>
        <v/>
      </c>
      <c r="S1165" s="1" t="str">
        <f t="shared" si="37"/>
        <v/>
      </c>
      <c r="T1165" s="1">
        <f>IF($E1165="",0,SUMPRODUCT((AY_SONU!$O$7:$O$42="Evet")*(AY_SONU!$B$7:$B$42=DATE(YEAR($E1165),MONTH($E1165),1))))</f>
        <v>0</v>
      </c>
      <c r="U1165" s="1" t="str">
        <f>IF(OR($G1165="",$H1165="Mahsup"),"",$G1165&amp;"|"&amp;COUNTIFS($G$7:$G1165,$G1165,$H$7:$H1165,"&lt;&gt;Mahsup"))</f>
        <v/>
      </c>
    </row>
    <row r="1166" spans="1:21" ht="18" customHeight="1" x14ac:dyDescent="0.3">
      <c r="A1166" s="2"/>
      <c r="B1166" s="65" t="str">
        <f>IF($D1166="","","T"&amp;TEXT(ROW()-6,"00000"))</f>
        <v/>
      </c>
      <c r="C1166" s="65" t="str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61"/>
      <c r="E1166" s="66"/>
      <c r="F1166" s="67"/>
      <c r="G1166" s="60"/>
      <c r="H1166" s="60"/>
      <c r="I1166" s="61"/>
      <c r="J1166" s="61"/>
      <c r="K1166" s="61"/>
      <c r="L1166" s="73" t="str">
        <f>IF($E1166="","",DATE(YEAR($E1166),MONTH($E1166),1))</f>
        <v/>
      </c>
      <c r="M1166" s="65" t="str">
        <f ca="1">IF($D1166="","",IF($C1166="TANIMSIZ MÜŞTERİ","HATA",IF(OR($E1166="",$F1166&lt;=0,$G1166=""),"EKSİK",IF($E1166&gt;TODAY(),"İLERİ TARİH",IF(COUNTIF($S$7:$S$2503,$S1166)&gt;1,"MÜKERRER?",IF($T1166&gt;0,"KAPALI DÖNEM","UYGUN"))))))</f>
        <v/>
      </c>
      <c r="N1166" s="74" t="str">
        <f>IF($C1166="","",IF($C1166="TANIMSIZ MÜŞTERİ","—",INDEX(MUSTERILER!$C$7:$C$156,MATCH($C1166,MUSTERILER!$B$7:$B$156,0))))</f>
        <v/>
      </c>
      <c r="O1166" s="2"/>
      <c r="P1166" s="2"/>
      <c r="Q1166" s="1" t="str">
        <f>IF($D1166="","",$C1166&amp;"|"&amp;COUNTIFS($C$7:$C1166,$C1166))</f>
        <v/>
      </c>
      <c r="R1166" s="1" t="str">
        <f t="shared" si="36"/>
        <v/>
      </c>
      <c r="S1166" s="1" t="str">
        <f t="shared" si="37"/>
        <v/>
      </c>
      <c r="T1166" s="1">
        <f>IF($E1166="",0,SUMPRODUCT((AY_SONU!$O$7:$O$42="Evet")*(AY_SONU!$B$7:$B$42=DATE(YEAR($E1166),MONTH($E1166),1))))</f>
        <v>0</v>
      </c>
      <c r="U1166" s="1" t="str">
        <f>IF(OR($G1166="",$H1166="Mahsup"),"",$G1166&amp;"|"&amp;COUNTIFS($G$7:$G1166,$G1166,$H$7:$H1166,"&lt;&gt;Mahsup"))</f>
        <v/>
      </c>
    </row>
    <row r="1167" spans="1:21" ht="18" customHeight="1" x14ac:dyDescent="0.3">
      <c r="A1167" s="2"/>
      <c r="B1167" s="65" t="str">
        <f>IF($D1167="","","T"&amp;TEXT(ROW()-6,"00000"))</f>
        <v/>
      </c>
      <c r="C1167" s="65" t="str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61"/>
      <c r="E1167" s="66"/>
      <c r="F1167" s="67"/>
      <c r="G1167" s="60"/>
      <c r="H1167" s="60"/>
      <c r="I1167" s="61"/>
      <c r="J1167" s="61"/>
      <c r="K1167" s="61"/>
      <c r="L1167" s="73" t="str">
        <f>IF($E1167="","",DATE(YEAR($E1167),MONTH($E1167),1))</f>
        <v/>
      </c>
      <c r="M1167" s="65" t="str">
        <f ca="1">IF($D1167="","",IF($C1167="TANIMSIZ MÜŞTERİ","HATA",IF(OR($E1167="",$F1167&lt;=0,$G1167=""),"EKSİK",IF($E1167&gt;TODAY(),"İLERİ TARİH",IF(COUNTIF($S$7:$S$2503,$S1167)&gt;1,"MÜKERRER?",IF($T1167&gt;0,"KAPALI DÖNEM","UYGUN"))))))</f>
        <v/>
      </c>
      <c r="N1167" s="74" t="str">
        <f>IF($C1167="","",IF($C1167="TANIMSIZ MÜŞTERİ","—",INDEX(MUSTERILER!$C$7:$C$156,MATCH($C1167,MUSTERILER!$B$7:$B$156,0))))</f>
        <v/>
      </c>
      <c r="O1167" s="2"/>
      <c r="P1167" s="2"/>
      <c r="Q1167" s="1" t="str">
        <f>IF($D1167="","",$C1167&amp;"|"&amp;COUNTIFS($C$7:$C1167,$C1167))</f>
        <v/>
      </c>
      <c r="R1167" s="1" t="str">
        <f t="shared" si="36"/>
        <v/>
      </c>
      <c r="S1167" s="1" t="str">
        <f t="shared" si="37"/>
        <v/>
      </c>
      <c r="T1167" s="1">
        <f>IF($E1167="",0,SUMPRODUCT((AY_SONU!$O$7:$O$42="Evet")*(AY_SONU!$B$7:$B$42=DATE(YEAR($E1167),MONTH($E1167),1))))</f>
        <v>0</v>
      </c>
      <c r="U1167" s="1" t="str">
        <f>IF(OR($G1167="",$H1167="Mahsup"),"",$G1167&amp;"|"&amp;COUNTIFS($G$7:$G1167,$G1167,$H$7:$H1167,"&lt;&gt;Mahsup"))</f>
        <v/>
      </c>
    </row>
    <row r="1168" spans="1:21" ht="18" customHeight="1" x14ac:dyDescent="0.3">
      <c r="A1168" s="2"/>
      <c r="B1168" s="65" t="str">
        <f>IF($D1168="","","T"&amp;TEXT(ROW()-6,"00000"))</f>
        <v/>
      </c>
      <c r="C1168" s="65" t="str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61"/>
      <c r="E1168" s="66"/>
      <c r="F1168" s="67"/>
      <c r="G1168" s="60"/>
      <c r="H1168" s="60"/>
      <c r="I1168" s="61"/>
      <c r="J1168" s="61"/>
      <c r="K1168" s="61"/>
      <c r="L1168" s="73" t="str">
        <f>IF($E1168="","",DATE(YEAR($E1168),MONTH($E1168),1))</f>
        <v/>
      </c>
      <c r="M1168" s="65" t="str">
        <f ca="1">IF($D1168="","",IF($C1168="TANIMSIZ MÜŞTERİ","HATA",IF(OR($E1168="",$F1168&lt;=0,$G1168=""),"EKSİK",IF($E1168&gt;TODAY(),"İLERİ TARİH",IF(COUNTIF($S$7:$S$2503,$S1168)&gt;1,"MÜKERRER?",IF($T1168&gt;0,"KAPALI DÖNEM","UYGUN"))))))</f>
        <v/>
      </c>
      <c r="N1168" s="74" t="str">
        <f>IF($C1168="","",IF($C1168="TANIMSIZ MÜŞTERİ","—",INDEX(MUSTERILER!$C$7:$C$156,MATCH($C1168,MUSTERILER!$B$7:$B$156,0))))</f>
        <v/>
      </c>
      <c r="O1168" s="2"/>
      <c r="P1168" s="2"/>
      <c r="Q1168" s="1" t="str">
        <f>IF($D1168="","",$C1168&amp;"|"&amp;COUNTIFS($C$7:$C1168,$C1168))</f>
        <v/>
      </c>
      <c r="R1168" s="1" t="str">
        <f t="shared" si="36"/>
        <v/>
      </c>
      <c r="S1168" s="1" t="str">
        <f t="shared" si="37"/>
        <v/>
      </c>
      <c r="T1168" s="1">
        <f>IF($E1168="",0,SUMPRODUCT((AY_SONU!$O$7:$O$42="Evet")*(AY_SONU!$B$7:$B$42=DATE(YEAR($E1168),MONTH($E1168),1))))</f>
        <v>0</v>
      </c>
      <c r="U1168" s="1" t="str">
        <f>IF(OR($G1168="",$H1168="Mahsup"),"",$G1168&amp;"|"&amp;COUNTIFS($G$7:$G1168,$G1168,$H$7:$H1168,"&lt;&gt;Mahsup"))</f>
        <v/>
      </c>
    </row>
    <row r="1169" spans="1:21" ht="18" customHeight="1" x14ac:dyDescent="0.3">
      <c r="A1169" s="2"/>
      <c r="B1169" s="65" t="str">
        <f>IF($D1169="","","T"&amp;TEXT(ROW()-6,"00000"))</f>
        <v/>
      </c>
      <c r="C1169" s="65" t="str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61"/>
      <c r="E1169" s="66"/>
      <c r="F1169" s="67"/>
      <c r="G1169" s="60"/>
      <c r="H1169" s="60"/>
      <c r="I1169" s="61"/>
      <c r="J1169" s="61"/>
      <c r="K1169" s="61"/>
      <c r="L1169" s="73" t="str">
        <f>IF($E1169="","",DATE(YEAR($E1169),MONTH($E1169),1))</f>
        <v/>
      </c>
      <c r="M1169" s="65" t="str">
        <f ca="1">IF($D1169="","",IF($C1169="TANIMSIZ MÜŞTERİ","HATA",IF(OR($E1169="",$F1169&lt;=0,$G1169=""),"EKSİK",IF($E1169&gt;TODAY(),"İLERİ TARİH",IF(COUNTIF($S$7:$S$2503,$S1169)&gt;1,"MÜKERRER?",IF($T1169&gt;0,"KAPALI DÖNEM","UYGUN"))))))</f>
        <v/>
      </c>
      <c r="N1169" s="74" t="str">
        <f>IF($C1169="","",IF($C1169="TANIMSIZ MÜŞTERİ","—",INDEX(MUSTERILER!$C$7:$C$156,MATCH($C1169,MUSTERILER!$B$7:$B$156,0))))</f>
        <v/>
      </c>
      <c r="O1169" s="2"/>
      <c r="P1169" s="2"/>
      <c r="Q1169" s="1" t="str">
        <f>IF($D1169="","",$C1169&amp;"|"&amp;COUNTIFS($C$7:$C1169,$C1169))</f>
        <v/>
      </c>
      <c r="R1169" s="1" t="str">
        <f t="shared" si="36"/>
        <v/>
      </c>
      <c r="S1169" s="1" t="str">
        <f t="shared" si="37"/>
        <v/>
      </c>
      <c r="T1169" s="1">
        <f>IF($E1169="",0,SUMPRODUCT((AY_SONU!$O$7:$O$42="Evet")*(AY_SONU!$B$7:$B$42=DATE(YEAR($E1169),MONTH($E1169),1))))</f>
        <v>0</v>
      </c>
      <c r="U1169" s="1" t="str">
        <f>IF(OR($G1169="",$H1169="Mahsup"),"",$G1169&amp;"|"&amp;COUNTIFS($G$7:$G1169,$G1169,$H$7:$H1169,"&lt;&gt;Mahsup"))</f>
        <v/>
      </c>
    </row>
    <row r="1170" spans="1:21" ht="18" customHeight="1" x14ac:dyDescent="0.3">
      <c r="A1170" s="2"/>
      <c r="B1170" s="65" t="str">
        <f>IF($D1170="","","T"&amp;TEXT(ROW()-6,"00000"))</f>
        <v/>
      </c>
      <c r="C1170" s="65" t="str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61"/>
      <c r="E1170" s="66"/>
      <c r="F1170" s="67"/>
      <c r="G1170" s="60"/>
      <c r="H1170" s="60"/>
      <c r="I1170" s="61"/>
      <c r="J1170" s="61"/>
      <c r="K1170" s="61"/>
      <c r="L1170" s="73" t="str">
        <f>IF($E1170="","",DATE(YEAR($E1170),MONTH($E1170),1))</f>
        <v/>
      </c>
      <c r="M1170" s="65" t="str">
        <f ca="1">IF($D1170="","",IF($C1170="TANIMSIZ MÜŞTERİ","HATA",IF(OR($E1170="",$F1170&lt;=0,$G1170=""),"EKSİK",IF($E1170&gt;TODAY(),"İLERİ TARİH",IF(COUNTIF($S$7:$S$2503,$S1170)&gt;1,"MÜKERRER?",IF($T1170&gt;0,"KAPALI DÖNEM","UYGUN"))))))</f>
        <v/>
      </c>
      <c r="N1170" s="74" t="str">
        <f>IF($C1170="","",IF($C1170="TANIMSIZ MÜŞTERİ","—",INDEX(MUSTERILER!$C$7:$C$156,MATCH($C1170,MUSTERILER!$B$7:$B$156,0))))</f>
        <v/>
      </c>
      <c r="O1170" s="2"/>
      <c r="P1170" s="2"/>
      <c r="Q1170" s="1" t="str">
        <f>IF($D1170="","",$C1170&amp;"|"&amp;COUNTIFS($C$7:$C1170,$C1170))</f>
        <v/>
      </c>
      <c r="R1170" s="1" t="str">
        <f t="shared" si="36"/>
        <v/>
      </c>
      <c r="S1170" s="1" t="str">
        <f t="shared" si="37"/>
        <v/>
      </c>
      <c r="T1170" s="1">
        <f>IF($E1170="",0,SUMPRODUCT((AY_SONU!$O$7:$O$42="Evet")*(AY_SONU!$B$7:$B$42=DATE(YEAR($E1170),MONTH($E1170),1))))</f>
        <v>0</v>
      </c>
      <c r="U1170" s="1" t="str">
        <f>IF(OR($G1170="",$H1170="Mahsup"),"",$G1170&amp;"|"&amp;COUNTIFS($G$7:$G1170,$G1170,$H$7:$H1170,"&lt;&gt;Mahsup"))</f>
        <v/>
      </c>
    </row>
    <row r="1171" spans="1:21" ht="18" customHeight="1" x14ac:dyDescent="0.3">
      <c r="A1171" s="2"/>
      <c r="B1171" s="65" t="str">
        <f>IF($D1171="","","T"&amp;TEXT(ROW()-6,"00000"))</f>
        <v/>
      </c>
      <c r="C1171" s="65" t="str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61"/>
      <c r="E1171" s="66"/>
      <c r="F1171" s="67"/>
      <c r="G1171" s="60"/>
      <c r="H1171" s="60"/>
      <c r="I1171" s="61"/>
      <c r="J1171" s="61"/>
      <c r="K1171" s="61"/>
      <c r="L1171" s="73" t="str">
        <f>IF($E1171="","",DATE(YEAR($E1171),MONTH($E1171),1))</f>
        <v/>
      </c>
      <c r="M1171" s="65" t="str">
        <f ca="1">IF($D1171="","",IF($C1171="TANIMSIZ MÜŞTERİ","HATA",IF(OR($E1171="",$F1171&lt;=0,$G1171=""),"EKSİK",IF($E1171&gt;TODAY(),"İLERİ TARİH",IF(COUNTIF($S$7:$S$2503,$S1171)&gt;1,"MÜKERRER?",IF($T1171&gt;0,"KAPALI DÖNEM","UYGUN"))))))</f>
        <v/>
      </c>
      <c r="N1171" s="74" t="str">
        <f>IF($C1171="","",IF($C1171="TANIMSIZ MÜŞTERİ","—",INDEX(MUSTERILER!$C$7:$C$156,MATCH($C1171,MUSTERILER!$B$7:$B$156,0))))</f>
        <v/>
      </c>
      <c r="O1171" s="2"/>
      <c r="P1171" s="2"/>
      <c r="Q1171" s="1" t="str">
        <f>IF($D1171="","",$C1171&amp;"|"&amp;COUNTIFS($C$7:$C1171,$C1171))</f>
        <v/>
      </c>
      <c r="R1171" s="1" t="str">
        <f t="shared" si="36"/>
        <v/>
      </c>
      <c r="S1171" s="1" t="str">
        <f t="shared" si="37"/>
        <v/>
      </c>
      <c r="T1171" s="1">
        <f>IF($E1171="",0,SUMPRODUCT((AY_SONU!$O$7:$O$42="Evet")*(AY_SONU!$B$7:$B$42=DATE(YEAR($E1171),MONTH($E1171),1))))</f>
        <v>0</v>
      </c>
      <c r="U1171" s="1" t="str">
        <f>IF(OR($G1171="",$H1171="Mahsup"),"",$G1171&amp;"|"&amp;COUNTIFS($G$7:$G1171,$G1171,$H$7:$H1171,"&lt;&gt;Mahsup"))</f>
        <v/>
      </c>
    </row>
    <row r="1172" spans="1:21" ht="18" customHeight="1" x14ac:dyDescent="0.3">
      <c r="A1172" s="2"/>
      <c r="B1172" s="65" t="str">
        <f>IF($D1172="","","T"&amp;TEXT(ROW()-6,"00000"))</f>
        <v/>
      </c>
      <c r="C1172" s="65" t="str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61"/>
      <c r="E1172" s="66"/>
      <c r="F1172" s="67"/>
      <c r="G1172" s="60"/>
      <c r="H1172" s="60"/>
      <c r="I1172" s="61"/>
      <c r="J1172" s="61"/>
      <c r="K1172" s="61"/>
      <c r="L1172" s="73" t="str">
        <f>IF($E1172="","",DATE(YEAR($E1172),MONTH($E1172),1))</f>
        <v/>
      </c>
      <c r="M1172" s="65" t="str">
        <f ca="1">IF($D1172="","",IF($C1172="TANIMSIZ MÜŞTERİ","HATA",IF(OR($E1172="",$F1172&lt;=0,$G1172=""),"EKSİK",IF($E1172&gt;TODAY(),"İLERİ TARİH",IF(COUNTIF($S$7:$S$2503,$S1172)&gt;1,"MÜKERRER?",IF($T1172&gt;0,"KAPALI DÖNEM","UYGUN"))))))</f>
        <v/>
      </c>
      <c r="N1172" s="74" t="str">
        <f>IF($C1172="","",IF($C1172="TANIMSIZ MÜŞTERİ","—",INDEX(MUSTERILER!$C$7:$C$156,MATCH($C1172,MUSTERILER!$B$7:$B$156,0))))</f>
        <v/>
      </c>
      <c r="O1172" s="2"/>
      <c r="P1172" s="2"/>
      <c r="Q1172" s="1" t="str">
        <f>IF($D1172="","",$C1172&amp;"|"&amp;COUNTIFS($C$7:$C1172,$C1172))</f>
        <v/>
      </c>
      <c r="R1172" s="1" t="str">
        <f t="shared" si="36"/>
        <v/>
      </c>
      <c r="S1172" s="1" t="str">
        <f t="shared" si="37"/>
        <v/>
      </c>
      <c r="T1172" s="1">
        <f>IF($E1172="",0,SUMPRODUCT((AY_SONU!$O$7:$O$42="Evet")*(AY_SONU!$B$7:$B$42=DATE(YEAR($E1172),MONTH($E1172),1))))</f>
        <v>0</v>
      </c>
      <c r="U1172" s="1" t="str">
        <f>IF(OR($G1172="",$H1172="Mahsup"),"",$G1172&amp;"|"&amp;COUNTIFS($G$7:$G1172,$G1172,$H$7:$H1172,"&lt;&gt;Mahsup"))</f>
        <v/>
      </c>
    </row>
    <row r="1173" spans="1:21" ht="18" customHeight="1" x14ac:dyDescent="0.3">
      <c r="A1173" s="2"/>
      <c r="B1173" s="65" t="str">
        <f>IF($D1173="","","T"&amp;TEXT(ROW()-6,"00000"))</f>
        <v/>
      </c>
      <c r="C1173" s="65" t="str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61"/>
      <c r="E1173" s="66"/>
      <c r="F1173" s="67"/>
      <c r="G1173" s="60"/>
      <c r="H1173" s="60"/>
      <c r="I1173" s="61"/>
      <c r="J1173" s="61"/>
      <c r="K1173" s="61"/>
      <c r="L1173" s="73" t="str">
        <f>IF($E1173="","",DATE(YEAR($E1173),MONTH($E1173),1))</f>
        <v/>
      </c>
      <c r="M1173" s="65" t="str">
        <f ca="1">IF($D1173="","",IF($C1173="TANIMSIZ MÜŞTERİ","HATA",IF(OR($E1173="",$F1173&lt;=0,$G1173=""),"EKSİK",IF($E1173&gt;TODAY(),"İLERİ TARİH",IF(COUNTIF($S$7:$S$2503,$S1173)&gt;1,"MÜKERRER?",IF($T1173&gt;0,"KAPALI DÖNEM","UYGUN"))))))</f>
        <v/>
      </c>
      <c r="N1173" s="74" t="str">
        <f>IF($C1173="","",IF($C1173="TANIMSIZ MÜŞTERİ","—",INDEX(MUSTERILER!$C$7:$C$156,MATCH($C1173,MUSTERILER!$B$7:$B$156,0))))</f>
        <v/>
      </c>
      <c r="O1173" s="2"/>
      <c r="P1173" s="2"/>
      <c r="Q1173" s="1" t="str">
        <f>IF($D1173="","",$C1173&amp;"|"&amp;COUNTIFS($C$7:$C1173,$C1173))</f>
        <v/>
      </c>
      <c r="R1173" s="1" t="str">
        <f t="shared" si="36"/>
        <v/>
      </c>
      <c r="S1173" s="1" t="str">
        <f t="shared" si="37"/>
        <v/>
      </c>
      <c r="T1173" s="1">
        <f>IF($E1173="",0,SUMPRODUCT((AY_SONU!$O$7:$O$42="Evet")*(AY_SONU!$B$7:$B$42=DATE(YEAR($E1173),MONTH($E1173),1))))</f>
        <v>0</v>
      </c>
      <c r="U1173" s="1" t="str">
        <f>IF(OR($G1173="",$H1173="Mahsup"),"",$G1173&amp;"|"&amp;COUNTIFS($G$7:$G1173,$G1173,$H$7:$H1173,"&lt;&gt;Mahsup"))</f>
        <v/>
      </c>
    </row>
    <row r="1174" spans="1:21" ht="18" customHeight="1" x14ac:dyDescent="0.3">
      <c r="A1174" s="2"/>
      <c r="B1174" s="65" t="str">
        <f>IF($D1174="","","T"&amp;TEXT(ROW()-6,"00000"))</f>
        <v/>
      </c>
      <c r="C1174" s="65" t="str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61"/>
      <c r="E1174" s="66"/>
      <c r="F1174" s="67"/>
      <c r="G1174" s="60"/>
      <c r="H1174" s="60"/>
      <c r="I1174" s="61"/>
      <c r="J1174" s="61"/>
      <c r="K1174" s="61"/>
      <c r="L1174" s="73" t="str">
        <f>IF($E1174="","",DATE(YEAR($E1174),MONTH($E1174),1))</f>
        <v/>
      </c>
      <c r="M1174" s="65" t="str">
        <f ca="1">IF($D1174="","",IF($C1174="TANIMSIZ MÜŞTERİ","HATA",IF(OR($E1174="",$F1174&lt;=0,$G1174=""),"EKSİK",IF($E1174&gt;TODAY(),"İLERİ TARİH",IF(COUNTIF($S$7:$S$2503,$S1174)&gt;1,"MÜKERRER?",IF($T1174&gt;0,"KAPALI DÖNEM","UYGUN"))))))</f>
        <v/>
      </c>
      <c r="N1174" s="74" t="str">
        <f>IF($C1174="","",IF($C1174="TANIMSIZ MÜŞTERİ","—",INDEX(MUSTERILER!$C$7:$C$156,MATCH($C1174,MUSTERILER!$B$7:$B$156,0))))</f>
        <v/>
      </c>
      <c r="O1174" s="2"/>
      <c r="P1174" s="2"/>
      <c r="Q1174" s="1" t="str">
        <f>IF($D1174="","",$C1174&amp;"|"&amp;COUNTIFS($C$7:$C1174,$C1174))</f>
        <v/>
      </c>
      <c r="R1174" s="1" t="str">
        <f t="shared" si="36"/>
        <v/>
      </c>
      <c r="S1174" s="1" t="str">
        <f t="shared" si="37"/>
        <v/>
      </c>
      <c r="T1174" s="1">
        <f>IF($E1174="",0,SUMPRODUCT((AY_SONU!$O$7:$O$42="Evet")*(AY_SONU!$B$7:$B$42=DATE(YEAR($E1174),MONTH($E1174),1))))</f>
        <v>0</v>
      </c>
      <c r="U1174" s="1" t="str">
        <f>IF(OR($G1174="",$H1174="Mahsup"),"",$G1174&amp;"|"&amp;COUNTIFS($G$7:$G1174,$G1174,$H$7:$H1174,"&lt;&gt;Mahsup"))</f>
        <v/>
      </c>
    </row>
    <row r="1175" spans="1:21" ht="18" customHeight="1" x14ac:dyDescent="0.3">
      <c r="A1175" s="2"/>
      <c r="B1175" s="65" t="str">
        <f>IF($D1175="","","T"&amp;TEXT(ROW()-6,"00000"))</f>
        <v/>
      </c>
      <c r="C1175" s="65" t="str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61"/>
      <c r="E1175" s="66"/>
      <c r="F1175" s="67"/>
      <c r="G1175" s="60"/>
      <c r="H1175" s="60"/>
      <c r="I1175" s="61"/>
      <c r="J1175" s="61"/>
      <c r="K1175" s="61"/>
      <c r="L1175" s="73" t="str">
        <f>IF($E1175="","",DATE(YEAR($E1175),MONTH($E1175),1))</f>
        <v/>
      </c>
      <c r="M1175" s="65" t="str">
        <f ca="1">IF($D1175="","",IF($C1175="TANIMSIZ MÜŞTERİ","HATA",IF(OR($E1175="",$F1175&lt;=0,$G1175=""),"EKSİK",IF($E1175&gt;TODAY(),"İLERİ TARİH",IF(COUNTIF($S$7:$S$2503,$S1175)&gt;1,"MÜKERRER?",IF($T1175&gt;0,"KAPALI DÖNEM","UYGUN"))))))</f>
        <v/>
      </c>
      <c r="N1175" s="74" t="str">
        <f>IF($C1175="","",IF($C1175="TANIMSIZ MÜŞTERİ","—",INDEX(MUSTERILER!$C$7:$C$156,MATCH($C1175,MUSTERILER!$B$7:$B$156,0))))</f>
        <v/>
      </c>
      <c r="O1175" s="2"/>
      <c r="P1175" s="2"/>
      <c r="Q1175" s="1" t="str">
        <f>IF($D1175="","",$C1175&amp;"|"&amp;COUNTIFS($C$7:$C1175,$C1175))</f>
        <v/>
      </c>
      <c r="R1175" s="1" t="str">
        <f t="shared" si="36"/>
        <v/>
      </c>
      <c r="S1175" s="1" t="str">
        <f t="shared" si="37"/>
        <v/>
      </c>
      <c r="T1175" s="1">
        <f>IF($E1175="",0,SUMPRODUCT((AY_SONU!$O$7:$O$42="Evet")*(AY_SONU!$B$7:$B$42=DATE(YEAR($E1175),MONTH($E1175),1))))</f>
        <v>0</v>
      </c>
      <c r="U1175" s="1" t="str">
        <f>IF(OR($G1175="",$H1175="Mahsup"),"",$G1175&amp;"|"&amp;COUNTIFS($G$7:$G1175,$G1175,$H$7:$H1175,"&lt;&gt;Mahsup"))</f>
        <v/>
      </c>
    </row>
    <row r="1176" spans="1:21" ht="18" customHeight="1" x14ac:dyDescent="0.3">
      <c r="A1176" s="2"/>
      <c r="B1176" s="65" t="str">
        <f>IF($D1176="","","T"&amp;TEXT(ROW()-6,"00000"))</f>
        <v/>
      </c>
      <c r="C1176" s="65" t="str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61"/>
      <c r="E1176" s="66"/>
      <c r="F1176" s="67"/>
      <c r="G1176" s="60"/>
      <c r="H1176" s="60"/>
      <c r="I1176" s="61"/>
      <c r="J1176" s="61"/>
      <c r="K1176" s="61"/>
      <c r="L1176" s="73" t="str">
        <f>IF($E1176="","",DATE(YEAR($E1176),MONTH($E1176),1))</f>
        <v/>
      </c>
      <c r="M1176" s="65" t="str">
        <f ca="1">IF($D1176="","",IF($C1176="TANIMSIZ MÜŞTERİ","HATA",IF(OR($E1176="",$F1176&lt;=0,$G1176=""),"EKSİK",IF($E1176&gt;TODAY(),"İLERİ TARİH",IF(COUNTIF($S$7:$S$2503,$S1176)&gt;1,"MÜKERRER?",IF($T1176&gt;0,"KAPALI DÖNEM","UYGUN"))))))</f>
        <v/>
      </c>
      <c r="N1176" s="74" t="str">
        <f>IF($C1176="","",IF($C1176="TANIMSIZ MÜŞTERİ","—",INDEX(MUSTERILER!$C$7:$C$156,MATCH($C1176,MUSTERILER!$B$7:$B$156,0))))</f>
        <v/>
      </c>
      <c r="O1176" s="2"/>
      <c r="P1176" s="2"/>
      <c r="Q1176" s="1" t="str">
        <f>IF($D1176="","",$C1176&amp;"|"&amp;COUNTIFS($C$7:$C1176,$C1176))</f>
        <v/>
      </c>
      <c r="R1176" s="1" t="str">
        <f t="shared" si="36"/>
        <v/>
      </c>
      <c r="S1176" s="1" t="str">
        <f t="shared" si="37"/>
        <v/>
      </c>
      <c r="T1176" s="1">
        <f>IF($E1176="",0,SUMPRODUCT((AY_SONU!$O$7:$O$42="Evet")*(AY_SONU!$B$7:$B$42=DATE(YEAR($E1176),MONTH($E1176),1))))</f>
        <v>0</v>
      </c>
      <c r="U1176" s="1" t="str">
        <f>IF(OR($G1176="",$H1176="Mahsup"),"",$G1176&amp;"|"&amp;COUNTIFS($G$7:$G1176,$G1176,$H$7:$H1176,"&lt;&gt;Mahsup"))</f>
        <v/>
      </c>
    </row>
    <row r="1177" spans="1:21" ht="18" customHeight="1" x14ac:dyDescent="0.3">
      <c r="A1177" s="2"/>
      <c r="B1177" s="65" t="str">
        <f>IF($D1177="","","T"&amp;TEXT(ROW()-6,"00000"))</f>
        <v/>
      </c>
      <c r="C1177" s="65" t="str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61"/>
      <c r="E1177" s="66"/>
      <c r="F1177" s="67"/>
      <c r="G1177" s="60"/>
      <c r="H1177" s="60"/>
      <c r="I1177" s="61"/>
      <c r="J1177" s="61"/>
      <c r="K1177" s="61"/>
      <c r="L1177" s="73" t="str">
        <f>IF($E1177="","",DATE(YEAR($E1177),MONTH($E1177),1))</f>
        <v/>
      </c>
      <c r="M1177" s="65" t="str">
        <f ca="1">IF($D1177="","",IF($C1177="TANIMSIZ MÜŞTERİ","HATA",IF(OR($E1177="",$F1177&lt;=0,$G1177=""),"EKSİK",IF($E1177&gt;TODAY(),"İLERİ TARİH",IF(COUNTIF($S$7:$S$2503,$S1177)&gt;1,"MÜKERRER?",IF($T1177&gt;0,"KAPALI DÖNEM","UYGUN"))))))</f>
        <v/>
      </c>
      <c r="N1177" s="74" t="str">
        <f>IF($C1177="","",IF($C1177="TANIMSIZ MÜŞTERİ","—",INDEX(MUSTERILER!$C$7:$C$156,MATCH($C1177,MUSTERILER!$B$7:$B$156,0))))</f>
        <v/>
      </c>
      <c r="O1177" s="2"/>
      <c r="P1177" s="2"/>
      <c r="Q1177" s="1" t="str">
        <f>IF($D1177="","",$C1177&amp;"|"&amp;COUNTIFS($C$7:$C1177,$C1177))</f>
        <v/>
      </c>
      <c r="R1177" s="1" t="str">
        <f t="shared" si="36"/>
        <v/>
      </c>
      <c r="S1177" s="1" t="str">
        <f t="shared" si="37"/>
        <v/>
      </c>
      <c r="T1177" s="1">
        <f>IF($E1177="",0,SUMPRODUCT((AY_SONU!$O$7:$O$42="Evet")*(AY_SONU!$B$7:$B$42=DATE(YEAR($E1177),MONTH($E1177),1))))</f>
        <v>0</v>
      </c>
      <c r="U1177" s="1" t="str">
        <f>IF(OR($G1177="",$H1177="Mahsup"),"",$G1177&amp;"|"&amp;COUNTIFS($G$7:$G1177,$G1177,$H$7:$H1177,"&lt;&gt;Mahsup"))</f>
        <v/>
      </c>
    </row>
    <row r="1178" spans="1:21" ht="18" customHeight="1" x14ac:dyDescent="0.3">
      <c r="A1178" s="2"/>
      <c r="B1178" s="65" t="str">
        <f>IF($D1178="","","T"&amp;TEXT(ROW()-6,"00000"))</f>
        <v/>
      </c>
      <c r="C1178" s="65" t="str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61"/>
      <c r="E1178" s="66"/>
      <c r="F1178" s="67"/>
      <c r="G1178" s="60"/>
      <c r="H1178" s="60"/>
      <c r="I1178" s="61"/>
      <c r="J1178" s="61"/>
      <c r="K1178" s="61"/>
      <c r="L1178" s="73" t="str">
        <f>IF($E1178="","",DATE(YEAR($E1178),MONTH($E1178),1))</f>
        <v/>
      </c>
      <c r="M1178" s="65" t="str">
        <f ca="1">IF($D1178="","",IF($C1178="TANIMSIZ MÜŞTERİ","HATA",IF(OR($E1178="",$F1178&lt;=0,$G1178=""),"EKSİK",IF($E1178&gt;TODAY(),"İLERİ TARİH",IF(COUNTIF($S$7:$S$2503,$S1178)&gt;1,"MÜKERRER?",IF($T1178&gt;0,"KAPALI DÖNEM","UYGUN"))))))</f>
        <v/>
      </c>
      <c r="N1178" s="74" t="str">
        <f>IF($C1178="","",IF($C1178="TANIMSIZ MÜŞTERİ","—",INDEX(MUSTERILER!$C$7:$C$156,MATCH($C1178,MUSTERILER!$B$7:$B$156,0))))</f>
        <v/>
      </c>
      <c r="O1178" s="2"/>
      <c r="P1178" s="2"/>
      <c r="Q1178" s="1" t="str">
        <f>IF($D1178="","",$C1178&amp;"|"&amp;COUNTIFS($C$7:$C1178,$C1178))</f>
        <v/>
      </c>
      <c r="R1178" s="1" t="str">
        <f t="shared" si="36"/>
        <v/>
      </c>
      <c r="S1178" s="1" t="str">
        <f t="shared" si="37"/>
        <v/>
      </c>
      <c r="T1178" s="1">
        <f>IF($E1178="",0,SUMPRODUCT((AY_SONU!$O$7:$O$42="Evet")*(AY_SONU!$B$7:$B$42=DATE(YEAR($E1178),MONTH($E1178),1))))</f>
        <v>0</v>
      </c>
      <c r="U1178" s="1" t="str">
        <f>IF(OR($G1178="",$H1178="Mahsup"),"",$G1178&amp;"|"&amp;COUNTIFS($G$7:$G1178,$G1178,$H$7:$H1178,"&lt;&gt;Mahsup"))</f>
        <v/>
      </c>
    </row>
    <row r="1179" spans="1:21" ht="18" customHeight="1" x14ac:dyDescent="0.3">
      <c r="A1179" s="2"/>
      <c r="B1179" s="65" t="str">
        <f>IF($D1179="","","T"&amp;TEXT(ROW()-6,"00000"))</f>
        <v/>
      </c>
      <c r="C1179" s="65" t="str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61"/>
      <c r="E1179" s="66"/>
      <c r="F1179" s="67"/>
      <c r="G1179" s="60"/>
      <c r="H1179" s="60"/>
      <c r="I1179" s="61"/>
      <c r="J1179" s="61"/>
      <c r="K1179" s="61"/>
      <c r="L1179" s="73" t="str">
        <f>IF($E1179="","",DATE(YEAR($E1179),MONTH($E1179),1))</f>
        <v/>
      </c>
      <c r="M1179" s="65" t="str">
        <f ca="1">IF($D1179="","",IF($C1179="TANIMSIZ MÜŞTERİ","HATA",IF(OR($E1179="",$F1179&lt;=0,$G1179=""),"EKSİK",IF($E1179&gt;TODAY(),"İLERİ TARİH",IF(COUNTIF($S$7:$S$2503,$S1179)&gt;1,"MÜKERRER?",IF($T1179&gt;0,"KAPALI DÖNEM","UYGUN"))))))</f>
        <v/>
      </c>
      <c r="N1179" s="74" t="str">
        <f>IF($C1179="","",IF($C1179="TANIMSIZ MÜŞTERİ","—",INDEX(MUSTERILER!$C$7:$C$156,MATCH($C1179,MUSTERILER!$B$7:$B$156,0))))</f>
        <v/>
      </c>
      <c r="O1179" s="2"/>
      <c r="P1179" s="2"/>
      <c r="Q1179" s="1" t="str">
        <f>IF($D1179="","",$C1179&amp;"|"&amp;COUNTIFS($C$7:$C1179,$C1179))</f>
        <v/>
      </c>
      <c r="R1179" s="1" t="str">
        <f t="shared" si="36"/>
        <v/>
      </c>
      <c r="S1179" s="1" t="str">
        <f t="shared" si="37"/>
        <v/>
      </c>
      <c r="T1179" s="1">
        <f>IF($E1179="",0,SUMPRODUCT((AY_SONU!$O$7:$O$42="Evet")*(AY_SONU!$B$7:$B$42=DATE(YEAR($E1179),MONTH($E1179),1))))</f>
        <v>0</v>
      </c>
      <c r="U1179" s="1" t="str">
        <f>IF(OR($G1179="",$H1179="Mahsup"),"",$G1179&amp;"|"&amp;COUNTIFS($G$7:$G1179,$G1179,$H$7:$H1179,"&lt;&gt;Mahsup"))</f>
        <v/>
      </c>
    </row>
    <row r="1180" spans="1:21" ht="18" customHeight="1" x14ac:dyDescent="0.3">
      <c r="A1180" s="2"/>
      <c r="B1180" s="65" t="str">
        <f>IF($D1180="","","T"&amp;TEXT(ROW()-6,"00000"))</f>
        <v/>
      </c>
      <c r="C1180" s="65" t="str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61"/>
      <c r="E1180" s="66"/>
      <c r="F1180" s="67"/>
      <c r="G1180" s="60"/>
      <c r="H1180" s="60"/>
      <c r="I1180" s="61"/>
      <c r="J1180" s="61"/>
      <c r="K1180" s="61"/>
      <c r="L1180" s="73" t="str">
        <f>IF($E1180="","",DATE(YEAR($E1180),MONTH($E1180),1))</f>
        <v/>
      </c>
      <c r="M1180" s="65" t="str">
        <f ca="1">IF($D1180="","",IF($C1180="TANIMSIZ MÜŞTERİ","HATA",IF(OR($E1180="",$F1180&lt;=0,$G1180=""),"EKSİK",IF($E1180&gt;TODAY(),"İLERİ TARİH",IF(COUNTIF($S$7:$S$2503,$S1180)&gt;1,"MÜKERRER?",IF($T1180&gt;0,"KAPALI DÖNEM","UYGUN"))))))</f>
        <v/>
      </c>
      <c r="N1180" s="74" t="str">
        <f>IF($C1180="","",IF($C1180="TANIMSIZ MÜŞTERİ","—",INDEX(MUSTERILER!$C$7:$C$156,MATCH($C1180,MUSTERILER!$B$7:$B$156,0))))</f>
        <v/>
      </c>
      <c r="O1180" s="2"/>
      <c r="P1180" s="2"/>
      <c r="Q1180" s="1" t="str">
        <f>IF($D1180="","",$C1180&amp;"|"&amp;COUNTIFS($C$7:$C1180,$C1180))</f>
        <v/>
      </c>
      <c r="R1180" s="1" t="str">
        <f t="shared" si="36"/>
        <v/>
      </c>
      <c r="S1180" s="1" t="str">
        <f t="shared" si="37"/>
        <v/>
      </c>
      <c r="T1180" s="1">
        <f>IF($E1180="",0,SUMPRODUCT((AY_SONU!$O$7:$O$42="Evet")*(AY_SONU!$B$7:$B$42=DATE(YEAR($E1180),MONTH($E1180),1))))</f>
        <v>0</v>
      </c>
      <c r="U1180" s="1" t="str">
        <f>IF(OR($G1180="",$H1180="Mahsup"),"",$G1180&amp;"|"&amp;COUNTIFS($G$7:$G1180,$G1180,$H$7:$H1180,"&lt;&gt;Mahsup"))</f>
        <v/>
      </c>
    </row>
    <row r="1181" spans="1:21" ht="18" customHeight="1" x14ac:dyDescent="0.3">
      <c r="A1181" s="2"/>
      <c r="B1181" s="65" t="str">
        <f>IF($D1181="","","T"&amp;TEXT(ROW()-6,"00000"))</f>
        <v/>
      </c>
      <c r="C1181" s="65" t="str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61"/>
      <c r="E1181" s="66"/>
      <c r="F1181" s="67"/>
      <c r="G1181" s="60"/>
      <c r="H1181" s="60"/>
      <c r="I1181" s="61"/>
      <c r="J1181" s="61"/>
      <c r="K1181" s="61"/>
      <c r="L1181" s="73" t="str">
        <f>IF($E1181="","",DATE(YEAR($E1181),MONTH($E1181),1))</f>
        <v/>
      </c>
      <c r="M1181" s="65" t="str">
        <f ca="1">IF($D1181="","",IF($C1181="TANIMSIZ MÜŞTERİ","HATA",IF(OR($E1181="",$F1181&lt;=0,$G1181=""),"EKSİK",IF($E1181&gt;TODAY(),"İLERİ TARİH",IF(COUNTIF($S$7:$S$2503,$S1181)&gt;1,"MÜKERRER?",IF($T1181&gt;0,"KAPALI DÖNEM","UYGUN"))))))</f>
        <v/>
      </c>
      <c r="N1181" s="74" t="str">
        <f>IF($C1181="","",IF($C1181="TANIMSIZ MÜŞTERİ","—",INDEX(MUSTERILER!$C$7:$C$156,MATCH($C1181,MUSTERILER!$B$7:$B$156,0))))</f>
        <v/>
      </c>
      <c r="O1181" s="2"/>
      <c r="P1181" s="2"/>
      <c r="Q1181" s="1" t="str">
        <f>IF($D1181="","",$C1181&amp;"|"&amp;COUNTIFS($C$7:$C1181,$C1181))</f>
        <v/>
      </c>
      <c r="R1181" s="1" t="str">
        <f t="shared" si="36"/>
        <v/>
      </c>
      <c r="S1181" s="1" t="str">
        <f t="shared" si="37"/>
        <v/>
      </c>
      <c r="T1181" s="1">
        <f>IF($E1181="",0,SUMPRODUCT((AY_SONU!$O$7:$O$42="Evet")*(AY_SONU!$B$7:$B$42=DATE(YEAR($E1181),MONTH($E1181),1))))</f>
        <v>0</v>
      </c>
      <c r="U1181" s="1" t="str">
        <f>IF(OR($G1181="",$H1181="Mahsup"),"",$G1181&amp;"|"&amp;COUNTIFS($G$7:$G1181,$G1181,$H$7:$H1181,"&lt;&gt;Mahsup"))</f>
        <v/>
      </c>
    </row>
    <row r="1182" spans="1:21" ht="18" customHeight="1" x14ac:dyDescent="0.3">
      <c r="A1182" s="2"/>
      <c r="B1182" s="65" t="str">
        <f>IF($D1182="","","T"&amp;TEXT(ROW()-6,"00000"))</f>
        <v/>
      </c>
      <c r="C1182" s="65" t="str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61"/>
      <c r="E1182" s="66"/>
      <c r="F1182" s="67"/>
      <c r="G1182" s="60"/>
      <c r="H1182" s="60"/>
      <c r="I1182" s="61"/>
      <c r="J1182" s="61"/>
      <c r="K1182" s="61"/>
      <c r="L1182" s="73" t="str">
        <f>IF($E1182="","",DATE(YEAR($E1182),MONTH($E1182),1))</f>
        <v/>
      </c>
      <c r="M1182" s="65" t="str">
        <f ca="1">IF($D1182="","",IF($C1182="TANIMSIZ MÜŞTERİ","HATA",IF(OR($E1182="",$F1182&lt;=0,$G1182=""),"EKSİK",IF($E1182&gt;TODAY(),"İLERİ TARİH",IF(COUNTIF($S$7:$S$2503,$S1182)&gt;1,"MÜKERRER?",IF($T1182&gt;0,"KAPALI DÖNEM","UYGUN"))))))</f>
        <v/>
      </c>
      <c r="N1182" s="74" t="str">
        <f>IF($C1182="","",IF($C1182="TANIMSIZ MÜŞTERİ","—",INDEX(MUSTERILER!$C$7:$C$156,MATCH($C1182,MUSTERILER!$B$7:$B$156,0))))</f>
        <v/>
      </c>
      <c r="O1182" s="2"/>
      <c r="P1182" s="2"/>
      <c r="Q1182" s="1" t="str">
        <f>IF($D1182="","",$C1182&amp;"|"&amp;COUNTIFS($C$7:$C1182,$C1182))</f>
        <v/>
      </c>
      <c r="R1182" s="1" t="str">
        <f t="shared" si="36"/>
        <v/>
      </c>
      <c r="S1182" s="1" t="str">
        <f t="shared" si="37"/>
        <v/>
      </c>
      <c r="T1182" s="1">
        <f>IF($E1182="",0,SUMPRODUCT((AY_SONU!$O$7:$O$42="Evet")*(AY_SONU!$B$7:$B$42=DATE(YEAR($E1182),MONTH($E1182),1))))</f>
        <v>0</v>
      </c>
      <c r="U1182" s="1" t="str">
        <f>IF(OR($G1182="",$H1182="Mahsup"),"",$G1182&amp;"|"&amp;COUNTIFS($G$7:$G1182,$G1182,$H$7:$H1182,"&lt;&gt;Mahsup"))</f>
        <v/>
      </c>
    </row>
    <row r="1183" spans="1:21" ht="18" customHeight="1" x14ac:dyDescent="0.3">
      <c r="A1183" s="2"/>
      <c r="B1183" s="65" t="str">
        <f>IF($D1183="","","T"&amp;TEXT(ROW()-6,"00000"))</f>
        <v/>
      </c>
      <c r="C1183" s="65" t="str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61"/>
      <c r="E1183" s="66"/>
      <c r="F1183" s="67"/>
      <c r="G1183" s="60"/>
      <c r="H1183" s="60"/>
      <c r="I1183" s="61"/>
      <c r="J1183" s="61"/>
      <c r="K1183" s="61"/>
      <c r="L1183" s="73" t="str">
        <f>IF($E1183="","",DATE(YEAR($E1183),MONTH($E1183),1))</f>
        <v/>
      </c>
      <c r="M1183" s="65" t="str">
        <f ca="1">IF($D1183="","",IF($C1183="TANIMSIZ MÜŞTERİ","HATA",IF(OR($E1183="",$F1183&lt;=0,$G1183=""),"EKSİK",IF($E1183&gt;TODAY(),"İLERİ TARİH",IF(COUNTIF($S$7:$S$2503,$S1183)&gt;1,"MÜKERRER?",IF($T1183&gt;0,"KAPALI DÖNEM","UYGUN"))))))</f>
        <v/>
      </c>
      <c r="N1183" s="74" t="str">
        <f>IF($C1183="","",IF($C1183="TANIMSIZ MÜŞTERİ","—",INDEX(MUSTERILER!$C$7:$C$156,MATCH($C1183,MUSTERILER!$B$7:$B$156,0))))</f>
        <v/>
      </c>
      <c r="O1183" s="2"/>
      <c r="P1183" s="2"/>
      <c r="Q1183" s="1" t="str">
        <f>IF($D1183="","",$C1183&amp;"|"&amp;COUNTIFS($C$7:$C1183,$C1183))</f>
        <v/>
      </c>
      <c r="R1183" s="1" t="str">
        <f t="shared" si="36"/>
        <v/>
      </c>
      <c r="S1183" s="1" t="str">
        <f t="shared" si="37"/>
        <v/>
      </c>
      <c r="T1183" s="1">
        <f>IF($E1183="",0,SUMPRODUCT((AY_SONU!$O$7:$O$42="Evet")*(AY_SONU!$B$7:$B$42=DATE(YEAR($E1183),MONTH($E1183),1))))</f>
        <v>0</v>
      </c>
      <c r="U1183" s="1" t="str">
        <f>IF(OR($G1183="",$H1183="Mahsup"),"",$G1183&amp;"|"&amp;COUNTIFS($G$7:$G1183,$G1183,$H$7:$H1183,"&lt;&gt;Mahsup"))</f>
        <v/>
      </c>
    </row>
    <row r="1184" spans="1:21" ht="18" customHeight="1" x14ac:dyDescent="0.3">
      <c r="A1184" s="2"/>
      <c r="B1184" s="65" t="str">
        <f>IF($D1184="","","T"&amp;TEXT(ROW()-6,"00000"))</f>
        <v/>
      </c>
      <c r="C1184" s="65" t="str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61"/>
      <c r="E1184" s="66"/>
      <c r="F1184" s="67"/>
      <c r="G1184" s="60"/>
      <c r="H1184" s="60"/>
      <c r="I1184" s="61"/>
      <c r="J1184" s="61"/>
      <c r="K1184" s="61"/>
      <c r="L1184" s="73" t="str">
        <f>IF($E1184="","",DATE(YEAR($E1184),MONTH($E1184),1))</f>
        <v/>
      </c>
      <c r="M1184" s="65" t="str">
        <f ca="1">IF($D1184="","",IF($C1184="TANIMSIZ MÜŞTERİ","HATA",IF(OR($E1184="",$F1184&lt;=0,$G1184=""),"EKSİK",IF($E1184&gt;TODAY(),"İLERİ TARİH",IF(COUNTIF($S$7:$S$2503,$S1184)&gt;1,"MÜKERRER?",IF($T1184&gt;0,"KAPALI DÖNEM","UYGUN"))))))</f>
        <v/>
      </c>
      <c r="N1184" s="74" t="str">
        <f>IF($C1184="","",IF($C1184="TANIMSIZ MÜŞTERİ","—",INDEX(MUSTERILER!$C$7:$C$156,MATCH($C1184,MUSTERILER!$B$7:$B$156,0))))</f>
        <v/>
      </c>
      <c r="O1184" s="2"/>
      <c r="P1184" s="2"/>
      <c r="Q1184" s="1" t="str">
        <f>IF($D1184="","",$C1184&amp;"|"&amp;COUNTIFS($C$7:$C1184,$C1184))</f>
        <v/>
      </c>
      <c r="R1184" s="1" t="str">
        <f t="shared" si="36"/>
        <v/>
      </c>
      <c r="S1184" s="1" t="str">
        <f t="shared" si="37"/>
        <v/>
      </c>
      <c r="T1184" s="1">
        <f>IF($E1184="",0,SUMPRODUCT((AY_SONU!$O$7:$O$42="Evet")*(AY_SONU!$B$7:$B$42=DATE(YEAR($E1184),MONTH($E1184),1))))</f>
        <v>0</v>
      </c>
      <c r="U1184" s="1" t="str">
        <f>IF(OR($G1184="",$H1184="Mahsup"),"",$G1184&amp;"|"&amp;COUNTIFS($G$7:$G1184,$G1184,$H$7:$H1184,"&lt;&gt;Mahsup"))</f>
        <v/>
      </c>
    </row>
    <row r="1185" spans="1:21" ht="18" customHeight="1" x14ac:dyDescent="0.3">
      <c r="A1185" s="2"/>
      <c r="B1185" s="65" t="str">
        <f>IF($D1185="","","T"&amp;TEXT(ROW()-6,"00000"))</f>
        <v/>
      </c>
      <c r="C1185" s="65" t="str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61"/>
      <c r="E1185" s="66"/>
      <c r="F1185" s="67"/>
      <c r="G1185" s="60"/>
      <c r="H1185" s="60"/>
      <c r="I1185" s="61"/>
      <c r="J1185" s="61"/>
      <c r="K1185" s="61"/>
      <c r="L1185" s="73" t="str">
        <f>IF($E1185="","",DATE(YEAR($E1185),MONTH($E1185),1))</f>
        <v/>
      </c>
      <c r="M1185" s="65" t="str">
        <f ca="1">IF($D1185="","",IF($C1185="TANIMSIZ MÜŞTERİ","HATA",IF(OR($E1185="",$F1185&lt;=0,$G1185=""),"EKSİK",IF($E1185&gt;TODAY(),"İLERİ TARİH",IF(COUNTIF($S$7:$S$2503,$S1185)&gt;1,"MÜKERRER?",IF($T1185&gt;0,"KAPALI DÖNEM","UYGUN"))))))</f>
        <v/>
      </c>
      <c r="N1185" s="74" t="str">
        <f>IF($C1185="","",IF($C1185="TANIMSIZ MÜŞTERİ","—",INDEX(MUSTERILER!$C$7:$C$156,MATCH($C1185,MUSTERILER!$B$7:$B$156,0))))</f>
        <v/>
      </c>
      <c r="O1185" s="2"/>
      <c r="P1185" s="2"/>
      <c r="Q1185" s="1" t="str">
        <f>IF($D1185="","",$C1185&amp;"|"&amp;COUNTIFS($C$7:$C1185,$C1185))</f>
        <v/>
      </c>
      <c r="R1185" s="1" t="str">
        <f t="shared" si="36"/>
        <v/>
      </c>
      <c r="S1185" s="1" t="str">
        <f t="shared" si="37"/>
        <v/>
      </c>
      <c r="T1185" s="1">
        <f>IF($E1185="",0,SUMPRODUCT((AY_SONU!$O$7:$O$42="Evet")*(AY_SONU!$B$7:$B$42=DATE(YEAR($E1185),MONTH($E1185),1))))</f>
        <v>0</v>
      </c>
      <c r="U1185" s="1" t="str">
        <f>IF(OR($G1185="",$H1185="Mahsup"),"",$G1185&amp;"|"&amp;COUNTIFS($G$7:$G1185,$G1185,$H$7:$H1185,"&lt;&gt;Mahsup"))</f>
        <v/>
      </c>
    </row>
    <row r="1186" spans="1:21" ht="18" customHeight="1" x14ac:dyDescent="0.3">
      <c r="A1186" s="2"/>
      <c r="B1186" s="65" t="str">
        <f>IF($D1186="","","T"&amp;TEXT(ROW()-6,"00000"))</f>
        <v/>
      </c>
      <c r="C1186" s="65" t="str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61"/>
      <c r="E1186" s="66"/>
      <c r="F1186" s="67"/>
      <c r="G1186" s="60"/>
      <c r="H1186" s="60"/>
      <c r="I1186" s="61"/>
      <c r="J1186" s="61"/>
      <c r="K1186" s="61"/>
      <c r="L1186" s="73" t="str">
        <f>IF($E1186="","",DATE(YEAR($E1186),MONTH($E1186),1))</f>
        <v/>
      </c>
      <c r="M1186" s="65" t="str">
        <f ca="1">IF($D1186="","",IF($C1186="TANIMSIZ MÜŞTERİ","HATA",IF(OR($E1186="",$F1186&lt;=0,$G1186=""),"EKSİK",IF($E1186&gt;TODAY(),"İLERİ TARİH",IF(COUNTIF($S$7:$S$2503,$S1186)&gt;1,"MÜKERRER?",IF($T1186&gt;0,"KAPALI DÖNEM","UYGUN"))))))</f>
        <v/>
      </c>
      <c r="N1186" s="74" t="str">
        <f>IF($C1186="","",IF($C1186="TANIMSIZ MÜŞTERİ","—",INDEX(MUSTERILER!$C$7:$C$156,MATCH($C1186,MUSTERILER!$B$7:$B$156,0))))</f>
        <v/>
      </c>
      <c r="O1186" s="2"/>
      <c r="P1186" s="2"/>
      <c r="Q1186" s="1" t="str">
        <f>IF($D1186="","",$C1186&amp;"|"&amp;COUNTIFS($C$7:$C1186,$C1186))</f>
        <v/>
      </c>
      <c r="R1186" s="1" t="str">
        <f t="shared" si="36"/>
        <v/>
      </c>
      <c r="S1186" s="1" t="str">
        <f t="shared" si="37"/>
        <v/>
      </c>
      <c r="T1186" s="1">
        <f>IF($E1186="",0,SUMPRODUCT((AY_SONU!$O$7:$O$42="Evet")*(AY_SONU!$B$7:$B$42=DATE(YEAR($E1186),MONTH($E1186),1))))</f>
        <v>0</v>
      </c>
      <c r="U1186" s="1" t="str">
        <f>IF(OR($G1186="",$H1186="Mahsup"),"",$G1186&amp;"|"&amp;COUNTIFS($G$7:$G1186,$G1186,$H$7:$H1186,"&lt;&gt;Mahsup"))</f>
        <v/>
      </c>
    </row>
    <row r="1187" spans="1:21" ht="18" customHeight="1" x14ac:dyDescent="0.3">
      <c r="A1187" s="2"/>
      <c r="B1187" s="65" t="str">
        <f>IF($D1187="","","T"&amp;TEXT(ROW()-6,"00000"))</f>
        <v/>
      </c>
      <c r="C1187" s="65" t="str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61"/>
      <c r="E1187" s="66"/>
      <c r="F1187" s="67"/>
      <c r="G1187" s="60"/>
      <c r="H1187" s="60"/>
      <c r="I1187" s="61"/>
      <c r="J1187" s="61"/>
      <c r="K1187" s="61"/>
      <c r="L1187" s="73" t="str">
        <f>IF($E1187="","",DATE(YEAR($E1187),MONTH($E1187),1))</f>
        <v/>
      </c>
      <c r="M1187" s="65" t="str">
        <f ca="1">IF($D1187="","",IF($C1187="TANIMSIZ MÜŞTERİ","HATA",IF(OR($E1187="",$F1187&lt;=0,$G1187=""),"EKSİK",IF($E1187&gt;TODAY(),"İLERİ TARİH",IF(COUNTIF($S$7:$S$2503,$S1187)&gt;1,"MÜKERRER?",IF($T1187&gt;0,"KAPALI DÖNEM","UYGUN"))))))</f>
        <v/>
      </c>
      <c r="N1187" s="74" t="str">
        <f>IF($C1187="","",IF($C1187="TANIMSIZ MÜŞTERİ","—",INDEX(MUSTERILER!$C$7:$C$156,MATCH($C1187,MUSTERILER!$B$7:$B$156,0))))</f>
        <v/>
      </c>
      <c r="O1187" s="2"/>
      <c r="P1187" s="2"/>
      <c r="Q1187" s="1" t="str">
        <f>IF($D1187="","",$C1187&amp;"|"&amp;COUNTIFS($C$7:$C1187,$C1187))</f>
        <v/>
      </c>
      <c r="R1187" s="1" t="str">
        <f t="shared" si="36"/>
        <v/>
      </c>
      <c r="S1187" s="1" t="str">
        <f t="shared" si="37"/>
        <v/>
      </c>
      <c r="T1187" s="1">
        <f>IF($E1187="",0,SUMPRODUCT((AY_SONU!$O$7:$O$42="Evet")*(AY_SONU!$B$7:$B$42=DATE(YEAR($E1187),MONTH($E1187),1))))</f>
        <v>0</v>
      </c>
      <c r="U1187" s="1" t="str">
        <f>IF(OR($G1187="",$H1187="Mahsup"),"",$G1187&amp;"|"&amp;COUNTIFS($G$7:$G1187,$G1187,$H$7:$H1187,"&lt;&gt;Mahsup"))</f>
        <v/>
      </c>
    </row>
    <row r="1188" spans="1:21" ht="18" customHeight="1" x14ac:dyDescent="0.3">
      <c r="A1188" s="2"/>
      <c r="B1188" s="65" t="str">
        <f>IF($D1188="","","T"&amp;TEXT(ROW()-6,"00000"))</f>
        <v/>
      </c>
      <c r="C1188" s="65" t="str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61"/>
      <c r="E1188" s="66"/>
      <c r="F1188" s="67"/>
      <c r="G1188" s="60"/>
      <c r="H1188" s="60"/>
      <c r="I1188" s="61"/>
      <c r="J1188" s="61"/>
      <c r="K1188" s="61"/>
      <c r="L1188" s="73" t="str">
        <f>IF($E1188="","",DATE(YEAR($E1188),MONTH($E1188),1))</f>
        <v/>
      </c>
      <c r="M1188" s="65" t="str">
        <f ca="1">IF($D1188="","",IF($C1188="TANIMSIZ MÜŞTERİ","HATA",IF(OR($E1188="",$F1188&lt;=0,$G1188=""),"EKSİK",IF($E1188&gt;TODAY(),"İLERİ TARİH",IF(COUNTIF($S$7:$S$2503,$S1188)&gt;1,"MÜKERRER?",IF($T1188&gt;0,"KAPALI DÖNEM","UYGUN"))))))</f>
        <v/>
      </c>
      <c r="N1188" s="74" t="str">
        <f>IF($C1188="","",IF($C1188="TANIMSIZ MÜŞTERİ","—",INDEX(MUSTERILER!$C$7:$C$156,MATCH($C1188,MUSTERILER!$B$7:$B$156,0))))</f>
        <v/>
      </c>
      <c r="O1188" s="2"/>
      <c r="P1188" s="2"/>
      <c r="Q1188" s="1" t="str">
        <f>IF($D1188="","",$C1188&amp;"|"&amp;COUNTIFS($C$7:$C1188,$C1188))</f>
        <v/>
      </c>
      <c r="R1188" s="1" t="str">
        <f t="shared" si="36"/>
        <v/>
      </c>
      <c r="S1188" s="1" t="str">
        <f t="shared" si="37"/>
        <v/>
      </c>
      <c r="T1188" s="1">
        <f>IF($E1188="",0,SUMPRODUCT((AY_SONU!$O$7:$O$42="Evet")*(AY_SONU!$B$7:$B$42=DATE(YEAR($E1188),MONTH($E1188),1))))</f>
        <v>0</v>
      </c>
      <c r="U1188" s="1" t="str">
        <f>IF(OR($G1188="",$H1188="Mahsup"),"",$G1188&amp;"|"&amp;COUNTIFS($G$7:$G1188,$G1188,$H$7:$H1188,"&lt;&gt;Mahsup"))</f>
        <v/>
      </c>
    </row>
    <row r="1189" spans="1:21" ht="18" customHeight="1" x14ac:dyDescent="0.3">
      <c r="A1189" s="2"/>
      <c r="B1189" s="65" t="str">
        <f>IF($D1189="","","T"&amp;TEXT(ROW()-6,"00000"))</f>
        <v/>
      </c>
      <c r="C1189" s="65" t="str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61"/>
      <c r="E1189" s="66"/>
      <c r="F1189" s="67"/>
      <c r="G1189" s="60"/>
      <c r="H1189" s="60"/>
      <c r="I1189" s="61"/>
      <c r="J1189" s="61"/>
      <c r="K1189" s="61"/>
      <c r="L1189" s="73" t="str">
        <f>IF($E1189="","",DATE(YEAR($E1189),MONTH($E1189),1))</f>
        <v/>
      </c>
      <c r="M1189" s="65" t="str">
        <f ca="1">IF($D1189="","",IF($C1189="TANIMSIZ MÜŞTERİ","HATA",IF(OR($E1189="",$F1189&lt;=0,$G1189=""),"EKSİK",IF($E1189&gt;TODAY(),"İLERİ TARİH",IF(COUNTIF($S$7:$S$2503,$S1189)&gt;1,"MÜKERRER?",IF($T1189&gt;0,"KAPALI DÖNEM","UYGUN"))))))</f>
        <v/>
      </c>
      <c r="N1189" s="74" t="str">
        <f>IF($C1189="","",IF($C1189="TANIMSIZ MÜŞTERİ","—",INDEX(MUSTERILER!$C$7:$C$156,MATCH($C1189,MUSTERILER!$B$7:$B$156,0))))</f>
        <v/>
      </c>
      <c r="O1189" s="2"/>
      <c r="P1189" s="2"/>
      <c r="Q1189" s="1" t="str">
        <f>IF($D1189="","",$C1189&amp;"|"&amp;COUNTIFS($C$7:$C1189,$C1189))</f>
        <v/>
      </c>
      <c r="R1189" s="1" t="str">
        <f t="shared" si="36"/>
        <v/>
      </c>
      <c r="S1189" s="1" t="str">
        <f t="shared" si="37"/>
        <v/>
      </c>
      <c r="T1189" s="1">
        <f>IF($E1189="",0,SUMPRODUCT((AY_SONU!$O$7:$O$42="Evet")*(AY_SONU!$B$7:$B$42=DATE(YEAR($E1189),MONTH($E1189),1))))</f>
        <v>0</v>
      </c>
      <c r="U1189" s="1" t="str">
        <f>IF(OR($G1189="",$H1189="Mahsup"),"",$G1189&amp;"|"&amp;COUNTIFS($G$7:$G1189,$G1189,$H$7:$H1189,"&lt;&gt;Mahsup"))</f>
        <v/>
      </c>
    </row>
    <row r="1190" spans="1:21" ht="18" customHeight="1" x14ac:dyDescent="0.3">
      <c r="A1190" s="2"/>
      <c r="B1190" s="65" t="str">
        <f>IF($D1190="","","T"&amp;TEXT(ROW()-6,"00000"))</f>
        <v/>
      </c>
      <c r="C1190" s="65" t="str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61"/>
      <c r="E1190" s="66"/>
      <c r="F1190" s="67"/>
      <c r="G1190" s="60"/>
      <c r="H1190" s="60"/>
      <c r="I1190" s="61"/>
      <c r="J1190" s="61"/>
      <c r="K1190" s="61"/>
      <c r="L1190" s="73" t="str">
        <f>IF($E1190="","",DATE(YEAR($E1190),MONTH($E1190),1))</f>
        <v/>
      </c>
      <c r="M1190" s="65" t="str">
        <f ca="1">IF($D1190="","",IF($C1190="TANIMSIZ MÜŞTERİ","HATA",IF(OR($E1190="",$F1190&lt;=0,$G1190=""),"EKSİK",IF($E1190&gt;TODAY(),"İLERİ TARİH",IF(COUNTIF($S$7:$S$2503,$S1190)&gt;1,"MÜKERRER?",IF($T1190&gt;0,"KAPALI DÖNEM","UYGUN"))))))</f>
        <v/>
      </c>
      <c r="N1190" s="74" t="str">
        <f>IF($C1190="","",IF($C1190="TANIMSIZ MÜŞTERİ","—",INDEX(MUSTERILER!$C$7:$C$156,MATCH($C1190,MUSTERILER!$B$7:$B$156,0))))</f>
        <v/>
      </c>
      <c r="O1190" s="2"/>
      <c r="P1190" s="2"/>
      <c r="Q1190" s="1" t="str">
        <f>IF($D1190="","",$C1190&amp;"|"&amp;COUNTIFS($C$7:$C1190,$C1190))</f>
        <v/>
      </c>
      <c r="R1190" s="1" t="str">
        <f t="shared" si="36"/>
        <v/>
      </c>
      <c r="S1190" s="1" t="str">
        <f t="shared" si="37"/>
        <v/>
      </c>
      <c r="T1190" s="1">
        <f>IF($E1190="",0,SUMPRODUCT((AY_SONU!$O$7:$O$42="Evet")*(AY_SONU!$B$7:$B$42=DATE(YEAR($E1190),MONTH($E1190),1))))</f>
        <v>0</v>
      </c>
      <c r="U1190" s="1" t="str">
        <f>IF(OR($G1190="",$H1190="Mahsup"),"",$G1190&amp;"|"&amp;COUNTIFS($G$7:$G1190,$G1190,$H$7:$H1190,"&lt;&gt;Mahsup"))</f>
        <v/>
      </c>
    </row>
    <row r="1191" spans="1:21" ht="18" customHeight="1" x14ac:dyDescent="0.3">
      <c r="A1191" s="2"/>
      <c r="B1191" s="65" t="str">
        <f>IF($D1191="","","T"&amp;TEXT(ROW()-6,"00000"))</f>
        <v/>
      </c>
      <c r="C1191" s="65" t="str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61"/>
      <c r="E1191" s="66"/>
      <c r="F1191" s="67"/>
      <c r="G1191" s="60"/>
      <c r="H1191" s="60"/>
      <c r="I1191" s="61"/>
      <c r="J1191" s="61"/>
      <c r="K1191" s="61"/>
      <c r="L1191" s="73" t="str">
        <f>IF($E1191="","",DATE(YEAR($E1191),MONTH($E1191),1))</f>
        <v/>
      </c>
      <c r="M1191" s="65" t="str">
        <f ca="1">IF($D1191="","",IF($C1191="TANIMSIZ MÜŞTERİ","HATA",IF(OR($E1191="",$F1191&lt;=0,$G1191=""),"EKSİK",IF($E1191&gt;TODAY(),"İLERİ TARİH",IF(COUNTIF($S$7:$S$2503,$S1191)&gt;1,"MÜKERRER?",IF($T1191&gt;0,"KAPALI DÖNEM","UYGUN"))))))</f>
        <v/>
      </c>
      <c r="N1191" s="74" t="str">
        <f>IF($C1191="","",IF($C1191="TANIMSIZ MÜŞTERİ","—",INDEX(MUSTERILER!$C$7:$C$156,MATCH($C1191,MUSTERILER!$B$7:$B$156,0))))</f>
        <v/>
      </c>
      <c r="O1191" s="2"/>
      <c r="P1191" s="2"/>
      <c r="Q1191" s="1" t="str">
        <f>IF($D1191="","",$C1191&amp;"|"&amp;COUNTIFS($C$7:$C1191,$C1191))</f>
        <v/>
      </c>
      <c r="R1191" s="1" t="str">
        <f t="shared" si="36"/>
        <v/>
      </c>
      <c r="S1191" s="1" t="str">
        <f t="shared" si="37"/>
        <v/>
      </c>
      <c r="T1191" s="1">
        <f>IF($E1191="",0,SUMPRODUCT((AY_SONU!$O$7:$O$42="Evet")*(AY_SONU!$B$7:$B$42=DATE(YEAR($E1191),MONTH($E1191),1))))</f>
        <v>0</v>
      </c>
      <c r="U1191" s="1" t="str">
        <f>IF(OR($G1191="",$H1191="Mahsup"),"",$G1191&amp;"|"&amp;COUNTIFS($G$7:$G1191,$G1191,$H$7:$H1191,"&lt;&gt;Mahsup"))</f>
        <v/>
      </c>
    </row>
    <row r="1192" spans="1:21" ht="18" customHeight="1" x14ac:dyDescent="0.3">
      <c r="A1192" s="2"/>
      <c r="B1192" s="65" t="str">
        <f>IF($D1192="","","T"&amp;TEXT(ROW()-6,"00000"))</f>
        <v/>
      </c>
      <c r="C1192" s="65" t="str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61"/>
      <c r="E1192" s="66"/>
      <c r="F1192" s="67"/>
      <c r="G1192" s="60"/>
      <c r="H1192" s="60"/>
      <c r="I1192" s="61"/>
      <c r="J1192" s="61"/>
      <c r="K1192" s="61"/>
      <c r="L1192" s="73" t="str">
        <f>IF($E1192="","",DATE(YEAR($E1192),MONTH($E1192),1))</f>
        <v/>
      </c>
      <c r="M1192" s="65" t="str">
        <f ca="1">IF($D1192="","",IF($C1192="TANIMSIZ MÜŞTERİ","HATA",IF(OR($E1192="",$F1192&lt;=0,$G1192=""),"EKSİK",IF($E1192&gt;TODAY(),"İLERİ TARİH",IF(COUNTIF($S$7:$S$2503,$S1192)&gt;1,"MÜKERRER?",IF($T1192&gt;0,"KAPALI DÖNEM","UYGUN"))))))</f>
        <v/>
      </c>
      <c r="N1192" s="74" t="str">
        <f>IF($C1192="","",IF($C1192="TANIMSIZ MÜŞTERİ","—",INDEX(MUSTERILER!$C$7:$C$156,MATCH($C1192,MUSTERILER!$B$7:$B$156,0))))</f>
        <v/>
      </c>
      <c r="O1192" s="2"/>
      <c r="P1192" s="2"/>
      <c r="Q1192" s="1" t="str">
        <f>IF($D1192="","",$C1192&amp;"|"&amp;COUNTIFS($C$7:$C1192,$C1192))</f>
        <v/>
      </c>
      <c r="R1192" s="1" t="str">
        <f t="shared" si="36"/>
        <v/>
      </c>
      <c r="S1192" s="1" t="str">
        <f t="shared" si="37"/>
        <v/>
      </c>
      <c r="T1192" s="1">
        <f>IF($E1192="",0,SUMPRODUCT((AY_SONU!$O$7:$O$42="Evet")*(AY_SONU!$B$7:$B$42=DATE(YEAR($E1192),MONTH($E1192),1))))</f>
        <v>0</v>
      </c>
      <c r="U1192" s="1" t="str">
        <f>IF(OR($G1192="",$H1192="Mahsup"),"",$G1192&amp;"|"&amp;COUNTIFS($G$7:$G1192,$G1192,$H$7:$H1192,"&lt;&gt;Mahsup"))</f>
        <v/>
      </c>
    </row>
    <row r="1193" spans="1:21" ht="18" customHeight="1" x14ac:dyDescent="0.3">
      <c r="A1193" s="2"/>
      <c r="B1193" s="65" t="str">
        <f>IF($D1193="","","T"&amp;TEXT(ROW()-6,"00000"))</f>
        <v/>
      </c>
      <c r="C1193" s="65" t="str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61"/>
      <c r="E1193" s="66"/>
      <c r="F1193" s="67"/>
      <c r="G1193" s="60"/>
      <c r="H1193" s="60"/>
      <c r="I1193" s="61"/>
      <c r="J1193" s="61"/>
      <c r="K1193" s="61"/>
      <c r="L1193" s="73" t="str">
        <f>IF($E1193="","",DATE(YEAR($E1193),MONTH($E1193),1))</f>
        <v/>
      </c>
      <c r="M1193" s="65" t="str">
        <f ca="1">IF($D1193="","",IF($C1193="TANIMSIZ MÜŞTERİ","HATA",IF(OR($E1193="",$F1193&lt;=0,$G1193=""),"EKSİK",IF($E1193&gt;TODAY(),"İLERİ TARİH",IF(COUNTIF($S$7:$S$2503,$S1193)&gt;1,"MÜKERRER?",IF($T1193&gt;0,"KAPALI DÖNEM","UYGUN"))))))</f>
        <v/>
      </c>
      <c r="N1193" s="74" t="str">
        <f>IF($C1193="","",IF($C1193="TANIMSIZ MÜŞTERİ","—",INDEX(MUSTERILER!$C$7:$C$156,MATCH($C1193,MUSTERILER!$B$7:$B$156,0))))</f>
        <v/>
      </c>
      <c r="O1193" s="2"/>
      <c r="P1193" s="2"/>
      <c r="Q1193" s="1" t="str">
        <f>IF($D1193="","",$C1193&amp;"|"&amp;COUNTIFS($C$7:$C1193,$C1193))</f>
        <v/>
      </c>
      <c r="R1193" s="1" t="str">
        <f t="shared" si="36"/>
        <v/>
      </c>
      <c r="S1193" s="1" t="str">
        <f t="shared" si="37"/>
        <v/>
      </c>
      <c r="T1193" s="1">
        <f>IF($E1193="",0,SUMPRODUCT((AY_SONU!$O$7:$O$42="Evet")*(AY_SONU!$B$7:$B$42=DATE(YEAR($E1193),MONTH($E1193),1))))</f>
        <v>0</v>
      </c>
      <c r="U1193" s="1" t="str">
        <f>IF(OR($G1193="",$H1193="Mahsup"),"",$G1193&amp;"|"&amp;COUNTIFS($G$7:$G1193,$G1193,$H$7:$H1193,"&lt;&gt;Mahsup"))</f>
        <v/>
      </c>
    </row>
    <row r="1194" spans="1:21" ht="18" customHeight="1" x14ac:dyDescent="0.3">
      <c r="A1194" s="2"/>
      <c r="B1194" s="65" t="str">
        <f>IF($D1194="","","T"&amp;TEXT(ROW()-6,"00000"))</f>
        <v/>
      </c>
      <c r="C1194" s="65" t="str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61"/>
      <c r="E1194" s="66"/>
      <c r="F1194" s="67"/>
      <c r="G1194" s="60"/>
      <c r="H1194" s="60"/>
      <c r="I1194" s="61"/>
      <c r="J1194" s="61"/>
      <c r="K1194" s="61"/>
      <c r="L1194" s="73" t="str">
        <f>IF($E1194="","",DATE(YEAR($E1194),MONTH($E1194),1))</f>
        <v/>
      </c>
      <c r="M1194" s="65" t="str">
        <f ca="1">IF($D1194="","",IF($C1194="TANIMSIZ MÜŞTERİ","HATA",IF(OR($E1194="",$F1194&lt;=0,$G1194=""),"EKSİK",IF($E1194&gt;TODAY(),"İLERİ TARİH",IF(COUNTIF($S$7:$S$2503,$S1194)&gt;1,"MÜKERRER?",IF($T1194&gt;0,"KAPALI DÖNEM","UYGUN"))))))</f>
        <v/>
      </c>
      <c r="N1194" s="74" t="str">
        <f>IF($C1194="","",IF($C1194="TANIMSIZ MÜŞTERİ","—",INDEX(MUSTERILER!$C$7:$C$156,MATCH($C1194,MUSTERILER!$B$7:$B$156,0))))</f>
        <v/>
      </c>
      <c r="O1194" s="2"/>
      <c r="P1194" s="2"/>
      <c r="Q1194" s="1" t="str">
        <f>IF($D1194="","",$C1194&amp;"|"&amp;COUNTIFS($C$7:$C1194,$C1194))</f>
        <v/>
      </c>
      <c r="R1194" s="1" t="str">
        <f t="shared" si="36"/>
        <v/>
      </c>
      <c r="S1194" s="1" t="str">
        <f t="shared" si="37"/>
        <v/>
      </c>
      <c r="T1194" s="1">
        <f>IF($E1194="",0,SUMPRODUCT((AY_SONU!$O$7:$O$42="Evet")*(AY_SONU!$B$7:$B$42=DATE(YEAR($E1194),MONTH($E1194),1))))</f>
        <v>0</v>
      </c>
      <c r="U1194" s="1" t="str">
        <f>IF(OR($G1194="",$H1194="Mahsup"),"",$G1194&amp;"|"&amp;COUNTIFS($G$7:$G1194,$G1194,$H$7:$H1194,"&lt;&gt;Mahsup"))</f>
        <v/>
      </c>
    </row>
    <row r="1195" spans="1:21" ht="18" customHeight="1" x14ac:dyDescent="0.3">
      <c r="A1195" s="2"/>
      <c r="B1195" s="65" t="str">
        <f>IF($D1195="","","T"&amp;TEXT(ROW()-6,"00000"))</f>
        <v/>
      </c>
      <c r="C1195" s="65" t="str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61"/>
      <c r="E1195" s="66"/>
      <c r="F1195" s="67"/>
      <c r="G1195" s="60"/>
      <c r="H1195" s="60"/>
      <c r="I1195" s="61"/>
      <c r="J1195" s="61"/>
      <c r="K1195" s="61"/>
      <c r="L1195" s="73" t="str">
        <f>IF($E1195="","",DATE(YEAR($E1195),MONTH($E1195),1))</f>
        <v/>
      </c>
      <c r="M1195" s="65" t="str">
        <f ca="1">IF($D1195="","",IF($C1195="TANIMSIZ MÜŞTERİ","HATA",IF(OR($E1195="",$F1195&lt;=0,$G1195=""),"EKSİK",IF($E1195&gt;TODAY(),"İLERİ TARİH",IF(COUNTIF($S$7:$S$2503,$S1195)&gt;1,"MÜKERRER?",IF($T1195&gt;0,"KAPALI DÖNEM","UYGUN"))))))</f>
        <v/>
      </c>
      <c r="N1195" s="74" t="str">
        <f>IF($C1195="","",IF($C1195="TANIMSIZ MÜŞTERİ","—",INDEX(MUSTERILER!$C$7:$C$156,MATCH($C1195,MUSTERILER!$B$7:$B$156,0))))</f>
        <v/>
      </c>
      <c r="O1195" s="2"/>
      <c r="P1195" s="2"/>
      <c r="Q1195" s="1" t="str">
        <f>IF($D1195="","",$C1195&amp;"|"&amp;COUNTIFS($C$7:$C1195,$C1195))</f>
        <v/>
      </c>
      <c r="R1195" s="1" t="str">
        <f t="shared" si="36"/>
        <v/>
      </c>
      <c r="S1195" s="1" t="str">
        <f t="shared" si="37"/>
        <v/>
      </c>
      <c r="T1195" s="1">
        <f>IF($E1195="",0,SUMPRODUCT((AY_SONU!$O$7:$O$42="Evet")*(AY_SONU!$B$7:$B$42=DATE(YEAR($E1195),MONTH($E1195),1))))</f>
        <v>0</v>
      </c>
      <c r="U1195" s="1" t="str">
        <f>IF(OR($G1195="",$H1195="Mahsup"),"",$G1195&amp;"|"&amp;COUNTIFS($G$7:$G1195,$G1195,$H$7:$H1195,"&lt;&gt;Mahsup"))</f>
        <v/>
      </c>
    </row>
    <row r="1196" spans="1:21" ht="18" customHeight="1" x14ac:dyDescent="0.3">
      <c r="A1196" s="2"/>
      <c r="B1196" s="65" t="str">
        <f>IF($D1196="","","T"&amp;TEXT(ROW()-6,"00000"))</f>
        <v/>
      </c>
      <c r="C1196" s="65" t="str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61"/>
      <c r="E1196" s="66"/>
      <c r="F1196" s="67"/>
      <c r="G1196" s="60"/>
      <c r="H1196" s="60"/>
      <c r="I1196" s="61"/>
      <c r="J1196" s="61"/>
      <c r="K1196" s="61"/>
      <c r="L1196" s="73" t="str">
        <f>IF($E1196="","",DATE(YEAR($E1196),MONTH($E1196),1))</f>
        <v/>
      </c>
      <c r="M1196" s="65" t="str">
        <f ca="1">IF($D1196="","",IF($C1196="TANIMSIZ MÜŞTERİ","HATA",IF(OR($E1196="",$F1196&lt;=0,$G1196=""),"EKSİK",IF($E1196&gt;TODAY(),"İLERİ TARİH",IF(COUNTIF($S$7:$S$2503,$S1196)&gt;1,"MÜKERRER?",IF($T1196&gt;0,"KAPALI DÖNEM","UYGUN"))))))</f>
        <v/>
      </c>
      <c r="N1196" s="74" t="str">
        <f>IF($C1196="","",IF($C1196="TANIMSIZ MÜŞTERİ","—",INDEX(MUSTERILER!$C$7:$C$156,MATCH($C1196,MUSTERILER!$B$7:$B$156,0))))</f>
        <v/>
      </c>
      <c r="O1196" s="2"/>
      <c r="P1196" s="2"/>
      <c r="Q1196" s="1" t="str">
        <f>IF($D1196="","",$C1196&amp;"|"&amp;COUNTIFS($C$7:$C1196,$C1196))</f>
        <v/>
      </c>
      <c r="R1196" s="1" t="str">
        <f t="shared" si="36"/>
        <v/>
      </c>
      <c r="S1196" s="1" t="str">
        <f t="shared" si="37"/>
        <v/>
      </c>
      <c r="T1196" s="1">
        <f>IF($E1196="",0,SUMPRODUCT((AY_SONU!$O$7:$O$42="Evet")*(AY_SONU!$B$7:$B$42=DATE(YEAR($E1196),MONTH($E1196),1))))</f>
        <v>0</v>
      </c>
      <c r="U1196" s="1" t="str">
        <f>IF(OR($G1196="",$H1196="Mahsup"),"",$G1196&amp;"|"&amp;COUNTIFS($G$7:$G1196,$G1196,$H$7:$H1196,"&lt;&gt;Mahsup"))</f>
        <v/>
      </c>
    </row>
    <row r="1197" spans="1:21" ht="18" customHeight="1" x14ac:dyDescent="0.3">
      <c r="A1197" s="2"/>
      <c r="B1197" s="65" t="str">
        <f>IF($D1197="","","T"&amp;TEXT(ROW()-6,"00000"))</f>
        <v/>
      </c>
      <c r="C1197" s="65" t="str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61"/>
      <c r="E1197" s="66"/>
      <c r="F1197" s="67"/>
      <c r="G1197" s="60"/>
      <c r="H1197" s="60"/>
      <c r="I1197" s="61"/>
      <c r="J1197" s="61"/>
      <c r="K1197" s="61"/>
      <c r="L1197" s="73" t="str">
        <f>IF($E1197="","",DATE(YEAR($E1197),MONTH($E1197),1))</f>
        <v/>
      </c>
      <c r="M1197" s="65" t="str">
        <f ca="1">IF($D1197="","",IF($C1197="TANIMSIZ MÜŞTERİ","HATA",IF(OR($E1197="",$F1197&lt;=0,$G1197=""),"EKSİK",IF($E1197&gt;TODAY(),"İLERİ TARİH",IF(COUNTIF($S$7:$S$2503,$S1197)&gt;1,"MÜKERRER?",IF($T1197&gt;0,"KAPALI DÖNEM","UYGUN"))))))</f>
        <v/>
      </c>
      <c r="N1197" s="74" t="str">
        <f>IF($C1197="","",IF($C1197="TANIMSIZ MÜŞTERİ","—",INDEX(MUSTERILER!$C$7:$C$156,MATCH($C1197,MUSTERILER!$B$7:$B$156,0))))</f>
        <v/>
      </c>
      <c r="O1197" s="2"/>
      <c r="P1197" s="2"/>
      <c r="Q1197" s="1" t="str">
        <f>IF($D1197="","",$C1197&amp;"|"&amp;COUNTIFS($C$7:$C1197,$C1197))</f>
        <v/>
      </c>
      <c r="R1197" s="1" t="str">
        <f t="shared" si="36"/>
        <v/>
      </c>
      <c r="S1197" s="1" t="str">
        <f t="shared" si="37"/>
        <v/>
      </c>
      <c r="T1197" s="1">
        <f>IF($E1197="",0,SUMPRODUCT((AY_SONU!$O$7:$O$42="Evet")*(AY_SONU!$B$7:$B$42=DATE(YEAR($E1197),MONTH($E1197),1))))</f>
        <v>0</v>
      </c>
      <c r="U1197" s="1" t="str">
        <f>IF(OR($G1197="",$H1197="Mahsup"),"",$G1197&amp;"|"&amp;COUNTIFS($G$7:$G1197,$G1197,$H$7:$H1197,"&lt;&gt;Mahsup"))</f>
        <v/>
      </c>
    </row>
    <row r="1198" spans="1:21" ht="18" customHeight="1" x14ac:dyDescent="0.3">
      <c r="A1198" s="2"/>
      <c r="B1198" s="65" t="str">
        <f>IF($D1198="","","T"&amp;TEXT(ROW()-6,"00000"))</f>
        <v/>
      </c>
      <c r="C1198" s="65" t="str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61"/>
      <c r="E1198" s="66"/>
      <c r="F1198" s="67"/>
      <c r="G1198" s="60"/>
      <c r="H1198" s="60"/>
      <c r="I1198" s="61"/>
      <c r="J1198" s="61"/>
      <c r="K1198" s="61"/>
      <c r="L1198" s="73" t="str">
        <f>IF($E1198="","",DATE(YEAR($E1198),MONTH($E1198),1))</f>
        <v/>
      </c>
      <c r="M1198" s="65" t="str">
        <f ca="1">IF($D1198="","",IF($C1198="TANIMSIZ MÜŞTERİ","HATA",IF(OR($E1198="",$F1198&lt;=0,$G1198=""),"EKSİK",IF($E1198&gt;TODAY(),"İLERİ TARİH",IF(COUNTIF($S$7:$S$2503,$S1198)&gt;1,"MÜKERRER?",IF($T1198&gt;0,"KAPALI DÖNEM","UYGUN"))))))</f>
        <v/>
      </c>
      <c r="N1198" s="74" t="str">
        <f>IF($C1198="","",IF($C1198="TANIMSIZ MÜŞTERİ","—",INDEX(MUSTERILER!$C$7:$C$156,MATCH($C1198,MUSTERILER!$B$7:$B$156,0))))</f>
        <v/>
      </c>
      <c r="O1198" s="2"/>
      <c r="P1198" s="2"/>
      <c r="Q1198" s="1" t="str">
        <f>IF($D1198="","",$C1198&amp;"|"&amp;COUNTIFS($C$7:$C1198,$C1198))</f>
        <v/>
      </c>
      <c r="R1198" s="1" t="str">
        <f t="shared" si="36"/>
        <v/>
      </c>
      <c r="S1198" s="1" t="str">
        <f t="shared" si="37"/>
        <v/>
      </c>
      <c r="T1198" s="1">
        <f>IF($E1198="",0,SUMPRODUCT((AY_SONU!$O$7:$O$42="Evet")*(AY_SONU!$B$7:$B$42=DATE(YEAR($E1198),MONTH($E1198),1))))</f>
        <v>0</v>
      </c>
      <c r="U1198" s="1" t="str">
        <f>IF(OR($G1198="",$H1198="Mahsup"),"",$G1198&amp;"|"&amp;COUNTIFS($G$7:$G1198,$G1198,$H$7:$H1198,"&lt;&gt;Mahsup"))</f>
        <v/>
      </c>
    </row>
    <row r="1199" spans="1:21" ht="18" customHeight="1" x14ac:dyDescent="0.3">
      <c r="A1199" s="2"/>
      <c r="B1199" s="65" t="str">
        <f>IF($D1199="","","T"&amp;TEXT(ROW()-6,"00000"))</f>
        <v/>
      </c>
      <c r="C1199" s="65" t="str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61"/>
      <c r="E1199" s="66"/>
      <c r="F1199" s="67"/>
      <c r="G1199" s="60"/>
      <c r="H1199" s="60"/>
      <c r="I1199" s="61"/>
      <c r="J1199" s="61"/>
      <c r="K1199" s="61"/>
      <c r="L1199" s="73" t="str">
        <f>IF($E1199="","",DATE(YEAR($E1199),MONTH($E1199),1))</f>
        <v/>
      </c>
      <c r="M1199" s="65" t="str">
        <f ca="1">IF($D1199="","",IF($C1199="TANIMSIZ MÜŞTERİ","HATA",IF(OR($E1199="",$F1199&lt;=0,$G1199=""),"EKSİK",IF($E1199&gt;TODAY(),"İLERİ TARİH",IF(COUNTIF($S$7:$S$2503,$S1199)&gt;1,"MÜKERRER?",IF($T1199&gt;0,"KAPALI DÖNEM","UYGUN"))))))</f>
        <v/>
      </c>
      <c r="N1199" s="74" t="str">
        <f>IF($C1199="","",IF($C1199="TANIMSIZ MÜŞTERİ","—",INDEX(MUSTERILER!$C$7:$C$156,MATCH($C1199,MUSTERILER!$B$7:$B$156,0))))</f>
        <v/>
      </c>
      <c r="O1199" s="2"/>
      <c r="P1199" s="2"/>
      <c r="Q1199" s="1" t="str">
        <f>IF($D1199="","",$C1199&amp;"|"&amp;COUNTIFS($C$7:$C1199,$C1199))</f>
        <v/>
      </c>
      <c r="R1199" s="1" t="str">
        <f t="shared" si="36"/>
        <v/>
      </c>
      <c r="S1199" s="1" t="str">
        <f t="shared" si="37"/>
        <v/>
      </c>
      <c r="T1199" s="1">
        <f>IF($E1199="",0,SUMPRODUCT((AY_SONU!$O$7:$O$42="Evet")*(AY_SONU!$B$7:$B$42=DATE(YEAR($E1199),MONTH($E1199),1))))</f>
        <v>0</v>
      </c>
      <c r="U1199" s="1" t="str">
        <f>IF(OR($G1199="",$H1199="Mahsup"),"",$G1199&amp;"|"&amp;COUNTIFS($G$7:$G1199,$G1199,$H$7:$H1199,"&lt;&gt;Mahsup"))</f>
        <v/>
      </c>
    </row>
    <row r="1200" spans="1:21" ht="18" customHeight="1" x14ac:dyDescent="0.3">
      <c r="A1200" s="2"/>
      <c r="B1200" s="65" t="str">
        <f>IF($D1200="","","T"&amp;TEXT(ROW()-6,"00000"))</f>
        <v/>
      </c>
      <c r="C1200" s="65" t="str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61"/>
      <c r="E1200" s="66"/>
      <c r="F1200" s="67"/>
      <c r="G1200" s="60"/>
      <c r="H1200" s="60"/>
      <c r="I1200" s="61"/>
      <c r="J1200" s="61"/>
      <c r="K1200" s="61"/>
      <c r="L1200" s="73" t="str">
        <f>IF($E1200="","",DATE(YEAR($E1200),MONTH($E1200),1))</f>
        <v/>
      </c>
      <c r="M1200" s="65" t="str">
        <f ca="1">IF($D1200="","",IF($C1200="TANIMSIZ MÜŞTERİ","HATA",IF(OR($E1200="",$F1200&lt;=0,$G1200=""),"EKSİK",IF($E1200&gt;TODAY(),"İLERİ TARİH",IF(COUNTIF($S$7:$S$2503,$S1200)&gt;1,"MÜKERRER?",IF($T1200&gt;0,"KAPALI DÖNEM","UYGUN"))))))</f>
        <v/>
      </c>
      <c r="N1200" s="74" t="str">
        <f>IF($C1200="","",IF($C1200="TANIMSIZ MÜŞTERİ","—",INDEX(MUSTERILER!$C$7:$C$156,MATCH($C1200,MUSTERILER!$B$7:$B$156,0))))</f>
        <v/>
      </c>
      <c r="O1200" s="2"/>
      <c r="P1200" s="2"/>
      <c r="Q1200" s="1" t="str">
        <f>IF($D1200="","",$C1200&amp;"|"&amp;COUNTIFS($C$7:$C1200,$C1200))</f>
        <v/>
      </c>
      <c r="R1200" s="1" t="str">
        <f t="shared" si="36"/>
        <v/>
      </c>
      <c r="S1200" s="1" t="str">
        <f t="shared" si="37"/>
        <v/>
      </c>
      <c r="T1200" s="1">
        <f>IF($E1200="",0,SUMPRODUCT((AY_SONU!$O$7:$O$42="Evet")*(AY_SONU!$B$7:$B$42=DATE(YEAR($E1200),MONTH($E1200),1))))</f>
        <v>0</v>
      </c>
      <c r="U1200" s="1" t="str">
        <f>IF(OR($G1200="",$H1200="Mahsup"),"",$G1200&amp;"|"&amp;COUNTIFS($G$7:$G1200,$G1200,$H$7:$H1200,"&lt;&gt;Mahsup"))</f>
        <v/>
      </c>
    </row>
    <row r="1201" spans="1:21" ht="18" customHeight="1" x14ac:dyDescent="0.3">
      <c r="A1201" s="2"/>
      <c r="B1201" s="65" t="str">
        <f>IF($D1201="","","T"&amp;TEXT(ROW()-6,"00000"))</f>
        <v/>
      </c>
      <c r="C1201" s="65" t="str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61"/>
      <c r="E1201" s="66"/>
      <c r="F1201" s="67"/>
      <c r="G1201" s="60"/>
      <c r="H1201" s="60"/>
      <c r="I1201" s="61"/>
      <c r="J1201" s="61"/>
      <c r="K1201" s="61"/>
      <c r="L1201" s="73" t="str">
        <f>IF($E1201="","",DATE(YEAR($E1201),MONTH($E1201),1))</f>
        <v/>
      </c>
      <c r="M1201" s="65" t="str">
        <f ca="1">IF($D1201="","",IF($C1201="TANIMSIZ MÜŞTERİ","HATA",IF(OR($E1201="",$F1201&lt;=0,$G1201=""),"EKSİK",IF($E1201&gt;TODAY(),"İLERİ TARİH",IF(COUNTIF($S$7:$S$2503,$S1201)&gt;1,"MÜKERRER?",IF($T1201&gt;0,"KAPALI DÖNEM","UYGUN"))))))</f>
        <v/>
      </c>
      <c r="N1201" s="74" t="str">
        <f>IF($C1201="","",IF($C1201="TANIMSIZ MÜŞTERİ","—",INDEX(MUSTERILER!$C$7:$C$156,MATCH($C1201,MUSTERILER!$B$7:$B$156,0))))</f>
        <v/>
      </c>
      <c r="O1201" s="2"/>
      <c r="P1201" s="2"/>
      <c r="Q1201" s="1" t="str">
        <f>IF($D1201="","",$C1201&amp;"|"&amp;COUNTIFS($C$7:$C1201,$C1201))</f>
        <v/>
      </c>
      <c r="R1201" s="1" t="str">
        <f t="shared" si="36"/>
        <v/>
      </c>
      <c r="S1201" s="1" t="str">
        <f t="shared" si="37"/>
        <v/>
      </c>
      <c r="T1201" s="1">
        <f>IF($E1201="",0,SUMPRODUCT((AY_SONU!$O$7:$O$42="Evet")*(AY_SONU!$B$7:$B$42=DATE(YEAR($E1201),MONTH($E1201),1))))</f>
        <v>0</v>
      </c>
      <c r="U1201" s="1" t="str">
        <f>IF(OR($G1201="",$H1201="Mahsup"),"",$G1201&amp;"|"&amp;COUNTIFS($G$7:$G1201,$G1201,$H$7:$H1201,"&lt;&gt;Mahsup"))</f>
        <v/>
      </c>
    </row>
    <row r="1202" spans="1:21" ht="18" customHeight="1" x14ac:dyDescent="0.3">
      <c r="A1202" s="2"/>
      <c r="B1202" s="65" t="str">
        <f>IF($D1202="","","T"&amp;TEXT(ROW()-6,"00000"))</f>
        <v/>
      </c>
      <c r="C1202" s="65" t="str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61"/>
      <c r="E1202" s="66"/>
      <c r="F1202" s="67"/>
      <c r="G1202" s="60"/>
      <c r="H1202" s="60"/>
      <c r="I1202" s="61"/>
      <c r="J1202" s="61"/>
      <c r="K1202" s="61"/>
      <c r="L1202" s="73" t="str">
        <f>IF($E1202="","",DATE(YEAR($E1202),MONTH($E1202),1))</f>
        <v/>
      </c>
      <c r="M1202" s="65" t="str">
        <f ca="1">IF($D1202="","",IF($C1202="TANIMSIZ MÜŞTERİ","HATA",IF(OR($E1202="",$F1202&lt;=0,$G1202=""),"EKSİK",IF($E1202&gt;TODAY(),"İLERİ TARİH",IF(COUNTIF($S$7:$S$2503,$S1202)&gt;1,"MÜKERRER?",IF($T1202&gt;0,"KAPALI DÖNEM","UYGUN"))))))</f>
        <v/>
      </c>
      <c r="N1202" s="74" t="str">
        <f>IF($C1202="","",IF($C1202="TANIMSIZ MÜŞTERİ","—",INDEX(MUSTERILER!$C$7:$C$156,MATCH($C1202,MUSTERILER!$B$7:$B$156,0))))</f>
        <v/>
      </c>
      <c r="O1202" s="2"/>
      <c r="P1202" s="2"/>
      <c r="Q1202" s="1" t="str">
        <f>IF($D1202="","",$C1202&amp;"|"&amp;COUNTIFS($C$7:$C1202,$C1202))</f>
        <v/>
      </c>
      <c r="R1202" s="1" t="str">
        <f t="shared" si="36"/>
        <v/>
      </c>
      <c r="S1202" s="1" t="str">
        <f t="shared" si="37"/>
        <v/>
      </c>
      <c r="T1202" s="1">
        <f>IF($E1202="",0,SUMPRODUCT((AY_SONU!$O$7:$O$42="Evet")*(AY_SONU!$B$7:$B$42=DATE(YEAR($E1202),MONTH($E1202),1))))</f>
        <v>0</v>
      </c>
      <c r="U1202" s="1" t="str">
        <f>IF(OR($G1202="",$H1202="Mahsup"),"",$G1202&amp;"|"&amp;COUNTIFS($G$7:$G1202,$G1202,$H$7:$H1202,"&lt;&gt;Mahsup"))</f>
        <v/>
      </c>
    </row>
    <row r="1203" spans="1:21" ht="18" customHeight="1" x14ac:dyDescent="0.3">
      <c r="A1203" s="2"/>
      <c r="B1203" s="65" t="str">
        <f>IF($D1203="","","T"&amp;TEXT(ROW()-6,"00000"))</f>
        <v/>
      </c>
      <c r="C1203" s="65" t="str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61"/>
      <c r="E1203" s="66"/>
      <c r="F1203" s="67"/>
      <c r="G1203" s="60"/>
      <c r="H1203" s="60"/>
      <c r="I1203" s="61"/>
      <c r="J1203" s="61"/>
      <c r="K1203" s="61"/>
      <c r="L1203" s="73" t="str">
        <f>IF($E1203="","",DATE(YEAR($E1203),MONTH($E1203),1))</f>
        <v/>
      </c>
      <c r="M1203" s="65" t="str">
        <f ca="1">IF($D1203="","",IF($C1203="TANIMSIZ MÜŞTERİ","HATA",IF(OR($E1203="",$F1203&lt;=0,$G1203=""),"EKSİK",IF($E1203&gt;TODAY(),"İLERİ TARİH",IF(COUNTIF($S$7:$S$2503,$S1203)&gt;1,"MÜKERRER?",IF($T1203&gt;0,"KAPALI DÖNEM","UYGUN"))))))</f>
        <v/>
      </c>
      <c r="N1203" s="74" t="str">
        <f>IF($C1203="","",IF($C1203="TANIMSIZ MÜŞTERİ","—",INDEX(MUSTERILER!$C$7:$C$156,MATCH($C1203,MUSTERILER!$B$7:$B$156,0))))</f>
        <v/>
      </c>
      <c r="O1203" s="2"/>
      <c r="P1203" s="2"/>
      <c r="Q1203" s="1" t="str">
        <f>IF($D1203="","",$C1203&amp;"|"&amp;COUNTIFS($C$7:$C1203,$C1203))</f>
        <v/>
      </c>
      <c r="R1203" s="1" t="str">
        <f t="shared" si="36"/>
        <v/>
      </c>
      <c r="S1203" s="1" t="str">
        <f t="shared" si="37"/>
        <v/>
      </c>
      <c r="T1203" s="1">
        <f>IF($E1203="",0,SUMPRODUCT((AY_SONU!$O$7:$O$42="Evet")*(AY_SONU!$B$7:$B$42=DATE(YEAR($E1203),MONTH($E1203),1))))</f>
        <v>0</v>
      </c>
      <c r="U1203" s="1" t="str">
        <f>IF(OR($G1203="",$H1203="Mahsup"),"",$G1203&amp;"|"&amp;COUNTIFS($G$7:$G1203,$G1203,$H$7:$H1203,"&lt;&gt;Mahsup"))</f>
        <v/>
      </c>
    </row>
    <row r="1204" spans="1:21" ht="18" customHeight="1" x14ac:dyDescent="0.3">
      <c r="A1204" s="2"/>
      <c r="B1204" s="65" t="str">
        <f>IF($D1204="","","T"&amp;TEXT(ROW()-6,"00000"))</f>
        <v/>
      </c>
      <c r="C1204" s="65" t="str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61"/>
      <c r="E1204" s="66"/>
      <c r="F1204" s="67"/>
      <c r="G1204" s="60"/>
      <c r="H1204" s="60"/>
      <c r="I1204" s="61"/>
      <c r="J1204" s="61"/>
      <c r="K1204" s="61"/>
      <c r="L1204" s="73" t="str">
        <f>IF($E1204="","",DATE(YEAR($E1204),MONTH($E1204),1))</f>
        <v/>
      </c>
      <c r="M1204" s="65" t="str">
        <f ca="1">IF($D1204="","",IF($C1204="TANIMSIZ MÜŞTERİ","HATA",IF(OR($E1204="",$F1204&lt;=0,$G1204=""),"EKSİK",IF($E1204&gt;TODAY(),"İLERİ TARİH",IF(COUNTIF($S$7:$S$2503,$S1204)&gt;1,"MÜKERRER?",IF($T1204&gt;0,"KAPALI DÖNEM","UYGUN"))))))</f>
        <v/>
      </c>
      <c r="N1204" s="74" t="str">
        <f>IF($C1204="","",IF($C1204="TANIMSIZ MÜŞTERİ","—",INDEX(MUSTERILER!$C$7:$C$156,MATCH($C1204,MUSTERILER!$B$7:$B$156,0))))</f>
        <v/>
      </c>
      <c r="O1204" s="2"/>
      <c r="P1204" s="2"/>
      <c r="Q1204" s="1" t="str">
        <f>IF($D1204="","",$C1204&amp;"|"&amp;COUNTIFS($C$7:$C1204,$C1204))</f>
        <v/>
      </c>
      <c r="R1204" s="1" t="str">
        <f t="shared" si="36"/>
        <v/>
      </c>
      <c r="S1204" s="1" t="str">
        <f t="shared" si="37"/>
        <v/>
      </c>
      <c r="T1204" s="1">
        <f>IF($E1204="",0,SUMPRODUCT((AY_SONU!$O$7:$O$42="Evet")*(AY_SONU!$B$7:$B$42=DATE(YEAR($E1204),MONTH($E1204),1))))</f>
        <v>0</v>
      </c>
      <c r="U1204" s="1" t="str">
        <f>IF(OR($G1204="",$H1204="Mahsup"),"",$G1204&amp;"|"&amp;COUNTIFS($G$7:$G1204,$G1204,$H$7:$H1204,"&lt;&gt;Mahsup"))</f>
        <v/>
      </c>
    </row>
    <row r="1205" spans="1:21" ht="18" customHeight="1" x14ac:dyDescent="0.3">
      <c r="A1205" s="2"/>
      <c r="B1205" s="65" t="str">
        <f>IF($D1205="","","T"&amp;TEXT(ROW()-6,"00000"))</f>
        <v/>
      </c>
      <c r="C1205" s="65" t="str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61"/>
      <c r="E1205" s="66"/>
      <c r="F1205" s="67"/>
      <c r="G1205" s="60"/>
      <c r="H1205" s="60"/>
      <c r="I1205" s="61"/>
      <c r="J1205" s="61"/>
      <c r="K1205" s="61"/>
      <c r="L1205" s="73" t="str">
        <f>IF($E1205="","",DATE(YEAR($E1205),MONTH($E1205),1))</f>
        <v/>
      </c>
      <c r="M1205" s="65" t="str">
        <f ca="1">IF($D1205="","",IF($C1205="TANIMSIZ MÜŞTERİ","HATA",IF(OR($E1205="",$F1205&lt;=0,$G1205=""),"EKSİK",IF($E1205&gt;TODAY(),"İLERİ TARİH",IF(COUNTIF($S$7:$S$2503,$S1205)&gt;1,"MÜKERRER?",IF($T1205&gt;0,"KAPALI DÖNEM","UYGUN"))))))</f>
        <v/>
      </c>
      <c r="N1205" s="74" t="str">
        <f>IF($C1205="","",IF($C1205="TANIMSIZ MÜŞTERİ","—",INDEX(MUSTERILER!$C$7:$C$156,MATCH($C1205,MUSTERILER!$B$7:$B$156,0))))</f>
        <v/>
      </c>
      <c r="O1205" s="2"/>
      <c r="P1205" s="2"/>
      <c r="Q1205" s="1" t="str">
        <f>IF($D1205="","",$C1205&amp;"|"&amp;COUNTIFS($C$7:$C1205,$C1205))</f>
        <v/>
      </c>
      <c r="R1205" s="1" t="str">
        <f t="shared" si="36"/>
        <v/>
      </c>
      <c r="S1205" s="1" t="str">
        <f t="shared" si="37"/>
        <v/>
      </c>
      <c r="T1205" s="1">
        <f>IF($E1205="",0,SUMPRODUCT((AY_SONU!$O$7:$O$42="Evet")*(AY_SONU!$B$7:$B$42=DATE(YEAR($E1205),MONTH($E1205),1))))</f>
        <v>0</v>
      </c>
      <c r="U1205" s="1" t="str">
        <f>IF(OR($G1205="",$H1205="Mahsup"),"",$G1205&amp;"|"&amp;COUNTIFS($G$7:$G1205,$G1205,$H$7:$H1205,"&lt;&gt;Mahsup"))</f>
        <v/>
      </c>
    </row>
    <row r="1206" spans="1:21" ht="18" customHeight="1" x14ac:dyDescent="0.3">
      <c r="A1206" s="2"/>
      <c r="B1206" s="65" t="str">
        <f>IF($D1206="","","T"&amp;TEXT(ROW()-6,"00000"))</f>
        <v/>
      </c>
      <c r="C1206" s="65" t="str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61"/>
      <c r="E1206" s="66"/>
      <c r="F1206" s="67"/>
      <c r="G1206" s="60"/>
      <c r="H1206" s="60"/>
      <c r="I1206" s="61"/>
      <c r="J1206" s="61"/>
      <c r="K1206" s="61"/>
      <c r="L1206" s="73" t="str">
        <f>IF($E1206="","",DATE(YEAR($E1206),MONTH($E1206),1))</f>
        <v/>
      </c>
      <c r="M1206" s="65" t="str">
        <f ca="1">IF($D1206="","",IF($C1206="TANIMSIZ MÜŞTERİ","HATA",IF(OR($E1206="",$F1206&lt;=0,$G1206=""),"EKSİK",IF($E1206&gt;TODAY(),"İLERİ TARİH",IF(COUNTIF($S$7:$S$2503,$S1206)&gt;1,"MÜKERRER?",IF($T1206&gt;0,"KAPALI DÖNEM","UYGUN"))))))</f>
        <v/>
      </c>
      <c r="N1206" s="74" t="str">
        <f>IF($C1206="","",IF($C1206="TANIMSIZ MÜŞTERİ","—",INDEX(MUSTERILER!$C$7:$C$156,MATCH($C1206,MUSTERILER!$B$7:$B$156,0))))</f>
        <v/>
      </c>
      <c r="O1206" s="2"/>
      <c r="P1206" s="2"/>
      <c r="Q1206" s="1" t="str">
        <f>IF($D1206="","",$C1206&amp;"|"&amp;COUNTIFS($C$7:$C1206,$C1206))</f>
        <v/>
      </c>
      <c r="R1206" s="1" t="str">
        <f t="shared" si="36"/>
        <v/>
      </c>
      <c r="S1206" s="1" t="str">
        <f t="shared" si="37"/>
        <v/>
      </c>
      <c r="T1206" s="1">
        <f>IF($E1206="",0,SUMPRODUCT((AY_SONU!$O$7:$O$42="Evet")*(AY_SONU!$B$7:$B$42=DATE(YEAR($E1206),MONTH($E1206),1))))</f>
        <v>0</v>
      </c>
      <c r="U1206" s="1" t="str">
        <f>IF(OR($G1206="",$H1206="Mahsup"),"",$G1206&amp;"|"&amp;COUNTIFS($G$7:$G1206,$G1206,$H$7:$H1206,"&lt;&gt;Mahsup"))</f>
        <v/>
      </c>
    </row>
    <row r="1207" spans="1:21" ht="18" customHeight="1" x14ac:dyDescent="0.3">
      <c r="A1207" s="2"/>
      <c r="B1207" s="65" t="str">
        <f>IF($D1207="","","T"&amp;TEXT(ROW()-6,"00000"))</f>
        <v/>
      </c>
      <c r="C1207" s="65" t="str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61"/>
      <c r="E1207" s="66"/>
      <c r="F1207" s="67"/>
      <c r="G1207" s="60"/>
      <c r="H1207" s="60"/>
      <c r="I1207" s="61"/>
      <c r="J1207" s="61"/>
      <c r="K1207" s="61"/>
      <c r="L1207" s="73" t="str">
        <f>IF($E1207="","",DATE(YEAR($E1207),MONTH($E1207),1))</f>
        <v/>
      </c>
      <c r="M1207" s="65" t="str">
        <f ca="1">IF($D1207="","",IF($C1207="TANIMSIZ MÜŞTERİ","HATA",IF(OR($E1207="",$F1207&lt;=0,$G1207=""),"EKSİK",IF($E1207&gt;TODAY(),"İLERİ TARİH",IF(COUNTIF($S$7:$S$2503,$S1207)&gt;1,"MÜKERRER?",IF($T1207&gt;0,"KAPALI DÖNEM","UYGUN"))))))</f>
        <v/>
      </c>
      <c r="N1207" s="74" t="str">
        <f>IF($C1207="","",IF($C1207="TANIMSIZ MÜŞTERİ","—",INDEX(MUSTERILER!$C$7:$C$156,MATCH($C1207,MUSTERILER!$B$7:$B$156,0))))</f>
        <v/>
      </c>
      <c r="O1207" s="2"/>
      <c r="P1207" s="2"/>
      <c r="Q1207" s="1" t="str">
        <f>IF($D1207="","",$C1207&amp;"|"&amp;COUNTIFS($C$7:$C1207,$C1207))</f>
        <v/>
      </c>
      <c r="R1207" s="1" t="str">
        <f t="shared" si="36"/>
        <v/>
      </c>
      <c r="S1207" s="1" t="str">
        <f t="shared" si="37"/>
        <v/>
      </c>
      <c r="T1207" s="1">
        <f>IF($E1207="",0,SUMPRODUCT((AY_SONU!$O$7:$O$42="Evet")*(AY_SONU!$B$7:$B$42=DATE(YEAR($E1207),MONTH($E1207),1))))</f>
        <v>0</v>
      </c>
      <c r="U1207" s="1" t="str">
        <f>IF(OR($G1207="",$H1207="Mahsup"),"",$G1207&amp;"|"&amp;COUNTIFS($G$7:$G1207,$G1207,$H$7:$H1207,"&lt;&gt;Mahsup"))</f>
        <v/>
      </c>
    </row>
    <row r="1208" spans="1:21" ht="18" customHeight="1" x14ac:dyDescent="0.3">
      <c r="A1208" s="2"/>
      <c r="B1208" s="65" t="str">
        <f>IF($D1208="","","T"&amp;TEXT(ROW()-6,"00000"))</f>
        <v/>
      </c>
      <c r="C1208" s="65" t="str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61"/>
      <c r="E1208" s="66"/>
      <c r="F1208" s="67"/>
      <c r="G1208" s="60"/>
      <c r="H1208" s="60"/>
      <c r="I1208" s="61"/>
      <c r="J1208" s="61"/>
      <c r="K1208" s="61"/>
      <c r="L1208" s="73" t="str">
        <f>IF($E1208="","",DATE(YEAR($E1208),MONTH($E1208),1))</f>
        <v/>
      </c>
      <c r="M1208" s="65" t="str">
        <f ca="1">IF($D1208="","",IF($C1208="TANIMSIZ MÜŞTERİ","HATA",IF(OR($E1208="",$F1208&lt;=0,$G1208=""),"EKSİK",IF($E1208&gt;TODAY(),"İLERİ TARİH",IF(COUNTIF($S$7:$S$2503,$S1208)&gt;1,"MÜKERRER?",IF($T1208&gt;0,"KAPALI DÖNEM","UYGUN"))))))</f>
        <v/>
      </c>
      <c r="N1208" s="74" t="str">
        <f>IF($C1208="","",IF($C1208="TANIMSIZ MÜŞTERİ","—",INDEX(MUSTERILER!$C$7:$C$156,MATCH($C1208,MUSTERILER!$B$7:$B$156,0))))</f>
        <v/>
      </c>
      <c r="O1208" s="2"/>
      <c r="P1208" s="2"/>
      <c r="Q1208" s="1" t="str">
        <f>IF($D1208="","",$C1208&amp;"|"&amp;COUNTIFS($C$7:$C1208,$C1208))</f>
        <v/>
      </c>
      <c r="R1208" s="1" t="str">
        <f t="shared" si="36"/>
        <v/>
      </c>
      <c r="S1208" s="1" t="str">
        <f t="shared" si="37"/>
        <v/>
      </c>
      <c r="T1208" s="1">
        <f>IF($E1208="",0,SUMPRODUCT((AY_SONU!$O$7:$O$42="Evet")*(AY_SONU!$B$7:$B$42=DATE(YEAR($E1208),MONTH($E1208),1))))</f>
        <v>0</v>
      </c>
      <c r="U1208" s="1" t="str">
        <f>IF(OR($G1208="",$H1208="Mahsup"),"",$G1208&amp;"|"&amp;COUNTIFS($G$7:$G1208,$G1208,$H$7:$H1208,"&lt;&gt;Mahsup"))</f>
        <v/>
      </c>
    </row>
    <row r="1209" spans="1:21" ht="18" customHeight="1" x14ac:dyDescent="0.3">
      <c r="A1209" s="2"/>
      <c r="B1209" s="65" t="str">
        <f>IF($D1209="","","T"&amp;TEXT(ROW()-6,"00000"))</f>
        <v/>
      </c>
      <c r="C1209" s="65" t="str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61"/>
      <c r="E1209" s="66"/>
      <c r="F1209" s="67"/>
      <c r="G1209" s="60"/>
      <c r="H1209" s="60"/>
      <c r="I1209" s="61"/>
      <c r="J1209" s="61"/>
      <c r="K1209" s="61"/>
      <c r="L1209" s="73" t="str">
        <f>IF($E1209="","",DATE(YEAR($E1209),MONTH($E1209),1))</f>
        <v/>
      </c>
      <c r="M1209" s="65" t="str">
        <f ca="1">IF($D1209="","",IF($C1209="TANIMSIZ MÜŞTERİ","HATA",IF(OR($E1209="",$F1209&lt;=0,$G1209=""),"EKSİK",IF($E1209&gt;TODAY(),"İLERİ TARİH",IF(COUNTIF($S$7:$S$2503,$S1209)&gt;1,"MÜKERRER?",IF($T1209&gt;0,"KAPALI DÖNEM","UYGUN"))))))</f>
        <v/>
      </c>
      <c r="N1209" s="74" t="str">
        <f>IF($C1209="","",IF($C1209="TANIMSIZ MÜŞTERİ","—",INDEX(MUSTERILER!$C$7:$C$156,MATCH($C1209,MUSTERILER!$B$7:$B$156,0))))</f>
        <v/>
      </c>
      <c r="O1209" s="2"/>
      <c r="P1209" s="2"/>
      <c r="Q1209" s="1" t="str">
        <f>IF($D1209="","",$C1209&amp;"|"&amp;COUNTIFS($C$7:$C1209,$C1209))</f>
        <v/>
      </c>
      <c r="R1209" s="1" t="str">
        <f t="shared" si="36"/>
        <v/>
      </c>
      <c r="S1209" s="1" t="str">
        <f t="shared" si="37"/>
        <v/>
      </c>
      <c r="T1209" s="1">
        <f>IF($E1209="",0,SUMPRODUCT((AY_SONU!$O$7:$O$42="Evet")*(AY_SONU!$B$7:$B$42=DATE(YEAR($E1209),MONTH($E1209),1))))</f>
        <v>0</v>
      </c>
      <c r="U1209" s="1" t="str">
        <f>IF(OR($G1209="",$H1209="Mahsup"),"",$G1209&amp;"|"&amp;COUNTIFS($G$7:$G1209,$G1209,$H$7:$H1209,"&lt;&gt;Mahsup"))</f>
        <v/>
      </c>
    </row>
    <row r="1210" spans="1:21" ht="18" customHeight="1" x14ac:dyDescent="0.3">
      <c r="A1210" s="2"/>
      <c r="B1210" s="65" t="str">
        <f>IF($D1210="","","T"&amp;TEXT(ROW()-6,"00000"))</f>
        <v/>
      </c>
      <c r="C1210" s="65" t="str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61"/>
      <c r="E1210" s="66"/>
      <c r="F1210" s="67"/>
      <c r="G1210" s="60"/>
      <c r="H1210" s="60"/>
      <c r="I1210" s="61"/>
      <c r="J1210" s="61"/>
      <c r="K1210" s="61"/>
      <c r="L1210" s="73" t="str">
        <f>IF($E1210="","",DATE(YEAR($E1210),MONTH($E1210),1))</f>
        <v/>
      </c>
      <c r="M1210" s="65" t="str">
        <f ca="1">IF($D1210="","",IF($C1210="TANIMSIZ MÜŞTERİ","HATA",IF(OR($E1210="",$F1210&lt;=0,$G1210=""),"EKSİK",IF($E1210&gt;TODAY(),"İLERİ TARİH",IF(COUNTIF($S$7:$S$2503,$S1210)&gt;1,"MÜKERRER?",IF($T1210&gt;0,"KAPALI DÖNEM","UYGUN"))))))</f>
        <v/>
      </c>
      <c r="N1210" s="74" t="str">
        <f>IF($C1210="","",IF($C1210="TANIMSIZ MÜŞTERİ","—",INDEX(MUSTERILER!$C$7:$C$156,MATCH($C1210,MUSTERILER!$B$7:$B$156,0))))</f>
        <v/>
      </c>
      <c r="O1210" s="2"/>
      <c r="P1210" s="2"/>
      <c r="Q1210" s="1" t="str">
        <f>IF($D1210="","",$C1210&amp;"|"&amp;COUNTIFS($C$7:$C1210,$C1210))</f>
        <v/>
      </c>
      <c r="R1210" s="1" t="str">
        <f t="shared" si="36"/>
        <v/>
      </c>
      <c r="S1210" s="1" t="str">
        <f t="shared" si="37"/>
        <v/>
      </c>
      <c r="T1210" s="1">
        <f>IF($E1210="",0,SUMPRODUCT((AY_SONU!$O$7:$O$42="Evet")*(AY_SONU!$B$7:$B$42=DATE(YEAR($E1210),MONTH($E1210),1))))</f>
        <v>0</v>
      </c>
      <c r="U1210" s="1" t="str">
        <f>IF(OR($G1210="",$H1210="Mahsup"),"",$G1210&amp;"|"&amp;COUNTIFS($G$7:$G1210,$G1210,$H$7:$H1210,"&lt;&gt;Mahsup"))</f>
        <v/>
      </c>
    </row>
    <row r="1211" spans="1:21" ht="18" customHeight="1" x14ac:dyDescent="0.3">
      <c r="A1211" s="2"/>
      <c r="B1211" s="65" t="str">
        <f>IF($D1211="","","T"&amp;TEXT(ROW()-6,"00000"))</f>
        <v/>
      </c>
      <c r="C1211" s="65" t="str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61"/>
      <c r="E1211" s="66"/>
      <c r="F1211" s="67"/>
      <c r="G1211" s="60"/>
      <c r="H1211" s="60"/>
      <c r="I1211" s="61"/>
      <c r="J1211" s="61"/>
      <c r="K1211" s="61"/>
      <c r="L1211" s="73" t="str">
        <f>IF($E1211="","",DATE(YEAR($E1211),MONTH($E1211),1))</f>
        <v/>
      </c>
      <c r="M1211" s="65" t="str">
        <f ca="1">IF($D1211="","",IF($C1211="TANIMSIZ MÜŞTERİ","HATA",IF(OR($E1211="",$F1211&lt;=0,$G1211=""),"EKSİK",IF($E1211&gt;TODAY(),"İLERİ TARİH",IF(COUNTIF($S$7:$S$2503,$S1211)&gt;1,"MÜKERRER?",IF($T1211&gt;0,"KAPALI DÖNEM","UYGUN"))))))</f>
        <v/>
      </c>
      <c r="N1211" s="74" t="str">
        <f>IF($C1211="","",IF($C1211="TANIMSIZ MÜŞTERİ","—",INDEX(MUSTERILER!$C$7:$C$156,MATCH($C1211,MUSTERILER!$B$7:$B$156,0))))</f>
        <v/>
      </c>
      <c r="O1211" s="2"/>
      <c r="P1211" s="2"/>
      <c r="Q1211" s="1" t="str">
        <f>IF($D1211="","",$C1211&amp;"|"&amp;COUNTIFS($C$7:$C1211,$C1211))</f>
        <v/>
      </c>
      <c r="R1211" s="1" t="str">
        <f t="shared" si="36"/>
        <v/>
      </c>
      <c r="S1211" s="1" t="str">
        <f t="shared" si="37"/>
        <v/>
      </c>
      <c r="T1211" s="1">
        <f>IF($E1211="",0,SUMPRODUCT((AY_SONU!$O$7:$O$42="Evet")*(AY_SONU!$B$7:$B$42=DATE(YEAR($E1211),MONTH($E1211),1))))</f>
        <v>0</v>
      </c>
      <c r="U1211" s="1" t="str">
        <f>IF(OR($G1211="",$H1211="Mahsup"),"",$G1211&amp;"|"&amp;COUNTIFS($G$7:$G1211,$G1211,$H$7:$H1211,"&lt;&gt;Mahsup"))</f>
        <v/>
      </c>
    </row>
    <row r="1212" spans="1:21" ht="18" customHeight="1" x14ac:dyDescent="0.3">
      <c r="A1212" s="2"/>
      <c r="B1212" s="65" t="str">
        <f>IF($D1212="","","T"&amp;TEXT(ROW()-6,"00000"))</f>
        <v/>
      </c>
      <c r="C1212" s="65" t="str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61"/>
      <c r="E1212" s="66"/>
      <c r="F1212" s="67"/>
      <c r="G1212" s="60"/>
      <c r="H1212" s="60"/>
      <c r="I1212" s="61"/>
      <c r="J1212" s="61"/>
      <c r="K1212" s="61"/>
      <c r="L1212" s="73" t="str">
        <f>IF($E1212="","",DATE(YEAR($E1212),MONTH($E1212),1))</f>
        <v/>
      </c>
      <c r="M1212" s="65" t="str">
        <f ca="1">IF($D1212="","",IF($C1212="TANIMSIZ MÜŞTERİ","HATA",IF(OR($E1212="",$F1212&lt;=0,$G1212=""),"EKSİK",IF($E1212&gt;TODAY(),"İLERİ TARİH",IF(COUNTIF($S$7:$S$2503,$S1212)&gt;1,"MÜKERRER?",IF($T1212&gt;0,"KAPALI DÖNEM","UYGUN"))))))</f>
        <v/>
      </c>
      <c r="N1212" s="74" t="str">
        <f>IF($C1212="","",IF($C1212="TANIMSIZ MÜŞTERİ","—",INDEX(MUSTERILER!$C$7:$C$156,MATCH($C1212,MUSTERILER!$B$7:$B$156,0))))</f>
        <v/>
      </c>
      <c r="O1212" s="2"/>
      <c r="P1212" s="2"/>
      <c r="Q1212" s="1" t="str">
        <f>IF($D1212="","",$C1212&amp;"|"&amp;COUNTIFS($C$7:$C1212,$C1212))</f>
        <v/>
      </c>
      <c r="R1212" s="1" t="str">
        <f t="shared" si="36"/>
        <v/>
      </c>
      <c r="S1212" s="1" t="str">
        <f t="shared" si="37"/>
        <v/>
      </c>
      <c r="T1212" s="1">
        <f>IF($E1212="",0,SUMPRODUCT((AY_SONU!$O$7:$O$42="Evet")*(AY_SONU!$B$7:$B$42=DATE(YEAR($E1212),MONTH($E1212),1))))</f>
        <v>0</v>
      </c>
      <c r="U1212" s="1" t="str">
        <f>IF(OR($G1212="",$H1212="Mahsup"),"",$G1212&amp;"|"&amp;COUNTIFS($G$7:$G1212,$G1212,$H$7:$H1212,"&lt;&gt;Mahsup"))</f>
        <v/>
      </c>
    </row>
    <row r="1213" spans="1:21" ht="18" customHeight="1" x14ac:dyDescent="0.3">
      <c r="A1213" s="2"/>
      <c r="B1213" s="65" t="str">
        <f>IF($D1213="","","T"&amp;TEXT(ROW()-6,"00000"))</f>
        <v/>
      </c>
      <c r="C1213" s="65" t="str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61"/>
      <c r="E1213" s="66"/>
      <c r="F1213" s="67"/>
      <c r="G1213" s="60"/>
      <c r="H1213" s="60"/>
      <c r="I1213" s="61"/>
      <c r="J1213" s="61"/>
      <c r="K1213" s="61"/>
      <c r="L1213" s="73" t="str">
        <f>IF($E1213="","",DATE(YEAR($E1213),MONTH($E1213),1))</f>
        <v/>
      </c>
      <c r="M1213" s="65" t="str">
        <f ca="1">IF($D1213="","",IF($C1213="TANIMSIZ MÜŞTERİ","HATA",IF(OR($E1213="",$F1213&lt;=0,$G1213=""),"EKSİK",IF($E1213&gt;TODAY(),"İLERİ TARİH",IF(COUNTIF($S$7:$S$2503,$S1213)&gt;1,"MÜKERRER?",IF($T1213&gt;0,"KAPALI DÖNEM","UYGUN"))))))</f>
        <v/>
      </c>
      <c r="N1213" s="74" t="str">
        <f>IF($C1213="","",IF($C1213="TANIMSIZ MÜŞTERİ","—",INDEX(MUSTERILER!$C$7:$C$156,MATCH($C1213,MUSTERILER!$B$7:$B$156,0))))</f>
        <v/>
      </c>
      <c r="O1213" s="2"/>
      <c r="P1213" s="2"/>
      <c r="Q1213" s="1" t="str">
        <f>IF($D1213="","",$C1213&amp;"|"&amp;COUNTIFS($C$7:$C1213,$C1213))</f>
        <v/>
      </c>
      <c r="R1213" s="1" t="str">
        <f t="shared" si="36"/>
        <v/>
      </c>
      <c r="S1213" s="1" t="str">
        <f t="shared" si="37"/>
        <v/>
      </c>
      <c r="T1213" s="1">
        <f>IF($E1213="",0,SUMPRODUCT((AY_SONU!$O$7:$O$42="Evet")*(AY_SONU!$B$7:$B$42=DATE(YEAR($E1213),MONTH($E1213),1))))</f>
        <v>0</v>
      </c>
      <c r="U1213" s="1" t="str">
        <f>IF(OR($G1213="",$H1213="Mahsup"),"",$G1213&amp;"|"&amp;COUNTIFS($G$7:$G1213,$G1213,$H$7:$H1213,"&lt;&gt;Mahsup"))</f>
        <v/>
      </c>
    </row>
    <row r="1214" spans="1:21" ht="18" customHeight="1" x14ac:dyDescent="0.3">
      <c r="A1214" s="2"/>
      <c r="B1214" s="65" t="str">
        <f>IF($D1214="","","T"&amp;TEXT(ROW()-6,"00000"))</f>
        <v/>
      </c>
      <c r="C1214" s="65" t="str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61"/>
      <c r="E1214" s="66"/>
      <c r="F1214" s="67"/>
      <c r="G1214" s="60"/>
      <c r="H1214" s="60"/>
      <c r="I1214" s="61"/>
      <c r="J1214" s="61"/>
      <c r="K1214" s="61"/>
      <c r="L1214" s="73" t="str">
        <f>IF($E1214="","",DATE(YEAR($E1214),MONTH($E1214),1))</f>
        <v/>
      </c>
      <c r="M1214" s="65" t="str">
        <f ca="1">IF($D1214="","",IF($C1214="TANIMSIZ MÜŞTERİ","HATA",IF(OR($E1214="",$F1214&lt;=0,$G1214=""),"EKSİK",IF($E1214&gt;TODAY(),"İLERİ TARİH",IF(COUNTIF($S$7:$S$2503,$S1214)&gt;1,"MÜKERRER?",IF($T1214&gt;0,"KAPALI DÖNEM","UYGUN"))))))</f>
        <v/>
      </c>
      <c r="N1214" s="74" t="str">
        <f>IF($C1214="","",IF($C1214="TANIMSIZ MÜŞTERİ","—",INDEX(MUSTERILER!$C$7:$C$156,MATCH($C1214,MUSTERILER!$B$7:$B$156,0))))</f>
        <v/>
      </c>
      <c r="O1214" s="2"/>
      <c r="P1214" s="2"/>
      <c r="Q1214" s="1" t="str">
        <f>IF($D1214="","",$C1214&amp;"|"&amp;COUNTIFS($C$7:$C1214,$C1214))</f>
        <v/>
      </c>
      <c r="R1214" s="1" t="str">
        <f t="shared" si="36"/>
        <v/>
      </c>
      <c r="S1214" s="1" t="str">
        <f t="shared" si="37"/>
        <v/>
      </c>
      <c r="T1214" s="1">
        <f>IF($E1214="",0,SUMPRODUCT((AY_SONU!$O$7:$O$42="Evet")*(AY_SONU!$B$7:$B$42=DATE(YEAR($E1214),MONTH($E1214),1))))</f>
        <v>0</v>
      </c>
      <c r="U1214" s="1" t="str">
        <f>IF(OR($G1214="",$H1214="Mahsup"),"",$G1214&amp;"|"&amp;COUNTIFS($G$7:$G1214,$G1214,$H$7:$H1214,"&lt;&gt;Mahsup"))</f>
        <v/>
      </c>
    </row>
    <row r="1215" spans="1:21" ht="18" customHeight="1" x14ac:dyDescent="0.3">
      <c r="A1215" s="2"/>
      <c r="B1215" s="65" t="str">
        <f>IF($D1215="","","T"&amp;TEXT(ROW()-6,"00000"))</f>
        <v/>
      </c>
      <c r="C1215" s="65" t="str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61"/>
      <c r="E1215" s="66"/>
      <c r="F1215" s="67"/>
      <c r="G1215" s="60"/>
      <c r="H1215" s="60"/>
      <c r="I1215" s="61"/>
      <c r="J1215" s="61"/>
      <c r="K1215" s="61"/>
      <c r="L1215" s="73" t="str">
        <f>IF($E1215="","",DATE(YEAR($E1215),MONTH($E1215),1))</f>
        <v/>
      </c>
      <c r="M1215" s="65" t="str">
        <f ca="1">IF($D1215="","",IF($C1215="TANIMSIZ MÜŞTERİ","HATA",IF(OR($E1215="",$F1215&lt;=0,$G1215=""),"EKSİK",IF($E1215&gt;TODAY(),"İLERİ TARİH",IF(COUNTIF($S$7:$S$2503,$S1215)&gt;1,"MÜKERRER?",IF($T1215&gt;0,"KAPALI DÖNEM","UYGUN"))))))</f>
        <v/>
      </c>
      <c r="N1215" s="74" t="str">
        <f>IF($C1215="","",IF($C1215="TANIMSIZ MÜŞTERİ","—",INDEX(MUSTERILER!$C$7:$C$156,MATCH($C1215,MUSTERILER!$B$7:$B$156,0))))</f>
        <v/>
      </c>
      <c r="O1215" s="2"/>
      <c r="P1215" s="2"/>
      <c r="Q1215" s="1" t="str">
        <f>IF($D1215="","",$C1215&amp;"|"&amp;COUNTIFS($C$7:$C1215,$C1215))</f>
        <v/>
      </c>
      <c r="R1215" s="1" t="str">
        <f t="shared" si="36"/>
        <v/>
      </c>
      <c r="S1215" s="1" t="str">
        <f t="shared" si="37"/>
        <v/>
      </c>
      <c r="T1215" s="1">
        <f>IF($E1215="",0,SUMPRODUCT((AY_SONU!$O$7:$O$42="Evet")*(AY_SONU!$B$7:$B$42=DATE(YEAR($E1215),MONTH($E1215),1))))</f>
        <v>0</v>
      </c>
      <c r="U1215" s="1" t="str">
        <f>IF(OR($G1215="",$H1215="Mahsup"),"",$G1215&amp;"|"&amp;COUNTIFS($G$7:$G1215,$G1215,$H$7:$H1215,"&lt;&gt;Mahsup"))</f>
        <v/>
      </c>
    </row>
    <row r="1216" spans="1:21" ht="18" customHeight="1" x14ac:dyDescent="0.3">
      <c r="A1216" s="2"/>
      <c r="B1216" s="65" t="str">
        <f>IF($D1216="","","T"&amp;TEXT(ROW()-6,"00000"))</f>
        <v/>
      </c>
      <c r="C1216" s="65" t="str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61"/>
      <c r="E1216" s="66"/>
      <c r="F1216" s="67"/>
      <c r="G1216" s="60"/>
      <c r="H1216" s="60"/>
      <c r="I1216" s="61"/>
      <c r="J1216" s="61"/>
      <c r="K1216" s="61"/>
      <c r="L1216" s="73" t="str">
        <f>IF($E1216="","",DATE(YEAR($E1216),MONTH($E1216),1))</f>
        <v/>
      </c>
      <c r="M1216" s="65" t="str">
        <f ca="1">IF($D1216="","",IF($C1216="TANIMSIZ MÜŞTERİ","HATA",IF(OR($E1216="",$F1216&lt;=0,$G1216=""),"EKSİK",IF($E1216&gt;TODAY(),"İLERİ TARİH",IF(COUNTIF($S$7:$S$2503,$S1216)&gt;1,"MÜKERRER?",IF($T1216&gt;0,"KAPALI DÖNEM","UYGUN"))))))</f>
        <v/>
      </c>
      <c r="N1216" s="74" t="str">
        <f>IF($C1216="","",IF($C1216="TANIMSIZ MÜŞTERİ","—",INDEX(MUSTERILER!$C$7:$C$156,MATCH($C1216,MUSTERILER!$B$7:$B$156,0))))</f>
        <v/>
      </c>
      <c r="O1216" s="2"/>
      <c r="P1216" s="2"/>
      <c r="Q1216" s="1" t="str">
        <f>IF($D1216="","",$C1216&amp;"|"&amp;COUNTIFS($C$7:$C1216,$C1216))</f>
        <v/>
      </c>
      <c r="R1216" s="1" t="str">
        <f t="shared" si="36"/>
        <v/>
      </c>
      <c r="S1216" s="1" t="str">
        <f t="shared" si="37"/>
        <v/>
      </c>
      <c r="T1216" s="1">
        <f>IF($E1216="",0,SUMPRODUCT((AY_SONU!$O$7:$O$42="Evet")*(AY_SONU!$B$7:$B$42=DATE(YEAR($E1216),MONTH($E1216),1))))</f>
        <v>0</v>
      </c>
      <c r="U1216" s="1" t="str">
        <f>IF(OR($G1216="",$H1216="Mahsup"),"",$G1216&amp;"|"&amp;COUNTIFS($G$7:$G1216,$G1216,$H$7:$H1216,"&lt;&gt;Mahsup"))</f>
        <v/>
      </c>
    </row>
    <row r="1217" spans="1:21" ht="18" customHeight="1" x14ac:dyDescent="0.3">
      <c r="A1217" s="2"/>
      <c r="B1217" s="65" t="str">
        <f>IF($D1217="","","T"&amp;TEXT(ROW()-6,"00000"))</f>
        <v/>
      </c>
      <c r="C1217" s="65" t="str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61"/>
      <c r="E1217" s="66"/>
      <c r="F1217" s="67"/>
      <c r="G1217" s="60"/>
      <c r="H1217" s="60"/>
      <c r="I1217" s="61"/>
      <c r="J1217" s="61"/>
      <c r="K1217" s="61"/>
      <c r="L1217" s="73" t="str">
        <f>IF($E1217="","",DATE(YEAR($E1217),MONTH($E1217),1))</f>
        <v/>
      </c>
      <c r="M1217" s="65" t="str">
        <f ca="1">IF($D1217="","",IF($C1217="TANIMSIZ MÜŞTERİ","HATA",IF(OR($E1217="",$F1217&lt;=0,$G1217=""),"EKSİK",IF($E1217&gt;TODAY(),"İLERİ TARİH",IF(COUNTIF($S$7:$S$2503,$S1217)&gt;1,"MÜKERRER?",IF($T1217&gt;0,"KAPALI DÖNEM","UYGUN"))))))</f>
        <v/>
      </c>
      <c r="N1217" s="74" t="str">
        <f>IF($C1217="","",IF($C1217="TANIMSIZ MÜŞTERİ","—",INDEX(MUSTERILER!$C$7:$C$156,MATCH($C1217,MUSTERILER!$B$7:$B$156,0))))</f>
        <v/>
      </c>
      <c r="O1217" s="2"/>
      <c r="P1217" s="2"/>
      <c r="Q1217" s="1" t="str">
        <f>IF($D1217="","",$C1217&amp;"|"&amp;COUNTIFS($C$7:$C1217,$C1217))</f>
        <v/>
      </c>
      <c r="R1217" s="1" t="str">
        <f t="shared" si="36"/>
        <v/>
      </c>
      <c r="S1217" s="1" t="str">
        <f t="shared" si="37"/>
        <v/>
      </c>
      <c r="T1217" s="1">
        <f>IF($E1217="",0,SUMPRODUCT((AY_SONU!$O$7:$O$42="Evet")*(AY_SONU!$B$7:$B$42=DATE(YEAR($E1217),MONTH($E1217),1))))</f>
        <v>0</v>
      </c>
      <c r="U1217" s="1" t="str">
        <f>IF(OR($G1217="",$H1217="Mahsup"),"",$G1217&amp;"|"&amp;COUNTIFS($G$7:$G1217,$G1217,$H$7:$H1217,"&lt;&gt;Mahsup"))</f>
        <v/>
      </c>
    </row>
    <row r="1218" spans="1:21" ht="18" customHeight="1" x14ac:dyDescent="0.3">
      <c r="A1218" s="2"/>
      <c r="B1218" s="65" t="str">
        <f>IF($D1218="","","T"&amp;TEXT(ROW()-6,"00000"))</f>
        <v/>
      </c>
      <c r="C1218" s="65" t="str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61"/>
      <c r="E1218" s="66"/>
      <c r="F1218" s="67"/>
      <c r="G1218" s="60"/>
      <c r="H1218" s="60"/>
      <c r="I1218" s="61"/>
      <c r="J1218" s="61"/>
      <c r="K1218" s="61"/>
      <c r="L1218" s="73" t="str">
        <f>IF($E1218="","",DATE(YEAR($E1218),MONTH($E1218),1))</f>
        <v/>
      </c>
      <c r="M1218" s="65" t="str">
        <f ca="1">IF($D1218="","",IF($C1218="TANIMSIZ MÜŞTERİ","HATA",IF(OR($E1218="",$F1218&lt;=0,$G1218=""),"EKSİK",IF($E1218&gt;TODAY(),"İLERİ TARİH",IF(COUNTIF($S$7:$S$2503,$S1218)&gt;1,"MÜKERRER?",IF($T1218&gt;0,"KAPALI DÖNEM","UYGUN"))))))</f>
        <v/>
      </c>
      <c r="N1218" s="74" t="str">
        <f>IF($C1218="","",IF($C1218="TANIMSIZ MÜŞTERİ","—",INDEX(MUSTERILER!$C$7:$C$156,MATCH($C1218,MUSTERILER!$B$7:$B$156,0))))</f>
        <v/>
      </c>
      <c r="O1218" s="2"/>
      <c r="P1218" s="2"/>
      <c r="Q1218" s="1" t="str">
        <f>IF($D1218="","",$C1218&amp;"|"&amp;COUNTIFS($C$7:$C1218,$C1218))</f>
        <v/>
      </c>
      <c r="R1218" s="1" t="str">
        <f t="shared" si="36"/>
        <v/>
      </c>
      <c r="S1218" s="1" t="str">
        <f t="shared" si="37"/>
        <v/>
      </c>
      <c r="T1218" s="1">
        <f>IF($E1218="",0,SUMPRODUCT((AY_SONU!$O$7:$O$42="Evet")*(AY_SONU!$B$7:$B$42=DATE(YEAR($E1218),MONTH($E1218),1))))</f>
        <v>0</v>
      </c>
      <c r="U1218" s="1" t="str">
        <f>IF(OR($G1218="",$H1218="Mahsup"),"",$G1218&amp;"|"&amp;COUNTIFS($G$7:$G1218,$G1218,$H$7:$H1218,"&lt;&gt;Mahsup"))</f>
        <v/>
      </c>
    </row>
    <row r="1219" spans="1:21" ht="18" customHeight="1" x14ac:dyDescent="0.3">
      <c r="A1219" s="2"/>
      <c r="B1219" s="65" t="str">
        <f>IF($D1219="","","T"&amp;TEXT(ROW()-6,"00000"))</f>
        <v/>
      </c>
      <c r="C1219" s="65" t="str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61"/>
      <c r="E1219" s="66"/>
      <c r="F1219" s="67"/>
      <c r="G1219" s="60"/>
      <c r="H1219" s="60"/>
      <c r="I1219" s="61"/>
      <c r="J1219" s="61"/>
      <c r="K1219" s="61"/>
      <c r="L1219" s="73" t="str">
        <f>IF($E1219="","",DATE(YEAR($E1219),MONTH($E1219),1))</f>
        <v/>
      </c>
      <c r="M1219" s="65" t="str">
        <f ca="1">IF($D1219="","",IF($C1219="TANIMSIZ MÜŞTERİ","HATA",IF(OR($E1219="",$F1219&lt;=0,$G1219=""),"EKSİK",IF($E1219&gt;TODAY(),"İLERİ TARİH",IF(COUNTIF($S$7:$S$2503,$S1219)&gt;1,"MÜKERRER?",IF($T1219&gt;0,"KAPALI DÖNEM","UYGUN"))))))</f>
        <v/>
      </c>
      <c r="N1219" s="74" t="str">
        <f>IF($C1219="","",IF($C1219="TANIMSIZ MÜŞTERİ","—",INDEX(MUSTERILER!$C$7:$C$156,MATCH($C1219,MUSTERILER!$B$7:$B$156,0))))</f>
        <v/>
      </c>
      <c r="O1219" s="2"/>
      <c r="P1219" s="2"/>
      <c r="Q1219" s="1" t="str">
        <f>IF($D1219="","",$C1219&amp;"|"&amp;COUNTIFS($C$7:$C1219,$C1219))</f>
        <v/>
      </c>
      <c r="R1219" s="1" t="str">
        <f t="shared" si="36"/>
        <v/>
      </c>
      <c r="S1219" s="1" t="str">
        <f t="shared" si="37"/>
        <v/>
      </c>
      <c r="T1219" s="1">
        <f>IF($E1219="",0,SUMPRODUCT((AY_SONU!$O$7:$O$42="Evet")*(AY_SONU!$B$7:$B$42=DATE(YEAR($E1219),MONTH($E1219),1))))</f>
        <v>0</v>
      </c>
      <c r="U1219" s="1" t="str">
        <f>IF(OR($G1219="",$H1219="Mahsup"),"",$G1219&amp;"|"&amp;COUNTIFS($G$7:$G1219,$G1219,$H$7:$H1219,"&lt;&gt;Mahsup"))</f>
        <v/>
      </c>
    </row>
    <row r="1220" spans="1:21" ht="18" customHeight="1" x14ac:dyDescent="0.3">
      <c r="A1220" s="2"/>
      <c r="B1220" s="65" t="str">
        <f>IF($D1220="","","T"&amp;TEXT(ROW()-6,"00000"))</f>
        <v/>
      </c>
      <c r="C1220" s="65" t="str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61"/>
      <c r="E1220" s="66"/>
      <c r="F1220" s="67"/>
      <c r="G1220" s="60"/>
      <c r="H1220" s="60"/>
      <c r="I1220" s="61"/>
      <c r="J1220" s="61"/>
      <c r="K1220" s="61"/>
      <c r="L1220" s="73" t="str">
        <f>IF($E1220="","",DATE(YEAR($E1220),MONTH($E1220),1))</f>
        <v/>
      </c>
      <c r="M1220" s="65" t="str">
        <f ca="1">IF($D1220="","",IF($C1220="TANIMSIZ MÜŞTERİ","HATA",IF(OR($E1220="",$F1220&lt;=0,$G1220=""),"EKSİK",IF($E1220&gt;TODAY(),"İLERİ TARİH",IF(COUNTIF($S$7:$S$2503,$S1220)&gt;1,"MÜKERRER?",IF($T1220&gt;0,"KAPALI DÖNEM","UYGUN"))))))</f>
        <v/>
      </c>
      <c r="N1220" s="74" t="str">
        <f>IF($C1220="","",IF($C1220="TANIMSIZ MÜŞTERİ","—",INDEX(MUSTERILER!$C$7:$C$156,MATCH($C1220,MUSTERILER!$B$7:$B$156,0))))</f>
        <v/>
      </c>
      <c r="O1220" s="2"/>
      <c r="P1220" s="2"/>
      <c r="Q1220" s="1" t="str">
        <f>IF($D1220="","",$C1220&amp;"|"&amp;COUNTIFS($C$7:$C1220,$C1220))</f>
        <v/>
      </c>
      <c r="R1220" s="1" t="str">
        <f t="shared" si="36"/>
        <v/>
      </c>
      <c r="S1220" s="1" t="str">
        <f t="shared" si="37"/>
        <v/>
      </c>
      <c r="T1220" s="1">
        <f>IF($E1220="",0,SUMPRODUCT((AY_SONU!$O$7:$O$42="Evet")*(AY_SONU!$B$7:$B$42=DATE(YEAR($E1220),MONTH($E1220),1))))</f>
        <v>0</v>
      </c>
      <c r="U1220" s="1" t="str">
        <f>IF(OR($G1220="",$H1220="Mahsup"),"",$G1220&amp;"|"&amp;COUNTIFS($G$7:$G1220,$G1220,$H$7:$H1220,"&lt;&gt;Mahsup"))</f>
        <v/>
      </c>
    </row>
    <row r="1221" spans="1:21" ht="18" customHeight="1" x14ac:dyDescent="0.3">
      <c r="A1221" s="2"/>
      <c r="B1221" s="65" t="str">
        <f>IF($D1221="","","T"&amp;TEXT(ROW()-6,"00000"))</f>
        <v/>
      </c>
      <c r="C1221" s="65" t="str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61"/>
      <c r="E1221" s="66"/>
      <c r="F1221" s="67"/>
      <c r="G1221" s="60"/>
      <c r="H1221" s="60"/>
      <c r="I1221" s="61"/>
      <c r="J1221" s="61"/>
      <c r="K1221" s="61"/>
      <c r="L1221" s="73" t="str">
        <f>IF($E1221="","",DATE(YEAR($E1221),MONTH($E1221),1))</f>
        <v/>
      </c>
      <c r="M1221" s="65" t="str">
        <f ca="1">IF($D1221="","",IF($C1221="TANIMSIZ MÜŞTERİ","HATA",IF(OR($E1221="",$F1221&lt;=0,$G1221=""),"EKSİK",IF($E1221&gt;TODAY(),"İLERİ TARİH",IF(COUNTIF($S$7:$S$2503,$S1221)&gt;1,"MÜKERRER?",IF($T1221&gt;0,"KAPALI DÖNEM","UYGUN"))))))</f>
        <v/>
      </c>
      <c r="N1221" s="74" t="str">
        <f>IF($C1221="","",IF($C1221="TANIMSIZ MÜŞTERİ","—",INDEX(MUSTERILER!$C$7:$C$156,MATCH($C1221,MUSTERILER!$B$7:$B$156,0))))</f>
        <v/>
      </c>
      <c r="O1221" s="2"/>
      <c r="P1221" s="2"/>
      <c r="Q1221" s="1" t="str">
        <f>IF($D1221="","",$C1221&amp;"|"&amp;COUNTIFS($C$7:$C1221,$C1221))</f>
        <v/>
      </c>
      <c r="R1221" s="1" t="str">
        <f t="shared" si="36"/>
        <v/>
      </c>
      <c r="S1221" s="1" t="str">
        <f t="shared" si="37"/>
        <v/>
      </c>
      <c r="T1221" s="1">
        <f>IF($E1221="",0,SUMPRODUCT((AY_SONU!$O$7:$O$42="Evet")*(AY_SONU!$B$7:$B$42=DATE(YEAR($E1221),MONTH($E1221),1))))</f>
        <v>0</v>
      </c>
      <c r="U1221" s="1" t="str">
        <f>IF(OR($G1221="",$H1221="Mahsup"),"",$G1221&amp;"|"&amp;COUNTIFS($G$7:$G1221,$G1221,$H$7:$H1221,"&lt;&gt;Mahsup"))</f>
        <v/>
      </c>
    </row>
    <row r="1222" spans="1:21" ht="18" customHeight="1" x14ac:dyDescent="0.3">
      <c r="A1222" s="2"/>
      <c r="B1222" s="65" t="str">
        <f>IF($D1222="","","T"&amp;TEXT(ROW()-6,"00000"))</f>
        <v/>
      </c>
      <c r="C1222" s="65" t="str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61"/>
      <c r="E1222" s="66"/>
      <c r="F1222" s="67"/>
      <c r="G1222" s="60"/>
      <c r="H1222" s="60"/>
      <c r="I1222" s="61"/>
      <c r="J1222" s="61"/>
      <c r="K1222" s="61"/>
      <c r="L1222" s="73" t="str">
        <f>IF($E1222="","",DATE(YEAR($E1222),MONTH($E1222),1))</f>
        <v/>
      </c>
      <c r="M1222" s="65" t="str">
        <f ca="1">IF($D1222="","",IF($C1222="TANIMSIZ MÜŞTERİ","HATA",IF(OR($E1222="",$F1222&lt;=0,$G1222=""),"EKSİK",IF($E1222&gt;TODAY(),"İLERİ TARİH",IF(COUNTIF($S$7:$S$2503,$S1222)&gt;1,"MÜKERRER?",IF($T1222&gt;0,"KAPALI DÖNEM","UYGUN"))))))</f>
        <v/>
      </c>
      <c r="N1222" s="74" t="str">
        <f>IF($C1222="","",IF($C1222="TANIMSIZ MÜŞTERİ","—",INDEX(MUSTERILER!$C$7:$C$156,MATCH($C1222,MUSTERILER!$B$7:$B$156,0))))</f>
        <v/>
      </c>
      <c r="O1222" s="2"/>
      <c r="P1222" s="2"/>
      <c r="Q1222" s="1" t="str">
        <f>IF($D1222="","",$C1222&amp;"|"&amp;COUNTIFS($C$7:$C1222,$C1222))</f>
        <v/>
      </c>
      <c r="R1222" s="1" t="str">
        <f t="shared" si="36"/>
        <v/>
      </c>
      <c r="S1222" s="1" t="str">
        <f t="shared" si="37"/>
        <v/>
      </c>
      <c r="T1222" s="1">
        <f>IF($E1222="",0,SUMPRODUCT((AY_SONU!$O$7:$O$42="Evet")*(AY_SONU!$B$7:$B$42=DATE(YEAR($E1222),MONTH($E1222),1))))</f>
        <v>0</v>
      </c>
      <c r="U1222" s="1" t="str">
        <f>IF(OR($G1222="",$H1222="Mahsup"),"",$G1222&amp;"|"&amp;COUNTIFS($G$7:$G1222,$G1222,$H$7:$H1222,"&lt;&gt;Mahsup"))</f>
        <v/>
      </c>
    </row>
    <row r="1223" spans="1:21" ht="18" customHeight="1" x14ac:dyDescent="0.3">
      <c r="A1223" s="2"/>
      <c r="B1223" s="65" t="str">
        <f>IF($D1223="","","T"&amp;TEXT(ROW()-6,"00000"))</f>
        <v/>
      </c>
      <c r="C1223" s="65" t="str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61"/>
      <c r="E1223" s="66"/>
      <c r="F1223" s="67"/>
      <c r="G1223" s="60"/>
      <c r="H1223" s="60"/>
      <c r="I1223" s="61"/>
      <c r="J1223" s="61"/>
      <c r="K1223" s="61"/>
      <c r="L1223" s="73" t="str">
        <f>IF($E1223="","",DATE(YEAR($E1223),MONTH($E1223),1))</f>
        <v/>
      </c>
      <c r="M1223" s="65" t="str">
        <f ca="1">IF($D1223="","",IF($C1223="TANIMSIZ MÜŞTERİ","HATA",IF(OR($E1223="",$F1223&lt;=0,$G1223=""),"EKSİK",IF($E1223&gt;TODAY(),"İLERİ TARİH",IF(COUNTIF($S$7:$S$2503,$S1223)&gt;1,"MÜKERRER?",IF($T1223&gt;0,"KAPALI DÖNEM","UYGUN"))))))</f>
        <v/>
      </c>
      <c r="N1223" s="74" t="str">
        <f>IF($C1223="","",IF($C1223="TANIMSIZ MÜŞTERİ","—",INDEX(MUSTERILER!$C$7:$C$156,MATCH($C1223,MUSTERILER!$B$7:$B$156,0))))</f>
        <v/>
      </c>
      <c r="O1223" s="2"/>
      <c r="P1223" s="2"/>
      <c r="Q1223" s="1" t="str">
        <f>IF($D1223="","",$C1223&amp;"|"&amp;COUNTIFS($C$7:$C1223,$C1223))</f>
        <v/>
      </c>
      <c r="R1223" s="1" t="str">
        <f t="shared" ref="R1223:R1286" si="38"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" t="str">
        <f t="shared" ref="S1223:S1286" si="39">IF($D1223="","",$C1223&amp;"|"&amp;TEXT($E1223,"0")&amp;"|"&amp;TEXT($F1223,"0")&amp;"|"&amp;$I1223)</f>
        <v/>
      </c>
      <c r="T1223" s="1">
        <f>IF($E1223="",0,SUMPRODUCT((AY_SONU!$O$7:$O$42="Evet")*(AY_SONU!$B$7:$B$42=DATE(YEAR($E1223),MONTH($E1223),1))))</f>
        <v>0</v>
      </c>
      <c r="U1223" s="1" t="str">
        <f>IF(OR($G1223="",$H1223="Mahsup"),"",$G1223&amp;"|"&amp;COUNTIFS($G$7:$G1223,$G1223,$H$7:$H1223,"&lt;&gt;Mahsup"))</f>
        <v/>
      </c>
    </row>
    <row r="1224" spans="1:21" ht="18" customHeight="1" x14ac:dyDescent="0.3">
      <c r="A1224" s="2"/>
      <c r="B1224" s="65" t="str">
        <f>IF($D1224="","","T"&amp;TEXT(ROW()-6,"00000"))</f>
        <v/>
      </c>
      <c r="C1224" s="65" t="str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61"/>
      <c r="E1224" s="66"/>
      <c r="F1224" s="67"/>
      <c r="G1224" s="60"/>
      <c r="H1224" s="60"/>
      <c r="I1224" s="61"/>
      <c r="J1224" s="61"/>
      <c r="K1224" s="61"/>
      <c r="L1224" s="73" t="str">
        <f>IF($E1224="","",DATE(YEAR($E1224),MONTH($E1224),1))</f>
        <v/>
      </c>
      <c r="M1224" s="65" t="str">
        <f ca="1">IF($D1224="","",IF($C1224="TANIMSIZ MÜŞTERİ","HATA",IF(OR($E1224="",$F1224&lt;=0,$G1224=""),"EKSİK",IF($E1224&gt;TODAY(),"İLERİ TARİH",IF(COUNTIF($S$7:$S$2503,$S1224)&gt;1,"MÜKERRER?",IF($T1224&gt;0,"KAPALI DÖNEM","UYGUN"))))))</f>
        <v/>
      </c>
      <c r="N1224" s="74" t="str">
        <f>IF($C1224="","",IF($C1224="TANIMSIZ MÜŞTERİ","—",INDEX(MUSTERILER!$C$7:$C$156,MATCH($C1224,MUSTERILER!$B$7:$B$156,0))))</f>
        <v/>
      </c>
      <c r="O1224" s="2"/>
      <c r="P1224" s="2"/>
      <c r="Q1224" s="1" t="str">
        <f>IF($D1224="","",$C1224&amp;"|"&amp;COUNTIFS($C$7:$C1224,$C1224))</f>
        <v/>
      </c>
      <c r="R1224" s="1" t="str">
        <f t="shared" si="38"/>
        <v/>
      </c>
      <c r="S1224" s="1" t="str">
        <f t="shared" si="39"/>
        <v/>
      </c>
      <c r="T1224" s="1">
        <f>IF($E1224="",0,SUMPRODUCT((AY_SONU!$O$7:$O$42="Evet")*(AY_SONU!$B$7:$B$42=DATE(YEAR($E1224),MONTH($E1224),1))))</f>
        <v>0</v>
      </c>
      <c r="U1224" s="1" t="str">
        <f>IF(OR($G1224="",$H1224="Mahsup"),"",$G1224&amp;"|"&amp;COUNTIFS($G$7:$G1224,$G1224,$H$7:$H1224,"&lt;&gt;Mahsup"))</f>
        <v/>
      </c>
    </row>
    <row r="1225" spans="1:21" ht="18" customHeight="1" x14ac:dyDescent="0.3">
      <c r="A1225" s="2"/>
      <c r="B1225" s="65" t="str">
        <f>IF($D1225="","","T"&amp;TEXT(ROW()-6,"00000"))</f>
        <v/>
      </c>
      <c r="C1225" s="65" t="str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61"/>
      <c r="E1225" s="66"/>
      <c r="F1225" s="67"/>
      <c r="G1225" s="60"/>
      <c r="H1225" s="60"/>
      <c r="I1225" s="61"/>
      <c r="J1225" s="61"/>
      <c r="K1225" s="61"/>
      <c r="L1225" s="73" t="str">
        <f>IF($E1225="","",DATE(YEAR($E1225),MONTH($E1225),1))</f>
        <v/>
      </c>
      <c r="M1225" s="65" t="str">
        <f ca="1">IF($D1225="","",IF($C1225="TANIMSIZ MÜŞTERİ","HATA",IF(OR($E1225="",$F1225&lt;=0,$G1225=""),"EKSİK",IF($E1225&gt;TODAY(),"İLERİ TARİH",IF(COUNTIF($S$7:$S$2503,$S1225)&gt;1,"MÜKERRER?",IF($T1225&gt;0,"KAPALI DÖNEM","UYGUN"))))))</f>
        <v/>
      </c>
      <c r="N1225" s="74" t="str">
        <f>IF($C1225="","",IF($C1225="TANIMSIZ MÜŞTERİ","—",INDEX(MUSTERILER!$C$7:$C$156,MATCH($C1225,MUSTERILER!$B$7:$B$156,0))))</f>
        <v/>
      </c>
      <c r="O1225" s="2"/>
      <c r="P1225" s="2"/>
      <c r="Q1225" s="1" t="str">
        <f>IF($D1225="","",$C1225&amp;"|"&amp;COUNTIFS($C$7:$C1225,$C1225))</f>
        <v/>
      </c>
      <c r="R1225" s="1" t="str">
        <f t="shared" si="38"/>
        <v/>
      </c>
      <c r="S1225" s="1" t="str">
        <f t="shared" si="39"/>
        <v/>
      </c>
      <c r="T1225" s="1">
        <f>IF($E1225="",0,SUMPRODUCT((AY_SONU!$O$7:$O$42="Evet")*(AY_SONU!$B$7:$B$42=DATE(YEAR($E1225),MONTH($E1225),1))))</f>
        <v>0</v>
      </c>
      <c r="U1225" s="1" t="str">
        <f>IF(OR($G1225="",$H1225="Mahsup"),"",$G1225&amp;"|"&amp;COUNTIFS($G$7:$G1225,$G1225,$H$7:$H1225,"&lt;&gt;Mahsup"))</f>
        <v/>
      </c>
    </row>
    <row r="1226" spans="1:21" ht="18" customHeight="1" x14ac:dyDescent="0.3">
      <c r="A1226" s="2"/>
      <c r="B1226" s="65" t="str">
        <f>IF($D1226="","","T"&amp;TEXT(ROW()-6,"00000"))</f>
        <v/>
      </c>
      <c r="C1226" s="65" t="str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61"/>
      <c r="E1226" s="66"/>
      <c r="F1226" s="67"/>
      <c r="G1226" s="60"/>
      <c r="H1226" s="60"/>
      <c r="I1226" s="61"/>
      <c r="J1226" s="61"/>
      <c r="K1226" s="61"/>
      <c r="L1226" s="73" t="str">
        <f>IF($E1226="","",DATE(YEAR($E1226),MONTH($E1226),1))</f>
        <v/>
      </c>
      <c r="M1226" s="65" t="str">
        <f ca="1">IF($D1226="","",IF($C1226="TANIMSIZ MÜŞTERİ","HATA",IF(OR($E1226="",$F1226&lt;=0,$G1226=""),"EKSİK",IF($E1226&gt;TODAY(),"İLERİ TARİH",IF(COUNTIF($S$7:$S$2503,$S1226)&gt;1,"MÜKERRER?",IF($T1226&gt;0,"KAPALI DÖNEM","UYGUN"))))))</f>
        <v/>
      </c>
      <c r="N1226" s="74" t="str">
        <f>IF($C1226="","",IF($C1226="TANIMSIZ MÜŞTERİ","—",INDEX(MUSTERILER!$C$7:$C$156,MATCH($C1226,MUSTERILER!$B$7:$B$156,0))))</f>
        <v/>
      </c>
      <c r="O1226" s="2"/>
      <c r="P1226" s="2"/>
      <c r="Q1226" s="1" t="str">
        <f>IF($D1226="","",$C1226&amp;"|"&amp;COUNTIFS($C$7:$C1226,$C1226))</f>
        <v/>
      </c>
      <c r="R1226" s="1" t="str">
        <f t="shared" si="38"/>
        <v/>
      </c>
      <c r="S1226" s="1" t="str">
        <f t="shared" si="39"/>
        <v/>
      </c>
      <c r="T1226" s="1">
        <f>IF($E1226="",0,SUMPRODUCT((AY_SONU!$O$7:$O$42="Evet")*(AY_SONU!$B$7:$B$42=DATE(YEAR($E1226),MONTH($E1226),1))))</f>
        <v>0</v>
      </c>
      <c r="U1226" s="1" t="str">
        <f>IF(OR($G1226="",$H1226="Mahsup"),"",$G1226&amp;"|"&amp;COUNTIFS($G$7:$G1226,$G1226,$H$7:$H1226,"&lt;&gt;Mahsup"))</f>
        <v/>
      </c>
    </row>
    <row r="1227" spans="1:21" ht="18" customHeight="1" x14ac:dyDescent="0.3">
      <c r="A1227" s="2"/>
      <c r="B1227" s="65" t="str">
        <f>IF($D1227="","","T"&amp;TEXT(ROW()-6,"00000"))</f>
        <v/>
      </c>
      <c r="C1227" s="65" t="str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61"/>
      <c r="E1227" s="66"/>
      <c r="F1227" s="67"/>
      <c r="G1227" s="60"/>
      <c r="H1227" s="60"/>
      <c r="I1227" s="61"/>
      <c r="J1227" s="61"/>
      <c r="K1227" s="61"/>
      <c r="L1227" s="73" t="str">
        <f>IF($E1227="","",DATE(YEAR($E1227),MONTH($E1227),1))</f>
        <v/>
      </c>
      <c r="M1227" s="65" t="str">
        <f ca="1">IF($D1227="","",IF($C1227="TANIMSIZ MÜŞTERİ","HATA",IF(OR($E1227="",$F1227&lt;=0,$G1227=""),"EKSİK",IF($E1227&gt;TODAY(),"İLERİ TARİH",IF(COUNTIF($S$7:$S$2503,$S1227)&gt;1,"MÜKERRER?",IF($T1227&gt;0,"KAPALI DÖNEM","UYGUN"))))))</f>
        <v/>
      </c>
      <c r="N1227" s="74" t="str">
        <f>IF($C1227="","",IF($C1227="TANIMSIZ MÜŞTERİ","—",INDEX(MUSTERILER!$C$7:$C$156,MATCH($C1227,MUSTERILER!$B$7:$B$156,0))))</f>
        <v/>
      </c>
      <c r="O1227" s="2"/>
      <c r="P1227" s="2"/>
      <c r="Q1227" s="1" t="str">
        <f>IF($D1227="","",$C1227&amp;"|"&amp;COUNTIFS($C$7:$C1227,$C1227))</f>
        <v/>
      </c>
      <c r="R1227" s="1" t="str">
        <f t="shared" si="38"/>
        <v/>
      </c>
      <c r="S1227" s="1" t="str">
        <f t="shared" si="39"/>
        <v/>
      </c>
      <c r="T1227" s="1">
        <f>IF($E1227="",0,SUMPRODUCT((AY_SONU!$O$7:$O$42="Evet")*(AY_SONU!$B$7:$B$42=DATE(YEAR($E1227),MONTH($E1227),1))))</f>
        <v>0</v>
      </c>
      <c r="U1227" s="1" t="str">
        <f>IF(OR($G1227="",$H1227="Mahsup"),"",$G1227&amp;"|"&amp;COUNTIFS($G$7:$G1227,$G1227,$H$7:$H1227,"&lt;&gt;Mahsup"))</f>
        <v/>
      </c>
    </row>
    <row r="1228" spans="1:21" ht="18" customHeight="1" x14ac:dyDescent="0.3">
      <c r="A1228" s="2"/>
      <c r="B1228" s="65" t="str">
        <f>IF($D1228="","","T"&amp;TEXT(ROW()-6,"00000"))</f>
        <v/>
      </c>
      <c r="C1228" s="65" t="str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61"/>
      <c r="E1228" s="66"/>
      <c r="F1228" s="67"/>
      <c r="G1228" s="60"/>
      <c r="H1228" s="60"/>
      <c r="I1228" s="61"/>
      <c r="J1228" s="61"/>
      <c r="K1228" s="61"/>
      <c r="L1228" s="73" t="str">
        <f>IF($E1228="","",DATE(YEAR($E1228),MONTH($E1228),1))</f>
        <v/>
      </c>
      <c r="M1228" s="65" t="str">
        <f ca="1">IF($D1228="","",IF($C1228="TANIMSIZ MÜŞTERİ","HATA",IF(OR($E1228="",$F1228&lt;=0,$G1228=""),"EKSİK",IF($E1228&gt;TODAY(),"İLERİ TARİH",IF(COUNTIF($S$7:$S$2503,$S1228)&gt;1,"MÜKERRER?",IF($T1228&gt;0,"KAPALI DÖNEM","UYGUN"))))))</f>
        <v/>
      </c>
      <c r="N1228" s="74" t="str">
        <f>IF($C1228="","",IF($C1228="TANIMSIZ MÜŞTERİ","—",INDEX(MUSTERILER!$C$7:$C$156,MATCH($C1228,MUSTERILER!$B$7:$B$156,0))))</f>
        <v/>
      </c>
      <c r="O1228" s="2"/>
      <c r="P1228" s="2"/>
      <c r="Q1228" s="1" t="str">
        <f>IF($D1228="","",$C1228&amp;"|"&amp;COUNTIFS($C$7:$C1228,$C1228))</f>
        <v/>
      </c>
      <c r="R1228" s="1" t="str">
        <f t="shared" si="38"/>
        <v/>
      </c>
      <c r="S1228" s="1" t="str">
        <f t="shared" si="39"/>
        <v/>
      </c>
      <c r="T1228" s="1">
        <f>IF($E1228="",0,SUMPRODUCT((AY_SONU!$O$7:$O$42="Evet")*(AY_SONU!$B$7:$B$42=DATE(YEAR($E1228),MONTH($E1228),1))))</f>
        <v>0</v>
      </c>
      <c r="U1228" s="1" t="str">
        <f>IF(OR($G1228="",$H1228="Mahsup"),"",$G1228&amp;"|"&amp;COUNTIFS($G$7:$G1228,$G1228,$H$7:$H1228,"&lt;&gt;Mahsup"))</f>
        <v/>
      </c>
    </row>
    <row r="1229" spans="1:21" ht="18" customHeight="1" x14ac:dyDescent="0.3">
      <c r="A1229" s="2"/>
      <c r="B1229" s="65" t="str">
        <f>IF($D1229="","","T"&amp;TEXT(ROW()-6,"00000"))</f>
        <v/>
      </c>
      <c r="C1229" s="65" t="str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61"/>
      <c r="E1229" s="66"/>
      <c r="F1229" s="67"/>
      <c r="G1229" s="60"/>
      <c r="H1229" s="60"/>
      <c r="I1229" s="61"/>
      <c r="J1229" s="61"/>
      <c r="K1229" s="61"/>
      <c r="L1229" s="73" t="str">
        <f>IF($E1229="","",DATE(YEAR($E1229),MONTH($E1229),1))</f>
        <v/>
      </c>
      <c r="M1229" s="65" t="str">
        <f ca="1">IF($D1229="","",IF($C1229="TANIMSIZ MÜŞTERİ","HATA",IF(OR($E1229="",$F1229&lt;=0,$G1229=""),"EKSİK",IF($E1229&gt;TODAY(),"İLERİ TARİH",IF(COUNTIF($S$7:$S$2503,$S1229)&gt;1,"MÜKERRER?",IF($T1229&gt;0,"KAPALI DÖNEM","UYGUN"))))))</f>
        <v/>
      </c>
      <c r="N1229" s="74" t="str">
        <f>IF($C1229="","",IF($C1229="TANIMSIZ MÜŞTERİ","—",INDEX(MUSTERILER!$C$7:$C$156,MATCH($C1229,MUSTERILER!$B$7:$B$156,0))))</f>
        <v/>
      </c>
      <c r="O1229" s="2"/>
      <c r="P1229" s="2"/>
      <c r="Q1229" s="1" t="str">
        <f>IF($D1229="","",$C1229&amp;"|"&amp;COUNTIFS($C$7:$C1229,$C1229))</f>
        <v/>
      </c>
      <c r="R1229" s="1" t="str">
        <f t="shared" si="38"/>
        <v/>
      </c>
      <c r="S1229" s="1" t="str">
        <f t="shared" si="39"/>
        <v/>
      </c>
      <c r="T1229" s="1">
        <f>IF($E1229="",0,SUMPRODUCT((AY_SONU!$O$7:$O$42="Evet")*(AY_SONU!$B$7:$B$42=DATE(YEAR($E1229),MONTH($E1229),1))))</f>
        <v>0</v>
      </c>
      <c r="U1229" s="1" t="str">
        <f>IF(OR($G1229="",$H1229="Mahsup"),"",$G1229&amp;"|"&amp;COUNTIFS($G$7:$G1229,$G1229,$H$7:$H1229,"&lt;&gt;Mahsup"))</f>
        <v/>
      </c>
    </row>
    <row r="1230" spans="1:21" ht="18" customHeight="1" x14ac:dyDescent="0.3">
      <c r="A1230" s="2"/>
      <c r="B1230" s="65" t="str">
        <f>IF($D1230="","","T"&amp;TEXT(ROW()-6,"00000"))</f>
        <v/>
      </c>
      <c r="C1230" s="65" t="str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61"/>
      <c r="E1230" s="66"/>
      <c r="F1230" s="67"/>
      <c r="G1230" s="60"/>
      <c r="H1230" s="60"/>
      <c r="I1230" s="61"/>
      <c r="J1230" s="61"/>
      <c r="K1230" s="61"/>
      <c r="L1230" s="73" t="str">
        <f>IF($E1230="","",DATE(YEAR($E1230),MONTH($E1230),1))</f>
        <v/>
      </c>
      <c r="M1230" s="65" t="str">
        <f ca="1">IF($D1230="","",IF($C1230="TANIMSIZ MÜŞTERİ","HATA",IF(OR($E1230="",$F1230&lt;=0,$G1230=""),"EKSİK",IF($E1230&gt;TODAY(),"İLERİ TARİH",IF(COUNTIF($S$7:$S$2503,$S1230)&gt;1,"MÜKERRER?",IF($T1230&gt;0,"KAPALI DÖNEM","UYGUN"))))))</f>
        <v/>
      </c>
      <c r="N1230" s="74" t="str">
        <f>IF($C1230="","",IF($C1230="TANIMSIZ MÜŞTERİ","—",INDEX(MUSTERILER!$C$7:$C$156,MATCH($C1230,MUSTERILER!$B$7:$B$156,0))))</f>
        <v/>
      </c>
      <c r="O1230" s="2"/>
      <c r="P1230" s="2"/>
      <c r="Q1230" s="1" t="str">
        <f>IF($D1230="","",$C1230&amp;"|"&amp;COUNTIFS($C$7:$C1230,$C1230))</f>
        <v/>
      </c>
      <c r="R1230" s="1" t="str">
        <f t="shared" si="38"/>
        <v/>
      </c>
      <c r="S1230" s="1" t="str">
        <f t="shared" si="39"/>
        <v/>
      </c>
      <c r="T1230" s="1">
        <f>IF($E1230="",0,SUMPRODUCT((AY_SONU!$O$7:$O$42="Evet")*(AY_SONU!$B$7:$B$42=DATE(YEAR($E1230),MONTH($E1230),1))))</f>
        <v>0</v>
      </c>
      <c r="U1230" s="1" t="str">
        <f>IF(OR($G1230="",$H1230="Mahsup"),"",$G1230&amp;"|"&amp;COUNTIFS($G$7:$G1230,$G1230,$H$7:$H1230,"&lt;&gt;Mahsup"))</f>
        <v/>
      </c>
    </row>
    <row r="1231" spans="1:21" ht="18" customHeight="1" x14ac:dyDescent="0.3">
      <c r="A1231" s="2"/>
      <c r="B1231" s="65" t="str">
        <f>IF($D1231="","","T"&amp;TEXT(ROW()-6,"00000"))</f>
        <v/>
      </c>
      <c r="C1231" s="65" t="str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61"/>
      <c r="E1231" s="66"/>
      <c r="F1231" s="67"/>
      <c r="G1231" s="60"/>
      <c r="H1231" s="60"/>
      <c r="I1231" s="61"/>
      <c r="J1231" s="61"/>
      <c r="K1231" s="61"/>
      <c r="L1231" s="73" t="str">
        <f>IF($E1231="","",DATE(YEAR($E1231),MONTH($E1231),1))</f>
        <v/>
      </c>
      <c r="M1231" s="65" t="str">
        <f ca="1">IF($D1231="","",IF($C1231="TANIMSIZ MÜŞTERİ","HATA",IF(OR($E1231="",$F1231&lt;=0,$G1231=""),"EKSİK",IF($E1231&gt;TODAY(),"İLERİ TARİH",IF(COUNTIF($S$7:$S$2503,$S1231)&gt;1,"MÜKERRER?",IF($T1231&gt;0,"KAPALI DÖNEM","UYGUN"))))))</f>
        <v/>
      </c>
      <c r="N1231" s="74" t="str">
        <f>IF($C1231="","",IF($C1231="TANIMSIZ MÜŞTERİ","—",INDEX(MUSTERILER!$C$7:$C$156,MATCH($C1231,MUSTERILER!$B$7:$B$156,0))))</f>
        <v/>
      </c>
      <c r="O1231" s="2"/>
      <c r="P1231" s="2"/>
      <c r="Q1231" s="1" t="str">
        <f>IF($D1231="","",$C1231&amp;"|"&amp;COUNTIFS($C$7:$C1231,$C1231))</f>
        <v/>
      </c>
      <c r="R1231" s="1" t="str">
        <f t="shared" si="38"/>
        <v/>
      </c>
      <c r="S1231" s="1" t="str">
        <f t="shared" si="39"/>
        <v/>
      </c>
      <c r="T1231" s="1">
        <f>IF($E1231="",0,SUMPRODUCT((AY_SONU!$O$7:$O$42="Evet")*(AY_SONU!$B$7:$B$42=DATE(YEAR($E1231),MONTH($E1231),1))))</f>
        <v>0</v>
      </c>
      <c r="U1231" s="1" t="str">
        <f>IF(OR($G1231="",$H1231="Mahsup"),"",$G1231&amp;"|"&amp;COUNTIFS($G$7:$G1231,$G1231,$H$7:$H1231,"&lt;&gt;Mahsup"))</f>
        <v/>
      </c>
    </row>
    <row r="1232" spans="1:21" ht="18" customHeight="1" x14ac:dyDescent="0.3">
      <c r="A1232" s="2"/>
      <c r="B1232" s="65" t="str">
        <f>IF($D1232="","","T"&amp;TEXT(ROW()-6,"00000"))</f>
        <v/>
      </c>
      <c r="C1232" s="65" t="str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61"/>
      <c r="E1232" s="66"/>
      <c r="F1232" s="67"/>
      <c r="G1232" s="60"/>
      <c r="H1232" s="60"/>
      <c r="I1232" s="61"/>
      <c r="J1232" s="61"/>
      <c r="K1232" s="61"/>
      <c r="L1232" s="73" t="str">
        <f>IF($E1232="","",DATE(YEAR($E1232),MONTH($E1232),1))</f>
        <v/>
      </c>
      <c r="M1232" s="65" t="str">
        <f ca="1">IF($D1232="","",IF($C1232="TANIMSIZ MÜŞTERİ","HATA",IF(OR($E1232="",$F1232&lt;=0,$G1232=""),"EKSİK",IF($E1232&gt;TODAY(),"İLERİ TARİH",IF(COUNTIF($S$7:$S$2503,$S1232)&gt;1,"MÜKERRER?",IF($T1232&gt;0,"KAPALI DÖNEM","UYGUN"))))))</f>
        <v/>
      </c>
      <c r="N1232" s="74" t="str">
        <f>IF($C1232="","",IF($C1232="TANIMSIZ MÜŞTERİ","—",INDEX(MUSTERILER!$C$7:$C$156,MATCH($C1232,MUSTERILER!$B$7:$B$156,0))))</f>
        <v/>
      </c>
      <c r="O1232" s="2"/>
      <c r="P1232" s="2"/>
      <c r="Q1232" s="1" t="str">
        <f>IF($D1232="","",$C1232&amp;"|"&amp;COUNTIFS($C$7:$C1232,$C1232))</f>
        <v/>
      </c>
      <c r="R1232" s="1" t="str">
        <f t="shared" si="38"/>
        <v/>
      </c>
      <c r="S1232" s="1" t="str">
        <f t="shared" si="39"/>
        <v/>
      </c>
      <c r="T1232" s="1">
        <f>IF($E1232="",0,SUMPRODUCT((AY_SONU!$O$7:$O$42="Evet")*(AY_SONU!$B$7:$B$42=DATE(YEAR($E1232),MONTH($E1232),1))))</f>
        <v>0</v>
      </c>
      <c r="U1232" s="1" t="str">
        <f>IF(OR($G1232="",$H1232="Mahsup"),"",$G1232&amp;"|"&amp;COUNTIFS($G$7:$G1232,$G1232,$H$7:$H1232,"&lt;&gt;Mahsup"))</f>
        <v/>
      </c>
    </row>
    <row r="1233" spans="1:21" ht="18" customHeight="1" x14ac:dyDescent="0.3">
      <c r="A1233" s="2"/>
      <c r="B1233" s="65" t="str">
        <f>IF($D1233="","","T"&amp;TEXT(ROW()-6,"00000"))</f>
        <v/>
      </c>
      <c r="C1233" s="65" t="str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61"/>
      <c r="E1233" s="66"/>
      <c r="F1233" s="67"/>
      <c r="G1233" s="60"/>
      <c r="H1233" s="60"/>
      <c r="I1233" s="61"/>
      <c r="J1233" s="61"/>
      <c r="K1233" s="61"/>
      <c r="L1233" s="73" t="str">
        <f>IF($E1233="","",DATE(YEAR($E1233),MONTH($E1233),1))</f>
        <v/>
      </c>
      <c r="M1233" s="65" t="str">
        <f ca="1">IF($D1233="","",IF($C1233="TANIMSIZ MÜŞTERİ","HATA",IF(OR($E1233="",$F1233&lt;=0,$G1233=""),"EKSİK",IF($E1233&gt;TODAY(),"İLERİ TARİH",IF(COUNTIF($S$7:$S$2503,$S1233)&gt;1,"MÜKERRER?",IF($T1233&gt;0,"KAPALI DÖNEM","UYGUN"))))))</f>
        <v/>
      </c>
      <c r="N1233" s="74" t="str">
        <f>IF($C1233="","",IF($C1233="TANIMSIZ MÜŞTERİ","—",INDEX(MUSTERILER!$C$7:$C$156,MATCH($C1233,MUSTERILER!$B$7:$B$156,0))))</f>
        <v/>
      </c>
      <c r="O1233" s="2"/>
      <c r="P1233" s="2"/>
      <c r="Q1233" s="1" t="str">
        <f>IF($D1233="","",$C1233&amp;"|"&amp;COUNTIFS($C$7:$C1233,$C1233))</f>
        <v/>
      </c>
      <c r="R1233" s="1" t="str">
        <f t="shared" si="38"/>
        <v/>
      </c>
      <c r="S1233" s="1" t="str">
        <f t="shared" si="39"/>
        <v/>
      </c>
      <c r="T1233" s="1">
        <f>IF($E1233="",0,SUMPRODUCT((AY_SONU!$O$7:$O$42="Evet")*(AY_SONU!$B$7:$B$42=DATE(YEAR($E1233),MONTH($E1233),1))))</f>
        <v>0</v>
      </c>
      <c r="U1233" s="1" t="str">
        <f>IF(OR($G1233="",$H1233="Mahsup"),"",$G1233&amp;"|"&amp;COUNTIFS($G$7:$G1233,$G1233,$H$7:$H1233,"&lt;&gt;Mahsup"))</f>
        <v/>
      </c>
    </row>
    <row r="1234" spans="1:21" ht="18" customHeight="1" x14ac:dyDescent="0.3">
      <c r="A1234" s="2"/>
      <c r="B1234" s="65" t="str">
        <f>IF($D1234="","","T"&amp;TEXT(ROW()-6,"00000"))</f>
        <v/>
      </c>
      <c r="C1234" s="65" t="str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61"/>
      <c r="E1234" s="66"/>
      <c r="F1234" s="67"/>
      <c r="G1234" s="60"/>
      <c r="H1234" s="60"/>
      <c r="I1234" s="61"/>
      <c r="J1234" s="61"/>
      <c r="K1234" s="61"/>
      <c r="L1234" s="73" t="str">
        <f>IF($E1234="","",DATE(YEAR($E1234),MONTH($E1234),1))</f>
        <v/>
      </c>
      <c r="M1234" s="65" t="str">
        <f ca="1">IF($D1234="","",IF($C1234="TANIMSIZ MÜŞTERİ","HATA",IF(OR($E1234="",$F1234&lt;=0,$G1234=""),"EKSİK",IF($E1234&gt;TODAY(),"İLERİ TARİH",IF(COUNTIF($S$7:$S$2503,$S1234)&gt;1,"MÜKERRER?",IF($T1234&gt;0,"KAPALI DÖNEM","UYGUN"))))))</f>
        <v/>
      </c>
      <c r="N1234" s="74" t="str">
        <f>IF($C1234="","",IF($C1234="TANIMSIZ MÜŞTERİ","—",INDEX(MUSTERILER!$C$7:$C$156,MATCH($C1234,MUSTERILER!$B$7:$B$156,0))))</f>
        <v/>
      </c>
      <c r="O1234" s="2"/>
      <c r="P1234" s="2"/>
      <c r="Q1234" s="1" t="str">
        <f>IF($D1234="","",$C1234&amp;"|"&amp;COUNTIFS($C$7:$C1234,$C1234))</f>
        <v/>
      </c>
      <c r="R1234" s="1" t="str">
        <f t="shared" si="38"/>
        <v/>
      </c>
      <c r="S1234" s="1" t="str">
        <f t="shared" si="39"/>
        <v/>
      </c>
      <c r="T1234" s="1">
        <f>IF($E1234="",0,SUMPRODUCT((AY_SONU!$O$7:$O$42="Evet")*(AY_SONU!$B$7:$B$42=DATE(YEAR($E1234),MONTH($E1234),1))))</f>
        <v>0</v>
      </c>
      <c r="U1234" s="1" t="str">
        <f>IF(OR($G1234="",$H1234="Mahsup"),"",$G1234&amp;"|"&amp;COUNTIFS($G$7:$G1234,$G1234,$H$7:$H1234,"&lt;&gt;Mahsup"))</f>
        <v/>
      </c>
    </row>
    <row r="1235" spans="1:21" ht="18" customHeight="1" x14ac:dyDescent="0.3">
      <c r="A1235" s="2"/>
      <c r="B1235" s="65" t="str">
        <f>IF($D1235="","","T"&amp;TEXT(ROW()-6,"00000"))</f>
        <v/>
      </c>
      <c r="C1235" s="65" t="str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61"/>
      <c r="E1235" s="66"/>
      <c r="F1235" s="67"/>
      <c r="G1235" s="60"/>
      <c r="H1235" s="60"/>
      <c r="I1235" s="61"/>
      <c r="J1235" s="61"/>
      <c r="K1235" s="61"/>
      <c r="L1235" s="73" t="str">
        <f>IF($E1235="","",DATE(YEAR($E1235),MONTH($E1235),1))</f>
        <v/>
      </c>
      <c r="M1235" s="65" t="str">
        <f ca="1">IF($D1235="","",IF($C1235="TANIMSIZ MÜŞTERİ","HATA",IF(OR($E1235="",$F1235&lt;=0,$G1235=""),"EKSİK",IF($E1235&gt;TODAY(),"İLERİ TARİH",IF(COUNTIF($S$7:$S$2503,$S1235)&gt;1,"MÜKERRER?",IF($T1235&gt;0,"KAPALI DÖNEM","UYGUN"))))))</f>
        <v/>
      </c>
      <c r="N1235" s="74" t="str">
        <f>IF($C1235="","",IF($C1235="TANIMSIZ MÜŞTERİ","—",INDEX(MUSTERILER!$C$7:$C$156,MATCH($C1235,MUSTERILER!$B$7:$B$156,0))))</f>
        <v/>
      </c>
      <c r="O1235" s="2"/>
      <c r="P1235" s="2"/>
      <c r="Q1235" s="1" t="str">
        <f>IF($D1235="","",$C1235&amp;"|"&amp;COUNTIFS($C$7:$C1235,$C1235))</f>
        <v/>
      </c>
      <c r="R1235" s="1" t="str">
        <f t="shared" si="38"/>
        <v/>
      </c>
      <c r="S1235" s="1" t="str">
        <f t="shared" si="39"/>
        <v/>
      </c>
      <c r="T1235" s="1">
        <f>IF($E1235="",0,SUMPRODUCT((AY_SONU!$O$7:$O$42="Evet")*(AY_SONU!$B$7:$B$42=DATE(YEAR($E1235),MONTH($E1235),1))))</f>
        <v>0</v>
      </c>
      <c r="U1235" s="1" t="str">
        <f>IF(OR($G1235="",$H1235="Mahsup"),"",$G1235&amp;"|"&amp;COUNTIFS($G$7:$G1235,$G1235,$H$7:$H1235,"&lt;&gt;Mahsup"))</f>
        <v/>
      </c>
    </row>
    <row r="1236" spans="1:21" ht="18" customHeight="1" x14ac:dyDescent="0.3">
      <c r="A1236" s="2"/>
      <c r="B1236" s="65" t="str">
        <f>IF($D1236="","","T"&amp;TEXT(ROW()-6,"00000"))</f>
        <v/>
      </c>
      <c r="C1236" s="65" t="str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61"/>
      <c r="E1236" s="66"/>
      <c r="F1236" s="67"/>
      <c r="G1236" s="60"/>
      <c r="H1236" s="60"/>
      <c r="I1236" s="61"/>
      <c r="J1236" s="61"/>
      <c r="K1236" s="61"/>
      <c r="L1236" s="73" t="str">
        <f>IF($E1236="","",DATE(YEAR($E1236),MONTH($E1236),1))</f>
        <v/>
      </c>
      <c r="M1236" s="65" t="str">
        <f ca="1">IF($D1236="","",IF($C1236="TANIMSIZ MÜŞTERİ","HATA",IF(OR($E1236="",$F1236&lt;=0,$G1236=""),"EKSİK",IF($E1236&gt;TODAY(),"İLERİ TARİH",IF(COUNTIF($S$7:$S$2503,$S1236)&gt;1,"MÜKERRER?",IF($T1236&gt;0,"KAPALI DÖNEM","UYGUN"))))))</f>
        <v/>
      </c>
      <c r="N1236" s="74" t="str">
        <f>IF($C1236="","",IF($C1236="TANIMSIZ MÜŞTERİ","—",INDEX(MUSTERILER!$C$7:$C$156,MATCH($C1236,MUSTERILER!$B$7:$B$156,0))))</f>
        <v/>
      </c>
      <c r="O1236" s="2"/>
      <c r="P1236" s="2"/>
      <c r="Q1236" s="1" t="str">
        <f>IF($D1236="","",$C1236&amp;"|"&amp;COUNTIFS($C$7:$C1236,$C1236))</f>
        <v/>
      </c>
      <c r="R1236" s="1" t="str">
        <f t="shared" si="38"/>
        <v/>
      </c>
      <c r="S1236" s="1" t="str">
        <f t="shared" si="39"/>
        <v/>
      </c>
      <c r="T1236" s="1">
        <f>IF($E1236="",0,SUMPRODUCT((AY_SONU!$O$7:$O$42="Evet")*(AY_SONU!$B$7:$B$42=DATE(YEAR($E1236),MONTH($E1236),1))))</f>
        <v>0</v>
      </c>
      <c r="U1236" s="1" t="str">
        <f>IF(OR($G1236="",$H1236="Mahsup"),"",$G1236&amp;"|"&amp;COUNTIFS($G$7:$G1236,$G1236,$H$7:$H1236,"&lt;&gt;Mahsup"))</f>
        <v/>
      </c>
    </row>
    <row r="1237" spans="1:21" ht="18" customHeight="1" x14ac:dyDescent="0.3">
      <c r="A1237" s="2"/>
      <c r="B1237" s="65" t="str">
        <f>IF($D1237="","","T"&amp;TEXT(ROW()-6,"00000"))</f>
        <v/>
      </c>
      <c r="C1237" s="65" t="str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61"/>
      <c r="E1237" s="66"/>
      <c r="F1237" s="67"/>
      <c r="G1237" s="60"/>
      <c r="H1237" s="60"/>
      <c r="I1237" s="61"/>
      <c r="J1237" s="61"/>
      <c r="K1237" s="61"/>
      <c r="L1237" s="73" t="str">
        <f>IF($E1237="","",DATE(YEAR($E1237),MONTH($E1237),1))</f>
        <v/>
      </c>
      <c r="M1237" s="65" t="str">
        <f ca="1">IF($D1237="","",IF($C1237="TANIMSIZ MÜŞTERİ","HATA",IF(OR($E1237="",$F1237&lt;=0,$G1237=""),"EKSİK",IF($E1237&gt;TODAY(),"İLERİ TARİH",IF(COUNTIF($S$7:$S$2503,$S1237)&gt;1,"MÜKERRER?",IF($T1237&gt;0,"KAPALI DÖNEM","UYGUN"))))))</f>
        <v/>
      </c>
      <c r="N1237" s="74" t="str">
        <f>IF($C1237="","",IF($C1237="TANIMSIZ MÜŞTERİ","—",INDEX(MUSTERILER!$C$7:$C$156,MATCH($C1237,MUSTERILER!$B$7:$B$156,0))))</f>
        <v/>
      </c>
      <c r="O1237" s="2"/>
      <c r="P1237" s="2"/>
      <c r="Q1237" s="1" t="str">
        <f>IF($D1237="","",$C1237&amp;"|"&amp;COUNTIFS($C$7:$C1237,$C1237))</f>
        <v/>
      </c>
      <c r="R1237" s="1" t="str">
        <f t="shared" si="38"/>
        <v/>
      </c>
      <c r="S1237" s="1" t="str">
        <f t="shared" si="39"/>
        <v/>
      </c>
      <c r="T1237" s="1">
        <f>IF($E1237="",0,SUMPRODUCT((AY_SONU!$O$7:$O$42="Evet")*(AY_SONU!$B$7:$B$42=DATE(YEAR($E1237),MONTH($E1237),1))))</f>
        <v>0</v>
      </c>
      <c r="U1237" s="1" t="str">
        <f>IF(OR($G1237="",$H1237="Mahsup"),"",$G1237&amp;"|"&amp;COUNTIFS($G$7:$G1237,$G1237,$H$7:$H1237,"&lt;&gt;Mahsup"))</f>
        <v/>
      </c>
    </row>
    <row r="1238" spans="1:21" ht="18" customHeight="1" x14ac:dyDescent="0.3">
      <c r="A1238" s="2"/>
      <c r="B1238" s="65" t="str">
        <f>IF($D1238="","","T"&amp;TEXT(ROW()-6,"00000"))</f>
        <v/>
      </c>
      <c r="C1238" s="65" t="str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61"/>
      <c r="E1238" s="66"/>
      <c r="F1238" s="67"/>
      <c r="G1238" s="60"/>
      <c r="H1238" s="60"/>
      <c r="I1238" s="61"/>
      <c r="J1238" s="61"/>
      <c r="K1238" s="61"/>
      <c r="L1238" s="73" t="str">
        <f>IF($E1238="","",DATE(YEAR($E1238),MONTH($E1238),1))</f>
        <v/>
      </c>
      <c r="M1238" s="65" t="str">
        <f ca="1">IF($D1238="","",IF($C1238="TANIMSIZ MÜŞTERİ","HATA",IF(OR($E1238="",$F1238&lt;=0,$G1238=""),"EKSİK",IF($E1238&gt;TODAY(),"İLERİ TARİH",IF(COUNTIF($S$7:$S$2503,$S1238)&gt;1,"MÜKERRER?",IF($T1238&gt;0,"KAPALI DÖNEM","UYGUN"))))))</f>
        <v/>
      </c>
      <c r="N1238" s="74" t="str">
        <f>IF($C1238="","",IF($C1238="TANIMSIZ MÜŞTERİ","—",INDEX(MUSTERILER!$C$7:$C$156,MATCH($C1238,MUSTERILER!$B$7:$B$156,0))))</f>
        <v/>
      </c>
      <c r="O1238" s="2"/>
      <c r="P1238" s="2"/>
      <c r="Q1238" s="1" t="str">
        <f>IF($D1238="","",$C1238&amp;"|"&amp;COUNTIFS($C$7:$C1238,$C1238))</f>
        <v/>
      </c>
      <c r="R1238" s="1" t="str">
        <f t="shared" si="38"/>
        <v/>
      </c>
      <c r="S1238" s="1" t="str">
        <f t="shared" si="39"/>
        <v/>
      </c>
      <c r="T1238" s="1">
        <f>IF($E1238="",0,SUMPRODUCT((AY_SONU!$O$7:$O$42="Evet")*(AY_SONU!$B$7:$B$42=DATE(YEAR($E1238),MONTH($E1238),1))))</f>
        <v>0</v>
      </c>
      <c r="U1238" s="1" t="str">
        <f>IF(OR($G1238="",$H1238="Mahsup"),"",$G1238&amp;"|"&amp;COUNTIFS($G$7:$G1238,$G1238,$H$7:$H1238,"&lt;&gt;Mahsup"))</f>
        <v/>
      </c>
    </row>
    <row r="1239" spans="1:21" ht="18" customHeight="1" x14ac:dyDescent="0.3">
      <c r="A1239" s="2"/>
      <c r="B1239" s="65" t="str">
        <f>IF($D1239="","","T"&amp;TEXT(ROW()-6,"00000"))</f>
        <v/>
      </c>
      <c r="C1239" s="65" t="str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61"/>
      <c r="E1239" s="66"/>
      <c r="F1239" s="67"/>
      <c r="G1239" s="60"/>
      <c r="H1239" s="60"/>
      <c r="I1239" s="61"/>
      <c r="J1239" s="61"/>
      <c r="K1239" s="61"/>
      <c r="L1239" s="73" t="str">
        <f>IF($E1239="","",DATE(YEAR($E1239),MONTH($E1239),1))</f>
        <v/>
      </c>
      <c r="M1239" s="65" t="str">
        <f ca="1">IF($D1239="","",IF($C1239="TANIMSIZ MÜŞTERİ","HATA",IF(OR($E1239="",$F1239&lt;=0,$G1239=""),"EKSİK",IF($E1239&gt;TODAY(),"İLERİ TARİH",IF(COUNTIF($S$7:$S$2503,$S1239)&gt;1,"MÜKERRER?",IF($T1239&gt;0,"KAPALI DÖNEM","UYGUN"))))))</f>
        <v/>
      </c>
      <c r="N1239" s="74" t="str">
        <f>IF($C1239="","",IF($C1239="TANIMSIZ MÜŞTERİ","—",INDEX(MUSTERILER!$C$7:$C$156,MATCH($C1239,MUSTERILER!$B$7:$B$156,0))))</f>
        <v/>
      </c>
      <c r="O1239" s="2"/>
      <c r="P1239" s="2"/>
      <c r="Q1239" s="1" t="str">
        <f>IF($D1239="","",$C1239&amp;"|"&amp;COUNTIFS($C$7:$C1239,$C1239))</f>
        <v/>
      </c>
      <c r="R1239" s="1" t="str">
        <f t="shared" si="38"/>
        <v/>
      </c>
      <c r="S1239" s="1" t="str">
        <f t="shared" si="39"/>
        <v/>
      </c>
      <c r="T1239" s="1">
        <f>IF($E1239="",0,SUMPRODUCT((AY_SONU!$O$7:$O$42="Evet")*(AY_SONU!$B$7:$B$42=DATE(YEAR($E1239),MONTH($E1239),1))))</f>
        <v>0</v>
      </c>
      <c r="U1239" s="1" t="str">
        <f>IF(OR($G1239="",$H1239="Mahsup"),"",$G1239&amp;"|"&amp;COUNTIFS($G$7:$G1239,$G1239,$H$7:$H1239,"&lt;&gt;Mahsup"))</f>
        <v/>
      </c>
    </row>
    <row r="1240" spans="1:21" ht="18" customHeight="1" x14ac:dyDescent="0.3">
      <c r="A1240" s="2"/>
      <c r="B1240" s="65" t="str">
        <f>IF($D1240="","","T"&amp;TEXT(ROW()-6,"00000"))</f>
        <v/>
      </c>
      <c r="C1240" s="65" t="str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61"/>
      <c r="E1240" s="66"/>
      <c r="F1240" s="67"/>
      <c r="G1240" s="60"/>
      <c r="H1240" s="60"/>
      <c r="I1240" s="61"/>
      <c r="J1240" s="61"/>
      <c r="K1240" s="61"/>
      <c r="L1240" s="73" t="str">
        <f>IF($E1240="","",DATE(YEAR($E1240),MONTH($E1240),1))</f>
        <v/>
      </c>
      <c r="M1240" s="65" t="str">
        <f ca="1">IF($D1240="","",IF($C1240="TANIMSIZ MÜŞTERİ","HATA",IF(OR($E1240="",$F1240&lt;=0,$G1240=""),"EKSİK",IF($E1240&gt;TODAY(),"İLERİ TARİH",IF(COUNTIF($S$7:$S$2503,$S1240)&gt;1,"MÜKERRER?",IF($T1240&gt;0,"KAPALI DÖNEM","UYGUN"))))))</f>
        <v/>
      </c>
      <c r="N1240" s="74" t="str">
        <f>IF($C1240="","",IF($C1240="TANIMSIZ MÜŞTERİ","—",INDEX(MUSTERILER!$C$7:$C$156,MATCH($C1240,MUSTERILER!$B$7:$B$156,0))))</f>
        <v/>
      </c>
      <c r="O1240" s="2"/>
      <c r="P1240" s="2"/>
      <c r="Q1240" s="1" t="str">
        <f>IF($D1240="","",$C1240&amp;"|"&amp;COUNTIFS($C$7:$C1240,$C1240))</f>
        <v/>
      </c>
      <c r="R1240" s="1" t="str">
        <f t="shared" si="38"/>
        <v/>
      </c>
      <c r="S1240" s="1" t="str">
        <f t="shared" si="39"/>
        <v/>
      </c>
      <c r="T1240" s="1">
        <f>IF($E1240="",0,SUMPRODUCT((AY_SONU!$O$7:$O$42="Evet")*(AY_SONU!$B$7:$B$42=DATE(YEAR($E1240),MONTH($E1240),1))))</f>
        <v>0</v>
      </c>
      <c r="U1240" s="1" t="str">
        <f>IF(OR($G1240="",$H1240="Mahsup"),"",$G1240&amp;"|"&amp;COUNTIFS($G$7:$G1240,$G1240,$H$7:$H1240,"&lt;&gt;Mahsup"))</f>
        <v/>
      </c>
    </row>
    <row r="1241" spans="1:21" ht="18" customHeight="1" x14ac:dyDescent="0.3">
      <c r="A1241" s="2"/>
      <c r="B1241" s="65" t="str">
        <f>IF($D1241="","","T"&amp;TEXT(ROW()-6,"00000"))</f>
        <v/>
      </c>
      <c r="C1241" s="65" t="str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61"/>
      <c r="E1241" s="66"/>
      <c r="F1241" s="67"/>
      <c r="G1241" s="60"/>
      <c r="H1241" s="60"/>
      <c r="I1241" s="61"/>
      <c r="J1241" s="61"/>
      <c r="K1241" s="61"/>
      <c r="L1241" s="73" t="str">
        <f>IF($E1241="","",DATE(YEAR($E1241),MONTH($E1241),1))</f>
        <v/>
      </c>
      <c r="M1241" s="65" t="str">
        <f ca="1">IF($D1241="","",IF($C1241="TANIMSIZ MÜŞTERİ","HATA",IF(OR($E1241="",$F1241&lt;=0,$G1241=""),"EKSİK",IF($E1241&gt;TODAY(),"İLERİ TARİH",IF(COUNTIF($S$7:$S$2503,$S1241)&gt;1,"MÜKERRER?",IF($T1241&gt;0,"KAPALI DÖNEM","UYGUN"))))))</f>
        <v/>
      </c>
      <c r="N1241" s="74" t="str">
        <f>IF($C1241="","",IF($C1241="TANIMSIZ MÜŞTERİ","—",INDEX(MUSTERILER!$C$7:$C$156,MATCH($C1241,MUSTERILER!$B$7:$B$156,0))))</f>
        <v/>
      </c>
      <c r="O1241" s="2"/>
      <c r="P1241" s="2"/>
      <c r="Q1241" s="1" t="str">
        <f>IF($D1241="","",$C1241&amp;"|"&amp;COUNTIFS($C$7:$C1241,$C1241))</f>
        <v/>
      </c>
      <c r="R1241" s="1" t="str">
        <f t="shared" si="38"/>
        <v/>
      </c>
      <c r="S1241" s="1" t="str">
        <f t="shared" si="39"/>
        <v/>
      </c>
      <c r="T1241" s="1">
        <f>IF($E1241="",0,SUMPRODUCT((AY_SONU!$O$7:$O$42="Evet")*(AY_SONU!$B$7:$B$42=DATE(YEAR($E1241),MONTH($E1241),1))))</f>
        <v>0</v>
      </c>
      <c r="U1241" s="1" t="str">
        <f>IF(OR($G1241="",$H1241="Mahsup"),"",$G1241&amp;"|"&amp;COUNTIFS($G$7:$G1241,$G1241,$H$7:$H1241,"&lt;&gt;Mahsup"))</f>
        <v/>
      </c>
    </row>
    <row r="1242" spans="1:21" ht="18" customHeight="1" x14ac:dyDescent="0.3">
      <c r="A1242" s="2"/>
      <c r="B1242" s="65" t="str">
        <f>IF($D1242="","","T"&amp;TEXT(ROW()-6,"00000"))</f>
        <v/>
      </c>
      <c r="C1242" s="65" t="str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61"/>
      <c r="E1242" s="66"/>
      <c r="F1242" s="67"/>
      <c r="G1242" s="60"/>
      <c r="H1242" s="60"/>
      <c r="I1242" s="61"/>
      <c r="J1242" s="61"/>
      <c r="K1242" s="61"/>
      <c r="L1242" s="73" t="str">
        <f>IF($E1242="","",DATE(YEAR($E1242),MONTH($E1242),1))</f>
        <v/>
      </c>
      <c r="M1242" s="65" t="str">
        <f ca="1">IF($D1242="","",IF($C1242="TANIMSIZ MÜŞTERİ","HATA",IF(OR($E1242="",$F1242&lt;=0,$G1242=""),"EKSİK",IF($E1242&gt;TODAY(),"İLERİ TARİH",IF(COUNTIF($S$7:$S$2503,$S1242)&gt;1,"MÜKERRER?",IF($T1242&gt;0,"KAPALI DÖNEM","UYGUN"))))))</f>
        <v/>
      </c>
      <c r="N1242" s="74" t="str">
        <f>IF($C1242="","",IF($C1242="TANIMSIZ MÜŞTERİ","—",INDEX(MUSTERILER!$C$7:$C$156,MATCH($C1242,MUSTERILER!$B$7:$B$156,0))))</f>
        <v/>
      </c>
      <c r="O1242" s="2"/>
      <c r="P1242" s="2"/>
      <c r="Q1242" s="1" t="str">
        <f>IF($D1242="","",$C1242&amp;"|"&amp;COUNTIFS($C$7:$C1242,$C1242))</f>
        <v/>
      </c>
      <c r="R1242" s="1" t="str">
        <f t="shared" si="38"/>
        <v/>
      </c>
      <c r="S1242" s="1" t="str">
        <f t="shared" si="39"/>
        <v/>
      </c>
      <c r="T1242" s="1">
        <f>IF($E1242="",0,SUMPRODUCT((AY_SONU!$O$7:$O$42="Evet")*(AY_SONU!$B$7:$B$42=DATE(YEAR($E1242),MONTH($E1242),1))))</f>
        <v>0</v>
      </c>
      <c r="U1242" s="1" t="str">
        <f>IF(OR($G1242="",$H1242="Mahsup"),"",$G1242&amp;"|"&amp;COUNTIFS($G$7:$G1242,$G1242,$H$7:$H1242,"&lt;&gt;Mahsup"))</f>
        <v/>
      </c>
    </row>
    <row r="1243" spans="1:21" ht="18" customHeight="1" x14ac:dyDescent="0.3">
      <c r="A1243" s="2"/>
      <c r="B1243" s="65" t="str">
        <f>IF($D1243="","","T"&amp;TEXT(ROW()-6,"00000"))</f>
        <v/>
      </c>
      <c r="C1243" s="65" t="str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61"/>
      <c r="E1243" s="66"/>
      <c r="F1243" s="67"/>
      <c r="G1243" s="60"/>
      <c r="H1243" s="60"/>
      <c r="I1243" s="61"/>
      <c r="J1243" s="61"/>
      <c r="K1243" s="61"/>
      <c r="L1243" s="73" t="str">
        <f>IF($E1243="","",DATE(YEAR($E1243),MONTH($E1243),1))</f>
        <v/>
      </c>
      <c r="M1243" s="65" t="str">
        <f ca="1">IF($D1243="","",IF($C1243="TANIMSIZ MÜŞTERİ","HATA",IF(OR($E1243="",$F1243&lt;=0,$G1243=""),"EKSİK",IF($E1243&gt;TODAY(),"İLERİ TARİH",IF(COUNTIF($S$7:$S$2503,$S1243)&gt;1,"MÜKERRER?",IF($T1243&gt;0,"KAPALI DÖNEM","UYGUN"))))))</f>
        <v/>
      </c>
      <c r="N1243" s="74" t="str">
        <f>IF($C1243="","",IF($C1243="TANIMSIZ MÜŞTERİ","—",INDEX(MUSTERILER!$C$7:$C$156,MATCH($C1243,MUSTERILER!$B$7:$B$156,0))))</f>
        <v/>
      </c>
      <c r="O1243" s="2"/>
      <c r="P1243" s="2"/>
      <c r="Q1243" s="1" t="str">
        <f>IF($D1243="","",$C1243&amp;"|"&amp;COUNTIFS($C$7:$C1243,$C1243))</f>
        <v/>
      </c>
      <c r="R1243" s="1" t="str">
        <f t="shared" si="38"/>
        <v/>
      </c>
      <c r="S1243" s="1" t="str">
        <f t="shared" si="39"/>
        <v/>
      </c>
      <c r="T1243" s="1">
        <f>IF($E1243="",0,SUMPRODUCT((AY_SONU!$O$7:$O$42="Evet")*(AY_SONU!$B$7:$B$42=DATE(YEAR($E1243),MONTH($E1243),1))))</f>
        <v>0</v>
      </c>
      <c r="U1243" s="1" t="str">
        <f>IF(OR($G1243="",$H1243="Mahsup"),"",$G1243&amp;"|"&amp;COUNTIFS($G$7:$G1243,$G1243,$H$7:$H1243,"&lt;&gt;Mahsup"))</f>
        <v/>
      </c>
    </row>
    <row r="1244" spans="1:21" ht="18" customHeight="1" x14ac:dyDescent="0.3">
      <c r="A1244" s="2"/>
      <c r="B1244" s="65" t="str">
        <f>IF($D1244="","","T"&amp;TEXT(ROW()-6,"00000"))</f>
        <v/>
      </c>
      <c r="C1244" s="65" t="str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61"/>
      <c r="E1244" s="66"/>
      <c r="F1244" s="67"/>
      <c r="G1244" s="60"/>
      <c r="H1244" s="60"/>
      <c r="I1244" s="61"/>
      <c r="J1244" s="61"/>
      <c r="K1244" s="61"/>
      <c r="L1244" s="73" t="str">
        <f>IF($E1244="","",DATE(YEAR($E1244),MONTH($E1244),1))</f>
        <v/>
      </c>
      <c r="M1244" s="65" t="str">
        <f ca="1">IF($D1244="","",IF($C1244="TANIMSIZ MÜŞTERİ","HATA",IF(OR($E1244="",$F1244&lt;=0,$G1244=""),"EKSİK",IF($E1244&gt;TODAY(),"İLERİ TARİH",IF(COUNTIF($S$7:$S$2503,$S1244)&gt;1,"MÜKERRER?",IF($T1244&gt;0,"KAPALI DÖNEM","UYGUN"))))))</f>
        <v/>
      </c>
      <c r="N1244" s="74" t="str">
        <f>IF($C1244="","",IF($C1244="TANIMSIZ MÜŞTERİ","—",INDEX(MUSTERILER!$C$7:$C$156,MATCH($C1244,MUSTERILER!$B$7:$B$156,0))))</f>
        <v/>
      </c>
      <c r="O1244" s="2"/>
      <c r="P1244" s="2"/>
      <c r="Q1244" s="1" t="str">
        <f>IF($D1244="","",$C1244&amp;"|"&amp;COUNTIFS($C$7:$C1244,$C1244))</f>
        <v/>
      </c>
      <c r="R1244" s="1" t="str">
        <f t="shared" si="38"/>
        <v/>
      </c>
      <c r="S1244" s="1" t="str">
        <f t="shared" si="39"/>
        <v/>
      </c>
      <c r="T1244" s="1">
        <f>IF($E1244="",0,SUMPRODUCT((AY_SONU!$O$7:$O$42="Evet")*(AY_SONU!$B$7:$B$42=DATE(YEAR($E1244),MONTH($E1244),1))))</f>
        <v>0</v>
      </c>
      <c r="U1244" s="1" t="str">
        <f>IF(OR($G1244="",$H1244="Mahsup"),"",$G1244&amp;"|"&amp;COUNTIFS($G$7:$G1244,$G1244,$H$7:$H1244,"&lt;&gt;Mahsup"))</f>
        <v/>
      </c>
    </row>
    <row r="1245" spans="1:21" ht="18" customHeight="1" x14ac:dyDescent="0.3">
      <c r="A1245" s="2"/>
      <c r="B1245" s="65" t="str">
        <f>IF($D1245="","","T"&amp;TEXT(ROW()-6,"00000"))</f>
        <v/>
      </c>
      <c r="C1245" s="65" t="str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61"/>
      <c r="E1245" s="66"/>
      <c r="F1245" s="67"/>
      <c r="G1245" s="60"/>
      <c r="H1245" s="60"/>
      <c r="I1245" s="61"/>
      <c r="J1245" s="61"/>
      <c r="K1245" s="61"/>
      <c r="L1245" s="73" t="str">
        <f>IF($E1245="","",DATE(YEAR($E1245),MONTH($E1245),1))</f>
        <v/>
      </c>
      <c r="M1245" s="65" t="str">
        <f ca="1">IF($D1245="","",IF($C1245="TANIMSIZ MÜŞTERİ","HATA",IF(OR($E1245="",$F1245&lt;=0,$G1245=""),"EKSİK",IF($E1245&gt;TODAY(),"İLERİ TARİH",IF(COUNTIF($S$7:$S$2503,$S1245)&gt;1,"MÜKERRER?",IF($T1245&gt;0,"KAPALI DÖNEM","UYGUN"))))))</f>
        <v/>
      </c>
      <c r="N1245" s="74" t="str">
        <f>IF($C1245="","",IF($C1245="TANIMSIZ MÜŞTERİ","—",INDEX(MUSTERILER!$C$7:$C$156,MATCH($C1245,MUSTERILER!$B$7:$B$156,0))))</f>
        <v/>
      </c>
      <c r="O1245" s="2"/>
      <c r="P1245" s="2"/>
      <c r="Q1245" s="1" t="str">
        <f>IF($D1245="","",$C1245&amp;"|"&amp;COUNTIFS($C$7:$C1245,$C1245))</f>
        <v/>
      </c>
      <c r="R1245" s="1" t="str">
        <f t="shared" si="38"/>
        <v/>
      </c>
      <c r="S1245" s="1" t="str">
        <f t="shared" si="39"/>
        <v/>
      </c>
      <c r="T1245" s="1">
        <f>IF($E1245="",0,SUMPRODUCT((AY_SONU!$O$7:$O$42="Evet")*(AY_SONU!$B$7:$B$42=DATE(YEAR($E1245),MONTH($E1245),1))))</f>
        <v>0</v>
      </c>
      <c r="U1245" s="1" t="str">
        <f>IF(OR($G1245="",$H1245="Mahsup"),"",$G1245&amp;"|"&amp;COUNTIFS($G$7:$G1245,$G1245,$H$7:$H1245,"&lt;&gt;Mahsup"))</f>
        <v/>
      </c>
    </row>
    <row r="1246" spans="1:21" ht="18" customHeight="1" x14ac:dyDescent="0.3">
      <c r="A1246" s="2"/>
      <c r="B1246" s="65" t="str">
        <f>IF($D1246="","","T"&amp;TEXT(ROW()-6,"00000"))</f>
        <v/>
      </c>
      <c r="C1246" s="65" t="str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61"/>
      <c r="E1246" s="66"/>
      <c r="F1246" s="67"/>
      <c r="G1246" s="60"/>
      <c r="H1246" s="60"/>
      <c r="I1246" s="61"/>
      <c r="J1246" s="61"/>
      <c r="K1246" s="61"/>
      <c r="L1246" s="73" t="str">
        <f>IF($E1246="","",DATE(YEAR($E1246),MONTH($E1246),1))</f>
        <v/>
      </c>
      <c r="M1246" s="65" t="str">
        <f ca="1">IF($D1246="","",IF($C1246="TANIMSIZ MÜŞTERİ","HATA",IF(OR($E1246="",$F1246&lt;=0,$G1246=""),"EKSİK",IF($E1246&gt;TODAY(),"İLERİ TARİH",IF(COUNTIF($S$7:$S$2503,$S1246)&gt;1,"MÜKERRER?",IF($T1246&gt;0,"KAPALI DÖNEM","UYGUN"))))))</f>
        <v/>
      </c>
      <c r="N1246" s="74" t="str">
        <f>IF($C1246="","",IF($C1246="TANIMSIZ MÜŞTERİ","—",INDEX(MUSTERILER!$C$7:$C$156,MATCH($C1246,MUSTERILER!$B$7:$B$156,0))))</f>
        <v/>
      </c>
      <c r="O1246" s="2"/>
      <c r="P1246" s="2"/>
      <c r="Q1246" s="1" t="str">
        <f>IF($D1246="","",$C1246&amp;"|"&amp;COUNTIFS($C$7:$C1246,$C1246))</f>
        <v/>
      </c>
      <c r="R1246" s="1" t="str">
        <f t="shared" si="38"/>
        <v/>
      </c>
      <c r="S1246" s="1" t="str">
        <f t="shared" si="39"/>
        <v/>
      </c>
      <c r="T1246" s="1">
        <f>IF($E1246="",0,SUMPRODUCT((AY_SONU!$O$7:$O$42="Evet")*(AY_SONU!$B$7:$B$42=DATE(YEAR($E1246),MONTH($E1246),1))))</f>
        <v>0</v>
      </c>
      <c r="U1246" s="1" t="str">
        <f>IF(OR($G1246="",$H1246="Mahsup"),"",$G1246&amp;"|"&amp;COUNTIFS($G$7:$G1246,$G1246,$H$7:$H1246,"&lt;&gt;Mahsup"))</f>
        <v/>
      </c>
    </row>
    <row r="1247" spans="1:21" ht="18" customHeight="1" x14ac:dyDescent="0.3">
      <c r="A1247" s="2"/>
      <c r="B1247" s="65" t="str">
        <f>IF($D1247="","","T"&amp;TEXT(ROW()-6,"00000"))</f>
        <v/>
      </c>
      <c r="C1247" s="65" t="str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61"/>
      <c r="E1247" s="66"/>
      <c r="F1247" s="67"/>
      <c r="G1247" s="60"/>
      <c r="H1247" s="60"/>
      <c r="I1247" s="61"/>
      <c r="J1247" s="61"/>
      <c r="K1247" s="61"/>
      <c r="L1247" s="73" t="str">
        <f>IF($E1247="","",DATE(YEAR($E1247),MONTH($E1247),1))</f>
        <v/>
      </c>
      <c r="M1247" s="65" t="str">
        <f ca="1">IF($D1247="","",IF($C1247="TANIMSIZ MÜŞTERİ","HATA",IF(OR($E1247="",$F1247&lt;=0,$G1247=""),"EKSİK",IF($E1247&gt;TODAY(),"İLERİ TARİH",IF(COUNTIF($S$7:$S$2503,$S1247)&gt;1,"MÜKERRER?",IF($T1247&gt;0,"KAPALI DÖNEM","UYGUN"))))))</f>
        <v/>
      </c>
      <c r="N1247" s="74" t="str">
        <f>IF($C1247="","",IF($C1247="TANIMSIZ MÜŞTERİ","—",INDEX(MUSTERILER!$C$7:$C$156,MATCH($C1247,MUSTERILER!$B$7:$B$156,0))))</f>
        <v/>
      </c>
      <c r="O1247" s="2"/>
      <c r="P1247" s="2"/>
      <c r="Q1247" s="1" t="str">
        <f>IF($D1247="","",$C1247&amp;"|"&amp;COUNTIFS($C$7:$C1247,$C1247))</f>
        <v/>
      </c>
      <c r="R1247" s="1" t="str">
        <f t="shared" si="38"/>
        <v/>
      </c>
      <c r="S1247" s="1" t="str">
        <f t="shared" si="39"/>
        <v/>
      </c>
      <c r="T1247" s="1">
        <f>IF($E1247="",0,SUMPRODUCT((AY_SONU!$O$7:$O$42="Evet")*(AY_SONU!$B$7:$B$42=DATE(YEAR($E1247),MONTH($E1247),1))))</f>
        <v>0</v>
      </c>
      <c r="U1247" s="1" t="str">
        <f>IF(OR($G1247="",$H1247="Mahsup"),"",$G1247&amp;"|"&amp;COUNTIFS($G$7:$G1247,$G1247,$H$7:$H1247,"&lt;&gt;Mahsup"))</f>
        <v/>
      </c>
    </row>
    <row r="1248" spans="1:21" ht="18" customHeight="1" x14ac:dyDescent="0.3">
      <c r="A1248" s="2"/>
      <c r="B1248" s="65" t="str">
        <f>IF($D1248="","","T"&amp;TEXT(ROW()-6,"00000"))</f>
        <v/>
      </c>
      <c r="C1248" s="65" t="str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61"/>
      <c r="E1248" s="66"/>
      <c r="F1248" s="67"/>
      <c r="G1248" s="60"/>
      <c r="H1248" s="60"/>
      <c r="I1248" s="61"/>
      <c r="J1248" s="61"/>
      <c r="K1248" s="61"/>
      <c r="L1248" s="73" t="str">
        <f>IF($E1248="","",DATE(YEAR($E1248),MONTH($E1248),1))</f>
        <v/>
      </c>
      <c r="M1248" s="65" t="str">
        <f ca="1">IF($D1248="","",IF($C1248="TANIMSIZ MÜŞTERİ","HATA",IF(OR($E1248="",$F1248&lt;=0,$G1248=""),"EKSİK",IF($E1248&gt;TODAY(),"İLERİ TARİH",IF(COUNTIF($S$7:$S$2503,$S1248)&gt;1,"MÜKERRER?",IF($T1248&gt;0,"KAPALI DÖNEM","UYGUN"))))))</f>
        <v/>
      </c>
      <c r="N1248" s="74" t="str">
        <f>IF($C1248="","",IF($C1248="TANIMSIZ MÜŞTERİ","—",INDEX(MUSTERILER!$C$7:$C$156,MATCH($C1248,MUSTERILER!$B$7:$B$156,0))))</f>
        <v/>
      </c>
      <c r="O1248" s="2"/>
      <c r="P1248" s="2"/>
      <c r="Q1248" s="1" t="str">
        <f>IF($D1248="","",$C1248&amp;"|"&amp;COUNTIFS($C$7:$C1248,$C1248))</f>
        <v/>
      </c>
      <c r="R1248" s="1" t="str">
        <f t="shared" si="38"/>
        <v/>
      </c>
      <c r="S1248" s="1" t="str">
        <f t="shared" si="39"/>
        <v/>
      </c>
      <c r="T1248" s="1">
        <f>IF($E1248="",0,SUMPRODUCT((AY_SONU!$O$7:$O$42="Evet")*(AY_SONU!$B$7:$B$42=DATE(YEAR($E1248),MONTH($E1248),1))))</f>
        <v>0</v>
      </c>
      <c r="U1248" s="1" t="str">
        <f>IF(OR($G1248="",$H1248="Mahsup"),"",$G1248&amp;"|"&amp;COUNTIFS($G$7:$G1248,$G1248,$H$7:$H1248,"&lt;&gt;Mahsup"))</f>
        <v/>
      </c>
    </row>
    <row r="1249" spans="1:21" ht="18" customHeight="1" x14ac:dyDescent="0.3">
      <c r="A1249" s="2"/>
      <c r="B1249" s="65" t="str">
        <f>IF($D1249="","","T"&amp;TEXT(ROW()-6,"00000"))</f>
        <v/>
      </c>
      <c r="C1249" s="65" t="str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61"/>
      <c r="E1249" s="66"/>
      <c r="F1249" s="67"/>
      <c r="G1249" s="60"/>
      <c r="H1249" s="60"/>
      <c r="I1249" s="61"/>
      <c r="J1249" s="61"/>
      <c r="K1249" s="61"/>
      <c r="L1249" s="73" t="str">
        <f>IF($E1249="","",DATE(YEAR($E1249),MONTH($E1249),1))</f>
        <v/>
      </c>
      <c r="M1249" s="65" t="str">
        <f ca="1">IF($D1249="","",IF($C1249="TANIMSIZ MÜŞTERİ","HATA",IF(OR($E1249="",$F1249&lt;=0,$G1249=""),"EKSİK",IF($E1249&gt;TODAY(),"İLERİ TARİH",IF(COUNTIF($S$7:$S$2503,$S1249)&gt;1,"MÜKERRER?",IF($T1249&gt;0,"KAPALI DÖNEM","UYGUN"))))))</f>
        <v/>
      </c>
      <c r="N1249" s="74" t="str">
        <f>IF($C1249="","",IF($C1249="TANIMSIZ MÜŞTERİ","—",INDEX(MUSTERILER!$C$7:$C$156,MATCH($C1249,MUSTERILER!$B$7:$B$156,0))))</f>
        <v/>
      </c>
      <c r="O1249" s="2"/>
      <c r="P1249" s="2"/>
      <c r="Q1249" s="1" t="str">
        <f>IF($D1249="","",$C1249&amp;"|"&amp;COUNTIFS($C$7:$C1249,$C1249))</f>
        <v/>
      </c>
      <c r="R1249" s="1" t="str">
        <f t="shared" si="38"/>
        <v/>
      </c>
      <c r="S1249" s="1" t="str">
        <f t="shared" si="39"/>
        <v/>
      </c>
      <c r="T1249" s="1">
        <f>IF($E1249="",0,SUMPRODUCT((AY_SONU!$O$7:$O$42="Evet")*(AY_SONU!$B$7:$B$42=DATE(YEAR($E1249),MONTH($E1249),1))))</f>
        <v>0</v>
      </c>
      <c r="U1249" s="1" t="str">
        <f>IF(OR($G1249="",$H1249="Mahsup"),"",$G1249&amp;"|"&amp;COUNTIFS($G$7:$G1249,$G1249,$H$7:$H1249,"&lt;&gt;Mahsup"))</f>
        <v/>
      </c>
    </row>
    <row r="1250" spans="1:21" ht="18" customHeight="1" x14ac:dyDescent="0.3">
      <c r="A1250" s="2"/>
      <c r="B1250" s="65" t="str">
        <f>IF($D1250="","","T"&amp;TEXT(ROW()-6,"00000"))</f>
        <v/>
      </c>
      <c r="C1250" s="65" t="str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61"/>
      <c r="E1250" s="66"/>
      <c r="F1250" s="67"/>
      <c r="G1250" s="60"/>
      <c r="H1250" s="60"/>
      <c r="I1250" s="61"/>
      <c r="J1250" s="61"/>
      <c r="K1250" s="61"/>
      <c r="L1250" s="73" t="str">
        <f>IF($E1250="","",DATE(YEAR($E1250),MONTH($E1250),1))</f>
        <v/>
      </c>
      <c r="M1250" s="65" t="str">
        <f ca="1">IF($D1250="","",IF($C1250="TANIMSIZ MÜŞTERİ","HATA",IF(OR($E1250="",$F1250&lt;=0,$G1250=""),"EKSİK",IF($E1250&gt;TODAY(),"İLERİ TARİH",IF(COUNTIF($S$7:$S$2503,$S1250)&gt;1,"MÜKERRER?",IF($T1250&gt;0,"KAPALI DÖNEM","UYGUN"))))))</f>
        <v/>
      </c>
      <c r="N1250" s="74" t="str">
        <f>IF($C1250="","",IF($C1250="TANIMSIZ MÜŞTERİ","—",INDEX(MUSTERILER!$C$7:$C$156,MATCH($C1250,MUSTERILER!$B$7:$B$156,0))))</f>
        <v/>
      </c>
      <c r="O1250" s="2"/>
      <c r="P1250" s="2"/>
      <c r="Q1250" s="1" t="str">
        <f>IF($D1250="","",$C1250&amp;"|"&amp;COUNTIFS($C$7:$C1250,$C1250))</f>
        <v/>
      </c>
      <c r="R1250" s="1" t="str">
        <f t="shared" si="38"/>
        <v/>
      </c>
      <c r="S1250" s="1" t="str">
        <f t="shared" si="39"/>
        <v/>
      </c>
      <c r="T1250" s="1">
        <f>IF($E1250="",0,SUMPRODUCT((AY_SONU!$O$7:$O$42="Evet")*(AY_SONU!$B$7:$B$42=DATE(YEAR($E1250),MONTH($E1250),1))))</f>
        <v>0</v>
      </c>
      <c r="U1250" s="1" t="str">
        <f>IF(OR($G1250="",$H1250="Mahsup"),"",$G1250&amp;"|"&amp;COUNTIFS($G$7:$G1250,$G1250,$H$7:$H1250,"&lt;&gt;Mahsup"))</f>
        <v/>
      </c>
    </row>
    <row r="1251" spans="1:21" ht="18" customHeight="1" x14ac:dyDescent="0.3">
      <c r="A1251" s="2"/>
      <c r="B1251" s="65" t="str">
        <f>IF($D1251="","","T"&amp;TEXT(ROW()-6,"00000"))</f>
        <v/>
      </c>
      <c r="C1251" s="65" t="str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61"/>
      <c r="E1251" s="66"/>
      <c r="F1251" s="67"/>
      <c r="G1251" s="60"/>
      <c r="H1251" s="60"/>
      <c r="I1251" s="61"/>
      <c r="J1251" s="61"/>
      <c r="K1251" s="61"/>
      <c r="L1251" s="73" t="str">
        <f>IF($E1251="","",DATE(YEAR($E1251),MONTH($E1251),1))</f>
        <v/>
      </c>
      <c r="M1251" s="65" t="str">
        <f ca="1">IF($D1251="","",IF($C1251="TANIMSIZ MÜŞTERİ","HATA",IF(OR($E1251="",$F1251&lt;=0,$G1251=""),"EKSİK",IF($E1251&gt;TODAY(),"İLERİ TARİH",IF(COUNTIF($S$7:$S$2503,$S1251)&gt;1,"MÜKERRER?",IF($T1251&gt;0,"KAPALI DÖNEM","UYGUN"))))))</f>
        <v/>
      </c>
      <c r="N1251" s="74" t="str">
        <f>IF($C1251="","",IF($C1251="TANIMSIZ MÜŞTERİ","—",INDEX(MUSTERILER!$C$7:$C$156,MATCH($C1251,MUSTERILER!$B$7:$B$156,0))))</f>
        <v/>
      </c>
      <c r="O1251" s="2"/>
      <c r="P1251" s="2"/>
      <c r="Q1251" s="1" t="str">
        <f>IF($D1251="","",$C1251&amp;"|"&amp;COUNTIFS($C$7:$C1251,$C1251))</f>
        <v/>
      </c>
      <c r="R1251" s="1" t="str">
        <f t="shared" si="38"/>
        <v/>
      </c>
      <c r="S1251" s="1" t="str">
        <f t="shared" si="39"/>
        <v/>
      </c>
      <c r="T1251" s="1">
        <f>IF($E1251="",0,SUMPRODUCT((AY_SONU!$O$7:$O$42="Evet")*(AY_SONU!$B$7:$B$42=DATE(YEAR($E1251),MONTH($E1251),1))))</f>
        <v>0</v>
      </c>
      <c r="U1251" s="1" t="str">
        <f>IF(OR($G1251="",$H1251="Mahsup"),"",$G1251&amp;"|"&amp;COUNTIFS($G$7:$G1251,$G1251,$H$7:$H1251,"&lt;&gt;Mahsup"))</f>
        <v/>
      </c>
    </row>
    <row r="1252" spans="1:21" ht="18" customHeight="1" x14ac:dyDescent="0.3">
      <c r="A1252" s="2"/>
      <c r="B1252" s="65" t="str">
        <f>IF($D1252="","","T"&amp;TEXT(ROW()-6,"00000"))</f>
        <v/>
      </c>
      <c r="C1252" s="65" t="str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61"/>
      <c r="E1252" s="66"/>
      <c r="F1252" s="67"/>
      <c r="G1252" s="60"/>
      <c r="H1252" s="60"/>
      <c r="I1252" s="61"/>
      <c r="J1252" s="61"/>
      <c r="K1252" s="61"/>
      <c r="L1252" s="73" t="str">
        <f>IF($E1252="","",DATE(YEAR($E1252),MONTH($E1252),1))</f>
        <v/>
      </c>
      <c r="M1252" s="65" t="str">
        <f ca="1">IF($D1252="","",IF($C1252="TANIMSIZ MÜŞTERİ","HATA",IF(OR($E1252="",$F1252&lt;=0,$G1252=""),"EKSİK",IF($E1252&gt;TODAY(),"İLERİ TARİH",IF(COUNTIF($S$7:$S$2503,$S1252)&gt;1,"MÜKERRER?",IF($T1252&gt;0,"KAPALI DÖNEM","UYGUN"))))))</f>
        <v/>
      </c>
      <c r="N1252" s="74" t="str">
        <f>IF($C1252="","",IF($C1252="TANIMSIZ MÜŞTERİ","—",INDEX(MUSTERILER!$C$7:$C$156,MATCH($C1252,MUSTERILER!$B$7:$B$156,0))))</f>
        <v/>
      </c>
      <c r="O1252" s="2"/>
      <c r="P1252" s="2"/>
      <c r="Q1252" s="1" t="str">
        <f>IF($D1252="","",$C1252&amp;"|"&amp;COUNTIFS($C$7:$C1252,$C1252))</f>
        <v/>
      </c>
      <c r="R1252" s="1" t="str">
        <f t="shared" si="38"/>
        <v/>
      </c>
      <c r="S1252" s="1" t="str">
        <f t="shared" si="39"/>
        <v/>
      </c>
      <c r="T1252" s="1">
        <f>IF($E1252="",0,SUMPRODUCT((AY_SONU!$O$7:$O$42="Evet")*(AY_SONU!$B$7:$B$42=DATE(YEAR($E1252),MONTH($E1252),1))))</f>
        <v>0</v>
      </c>
      <c r="U1252" s="1" t="str">
        <f>IF(OR($G1252="",$H1252="Mahsup"),"",$G1252&amp;"|"&amp;COUNTIFS($G$7:$G1252,$G1252,$H$7:$H1252,"&lt;&gt;Mahsup"))</f>
        <v/>
      </c>
    </row>
    <row r="1253" spans="1:21" ht="18" customHeight="1" x14ac:dyDescent="0.3">
      <c r="A1253" s="2"/>
      <c r="B1253" s="65" t="str">
        <f>IF($D1253="","","T"&amp;TEXT(ROW()-6,"00000"))</f>
        <v/>
      </c>
      <c r="C1253" s="65" t="str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61"/>
      <c r="E1253" s="66"/>
      <c r="F1253" s="67"/>
      <c r="G1253" s="60"/>
      <c r="H1253" s="60"/>
      <c r="I1253" s="61"/>
      <c r="J1253" s="61"/>
      <c r="K1253" s="61"/>
      <c r="L1253" s="73" t="str">
        <f>IF($E1253="","",DATE(YEAR($E1253),MONTH($E1253),1))</f>
        <v/>
      </c>
      <c r="M1253" s="65" t="str">
        <f ca="1">IF($D1253="","",IF($C1253="TANIMSIZ MÜŞTERİ","HATA",IF(OR($E1253="",$F1253&lt;=0,$G1253=""),"EKSİK",IF($E1253&gt;TODAY(),"İLERİ TARİH",IF(COUNTIF($S$7:$S$2503,$S1253)&gt;1,"MÜKERRER?",IF($T1253&gt;0,"KAPALI DÖNEM","UYGUN"))))))</f>
        <v/>
      </c>
      <c r="N1253" s="74" t="str">
        <f>IF($C1253="","",IF($C1253="TANIMSIZ MÜŞTERİ","—",INDEX(MUSTERILER!$C$7:$C$156,MATCH($C1253,MUSTERILER!$B$7:$B$156,0))))</f>
        <v/>
      </c>
      <c r="O1253" s="2"/>
      <c r="P1253" s="2"/>
      <c r="Q1253" s="1" t="str">
        <f>IF($D1253="","",$C1253&amp;"|"&amp;COUNTIFS($C$7:$C1253,$C1253))</f>
        <v/>
      </c>
      <c r="R1253" s="1" t="str">
        <f t="shared" si="38"/>
        <v/>
      </c>
      <c r="S1253" s="1" t="str">
        <f t="shared" si="39"/>
        <v/>
      </c>
      <c r="T1253" s="1">
        <f>IF($E1253="",0,SUMPRODUCT((AY_SONU!$O$7:$O$42="Evet")*(AY_SONU!$B$7:$B$42=DATE(YEAR($E1253),MONTH($E1253),1))))</f>
        <v>0</v>
      </c>
      <c r="U1253" s="1" t="str">
        <f>IF(OR($G1253="",$H1253="Mahsup"),"",$G1253&amp;"|"&amp;COUNTIFS($G$7:$G1253,$G1253,$H$7:$H1253,"&lt;&gt;Mahsup"))</f>
        <v/>
      </c>
    </row>
    <row r="1254" spans="1:21" ht="18" customHeight="1" x14ac:dyDescent="0.3">
      <c r="A1254" s="2"/>
      <c r="B1254" s="65" t="str">
        <f>IF($D1254="","","T"&amp;TEXT(ROW()-6,"00000"))</f>
        <v/>
      </c>
      <c r="C1254" s="65" t="str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61"/>
      <c r="E1254" s="66"/>
      <c r="F1254" s="67"/>
      <c r="G1254" s="60"/>
      <c r="H1254" s="60"/>
      <c r="I1254" s="61"/>
      <c r="J1254" s="61"/>
      <c r="K1254" s="61"/>
      <c r="L1254" s="73" t="str">
        <f>IF($E1254="","",DATE(YEAR($E1254),MONTH($E1254),1))</f>
        <v/>
      </c>
      <c r="M1254" s="65" t="str">
        <f ca="1">IF($D1254="","",IF($C1254="TANIMSIZ MÜŞTERİ","HATA",IF(OR($E1254="",$F1254&lt;=0,$G1254=""),"EKSİK",IF($E1254&gt;TODAY(),"İLERİ TARİH",IF(COUNTIF($S$7:$S$2503,$S1254)&gt;1,"MÜKERRER?",IF($T1254&gt;0,"KAPALI DÖNEM","UYGUN"))))))</f>
        <v/>
      </c>
      <c r="N1254" s="74" t="str">
        <f>IF($C1254="","",IF($C1254="TANIMSIZ MÜŞTERİ","—",INDEX(MUSTERILER!$C$7:$C$156,MATCH($C1254,MUSTERILER!$B$7:$B$156,0))))</f>
        <v/>
      </c>
      <c r="O1254" s="2"/>
      <c r="P1254" s="2"/>
      <c r="Q1254" s="1" t="str">
        <f>IF($D1254="","",$C1254&amp;"|"&amp;COUNTIFS($C$7:$C1254,$C1254))</f>
        <v/>
      </c>
      <c r="R1254" s="1" t="str">
        <f t="shared" si="38"/>
        <v/>
      </c>
      <c r="S1254" s="1" t="str">
        <f t="shared" si="39"/>
        <v/>
      </c>
      <c r="T1254" s="1">
        <f>IF($E1254="",0,SUMPRODUCT((AY_SONU!$O$7:$O$42="Evet")*(AY_SONU!$B$7:$B$42=DATE(YEAR($E1254),MONTH($E1254),1))))</f>
        <v>0</v>
      </c>
      <c r="U1254" s="1" t="str">
        <f>IF(OR($G1254="",$H1254="Mahsup"),"",$G1254&amp;"|"&amp;COUNTIFS($G$7:$G1254,$G1254,$H$7:$H1254,"&lt;&gt;Mahsup"))</f>
        <v/>
      </c>
    </row>
    <row r="1255" spans="1:21" ht="18" customHeight="1" x14ac:dyDescent="0.3">
      <c r="A1255" s="2"/>
      <c r="B1255" s="65" t="str">
        <f>IF($D1255="","","T"&amp;TEXT(ROW()-6,"00000"))</f>
        <v/>
      </c>
      <c r="C1255" s="65" t="str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61"/>
      <c r="E1255" s="66"/>
      <c r="F1255" s="67"/>
      <c r="G1255" s="60"/>
      <c r="H1255" s="60"/>
      <c r="I1255" s="61"/>
      <c r="J1255" s="61"/>
      <c r="K1255" s="61"/>
      <c r="L1255" s="73" t="str">
        <f>IF($E1255="","",DATE(YEAR($E1255),MONTH($E1255),1))</f>
        <v/>
      </c>
      <c r="M1255" s="65" t="str">
        <f ca="1">IF($D1255="","",IF($C1255="TANIMSIZ MÜŞTERİ","HATA",IF(OR($E1255="",$F1255&lt;=0,$G1255=""),"EKSİK",IF($E1255&gt;TODAY(),"İLERİ TARİH",IF(COUNTIF($S$7:$S$2503,$S1255)&gt;1,"MÜKERRER?",IF($T1255&gt;0,"KAPALI DÖNEM","UYGUN"))))))</f>
        <v/>
      </c>
      <c r="N1255" s="74" t="str">
        <f>IF($C1255="","",IF($C1255="TANIMSIZ MÜŞTERİ","—",INDEX(MUSTERILER!$C$7:$C$156,MATCH($C1255,MUSTERILER!$B$7:$B$156,0))))</f>
        <v/>
      </c>
      <c r="O1255" s="2"/>
      <c r="P1255" s="2"/>
      <c r="Q1255" s="1" t="str">
        <f>IF($D1255="","",$C1255&amp;"|"&amp;COUNTIFS($C$7:$C1255,$C1255))</f>
        <v/>
      </c>
      <c r="R1255" s="1" t="str">
        <f t="shared" si="38"/>
        <v/>
      </c>
      <c r="S1255" s="1" t="str">
        <f t="shared" si="39"/>
        <v/>
      </c>
      <c r="T1255" s="1">
        <f>IF($E1255="",0,SUMPRODUCT((AY_SONU!$O$7:$O$42="Evet")*(AY_SONU!$B$7:$B$42=DATE(YEAR($E1255),MONTH($E1255),1))))</f>
        <v>0</v>
      </c>
      <c r="U1255" s="1" t="str">
        <f>IF(OR($G1255="",$H1255="Mahsup"),"",$G1255&amp;"|"&amp;COUNTIFS($G$7:$G1255,$G1255,$H$7:$H1255,"&lt;&gt;Mahsup"))</f>
        <v/>
      </c>
    </row>
    <row r="1256" spans="1:21" ht="18" customHeight="1" x14ac:dyDescent="0.3">
      <c r="A1256" s="2"/>
      <c r="B1256" s="65" t="str">
        <f>IF($D1256="","","T"&amp;TEXT(ROW()-6,"00000"))</f>
        <v/>
      </c>
      <c r="C1256" s="65" t="str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61"/>
      <c r="E1256" s="66"/>
      <c r="F1256" s="67"/>
      <c r="G1256" s="60"/>
      <c r="H1256" s="60"/>
      <c r="I1256" s="61"/>
      <c r="J1256" s="61"/>
      <c r="K1256" s="61"/>
      <c r="L1256" s="73" t="str">
        <f>IF($E1256="","",DATE(YEAR($E1256),MONTH($E1256),1))</f>
        <v/>
      </c>
      <c r="M1256" s="65" t="str">
        <f ca="1">IF($D1256="","",IF($C1256="TANIMSIZ MÜŞTERİ","HATA",IF(OR($E1256="",$F1256&lt;=0,$G1256=""),"EKSİK",IF($E1256&gt;TODAY(),"İLERİ TARİH",IF(COUNTIF($S$7:$S$2503,$S1256)&gt;1,"MÜKERRER?",IF($T1256&gt;0,"KAPALI DÖNEM","UYGUN"))))))</f>
        <v/>
      </c>
      <c r="N1256" s="74" t="str">
        <f>IF($C1256="","",IF($C1256="TANIMSIZ MÜŞTERİ","—",INDEX(MUSTERILER!$C$7:$C$156,MATCH($C1256,MUSTERILER!$B$7:$B$156,0))))</f>
        <v/>
      </c>
      <c r="O1256" s="2"/>
      <c r="P1256" s="2"/>
      <c r="Q1256" s="1" t="str">
        <f>IF($D1256="","",$C1256&amp;"|"&amp;COUNTIFS($C$7:$C1256,$C1256))</f>
        <v/>
      </c>
      <c r="R1256" s="1" t="str">
        <f t="shared" si="38"/>
        <v/>
      </c>
      <c r="S1256" s="1" t="str">
        <f t="shared" si="39"/>
        <v/>
      </c>
      <c r="T1256" s="1">
        <f>IF($E1256="",0,SUMPRODUCT((AY_SONU!$O$7:$O$42="Evet")*(AY_SONU!$B$7:$B$42=DATE(YEAR($E1256),MONTH($E1256),1))))</f>
        <v>0</v>
      </c>
      <c r="U1256" s="1" t="str">
        <f>IF(OR($G1256="",$H1256="Mahsup"),"",$G1256&amp;"|"&amp;COUNTIFS($G$7:$G1256,$G1256,$H$7:$H1256,"&lt;&gt;Mahsup"))</f>
        <v/>
      </c>
    </row>
    <row r="1257" spans="1:21" ht="18" customHeight="1" x14ac:dyDescent="0.3">
      <c r="A1257" s="2"/>
      <c r="B1257" s="65" t="str">
        <f>IF($D1257="","","T"&amp;TEXT(ROW()-6,"00000"))</f>
        <v/>
      </c>
      <c r="C1257" s="65" t="str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61"/>
      <c r="E1257" s="66"/>
      <c r="F1257" s="67"/>
      <c r="G1257" s="60"/>
      <c r="H1257" s="60"/>
      <c r="I1257" s="61"/>
      <c r="J1257" s="61"/>
      <c r="K1257" s="61"/>
      <c r="L1257" s="73" t="str">
        <f>IF($E1257="","",DATE(YEAR($E1257),MONTH($E1257),1))</f>
        <v/>
      </c>
      <c r="M1257" s="65" t="str">
        <f ca="1">IF($D1257="","",IF($C1257="TANIMSIZ MÜŞTERİ","HATA",IF(OR($E1257="",$F1257&lt;=0,$G1257=""),"EKSİK",IF($E1257&gt;TODAY(),"İLERİ TARİH",IF(COUNTIF($S$7:$S$2503,$S1257)&gt;1,"MÜKERRER?",IF($T1257&gt;0,"KAPALI DÖNEM","UYGUN"))))))</f>
        <v/>
      </c>
      <c r="N1257" s="74" t="str">
        <f>IF($C1257="","",IF($C1257="TANIMSIZ MÜŞTERİ","—",INDEX(MUSTERILER!$C$7:$C$156,MATCH($C1257,MUSTERILER!$B$7:$B$156,0))))</f>
        <v/>
      </c>
      <c r="O1257" s="2"/>
      <c r="P1257" s="2"/>
      <c r="Q1257" s="1" t="str">
        <f>IF($D1257="","",$C1257&amp;"|"&amp;COUNTIFS($C$7:$C1257,$C1257))</f>
        <v/>
      </c>
      <c r="R1257" s="1" t="str">
        <f t="shared" si="38"/>
        <v/>
      </c>
      <c r="S1257" s="1" t="str">
        <f t="shared" si="39"/>
        <v/>
      </c>
      <c r="T1257" s="1">
        <f>IF($E1257="",0,SUMPRODUCT((AY_SONU!$O$7:$O$42="Evet")*(AY_SONU!$B$7:$B$42=DATE(YEAR($E1257),MONTH($E1257),1))))</f>
        <v>0</v>
      </c>
      <c r="U1257" s="1" t="str">
        <f>IF(OR($G1257="",$H1257="Mahsup"),"",$G1257&amp;"|"&amp;COUNTIFS($G$7:$G1257,$G1257,$H$7:$H1257,"&lt;&gt;Mahsup"))</f>
        <v/>
      </c>
    </row>
    <row r="1258" spans="1:21" ht="18" customHeight="1" x14ac:dyDescent="0.3">
      <c r="A1258" s="2"/>
      <c r="B1258" s="65" t="str">
        <f>IF($D1258="","","T"&amp;TEXT(ROW()-6,"00000"))</f>
        <v/>
      </c>
      <c r="C1258" s="65" t="str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61"/>
      <c r="E1258" s="66"/>
      <c r="F1258" s="67"/>
      <c r="G1258" s="60"/>
      <c r="H1258" s="60"/>
      <c r="I1258" s="61"/>
      <c r="J1258" s="61"/>
      <c r="K1258" s="61"/>
      <c r="L1258" s="73" t="str">
        <f>IF($E1258="","",DATE(YEAR($E1258),MONTH($E1258),1))</f>
        <v/>
      </c>
      <c r="M1258" s="65" t="str">
        <f ca="1">IF($D1258="","",IF($C1258="TANIMSIZ MÜŞTERİ","HATA",IF(OR($E1258="",$F1258&lt;=0,$G1258=""),"EKSİK",IF($E1258&gt;TODAY(),"İLERİ TARİH",IF(COUNTIF($S$7:$S$2503,$S1258)&gt;1,"MÜKERRER?",IF($T1258&gt;0,"KAPALI DÖNEM","UYGUN"))))))</f>
        <v/>
      </c>
      <c r="N1258" s="74" t="str">
        <f>IF($C1258="","",IF($C1258="TANIMSIZ MÜŞTERİ","—",INDEX(MUSTERILER!$C$7:$C$156,MATCH($C1258,MUSTERILER!$B$7:$B$156,0))))</f>
        <v/>
      </c>
      <c r="O1258" s="2"/>
      <c r="P1258" s="2"/>
      <c r="Q1258" s="1" t="str">
        <f>IF($D1258="","",$C1258&amp;"|"&amp;COUNTIFS($C$7:$C1258,$C1258))</f>
        <v/>
      </c>
      <c r="R1258" s="1" t="str">
        <f t="shared" si="38"/>
        <v/>
      </c>
      <c r="S1258" s="1" t="str">
        <f t="shared" si="39"/>
        <v/>
      </c>
      <c r="T1258" s="1">
        <f>IF($E1258="",0,SUMPRODUCT((AY_SONU!$O$7:$O$42="Evet")*(AY_SONU!$B$7:$B$42=DATE(YEAR($E1258),MONTH($E1258),1))))</f>
        <v>0</v>
      </c>
      <c r="U1258" s="1" t="str">
        <f>IF(OR($G1258="",$H1258="Mahsup"),"",$G1258&amp;"|"&amp;COUNTIFS($G$7:$G1258,$G1258,$H$7:$H1258,"&lt;&gt;Mahsup"))</f>
        <v/>
      </c>
    </row>
    <row r="1259" spans="1:21" ht="18" customHeight="1" x14ac:dyDescent="0.3">
      <c r="A1259" s="2"/>
      <c r="B1259" s="65" t="str">
        <f>IF($D1259="","","T"&amp;TEXT(ROW()-6,"00000"))</f>
        <v/>
      </c>
      <c r="C1259" s="65" t="str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61"/>
      <c r="E1259" s="66"/>
      <c r="F1259" s="67"/>
      <c r="G1259" s="60"/>
      <c r="H1259" s="60"/>
      <c r="I1259" s="61"/>
      <c r="J1259" s="61"/>
      <c r="K1259" s="61"/>
      <c r="L1259" s="73" t="str">
        <f>IF($E1259="","",DATE(YEAR($E1259),MONTH($E1259),1))</f>
        <v/>
      </c>
      <c r="M1259" s="65" t="str">
        <f ca="1">IF($D1259="","",IF($C1259="TANIMSIZ MÜŞTERİ","HATA",IF(OR($E1259="",$F1259&lt;=0,$G1259=""),"EKSİK",IF($E1259&gt;TODAY(),"İLERİ TARİH",IF(COUNTIF($S$7:$S$2503,$S1259)&gt;1,"MÜKERRER?",IF($T1259&gt;0,"KAPALI DÖNEM","UYGUN"))))))</f>
        <v/>
      </c>
      <c r="N1259" s="74" t="str">
        <f>IF($C1259="","",IF($C1259="TANIMSIZ MÜŞTERİ","—",INDEX(MUSTERILER!$C$7:$C$156,MATCH($C1259,MUSTERILER!$B$7:$B$156,0))))</f>
        <v/>
      </c>
      <c r="O1259" s="2"/>
      <c r="P1259" s="2"/>
      <c r="Q1259" s="1" t="str">
        <f>IF($D1259="","",$C1259&amp;"|"&amp;COUNTIFS($C$7:$C1259,$C1259))</f>
        <v/>
      </c>
      <c r="R1259" s="1" t="str">
        <f t="shared" si="38"/>
        <v/>
      </c>
      <c r="S1259" s="1" t="str">
        <f t="shared" si="39"/>
        <v/>
      </c>
      <c r="T1259" s="1">
        <f>IF($E1259="",0,SUMPRODUCT((AY_SONU!$O$7:$O$42="Evet")*(AY_SONU!$B$7:$B$42=DATE(YEAR($E1259),MONTH($E1259),1))))</f>
        <v>0</v>
      </c>
      <c r="U1259" s="1" t="str">
        <f>IF(OR($G1259="",$H1259="Mahsup"),"",$G1259&amp;"|"&amp;COUNTIFS($G$7:$G1259,$G1259,$H$7:$H1259,"&lt;&gt;Mahsup"))</f>
        <v/>
      </c>
    </row>
    <row r="1260" spans="1:21" ht="18" customHeight="1" x14ac:dyDescent="0.3">
      <c r="A1260" s="2"/>
      <c r="B1260" s="65" t="str">
        <f>IF($D1260="","","T"&amp;TEXT(ROW()-6,"00000"))</f>
        <v/>
      </c>
      <c r="C1260" s="65" t="str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61"/>
      <c r="E1260" s="66"/>
      <c r="F1260" s="67"/>
      <c r="G1260" s="60"/>
      <c r="H1260" s="60"/>
      <c r="I1260" s="61"/>
      <c r="J1260" s="61"/>
      <c r="K1260" s="61"/>
      <c r="L1260" s="73" t="str">
        <f>IF($E1260="","",DATE(YEAR($E1260),MONTH($E1260),1))</f>
        <v/>
      </c>
      <c r="M1260" s="65" t="str">
        <f ca="1">IF($D1260="","",IF($C1260="TANIMSIZ MÜŞTERİ","HATA",IF(OR($E1260="",$F1260&lt;=0,$G1260=""),"EKSİK",IF($E1260&gt;TODAY(),"İLERİ TARİH",IF(COUNTIF($S$7:$S$2503,$S1260)&gt;1,"MÜKERRER?",IF($T1260&gt;0,"KAPALI DÖNEM","UYGUN"))))))</f>
        <v/>
      </c>
      <c r="N1260" s="74" t="str">
        <f>IF($C1260="","",IF($C1260="TANIMSIZ MÜŞTERİ","—",INDEX(MUSTERILER!$C$7:$C$156,MATCH($C1260,MUSTERILER!$B$7:$B$156,0))))</f>
        <v/>
      </c>
      <c r="O1260" s="2"/>
      <c r="P1260" s="2"/>
      <c r="Q1260" s="1" t="str">
        <f>IF($D1260="","",$C1260&amp;"|"&amp;COUNTIFS($C$7:$C1260,$C1260))</f>
        <v/>
      </c>
      <c r="R1260" s="1" t="str">
        <f t="shared" si="38"/>
        <v/>
      </c>
      <c r="S1260" s="1" t="str">
        <f t="shared" si="39"/>
        <v/>
      </c>
      <c r="T1260" s="1">
        <f>IF($E1260="",0,SUMPRODUCT((AY_SONU!$O$7:$O$42="Evet")*(AY_SONU!$B$7:$B$42=DATE(YEAR($E1260),MONTH($E1260),1))))</f>
        <v>0</v>
      </c>
      <c r="U1260" s="1" t="str">
        <f>IF(OR($G1260="",$H1260="Mahsup"),"",$G1260&amp;"|"&amp;COUNTIFS($G$7:$G1260,$G1260,$H$7:$H1260,"&lt;&gt;Mahsup"))</f>
        <v/>
      </c>
    </row>
    <row r="1261" spans="1:21" ht="18" customHeight="1" x14ac:dyDescent="0.3">
      <c r="A1261" s="2"/>
      <c r="B1261" s="65" t="str">
        <f>IF($D1261="","","T"&amp;TEXT(ROW()-6,"00000"))</f>
        <v/>
      </c>
      <c r="C1261" s="65" t="str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61"/>
      <c r="E1261" s="66"/>
      <c r="F1261" s="67"/>
      <c r="G1261" s="60"/>
      <c r="H1261" s="60"/>
      <c r="I1261" s="61"/>
      <c r="J1261" s="61"/>
      <c r="K1261" s="61"/>
      <c r="L1261" s="73" t="str">
        <f>IF($E1261="","",DATE(YEAR($E1261),MONTH($E1261),1))</f>
        <v/>
      </c>
      <c r="M1261" s="65" t="str">
        <f ca="1">IF($D1261="","",IF($C1261="TANIMSIZ MÜŞTERİ","HATA",IF(OR($E1261="",$F1261&lt;=0,$G1261=""),"EKSİK",IF($E1261&gt;TODAY(),"İLERİ TARİH",IF(COUNTIF($S$7:$S$2503,$S1261)&gt;1,"MÜKERRER?",IF($T1261&gt;0,"KAPALI DÖNEM","UYGUN"))))))</f>
        <v/>
      </c>
      <c r="N1261" s="74" t="str">
        <f>IF($C1261="","",IF($C1261="TANIMSIZ MÜŞTERİ","—",INDEX(MUSTERILER!$C$7:$C$156,MATCH($C1261,MUSTERILER!$B$7:$B$156,0))))</f>
        <v/>
      </c>
      <c r="O1261" s="2"/>
      <c r="P1261" s="2"/>
      <c r="Q1261" s="1" t="str">
        <f>IF($D1261="","",$C1261&amp;"|"&amp;COUNTIFS($C$7:$C1261,$C1261))</f>
        <v/>
      </c>
      <c r="R1261" s="1" t="str">
        <f t="shared" si="38"/>
        <v/>
      </c>
      <c r="S1261" s="1" t="str">
        <f t="shared" si="39"/>
        <v/>
      </c>
      <c r="T1261" s="1">
        <f>IF($E1261="",0,SUMPRODUCT((AY_SONU!$O$7:$O$42="Evet")*(AY_SONU!$B$7:$B$42=DATE(YEAR($E1261),MONTH($E1261),1))))</f>
        <v>0</v>
      </c>
      <c r="U1261" s="1" t="str">
        <f>IF(OR($G1261="",$H1261="Mahsup"),"",$G1261&amp;"|"&amp;COUNTIFS($G$7:$G1261,$G1261,$H$7:$H1261,"&lt;&gt;Mahsup"))</f>
        <v/>
      </c>
    </row>
    <row r="1262" spans="1:21" ht="18" customHeight="1" x14ac:dyDescent="0.3">
      <c r="A1262" s="2"/>
      <c r="B1262" s="65" t="str">
        <f>IF($D1262="","","T"&amp;TEXT(ROW()-6,"00000"))</f>
        <v/>
      </c>
      <c r="C1262" s="65" t="str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61"/>
      <c r="E1262" s="66"/>
      <c r="F1262" s="67"/>
      <c r="G1262" s="60"/>
      <c r="H1262" s="60"/>
      <c r="I1262" s="61"/>
      <c r="J1262" s="61"/>
      <c r="K1262" s="61"/>
      <c r="L1262" s="73" t="str">
        <f>IF($E1262="","",DATE(YEAR($E1262),MONTH($E1262),1))</f>
        <v/>
      </c>
      <c r="M1262" s="65" t="str">
        <f ca="1">IF($D1262="","",IF($C1262="TANIMSIZ MÜŞTERİ","HATA",IF(OR($E1262="",$F1262&lt;=0,$G1262=""),"EKSİK",IF($E1262&gt;TODAY(),"İLERİ TARİH",IF(COUNTIF($S$7:$S$2503,$S1262)&gt;1,"MÜKERRER?",IF($T1262&gt;0,"KAPALI DÖNEM","UYGUN"))))))</f>
        <v/>
      </c>
      <c r="N1262" s="74" t="str">
        <f>IF($C1262="","",IF($C1262="TANIMSIZ MÜŞTERİ","—",INDEX(MUSTERILER!$C$7:$C$156,MATCH($C1262,MUSTERILER!$B$7:$B$156,0))))</f>
        <v/>
      </c>
      <c r="O1262" s="2"/>
      <c r="P1262" s="2"/>
      <c r="Q1262" s="1" t="str">
        <f>IF($D1262="","",$C1262&amp;"|"&amp;COUNTIFS($C$7:$C1262,$C1262))</f>
        <v/>
      </c>
      <c r="R1262" s="1" t="str">
        <f t="shared" si="38"/>
        <v/>
      </c>
      <c r="S1262" s="1" t="str">
        <f t="shared" si="39"/>
        <v/>
      </c>
      <c r="T1262" s="1">
        <f>IF($E1262="",0,SUMPRODUCT((AY_SONU!$O$7:$O$42="Evet")*(AY_SONU!$B$7:$B$42=DATE(YEAR($E1262),MONTH($E1262),1))))</f>
        <v>0</v>
      </c>
      <c r="U1262" s="1" t="str">
        <f>IF(OR($G1262="",$H1262="Mahsup"),"",$G1262&amp;"|"&amp;COUNTIFS($G$7:$G1262,$G1262,$H$7:$H1262,"&lt;&gt;Mahsup"))</f>
        <v/>
      </c>
    </row>
    <row r="1263" spans="1:21" ht="18" customHeight="1" x14ac:dyDescent="0.3">
      <c r="A1263" s="2"/>
      <c r="B1263" s="65" t="str">
        <f>IF($D1263="","","T"&amp;TEXT(ROW()-6,"00000"))</f>
        <v/>
      </c>
      <c r="C1263" s="65" t="str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61"/>
      <c r="E1263" s="66"/>
      <c r="F1263" s="67"/>
      <c r="G1263" s="60"/>
      <c r="H1263" s="60"/>
      <c r="I1263" s="61"/>
      <c r="J1263" s="61"/>
      <c r="K1263" s="61"/>
      <c r="L1263" s="73" t="str">
        <f>IF($E1263="","",DATE(YEAR($E1263),MONTH($E1263),1))</f>
        <v/>
      </c>
      <c r="M1263" s="65" t="str">
        <f ca="1">IF($D1263="","",IF($C1263="TANIMSIZ MÜŞTERİ","HATA",IF(OR($E1263="",$F1263&lt;=0,$G1263=""),"EKSİK",IF($E1263&gt;TODAY(),"İLERİ TARİH",IF(COUNTIF($S$7:$S$2503,$S1263)&gt;1,"MÜKERRER?",IF($T1263&gt;0,"KAPALI DÖNEM","UYGUN"))))))</f>
        <v/>
      </c>
      <c r="N1263" s="74" t="str">
        <f>IF($C1263="","",IF($C1263="TANIMSIZ MÜŞTERİ","—",INDEX(MUSTERILER!$C$7:$C$156,MATCH($C1263,MUSTERILER!$B$7:$B$156,0))))</f>
        <v/>
      </c>
      <c r="O1263" s="2"/>
      <c r="P1263" s="2"/>
      <c r="Q1263" s="1" t="str">
        <f>IF($D1263="","",$C1263&amp;"|"&amp;COUNTIFS($C$7:$C1263,$C1263))</f>
        <v/>
      </c>
      <c r="R1263" s="1" t="str">
        <f t="shared" si="38"/>
        <v/>
      </c>
      <c r="S1263" s="1" t="str">
        <f t="shared" si="39"/>
        <v/>
      </c>
      <c r="T1263" s="1">
        <f>IF($E1263="",0,SUMPRODUCT((AY_SONU!$O$7:$O$42="Evet")*(AY_SONU!$B$7:$B$42=DATE(YEAR($E1263),MONTH($E1263),1))))</f>
        <v>0</v>
      </c>
      <c r="U1263" s="1" t="str">
        <f>IF(OR($G1263="",$H1263="Mahsup"),"",$G1263&amp;"|"&amp;COUNTIFS($G$7:$G1263,$G1263,$H$7:$H1263,"&lt;&gt;Mahsup"))</f>
        <v/>
      </c>
    </row>
    <row r="1264" spans="1:21" ht="18" customHeight="1" x14ac:dyDescent="0.3">
      <c r="A1264" s="2"/>
      <c r="B1264" s="65" t="str">
        <f>IF($D1264="","","T"&amp;TEXT(ROW()-6,"00000"))</f>
        <v/>
      </c>
      <c r="C1264" s="65" t="str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61"/>
      <c r="E1264" s="66"/>
      <c r="F1264" s="67"/>
      <c r="G1264" s="60"/>
      <c r="H1264" s="60"/>
      <c r="I1264" s="61"/>
      <c r="J1264" s="61"/>
      <c r="K1264" s="61"/>
      <c r="L1264" s="73" t="str">
        <f>IF($E1264="","",DATE(YEAR($E1264),MONTH($E1264),1))</f>
        <v/>
      </c>
      <c r="M1264" s="65" t="str">
        <f ca="1">IF($D1264="","",IF($C1264="TANIMSIZ MÜŞTERİ","HATA",IF(OR($E1264="",$F1264&lt;=0,$G1264=""),"EKSİK",IF($E1264&gt;TODAY(),"İLERİ TARİH",IF(COUNTIF($S$7:$S$2503,$S1264)&gt;1,"MÜKERRER?",IF($T1264&gt;0,"KAPALI DÖNEM","UYGUN"))))))</f>
        <v/>
      </c>
      <c r="N1264" s="74" t="str">
        <f>IF($C1264="","",IF($C1264="TANIMSIZ MÜŞTERİ","—",INDEX(MUSTERILER!$C$7:$C$156,MATCH($C1264,MUSTERILER!$B$7:$B$156,0))))</f>
        <v/>
      </c>
      <c r="O1264" s="2"/>
      <c r="P1264" s="2"/>
      <c r="Q1264" s="1" t="str">
        <f>IF($D1264="","",$C1264&amp;"|"&amp;COUNTIFS($C$7:$C1264,$C1264))</f>
        <v/>
      </c>
      <c r="R1264" s="1" t="str">
        <f t="shared" si="38"/>
        <v/>
      </c>
      <c r="S1264" s="1" t="str">
        <f t="shared" si="39"/>
        <v/>
      </c>
      <c r="T1264" s="1">
        <f>IF($E1264="",0,SUMPRODUCT((AY_SONU!$O$7:$O$42="Evet")*(AY_SONU!$B$7:$B$42=DATE(YEAR($E1264),MONTH($E1264),1))))</f>
        <v>0</v>
      </c>
      <c r="U1264" s="1" t="str">
        <f>IF(OR($G1264="",$H1264="Mahsup"),"",$G1264&amp;"|"&amp;COUNTIFS($G$7:$G1264,$G1264,$H$7:$H1264,"&lt;&gt;Mahsup"))</f>
        <v/>
      </c>
    </row>
    <row r="1265" spans="1:21" ht="18" customHeight="1" x14ac:dyDescent="0.3">
      <c r="A1265" s="2"/>
      <c r="B1265" s="65" t="str">
        <f>IF($D1265="","","T"&amp;TEXT(ROW()-6,"00000"))</f>
        <v/>
      </c>
      <c r="C1265" s="65" t="str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61"/>
      <c r="E1265" s="66"/>
      <c r="F1265" s="67"/>
      <c r="G1265" s="60"/>
      <c r="H1265" s="60"/>
      <c r="I1265" s="61"/>
      <c r="J1265" s="61"/>
      <c r="K1265" s="61"/>
      <c r="L1265" s="73" t="str">
        <f>IF($E1265="","",DATE(YEAR($E1265),MONTH($E1265),1))</f>
        <v/>
      </c>
      <c r="M1265" s="65" t="str">
        <f ca="1">IF($D1265="","",IF($C1265="TANIMSIZ MÜŞTERİ","HATA",IF(OR($E1265="",$F1265&lt;=0,$G1265=""),"EKSİK",IF($E1265&gt;TODAY(),"İLERİ TARİH",IF(COUNTIF($S$7:$S$2503,$S1265)&gt;1,"MÜKERRER?",IF($T1265&gt;0,"KAPALI DÖNEM","UYGUN"))))))</f>
        <v/>
      </c>
      <c r="N1265" s="74" t="str">
        <f>IF($C1265="","",IF($C1265="TANIMSIZ MÜŞTERİ","—",INDEX(MUSTERILER!$C$7:$C$156,MATCH($C1265,MUSTERILER!$B$7:$B$156,0))))</f>
        <v/>
      </c>
      <c r="O1265" s="2"/>
      <c r="P1265" s="2"/>
      <c r="Q1265" s="1" t="str">
        <f>IF($D1265="","",$C1265&amp;"|"&amp;COUNTIFS($C$7:$C1265,$C1265))</f>
        <v/>
      </c>
      <c r="R1265" s="1" t="str">
        <f t="shared" si="38"/>
        <v/>
      </c>
      <c r="S1265" s="1" t="str">
        <f t="shared" si="39"/>
        <v/>
      </c>
      <c r="T1265" s="1">
        <f>IF($E1265="",0,SUMPRODUCT((AY_SONU!$O$7:$O$42="Evet")*(AY_SONU!$B$7:$B$42=DATE(YEAR($E1265),MONTH($E1265),1))))</f>
        <v>0</v>
      </c>
      <c r="U1265" s="1" t="str">
        <f>IF(OR($G1265="",$H1265="Mahsup"),"",$G1265&amp;"|"&amp;COUNTIFS($G$7:$G1265,$G1265,$H$7:$H1265,"&lt;&gt;Mahsup"))</f>
        <v/>
      </c>
    </row>
    <row r="1266" spans="1:21" ht="18" customHeight="1" x14ac:dyDescent="0.3">
      <c r="A1266" s="2"/>
      <c r="B1266" s="65" t="str">
        <f>IF($D1266="","","T"&amp;TEXT(ROW()-6,"00000"))</f>
        <v/>
      </c>
      <c r="C1266" s="65" t="str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61"/>
      <c r="E1266" s="66"/>
      <c r="F1266" s="67"/>
      <c r="G1266" s="60"/>
      <c r="H1266" s="60"/>
      <c r="I1266" s="61"/>
      <c r="J1266" s="61"/>
      <c r="K1266" s="61"/>
      <c r="L1266" s="73" t="str">
        <f>IF($E1266="","",DATE(YEAR($E1266),MONTH($E1266),1))</f>
        <v/>
      </c>
      <c r="M1266" s="65" t="str">
        <f ca="1">IF($D1266="","",IF($C1266="TANIMSIZ MÜŞTERİ","HATA",IF(OR($E1266="",$F1266&lt;=0,$G1266=""),"EKSİK",IF($E1266&gt;TODAY(),"İLERİ TARİH",IF(COUNTIF($S$7:$S$2503,$S1266)&gt;1,"MÜKERRER?",IF($T1266&gt;0,"KAPALI DÖNEM","UYGUN"))))))</f>
        <v/>
      </c>
      <c r="N1266" s="74" t="str">
        <f>IF($C1266="","",IF($C1266="TANIMSIZ MÜŞTERİ","—",INDEX(MUSTERILER!$C$7:$C$156,MATCH($C1266,MUSTERILER!$B$7:$B$156,0))))</f>
        <v/>
      </c>
      <c r="O1266" s="2"/>
      <c r="P1266" s="2"/>
      <c r="Q1266" s="1" t="str">
        <f>IF($D1266="","",$C1266&amp;"|"&amp;COUNTIFS($C$7:$C1266,$C1266))</f>
        <v/>
      </c>
      <c r="R1266" s="1" t="str">
        <f t="shared" si="38"/>
        <v/>
      </c>
      <c r="S1266" s="1" t="str">
        <f t="shared" si="39"/>
        <v/>
      </c>
      <c r="T1266" s="1">
        <f>IF($E1266="",0,SUMPRODUCT((AY_SONU!$O$7:$O$42="Evet")*(AY_SONU!$B$7:$B$42=DATE(YEAR($E1266),MONTH($E1266),1))))</f>
        <v>0</v>
      </c>
      <c r="U1266" s="1" t="str">
        <f>IF(OR($G1266="",$H1266="Mahsup"),"",$G1266&amp;"|"&amp;COUNTIFS($G$7:$G1266,$G1266,$H$7:$H1266,"&lt;&gt;Mahsup"))</f>
        <v/>
      </c>
    </row>
    <row r="1267" spans="1:21" ht="18" customHeight="1" x14ac:dyDescent="0.3">
      <c r="A1267" s="2"/>
      <c r="B1267" s="65" t="str">
        <f>IF($D1267="","","T"&amp;TEXT(ROW()-6,"00000"))</f>
        <v/>
      </c>
      <c r="C1267" s="65" t="str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61"/>
      <c r="E1267" s="66"/>
      <c r="F1267" s="67"/>
      <c r="G1267" s="60"/>
      <c r="H1267" s="60"/>
      <c r="I1267" s="61"/>
      <c r="J1267" s="61"/>
      <c r="K1267" s="61"/>
      <c r="L1267" s="73" t="str">
        <f>IF($E1267="","",DATE(YEAR($E1267),MONTH($E1267),1))</f>
        <v/>
      </c>
      <c r="M1267" s="65" t="str">
        <f ca="1">IF($D1267="","",IF($C1267="TANIMSIZ MÜŞTERİ","HATA",IF(OR($E1267="",$F1267&lt;=0,$G1267=""),"EKSİK",IF($E1267&gt;TODAY(),"İLERİ TARİH",IF(COUNTIF($S$7:$S$2503,$S1267)&gt;1,"MÜKERRER?",IF($T1267&gt;0,"KAPALI DÖNEM","UYGUN"))))))</f>
        <v/>
      </c>
      <c r="N1267" s="74" t="str">
        <f>IF($C1267="","",IF($C1267="TANIMSIZ MÜŞTERİ","—",INDEX(MUSTERILER!$C$7:$C$156,MATCH($C1267,MUSTERILER!$B$7:$B$156,0))))</f>
        <v/>
      </c>
      <c r="O1267" s="2"/>
      <c r="P1267" s="2"/>
      <c r="Q1267" s="1" t="str">
        <f>IF($D1267="","",$C1267&amp;"|"&amp;COUNTIFS($C$7:$C1267,$C1267))</f>
        <v/>
      </c>
      <c r="R1267" s="1" t="str">
        <f t="shared" si="38"/>
        <v/>
      </c>
      <c r="S1267" s="1" t="str">
        <f t="shared" si="39"/>
        <v/>
      </c>
      <c r="T1267" s="1">
        <f>IF($E1267="",0,SUMPRODUCT((AY_SONU!$O$7:$O$42="Evet")*(AY_SONU!$B$7:$B$42=DATE(YEAR($E1267),MONTH($E1267),1))))</f>
        <v>0</v>
      </c>
      <c r="U1267" s="1" t="str">
        <f>IF(OR($G1267="",$H1267="Mahsup"),"",$G1267&amp;"|"&amp;COUNTIFS($G$7:$G1267,$G1267,$H$7:$H1267,"&lt;&gt;Mahsup"))</f>
        <v/>
      </c>
    </row>
    <row r="1268" spans="1:21" ht="18" customHeight="1" x14ac:dyDescent="0.3">
      <c r="A1268" s="2"/>
      <c r="B1268" s="65" t="str">
        <f>IF($D1268="","","T"&amp;TEXT(ROW()-6,"00000"))</f>
        <v/>
      </c>
      <c r="C1268" s="65" t="str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61"/>
      <c r="E1268" s="66"/>
      <c r="F1268" s="67"/>
      <c r="G1268" s="60"/>
      <c r="H1268" s="60"/>
      <c r="I1268" s="61"/>
      <c r="J1268" s="61"/>
      <c r="K1268" s="61"/>
      <c r="L1268" s="73" t="str">
        <f>IF($E1268="","",DATE(YEAR($E1268),MONTH($E1268),1))</f>
        <v/>
      </c>
      <c r="M1268" s="65" t="str">
        <f ca="1">IF($D1268="","",IF($C1268="TANIMSIZ MÜŞTERİ","HATA",IF(OR($E1268="",$F1268&lt;=0,$G1268=""),"EKSİK",IF($E1268&gt;TODAY(),"İLERİ TARİH",IF(COUNTIF($S$7:$S$2503,$S1268)&gt;1,"MÜKERRER?",IF($T1268&gt;0,"KAPALI DÖNEM","UYGUN"))))))</f>
        <v/>
      </c>
      <c r="N1268" s="74" t="str">
        <f>IF($C1268="","",IF($C1268="TANIMSIZ MÜŞTERİ","—",INDEX(MUSTERILER!$C$7:$C$156,MATCH($C1268,MUSTERILER!$B$7:$B$156,0))))</f>
        <v/>
      </c>
      <c r="O1268" s="2"/>
      <c r="P1268" s="2"/>
      <c r="Q1268" s="1" t="str">
        <f>IF($D1268="","",$C1268&amp;"|"&amp;COUNTIFS($C$7:$C1268,$C1268))</f>
        <v/>
      </c>
      <c r="R1268" s="1" t="str">
        <f t="shared" si="38"/>
        <v/>
      </c>
      <c r="S1268" s="1" t="str">
        <f t="shared" si="39"/>
        <v/>
      </c>
      <c r="T1268" s="1">
        <f>IF($E1268="",0,SUMPRODUCT((AY_SONU!$O$7:$O$42="Evet")*(AY_SONU!$B$7:$B$42=DATE(YEAR($E1268),MONTH($E1268),1))))</f>
        <v>0</v>
      </c>
      <c r="U1268" s="1" t="str">
        <f>IF(OR($G1268="",$H1268="Mahsup"),"",$G1268&amp;"|"&amp;COUNTIFS($G$7:$G1268,$G1268,$H$7:$H1268,"&lt;&gt;Mahsup"))</f>
        <v/>
      </c>
    </row>
    <row r="1269" spans="1:21" ht="18" customHeight="1" x14ac:dyDescent="0.3">
      <c r="A1269" s="2"/>
      <c r="B1269" s="65" t="str">
        <f>IF($D1269="","","T"&amp;TEXT(ROW()-6,"00000"))</f>
        <v/>
      </c>
      <c r="C1269" s="65" t="str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61"/>
      <c r="E1269" s="66"/>
      <c r="F1269" s="67"/>
      <c r="G1269" s="60"/>
      <c r="H1269" s="60"/>
      <c r="I1269" s="61"/>
      <c r="J1269" s="61"/>
      <c r="K1269" s="61"/>
      <c r="L1269" s="73" t="str">
        <f>IF($E1269="","",DATE(YEAR($E1269),MONTH($E1269),1))</f>
        <v/>
      </c>
      <c r="M1269" s="65" t="str">
        <f ca="1">IF($D1269="","",IF($C1269="TANIMSIZ MÜŞTERİ","HATA",IF(OR($E1269="",$F1269&lt;=0,$G1269=""),"EKSİK",IF($E1269&gt;TODAY(),"İLERİ TARİH",IF(COUNTIF($S$7:$S$2503,$S1269)&gt;1,"MÜKERRER?",IF($T1269&gt;0,"KAPALI DÖNEM","UYGUN"))))))</f>
        <v/>
      </c>
      <c r="N1269" s="74" t="str">
        <f>IF($C1269="","",IF($C1269="TANIMSIZ MÜŞTERİ","—",INDEX(MUSTERILER!$C$7:$C$156,MATCH($C1269,MUSTERILER!$B$7:$B$156,0))))</f>
        <v/>
      </c>
      <c r="O1269" s="2"/>
      <c r="P1269" s="2"/>
      <c r="Q1269" s="1" t="str">
        <f>IF($D1269="","",$C1269&amp;"|"&amp;COUNTIFS($C$7:$C1269,$C1269))</f>
        <v/>
      </c>
      <c r="R1269" s="1" t="str">
        <f t="shared" si="38"/>
        <v/>
      </c>
      <c r="S1269" s="1" t="str">
        <f t="shared" si="39"/>
        <v/>
      </c>
      <c r="T1269" s="1">
        <f>IF($E1269="",0,SUMPRODUCT((AY_SONU!$O$7:$O$42="Evet")*(AY_SONU!$B$7:$B$42=DATE(YEAR($E1269),MONTH($E1269),1))))</f>
        <v>0</v>
      </c>
      <c r="U1269" s="1" t="str">
        <f>IF(OR($G1269="",$H1269="Mahsup"),"",$G1269&amp;"|"&amp;COUNTIFS($G$7:$G1269,$G1269,$H$7:$H1269,"&lt;&gt;Mahsup"))</f>
        <v/>
      </c>
    </row>
    <row r="1270" spans="1:21" ht="18" customHeight="1" x14ac:dyDescent="0.3">
      <c r="A1270" s="2"/>
      <c r="B1270" s="65" t="str">
        <f>IF($D1270="","","T"&amp;TEXT(ROW()-6,"00000"))</f>
        <v/>
      </c>
      <c r="C1270" s="65" t="str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61"/>
      <c r="E1270" s="66"/>
      <c r="F1270" s="67"/>
      <c r="G1270" s="60"/>
      <c r="H1270" s="60"/>
      <c r="I1270" s="61"/>
      <c r="J1270" s="61"/>
      <c r="K1270" s="61"/>
      <c r="L1270" s="73" t="str">
        <f>IF($E1270="","",DATE(YEAR($E1270),MONTH($E1270),1))</f>
        <v/>
      </c>
      <c r="M1270" s="65" t="str">
        <f ca="1">IF($D1270="","",IF($C1270="TANIMSIZ MÜŞTERİ","HATA",IF(OR($E1270="",$F1270&lt;=0,$G1270=""),"EKSİK",IF($E1270&gt;TODAY(),"İLERİ TARİH",IF(COUNTIF($S$7:$S$2503,$S1270)&gt;1,"MÜKERRER?",IF($T1270&gt;0,"KAPALI DÖNEM","UYGUN"))))))</f>
        <v/>
      </c>
      <c r="N1270" s="74" t="str">
        <f>IF($C1270="","",IF($C1270="TANIMSIZ MÜŞTERİ","—",INDEX(MUSTERILER!$C$7:$C$156,MATCH($C1270,MUSTERILER!$B$7:$B$156,0))))</f>
        <v/>
      </c>
      <c r="O1270" s="2"/>
      <c r="P1270" s="2"/>
      <c r="Q1270" s="1" t="str">
        <f>IF($D1270="","",$C1270&amp;"|"&amp;COUNTIFS($C$7:$C1270,$C1270))</f>
        <v/>
      </c>
      <c r="R1270" s="1" t="str">
        <f t="shared" si="38"/>
        <v/>
      </c>
      <c r="S1270" s="1" t="str">
        <f t="shared" si="39"/>
        <v/>
      </c>
      <c r="T1270" s="1">
        <f>IF($E1270="",0,SUMPRODUCT((AY_SONU!$O$7:$O$42="Evet")*(AY_SONU!$B$7:$B$42=DATE(YEAR($E1270),MONTH($E1270),1))))</f>
        <v>0</v>
      </c>
      <c r="U1270" s="1" t="str">
        <f>IF(OR($G1270="",$H1270="Mahsup"),"",$G1270&amp;"|"&amp;COUNTIFS($G$7:$G1270,$G1270,$H$7:$H1270,"&lt;&gt;Mahsup"))</f>
        <v/>
      </c>
    </row>
    <row r="1271" spans="1:21" ht="18" customHeight="1" x14ac:dyDescent="0.3">
      <c r="A1271" s="2"/>
      <c r="B1271" s="65" t="str">
        <f>IF($D1271="","","T"&amp;TEXT(ROW()-6,"00000"))</f>
        <v/>
      </c>
      <c r="C1271" s="65" t="str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61"/>
      <c r="E1271" s="66"/>
      <c r="F1271" s="67"/>
      <c r="G1271" s="60"/>
      <c r="H1271" s="60"/>
      <c r="I1271" s="61"/>
      <c r="J1271" s="61"/>
      <c r="K1271" s="61"/>
      <c r="L1271" s="73" t="str">
        <f>IF($E1271="","",DATE(YEAR($E1271),MONTH($E1271),1))</f>
        <v/>
      </c>
      <c r="M1271" s="65" t="str">
        <f ca="1">IF($D1271="","",IF($C1271="TANIMSIZ MÜŞTERİ","HATA",IF(OR($E1271="",$F1271&lt;=0,$G1271=""),"EKSİK",IF($E1271&gt;TODAY(),"İLERİ TARİH",IF(COUNTIF($S$7:$S$2503,$S1271)&gt;1,"MÜKERRER?",IF($T1271&gt;0,"KAPALI DÖNEM","UYGUN"))))))</f>
        <v/>
      </c>
      <c r="N1271" s="74" t="str">
        <f>IF($C1271="","",IF($C1271="TANIMSIZ MÜŞTERİ","—",INDEX(MUSTERILER!$C$7:$C$156,MATCH($C1271,MUSTERILER!$B$7:$B$156,0))))</f>
        <v/>
      </c>
      <c r="O1271" s="2"/>
      <c r="P1271" s="2"/>
      <c r="Q1271" s="1" t="str">
        <f>IF($D1271="","",$C1271&amp;"|"&amp;COUNTIFS($C$7:$C1271,$C1271))</f>
        <v/>
      </c>
      <c r="R1271" s="1" t="str">
        <f t="shared" si="38"/>
        <v/>
      </c>
      <c r="S1271" s="1" t="str">
        <f t="shared" si="39"/>
        <v/>
      </c>
      <c r="T1271" s="1">
        <f>IF($E1271="",0,SUMPRODUCT((AY_SONU!$O$7:$O$42="Evet")*(AY_SONU!$B$7:$B$42=DATE(YEAR($E1271),MONTH($E1271),1))))</f>
        <v>0</v>
      </c>
      <c r="U1271" s="1" t="str">
        <f>IF(OR($G1271="",$H1271="Mahsup"),"",$G1271&amp;"|"&amp;COUNTIFS($G$7:$G1271,$G1271,$H$7:$H1271,"&lt;&gt;Mahsup"))</f>
        <v/>
      </c>
    </row>
    <row r="1272" spans="1:21" ht="18" customHeight="1" x14ac:dyDescent="0.3">
      <c r="A1272" s="2"/>
      <c r="B1272" s="65" t="str">
        <f>IF($D1272="","","T"&amp;TEXT(ROW()-6,"00000"))</f>
        <v/>
      </c>
      <c r="C1272" s="65" t="str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61"/>
      <c r="E1272" s="66"/>
      <c r="F1272" s="67"/>
      <c r="G1272" s="60"/>
      <c r="H1272" s="60"/>
      <c r="I1272" s="61"/>
      <c r="J1272" s="61"/>
      <c r="K1272" s="61"/>
      <c r="L1272" s="73" t="str">
        <f>IF($E1272="","",DATE(YEAR($E1272),MONTH($E1272),1))</f>
        <v/>
      </c>
      <c r="M1272" s="65" t="str">
        <f ca="1">IF($D1272="","",IF($C1272="TANIMSIZ MÜŞTERİ","HATA",IF(OR($E1272="",$F1272&lt;=0,$G1272=""),"EKSİK",IF($E1272&gt;TODAY(),"İLERİ TARİH",IF(COUNTIF($S$7:$S$2503,$S1272)&gt;1,"MÜKERRER?",IF($T1272&gt;0,"KAPALI DÖNEM","UYGUN"))))))</f>
        <v/>
      </c>
      <c r="N1272" s="74" t="str">
        <f>IF($C1272="","",IF($C1272="TANIMSIZ MÜŞTERİ","—",INDEX(MUSTERILER!$C$7:$C$156,MATCH($C1272,MUSTERILER!$B$7:$B$156,0))))</f>
        <v/>
      </c>
      <c r="O1272" s="2"/>
      <c r="P1272" s="2"/>
      <c r="Q1272" s="1" t="str">
        <f>IF($D1272="","",$C1272&amp;"|"&amp;COUNTIFS($C$7:$C1272,$C1272))</f>
        <v/>
      </c>
      <c r="R1272" s="1" t="str">
        <f t="shared" si="38"/>
        <v/>
      </c>
      <c r="S1272" s="1" t="str">
        <f t="shared" si="39"/>
        <v/>
      </c>
      <c r="T1272" s="1">
        <f>IF($E1272="",0,SUMPRODUCT((AY_SONU!$O$7:$O$42="Evet")*(AY_SONU!$B$7:$B$42=DATE(YEAR($E1272),MONTH($E1272),1))))</f>
        <v>0</v>
      </c>
      <c r="U1272" s="1" t="str">
        <f>IF(OR($G1272="",$H1272="Mahsup"),"",$G1272&amp;"|"&amp;COUNTIFS($G$7:$G1272,$G1272,$H$7:$H1272,"&lt;&gt;Mahsup"))</f>
        <v/>
      </c>
    </row>
    <row r="1273" spans="1:21" ht="18" customHeight="1" x14ac:dyDescent="0.3">
      <c r="A1273" s="2"/>
      <c r="B1273" s="65" t="str">
        <f>IF($D1273="","","T"&amp;TEXT(ROW()-6,"00000"))</f>
        <v/>
      </c>
      <c r="C1273" s="65" t="str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61"/>
      <c r="E1273" s="66"/>
      <c r="F1273" s="67"/>
      <c r="G1273" s="60"/>
      <c r="H1273" s="60"/>
      <c r="I1273" s="61"/>
      <c r="J1273" s="61"/>
      <c r="K1273" s="61"/>
      <c r="L1273" s="73" t="str">
        <f>IF($E1273="","",DATE(YEAR($E1273),MONTH($E1273),1))</f>
        <v/>
      </c>
      <c r="M1273" s="65" t="str">
        <f ca="1">IF($D1273="","",IF($C1273="TANIMSIZ MÜŞTERİ","HATA",IF(OR($E1273="",$F1273&lt;=0,$G1273=""),"EKSİK",IF($E1273&gt;TODAY(),"İLERİ TARİH",IF(COUNTIF($S$7:$S$2503,$S1273)&gt;1,"MÜKERRER?",IF($T1273&gt;0,"KAPALI DÖNEM","UYGUN"))))))</f>
        <v/>
      </c>
      <c r="N1273" s="74" t="str">
        <f>IF($C1273="","",IF($C1273="TANIMSIZ MÜŞTERİ","—",INDEX(MUSTERILER!$C$7:$C$156,MATCH($C1273,MUSTERILER!$B$7:$B$156,0))))</f>
        <v/>
      </c>
      <c r="O1273" s="2"/>
      <c r="P1273" s="2"/>
      <c r="Q1273" s="1" t="str">
        <f>IF($D1273="","",$C1273&amp;"|"&amp;COUNTIFS($C$7:$C1273,$C1273))</f>
        <v/>
      </c>
      <c r="R1273" s="1" t="str">
        <f t="shared" si="38"/>
        <v/>
      </c>
      <c r="S1273" s="1" t="str">
        <f t="shared" si="39"/>
        <v/>
      </c>
      <c r="T1273" s="1">
        <f>IF($E1273="",0,SUMPRODUCT((AY_SONU!$O$7:$O$42="Evet")*(AY_SONU!$B$7:$B$42=DATE(YEAR($E1273),MONTH($E1273),1))))</f>
        <v>0</v>
      </c>
      <c r="U1273" s="1" t="str">
        <f>IF(OR($G1273="",$H1273="Mahsup"),"",$G1273&amp;"|"&amp;COUNTIFS($G$7:$G1273,$G1273,$H$7:$H1273,"&lt;&gt;Mahsup"))</f>
        <v/>
      </c>
    </row>
    <row r="1274" spans="1:21" ht="18" customHeight="1" x14ac:dyDescent="0.3">
      <c r="A1274" s="2"/>
      <c r="B1274" s="65" t="str">
        <f>IF($D1274="","","T"&amp;TEXT(ROW()-6,"00000"))</f>
        <v/>
      </c>
      <c r="C1274" s="65" t="str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61"/>
      <c r="E1274" s="66"/>
      <c r="F1274" s="67"/>
      <c r="G1274" s="60"/>
      <c r="H1274" s="60"/>
      <c r="I1274" s="61"/>
      <c r="J1274" s="61"/>
      <c r="K1274" s="61"/>
      <c r="L1274" s="73" t="str">
        <f>IF($E1274="","",DATE(YEAR($E1274),MONTH($E1274),1))</f>
        <v/>
      </c>
      <c r="M1274" s="65" t="str">
        <f ca="1">IF($D1274="","",IF($C1274="TANIMSIZ MÜŞTERİ","HATA",IF(OR($E1274="",$F1274&lt;=0,$G1274=""),"EKSİK",IF($E1274&gt;TODAY(),"İLERİ TARİH",IF(COUNTIF($S$7:$S$2503,$S1274)&gt;1,"MÜKERRER?",IF($T1274&gt;0,"KAPALI DÖNEM","UYGUN"))))))</f>
        <v/>
      </c>
      <c r="N1274" s="74" t="str">
        <f>IF($C1274="","",IF($C1274="TANIMSIZ MÜŞTERİ","—",INDEX(MUSTERILER!$C$7:$C$156,MATCH($C1274,MUSTERILER!$B$7:$B$156,0))))</f>
        <v/>
      </c>
      <c r="O1274" s="2"/>
      <c r="P1274" s="2"/>
      <c r="Q1274" s="1" t="str">
        <f>IF($D1274="","",$C1274&amp;"|"&amp;COUNTIFS($C$7:$C1274,$C1274))</f>
        <v/>
      </c>
      <c r="R1274" s="1" t="str">
        <f t="shared" si="38"/>
        <v/>
      </c>
      <c r="S1274" s="1" t="str">
        <f t="shared" si="39"/>
        <v/>
      </c>
      <c r="T1274" s="1">
        <f>IF($E1274="",0,SUMPRODUCT((AY_SONU!$O$7:$O$42="Evet")*(AY_SONU!$B$7:$B$42=DATE(YEAR($E1274),MONTH($E1274),1))))</f>
        <v>0</v>
      </c>
      <c r="U1274" s="1" t="str">
        <f>IF(OR($G1274="",$H1274="Mahsup"),"",$G1274&amp;"|"&amp;COUNTIFS($G$7:$G1274,$G1274,$H$7:$H1274,"&lt;&gt;Mahsup"))</f>
        <v/>
      </c>
    </row>
    <row r="1275" spans="1:21" ht="18" customHeight="1" x14ac:dyDescent="0.3">
      <c r="A1275" s="2"/>
      <c r="B1275" s="65" t="str">
        <f>IF($D1275="","","T"&amp;TEXT(ROW()-6,"00000"))</f>
        <v/>
      </c>
      <c r="C1275" s="65" t="str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61"/>
      <c r="E1275" s="66"/>
      <c r="F1275" s="67"/>
      <c r="G1275" s="60"/>
      <c r="H1275" s="60"/>
      <c r="I1275" s="61"/>
      <c r="J1275" s="61"/>
      <c r="K1275" s="61"/>
      <c r="L1275" s="73" t="str">
        <f>IF($E1275="","",DATE(YEAR($E1275),MONTH($E1275),1))</f>
        <v/>
      </c>
      <c r="M1275" s="65" t="str">
        <f ca="1">IF($D1275="","",IF($C1275="TANIMSIZ MÜŞTERİ","HATA",IF(OR($E1275="",$F1275&lt;=0,$G1275=""),"EKSİK",IF($E1275&gt;TODAY(),"İLERİ TARİH",IF(COUNTIF($S$7:$S$2503,$S1275)&gt;1,"MÜKERRER?",IF($T1275&gt;0,"KAPALI DÖNEM","UYGUN"))))))</f>
        <v/>
      </c>
      <c r="N1275" s="74" t="str">
        <f>IF($C1275="","",IF($C1275="TANIMSIZ MÜŞTERİ","—",INDEX(MUSTERILER!$C$7:$C$156,MATCH($C1275,MUSTERILER!$B$7:$B$156,0))))</f>
        <v/>
      </c>
      <c r="O1275" s="2"/>
      <c r="P1275" s="2"/>
      <c r="Q1275" s="1" t="str">
        <f>IF($D1275="","",$C1275&amp;"|"&amp;COUNTIFS($C$7:$C1275,$C1275))</f>
        <v/>
      </c>
      <c r="R1275" s="1" t="str">
        <f t="shared" si="38"/>
        <v/>
      </c>
      <c r="S1275" s="1" t="str">
        <f t="shared" si="39"/>
        <v/>
      </c>
      <c r="T1275" s="1">
        <f>IF($E1275="",0,SUMPRODUCT((AY_SONU!$O$7:$O$42="Evet")*(AY_SONU!$B$7:$B$42=DATE(YEAR($E1275),MONTH($E1275),1))))</f>
        <v>0</v>
      </c>
      <c r="U1275" s="1" t="str">
        <f>IF(OR($G1275="",$H1275="Mahsup"),"",$G1275&amp;"|"&amp;COUNTIFS($G$7:$G1275,$G1275,$H$7:$H1275,"&lt;&gt;Mahsup"))</f>
        <v/>
      </c>
    </row>
    <row r="1276" spans="1:21" ht="18" customHeight="1" x14ac:dyDescent="0.3">
      <c r="A1276" s="2"/>
      <c r="B1276" s="65" t="str">
        <f>IF($D1276="","","T"&amp;TEXT(ROW()-6,"00000"))</f>
        <v/>
      </c>
      <c r="C1276" s="65" t="str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61"/>
      <c r="E1276" s="66"/>
      <c r="F1276" s="67"/>
      <c r="G1276" s="60"/>
      <c r="H1276" s="60"/>
      <c r="I1276" s="61"/>
      <c r="J1276" s="61"/>
      <c r="K1276" s="61"/>
      <c r="L1276" s="73" t="str">
        <f>IF($E1276="","",DATE(YEAR($E1276),MONTH($E1276),1))</f>
        <v/>
      </c>
      <c r="M1276" s="65" t="str">
        <f ca="1">IF($D1276="","",IF($C1276="TANIMSIZ MÜŞTERİ","HATA",IF(OR($E1276="",$F1276&lt;=0,$G1276=""),"EKSİK",IF($E1276&gt;TODAY(),"İLERİ TARİH",IF(COUNTIF($S$7:$S$2503,$S1276)&gt;1,"MÜKERRER?",IF($T1276&gt;0,"KAPALI DÖNEM","UYGUN"))))))</f>
        <v/>
      </c>
      <c r="N1276" s="74" t="str">
        <f>IF($C1276="","",IF($C1276="TANIMSIZ MÜŞTERİ","—",INDEX(MUSTERILER!$C$7:$C$156,MATCH($C1276,MUSTERILER!$B$7:$B$156,0))))</f>
        <v/>
      </c>
      <c r="O1276" s="2"/>
      <c r="P1276" s="2"/>
      <c r="Q1276" s="1" t="str">
        <f>IF($D1276="","",$C1276&amp;"|"&amp;COUNTIFS($C$7:$C1276,$C1276))</f>
        <v/>
      </c>
      <c r="R1276" s="1" t="str">
        <f t="shared" si="38"/>
        <v/>
      </c>
      <c r="S1276" s="1" t="str">
        <f t="shared" si="39"/>
        <v/>
      </c>
      <c r="T1276" s="1">
        <f>IF($E1276="",0,SUMPRODUCT((AY_SONU!$O$7:$O$42="Evet")*(AY_SONU!$B$7:$B$42=DATE(YEAR($E1276),MONTH($E1276),1))))</f>
        <v>0</v>
      </c>
      <c r="U1276" s="1" t="str">
        <f>IF(OR($G1276="",$H1276="Mahsup"),"",$G1276&amp;"|"&amp;COUNTIFS($G$7:$G1276,$G1276,$H$7:$H1276,"&lt;&gt;Mahsup"))</f>
        <v/>
      </c>
    </row>
    <row r="1277" spans="1:21" ht="18" customHeight="1" x14ac:dyDescent="0.3">
      <c r="A1277" s="2"/>
      <c r="B1277" s="65" t="str">
        <f>IF($D1277="","","T"&amp;TEXT(ROW()-6,"00000"))</f>
        <v/>
      </c>
      <c r="C1277" s="65" t="str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61"/>
      <c r="E1277" s="66"/>
      <c r="F1277" s="67"/>
      <c r="G1277" s="60"/>
      <c r="H1277" s="60"/>
      <c r="I1277" s="61"/>
      <c r="J1277" s="61"/>
      <c r="K1277" s="61"/>
      <c r="L1277" s="73" t="str">
        <f>IF($E1277="","",DATE(YEAR($E1277),MONTH($E1277),1))</f>
        <v/>
      </c>
      <c r="M1277" s="65" t="str">
        <f ca="1">IF($D1277="","",IF($C1277="TANIMSIZ MÜŞTERİ","HATA",IF(OR($E1277="",$F1277&lt;=0,$G1277=""),"EKSİK",IF($E1277&gt;TODAY(),"İLERİ TARİH",IF(COUNTIF($S$7:$S$2503,$S1277)&gt;1,"MÜKERRER?",IF($T1277&gt;0,"KAPALI DÖNEM","UYGUN"))))))</f>
        <v/>
      </c>
      <c r="N1277" s="74" t="str">
        <f>IF($C1277="","",IF($C1277="TANIMSIZ MÜŞTERİ","—",INDEX(MUSTERILER!$C$7:$C$156,MATCH($C1277,MUSTERILER!$B$7:$B$156,0))))</f>
        <v/>
      </c>
      <c r="O1277" s="2"/>
      <c r="P1277" s="2"/>
      <c r="Q1277" s="1" t="str">
        <f>IF($D1277="","",$C1277&amp;"|"&amp;COUNTIFS($C$7:$C1277,$C1277))</f>
        <v/>
      </c>
      <c r="R1277" s="1" t="str">
        <f t="shared" si="38"/>
        <v/>
      </c>
      <c r="S1277" s="1" t="str">
        <f t="shared" si="39"/>
        <v/>
      </c>
      <c r="T1277" s="1">
        <f>IF($E1277="",0,SUMPRODUCT((AY_SONU!$O$7:$O$42="Evet")*(AY_SONU!$B$7:$B$42=DATE(YEAR($E1277),MONTH($E1277),1))))</f>
        <v>0</v>
      </c>
      <c r="U1277" s="1" t="str">
        <f>IF(OR($G1277="",$H1277="Mahsup"),"",$G1277&amp;"|"&amp;COUNTIFS($G$7:$G1277,$G1277,$H$7:$H1277,"&lt;&gt;Mahsup"))</f>
        <v/>
      </c>
    </row>
    <row r="1278" spans="1:21" ht="18" customHeight="1" x14ac:dyDescent="0.3">
      <c r="A1278" s="2"/>
      <c r="B1278" s="65" t="str">
        <f>IF($D1278="","","T"&amp;TEXT(ROW()-6,"00000"))</f>
        <v/>
      </c>
      <c r="C1278" s="65" t="str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61"/>
      <c r="E1278" s="66"/>
      <c r="F1278" s="67"/>
      <c r="G1278" s="60"/>
      <c r="H1278" s="60"/>
      <c r="I1278" s="61"/>
      <c r="J1278" s="61"/>
      <c r="K1278" s="61"/>
      <c r="L1278" s="73" t="str">
        <f>IF($E1278="","",DATE(YEAR($E1278),MONTH($E1278),1))</f>
        <v/>
      </c>
      <c r="M1278" s="65" t="str">
        <f ca="1">IF($D1278="","",IF($C1278="TANIMSIZ MÜŞTERİ","HATA",IF(OR($E1278="",$F1278&lt;=0,$G1278=""),"EKSİK",IF($E1278&gt;TODAY(),"İLERİ TARİH",IF(COUNTIF($S$7:$S$2503,$S1278)&gt;1,"MÜKERRER?",IF($T1278&gt;0,"KAPALI DÖNEM","UYGUN"))))))</f>
        <v/>
      </c>
      <c r="N1278" s="74" t="str">
        <f>IF($C1278="","",IF($C1278="TANIMSIZ MÜŞTERİ","—",INDEX(MUSTERILER!$C$7:$C$156,MATCH($C1278,MUSTERILER!$B$7:$B$156,0))))</f>
        <v/>
      </c>
      <c r="O1278" s="2"/>
      <c r="P1278" s="2"/>
      <c r="Q1278" s="1" t="str">
        <f>IF($D1278="","",$C1278&amp;"|"&amp;COUNTIFS($C$7:$C1278,$C1278))</f>
        <v/>
      </c>
      <c r="R1278" s="1" t="str">
        <f t="shared" si="38"/>
        <v/>
      </c>
      <c r="S1278" s="1" t="str">
        <f t="shared" si="39"/>
        <v/>
      </c>
      <c r="T1278" s="1">
        <f>IF($E1278="",0,SUMPRODUCT((AY_SONU!$O$7:$O$42="Evet")*(AY_SONU!$B$7:$B$42=DATE(YEAR($E1278),MONTH($E1278),1))))</f>
        <v>0</v>
      </c>
      <c r="U1278" s="1" t="str">
        <f>IF(OR($G1278="",$H1278="Mahsup"),"",$G1278&amp;"|"&amp;COUNTIFS($G$7:$G1278,$G1278,$H$7:$H1278,"&lt;&gt;Mahsup"))</f>
        <v/>
      </c>
    </row>
    <row r="1279" spans="1:21" ht="18" customHeight="1" x14ac:dyDescent="0.3">
      <c r="A1279" s="2"/>
      <c r="B1279" s="65" t="str">
        <f>IF($D1279="","","T"&amp;TEXT(ROW()-6,"00000"))</f>
        <v/>
      </c>
      <c r="C1279" s="65" t="str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61"/>
      <c r="E1279" s="66"/>
      <c r="F1279" s="67"/>
      <c r="G1279" s="60"/>
      <c r="H1279" s="60"/>
      <c r="I1279" s="61"/>
      <c r="J1279" s="61"/>
      <c r="K1279" s="61"/>
      <c r="L1279" s="73" t="str">
        <f>IF($E1279="","",DATE(YEAR($E1279),MONTH($E1279),1))</f>
        <v/>
      </c>
      <c r="M1279" s="65" t="str">
        <f ca="1">IF($D1279="","",IF($C1279="TANIMSIZ MÜŞTERİ","HATA",IF(OR($E1279="",$F1279&lt;=0,$G1279=""),"EKSİK",IF($E1279&gt;TODAY(),"İLERİ TARİH",IF(COUNTIF($S$7:$S$2503,$S1279)&gt;1,"MÜKERRER?",IF($T1279&gt;0,"KAPALI DÖNEM","UYGUN"))))))</f>
        <v/>
      </c>
      <c r="N1279" s="74" t="str">
        <f>IF($C1279="","",IF($C1279="TANIMSIZ MÜŞTERİ","—",INDEX(MUSTERILER!$C$7:$C$156,MATCH($C1279,MUSTERILER!$B$7:$B$156,0))))</f>
        <v/>
      </c>
      <c r="O1279" s="2"/>
      <c r="P1279" s="2"/>
      <c r="Q1279" s="1" t="str">
        <f>IF($D1279="","",$C1279&amp;"|"&amp;COUNTIFS($C$7:$C1279,$C1279))</f>
        <v/>
      </c>
      <c r="R1279" s="1" t="str">
        <f t="shared" si="38"/>
        <v/>
      </c>
      <c r="S1279" s="1" t="str">
        <f t="shared" si="39"/>
        <v/>
      </c>
      <c r="T1279" s="1">
        <f>IF($E1279="",0,SUMPRODUCT((AY_SONU!$O$7:$O$42="Evet")*(AY_SONU!$B$7:$B$42=DATE(YEAR($E1279),MONTH($E1279),1))))</f>
        <v>0</v>
      </c>
      <c r="U1279" s="1" t="str">
        <f>IF(OR($G1279="",$H1279="Mahsup"),"",$G1279&amp;"|"&amp;COUNTIFS($G$7:$G1279,$G1279,$H$7:$H1279,"&lt;&gt;Mahsup"))</f>
        <v/>
      </c>
    </row>
    <row r="1280" spans="1:21" ht="18" customHeight="1" x14ac:dyDescent="0.3">
      <c r="A1280" s="2"/>
      <c r="B1280" s="65" t="str">
        <f>IF($D1280="","","T"&amp;TEXT(ROW()-6,"00000"))</f>
        <v/>
      </c>
      <c r="C1280" s="65" t="str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61"/>
      <c r="E1280" s="66"/>
      <c r="F1280" s="67"/>
      <c r="G1280" s="60"/>
      <c r="H1280" s="60"/>
      <c r="I1280" s="61"/>
      <c r="J1280" s="61"/>
      <c r="K1280" s="61"/>
      <c r="L1280" s="73" t="str">
        <f>IF($E1280="","",DATE(YEAR($E1280),MONTH($E1280),1))</f>
        <v/>
      </c>
      <c r="M1280" s="65" t="str">
        <f ca="1">IF($D1280="","",IF($C1280="TANIMSIZ MÜŞTERİ","HATA",IF(OR($E1280="",$F1280&lt;=0,$G1280=""),"EKSİK",IF($E1280&gt;TODAY(),"İLERİ TARİH",IF(COUNTIF($S$7:$S$2503,$S1280)&gt;1,"MÜKERRER?",IF($T1280&gt;0,"KAPALI DÖNEM","UYGUN"))))))</f>
        <v/>
      </c>
      <c r="N1280" s="74" t="str">
        <f>IF($C1280="","",IF($C1280="TANIMSIZ MÜŞTERİ","—",INDEX(MUSTERILER!$C$7:$C$156,MATCH($C1280,MUSTERILER!$B$7:$B$156,0))))</f>
        <v/>
      </c>
      <c r="O1280" s="2"/>
      <c r="P1280" s="2"/>
      <c r="Q1280" s="1" t="str">
        <f>IF($D1280="","",$C1280&amp;"|"&amp;COUNTIFS($C$7:$C1280,$C1280))</f>
        <v/>
      </c>
      <c r="R1280" s="1" t="str">
        <f t="shared" si="38"/>
        <v/>
      </c>
      <c r="S1280" s="1" t="str">
        <f t="shared" si="39"/>
        <v/>
      </c>
      <c r="T1280" s="1">
        <f>IF($E1280="",0,SUMPRODUCT((AY_SONU!$O$7:$O$42="Evet")*(AY_SONU!$B$7:$B$42=DATE(YEAR($E1280),MONTH($E1280),1))))</f>
        <v>0</v>
      </c>
      <c r="U1280" s="1" t="str">
        <f>IF(OR($G1280="",$H1280="Mahsup"),"",$G1280&amp;"|"&amp;COUNTIFS($G$7:$G1280,$G1280,$H$7:$H1280,"&lt;&gt;Mahsup"))</f>
        <v/>
      </c>
    </row>
    <row r="1281" spans="1:21" ht="18" customHeight="1" x14ac:dyDescent="0.3">
      <c r="A1281" s="2"/>
      <c r="B1281" s="65" t="str">
        <f>IF($D1281="","","T"&amp;TEXT(ROW()-6,"00000"))</f>
        <v/>
      </c>
      <c r="C1281" s="65" t="str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61"/>
      <c r="E1281" s="66"/>
      <c r="F1281" s="67"/>
      <c r="G1281" s="60"/>
      <c r="H1281" s="60"/>
      <c r="I1281" s="61"/>
      <c r="J1281" s="61"/>
      <c r="K1281" s="61"/>
      <c r="L1281" s="73" t="str">
        <f>IF($E1281="","",DATE(YEAR($E1281),MONTH($E1281),1))</f>
        <v/>
      </c>
      <c r="M1281" s="65" t="str">
        <f ca="1">IF($D1281="","",IF($C1281="TANIMSIZ MÜŞTERİ","HATA",IF(OR($E1281="",$F1281&lt;=0,$G1281=""),"EKSİK",IF($E1281&gt;TODAY(),"İLERİ TARİH",IF(COUNTIF($S$7:$S$2503,$S1281)&gt;1,"MÜKERRER?",IF($T1281&gt;0,"KAPALI DÖNEM","UYGUN"))))))</f>
        <v/>
      </c>
      <c r="N1281" s="74" t="str">
        <f>IF($C1281="","",IF($C1281="TANIMSIZ MÜŞTERİ","—",INDEX(MUSTERILER!$C$7:$C$156,MATCH($C1281,MUSTERILER!$B$7:$B$156,0))))</f>
        <v/>
      </c>
      <c r="O1281" s="2"/>
      <c r="P1281" s="2"/>
      <c r="Q1281" s="1" t="str">
        <f>IF($D1281="","",$C1281&amp;"|"&amp;COUNTIFS($C$7:$C1281,$C1281))</f>
        <v/>
      </c>
      <c r="R1281" s="1" t="str">
        <f t="shared" si="38"/>
        <v/>
      </c>
      <c r="S1281" s="1" t="str">
        <f t="shared" si="39"/>
        <v/>
      </c>
      <c r="T1281" s="1">
        <f>IF($E1281="",0,SUMPRODUCT((AY_SONU!$O$7:$O$42="Evet")*(AY_SONU!$B$7:$B$42=DATE(YEAR($E1281),MONTH($E1281),1))))</f>
        <v>0</v>
      </c>
      <c r="U1281" s="1" t="str">
        <f>IF(OR($G1281="",$H1281="Mahsup"),"",$G1281&amp;"|"&amp;COUNTIFS($G$7:$G1281,$G1281,$H$7:$H1281,"&lt;&gt;Mahsup"))</f>
        <v/>
      </c>
    </row>
    <row r="1282" spans="1:21" ht="18" customHeight="1" x14ac:dyDescent="0.3">
      <c r="A1282" s="2"/>
      <c r="B1282" s="65" t="str">
        <f>IF($D1282="","","T"&amp;TEXT(ROW()-6,"00000"))</f>
        <v/>
      </c>
      <c r="C1282" s="65" t="str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61"/>
      <c r="E1282" s="66"/>
      <c r="F1282" s="67"/>
      <c r="G1282" s="60"/>
      <c r="H1282" s="60"/>
      <c r="I1282" s="61"/>
      <c r="J1282" s="61"/>
      <c r="K1282" s="61"/>
      <c r="L1282" s="73" t="str">
        <f>IF($E1282="","",DATE(YEAR($E1282),MONTH($E1282),1))</f>
        <v/>
      </c>
      <c r="M1282" s="65" t="str">
        <f ca="1">IF($D1282="","",IF($C1282="TANIMSIZ MÜŞTERİ","HATA",IF(OR($E1282="",$F1282&lt;=0,$G1282=""),"EKSİK",IF($E1282&gt;TODAY(),"İLERİ TARİH",IF(COUNTIF($S$7:$S$2503,$S1282)&gt;1,"MÜKERRER?",IF($T1282&gt;0,"KAPALI DÖNEM","UYGUN"))))))</f>
        <v/>
      </c>
      <c r="N1282" s="74" t="str">
        <f>IF($C1282="","",IF($C1282="TANIMSIZ MÜŞTERİ","—",INDEX(MUSTERILER!$C$7:$C$156,MATCH($C1282,MUSTERILER!$B$7:$B$156,0))))</f>
        <v/>
      </c>
      <c r="O1282" s="2"/>
      <c r="P1282" s="2"/>
      <c r="Q1282" s="1" t="str">
        <f>IF($D1282="","",$C1282&amp;"|"&amp;COUNTIFS($C$7:$C1282,$C1282))</f>
        <v/>
      </c>
      <c r="R1282" s="1" t="str">
        <f t="shared" si="38"/>
        <v/>
      </c>
      <c r="S1282" s="1" t="str">
        <f t="shared" si="39"/>
        <v/>
      </c>
      <c r="T1282" s="1">
        <f>IF($E1282="",0,SUMPRODUCT((AY_SONU!$O$7:$O$42="Evet")*(AY_SONU!$B$7:$B$42=DATE(YEAR($E1282),MONTH($E1282),1))))</f>
        <v>0</v>
      </c>
      <c r="U1282" s="1" t="str">
        <f>IF(OR($G1282="",$H1282="Mahsup"),"",$G1282&amp;"|"&amp;COUNTIFS($G$7:$G1282,$G1282,$H$7:$H1282,"&lt;&gt;Mahsup"))</f>
        <v/>
      </c>
    </row>
    <row r="1283" spans="1:21" ht="18" customHeight="1" x14ac:dyDescent="0.3">
      <c r="A1283" s="2"/>
      <c r="B1283" s="65" t="str">
        <f>IF($D1283="","","T"&amp;TEXT(ROW()-6,"00000"))</f>
        <v/>
      </c>
      <c r="C1283" s="65" t="str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61"/>
      <c r="E1283" s="66"/>
      <c r="F1283" s="67"/>
      <c r="G1283" s="60"/>
      <c r="H1283" s="60"/>
      <c r="I1283" s="61"/>
      <c r="J1283" s="61"/>
      <c r="K1283" s="61"/>
      <c r="L1283" s="73" t="str">
        <f>IF($E1283="","",DATE(YEAR($E1283),MONTH($E1283),1))</f>
        <v/>
      </c>
      <c r="M1283" s="65" t="str">
        <f ca="1">IF($D1283="","",IF($C1283="TANIMSIZ MÜŞTERİ","HATA",IF(OR($E1283="",$F1283&lt;=0,$G1283=""),"EKSİK",IF($E1283&gt;TODAY(),"İLERİ TARİH",IF(COUNTIF($S$7:$S$2503,$S1283)&gt;1,"MÜKERRER?",IF($T1283&gt;0,"KAPALI DÖNEM","UYGUN"))))))</f>
        <v/>
      </c>
      <c r="N1283" s="74" t="str">
        <f>IF($C1283="","",IF($C1283="TANIMSIZ MÜŞTERİ","—",INDEX(MUSTERILER!$C$7:$C$156,MATCH($C1283,MUSTERILER!$B$7:$B$156,0))))</f>
        <v/>
      </c>
      <c r="O1283" s="2"/>
      <c r="P1283" s="2"/>
      <c r="Q1283" s="1" t="str">
        <f>IF($D1283="","",$C1283&amp;"|"&amp;COUNTIFS($C$7:$C1283,$C1283))</f>
        <v/>
      </c>
      <c r="R1283" s="1" t="str">
        <f t="shared" si="38"/>
        <v/>
      </c>
      <c r="S1283" s="1" t="str">
        <f t="shared" si="39"/>
        <v/>
      </c>
      <c r="T1283" s="1">
        <f>IF($E1283="",0,SUMPRODUCT((AY_SONU!$O$7:$O$42="Evet")*(AY_SONU!$B$7:$B$42=DATE(YEAR($E1283),MONTH($E1283),1))))</f>
        <v>0</v>
      </c>
      <c r="U1283" s="1" t="str">
        <f>IF(OR($G1283="",$H1283="Mahsup"),"",$G1283&amp;"|"&amp;COUNTIFS($G$7:$G1283,$G1283,$H$7:$H1283,"&lt;&gt;Mahsup"))</f>
        <v/>
      </c>
    </row>
    <row r="1284" spans="1:21" ht="18" customHeight="1" x14ac:dyDescent="0.3">
      <c r="A1284" s="2"/>
      <c r="B1284" s="65" t="str">
        <f>IF($D1284="","","T"&amp;TEXT(ROW()-6,"00000"))</f>
        <v/>
      </c>
      <c r="C1284" s="65" t="str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61"/>
      <c r="E1284" s="66"/>
      <c r="F1284" s="67"/>
      <c r="G1284" s="60"/>
      <c r="H1284" s="60"/>
      <c r="I1284" s="61"/>
      <c r="J1284" s="61"/>
      <c r="K1284" s="61"/>
      <c r="L1284" s="73" t="str">
        <f>IF($E1284="","",DATE(YEAR($E1284),MONTH($E1284),1))</f>
        <v/>
      </c>
      <c r="M1284" s="65" t="str">
        <f ca="1">IF($D1284="","",IF($C1284="TANIMSIZ MÜŞTERİ","HATA",IF(OR($E1284="",$F1284&lt;=0,$G1284=""),"EKSİK",IF($E1284&gt;TODAY(),"İLERİ TARİH",IF(COUNTIF($S$7:$S$2503,$S1284)&gt;1,"MÜKERRER?",IF($T1284&gt;0,"KAPALI DÖNEM","UYGUN"))))))</f>
        <v/>
      </c>
      <c r="N1284" s="74" t="str">
        <f>IF($C1284="","",IF($C1284="TANIMSIZ MÜŞTERİ","—",INDEX(MUSTERILER!$C$7:$C$156,MATCH($C1284,MUSTERILER!$B$7:$B$156,0))))</f>
        <v/>
      </c>
      <c r="O1284" s="2"/>
      <c r="P1284" s="2"/>
      <c r="Q1284" s="1" t="str">
        <f>IF($D1284="","",$C1284&amp;"|"&amp;COUNTIFS($C$7:$C1284,$C1284))</f>
        <v/>
      </c>
      <c r="R1284" s="1" t="str">
        <f t="shared" si="38"/>
        <v/>
      </c>
      <c r="S1284" s="1" t="str">
        <f t="shared" si="39"/>
        <v/>
      </c>
      <c r="T1284" s="1">
        <f>IF($E1284="",0,SUMPRODUCT((AY_SONU!$O$7:$O$42="Evet")*(AY_SONU!$B$7:$B$42=DATE(YEAR($E1284),MONTH($E1284),1))))</f>
        <v>0</v>
      </c>
      <c r="U1284" s="1" t="str">
        <f>IF(OR($G1284="",$H1284="Mahsup"),"",$G1284&amp;"|"&amp;COUNTIFS($G$7:$G1284,$G1284,$H$7:$H1284,"&lt;&gt;Mahsup"))</f>
        <v/>
      </c>
    </row>
    <row r="1285" spans="1:21" ht="18" customHeight="1" x14ac:dyDescent="0.3">
      <c r="A1285" s="2"/>
      <c r="B1285" s="65" t="str">
        <f>IF($D1285="","","T"&amp;TEXT(ROW()-6,"00000"))</f>
        <v/>
      </c>
      <c r="C1285" s="65" t="str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61"/>
      <c r="E1285" s="66"/>
      <c r="F1285" s="67"/>
      <c r="G1285" s="60"/>
      <c r="H1285" s="60"/>
      <c r="I1285" s="61"/>
      <c r="J1285" s="61"/>
      <c r="K1285" s="61"/>
      <c r="L1285" s="73" t="str">
        <f>IF($E1285="","",DATE(YEAR($E1285),MONTH($E1285),1))</f>
        <v/>
      </c>
      <c r="M1285" s="65" t="str">
        <f ca="1">IF($D1285="","",IF($C1285="TANIMSIZ MÜŞTERİ","HATA",IF(OR($E1285="",$F1285&lt;=0,$G1285=""),"EKSİK",IF($E1285&gt;TODAY(),"İLERİ TARİH",IF(COUNTIF($S$7:$S$2503,$S1285)&gt;1,"MÜKERRER?",IF($T1285&gt;0,"KAPALI DÖNEM","UYGUN"))))))</f>
        <v/>
      </c>
      <c r="N1285" s="74" t="str">
        <f>IF($C1285="","",IF($C1285="TANIMSIZ MÜŞTERİ","—",INDEX(MUSTERILER!$C$7:$C$156,MATCH($C1285,MUSTERILER!$B$7:$B$156,0))))</f>
        <v/>
      </c>
      <c r="O1285" s="2"/>
      <c r="P1285" s="2"/>
      <c r="Q1285" s="1" t="str">
        <f>IF($D1285="","",$C1285&amp;"|"&amp;COUNTIFS($C$7:$C1285,$C1285))</f>
        <v/>
      </c>
      <c r="R1285" s="1" t="str">
        <f t="shared" si="38"/>
        <v/>
      </c>
      <c r="S1285" s="1" t="str">
        <f t="shared" si="39"/>
        <v/>
      </c>
      <c r="T1285" s="1">
        <f>IF($E1285="",0,SUMPRODUCT((AY_SONU!$O$7:$O$42="Evet")*(AY_SONU!$B$7:$B$42=DATE(YEAR($E1285),MONTH($E1285),1))))</f>
        <v>0</v>
      </c>
      <c r="U1285" s="1" t="str">
        <f>IF(OR($G1285="",$H1285="Mahsup"),"",$G1285&amp;"|"&amp;COUNTIFS($G$7:$G1285,$G1285,$H$7:$H1285,"&lt;&gt;Mahsup"))</f>
        <v/>
      </c>
    </row>
    <row r="1286" spans="1:21" ht="18" customHeight="1" x14ac:dyDescent="0.3">
      <c r="A1286" s="2"/>
      <c r="B1286" s="65" t="str">
        <f>IF($D1286="","","T"&amp;TEXT(ROW()-6,"00000"))</f>
        <v/>
      </c>
      <c r="C1286" s="65" t="str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61"/>
      <c r="E1286" s="66"/>
      <c r="F1286" s="67"/>
      <c r="G1286" s="60"/>
      <c r="H1286" s="60"/>
      <c r="I1286" s="61"/>
      <c r="J1286" s="61"/>
      <c r="K1286" s="61"/>
      <c r="L1286" s="73" t="str">
        <f>IF($E1286="","",DATE(YEAR($E1286),MONTH($E1286),1))</f>
        <v/>
      </c>
      <c r="M1286" s="65" t="str">
        <f ca="1">IF($D1286="","",IF($C1286="TANIMSIZ MÜŞTERİ","HATA",IF(OR($E1286="",$F1286&lt;=0,$G1286=""),"EKSİK",IF($E1286&gt;TODAY(),"İLERİ TARİH",IF(COUNTIF($S$7:$S$2503,$S1286)&gt;1,"MÜKERRER?",IF($T1286&gt;0,"KAPALI DÖNEM","UYGUN"))))))</f>
        <v/>
      </c>
      <c r="N1286" s="74" t="str">
        <f>IF($C1286="","",IF($C1286="TANIMSIZ MÜŞTERİ","—",INDEX(MUSTERILER!$C$7:$C$156,MATCH($C1286,MUSTERILER!$B$7:$B$156,0))))</f>
        <v/>
      </c>
      <c r="O1286" s="2"/>
      <c r="P1286" s="2"/>
      <c r="Q1286" s="1" t="str">
        <f>IF($D1286="","",$C1286&amp;"|"&amp;COUNTIFS($C$7:$C1286,$C1286))</f>
        <v/>
      </c>
      <c r="R1286" s="1" t="str">
        <f t="shared" si="38"/>
        <v/>
      </c>
      <c r="S1286" s="1" t="str">
        <f t="shared" si="39"/>
        <v/>
      </c>
      <c r="T1286" s="1">
        <f>IF($E1286="",0,SUMPRODUCT((AY_SONU!$O$7:$O$42="Evet")*(AY_SONU!$B$7:$B$42=DATE(YEAR($E1286),MONTH($E1286),1))))</f>
        <v>0</v>
      </c>
      <c r="U1286" s="1" t="str">
        <f>IF(OR($G1286="",$H1286="Mahsup"),"",$G1286&amp;"|"&amp;COUNTIFS($G$7:$G1286,$G1286,$H$7:$H1286,"&lt;&gt;Mahsup"))</f>
        <v/>
      </c>
    </row>
    <row r="1287" spans="1:21" ht="18" customHeight="1" x14ac:dyDescent="0.3">
      <c r="A1287" s="2"/>
      <c r="B1287" s="65" t="str">
        <f>IF($D1287="","","T"&amp;TEXT(ROW()-6,"00000"))</f>
        <v/>
      </c>
      <c r="C1287" s="65" t="str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61"/>
      <c r="E1287" s="66"/>
      <c r="F1287" s="67"/>
      <c r="G1287" s="60"/>
      <c r="H1287" s="60"/>
      <c r="I1287" s="61"/>
      <c r="J1287" s="61"/>
      <c r="K1287" s="61"/>
      <c r="L1287" s="73" t="str">
        <f>IF($E1287="","",DATE(YEAR($E1287),MONTH($E1287),1))</f>
        <v/>
      </c>
      <c r="M1287" s="65" t="str">
        <f ca="1">IF($D1287="","",IF($C1287="TANIMSIZ MÜŞTERİ","HATA",IF(OR($E1287="",$F1287&lt;=0,$G1287=""),"EKSİK",IF($E1287&gt;TODAY(),"İLERİ TARİH",IF(COUNTIF($S$7:$S$2503,$S1287)&gt;1,"MÜKERRER?",IF($T1287&gt;0,"KAPALI DÖNEM","UYGUN"))))))</f>
        <v/>
      </c>
      <c r="N1287" s="74" t="str">
        <f>IF($C1287="","",IF($C1287="TANIMSIZ MÜŞTERİ","—",INDEX(MUSTERILER!$C$7:$C$156,MATCH($C1287,MUSTERILER!$B$7:$B$156,0))))</f>
        <v/>
      </c>
      <c r="O1287" s="2"/>
      <c r="P1287" s="2"/>
      <c r="Q1287" s="1" t="str">
        <f>IF($D1287="","",$C1287&amp;"|"&amp;COUNTIFS($C$7:$C1287,$C1287))</f>
        <v/>
      </c>
      <c r="R1287" s="1" t="str">
        <f t="shared" ref="R1287:R1350" si="40"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" t="str">
        <f t="shared" ref="S1287:S1350" si="41">IF($D1287="","",$C1287&amp;"|"&amp;TEXT($E1287,"0")&amp;"|"&amp;TEXT($F1287,"0")&amp;"|"&amp;$I1287)</f>
        <v/>
      </c>
      <c r="T1287" s="1">
        <f>IF($E1287="",0,SUMPRODUCT((AY_SONU!$O$7:$O$42="Evet")*(AY_SONU!$B$7:$B$42=DATE(YEAR($E1287),MONTH($E1287),1))))</f>
        <v>0</v>
      </c>
      <c r="U1287" s="1" t="str">
        <f>IF(OR($G1287="",$H1287="Mahsup"),"",$G1287&amp;"|"&amp;COUNTIFS($G$7:$G1287,$G1287,$H$7:$H1287,"&lt;&gt;Mahsup"))</f>
        <v/>
      </c>
    </row>
    <row r="1288" spans="1:21" ht="18" customHeight="1" x14ac:dyDescent="0.3">
      <c r="A1288" s="2"/>
      <c r="B1288" s="65" t="str">
        <f>IF($D1288="","","T"&amp;TEXT(ROW()-6,"00000"))</f>
        <v/>
      </c>
      <c r="C1288" s="65" t="str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61"/>
      <c r="E1288" s="66"/>
      <c r="F1288" s="67"/>
      <c r="G1288" s="60"/>
      <c r="H1288" s="60"/>
      <c r="I1288" s="61"/>
      <c r="J1288" s="61"/>
      <c r="K1288" s="61"/>
      <c r="L1288" s="73" t="str">
        <f>IF($E1288="","",DATE(YEAR($E1288),MONTH($E1288),1))</f>
        <v/>
      </c>
      <c r="M1288" s="65" t="str">
        <f ca="1">IF($D1288="","",IF($C1288="TANIMSIZ MÜŞTERİ","HATA",IF(OR($E1288="",$F1288&lt;=0,$G1288=""),"EKSİK",IF($E1288&gt;TODAY(),"İLERİ TARİH",IF(COUNTIF($S$7:$S$2503,$S1288)&gt;1,"MÜKERRER?",IF($T1288&gt;0,"KAPALI DÖNEM","UYGUN"))))))</f>
        <v/>
      </c>
      <c r="N1288" s="74" t="str">
        <f>IF($C1288="","",IF($C1288="TANIMSIZ MÜŞTERİ","—",INDEX(MUSTERILER!$C$7:$C$156,MATCH($C1288,MUSTERILER!$B$7:$B$156,0))))</f>
        <v/>
      </c>
      <c r="O1288" s="2"/>
      <c r="P1288" s="2"/>
      <c r="Q1288" s="1" t="str">
        <f>IF($D1288="","",$C1288&amp;"|"&amp;COUNTIFS($C$7:$C1288,$C1288))</f>
        <v/>
      </c>
      <c r="R1288" s="1" t="str">
        <f t="shared" si="40"/>
        <v/>
      </c>
      <c r="S1288" s="1" t="str">
        <f t="shared" si="41"/>
        <v/>
      </c>
      <c r="T1288" s="1">
        <f>IF($E1288="",0,SUMPRODUCT((AY_SONU!$O$7:$O$42="Evet")*(AY_SONU!$B$7:$B$42=DATE(YEAR($E1288),MONTH($E1288),1))))</f>
        <v>0</v>
      </c>
      <c r="U1288" s="1" t="str">
        <f>IF(OR($G1288="",$H1288="Mahsup"),"",$G1288&amp;"|"&amp;COUNTIFS($G$7:$G1288,$G1288,$H$7:$H1288,"&lt;&gt;Mahsup"))</f>
        <v/>
      </c>
    </row>
    <row r="1289" spans="1:21" ht="18" customHeight="1" x14ac:dyDescent="0.3">
      <c r="A1289" s="2"/>
      <c r="B1289" s="65" t="str">
        <f>IF($D1289="","","T"&amp;TEXT(ROW()-6,"00000"))</f>
        <v/>
      </c>
      <c r="C1289" s="65" t="str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61"/>
      <c r="E1289" s="66"/>
      <c r="F1289" s="67"/>
      <c r="G1289" s="60"/>
      <c r="H1289" s="60"/>
      <c r="I1289" s="61"/>
      <c r="J1289" s="61"/>
      <c r="K1289" s="61"/>
      <c r="L1289" s="73" t="str">
        <f>IF($E1289="","",DATE(YEAR($E1289),MONTH($E1289),1))</f>
        <v/>
      </c>
      <c r="M1289" s="65" t="str">
        <f ca="1">IF($D1289="","",IF($C1289="TANIMSIZ MÜŞTERİ","HATA",IF(OR($E1289="",$F1289&lt;=0,$G1289=""),"EKSİK",IF($E1289&gt;TODAY(),"İLERİ TARİH",IF(COUNTIF($S$7:$S$2503,$S1289)&gt;1,"MÜKERRER?",IF($T1289&gt;0,"KAPALI DÖNEM","UYGUN"))))))</f>
        <v/>
      </c>
      <c r="N1289" s="74" t="str">
        <f>IF($C1289="","",IF($C1289="TANIMSIZ MÜŞTERİ","—",INDEX(MUSTERILER!$C$7:$C$156,MATCH($C1289,MUSTERILER!$B$7:$B$156,0))))</f>
        <v/>
      </c>
      <c r="O1289" s="2"/>
      <c r="P1289" s="2"/>
      <c r="Q1289" s="1" t="str">
        <f>IF($D1289="","",$C1289&amp;"|"&amp;COUNTIFS($C$7:$C1289,$C1289))</f>
        <v/>
      </c>
      <c r="R1289" s="1" t="str">
        <f t="shared" si="40"/>
        <v/>
      </c>
      <c r="S1289" s="1" t="str">
        <f t="shared" si="41"/>
        <v/>
      </c>
      <c r="T1289" s="1">
        <f>IF($E1289="",0,SUMPRODUCT((AY_SONU!$O$7:$O$42="Evet")*(AY_SONU!$B$7:$B$42=DATE(YEAR($E1289),MONTH($E1289),1))))</f>
        <v>0</v>
      </c>
      <c r="U1289" s="1" t="str">
        <f>IF(OR($G1289="",$H1289="Mahsup"),"",$G1289&amp;"|"&amp;COUNTIFS($G$7:$G1289,$G1289,$H$7:$H1289,"&lt;&gt;Mahsup"))</f>
        <v/>
      </c>
    </row>
    <row r="1290" spans="1:21" ht="18" customHeight="1" x14ac:dyDescent="0.3">
      <c r="A1290" s="2"/>
      <c r="B1290" s="65" t="str">
        <f>IF($D1290="","","T"&amp;TEXT(ROW()-6,"00000"))</f>
        <v/>
      </c>
      <c r="C1290" s="65" t="str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61"/>
      <c r="E1290" s="66"/>
      <c r="F1290" s="67"/>
      <c r="G1290" s="60"/>
      <c r="H1290" s="60"/>
      <c r="I1290" s="61"/>
      <c r="J1290" s="61"/>
      <c r="K1290" s="61"/>
      <c r="L1290" s="73" t="str">
        <f>IF($E1290="","",DATE(YEAR($E1290),MONTH($E1290),1))</f>
        <v/>
      </c>
      <c r="M1290" s="65" t="str">
        <f ca="1">IF($D1290="","",IF($C1290="TANIMSIZ MÜŞTERİ","HATA",IF(OR($E1290="",$F1290&lt;=0,$G1290=""),"EKSİK",IF($E1290&gt;TODAY(),"İLERİ TARİH",IF(COUNTIF($S$7:$S$2503,$S1290)&gt;1,"MÜKERRER?",IF($T1290&gt;0,"KAPALI DÖNEM","UYGUN"))))))</f>
        <v/>
      </c>
      <c r="N1290" s="74" t="str">
        <f>IF($C1290="","",IF($C1290="TANIMSIZ MÜŞTERİ","—",INDEX(MUSTERILER!$C$7:$C$156,MATCH($C1290,MUSTERILER!$B$7:$B$156,0))))</f>
        <v/>
      </c>
      <c r="O1290" s="2"/>
      <c r="P1290" s="2"/>
      <c r="Q1290" s="1" t="str">
        <f>IF($D1290="","",$C1290&amp;"|"&amp;COUNTIFS($C$7:$C1290,$C1290))</f>
        <v/>
      </c>
      <c r="R1290" s="1" t="str">
        <f t="shared" si="40"/>
        <v/>
      </c>
      <c r="S1290" s="1" t="str">
        <f t="shared" si="41"/>
        <v/>
      </c>
      <c r="T1290" s="1">
        <f>IF($E1290="",0,SUMPRODUCT((AY_SONU!$O$7:$O$42="Evet")*(AY_SONU!$B$7:$B$42=DATE(YEAR($E1290),MONTH($E1290),1))))</f>
        <v>0</v>
      </c>
      <c r="U1290" s="1" t="str">
        <f>IF(OR($G1290="",$H1290="Mahsup"),"",$G1290&amp;"|"&amp;COUNTIFS($G$7:$G1290,$G1290,$H$7:$H1290,"&lt;&gt;Mahsup"))</f>
        <v/>
      </c>
    </row>
    <row r="1291" spans="1:21" ht="18" customHeight="1" x14ac:dyDescent="0.3">
      <c r="A1291" s="2"/>
      <c r="B1291" s="65" t="str">
        <f>IF($D1291="","","T"&amp;TEXT(ROW()-6,"00000"))</f>
        <v/>
      </c>
      <c r="C1291" s="65" t="str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61"/>
      <c r="E1291" s="66"/>
      <c r="F1291" s="67"/>
      <c r="G1291" s="60"/>
      <c r="H1291" s="60"/>
      <c r="I1291" s="61"/>
      <c r="J1291" s="61"/>
      <c r="K1291" s="61"/>
      <c r="L1291" s="73" t="str">
        <f>IF($E1291="","",DATE(YEAR($E1291),MONTH($E1291),1))</f>
        <v/>
      </c>
      <c r="M1291" s="65" t="str">
        <f ca="1">IF($D1291="","",IF($C1291="TANIMSIZ MÜŞTERİ","HATA",IF(OR($E1291="",$F1291&lt;=0,$G1291=""),"EKSİK",IF($E1291&gt;TODAY(),"İLERİ TARİH",IF(COUNTIF($S$7:$S$2503,$S1291)&gt;1,"MÜKERRER?",IF($T1291&gt;0,"KAPALI DÖNEM","UYGUN"))))))</f>
        <v/>
      </c>
      <c r="N1291" s="74" t="str">
        <f>IF($C1291="","",IF($C1291="TANIMSIZ MÜŞTERİ","—",INDEX(MUSTERILER!$C$7:$C$156,MATCH($C1291,MUSTERILER!$B$7:$B$156,0))))</f>
        <v/>
      </c>
      <c r="O1291" s="2"/>
      <c r="P1291" s="2"/>
      <c r="Q1291" s="1" t="str">
        <f>IF($D1291="","",$C1291&amp;"|"&amp;COUNTIFS($C$7:$C1291,$C1291))</f>
        <v/>
      </c>
      <c r="R1291" s="1" t="str">
        <f t="shared" si="40"/>
        <v/>
      </c>
      <c r="S1291" s="1" t="str">
        <f t="shared" si="41"/>
        <v/>
      </c>
      <c r="T1291" s="1">
        <f>IF($E1291="",0,SUMPRODUCT((AY_SONU!$O$7:$O$42="Evet")*(AY_SONU!$B$7:$B$42=DATE(YEAR($E1291),MONTH($E1291),1))))</f>
        <v>0</v>
      </c>
      <c r="U1291" s="1" t="str">
        <f>IF(OR($G1291="",$H1291="Mahsup"),"",$G1291&amp;"|"&amp;COUNTIFS($G$7:$G1291,$G1291,$H$7:$H1291,"&lt;&gt;Mahsup"))</f>
        <v/>
      </c>
    </row>
    <row r="1292" spans="1:21" ht="18" customHeight="1" x14ac:dyDescent="0.3">
      <c r="A1292" s="2"/>
      <c r="B1292" s="65" t="str">
        <f>IF($D1292="","","T"&amp;TEXT(ROW()-6,"00000"))</f>
        <v/>
      </c>
      <c r="C1292" s="65" t="str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61"/>
      <c r="E1292" s="66"/>
      <c r="F1292" s="67"/>
      <c r="G1292" s="60"/>
      <c r="H1292" s="60"/>
      <c r="I1292" s="61"/>
      <c r="J1292" s="61"/>
      <c r="K1292" s="61"/>
      <c r="L1292" s="73" t="str">
        <f>IF($E1292="","",DATE(YEAR($E1292),MONTH($E1292),1))</f>
        <v/>
      </c>
      <c r="M1292" s="65" t="str">
        <f ca="1">IF($D1292="","",IF($C1292="TANIMSIZ MÜŞTERİ","HATA",IF(OR($E1292="",$F1292&lt;=0,$G1292=""),"EKSİK",IF($E1292&gt;TODAY(),"İLERİ TARİH",IF(COUNTIF($S$7:$S$2503,$S1292)&gt;1,"MÜKERRER?",IF($T1292&gt;0,"KAPALI DÖNEM","UYGUN"))))))</f>
        <v/>
      </c>
      <c r="N1292" s="74" t="str">
        <f>IF($C1292="","",IF($C1292="TANIMSIZ MÜŞTERİ","—",INDEX(MUSTERILER!$C$7:$C$156,MATCH($C1292,MUSTERILER!$B$7:$B$156,0))))</f>
        <v/>
      </c>
      <c r="O1292" s="2"/>
      <c r="P1292" s="2"/>
      <c r="Q1292" s="1" t="str">
        <f>IF($D1292="","",$C1292&amp;"|"&amp;COUNTIFS($C$7:$C1292,$C1292))</f>
        <v/>
      </c>
      <c r="R1292" s="1" t="str">
        <f t="shared" si="40"/>
        <v/>
      </c>
      <c r="S1292" s="1" t="str">
        <f t="shared" si="41"/>
        <v/>
      </c>
      <c r="T1292" s="1">
        <f>IF($E1292="",0,SUMPRODUCT((AY_SONU!$O$7:$O$42="Evet")*(AY_SONU!$B$7:$B$42=DATE(YEAR($E1292),MONTH($E1292),1))))</f>
        <v>0</v>
      </c>
      <c r="U1292" s="1" t="str">
        <f>IF(OR($G1292="",$H1292="Mahsup"),"",$G1292&amp;"|"&amp;COUNTIFS($G$7:$G1292,$G1292,$H$7:$H1292,"&lt;&gt;Mahsup"))</f>
        <v/>
      </c>
    </row>
    <row r="1293" spans="1:21" ht="18" customHeight="1" x14ac:dyDescent="0.3">
      <c r="A1293" s="2"/>
      <c r="B1293" s="65" t="str">
        <f>IF($D1293="","","T"&amp;TEXT(ROW()-6,"00000"))</f>
        <v/>
      </c>
      <c r="C1293" s="65" t="str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61"/>
      <c r="E1293" s="66"/>
      <c r="F1293" s="67"/>
      <c r="G1293" s="60"/>
      <c r="H1293" s="60"/>
      <c r="I1293" s="61"/>
      <c r="J1293" s="61"/>
      <c r="K1293" s="61"/>
      <c r="L1293" s="73" t="str">
        <f>IF($E1293="","",DATE(YEAR($E1293),MONTH($E1293),1))</f>
        <v/>
      </c>
      <c r="M1293" s="65" t="str">
        <f ca="1">IF($D1293="","",IF($C1293="TANIMSIZ MÜŞTERİ","HATA",IF(OR($E1293="",$F1293&lt;=0,$G1293=""),"EKSİK",IF($E1293&gt;TODAY(),"İLERİ TARİH",IF(COUNTIF($S$7:$S$2503,$S1293)&gt;1,"MÜKERRER?",IF($T1293&gt;0,"KAPALI DÖNEM","UYGUN"))))))</f>
        <v/>
      </c>
      <c r="N1293" s="74" t="str">
        <f>IF($C1293="","",IF($C1293="TANIMSIZ MÜŞTERİ","—",INDEX(MUSTERILER!$C$7:$C$156,MATCH($C1293,MUSTERILER!$B$7:$B$156,0))))</f>
        <v/>
      </c>
      <c r="O1293" s="2"/>
      <c r="P1293" s="2"/>
      <c r="Q1293" s="1" t="str">
        <f>IF($D1293="","",$C1293&amp;"|"&amp;COUNTIFS($C$7:$C1293,$C1293))</f>
        <v/>
      </c>
      <c r="R1293" s="1" t="str">
        <f t="shared" si="40"/>
        <v/>
      </c>
      <c r="S1293" s="1" t="str">
        <f t="shared" si="41"/>
        <v/>
      </c>
      <c r="T1293" s="1">
        <f>IF($E1293="",0,SUMPRODUCT((AY_SONU!$O$7:$O$42="Evet")*(AY_SONU!$B$7:$B$42=DATE(YEAR($E1293),MONTH($E1293),1))))</f>
        <v>0</v>
      </c>
      <c r="U1293" s="1" t="str">
        <f>IF(OR($G1293="",$H1293="Mahsup"),"",$G1293&amp;"|"&amp;COUNTIFS($G$7:$G1293,$G1293,$H$7:$H1293,"&lt;&gt;Mahsup"))</f>
        <v/>
      </c>
    </row>
    <row r="1294" spans="1:21" ht="18" customHeight="1" x14ac:dyDescent="0.3">
      <c r="A1294" s="2"/>
      <c r="B1294" s="65" t="str">
        <f>IF($D1294="","","T"&amp;TEXT(ROW()-6,"00000"))</f>
        <v/>
      </c>
      <c r="C1294" s="65" t="str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61"/>
      <c r="E1294" s="66"/>
      <c r="F1294" s="67"/>
      <c r="G1294" s="60"/>
      <c r="H1294" s="60"/>
      <c r="I1294" s="61"/>
      <c r="J1294" s="61"/>
      <c r="K1294" s="61"/>
      <c r="L1294" s="73" t="str">
        <f>IF($E1294="","",DATE(YEAR($E1294),MONTH($E1294),1))</f>
        <v/>
      </c>
      <c r="M1294" s="65" t="str">
        <f ca="1">IF($D1294="","",IF($C1294="TANIMSIZ MÜŞTERİ","HATA",IF(OR($E1294="",$F1294&lt;=0,$G1294=""),"EKSİK",IF($E1294&gt;TODAY(),"İLERİ TARİH",IF(COUNTIF($S$7:$S$2503,$S1294)&gt;1,"MÜKERRER?",IF($T1294&gt;0,"KAPALI DÖNEM","UYGUN"))))))</f>
        <v/>
      </c>
      <c r="N1294" s="74" t="str">
        <f>IF($C1294="","",IF($C1294="TANIMSIZ MÜŞTERİ","—",INDEX(MUSTERILER!$C$7:$C$156,MATCH($C1294,MUSTERILER!$B$7:$B$156,0))))</f>
        <v/>
      </c>
      <c r="O1294" s="2"/>
      <c r="P1294" s="2"/>
      <c r="Q1294" s="1" t="str">
        <f>IF($D1294="","",$C1294&amp;"|"&amp;COUNTIFS($C$7:$C1294,$C1294))</f>
        <v/>
      </c>
      <c r="R1294" s="1" t="str">
        <f t="shared" si="40"/>
        <v/>
      </c>
      <c r="S1294" s="1" t="str">
        <f t="shared" si="41"/>
        <v/>
      </c>
      <c r="T1294" s="1">
        <f>IF($E1294="",0,SUMPRODUCT((AY_SONU!$O$7:$O$42="Evet")*(AY_SONU!$B$7:$B$42=DATE(YEAR($E1294),MONTH($E1294),1))))</f>
        <v>0</v>
      </c>
      <c r="U1294" s="1" t="str">
        <f>IF(OR($G1294="",$H1294="Mahsup"),"",$G1294&amp;"|"&amp;COUNTIFS($G$7:$G1294,$G1294,$H$7:$H1294,"&lt;&gt;Mahsup"))</f>
        <v/>
      </c>
    </row>
    <row r="1295" spans="1:21" ht="18" customHeight="1" x14ac:dyDescent="0.3">
      <c r="A1295" s="2"/>
      <c r="B1295" s="65" t="str">
        <f>IF($D1295="","","T"&amp;TEXT(ROW()-6,"00000"))</f>
        <v/>
      </c>
      <c r="C1295" s="65" t="str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61"/>
      <c r="E1295" s="66"/>
      <c r="F1295" s="67"/>
      <c r="G1295" s="60"/>
      <c r="H1295" s="60"/>
      <c r="I1295" s="61"/>
      <c r="J1295" s="61"/>
      <c r="K1295" s="61"/>
      <c r="L1295" s="73" t="str">
        <f>IF($E1295="","",DATE(YEAR($E1295),MONTH($E1295),1))</f>
        <v/>
      </c>
      <c r="M1295" s="65" t="str">
        <f ca="1">IF($D1295="","",IF($C1295="TANIMSIZ MÜŞTERİ","HATA",IF(OR($E1295="",$F1295&lt;=0,$G1295=""),"EKSİK",IF($E1295&gt;TODAY(),"İLERİ TARİH",IF(COUNTIF($S$7:$S$2503,$S1295)&gt;1,"MÜKERRER?",IF($T1295&gt;0,"KAPALI DÖNEM","UYGUN"))))))</f>
        <v/>
      </c>
      <c r="N1295" s="74" t="str">
        <f>IF($C1295="","",IF($C1295="TANIMSIZ MÜŞTERİ","—",INDEX(MUSTERILER!$C$7:$C$156,MATCH($C1295,MUSTERILER!$B$7:$B$156,0))))</f>
        <v/>
      </c>
      <c r="O1295" s="2"/>
      <c r="P1295" s="2"/>
      <c r="Q1295" s="1" t="str">
        <f>IF($D1295="","",$C1295&amp;"|"&amp;COUNTIFS($C$7:$C1295,$C1295))</f>
        <v/>
      </c>
      <c r="R1295" s="1" t="str">
        <f t="shared" si="40"/>
        <v/>
      </c>
      <c r="S1295" s="1" t="str">
        <f t="shared" si="41"/>
        <v/>
      </c>
      <c r="T1295" s="1">
        <f>IF($E1295="",0,SUMPRODUCT((AY_SONU!$O$7:$O$42="Evet")*(AY_SONU!$B$7:$B$42=DATE(YEAR($E1295),MONTH($E1295),1))))</f>
        <v>0</v>
      </c>
      <c r="U1295" s="1" t="str">
        <f>IF(OR($G1295="",$H1295="Mahsup"),"",$G1295&amp;"|"&amp;COUNTIFS($G$7:$G1295,$G1295,$H$7:$H1295,"&lt;&gt;Mahsup"))</f>
        <v/>
      </c>
    </row>
    <row r="1296" spans="1:21" ht="18" customHeight="1" x14ac:dyDescent="0.3">
      <c r="A1296" s="2"/>
      <c r="B1296" s="65" t="str">
        <f>IF($D1296="","","T"&amp;TEXT(ROW()-6,"00000"))</f>
        <v/>
      </c>
      <c r="C1296" s="65" t="str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61"/>
      <c r="E1296" s="66"/>
      <c r="F1296" s="67"/>
      <c r="G1296" s="60"/>
      <c r="H1296" s="60"/>
      <c r="I1296" s="61"/>
      <c r="J1296" s="61"/>
      <c r="K1296" s="61"/>
      <c r="L1296" s="73" t="str">
        <f>IF($E1296="","",DATE(YEAR($E1296),MONTH($E1296),1))</f>
        <v/>
      </c>
      <c r="M1296" s="65" t="str">
        <f ca="1">IF($D1296="","",IF($C1296="TANIMSIZ MÜŞTERİ","HATA",IF(OR($E1296="",$F1296&lt;=0,$G1296=""),"EKSİK",IF($E1296&gt;TODAY(),"İLERİ TARİH",IF(COUNTIF($S$7:$S$2503,$S1296)&gt;1,"MÜKERRER?",IF($T1296&gt;0,"KAPALI DÖNEM","UYGUN"))))))</f>
        <v/>
      </c>
      <c r="N1296" s="74" t="str">
        <f>IF($C1296="","",IF($C1296="TANIMSIZ MÜŞTERİ","—",INDEX(MUSTERILER!$C$7:$C$156,MATCH($C1296,MUSTERILER!$B$7:$B$156,0))))</f>
        <v/>
      </c>
      <c r="O1296" s="2"/>
      <c r="P1296" s="2"/>
      <c r="Q1296" s="1" t="str">
        <f>IF($D1296="","",$C1296&amp;"|"&amp;COUNTIFS($C$7:$C1296,$C1296))</f>
        <v/>
      </c>
      <c r="R1296" s="1" t="str">
        <f t="shared" si="40"/>
        <v/>
      </c>
      <c r="S1296" s="1" t="str">
        <f t="shared" si="41"/>
        <v/>
      </c>
      <c r="T1296" s="1">
        <f>IF($E1296="",0,SUMPRODUCT((AY_SONU!$O$7:$O$42="Evet")*(AY_SONU!$B$7:$B$42=DATE(YEAR($E1296),MONTH($E1296),1))))</f>
        <v>0</v>
      </c>
      <c r="U1296" s="1" t="str">
        <f>IF(OR($G1296="",$H1296="Mahsup"),"",$G1296&amp;"|"&amp;COUNTIFS($G$7:$G1296,$G1296,$H$7:$H1296,"&lt;&gt;Mahsup"))</f>
        <v/>
      </c>
    </row>
    <row r="1297" spans="1:21" ht="18" customHeight="1" x14ac:dyDescent="0.3">
      <c r="A1297" s="2"/>
      <c r="B1297" s="65" t="str">
        <f>IF($D1297="","","T"&amp;TEXT(ROW()-6,"00000"))</f>
        <v/>
      </c>
      <c r="C1297" s="65" t="str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61"/>
      <c r="E1297" s="66"/>
      <c r="F1297" s="67"/>
      <c r="G1297" s="60"/>
      <c r="H1297" s="60"/>
      <c r="I1297" s="61"/>
      <c r="J1297" s="61"/>
      <c r="K1297" s="61"/>
      <c r="L1297" s="73" t="str">
        <f>IF($E1297="","",DATE(YEAR($E1297),MONTH($E1297),1))</f>
        <v/>
      </c>
      <c r="M1297" s="65" t="str">
        <f ca="1">IF($D1297="","",IF($C1297="TANIMSIZ MÜŞTERİ","HATA",IF(OR($E1297="",$F1297&lt;=0,$G1297=""),"EKSİK",IF($E1297&gt;TODAY(),"İLERİ TARİH",IF(COUNTIF($S$7:$S$2503,$S1297)&gt;1,"MÜKERRER?",IF($T1297&gt;0,"KAPALI DÖNEM","UYGUN"))))))</f>
        <v/>
      </c>
      <c r="N1297" s="74" t="str">
        <f>IF($C1297="","",IF($C1297="TANIMSIZ MÜŞTERİ","—",INDEX(MUSTERILER!$C$7:$C$156,MATCH($C1297,MUSTERILER!$B$7:$B$156,0))))</f>
        <v/>
      </c>
      <c r="O1297" s="2"/>
      <c r="P1297" s="2"/>
      <c r="Q1297" s="1" t="str">
        <f>IF($D1297="","",$C1297&amp;"|"&amp;COUNTIFS($C$7:$C1297,$C1297))</f>
        <v/>
      </c>
      <c r="R1297" s="1" t="str">
        <f t="shared" si="40"/>
        <v/>
      </c>
      <c r="S1297" s="1" t="str">
        <f t="shared" si="41"/>
        <v/>
      </c>
      <c r="T1297" s="1">
        <f>IF($E1297="",0,SUMPRODUCT((AY_SONU!$O$7:$O$42="Evet")*(AY_SONU!$B$7:$B$42=DATE(YEAR($E1297),MONTH($E1297),1))))</f>
        <v>0</v>
      </c>
      <c r="U1297" s="1" t="str">
        <f>IF(OR($G1297="",$H1297="Mahsup"),"",$G1297&amp;"|"&amp;COUNTIFS($G$7:$G1297,$G1297,$H$7:$H1297,"&lt;&gt;Mahsup"))</f>
        <v/>
      </c>
    </row>
    <row r="1298" spans="1:21" ht="18" customHeight="1" x14ac:dyDescent="0.3">
      <c r="A1298" s="2"/>
      <c r="B1298" s="65" t="str">
        <f>IF($D1298="","","T"&amp;TEXT(ROW()-6,"00000"))</f>
        <v/>
      </c>
      <c r="C1298" s="65" t="str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61"/>
      <c r="E1298" s="66"/>
      <c r="F1298" s="67"/>
      <c r="G1298" s="60"/>
      <c r="H1298" s="60"/>
      <c r="I1298" s="61"/>
      <c r="J1298" s="61"/>
      <c r="K1298" s="61"/>
      <c r="L1298" s="73" t="str">
        <f>IF($E1298="","",DATE(YEAR($E1298),MONTH($E1298),1))</f>
        <v/>
      </c>
      <c r="M1298" s="65" t="str">
        <f ca="1">IF($D1298="","",IF($C1298="TANIMSIZ MÜŞTERİ","HATA",IF(OR($E1298="",$F1298&lt;=0,$G1298=""),"EKSİK",IF($E1298&gt;TODAY(),"İLERİ TARİH",IF(COUNTIF($S$7:$S$2503,$S1298)&gt;1,"MÜKERRER?",IF($T1298&gt;0,"KAPALI DÖNEM","UYGUN"))))))</f>
        <v/>
      </c>
      <c r="N1298" s="74" t="str">
        <f>IF($C1298="","",IF($C1298="TANIMSIZ MÜŞTERİ","—",INDEX(MUSTERILER!$C$7:$C$156,MATCH($C1298,MUSTERILER!$B$7:$B$156,0))))</f>
        <v/>
      </c>
      <c r="O1298" s="2"/>
      <c r="P1298" s="2"/>
      <c r="Q1298" s="1" t="str">
        <f>IF($D1298="","",$C1298&amp;"|"&amp;COUNTIFS($C$7:$C1298,$C1298))</f>
        <v/>
      </c>
      <c r="R1298" s="1" t="str">
        <f t="shared" si="40"/>
        <v/>
      </c>
      <c r="S1298" s="1" t="str">
        <f t="shared" si="41"/>
        <v/>
      </c>
      <c r="T1298" s="1">
        <f>IF($E1298="",0,SUMPRODUCT((AY_SONU!$O$7:$O$42="Evet")*(AY_SONU!$B$7:$B$42=DATE(YEAR($E1298),MONTH($E1298),1))))</f>
        <v>0</v>
      </c>
      <c r="U1298" s="1" t="str">
        <f>IF(OR($G1298="",$H1298="Mahsup"),"",$G1298&amp;"|"&amp;COUNTIFS($G$7:$G1298,$G1298,$H$7:$H1298,"&lt;&gt;Mahsup"))</f>
        <v/>
      </c>
    </row>
    <row r="1299" spans="1:21" ht="18" customHeight="1" x14ac:dyDescent="0.3">
      <c r="A1299" s="2"/>
      <c r="B1299" s="65" t="str">
        <f>IF($D1299="","","T"&amp;TEXT(ROW()-6,"00000"))</f>
        <v/>
      </c>
      <c r="C1299" s="65" t="str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61"/>
      <c r="E1299" s="66"/>
      <c r="F1299" s="67"/>
      <c r="G1299" s="60"/>
      <c r="H1299" s="60"/>
      <c r="I1299" s="61"/>
      <c r="J1299" s="61"/>
      <c r="K1299" s="61"/>
      <c r="L1299" s="73" t="str">
        <f>IF($E1299="","",DATE(YEAR($E1299),MONTH($E1299),1))</f>
        <v/>
      </c>
      <c r="M1299" s="65" t="str">
        <f ca="1">IF($D1299="","",IF($C1299="TANIMSIZ MÜŞTERİ","HATA",IF(OR($E1299="",$F1299&lt;=0,$G1299=""),"EKSİK",IF($E1299&gt;TODAY(),"İLERİ TARİH",IF(COUNTIF($S$7:$S$2503,$S1299)&gt;1,"MÜKERRER?",IF($T1299&gt;0,"KAPALI DÖNEM","UYGUN"))))))</f>
        <v/>
      </c>
      <c r="N1299" s="74" t="str">
        <f>IF($C1299="","",IF($C1299="TANIMSIZ MÜŞTERİ","—",INDEX(MUSTERILER!$C$7:$C$156,MATCH($C1299,MUSTERILER!$B$7:$B$156,0))))</f>
        <v/>
      </c>
      <c r="O1299" s="2"/>
      <c r="P1299" s="2"/>
      <c r="Q1299" s="1" t="str">
        <f>IF($D1299="","",$C1299&amp;"|"&amp;COUNTIFS($C$7:$C1299,$C1299))</f>
        <v/>
      </c>
      <c r="R1299" s="1" t="str">
        <f t="shared" si="40"/>
        <v/>
      </c>
      <c r="S1299" s="1" t="str">
        <f t="shared" si="41"/>
        <v/>
      </c>
      <c r="T1299" s="1">
        <f>IF($E1299="",0,SUMPRODUCT((AY_SONU!$O$7:$O$42="Evet")*(AY_SONU!$B$7:$B$42=DATE(YEAR($E1299),MONTH($E1299),1))))</f>
        <v>0</v>
      </c>
      <c r="U1299" s="1" t="str">
        <f>IF(OR($G1299="",$H1299="Mahsup"),"",$G1299&amp;"|"&amp;COUNTIFS($G$7:$G1299,$G1299,$H$7:$H1299,"&lt;&gt;Mahsup"))</f>
        <v/>
      </c>
    </row>
    <row r="1300" spans="1:21" ht="18" customHeight="1" x14ac:dyDescent="0.3">
      <c r="A1300" s="2"/>
      <c r="B1300" s="65" t="str">
        <f>IF($D1300="","","T"&amp;TEXT(ROW()-6,"00000"))</f>
        <v/>
      </c>
      <c r="C1300" s="65" t="str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61"/>
      <c r="E1300" s="66"/>
      <c r="F1300" s="67"/>
      <c r="G1300" s="60"/>
      <c r="H1300" s="60"/>
      <c r="I1300" s="61"/>
      <c r="J1300" s="61"/>
      <c r="K1300" s="61"/>
      <c r="L1300" s="73" t="str">
        <f>IF($E1300="","",DATE(YEAR($E1300),MONTH($E1300),1))</f>
        <v/>
      </c>
      <c r="M1300" s="65" t="str">
        <f ca="1">IF($D1300="","",IF($C1300="TANIMSIZ MÜŞTERİ","HATA",IF(OR($E1300="",$F1300&lt;=0,$G1300=""),"EKSİK",IF($E1300&gt;TODAY(),"İLERİ TARİH",IF(COUNTIF($S$7:$S$2503,$S1300)&gt;1,"MÜKERRER?",IF($T1300&gt;0,"KAPALI DÖNEM","UYGUN"))))))</f>
        <v/>
      </c>
      <c r="N1300" s="74" t="str">
        <f>IF($C1300="","",IF($C1300="TANIMSIZ MÜŞTERİ","—",INDEX(MUSTERILER!$C$7:$C$156,MATCH($C1300,MUSTERILER!$B$7:$B$156,0))))</f>
        <v/>
      </c>
      <c r="O1300" s="2"/>
      <c r="P1300" s="2"/>
      <c r="Q1300" s="1" t="str">
        <f>IF($D1300="","",$C1300&amp;"|"&amp;COUNTIFS($C$7:$C1300,$C1300))</f>
        <v/>
      </c>
      <c r="R1300" s="1" t="str">
        <f t="shared" si="40"/>
        <v/>
      </c>
      <c r="S1300" s="1" t="str">
        <f t="shared" si="41"/>
        <v/>
      </c>
      <c r="T1300" s="1">
        <f>IF($E1300="",0,SUMPRODUCT((AY_SONU!$O$7:$O$42="Evet")*(AY_SONU!$B$7:$B$42=DATE(YEAR($E1300),MONTH($E1300),1))))</f>
        <v>0</v>
      </c>
      <c r="U1300" s="1" t="str">
        <f>IF(OR($G1300="",$H1300="Mahsup"),"",$G1300&amp;"|"&amp;COUNTIFS($G$7:$G1300,$G1300,$H$7:$H1300,"&lt;&gt;Mahsup"))</f>
        <v/>
      </c>
    </row>
    <row r="1301" spans="1:21" ht="18" customHeight="1" x14ac:dyDescent="0.3">
      <c r="A1301" s="2"/>
      <c r="B1301" s="65" t="str">
        <f>IF($D1301="","","T"&amp;TEXT(ROW()-6,"00000"))</f>
        <v/>
      </c>
      <c r="C1301" s="65" t="str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61"/>
      <c r="E1301" s="66"/>
      <c r="F1301" s="67"/>
      <c r="G1301" s="60"/>
      <c r="H1301" s="60"/>
      <c r="I1301" s="61"/>
      <c r="J1301" s="61"/>
      <c r="K1301" s="61"/>
      <c r="L1301" s="73" t="str">
        <f>IF($E1301="","",DATE(YEAR($E1301),MONTH($E1301),1))</f>
        <v/>
      </c>
      <c r="M1301" s="65" t="str">
        <f ca="1">IF($D1301="","",IF($C1301="TANIMSIZ MÜŞTERİ","HATA",IF(OR($E1301="",$F1301&lt;=0,$G1301=""),"EKSİK",IF($E1301&gt;TODAY(),"İLERİ TARİH",IF(COUNTIF($S$7:$S$2503,$S1301)&gt;1,"MÜKERRER?",IF($T1301&gt;0,"KAPALI DÖNEM","UYGUN"))))))</f>
        <v/>
      </c>
      <c r="N1301" s="74" t="str">
        <f>IF($C1301="","",IF($C1301="TANIMSIZ MÜŞTERİ","—",INDEX(MUSTERILER!$C$7:$C$156,MATCH($C1301,MUSTERILER!$B$7:$B$156,0))))</f>
        <v/>
      </c>
      <c r="O1301" s="2"/>
      <c r="P1301" s="2"/>
      <c r="Q1301" s="1" t="str">
        <f>IF($D1301="","",$C1301&amp;"|"&amp;COUNTIFS($C$7:$C1301,$C1301))</f>
        <v/>
      </c>
      <c r="R1301" s="1" t="str">
        <f t="shared" si="40"/>
        <v/>
      </c>
      <c r="S1301" s="1" t="str">
        <f t="shared" si="41"/>
        <v/>
      </c>
      <c r="T1301" s="1">
        <f>IF($E1301="",0,SUMPRODUCT((AY_SONU!$O$7:$O$42="Evet")*(AY_SONU!$B$7:$B$42=DATE(YEAR($E1301),MONTH($E1301),1))))</f>
        <v>0</v>
      </c>
      <c r="U1301" s="1" t="str">
        <f>IF(OR($G1301="",$H1301="Mahsup"),"",$G1301&amp;"|"&amp;COUNTIFS($G$7:$G1301,$G1301,$H$7:$H1301,"&lt;&gt;Mahsup"))</f>
        <v/>
      </c>
    </row>
    <row r="1302" spans="1:21" ht="18" customHeight="1" x14ac:dyDescent="0.3">
      <c r="A1302" s="2"/>
      <c r="B1302" s="65" t="str">
        <f>IF($D1302="","","T"&amp;TEXT(ROW()-6,"00000"))</f>
        <v/>
      </c>
      <c r="C1302" s="65" t="str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61"/>
      <c r="E1302" s="66"/>
      <c r="F1302" s="67"/>
      <c r="G1302" s="60"/>
      <c r="H1302" s="60"/>
      <c r="I1302" s="61"/>
      <c r="J1302" s="61"/>
      <c r="K1302" s="61"/>
      <c r="L1302" s="73" t="str">
        <f>IF($E1302="","",DATE(YEAR($E1302),MONTH($E1302),1))</f>
        <v/>
      </c>
      <c r="M1302" s="65" t="str">
        <f ca="1">IF($D1302="","",IF($C1302="TANIMSIZ MÜŞTERİ","HATA",IF(OR($E1302="",$F1302&lt;=0,$G1302=""),"EKSİK",IF($E1302&gt;TODAY(),"İLERİ TARİH",IF(COUNTIF($S$7:$S$2503,$S1302)&gt;1,"MÜKERRER?",IF($T1302&gt;0,"KAPALI DÖNEM","UYGUN"))))))</f>
        <v/>
      </c>
      <c r="N1302" s="74" t="str">
        <f>IF($C1302="","",IF($C1302="TANIMSIZ MÜŞTERİ","—",INDEX(MUSTERILER!$C$7:$C$156,MATCH($C1302,MUSTERILER!$B$7:$B$156,0))))</f>
        <v/>
      </c>
      <c r="O1302" s="2"/>
      <c r="P1302" s="2"/>
      <c r="Q1302" s="1" t="str">
        <f>IF($D1302="","",$C1302&amp;"|"&amp;COUNTIFS($C$7:$C1302,$C1302))</f>
        <v/>
      </c>
      <c r="R1302" s="1" t="str">
        <f t="shared" si="40"/>
        <v/>
      </c>
      <c r="S1302" s="1" t="str">
        <f t="shared" si="41"/>
        <v/>
      </c>
      <c r="T1302" s="1">
        <f>IF($E1302="",0,SUMPRODUCT((AY_SONU!$O$7:$O$42="Evet")*(AY_SONU!$B$7:$B$42=DATE(YEAR($E1302),MONTH($E1302),1))))</f>
        <v>0</v>
      </c>
      <c r="U1302" s="1" t="str">
        <f>IF(OR($G1302="",$H1302="Mahsup"),"",$G1302&amp;"|"&amp;COUNTIFS($G$7:$G1302,$G1302,$H$7:$H1302,"&lt;&gt;Mahsup"))</f>
        <v/>
      </c>
    </row>
    <row r="1303" spans="1:21" ht="18" customHeight="1" x14ac:dyDescent="0.3">
      <c r="A1303" s="2"/>
      <c r="B1303" s="65" t="str">
        <f>IF($D1303="","","T"&amp;TEXT(ROW()-6,"00000"))</f>
        <v/>
      </c>
      <c r="C1303" s="65" t="str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61"/>
      <c r="E1303" s="66"/>
      <c r="F1303" s="67"/>
      <c r="G1303" s="60"/>
      <c r="H1303" s="60"/>
      <c r="I1303" s="61"/>
      <c r="J1303" s="61"/>
      <c r="K1303" s="61"/>
      <c r="L1303" s="73" t="str">
        <f>IF($E1303="","",DATE(YEAR($E1303),MONTH($E1303),1))</f>
        <v/>
      </c>
      <c r="M1303" s="65" t="str">
        <f ca="1">IF($D1303="","",IF($C1303="TANIMSIZ MÜŞTERİ","HATA",IF(OR($E1303="",$F1303&lt;=0,$G1303=""),"EKSİK",IF($E1303&gt;TODAY(),"İLERİ TARİH",IF(COUNTIF($S$7:$S$2503,$S1303)&gt;1,"MÜKERRER?",IF($T1303&gt;0,"KAPALI DÖNEM","UYGUN"))))))</f>
        <v/>
      </c>
      <c r="N1303" s="74" t="str">
        <f>IF($C1303="","",IF($C1303="TANIMSIZ MÜŞTERİ","—",INDEX(MUSTERILER!$C$7:$C$156,MATCH($C1303,MUSTERILER!$B$7:$B$156,0))))</f>
        <v/>
      </c>
      <c r="O1303" s="2"/>
      <c r="P1303" s="2"/>
      <c r="Q1303" s="1" t="str">
        <f>IF($D1303="","",$C1303&amp;"|"&amp;COUNTIFS($C$7:$C1303,$C1303))</f>
        <v/>
      </c>
      <c r="R1303" s="1" t="str">
        <f t="shared" si="40"/>
        <v/>
      </c>
      <c r="S1303" s="1" t="str">
        <f t="shared" si="41"/>
        <v/>
      </c>
      <c r="T1303" s="1">
        <f>IF($E1303="",0,SUMPRODUCT((AY_SONU!$O$7:$O$42="Evet")*(AY_SONU!$B$7:$B$42=DATE(YEAR($E1303),MONTH($E1303),1))))</f>
        <v>0</v>
      </c>
      <c r="U1303" s="1" t="str">
        <f>IF(OR($G1303="",$H1303="Mahsup"),"",$G1303&amp;"|"&amp;COUNTIFS($G$7:$G1303,$G1303,$H$7:$H1303,"&lt;&gt;Mahsup"))</f>
        <v/>
      </c>
    </row>
    <row r="1304" spans="1:21" ht="18" customHeight="1" x14ac:dyDescent="0.3">
      <c r="A1304" s="2"/>
      <c r="B1304" s="65" t="str">
        <f>IF($D1304="","","T"&amp;TEXT(ROW()-6,"00000"))</f>
        <v/>
      </c>
      <c r="C1304" s="65" t="str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61"/>
      <c r="E1304" s="66"/>
      <c r="F1304" s="67"/>
      <c r="G1304" s="60"/>
      <c r="H1304" s="60"/>
      <c r="I1304" s="61"/>
      <c r="J1304" s="61"/>
      <c r="K1304" s="61"/>
      <c r="L1304" s="73" t="str">
        <f>IF($E1304="","",DATE(YEAR($E1304),MONTH($E1304),1))</f>
        <v/>
      </c>
      <c r="M1304" s="65" t="str">
        <f ca="1">IF($D1304="","",IF($C1304="TANIMSIZ MÜŞTERİ","HATA",IF(OR($E1304="",$F1304&lt;=0,$G1304=""),"EKSİK",IF($E1304&gt;TODAY(),"İLERİ TARİH",IF(COUNTIF($S$7:$S$2503,$S1304)&gt;1,"MÜKERRER?",IF($T1304&gt;0,"KAPALI DÖNEM","UYGUN"))))))</f>
        <v/>
      </c>
      <c r="N1304" s="74" t="str">
        <f>IF($C1304="","",IF($C1304="TANIMSIZ MÜŞTERİ","—",INDEX(MUSTERILER!$C$7:$C$156,MATCH($C1304,MUSTERILER!$B$7:$B$156,0))))</f>
        <v/>
      </c>
      <c r="O1304" s="2"/>
      <c r="P1304" s="2"/>
      <c r="Q1304" s="1" t="str">
        <f>IF($D1304="","",$C1304&amp;"|"&amp;COUNTIFS($C$7:$C1304,$C1304))</f>
        <v/>
      </c>
      <c r="R1304" s="1" t="str">
        <f t="shared" si="40"/>
        <v/>
      </c>
      <c r="S1304" s="1" t="str">
        <f t="shared" si="41"/>
        <v/>
      </c>
      <c r="T1304" s="1">
        <f>IF($E1304="",0,SUMPRODUCT((AY_SONU!$O$7:$O$42="Evet")*(AY_SONU!$B$7:$B$42=DATE(YEAR($E1304),MONTH($E1304),1))))</f>
        <v>0</v>
      </c>
      <c r="U1304" s="1" t="str">
        <f>IF(OR($G1304="",$H1304="Mahsup"),"",$G1304&amp;"|"&amp;COUNTIFS($G$7:$G1304,$G1304,$H$7:$H1304,"&lt;&gt;Mahsup"))</f>
        <v/>
      </c>
    </row>
    <row r="1305" spans="1:21" ht="18" customHeight="1" x14ac:dyDescent="0.3">
      <c r="A1305" s="2"/>
      <c r="B1305" s="65" t="str">
        <f>IF($D1305="","","T"&amp;TEXT(ROW()-6,"00000"))</f>
        <v/>
      </c>
      <c r="C1305" s="65" t="str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61"/>
      <c r="E1305" s="66"/>
      <c r="F1305" s="67"/>
      <c r="G1305" s="60"/>
      <c r="H1305" s="60"/>
      <c r="I1305" s="61"/>
      <c r="J1305" s="61"/>
      <c r="K1305" s="61"/>
      <c r="L1305" s="73" t="str">
        <f>IF($E1305="","",DATE(YEAR($E1305),MONTH($E1305),1))</f>
        <v/>
      </c>
      <c r="M1305" s="65" t="str">
        <f ca="1">IF($D1305="","",IF($C1305="TANIMSIZ MÜŞTERİ","HATA",IF(OR($E1305="",$F1305&lt;=0,$G1305=""),"EKSİK",IF($E1305&gt;TODAY(),"İLERİ TARİH",IF(COUNTIF($S$7:$S$2503,$S1305)&gt;1,"MÜKERRER?",IF($T1305&gt;0,"KAPALI DÖNEM","UYGUN"))))))</f>
        <v/>
      </c>
      <c r="N1305" s="74" t="str">
        <f>IF($C1305="","",IF($C1305="TANIMSIZ MÜŞTERİ","—",INDEX(MUSTERILER!$C$7:$C$156,MATCH($C1305,MUSTERILER!$B$7:$B$156,0))))</f>
        <v/>
      </c>
      <c r="O1305" s="2"/>
      <c r="P1305" s="2"/>
      <c r="Q1305" s="1" t="str">
        <f>IF($D1305="","",$C1305&amp;"|"&amp;COUNTIFS($C$7:$C1305,$C1305))</f>
        <v/>
      </c>
      <c r="R1305" s="1" t="str">
        <f t="shared" si="40"/>
        <v/>
      </c>
      <c r="S1305" s="1" t="str">
        <f t="shared" si="41"/>
        <v/>
      </c>
      <c r="T1305" s="1">
        <f>IF($E1305="",0,SUMPRODUCT((AY_SONU!$O$7:$O$42="Evet")*(AY_SONU!$B$7:$B$42=DATE(YEAR($E1305),MONTH($E1305),1))))</f>
        <v>0</v>
      </c>
      <c r="U1305" s="1" t="str">
        <f>IF(OR($G1305="",$H1305="Mahsup"),"",$G1305&amp;"|"&amp;COUNTIFS($G$7:$G1305,$G1305,$H$7:$H1305,"&lt;&gt;Mahsup"))</f>
        <v/>
      </c>
    </row>
    <row r="1306" spans="1:21" ht="18" customHeight="1" x14ac:dyDescent="0.3">
      <c r="A1306" s="2"/>
      <c r="B1306" s="65" t="str">
        <f>IF($D1306="","","T"&amp;TEXT(ROW()-6,"00000"))</f>
        <v/>
      </c>
      <c r="C1306" s="65" t="str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61"/>
      <c r="E1306" s="66"/>
      <c r="F1306" s="67"/>
      <c r="G1306" s="60"/>
      <c r="H1306" s="60"/>
      <c r="I1306" s="61"/>
      <c r="J1306" s="61"/>
      <c r="K1306" s="61"/>
      <c r="L1306" s="73" t="str">
        <f>IF($E1306="","",DATE(YEAR($E1306),MONTH($E1306),1))</f>
        <v/>
      </c>
      <c r="M1306" s="65" t="str">
        <f ca="1">IF($D1306="","",IF($C1306="TANIMSIZ MÜŞTERİ","HATA",IF(OR($E1306="",$F1306&lt;=0,$G1306=""),"EKSİK",IF($E1306&gt;TODAY(),"İLERİ TARİH",IF(COUNTIF($S$7:$S$2503,$S1306)&gt;1,"MÜKERRER?",IF($T1306&gt;0,"KAPALI DÖNEM","UYGUN"))))))</f>
        <v/>
      </c>
      <c r="N1306" s="74" t="str">
        <f>IF($C1306="","",IF($C1306="TANIMSIZ MÜŞTERİ","—",INDEX(MUSTERILER!$C$7:$C$156,MATCH($C1306,MUSTERILER!$B$7:$B$156,0))))</f>
        <v/>
      </c>
      <c r="O1306" s="2"/>
      <c r="P1306" s="2"/>
      <c r="Q1306" s="1" t="str">
        <f>IF($D1306="","",$C1306&amp;"|"&amp;COUNTIFS($C$7:$C1306,$C1306))</f>
        <v/>
      </c>
      <c r="R1306" s="1" t="str">
        <f t="shared" si="40"/>
        <v/>
      </c>
      <c r="S1306" s="1" t="str">
        <f t="shared" si="41"/>
        <v/>
      </c>
      <c r="T1306" s="1">
        <f>IF($E1306="",0,SUMPRODUCT((AY_SONU!$O$7:$O$42="Evet")*(AY_SONU!$B$7:$B$42=DATE(YEAR($E1306),MONTH($E1306),1))))</f>
        <v>0</v>
      </c>
      <c r="U1306" s="1" t="str">
        <f>IF(OR($G1306="",$H1306="Mahsup"),"",$G1306&amp;"|"&amp;COUNTIFS($G$7:$G1306,$G1306,$H$7:$H1306,"&lt;&gt;Mahsup"))</f>
        <v/>
      </c>
    </row>
    <row r="1307" spans="1:21" ht="18" customHeight="1" x14ac:dyDescent="0.3">
      <c r="A1307" s="2"/>
      <c r="B1307" s="65" t="str">
        <f>IF($D1307="","","T"&amp;TEXT(ROW()-6,"00000"))</f>
        <v/>
      </c>
      <c r="C1307" s="65" t="str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61"/>
      <c r="E1307" s="66"/>
      <c r="F1307" s="67"/>
      <c r="G1307" s="60"/>
      <c r="H1307" s="60"/>
      <c r="I1307" s="61"/>
      <c r="J1307" s="61"/>
      <c r="K1307" s="61"/>
      <c r="L1307" s="73" t="str">
        <f>IF($E1307="","",DATE(YEAR($E1307),MONTH($E1307),1))</f>
        <v/>
      </c>
      <c r="M1307" s="65" t="str">
        <f ca="1">IF($D1307="","",IF($C1307="TANIMSIZ MÜŞTERİ","HATA",IF(OR($E1307="",$F1307&lt;=0,$G1307=""),"EKSİK",IF($E1307&gt;TODAY(),"İLERİ TARİH",IF(COUNTIF($S$7:$S$2503,$S1307)&gt;1,"MÜKERRER?",IF($T1307&gt;0,"KAPALI DÖNEM","UYGUN"))))))</f>
        <v/>
      </c>
      <c r="N1307" s="74" t="str">
        <f>IF($C1307="","",IF($C1307="TANIMSIZ MÜŞTERİ","—",INDEX(MUSTERILER!$C$7:$C$156,MATCH($C1307,MUSTERILER!$B$7:$B$156,0))))</f>
        <v/>
      </c>
      <c r="O1307" s="2"/>
      <c r="P1307" s="2"/>
      <c r="Q1307" s="1" t="str">
        <f>IF($D1307="","",$C1307&amp;"|"&amp;COUNTIFS($C$7:$C1307,$C1307))</f>
        <v/>
      </c>
      <c r="R1307" s="1" t="str">
        <f t="shared" si="40"/>
        <v/>
      </c>
      <c r="S1307" s="1" t="str">
        <f t="shared" si="41"/>
        <v/>
      </c>
      <c r="T1307" s="1">
        <f>IF($E1307="",0,SUMPRODUCT((AY_SONU!$O$7:$O$42="Evet")*(AY_SONU!$B$7:$B$42=DATE(YEAR($E1307),MONTH($E1307),1))))</f>
        <v>0</v>
      </c>
      <c r="U1307" s="1" t="str">
        <f>IF(OR($G1307="",$H1307="Mahsup"),"",$G1307&amp;"|"&amp;COUNTIFS($G$7:$G1307,$G1307,$H$7:$H1307,"&lt;&gt;Mahsup"))</f>
        <v/>
      </c>
    </row>
    <row r="1308" spans="1:21" ht="18" customHeight="1" x14ac:dyDescent="0.3">
      <c r="A1308" s="2"/>
      <c r="B1308" s="65" t="str">
        <f>IF($D1308="","","T"&amp;TEXT(ROW()-6,"00000"))</f>
        <v/>
      </c>
      <c r="C1308" s="65" t="str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61"/>
      <c r="E1308" s="66"/>
      <c r="F1308" s="67"/>
      <c r="G1308" s="60"/>
      <c r="H1308" s="60"/>
      <c r="I1308" s="61"/>
      <c r="J1308" s="61"/>
      <c r="K1308" s="61"/>
      <c r="L1308" s="73" t="str">
        <f>IF($E1308="","",DATE(YEAR($E1308),MONTH($E1308),1))</f>
        <v/>
      </c>
      <c r="M1308" s="65" t="str">
        <f ca="1">IF($D1308="","",IF($C1308="TANIMSIZ MÜŞTERİ","HATA",IF(OR($E1308="",$F1308&lt;=0,$G1308=""),"EKSİK",IF($E1308&gt;TODAY(),"İLERİ TARİH",IF(COUNTIF($S$7:$S$2503,$S1308)&gt;1,"MÜKERRER?",IF($T1308&gt;0,"KAPALI DÖNEM","UYGUN"))))))</f>
        <v/>
      </c>
      <c r="N1308" s="74" t="str">
        <f>IF($C1308="","",IF($C1308="TANIMSIZ MÜŞTERİ","—",INDEX(MUSTERILER!$C$7:$C$156,MATCH($C1308,MUSTERILER!$B$7:$B$156,0))))</f>
        <v/>
      </c>
      <c r="O1308" s="2"/>
      <c r="P1308" s="2"/>
      <c r="Q1308" s="1" t="str">
        <f>IF($D1308="","",$C1308&amp;"|"&amp;COUNTIFS($C$7:$C1308,$C1308))</f>
        <v/>
      </c>
      <c r="R1308" s="1" t="str">
        <f t="shared" si="40"/>
        <v/>
      </c>
      <c r="S1308" s="1" t="str">
        <f t="shared" si="41"/>
        <v/>
      </c>
      <c r="T1308" s="1">
        <f>IF($E1308="",0,SUMPRODUCT((AY_SONU!$O$7:$O$42="Evet")*(AY_SONU!$B$7:$B$42=DATE(YEAR($E1308),MONTH($E1308),1))))</f>
        <v>0</v>
      </c>
      <c r="U1308" s="1" t="str">
        <f>IF(OR($G1308="",$H1308="Mahsup"),"",$G1308&amp;"|"&amp;COUNTIFS($G$7:$G1308,$G1308,$H$7:$H1308,"&lt;&gt;Mahsup"))</f>
        <v/>
      </c>
    </row>
    <row r="1309" spans="1:21" ht="18" customHeight="1" x14ac:dyDescent="0.3">
      <c r="A1309" s="2"/>
      <c r="B1309" s="65" t="str">
        <f>IF($D1309="","","T"&amp;TEXT(ROW()-6,"00000"))</f>
        <v/>
      </c>
      <c r="C1309" s="65" t="str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61"/>
      <c r="E1309" s="66"/>
      <c r="F1309" s="67"/>
      <c r="G1309" s="60"/>
      <c r="H1309" s="60"/>
      <c r="I1309" s="61"/>
      <c r="J1309" s="61"/>
      <c r="K1309" s="61"/>
      <c r="L1309" s="73" t="str">
        <f>IF($E1309="","",DATE(YEAR($E1309),MONTH($E1309),1))</f>
        <v/>
      </c>
      <c r="M1309" s="65" t="str">
        <f ca="1">IF($D1309="","",IF($C1309="TANIMSIZ MÜŞTERİ","HATA",IF(OR($E1309="",$F1309&lt;=0,$G1309=""),"EKSİK",IF($E1309&gt;TODAY(),"İLERİ TARİH",IF(COUNTIF($S$7:$S$2503,$S1309)&gt;1,"MÜKERRER?",IF($T1309&gt;0,"KAPALI DÖNEM","UYGUN"))))))</f>
        <v/>
      </c>
      <c r="N1309" s="74" t="str">
        <f>IF($C1309="","",IF($C1309="TANIMSIZ MÜŞTERİ","—",INDEX(MUSTERILER!$C$7:$C$156,MATCH($C1309,MUSTERILER!$B$7:$B$156,0))))</f>
        <v/>
      </c>
      <c r="O1309" s="2"/>
      <c r="P1309" s="2"/>
      <c r="Q1309" s="1" t="str">
        <f>IF($D1309="","",$C1309&amp;"|"&amp;COUNTIFS($C$7:$C1309,$C1309))</f>
        <v/>
      </c>
      <c r="R1309" s="1" t="str">
        <f t="shared" si="40"/>
        <v/>
      </c>
      <c r="S1309" s="1" t="str">
        <f t="shared" si="41"/>
        <v/>
      </c>
      <c r="T1309" s="1">
        <f>IF($E1309="",0,SUMPRODUCT((AY_SONU!$O$7:$O$42="Evet")*(AY_SONU!$B$7:$B$42=DATE(YEAR($E1309),MONTH($E1309),1))))</f>
        <v>0</v>
      </c>
      <c r="U1309" s="1" t="str">
        <f>IF(OR($G1309="",$H1309="Mahsup"),"",$G1309&amp;"|"&amp;COUNTIFS($G$7:$G1309,$G1309,$H$7:$H1309,"&lt;&gt;Mahsup"))</f>
        <v/>
      </c>
    </row>
    <row r="1310" spans="1:21" ht="18" customHeight="1" x14ac:dyDescent="0.3">
      <c r="A1310" s="2"/>
      <c r="B1310" s="65" t="str">
        <f>IF($D1310="","","T"&amp;TEXT(ROW()-6,"00000"))</f>
        <v/>
      </c>
      <c r="C1310" s="65" t="str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61"/>
      <c r="E1310" s="66"/>
      <c r="F1310" s="67"/>
      <c r="G1310" s="60"/>
      <c r="H1310" s="60"/>
      <c r="I1310" s="61"/>
      <c r="J1310" s="61"/>
      <c r="K1310" s="61"/>
      <c r="L1310" s="73" t="str">
        <f>IF($E1310="","",DATE(YEAR($E1310),MONTH($E1310),1))</f>
        <v/>
      </c>
      <c r="M1310" s="65" t="str">
        <f ca="1">IF($D1310="","",IF($C1310="TANIMSIZ MÜŞTERİ","HATA",IF(OR($E1310="",$F1310&lt;=0,$G1310=""),"EKSİK",IF($E1310&gt;TODAY(),"İLERİ TARİH",IF(COUNTIF($S$7:$S$2503,$S1310)&gt;1,"MÜKERRER?",IF($T1310&gt;0,"KAPALI DÖNEM","UYGUN"))))))</f>
        <v/>
      </c>
      <c r="N1310" s="74" t="str">
        <f>IF($C1310="","",IF($C1310="TANIMSIZ MÜŞTERİ","—",INDEX(MUSTERILER!$C$7:$C$156,MATCH($C1310,MUSTERILER!$B$7:$B$156,0))))</f>
        <v/>
      </c>
      <c r="O1310" s="2"/>
      <c r="P1310" s="2"/>
      <c r="Q1310" s="1" t="str">
        <f>IF($D1310="","",$C1310&amp;"|"&amp;COUNTIFS($C$7:$C1310,$C1310))</f>
        <v/>
      </c>
      <c r="R1310" s="1" t="str">
        <f t="shared" si="40"/>
        <v/>
      </c>
      <c r="S1310" s="1" t="str">
        <f t="shared" si="41"/>
        <v/>
      </c>
      <c r="T1310" s="1">
        <f>IF($E1310="",0,SUMPRODUCT((AY_SONU!$O$7:$O$42="Evet")*(AY_SONU!$B$7:$B$42=DATE(YEAR($E1310),MONTH($E1310),1))))</f>
        <v>0</v>
      </c>
      <c r="U1310" s="1" t="str">
        <f>IF(OR($G1310="",$H1310="Mahsup"),"",$G1310&amp;"|"&amp;COUNTIFS($G$7:$G1310,$G1310,$H$7:$H1310,"&lt;&gt;Mahsup"))</f>
        <v/>
      </c>
    </row>
    <row r="1311" spans="1:21" ht="18" customHeight="1" x14ac:dyDescent="0.3">
      <c r="A1311" s="2"/>
      <c r="B1311" s="65" t="str">
        <f>IF($D1311="","","T"&amp;TEXT(ROW()-6,"00000"))</f>
        <v/>
      </c>
      <c r="C1311" s="65" t="str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61"/>
      <c r="E1311" s="66"/>
      <c r="F1311" s="67"/>
      <c r="G1311" s="60"/>
      <c r="H1311" s="60"/>
      <c r="I1311" s="61"/>
      <c r="J1311" s="61"/>
      <c r="K1311" s="61"/>
      <c r="L1311" s="73" t="str">
        <f>IF($E1311="","",DATE(YEAR($E1311),MONTH($E1311),1))</f>
        <v/>
      </c>
      <c r="M1311" s="65" t="str">
        <f ca="1">IF($D1311="","",IF($C1311="TANIMSIZ MÜŞTERİ","HATA",IF(OR($E1311="",$F1311&lt;=0,$G1311=""),"EKSİK",IF($E1311&gt;TODAY(),"İLERİ TARİH",IF(COUNTIF($S$7:$S$2503,$S1311)&gt;1,"MÜKERRER?",IF($T1311&gt;0,"KAPALI DÖNEM","UYGUN"))))))</f>
        <v/>
      </c>
      <c r="N1311" s="74" t="str">
        <f>IF($C1311="","",IF($C1311="TANIMSIZ MÜŞTERİ","—",INDEX(MUSTERILER!$C$7:$C$156,MATCH($C1311,MUSTERILER!$B$7:$B$156,0))))</f>
        <v/>
      </c>
      <c r="O1311" s="2"/>
      <c r="P1311" s="2"/>
      <c r="Q1311" s="1" t="str">
        <f>IF($D1311="","",$C1311&amp;"|"&amp;COUNTIFS($C$7:$C1311,$C1311))</f>
        <v/>
      </c>
      <c r="R1311" s="1" t="str">
        <f t="shared" si="40"/>
        <v/>
      </c>
      <c r="S1311" s="1" t="str">
        <f t="shared" si="41"/>
        <v/>
      </c>
      <c r="T1311" s="1">
        <f>IF($E1311="",0,SUMPRODUCT((AY_SONU!$O$7:$O$42="Evet")*(AY_SONU!$B$7:$B$42=DATE(YEAR($E1311),MONTH($E1311),1))))</f>
        <v>0</v>
      </c>
      <c r="U1311" s="1" t="str">
        <f>IF(OR($G1311="",$H1311="Mahsup"),"",$G1311&amp;"|"&amp;COUNTIFS($G$7:$G1311,$G1311,$H$7:$H1311,"&lt;&gt;Mahsup"))</f>
        <v/>
      </c>
    </row>
    <row r="1312" spans="1:21" ht="18" customHeight="1" x14ac:dyDescent="0.3">
      <c r="A1312" s="2"/>
      <c r="B1312" s="65" t="str">
        <f>IF($D1312="","","T"&amp;TEXT(ROW()-6,"00000"))</f>
        <v/>
      </c>
      <c r="C1312" s="65" t="str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61"/>
      <c r="E1312" s="66"/>
      <c r="F1312" s="67"/>
      <c r="G1312" s="60"/>
      <c r="H1312" s="60"/>
      <c r="I1312" s="61"/>
      <c r="J1312" s="61"/>
      <c r="K1312" s="61"/>
      <c r="L1312" s="73" t="str">
        <f>IF($E1312="","",DATE(YEAR($E1312),MONTH($E1312),1))</f>
        <v/>
      </c>
      <c r="M1312" s="65" t="str">
        <f ca="1">IF($D1312="","",IF($C1312="TANIMSIZ MÜŞTERİ","HATA",IF(OR($E1312="",$F1312&lt;=0,$G1312=""),"EKSİK",IF($E1312&gt;TODAY(),"İLERİ TARİH",IF(COUNTIF($S$7:$S$2503,$S1312)&gt;1,"MÜKERRER?",IF($T1312&gt;0,"KAPALI DÖNEM","UYGUN"))))))</f>
        <v/>
      </c>
      <c r="N1312" s="74" t="str">
        <f>IF($C1312="","",IF($C1312="TANIMSIZ MÜŞTERİ","—",INDEX(MUSTERILER!$C$7:$C$156,MATCH($C1312,MUSTERILER!$B$7:$B$156,0))))</f>
        <v/>
      </c>
      <c r="O1312" s="2"/>
      <c r="P1312" s="2"/>
      <c r="Q1312" s="1" t="str">
        <f>IF($D1312="","",$C1312&amp;"|"&amp;COUNTIFS($C$7:$C1312,$C1312))</f>
        <v/>
      </c>
      <c r="R1312" s="1" t="str">
        <f t="shared" si="40"/>
        <v/>
      </c>
      <c r="S1312" s="1" t="str">
        <f t="shared" si="41"/>
        <v/>
      </c>
      <c r="T1312" s="1">
        <f>IF($E1312="",0,SUMPRODUCT((AY_SONU!$O$7:$O$42="Evet")*(AY_SONU!$B$7:$B$42=DATE(YEAR($E1312),MONTH($E1312),1))))</f>
        <v>0</v>
      </c>
      <c r="U1312" s="1" t="str">
        <f>IF(OR($G1312="",$H1312="Mahsup"),"",$G1312&amp;"|"&amp;COUNTIFS($G$7:$G1312,$G1312,$H$7:$H1312,"&lt;&gt;Mahsup"))</f>
        <v/>
      </c>
    </row>
    <row r="1313" spans="1:21" ht="18" customHeight="1" x14ac:dyDescent="0.3">
      <c r="A1313" s="2"/>
      <c r="B1313" s="65" t="str">
        <f>IF($D1313="","","T"&amp;TEXT(ROW()-6,"00000"))</f>
        <v/>
      </c>
      <c r="C1313" s="65" t="str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61"/>
      <c r="E1313" s="66"/>
      <c r="F1313" s="67"/>
      <c r="G1313" s="60"/>
      <c r="H1313" s="60"/>
      <c r="I1313" s="61"/>
      <c r="J1313" s="61"/>
      <c r="K1313" s="61"/>
      <c r="L1313" s="73" t="str">
        <f>IF($E1313="","",DATE(YEAR($E1313),MONTH($E1313),1))</f>
        <v/>
      </c>
      <c r="M1313" s="65" t="str">
        <f ca="1">IF($D1313="","",IF($C1313="TANIMSIZ MÜŞTERİ","HATA",IF(OR($E1313="",$F1313&lt;=0,$G1313=""),"EKSİK",IF($E1313&gt;TODAY(),"İLERİ TARİH",IF(COUNTIF($S$7:$S$2503,$S1313)&gt;1,"MÜKERRER?",IF($T1313&gt;0,"KAPALI DÖNEM","UYGUN"))))))</f>
        <v/>
      </c>
      <c r="N1313" s="74" t="str">
        <f>IF($C1313="","",IF($C1313="TANIMSIZ MÜŞTERİ","—",INDEX(MUSTERILER!$C$7:$C$156,MATCH($C1313,MUSTERILER!$B$7:$B$156,0))))</f>
        <v/>
      </c>
      <c r="O1313" s="2"/>
      <c r="P1313" s="2"/>
      <c r="Q1313" s="1" t="str">
        <f>IF($D1313="","",$C1313&amp;"|"&amp;COUNTIFS($C$7:$C1313,$C1313))</f>
        <v/>
      </c>
      <c r="R1313" s="1" t="str">
        <f t="shared" si="40"/>
        <v/>
      </c>
      <c r="S1313" s="1" t="str">
        <f t="shared" si="41"/>
        <v/>
      </c>
      <c r="T1313" s="1">
        <f>IF($E1313="",0,SUMPRODUCT((AY_SONU!$O$7:$O$42="Evet")*(AY_SONU!$B$7:$B$42=DATE(YEAR($E1313),MONTH($E1313),1))))</f>
        <v>0</v>
      </c>
      <c r="U1313" s="1" t="str">
        <f>IF(OR($G1313="",$H1313="Mahsup"),"",$G1313&amp;"|"&amp;COUNTIFS($G$7:$G1313,$G1313,$H$7:$H1313,"&lt;&gt;Mahsup"))</f>
        <v/>
      </c>
    </row>
    <row r="1314" spans="1:21" ht="18" customHeight="1" x14ac:dyDescent="0.3">
      <c r="A1314" s="2"/>
      <c r="B1314" s="65" t="str">
        <f>IF($D1314="","","T"&amp;TEXT(ROW()-6,"00000"))</f>
        <v/>
      </c>
      <c r="C1314" s="65" t="str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61"/>
      <c r="E1314" s="66"/>
      <c r="F1314" s="67"/>
      <c r="G1314" s="60"/>
      <c r="H1314" s="60"/>
      <c r="I1314" s="61"/>
      <c r="J1314" s="61"/>
      <c r="K1314" s="61"/>
      <c r="L1314" s="73" t="str">
        <f>IF($E1314="","",DATE(YEAR($E1314),MONTH($E1314),1))</f>
        <v/>
      </c>
      <c r="M1314" s="65" t="str">
        <f ca="1">IF($D1314="","",IF($C1314="TANIMSIZ MÜŞTERİ","HATA",IF(OR($E1314="",$F1314&lt;=0,$G1314=""),"EKSİK",IF($E1314&gt;TODAY(),"İLERİ TARİH",IF(COUNTIF($S$7:$S$2503,$S1314)&gt;1,"MÜKERRER?",IF($T1314&gt;0,"KAPALI DÖNEM","UYGUN"))))))</f>
        <v/>
      </c>
      <c r="N1314" s="74" t="str">
        <f>IF($C1314="","",IF($C1314="TANIMSIZ MÜŞTERİ","—",INDEX(MUSTERILER!$C$7:$C$156,MATCH($C1314,MUSTERILER!$B$7:$B$156,0))))</f>
        <v/>
      </c>
      <c r="O1314" s="2"/>
      <c r="P1314" s="2"/>
      <c r="Q1314" s="1" t="str">
        <f>IF($D1314="","",$C1314&amp;"|"&amp;COUNTIFS($C$7:$C1314,$C1314))</f>
        <v/>
      </c>
      <c r="R1314" s="1" t="str">
        <f t="shared" si="40"/>
        <v/>
      </c>
      <c r="S1314" s="1" t="str">
        <f t="shared" si="41"/>
        <v/>
      </c>
      <c r="T1314" s="1">
        <f>IF($E1314="",0,SUMPRODUCT((AY_SONU!$O$7:$O$42="Evet")*(AY_SONU!$B$7:$B$42=DATE(YEAR($E1314),MONTH($E1314),1))))</f>
        <v>0</v>
      </c>
      <c r="U1314" s="1" t="str">
        <f>IF(OR($G1314="",$H1314="Mahsup"),"",$G1314&amp;"|"&amp;COUNTIFS($G$7:$G1314,$G1314,$H$7:$H1314,"&lt;&gt;Mahsup"))</f>
        <v/>
      </c>
    </row>
    <row r="1315" spans="1:21" ht="18" customHeight="1" x14ac:dyDescent="0.3">
      <c r="A1315" s="2"/>
      <c r="B1315" s="65" t="str">
        <f>IF($D1315="","","T"&amp;TEXT(ROW()-6,"00000"))</f>
        <v/>
      </c>
      <c r="C1315" s="65" t="str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61"/>
      <c r="E1315" s="66"/>
      <c r="F1315" s="67"/>
      <c r="G1315" s="60"/>
      <c r="H1315" s="60"/>
      <c r="I1315" s="61"/>
      <c r="J1315" s="61"/>
      <c r="K1315" s="61"/>
      <c r="L1315" s="73" t="str">
        <f>IF($E1315="","",DATE(YEAR($E1315),MONTH($E1315),1))</f>
        <v/>
      </c>
      <c r="M1315" s="65" t="str">
        <f ca="1">IF($D1315="","",IF($C1315="TANIMSIZ MÜŞTERİ","HATA",IF(OR($E1315="",$F1315&lt;=0,$G1315=""),"EKSİK",IF($E1315&gt;TODAY(),"İLERİ TARİH",IF(COUNTIF($S$7:$S$2503,$S1315)&gt;1,"MÜKERRER?",IF($T1315&gt;0,"KAPALI DÖNEM","UYGUN"))))))</f>
        <v/>
      </c>
      <c r="N1315" s="74" t="str">
        <f>IF($C1315="","",IF($C1315="TANIMSIZ MÜŞTERİ","—",INDEX(MUSTERILER!$C$7:$C$156,MATCH($C1315,MUSTERILER!$B$7:$B$156,0))))</f>
        <v/>
      </c>
      <c r="O1315" s="2"/>
      <c r="P1315" s="2"/>
      <c r="Q1315" s="1" t="str">
        <f>IF($D1315="","",$C1315&amp;"|"&amp;COUNTIFS($C$7:$C1315,$C1315))</f>
        <v/>
      </c>
      <c r="R1315" s="1" t="str">
        <f t="shared" si="40"/>
        <v/>
      </c>
      <c r="S1315" s="1" t="str">
        <f t="shared" si="41"/>
        <v/>
      </c>
      <c r="T1315" s="1">
        <f>IF($E1315="",0,SUMPRODUCT((AY_SONU!$O$7:$O$42="Evet")*(AY_SONU!$B$7:$B$42=DATE(YEAR($E1315),MONTH($E1315),1))))</f>
        <v>0</v>
      </c>
      <c r="U1315" s="1" t="str">
        <f>IF(OR($G1315="",$H1315="Mahsup"),"",$G1315&amp;"|"&amp;COUNTIFS($G$7:$G1315,$G1315,$H$7:$H1315,"&lt;&gt;Mahsup"))</f>
        <v/>
      </c>
    </row>
    <row r="1316" spans="1:21" ht="18" customHeight="1" x14ac:dyDescent="0.3">
      <c r="A1316" s="2"/>
      <c r="B1316" s="65" t="str">
        <f>IF($D1316="","","T"&amp;TEXT(ROW()-6,"00000"))</f>
        <v/>
      </c>
      <c r="C1316" s="65" t="str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61"/>
      <c r="E1316" s="66"/>
      <c r="F1316" s="67"/>
      <c r="G1316" s="60"/>
      <c r="H1316" s="60"/>
      <c r="I1316" s="61"/>
      <c r="J1316" s="61"/>
      <c r="K1316" s="61"/>
      <c r="L1316" s="73" t="str">
        <f>IF($E1316="","",DATE(YEAR($E1316),MONTH($E1316),1))</f>
        <v/>
      </c>
      <c r="M1316" s="65" t="str">
        <f ca="1">IF($D1316="","",IF($C1316="TANIMSIZ MÜŞTERİ","HATA",IF(OR($E1316="",$F1316&lt;=0,$G1316=""),"EKSİK",IF($E1316&gt;TODAY(),"İLERİ TARİH",IF(COUNTIF($S$7:$S$2503,$S1316)&gt;1,"MÜKERRER?",IF($T1316&gt;0,"KAPALI DÖNEM","UYGUN"))))))</f>
        <v/>
      </c>
      <c r="N1316" s="74" t="str">
        <f>IF($C1316="","",IF($C1316="TANIMSIZ MÜŞTERİ","—",INDEX(MUSTERILER!$C$7:$C$156,MATCH($C1316,MUSTERILER!$B$7:$B$156,0))))</f>
        <v/>
      </c>
      <c r="O1316" s="2"/>
      <c r="P1316" s="2"/>
      <c r="Q1316" s="1" t="str">
        <f>IF($D1316="","",$C1316&amp;"|"&amp;COUNTIFS($C$7:$C1316,$C1316))</f>
        <v/>
      </c>
      <c r="R1316" s="1" t="str">
        <f t="shared" si="40"/>
        <v/>
      </c>
      <c r="S1316" s="1" t="str">
        <f t="shared" si="41"/>
        <v/>
      </c>
      <c r="T1316" s="1">
        <f>IF($E1316="",0,SUMPRODUCT((AY_SONU!$O$7:$O$42="Evet")*(AY_SONU!$B$7:$B$42=DATE(YEAR($E1316),MONTH($E1316),1))))</f>
        <v>0</v>
      </c>
      <c r="U1316" s="1" t="str">
        <f>IF(OR($G1316="",$H1316="Mahsup"),"",$G1316&amp;"|"&amp;COUNTIFS($G$7:$G1316,$G1316,$H$7:$H1316,"&lt;&gt;Mahsup"))</f>
        <v/>
      </c>
    </row>
    <row r="1317" spans="1:21" ht="18" customHeight="1" x14ac:dyDescent="0.3">
      <c r="A1317" s="2"/>
      <c r="B1317" s="65" t="str">
        <f>IF($D1317="","","T"&amp;TEXT(ROW()-6,"00000"))</f>
        <v/>
      </c>
      <c r="C1317" s="65" t="str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61"/>
      <c r="E1317" s="66"/>
      <c r="F1317" s="67"/>
      <c r="G1317" s="60"/>
      <c r="H1317" s="60"/>
      <c r="I1317" s="61"/>
      <c r="J1317" s="61"/>
      <c r="K1317" s="61"/>
      <c r="L1317" s="73" t="str">
        <f>IF($E1317="","",DATE(YEAR($E1317),MONTH($E1317),1))</f>
        <v/>
      </c>
      <c r="M1317" s="65" t="str">
        <f ca="1">IF($D1317="","",IF($C1317="TANIMSIZ MÜŞTERİ","HATA",IF(OR($E1317="",$F1317&lt;=0,$G1317=""),"EKSİK",IF($E1317&gt;TODAY(),"İLERİ TARİH",IF(COUNTIF($S$7:$S$2503,$S1317)&gt;1,"MÜKERRER?",IF($T1317&gt;0,"KAPALI DÖNEM","UYGUN"))))))</f>
        <v/>
      </c>
      <c r="N1317" s="74" t="str">
        <f>IF($C1317="","",IF($C1317="TANIMSIZ MÜŞTERİ","—",INDEX(MUSTERILER!$C$7:$C$156,MATCH($C1317,MUSTERILER!$B$7:$B$156,0))))</f>
        <v/>
      </c>
      <c r="O1317" s="2"/>
      <c r="P1317" s="2"/>
      <c r="Q1317" s="1" t="str">
        <f>IF($D1317="","",$C1317&amp;"|"&amp;COUNTIFS($C$7:$C1317,$C1317))</f>
        <v/>
      </c>
      <c r="R1317" s="1" t="str">
        <f t="shared" si="40"/>
        <v/>
      </c>
      <c r="S1317" s="1" t="str">
        <f t="shared" si="41"/>
        <v/>
      </c>
      <c r="T1317" s="1">
        <f>IF($E1317="",0,SUMPRODUCT((AY_SONU!$O$7:$O$42="Evet")*(AY_SONU!$B$7:$B$42=DATE(YEAR($E1317),MONTH($E1317),1))))</f>
        <v>0</v>
      </c>
      <c r="U1317" s="1" t="str">
        <f>IF(OR($G1317="",$H1317="Mahsup"),"",$G1317&amp;"|"&amp;COUNTIFS($G$7:$G1317,$G1317,$H$7:$H1317,"&lt;&gt;Mahsup"))</f>
        <v/>
      </c>
    </row>
    <row r="1318" spans="1:21" ht="18" customHeight="1" x14ac:dyDescent="0.3">
      <c r="A1318" s="2"/>
      <c r="B1318" s="65" t="str">
        <f>IF($D1318="","","T"&amp;TEXT(ROW()-6,"00000"))</f>
        <v/>
      </c>
      <c r="C1318" s="65" t="str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61"/>
      <c r="E1318" s="66"/>
      <c r="F1318" s="67"/>
      <c r="G1318" s="60"/>
      <c r="H1318" s="60"/>
      <c r="I1318" s="61"/>
      <c r="J1318" s="61"/>
      <c r="K1318" s="61"/>
      <c r="L1318" s="73" t="str">
        <f>IF($E1318="","",DATE(YEAR($E1318),MONTH($E1318),1))</f>
        <v/>
      </c>
      <c r="M1318" s="65" t="str">
        <f ca="1">IF($D1318="","",IF($C1318="TANIMSIZ MÜŞTERİ","HATA",IF(OR($E1318="",$F1318&lt;=0,$G1318=""),"EKSİK",IF($E1318&gt;TODAY(),"İLERİ TARİH",IF(COUNTIF($S$7:$S$2503,$S1318)&gt;1,"MÜKERRER?",IF($T1318&gt;0,"KAPALI DÖNEM","UYGUN"))))))</f>
        <v/>
      </c>
      <c r="N1318" s="74" t="str">
        <f>IF($C1318="","",IF($C1318="TANIMSIZ MÜŞTERİ","—",INDEX(MUSTERILER!$C$7:$C$156,MATCH($C1318,MUSTERILER!$B$7:$B$156,0))))</f>
        <v/>
      </c>
      <c r="O1318" s="2"/>
      <c r="P1318" s="2"/>
      <c r="Q1318" s="1" t="str">
        <f>IF($D1318="","",$C1318&amp;"|"&amp;COUNTIFS($C$7:$C1318,$C1318))</f>
        <v/>
      </c>
      <c r="R1318" s="1" t="str">
        <f t="shared" si="40"/>
        <v/>
      </c>
      <c r="S1318" s="1" t="str">
        <f t="shared" si="41"/>
        <v/>
      </c>
      <c r="T1318" s="1">
        <f>IF($E1318="",0,SUMPRODUCT((AY_SONU!$O$7:$O$42="Evet")*(AY_SONU!$B$7:$B$42=DATE(YEAR($E1318),MONTH($E1318),1))))</f>
        <v>0</v>
      </c>
      <c r="U1318" s="1" t="str">
        <f>IF(OR($G1318="",$H1318="Mahsup"),"",$G1318&amp;"|"&amp;COUNTIFS($G$7:$G1318,$G1318,$H$7:$H1318,"&lt;&gt;Mahsup"))</f>
        <v/>
      </c>
    </row>
    <row r="1319" spans="1:21" ht="18" customHeight="1" x14ac:dyDescent="0.3">
      <c r="A1319" s="2"/>
      <c r="B1319" s="65" t="str">
        <f>IF($D1319="","","T"&amp;TEXT(ROW()-6,"00000"))</f>
        <v/>
      </c>
      <c r="C1319" s="65" t="str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61"/>
      <c r="E1319" s="66"/>
      <c r="F1319" s="67"/>
      <c r="G1319" s="60"/>
      <c r="H1319" s="60"/>
      <c r="I1319" s="61"/>
      <c r="J1319" s="61"/>
      <c r="K1319" s="61"/>
      <c r="L1319" s="73" t="str">
        <f>IF($E1319="","",DATE(YEAR($E1319),MONTH($E1319),1))</f>
        <v/>
      </c>
      <c r="M1319" s="65" t="str">
        <f ca="1">IF($D1319="","",IF($C1319="TANIMSIZ MÜŞTERİ","HATA",IF(OR($E1319="",$F1319&lt;=0,$G1319=""),"EKSİK",IF($E1319&gt;TODAY(),"İLERİ TARİH",IF(COUNTIF($S$7:$S$2503,$S1319)&gt;1,"MÜKERRER?",IF($T1319&gt;0,"KAPALI DÖNEM","UYGUN"))))))</f>
        <v/>
      </c>
      <c r="N1319" s="74" t="str">
        <f>IF($C1319="","",IF($C1319="TANIMSIZ MÜŞTERİ","—",INDEX(MUSTERILER!$C$7:$C$156,MATCH($C1319,MUSTERILER!$B$7:$B$156,0))))</f>
        <v/>
      </c>
      <c r="O1319" s="2"/>
      <c r="P1319" s="2"/>
      <c r="Q1319" s="1" t="str">
        <f>IF($D1319="","",$C1319&amp;"|"&amp;COUNTIFS($C$7:$C1319,$C1319))</f>
        <v/>
      </c>
      <c r="R1319" s="1" t="str">
        <f t="shared" si="40"/>
        <v/>
      </c>
      <c r="S1319" s="1" t="str">
        <f t="shared" si="41"/>
        <v/>
      </c>
      <c r="T1319" s="1">
        <f>IF($E1319="",0,SUMPRODUCT((AY_SONU!$O$7:$O$42="Evet")*(AY_SONU!$B$7:$B$42=DATE(YEAR($E1319),MONTH($E1319),1))))</f>
        <v>0</v>
      </c>
      <c r="U1319" s="1" t="str">
        <f>IF(OR($G1319="",$H1319="Mahsup"),"",$G1319&amp;"|"&amp;COUNTIFS($G$7:$G1319,$G1319,$H$7:$H1319,"&lt;&gt;Mahsup"))</f>
        <v/>
      </c>
    </row>
    <row r="1320" spans="1:21" ht="18" customHeight="1" x14ac:dyDescent="0.3">
      <c r="A1320" s="2"/>
      <c r="B1320" s="65" t="str">
        <f>IF($D1320="","","T"&amp;TEXT(ROW()-6,"00000"))</f>
        <v/>
      </c>
      <c r="C1320" s="65" t="str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61"/>
      <c r="E1320" s="66"/>
      <c r="F1320" s="67"/>
      <c r="G1320" s="60"/>
      <c r="H1320" s="60"/>
      <c r="I1320" s="61"/>
      <c r="J1320" s="61"/>
      <c r="K1320" s="61"/>
      <c r="L1320" s="73" t="str">
        <f>IF($E1320="","",DATE(YEAR($E1320),MONTH($E1320),1))</f>
        <v/>
      </c>
      <c r="M1320" s="65" t="str">
        <f ca="1">IF($D1320="","",IF($C1320="TANIMSIZ MÜŞTERİ","HATA",IF(OR($E1320="",$F1320&lt;=0,$G1320=""),"EKSİK",IF($E1320&gt;TODAY(),"İLERİ TARİH",IF(COUNTIF($S$7:$S$2503,$S1320)&gt;1,"MÜKERRER?",IF($T1320&gt;0,"KAPALI DÖNEM","UYGUN"))))))</f>
        <v/>
      </c>
      <c r="N1320" s="74" t="str">
        <f>IF($C1320="","",IF($C1320="TANIMSIZ MÜŞTERİ","—",INDEX(MUSTERILER!$C$7:$C$156,MATCH($C1320,MUSTERILER!$B$7:$B$156,0))))</f>
        <v/>
      </c>
      <c r="O1320" s="2"/>
      <c r="P1320" s="2"/>
      <c r="Q1320" s="1" t="str">
        <f>IF($D1320="","",$C1320&amp;"|"&amp;COUNTIFS($C$7:$C1320,$C1320))</f>
        <v/>
      </c>
      <c r="R1320" s="1" t="str">
        <f t="shared" si="40"/>
        <v/>
      </c>
      <c r="S1320" s="1" t="str">
        <f t="shared" si="41"/>
        <v/>
      </c>
      <c r="T1320" s="1">
        <f>IF($E1320="",0,SUMPRODUCT((AY_SONU!$O$7:$O$42="Evet")*(AY_SONU!$B$7:$B$42=DATE(YEAR($E1320),MONTH($E1320),1))))</f>
        <v>0</v>
      </c>
      <c r="U1320" s="1" t="str">
        <f>IF(OR($G1320="",$H1320="Mahsup"),"",$G1320&amp;"|"&amp;COUNTIFS($G$7:$G1320,$G1320,$H$7:$H1320,"&lt;&gt;Mahsup"))</f>
        <v/>
      </c>
    </row>
    <row r="1321" spans="1:21" ht="18" customHeight="1" x14ac:dyDescent="0.3">
      <c r="A1321" s="2"/>
      <c r="B1321" s="65" t="str">
        <f>IF($D1321="","","T"&amp;TEXT(ROW()-6,"00000"))</f>
        <v/>
      </c>
      <c r="C1321" s="65" t="str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61"/>
      <c r="E1321" s="66"/>
      <c r="F1321" s="67"/>
      <c r="G1321" s="60"/>
      <c r="H1321" s="60"/>
      <c r="I1321" s="61"/>
      <c r="J1321" s="61"/>
      <c r="K1321" s="61"/>
      <c r="L1321" s="73" t="str">
        <f>IF($E1321="","",DATE(YEAR($E1321),MONTH($E1321),1))</f>
        <v/>
      </c>
      <c r="M1321" s="65" t="str">
        <f ca="1">IF($D1321="","",IF($C1321="TANIMSIZ MÜŞTERİ","HATA",IF(OR($E1321="",$F1321&lt;=0,$G1321=""),"EKSİK",IF($E1321&gt;TODAY(),"İLERİ TARİH",IF(COUNTIF($S$7:$S$2503,$S1321)&gt;1,"MÜKERRER?",IF($T1321&gt;0,"KAPALI DÖNEM","UYGUN"))))))</f>
        <v/>
      </c>
      <c r="N1321" s="74" t="str">
        <f>IF($C1321="","",IF($C1321="TANIMSIZ MÜŞTERİ","—",INDEX(MUSTERILER!$C$7:$C$156,MATCH($C1321,MUSTERILER!$B$7:$B$156,0))))</f>
        <v/>
      </c>
      <c r="O1321" s="2"/>
      <c r="P1321" s="2"/>
      <c r="Q1321" s="1" t="str">
        <f>IF($D1321="","",$C1321&amp;"|"&amp;COUNTIFS($C$7:$C1321,$C1321))</f>
        <v/>
      </c>
      <c r="R1321" s="1" t="str">
        <f t="shared" si="40"/>
        <v/>
      </c>
      <c r="S1321" s="1" t="str">
        <f t="shared" si="41"/>
        <v/>
      </c>
      <c r="T1321" s="1">
        <f>IF($E1321="",0,SUMPRODUCT((AY_SONU!$O$7:$O$42="Evet")*(AY_SONU!$B$7:$B$42=DATE(YEAR($E1321),MONTH($E1321),1))))</f>
        <v>0</v>
      </c>
      <c r="U1321" s="1" t="str">
        <f>IF(OR($G1321="",$H1321="Mahsup"),"",$G1321&amp;"|"&amp;COUNTIFS($G$7:$G1321,$G1321,$H$7:$H1321,"&lt;&gt;Mahsup"))</f>
        <v/>
      </c>
    </row>
    <row r="1322" spans="1:21" ht="18" customHeight="1" x14ac:dyDescent="0.3">
      <c r="A1322" s="2"/>
      <c r="B1322" s="65" t="str">
        <f>IF($D1322="","","T"&amp;TEXT(ROW()-6,"00000"))</f>
        <v/>
      </c>
      <c r="C1322" s="65" t="str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61"/>
      <c r="E1322" s="66"/>
      <c r="F1322" s="67"/>
      <c r="G1322" s="60"/>
      <c r="H1322" s="60"/>
      <c r="I1322" s="61"/>
      <c r="J1322" s="61"/>
      <c r="K1322" s="61"/>
      <c r="L1322" s="73" t="str">
        <f>IF($E1322="","",DATE(YEAR($E1322),MONTH($E1322),1))</f>
        <v/>
      </c>
      <c r="M1322" s="65" t="str">
        <f ca="1">IF($D1322="","",IF($C1322="TANIMSIZ MÜŞTERİ","HATA",IF(OR($E1322="",$F1322&lt;=0,$G1322=""),"EKSİK",IF($E1322&gt;TODAY(),"İLERİ TARİH",IF(COUNTIF($S$7:$S$2503,$S1322)&gt;1,"MÜKERRER?",IF($T1322&gt;0,"KAPALI DÖNEM","UYGUN"))))))</f>
        <v/>
      </c>
      <c r="N1322" s="74" t="str">
        <f>IF($C1322="","",IF($C1322="TANIMSIZ MÜŞTERİ","—",INDEX(MUSTERILER!$C$7:$C$156,MATCH($C1322,MUSTERILER!$B$7:$B$156,0))))</f>
        <v/>
      </c>
      <c r="O1322" s="2"/>
      <c r="P1322" s="2"/>
      <c r="Q1322" s="1" t="str">
        <f>IF($D1322="","",$C1322&amp;"|"&amp;COUNTIFS($C$7:$C1322,$C1322))</f>
        <v/>
      </c>
      <c r="R1322" s="1" t="str">
        <f t="shared" si="40"/>
        <v/>
      </c>
      <c r="S1322" s="1" t="str">
        <f t="shared" si="41"/>
        <v/>
      </c>
      <c r="T1322" s="1">
        <f>IF($E1322="",0,SUMPRODUCT((AY_SONU!$O$7:$O$42="Evet")*(AY_SONU!$B$7:$B$42=DATE(YEAR($E1322),MONTH($E1322),1))))</f>
        <v>0</v>
      </c>
      <c r="U1322" s="1" t="str">
        <f>IF(OR($G1322="",$H1322="Mahsup"),"",$G1322&amp;"|"&amp;COUNTIFS($G$7:$G1322,$G1322,$H$7:$H1322,"&lt;&gt;Mahsup"))</f>
        <v/>
      </c>
    </row>
    <row r="1323" spans="1:21" ht="18" customHeight="1" x14ac:dyDescent="0.3">
      <c r="A1323" s="2"/>
      <c r="B1323" s="65" t="str">
        <f>IF($D1323="","","T"&amp;TEXT(ROW()-6,"00000"))</f>
        <v/>
      </c>
      <c r="C1323" s="65" t="str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61"/>
      <c r="E1323" s="66"/>
      <c r="F1323" s="67"/>
      <c r="G1323" s="60"/>
      <c r="H1323" s="60"/>
      <c r="I1323" s="61"/>
      <c r="J1323" s="61"/>
      <c r="K1323" s="61"/>
      <c r="L1323" s="73" t="str">
        <f>IF($E1323="","",DATE(YEAR($E1323),MONTH($E1323),1))</f>
        <v/>
      </c>
      <c r="M1323" s="65" t="str">
        <f ca="1">IF($D1323="","",IF($C1323="TANIMSIZ MÜŞTERİ","HATA",IF(OR($E1323="",$F1323&lt;=0,$G1323=""),"EKSİK",IF($E1323&gt;TODAY(),"İLERİ TARİH",IF(COUNTIF($S$7:$S$2503,$S1323)&gt;1,"MÜKERRER?",IF($T1323&gt;0,"KAPALI DÖNEM","UYGUN"))))))</f>
        <v/>
      </c>
      <c r="N1323" s="74" t="str">
        <f>IF($C1323="","",IF($C1323="TANIMSIZ MÜŞTERİ","—",INDEX(MUSTERILER!$C$7:$C$156,MATCH($C1323,MUSTERILER!$B$7:$B$156,0))))</f>
        <v/>
      </c>
      <c r="O1323" s="2"/>
      <c r="P1323" s="2"/>
      <c r="Q1323" s="1" t="str">
        <f>IF($D1323="","",$C1323&amp;"|"&amp;COUNTIFS($C$7:$C1323,$C1323))</f>
        <v/>
      </c>
      <c r="R1323" s="1" t="str">
        <f t="shared" si="40"/>
        <v/>
      </c>
      <c r="S1323" s="1" t="str">
        <f t="shared" si="41"/>
        <v/>
      </c>
      <c r="T1323" s="1">
        <f>IF($E1323="",0,SUMPRODUCT((AY_SONU!$O$7:$O$42="Evet")*(AY_SONU!$B$7:$B$42=DATE(YEAR($E1323),MONTH($E1323),1))))</f>
        <v>0</v>
      </c>
      <c r="U1323" s="1" t="str">
        <f>IF(OR($G1323="",$H1323="Mahsup"),"",$G1323&amp;"|"&amp;COUNTIFS($G$7:$G1323,$G1323,$H$7:$H1323,"&lt;&gt;Mahsup"))</f>
        <v/>
      </c>
    </row>
    <row r="1324" spans="1:21" ht="18" customHeight="1" x14ac:dyDescent="0.3">
      <c r="A1324" s="2"/>
      <c r="B1324" s="65" t="str">
        <f>IF($D1324="","","T"&amp;TEXT(ROW()-6,"00000"))</f>
        <v/>
      </c>
      <c r="C1324" s="65" t="str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61"/>
      <c r="E1324" s="66"/>
      <c r="F1324" s="67"/>
      <c r="G1324" s="60"/>
      <c r="H1324" s="60"/>
      <c r="I1324" s="61"/>
      <c r="J1324" s="61"/>
      <c r="K1324" s="61"/>
      <c r="L1324" s="73" t="str">
        <f>IF($E1324="","",DATE(YEAR($E1324),MONTH($E1324),1))</f>
        <v/>
      </c>
      <c r="M1324" s="65" t="str">
        <f ca="1">IF($D1324="","",IF($C1324="TANIMSIZ MÜŞTERİ","HATA",IF(OR($E1324="",$F1324&lt;=0,$G1324=""),"EKSİK",IF($E1324&gt;TODAY(),"İLERİ TARİH",IF(COUNTIF($S$7:$S$2503,$S1324)&gt;1,"MÜKERRER?",IF($T1324&gt;0,"KAPALI DÖNEM","UYGUN"))))))</f>
        <v/>
      </c>
      <c r="N1324" s="74" t="str">
        <f>IF($C1324="","",IF($C1324="TANIMSIZ MÜŞTERİ","—",INDEX(MUSTERILER!$C$7:$C$156,MATCH($C1324,MUSTERILER!$B$7:$B$156,0))))</f>
        <v/>
      </c>
      <c r="O1324" s="2"/>
      <c r="P1324" s="2"/>
      <c r="Q1324" s="1" t="str">
        <f>IF($D1324="","",$C1324&amp;"|"&amp;COUNTIFS($C$7:$C1324,$C1324))</f>
        <v/>
      </c>
      <c r="R1324" s="1" t="str">
        <f t="shared" si="40"/>
        <v/>
      </c>
      <c r="S1324" s="1" t="str">
        <f t="shared" si="41"/>
        <v/>
      </c>
      <c r="T1324" s="1">
        <f>IF($E1324="",0,SUMPRODUCT((AY_SONU!$O$7:$O$42="Evet")*(AY_SONU!$B$7:$B$42=DATE(YEAR($E1324),MONTH($E1324),1))))</f>
        <v>0</v>
      </c>
      <c r="U1324" s="1" t="str">
        <f>IF(OR($G1324="",$H1324="Mahsup"),"",$G1324&amp;"|"&amp;COUNTIFS($G$7:$G1324,$G1324,$H$7:$H1324,"&lt;&gt;Mahsup"))</f>
        <v/>
      </c>
    </row>
    <row r="1325" spans="1:21" ht="18" customHeight="1" x14ac:dyDescent="0.3">
      <c r="A1325" s="2"/>
      <c r="B1325" s="65" t="str">
        <f>IF($D1325="","","T"&amp;TEXT(ROW()-6,"00000"))</f>
        <v/>
      </c>
      <c r="C1325" s="65" t="str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61"/>
      <c r="E1325" s="66"/>
      <c r="F1325" s="67"/>
      <c r="G1325" s="60"/>
      <c r="H1325" s="60"/>
      <c r="I1325" s="61"/>
      <c r="J1325" s="61"/>
      <c r="K1325" s="61"/>
      <c r="L1325" s="73" t="str">
        <f>IF($E1325="","",DATE(YEAR($E1325),MONTH($E1325),1))</f>
        <v/>
      </c>
      <c r="M1325" s="65" t="str">
        <f ca="1">IF($D1325="","",IF($C1325="TANIMSIZ MÜŞTERİ","HATA",IF(OR($E1325="",$F1325&lt;=0,$G1325=""),"EKSİK",IF($E1325&gt;TODAY(),"İLERİ TARİH",IF(COUNTIF($S$7:$S$2503,$S1325)&gt;1,"MÜKERRER?",IF($T1325&gt;0,"KAPALI DÖNEM","UYGUN"))))))</f>
        <v/>
      </c>
      <c r="N1325" s="74" t="str">
        <f>IF($C1325="","",IF($C1325="TANIMSIZ MÜŞTERİ","—",INDEX(MUSTERILER!$C$7:$C$156,MATCH($C1325,MUSTERILER!$B$7:$B$156,0))))</f>
        <v/>
      </c>
      <c r="O1325" s="2"/>
      <c r="P1325" s="2"/>
      <c r="Q1325" s="1" t="str">
        <f>IF($D1325="","",$C1325&amp;"|"&amp;COUNTIFS($C$7:$C1325,$C1325))</f>
        <v/>
      </c>
      <c r="R1325" s="1" t="str">
        <f t="shared" si="40"/>
        <v/>
      </c>
      <c r="S1325" s="1" t="str">
        <f t="shared" si="41"/>
        <v/>
      </c>
      <c r="T1325" s="1">
        <f>IF($E1325="",0,SUMPRODUCT((AY_SONU!$O$7:$O$42="Evet")*(AY_SONU!$B$7:$B$42=DATE(YEAR($E1325),MONTH($E1325),1))))</f>
        <v>0</v>
      </c>
      <c r="U1325" s="1" t="str">
        <f>IF(OR($G1325="",$H1325="Mahsup"),"",$G1325&amp;"|"&amp;COUNTIFS($G$7:$G1325,$G1325,$H$7:$H1325,"&lt;&gt;Mahsup"))</f>
        <v/>
      </c>
    </row>
    <row r="1326" spans="1:21" ht="18" customHeight="1" x14ac:dyDescent="0.3">
      <c r="A1326" s="2"/>
      <c r="B1326" s="65" t="str">
        <f>IF($D1326="","","T"&amp;TEXT(ROW()-6,"00000"))</f>
        <v/>
      </c>
      <c r="C1326" s="65" t="str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61"/>
      <c r="E1326" s="66"/>
      <c r="F1326" s="67"/>
      <c r="G1326" s="60"/>
      <c r="H1326" s="60"/>
      <c r="I1326" s="61"/>
      <c r="J1326" s="61"/>
      <c r="K1326" s="61"/>
      <c r="L1326" s="73" t="str">
        <f>IF($E1326="","",DATE(YEAR($E1326),MONTH($E1326),1))</f>
        <v/>
      </c>
      <c r="M1326" s="65" t="str">
        <f ca="1">IF($D1326="","",IF($C1326="TANIMSIZ MÜŞTERİ","HATA",IF(OR($E1326="",$F1326&lt;=0,$G1326=""),"EKSİK",IF($E1326&gt;TODAY(),"İLERİ TARİH",IF(COUNTIF($S$7:$S$2503,$S1326)&gt;1,"MÜKERRER?",IF($T1326&gt;0,"KAPALI DÖNEM","UYGUN"))))))</f>
        <v/>
      </c>
      <c r="N1326" s="74" t="str">
        <f>IF($C1326="","",IF($C1326="TANIMSIZ MÜŞTERİ","—",INDEX(MUSTERILER!$C$7:$C$156,MATCH($C1326,MUSTERILER!$B$7:$B$156,0))))</f>
        <v/>
      </c>
      <c r="O1326" s="2"/>
      <c r="P1326" s="2"/>
      <c r="Q1326" s="1" t="str">
        <f>IF($D1326="","",$C1326&amp;"|"&amp;COUNTIFS($C$7:$C1326,$C1326))</f>
        <v/>
      </c>
      <c r="R1326" s="1" t="str">
        <f t="shared" si="40"/>
        <v/>
      </c>
      <c r="S1326" s="1" t="str">
        <f t="shared" si="41"/>
        <v/>
      </c>
      <c r="T1326" s="1">
        <f>IF($E1326="",0,SUMPRODUCT((AY_SONU!$O$7:$O$42="Evet")*(AY_SONU!$B$7:$B$42=DATE(YEAR($E1326),MONTH($E1326),1))))</f>
        <v>0</v>
      </c>
      <c r="U1326" s="1" t="str">
        <f>IF(OR($G1326="",$H1326="Mahsup"),"",$G1326&amp;"|"&amp;COUNTIFS($G$7:$G1326,$G1326,$H$7:$H1326,"&lt;&gt;Mahsup"))</f>
        <v/>
      </c>
    </row>
    <row r="1327" spans="1:21" ht="18" customHeight="1" x14ac:dyDescent="0.3">
      <c r="A1327" s="2"/>
      <c r="B1327" s="65" t="str">
        <f>IF($D1327="","","T"&amp;TEXT(ROW()-6,"00000"))</f>
        <v/>
      </c>
      <c r="C1327" s="65" t="str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61"/>
      <c r="E1327" s="66"/>
      <c r="F1327" s="67"/>
      <c r="G1327" s="60"/>
      <c r="H1327" s="60"/>
      <c r="I1327" s="61"/>
      <c r="J1327" s="61"/>
      <c r="K1327" s="61"/>
      <c r="L1327" s="73" t="str">
        <f>IF($E1327="","",DATE(YEAR($E1327),MONTH($E1327),1))</f>
        <v/>
      </c>
      <c r="M1327" s="65" t="str">
        <f ca="1">IF($D1327="","",IF($C1327="TANIMSIZ MÜŞTERİ","HATA",IF(OR($E1327="",$F1327&lt;=0,$G1327=""),"EKSİK",IF($E1327&gt;TODAY(),"İLERİ TARİH",IF(COUNTIF($S$7:$S$2503,$S1327)&gt;1,"MÜKERRER?",IF($T1327&gt;0,"KAPALI DÖNEM","UYGUN"))))))</f>
        <v/>
      </c>
      <c r="N1327" s="74" t="str">
        <f>IF($C1327="","",IF($C1327="TANIMSIZ MÜŞTERİ","—",INDEX(MUSTERILER!$C$7:$C$156,MATCH($C1327,MUSTERILER!$B$7:$B$156,0))))</f>
        <v/>
      </c>
      <c r="O1327" s="2"/>
      <c r="P1327" s="2"/>
      <c r="Q1327" s="1" t="str">
        <f>IF($D1327="","",$C1327&amp;"|"&amp;COUNTIFS($C$7:$C1327,$C1327))</f>
        <v/>
      </c>
      <c r="R1327" s="1" t="str">
        <f t="shared" si="40"/>
        <v/>
      </c>
      <c r="S1327" s="1" t="str">
        <f t="shared" si="41"/>
        <v/>
      </c>
      <c r="T1327" s="1">
        <f>IF($E1327="",0,SUMPRODUCT((AY_SONU!$O$7:$O$42="Evet")*(AY_SONU!$B$7:$B$42=DATE(YEAR($E1327),MONTH($E1327),1))))</f>
        <v>0</v>
      </c>
      <c r="U1327" s="1" t="str">
        <f>IF(OR($G1327="",$H1327="Mahsup"),"",$G1327&amp;"|"&amp;COUNTIFS($G$7:$G1327,$G1327,$H$7:$H1327,"&lt;&gt;Mahsup"))</f>
        <v/>
      </c>
    </row>
    <row r="1328" spans="1:21" ht="18" customHeight="1" x14ac:dyDescent="0.3">
      <c r="A1328" s="2"/>
      <c r="B1328" s="65" t="str">
        <f>IF($D1328="","","T"&amp;TEXT(ROW()-6,"00000"))</f>
        <v/>
      </c>
      <c r="C1328" s="65" t="str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61"/>
      <c r="E1328" s="66"/>
      <c r="F1328" s="67"/>
      <c r="G1328" s="60"/>
      <c r="H1328" s="60"/>
      <c r="I1328" s="61"/>
      <c r="J1328" s="61"/>
      <c r="K1328" s="61"/>
      <c r="L1328" s="73" t="str">
        <f>IF($E1328="","",DATE(YEAR($E1328),MONTH($E1328),1))</f>
        <v/>
      </c>
      <c r="M1328" s="65" t="str">
        <f ca="1">IF($D1328="","",IF($C1328="TANIMSIZ MÜŞTERİ","HATA",IF(OR($E1328="",$F1328&lt;=0,$G1328=""),"EKSİK",IF($E1328&gt;TODAY(),"İLERİ TARİH",IF(COUNTIF($S$7:$S$2503,$S1328)&gt;1,"MÜKERRER?",IF($T1328&gt;0,"KAPALI DÖNEM","UYGUN"))))))</f>
        <v/>
      </c>
      <c r="N1328" s="74" t="str">
        <f>IF($C1328="","",IF($C1328="TANIMSIZ MÜŞTERİ","—",INDEX(MUSTERILER!$C$7:$C$156,MATCH($C1328,MUSTERILER!$B$7:$B$156,0))))</f>
        <v/>
      </c>
      <c r="O1328" s="2"/>
      <c r="P1328" s="2"/>
      <c r="Q1328" s="1" t="str">
        <f>IF($D1328="","",$C1328&amp;"|"&amp;COUNTIFS($C$7:$C1328,$C1328))</f>
        <v/>
      </c>
      <c r="R1328" s="1" t="str">
        <f t="shared" si="40"/>
        <v/>
      </c>
      <c r="S1328" s="1" t="str">
        <f t="shared" si="41"/>
        <v/>
      </c>
      <c r="T1328" s="1">
        <f>IF($E1328="",0,SUMPRODUCT((AY_SONU!$O$7:$O$42="Evet")*(AY_SONU!$B$7:$B$42=DATE(YEAR($E1328),MONTH($E1328),1))))</f>
        <v>0</v>
      </c>
      <c r="U1328" s="1" t="str">
        <f>IF(OR($G1328="",$H1328="Mahsup"),"",$G1328&amp;"|"&amp;COUNTIFS($G$7:$G1328,$G1328,$H$7:$H1328,"&lt;&gt;Mahsup"))</f>
        <v/>
      </c>
    </row>
    <row r="1329" spans="1:21" ht="18" customHeight="1" x14ac:dyDescent="0.3">
      <c r="A1329" s="2"/>
      <c r="B1329" s="65" t="str">
        <f>IF($D1329="","","T"&amp;TEXT(ROW()-6,"00000"))</f>
        <v/>
      </c>
      <c r="C1329" s="65" t="str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61"/>
      <c r="E1329" s="66"/>
      <c r="F1329" s="67"/>
      <c r="G1329" s="60"/>
      <c r="H1329" s="60"/>
      <c r="I1329" s="61"/>
      <c r="J1329" s="61"/>
      <c r="K1329" s="61"/>
      <c r="L1329" s="73" t="str">
        <f>IF($E1329="","",DATE(YEAR($E1329),MONTH($E1329),1))</f>
        <v/>
      </c>
      <c r="M1329" s="65" t="str">
        <f ca="1">IF($D1329="","",IF($C1329="TANIMSIZ MÜŞTERİ","HATA",IF(OR($E1329="",$F1329&lt;=0,$G1329=""),"EKSİK",IF($E1329&gt;TODAY(),"İLERİ TARİH",IF(COUNTIF($S$7:$S$2503,$S1329)&gt;1,"MÜKERRER?",IF($T1329&gt;0,"KAPALI DÖNEM","UYGUN"))))))</f>
        <v/>
      </c>
      <c r="N1329" s="74" t="str">
        <f>IF($C1329="","",IF($C1329="TANIMSIZ MÜŞTERİ","—",INDEX(MUSTERILER!$C$7:$C$156,MATCH($C1329,MUSTERILER!$B$7:$B$156,0))))</f>
        <v/>
      </c>
      <c r="O1329" s="2"/>
      <c r="P1329" s="2"/>
      <c r="Q1329" s="1" t="str">
        <f>IF($D1329="","",$C1329&amp;"|"&amp;COUNTIFS($C$7:$C1329,$C1329))</f>
        <v/>
      </c>
      <c r="R1329" s="1" t="str">
        <f t="shared" si="40"/>
        <v/>
      </c>
      <c r="S1329" s="1" t="str">
        <f t="shared" si="41"/>
        <v/>
      </c>
      <c r="T1329" s="1">
        <f>IF($E1329="",0,SUMPRODUCT((AY_SONU!$O$7:$O$42="Evet")*(AY_SONU!$B$7:$B$42=DATE(YEAR($E1329),MONTH($E1329),1))))</f>
        <v>0</v>
      </c>
      <c r="U1329" s="1" t="str">
        <f>IF(OR($G1329="",$H1329="Mahsup"),"",$G1329&amp;"|"&amp;COUNTIFS($G$7:$G1329,$G1329,$H$7:$H1329,"&lt;&gt;Mahsup"))</f>
        <v/>
      </c>
    </row>
    <row r="1330" spans="1:21" ht="18" customHeight="1" x14ac:dyDescent="0.3">
      <c r="A1330" s="2"/>
      <c r="B1330" s="65" t="str">
        <f>IF($D1330="","","T"&amp;TEXT(ROW()-6,"00000"))</f>
        <v/>
      </c>
      <c r="C1330" s="65" t="str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61"/>
      <c r="E1330" s="66"/>
      <c r="F1330" s="67"/>
      <c r="G1330" s="60"/>
      <c r="H1330" s="60"/>
      <c r="I1330" s="61"/>
      <c r="J1330" s="61"/>
      <c r="K1330" s="61"/>
      <c r="L1330" s="73" t="str">
        <f>IF($E1330="","",DATE(YEAR($E1330),MONTH($E1330),1))</f>
        <v/>
      </c>
      <c r="M1330" s="65" t="str">
        <f ca="1">IF($D1330="","",IF($C1330="TANIMSIZ MÜŞTERİ","HATA",IF(OR($E1330="",$F1330&lt;=0,$G1330=""),"EKSİK",IF($E1330&gt;TODAY(),"İLERİ TARİH",IF(COUNTIF($S$7:$S$2503,$S1330)&gt;1,"MÜKERRER?",IF($T1330&gt;0,"KAPALI DÖNEM","UYGUN"))))))</f>
        <v/>
      </c>
      <c r="N1330" s="74" t="str">
        <f>IF($C1330="","",IF($C1330="TANIMSIZ MÜŞTERİ","—",INDEX(MUSTERILER!$C$7:$C$156,MATCH($C1330,MUSTERILER!$B$7:$B$156,0))))</f>
        <v/>
      </c>
      <c r="O1330" s="2"/>
      <c r="P1330" s="2"/>
      <c r="Q1330" s="1" t="str">
        <f>IF($D1330="","",$C1330&amp;"|"&amp;COUNTIFS($C$7:$C1330,$C1330))</f>
        <v/>
      </c>
      <c r="R1330" s="1" t="str">
        <f t="shared" si="40"/>
        <v/>
      </c>
      <c r="S1330" s="1" t="str">
        <f t="shared" si="41"/>
        <v/>
      </c>
      <c r="T1330" s="1">
        <f>IF($E1330="",0,SUMPRODUCT((AY_SONU!$O$7:$O$42="Evet")*(AY_SONU!$B$7:$B$42=DATE(YEAR($E1330),MONTH($E1330),1))))</f>
        <v>0</v>
      </c>
      <c r="U1330" s="1" t="str">
        <f>IF(OR($G1330="",$H1330="Mahsup"),"",$G1330&amp;"|"&amp;COUNTIFS($G$7:$G1330,$G1330,$H$7:$H1330,"&lt;&gt;Mahsup"))</f>
        <v/>
      </c>
    </row>
    <row r="1331" spans="1:21" ht="18" customHeight="1" x14ac:dyDescent="0.3">
      <c r="A1331" s="2"/>
      <c r="B1331" s="65" t="str">
        <f>IF($D1331="","","T"&amp;TEXT(ROW()-6,"00000"))</f>
        <v/>
      </c>
      <c r="C1331" s="65" t="str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61"/>
      <c r="E1331" s="66"/>
      <c r="F1331" s="67"/>
      <c r="G1331" s="60"/>
      <c r="H1331" s="60"/>
      <c r="I1331" s="61"/>
      <c r="J1331" s="61"/>
      <c r="K1331" s="61"/>
      <c r="L1331" s="73" t="str">
        <f>IF($E1331="","",DATE(YEAR($E1331),MONTH($E1331),1))</f>
        <v/>
      </c>
      <c r="M1331" s="65" t="str">
        <f ca="1">IF($D1331="","",IF($C1331="TANIMSIZ MÜŞTERİ","HATA",IF(OR($E1331="",$F1331&lt;=0,$G1331=""),"EKSİK",IF($E1331&gt;TODAY(),"İLERİ TARİH",IF(COUNTIF($S$7:$S$2503,$S1331)&gt;1,"MÜKERRER?",IF($T1331&gt;0,"KAPALI DÖNEM","UYGUN"))))))</f>
        <v/>
      </c>
      <c r="N1331" s="74" t="str">
        <f>IF($C1331="","",IF($C1331="TANIMSIZ MÜŞTERİ","—",INDEX(MUSTERILER!$C$7:$C$156,MATCH($C1331,MUSTERILER!$B$7:$B$156,0))))</f>
        <v/>
      </c>
      <c r="O1331" s="2"/>
      <c r="P1331" s="2"/>
      <c r="Q1331" s="1" t="str">
        <f>IF($D1331="","",$C1331&amp;"|"&amp;COUNTIFS($C$7:$C1331,$C1331))</f>
        <v/>
      </c>
      <c r="R1331" s="1" t="str">
        <f t="shared" si="40"/>
        <v/>
      </c>
      <c r="S1331" s="1" t="str">
        <f t="shared" si="41"/>
        <v/>
      </c>
      <c r="T1331" s="1">
        <f>IF($E1331="",0,SUMPRODUCT((AY_SONU!$O$7:$O$42="Evet")*(AY_SONU!$B$7:$B$42=DATE(YEAR($E1331),MONTH($E1331),1))))</f>
        <v>0</v>
      </c>
      <c r="U1331" s="1" t="str">
        <f>IF(OR($G1331="",$H1331="Mahsup"),"",$G1331&amp;"|"&amp;COUNTIFS($G$7:$G1331,$G1331,$H$7:$H1331,"&lt;&gt;Mahsup"))</f>
        <v/>
      </c>
    </row>
    <row r="1332" spans="1:21" ht="18" customHeight="1" x14ac:dyDescent="0.3">
      <c r="A1332" s="2"/>
      <c r="B1332" s="65" t="str">
        <f>IF($D1332="","","T"&amp;TEXT(ROW()-6,"00000"))</f>
        <v/>
      </c>
      <c r="C1332" s="65" t="str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61"/>
      <c r="E1332" s="66"/>
      <c r="F1332" s="67"/>
      <c r="G1332" s="60"/>
      <c r="H1332" s="60"/>
      <c r="I1332" s="61"/>
      <c r="J1332" s="61"/>
      <c r="K1332" s="61"/>
      <c r="L1332" s="73" t="str">
        <f>IF($E1332="","",DATE(YEAR($E1332),MONTH($E1332),1))</f>
        <v/>
      </c>
      <c r="M1332" s="65" t="str">
        <f ca="1">IF($D1332="","",IF($C1332="TANIMSIZ MÜŞTERİ","HATA",IF(OR($E1332="",$F1332&lt;=0,$G1332=""),"EKSİK",IF($E1332&gt;TODAY(),"İLERİ TARİH",IF(COUNTIF($S$7:$S$2503,$S1332)&gt;1,"MÜKERRER?",IF($T1332&gt;0,"KAPALI DÖNEM","UYGUN"))))))</f>
        <v/>
      </c>
      <c r="N1332" s="74" t="str">
        <f>IF($C1332="","",IF($C1332="TANIMSIZ MÜŞTERİ","—",INDEX(MUSTERILER!$C$7:$C$156,MATCH($C1332,MUSTERILER!$B$7:$B$156,0))))</f>
        <v/>
      </c>
      <c r="O1332" s="2"/>
      <c r="P1332" s="2"/>
      <c r="Q1332" s="1" t="str">
        <f>IF($D1332="","",$C1332&amp;"|"&amp;COUNTIFS($C$7:$C1332,$C1332))</f>
        <v/>
      </c>
      <c r="R1332" s="1" t="str">
        <f t="shared" si="40"/>
        <v/>
      </c>
      <c r="S1332" s="1" t="str">
        <f t="shared" si="41"/>
        <v/>
      </c>
      <c r="T1332" s="1">
        <f>IF($E1332="",0,SUMPRODUCT((AY_SONU!$O$7:$O$42="Evet")*(AY_SONU!$B$7:$B$42=DATE(YEAR($E1332),MONTH($E1332),1))))</f>
        <v>0</v>
      </c>
      <c r="U1332" s="1" t="str">
        <f>IF(OR($G1332="",$H1332="Mahsup"),"",$G1332&amp;"|"&amp;COUNTIFS($G$7:$G1332,$G1332,$H$7:$H1332,"&lt;&gt;Mahsup"))</f>
        <v/>
      </c>
    </row>
    <row r="1333" spans="1:21" ht="18" customHeight="1" x14ac:dyDescent="0.3">
      <c r="A1333" s="2"/>
      <c r="B1333" s="65" t="str">
        <f>IF($D1333="","","T"&amp;TEXT(ROW()-6,"00000"))</f>
        <v/>
      </c>
      <c r="C1333" s="65" t="str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61"/>
      <c r="E1333" s="66"/>
      <c r="F1333" s="67"/>
      <c r="G1333" s="60"/>
      <c r="H1333" s="60"/>
      <c r="I1333" s="61"/>
      <c r="J1333" s="61"/>
      <c r="K1333" s="61"/>
      <c r="L1333" s="73" t="str">
        <f>IF($E1333="","",DATE(YEAR($E1333),MONTH($E1333),1))</f>
        <v/>
      </c>
      <c r="M1333" s="65" t="str">
        <f ca="1">IF($D1333="","",IF($C1333="TANIMSIZ MÜŞTERİ","HATA",IF(OR($E1333="",$F1333&lt;=0,$G1333=""),"EKSİK",IF($E1333&gt;TODAY(),"İLERİ TARİH",IF(COUNTIF($S$7:$S$2503,$S1333)&gt;1,"MÜKERRER?",IF($T1333&gt;0,"KAPALI DÖNEM","UYGUN"))))))</f>
        <v/>
      </c>
      <c r="N1333" s="74" t="str">
        <f>IF($C1333="","",IF($C1333="TANIMSIZ MÜŞTERİ","—",INDEX(MUSTERILER!$C$7:$C$156,MATCH($C1333,MUSTERILER!$B$7:$B$156,0))))</f>
        <v/>
      </c>
      <c r="O1333" s="2"/>
      <c r="P1333" s="2"/>
      <c r="Q1333" s="1" t="str">
        <f>IF($D1333="","",$C1333&amp;"|"&amp;COUNTIFS($C$7:$C1333,$C1333))</f>
        <v/>
      </c>
      <c r="R1333" s="1" t="str">
        <f t="shared" si="40"/>
        <v/>
      </c>
      <c r="S1333" s="1" t="str">
        <f t="shared" si="41"/>
        <v/>
      </c>
      <c r="T1333" s="1">
        <f>IF($E1333="",0,SUMPRODUCT((AY_SONU!$O$7:$O$42="Evet")*(AY_SONU!$B$7:$B$42=DATE(YEAR($E1333),MONTH($E1333),1))))</f>
        <v>0</v>
      </c>
      <c r="U1333" s="1" t="str">
        <f>IF(OR($G1333="",$H1333="Mahsup"),"",$G1333&amp;"|"&amp;COUNTIFS($G$7:$G1333,$G1333,$H$7:$H1333,"&lt;&gt;Mahsup"))</f>
        <v/>
      </c>
    </row>
    <row r="1334" spans="1:21" ht="18" customHeight="1" x14ac:dyDescent="0.3">
      <c r="A1334" s="2"/>
      <c r="B1334" s="65" t="str">
        <f>IF($D1334="","","T"&amp;TEXT(ROW()-6,"00000"))</f>
        <v/>
      </c>
      <c r="C1334" s="65" t="str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61"/>
      <c r="E1334" s="66"/>
      <c r="F1334" s="67"/>
      <c r="G1334" s="60"/>
      <c r="H1334" s="60"/>
      <c r="I1334" s="61"/>
      <c r="J1334" s="61"/>
      <c r="K1334" s="61"/>
      <c r="L1334" s="73" t="str">
        <f>IF($E1334="","",DATE(YEAR($E1334),MONTH($E1334),1))</f>
        <v/>
      </c>
      <c r="M1334" s="65" t="str">
        <f ca="1">IF($D1334="","",IF($C1334="TANIMSIZ MÜŞTERİ","HATA",IF(OR($E1334="",$F1334&lt;=0,$G1334=""),"EKSİK",IF($E1334&gt;TODAY(),"İLERİ TARİH",IF(COUNTIF($S$7:$S$2503,$S1334)&gt;1,"MÜKERRER?",IF($T1334&gt;0,"KAPALI DÖNEM","UYGUN"))))))</f>
        <v/>
      </c>
      <c r="N1334" s="74" t="str">
        <f>IF($C1334="","",IF($C1334="TANIMSIZ MÜŞTERİ","—",INDEX(MUSTERILER!$C$7:$C$156,MATCH($C1334,MUSTERILER!$B$7:$B$156,0))))</f>
        <v/>
      </c>
      <c r="O1334" s="2"/>
      <c r="P1334" s="2"/>
      <c r="Q1334" s="1" t="str">
        <f>IF($D1334="","",$C1334&amp;"|"&amp;COUNTIFS($C$7:$C1334,$C1334))</f>
        <v/>
      </c>
      <c r="R1334" s="1" t="str">
        <f t="shared" si="40"/>
        <v/>
      </c>
      <c r="S1334" s="1" t="str">
        <f t="shared" si="41"/>
        <v/>
      </c>
      <c r="T1334" s="1">
        <f>IF($E1334="",0,SUMPRODUCT((AY_SONU!$O$7:$O$42="Evet")*(AY_SONU!$B$7:$B$42=DATE(YEAR($E1334),MONTH($E1334),1))))</f>
        <v>0</v>
      </c>
      <c r="U1334" s="1" t="str">
        <f>IF(OR($G1334="",$H1334="Mahsup"),"",$G1334&amp;"|"&amp;COUNTIFS($G$7:$G1334,$G1334,$H$7:$H1334,"&lt;&gt;Mahsup"))</f>
        <v/>
      </c>
    </row>
    <row r="1335" spans="1:21" ht="18" customHeight="1" x14ac:dyDescent="0.3">
      <c r="A1335" s="2"/>
      <c r="B1335" s="65" t="str">
        <f>IF($D1335="","","T"&amp;TEXT(ROW()-6,"00000"))</f>
        <v/>
      </c>
      <c r="C1335" s="65" t="str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61"/>
      <c r="E1335" s="66"/>
      <c r="F1335" s="67"/>
      <c r="G1335" s="60"/>
      <c r="H1335" s="60"/>
      <c r="I1335" s="61"/>
      <c r="J1335" s="61"/>
      <c r="K1335" s="61"/>
      <c r="L1335" s="73" t="str">
        <f>IF($E1335="","",DATE(YEAR($E1335),MONTH($E1335),1))</f>
        <v/>
      </c>
      <c r="M1335" s="65" t="str">
        <f ca="1">IF($D1335="","",IF($C1335="TANIMSIZ MÜŞTERİ","HATA",IF(OR($E1335="",$F1335&lt;=0,$G1335=""),"EKSİK",IF($E1335&gt;TODAY(),"İLERİ TARİH",IF(COUNTIF($S$7:$S$2503,$S1335)&gt;1,"MÜKERRER?",IF($T1335&gt;0,"KAPALI DÖNEM","UYGUN"))))))</f>
        <v/>
      </c>
      <c r="N1335" s="74" t="str">
        <f>IF($C1335="","",IF($C1335="TANIMSIZ MÜŞTERİ","—",INDEX(MUSTERILER!$C$7:$C$156,MATCH($C1335,MUSTERILER!$B$7:$B$156,0))))</f>
        <v/>
      </c>
      <c r="O1335" s="2"/>
      <c r="P1335" s="2"/>
      <c r="Q1335" s="1" t="str">
        <f>IF($D1335="","",$C1335&amp;"|"&amp;COUNTIFS($C$7:$C1335,$C1335))</f>
        <v/>
      </c>
      <c r="R1335" s="1" t="str">
        <f t="shared" si="40"/>
        <v/>
      </c>
      <c r="S1335" s="1" t="str">
        <f t="shared" si="41"/>
        <v/>
      </c>
      <c r="T1335" s="1">
        <f>IF($E1335="",0,SUMPRODUCT((AY_SONU!$O$7:$O$42="Evet")*(AY_SONU!$B$7:$B$42=DATE(YEAR($E1335),MONTH($E1335),1))))</f>
        <v>0</v>
      </c>
      <c r="U1335" s="1" t="str">
        <f>IF(OR($G1335="",$H1335="Mahsup"),"",$G1335&amp;"|"&amp;COUNTIFS($G$7:$G1335,$G1335,$H$7:$H1335,"&lt;&gt;Mahsup"))</f>
        <v/>
      </c>
    </row>
    <row r="1336" spans="1:21" ht="18" customHeight="1" x14ac:dyDescent="0.3">
      <c r="A1336" s="2"/>
      <c r="B1336" s="65" t="str">
        <f>IF($D1336="","","T"&amp;TEXT(ROW()-6,"00000"))</f>
        <v/>
      </c>
      <c r="C1336" s="65" t="str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61"/>
      <c r="E1336" s="66"/>
      <c r="F1336" s="67"/>
      <c r="G1336" s="60"/>
      <c r="H1336" s="60"/>
      <c r="I1336" s="61"/>
      <c r="J1336" s="61"/>
      <c r="K1336" s="61"/>
      <c r="L1336" s="73" t="str">
        <f>IF($E1336="","",DATE(YEAR($E1336),MONTH($E1336),1))</f>
        <v/>
      </c>
      <c r="M1336" s="65" t="str">
        <f ca="1">IF($D1336="","",IF($C1336="TANIMSIZ MÜŞTERİ","HATA",IF(OR($E1336="",$F1336&lt;=0,$G1336=""),"EKSİK",IF($E1336&gt;TODAY(),"İLERİ TARİH",IF(COUNTIF($S$7:$S$2503,$S1336)&gt;1,"MÜKERRER?",IF($T1336&gt;0,"KAPALI DÖNEM","UYGUN"))))))</f>
        <v/>
      </c>
      <c r="N1336" s="74" t="str">
        <f>IF($C1336="","",IF($C1336="TANIMSIZ MÜŞTERİ","—",INDEX(MUSTERILER!$C$7:$C$156,MATCH($C1336,MUSTERILER!$B$7:$B$156,0))))</f>
        <v/>
      </c>
      <c r="O1336" s="2"/>
      <c r="P1336" s="2"/>
      <c r="Q1336" s="1" t="str">
        <f>IF($D1336="","",$C1336&amp;"|"&amp;COUNTIFS($C$7:$C1336,$C1336))</f>
        <v/>
      </c>
      <c r="R1336" s="1" t="str">
        <f t="shared" si="40"/>
        <v/>
      </c>
      <c r="S1336" s="1" t="str">
        <f t="shared" si="41"/>
        <v/>
      </c>
      <c r="T1336" s="1">
        <f>IF($E1336="",0,SUMPRODUCT((AY_SONU!$O$7:$O$42="Evet")*(AY_SONU!$B$7:$B$42=DATE(YEAR($E1336),MONTH($E1336),1))))</f>
        <v>0</v>
      </c>
      <c r="U1336" s="1" t="str">
        <f>IF(OR($G1336="",$H1336="Mahsup"),"",$G1336&amp;"|"&amp;COUNTIFS($G$7:$G1336,$G1336,$H$7:$H1336,"&lt;&gt;Mahsup"))</f>
        <v/>
      </c>
    </row>
    <row r="1337" spans="1:21" ht="18" customHeight="1" x14ac:dyDescent="0.3">
      <c r="A1337" s="2"/>
      <c r="B1337" s="65" t="str">
        <f>IF($D1337="","","T"&amp;TEXT(ROW()-6,"00000"))</f>
        <v/>
      </c>
      <c r="C1337" s="65" t="str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61"/>
      <c r="E1337" s="66"/>
      <c r="F1337" s="67"/>
      <c r="G1337" s="60"/>
      <c r="H1337" s="60"/>
      <c r="I1337" s="61"/>
      <c r="J1337" s="61"/>
      <c r="K1337" s="61"/>
      <c r="L1337" s="73" t="str">
        <f>IF($E1337="","",DATE(YEAR($E1337),MONTH($E1337),1))</f>
        <v/>
      </c>
      <c r="M1337" s="65" t="str">
        <f ca="1">IF($D1337="","",IF($C1337="TANIMSIZ MÜŞTERİ","HATA",IF(OR($E1337="",$F1337&lt;=0,$G1337=""),"EKSİK",IF($E1337&gt;TODAY(),"İLERİ TARİH",IF(COUNTIF($S$7:$S$2503,$S1337)&gt;1,"MÜKERRER?",IF($T1337&gt;0,"KAPALI DÖNEM","UYGUN"))))))</f>
        <v/>
      </c>
      <c r="N1337" s="74" t="str">
        <f>IF($C1337="","",IF($C1337="TANIMSIZ MÜŞTERİ","—",INDEX(MUSTERILER!$C$7:$C$156,MATCH($C1337,MUSTERILER!$B$7:$B$156,0))))</f>
        <v/>
      </c>
      <c r="O1337" s="2"/>
      <c r="P1337" s="2"/>
      <c r="Q1337" s="1" t="str">
        <f>IF($D1337="","",$C1337&amp;"|"&amp;COUNTIFS($C$7:$C1337,$C1337))</f>
        <v/>
      </c>
      <c r="R1337" s="1" t="str">
        <f t="shared" si="40"/>
        <v/>
      </c>
      <c r="S1337" s="1" t="str">
        <f t="shared" si="41"/>
        <v/>
      </c>
      <c r="T1337" s="1">
        <f>IF($E1337="",0,SUMPRODUCT((AY_SONU!$O$7:$O$42="Evet")*(AY_SONU!$B$7:$B$42=DATE(YEAR($E1337),MONTH($E1337),1))))</f>
        <v>0</v>
      </c>
      <c r="U1337" s="1" t="str">
        <f>IF(OR($G1337="",$H1337="Mahsup"),"",$G1337&amp;"|"&amp;COUNTIFS($G$7:$G1337,$G1337,$H$7:$H1337,"&lt;&gt;Mahsup"))</f>
        <v/>
      </c>
    </row>
    <row r="1338" spans="1:21" ht="18" customHeight="1" x14ac:dyDescent="0.3">
      <c r="A1338" s="2"/>
      <c r="B1338" s="65" t="str">
        <f>IF($D1338="","","T"&amp;TEXT(ROW()-6,"00000"))</f>
        <v/>
      </c>
      <c r="C1338" s="65" t="str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61"/>
      <c r="E1338" s="66"/>
      <c r="F1338" s="67"/>
      <c r="G1338" s="60"/>
      <c r="H1338" s="60"/>
      <c r="I1338" s="61"/>
      <c r="J1338" s="61"/>
      <c r="K1338" s="61"/>
      <c r="L1338" s="73" t="str">
        <f>IF($E1338="","",DATE(YEAR($E1338),MONTH($E1338),1))</f>
        <v/>
      </c>
      <c r="M1338" s="65" t="str">
        <f ca="1">IF($D1338="","",IF($C1338="TANIMSIZ MÜŞTERİ","HATA",IF(OR($E1338="",$F1338&lt;=0,$G1338=""),"EKSİK",IF($E1338&gt;TODAY(),"İLERİ TARİH",IF(COUNTIF($S$7:$S$2503,$S1338)&gt;1,"MÜKERRER?",IF($T1338&gt;0,"KAPALI DÖNEM","UYGUN"))))))</f>
        <v/>
      </c>
      <c r="N1338" s="74" t="str">
        <f>IF($C1338="","",IF($C1338="TANIMSIZ MÜŞTERİ","—",INDEX(MUSTERILER!$C$7:$C$156,MATCH($C1338,MUSTERILER!$B$7:$B$156,0))))</f>
        <v/>
      </c>
      <c r="O1338" s="2"/>
      <c r="P1338" s="2"/>
      <c r="Q1338" s="1" t="str">
        <f>IF($D1338="","",$C1338&amp;"|"&amp;COUNTIFS($C$7:$C1338,$C1338))</f>
        <v/>
      </c>
      <c r="R1338" s="1" t="str">
        <f t="shared" si="40"/>
        <v/>
      </c>
      <c r="S1338" s="1" t="str">
        <f t="shared" si="41"/>
        <v/>
      </c>
      <c r="T1338" s="1">
        <f>IF($E1338="",0,SUMPRODUCT((AY_SONU!$O$7:$O$42="Evet")*(AY_SONU!$B$7:$B$42=DATE(YEAR($E1338),MONTH($E1338),1))))</f>
        <v>0</v>
      </c>
      <c r="U1338" s="1" t="str">
        <f>IF(OR($G1338="",$H1338="Mahsup"),"",$G1338&amp;"|"&amp;COUNTIFS($G$7:$G1338,$G1338,$H$7:$H1338,"&lt;&gt;Mahsup"))</f>
        <v/>
      </c>
    </row>
    <row r="1339" spans="1:21" ht="18" customHeight="1" x14ac:dyDescent="0.3">
      <c r="A1339" s="2"/>
      <c r="B1339" s="65" t="str">
        <f>IF($D1339="","","T"&amp;TEXT(ROW()-6,"00000"))</f>
        <v/>
      </c>
      <c r="C1339" s="65" t="str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61"/>
      <c r="E1339" s="66"/>
      <c r="F1339" s="67"/>
      <c r="G1339" s="60"/>
      <c r="H1339" s="60"/>
      <c r="I1339" s="61"/>
      <c r="J1339" s="61"/>
      <c r="K1339" s="61"/>
      <c r="L1339" s="73" t="str">
        <f>IF($E1339="","",DATE(YEAR($E1339),MONTH($E1339),1))</f>
        <v/>
      </c>
      <c r="M1339" s="65" t="str">
        <f ca="1">IF($D1339="","",IF($C1339="TANIMSIZ MÜŞTERİ","HATA",IF(OR($E1339="",$F1339&lt;=0,$G1339=""),"EKSİK",IF($E1339&gt;TODAY(),"İLERİ TARİH",IF(COUNTIF($S$7:$S$2503,$S1339)&gt;1,"MÜKERRER?",IF($T1339&gt;0,"KAPALI DÖNEM","UYGUN"))))))</f>
        <v/>
      </c>
      <c r="N1339" s="74" t="str">
        <f>IF($C1339="","",IF($C1339="TANIMSIZ MÜŞTERİ","—",INDEX(MUSTERILER!$C$7:$C$156,MATCH($C1339,MUSTERILER!$B$7:$B$156,0))))</f>
        <v/>
      </c>
      <c r="O1339" s="2"/>
      <c r="P1339" s="2"/>
      <c r="Q1339" s="1" t="str">
        <f>IF($D1339="","",$C1339&amp;"|"&amp;COUNTIFS($C$7:$C1339,$C1339))</f>
        <v/>
      </c>
      <c r="R1339" s="1" t="str">
        <f t="shared" si="40"/>
        <v/>
      </c>
      <c r="S1339" s="1" t="str">
        <f t="shared" si="41"/>
        <v/>
      </c>
      <c r="T1339" s="1">
        <f>IF($E1339="",0,SUMPRODUCT((AY_SONU!$O$7:$O$42="Evet")*(AY_SONU!$B$7:$B$42=DATE(YEAR($E1339),MONTH($E1339),1))))</f>
        <v>0</v>
      </c>
      <c r="U1339" s="1" t="str">
        <f>IF(OR($G1339="",$H1339="Mahsup"),"",$G1339&amp;"|"&amp;COUNTIFS($G$7:$G1339,$G1339,$H$7:$H1339,"&lt;&gt;Mahsup"))</f>
        <v/>
      </c>
    </row>
    <row r="1340" spans="1:21" ht="18" customHeight="1" x14ac:dyDescent="0.3">
      <c r="A1340" s="2"/>
      <c r="B1340" s="65" t="str">
        <f>IF($D1340="","","T"&amp;TEXT(ROW()-6,"00000"))</f>
        <v/>
      </c>
      <c r="C1340" s="65" t="str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61"/>
      <c r="E1340" s="66"/>
      <c r="F1340" s="67"/>
      <c r="G1340" s="60"/>
      <c r="H1340" s="60"/>
      <c r="I1340" s="61"/>
      <c r="J1340" s="61"/>
      <c r="K1340" s="61"/>
      <c r="L1340" s="73" t="str">
        <f>IF($E1340="","",DATE(YEAR($E1340),MONTH($E1340),1))</f>
        <v/>
      </c>
      <c r="M1340" s="65" t="str">
        <f ca="1">IF($D1340="","",IF($C1340="TANIMSIZ MÜŞTERİ","HATA",IF(OR($E1340="",$F1340&lt;=0,$G1340=""),"EKSİK",IF($E1340&gt;TODAY(),"İLERİ TARİH",IF(COUNTIF($S$7:$S$2503,$S1340)&gt;1,"MÜKERRER?",IF($T1340&gt;0,"KAPALI DÖNEM","UYGUN"))))))</f>
        <v/>
      </c>
      <c r="N1340" s="74" t="str">
        <f>IF($C1340="","",IF($C1340="TANIMSIZ MÜŞTERİ","—",INDEX(MUSTERILER!$C$7:$C$156,MATCH($C1340,MUSTERILER!$B$7:$B$156,0))))</f>
        <v/>
      </c>
      <c r="O1340" s="2"/>
      <c r="P1340" s="2"/>
      <c r="Q1340" s="1" t="str">
        <f>IF($D1340="","",$C1340&amp;"|"&amp;COUNTIFS($C$7:$C1340,$C1340))</f>
        <v/>
      </c>
      <c r="R1340" s="1" t="str">
        <f t="shared" si="40"/>
        <v/>
      </c>
      <c r="S1340" s="1" t="str">
        <f t="shared" si="41"/>
        <v/>
      </c>
      <c r="T1340" s="1">
        <f>IF($E1340="",0,SUMPRODUCT((AY_SONU!$O$7:$O$42="Evet")*(AY_SONU!$B$7:$B$42=DATE(YEAR($E1340),MONTH($E1340),1))))</f>
        <v>0</v>
      </c>
      <c r="U1340" s="1" t="str">
        <f>IF(OR($G1340="",$H1340="Mahsup"),"",$G1340&amp;"|"&amp;COUNTIFS($G$7:$G1340,$G1340,$H$7:$H1340,"&lt;&gt;Mahsup"))</f>
        <v/>
      </c>
    </row>
    <row r="1341" spans="1:21" ht="18" customHeight="1" x14ac:dyDescent="0.3">
      <c r="A1341" s="2"/>
      <c r="B1341" s="65" t="str">
        <f>IF($D1341="","","T"&amp;TEXT(ROW()-6,"00000"))</f>
        <v/>
      </c>
      <c r="C1341" s="65" t="str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61"/>
      <c r="E1341" s="66"/>
      <c r="F1341" s="67"/>
      <c r="G1341" s="60"/>
      <c r="H1341" s="60"/>
      <c r="I1341" s="61"/>
      <c r="J1341" s="61"/>
      <c r="K1341" s="61"/>
      <c r="L1341" s="73" t="str">
        <f>IF($E1341="","",DATE(YEAR($E1341),MONTH($E1341),1))</f>
        <v/>
      </c>
      <c r="M1341" s="65" t="str">
        <f ca="1">IF($D1341="","",IF($C1341="TANIMSIZ MÜŞTERİ","HATA",IF(OR($E1341="",$F1341&lt;=0,$G1341=""),"EKSİK",IF($E1341&gt;TODAY(),"İLERİ TARİH",IF(COUNTIF($S$7:$S$2503,$S1341)&gt;1,"MÜKERRER?",IF($T1341&gt;0,"KAPALI DÖNEM","UYGUN"))))))</f>
        <v/>
      </c>
      <c r="N1341" s="74" t="str">
        <f>IF($C1341="","",IF($C1341="TANIMSIZ MÜŞTERİ","—",INDEX(MUSTERILER!$C$7:$C$156,MATCH($C1341,MUSTERILER!$B$7:$B$156,0))))</f>
        <v/>
      </c>
      <c r="O1341" s="2"/>
      <c r="P1341" s="2"/>
      <c r="Q1341" s="1" t="str">
        <f>IF($D1341="","",$C1341&amp;"|"&amp;COUNTIFS($C$7:$C1341,$C1341))</f>
        <v/>
      </c>
      <c r="R1341" s="1" t="str">
        <f t="shared" si="40"/>
        <v/>
      </c>
      <c r="S1341" s="1" t="str">
        <f t="shared" si="41"/>
        <v/>
      </c>
      <c r="T1341" s="1">
        <f>IF($E1341="",0,SUMPRODUCT((AY_SONU!$O$7:$O$42="Evet")*(AY_SONU!$B$7:$B$42=DATE(YEAR($E1341),MONTH($E1341),1))))</f>
        <v>0</v>
      </c>
      <c r="U1341" s="1" t="str">
        <f>IF(OR($G1341="",$H1341="Mahsup"),"",$G1341&amp;"|"&amp;COUNTIFS($G$7:$G1341,$G1341,$H$7:$H1341,"&lt;&gt;Mahsup"))</f>
        <v/>
      </c>
    </row>
    <row r="1342" spans="1:21" ht="18" customHeight="1" x14ac:dyDescent="0.3">
      <c r="A1342" s="2"/>
      <c r="B1342" s="65" t="str">
        <f>IF($D1342="","","T"&amp;TEXT(ROW()-6,"00000"))</f>
        <v/>
      </c>
      <c r="C1342" s="65" t="str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61"/>
      <c r="E1342" s="66"/>
      <c r="F1342" s="67"/>
      <c r="G1342" s="60"/>
      <c r="H1342" s="60"/>
      <c r="I1342" s="61"/>
      <c r="J1342" s="61"/>
      <c r="K1342" s="61"/>
      <c r="L1342" s="73" t="str">
        <f>IF($E1342="","",DATE(YEAR($E1342),MONTH($E1342),1))</f>
        <v/>
      </c>
      <c r="M1342" s="65" t="str">
        <f ca="1">IF($D1342="","",IF($C1342="TANIMSIZ MÜŞTERİ","HATA",IF(OR($E1342="",$F1342&lt;=0,$G1342=""),"EKSİK",IF($E1342&gt;TODAY(),"İLERİ TARİH",IF(COUNTIF($S$7:$S$2503,$S1342)&gt;1,"MÜKERRER?",IF($T1342&gt;0,"KAPALI DÖNEM","UYGUN"))))))</f>
        <v/>
      </c>
      <c r="N1342" s="74" t="str">
        <f>IF($C1342="","",IF($C1342="TANIMSIZ MÜŞTERİ","—",INDEX(MUSTERILER!$C$7:$C$156,MATCH($C1342,MUSTERILER!$B$7:$B$156,0))))</f>
        <v/>
      </c>
      <c r="O1342" s="2"/>
      <c r="P1342" s="2"/>
      <c r="Q1342" s="1" t="str">
        <f>IF($D1342="","",$C1342&amp;"|"&amp;COUNTIFS($C$7:$C1342,$C1342))</f>
        <v/>
      </c>
      <c r="R1342" s="1" t="str">
        <f t="shared" si="40"/>
        <v/>
      </c>
      <c r="S1342" s="1" t="str">
        <f t="shared" si="41"/>
        <v/>
      </c>
      <c r="T1342" s="1">
        <f>IF($E1342="",0,SUMPRODUCT((AY_SONU!$O$7:$O$42="Evet")*(AY_SONU!$B$7:$B$42=DATE(YEAR($E1342),MONTH($E1342),1))))</f>
        <v>0</v>
      </c>
      <c r="U1342" s="1" t="str">
        <f>IF(OR($G1342="",$H1342="Mahsup"),"",$G1342&amp;"|"&amp;COUNTIFS($G$7:$G1342,$G1342,$H$7:$H1342,"&lt;&gt;Mahsup"))</f>
        <v/>
      </c>
    </row>
    <row r="1343" spans="1:21" ht="18" customHeight="1" x14ac:dyDescent="0.3">
      <c r="A1343" s="2"/>
      <c r="B1343" s="65" t="str">
        <f>IF($D1343="","","T"&amp;TEXT(ROW()-6,"00000"))</f>
        <v/>
      </c>
      <c r="C1343" s="65" t="str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61"/>
      <c r="E1343" s="66"/>
      <c r="F1343" s="67"/>
      <c r="G1343" s="60"/>
      <c r="H1343" s="60"/>
      <c r="I1343" s="61"/>
      <c r="J1343" s="61"/>
      <c r="K1343" s="61"/>
      <c r="L1343" s="73" t="str">
        <f>IF($E1343="","",DATE(YEAR($E1343),MONTH($E1343),1))</f>
        <v/>
      </c>
      <c r="M1343" s="65" t="str">
        <f ca="1">IF($D1343="","",IF($C1343="TANIMSIZ MÜŞTERİ","HATA",IF(OR($E1343="",$F1343&lt;=0,$G1343=""),"EKSİK",IF($E1343&gt;TODAY(),"İLERİ TARİH",IF(COUNTIF($S$7:$S$2503,$S1343)&gt;1,"MÜKERRER?",IF($T1343&gt;0,"KAPALI DÖNEM","UYGUN"))))))</f>
        <v/>
      </c>
      <c r="N1343" s="74" t="str">
        <f>IF($C1343="","",IF($C1343="TANIMSIZ MÜŞTERİ","—",INDEX(MUSTERILER!$C$7:$C$156,MATCH($C1343,MUSTERILER!$B$7:$B$156,0))))</f>
        <v/>
      </c>
      <c r="O1343" s="2"/>
      <c r="P1343" s="2"/>
      <c r="Q1343" s="1" t="str">
        <f>IF($D1343="","",$C1343&amp;"|"&amp;COUNTIFS($C$7:$C1343,$C1343))</f>
        <v/>
      </c>
      <c r="R1343" s="1" t="str">
        <f t="shared" si="40"/>
        <v/>
      </c>
      <c r="S1343" s="1" t="str">
        <f t="shared" si="41"/>
        <v/>
      </c>
      <c r="T1343" s="1">
        <f>IF($E1343="",0,SUMPRODUCT((AY_SONU!$O$7:$O$42="Evet")*(AY_SONU!$B$7:$B$42=DATE(YEAR($E1343),MONTH($E1343),1))))</f>
        <v>0</v>
      </c>
      <c r="U1343" s="1" t="str">
        <f>IF(OR($G1343="",$H1343="Mahsup"),"",$G1343&amp;"|"&amp;COUNTIFS($G$7:$G1343,$G1343,$H$7:$H1343,"&lt;&gt;Mahsup"))</f>
        <v/>
      </c>
    </row>
    <row r="1344" spans="1:21" ht="18" customHeight="1" x14ac:dyDescent="0.3">
      <c r="A1344" s="2"/>
      <c r="B1344" s="65" t="str">
        <f>IF($D1344="","","T"&amp;TEXT(ROW()-6,"00000"))</f>
        <v/>
      </c>
      <c r="C1344" s="65" t="str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61"/>
      <c r="E1344" s="66"/>
      <c r="F1344" s="67"/>
      <c r="G1344" s="60"/>
      <c r="H1344" s="60"/>
      <c r="I1344" s="61"/>
      <c r="J1344" s="61"/>
      <c r="K1344" s="61"/>
      <c r="L1344" s="73" t="str">
        <f>IF($E1344="","",DATE(YEAR($E1344),MONTH($E1344),1))</f>
        <v/>
      </c>
      <c r="M1344" s="65" t="str">
        <f ca="1">IF($D1344="","",IF($C1344="TANIMSIZ MÜŞTERİ","HATA",IF(OR($E1344="",$F1344&lt;=0,$G1344=""),"EKSİK",IF($E1344&gt;TODAY(),"İLERİ TARİH",IF(COUNTIF($S$7:$S$2503,$S1344)&gt;1,"MÜKERRER?",IF($T1344&gt;0,"KAPALI DÖNEM","UYGUN"))))))</f>
        <v/>
      </c>
      <c r="N1344" s="74" t="str">
        <f>IF($C1344="","",IF($C1344="TANIMSIZ MÜŞTERİ","—",INDEX(MUSTERILER!$C$7:$C$156,MATCH($C1344,MUSTERILER!$B$7:$B$156,0))))</f>
        <v/>
      </c>
      <c r="O1344" s="2"/>
      <c r="P1344" s="2"/>
      <c r="Q1344" s="1" t="str">
        <f>IF($D1344="","",$C1344&amp;"|"&amp;COUNTIFS($C$7:$C1344,$C1344))</f>
        <v/>
      </c>
      <c r="R1344" s="1" t="str">
        <f t="shared" si="40"/>
        <v/>
      </c>
      <c r="S1344" s="1" t="str">
        <f t="shared" si="41"/>
        <v/>
      </c>
      <c r="T1344" s="1">
        <f>IF($E1344="",0,SUMPRODUCT((AY_SONU!$O$7:$O$42="Evet")*(AY_SONU!$B$7:$B$42=DATE(YEAR($E1344),MONTH($E1344),1))))</f>
        <v>0</v>
      </c>
      <c r="U1344" s="1" t="str">
        <f>IF(OR($G1344="",$H1344="Mahsup"),"",$G1344&amp;"|"&amp;COUNTIFS($G$7:$G1344,$G1344,$H$7:$H1344,"&lt;&gt;Mahsup"))</f>
        <v/>
      </c>
    </row>
    <row r="1345" spans="1:21" ht="18" customHeight="1" x14ac:dyDescent="0.3">
      <c r="A1345" s="2"/>
      <c r="B1345" s="65" t="str">
        <f>IF($D1345="","","T"&amp;TEXT(ROW()-6,"00000"))</f>
        <v/>
      </c>
      <c r="C1345" s="65" t="str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61"/>
      <c r="E1345" s="66"/>
      <c r="F1345" s="67"/>
      <c r="G1345" s="60"/>
      <c r="H1345" s="60"/>
      <c r="I1345" s="61"/>
      <c r="J1345" s="61"/>
      <c r="K1345" s="61"/>
      <c r="L1345" s="73" t="str">
        <f>IF($E1345="","",DATE(YEAR($E1345),MONTH($E1345),1))</f>
        <v/>
      </c>
      <c r="M1345" s="65" t="str">
        <f ca="1">IF($D1345="","",IF($C1345="TANIMSIZ MÜŞTERİ","HATA",IF(OR($E1345="",$F1345&lt;=0,$G1345=""),"EKSİK",IF($E1345&gt;TODAY(),"İLERİ TARİH",IF(COUNTIF($S$7:$S$2503,$S1345)&gt;1,"MÜKERRER?",IF($T1345&gt;0,"KAPALI DÖNEM","UYGUN"))))))</f>
        <v/>
      </c>
      <c r="N1345" s="74" t="str">
        <f>IF($C1345="","",IF($C1345="TANIMSIZ MÜŞTERİ","—",INDEX(MUSTERILER!$C$7:$C$156,MATCH($C1345,MUSTERILER!$B$7:$B$156,0))))</f>
        <v/>
      </c>
      <c r="O1345" s="2"/>
      <c r="P1345" s="2"/>
      <c r="Q1345" s="1" t="str">
        <f>IF($D1345="","",$C1345&amp;"|"&amp;COUNTIFS($C$7:$C1345,$C1345))</f>
        <v/>
      </c>
      <c r="R1345" s="1" t="str">
        <f t="shared" si="40"/>
        <v/>
      </c>
      <c r="S1345" s="1" t="str">
        <f t="shared" si="41"/>
        <v/>
      </c>
      <c r="T1345" s="1">
        <f>IF($E1345="",0,SUMPRODUCT((AY_SONU!$O$7:$O$42="Evet")*(AY_SONU!$B$7:$B$42=DATE(YEAR($E1345),MONTH($E1345),1))))</f>
        <v>0</v>
      </c>
      <c r="U1345" s="1" t="str">
        <f>IF(OR($G1345="",$H1345="Mahsup"),"",$G1345&amp;"|"&amp;COUNTIFS($G$7:$G1345,$G1345,$H$7:$H1345,"&lt;&gt;Mahsup"))</f>
        <v/>
      </c>
    </row>
    <row r="1346" spans="1:21" ht="18" customHeight="1" x14ac:dyDescent="0.3">
      <c r="A1346" s="2"/>
      <c r="B1346" s="65" t="str">
        <f>IF($D1346="","","T"&amp;TEXT(ROW()-6,"00000"))</f>
        <v/>
      </c>
      <c r="C1346" s="65" t="str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61"/>
      <c r="E1346" s="66"/>
      <c r="F1346" s="67"/>
      <c r="G1346" s="60"/>
      <c r="H1346" s="60"/>
      <c r="I1346" s="61"/>
      <c r="J1346" s="61"/>
      <c r="K1346" s="61"/>
      <c r="L1346" s="73" t="str">
        <f>IF($E1346="","",DATE(YEAR($E1346),MONTH($E1346),1))</f>
        <v/>
      </c>
      <c r="M1346" s="65" t="str">
        <f ca="1">IF($D1346="","",IF($C1346="TANIMSIZ MÜŞTERİ","HATA",IF(OR($E1346="",$F1346&lt;=0,$G1346=""),"EKSİK",IF($E1346&gt;TODAY(),"İLERİ TARİH",IF(COUNTIF($S$7:$S$2503,$S1346)&gt;1,"MÜKERRER?",IF($T1346&gt;0,"KAPALI DÖNEM","UYGUN"))))))</f>
        <v/>
      </c>
      <c r="N1346" s="74" t="str">
        <f>IF($C1346="","",IF($C1346="TANIMSIZ MÜŞTERİ","—",INDEX(MUSTERILER!$C$7:$C$156,MATCH($C1346,MUSTERILER!$B$7:$B$156,0))))</f>
        <v/>
      </c>
      <c r="O1346" s="2"/>
      <c r="P1346" s="2"/>
      <c r="Q1346" s="1" t="str">
        <f>IF($D1346="","",$C1346&amp;"|"&amp;COUNTIFS($C$7:$C1346,$C1346))</f>
        <v/>
      </c>
      <c r="R1346" s="1" t="str">
        <f t="shared" si="40"/>
        <v/>
      </c>
      <c r="S1346" s="1" t="str">
        <f t="shared" si="41"/>
        <v/>
      </c>
      <c r="T1346" s="1">
        <f>IF($E1346="",0,SUMPRODUCT((AY_SONU!$O$7:$O$42="Evet")*(AY_SONU!$B$7:$B$42=DATE(YEAR($E1346),MONTH($E1346),1))))</f>
        <v>0</v>
      </c>
      <c r="U1346" s="1" t="str">
        <f>IF(OR($G1346="",$H1346="Mahsup"),"",$G1346&amp;"|"&amp;COUNTIFS($G$7:$G1346,$G1346,$H$7:$H1346,"&lt;&gt;Mahsup"))</f>
        <v/>
      </c>
    </row>
    <row r="1347" spans="1:21" ht="18" customHeight="1" x14ac:dyDescent="0.3">
      <c r="A1347" s="2"/>
      <c r="B1347" s="65" t="str">
        <f>IF($D1347="","","T"&amp;TEXT(ROW()-6,"00000"))</f>
        <v/>
      </c>
      <c r="C1347" s="65" t="str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61"/>
      <c r="E1347" s="66"/>
      <c r="F1347" s="67"/>
      <c r="G1347" s="60"/>
      <c r="H1347" s="60"/>
      <c r="I1347" s="61"/>
      <c r="J1347" s="61"/>
      <c r="K1347" s="61"/>
      <c r="L1347" s="73" t="str">
        <f>IF($E1347="","",DATE(YEAR($E1347),MONTH($E1347),1))</f>
        <v/>
      </c>
      <c r="M1347" s="65" t="str">
        <f ca="1">IF($D1347="","",IF($C1347="TANIMSIZ MÜŞTERİ","HATA",IF(OR($E1347="",$F1347&lt;=0,$G1347=""),"EKSİK",IF($E1347&gt;TODAY(),"İLERİ TARİH",IF(COUNTIF($S$7:$S$2503,$S1347)&gt;1,"MÜKERRER?",IF($T1347&gt;0,"KAPALI DÖNEM","UYGUN"))))))</f>
        <v/>
      </c>
      <c r="N1347" s="74" t="str">
        <f>IF($C1347="","",IF($C1347="TANIMSIZ MÜŞTERİ","—",INDEX(MUSTERILER!$C$7:$C$156,MATCH($C1347,MUSTERILER!$B$7:$B$156,0))))</f>
        <v/>
      </c>
      <c r="O1347" s="2"/>
      <c r="P1347" s="2"/>
      <c r="Q1347" s="1" t="str">
        <f>IF($D1347="","",$C1347&amp;"|"&amp;COUNTIFS($C$7:$C1347,$C1347))</f>
        <v/>
      </c>
      <c r="R1347" s="1" t="str">
        <f t="shared" si="40"/>
        <v/>
      </c>
      <c r="S1347" s="1" t="str">
        <f t="shared" si="41"/>
        <v/>
      </c>
      <c r="T1347" s="1">
        <f>IF($E1347="",0,SUMPRODUCT((AY_SONU!$O$7:$O$42="Evet")*(AY_SONU!$B$7:$B$42=DATE(YEAR($E1347),MONTH($E1347),1))))</f>
        <v>0</v>
      </c>
      <c r="U1347" s="1" t="str">
        <f>IF(OR($G1347="",$H1347="Mahsup"),"",$G1347&amp;"|"&amp;COUNTIFS($G$7:$G1347,$G1347,$H$7:$H1347,"&lt;&gt;Mahsup"))</f>
        <v/>
      </c>
    </row>
    <row r="1348" spans="1:21" ht="18" customHeight="1" x14ac:dyDescent="0.3">
      <c r="A1348" s="2"/>
      <c r="B1348" s="65" t="str">
        <f>IF($D1348="","","T"&amp;TEXT(ROW()-6,"00000"))</f>
        <v/>
      </c>
      <c r="C1348" s="65" t="str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61"/>
      <c r="E1348" s="66"/>
      <c r="F1348" s="67"/>
      <c r="G1348" s="60"/>
      <c r="H1348" s="60"/>
      <c r="I1348" s="61"/>
      <c r="J1348" s="61"/>
      <c r="K1348" s="61"/>
      <c r="L1348" s="73" t="str">
        <f>IF($E1348="","",DATE(YEAR($E1348),MONTH($E1348),1))</f>
        <v/>
      </c>
      <c r="M1348" s="65" t="str">
        <f ca="1">IF($D1348="","",IF($C1348="TANIMSIZ MÜŞTERİ","HATA",IF(OR($E1348="",$F1348&lt;=0,$G1348=""),"EKSİK",IF($E1348&gt;TODAY(),"İLERİ TARİH",IF(COUNTIF($S$7:$S$2503,$S1348)&gt;1,"MÜKERRER?",IF($T1348&gt;0,"KAPALI DÖNEM","UYGUN"))))))</f>
        <v/>
      </c>
      <c r="N1348" s="74" t="str">
        <f>IF($C1348="","",IF($C1348="TANIMSIZ MÜŞTERİ","—",INDEX(MUSTERILER!$C$7:$C$156,MATCH($C1348,MUSTERILER!$B$7:$B$156,0))))</f>
        <v/>
      </c>
      <c r="O1348" s="2"/>
      <c r="P1348" s="2"/>
      <c r="Q1348" s="1" t="str">
        <f>IF($D1348="","",$C1348&amp;"|"&amp;COUNTIFS($C$7:$C1348,$C1348))</f>
        <v/>
      </c>
      <c r="R1348" s="1" t="str">
        <f t="shared" si="40"/>
        <v/>
      </c>
      <c r="S1348" s="1" t="str">
        <f t="shared" si="41"/>
        <v/>
      </c>
      <c r="T1348" s="1">
        <f>IF($E1348="",0,SUMPRODUCT((AY_SONU!$O$7:$O$42="Evet")*(AY_SONU!$B$7:$B$42=DATE(YEAR($E1348),MONTH($E1348),1))))</f>
        <v>0</v>
      </c>
      <c r="U1348" s="1" t="str">
        <f>IF(OR($G1348="",$H1348="Mahsup"),"",$G1348&amp;"|"&amp;COUNTIFS($G$7:$G1348,$G1348,$H$7:$H1348,"&lt;&gt;Mahsup"))</f>
        <v/>
      </c>
    </row>
    <row r="1349" spans="1:21" ht="18" customHeight="1" x14ac:dyDescent="0.3">
      <c r="A1349" s="2"/>
      <c r="B1349" s="65" t="str">
        <f>IF($D1349="","","T"&amp;TEXT(ROW()-6,"00000"))</f>
        <v/>
      </c>
      <c r="C1349" s="65" t="str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61"/>
      <c r="E1349" s="66"/>
      <c r="F1349" s="67"/>
      <c r="G1349" s="60"/>
      <c r="H1349" s="60"/>
      <c r="I1349" s="61"/>
      <c r="J1349" s="61"/>
      <c r="K1349" s="61"/>
      <c r="L1349" s="73" t="str">
        <f>IF($E1349="","",DATE(YEAR($E1349),MONTH($E1349),1))</f>
        <v/>
      </c>
      <c r="M1349" s="65" t="str">
        <f ca="1">IF($D1349="","",IF($C1349="TANIMSIZ MÜŞTERİ","HATA",IF(OR($E1349="",$F1349&lt;=0,$G1349=""),"EKSİK",IF($E1349&gt;TODAY(),"İLERİ TARİH",IF(COUNTIF($S$7:$S$2503,$S1349)&gt;1,"MÜKERRER?",IF($T1349&gt;0,"KAPALI DÖNEM","UYGUN"))))))</f>
        <v/>
      </c>
      <c r="N1349" s="74" t="str">
        <f>IF($C1349="","",IF($C1349="TANIMSIZ MÜŞTERİ","—",INDEX(MUSTERILER!$C$7:$C$156,MATCH($C1349,MUSTERILER!$B$7:$B$156,0))))</f>
        <v/>
      </c>
      <c r="O1349" s="2"/>
      <c r="P1349" s="2"/>
      <c r="Q1349" s="1" t="str">
        <f>IF($D1349="","",$C1349&amp;"|"&amp;COUNTIFS($C$7:$C1349,$C1349))</f>
        <v/>
      </c>
      <c r="R1349" s="1" t="str">
        <f t="shared" si="40"/>
        <v/>
      </c>
      <c r="S1349" s="1" t="str">
        <f t="shared" si="41"/>
        <v/>
      </c>
      <c r="T1349" s="1">
        <f>IF($E1349="",0,SUMPRODUCT((AY_SONU!$O$7:$O$42="Evet")*(AY_SONU!$B$7:$B$42=DATE(YEAR($E1349),MONTH($E1349),1))))</f>
        <v>0</v>
      </c>
      <c r="U1349" s="1" t="str">
        <f>IF(OR($G1349="",$H1349="Mahsup"),"",$G1349&amp;"|"&amp;COUNTIFS($G$7:$G1349,$G1349,$H$7:$H1349,"&lt;&gt;Mahsup"))</f>
        <v/>
      </c>
    </row>
    <row r="1350" spans="1:21" ht="18" customHeight="1" x14ac:dyDescent="0.3">
      <c r="A1350" s="2"/>
      <c r="B1350" s="65" t="str">
        <f>IF($D1350="","","T"&amp;TEXT(ROW()-6,"00000"))</f>
        <v/>
      </c>
      <c r="C1350" s="65" t="str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61"/>
      <c r="E1350" s="66"/>
      <c r="F1350" s="67"/>
      <c r="G1350" s="60"/>
      <c r="H1350" s="60"/>
      <c r="I1350" s="61"/>
      <c r="J1350" s="61"/>
      <c r="K1350" s="61"/>
      <c r="L1350" s="73" t="str">
        <f>IF($E1350="","",DATE(YEAR($E1350),MONTH($E1350),1))</f>
        <v/>
      </c>
      <c r="M1350" s="65" t="str">
        <f ca="1">IF($D1350="","",IF($C1350="TANIMSIZ MÜŞTERİ","HATA",IF(OR($E1350="",$F1350&lt;=0,$G1350=""),"EKSİK",IF($E1350&gt;TODAY(),"İLERİ TARİH",IF(COUNTIF($S$7:$S$2503,$S1350)&gt;1,"MÜKERRER?",IF($T1350&gt;0,"KAPALI DÖNEM","UYGUN"))))))</f>
        <v/>
      </c>
      <c r="N1350" s="74" t="str">
        <f>IF($C1350="","",IF($C1350="TANIMSIZ MÜŞTERİ","—",INDEX(MUSTERILER!$C$7:$C$156,MATCH($C1350,MUSTERILER!$B$7:$B$156,0))))</f>
        <v/>
      </c>
      <c r="O1350" s="2"/>
      <c r="P1350" s="2"/>
      <c r="Q1350" s="1" t="str">
        <f>IF($D1350="","",$C1350&amp;"|"&amp;COUNTIFS($C$7:$C1350,$C1350))</f>
        <v/>
      </c>
      <c r="R1350" s="1" t="str">
        <f t="shared" si="40"/>
        <v/>
      </c>
      <c r="S1350" s="1" t="str">
        <f t="shared" si="41"/>
        <v/>
      </c>
      <c r="T1350" s="1">
        <f>IF($E1350="",0,SUMPRODUCT((AY_SONU!$O$7:$O$42="Evet")*(AY_SONU!$B$7:$B$42=DATE(YEAR($E1350),MONTH($E1350),1))))</f>
        <v>0</v>
      </c>
      <c r="U1350" s="1" t="str">
        <f>IF(OR($G1350="",$H1350="Mahsup"),"",$G1350&amp;"|"&amp;COUNTIFS($G$7:$G1350,$G1350,$H$7:$H1350,"&lt;&gt;Mahsup"))</f>
        <v/>
      </c>
    </row>
    <row r="1351" spans="1:21" ht="18" customHeight="1" x14ac:dyDescent="0.3">
      <c r="A1351" s="2"/>
      <c r="B1351" s="65" t="str">
        <f>IF($D1351="","","T"&amp;TEXT(ROW()-6,"00000"))</f>
        <v/>
      </c>
      <c r="C1351" s="65" t="str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61"/>
      <c r="E1351" s="66"/>
      <c r="F1351" s="67"/>
      <c r="G1351" s="60"/>
      <c r="H1351" s="60"/>
      <c r="I1351" s="61"/>
      <c r="J1351" s="61"/>
      <c r="K1351" s="61"/>
      <c r="L1351" s="73" t="str">
        <f>IF($E1351="","",DATE(YEAR($E1351),MONTH($E1351),1))</f>
        <v/>
      </c>
      <c r="M1351" s="65" t="str">
        <f ca="1">IF($D1351="","",IF($C1351="TANIMSIZ MÜŞTERİ","HATA",IF(OR($E1351="",$F1351&lt;=0,$G1351=""),"EKSİK",IF($E1351&gt;TODAY(),"İLERİ TARİH",IF(COUNTIF($S$7:$S$2503,$S1351)&gt;1,"MÜKERRER?",IF($T1351&gt;0,"KAPALI DÖNEM","UYGUN"))))))</f>
        <v/>
      </c>
      <c r="N1351" s="74" t="str">
        <f>IF($C1351="","",IF($C1351="TANIMSIZ MÜŞTERİ","—",INDEX(MUSTERILER!$C$7:$C$156,MATCH($C1351,MUSTERILER!$B$7:$B$156,0))))</f>
        <v/>
      </c>
      <c r="O1351" s="2"/>
      <c r="P1351" s="2"/>
      <c r="Q1351" s="1" t="str">
        <f>IF($D1351="","",$C1351&amp;"|"&amp;COUNTIFS($C$7:$C1351,$C1351))</f>
        <v/>
      </c>
      <c r="R1351" s="1" t="str">
        <f t="shared" ref="R1351:R1414" si="42"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" t="str">
        <f t="shared" ref="S1351:S1414" si="43">IF($D1351="","",$C1351&amp;"|"&amp;TEXT($E1351,"0")&amp;"|"&amp;TEXT($F1351,"0")&amp;"|"&amp;$I1351)</f>
        <v/>
      </c>
      <c r="T1351" s="1">
        <f>IF($E1351="",0,SUMPRODUCT((AY_SONU!$O$7:$O$42="Evet")*(AY_SONU!$B$7:$B$42=DATE(YEAR($E1351),MONTH($E1351),1))))</f>
        <v>0</v>
      </c>
      <c r="U1351" s="1" t="str">
        <f>IF(OR($G1351="",$H1351="Mahsup"),"",$G1351&amp;"|"&amp;COUNTIFS($G$7:$G1351,$G1351,$H$7:$H1351,"&lt;&gt;Mahsup"))</f>
        <v/>
      </c>
    </row>
    <row r="1352" spans="1:21" ht="18" customHeight="1" x14ac:dyDescent="0.3">
      <c r="A1352" s="2"/>
      <c r="B1352" s="65" t="str">
        <f>IF($D1352="","","T"&amp;TEXT(ROW()-6,"00000"))</f>
        <v/>
      </c>
      <c r="C1352" s="65" t="str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61"/>
      <c r="E1352" s="66"/>
      <c r="F1352" s="67"/>
      <c r="G1352" s="60"/>
      <c r="H1352" s="60"/>
      <c r="I1352" s="61"/>
      <c r="J1352" s="61"/>
      <c r="K1352" s="61"/>
      <c r="L1352" s="73" t="str">
        <f>IF($E1352="","",DATE(YEAR($E1352),MONTH($E1352),1))</f>
        <v/>
      </c>
      <c r="M1352" s="65" t="str">
        <f ca="1">IF($D1352="","",IF($C1352="TANIMSIZ MÜŞTERİ","HATA",IF(OR($E1352="",$F1352&lt;=0,$G1352=""),"EKSİK",IF($E1352&gt;TODAY(),"İLERİ TARİH",IF(COUNTIF($S$7:$S$2503,$S1352)&gt;1,"MÜKERRER?",IF($T1352&gt;0,"KAPALI DÖNEM","UYGUN"))))))</f>
        <v/>
      </c>
      <c r="N1352" s="74" t="str">
        <f>IF($C1352="","",IF($C1352="TANIMSIZ MÜŞTERİ","—",INDEX(MUSTERILER!$C$7:$C$156,MATCH($C1352,MUSTERILER!$B$7:$B$156,0))))</f>
        <v/>
      </c>
      <c r="O1352" s="2"/>
      <c r="P1352" s="2"/>
      <c r="Q1352" s="1" t="str">
        <f>IF($D1352="","",$C1352&amp;"|"&amp;COUNTIFS($C$7:$C1352,$C1352))</f>
        <v/>
      </c>
      <c r="R1352" s="1" t="str">
        <f t="shared" si="42"/>
        <v/>
      </c>
      <c r="S1352" s="1" t="str">
        <f t="shared" si="43"/>
        <v/>
      </c>
      <c r="T1352" s="1">
        <f>IF($E1352="",0,SUMPRODUCT((AY_SONU!$O$7:$O$42="Evet")*(AY_SONU!$B$7:$B$42=DATE(YEAR($E1352),MONTH($E1352),1))))</f>
        <v>0</v>
      </c>
      <c r="U1352" s="1" t="str">
        <f>IF(OR($G1352="",$H1352="Mahsup"),"",$G1352&amp;"|"&amp;COUNTIFS($G$7:$G1352,$G1352,$H$7:$H1352,"&lt;&gt;Mahsup"))</f>
        <v/>
      </c>
    </row>
    <row r="1353" spans="1:21" ht="18" customHeight="1" x14ac:dyDescent="0.3">
      <c r="A1353" s="2"/>
      <c r="B1353" s="65" t="str">
        <f>IF($D1353="","","T"&amp;TEXT(ROW()-6,"00000"))</f>
        <v/>
      </c>
      <c r="C1353" s="65" t="str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61"/>
      <c r="E1353" s="66"/>
      <c r="F1353" s="67"/>
      <c r="G1353" s="60"/>
      <c r="H1353" s="60"/>
      <c r="I1353" s="61"/>
      <c r="J1353" s="61"/>
      <c r="K1353" s="61"/>
      <c r="L1353" s="73" t="str">
        <f>IF($E1353="","",DATE(YEAR($E1353),MONTH($E1353),1))</f>
        <v/>
      </c>
      <c r="M1353" s="65" t="str">
        <f ca="1">IF($D1353="","",IF($C1353="TANIMSIZ MÜŞTERİ","HATA",IF(OR($E1353="",$F1353&lt;=0,$G1353=""),"EKSİK",IF($E1353&gt;TODAY(),"İLERİ TARİH",IF(COUNTIF($S$7:$S$2503,$S1353)&gt;1,"MÜKERRER?",IF($T1353&gt;0,"KAPALI DÖNEM","UYGUN"))))))</f>
        <v/>
      </c>
      <c r="N1353" s="74" t="str">
        <f>IF($C1353="","",IF($C1353="TANIMSIZ MÜŞTERİ","—",INDEX(MUSTERILER!$C$7:$C$156,MATCH($C1353,MUSTERILER!$B$7:$B$156,0))))</f>
        <v/>
      </c>
      <c r="O1353" s="2"/>
      <c r="P1353" s="2"/>
      <c r="Q1353" s="1" t="str">
        <f>IF($D1353="","",$C1353&amp;"|"&amp;COUNTIFS($C$7:$C1353,$C1353))</f>
        <v/>
      </c>
      <c r="R1353" s="1" t="str">
        <f t="shared" si="42"/>
        <v/>
      </c>
      <c r="S1353" s="1" t="str">
        <f t="shared" si="43"/>
        <v/>
      </c>
      <c r="T1353" s="1">
        <f>IF($E1353="",0,SUMPRODUCT((AY_SONU!$O$7:$O$42="Evet")*(AY_SONU!$B$7:$B$42=DATE(YEAR($E1353),MONTH($E1353),1))))</f>
        <v>0</v>
      </c>
      <c r="U1353" s="1" t="str">
        <f>IF(OR($G1353="",$H1353="Mahsup"),"",$G1353&amp;"|"&amp;COUNTIFS($G$7:$G1353,$G1353,$H$7:$H1353,"&lt;&gt;Mahsup"))</f>
        <v/>
      </c>
    </row>
    <row r="1354" spans="1:21" ht="18" customHeight="1" x14ac:dyDescent="0.3">
      <c r="A1354" s="2"/>
      <c r="B1354" s="65" t="str">
        <f>IF($D1354="","","T"&amp;TEXT(ROW()-6,"00000"))</f>
        <v/>
      </c>
      <c r="C1354" s="65" t="str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61"/>
      <c r="E1354" s="66"/>
      <c r="F1354" s="67"/>
      <c r="G1354" s="60"/>
      <c r="H1354" s="60"/>
      <c r="I1354" s="61"/>
      <c r="J1354" s="61"/>
      <c r="K1354" s="61"/>
      <c r="L1354" s="73" t="str">
        <f>IF($E1354="","",DATE(YEAR($E1354),MONTH($E1354),1))</f>
        <v/>
      </c>
      <c r="M1354" s="65" t="str">
        <f ca="1">IF($D1354="","",IF($C1354="TANIMSIZ MÜŞTERİ","HATA",IF(OR($E1354="",$F1354&lt;=0,$G1354=""),"EKSİK",IF($E1354&gt;TODAY(),"İLERİ TARİH",IF(COUNTIF($S$7:$S$2503,$S1354)&gt;1,"MÜKERRER?",IF($T1354&gt;0,"KAPALI DÖNEM","UYGUN"))))))</f>
        <v/>
      </c>
      <c r="N1354" s="74" t="str">
        <f>IF($C1354="","",IF($C1354="TANIMSIZ MÜŞTERİ","—",INDEX(MUSTERILER!$C$7:$C$156,MATCH($C1354,MUSTERILER!$B$7:$B$156,0))))</f>
        <v/>
      </c>
      <c r="O1354" s="2"/>
      <c r="P1354" s="2"/>
      <c r="Q1354" s="1" t="str">
        <f>IF($D1354="","",$C1354&amp;"|"&amp;COUNTIFS($C$7:$C1354,$C1354))</f>
        <v/>
      </c>
      <c r="R1354" s="1" t="str">
        <f t="shared" si="42"/>
        <v/>
      </c>
      <c r="S1354" s="1" t="str">
        <f t="shared" si="43"/>
        <v/>
      </c>
      <c r="T1354" s="1">
        <f>IF($E1354="",0,SUMPRODUCT((AY_SONU!$O$7:$O$42="Evet")*(AY_SONU!$B$7:$B$42=DATE(YEAR($E1354),MONTH($E1354),1))))</f>
        <v>0</v>
      </c>
      <c r="U1354" s="1" t="str">
        <f>IF(OR($G1354="",$H1354="Mahsup"),"",$G1354&amp;"|"&amp;COUNTIFS($G$7:$G1354,$G1354,$H$7:$H1354,"&lt;&gt;Mahsup"))</f>
        <v/>
      </c>
    </row>
    <row r="1355" spans="1:21" ht="18" customHeight="1" x14ac:dyDescent="0.3">
      <c r="A1355" s="2"/>
      <c r="B1355" s="65" t="str">
        <f>IF($D1355="","","T"&amp;TEXT(ROW()-6,"00000"))</f>
        <v/>
      </c>
      <c r="C1355" s="65" t="str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61"/>
      <c r="E1355" s="66"/>
      <c r="F1355" s="67"/>
      <c r="G1355" s="60"/>
      <c r="H1355" s="60"/>
      <c r="I1355" s="61"/>
      <c r="J1355" s="61"/>
      <c r="K1355" s="61"/>
      <c r="L1355" s="73" t="str">
        <f>IF($E1355="","",DATE(YEAR($E1355),MONTH($E1355),1))</f>
        <v/>
      </c>
      <c r="M1355" s="65" t="str">
        <f ca="1">IF($D1355="","",IF($C1355="TANIMSIZ MÜŞTERİ","HATA",IF(OR($E1355="",$F1355&lt;=0,$G1355=""),"EKSİK",IF($E1355&gt;TODAY(),"İLERİ TARİH",IF(COUNTIF($S$7:$S$2503,$S1355)&gt;1,"MÜKERRER?",IF($T1355&gt;0,"KAPALI DÖNEM","UYGUN"))))))</f>
        <v/>
      </c>
      <c r="N1355" s="74" t="str">
        <f>IF($C1355="","",IF($C1355="TANIMSIZ MÜŞTERİ","—",INDEX(MUSTERILER!$C$7:$C$156,MATCH($C1355,MUSTERILER!$B$7:$B$156,0))))</f>
        <v/>
      </c>
      <c r="O1355" s="2"/>
      <c r="P1355" s="2"/>
      <c r="Q1355" s="1" t="str">
        <f>IF($D1355="","",$C1355&amp;"|"&amp;COUNTIFS($C$7:$C1355,$C1355))</f>
        <v/>
      </c>
      <c r="R1355" s="1" t="str">
        <f t="shared" si="42"/>
        <v/>
      </c>
      <c r="S1355" s="1" t="str">
        <f t="shared" si="43"/>
        <v/>
      </c>
      <c r="T1355" s="1">
        <f>IF($E1355="",0,SUMPRODUCT((AY_SONU!$O$7:$O$42="Evet")*(AY_SONU!$B$7:$B$42=DATE(YEAR($E1355),MONTH($E1355),1))))</f>
        <v>0</v>
      </c>
      <c r="U1355" s="1" t="str">
        <f>IF(OR($G1355="",$H1355="Mahsup"),"",$G1355&amp;"|"&amp;COUNTIFS($G$7:$G1355,$G1355,$H$7:$H1355,"&lt;&gt;Mahsup"))</f>
        <v/>
      </c>
    </row>
    <row r="1356" spans="1:21" ht="18" customHeight="1" x14ac:dyDescent="0.3">
      <c r="A1356" s="2"/>
      <c r="B1356" s="65" t="str">
        <f>IF($D1356="","","T"&amp;TEXT(ROW()-6,"00000"))</f>
        <v/>
      </c>
      <c r="C1356" s="65" t="str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61"/>
      <c r="E1356" s="66"/>
      <c r="F1356" s="67"/>
      <c r="G1356" s="60"/>
      <c r="H1356" s="60"/>
      <c r="I1356" s="61"/>
      <c r="J1356" s="61"/>
      <c r="K1356" s="61"/>
      <c r="L1356" s="73" t="str">
        <f>IF($E1356="","",DATE(YEAR($E1356),MONTH($E1356),1))</f>
        <v/>
      </c>
      <c r="M1356" s="65" t="str">
        <f ca="1">IF($D1356="","",IF($C1356="TANIMSIZ MÜŞTERİ","HATA",IF(OR($E1356="",$F1356&lt;=0,$G1356=""),"EKSİK",IF($E1356&gt;TODAY(),"İLERİ TARİH",IF(COUNTIF($S$7:$S$2503,$S1356)&gt;1,"MÜKERRER?",IF($T1356&gt;0,"KAPALI DÖNEM","UYGUN"))))))</f>
        <v/>
      </c>
      <c r="N1356" s="74" t="str">
        <f>IF($C1356="","",IF($C1356="TANIMSIZ MÜŞTERİ","—",INDEX(MUSTERILER!$C$7:$C$156,MATCH($C1356,MUSTERILER!$B$7:$B$156,0))))</f>
        <v/>
      </c>
      <c r="O1356" s="2"/>
      <c r="P1356" s="2"/>
      <c r="Q1356" s="1" t="str">
        <f>IF($D1356="","",$C1356&amp;"|"&amp;COUNTIFS($C$7:$C1356,$C1356))</f>
        <v/>
      </c>
      <c r="R1356" s="1" t="str">
        <f t="shared" si="42"/>
        <v/>
      </c>
      <c r="S1356" s="1" t="str">
        <f t="shared" si="43"/>
        <v/>
      </c>
      <c r="T1356" s="1">
        <f>IF($E1356="",0,SUMPRODUCT((AY_SONU!$O$7:$O$42="Evet")*(AY_SONU!$B$7:$B$42=DATE(YEAR($E1356),MONTH($E1356),1))))</f>
        <v>0</v>
      </c>
      <c r="U1356" s="1" t="str">
        <f>IF(OR($G1356="",$H1356="Mahsup"),"",$G1356&amp;"|"&amp;COUNTIFS($G$7:$G1356,$G1356,$H$7:$H1356,"&lt;&gt;Mahsup"))</f>
        <v/>
      </c>
    </row>
    <row r="1357" spans="1:21" ht="18" customHeight="1" x14ac:dyDescent="0.3">
      <c r="A1357" s="2"/>
      <c r="B1357" s="65" t="str">
        <f>IF($D1357="","","T"&amp;TEXT(ROW()-6,"00000"))</f>
        <v/>
      </c>
      <c r="C1357" s="65" t="str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61"/>
      <c r="E1357" s="66"/>
      <c r="F1357" s="67"/>
      <c r="G1357" s="60"/>
      <c r="H1357" s="60"/>
      <c r="I1357" s="61"/>
      <c r="J1357" s="61"/>
      <c r="K1357" s="61"/>
      <c r="L1357" s="73" t="str">
        <f>IF($E1357="","",DATE(YEAR($E1357),MONTH($E1357),1))</f>
        <v/>
      </c>
      <c r="M1357" s="65" t="str">
        <f ca="1">IF($D1357="","",IF($C1357="TANIMSIZ MÜŞTERİ","HATA",IF(OR($E1357="",$F1357&lt;=0,$G1357=""),"EKSİK",IF($E1357&gt;TODAY(),"İLERİ TARİH",IF(COUNTIF($S$7:$S$2503,$S1357)&gt;1,"MÜKERRER?",IF($T1357&gt;0,"KAPALI DÖNEM","UYGUN"))))))</f>
        <v/>
      </c>
      <c r="N1357" s="74" t="str">
        <f>IF($C1357="","",IF($C1357="TANIMSIZ MÜŞTERİ","—",INDEX(MUSTERILER!$C$7:$C$156,MATCH($C1357,MUSTERILER!$B$7:$B$156,0))))</f>
        <v/>
      </c>
      <c r="O1357" s="2"/>
      <c r="P1357" s="2"/>
      <c r="Q1357" s="1" t="str">
        <f>IF($D1357="","",$C1357&amp;"|"&amp;COUNTIFS($C$7:$C1357,$C1357))</f>
        <v/>
      </c>
      <c r="R1357" s="1" t="str">
        <f t="shared" si="42"/>
        <v/>
      </c>
      <c r="S1357" s="1" t="str">
        <f t="shared" si="43"/>
        <v/>
      </c>
      <c r="T1357" s="1">
        <f>IF($E1357="",0,SUMPRODUCT((AY_SONU!$O$7:$O$42="Evet")*(AY_SONU!$B$7:$B$42=DATE(YEAR($E1357),MONTH($E1357),1))))</f>
        <v>0</v>
      </c>
      <c r="U1357" s="1" t="str">
        <f>IF(OR($G1357="",$H1357="Mahsup"),"",$G1357&amp;"|"&amp;COUNTIFS($G$7:$G1357,$G1357,$H$7:$H1357,"&lt;&gt;Mahsup"))</f>
        <v/>
      </c>
    </row>
    <row r="1358" spans="1:21" ht="18" customHeight="1" x14ac:dyDescent="0.3">
      <c r="A1358" s="2"/>
      <c r="B1358" s="65" t="str">
        <f>IF($D1358="","","T"&amp;TEXT(ROW()-6,"00000"))</f>
        <v/>
      </c>
      <c r="C1358" s="65" t="str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61"/>
      <c r="E1358" s="66"/>
      <c r="F1358" s="67"/>
      <c r="G1358" s="60"/>
      <c r="H1358" s="60"/>
      <c r="I1358" s="61"/>
      <c r="J1358" s="61"/>
      <c r="K1358" s="61"/>
      <c r="L1358" s="73" t="str">
        <f>IF($E1358="","",DATE(YEAR($E1358),MONTH($E1358),1))</f>
        <v/>
      </c>
      <c r="M1358" s="65" t="str">
        <f ca="1">IF($D1358="","",IF($C1358="TANIMSIZ MÜŞTERİ","HATA",IF(OR($E1358="",$F1358&lt;=0,$G1358=""),"EKSİK",IF($E1358&gt;TODAY(),"İLERİ TARİH",IF(COUNTIF($S$7:$S$2503,$S1358)&gt;1,"MÜKERRER?",IF($T1358&gt;0,"KAPALI DÖNEM","UYGUN"))))))</f>
        <v/>
      </c>
      <c r="N1358" s="74" t="str">
        <f>IF($C1358="","",IF($C1358="TANIMSIZ MÜŞTERİ","—",INDEX(MUSTERILER!$C$7:$C$156,MATCH($C1358,MUSTERILER!$B$7:$B$156,0))))</f>
        <v/>
      </c>
      <c r="O1358" s="2"/>
      <c r="P1358" s="2"/>
      <c r="Q1358" s="1" t="str">
        <f>IF($D1358="","",$C1358&amp;"|"&amp;COUNTIFS($C$7:$C1358,$C1358))</f>
        <v/>
      </c>
      <c r="R1358" s="1" t="str">
        <f t="shared" si="42"/>
        <v/>
      </c>
      <c r="S1358" s="1" t="str">
        <f t="shared" si="43"/>
        <v/>
      </c>
      <c r="T1358" s="1">
        <f>IF($E1358="",0,SUMPRODUCT((AY_SONU!$O$7:$O$42="Evet")*(AY_SONU!$B$7:$B$42=DATE(YEAR($E1358),MONTH($E1358),1))))</f>
        <v>0</v>
      </c>
      <c r="U1358" s="1" t="str">
        <f>IF(OR($G1358="",$H1358="Mahsup"),"",$G1358&amp;"|"&amp;COUNTIFS($G$7:$G1358,$G1358,$H$7:$H1358,"&lt;&gt;Mahsup"))</f>
        <v/>
      </c>
    </row>
    <row r="1359" spans="1:21" ht="18" customHeight="1" x14ac:dyDescent="0.3">
      <c r="A1359" s="2"/>
      <c r="B1359" s="65" t="str">
        <f>IF($D1359="","","T"&amp;TEXT(ROW()-6,"00000"))</f>
        <v/>
      </c>
      <c r="C1359" s="65" t="str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61"/>
      <c r="E1359" s="66"/>
      <c r="F1359" s="67"/>
      <c r="G1359" s="60"/>
      <c r="H1359" s="60"/>
      <c r="I1359" s="61"/>
      <c r="J1359" s="61"/>
      <c r="K1359" s="61"/>
      <c r="L1359" s="73" t="str">
        <f>IF($E1359="","",DATE(YEAR($E1359),MONTH($E1359),1))</f>
        <v/>
      </c>
      <c r="M1359" s="65" t="str">
        <f ca="1">IF($D1359="","",IF($C1359="TANIMSIZ MÜŞTERİ","HATA",IF(OR($E1359="",$F1359&lt;=0,$G1359=""),"EKSİK",IF($E1359&gt;TODAY(),"İLERİ TARİH",IF(COUNTIF($S$7:$S$2503,$S1359)&gt;1,"MÜKERRER?",IF($T1359&gt;0,"KAPALI DÖNEM","UYGUN"))))))</f>
        <v/>
      </c>
      <c r="N1359" s="74" t="str">
        <f>IF($C1359="","",IF($C1359="TANIMSIZ MÜŞTERİ","—",INDEX(MUSTERILER!$C$7:$C$156,MATCH($C1359,MUSTERILER!$B$7:$B$156,0))))</f>
        <v/>
      </c>
      <c r="O1359" s="2"/>
      <c r="P1359" s="2"/>
      <c r="Q1359" s="1" t="str">
        <f>IF($D1359="","",$C1359&amp;"|"&amp;COUNTIFS($C$7:$C1359,$C1359))</f>
        <v/>
      </c>
      <c r="R1359" s="1" t="str">
        <f t="shared" si="42"/>
        <v/>
      </c>
      <c r="S1359" s="1" t="str">
        <f t="shared" si="43"/>
        <v/>
      </c>
      <c r="T1359" s="1">
        <f>IF($E1359="",0,SUMPRODUCT((AY_SONU!$O$7:$O$42="Evet")*(AY_SONU!$B$7:$B$42=DATE(YEAR($E1359),MONTH($E1359),1))))</f>
        <v>0</v>
      </c>
      <c r="U1359" s="1" t="str">
        <f>IF(OR($G1359="",$H1359="Mahsup"),"",$G1359&amp;"|"&amp;COUNTIFS($G$7:$G1359,$G1359,$H$7:$H1359,"&lt;&gt;Mahsup"))</f>
        <v/>
      </c>
    </row>
    <row r="1360" spans="1:21" ht="18" customHeight="1" x14ac:dyDescent="0.3">
      <c r="A1360" s="2"/>
      <c r="B1360" s="65" t="str">
        <f>IF($D1360="","","T"&amp;TEXT(ROW()-6,"00000"))</f>
        <v/>
      </c>
      <c r="C1360" s="65" t="str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61"/>
      <c r="E1360" s="66"/>
      <c r="F1360" s="67"/>
      <c r="G1360" s="60"/>
      <c r="H1360" s="60"/>
      <c r="I1360" s="61"/>
      <c r="J1360" s="61"/>
      <c r="K1360" s="61"/>
      <c r="L1360" s="73" t="str">
        <f>IF($E1360="","",DATE(YEAR($E1360),MONTH($E1360),1))</f>
        <v/>
      </c>
      <c r="M1360" s="65" t="str">
        <f ca="1">IF($D1360="","",IF($C1360="TANIMSIZ MÜŞTERİ","HATA",IF(OR($E1360="",$F1360&lt;=0,$G1360=""),"EKSİK",IF($E1360&gt;TODAY(),"İLERİ TARİH",IF(COUNTIF($S$7:$S$2503,$S1360)&gt;1,"MÜKERRER?",IF($T1360&gt;0,"KAPALI DÖNEM","UYGUN"))))))</f>
        <v/>
      </c>
      <c r="N1360" s="74" t="str">
        <f>IF($C1360="","",IF($C1360="TANIMSIZ MÜŞTERİ","—",INDEX(MUSTERILER!$C$7:$C$156,MATCH($C1360,MUSTERILER!$B$7:$B$156,0))))</f>
        <v/>
      </c>
      <c r="O1360" s="2"/>
      <c r="P1360" s="2"/>
      <c r="Q1360" s="1" t="str">
        <f>IF($D1360="","",$C1360&amp;"|"&amp;COUNTIFS($C$7:$C1360,$C1360))</f>
        <v/>
      </c>
      <c r="R1360" s="1" t="str">
        <f t="shared" si="42"/>
        <v/>
      </c>
      <c r="S1360" s="1" t="str">
        <f t="shared" si="43"/>
        <v/>
      </c>
      <c r="T1360" s="1">
        <f>IF($E1360="",0,SUMPRODUCT((AY_SONU!$O$7:$O$42="Evet")*(AY_SONU!$B$7:$B$42=DATE(YEAR($E1360),MONTH($E1360),1))))</f>
        <v>0</v>
      </c>
      <c r="U1360" s="1" t="str">
        <f>IF(OR($G1360="",$H1360="Mahsup"),"",$G1360&amp;"|"&amp;COUNTIFS($G$7:$G1360,$G1360,$H$7:$H1360,"&lt;&gt;Mahsup"))</f>
        <v/>
      </c>
    </row>
    <row r="1361" spans="1:21" ht="18" customHeight="1" x14ac:dyDescent="0.3">
      <c r="A1361" s="2"/>
      <c r="B1361" s="65" t="str">
        <f>IF($D1361="","","T"&amp;TEXT(ROW()-6,"00000"))</f>
        <v/>
      </c>
      <c r="C1361" s="65" t="str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61"/>
      <c r="E1361" s="66"/>
      <c r="F1361" s="67"/>
      <c r="G1361" s="60"/>
      <c r="H1361" s="60"/>
      <c r="I1361" s="61"/>
      <c r="J1361" s="61"/>
      <c r="K1361" s="61"/>
      <c r="L1361" s="73" t="str">
        <f>IF($E1361="","",DATE(YEAR($E1361),MONTH($E1361),1))</f>
        <v/>
      </c>
      <c r="M1361" s="65" t="str">
        <f ca="1">IF($D1361="","",IF($C1361="TANIMSIZ MÜŞTERİ","HATA",IF(OR($E1361="",$F1361&lt;=0,$G1361=""),"EKSİK",IF($E1361&gt;TODAY(),"İLERİ TARİH",IF(COUNTIF($S$7:$S$2503,$S1361)&gt;1,"MÜKERRER?",IF($T1361&gt;0,"KAPALI DÖNEM","UYGUN"))))))</f>
        <v/>
      </c>
      <c r="N1361" s="74" t="str">
        <f>IF($C1361="","",IF($C1361="TANIMSIZ MÜŞTERİ","—",INDEX(MUSTERILER!$C$7:$C$156,MATCH($C1361,MUSTERILER!$B$7:$B$156,0))))</f>
        <v/>
      </c>
      <c r="O1361" s="2"/>
      <c r="P1361" s="2"/>
      <c r="Q1361" s="1" t="str">
        <f>IF($D1361="","",$C1361&amp;"|"&amp;COUNTIFS($C$7:$C1361,$C1361))</f>
        <v/>
      </c>
      <c r="R1361" s="1" t="str">
        <f t="shared" si="42"/>
        <v/>
      </c>
      <c r="S1361" s="1" t="str">
        <f t="shared" si="43"/>
        <v/>
      </c>
      <c r="T1361" s="1">
        <f>IF($E1361="",0,SUMPRODUCT((AY_SONU!$O$7:$O$42="Evet")*(AY_SONU!$B$7:$B$42=DATE(YEAR($E1361),MONTH($E1361),1))))</f>
        <v>0</v>
      </c>
      <c r="U1361" s="1" t="str">
        <f>IF(OR($G1361="",$H1361="Mahsup"),"",$G1361&amp;"|"&amp;COUNTIFS($G$7:$G1361,$G1361,$H$7:$H1361,"&lt;&gt;Mahsup"))</f>
        <v/>
      </c>
    </row>
    <row r="1362" spans="1:21" ht="18" customHeight="1" x14ac:dyDescent="0.3">
      <c r="A1362" s="2"/>
      <c r="B1362" s="65" t="str">
        <f>IF($D1362="","","T"&amp;TEXT(ROW()-6,"00000"))</f>
        <v/>
      </c>
      <c r="C1362" s="65" t="str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61"/>
      <c r="E1362" s="66"/>
      <c r="F1362" s="67"/>
      <c r="G1362" s="60"/>
      <c r="H1362" s="60"/>
      <c r="I1362" s="61"/>
      <c r="J1362" s="61"/>
      <c r="K1362" s="61"/>
      <c r="L1362" s="73" t="str">
        <f>IF($E1362="","",DATE(YEAR($E1362),MONTH($E1362),1))</f>
        <v/>
      </c>
      <c r="M1362" s="65" t="str">
        <f ca="1">IF($D1362="","",IF($C1362="TANIMSIZ MÜŞTERİ","HATA",IF(OR($E1362="",$F1362&lt;=0,$G1362=""),"EKSİK",IF($E1362&gt;TODAY(),"İLERİ TARİH",IF(COUNTIF($S$7:$S$2503,$S1362)&gt;1,"MÜKERRER?",IF($T1362&gt;0,"KAPALI DÖNEM","UYGUN"))))))</f>
        <v/>
      </c>
      <c r="N1362" s="74" t="str">
        <f>IF($C1362="","",IF($C1362="TANIMSIZ MÜŞTERİ","—",INDEX(MUSTERILER!$C$7:$C$156,MATCH($C1362,MUSTERILER!$B$7:$B$156,0))))</f>
        <v/>
      </c>
      <c r="O1362" s="2"/>
      <c r="P1362" s="2"/>
      <c r="Q1362" s="1" t="str">
        <f>IF($D1362="","",$C1362&amp;"|"&amp;COUNTIFS($C$7:$C1362,$C1362))</f>
        <v/>
      </c>
      <c r="R1362" s="1" t="str">
        <f t="shared" si="42"/>
        <v/>
      </c>
      <c r="S1362" s="1" t="str">
        <f t="shared" si="43"/>
        <v/>
      </c>
      <c r="T1362" s="1">
        <f>IF($E1362="",0,SUMPRODUCT((AY_SONU!$O$7:$O$42="Evet")*(AY_SONU!$B$7:$B$42=DATE(YEAR($E1362),MONTH($E1362),1))))</f>
        <v>0</v>
      </c>
      <c r="U1362" s="1" t="str">
        <f>IF(OR($G1362="",$H1362="Mahsup"),"",$G1362&amp;"|"&amp;COUNTIFS($G$7:$G1362,$G1362,$H$7:$H1362,"&lt;&gt;Mahsup"))</f>
        <v/>
      </c>
    </row>
    <row r="1363" spans="1:21" ht="18" customHeight="1" x14ac:dyDescent="0.3">
      <c r="A1363" s="2"/>
      <c r="B1363" s="65" t="str">
        <f>IF($D1363="","","T"&amp;TEXT(ROW()-6,"00000"))</f>
        <v/>
      </c>
      <c r="C1363" s="65" t="str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61"/>
      <c r="E1363" s="66"/>
      <c r="F1363" s="67"/>
      <c r="G1363" s="60"/>
      <c r="H1363" s="60"/>
      <c r="I1363" s="61"/>
      <c r="J1363" s="61"/>
      <c r="K1363" s="61"/>
      <c r="L1363" s="73" t="str">
        <f>IF($E1363="","",DATE(YEAR($E1363),MONTH($E1363),1))</f>
        <v/>
      </c>
      <c r="M1363" s="65" t="str">
        <f ca="1">IF($D1363="","",IF($C1363="TANIMSIZ MÜŞTERİ","HATA",IF(OR($E1363="",$F1363&lt;=0,$G1363=""),"EKSİK",IF($E1363&gt;TODAY(),"İLERİ TARİH",IF(COUNTIF($S$7:$S$2503,$S1363)&gt;1,"MÜKERRER?",IF($T1363&gt;0,"KAPALI DÖNEM","UYGUN"))))))</f>
        <v/>
      </c>
      <c r="N1363" s="74" t="str">
        <f>IF($C1363="","",IF($C1363="TANIMSIZ MÜŞTERİ","—",INDEX(MUSTERILER!$C$7:$C$156,MATCH($C1363,MUSTERILER!$B$7:$B$156,0))))</f>
        <v/>
      </c>
      <c r="O1363" s="2"/>
      <c r="P1363" s="2"/>
      <c r="Q1363" s="1" t="str">
        <f>IF($D1363="","",$C1363&amp;"|"&amp;COUNTIFS($C$7:$C1363,$C1363))</f>
        <v/>
      </c>
      <c r="R1363" s="1" t="str">
        <f t="shared" si="42"/>
        <v/>
      </c>
      <c r="S1363" s="1" t="str">
        <f t="shared" si="43"/>
        <v/>
      </c>
      <c r="T1363" s="1">
        <f>IF($E1363="",0,SUMPRODUCT((AY_SONU!$O$7:$O$42="Evet")*(AY_SONU!$B$7:$B$42=DATE(YEAR($E1363),MONTH($E1363),1))))</f>
        <v>0</v>
      </c>
      <c r="U1363" s="1" t="str">
        <f>IF(OR($G1363="",$H1363="Mahsup"),"",$G1363&amp;"|"&amp;COUNTIFS($G$7:$G1363,$G1363,$H$7:$H1363,"&lt;&gt;Mahsup"))</f>
        <v/>
      </c>
    </row>
    <row r="1364" spans="1:21" ht="18" customHeight="1" x14ac:dyDescent="0.3">
      <c r="A1364" s="2"/>
      <c r="B1364" s="65" t="str">
        <f>IF($D1364="","","T"&amp;TEXT(ROW()-6,"00000"))</f>
        <v/>
      </c>
      <c r="C1364" s="65" t="str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61"/>
      <c r="E1364" s="66"/>
      <c r="F1364" s="67"/>
      <c r="G1364" s="60"/>
      <c r="H1364" s="60"/>
      <c r="I1364" s="61"/>
      <c r="J1364" s="61"/>
      <c r="K1364" s="61"/>
      <c r="L1364" s="73" t="str">
        <f>IF($E1364="","",DATE(YEAR($E1364),MONTH($E1364),1))</f>
        <v/>
      </c>
      <c r="M1364" s="65" t="str">
        <f ca="1">IF($D1364="","",IF($C1364="TANIMSIZ MÜŞTERİ","HATA",IF(OR($E1364="",$F1364&lt;=0,$G1364=""),"EKSİK",IF($E1364&gt;TODAY(),"İLERİ TARİH",IF(COUNTIF($S$7:$S$2503,$S1364)&gt;1,"MÜKERRER?",IF($T1364&gt;0,"KAPALI DÖNEM","UYGUN"))))))</f>
        <v/>
      </c>
      <c r="N1364" s="74" t="str">
        <f>IF($C1364="","",IF($C1364="TANIMSIZ MÜŞTERİ","—",INDEX(MUSTERILER!$C$7:$C$156,MATCH($C1364,MUSTERILER!$B$7:$B$156,0))))</f>
        <v/>
      </c>
      <c r="O1364" s="2"/>
      <c r="P1364" s="2"/>
      <c r="Q1364" s="1" t="str">
        <f>IF($D1364="","",$C1364&amp;"|"&amp;COUNTIFS($C$7:$C1364,$C1364))</f>
        <v/>
      </c>
      <c r="R1364" s="1" t="str">
        <f t="shared" si="42"/>
        <v/>
      </c>
      <c r="S1364" s="1" t="str">
        <f t="shared" si="43"/>
        <v/>
      </c>
      <c r="T1364" s="1">
        <f>IF($E1364="",0,SUMPRODUCT((AY_SONU!$O$7:$O$42="Evet")*(AY_SONU!$B$7:$B$42=DATE(YEAR($E1364),MONTH($E1364),1))))</f>
        <v>0</v>
      </c>
      <c r="U1364" s="1" t="str">
        <f>IF(OR($G1364="",$H1364="Mahsup"),"",$G1364&amp;"|"&amp;COUNTIFS($G$7:$G1364,$G1364,$H$7:$H1364,"&lt;&gt;Mahsup"))</f>
        <v/>
      </c>
    </row>
    <row r="1365" spans="1:21" ht="18" customHeight="1" x14ac:dyDescent="0.3">
      <c r="A1365" s="2"/>
      <c r="B1365" s="65" t="str">
        <f>IF($D1365="","","T"&amp;TEXT(ROW()-6,"00000"))</f>
        <v/>
      </c>
      <c r="C1365" s="65" t="str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61"/>
      <c r="E1365" s="66"/>
      <c r="F1365" s="67"/>
      <c r="G1365" s="60"/>
      <c r="H1365" s="60"/>
      <c r="I1365" s="61"/>
      <c r="J1365" s="61"/>
      <c r="K1365" s="61"/>
      <c r="L1365" s="73" t="str">
        <f>IF($E1365="","",DATE(YEAR($E1365),MONTH($E1365),1))</f>
        <v/>
      </c>
      <c r="M1365" s="65" t="str">
        <f ca="1">IF($D1365="","",IF($C1365="TANIMSIZ MÜŞTERİ","HATA",IF(OR($E1365="",$F1365&lt;=0,$G1365=""),"EKSİK",IF($E1365&gt;TODAY(),"İLERİ TARİH",IF(COUNTIF($S$7:$S$2503,$S1365)&gt;1,"MÜKERRER?",IF($T1365&gt;0,"KAPALI DÖNEM","UYGUN"))))))</f>
        <v/>
      </c>
      <c r="N1365" s="74" t="str">
        <f>IF($C1365="","",IF($C1365="TANIMSIZ MÜŞTERİ","—",INDEX(MUSTERILER!$C$7:$C$156,MATCH($C1365,MUSTERILER!$B$7:$B$156,0))))</f>
        <v/>
      </c>
      <c r="O1365" s="2"/>
      <c r="P1365" s="2"/>
      <c r="Q1365" s="1" t="str">
        <f>IF($D1365="","",$C1365&amp;"|"&amp;COUNTIFS($C$7:$C1365,$C1365))</f>
        <v/>
      </c>
      <c r="R1365" s="1" t="str">
        <f t="shared" si="42"/>
        <v/>
      </c>
      <c r="S1365" s="1" t="str">
        <f t="shared" si="43"/>
        <v/>
      </c>
      <c r="T1365" s="1">
        <f>IF($E1365="",0,SUMPRODUCT((AY_SONU!$O$7:$O$42="Evet")*(AY_SONU!$B$7:$B$42=DATE(YEAR($E1365),MONTH($E1365),1))))</f>
        <v>0</v>
      </c>
      <c r="U1365" s="1" t="str">
        <f>IF(OR($G1365="",$H1365="Mahsup"),"",$G1365&amp;"|"&amp;COUNTIFS($G$7:$G1365,$G1365,$H$7:$H1365,"&lt;&gt;Mahsup"))</f>
        <v/>
      </c>
    </row>
    <row r="1366" spans="1:21" ht="18" customHeight="1" x14ac:dyDescent="0.3">
      <c r="A1366" s="2"/>
      <c r="B1366" s="65" t="str">
        <f>IF($D1366="","","T"&amp;TEXT(ROW()-6,"00000"))</f>
        <v/>
      </c>
      <c r="C1366" s="65" t="str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61"/>
      <c r="E1366" s="66"/>
      <c r="F1366" s="67"/>
      <c r="G1366" s="60"/>
      <c r="H1366" s="60"/>
      <c r="I1366" s="61"/>
      <c r="J1366" s="61"/>
      <c r="K1366" s="61"/>
      <c r="L1366" s="73" t="str">
        <f>IF($E1366="","",DATE(YEAR($E1366),MONTH($E1366),1))</f>
        <v/>
      </c>
      <c r="M1366" s="65" t="str">
        <f ca="1">IF($D1366="","",IF($C1366="TANIMSIZ MÜŞTERİ","HATA",IF(OR($E1366="",$F1366&lt;=0,$G1366=""),"EKSİK",IF($E1366&gt;TODAY(),"İLERİ TARİH",IF(COUNTIF($S$7:$S$2503,$S1366)&gt;1,"MÜKERRER?",IF($T1366&gt;0,"KAPALI DÖNEM","UYGUN"))))))</f>
        <v/>
      </c>
      <c r="N1366" s="74" t="str">
        <f>IF($C1366="","",IF($C1366="TANIMSIZ MÜŞTERİ","—",INDEX(MUSTERILER!$C$7:$C$156,MATCH($C1366,MUSTERILER!$B$7:$B$156,0))))</f>
        <v/>
      </c>
      <c r="O1366" s="2"/>
      <c r="P1366" s="2"/>
      <c r="Q1366" s="1" t="str">
        <f>IF($D1366="","",$C1366&amp;"|"&amp;COUNTIFS($C$7:$C1366,$C1366))</f>
        <v/>
      </c>
      <c r="R1366" s="1" t="str">
        <f t="shared" si="42"/>
        <v/>
      </c>
      <c r="S1366" s="1" t="str">
        <f t="shared" si="43"/>
        <v/>
      </c>
      <c r="T1366" s="1">
        <f>IF($E1366="",0,SUMPRODUCT((AY_SONU!$O$7:$O$42="Evet")*(AY_SONU!$B$7:$B$42=DATE(YEAR($E1366),MONTH($E1366),1))))</f>
        <v>0</v>
      </c>
      <c r="U1366" s="1" t="str">
        <f>IF(OR($G1366="",$H1366="Mahsup"),"",$G1366&amp;"|"&amp;COUNTIFS($G$7:$G1366,$G1366,$H$7:$H1366,"&lt;&gt;Mahsup"))</f>
        <v/>
      </c>
    </row>
    <row r="1367" spans="1:21" ht="18" customHeight="1" x14ac:dyDescent="0.3">
      <c r="A1367" s="2"/>
      <c r="B1367" s="65" t="str">
        <f>IF($D1367="","","T"&amp;TEXT(ROW()-6,"00000"))</f>
        <v/>
      </c>
      <c r="C1367" s="65" t="str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61"/>
      <c r="E1367" s="66"/>
      <c r="F1367" s="67"/>
      <c r="G1367" s="60"/>
      <c r="H1367" s="60"/>
      <c r="I1367" s="61"/>
      <c r="J1367" s="61"/>
      <c r="K1367" s="61"/>
      <c r="L1367" s="73" t="str">
        <f>IF($E1367="","",DATE(YEAR($E1367),MONTH($E1367),1))</f>
        <v/>
      </c>
      <c r="M1367" s="65" t="str">
        <f ca="1">IF($D1367="","",IF($C1367="TANIMSIZ MÜŞTERİ","HATA",IF(OR($E1367="",$F1367&lt;=0,$G1367=""),"EKSİK",IF($E1367&gt;TODAY(),"İLERİ TARİH",IF(COUNTIF($S$7:$S$2503,$S1367)&gt;1,"MÜKERRER?",IF($T1367&gt;0,"KAPALI DÖNEM","UYGUN"))))))</f>
        <v/>
      </c>
      <c r="N1367" s="74" t="str">
        <f>IF($C1367="","",IF($C1367="TANIMSIZ MÜŞTERİ","—",INDEX(MUSTERILER!$C$7:$C$156,MATCH($C1367,MUSTERILER!$B$7:$B$156,0))))</f>
        <v/>
      </c>
      <c r="O1367" s="2"/>
      <c r="P1367" s="2"/>
      <c r="Q1367" s="1" t="str">
        <f>IF($D1367="","",$C1367&amp;"|"&amp;COUNTIFS($C$7:$C1367,$C1367))</f>
        <v/>
      </c>
      <c r="R1367" s="1" t="str">
        <f t="shared" si="42"/>
        <v/>
      </c>
      <c r="S1367" s="1" t="str">
        <f t="shared" si="43"/>
        <v/>
      </c>
      <c r="T1367" s="1">
        <f>IF($E1367="",0,SUMPRODUCT((AY_SONU!$O$7:$O$42="Evet")*(AY_SONU!$B$7:$B$42=DATE(YEAR($E1367),MONTH($E1367),1))))</f>
        <v>0</v>
      </c>
      <c r="U1367" s="1" t="str">
        <f>IF(OR($G1367="",$H1367="Mahsup"),"",$G1367&amp;"|"&amp;COUNTIFS($G$7:$G1367,$G1367,$H$7:$H1367,"&lt;&gt;Mahsup"))</f>
        <v/>
      </c>
    </row>
    <row r="1368" spans="1:21" ht="18" customHeight="1" x14ac:dyDescent="0.3">
      <c r="A1368" s="2"/>
      <c r="B1368" s="65" t="str">
        <f>IF($D1368="","","T"&amp;TEXT(ROW()-6,"00000"))</f>
        <v/>
      </c>
      <c r="C1368" s="65" t="str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61"/>
      <c r="E1368" s="66"/>
      <c r="F1368" s="67"/>
      <c r="G1368" s="60"/>
      <c r="H1368" s="60"/>
      <c r="I1368" s="61"/>
      <c r="J1368" s="61"/>
      <c r="K1368" s="61"/>
      <c r="L1368" s="73" t="str">
        <f>IF($E1368="","",DATE(YEAR($E1368),MONTH($E1368),1))</f>
        <v/>
      </c>
      <c r="M1368" s="65" t="str">
        <f ca="1">IF($D1368="","",IF($C1368="TANIMSIZ MÜŞTERİ","HATA",IF(OR($E1368="",$F1368&lt;=0,$G1368=""),"EKSİK",IF($E1368&gt;TODAY(),"İLERİ TARİH",IF(COUNTIF($S$7:$S$2503,$S1368)&gt;1,"MÜKERRER?",IF($T1368&gt;0,"KAPALI DÖNEM","UYGUN"))))))</f>
        <v/>
      </c>
      <c r="N1368" s="74" t="str">
        <f>IF($C1368="","",IF($C1368="TANIMSIZ MÜŞTERİ","—",INDEX(MUSTERILER!$C$7:$C$156,MATCH($C1368,MUSTERILER!$B$7:$B$156,0))))</f>
        <v/>
      </c>
      <c r="O1368" s="2"/>
      <c r="P1368" s="2"/>
      <c r="Q1368" s="1" t="str">
        <f>IF($D1368="","",$C1368&amp;"|"&amp;COUNTIFS($C$7:$C1368,$C1368))</f>
        <v/>
      </c>
      <c r="R1368" s="1" t="str">
        <f t="shared" si="42"/>
        <v/>
      </c>
      <c r="S1368" s="1" t="str">
        <f t="shared" si="43"/>
        <v/>
      </c>
      <c r="T1368" s="1">
        <f>IF($E1368="",0,SUMPRODUCT((AY_SONU!$O$7:$O$42="Evet")*(AY_SONU!$B$7:$B$42=DATE(YEAR($E1368),MONTH($E1368),1))))</f>
        <v>0</v>
      </c>
      <c r="U1368" s="1" t="str">
        <f>IF(OR($G1368="",$H1368="Mahsup"),"",$G1368&amp;"|"&amp;COUNTIFS($G$7:$G1368,$G1368,$H$7:$H1368,"&lt;&gt;Mahsup"))</f>
        <v/>
      </c>
    </row>
    <row r="1369" spans="1:21" ht="18" customHeight="1" x14ac:dyDescent="0.3">
      <c r="A1369" s="2"/>
      <c r="B1369" s="65" t="str">
        <f>IF($D1369="","","T"&amp;TEXT(ROW()-6,"00000"))</f>
        <v/>
      </c>
      <c r="C1369" s="65" t="str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61"/>
      <c r="E1369" s="66"/>
      <c r="F1369" s="67"/>
      <c r="G1369" s="60"/>
      <c r="H1369" s="60"/>
      <c r="I1369" s="61"/>
      <c r="J1369" s="61"/>
      <c r="K1369" s="61"/>
      <c r="L1369" s="73" t="str">
        <f>IF($E1369="","",DATE(YEAR($E1369),MONTH($E1369),1))</f>
        <v/>
      </c>
      <c r="M1369" s="65" t="str">
        <f ca="1">IF($D1369="","",IF($C1369="TANIMSIZ MÜŞTERİ","HATA",IF(OR($E1369="",$F1369&lt;=0,$G1369=""),"EKSİK",IF($E1369&gt;TODAY(),"İLERİ TARİH",IF(COUNTIF($S$7:$S$2503,$S1369)&gt;1,"MÜKERRER?",IF($T1369&gt;0,"KAPALI DÖNEM","UYGUN"))))))</f>
        <v/>
      </c>
      <c r="N1369" s="74" t="str">
        <f>IF($C1369="","",IF($C1369="TANIMSIZ MÜŞTERİ","—",INDEX(MUSTERILER!$C$7:$C$156,MATCH($C1369,MUSTERILER!$B$7:$B$156,0))))</f>
        <v/>
      </c>
      <c r="O1369" s="2"/>
      <c r="P1369" s="2"/>
      <c r="Q1369" s="1" t="str">
        <f>IF($D1369="","",$C1369&amp;"|"&amp;COUNTIFS($C$7:$C1369,$C1369))</f>
        <v/>
      </c>
      <c r="R1369" s="1" t="str">
        <f t="shared" si="42"/>
        <v/>
      </c>
      <c r="S1369" s="1" t="str">
        <f t="shared" si="43"/>
        <v/>
      </c>
      <c r="T1369" s="1">
        <f>IF($E1369="",0,SUMPRODUCT((AY_SONU!$O$7:$O$42="Evet")*(AY_SONU!$B$7:$B$42=DATE(YEAR($E1369),MONTH($E1369),1))))</f>
        <v>0</v>
      </c>
      <c r="U1369" s="1" t="str">
        <f>IF(OR($G1369="",$H1369="Mahsup"),"",$G1369&amp;"|"&amp;COUNTIFS($G$7:$G1369,$G1369,$H$7:$H1369,"&lt;&gt;Mahsup"))</f>
        <v/>
      </c>
    </row>
    <row r="1370" spans="1:21" ht="18" customHeight="1" x14ac:dyDescent="0.3">
      <c r="A1370" s="2"/>
      <c r="B1370" s="65" t="str">
        <f>IF($D1370="","","T"&amp;TEXT(ROW()-6,"00000"))</f>
        <v/>
      </c>
      <c r="C1370" s="65" t="str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61"/>
      <c r="E1370" s="66"/>
      <c r="F1370" s="67"/>
      <c r="G1370" s="60"/>
      <c r="H1370" s="60"/>
      <c r="I1370" s="61"/>
      <c r="J1370" s="61"/>
      <c r="K1370" s="61"/>
      <c r="L1370" s="73" t="str">
        <f>IF($E1370="","",DATE(YEAR($E1370),MONTH($E1370),1))</f>
        <v/>
      </c>
      <c r="M1370" s="65" t="str">
        <f ca="1">IF($D1370="","",IF($C1370="TANIMSIZ MÜŞTERİ","HATA",IF(OR($E1370="",$F1370&lt;=0,$G1370=""),"EKSİK",IF($E1370&gt;TODAY(),"İLERİ TARİH",IF(COUNTIF($S$7:$S$2503,$S1370)&gt;1,"MÜKERRER?",IF($T1370&gt;0,"KAPALI DÖNEM","UYGUN"))))))</f>
        <v/>
      </c>
      <c r="N1370" s="74" t="str">
        <f>IF($C1370="","",IF($C1370="TANIMSIZ MÜŞTERİ","—",INDEX(MUSTERILER!$C$7:$C$156,MATCH($C1370,MUSTERILER!$B$7:$B$156,0))))</f>
        <v/>
      </c>
      <c r="O1370" s="2"/>
      <c r="P1370" s="2"/>
      <c r="Q1370" s="1" t="str">
        <f>IF($D1370="","",$C1370&amp;"|"&amp;COUNTIFS($C$7:$C1370,$C1370))</f>
        <v/>
      </c>
      <c r="R1370" s="1" t="str">
        <f t="shared" si="42"/>
        <v/>
      </c>
      <c r="S1370" s="1" t="str">
        <f t="shared" si="43"/>
        <v/>
      </c>
      <c r="T1370" s="1">
        <f>IF($E1370="",0,SUMPRODUCT((AY_SONU!$O$7:$O$42="Evet")*(AY_SONU!$B$7:$B$42=DATE(YEAR($E1370),MONTH($E1370),1))))</f>
        <v>0</v>
      </c>
      <c r="U1370" s="1" t="str">
        <f>IF(OR($G1370="",$H1370="Mahsup"),"",$G1370&amp;"|"&amp;COUNTIFS($G$7:$G1370,$G1370,$H$7:$H1370,"&lt;&gt;Mahsup"))</f>
        <v/>
      </c>
    </row>
    <row r="1371" spans="1:21" ht="18" customHeight="1" x14ac:dyDescent="0.3">
      <c r="A1371" s="2"/>
      <c r="B1371" s="65" t="str">
        <f>IF($D1371="","","T"&amp;TEXT(ROW()-6,"00000"))</f>
        <v/>
      </c>
      <c r="C1371" s="65" t="str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61"/>
      <c r="E1371" s="66"/>
      <c r="F1371" s="67"/>
      <c r="G1371" s="60"/>
      <c r="H1371" s="60"/>
      <c r="I1371" s="61"/>
      <c r="J1371" s="61"/>
      <c r="K1371" s="61"/>
      <c r="L1371" s="73" t="str">
        <f>IF($E1371="","",DATE(YEAR($E1371),MONTH($E1371),1))</f>
        <v/>
      </c>
      <c r="M1371" s="65" t="str">
        <f ca="1">IF($D1371="","",IF($C1371="TANIMSIZ MÜŞTERİ","HATA",IF(OR($E1371="",$F1371&lt;=0,$G1371=""),"EKSİK",IF($E1371&gt;TODAY(),"İLERİ TARİH",IF(COUNTIF($S$7:$S$2503,$S1371)&gt;1,"MÜKERRER?",IF($T1371&gt;0,"KAPALI DÖNEM","UYGUN"))))))</f>
        <v/>
      </c>
      <c r="N1371" s="74" t="str">
        <f>IF($C1371="","",IF($C1371="TANIMSIZ MÜŞTERİ","—",INDEX(MUSTERILER!$C$7:$C$156,MATCH($C1371,MUSTERILER!$B$7:$B$156,0))))</f>
        <v/>
      </c>
      <c r="O1371" s="2"/>
      <c r="P1371" s="2"/>
      <c r="Q1371" s="1" t="str">
        <f>IF($D1371="","",$C1371&amp;"|"&amp;COUNTIFS($C$7:$C1371,$C1371))</f>
        <v/>
      </c>
      <c r="R1371" s="1" t="str">
        <f t="shared" si="42"/>
        <v/>
      </c>
      <c r="S1371" s="1" t="str">
        <f t="shared" si="43"/>
        <v/>
      </c>
      <c r="T1371" s="1">
        <f>IF($E1371="",0,SUMPRODUCT((AY_SONU!$O$7:$O$42="Evet")*(AY_SONU!$B$7:$B$42=DATE(YEAR($E1371),MONTH($E1371),1))))</f>
        <v>0</v>
      </c>
      <c r="U1371" s="1" t="str">
        <f>IF(OR($G1371="",$H1371="Mahsup"),"",$G1371&amp;"|"&amp;COUNTIFS($G$7:$G1371,$G1371,$H$7:$H1371,"&lt;&gt;Mahsup"))</f>
        <v/>
      </c>
    </row>
    <row r="1372" spans="1:21" ht="18" customHeight="1" x14ac:dyDescent="0.3">
      <c r="A1372" s="2"/>
      <c r="B1372" s="65" t="str">
        <f>IF($D1372="","","T"&amp;TEXT(ROW()-6,"00000"))</f>
        <v/>
      </c>
      <c r="C1372" s="65" t="str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61"/>
      <c r="E1372" s="66"/>
      <c r="F1372" s="67"/>
      <c r="G1372" s="60"/>
      <c r="H1372" s="60"/>
      <c r="I1372" s="61"/>
      <c r="J1372" s="61"/>
      <c r="K1372" s="61"/>
      <c r="L1372" s="73" t="str">
        <f>IF($E1372="","",DATE(YEAR($E1372),MONTH($E1372),1))</f>
        <v/>
      </c>
      <c r="M1372" s="65" t="str">
        <f ca="1">IF($D1372="","",IF($C1372="TANIMSIZ MÜŞTERİ","HATA",IF(OR($E1372="",$F1372&lt;=0,$G1372=""),"EKSİK",IF($E1372&gt;TODAY(),"İLERİ TARİH",IF(COUNTIF($S$7:$S$2503,$S1372)&gt;1,"MÜKERRER?",IF($T1372&gt;0,"KAPALI DÖNEM","UYGUN"))))))</f>
        <v/>
      </c>
      <c r="N1372" s="74" t="str">
        <f>IF($C1372="","",IF($C1372="TANIMSIZ MÜŞTERİ","—",INDEX(MUSTERILER!$C$7:$C$156,MATCH($C1372,MUSTERILER!$B$7:$B$156,0))))</f>
        <v/>
      </c>
      <c r="O1372" s="2"/>
      <c r="P1372" s="2"/>
      <c r="Q1372" s="1" t="str">
        <f>IF($D1372="","",$C1372&amp;"|"&amp;COUNTIFS($C$7:$C1372,$C1372))</f>
        <v/>
      </c>
      <c r="R1372" s="1" t="str">
        <f t="shared" si="42"/>
        <v/>
      </c>
      <c r="S1372" s="1" t="str">
        <f t="shared" si="43"/>
        <v/>
      </c>
      <c r="T1372" s="1">
        <f>IF($E1372="",0,SUMPRODUCT((AY_SONU!$O$7:$O$42="Evet")*(AY_SONU!$B$7:$B$42=DATE(YEAR($E1372),MONTH($E1372),1))))</f>
        <v>0</v>
      </c>
      <c r="U1372" s="1" t="str">
        <f>IF(OR($G1372="",$H1372="Mahsup"),"",$G1372&amp;"|"&amp;COUNTIFS($G$7:$G1372,$G1372,$H$7:$H1372,"&lt;&gt;Mahsup"))</f>
        <v/>
      </c>
    </row>
    <row r="1373" spans="1:21" ht="18" customHeight="1" x14ac:dyDescent="0.3">
      <c r="A1373" s="2"/>
      <c r="B1373" s="65" t="str">
        <f>IF($D1373="","","T"&amp;TEXT(ROW()-6,"00000"))</f>
        <v/>
      </c>
      <c r="C1373" s="65" t="str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61"/>
      <c r="E1373" s="66"/>
      <c r="F1373" s="67"/>
      <c r="G1373" s="60"/>
      <c r="H1373" s="60"/>
      <c r="I1373" s="61"/>
      <c r="J1373" s="61"/>
      <c r="K1373" s="61"/>
      <c r="L1373" s="73" t="str">
        <f>IF($E1373="","",DATE(YEAR($E1373),MONTH($E1373),1))</f>
        <v/>
      </c>
      <c r="M1373" s="65" t="str">
        <f ca="1">IF($D1373="","",IF($C1373="TANIMSIZ MÜŞTERİ","HATA",IF(OR($E1373="",$F1373&lt;=0,$G1373=""),"EKSİK",IF($E1373&gt;TODAY(),"İLERİ TARİH",IF(COUNTIF($S$7:$S$2503,$S1373)&gt;1,"MÜKERRER?",IF($T1373&gt;0,"KAPALI DÖNEM","UYGUN"))))))</f>
        <v/>
      </c>
      <c r="N1373" s="74" t="str">
        <f>IF($C1373="","",IF($C1373="TANIMSIZ MÜŞTERİ","—",INDEX(MUSTERILER!$C$7:$C$156,MATCH($C1373,MUSTERILER!$B$7:$B$156,0))))</f>
        <v/>
      </c>
      <c r="O1373" s="2"/>
      <c r="P1373" s="2"/>
      <c r="Q1373" s="1" t="str">
        <f>IF($D1373="","",$C1373&amp;"|"&amp;COUNTIFS($C$7:$C1373,$C1373))</f>
        <v/>
      </c>
      <c r="R1373" s="1" t="str">
        <f t="shared" si="42"/>
        <v/>
      </c>
      <c r="S1373" s="1" t="str">
        <f t="shared" si="43"/>
        <v/>
      </c>
      <c r="T1373" s="1">
        <f>IF($E1373="",0,SUMPRODUCT((AY_SONU!$O$7:$O$42="Evet")*(AY_SONU!$B$7:$B$42=DATE(YEAR($E1373),MONTH($E1373),1))))</f>
        <v>0</v>
      </c>
      <c r="U1373" s="1" t="str">
        <f>IF(OR($G1373="",$H1373="Mahsup"),"",$G1373&amp;"|"&amp;COUNTIFS($G$7:$G1373,$G1373,$H$7:$H1373,"&lt;&gt;Mahsup"))</f>
        <v/>
      </c>
    </row>
    <row r="1374" spans="1:21" ht="18" customHeight="1" x14ac:dyDescent="0.3">
      <c r="A1374" s="2"/>
      <c r="B1374" s="65" t="str">
        <f>IF($D1374="","","T"&amp;TEXT(ROW()-6,"00000"))</f>
        <v/>
      </c>
      <c r="C1374" s="65" t="str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61"/>
      <c r="E1374" s="66"/>
      <c r="F1374" s="67"/>
      <c r="G1374" s="60"/>
      <c r="H1374" s="60"/>
      <c r="I1374" s="61"/>
      <c r="J1374" s="61"/>
      <c r="K1374" s="61"/>
      <c r="L1374" s="73" t="str">
        <f>IF($E1374="","",DATE(YEAR($E1374),MONTH($E1374),1))</f>
        <v/>
      </c>
      <c r="M1374" s="65" t="str">
        <f ca="1">IF($D1374="","",IF($C1374="TANIMSIZ MÜŞTERİ","HATA",IF(OR($E1374="",$F1374&lt;=0,$G1374=""),"EKSİK",IF($E1374&gt;TODAY(),"İLERİ TARİH",IF(COUNTIF($S$7:$S$2503,$S1374)&gt;1,"MÜKERRER?",IF($T1374&gt;0,"KAPALI DÖNEM","UYGUN"))))))</f>
        <v/>
      </c>
      <c r="N1374" s="74" t="str">
        <f>IF($C1374="","",IF($C1374="TANIMSIZ MÜŞTERİ","—",INDEX(MUSTERILER!$C$7:$C$156,MATCH($C1374,MUSTERILER!$B$7:$B$156,0))))</f>
        <v/>
      </c>
      <c r="O1374" s="2"/>
      <c r="P1374" s="2"/>
      <c r="Q1374" s="1" t="str">
        <f>IF($D1374="","",$C1374&amp;"|"&amp;COUNTIFS($C$7:$C1374,$C1374))</f>
        <v/>
      </c>
      <c r="R1374" s="1" t="str">
        <f t="shared" si="42"/>
        <v/>
      </c>
      <c r="S1374" s="1" t="str">
        <f t="shared" si="43"/>
        <v/>
      </c>
      <c r="T1374" s="1">
        <f>IF($E1374="",0,SUMPRODUCT((AY_SONU!$O$7:$O$42="Evet")*(AY_SONU!$B$7:$B$42=DATE(YEAR($E1374),MONTH($E1374),1))))</f>
        <v>0</v>
      </c>
      <c r="U1374" s="1" t="str">
        <f>IF(OR($G1374="",$H1374="Mahsup"),"",$G1374&amp;"|"&amp;COUNTIFS($G$7:$G1374,$G1374,$H$7:$H1374,"&lt;&gt;Mahsup"))</f>
        <v/>
      </c>
    </row>
    <row r="1375" spans="1:21" ht="18" customHeight="1" x14ac:dyDescent="0.3">
      <c r="A1375" s="2"/>
      <c r="B1375" s="65" t="str">
        <f>IF($D1375="","","T"&amp;TEXT(ROW()-6,"00000"))</f>
        <v/>
      </c>
      <c r="C1375" s="65" t="str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61"/>
      <c r="E1375" s="66"/>
      <c r="F1375" s="67"/>
      <c r="G1375" s="60"/>
      <c r="H1375" s="60"/>
      <c r="I1375" s="61"/>
      <c r="J1375" s="61"/>
      <c r="K1375" s="61"/>
      <c r="L1375" s="73" t="str">
        <f>IF($E1375="","",DATE(YEAR($E1375),MONTH($E1375),1))</f>
        <v/>
      </c>
      <c r="M1375" s="65" t="str">
        <f ca="1">IF($D1375="","",IF($C1375="TANIMSIZ MÜŞTERİ","HATA",IF(OR($E1375="",$F1375&lt;=0,$G1375=""),"EKSİK",IF($E1375&gt;TODAY(),"İLERİ TARİH",IF(COUNTIF($S$7:$S$2503,$S1375)&gt;1,"MÜKERRER?",IF($T1375&gt;0,"KAPALI DÖNEM","UYGUN"))))))</f>
        <v/>
      </c>
      <c r="N1375" s="74" t="str">
        <f>IF($C1375="","",IF($C1375="TANIMSIZ MÜŞTERİ","—",INDEX(MUSTERILER!$C$7:$C$156,MATCH($C1375,MUSTERILER!$B$7:$B$156,0))))</f>
        <v/>
      </c>
      <c r="O1375" s="2"/>
      <c r="P1375" s="2"/>
      <c r="Q1375" s="1" t="str">
        <f>IF($D1375="","",$C1375&amp;"|"&amp;COUNTIFS($C$7:$C1375,$C1375))</f>
        <v/>
      </c>
      <c r="R1375" s="1" t="str">
        <f t="shared" si="42"/>
        <v/>
      </c>
      <c r="S1375" s="1" t="str">
        <f t="shared" si="43"/>
        <v/>
      </c>
      <c r="T1375" s="1">
        <f>IF($E1375="",0,SUMPRODUCT((AY_SONU!$O$7:$O$42="Evet")*(AY_SONU!$B$7:$B$42=DATE(YEAR($E1375),MONTH($E1375),1))))</f>
        <v>0</v>
      </c>
      <c r="U1375" s="1" t="str">
        <f>IF(OR($G1375="",$H1375="Mahsup"),"",$G1375&amp;"|"&amp;COUNTIFS($G$7:$G1375,$G1375,$H$7:$H1375,"&lt;&gt;Mahsup"))</f>
        <v/>
      </c>
    </row>
    <row r="1376" spans="1:21" ht="18" customHeight="1" x14ac:dyDescent="0.3">
      <c r="A1376" s="2"/>
      <c r="B1376" s="65" t="str">
        <f>IF($D1376="","","T"&amp;TEXT(ROW()-6,"00000"))</f>
        <v/>
      </c>
      <c r="C1376" s="65" t="str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61"/>
      <c r="E1376" s="66"/>
      <c r="F1376" s="67"/>
      <c r="G1376" s="60"/>
      <c r="H1376" s="60"/>
      <c r="I1376" s="61"/>
      <c r="J1376" s="61"/>
      <c r="K1376" s="61"/>
      <c r="L1376" s="73" t="str">
        <f>IF($E1376="","",DATE(YEAR($E1376),MONTH($E1376),1))</f>
        <v/>
      </c>
      <c r="M1376" s="65" t="str">
        <f ca="1">IF($D1376="","",IF($C1376="TANIMSIZ MÜŞTERİ","HATA",IF(OR($E1376="",$F1376&lt;=0,$G1376=""),"EKSİK",IF($E1376&gt;TODAY(),"İLERİ TARİH",IF(COUNTIF($S$7:$S$2503,$S1376)&gt;1,"MÜKERRER?",IF($T1376&gt;0,"KAPALI DÖNEM","UYGUN"))))))</f>
        <v/>
      </c>
      <c r="N1376" s="74" t="str">
        <f>IF($C1376="","",IF($C1376="TANIMSIZ MÜŞTERİ","—",INDEX(MUSTERILER!$C$7:$C$156,MATCH($C1376,MUSTERILER!$B$7:$B$156,0))))</f>
        <v/>
      </c>
      <c r="O1376" s="2"/>
      <c r="P1376" s="2"/>
      <c r="Q1376" s="1" t="str">
        <f>IF($D1376="","",$C1376&amp;"|"&amp;COUNTIFS($C$7:$C1376,$C1376))</f>
        <v/>
      </c>
      <c r="R1376" s="1" t="str">
        <f t="shared" si="42"/>
        <v/>
      </c>
      <c r="S1376" s="1" t="str">
        <f t="shared" si="43"/>
        <v/>
      </c>
      <c r="T1376" s="1">
        <f>IF($E1376="",0,SUMPRODUCT((AY_SONU!$O$7:$O$42="Evet")*(AY_SONU!$B$7:$B$42=DATE(YEAR($E1376),MONTH($E1376),1))))</f>
        <v>0</v>
      </c>
      <c r="U1376" s="1" t="str">
        <f>IF(OR($G1376="",$H1376="Mahsup"),"",$G1376&amp;"|"&amp;COUNTIFS($G$7:$G1376,$G1376,$H$7:$H1376,"&lt;&gt;Mahsup"))</f>
        <v/>
      </c>
    </row>
    <row r="1377" spans="1:21" ht="18" customHeight="1" x14ac:dyDescent="0.3">
      <c r="A1377" s="2"/>
      <c r="B1377" s="65" t="str">
        <f>IF($D1377="","","T"&amp;TEXT(ROW()-6,"00000"))</f>
        <v/>
      </c>
      <c r="C1377" s="65" t="str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61"/>
      <c r="E1377" s="66"/>
      <c r="F1377" s="67"/>
      <c r="G1377" s="60"/>
      <c r="H1377" s="60"/>
      <c r="I1377" s="61"/>
      <c r="J1377" s="61"/>
      <c r="K1377" s="61"/>
      <c r="L1377" s="73" t="str">
        <f>IF($E1377="","",DATE(YEAR($E1377),MONTH($E1377),1))</f>
        <v/>
      </c>
      <c r="M1377" s="65" t="str">
        <f ca="1">IF($D1377="","",IF($C1377="TANIMSIZ MÜŞTERİ","HATA",IF(OR($E1377="",$F1377&lt;=0,$G1377=""),"EKSİK",IF($E1377&gt;TODAY(),"İLERİ TARİH",IF(COUNTIF($S$7:$S$2503,$S1377)&gt;1,"MÜKERRER?",IF($T1377&gt;0,"KAPALI DÖNEM","UYGUN"))))))</f>
        <v/>
      </c>
      <c r="N1377" s="74" t="str">
        <f>IF($C1377="","",IF($C1377="TANIMSIZ MÜŞTERİ","—",INDEX(MUSTERILER!$C$7:$C$156,MATCH($C1377,MUSTERILER!$B$7:$B$156,0))))</f>
        <v/>
      </c>
      <c r="O1377" s="2"/>
      <c r="P1377" s="2"/>
      <c r="Q1377" s="1" t="str">
        <f>IF($D1377="","",$C1377&amp;"|"&amp;COUNTIFS($C$7:$C1377,$C1377))</f>
        <v/>
      </c>
      <c r="R1377" s="1" t="str">
        <f t="shared" si="42"/>
        <v/>
      </c>
      <c r="S1377" s="1" t="str">
        <f t="shared" si="43"/>
        <v/>
      </c>
      <c r="T1377" s="1">
        <f>IF($E1377="",0,SUMPRODUCT((AY_SONU!$O$7:$O$42="Evet")*(AY_SONU!$B$7:$B$42=DATE(YEAR($E1377),MONTH($E1377),1))))</f>
        <v>0</v>
      </c>
      <c r="U1377" s="1" t="str">
        <f>IF(OR($G1377="",$H1377="Mahsup"),"",$G1377&amp;"|"&amp;COUNTIFS($G$7:$G1377,$G1377,$H$7:$H1377,"&lt;&gt;Mahsup"))</f>
        <v/>
      </c>
    </row>
    <row r="1378" spans="1:21" ht="18" customHeight="1" x14ac:dyDescent="0.3">
      <c r="A1378" s="2"/>
      <c r="B1378" s="65" t="str">
        <f>IF($D1378="","","T"&amp;TEXT(ROW()-6,"00000"))</f>
        <v/>
      </c>
      <c r="C1378" s="65" t="str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61"/>
      <c r="E1378" s="66"/>
      <c r="F1378" s="67"/>
      <c r="G1378" s="60"/>
      <c r="H1378" s="60"/>
      <c r="I1378" s="61"/>
      <c r="J1378" s="61"/>
      <c r="K1378" s="61"/>
      <c r="L1378" s="73" t="str">
        <f>IF($E1378="","",DATE(YEAR($E1378),MONTH($E1378),1))</f>
        <v/>
      </c>
      <c r="M1378" s="65" t="str">
        <f ca="1">IF($D1378="","",IF($C1378="TANIMSIZ MÜŞTERİ","HATA",IF(OR($E1378="",$F1378&lt;=0,$G1378=""),"EKSİK",IF($E1378&gt;TODAY(),"İLERİ TARİH",IF(COUNTIF($S$7:$S$2503,$S1378)&gt;1,"MÜKERRER?",IF($T1378&gt;0,"KAPALI DÖNEM","UYGUN"))))))</f>
        <v/>
      </c>
      <c r="N1378" s="74" t="str">
        <f>IF($C1378="","",IF($C1378="TANIMSIZ MÜŞTERİ","—",INDEX(MUSTERILER!$C$7:$C$156,MATCH($C1378,MUSTERILER!$B$7:$B$156,0))))</f>
        <v/>
      </c>
      <c r="O1378" s="2"/>
      <c r="P1378" s="2"/>
      <c r="Q1378" s="1" t="str">
        <f>IF($D1378="","",$C1378&amp;"|"&amp;COUNTIFS($C$7:$C1378,$C1378))</f>
        <v/>
      </c>
      <c r="R1378" s="1" t="str">
        <f t="shared" si="42"/>
        <v/>
      </c>
      <c r="S1378" s="1" t="str">
        <f t="shared" si="43"/>
        <v/>
      </c>
      <c r="T1378" s="1">
        <f>IF($E1378="",0,SUMPRODUCT((AY_SONU!$O$7:$O$42="Evet")*(AY_SONU!$B$7:$B$42=DATE(YEAR($E1378),MONTH($E1378),1))))</f>
        <v>0</v>
      </c>
      <c r="U1378" s="1" t="str">
        <f>IF(OR($G1378="",$H1378="Mahsup"),"",$G1378&amp;"|"&amp;COUNTIFS($G$7:$G1378,$G1378,$H$7:$H1378,"&lt;&gt;Mahsup"))</f>
        <v/>
      </c>
    </row>
    <row r="1379" spans="1:21" ht="18" customHeight="1" x14ac:dyDescent="0.3">
      <c r="A1379" s="2"/>
      <c r="B1379" s="65" t="str">
        <f>IF($D1379="","","T"&amp;TEXT(ROW()-6,"00000"))</f>
        <v/>
      </c>
      <c r="C1379" s="65" t="str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61"/>
      <c r="E1379" s="66"/>
      <c r="F1379" s="67"/>
      <c r="G1379" s="60"/>
      <c r="H1379" s="60"/>
      <c r="I1379" s="61"/>
      <c r="J1379" s="61"/>
      <c r="K1379" s="61"/>
      <c r="L1379" s="73" t="str">
        <f>IF($E1379="","",DATE(YEAR($E1379),MONTH($E1379),1))</f>
        <v/>
      </c>
      <c r="M1379" s="65" t="str">
        <f ca="1">IF($D1379="","",IF($C1379="TANIMSIZ MÜŞTERİ","HATA",IF(OR($E1379="",$F1379&lt;=0,$G1379=""),"EKSİK",IF($E1379&gt;TODAY(),"İLERİ TARİH",IF(COUNTIF($S$7:$S$2503,$S1379)&gt;1,"MÜKERRER?",IF($T1379&gt;0,"KAPALI DÖNEM","UYGUN"))))))</f>
        <v/>
      </c>
      <c r="N1379" s="74" t="str">
        <f>IF($C1379="","",IF($C1379="TANIMSIZ MÜŞTERİ","—",INDEX(MUSTERILER!$C$7:$C$156,MATCH($C1379,MUSTERILER!$B$7:$B$156,0))))</f>
        <v/>
      </c>
      <c r="O1379" s="2"/>
      <c r="P1379" s="2"/>
      <c r="Q1379" s="1" t="str">
        <f>IF($D1379="","",$C1379&amp;"|"&amp;COUNTIFS($C$7:$C1379,$C1379))</f>
        <v/>
      </c>
      <c r="R1379" s="1" t="str">
        <f t="shared" si="42"/>
        <v/>
      </c>
      <c r="S1379" s="1" t="str">
        <f t="shared" si="43"/>
        <v/>
      </c>
      <c r="T1379" s="1">
        <f>IF($E1379="",0,SUMPRODUCT((AY_SONU!$O$7:$O$42="Evet")*(AY_SONU!$B$7:$B$42=DATE(YEAR($E1379),MONTH($E1379),1))))</f>
        <v>0</v>
      </c>
      <c r="U1379" s="1" t="str">
        <f>IF(OR($G1379="",$H1379="Mahsup"),"",$G1379&amp;"|"&amp;COUNTIFS($G$7:$G1379,$G1379,$H$7:$H1379,"&lt;&gt;Mahsup"))</f>
        <v/>
      </c>
    </row>
    <row r="1380" spans="1:21" ht="18" customHeight="1" x14ac:dyDescent="0.3">
      <c r="A1380" s="2"/>
      <c r="B1380" s="65" t="str">
        <f>IF($D1380="","","T"&amp;TEXT(ROW()-6,"00000"))</f>
        <v/>
      </c>
      <c r="C1380" s="65" t="str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61"/>
      <c r="E1380" s="66"/>
      <c r="F1380" s="67"/>
      <c r="G1380" s="60"/>
      <c r="H1380" s="60"/>
      <c r="I1380" s="61"/>
      <c r="J1380" s="61"/>
      <c r="K1380" s="61"/>
      <c r="L1380" s="73" t="str">
        <f>IF($E1380="","",DATE(YEAR($E1380),MONTH($E1380),1))</f>
        <v/>
      </c>
      <c r="M1380" s="65" t="str">
        <f ca="1">IF($D1380="","",IF($C1380="TANIMSIZ MÜŞTERİ","HATA",IF(OR($E1380="",$F1380&lt;=0,$G1380=""),"EKSİK",IF($E1380&gt;TODAY(),"İLERİ TARİH",IF(COUNTIF($S$7:$S$2503,$S1380)&gt;1,"MÜKERRER?",IF($T1380&gt;0,"KAPALI DÖNEM","UYGUN"))))))</f>
        <v/>
      </c>
      <c r="N1380" s="74" t="str">
        <f>IF($C1380="","",IF($C1380="TANIMSIZ MÜŞTERİ","—",INDEX(MUSTERILER!$C$7:$C$156,MATCH($C1380,MUSTERILER!$B$7:$B$156,0))))</f>
        <v/>
      </c>
      <c r="O1380" s="2"/>
      <c r="P1380" s="2"/>
      <c r="Q1380" s="1" t="str">
        <f>IF($D1380="","",$C1380&amp;"|"&amp;COUNTIFS($C$7:$C1380,$C1380))</f>
        <v/>
      </c>
      <c r="R1380" s="1" t="str">
        <f t="shared" si="42"/>
        <v/>
      </c>
      <c r="S1380" s="1" t="str">
        <f t="shared" si="43"/>
        <v/>
      </c>
      <c r="T1380" s="1">
        <f>IF($E1380="",0,SUMPRODUCT((AY_SONU!$O$7:$O$42="Evet")*(AY_SONU!$B$7:$B$42=DATE(YEAR($E1380),MONTH($E1380),1))))</f>
        <v>0</v>
      </c>
      <c r="U1380" s="1" t="str">
        <f>IF(OR($G1380="",$H1380="Mahsup"),"",$G1380&amp;"|"&amp;COUNTIFS($G$7:$G1380,$G1380,$H$7:$H1380,"&lt;&gt;Mahsup"))</f>
        <v/>
      </c>
    </row>
    <row r="1381" spans="1:21" ht="18" customHeight="1" x14ac:dyDescent="0.3">
      <c r="A1381" s="2"/>
      <c r="B1381" s="65" t="str">
        <f>IF($D1381="","","T"&amp;TEXT(ROW()-6,"00000"))</f>
        <v/>
      </c>
      <c r="C1381" s="65" t="str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61"/>
      <c r="E1381" s="66"/>
      <c r="F1381" s="67"/>
      <c r="G1381" s="60"/>
      <c r="H1381" s="60"/>
      <c r="I1381" s="61"/>
      <c r="J1381" s="61"/>
      <c r="K1381" s="61"/>
      <c r="L1381" s="73" t="str">
        <f>IF($E1381="","",DATE(YEAR($E1381),MONTH($E1381),1))</f>
        <v/>
      </c>
      <c r="M1381" s="65" t="str">
        <f ca="1">IF($D1381="","",IF($C1381="TANIMSIZ MÜŞTERİ","HATA",IF(OR($E1381="",$F1381&lt;=0,$G1381=""),"EKSİK",IF($E1381&gt;TODAY(),"İLERİ TARİH",IF(COUNTIF($S$7:$S$2503,$S1381)&gt;1,"MÜKERRER?",IF($T1381&gt;0,"KAPALI DÖNEM","UYGUN"))))))</f>
        <v/>
      </c>
      <c r="N1381" s="74" t="str">
        <f>IF($C1381="","",IF($C1381="TANIMSIZ MÜŞTERİ","—",INDEX(MUSTERILER!$C$7:$C$156,MATCH($C1381,MUSTERILER!$B$7:$B$156,0))))</f>
        <v/>
      </c>
      <c r="O1381" s="2"/>
      <c r="P1381" s="2"/>
      <c r="Q1381" s="1" t="str">
        <f>IF($D1381="","",$C1381&amp;"|"&amp;COUNTIFS($C$7:$C1381,$C1381))</f>
        <v/>
      </c>
      <c r="R1381" s="1" t="str">
        <f t="shared" si="42"/>
        <v/>
      </c>
      <c r="S1381" s="1" t="str">
        <f t="shared" si="43"/>
        <v/>
      </c>
      <c r="T1381" s="1">
        <f>IF($E1381="",0,SUMPRODUCT((AY_SONU!$O$7:$O$42="Evet")*(AY_SONU!$B$7:$B$42=DATE(YEAR($E1381),MONTH($E1381),1))))</f>
        <v>0</v>
      </c>
      <c r="U1381" s="1" t="str">
        <f>IF(OR($G1381="",$H1381="Mahsup"),"",$G1381&amp;"|"&amp;COUNTIFS($G$7:$G1381,$G1381,$H$7:$H1381,"&lt;&gt;Mahsup"))</f>
        <v/>
      </c>
    </row>
    <row r="1382" spans="1:21" ht="18" customHeight="1" x14ac:dyDescent="0.3">
      <c r="A1382" s="2"/>
      <c r="B1382" s="65" t="str">
        <f>IF($D1382="","","T"&amp;TEXT(ROW()-6,"00000"))</f>
        <v/>
      </c>
      <c r="C1382" s="65" t="str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61"/>
      <c r="E1382" s="66"/>
      <c r="F1382" s="67"/>
      <c r="G1382" s="60"/>
      <c r="H1382" s="60"/>
      <c r="I1382" s="61"/>
      <c r="J1382" s="61"/>
      <c r="K1382" s="61"/>
      <c r="L1382" s="73" t="str">
        <f>IF($E1382="","",DATE(YEAR($E1382),MONTH($E1382),1))</f>
        <v/>
      </c>
      <c r="M1382" s="65" t="str">
        <f ca="1">IF($D1382="","",IF($C1382="TANIMSIZ MÜŞTERİ","HATA",IF(OR($E1382="",$F1382&lt;=0,$G1382=""),"EKSİK",IF($E1382&gt;TODAY(),"İLERİ TARİH",IF(COUNTIF($S$7:$S$2503,$S1382)&gt;1,"MÜKERRER?",IF($T1382&gt;0,"KAPALI DÖNEM","UYGUN"))))))</f>
        <v/>
      </c>
      <c r="N1382" s="74" t="str">
        <f>IF($C1382="","",IF($C1382="TANIMSIZ MÜŞTERİ","—",INDEX(MUSTERILER!$C$7:$C$156,MATCH($C1382,MUSTERILER!$B$7:$B$156,0))))</f>
        <v/>
      </c>
      <c r="O1382" s="2"/>
      <c r="P1382" s="2"/>
      <c r="Q1382" s="1" t="str">
        <f>IF($D1382="","",$C1382&amp;"|"&amp;COUNTIFS($C$7:$C1382,$C1382))</f>
        <v/>
      </c>
      <c r="R1382" s="1" t="str">
        <f t="shared" si="42"/>
        <v/>
      </c>
      <c r="S1382" s="1" t="str">
        <f t="shared" si="43"/>
        <v/>
      </c>
      <c r="T1382" s="1">
        <f>IF($E1382="",0,SUMPRODUCT((AY_SONU!$O$7:$O$42="Evet")*(AY_SONU!$B$7:$B$42=DATE(YEAR($E1382),MONTH($E1382),1))))</f>
        <v>0</v>
      </c>
      <c r="U1382" s="1" t="str">
        <f>IF(OR($G1382="",$H1382="Mahsup"),"",$G1382&amp;"|"&amp;COUNTIFS($G$7:$G1382,$G1382,$H$7:$H1382,"&lt;&gt;Mahsup"))</f>
        <v/>
      </c>
    </row>
    <row r="1383" spans="1:21" ht="18" customHeight="1" x14ac:dyDescent="0.3">
      <c r="A1383" s="2"/>
      <c r="B1383" s="65" t="str">
        <f>IF($D1383="","","T"&amp;TEXT(ROW()-6,"00000"))</f>
        <v/>
      </c>
      <c r="C1383" s="65" t="str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61"/>
      <c r="E1383" s="66"/>
      <c r="F1383" s="67"/>
      <c r="G1383" s="60"/>
      <c r="H1383" s="60"/>
      <c r="I1383" s="61"/>
      <c r="J1383" s="61"/>
      <c r="K1383" s="61"/>
      <c r="L1383" s="73" t="str">
        <f>IF($E1383="","",DATE(YEAR($E1383),MONTH($E1383),1))</f>
        <v/>
      </c>
      <c r="M1383" s="65" t="str">
        <f ca="1">IF($D1383="","",IF($C1383="TANIMSIZ MÜŞTERİ","HATA",IF(OR($E1383="",$F1383&lt;=0,$G1383=""),"EKSİK",IF($E1383&gt;TODAY(),"İLERİ TARİH",IF(COUNTIF($S$7:$S$2503,$S1383)&gt;1,"MÜKERRER?",IF($T1383&gt;0,"KAPALI DÖNEM","UYGUN"))))))</f>
        <v/>
      </c>
      <c r="N1383" s="74" t="str">
        <f>IF($C1383="","",IF($C1383="TANIMSIZ MÜŞTERİ","—",INDEX(MUSTERILER!$C$7:$C$156,MATCH($C1383,MUSTERILER!$B$7:$B$156,0))))</f>
        <v/>
      </c>
      <c r="O1383" s="2"/>
      <c r="P1383" s="2"/>
      <c r="Q1383" s="1" t="str">
        <f>IF($D1383="","",$C1383&amp;"|"&amp;COUNTIFS($C$7:$C1383,$C1383))</f>
        <v/>
      </c>
      <c r="R1383" s="1" t="str">
        <f t="shared" si="42"/>
        <v/>
      </c>
      <c r="S1383" s="1" t="str">
        <f t="shared" si="43"/>
        <v/>
      </c>
      <c r="T1383" s="1">
        <f>IF($E1383="",0,SUMPRODUCT((AY_SONU!$O$7:$O$42="Evet")*(AY_SONU!$B$7:$B$42=DATE(YEAR($E1383),MONTH($E1383),1))))</f>
        <v>0</v>
      </c>
      <c r="U1383" s="1" t="str">
        <f>IF(OR($G1383="",$H1383="Mahsup"),"",$G1383&amp;"|"&amp;COUNTIFS($G$7:$G1383,$G1383,$H$7:$H1383,"&lt;&gt;Mahsup"))</f>
        <v/>
      </c>
    </row>
    <row r="1384" spans="1:21" ht="18" customHeight="1" x14ac:dyDescent="0.3">
      <c r="A1384" s="2"/>
      <c r="B1384" s="65" t="str">
        <f>IF($D1384="","","T"&amp;TEXT(ROW()-6,"00000"))</f>
        <v/>
      </c>
      <c r="C1384" s="65" t="str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61"/>
      <c r="E1384" s="66"/>
      <c r="F1384" s="67"/>
      <c r="G1384" s="60"/>
      <c r="H1384" s="60"/>
      <c r="I1384" s="61"/>
      <c r="J1384" s="61"/>
      <c r="K1384" s="61"/>
      <c r="L1384" s="73" t="str">
        <f>IF($E1384="","",DATE(YEAR($E1384),MONTH($E1384),1))</f>
        <v/>
      </c>
      <c r="M1384" s="65" t="str">
        <f ca="1">IF($D1384="","",IF($C1384="TANIMSIZ MÜŞTERİ","HATA",IF(OR($E1384="",$F1384&lt;=0,$G1384=""),"EKSİK",IF($E1384&gt;TODAY(),"İLERİ TARİH",IF(COUNTIF($S$7:$S$2503,$S1384)&gt;1,"MÜKERRER?",IF($T1384&gt;0,"KAPALI DÖNEM","UYGUN"))))))</f>
        <v/>
      </c>
      <c r="N1384" s="74" t="str">
        <f>IF($C1384="","",IF($C1384="TANIMSIZ MÜŞTERİ","—",INDEX(MUSTERILER!$C$7:$C$156,MATCH($C1384,MUSTERILER!$B$7:$B$156,0))))</f>
        <v/>
      </c>
      <c r="O1384" s="2"/>
      <c r="P1384" s="2"/>
      <c r="Q1384" s="1" t="str">
        <f>IF($D1384="","",$C1384&amp;"|"&amp;COUNTIFS($C$7:$C1384,$C1384))</f>
        <v/>
      </c>
      <c r="R1384" s="1" t="str">
        <f t="shared" si="42"/>
        <v/>
      </c>
      <c r="S1384" s="1" t="str">
        <f t="shared" si="43"/>
        <v/>
      </c>
      <c r="T1384" s="1">
        <f>IF($E1384="",0,SUMPRODUCT((AY_SONU!$O$7:$O$42="Evet")*(AY_SONU!$B$7:$B$42=DATE(YEAR($E1384),MONTH($E1384),1))))</f>
        <v>0</v>
      </c>
      <c r="U1384" s="1" t="str">
        <f>IF(OR($G1384="",$H1384="Mahsup"),"",$G1384&amp;"|"&amp;COUNTIFS($G$7:$G1384,$G1384,$H$7:$H1384,"&lt;&gt;Mahsup"))</f>
        <v/>
      </c>
    </row>
    <row r="1385" spans="1:21" ht="18" customHeight="1" x14ac:dyDescent="0.3">
      <c r="A1385" s="2"/>
      <c r="B1385" s="65" t="str">
        <f>IF($D1385="","","T"&amp;TEXT(ROW()-6,"00000"))</f>
        <v/>
      </c>
      <c r="C1385" s="65" t="str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61"/>
      <c r="E1385" s="66"/>
      <c r="F1385" s="67"/>
      <c r="G1385" s="60"/>
      <c r="H1385" s="60"/>
      <c r="I1385" s="61"/>
      <c r="J1385" s="61"/>
      <c r="K1385" s="61"/>
      <c r="L1385" s="73" t="str">
        <f>IF($E1385="","",DATE(YEAR($E1385),MONTH($E1385),1))</f>
        <v/>
      </c>
      <c r="M1385" s="65" t="str">
        <f ca="1">IF($D1385="","",IF($C1385="TANIMSIZ MÜŞTERİ","HATA",IF(OR($E1385="",$F1385&lt;=0,$G1385=""),"EKSİK",IF($E1385&gt;TODAY(),"İLERİ TARİH",IF(COUNTIF($S$7:$S$2503,$S1385)&gt;1,"MÜKERRER?",IF($T1385&gt;0,"KAPALI DÖNEM","UYGUN"))))))</f>
        <v/>
      </c>
      <c r="N1385" s="74" t="str">
        <f>IF($C1385="","",IF($C1385="TANIMSIZ MÜŞTERİ","—",INDEX(MUSTERILER!$C$7:$C$156,MATCH($C1385,MUSTERILER!$B$7:$B$156,0))))</f>
        <v/>
      </c>
      <c r="O1385" s="2"/>
      <c r="P1385" s="2"/>
      <c r="Q1385" s="1" t="str">
        <f>IF($D1385="","",$C1385&amp;"|"&amp;COUNTIFS($C$7:$C1385,$C1385))</f>
        <v/>
      </c>
      <c r="R1385" s="1" t="str">
        <f t="shared" si="42"/>
        <v/>
      </c>
      <c r="S1385" s="1" t="str">
        <f t="shared" si="43"/>
        <v/>
      </c>
      <c r="T1385" s="1">
        <f>IF($E1385="",0,SUMPRODUCT((AY_SONU!$O$7:$O$42="Evet")*(AY_SONU!$B$7:$B$42=DATE(YEAR($E1385),MONTH($E1385),1))))</f>
        <v>0</v>
      </c>
      <c r="U1385" s="1" t="str">
        <f>IF(OR($G1385="",$H1385="Mahsup"),"",$G1385&amp;"|"&amp;COUNTIFS($G$7:$G1385,$G1385,$H$7:$H1385,"&lt;&gt;Mahsup"))</f>
        <v/>
      </c>
    </row>
    <row r="1386" spans="1:21" ht="18" customHeight="1" x14ac:dyDescent="0.3">
      <c r="A1386" s="2"/>
      <c r="B1386" s="65" t="str">
        <f>IF($D1386="","","T"&amp;TEXT(ROW()-6,"00000"))</f>
        <v/>
      </c>
      <c r="C1386" s="65" t="str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61"/>
      <c r="E1386" s="66"/>
      <c r="F1386" s="67"/>
      <c r="G1386" s="60"/>
      <c r="H1386" s="60"/>
      <c r="I1386" s="61"/>
      <c r="J1386" s="61"/>
      <c r="K1386" s="61"/>
      <c r="L1386" s="73" t="str">
        <f>IF($E1386="","",DATE(YEAR($E1386),MONTH($E1386),1))</f>
        <v/>
      </c>
      <c r="M1386" s="65" t="str">
        <f ca="1">IF($D1386="","",IF($C1386="TANIMSIZ MÜŞTERİ","HATA",IF(OR($E1386="",$F1386&lt;=0,$G1386=""),"EKSİK",IF($E1386&gt;TODAY(),"İLERİ TARİH",IF(COUNTIF($S$7:$S$2503,$S1386)&gt;1,"MÜKERRER?",IF($T1386&gt;0,"KAPALI DÖNEM","UYGUN"))))))</f>
        <v/>
      </c>
      <c r="N1386" s="74" t="str">
        <f>IF($C1386="","",IF($C1386="TANIMSIZ MÜŞTERİ","—",INDEX(MUSTERILER!$C$7:$C$156,MATCH($C1386,MUSTERILER!$B$7:$B$156,0))))</f>
        <v/>
      </c>
      <c r="O1386" s="2"/>
      <c r="P1386" s="2"/>
      <c r="Q1386" s="1" t="str">
        <f>IF($D1386="","",$C1386&amp;"|"&amp;COUNTIFS($C$7:$C1386,$C1386))</f>
        <v/>
      </c>
      <c r="R1386" s="1" t="str">
        <f t="shared" si="42"/>
        <v/>
      </c>
      <c r="S1386" s="1" t="str">
        <f t="shared" si="43"/>
        <v/>
      </c>
      <c r="T1386" s="1">
        <f>IF($E1386="",0,SUMPRODUCT((AY_SONU!$O$7:$O$42="Evet")*(AY_SONU!$B$7:$B$42=DATE(YEAR($E1386),MONTH($E1386),1))))</f>
        <v>0</v>
      </c>
      <c r="U1386" s="1" t="str">
        <f>IF(OR($G1386="",$H1386="Mahsup"),"",$G1386&amp;"|"&amp;COUNTIFS($G$7:$G1386,$G1386,$H$7:$H1386,"&lt;&gt;Mahsup"))</f>
        <v/>
      </c>
    </row>
    <row r="1387" spans="1:21" ht="18" customHeight="1" x14ac:dyDescent="0.3">
      <c r="A1387" s="2"/>
      <c r="B1387" s="65" t="str">
        <f>IF($D1387="","","T"&amp;TEXT(ROW()-6,"00000"))</f>
        <v/>
      </c>
      <c r="C1387" s="65" t="str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61"/>
      <c r="E1387" s="66"/>
      <c r="F1387" s="67"/>
      <c r="G1387" s="60"/>
      <c r="H1387" s="60"/>
      <c r="I1387" s="61"/>
      <c r="J1387" s="61"/>
      <c r="K1387" s="61"/>
      <c r="L1387" s="73" t="str">
        <f>IF($E1387="","",DATE(YEAR($E1387),MONTH($E1387),1))</f>
        <v/>
      </c>
      <c r="M1387" s="65" t="str">
        <f ca="1">IF($D1387="","",IF($C1387="TANIMSIZ MÜŞTERİ","HATA",IF(OR($E1387="",$F1387&lt;=0,$G1387=""),"EKSİK",IF($E1387&gt;TODAY(),"İLERİ TARİH",IF(COUNTIF($S$7:$S$2503,$S1387)&gt;1,"MÜKERRER?",IF($T1387&gt;0,"KAPALI DÖNEM","UYGUN"))))))</f>
        <v/>
      </c>
      <c r="N1387" s="74" t="str">
        <f>IF($C1387="","",IF($C1387="TANIMSIZ MÜŞTERİ","—",INDEX(MUSTERILER!$C$7:$C$156,MATCH($C1387,MUSTERILER!$B$7:$B$156,0))))</f>
        <v/>
      </c>
      <c r="O1387" s="2"/>
      <c r="P1387" s="2"/>
      <c r="Q1387" s="1" t="str">
        <f>IF($D1387="","",$C1387&amp;"|"&amp;COUNTIFS($C$7:$C1387,$C1387))</f>
        <v/>
      </c>
      <c r="R1387" s="1" t="str">
        <f t="shared" si="42"/>
        <v/>
      </c>
      <c r="S1387" s="1" t="str">
        <f t="shared" si="43"/>
        <v/>
      </c>
      <c r="T1387" s="1">
        <f>IF($E1387="",0,SUMPRODUCT((AY_SONU!$O$7:$O$42="Evet")*(AY_SONU!$B$7:$B$42=DATE(YEAR($E1387),MONTH($E1387),1))))</f>
        <v>0</v>
      </c>
      <c r="U1387" s="1" t="str">
        <f>IF(OR($G1387="",$H1387="Mahsup"),"",$G1387&amp;"|"&amp;COUNTIFS($G$7:$G1387,$G1387,$H$7:$H1387,"&lt;&gt;Mahsup"))</f>
        <v/>
      </c>
    </row>
    <row r="1388" spans="1:21" ht="18" customHeight="1" x14ac:dyDescent="0.3">
      <c r="A1388" s="2"/>
      <c r="B1388" s="65" t="str">
        <f>IF($D1388="","","T"&amp;TEXT(ROW()-6,"00000"))</f>
        <v/>
      </c>
      <c r="C1388" s="65" t="str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61"/>
      <c r="E1388" s="66"/>
      <c r="F1388" s="67"/>
      <c r="G1388" s="60"/>
      <c r="H1388" s="60"/>
      <c r="I1388" s="61"/>
      <c r="J1388" s="61"/>
      <c r="K1388" s="61"/>
      <c r="L1388" s="73" t="str">
        <f>IF($E1388="","",DATE(YEAR($E1388),MONTH($E1388),1))</f>
        <v/>
      </c>
      <c r="M1388" s="65" t="str">
        <f ca="1">IF($D1388="","",IF($C1388="TANIMSIZ MÜŞTERİ","HATA",IF(OR($E1388="",$F1388&lt;=0,$G1388=""),"EKSİK",IF($E1388&gt;TODAY(),"İLERİ TARİH",IF(COUNTIF($S$7:$S$2503,$S1388)&gt;1,"MÜKERRER?",IF($T1388&gt;0,"KAPALI DÖNEM","UYGUN"))))))</f>
        <v/>
      </c>
      <c r="N1388" s="74" t="str">
        <f>IF($C1388="","",IF($C1388="TANIMSIZ MÜŞTERİ","—",INDEX(MUSTERILER!$C$7:$C$156,MATCH($C1388,MUSTERILER!$B$7:$B$156,0))))</f>
        <v/>
      </c>
      <c r="O1388" s="2"/>
      <c r="P1388" s="2"/>
      <c r="Q1388" s="1" t="str">
        <f>IF($D1388="","",$C1388&amp;"|"&amp;COUNTIFS($C$7:$C1388,$C1388))</f>
        <v/>
      </c>
      <c r="R1388" s="1" t="str">
        <f t="shared" si="42"/>
        <v/>
      </c>
      <c r="S1388" s="1" t="str">
        <f t="shared" si="43"/>
        <v/>
      </c>
      <c r="T1388" s="1">
        <f>IF($E1388="",0,SUMPRODUCT((AY_SONU!$O$7:$O$42="Evet")*(AY_SONU!$B$7:$B$42=DATE(YEAR($E1388),MONTH($E1388),1))))</f>
        <v>0</v>
      </c>
      <c r="U1388" s="1" t="str">
        <f>IF(OR($G1388="",$H1388="Mahsup"),"",$G1388&amp;"|"&amp;COUNTIFS($G$7:$G1388,$G1388,$H$7:$H1388,"&lt;&gt;Mahsup"))</f>
        <v/>
      </c>
    </row>
    <row r="1389" spans="1:21" ht="18" customHeight="1" x14ac:dyDescent="0.3">
      <c r="A1389" s="2"/>
      <c r="B1389" s="65" t="str">
        <f>IF($D1389="","","T"&amp;TEXT(ROW()-6,"00000"))</f>
        <v/>
      </c>
      <c r="C1389" s="65" t="str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61"/>
      <c r="E1389" s="66"/>
      <c r="F1389" s="67"/>
      <c r="G1389" s="60"/>
      <c r="H1389" s="60"/>
      <c r="I1389" s="61"/>
      <c r="J1389" s="61"/>
      <c r="K1389" s="61"/>
      <c r="L1389" s="73" t="str">
        <f>IF($E1389="","",DATE(YEAR($E1389),MONTH($E1389),1))</f>
        <v/>
      </c>
      <c r="M1389" s="65" t="str">
        <f ca="1">IF($D1389="","",IF($C1389="TANIMSIZ MÜŞTERİ","HATA",IF(OR($E1389="",$F1389&lt;=0,$G1389=""),"EKSİK",IF($E1389&gt;TODAY(),"İLERİ TARİH",IF(COUNTIF($S$7:$S$2503,$S1389)&gt;1,"MÜKERRER?",IF($T1389&gt;0,"KAPALI DÖNEM","UYGUN"))))))</f>
        <v/>
      </c>
      <c r="N1389" s="74" t="str">
        <f>IF($C1389="","",IF($C1389="TANIMSIZ MÜŞTERİ","—",INDEX(MUSTERILER!$C$7:$C$156,MATCH($C1389,MUSTERILER!$B$7:$B$156,0))))</f>
        <v/>
      </c>
      <c r="O1389" s="2"/>
      <c r="P1389" s="2"/>
      <c r="Q1389" s="1" t="str">
        <f>IF($D1389="","",$C1389&amp;"|"&amp;COUNTIFS($C$7:$C1389,$C1389))</f>
        <v/>
      </c>
      <c r="R1389" s="1" t="str">
        <f t="shared" si="42"/>
        <v/>
      </c>
      <c r="S1389" s="1" t="str">
        <f t="shared" si="43"/>
        <v/>
      </c>
      <c r="T1389" s="1">
        <f>IF($E1389="",0,SUMPRODUCT((AY_SONU!$O$7:$O$42="Evet")*(AY_SONU!$B$7:$B$42=DATE(YEAR($E1389),MONTH($E1389),1))))</f>
        <v>0</v>
      </c>
      <c r="U1389" s="1" t="str">
        <f>IF(OR($G1389="",$H1389="Mahsup"),"",$G1389&amp;"|"&amp;COUNTIFS($G$7:$G1389,$G1389,$H$7:$H1389,"&lt;&gt;Mahsup"))</f>
        <v/>
      </c>
    </row>
    <row r="1390" spans="1:21" ht="18" customHeight="1" x14ac:dyDescent="0.3">
      <c r="A1390" s="2"/>
      <c r="B1390" s="65" t="str">
        <f>IF($D1390="","","T"&amp;TEXT(ROW()-6,"00000"))</f>
        <v/>
      </c>
      <c r="C1390" s="65" t="str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61"/>
      <c r="E1390" s="66"/>
      <c r="F1390" s="67"/>
      <c r="G1390" s="60"/>
      <c r="H1390" s="60"/>
      <c r="I1390" s="61"/>
      <c r="J1390" s="61"/>
      <c r="K1390" s="61"/>
      <c r="L1390" s="73" t="str">
        <f>IF($E1390="","",DATE(YEAR($E1390),MONTH($E1390),1))</f>
        <v/>
      </c>
      <c r="M1390" s="65" t="str">
        <f ca="1">IF($D1390="","",IF($C1390="TANIMSIZ MÜŞTERİ","HATA",IF(OR($E1390="",$F1390&lt;=0,$G1390=""),"EKSİK",IF($E1390&gt;TODAY(),"İLERİ TARİH",IF(COUNTIF($S$7:$S$2503,$S1390)&gt;1,"MÜKERRER?",IF($T1390&gt;0,"KAPALI DÖNEM","UYGUN"))))))</f>
        <v/>
      </c>
      <c r="N1390" s="74" t="str">
        <f>IF($C1390="","",IF($C1390="TANIMSIZ MÜŞTERİ","—",INDEX(MUSTERILER!$C$7:$C$156,MATCH($C1390,MUSTERILER!$B$7:$B$156,0))))</f>
        <v/>
      </c>
      <c r="O1390" s="2"/>
      <c r="P1390" s="2"/>
      <c r="Q1390" s="1" t="str">
        <f>IF($D1390="","",$C1390&amp;"|"&amp;COUNTIFS($C$7:$C1390,$C1390))</f>
        <v/>
      </c>
      <c r="R1390" s="1" t="str">
        <f t="shared" si="42"/>
        <v/>
      </c>
      <c r="S1390" s="1" t="str">
        <f t="shared" si="43"/>
        <v/>
      </c>
      <c r="T1390" s="1">
        <f>IF($E1390="",0,SUMPRODUCT((AY_SONU!$O$7:$O$42="Evet")*(AY_SONU!$B$7:$B$42=DATE(YEAR($E1390),MONTH($E1390),1))))</f>
        <v>0</v>
      </c>
      <c r="U1390" s="1" t="str">
        <f>IF(OR($G1390="",$H1390="Mahsup"),"",$G1390&amp;"|"&amp;COUNTIFS($G$7:$G1390,$G1390,$H$7:$H1390,"&lt;&gt;Mahsup"))</f>
        <v/>
      </c>
    </row>
    <row r="1391" spans="1:21" ht="18" customHeight="1" x14ac:dyDescent="0.3">
      <c r="A1391" s="2"/>
      <c r="B1391" s="65" t="str">
        <f>IF($D1391="","","T"&amp;TEXT(ROW()-6,"00000"))</f>
        <v/>
      </c>
      <c r="C1391" s="65" t="str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61"/>
      <c r="E1391" s="66"/>
      <c r="F1391" s="67"/>
      <c r="G1391" s="60"/>
      <c r="H1391" s="60"/>
      <c r="I1391" s="61"/>
      <c r="J1391" s="61"/>
      <c r="K1391" s="61"/>
      <c r="L1391" s="73" t="str">
        <f>IF($E1391="","",DATE(YEAR($E1391),MONTH($E1391),1))</f>
        <v/>
      </c>
      <c r="M1391" s="65" t="str">
        <f ca="1">IF($D1391="","",IF($C1391="TANIMSIZ MÜŞTERİ","HATA",IF(OR($E1391="",$F1391&lt;=0,$G1391=""),"EKSİK",IF($E1391&gt;TODAY(),"İLERİ TARİH",IF(COUNTIF($S$7:$S$2503,$S1391)&gt;1,"MÜKERRER?",IF($T1391&gt;0,"KAPALI DÖNEM","UYGUN"))))))</f>
        <v/>
      </c>
      <c r="N1391" s="74" t="str">
        <f>IF($C1391="","",IF($C1391="TANIMSIZ MÜŞTERİ","—",INDEX(MUSTERILER!$C$7:$C$156,MATCH($C1391,MUSTERILER!$B$7:$B$156,0))))</f>
        <v/>
      </c>
      <c r="O1391" s="2"/>
      <c r="P1391" s="2"/>
      <c r="Q1391" s="1" t="str">
        <f>IF($D1391="","",$C1391&amp;"|"&amp;COUNTIFS($C$7:$C1391,$C1391))</f>
        <v/>
      </c>
      <c r="R1391" s="1" t="str">
        <f t="shared" si="42"/>
        <v/>
      </c>
      <c r="S1391" s="1" t="str">
        <f t="shared" si="43"/>
        <v/>
      </c>
      <c r="T1391" s="1">
        <f>IF($E1391="",0,SUMPRODUCT((AY_SONU!$O$7:$O$42="Evet")*(AY_SONU!$B$7:$B$42=DATE(YEAR($E1391),MONTH($E1391),1))))</f>
        <v>0</v>
      </c>
      <c r="U1391" s="1" t="str">
        <f>IF(OR($G1391="",$H1391="Mahsup"),"",$G1391&amp;"|"&amp;COUNTIFS($G$7:$G1391,$G1391,$H$7:$H1391,"&lt;&gt;Mahsup"))</f>
        <v/>
      </c>
    </row>
    <row r="1392" spans="1:21" ht="18" customHeight="1" x14ac:dyDescent="0.3">
      <c r="A1392" s="2"/>
      <c r="B1392" s="65" t="str">
        <f>IF($D1392="","","T"&amp;TEXT(ROW()-6,"00000"))</f>
        <v/>
      </c>
      <c r="C1392" s="65" t="str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61"/>
      <c r="E1392" s="66"/>
      <c r="F1392" s="67"/>
      <c r="G1392" s="60"/>
      <c r="H1392" s="60"/>
      <c r="I1392" s="61"/>
      <c r="J1392" s="61"/>
      <c r="K1392" s="61"/>
      <c r="L1392" s="73" t="str">
        <f>IF($E1392="","",DATE(YEAR($E1392),MONTH($E1392),1))</f>
        <v/>
      </c>
      <c r="M1392" s="65" t="str">
        <f ca="1">IF($D1392="","",IF($C1392="TANIMSIZ MÜŞTERİ","HATA",IF(OR($E1392="",$F1392&lt;=0,$G1392=""),"EKSİK",IF($E1392&gt;TODAY(),"İLERİ TARİH",IF(COUNTIF($S$7:$S$2503,$S1392)&gt;1,"MÜKERRER?",IF($T1392&gt;0,"KAPALI DÖNEM","UYGUN"))))))</f>
        <v/>
      </c>
      <c r="N1392" s="74" t="str">
        <f>IF($C1392="","",IF($C1392="TANIMSIZ MÜŞTERİ","—",INDEX(MUSTERILER!$C$7:$C$156,MATCH($C1392,MUSTERILER!$B$7:$B$156,0))))</f>
        <v/>
      </c>
      <c r="O1392" s="2"/>
      <c r="P1392" s="2"/>
      <c r="Q1392" s="1" t="str">
        <f>IF($D1392="","",$C1392&amp;"|"&amp;COUNTIFS($C$7:$C1392,$C1392))</f>
        <v/>
      </c>
      <c r="R1392" s="1" t="str">
        <f t="shared" si="42"/>
        <v/>
      </c>
      <c r="S1392" s="1" t="str">
        <f t="shared" si="43"/>
        <v/>
      </c>
      <c r="T1392" s="1">
        <f>IF($E1392="",0,SUMPRODUCT((AY_SONU!$O$7:$O$42="Evet")*(AY_SONU!$B$7:$B$42=DATE(YEAR($E1392),MONTH($E1392),1))))</f>
        <v>0</v>
      </c>
      <c r="U1392" s="1" t="str">
        <f>IF(OR($G1392="",$H1392="Mahsup"),"",$G1392&amp;"|"&amp;COUNTIFS($G$7:$G1392,$G1392,$H$7:$H1392,"&lt;&gt;Mahsup"))</f>
        <v/>
      </c>
    </row>
    <row r="1393" spans="1:21" ht="18" customHeight="1" x14ac:dyDescent="0.3">
      <c r="A1393" s="2"/>
      <c r="B1393" s="65" t="str">
        <f>IF($D1393="","","T"&amp;TEXT(ROW()-6,"00000"))</f>
        <v/>
      </c>
      <c r="C1393" s="65" t="str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61"/>
      <c r="E1393" s="66"/>
      <c r="F1393" s="67"/>
      <c r="G1393" s="60"/>
      <c r="H1393" s="60"/>
      <c r="I1393" s="61"/>
      <c r="J1393" s="61"/>
      <c r="K1393" s="61"/>
      <c r="L1393" s="73" t="str">
        <f>IF($E1393="","",DATE(YEAR($E1393),MONTH($E1393),1))</f>
        <v/>
      </c>
      <c r="M1393" s="65" t="str">
        <f ca="1">IF($D1393="","",IF($C1393="TANIMSIZ MÜŞTERİ","HATA",IF(OR($E1393="",$F1393&lt;=0,$G1393=""),"EKSİK",IF($E1393&gt;TODAY(),"İLERİ TARİH",IF(COUNTIF($S$7:$S$2503,$S1393)&gt;1,"MÜKERRER?",IF($T1393&gt;0,"KAPALI DÖNEM","UYGUN"))))))</f>
        <v/>
      </c>
      <c r="N1393" s="74" t="str">
        <f>IF($C1393="","",IF($C1393="TANIMSIZ MÜŞTERİ","—",INDEX(MUSTERILER!$C$7:$C$156,MATCH($C1393,MUSTERILER!$B$7:$B$156,0))))</f>
        <v/>
      </c>
      <c r="O1393" s="2"/>
      <c r="P1393" s="2"/>
      <c r="Q1393" s="1" t="str">
        <f>IF($D1393="","",$C1393&amp;"|"&amp;COUNTIFS($C$7:$C1393,$C1393))</f>
        <v/>
      </c>
      <c r="R1393" s="1" t="str">
        <f t="shared" si="42"/>
        <v/>
      </c>
      <c r="S1393" s="1" t="str">
        <f t="shared" si="43"/>
        <v/>
      </c>
      <c r="T1393" s="1">
        <f>IF($E1393="",0,SUMPRODUCT((AY_SONU!$O$7:$O$42="Evet")*(AY_SONU!$B$7:$B$42=DATE(YEAR($E1393),MONTH($E1393),1))))</f>
        <v>0</v>
      </c>
      <c r="U1393" s="1" t="str">
        <f>IF(OR($G1393="",$H1393="Mahsup"),"",$G1393&amp;"|"&amp;COUNTIFS($G$7:$G1393,$G1393,$H$7:$H1393,"&lt;&gt;Mahsup"))</f>
        <v/>
      </c>
    </row>
    <row r="1394" spans="1:21" ht="18" customHeight="1" x14ac:dyDescent="0.3">
      <c r="A1394" s="2"/>
      <c r="B1394" s="65" t="str">
        <f>IF($D1394="","","T"&amp;TEXT(ROW()-6,"00000"))</f>
        <v/>
      </c>
      <c r="C1394" s="65" t="str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61"/>
      <c r="E1394" s="66"/>
      <c r="F1394" s="67"/>
      <c r="G1394" s="60"/>
      <c r="H1394" s="60"/>
      <c r="I1394" s="61"/>
      <c r="J1394" s="61"/>
      <c r="K1394" s="61"/>
      <c r="L1394" s="73" t="str">
        <f>IF($E1394="","",DATE(YEAR($E1394),MONTH($E1394),1))</f>
        <v/>
      </c>
      <c r="M1394" s="65" t="str">
        <f ca="1">IF($D1394="","",IF($C1394="TANIMSIZ MÜŞTERİ","HATA",IF(OR($E1394="",$F1394&lt;=0,$G1394=""),"EKSİK",IF($E1394&gt;TODAY(),"İLERİ TARİH",IF(COUNTIF($S$7:$S$2503,$S1394)&gt;1,"MÜKERRER?",IF($T1394&gt;0,"KAPALI DÖNEM","UYGUN"))))))</f>
        <v/>
      </c>
      <c r="N1394" s="74" t="str">
        <f>IF($C1394="","",IF($C1394="TANIMSIZ MÜŞTERİ","—",INDEX(MUSTERILER!$C$7:$C$156,MATCH($C1394,MUSTERILER!$B$7:$B$156,0))))</f>
        <v/>
      </c>
      <c r="O1394" s="2"/>
      <c r="P1394" s="2"/>
      <c r="Q1394" s="1" t="str">
        <f>IF($D1394="","",$C1394&amp;"|"&amp;COUNTIFS($C$7:$C1394,$C1394))</f>
        <v/>
      </c>
      <c r="R1394" s="1" t="str">
        <f t="shared" si="42"/>
        <v/>
      </c>
      <c r="S1394" s="1" t="str">
        <f t="shared" si="43"/>
        <v/>
      </c>
      <c r="T1394" s="1">
        <f>IF($E1394="",0,SUMPRODUCT((AY_SONU!$O$7:$O$42="Evet")*(AY_SONU!$B$7:$B$42=DATE(YEAR($E1394),MONTH($E1394),1))))</f>
        <v>0</v>
      </c>
      <c r="U1394" s="1" t="str">
        <f>IF(OR($G1394="",$H1394="Mahsup"),"",$G1394&amp;"|"&amp;COUNTIFS($G$7:$G1394,$G1394,$H$7:$H1394,"&lt;&gt;Mahsup"))</f>
        <v/>
      </c>
    </row>
    <row r="1395" spans="1:21" ht="18" customHeight="1" x14ac:dyDescent="0.3">
      <c r="A1395" s="2"/>
      <c r="B1395" s="65" t="str">
        <f>IF($D1395="","","T"&amp;TEXT(ROW()-6,"00000"))</f>
        <v/>
      </c>
      <c r="C1395" s="65" t="str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61"/>
      <c r="E1395" s="66"/>
      <c r="F1395" s="67"/>
      <c r="G1395" s="60"/>
      <c r="H1395" s="60"/>
      <c r="I1395" s="61"/>
      <c r="J1395" s="61"/>
      <c r="K1395" s="61"/>
      <c r="L1395" s="73" t="str">
        <f>IF($E1395="","",DATE(YEAR($E1395),MONTH($E1395),1))</f>
        <v/>
      </c>
      <c r="M1395" s="65" t="str">
        <f ca="1">IF($D1395="","",IF($C1395="TANIMSIZ MÜŞTERİ","HATA",IF(OR($E1395="",$F1395&lt;=0,$G1395=""),"EKSİK",IF($E1395&gt;TODAY(),"İLERİ TARİH",IF(COUNTIF($S$7:$S$2503,$S1395)&gt;1,"MÜKERRER?",IF($T1395&gt;0,"KAPALI DÖNEM","UYGUN"))))))</f>
        <v/>
      </c>
      <c r="N1395" s="74" t="str">
        <f>IF($C1395="","",IF($C1395="TANIMSIZ MÜŞTERİ","—",INDEX(MUSTERILER!$C$7:$C$156,MATCH($C1395,MUSTERILER!$B$7:$B$156,0))))</f>
        <v/>
      </c>
      <c r="O1395" s="2"/>
      <c r="P1395" s="2"/>
      <c r="Q1395" s="1" t="str">
        <f>IF($D1395="","",$C1395&amp;"|"&amp;COUNTIFS($C$7:$C1395,$C1395))</f>
        <v/>
      </c>
      <c r="R1395" s="1" t="str">
        <f t="shared" si="42"/>
        <v/>
      </c>
      <c r="S1395" s="1" t="str">
        <f t="shared" si="43"/>
        <v/>
      </c>
      <c r="T1395" s="1">
        <f>IF($E1395="",0,SUMPRODUCT((AY_SONU!$O$7:$O$42="Evet")*(AY_SONU!$B$7:$B$42=DATE(YEAR($E1395),MONTH($E1395),1))))</f>
        <v>0</v>
      </c>
      <c r="U1395" s="1" t="str">
        <f>IF(OR($G1395="",$H1395="Mahsup"),"",$G1395&amp;"|"&amp;COUNTIFS($G$7:$G1395,$G1395,$H$7:$H1395,"&lt;&gt;Mahsup"))</f>
        <v/>
      </c>
    </row>
    <row r="1396" spans="1:21" ht="18" customHeight="1" x14ac:dyDescent="0.3">
      <c r="A1396" s="2"/>
      <c r="B1396" s="65" t="str">
        <f>IF($D1396="","","T"&amp;TEXT(ROW()-6,"00000"))</f>
        <v/>
      </c>
      <c r="C1396" s="65" t="str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61"/>
      <c r="E1396" s="66"/>
      <c r="F1396" s="67"/>
      <c r="G1396" s="60"/>
      <c r="H1396" s="60"/>
      <c r="I1396" s="61"/>
      <c r="J1396" s="61"/>
      <c r="K1396" s="61"/>
      <c r="L1396" s="73" t="str">
        <f>IF($E1396="","",DATE(YEAR($E1396),MONTH($E1396),1))</f>
        <v/>
      </c>
      <c r="M1396" s="65" t="str">
        <f ca="1">IF($D1396="","",IF($C1396="TANIMSIZ MÜŞTERİ","HATA",IF(OR($E1396="",$F1396&lt;=0,$G1396=""),"EKSİK",IF($E1396&gt;TODAY(),"İLERİ TARİH",IF(COUNTIF($S$7:$S$2503,$S1396)&gt;1,"MÜKERRER?",IF($T1396&gt;0,"KAPALI DÖNEM","UYGUN"))))))</f>
        <v/>
      </c>
      <c r="N1396" s="74" t="str">
        <f>IF($C1396="","",IF($C1396="TANIMSIZ MÜŞTERİ","—",INDEX(MUSTERILER!$C$7:$C$156,MATCH($C1396,MUSTERILER!$B$7:$B$156,0))))</f>
        <v/>
      </c>
      <c r="O1396" s="2"/>
      <c r="P1396" s="2"/>
      <c r="Q1396" s="1" t="str">
        <f>IF($D1396="","",$C1396&amp;"|"&amp;COUNTIFS($C$7:$C1396,$C1396))</f>
        <v/>
      </c>
      <c r="R1396" s="1" t="str">
        <f t="shared" si="42"/>
        <v/>
      </c>
      <c r="S1396" s="1" t="str">
        <f t="shared" si="43"/>
        <v/>
      </c>
      <c r="T1396" s="1">
        <f>IF($E1396="",0,SUMPRODUCT((AY_SONU!$O$7:$O$42="Evet")*(AY_SONU!$B$7:$B$42=DATE(YEAR($E1396),MONTH($E1396),1))))</f>
        <v>0</v>
      </c>
      <c r="U1396" s="1" t="str">
        <f>IF(OR($G1396="",$H1396="Mahsup"),"",$G1396&amp;"|"&amp;COUNTIFS($G$7:$G1396,$G1396,$H$7:$H1396,"&lt;&gt;Mahsup"))</f>
        <v/>
      </c>
    </row>
    <row r="1397" spans="1:21" ht="18" customHeight="1" x14ac:dyDescent="0.3">
      <c r="A1397" s="2"/>
      <c r="B1397" s="65" t="str">
        <f>IF($D1397="","","T"&amp;TEXT(ROW()-6,"00000"))</f>
        <v/>
      </c>
      <c r="C1397" s="65" t="str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61"/>
      <c r="E1397" s="66"/>
      <c r="F1397" s="67"/>
      <c r="G1397" s="60"/>
      <c r="H1397" s="60"/>
      <c r="I1397" s="61"/>
      <c r="J1397" s="61"/>
      <c r="K1397" s="61"/>
      <c r="L1397" s="73" t="str">
        <f>IF($E1397="","",DATE(YEAR($E1397),MONTH($E1397),1))</f>
        <v/>
      </c>
      <c r="M1397" s="65" t="str">
        <f ca="1">IF($D1397="","",IF($C1397="TANIMSIZ MÜŞTERİ","HATA",IF(OR($E1397="",$F1397&lt;=0,$G1397=""),"EKSİK",IF($E1397&gt;TODAY(),"İLERİ TARİH",IF(COUNTIF($S$7:$S$2503,$S1397)&gt;1,"MÜKERRER?",IF($T1397&gt;0,"KAPALI DÖNEM","UYGUN"))))))</f>
        <v/>
      </c>
      <c r="N1397" s="74" t="str">
        <f>IF($C1397="","",IF($C1397="TANIMSIZ MÜŞTERİ","—",INDEX(MUSTERILER!$C$7:$C$156,MATCH($C1397,MUSTERILER!$B$7:$B$156,0))))</f>
        <v/>
      </c>
      <c r="O1397" s="2"/>
      <c r="P1397" s="2"/>
      <c r="Q1397" s="1" t="str">
        <f>IF($D1397="","",$C1397&amp;"|"&amp;COUNTIFS($C$7:$C1397,$C1397))</f>
        <v/>
      </c>
      <c r="R1397" s="1" t="str">
        <f t="shared" si="42"/>
        <v/>
      </c>
      <c r="S1397" s="1" t="str">
        <f t="shared" si="43"/>
        <v/>
      </c>
      <c r="T1397" s="1">
        <f>IF($E1397="",0,SUMPRODUCT((AY_SONU!$O$7:$O$42="Evet")*(AY_SONU!$B$7:$B$42=DATE(YEAR($E1397),MONTH($E1397),1))))</f>
        <v>0</v>
      </c>
      <c r="U1397" s="1" t="str">
        <f>IF(OR($G1397="",$H1397="Mahsup"),"",$G1397&amp;"|"&amp;COUNTIFS($G$7:$G1397,$G1397,$H$7:$H1397,"&lt;&gt;Mahsup"))</f>
        <v/>
      </c>
    </row>
    <row r="1398" spans="1:21" ht="18" customHeight="1" x14ac:dyDescent="0.3">
      <c r="A1398" s="2"/>
      <c r="B1398" s="65" t="str">
        <f>IF($D1398="","","T"&amp;TEXT(ROW()-6,"00000"))</f>
        <v/>
      </c>
      <c r="C1398" s="65" t="str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61"/>
      <c r="E1398" s="66"/>
      <c r="F1398" s="67"/>
      <c r="G1398" s="60"/>
      <c r="H1398" s="60"/>
      <c r="I1398" s="61"/>
      <c r="J1398" s="61"/>
      <c r="K1398" s="61"/>
      <c r="L1398" s="73" t="str">
        <f>IF($E1398="","",DATE(YEAR($E1398),MONTH($E1398),1))</f>
        <v/>
      </c>
      <c r="M1398" s="65" t="str">
        <f ca="1">IF($D1398="","",IF($C1398="TANIMSIZ MÜŞTERİ","HATA",IF(OR($E1398="",$F1398&lt;=0,$G1398=""),"EKSİK",IF($E1398&gt;TODAY(),"İLERİ TARİH",IF(COUNTIF($S$7:$S$2503,$S1398)&gt;1,"MÜKERRER?",IF($T1398&gt;0,"KAPALI DÖNEM","UYGUN"))))))</f>
        <v/>
      </c>
      <c r="N1398" s="74" t="str">
        <f>IF($C1398="","",IF($C1398="TANIMSIZ MÜŞTERİ","—",INDEX(MUSTERILER!$C$7:$C$156,MATCH($C1398,MUSTERILER!$B$7:$B$156,0))))</f>
        <v/>
      </c>
      <c r="O1398" s="2"/>
      <c r="P1398" s="2"/>
      <c r="Q1398" s="1" t="str">
        <f>IF($D1398="","",$C1398&amp;"|"&amp;COUNTIFS($C$7:$C1398,$C1398))</f>
        <v/>
      </c>
      <c r="R1398" s="1" t="str">
        <f t="shared" si="42"/>
        <v/>
      </c>
      <c r="S1398" s="1" t="str">
        <f t="shared" si="43"/>
        <v/>
      </c>
      <c r="T1398" s="1">
        <f>IF($E1398="",0,SUMPRODUCT((AY_SONU!$O$7:$O$42="Evet")*(AY_SONU!$B$7:$B$42=DATE(YEAR($E1398),MONTH($E1398),1))))</f>
        <v>0</v>
      </c>
      <c r="U1398" s="1" t="str">
        <f>IF(OR($G1398="",$H1398="Mahsup"),"",$G1398&amp;"|"&amp;COUNTIFS($G$7:$G1398,$G1398,$H$7:$H1398,"&lt;&gt;Mahsup"))</f>
        <v/>
      </c>
    </row>
    <row r="1399" spans="1:21" ht="18" customHeight="1" x14ac:dyDescent="0.3">
      <c r="A1399" s="2"/>
      <c r="B1399" s="65" t="str">
        <f>IF($D1399="","","T"&amp;TEXT(ROW()-6,"00000"))</f>
        <v/>
      </c>
      <c r="C1399" s="65" t="str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61"/>
      <c r="E1399" s="66"/>
      <c r="F1399" s="67"/>
      <c r="G1399" s="60"/>
      <c r="H1399" s="60"/>
      <c r="I1399" s="61"/>
      <c r="J1399" s="61"/>
      <c r="K1399" s="61"/>
      <c r="L1399" s="73" t="str">
        <f>IF($E1399="","",DATE(YEAR($E1399),MONTH($E1399),1))</f>
        <v/>
      </c>
      <c r="M1399" s="65" t="str">
        <f ca="1">IF($D1399="","",IF($C1399="TANIMSIZ MÜŞTERİ","HATA",IF(OR($E1399="",$F1399&lt;=0,$G1399=""),"EKSİK",IF($E1399&gt;TODAY(),"İLERİ TARİH",IF(COUNTIF($S$7:$S$2503,$S1399)&gt;1,"MÜKERRER?",IF($T1399&gt;0,"KAPALI DÖNEM","UYGUN"))))))</f>
        <v/>
      </c>
      <c r="N1399" s="74" t="str">
        <f>IF($C1399="","",IF($C1399="TANIMSIZ MÜŞTERİ","—",INDEX(MUSTERILER!$C$7:$C$156,MATCH($C1399,MUSTERILER!$B$7:$B$156,0))))</f>
        <v/>
      </c>
      <c r="O1399" s="2"/>
      <c r="P1399" s="2"/>
      <c r="Q1399" s="1" t="str">
        <f>IF($D1399="","",$C1399&amp;"|"&amp;COUNTIFS($C$7:$C1399,$C1399))</f>
        <v/>
      </c>
      <c r="R1399" s="1" t="str">
        <f t="shared" si="42"/>
        <v/>
      </c>
      <c r="S1399" s="1" t="str">
        <f t="shared" si="43"/>
        <v/>
      </c>
      <c r="T1399" s="1">
        <f>IF($E1399="",0,SUMPRODUCT((AY_SONU!$O$7:$O$42="Evet")*(AY_SONU!$B$7:$B$42=DATE(YEAR($E1399),MONTH($E1399),1))))</f>
        <v>0</v>
      </c>
      <c r="U1399" s="1" t="str">
        <f>IF(OR($G1399="",$H1399="Mahsup"),"",$G1399&amp;"|"&amp;COUNTIFS($G$7:$G1399,$G1399,$H$7:$H1399,"&lt;&gt;Mahsup"))</f>
        <v/>
      </c>
    </row>
    <row r="1400" spans="1:21" ht="18" customHeight="1" x14ac:dyDescent="0.3">
      <c r="A1400" s="2"/>
      <c r="B1400" s="65" t="str">
        <f>IF($D1400="","","T"&amp;TEXT(ROW()-6,"00000"))</f>
        <v/>
      </c>
      <c r="C1400" s="65" t="str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61"/>
      <c r="E1400" s="66"/>
      <c r="F1400" s="67"/>
      <c r="G1400" s="60"/>
      <c r="H1400" s="60"/>
      <c r="I1400" s="61"/>
      <c r="J1400" s="61"/>
      <c r="K1400" s="61"/>
      <c r="L1400" s="73" t="str">
        <f>IF($E1400="","",DATE(YEAR($E1400),MONTH($E1400),1))</f>
        <v/>
      </c>
      <c r="M1400" s="65" t="str">
        <f ca="1">IF($D1400="","",IF($C1400="TANIMSIZ MÜŞTERİ","HATA",IF(OR($E1400="",$F1400&lt;=0,$G1400=""),"EKSİK",IF($E1400&gt;TODAY(),"İLERİ TARİH",IF(COUNTIF($S$7:$S$2503,$S1400)&gt;1,"MÜKERRER?",IF($T1400&gt;0,"KAPALI DÖNEM","UYGUN"))))))</f>
        <v/>
      </c>
      <c r="N1400" s="74" t="str">
        <f>IF($C1400="","",IF($C1400="TANIMSIZ MÜŞTERİ","—",INDEX(MUSTERILER!$C$7:$C$156,MATCH($C1400,MUSTERILER!$B$7:$B$156,0))))</f>
        <v/>
      </c>
      <c r="O1400" s="2"/>
      <c r="P1400" s="2"/>
      <c r="Q1400" s="1" t="str">
        <f>IF($D1400="","",$C1400&amp;"|"&amp;COUNTIFS($C$7:$C1400,$C1400))</f>
        <v/>
      </c>
      <c r="R1400" s="1" t="str">
        <f t="shared" si="42"/>
        <v/>
      </c>
      <c r="S1400" s="1" t="str">
        <f t="shared" si="43"/>
        <v/>
      </c>
      <c r="T1400" s="1">
        <f>IF($E1400="",0,SUMPRODUCT((AY_SONU!$O$7:$O$42="Evet")*(AY_SONU!$B$7:$B$42=DATE(YEAR($E1400),MONTH($E1400),1))))</f>
        <v>0</v>
      </c>
      <c r="U1400" s="1" t="str">
        <f>IF(OR($G1400="",$H1400="Mahsup"),"",$G1400&amp;"|"&amp;COUNTIFS($G$7:$G1400,$G1400,$H$7:$H1400,"&lt;&gt;Mahsup"))</f>
        <v/>
      </c>
    </row>
    <row r="1401" spans="1:21" ht="18" customHeight="1" x14ac:dyDescent="0.3">
      <c r="A1401" s="2"/>
      <c r="B1401" s="65" t="str">
        <f>IF($D1401="","","T"&amp;TEXT(ROW()-6,"00000"))</f>
        <v/>
      </c>
      <c r="C1401" s="65" t="str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61"/>
      <c r="E1401" s="66"/>
      <c r="F1401" s="67"/>
      <c r="G1401" s="60"/>
      <c r="H1401" s="60"/>
      <c r="I1401" s="61"/>
      <c r="J1401" s="61"/>
      <c r="K1401" s="61"/>
      <c r="L1401" s="73" t="str">
        <f>IF($E1401="","",DATE(YEAR($E1401),MONTH($E1401),1))</f>
        <v/>
      </c>
      <c r="M1401" s="65" t="str">
        <f ca="1">IF($D1401="","",IF($C1401="TANIMSIZ MÜŞTERİ","HATA",IF(OR($E1401="",$F1401&lt;=0,$G1401=""),"EKSİK",IF($E1401&gt;TODAY(),"İLERİ TARİH",IF(COUNTIF($S$7:$S$2503,$S1401)&gt;1,"MÜKERRER?",IF($T1401&gt;0,"KAPALI DÖNEM","UYGUN"))))))</f>
        <v/>
      </c>
      <c r="N1401" s="74" t="str">
        <f>IF($C1401="","",IF($C1401="TANIMSIZ MÜŞTERİ","—",INDEX(MUSTERILER!$C$7:$C$156,MATCH($C1401,MUSTERILER!$B$7:$B$156,0))))</f>
        <v/>
      </c>
      <c r="O1401" s="2"/>
      <c r="P1401" s="2"/>
      <c r="Q1401" s="1" t="str">
        <f>IF($D1401="","",$C1401&amp;"|"&amp;COUNTIFS($C$7:$C1401,$C1401))</f>
        <v/>
      </c>
      <c r="R1401" s="1" t="str">
        <f t="shared" si="42"/>
        <v/>
      </c>
      <c r="S1401" s="1" t="str">
        <f t="shared" si="43"/>
        <v/>
      </c>
      <c r="T1401" s="1">
        <f>IF($E1401="",0,SUMPRODUCT((AY_SONU!$O$7:$O$42="Evet")*(AY_SONU!$B$7:$B$42=DATE(YEAR($E1401),MONTH($E1401),1))))</f>
        <v>0</v>
      </c>
      <c r="U1401" s="1" t="str">
        <f>IF(OR($G1401="",$H1401="Mahsup"),"",$G1401&amp;"|"&amp;COUNTIFS($G$7:$G1401,$G1401,$H$7:$H1401,"&lt;&gt;Mahsup"))</f>
        <v/>
      </c>
    </row>
    <row r="1402" spans="1:21" ht="18" customHeight="1" x14ac:dyDescent="0.3">
      <c r="A1402" s="2"/>
      <c r="B1402" s="65" t="str">
        <f>IF($D1402="","","T"&amp;TEXT(ROW()-6,"00000"))</f>
        <v/>
      </c>
      <c r="C1402" s="65" t="str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61"/>
      <c r="E1402" s="66"/>
      <c r="F1402" s="67"/>
      <c r="G1402" s="60"/>
      <c r="H1402" s="60"/>
      <c r="I1402" s="61"/>
      <c r="J1402" s="61"/>
      <c r="K1402" s="61"/>
      <c r="L1402" s="73" t="str">
        <f>IF($E1402="","",DATE(YEAR($E1402),MONTH($E1402),1))</f>
        <v/>
      </c>
      <c r="M1402" s="65" t="str">
        <f ca="1">IF($D1402="","",IF($C1402="TANIMSIZ MÜŞTERİ","HATA",IF(OR($E1402="",$F1402&lt;=0,$G1402=""),"EKSİK",IF($E1402&gt;TODAY(),"İLERİ TARİH",IF(COUNTIF($S$7:$S$2503,$S1402)&gt;1,"MÜKERRER?",IF($T1402&gt;0,"KAPALI DÖNEM","UYGUN"))))))</f>
        <v/>
      </c>
      <c r="N1402" s="74" t="str">
        <f>IF($C1402="","",IF($C1402="TANIMSIZ MÜŞTERİ","—",INDEX(MUSTERILER!$C$7:$C$156,MATCH($C1402,MUSTERILER!$B$7:$B$156,0))))</f>
        <v/>
      </c>
      <c r="O1402" s="2"/>
      <c r="P1402" s="2"/>
      <c r="Q1402" s="1" t="str">
        <f>IF($D1402="","",$C1402&amp;"|"&amp;COUNTIFS($C$7:$C1402,$C1402))</f>
        <v/>
      </c>
      <c r="R1402" s="1" t="str">
        <f t="shared" si="42"/>
        <v/>
      </c>
      <c r="S1402" s="1" t="str">
        <f t="shared" si="43"/>
        <v/>
      </c>
      <c r="T1402" s="1">
        <f>IF($E1402="",0,SUMPRODUCT((AY_SONU!$O$7:$O$42="Evet")*(AY_SONU!$B$7:$B$42=DATE(YEAR($E1402),MONTH($E1402),1))))</f>
        <v>0</v>
      </c>
      <c r="U1402" s="1" t="str">
        <f>IF(OR($G1402="",$H1402="Mahsup"),"",$G1402&amp;"|"&amp;COUNTIFS($G$7:$G1402,$G1402,$H$7:$H1402,"&lt;&gt;Mahsup"))</f>
        <v/>
      </c>
    </row>
    <row r="1403" spans="1:21" ht="18" customHeight="1" x14ac:dyDescent="0.3">
      <c r="A1403" s="2"/>
      <c r="B1403" s="65" t="str">
        <f>IF($D1403="","","T"&amp;TEXT(ROW()-6,"00000"))</f>
        <v/>
      </c>
      <c r="C1403" s="65" t="str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61"/>
      <c r="E1403" s="66"/>
      <c r="F1403" s="67"/>
      <c r="G1403" s="60"/>
      <c r="H1403" s="60"/>
      <c r="I1403" s="61"/>
      <c r="J1403" s="61"/>
      <c r="K1403" s="61"/>
      <c r="L1403" s="73" t="str">
        <f>IF($E1403="","",DATE(YEAR($E1403),MONTH($E1403),1))</f>
        <v/>
      </c>
      <c r="M1403" s="65" t="str">
        <f ca="1">IF($D1403="","",IF($C1403="TANIMSIZ MÜŞTERİ","HATA",IF(OR($E1403="",$F1403&lt;=0,$G1403=""),"EKSİK",IF($E1403&gt;TODAY(),"İLERİ TARİH",IF(COUNTIF($S$7:$S$2503,$S1403)&gt;1,"MÜKERRER?",IF($T1403&gt;0,"KAPALI DÖNEM","UYGUN"))))))</f>
        <v/>
      </c>
      <c r="N1403" s="74" t="str">
        <f>IF($C1403="","",IF($C1403="TANIMSIZ MÜŞTERİ","—",INDEX(MUSTERILER!$C$7:$C$156,MATCH($C1403,MUSTERILER!$B$7:$B$156,0))))</f>
        <v/>
      </c>
      <c r="O1403" s="2"/>
      <c r="P1403" s="2"/>
      <c r="Q1403" s="1" t="str">
        <f>IF($D1403="","",$C1403&amp;"|"&amp;COUNTIFS($C$7:$C1403,$C1403))</f>
        <v/>
      </c>
      <c r="R1403" s="1" t="str">
        <f t="shared" si="42"/>
        <v/>
      </c>
      <c r="S1403" s="1" t="str">
        <f t="shared" si="43"/>
        <v/>
      </c>
      <c r="T1403" s="1">
        <f>IF($E1403="",0,SUMPRODUCT((AY_SONU!$O$7:$O$42="Evet")*(AY_SONU!$B$7:$B$42=DATE(YEAR($E1403),MONTH($E1403),1))))</f>
        <v>0</v>
      </c>
      <c r="U1403" s="1" t="str">
        <f>IF(OR($G1403="",$H1403="Mahsup"),"",$G1403&amp;"|"&amp;COUNTIFS($G$7:$G1403,$G1403,$H$7:$H1403,"&lt;&gt;Mahsup"))</f>
        <v/>
      </c>
    </row>
    <row r="1404" spans="1:21" ht="18" customHeight="1" x14ac:dyDescent="0.3">
      <c r="A1404" s="2"/>
      <c r="B1404" s="65" t="str">
        <f>IF($D1404="","","T"&amp;TEXT(ROW()-6,"00000"))</f>
        <v/>
      </c>
      <c r="C1404" s="65" t="str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61"/>
      <c r="E1404" s="66"/>
      <c r="F1404" s="67"/>
      <c r="G1404" s="60"/>
      <c r="H1404" s="60"/>
      <c r="I1404" s="61"/>
      <c r="J1404" s="61"/>
      <c r="K1404" s="61"/>
      <c r="L1404" s="73" t="str">
        <f>IF($E1404="","",DATE(YEAR($E1404),MONTH($E1404),1))</f>
        <v/>
      </c>
      <c r="M1404" s="65" t="str">
        <f ca="1">IF($D1404="","",IF($C1404="TANIMSIZ MÜŞTERİ","HATA",IF(OR($E1404="",$F1404&lt;=0,$G1404=""),"EKSİK",IF($E1404&gt;TODAY(),"İLERİ TARİH",IF(COUNTIF($S$7:$S$2503,$S1404)&gt;1,"MÜKERRER?",IF($T1404&gt;0,"KAPALI DÖNEM","UYGUN"))))))</f>
        <v/>
      </c>
      <c r="N1404" s="74" t="str">
        <f>IF($C1404="","",IF($C1404="TANIMSIZ MÜŞTERİ","—",INDEX(MUSTERILER!$C$7:$C$156,MATCH($C1404,MUSTERILER!$B$7:$B$156,0))))</f>
        <v/>
      </c>
      <c r="O1404" s="2"/>
      <c r="P1404" s="2"/>
      <c r="Q1404" s="1" t="str">
        <f>IF($D1404="","",$C1404&amp;"|"&amp;COUNTIFS($C$7:$C1404,$C1404))</f>
        <v/>
      </c>
      <c r="R1404" s="1" t="str">
        <f t="shared" si="42"/>
        <v/>
      </c>
      <c r="S1404" s="1" t="str">
        <f t="shared" si="43"/>
        <v/>
      </c>
      <c r="T1404" s="1">
        <f>IF($E1404="",0,SUMPRODUCT((AY_SONU!$O$7:$O$42="Evet")*(AY_SONU!$B$7:$B$42=DATE(YEAR($E1404),MONTH($E1404),1))))</f>
        <v>0</v>
      </c>
      <c r="U1404" s="1" t="str">
        <f>IF(OR($G1404="",$H1404="Mahsup"),"",$G1404&amp;"|"&amp;COUNTIFS($G$7:$G1404,$G1404,$H$7:$H1404,"&lt;&gt;Mahsup"))</f>
        <v/>
      </c>
    </row>
    <row r="1405" spans="1:21" ht="18" customHeight="1" x14ac:dyDescent="0.3">
      <c r="A1405" s="2"/>
      <c r="B1405" s="65" t="str">
        <f>IF($D1405="","","T"&amp;TEXT(ROW()-6,"00000"))</f>
        <v/>
      </c>
      <c r="C1405" s="65" t="str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61"/>
      <c r="E1405" s="66"/>
      <c r="F1405" s="67"/>
      <c r="G1405" s="60"/>
      <c r="H1405" s="60"/>
      <c r="I1405" s="61"/>
      <c r="J1405" s="61"/>
      <c r="K1405" s="61"/>
      <c r="L1405" s="73" t="str">
        <f>IF($E1405="","",DATE(YEAR($E1405),MONTH($E1405),1))</f>
        <v/>
      </c>
      <c r="M1405" s="65" t="str">
        <f ca="1">IF($D1405="","",IF($C1405="TANIMSIZ MÜŞTERİ","HATA",IF(OR($E1405="",$F1405&lt;=0,$G1405=""),"EKSİK",IF($E1405&gt;TODAY(),"İLERİ TARİH",IF(COUNTIF($S$7:$S$2503,$S1405)&gt;1,"MÜKERRER?",IF($T1405&gt;0,"KAPALI DÖNEM","UYGUN"))))))</f>
        <v/>
      </c>
      <c r="N1405" s="74" t="str">
        <f>IF($C1405="","",IF($C1405="TANIMSIZ MÜŞTERİ","—",INDEX(MUSTERILER!$C$7:$C$156,MATCH($C1405,MUSTERILER!$B$7:$B$156,0))))</f>
        <v/>
      </c>
      <c r="O1405" s="2"/>
      <c r="P1405" s="2"/>
      <c r="Q1405" s="1" t="str">
        <f>IF($D1405="","",$C1405&amp;"|"&amp;COUNTIFS($C$7:$C1405,$C1405))</f>
        <v/>
      </c>
      <c r="R1405" s="1" t="str">
        <f t="shared" si="42"/>
        <v/>
      </c>
      <c r="S1405" s="1" t="str">
        <f t="shared" si="43"/>
        <v/>
      </c>
      <c r="T1405" s="1">
        <f>IF($E1405="",0,SUMPRODUCT((AY_SONU!$O$7:$O$42="Evet")*(AY_SONU!$B$7:$B$42=DATE(YEAR($E1405),MONTH($E1405),1))))</f>
        <v>0</v>
      </c>
      <c r="U1405" s="1" t="str">
        <f>IF(OR($G1405="",$H1405="Mahsup"),"",$G1405&amp;"|"&amp;COUNTIFS($G$7:$G1405,$G1405,$H$7:$H1405,"&lt;&gt;Mahsup"))</f>
        <v/>
      </c>
    </row>
    <row r="1406" spans="1:21" ht="18" customHeight="1" x14ac:dyDescent="0.3">
      <c r="A1406" s="2"/>
      <c r="B1406" s="65" t="str">
        <f>IF($D1406="","","T"&amp;TEXT(ROW()-6,"00000"))</f>
        <v/>
      </c>
      <c r="C1406" s="65" t="str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61"/>
      <c r="E1406" s="66"/>
      <c r="F1406" s="67"/>
      <c r="G1406" s="60"/>
      <c r="H1406" s="60"/>
      <c r="I1406" s="61"/>
      <c r="J1406" s="61"/>
      <c r="K1406" s="61"/>
      <c r="L1406" s="73" t="str">
        <f>IF($E1406="","",DATE(YEAR($E1406),MONTH($E1406),1))</f>
        <v/>
      </c>
      <c r="M1406" s="65" t="str">
        <f ca="1">IF($D1406="","",IF($C1406="TANIMSIZ MÜŞTERİ","HATA",IF(OR($E1406="",$F1406&lt;=0,$G1406=""),"EKSİK",IF($E1406&gt;TODAY(),"İLERİ TARİH",IF(COUNTIF($S$7:$S$2503,$S1406)&gt;1,"MÜKERRER?",IF($T1406&gt;0,"KAPALI DÖNEM","UYGUN"))))))</f>
        <v/>
      </c>
      <c r="N1406" s="74" t="str">
        <f>IF($C1406="","",IF($C1406="TANIMSIZ MÜŞTERİ","—",INDEX(MUSTERILER!$C$7:$C$156,MATCH($C1406,MUSTERILER!$B$7:$B$156,0))))</f>
        <v/>
      </c>
      <c r="O1406" s="2"/>
      <c r="P1406" s="2"/>
      <c r="Q1406" s="1" t="str">
        <f>IF($D1406="","",$C1406&amp;"|"&amp;COUNTIFS($C$7:$C1406,$C1406))</f>
        <v/>
      </c>
      <c r="R1406" s="1" t="str">
        <f t="shared" si="42"/>
        <v/>
      </c>
      <c r="S1406" s="1" t="str">
        <f t="shared" si="43"/>
        <v/>
      </c>
      <c r="T1406" s="1">
        <f>IF($E1406="",0,SUMPRODUCT((AY_SONU!$O$7:$O$42="Evet")*(AY_SONU!$B$7:$B$42=DATE(YEAR($E1406),MONTH($E1406),1))))</f>
        <v>0</v>
      </c>
      <c r="U1406" s="1" t="str">
        <f>IF(OR($G1406="",$H1406="Mahsup"),"",$G1406&amp;"|"&amp;COUNTIFS($G$7:$G1406,$G1406,$H$7:$H1406,"&lt;&gt;Mahsup"))</f>
        <v/>
      </c>
    </row>
    <row r="1407" spans="1:21" ht="18" customHeight="1" x14ac:dyDescent="0.3">
      <c r="A1407" s="2"/>
      <c r="B1407" s="65" t="str">
        <f>IF($D1407="","","T"&amp;TEXT(ROW()-6,"00000"))</f>
        <v/>
      </c>
      <c r="C1407" s="65" t="str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61"/>
      <c r="E1407" s="66"/>
      <c r="F1407" s="67"/>
      <c r="G1407" s="60"/>
      <c r="H1407" s="60"/>
      <c r="I1407" s="61"/>
      <c r="J1407" s="61"/>
      <c r="K1407" s="61"/>
      <c r="L1407" s="73" t="str">
        <f>IF($E1407="","",DATE(YEAR($E1407),MONTH($E1407),1))</f>
        <v/>
      </c>
      <c r="M1407" s="65" t="str">
        <f ca="1">IF($D1407="","",IF($C1407="TANIMSIZ MÜŞTERİ","HATA",IF(OR($E1407="",$F1407&lt;=0,$G1407=""),"EKSİK",IF($E1407&gt;TODAY(),"İLERİ TARİH",IF(COUNTIF($S$7:$S$2503,$S1407)&gt;1,"MÜKERRER?",IF($T1407&gt;0,"KAPALI DÖNEM","UYGUN"))))))</f>
        <v/>
      </c>
      <c r="N1407" s="74" t="str">
        <f>IF($C1407="","",IF($C1407="TANIMSIZ MÜŞTERİ","—",INDEX(MUSTERILER!$C$7:$C$156,MATCH($C1407,MUSTERILER!$B$7:$B$156,0))))</f>
        <v/>
      </c>
      <c r="O1407" s="2"/>
      <c r="P1407" s="2"/>
      <c r="Q1407" s="1" t="str">
        <f>IF($D1407="","",$C1407&amp;"|"&amp;COUNTIFS($C$7:$C1407,$C1407))</f>
        <v/>
      </c>
      <c r="R1407" s="1" t="str">
        <f t="shared" si="42"/>
        <v/>
      </c>
      <c r="S1407" s="1" t="str">
        <f t="shared" si="43"/>
        <v/>
      </c>
      <c r="T1407" s="1">
        <f>IF($E1407="",0,SUMPRODUCT((AY_SONU!$O$7:$O$42="Evet")*(AY_SONU!$B$7:$B$42=DATE(YEAR($E1407),MONTH($E1407),1))))</f>
        <v>0</v>
      </c>
      <c r="U1407" s="1" t="str">
        <f>IF(OR($G1407="",$H1407="Mahsup"),"",$G1407&amp;"|"&amp;COUNTIFS($G$7:$G1407,$G1407,$H$7:$H1407,"&lt;&gt;Mahsup"))</f>
        <v/>
      </c>
    </row>
    <row r="1408" spans="1:21" ht="18" customHeight="1" x14ac:dyDescent="0.3">
      <c r="A1408" s="2"/>
      <c r="B1408" s="65" t="str">
        <f>IF($D1408="","","T"&amp;TEXT(ROW()-6,"00000"))</f>
        <v/>
      </c>
      <c r="C1408" s="65" t="str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61"/>
      <c r="E1408" s="66"/>
      <c r="F1408" s="67"/>
      <c r="G1408" s="60"/>
      <c r="H1408" s="60"/>
      <c r="I1408" s="61"/>
      <c r="J1408" s="61"/>
      <c r="K1408" s="61"/>
      <c r="L1408" s="73" t="str">
        <f>IF($E1408="","",DATE(YEAR($E1408),MONTH($E1408),1))</f>
        <v/>
      </c>
      <c r="M1408" s="65" t="str">
        <f ca="1">IF($D1408="","",IF($C1408="TANIMSIZ MÜŞTERİ","HATA",IF(OR($E1408="",$F1408&lt;=0,$G1408=""),"EKSİK",IF($E1408&gt;TODAY(),"İLERİ TARİH",IF(COUNTIF($S$7:$S$2503,$S1408)&gt;1,"MÜKERRER?",IF($T1408&gt;0,"KAPALI DÖNEM","UYGUN"))))))</f>
        <v/>
      </c>
      <c r="N1408" s="74" t="str">
        <f>IF($C1408="","",IF($C1408="TANIMSIZ MÜŞTERİ","—",INDEX(MUSTERILER!$C$7:$C$156,MATCH($C1408,MUSTERILER!$B$7:$B$156,0))))</f>
        <v/>
      </c>
      <c r="O1408" s="2"/>
      <c r="P1408" s="2"/>
      <c r="Q1408" s="1" t="str">
        <f>IF($D1408="","",$C1408&amp;"|"&amp;COUNTIFS($C$7:$C1408,$C1408))</f>
        <v/>
      </c>
      <c r="R1408" s="1" t="str">
        <f t="shared" si="42"/>
        <v/>
      </c>
      <c r="S1408" s="1" t="str">
        <f t="shared" si="43"/>
        <v/>
      </c>
      <c r="T1408" s="1">
        <f>IF($E1408="",0,SUMPRODUCT((AY_SONU!$O$7:$O$42="Evet")*(AY_SONU!$B$7:$B$42=DATE(YEAR($E1408),MONTH($E1408),1))))</f>
        <v>0</v>
      </c>
      <c r="U1408" s="1" t="str">
        <f>IF(OR($G1408="",$H1408="Mahsup"),"",$G1408&amp;"|"&amp;COUNTIFS($G$7:$G1408,$G1408,$H$7:$H1408,"&lt;&gt;Mahsup"))</f>
        <v/>
      </c>
    </row>
    <row r="1409" spans="1:21" ht="18" customHeight="1" x14ac:dyDescent="0.3">
      <c r="A1409" s="2"/>
      <c r="B1409" s="65" t="str">
        <f>IF($D1409="","","T"&amp;TEXT(ROW()-6,"00000"))</f>
        <v/>
      </c>
      <c r="C1409" s="65" t="str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61"/>
      <c r="E1409" s="66"/>
      <c r="F1409" s="67"/>
      <c r="G1409" s="60"/>
      <c r="H1409" s="60"/>
      <c r="I1409" s="61"/>
      <c r="J1409" s="61"/>
      <c r="K1409" s="61"/>
      <c r="L1409" s="73" t="str">
        <f>IF($E1409="","",DATE(YEAR($E1409),MONTH($E1409),1))</f>
        <v/>
      </c>
      <c r="M1409" s="65" t="str">
        <f ca="1">IF($D1409="","",IF($C1409="TANIMSIZ MÜŞTERİ","HATA",IF(OR($E1409="",$F1409&lt;=0,$G1409=""),"EKSİK",IF($E1409&gt;TODAY(),"İLERİ TARİH",IF(COUNTIF($S$7:$S$2503,$S1409)&gt;1,"MÜKERRER?",IF($T1409&gt;0,"KAPALI DÖNEM","UYGUN"))))))</f>
        <v/>
      </c>
      <c r="N1409" s="74" t="str">
        <f>IF($C1409="","",IF($C1409="TANIMSIZ MÜŞTERİ","—",INDEX(MUSTERILER!$C$7:$C$156,MATCH($C1409,MUSTERILER!$B$7:$B$156,0))))</f>
        <v/>
      </c>
      <c r="O1409" s="2"/>
      <c r="P1409" s="2"/>
      <c r="Q1409" s="1" t="str">
        <f>IF($D1409="","",$C1409&amp;"|"&amp;COUNTIFS($C$7:$C1409,$C1409))</f>
        <v/>
      </c>
      <c r="R1409" s="1" t="str">
        <f t="shared" si="42"/>
        <v/>
      </c>
      <c r="S1409" s="1" t="str">
        <f t="shared" si="43"/>
        <v/>
      </c>
      <c r="T1409" s="1">
        <f>IF($E1409="",0,SUMPRODUCT((AY_SONU!$O$7:$O$42="Evet")*(AY_SONU!$B$7:$B$42=DATE(YEAR($E1409),MONTH($E1409),1))))</f>
        <v>0</v>
      </c>
      <c r="U1409" s="1" t="str">
        <f>IF(OR($G1409="",$H1409="Mahsup"),"",$G1409&amp;"|"&amp;COUNTIFS($G$7:$G1409,$G1409,$H$7:$H1409,"&lt;&gt;Mahsup"))</f>
        <v/>
      </c>
    </row>
    <row r="1410" spans="1:21" ht="18" customHeight="1" x14ac:dyDescent="0.3">
      <c r="A1410" s="2"/>
      <c r="B1410" s="65" t="str">
        <f>IF($D1410="","","T"&amp;TEXT(ROW()-6,"00000"))</f>
        <v/>
      </c>
      <c r="C1410" s="65" t="str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61"/>
      <c r="E1410" s="66"/>
      <c r="F1410" s="67"/>
      <c r="G1410" s="60"/>
      <c r="H1410" s="60"/>
      <c r="I1410" s="61"/>
      <c r="J1410" s="61"/>
      <c r="K1410" s="61"/>
      <c r="L1410" s="73" t="str">
        <f>IF($E1410="","",DATE(YEAR($E1410),MONTH($E1410),1))</f>
        <v/>
      </c>
      <c r="M1410" s="65" t="str">
        <f ca="1">IF($D1410="","",IF($C1410="TANIMSIZ MÜŞTERİ","HATA",IF(OR($E1410="",$F1410&lt;=0,$G1410=""),"EKSİK",IF($E1410&gt;TODAY(),"İLERİ TARİH",IF(COUNTIF($S$7:$S$2503,$S1410)&gt;1,"MÜKERRER?",IF($T1410&gt;0,"KAPALI DÖNEM","UYGUN"))))))</f>
        <v/>
      </c>
      <c r="N1410" s="74" t="str">
        <f>IF($C1410="","",IF($C1410="TANIMSIZ MÜŞTERİ","—",INDEX(MUSTERILER!$C$7:$C$156,MATCH($C1410,MUSTERILER!$B$7:$B$156,0))))</f>
        <v/>
      </c>
      <c r="O1410" s="2"/>
      <c r="P1410" s="2"/>
      <c r="Q1410" s="1" t="str">
        <f>IF($D1410="","",$C1410&amp;"|"&amp;COUNTIFS($C$7:$C1410,$C1410))</f>
        <v/>
      </c>
      <c r="R1410" s="1" t="str">
        <f t="shared" si="42"/>
        <v/>
      </c>
      <c r="S1410" s="1" t="str">
        <f t="shared" si="43"/>
        <v/>
      </c>
      <c r="T1410" s="1">
        <f>IF($E1410="",0,SUMPRODUCT((AY_SONU!$O$7:$O$42="Evet")*(AY_SONU!$B$7:$B$42=DATE(YEAR($E1410),MONTH($E1410),1))))</f>
        <v>0</v>
      </c>
      <c r="U1410" s="1" t="str">
        <f>IF(OR($G1410="",$H1410="Mahsup"),"",$G1410&amp;"|"&amp;COUNTIFS($G$7:$G1410,$G1410,$H$7:$H1410,"&lt;&gt;Mahsup"))</f>
        <v/>
      </c>
    </row>
    <row r="1411" spans="1:21" ht="18" customHeight="1" x14ac:dyDescent="0.3">
      <c r="A1411" s="2"/>
      <c r="B1411" s="65" t="str">
        <f>IF($D1411="","","T"&amp;TEXT(ROW()-6,"00000"))</f>
        <v/>
      </c>
      <c r="C1411" s="65" t="str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61"/>
      <c r="E1411" s="66"/>
      <c r="F1411" s="67"/>
      <c r="G1411" s="60"/>
      <c r="H1411" s="60"/>
      <c r="I1411" s="61"/>
      <c r="J1411" s="61"/>
      <c r="K1411" s="61"/>
      <c r="L1411" s="73" t="str">
        <f>IF($E1411="","",DATE(YEAR($E1411),MONTH($E1411),1))</f>
        <v/>
      </c>
      <c r="M1411" s="65" t="str">
        <f ca="1">IF($D1411="","",IF($C1411="TANIMSIZ MÜŞTERİ","HATA",IF(OR($E1411="",$F1411&lt;=0,$G1411=""),"EKSİK",IF($E1411&gt;TODAY(),"İLERİ TARİH",IF(COUNTIF($S$7:$S$2503,$S1411)&gt;1,"MÜKERRER?",IF($T1411&gt;0,"KAPALI DÖNEM","UYGUN"))))))</f>
        <v/>
      </c>
      <c r="N1411" s="74" t="str">
        <f>IF($C1411="","",IF($C1411="TANIMSIZ MÜŞTERİ","—",INDEX(MUSTERILER!$C$7:$C$156,MATCH($C1411,MUSTERILER!$B$7:$B$156,0))))</f>
        <v/>
      </c>
      <c r="O1411" s="2"/>
      <c r="P1411" s="2"/>
      <c r="Q1411" s="1" t="str">
        <f>IF($D1411="","",$C1411&amp;"|"&amp;COUNTIFS($C$7:$C1411,$C1411))</f>
        <v/>
      </c>
      <c r="R1411" s="1" t="str">
        <f t="shared" si="42"/>
        <v/>
      </c>
      <c r="S1411" s="1" t="str">
        <f t="shared" si="43"/>
        <v/>
      </c>
      <c r="T1411" s="1">
        <f>IF($E1411="",0,SUMPRODUCT((AY_SONU!$O$7:$O$42="Evet")*(AY_SONU!$B$7:$B$42=DATE(YEAR($E1411),MONTH($E1411),1))))</f>
        <v>0</v>
      </c>
      <c r="U1411" s="1" t="str">
        <f>IF(OR($G1411="",$H1411="Mahsup"),"",$G1411&amp;"|"&amp;COUNTIFS($G$7:$G1411,$G1411,$H$7:$H1411,"&lt;&gt;Mahsup"))</f>
        <v/>
      </c>
    </row>
    <row r="1412" spans="1:21" ht="18" customHeight="1" x14ac:dyDescent="0.3">
      <c r="A1412" s="2"/>
      <c r="B1412" s="65" t="str">
        <f>IF($D1412="","","T"&amp;TEXT(ROW()-6,"00000"))</f>
        <v/>
      </c>
      <c r="C1412" s="65" t="str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61"/>
      <c r="E1412" s="66"/>
      <c r="F1412" s="67"/>
      <c r="G1412" s="60"/>
      <c r="H1412" s="60"/>
      <c r="I1412" s="61"/>
      <c r="J1412" s="61"/>
      <c r="K1412" s="61"/>
      <c r="L1412" s="73" t="str">
        <f>IF($E1412="","",DATE(YEAR($E1412),MONTH($E1412),1))</f>
        <v/>
      </c>
      <c r="M1412" s="65" t="str">
        <f ca="1">IF($D1412="","",IF($C1412="TANIMSIZ MÜŞTERİ","HATA",IF(OR($E1412="",$F1412&lt;=0,$G1412=""),"EKSİK",IF($E1412&gt;TODAY(),"İLERİ TARİH",IF(COUNTIF($S$7:$S$2503,$S1412)&gt;1,"MÜKERRER?",IF($T1412&gt;0,"KAPALI DÖNEM","UYGUN"))))))</f>
        <v/>
      </c>
      <c r="N1412" s="74" t="str">
        <f>IF($C1412="","",IF($C1412="TANIMSIZ MÜŞTERİ","—",INDEX(MUSTERILER!$C$7:$C$156,MATCH($C1412,MUSTERILER!$B$7:$B$156,0))))</f>
        <v/>
      </c>
      <c r="O1412" s="2"/>
      <c r="P1412" s="2"/>
      <c r="Q1412" s="1" t="str">
        <f>IF($D1412="","",$C1412&amp;"|"&amp;COUNTIFS($C$7:$C1412,$C1412))</f>
        <v/>
      </c>
      <c r="R1412" s="1" t="str">
        <f t="shared" si="42"/>
        <v/>
      </c>
      <c r="S1412" s="1" t="str">
        <f t="shared" si="43"/>
        <v/>
      </c>
      <c r="T1412" s="1">
        <f>IF($E1412="",0,SUMPRODUCT((AY_SONU!$O$7:$O$42="Evet")*(AY_SONU!$B$7:$B$42=DATE(YEAR($E1412),MONTH($E1412),1))))</f>
        <v>0</v>
      </c>
      <c r="U1412" s="1" t="str">
        <f>IF(OR($G1412="",$H1412="Mahsup"),"",$G1412&amp;"|"&amp;COUNTIFS($G$7:$G1412,$G1412,$H$7:$H1412,"&lt;&gt;Mahsup"))</f>
        <v/>
      </c>
    </row>
    <row r="1413" spans="1:21" ht="18" customHeight="1" x14ac:dyDescent="0.3">
      <c r="A1413" s="2"/>
      <c r="B1413" s="65" t="str">
        <f>IF($D1413="","","T"&amp;TEXT(ROW()-6,"00000"))</f>
        <v/>
      </c>
      <c r="C1413" s="65" t="str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61"/>
      <c r="E1413" s="66"/>
      <c r="F1413" s="67"/>
      <c r="G1413" s="60"/>
      <c r="H1413" s="60"/>
      <c r="I1413" s="61"/>
      <c r="J1413" s="61"/>
      <c r="K1413" s="61"/>
      <c r="L1413" s="73" t="str">
        <f>IF($E1413="","",DATE(YEAR($E1413),MONTH($E1413),1))</f>
        <v/>
      </c>
      <c r="M1413" s="65" t="str">
        <f ca="1">IF($D1413="","",IF($C1413="TANIMSIZ MÜŞTERİ","HATA",IF(OR($E1413="",$F1413&lt;=0,$G1413=""),"EKSİK",IF($E1413&gt;TODAY(),"İLERİ TARİH",IF(COUNTIF($S$7:$S$2503,$S1413)&gt;1,"MÜKERRER?",IF($T1413&gt;0,"KAPALI DÖNEM","UYGUN"))))))</f>
        <v/>
      </c>
      <c r="N1413" s="74" t="str">
        <f>IF($C1413="","",IF($C1413="TANIMSIZ MÜŞTERİ","—",INDEX(MUSTERILER!$C$7:$C$156,MATCH($C1413,MUSTERILER!$B$7:$B$156,0))))</f>
        <v/>
      </c>
      <c r="O1413" s="2"/>
      <c r="P1413" s="2"/>
      <c r="Q1413" s="1" t="str">
        <f>IF($D1413="","",$C1413&amp;"|"&amp;COUNTIFS($C$7:$C1413,$C1413))</f>
        <v/>
      </c>
      <c r="R1413" s="1" t="str">
        <f t="shared" si="42"/>
        <v/>
      </c>
      <c r="S1413" s="1" t="str">
        <f t="shared" si="43"/>
        <v/>
      </c>
      <c r="T1413" s="1">
        <f>IF($E1413="",0,SUMPRODUCT((AY_SONU!$O$7:$O$42="Evet")*(AY_SONU!$B$7:$B$42=DATE(YEAR($E1413),MONTH($E1413),1))))</f>
        <v>0</v>
      </c>
      <c r="U1413" s="1" t="str">
        <f>IF(OR($G1413="",$H1413="Mahsup"),"",$G1413&amp;"|"&amp;COUNTIFS($G$7:$G1413,$G1413,$H$7:$H1413,"&lt;&gt;Mahsup"))</f>
        <v/>
      </c>
    </row>
    <row r="1414" spans="1:21" ht="18" customHeight="1" x14ac:dyDescent="0.3">
      <c r="A1414" s="2"/>
      <c r="B1414" s="65" t="str">
        <f>IF($D1414="","","T"&amp;TEXT(ROW()-6,"00000"))</f>
        <v/>
      </c>
      <c r="C1414" s="65" t="str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61"/>
      <c r="E1414" s="66"/>
      <c r="F1414" s="67"/>
      <c r="G1414" s="60"/>
      <c r="H1414" s="60"/>
      <c r="I1414" s="61"/>
      <c r="J1414" s="61"/>
      <c r="K1414" s="61"/>
      <c r="L1414" s="73" t="str">
        <f>IF($E1414="","",DATE(YEAR($E1414),MONTH($E1414),1))</f>
        <v/>
      </c>
      <c r="M1414" s="65" t="str">
        <f ca="1">IF($D1414="","",IF($C1414="TANIMSIZ MÜŞTERİ","HATA",IF(OR($E1414="",$F1414&lt;=0,$G1414=""),"EKSİK",IF($E1414&gt;TODAY(),"İLERİ TARİH",IF(COUNTIF($S$7:$S$2503,$S1414)&gt;1,"MÜKERRER?",IF($T1414&gt;0,"KAPALI DÖNEM","UYGUN"))))))</f>
        <v/>
      </c>
      <c r="N1414" s="74" t="str">
        <f>IF($C1414="","",IF($C1414="TANIMSIZ MÜŞTERİ","—",INDEX(MUSTERILER!$C$7:$C$156,MATCH($C1414,MUSTERILER!$B$7:$B$156,0))))</f>
        <v/>
      </c>
      <c r="O1414" s="2"/>
      <c r="P1414" s="2"/>
      <c r="Q1414" s="1" t="str">
        <f>IF($D1414="","",$C1414&amp;"|"&amp;COUNTIFS($C$7:$C1414,$C1414))</f>
        <v/>
      </c>
      <c r="R1414" s="1" t="str">
        <f t="shared" si="42"/>
        <v/>
      </c>
      <c r="S1414" s="1" t="str">
        <f t="shared" si="43"/>
        <v/>
      </c>
      <c r="T1414" s="1">
        <f>IF($E1414="",0,SUMPRODUCT((AY_SONU!$O$7:$O$42="Evet")*(AY_SONU!$B$7:$B$42=DATE(YEAR($E1414),MONTH($E1414),1))))</f>
        <v>0</v>
      </c>
      <c r="U1414" s="1" t="str">
        <f>IF(OR($G1414="",$H1414="Mahsup"),"",$G1414&amp;"|"&amp;COUNTIFS($G$7:$G1414,$G1414,$H$7:$H1414,"&lt;&gt;Mahsup"))</f>
        <v/>
      </c>
    </row>
    <row r="1415" spans="1:21" ht="18" customHeight="1" x14ac:dyDescent="0.3">
      <c r="A1415" s="2"/>
      <c r="B1415" s="65" t="str">
        <f>IF($D1415="","","T"&amp;TEXT(ROW()-6,"00000"))</f>
        <v/>
      </c>
      <c r="C1415" s="65" t="str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61"/>
      <c r="E1415" s="66"/>
      <c r="F1415" s="67"/>
      <c r="G1415" s="60"/>
      <c r="H1415" s="60"/>
      <c r="I1415" s="61"/>
      <c r="J1415" s="61"/>
      <c r="K1415" s="61"/>
      <c r="L1415" s="73" t="str">
        <f>IF($E1415="","",DATE(YEAR($E1415),MONTH($E1415),1))</f>
        <v/>
      </c>
      <c r="M1415" s="65" t="str">
        <f ca="1">IF($D1415="","",IF($C1415="TANIMSIZ MÜŞTERİ","HATA",IF(OR($E1415="",$F1415&lt;=0,$G1415=""),"EKSİK",IF($E1415&gt;TODAY(),"İLERİ TARİH",IF(COUNTIF($S$7:$S$2503,$S1415)&gt;1,"MÜKERRER?",IF($T1415&gt;0,"KAPALI DÖNEM","UYGUN"))))))</f>
        <v/>
      </c>
      <c r="N1415" s="74" t="str">
        <f>IF($C1415="","",IF($C1415="TANIMSIZ MÜŞTERİ","—",INDEX(MUSTERILER!$C$7:$C$156,MATCH($C1415,MUSTERILER!$B$7:$B$156,0))))</f>
        <v/>
      </c>
      <c r="O1415" s="2"/>
      <c r="P1415" s="2"/>
      <c r="Q1415" s="1" t="str">
        <f>IF($D1415="","",$C1415&amp;"|"&amp;COUNTIFS($C$7:$C1415,$C1415))</f>
        <v/>
      </c>
      <c r="R1415" s="1" t="str">
        <f t="shared" ref="R1415:R1478" si="44"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" t="str">
        <f t="shared" ref="S1415:S1478" si="45">IF($D1415="","",$C1415&amp;"|"&amp;TEXT($E1415,"0")&amp;"|"&amp;TEXT($F1415,"0")&amp;"|"&amp;$I1415)</f>
        <v/>
      </c>
      <c r="T1415" s="1">
        <f>IF($E1415="",0,SUMPRODUCT((AY_SONU!$O$7:$O$42="Evet")*(AY_SONU!$B$7:$B$42=DATE(YEAR($E1415),MONTH($E1415),1))))</f>
        <v>0</v>
      </c>
      <c r="U1415" s="1" t="str">
        <f>IF(OR($G1415="",$H1415="Mahsup"),"",$G1415&amp;"|"&amp;COUNTIFS($G$7:$G1415,$G1415,$H$7:$H1415,"&lt;&gt;Mahsup"))</f>
        <v/>
      </c>
    </row>
    <row r="1416" spans="1:21" ht="18" customHeight="1" x14ac:dyDescent="0.3">
      <c r="A1416" s="2"/>
      <c r="B1416" s="65" t="str">
        <f>IF($D1416="","","T"&amp;TEXT(ROW()-6,"00000"))</f>
        <v/>
      </c>
      <c r="C1416" s="65" t="str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61"/>
      <c r="E1416" s="66"/>
      <c r="F1416" s="67"/>
      <c r="G1416" s="60"/>
      <c r="H1416" s="60"/>
      <c r="I1416" s="61"/>
      <c r="J1416" s="61"/>
      <c r="K1416" s="61"/>
      <c r="L1416" s="73" t="str">
        <f>IF($E1416="","",DATE(YEAR($E1416),MONTH($E1416),1))</f>
        <v/>
      </c>
      <c r="M1416" s="65" t="str">
        <f ca="1">IF($D1416="","",IF($C1416="TANIMSIZ MÜŞTERİ","HATA",IF(OR($E1416="",$F1416&lt;=0,$G1416=""),"EKSİK",IF($E1416&gt;TODAY(),"İLERİ TARİH",IF(COUNTIF($S$7:$S$2503,$S1416)&gt;1,"MÜKERRER?",IF($T1416&gt;0,"KAPALI DÖNEM","UYGUN"))))))</f>
        <v/>
      </c>
      <c r="N1416" s="74" t="str">
        <f>IF($C1416="","",IF($C1416="TANIMSIZ MÜŞTERİ","—",INDEX(MUSTERILER!$C$7:$C$156,MATCH($C1416,MUSTERILER!$B$7:$B$156,0))))</f>
        <v/>
      </c>
      <c r="O1416" s="2"/>
      <c r="P1416" s="2"/>
      <c r="Q1416" s="1" t="str">
        <f>IF($D1416="","",$C1416&amp;"|"&amp;COUNTIFS($C$7:$C1416,$C1416))</f>
        <v/>
      </c>
      <c r="R1416" s="1" t="str">
        <f t="shared" si="44"/>
        <v/>
      </c>
      <c r="S1416" s="1" t="str">
        <f t="shared" si="45"/>
        <v/>
      </c>
      <c r="T1416" s="1">
        <f>IF($E1416="",0,SUMPRODUCT((AY_SONU!$O$7:$O$42="Evet")*(AY_SONU!$B$7:$B$42=DATE(YEAR($E1416),MONTH($E1416),1))))</f>
        <v>0</v>
      </c>
      <c r="U1416" s="1" t="str">
        <f>IF(OR($G1416="",$H1416="Mahsup"),"",$G1416&amp;"|"&amp;COUNTIFS($G$7:$G1416,$G1416,$H$7:$H1416,"&lt;&gt;Mahsup"))</f>
        <v/>
      </c>
    </row>
    <row r="1417" spans="1:21" ht="18" customHeight="1" x14ac:dyDescent="0.3">
      <c r="A1417" s="2"/>
      <c r="B1417" s="65" t="str">
        <f>IF($D1417="","","T"&amp;TEXT(ROW()-6,"00000"))</f>
        <v/>
      </c>
      <c r="C1417" s="65" t="str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61"/>
      <c r="E1417" s="66"/>
      <c r="F1417" s="67"/>
      <c r="G1417" s="60"/>
      <c r="H1417" s="60"/>
      <c r="I1417" s="61"/>
      <c r="J1417" s="61"/>
      <c r="K1417" s="61"/>
      <c r="L1417" s="73" t="str">
        <f>IF($E1417="","",DATE(YEAR($E1417),MONTH($E1417),1))</f>
        <v/>
      </c>
      <c r="M1417" s="65" t="str">
        <f ca="1">IF($D1417="","",IF($C1417="TANIMSIZ MÜŞTERİ","HATA",IF(OR($E1417="",$F1417&lt;=0,$G1417=""),"EKSİK",IF($E1417&gt;TODAY(),"İLERİ TARİH",IF(COUNTIF($S$7:$S$2503,$S1417)&gt;1,"MÜKERRER?",IF($T1417&gt;0,"KAPALI DÖNEM","UYGUN"))))))</f>
        <v/>
      </c>
      <c r="N1417" s="74" t="str">
        <f>IF($C1417="","",IF($C1417="TANIMSIZ MÜŞTERİ","—",INDEX(MUSTERILER!$C$7:$C$156,MATCH($C1417,MUSTERILER!$B$7:$B$156,0))))</f>
        <v/>
      </c>
      <c r="O1417" s="2"/>
      <c r="P1417" s="2"/>
      <c r="Q1417" s="1" t="str">
        <f>IF($D1417="","",$C1417&amp;"|"&amp;COUNTIFS($C$7:$C1417,$C1417))</f>
        <v/>
      </c>
      <c r="R1417" s="1" t="str">
        <f t="shared" si="44"/>
        <v/>
      </c>
      <c r="S1417" s="1" t="str">
        <f t="shared" si="45"/>
        <v/>
      </c>
      <c r="T1417" s="1">
        <f>IF($E1417="",0,SUMPRODUCT((AY_SONU!$O$7:$O$42="Evet")*(AY_SONU!$B$7:$B$42=DATE(YEAR($E1417),MONTH($E1417),1))))</f>
        <v>0</v>
      </c>
      <c r="U1417" s="1" t="str">
        <f>IF(OR($G1417="",$H1417="Mahsup"),"",$G1417&amp;"|"&amp;COUNTIFS($G$7:$G1417,$G1417,$H$7:$H1417,"&lt;&gt;Mahsup"))</f>
        <v/>
      </c>
    </row>
    <row r="1418" spans="1:21" ht="18" customHeight="1" x14ac:dyDescent="0.3">
      <c r="A1418" s="2"/>
      <c r="B1418" s="65" t="str">
        <f>IF($D1418="","","T"&amp;TEXT(ROW()-6,"00000"))</f>
        <v/>
      </c>
      <c r="C1418" s="65" t="str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61"/>
      <c r="E1418" s="66"/>
      <c r="F1418" s="67"/>
      <c r="G1418" s="60"/>
      <c r="H1418" s="60"/>
      <c r="I1418" s="61"/>
      <c r="J1418" s="61"/>
      <c r="K1418" s="61"/>
      <c r="L1418" s="73" t="str">
        <f>IF($E1418="","",DATE(YEAR($E1418),MONTH($E1418),1))</f>
        <v/>
      </c>
      <c r="M1418" s="65" t="str">
        <f ca="1">IF($D1418="","",IF($C1418="TANIMSIZ MÜŞTERİ","HATA",IF(OR($E1418="",$F1418&lt;=0,$G1418=""),"EKSİK",IF($E1418&gt;TODAY(),"İLERİ TARİH",IF(COUNTIF($S$7:$S$2503,$S1418)&gt;1,"MÜKERRER?",IF($T1418&gt;0,"KAPALI DÖNEM","UYGUN"))))))</f>
        <v/>
      </c>
      <c r="N1418" s="74" t="str">
        <f>IF($C1418="","",IF($C1418="TANIMSIZ MÜŞTERİ","—",INDEX(MUSTERILER!$C$7:$C$156,MATCH($C1418,MUSTERILER!$B$7:$B$156,0))))</f>
        <v/>
      </c>
      <c r="O1418" s="2"/>
      <c r="P1418" s="2"/>
      <c r="Q1418" s="1" t="str">
        <f>IF($D1418="","",$C1418&amp;"|"&amp;COUNTIFS($C$7:$C1418,$C1418))</f>
        <v/>
      </c>
      <c r="R1418" s="1" t="str">
        <f t="shared" si="44"/>
        <v/>
      </c>
      <c r="S1418" s="1" t="str">
        <f t="shared" si="45"/>
        <v/>
      </c>
      <c r="T1418" s="1">
        <f>IF($E1418="",0,SUMPRODUCT((AY_SONU!$O$7:$O$42="Evet")*(AY_SONU!$B$7:$B$42=DATE(YEAR($E1418),MONTH($E1418),1))))</f>
        <v>0</v>
      </c>
      <c r="U1418" s="1" t="str">
        <f>IF(OR($G1418="",$H1418="Mahsup"),"",$G1418&amp;"|"&amp;COUNTIFS($G$7:$G1418,$G1418,$H$7:$H1418,"&lt;&gt;Mahsup"))</f>
        <v/>
      </c>
    </row>
    <row r="1419" spans="1:21" ht="18" customHeight="1" x14ac:dyDescent="0.3">
      <c r="A1419" s="2"/>
      <c r="B1419" s="65" t="str">
        <f>IF($D1419="","","T"&amp;TEXT(ROW()-6,"00000"))</f>
        <v/>
      </c>
      <c r="C1419" s="65" t="str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61"/>
      <c r="E1419" s="66"/>
      <c r="F1419" s="67"/>
      <c r="G1419" s="60"/>
      <c r="H1419" s="60"/>
      <c r="I1419" s="61"/>
      <c r="J1419" s="61"/>
      <c r="K1419" s="61"/>
      <c r="L1419" s="73" t="str">
        <f>IF($E1419="","",DATE(YEAR($E1419),MONTH($E1419),1))</f>
        <v/>
      </c>
      <c r="M1419" s="65" t="str">
        <f ca="1">IF($D1419="","",IF($C1419="TANIMSIZ MÜŞTERİ","HATA",IF(OR($E1419="",$F1419&lt;=0,$G1419=""),"EKSİK",IF($E1419&gt;TODAY(),"İLERİ TARİH",IF(COUNTIF($S$7:$S$2503,$S1419)&gt;1,"MÜKERRER?",IF($T1419&gt;0,"KAPALI DÖNEM","UYGUN"))))))</f>
        <v/>
      </c>
      <c r="N1419" s="74" t="str">
        <f>IF($C1419="","",IF($C1419="TANIMSIZ MÜŞTERİ","—",INDEX(MUSTERILER!$C$7:$C$156,MATCH($C1419,MUSTERILER!$B$7:$B$156,0))))</f>
        <v/>
      </c>
      <c r="O1419" s="2"/>
      <c r="P1419" s="2"/>
      <c r="Q1419" s="1" t="str">
        <f>IF($D1419="","",$C1419&amp;"|"&amp;COUNTIFS($C$7:$C1419,$C1419))</f>
        <v/>
      </c>
      <c r="R1419" s="1" t="str">
        <f t="shared" si="44"/>
        <v/>
      </c>
      <c r="S1419" s="1" t="str">
        <f t="shared" si="45"/>
        <v/>
      </c>
      <c r="T1419" s="1">
        <f>IF($E1419="",0,SUMPRODUCT((AY_SONU!$O$7:$O$42="Evet")*(AY_SONU!$B$7:$B$42=DATE(YEAR($E1419),MONTH($E1419),1))))</f>
        <v>0</v>
      </c>
      <c r="U1419" s="1" t="str">
        <f>IF(OR($G1419="",$H1419="Mahsup"),"",$G1419&amp;"|"&amp;COUNTIFS($G$7:$G1419,$G1419,$H$7:$H1419,"&lt;&gt;Mahsup"))</f>
        <v/>
      </c>
    </row>
    <row r="1420" spans="1:21" ht="18" customHeight="1" x14ac:dyDescent="0.3">
      <c r="A1420" s="2"/>
      <c r="B1420" s="65" t="str">
        <f>IF($D1420="","","T"&amp;TEXT(ROW()-6,"00000"))</f>
        <v/>
      </c>
      <c r="C1420" s="65" t="str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61"/>
      <c r="E1420" s="66"/>
      <c r="F1420" s="67"/>
      <c r="G1420" s="60"/>
      <c r="H1420" s="60"/>
      <c r="I1420" s="61"/>
      <c r="J1420" s="61"/>
      <c r="K1420" s="61"/>
      <c r="L1420" s="73" t="str">
        <f>IF($E1420="","",DATE(YEAR($E1420),MONTH($E1420),1))</f>
        <v/>
      </c>
      <c r="M1420" s="65" t="str">
        <f ca="1">IF($D1420="","",IF($C1420="TANIMSIZ MÜŞTERİ","HATA",IF(OR($E1420="",$F1420&lt;=0,$G1420=""),"EKSİK",IF($E1420&gt;TODAY(),"İLERİ TARİH",IF(COUNTIF($S$7:$S$2503,$S1420)&gt;1,"MÜKERRER?",IF($T1420&gt;0,"KAPALI DÖNEM","UYGUN"))))))</f>
        <v/>
      </c>
      <c r="N1420" s="74" t="str">
        <f>IF($C1420="","",IF($C1420="TANIMSIZ MÜŞTERİ","—",INDEX(MUSTERILER!$C$7:$C$156,MATCH($C1420,MUSTERILER!$B$7:$B$156,0))))</f>
        <v/>
      </c>
      <c r="O1420" s="2"/>
      <c r="P1420" s="2"/>
      <c r="Q1420" s="1" t="str">
        <f>IF($D1420="","",$C1420&amp;"|"&amp;COUNTIFS($C$7:$C1420,$C1420))</f>
        <v/>
      </c>
      <c r="R1420" s="1" t="str">
        <f t="shared" si="44"/>
        <v/>
      </c>
      <c r="S1420" s="1" t="str">
        <f t="shared" si="45"/>
        <v/>
      </c>
      <c r="T1420" s="1">
        <f>IF($E1420="",0,SUMPRODUCT((AY_SONU!$O$7:$O$42="Evet")*(AY_SONU!$B$7:$B$42=DATE(YEAR($E1420),MONTH($E1420),1))))</f>
        <v>0</v>
      </c>
      <c r="U1420" s="1" t="str">
        <f>IF(OR($G1420="",$H1420="Mahsup"),"",$G1420&amp;"|"&amp;COUNTIFS($G$7:$G1420,$G1420,$H$7:$H1420,"&lt;&gt;Mahsup"))</f>
        <v/>
      </c>
    </row>
    <row r="1421" spans="1:21" ht="18" customHeight="1" x14ac:dyDescent="0.3">
      <c r="A1421" s="2"/>
      <c r="B1421" s="65" t="str">
        <f>IF($D1421="","","T"&amp;TEXT(ROW()-6,"00000"))</f>
        <v/>
      </c>
      <c r="C1421" s="65" t="str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61"/>
      <c r="E1421" s="66"/>
      <c r="F1421" s="67"/>
      <c r="G1421" s="60"/>
      <c r="H1421" s="60"/>
      <c r="I1421" s="61"/>
      <c r="J1421" s="61"/>
      <c r="K1421" s="61"/>
      <c r="L1421" s="73" t="str">
        <f>IF($E1421="","",DATE(YEAR($E1421),MONTH($E1421),1))</f>
        <v/>
      </c>
      <c r="M1421" s="65" t="str">
        <f ca="1">IF($D1421="","",IF($C1421="TANIMSIZ MÜŞTERİ","HATA",IF(OR($E1421="",$F1421&lt;=0,$G1421=""),"EKSİK",IF($E1421&gt;TODAY(),"İLERİ TARİH",IF(COUNTIF($S$7:$S$2503,$S1421)&gt;1,"MÜKERRER?",IF($T1421&gt;0,"KAPALI DÖNEM","UYGUN"))))))</f>
        <v/>
      </c>
      <c r="N1421" s="74" t="str">
        <f>IF($C1421="","",IF($C1421="TANIMSIZ MÜŞTERİ","—",INDEX(MUSTERILER!$C$7:$C$156,MATCH($C1421,MUSTERILER!$B$7:$B$156,0))))</f>
        <v/>
      </c>
      <c r="O1421" s="2"/>
      <c r="P1421" s="2"/>
      <c r="Q1421" s="1" t="str">
        <f>IF($D1421="","",$C1421&amp;"|"&amp;COUNTIFS($C$7:$C1421,$C1421))</f>
        <v/>
      </c>
      <c r="R1421" s="1" t="str">
        <f t="shared" si="44"/>
        <v/>
      </c>
      <c r="S1421" s="1" t="str">
        <f t="shared" si="45"/>
        <v/>
      </c>
      <c r="T1421" s="1">
        <f>IF($E1421="",0,SUMPRODUCT((AY_SONU!$O$7:$O$42="Evet")*(AY_SONU!$B$7:$B$42=DATE(YEAR($E1421),MONTH($E1421),1))))</f>
        <v>0</v>
      </c>
      <c r="U1421" s="1" t="str">
        <f>IF(OR($G1421="",$H1421="Mahsup"),"",$G1421&amp;"|"&amp;COUNTIFS($G$7:$G1421,$G1421,$H$7:$H1421,"&lt;&gt;Mahsup"))</f>
        <v/>
      </c>
    </row>
    <row r="1422" spans="1:21" ht="18" customHeight="1" x14ac:dyDescent="0.3">
      <c r="A1422" s="2"/>
      <c r="B1422" s="65" t="str">
        <f>IF($D1422="","","T"&amp;TEXT(ROW()-6,"00000"))</f>
        <v/>
      </c>
      <c r="C1422" s="65" t="str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61"/>
      <c r="E1422" s="66"/>
      <c r="F1422" s="67"/>
      <c r="G1422" s="60"/>
      <c r="H1422" s="60"/>
      <c r="I1422" s="61"/>
      <c r="J1422" s="61"/>
      <c r="K1422" s="61"/>
      <c r="L1422" s="73" t="str">
        <f>IF($E1422="","",DATE(YEAR($E1422),MONTH($E1422),1))</f>
        <v/>
      </c>
      <c r="M1422" s="65" t="str">
        <f ca="1">IF($D1422="","",IF($C1422="TANIMSIZ MÜŞTERİ","HATA",IF(OR($E1422="",$F1422&lt;=0,$G1422=""),"EKSİK",IF($E1422&gt;TODAY(),"İLERİ TARİH",IF(COUNTIF($S$7:$S$2503,$S1422)&gt;1,"MÜKERRER?",IF($T1422&gt;0,"KAPALI DÖNEM","UYGUN"))))))</f>
        <v/>
      </c>
      <c r="N1422" s="74" t="str">
        <f>IF($C1422="","",IF($C1422="TANIMSIZ MÜŞTERİ","—",INDEX(MUSTERILER!$C$7:$C$156,MATCH($C1422,MUSTERILER!$B$7:$B$156,0))))</f>
        <v/>
      </c>
      <c r="O1422" s="2"/>
      <c r="P1422" s="2"/>
      <c r="Q1422" s="1" t="str">
        <f>IF($D1422="","",$C1422&amp;"|"&amp;COUNTIFS($C$7:$C1422,$C1422))</f>
        <v/>
      </c>
      <c r="R1422" s="1" t="str">
        <f t="shared" si="44"/>
        <v/>
      </c>
      <c r="S1422" s="1" t="str">
        <f t="shared" si="45"/>
        <v/>
      </c>
      <c r="T1422" s="1">
        <f>IF($E1422="",0,SUMPRODUCT((AY_SONU!$O$7:$O$42="Evet")*(AY_SONU!$B$7:$B$42=DATE(YEAR($E1422),MONTH($E1422),1))))</f>
        <v>0</v>
      </c>
      <c r="U1422" s="1" t="str">
        <f>IF(OR($G1422="",$H1422="Mahsup"),"",$G1422&amp;"|"&amp;COUNTIFS($G$7:$G1422,$G1422,$H$7:$H1422,"&lt;&gt;Mahsup"))</f>
        <v/>
      </c>
    </row>
    <row r="1423" spans="1:21" ht="18" customHeight="1" x14ac:dyDescent="0.3">
      <c r="A1423" s="2"/>
      <c r="B1423" s="65" t="str">
        <f>IF($D1423="","","T"&amp;TEXT(ROW()-6,"00000"))</f>
        <v/>
      </c>
      <c r="C1423" s="65" t="str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61"/>
      <c r="E1423" s="66"/>
      <c r="F1423" s="67"/>
      <c r="G1423" s="60"/>
      <c r="H1423" s="60"/>
      <c r="I1423" s="61"/>
      <c r="J1423" s="61"/>
      <c r="K1423" s="61"/>
      <c r="L1423" s="73" t="str">
        <f>IF($E1423="","",DATE(YEAR($E1423),MONTH($E1423),1))</f>
        <v/>
      </c>
      <c r="M1423" s="65" t="str">
        <f ca="1">IF($D1423="","",IF($C1423="TANIMSIZ MÜŞTERİ","HATA",IF(OR($E1423="",$F1423&lt;=0,$G1423=""),"EKSİK",IF($E1423&gt;TODAY(),"İLERİ TARİH",IF(COUNTIF($S$7:$S$2503,$S1423)&gt;1,"MÜKERRER?",IF($T1423&gt;0,"KAPALI DÖNEM","UYGUN"))))))</f>
        <v/>
      </c>
      <c r="N1423" s="74" t="str">
        <f>IF($C1423="","",IF($C1423="TANIMSIZ MÜŞTERİ","—",INDEX(MUSTERILER!$C$7:$C$156,MATCH($C1423,MUSTERILER!$B$7:$B$156,0))))</f>
        <v/>
      </c>
      <c r="O1423" s="2"/>
      <c r="P1423" s="2"/>
      <c r="Q1423" s="1" t="str">
        <f>IF($D1423="","",$C1423&amp;"|"&amp;COUNTIFS($C$7:$C1423,$C1423))</f>
        <v/>
      </c>
      <c r="R1423" s="1" t="str">
        <f t="shared" si="44"/>
        <v/>
      </c>
      <c r="S1423" s="1" t="str">
        <f t="shared" si="45"/>
        <v/>
      </c>
      <c r="T1423" s="1">
        <f>IF($E1423="",0,SUMPRODUCT((AY_SONU!$O$7:$O$42="Evet")*(AY_SONU!$B$7:$B$42=DATE(YEAR($E1423),MONTH($E1423),1))))</f>
        <v>0</v>
      </c>
      <c r="U1423" s="1" t="str">
        <f>IF(OR($G1423="",$H1423="Mahsup"),"",$G1423&amp;"|"&amp;COUNTIFS($G$7:$G1423,$G1423,$H$7:$H1423,"&lt;&gt;Mahsup"))</f>
        <v/>
      </c>
    </row>
    <row r="1424" spans="1:21" ht="18" customHeight="1" x14ac:dyDescent="0.3">
      <c r="A1424" s="2"/>
      <c r="B1424" s="65" t="str">
        <f>IF($D1424="","","T"&amp;TEXT(ROW()-6,"00000"))</f>
        <v/>
      </c>
      <c r="C1424" s="65" t="str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61"/>
      <c r="E1424" s="66"/>
      <c r="F1424" s="67"/>
      <c r="G1424" s="60"/>
      <c r="H1424" s="60"/>
      <c r="I1424" s="61"/>
      <c r="J1424" s="61"/>
      <c r="K1424" s="61"/>
      <c r="L1424" s="73" t="str">
        <f>IF($E1424="","",DATE(YEAR($E1424),MONTH($E1424),1))</f>
        <v/>
      </c>
      <c r="M1424" s="65" t="str">
        <f ca="1">IF($D1424="","",IF($C1424="TANIMSIZ MÜŞTERİ","HATA",IF(OR($E1424="",$F1424&lt;=0,$G1424=""),"EKSİK",IF($E1424&gt;TODAY(),"İLERİ TARİH",IF(COUNTIF($S$7:$S$2503,$S1424)&gt;1,"MÜKERRER?",IF($T1424&gt;0,"KAPALI DÖNEM","UYGUN"))))))</f>
        <v/>
      </c>
      <c r="N1424" s="74" t="str">
        <f>IF($C1424="","",IF($C1424="TANIMSIZ MÜŞTERİ","—",INDEX(MUSTERILER!$C$7:$C$156,MATCH($C1424,MUSTERILER!$B$7:$B$156,0))))</f>
        <v/>
      </c>
      <c r="O1424" s="2"/>
      <c r="P1424" s="2"/>
      <c r="Q1424" s="1" t="str">
        <f>IF($D1424="","",$C1424&amp;"|"&amp;COUNTIFS($C$7:$C1424,$C1424))</f>
        <v/>
      </c>
      <c r="R1424" s="1" t="str">
        <f t="shared" si="44"/>
        <v/>
      </c>
      <c r="S1424" s="1" t="str">
        <f t="shared" si="45"/>
        <v/>
      </c>
      <c r="T1424" s="1">
        <f>IF($E1424="",0,SUMPRODUCT((AY_SONU!$O$7:$O$42="Evet")*(AY_SONU!$B$7:$B$42=DATE(YEAR($E1424),MONTH($E1424),1))))</f>
        <v>0</v>
      </c>
      <c r="U1424" s="1" t="str">
        <f>IF(OR($G1424="",$H1424="Mahsup"),"",$G1424&amp;"|"&amp;COUNTIFS($G$7:$G1424,$G1424,$H$7:$H1424,"&lt;&gt;Mahsup"))</f>
        <v/>
      </c>
    </row>
    <row r="1425" spans="1:21" ht="18" customHeight="1" x14ac:dyDescent="0.3">
      <c r="A1425" s="2"/>
      <c r="B1425" s="65" t="str">
        <f>IF($D1425="","","T"&amp;TEXT(ROW()-6,"00000"))</f>
        <v/>
      </c>
      <c r="C1425" s="65" t="str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61"/>
      <c r="E1425" s="66"/>
      <c r="F1425" s="67"/>
      <c r="G1425" s="60"/>
      <c r="H1425" s="60"/>
      <c r="I1425" s="61"/>
      <c r="J1425" s="61"/>
      <c r="K1425" s="61"/>
      <c r="L1425" s="73" t="str">
        <f>IF($E1425="","",DATE(YEAR($E1425),MONTH($E1425),1))</f>
        <v/>
      </c>
      <c r="M1425" s="65" t="str">
        <f ca="1">IF($D1425="","",IF($C1425="TANIMSIZ MÜŞTERİ","HATA",IF(OR($E1425="",$F1425&lt;=0,$G1425=""),"EKSİK",IF($E1425&gt;TODAY(),"İLERİ TARİH",IF(COUNTIF($S$7:$S$2503,$S1425)&gt;1,"MÜKERRER?",IF($T1425&gt;0,"KAPALI DÖNEM","UYGUN"))))))</f>
        <v/>
      </c>
      <c r="N1425" s="74" t="str">
        <f>IF($C1425="","",IF($C1425="TANIMSIZ MÜŞTERİ","—",INDEX(MUSTERILER!$C$7:$C$156,MATCH($C1425,MUSTERILER!$B$7:$B$156,0))))</f>
        <v/>
      </c>
      <c r="O1425" s="2"/>
      <c r="P1425" s="2"/>
      <c r="Q1425" s="1" t="str">
        <f>IF($D1425="","",$C1425&amp;"|"&amp;COUNTIFS($C$7:$C1425,$C1425))</f>
        <v/>
      </c>
      <c r="R1425" s="1" t="str">
        <f t="shared" si="44"/>
        <v/>
      </c>
      <c r="S1425" s="1" t="str">
        <f t="shared" si="45"/>
        <v/>
      </c>
      <c r="T1425" s="1">
        <f>IF($E1425="",0,SUMPRODUCT((AY_SONU!$O$7:$O$42="Evet")*(AY_SONU!$B$7:$B$42=DATE(YEAR($E1425),MONTH($E1425),1))))</f>
        <v>0</v>
      </c>
      <c r="U1425" s="1" t="str">
        <f>IF(OR($G1425="",$H1425="Mahsup"),"",$G1425&amp;"|"&amp;COUNTIFS($G$7:$G1425,$G1425,$H$7:$H1425,"&lt;&gt;Mahsup"))</f>
        <v/>
      </c>
    </row>
    <row r="1426" spans="1:21" ht="18" customHeight="1" x14ac:dyDescent="0.3">
      <c r="A1426" s="2"/>
      <c r="B1426" s="65" t="str">
        <f>IF($D1426="","","T"&amp;TEXT(ROW()-6,"00000"))</f>
        <v/>
      </c>
      <c r="C1426" s="65" t="str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61"/>
      <c r="E1426" s="66"/>
      <c r="F1426" s="67"/>
      <c r="G1426" s="60"/>
      <c r="H1426" s="60"/>
      <c r="I1426" s="61"/>
      <c r="J1426" s="61"/>
      <c r="K1426" s="61"/>
      <c r="L1426" s="73" t="str">
        <f>IF($E1426="","",DATE(YEAR($E1426),MONTH($E1426),1))</f>
        <v/>
      </c>
      <c r="M1426" s="65" t="str">
        <f ca="1">IF($D1426="","",IF($C1426="TANIMSIZ MÜŞTERİ","HATA",IF(OR($E1426="",$F1426&lt;=0,$G1426=""),"EKSİK",IF($E1426&gt;TODAY(),"İLERİ TARİH",IF(COUNTIF($S$7:$S$2503,$S1426)&gt;1,"MÜKERRER?",IF($T1426&gt;0,"KAPALI DÖNEM","UYGUN"))))))</f>
        <v/>
      </c>
      <c r="N1426" s="74" t="str">
        <f>IF($C1426="","",IF($C1426="TANIMSIZ MÜŞTERİ","—",INDEX(MUSTERILER!$C$7:$C$156,MATCH($C1426,MUSTERILER!$B$7:$B$156,0))))</f>
        <v/>
      </c>
      <c r="O1426" s="2"/>
      <c r="P1426" s="2"/>
      <c r="Q1426" s="1" t="str">
        <f>IF($D1426="","",$C1426&amp;"|"&amp;COUNTIFS($C$7:$C1426,$C1426))</f>
        <v/>
      </c>
      <c r="R1426" s="1" t="str">
        <f t="shared" si="44"/>
        <v/>
      </c>
      <c r="S1426" s="1" t="str">
        <f t="shared" si="45"/>
        <v/>
      </c>
      <c r="T1426" s="1">
        <f>IF($E1426="",0,SUMPRODUCT((AY_SONU!$O$7:$O$42="Evet")*(AY_SONU!$B$7:$B$42=DATE(YEAR($E1426),MONTH($E1426),1))))</f>
        <v>0</v>
      </c>
      <c r="U1426" s="1" t="str">
        <f>IF(OR($G1426="",$H1426="Mahsup"),"",$G1426&amp;"|"&amp;COUNTIFS($G$7:$G1426,$G1426,$H$7:$H1426,"&lt;&gt;Mahsup"))</f>
        <v/>
      </c>
    </row>
    <row r="1427" spans="1:21" ht="18" customHeight="1" x14ac:dyDescent="0.3">
      <c r="A1427" s="2"/>
      <c r="B1427" s="65" t="str">
        <f>IF($D1427="","","T"&amp;TEXT(ROW()-6,"00000"))</f>
        <v/>
      </c>
      <c r="C1427" s="65" t="str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61"/>
      <c r="E1427" s="66"/>
      <c r="F1427" s="67"/>
      <c r="G1427" s="60"/>
      <c r="H1427" s="60"/>
      <c r="I1427" s="61"/>
      <c r="J1427" s="61"/>
      <c r="K1427" s="61"/>
      <c r="L1427" s="73" t="str">
        <f>IF($E1427="","",DATE(YEAR($E1427),MONTH($E1427),1))</f>
        <v/>
      </c>
      <c r="M1427" s="65" t="str">
        <f ca="1">IF($D1427="","",IF($C1427="TANIMSIZ MÜŞTERİ","HATA",IF(OR($E1427="",$F1427&lt;=0,$G1427=""),"EKSİK",IF($E1427&gt;TODAY(),"İLERİ TARİH",IF(COUNTIF($S$7:$S$2503,$S1427)&gt;1,"MÜKERRER?",IF($T1427&gt;0,"KAPALI DÖNEM","UYGUN"))))))</f>
        <v/>
      </c>
      <c r="N1427" s="74" t="str">
        <f>IF($C1427="","",IF($C1427="TANIMSIZ MÜŞTERİ","—",INDEX(MUSTERILER!$C$7:$C$156,MATCH($C1427,MUSTERILER!$B$7:$B$156,0))))</f>
        <v/>
      </c>
      <c r="O1427" s="2"/>
      <c r="P1427" s="2"/>
      <c r="Q1427" s="1" t="str">
        <f>IF($D1427="","",$C1427&amp;"|"&amp;COUNTIFS($C$7:$C1427,$C1427))</f>
        <v/>
      </c>
      <c r="R1427" s="1" t="str">
        <f t="shared" si="44"/>
        <v/>
      </c>
      <c r="S1427" s="1" t="str">
        <f t="shared" si="45"/>
        <v/>
      </c>
      <c r="T1427" s="1">
        <f>IF($E1427="",0,SUMPRODUCT((AY_SONU!$O$7:$O$42="Evet")*(AY_SONU!$B$7:$B$42=DATE(YEAR($E1427),MONTH($E1427),1))))</f>
        <v>0</v>
      </c>
      <c r="U1427" s="1" t="str">
        <f>IF(OR($G1427="",$H1427="Mahsup"),"",$G1427&amp;"|"&amp;COUNTIFS($G$7:$G1427,$G1427,$H$7:$H1427,"&lt;&gt;Mahsup"))</f>
        <v/>
      </c>
    </row>
    <row r="1428" spans="1:21" ht="18" customHeight="1" x14ac:dyDescent="0.3">
      <c r="A1428" s="2"/>
      <c r="B1428" s="65" t="str">
        <f>IF($D1428="","","T"&amp;TEXT(ROW()-6,"00000"))</f>
        <v/>
      </c>
      <c r="C1428" s="65" t="str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61"/>
      <c r="E1428" s="66"/>
      <c r="F1428" s="67"/>
      <c r="G1428" s="60"/>
      <c r="H1428" s="60"/>
      <c r="I1428" s="61"/>
      <c r="J1428" s="61"/>
      <c r="K1428" s="61"/>
      <c r="L1428" s="73" t="str">
        <f>IF($E1428="","",DATE(YEAR($E1428),MONTH($E1428),1))</f>
        <v/>
      </c>
      <c r="M1428" s="65" t="str">
        <f ca="1">IF($D1428="","",IF($C1428="TANIMSIZ MÜŞTERİ","HATA",IF(OR($E1428="",$F1428&lt;=0,$G1428=""),"EKSİK",IF($E1428&gt;TODAY(),"İLERİ TARİH",IF(COUNTIF($S$7:$S$2503,$S1428)&gt;1,"MÜKERRER?",IF($T1428&gt;0,"KAPALI DÖNEM","UYGUN"))))))</f>
        <v/>
      </c>
      <c r="N1428" s="74" t="str">
        <f>IF($C1428="","",IF($C1428="TANIMSIZ MÜŞTERİ","—",INDEX(MUSTERILER!$C$7:$C$156,MATCH($C1428,MUSTERILER!$B$7:$B$156,0))))</f>
        <v/>
      </c>
      <c r="O1428" s="2"/>
      <c r="P1428" s="2"/>
      <c r="Q1428" s="1" t="str">
        <f>IF($D1428="","",$C1428&amp;"|"&amp;COUNTIFS($C$7:$C1428,$C1428))</f>
        <v/>
      </c>
      <c r="R1428" s="1" t="str">
        <f t="shared" si="44"/>
        <v/>
      </c>
      <c r="S1428" s="1" t="str">
        <f t="shared" si="45"/>
        <v/>
      </c>
      <c r="T1428" s="1">
        <f>IF($E1428="",0,SUMPRODUCT((AY_SONU!$O$7:$O$42="Evet")*(AY_SONU!$B$7:$B$42=DATE(YEAR($E1428),MONTH($E1428),1))))</f>
        <v>0</v>
      </c>
      <c r="U1428" s="1" t="str">
        <f>IF(OR($G1428="",$H1428="Mahsup"),"",$G1428&amp;"|"&amp;COUNTIFS($G$7:$G1428,$G1428,$H$7:$H1428,"&lt;&gt;Mahsup"))</f>
        <v/>
      </c>
    </row>
    <row r="1429" spans="1:21" ht="18" customHeight="1" x14ac:dyDescent="0.3">
      <c r="A1429" s="2"/>
      <c r="B1429" s="65" t="str">
        <f>IF($D1429="","","T"&amp;TEXT(ROW()-6,"00000"))</f>
        <v/>
      </c>
      <c r="C1429" s="65" t="str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61"/>
      <c r="E1429" s="66"/>
      <c r="F1429" s="67"/>
      <c r="G1429" s="60"/>
      <c r="H1429" s="60"/>
      <c r="I1429" s="61"/>
      <c r="J1429" s="61"/>
      <c r="K1429" s="61"/>
      <c r="L1429" s="73" t="str">
        <f>IF($E1429="","",DATE(YEAR($E1429),MONTH($E1429),1))</f>
        <v/>
      </c>
      <c r="M1429" s="65" t="str">
        <f ca="1">IF($D1429="","",IF($C1429="TANIMSIZ MÜŞTERİ","HATA",IF(OR($E1429="",$F1429&lt;=0,$G1429=""),"EKSİK",IF($E1429&gt;TODAY(),"İLERİ TARİH",IF(COUNTIF($S$7:$S$2503,$S1429)&gt;1,"MÜKERRER?",IF($T1429&gt;0,"KAPALI DÖNEM","UYGUN"))))))</f>
        <v/>
      </c>
      <c r="N1429" s="74" t="str">
        <f>IF($C1429="","",IF($C1429="TANIMSIZ MÜŞTERİ","—",INDEX(MUSTERILER!$C$7:$C$156,MATCH($C1429,MUSTERILER!$B$7:$B$156,0))))</f>
        <v/>
      </c>
      <c r="O1429" s="2"/>
      <c r="P1429" s="2"/>
      <c r="Q1429" s="1" t="str">
        <f>IF($D1429="","",$C1429&amp;"|"&amp;COUNTIFS($C$7:$C1429,$C1429))</f>
        <v/>
      </c>
      <c r="R1429" s="1" t="str">
        <f t="shared" si="44"/>
        <v/>
      </c>
      <c r="S1429" s="1" t="str">
        <f t="shared" si="45"/>
        <v/>
      </c>
      <c r="T1429" s="1">
        <f>IF($E1429="",0,SUMPRODUCT((AY_SONU!$O$7:$O$42="Evet")*(AY_SONU!$B$7:$B$42=DATE(YEAR($E1429),MONTH($E1429),1))))</f>
        <v>0</v>
      </c>
      <c r="U1429" s="1" t="str">
        <f>IF(OR($G1429="",$H1429="Mahsup"),"",$G1429&amp;"|"&amp;COUNTIFS($G$7:$G1429,$G1429,$H$7:$H1429,"&lt;&gt;Mahsup"))</f>
        <v/>
      </c>
    </row>
    <row r="1430" spans="1:21" ht="18" customHeight="1" x14ac:dyDescent="0.3">
      <c r="A1430" s="2"/>
      <c r="B1430" s="65" t="str">
        <f>IF($D1430="","","T"&amp;TEXT(ROW()-6,"00000"))</f>
        <v/>
      </c>
      <c r="C1430" s="65" t="str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61"/>
      <c r="E1430" s="66"/>
      <c r="F1430" s="67"/>
      <c r="G1430" s="60"/>
      <c r="H1430" s="60"/>
      <c r="I1430" s="61"/>
      <c r="J1430" s="61"/>
      <c r="K1430" s="61"/>
      <c r="L1430" s="73" t="str">
        <f>IF($E1430="","",DATE(YEAR($E1430),MONTH($E1430),1))</f>
        <v/>
      </c>
      <c r="M1430" s="65" t="str">
        <f ca="1">IF($D1430="","",IF($C1430="TANIMSIZ MÜŞTERİ","HATA",IF(OR($E1430="",$F1430&lt;=0,$G1430=""),"EKSİK",IF($E1430&gt;TODAY(),"İLERİ TARİH",IF(COUNTIF($S$7:$S$2503,$S1430)&gt;1,"MÜKERRER?",IF($T1430&gt;0,"KAPALI DÖNEM","UYGUN"))))))</f>
        <v/>
      </c>
      <c r="N1430" s="74" t="str">
        <f>IF($C1430="","",IF($C1430="TANIMSIZ MÜŞTERİ","—",INDEX(MUSTERILER!$C$7:$C$156,MATCH($C1430,MUSTERILER!$B$7:$B$156,0))))</f>
        <v/>
      </c>
      <c r="O1430" s="2"/>
      <c r="P1430" s="2"/>
      <c r="Q1430" s="1" t="str">
        <f>IF($D1430="","",$C1430&amp;"|"&amp;COUNTIFS($C$7:$C1430,$C1430))</f>
        <v/>
      </c>
      <c r="R1430" s="1" t="str">
        <f t="shared" si="44"/>
        <v/>
      </c>
      <c r="S1430" s="1" t="str">
        <f t="shared" si="45"/>
        <v/>
      </c>
      <c r="T1430" s="1">
        <f>IF($E1430="",0,SUMPRODUCT((AY_SONU!$O$7:$O$42="Evet")*(AY_SONU!$B$7:$B$42=DATE(YEAR($E1430),MONTH($E1430),1))))</f>
        <v>0</v>
      </c>
      <c r="U1430" s="1" t="str">
        <f>IF(OR($G1430="",$H1430="Mahsup"),"",$G1430&amp;"|"&amp;COUNTIFS($G$7:$G1430,$G1430,$H$7:$H1430,"&lt;&gt;Mahsup"))</f>
        <v/>
      </c>
    </row>
    <row r="1431" spans="1:21" ht="18" customHeight="1" x14ac:dyDescent="0.3">
      <c r="A1431" s="2"/>
      <c r="B1431" s="65" t="str">
        <f>IF($D1431="","","T"&amp;TEXT(ROW()-6,"00000"))</f>
        <v/>
      </c>
      <c r="C1431" s="65" t="str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61"/>
      <c r="E1431" s="66"/>
      <c r="F1431" s="67"/>
      <c r="G1431" s="60"/>
      <c r="H1431" s="60"/>
      <c r="I1431" s="61"/>
      <c r="J1431" s="61"/>
      <c r="K1431" s="61"/>
      <c r="L1431" s="73" t="str">
        <f>IF($E1431="","",DATE(YEAR($E1431),MONTH($E1431),1))</f>
        <v/>
      </c>
      <c r="M1431" s="65" t="str">
        <f ca="1">IF($D1431="","",IF($C1431="TANIMSIZ MÜŞTERİ","HATA",IF(OR($E1431="",$F1431&lt;=0,$G1431=""),"EKSİK",IF($E1431&gt;TODAY(),"İLERİ TARİH",IF(COUNTIF($S$7:$S$2503,$S1431)&gt;1,"MÜKERRER?",IF($T1431&gt;0,"KAPALI DÖNEM","UYGUN"))))))</f>
        <v/>
      </c>
      <c r="N1431" s="74" t="str">
        <f>IF($C1431="","",IF($C1431="TANIMSIZ MÜŞTERİ","—",INDEX(MUSTERILER!$C$7:$C$156,MATCH($C1431,MUSTERILER!$B$7:$B$156,0))))</f>
        <v/>
      </c>
      <c r="O1431" s="2"/>
      <c r="P1431" s="2"/>
      <c r="Q1431" s="1" t="str">
        <f>IF($D1431="","",$C1431&amp;"|"&amp;COUNTIFS($C$7:$C1431,$C1431))</f>
        <v/>
      </c>
      <c r="R1431" s="1" t="str">
        <f t="shared" si="44"/>
        <v/>
      </c>
      <c r="S1431" s="1" t="str">
        <f t="shared" si="45"/>
        <v/>
      </c>
      <c r="T1431" s="1">
        <f>IF($E1431="",0,SUMPRODUCT((AY_SONU!$O$7:$O$42="Evet")*(AY_SONU!$B$7:$B$42=DATE(YEAR($E1431),MONTH($E1431),1))))</f>
        <v>0</v>
      </c>
      <c r="U1431" s="1" t="str">
        <f>IF(OR($G1431="",$H1431="Mahsup"),"",$G1431&amp;"|"&amp;COUNTIFS($G$7:$G1431,$G1431,$H$7:$H1431,"&lt;&gt;Mahsup"))</f>
        <v/>
      </c>
    </row>
    <row r="1432" spans="1:21" ht="18" customHeight="1" x14ac:dyDescent="0.3">
      <c r="A1432" s="2"/>
      <c r="B1432" s="65" t="str">
        <f>IF($D1432="","","T"&amp;TEXT(ROW()-6,"00000"))</f>
        <v/>
      </c>
      <c r="C1432" s="65" t="str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61"/>
      <c r="E1432" s="66"/>
      <c r="F1432" s="67"/>
      <c r="G1432" s="60"/>
      <c r="H1432" s="60"/>
      <c r="I1432" s="61"/>
      <c r="J1432" s="61"/>
      <c r="K1432" s="61"/>
      <c r="L1432" s="73" t="str">
        <f>IF($E1432="","",DATE(YEAR($E1432),MONTH($E1432),1))</f>
        <v/>
      </c>
      <c r="M1432" s="65" t="str">
        <f ca="1">IF($D1432="","",IF($C1432="TANIMSIZ MÜŞTERİ","HATA",IF(OR($E1432="",$F1432&lt;=0,$G1432=""),"EKSİK",IF($E1432&gt;TODAY(),"İLERİ TARİH",IF(COUNTIF($S$7:$S$2503,$S1432)&gt;1,"MÜKERRER?",IF($T1432&gt;0,"KAPALI DÖNEM","UYGUN"))))))</f>
        <v/>
      </c>
      <c r="N1432" s="74" t="str">
        <f>IF($C1432="","",IF($C1432="TANIMSIZ MÜŞTERİ","—",INDEX(MUSTERILER!$C$7:$C$156,MATCH($C1432,MUSTERILER!$B$7:$B$156,0))))</f>
        <v/>
      </c>
      <c r="O1432" s="2"/>
      <c r="P1432" s="2"/>
      <c r="Q1432" s="1" t="str">
        <f>IF($D1432="","",$C1432&amp;"|"&amp;COUNTIFS($C$7:$C1432,$C1432))</f>
        <v/>
      </c>
      <c r="R1432" s="1" t="str">
        <f t="shared" si="44"/>
        <v/>
      </c>
      <c r="S1432" s="1" t="str">
        <f t="shared" si="45"/>
        <v/>
      </c>
      <c r="T1432" s="1">
        <f>IF($E1432="",0,SUMPRODUCT((AY_SONU!$O$7:$O$42="Evet")*(AY_SONU!$B$7:$B$42=DATE(YEAR($E1432),MONTH($E1432),1))))</f>
        <v>0</v>
      </c>
      <c r="U1432" s="1" t="str">
        <f>IF(OR($G1432="",$H1432="Mahsup"),"",$G1432&amp;"|"&amp;COUNTIFS($G$7:$G1432,$G1432,$H$7:$H1432,"&lt;&gt;Mahsup"))</f>
        <v/>
      </c>
    </row>
    <row r="1433" spans="1:21" ht="18" customHeight="1" x14ac:dyDescent="0.3">
      <c r="A1433" s="2"/>
      <c r="B1433" s="65" t="str">
        <f>IF($D1433="","","T"&amp;TEXT(ROW()-6,"00000"))</f>
        <v/>
      </c>
      <c r="C1433" s="65" t="str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61"/>
      <c r="E1433" s="66"/>
      <c r="F1433" s="67"/>
      <c r="G1433" s="60"/>
      <c r="H1433" s="60"/>
      <c r="I1433" s="61"/>
      <c r="J1433" s="61"/>
      <c r="K1433" s="61"/>
      <c r="L1433" s="73" t="str">
        <f>IF($E1433="","",DATE(YEAR($E1433),MONTH($E1433),1))</f>
        <v/>
      </c>
      <c r="M1433" s="65" t="str">
        <f ca="1">IF($D1433="","",IF($C1433="TANIMSIZ MÜŞTERİ","HATA",IF(OR($E1433="",$F1433&lt;=0,$G1433=""),"EKSİK",IF($E1433&gt;TODAY(),"İLERİ TARİH",IF(COUNTIF($S$7:$S$2503,$S1433)&gt;1,"MÜKERRER?",IF($T1433&gt;0,"KAPALI DÖNEM","UYGUN"))))))</f>
        <v/>
      </c>
      <c r="N1433" s="74" t="str">
        <f>IF($C1433="","",IF($C1433="TANIMSIZ MÜŞTERİ","—",INDEX(MUSTERILER!$C$7:$C$156,MATCH($C1433,MUSTERILER!$B$7:$B$156,0))))</f>
        <v/>
      </c>
      <c r="O1433" s="2"/>
      <c r="P1433" s="2"/>
      <c r="Q1433" s="1" t="str">
        <f>IF($D1433="","",$C1433&amp;"|"&amp;COUNTIFS($C$7:$C1433,$C1433))</f>
        <v/>
      </c>
      <c r="R1433" s="1" t="str">
        <f t="shared" si="44"/>
        <v/>
      </c>
      <c r="S1433" s="1" t="str">
        <f t="shared" si="45"/>
        <v/>
      </c>
      <c r="T1433" s="1">
        <f>IF($E1433="",0,SUMPRODUCT((AY_SONU!$O$7:$O$42="Evet")*(AY_SONU!$B$7:$B$42=DATE(YEAR($E1433),MONTH($E1433),1))))</f>
        <v>0</v>
      </c>
      <c r="U1433" s="1" t="str">
        <f>IF(OR($G1433="",$H1433="Mahsup"),"",$G1433&amp;"|"&amp;COUNTIFS($G$7:$G1433,$G1433,$H$7:$H1433,"&lt;&gt;Mahsup"))</f>
        <v/>
      </c>
    </row>
    <row r="1434" spans="1:21" ht="18" customHeight="1" x14ac:dyDescent="0.3">
      <c r="A1434" s="2"/>
      <c r="B1434" s="65" t="str">
        <f>IF($D1434="","","T"&amp;TEXT(ROW()-6,"00000"))</f>
        <v/>
      </c>
      <c r="C1434" s="65" t="str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61"/>
      <c r="E1434" s="66"/>
      <c r="F1434" s="67"/>
      <c r="G1434" s="60"/>
      <c r="H1434" s="60"/>
      <c r="I1434" s="61"/>
      <c r="J1434" s="61"/>
      <c r="K1434" s="61"/>
      <c r="L1434" s="73" t="str">
        <f>IF($E1434="","",DATE(YEAR($E1434),MONTH($E1434),1))</f>
        <v/>
      </c>
      <c r="M1434" s="65" t="str">
        <f ca="1">IF($D1434="","",IF($C1434="TANIMSIZ MÜŞTERİ","HATA",IF(OR($E1434="",$F1434&lt;=0,$G1434=""),"EKSİK",IF($E1434&gt;TODAY(),"İLERİ TARİH",IF(COUNTIF($S$7:$S$2503,$S1434)&gt;1,"MÜKERRER?",IF($T1434&gt;0,"KAPALI DÖNEM","UYGUN"))))))</f>
        <v/>
      </c>
      <c r="N1434" s="74" t="str">
        <f>IF($C1434="","",IF($C1434="TANIMSIZ MÜŞTERİ","—",INDEX(MUSTERILER!$C$7:$C$156,MATCH($C1434,MUSTERILER!$B$7:$B$156,0))))</f>
        <v/>
      </c>
      <c r="O1434" s="2"/>
      <c r="P1434" s="2"/>
      <c r="Q1434" s="1" t="str">
        <f>IF($D1434="","",$C1434&amp;"|"&amp;COUNTIFS($C$7:$C1434,$C1434))</f>
        <v/>
      </c>
      <c r="R1434" s="1" t="str">
        <f t="shared" si="44"/>
        <v/>
      </c>
      <c r="S1434" s="1" t="str">
        <f t="shared" si="45"/>
        <v/>
      </c>
      <c r="T1434" s="1">
        <f>IF($E1434="",0,SUMPRODUCT((AY_SONU!$O$7:$O$42="Evet")*(AY_SONU!$B$7:$B$42=DATE(YEAR($E1434),MONTH($E1434),1))))</f>
        <v>0</v>
      </c>
      <c r="U1434" s="1" t="str">
        <f>IF(OR($G1434="",$H1434="Mahsup"),"",$G1434&amp;"|"&amp;COUNTIFS($G$7:$G1434,$G1434,$H$7:$H1434,"&lt;&gt;Mahsup"))</f>
        <v/>
      </c>
    </row>
    <row r="1435" spans="1:21" ht="18" customHeight="1" x14ac:dyDescent="0.3">
      <c r="A1435" s="2"/>
      <c r="B1435" s="65" t="str">
        <f>IF($D1435="","","T"&amp;TEXT(ROW()-6,"00000"))</f>
        <v/>
      </c>
      <c r="C1435" s="65" t="str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61"/>
      <c r="E1435" s="66"/>
      <c r="F1435" s="67"/>
      <c r="G1435" s="60"/>
      <c r="H1435" s="60"/>
      <c r="I1435" s="61"/>
      <c r="J1435" s="61"/>
      <c r="K1435" s="61"/>
      <c r="L1435" s="73" t="str">
        <f>IF($E1435="","",DATE(YEAR($E1435),MONTH($E1435),1))</f>
        <v/>
      </c>
      <c r="M1435" s="65" t="str">
        <f ca="1">IF($D1435="","",IF($C1435="TANIMSIZ MÜŞTERİ","HATA",IF(OR($E1435="",$F1435&lt;=0,$G1435=""),"EKSİK",IF($E1435&gt;TODAY(),"İLERİ TARİH",IF(COUNTIF($S$7:$S$2503,$S1435)&gt;1,"MÜKERRER?",IF($T1435&gt;0,"KAPALI DÖNEM","UYGUN"))))))</f>
        <v/>
      </c>
      <c r="N1435" s="74" t="str">
        <f>IF($C1435="","",IF($C1435="TANIMSIZ MÜŞTERİ","—",INDEX(MUSTERILER!$C$7:$C$156,MATCH($C1435,MUSTERILER!$B$7:$B$156,0))))</f>
        <v/>
      </c>
      <c r="O1435" s="2"/>
      <c r="P1435" s="2"/>
      <c r="Q1435" s="1" t="str">
        <f>IF($D1435="","",$C1435&amp;"|"&amp;COUNTIFS($C$7:$C1435,$C1435))</f>
        <v/>
      </c>
      <c r="R1435" s="1" t="str">
        <f t="shared" si="44"/>
        <v/>
      </c>
      <c r="S1435" s="1" t="str">
        <f t="shared" si="45"/>
        <v/>
      </c>
      <c r="T1435" s="1">
        <f>IF($E1435="",0,SUMPRODUCT((AY_SONU!$O$7:$O$42="Evet")*(AY_SONU!$B$7:$B$42=DATE(YEAR($E1435),MONTH($E1435),1))))</f>
        <v>0</v>
      </c>
      <c r="U1435" s="1" t="str">
        <f>IF(OR($G1435="",$H1435="Mahsup"),"",$G1435&amp;"|"&amp;COUNTIFS($G$7:$G1435,$G1435,$H$7:$H1435,"&lt;&gt;Mahsup"))</f>
        <v/>
      </c>
    </row>
    <row r="1436" spans="1:21" ht="18" customHeight="1" x14ac:dyDescent="0.3">
      <c r="A1436" s="2"/>
      <c r="B1436" s="65" t="str">
        <f>IF($D1436="","","T"&amp;TEXT(ROW()-6,"00000"))</f>
        <v/>
      </c>
      <c r="C1436" s="65" t="str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61"/>
      <c r="E1436" s="66"/>
      <c r="F1436" s="67"/>
      <c r="G1436" s="60"/>
      <c r="H1436" s="60"/>
      <c r="I1436" s="61"/>
      <c r="J1436" s="61"/>
      <c r="K1436" s="61"/>
      <c r="L1436" s="73" t="str">
        <f>IF($E1436="","",DATE(YEAR($E1436),MONTH($E1436),1))</f>
        <v/>
      </c>
      <c r="M1436" s="65" t="str">
        <f ca="1">IF($D1436="","",IF($C1436="TANIMSIZ MÜŞTERİ","HATA",IF(OR($E1436="",$F1436&lt;=0,$G1436=""),"EKSİK",IF($E1436&gt;TODAY(),"İLERİ TARİH",IF(COUNTIF($S$7:$S$2503,$S1436)&gt;1,"MÜKERRER?",IF($T1436&gt;0,"KAPALI DÖNEM","UYGUN"))))))</f>
        <v/>
      </c>
      <c r="N1436" s="74" t="str">
        <f>IF($C1436="","",IF($C1436="TANIMSIZ MÜŞTERİ","—",INDEX(MUSTERILER!$C$7:$C$156,MATCH($C1436,MUSTERILER!$B$7:$B$156,0))))</f>
        <v/>
      </c>
      <c r="O1436" s="2"/>
      <c r="P1436" s="2"/>
      <c r="Q1436" s="1" t="str">
        <f>IF($D1436="","",$C1436&amp;"|"&amp;COUNTIFS($C$7:$C1436,$C1436))</f>
        <v/>
      </c>
      <c r="R1436" s="1" t="str">
        <f t="shared" si="44"/>
        <v/>
      </c>
      <c r="S1436" s="1" t="str">
        <f t="shared" si="45"/>
        <v/>
      </c>
      <c r="T1436" s="1">
        <f>IF($E1436="",0,SUMPRODUCT((AY_SONU!$O$7:$O$42="Evet")*(AY_SONU!$B$7:$B$42=DATE(YEAR($E1436),MONTH($E1436),1))))</f>
        <v>0</v>
      </c>
      <c r="U1436" s="1" t="str">
        <f>IF(OR($G1436="",$H1436="Mahsup"),"",$G1436&amp;"|"&amp;COUNTIFS($G$7:$G1436,$G1436,$H$7:$H1436,"&lt;&gt;Mahsup"))</f>
        <v/>
      </c>
    </row>
    <row r="1437" spans="1:21" ht="18" customHeight="1" x14ac:dyDescent="0.3">
      <c r="A1437" s="2"/>
      <c r="B1437" s="65" t="str">
        <f>IF($D1437="","","T"&amp;TEXT(ROW()-6,"00000"))</f>
        <v/>
      </c>
      <c r="C1437" s="65" t="str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61"/>
      <c r="E1437" s="66"/>
      <c r="F1437" s="67"/>
      <c r="G1437" s="60"/>
      <c r="H1437" s="60"/>
      <c r="I1437" s="61"/>
      <c r="J1437" s="61"/>
      <c r="K1437" s="61"/>
      <c r="L1437" s="73" t="str">
        <f>IF($E1437="","",DATE(YEAR($E1437),MONTH($E1437),1))</f>
        <v/>
      </c>
      <c r="M1437" s="65" t="str">
        <f ca="1">IF($D1437="","",IF($C1437="TANIMSIZ MÜŞTERİ","HATA",IF(OR($E1437="",$F1437&lt;=0,$G1437=""),"EKSİK",IF($E1437&gt;TODAY(),"İLERİ TARİH",IF(COUNTIF($S$7:$S$2503,$S1437)&gt;1,"MÜKERRER?",IF($T1437&gt;0,"KAPALI DÖNEM","UYGUN"))))))</f>
        <v/>
      </c>
      <c r="N1437" s="74" t="str">
        <f>IF($C1437="","",IF($C1437="TANIMSIZ MÜŞTERİ","—",INDEX(MUSTERILER!$C$7:$C$156,MATCH($C1437,MUSTERILER!$B$7:$B$156,0))))</f>
        <v/>
      </c>
      <c r="O1437" s="2"/>
      <c r="P1437" s="2"/>
      <c r="Q1437" s="1" t="str">
        <f>IF($D1437="","",$C1437&amp;"|"&amp;COUNTIFS($C$7:$C1437,$C1437))</f>
        <v/>
      </c>
      <c r="R1437" s="1" t="str">
        <f t="shared" si="44"/>
        <v/>
      </c>
      <c r="S1437" s="1" t="str">
        <f t="shared" si="45"/>
        <v/>
      </c>
      <c r="T1437" s="1">
        <f>IF($E1437="",0,SUMPRODUCT((AY_SONU!$O$7:$O$42="Evet")*(AY_SONU!$B$7:$B$42=DATE(YEAR($E1437),MONTH($E1437),1))))</f>
        <v>0</v>
      </c>
      <c r="U1437" s="1" t="str">
        <f>IF(OR($G1437="",$H1437="Mahsup"),"",$G1437&amp;"|"&amp;COUNTIFS($G$7:$G1437,$G1437,$H$7:$H1437,"&lt;&gt;Mahsup"))</f>
        <v/>
      </c>
    </row>
    <row r="1438" spans="1:21" ht="18" customHeight="1" x14ac:dyDescent="0.3">
      <c r="A1438" s="2"/>
      <c r="B1438" s="65" t="str">
        <f>IF($D1438="","","T"&amp;TEXT(ROW()-6,"00000"))</f>
        <v/>
      </c>
      <c r="C1438" s="65" t="str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61"/>
      <c r="E1438" s="66"/>
      <c r="F1438" s="67"/>
      <c r="G1438" s="60"/>
      <c r="H1438" s="60"/>
      <c r="I1438" s="61"/>
      <c r="J1438" s="61"/>
      <c r="K1438" s="61"/>
      <c r="L1438" s="73" t="str">
        <f>IF($E1438="","",DATE(YEAR($E1438),MONTH($E1438),1))</f>
        <v/>
      </c>
      <c r="M1438" s="65" t="str">
        <f ca="1">IF($D1438="","",IF($C1438="TANIMSIZ MÜŞTERİ","HATA",IF(OR($E1438="",$F1438&lt;=0,$G1438=""),"EKSİK",IF($E1438&gt;TODAY(),"İLERİ TARİH",IF(COUNTIF($S$7:$S$2503,$S1438)&gt;1,"MÜKERRER?",IF($T1438&gt;0,"KAPALI DÖNEM","UYGUN"))))))</f>
        <v/>
      </c>
      <c r="N1438" s="74" t="str">
        <f>IF($C1438="","",IF($C1438="TANIMSIZ MÜŞTERİ","—",INDEX(MUSTERILER!$C$7:$C$156,MATCH($C1438,MUSTERILER!$B$7:$B$156,0))))</f>
        <v/>
      </c>
      <c r="O1438" s="2"/>
      <c r="P1438" s="2"/>
      <c r="Q1438" s="1" t="str">
        <f>IF($D1438="","",$C1438&amp;"|"&amp;COUNTIFS($C$7:$C1438,$C1438))</f>
        <v/>
      </c>
      <c r="R1438" s="1" t="str">
        <f t="shared" si="44"/>
        <v/>
      </c>
      <c r="S1438" s="1" t="str">
        <f t="shared" si="45"/>
        <v/>
      </c>
      <c r="T1438" s="1">
        <f>IF($E1438="",0,SUMPRODUCT((AY_SONU!$O$7:$O$42="Evet")*(AY_SONU!$B$7:$B$42=DATE(YEAR($E1438),MONTH($E1438),1))))</f>
        <v>0</v>
      </c>
      <c r="U1438" s="1" t="str">
        <f>IF(OR($G1438="",$H1438="Mahsup"),"",$G1438&amp;"|"&amp;COUNTIFS($G$7:$G1438,$G1438,$H$7:$H1438,"&lt;&gt;Mahsup"))</f>
        <v/>
      </c>
    </row>
    <row r="1439" spans="1:21" ht="18" customHeight="1" x14ac:dyDescent="0.3">
      <c r="A1439" s="2"/>
      <c r="B1439" s="65" t="str">
        <f>IF($D1439="","","T"&amp;TEXT(ROW()-6,"00000"))</f>
        <v/>
      </c>
      <c r="C1439" s="65" t="str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61"/>
      <c r="E1439" s="66"/>
      <c r="F1439" s="67"/>
      <c r="G1439" s="60"/>
      <c r="H1439" s="60"/>
      <c r="I1439" s="61"/>
      <c r="J1439" s="61"/>
      <c r="K1439" s="61"/>
      <c r="L1439" s="73" t="str">
        <f>IF($E1439="","",DATE(YEAR($E1439),MONTH($E1439),1))</f>
        <v/>
      </c>
      <c r="M1439" s="65" t="str">
        <f ca="1">IF($D1439="","",IF($C1439="TANIMSIZ MÜŞTERİ","HATA",IF(OR($E1439="",$F1439&lt;=0,$G1439=""),"EKSİK",IF($E1439&gt;TODAY(),"İLERİ TARİH",IF(COUNTIF($S$7:$S$2503,$S1439)&gt;1,"MÜKERRER?",IF($T1439&gt;0,"KAPALI DÖNEM","UYGUN"))))))</f>
        <v/>
      </c>
      <c r="N1439" s="74" t="str">
        <f>IF($C1439="","",IF($C1439="TANIMSIZ MÜŞTERİ","—",INDEX(MUSTERILER!$C$7:$C$156,MATCH($C1439,MUSTERILER!$B$7:$B$156,0))))</f>
        <v/>
      </c>
      <c r="O1439" s="2"/>
      <c r="P1439" s="2"/>
      <c r="Q1439" s="1" t="str">
        <f>IF($D1439="","",$C1439&amp;"|"&amp;COUNTIFS($C$7:$C1439,$C1439))</f>
        <v/>
      </c>
      <c r="R1439" s="1" t="str">
        <f t="shared" si="44"/>
        <v/>
      </c>
      <c r="S1439" s="1" t="str">
        <f t="shared" si="45"/>
        <v/>
      </c>
      <c r="T1439" s="1">
        <f>IF($E1439="",0,SUMPRODUCT((AY_SONU!$O$7:$O$42="Evet")*(AY_SONU!$B$7:$B$42=DATE(YEAR($E1439),MONTH($E1439),1))))</f>
        <v>0</v>
      </c>
      <c r="U1439" s="1" t="str">
        <f>IF(OR($G1439="",$H1439="Mahsup"),"",$G1439&amp;"|"&amp;COUNTIFS($G$7:$G1439,$G1439,$H$7:$H1439,"&lt;&gt;Mahsup"))</f>
        <v/>
      </c>
    </row>
    <row r="1440" spans="1:21" ht="18" customHeight="1" x14ac:dyDescent="0.3">
      <c r="A1440" s="2"/>
      <c r="B1440" s="65" t="str">
        <f>IF($D1440="","","T"&amp;TEXT(ROW()-6,"00000"))</f>
        <v/>
      </c>
      <c r="C1440" s="65" t="str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61"/>
      <c r="E1440" s="66"/>
      <c r="F1440" s="67"/>
      <c r="G1440" s="60"/>
      <c r="H1440" s="60"/>
      <c r="I1440" s="61"/>
      <c r="J1440" s="61"/>
      <c r="K1440" s="61"/>
      <c r="L1440" s="73" t="str">
        <f>IF($E1440="","",DATE(YEAR($E1440),MONTH($E1440),1))</f>
        <v/>
      </c>
      <c r="M1440" s="65" t="str">
        <f ca="1">IF($D1440="","",IF($C1440="TANIMSIZ MÜŞTERİ","HATA",IF(OR($E1440="",$F1440&lt;=0,$G1440=""),"EKSİK",IF($E1440&gt;TODAY(),"İLERİ TARİH",IF(COUNTIF($S$7:$S$2503,$S1440)&gt;1,"MÜKERRER?",IF($T1440&gt;0,"KAPALI DÖNEM","UYGUN"))))))</f>
        <v/>
      </c>
      <c r="N1440" s="74" t="str">
        <f>IF($C1440="","",IF($C1440="TANIMSIZ MÜŞTERİ","—",INDEX(MUSTERILER!$C$7:$C$156,MATCH($C1440,MUSTERILER!$B$7:$B$156,0))))</f>
        <v/>
      </c>
      <c r="O1440" s="2"/>
      <c r="P1440" s="2"/>
      <c r="Q1440" s="1" t="str">
        <f>IF($D1440="","",$C1440&amp;"|"&amp;COUNTIFS($C$7:$C1440,$C1440))</f>
        <v/>
      </c>
      <c r="R1440" s="1" t="str">
        <f t="shared" si="44"/>
        <v/>
      </c>
      <c r="S1440" s="1" t="str">
        <f t="shared" si="45"/>
        <v/>
      </c>
      <c r="T1440" s="1">
        <f>IF($E1440="",0,SUMPRODUCT((AY_SONU!$O$7:$O$42="Evet")*(AY_SONU!$B$7:$B$42=DATE(YEAR($E1440),MONTH($E1440),1))))</f>
        <v>0</v>
      </c>
      <c r="U1440" s="1" t="str">
        <f>IF(OR($G1440="",$H1440="Mahsup"),"",$G1440&amp;"|"&amp;COUNTIFS($G$7:$G1440,$G1440,$H$7:$H1440,"&lt;&gt;Mahsup"))</f>
        <v/>
      </c>
    </row>
    <row r="1441" spans="1:21" ht="18" customHeight="1" x14ac:dyDescent="0.3">
      <c r="A1441" s="2"/>
      <c r="B1441" s="65" t="str">
        <f>IF($D1441="","","T"&amp;TEXT(ROW()-6,"00000"))</f>
        <v/>
      </c>
      <c r="C1441" s="65" t="str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61"/>
      <c r="E1441" s="66"/>
      <c r="F1441" s="67"/>
      <c r="G1441" s="60"/>
      <c r="H1441" s="60"/>
      <c r="I1441" s="61"/>
      <c r="J1441" s="61"/>
      <c r="K1441" s="61"/>
      <c r="L1441" s="73" t="str">
        <f>IF($E1441="","",DATE(YEAR($E1441),MONTH($E1441),1))</f>
        <v/>
      </c>
      <c r="M1441" s="65" t="str">
        <f ca="1">IF($D1441="","",IF($C1441="TANIMSIZ MÜŞTERİ","HATA",IF(OR($E1441="",$F1441&lt;=0,$G1441=""),"EKSİK",IF($E1441&gt;TODAY(),"İLERİ TARİH",IF(COUNTIF($S$7:$S$2503,$S1441)&gt;1,"MÜKERRER?",IF($T1441&gt;0,"KAPALI DÖNEM","UYGUN"))))))</f>
        <v/>
      </c>
      <c r="N1441" s="74" t="str">
        <f>IF($C1441="","",IF($C1441="TANIMSIZ MÜŞTERİ","—",INDEX(MUSTERILER!$C$7:$C$156,MATCH($C1441,MUSTERILER!$B$7:$B$156,0))))</f>
        <v/>
      </c>
      <c r="O1441" s="2"/>
      <c r="P1441" s="2"/>
      <c r="Q1441" s="1" t="str">
        <f>IF($D1441="","",$C1441&amp;"|"&amp;COUNTIFS($C$7:$C1441,$C1441))</f>
        <v/>
      </c>
      <c r="R1441" s="1" t="str">
        <f t="shared" si="44"/>
        <v/>
      </c>
      <c r="S1441" s="1" t="str">
        <f t="shared" si="45"/>
        <v/>
      </c>
      <c r="T1441" s="1">
        <f>IF($E1441="",0,SUMPRODUCT((AY_SONU!$O$7:$O$42="Evet")*(AY_SONU!$B$7:$B$42=DATE(YEAR($E1441),MONTH($E1441),1))))</f>
        <v>0</v>
      </c>
      <c r="U1441" s="1" t="str">
        <f>IF(OR($G1441="",$H1441="Mahsup"),"",$G1441&amp;"|"&amp;COUNTIFS($G$7:$G1441,$G1441,$H$7:$H1441,"&lt;&gt;Mahsup"))</f>
        <v/>
      </c>
    </row>
    <row r="1442" spans="1:21" ht="18" customHeight="1" x14ac:dyDescent="0.3">
      <c r="A1442" s="2"/>
      <c r="B1442" s="65" t="str">
        <f>IF($D1442="","","T"&amp;TEXT(ROW()-6,"00000"))</f>
        <v/>
      </c>
      <c r="C1442" s="65" t="str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61"/>
      <c r="E1442" s="66"/>
      <c r="F1442" s="67"/>
      <c r="G1442" s="60"/>
      <c r="H1442" s="60"/>
      <c r="I1442" s="61"/>
      <c r="J1442" s="61"/>
      <c r="K1442" s="61"/>
      <c r="L1442" s="73" t="str">
        <f>IF($E1442="","",DATE(YEAR($E1442),MONTH($E1442),1))</f>
        <v/>
      </c>
      <c r="M1442" s="65" t="str">
        <f ca="1">IF($D1442="","",IF($C1442="TANIMSIZ MÜŞTERİ","HATA",IF(OR($E1442="",$F1442&lt;=0,$G1442=""),"EKSİK",IF($E1442&gt;TODAY(),"İLERİ TARİH",IF(COUNTIF($S$7:$S$2503,$S1442)&gt;1,"MÜKERRER?",IF($T1442&gt;0,"KAPALI DÖNEM","UYGUN"))))))</f>
        <v/>
      </c>
      <c r="N1442" s="74" t="str">
        <f>IF($C1442="","",IF($C1442="TANIMSIZ MÜŞTERİ","—",INDEX(MUSTERILER!$C$7:$C$156,MATCH($C1442,MUSTERILER!$B$7:$B$156,0))))</f>
        <v/>
      </c>
      <c r="O1442" s="2"/>
      <c r="P1442" s="2"/>
      <c r="Q1442" s="1" t="str">
        <f>IF($D1442="","",$C1442&amp;"|"&amp;COUNTIFS($C$7:$C1442,$C1442))</f>
        <v/>
      </c>
      <c r="R1442" s="1" t="str">
        <f t="shared" si="44"/>
        <v/>
      </c>
      <c r="S1442" s="1" t="str">
        <f t="shared" si="45"/>
        <v/>
      </c>
      <c r="T1442" s="1">
        <f>IF($E1442="",0,SUMPRODUCT((AY_SONU!$O$7:$O$42="Evet")*(AY_SONU!$B$7:$B$42=DATE(YEAR($E1442),MONTH($E1442),1))))</f>
        <v>0</v>
      </c>
      <c r="U1442" s="1" t="str">
        <f>IF(OR($G1442="",$H1442="Mahsup"),"",$G1442&amp;"|"&amp;COUNTIFS($G$7:$G1442,$G1442,$H$7:$H1442,"&lt;&gt;Mahsup"))</f>
        <v/>
      </c>
    </row>
    <row r="1443" spans="1:21" ht="18" customHeight="1" x14ac:dyDescent="0.3">
      <c r="A1443" s="2"/>
      <c r="B1443" s="65" t="str">
        <f>IF($D1443="","","T"&amp;TEXT(ROW()-6,"00000"))</f>
        <v/>
      </c>
      <c r="C1443" s="65" t="str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61"/>
      <c r="E1443" s="66"/>
      <c r="F1443" s="67"/>
      <c r="G1443" s="60"/>
      <c r="H1443" s="60"/>
      <c r="I1443" s="61"/>
      <c r="J1443" s="61"/>
      <c r="K1443" s="61"/>
      <c r="L1443" s="73" t="str">
        <f>IF($E1443="","",DATE(YEAR($E1443),MONTH($E1443),1))</f>
        <v/>
      </c>
      <c r="M1443" s="65" t="str">
        <f ca="1">IF($D1443="","",IF($C1443="TANIMSIZ MÜŞTERİ","HATA",IF(OR($E1443="",$F1443&lt;=0,$G1443=""),"EKSİK",IF($E1443&gt;TODAY(),"İLERİ TARİH",IF(COUNTIF($S$7:$S$2503,$S1443)&gt;1,"MÜKERRER?",IF($T1443&gt;0,"KAPALI DÖNEM","UYGUN"))))))</f>
        <v/>
      </c>
      <c r="N1443" s="74" t="str">
        <f>IF($C1443="","",IF($C1443="TANIMSIZ MÜŞTERİ","—",INDEX(MUSTERILER!$C$7:$C$156,MATCH($C1443,MUSTERILER!$B$7:$B$156,0))))</f>
        <v/>
      </c>
      <c r="O1443" s="2"/>
      <c r="P1443" s="2"/>
      <c r="Q1443" s="1" t="str">
        <f>IF($D1443="","",$C1443&amp;"|"&amp;COUNTIFS($C$7:$C1443,$C1443))</f>
        <v/>
      </c>
      <c r="R1443" s="1" t="str">
        <f t="shared" si="44"/>
        <v/>
      </c>
      <c r="S1443" s="1" t="str">
        <f t="shared" si="45"/>
        <v/>
      </c>
      <c r="T1443" s="1">
        <f>IF($E1443="",0,SUMPRODUCT((AY_SONU!$O$7:$O$42="Evet")*(AY_SONU!$B$7:$B$42=DATE(YEAR($E1443),MONTH($E1443),1))))</f>
        <v>0</v>
      </c>
      <c r="U1443" s="1" t="str">
        <f>IF(OR($G1443="",$H1443="Mahsup"),"",$G1443&amp;"|"&amp;COUNTIFS($G$7:$G1443,$G1443,$H$7:$H1443,"&lt;&gt;Mahsup"))</f>
        <v/>
      </c>
    </row>
    <row r="1444" spans="1:21" ht="18" customHeight="1" x14ac:dyDescent="0.3">
      <c r="A1444" s="2"/>
      <c r="B1444" s="65" t="str">
        <f>IF($D1444="","","T"&amp;TEXT(ROW()-6,"00000"))</f>
        <v/>
      </c>
      <c r="C1444" s="65" t="str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61"/>
      <c r="E1444" s="66"/>
      <c r="F1444" s="67"/>
      <c r="G1444" s="60"/>
      <c r="H1444" s="60"/>
      <c r="I1444" s="61"/>
      <c r="J1444" s="61"/>
      <c r="K1444" s="61"/>
      <c r="L1444" s="73" t="str">
        <f>IF($E1444="","",DATE(YEAR($E1444),MONTH($E1444),1))</f>
        <v/>
      </c>
      <c r="M1444" s="65" t="str">
        <f ca="1">IF($D1444="","",IF($C1444="TANIMSIZ MÜŞTERİ","HATA",IF(OR($E1444="",$F1444&lt;=0,$G1444=""),"EKSİK",IF($E1444&gt;TODAY(),"İLERİ TARİH",IF(COUNTIF($S$7:$S$2503,$S1444)&gt;1,"MÜKERRER?",IF($T1444&gt;0,"KAPALI DÖNEM","UYGUN"))))))</f>
        <v/>
      </c>
      <c r="N1444" s="74" t="str">
        <f>IF($C1444="","",IF($C1444="TANIMSIZ MÜŞTERİ","—",INDEX(MUSTERILER!$C$7:$C$156,MATCH($C1444,MUSTERILER!$B$7:$B$156,0))))</f>
        <v/>
      </c>
      <c r="O1444" s="2"/>
      <c r="P1444" s="2"/>
      <c r="Q1444" s="1" t="str">
        <f>IF($D1444="","",$C1444&amp;"|"&amp;COUNTIFS($C$7:$C1444,$C1444))</f>
        <v/>
      </c>
      <c r="R1444" s="1" t="str">
        <f t="shared" si="44"/>
        <v/>
      </c>
      <c r="S1444" s="1" t="str">
        <f t="shared" si="45"/>
        <v/>
      </c>
      <c r="T1444" s="1">
        <f>IF($E1444="",0,SUMPRODUCT((AY_SONU!$O$7:$O$42="Evet")*(AY_SONU!$B$7:$B$42=DATE(YEAR($E1444),MONTH($E1444),1))))</f>
        <v>0</v>
      </c>
      <c r="U1444" s="1" t="str">
        <f>IF(OR($G1444="",$H1444="Mahsup"),"",$G1444&amp;"|"&amp;COUNTIFS($G$7:$G1444,$G1444,$H$7:$H1444,"&lt;&gt;Mahsup"))</f>
        <v/>
      </c>
    </row>
    <row r="1445" spans="1:21" ht="18" customHeight="1" x14ac:dyDescent="0.3">
      <c r="A1445" s="2"/>
      <c r="B1445" s="65" t="str">
        <f>IF($D1445="","","T"&amp;TEXT(ROW()-6,"00000"))</f>
        <v/>
      </c>
      <c r="C1445" s="65" t="str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61"/>
      <c r="E1445" s="66"/>
      <c r="F1445" s="67"/>
      <c r="G1445" s="60"/>
      <c r="H1445" s="60"/>
      <c r="I1445" s="61"/>
      <c r="J1445" s="61"/>
      <c r="K1445" s="61"/>
      <c r="L1445" s="73" t="str">
        <f>IF($E1445="","",DATE(YEAR($E1445),MONTH($E1445),1))</f>
        <v/>
      </c>
      <c r="M1445" s="65" t="str">
        <f ca="1">IF($D1445="","",IF($C1445="TANIMSIZ MÜŞTERİ","HATA",IF(OR($E1445="",$F1445&lt;=0,$G1445=""),"EKSİK",IF($E1445&gt;TODAY(),"İLERİ TARİH",IF(COUNTIF($S$7:$S$2503,$S1445)&gt;1,"MÜKERRER?",IF($T1445&gt;0,"KAPALI DÖNEM","UYGUN"))))))</f>
        <v/>
      </c>
      <c r="N1445" s="74" t="str">
        <f>IF($C1445="","",IF($C1445="TANIMSIZ MÜŞTERİ","—",INDEX(MUSTERILER!$C$7:$C$156,MATCH($C1445,MUSTERILER!$B$7:$B$156,0))))</f>
        <v/>
      </c>
      <c r="O1445" s="2"/>
      <c r="P1445" s="2"/>
      <c r="Q1445" s="1" t="str">
        <f>IF($D1445="","",$C1445&amp;"|"&amp;COUNTIFS($C$7:$C1445,$C1445))</f>
        <v/>
      </c>
      <c r="R1445" s="1" t="str">
        <f t="shared" si="44"/>
        <v/>
      </c>
      <c r="S1445" s="1" t="str">
        <f t="shared" si="45"/>
        <v/>
      </c>
      <c r="T1445" s="1">
        <f>IF($E1445="",0,SUMPRODUCT((AY_SONU!$O$7:$O$42="Evet")*(AY_SONU!$B$7:$B$42=DATE(YEAR($E1445),MONTH($E1445),1))))</f>
        <v>0</v>
      </c>
      <c r="U1445" s="1" t="str">
        <f>IF(OR($G1445="",$H1445="Mahsup"),"",$G1445&amp;"|"&amp;COUNTIFS($G$7:$G1445,$G1445,$H$7:$H1445,"&lt;&gt;Mahsup"))</f>
        <v/>
      </c>
    </row>
    <row r="1446" spans="1:21" ht="18" customHeight="1" x14ac:dyDescent="0.3">
      <c r="A1446" s="2"/>
      <c r="B1446" s="65" t="str">
        <f>IF($D1446="","","T"&amp;TEXT(ROW()-6,"00000"))</f>
        <v/>
      </c>
      <c r="C1446" s="65" t="str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61"/>
      <c r="E1446" s="66"/>
      <c r="F1446" s="67"/>
      <c r="G1446" s="60"/>
      <c r="H1446" s="60"/>
      <c r="I1446" s="61"/>
      <c r="J1446" s="61"/>
      <c r="K1446" s="61"/>
      <c r="L1446" s="73" t="str">
        <f>IF($E1446="","",DATE(YEAR($E1446),MONTH($E1446),1))</f>
        <v/>
      </c>
      <c r="M1446" s="65" t="str">
        <f ca="1">IF($D1446="","",IF($C1446="TANIMSIZ MÜŞTERİ","HATA",IF(OR($E1446="",$F1446&lt;=0,$G1446=""),"EKSİK",IF($E1446&gt;TODAY(),"İLERİ TARİH",IF(COUNTIF($S$7:$S$2503,$S1446)&gt;1,"MÜKERRER?",IF($T1446&gt;0,"KAPALI DÖNEM","UYGUN"))))))</f>
        <v/>
      </c>
      <c r="N1446" s="74" t="str">
        <f>IF($C1446="","",IF($C1446="TANIMSIZ MÜŞTERİ","—",INDEX(MUSTERILER!$C$7:$C$156,MATCH($C1446,MUSTERILER!$B$7:$B$156,0))))</f>
        <v/>
      </c>
      <c r="O1446" s="2"/>
      <c r="P1446" s="2"/>
      <c r="Q1446" s="1" t="str">
        <f>IF($D1446="","",$C1446&amp;"|"&amp;COUNTIFS($C$7:$C1446,$C1446))</f>
        <v/>
      </c>
      <c r="R1446" s="1" t="str">
        <f t="shared" si="44"/>
        <v/>
      </c>
      <c r="S1446" s="1" t="str">
        <f t="shared" si="45"/>
        <v/>
      </c>
      <c r="T1446" s="1">
        <f>IF($E1446="",0,SUMPRODUCT((AY_SONU!$O$7:$O$42="Evet")*(AY_SONU!$B$7:$B$42=DATE(YEAR($E1446),MONTH($E1446),1))))</f>
        <v>0</v>
      </c>
      <c r="U1446" s="1" t="str">
        <f>IF(OR($G1446="",$H1446="Mahsup"),"",$G1446&amp;"|"&amp;COUNTIFS($G$7:$G1446,$G1446,$H$7:$H1446,"&lt;&gt;Mahsup"))</f>
        <v/>
      </c>
    </row>
    <row r="1447" spans="1:21" ht="18" customHeight="1" x14ac:dyDescent="0.3">
      <c r="A1447" s="2"/>
      <c r="B1447" s="65" t="str">
        <f>IF($D1447="","","T"&amp;TEXT(ROW()-6,"00000"))</f>
        <v/>
      </c>
      <c r="C1447" s="65" t="str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61"/>
      <c r="E1447" s="66"/>
      <c r="F1447" s="67"/>
      <c r="G1447" s="60"/>
      <c r="H1447" s="60"/>
      <c r="I1447" s="61"/>
      <c r="J1447" s="61"/>
      <c r="K1447" s="61"/>
      <c r="L1447" s="73" t="str">
        <f>IF($E1447="","",DATE(YEAR($E1447),MONTH($E1447),1))</f>
        <v/>
      </c>
      <c r="M1447" s="65" t="str">
        <f ca="1">IF($D1447="","",IF($C1447="TANIMSIZ MÜŞTERİ","HATA",IF(OR($E1447="",$F1447&lt;=0,$G1447=""),"EKSİK",IF($E1447&gt;TODAY(),"İLERİ TARİH",IF(COUNTIF($S$7:$S$2503,$S1447)&gt;1,"MÜKERRER?",IF($T1447&gt;0,"KAPALI DÖNEM","UYGUN"))))))</f>
        <v/>
      </c>
      <c r="N1447" s="74" t="str">
        <f>IF($C1447="","",IF($C1447="TANIMSIZ MÜŞTERİ","—",INDEX(MUSTERILER!$C$7:$C$156,MATCH($C1447,MUSTERILER!$B$7:$B$156,0))))</f>
        <v/>
      </c>
      <c r="O1447" s="2"/>
      <c r="P1447" s="2"/>
      <c r="Q1447" s="1" t="str">
        <f>IF($D1447="","",$C1447&amp;"|"&amp;COUNTIFS($C$7:$C1447,$C1447))</f>
        <v/>
      </c>
      <c r="R1447" s="1" t="str">
        <f t="shared" si="44"/>
        <v/>
      </c>
      <c r="S1447" s="1" t="str">
        <f t="shared" si="45"/>
        <v/>
      </c>
      <c r="T1447" s="1">
        <f>IF($E1447="",0,SUMPRODUCT((AY_SONU!$O$7:$O$42="Evet")*(AY_SONU!$B$7:$B$42=DATE(YEAR($E1447),MONTH($E1447),1))))</f>
        <v>0</v>
      </c>
      <c r="U1447" s="1" t="str">
        <f>IF(OR($G1447="",$H1447="Mahsup"),"",$G1447&amp;"|"&amp;COUNTIFS($G$7:$G1447,$G1447,$H$7:$H1447,"&lt;&gt;Mahsup"))</f>
        <v/>
      </c>
    </row>
    <row r="1448" spans="1:21" ht="18" customHeight="1" x14ac:dyDescent="0.3">
      <c r="A1448" s="2"/>
      <c r="B1448" s="65" t="str">
        <f>IF($D1448="","","T"&amp;TEXT(ROW()-6,"00000"))</f>
        <v/>
      </c>
      <c r="C1448" s="65" t="str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61"/>
      <c r="E1448" s="66"/>
      <c r="F1448" s="67"/>
      <c r="G1448" s="60"/>
      <c r="H1448" s="60"/>
      <c r="I1448" s="61"/>
      <c r="J1448" s="61"/>
      <c r="K1448" s="61"/>
      <c r="L1448" s="73" t="str">
        <f>IF($E1448="","",DATE(YEAR($E1448),MONTH($E1448),1))</f>
        <v/>
      </c>
      <c r="M1448" s="65" t="str">
        <f ca="1">IF($D1448="","",IF($C1448="TANIMSIZ MÜŞTERİ","HATA",IF(OR($E1448="",$F1448&lt;=0,$G1448=""),"EKSİK",IF($E1448&gt;TODAY(),"İLERİ TARİH",IF(COUNTIF($S$7:$S$2503,$S1448)&gt;1,"MÜKERRER?",IF($T1448&gt;0,"KAPALI DÖNEM","UYGUN"))))))</f>
        <v/>
      </c>
      <c r="N1448" s="74" t="str">
        <f>IF($C1448="","",IF($C1448="TANIMSIZ MÜŞTERİ","—",INDEX(MUSTERILER!$C$7:$C$156,MATCH($C1448,MUSTERILER!$B$7:$B$156,0))))</f>
        <v/>
      </c>
      <c r="O1448" s="2"/>
      <c r="P1448" s="2"/>
      <c r="Q1448" s="1" t="str">
        <f>IF($D1448="","",$C1448&amp;"|"&amp;COUNTIFS($C$7:$C1448,$C1448))</f>
        <v/>
      </c>
      <c r="R1448" s="1" t="str">
        <f t="shared" si="44"/>
        <v/>
      </c>
      <c r="S1448" s="1" t="str">
        <f t="shared" si="45"/>
        <v/>
      </c>
      <c r="T1448" s="1">
        <f>IF($E1448="",0,SUMPRODUCT((AY_SONU!$O$7:$O$42="Evet")*(AY_SONU!$B$7:$B$42=DATE(YEAR($E1448),MONTH($E1448),1))))</f>
        <v>0</v>
      </c>
      <c r="U1448" s="1" t="str">
        <f>IF(OR($G1448="",$H1448="Mahsup"),"",$G1448&amp;"|"&amp;COUNTIFS($G$7:$G1448,$G1448,$H$7:$H1448,"&lt;&gt;Mahsup"))</f>
        <v/>
      </c>
    </row>
    <row r="1449" spans="1:21" ht="18" customHeight="1" x14ac:dyDescent="0.3">
      <c r="A1449" s="2"/>
      <c r="B1449" s="65" t="str">
        <f>IF($D1449="","","T"&amp;TEXT(ROW()-6,"00000"))</f>
        <v/>
      </c>
      <c r="C1449" s="65" t="str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61"/>
      <c r="E1449" s="66"/>
      <c r="F1449" s="67"/>
      <c r="G1449" s="60"/>
      <c r="H1449" s="60"/>
      <c r="I1449" s="61"/>
      <c r="J1449" s="61"/>
      <c r="K1449" s="61"/>
      <c r="L1449" s="73" t="str">
        <f>IF($E1449="","",DATE(YEAR($E1449),MONTH($E1449),1))</f>
        <v/>
      </c>
      <c r="M1449" s="65" t="str">
        <f ca="1">IF($D1449="","",IF($C1449="TANIMSIZ MÜŞTERİ","HATA",IF(OR($E1449="",$F1449&lt;=0,$G1449=""),"EKSİK",IF($E1449&gt;TODAY(),"İLERİ TARİH",IF(COUNTIF($S$7:$S$2503,$S1449)&gt;1,"MÜKERRER?",IF($T1449&gt;0,"KAPALI DÖNEM","UYGUN"))))))</f>
        <v/>
      </c>
      <c r="N1449" s="74" t="str">
        <f>IF($C1449="","",IF($C1449="TANIMSIZ MÜŞTERİ","—",INDEX(MUSTERILER!$C$7:$C$156,MATCH($C1449,MUSTERILER!$B$7:$B$156,0))))</f>
        <v/>
      </c>
      <c r="O1449" s="2"/>
      <c r="P1449" s="2"/>
      <c r="Q1449" s="1" t="str">
        <f>IF($D1449="","",$C1449&amp;"|"&amp;COUNTIFS($C$7:$C1449,$C1449))</f>
        <v/>
      </c>
      <c r="R1449" s="1" t="str">
        <f t="shared" si="44"/>
        <v/>
      </c>
      <c r="S1449" s="1" t="str">
        <f t="shared" si="45"/>
        <v/>
      </c>
      <c r="T1449" s="1">
        <f>IF($E1449="",0,SUMPRODUCT((AY_SONU!$O$7:$O$42="Evet")*(AY_SONU!$B$7:$B$42=DATE(YEAR($E1449),MONTH($E1449),1))))</f>
        <v>0</v>
      </c>
      <c r="U1449" s="1" t="str">
        <f>IF(OR($G1449="",$H1449="Mahsup"),"",$G1449&amp;"|"&amp;COUNTIFS($G$7:$G1449,$G1449,$H$7:$H1449,"&lt;&gt;Mahsup"))</f>
        <v/>
      </c>
    </row>
    <row r="1450" spans="1:21" ht="18" customHeight="1" x14ac:dyDescent="0.3">
      <c r="A1450" s="2"/>
      <c r="B1450" s="65" t="str">
        <f>IF($D1450="","","T"&amp;TEXT(ROW()-6,"00000"))</f>
        <v/>
      </c>
      <c r="C1450" s="65" t="str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61"/>
      <c r="E1450" s="66"/>
      <c r="F1450" s="67"/>
      <c r="G1450" s="60"/>
      <c r="H1450" s="60"/>
      <c r="I1450" s="61"/>
      <c r="J1450" s="61"/>
      <c r="K1450" s="61"/>
      <c r="L1450" s="73" t="str">
        <f>IF($E1450="","",DATE(YEAR($E1450),MONTH($E1450),1))</f>
        <v/>
      </c>
      <c r="M1450" s="65" t="str">
        <f ca="1">IF($D1450="","",IF($C1450="TANIMSIZ MÜŞTERİ","HATA",IF(OR($E1450="",$F1450&lt;=0,$G1450=""),"EKSİK",IF($E1450&gt;TODAY(),"İLERİ TARİH",IF(COUNTIF($S$7:$S$2503,$S1450)&gt;1,"MÜKERRER?",IF($T1450&gt;0,"KAPALI DÖNEM","UYGUN"))))))</f>
        <v/>
      </c>
      <c r="N1450" s="74" t="str">
        <f>IF($C1450="","",IF($C1450="TANIMSIZ MÜŞTERİ","—",INDEX(MUSTERILER!$C$7:$C$156,MATCH($C1450,MUSTERILER!$B$7:$B$156,0))))</f>
        <v/>
      </c>
      <c r="O1450" s="2"/>
      <c r="P1450" s="2"/>
      <c r="Q1450" s="1" t="str">
        <f>IF($D1450="","",$C1450&amp;"|"&amp;COUNTIFS($C$7:$C1450,$C1450))</f>
        <v/>
      </c>
      <c r="R1450" s="1" t="str">
        <f t="shared" si="44"/>
        <v/>
      </c>
      <c r="S1450" s="1" t="str">
        <f t="shared" si="45"/>
        <v/>
      </c>
      <c r="T1450" s="1">
        <f>IF($E1450="",0,SUMPRODUCT((AY_SONU!$O$7:$O$42="Evet")*(AY_SONU!$B$7:$B$42=DATE(YEAR($E1450),MONTH($E1450),1))))</f>
        <v>0</v>
      </c>
      <c r="U1450" s="1" t="str">
        <f>IF(OR($G1450="",$H1450="Mahsup"),"",$G1450&amp;"|"&amp;COUNTIFS($G$7:$G1450,$G1450,$H$7:$H1450,"&lt;&gt;Mahsup"))</f>
        <v/>
      </c>
    </row>
    <row r="1451" spans="1:21" ht="18" customHeight="1" x14ac:dyDescent="0.3">
      <c r="A1451" s="2"/>
      <c r="B1451" s="65" t="str">
        <f>IF($D1451="","","T"&amp;TEXT(ROW()-6,"00000"))</f>
        <v/>
      </c>
      <c r="C1451" s="65" t="str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61"/>
      <c r="E1451" s="66"/>
      <c r="F1451" s="67"/>
      <c r="G1451" s="60"/>
      <c r="H1451" s="60"/>
      <c r="I1451" s="61"/>
      <c r="J1451" s="61"/>
      <c r="K1451" s="61"/>
      <c r="L1451" s="73" t="str">
        <f>IF($E1451="","",DATE(YEAR($E1451),MONTH($E1451),1))</f>
        <v/>
      </c>
      <c r="M1451" s="65" t="str">
        <f ca="1">IF($D1451="","",IF($C1451="TANIMSIZ MÜŞTERİ","HATA",IF(OR($E1451="",$F1451&lt;=0,$G1451=""),"EKSİK",IF($E1451&gt;TODAY(),"İLERİ TARİH",IF(COUNTIF($S$7:$S$2503,$S1451)&gt;1,"MÜKERRER?",IF($T1451&gt;0,"KAPALI DÖNEM","UYGUN"))))))</f>
        <v/>
      </c>
      <c r="N1451" s="74" t="str">
        <f>IF($C1451="","",IF($C1451="TANIMSIZ MÜŞTERİ","—",INDEX(MUSTERILER!$C$7:$C$156,MATCH($C1451,MUSTERILER!$B$7:$B$156,0))))</f>
        <v/>
      </c>
      <c r="O1451" s="2"/>
      <c r="P1451" s="2"/>
      <c r="Q1451" s="1" t="str">
        <f>IF($D1451="","",$C1451&amp;"|"&amp;COUNTIFS($C$7:$C1451,$C1451))</f>
        <v/>
      </c>
      <c r="R1451" s="1" t="str">
        <f t="shared" si="44"/>
        <v/>
      </c>
      <c r="S1451" s="1" t="str">
        <f t="shared" si="45"/>
        <v/>
      </c>
      <c r="T1451" s="1">
        <f>IF($E1451="",0,SUMPRODUCT((AY_SONU!$O$7:$O$42="Evet")*(AY_SONU!$B$7:$B$42=DATE(YEAR($E1451),MONTH($E1451),1))))</f>
        <v>0</v>
      </c>
      <c r="U1451" s="1" t="str">
        <f>IF(OR($G1451="",$H1451="Mahsup"),"",$G1451&amp;"|"&amp;COUNTIFS($G$7:$G1451,$G1451,$H$7:$H1451,"&lt;&gt;Mahsup"))</f>
        <v/>
      </c>
    </row>
    <row r="1452" spans="1:21" ht="18" customHeight="1" x14ac:dyDescent="0.3">
      <c r="A1452" s="2"/>
      <c r="B1452" s="65" t="str">
        <f>IF($D1452="","","T"&amp;TEXT(ROW()-6,"00000"))</f>
        <v/>
      </c>
      <c r="C1452" s="65" t="str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61"/>
      <c r="E1452" s="66"/>
      <c r="F1452" s="67"/>
      <c r="G1452" s="60"/>
      <c r="H1452" s="60"/>
      <c r="I1452" s="61"/>
      <c r="J1452" s="61"/>
      <c r="K1452" s="61"/>
      <c r="L1452" s="73" t="str">
        <f>IF($E1452="","",DATE(YEAR($E1452),MONTH($E1452),1))</f>
        <v/>
      </c>
      <c r="M1452" s="65" t="str">
        <f ca="1">IF($D1452="","",IF($C1452="TANIMSIZ MÜŞTERİ","HATA",IF(OR($E1452="",$F1452&lt;=0,$G1452=""),"EKSİK",IF($E1452&gt;TODAY(),"İLERİ TARİH",IF(COUNTIF($S$7:$S$2503,$S1452)&gt;1,"MÜKERRER?",IF($T1452&gt;0,"KAPALI DÖNEM","UYGUN"))))))</f>
        <v/>
      </c>
      <c r="N1452" s="74" t="str">
        <f>IF($C1452="","",IF($C1452="TANIMSIZ MÜŞTERİ","—",INDEX(MUSTERILER!$C$7:$C$156,MATCH($C1452,MUSTERILER!$B$7:$B$156,0))))</f>
        <v/>
      </c>
      <c r="O1452" s="2"/>
      <c r="P1452" s="2"/>
      <c r="Q1452" s="1" t="str">
        <f>IF($D1452="","",$C1452&amp;"|"&amp;COUNTIFS($C$7:$C1452,$C1452))</f>
        <v/>
      </c>
      <c r="R1452" s="1" t="str">
        <f t="shared" si="44"/>
        <v/>
      </c>
      <c r="S1452" s="1" t="str">
        <f t="shared" si="45"/>
        <v/>
      </c>
      <c r="T1452" s="1">
        <f>IF($E1452="",0,SUMPRODUCT((AY_SONU!$O$7:$O$42="Evet")*(AY_SONU!$B$7:$B$42=DATE(YEAR($E1452),MONTH($E1452),1))))</f>
        <v>0</v>
      </c>
      <c r="U1452" s="1" t="str">
        <f>IF(OR($G1452="",$H1452="Mahsup"),"",$G1452&amp;"|"&amp;COUNTIFS($G$7:$G1452,$G1452,$H$7:$H1452,"&lt;&gt;Mahsup"))</f>
        <v/>
      </c>
    </row>
    <row r="1453" spans="1:21" ht="18" customHeight="1" x14ac:dyDescent="0.3">
      <c r="A1453" s="2"/>
      <c r="B1453" s="65" t="str">
        <f>IF($D1453="","","T"&amp;TEXT(ROW()-6,"00000"))</f>
        <v/>
      </c>
      <c r="C1453" s="65" t="str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61"/>
      <c r="E1453" s="66"/>
      <c r="F1453" s="67"/>
      <c r="G1453" s="60"/>
      <c r="H1453" s="60"/>
      <c r="I1453" s="61"/>
      <c r="J1453" s="61"/>
      <c r="K1453" s="61"/>
      <c r="L1453" s="73" t="str">
        <f>IF($E1453="","",DATE(YEAR($E1453),MONTH($E1453),1))</f>
        <v/>
      </c>
      <c r="M1453" s="65" t="str">
        <f ca="1">IF($D1453="","",IF($C1453="TANIMSIZ MÜŞTERİ","HATA",IF(OR($E1453="",$F1453&lt;=0,$G1453=""),"EKSİK",IF($E1453&gt;TODAY(),"İLERİ TARİH",IF(COUNTIF($S$7:$S$2503,$S1453)&gt;1,"MÜKERRER?",IF($T1453&gt;0,"KAPALI DÖNEM","UYGUN"))))))</f>
        <v/>
      </c>
      <c r="N1453" s="74" t="str">
        <f>IF($C1453="","",IF($C1453="TANIMSIZ MÜŞTERİ","—",INDEX(MUSTERILER!$C$7:$C$156,MATCH($C1453,MUSTERILER!$B$7:$B$156,0))))</f>
        <v/>
      </c>
      <c r="O1453" s="2"/>
      <c r="P1453" s="2"/>
      <c r="Q1453" s="1" t="str">
        <f>IF($D1453="","",$C1453&amp;"|"&amp;COUNTIFS($C$7:$C1453,$C1453))</f>
        <v/>
      </c>
      <c r="R1453" s="1" t="str">
        <f t="shared" si="44"/>
        <v/>
      </c>
      <c r="S1453" s="1" t="str">
        <f t="shared" si="45"/>
        <v/>
      </c>
      <c r="T1453" s="1">
        <f>IF($E1453="",0,SUMPRODUCT((AY_SONU!$O$7:$O$42="Evet")*(AY_SONU!$B$7:$B$42=DATE(YEAR($E1453),MONTH($E1453),1))))</f>
        <v>0</v>
      </c>
      <c r="U1453" s="1" t="str">
        <f>IF(OR($G1453="",$H1453="Mahsup"),"",$G1453&amp;"|"&amp;COUNTIFS($G$7:$G1453,$G1453,$H$7:$H1453,"&lt;&gt;Mahsup"))</f>
        <v/>
      </c>
    </row>
    <row r="1454" spans="1:21" ht="18" customHeight="1" x14ac:dyDescent="0.3">
      <c r="A1454" s="2"/>
      <c r="B1454" s="65" t="str">
        <f>IF($D1454="","","T"&amp;TEXT(ROW()-6,"00000"))</f>
        <v/>
      </c>
      <c r="C1454" s="65" t="str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61"/>
      <c r="E1454" s="66"/>
      <c r="F1454" s="67"/>
      <c r="G1454" s="60"/>
      <c r="H1454" s="60"/>
      <c r="I1454" s="61"/>
      <c r="J1454" s="61"/>
      <c r="K1454" s="61"/>
      <c r="L1454" s="73" t="str">
        <f>IF($E1454="","",DATE(YEAR($E1454),MONTH($E1454),1))</f>
        <v/>
      </c>
      <c r="M1454" s="65" t="str">
        <f ca="1">IF($D1454="","",IF($C1454="TANIMSIZ MÜŞTERİ","HATA",IF(OR($E1454="",$F1454&lt;=0,$G1454=""),"EKSİK",IF($E1454&gt;TODAY(),"İLERİ TARİH",IF(COUNTIF($S$7:$S$2503,$S1454)&gt;1,"MÜKERRER?",IF($T1454&gt;0,"KAPALI DÖNEM","UYGUN"))))))</f>
        <v/>
      </c>
      <c r="N1454" s="74" t="str">
        <f>IF($C1454="","",IF($C1454="TANIMSIZ MÜŞTERİ","—",INDEX(MUSTERILER!$C$7:$C$156,MATCH($C1454,MUSTERILER!$B$7:$B$156,0))))</f>
        <v/>
      </c>
      <c r="O1454" s="2"/>
      <c r="P1454" s="2"/>
      <c r="Q1454" s="1" t="str">
        <f>IF($D1454="","",$C1454&amp;"|"&amp;COUNTIFS($C$7:$C1454,$C1454))</f>
        <v/>
      </c>
      <c r="R1454" s="1" t="str">
        <f t="shared" si="44"/>
        <v/>
      </c>
      <c r="S1454" s="1" t="str">
        <f t="shared" si="45"/>
        <v/>
      </c>
      <c r="T1454" s="1">
        <f>IF($E1454="",0,SUMPRODUCT((AY_SONU!$O$7:$O$42="Evet")*(AY_SONU!$B$7:$B$42=DATE(YEAR($E1454),MONTH($E1454),1))))</f>
        <v>0</v>
      </c>
      <c r="U1454" s="1" t="str">
        <f>IF(OR($G1454="",$H1454="Mahsup"),"",$G1454&amp;"|"&amp;COUNTIFS($G$7:$G1454,$G1454,$H$7:$H1454,"&lt;&gt;Mahsup"))</f>
        <v/>
      </c>
    </row>
    <row r="1455" spans="1:21" ht="18" customHeight="1" x14ac:dyDescent="0.3">
      <c r="A1455" s="2"/>
      <c r="B1455" s="65" t="str">
        <f>IF($D1455="","","T"&amp;TEXT(ROW()-6,"00000"))</f>
        <v/>
      </c>
      <c r="C1455" s="65" t="str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61"/>
      <c r="E1455" s="66"/>
      <c r="F1455" s="67"/>
      <c r="G1455" s="60"/>
      <c r="H1455" s="60"/>
      <c r="I1455" s="61"/>
      <c r="J1455" s="61"/>
      <c r="K1455" s="61"/>
      <c r="L1455" s="73" t="str">
        <f>IF($E1455="","",DATE(YEAR($E1455),MONTH($E1455),1))</f>
        <v/>
      </c>
      <c r="M1455" s="65" t="str">
        <f ca="1">IF($D1455="","",IF($C1455="TANIMSIZ MÜŞTERİ","HATA",IF(OR($E1455="",$F1455&lt;=0,$G1455=""),"EKSİK",IF($E1455&gt;TODAY(),"İLERİ TARİH",IF(COUNTIF($S$7:$S$2503,$S1455)&gt;1,"MÜKERRER?",IF($T1455&gt;0,"KAPALI DÖNEM","UYGUN"))))))</f>
        <v/>
      </c>
      <c r="N1455" s="74" t="str">
        <f>IF($C1455="","",IF($C1455="TANIMSIZ MÜŞTERİ","—",INDEX(MUSTERILER!$C$7:$C$156,MATCH($C1455,MUSTERILER!$B$7:$B$156,0))))</f>
        <v/>
      </c>
      <c r="O1455" s="2"/>
      <c r="P1455" s="2"/>
      <c r="Q1455" s="1" t="str">
        <f>IF($D1455="","",$C1455&amp;"|"&amp;COUNTIFS($C$7:$C1455,$C1455))</f>
        <v/>
      </c>
      <c r="R1455" s="1" t="str">
        <f t="shared" si="44"/>
        <v/>
      </c>
      <c r="S1455" s="1" t="str">
        <f t="shared" si="45"/>
        <v/>
      </c>
      <c r="T1455" s="1">
        <f>IF($E1455="",0,SUMPRODUCT((AY_SONU!$O$7:$O$42="Evet")*(AY_SONU!$B$7:$B$42=DATE(YEAR($E1455),MONTH($E1455),1))))</f>
        <v>0</v>
      </c>
      <c r="U1455" s="1" t="str">
        <f>IF(OR($G1455="",$H1455="Mahsup"),"",$G1455&amp;"|"&amp;COUNTIFS($G$7:$G1455,$G1455,$H$7:$H1455,"&lt;&gt;Mahsup"))</f>
        <v/>
      </c>
    </row>
    <row r="1456" spans="1:21" ht="18" customHeight="1" x14ac:dyDescent="0.3">
      <c r="A1456" s="2"/>
      <c r="B1456" s="65" t="str">
        <f>IF($D1456="","","T"&amp;TEXT(ROW()-6,"00000"))</f>
        <v/>
      </c>
      <c r="C1456" s="65" t="str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61"/>
      <c r="E1456" s="66"/>
      <c r="F1456" s="67"/>
      <c r="G1456" s="60"/>
      <c r="H1456" s="60"/>
      <c r="I1456" s="61"/>
      <c r="J1456" s="61"/>
      <c r="K1456" s="61"/>
      <c r="L1456" s="73" t="str">
        <f>IF($E1456="","",DATE(YEAR($E1456),MONTH($E1456),1))</f>
        <v/>
      </c>
      <c r="M1456" s="65" t="str">
        <f ca="1">IF($D1456="","",IF($C1456="TANIMSIZ MÜŞTERİ","HATA",IF(OR($E1456="",$F1456&lt;=0,$G1456=""),"EKSİK",IF($E1456&gt;TODAY(),"İLERİ TARİH",IF(COUNTIF($S$7:$S$2503,$S1456)&gt;1,"MÜKERRER?",IF($T1456&gt;0,"KAPALI DÖNEM","UYGUN"))))))</f>
        <v/>
      </c>
      <c r="N1456" s="74" t="str">
        <f>IF($C1456="","",IF($C1456="TANIMSIZ MÜŞTERİ","—",INDEX(MUSTERILER!$C$7:$C$156,MATCH($C1456,MUSTERILER!$B$7:$B$156,0))))</f>
        <v/>
      </c>
      <c r="O1456" s="2"/>
      <c r="P1456" s="2"/>
      <c r="Q1456" s="1" t="str">
        <f>IF($D1456="","",$C1456&amp;"|"&amp;COUNTIFS($C$7:$C1456,$C1456))</f>
        <v/>
      </c>
      <c r="R1456" s="1" t="str">
        <f t="shared" si="44"/>
        <v/>
      </c>
      <c r="S1456" s="1" t="str">
        <f t="shared" si="45"/>
        <v/>
      </c>
      <c r="T1456" s="1">
        <f>IF($E1456="",0,SUMPRODUCT((AY_SONU!$O$7:$O$42="Evet")*(AY_SONU!$B$7:$B$42=DATE(YEAR($E1456),MONTH($E1456),1))))</f>
        <v>0</v>
      </c>
      <c r="U1456" s="1" t="str">
        <f>IF(OR($G1456="",$H1456="Mahsup"),"",$G1456&amp;"|"&amp;COUNTIFS($G$7:$G1456,$G1456,$H$7:$H1456,"&lt;&gt;Mahsup"))</f>
        <v/>
      </c>
    </row>
    <row r="1457" spans="1:21" ht="18" customHeight="1" x14ac:dyDescent="0.3">
      <c r="A1457" s="2"/>
      <c r="B1457" s="65" t="str">
        <f>IF($D1457="","","T"&amp;TEXT(ROW()-6,"00000"))</f>
        <v/>
      </c>
      <c r="C1457" s="65" t="str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61"/>
      <c r="E1457" s="66"/>
      <c r="F1457" s="67"/>
      <c r="G1457" s="60"/>
      <c r="H1457" s="60"/>
      <c r="I1457" s="61"/>
      <c r="J1457" s="61"/>
      <c r="K1457" s="61"/>
      <c r="L1457" s="73" t="str">
        <f>IF($E1457="","",DATE(YEAR($E1457),MONTH($E1457),1))</f>
        <v/>
      </c>
      <c r="M1457" s="65" t="str">
        <f ca="1">IF($D1457="","",IF($C1457="TANIMSIZ MÜŞTERİ","HATA",IF(OR($E1457="",$F1457&lt;=0,$G1457=""),"EKSİK",IF($E1457&gt;TODAY(),"İLERİ TARİH",IF(COUNTIF($S$7:$S$2503,$S1457)&gt;1,"MÜKERRER?",IF($T1457&gt;0,"KAPALI DÖNEM","UYGUN"))))))</f>
        <v/>
      </c>
      <c r="N1457" s="74" t="str">
        <f>IF($C1457="","",IF($C1457="TANIMSIZ MÜŞTERİ","—",INDEX(MUSTERILER!$C$7:$C$156,MATCH($C1457,MUSTERILER!$B$7:$B$156,0))))</f>
        <v/>
      </c>
      <c r="O1457" s="2"/>
      <c r="P1457" s="2"/>
      <c r="Q1457" s="1" t="str">
        <f>IF($D1457="","",$C1457&amp;"|"&amp;COUNTIFS($C$7:$C1457,$C1457))</f>
        <v/>
      </c>
      <c r="R1457" s="1" t="str">
        <f t="shared" si="44"/>
        <v/>
      </c>
      <c r="S1457" s="1" t="str">
        <f t="shared" si="45"/>
        <v/>
      </c>
      <c r="T1457" s="1">
        <f>IF($E1457="",0,SUMPRODUCT((AY_SONU!$O$7:$O$42="Evet")*(AY_SONU!$B$7:$B$42=DATE(YEAR($E1457),MONTH($E1457),1))))</f>
        <v>0</v>
      </c>
      <c r="U1457" s="1" t="str">
        <f>IF(OR($G1457="",$H1457="Mahsup"),"",$G1457&amp;"|"&amp;COUNTIFS($G$7:$G1457,$G1457,$H$7:$H1457,"&lt;&gt;Mahsup"))</f>
        <v/>
      </c>
    </row>
    <row r="1458" spans="1:21" ht="18" customHeight="1" x14ac:dyDescent="0.3">
      <c r="A1458" s="2"/>
      <c r="B1458" s="65" t="str">
        <f>IF($D1458="","","T"&amp;TEXT(ROW()-6,"00000"))</f>
        <v/>
      </c>
      <c r="C1458" s="65" t="str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61"/>
      <c r="E1458" s="66"/>
      <c r="F1458" s="67"/>
      <c r="G1458" s="60"/>
      <c r="H1458" s="60"/>
      <c r="I1458" s="61"/>
      <c r="J1458" s="61"/>
      <c r="K1458" s="61"/>
      <c r="L1458" s="73" t="str">
        <f>IF($E1458="","",DATE(YEAR($E1458),MONTH($E1458),1))</f>
        <v/>
      </c>
      <c r="M1458" s="65" t="str">
        <f ca="1">IF($D1458="","",IF($C1458="TANIMSIZ MÜŞTERİ","HATA",IF(OR($E1458="",$F1458&lt;=0,$G1458=""),"EKSİK",IF($E1458&gt;TODAY(),"İLERİ TARİH",IF(COUNTIF($S$7:$S$2503,$S1458)&gt;1,"MÜKERRER?",IF($T1458&gt;0,"KAPALI DÖNEM","UYGUN"))))))</f>
        <v/>
      </c>
      <c r="N1458" s="74" t="str">
        <f>IF($C1458="","",IF($C1458="TANIMSIZ MÜŞTERİ","—",INDEX(MUSTERILER!$C$7:$C$156,MATCH($C1458,MUSTERILER!$B$7:$B$156,0))))</f>
        <v/>
      </c>
      <c r="O1458" s="2"/>
      <c r="P1458" s="2"/>
      <c r="Q1458" s="1" t="str">
        <f>IF($D1458="","",$C1458&amp;"|"&amp;COUNTIFS($C$7:$C1458,$C1458))</f>
        <v/>
      </c>
      <c r="R1458" s="1" t="str">
        <f t="shared" si="44"/>
        <v/>
      </c>
      <c r="S1458" s="1" t="str">
        <f t="shared" si="45"/>
        <v/>
      </c>
      <c r="T1458" s="1">
        <f>IF($E1458="",0,SUMPRODUCT((AY_SONU!$O$7:$O$42="Evet")*(AY_SONU!$B$7:$B$42=DATE(YEAR($E1458),MONTH($E1458),1))))</f>
        <v>0</v>
      </c>
      <c r="U1458" s="1" t="str">
        <f>IF(OR($G1458="",$H1458="Mahsup"),"",$G1458&amp;"|"&amp;COUNTIFS($G$7:$G1458,$G1458,$H$7:$H1458,"&lt;&gt;Mahsup"))</f>
        <v/>
      </c>
    </row>
    <row r="1459" spans="1:21" ht="18" customHeight="1" x14ac:dyDescent="0.3">
      <c r="A1459" s="2"/>
      <c r="B1459" s="65" t="str">
        <f>IF($D1459="","","T"&amp;TEXT(ROW()-6,"00000"))</f>
        <v/>
      </c>
      <c r="C1459" s="65" t="str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61"/>
      <c r="E1459" s="66"/>
      <c r="F1459" s="67"/>
      <c r="G1459" s="60"/>
      <c r="H1459" s="60"/>
      <c r="I1459" s="61"/>
      <c r="J1459" s="61"/>
      <c r="K1459" s="61"/>
      <c r="L1459" s="73" t="str">
        <f>IF($E1459="","",DATE(YEAR($E1459),MONTH($E1459),1))</f>
        <v/>
      </c>
      <c r="M1459" s="65" t="str">
        <f ca="1">IF($D1459="","",IF($C1459="TANIMSIZ MÜŞTERİ","HATA",IF(OR($E1459="",$F1459&lt;=0,$G1459=""),"EKSİK",IF($E1459&gt;TODAY(),"İLERİ TARİH",IF(COUNTIF($S$7:$S$2503,$S1459)&gt;1,"MÜKERRER?",IF($T1459&gt;0,"KAPALI DÖNEM","UYGUN"))))))</f>
        <v/>
      </c>
      <c r="N1459" s="74" t="str">
        <f>IF($C1459="","",IF($C1459="TANIMSIZ MÜŞTERİ","—",INDEX(MUSTERILER!$C$7:$C$156,MATCH($C1459,MUSTERILER!$B$7:$B$156,0))))</f>
        <v/>
      </c>
      <c r="O1459" s="2"/>
      <c r="P1459" s="2"/>
      <c r="Q1459" s="1" t="str">
        <f>IF($D1459="","",$C1459&amp;"|"&amp;COUNTIFS($C$7:$C1459,$C1459))</f>
        <v/>
      </c>
      <c r="R1459" s="1" t="str">
        <f t="shared" si="44"/>
        <v/>
      </c>
      <c r="S1459" s="1" t="str">
        <f t="shared" si="45"/>
        <v/>
      </c>
      <c r="T1459" s="1">
        <f>IF($E1459="",0,SUMPRODUCT((AY_SONU!$O$7:$O$42="Evet")*(AY_SONU!$B$7:$B$42=DATE(YEAR($E1459),MONTH($E1459),1))))</f>
        <v>0</v>
      </c>
      <c r="U1459" s="1" t="str">
        <f>IF(OR($G1459="",$H1459="Mahsup"),"",$G1459&amp;"|"&amp;COUNTIFS($G$7:$G1459,$G1459,$H$7:$H1459,"&lt;&gt;Mahsup"))</f>
        <v/>
      </c>
    </row>
    <row r="1460" spans="1:21" ht="18" customHeight="1" x14ac:dyDescent="0.3">
      <c r="A1460" s="2"/>
      <c r="B1460" s="65" t="str">
        <f>IF($D1460="","","T"&amp;TEXT(ROW()-6,"00000"))</f>
        <v/>
      </c>
      <c r="C1460" s="65" t="str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61"/>
      <c r="E1460" s="66"/>
      <c r="F1460" s="67"/>
      <c r="G1460" s="60"/>
      <c r="H1460" s="60"/>
      <c r="I1460" s="61"/>
      <c r="J1460" s="61"/>
      <c r="K1460" s="61"/>
      <c r="L1460" s="73" t="str">
        <f>IF($E1460="","",DATE(YEAR($E1460),MONTH($E1460),1))</f>
        <v/>
      </c>
      <c r="M1460" s="65" t="str">
        <f ca="1">IF($D1460="","",IF($C1460="TANIMSIZ MÜŞTERİ","HATA",IF(OR($E1460="",$F1460&lt;=0,$G1460=""),"EKSİK",IF($E1460&gt;TODAY(),"İLERİ TARİH",IF(COUNTIF($S$7:$S$2503,$S1460)&gt;1,"MÜKERRER?",IF($T1460&gt;0,"KAPALI DÖNEM","UYGUN"))))))</f>
        <v/>
      </c>
      <c r="N1460" s="74" t="str">
        <f>IF($C1460="","",IF($C1460="TANIMSIZ MÜŞTERİ","—",INDEX(MUSTERILER!$C$7:$C$156,MATCH($C1460,MUSTERILER!$B$7:$B$156,0))))</f>
        <v/>
      </c>
      <c r="O1460" s="2"/>
      <c r="P1460" s="2"/>
      <c r="Q1460" s="1" t="str">
        <f>IF($D1460="","",$C1460&amp;"|"&amp;COUNTIFS($C$7:$C1460,$C1460))</f>
        <v/>
      </c>
      <c r="R1460" s="1" t="str">
        <f t="shared" si="44"/>
        <v/>
      </c>
      <c r="S1460" s="1" t="str">
        <f t="shared" si="45"/>
        <v/>
      </c>
      <c r="T1460" s="1">
        <f>IF($E1460="",0,SUMPRODUCT((AY_SONU!$O$7:$O$42="Evet")*(AY_SONU!$B$7:$B$42=DATE(YEAR($E1460),MONTH($E1460),1))))</f>
        <v>0</v>
      </c>
      <c r="U1460" s="1" t="str">
        <f>IF(OR($G1460="",$H1460="Mahsup"),"",$G1460&amp;"|"&amp;COUNTIFS($G$7:$G1460,$G1460,$H$7:$H1460,"&lt;&gt;Mahsup"))</f>
        <v/>
      </c>
    </row>
    <row r="1461" spans="1:21" ht="18" customHeight="1" x14ac:dyDescent="0.3">
      <c r="A1461" s="2"/>
      <c r="B1461" s="65" t="str">
        <f>IF($D1461="","","T"&amp;TEXT(ROW()-6,"00000"))</f>
        <v/>
      </c>
      <c r="C1461" s="65" t="str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61"/>
      <c r="E1461" s="66"/>
      <c r="F1461" s="67"/>
      <c r="G1461" s="60"/>
      <c r="H1461" s="60"/>
      <c r="I1461" s="61"/>
      <c r="J1461" s="61"/>
      <c r="K1461" s="61"/>
      <c r="L1461" s="73" t="str">
        <f>IF($E1461="","",DATE(YEAR($E1461),MONTH($E1461),1))</f>
        <v/>
      </c>
      <c r="M1461" s="65" t="str">
        <f ca="1">IF($D1461="","",IF($C1461="TANIMSIZ MÜŞTERİ","HATA",IF(OR($E1461="",$F1461&lt;=0,$G1461=""),"EKSİK",IF($E1461&gt;TODAY(),"İLERİ TARİH",IF(COUNTIF($S$7:$S$2503,$S1461)&gt;1,"MÜKERRER?",IF($T1461&gt;0,"KAPALI DÖNEM","UYGUN"))))))</f>
        <v/>
      </c>
      <c r="N1461" s="74" t="str">
        <f>IF($C1461="","",IF($C1461="TANIMSIZ MÜŞTERİ","—",INDEX(MUSTERILER!$C$7:$C$156,MATCH($C1461,MUSTERILER!$B$7:$B$156,0))))</f>
        <v/>
      </c>
      <c r="O1461" s="2"/>
      <c r="P1461" s="2"/>
      <c r="Q1461" s="1" t="str">
        <f>IF($D1461="","",$C1461&amp;"|"&amp;COUNTIFS($C$7:$C1461,$C1461))</f>
        <v/>
      </c>
      <c r="R1461" s="1" t="str">
        <f t="shared" si="44"/>
        <v/>
      </c>
      <c r="S1461" s="1" t="str">
        <f t="shared" si="45"/>
        <v/>
      </c>
      <c r="T1461" s="1">
        <f>IF($E1461="",0,SUMPRODUCT((AY_SONU!$O$7:$O$42="Evet")*(AY_SONU!$B$7:$B$42=DATE(YEAR($E1461),MONTH($E1461),1))))</f>
        <v>0</v>
      </c>
      <c r="U1461" s="1" t="str">
        <f>IF(OR($G1461="",$H1461="Mahsup"),"",$G1461&amp;"|"&amp;COUNTIFS($G$7:$G1461,$G1461,$H$7:$H1461,"&lt;&gt;Mahsup"))</f>
        <v/>
      </c>
    </row>
    <row r="1462" spans="1:21" ht="18" customHeight="1" x14ac:dyDescent="0.3">
      <c r="A1462" s="2"/>
      <c r="B1462" s="65" t="str">
        <f>IF($D1462="","","T"&amp;TEXT(ROW()-6,"00000"))</f>
        <v/>
      </c>
      <c r="C1462" s="65" t="str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61"/>
      <c r="E1462" s="66"/>
      <c r="F1462" s="67"/>
      <c r="G1462" s="60"/>
      <c r="H1462" s="60"/>
      <c r="I1462" s="61"/>
      <c r="J1462" s="61"/>
      <c r="K1462" s="61"/>
      <c r="L1462" s="73" t="str">
        <f>IF($E1462="","",DATE(YEAR($E1462),MONTH($E1462),1))</f>
        <v/>
      </c>
      <c r="M1462" s="65" t="str">
        <f ca="1">IF($D1462="","",IF($C1462="TANIMSIZ MÜŞTERİ","HATA",IF(OR($E1462="",$F1462&lt;=0,$G1462=""),"EKSİK",IF($E1462&gt;TODAY(),"İLERİ TARİH",IF(COUNTIF($S$7:$S$2503,$S1462)&gt;1,"MÜKERRER?",IF($T1462&gt;0,"KAPALI DÖNEM","UYGUN"))))))</f>
        <v/>
      </c>
      <c r="N1462" s="74" t="str">
        <f>IF($C1462="","",IF($C1462="TANIMSIZ MÜŞTERİ","—",INDEX(MUSTERILER!$C$7:$C$156,MATCH($C1462,MUSTERILER!$B$7:$B$156,0))))</f>
        <v/>
      </c>
      <c r="O1462" s="2"/>
      <c r="P1462" s="2"/>
      <c r="Q1462" s="1" t="str">
        <f>IF($D1462="","",$C1462&amp;"|"&amp;COUNTIFS($C$7:$C1462,$C1462))</f>
        <v/>
      </c>
      <c r="R1462" s="1" t="str">
        <f t="shared" si="44"/>
        <v/>
      </c>
      <c r="S1462" s="1" t="str">
        <f t="shared" si="45"/>
        <v/>
      </c>
      <c r="T1462" s="1">
        <f>IF($E1462="",0,SUMPRODUCT((AY_SONU!$O$7:$O$42="Evet")*(AY_SONU!$B$7:$B$42=DATE(YEAR($E1462),MONTH($E1462),1))))</f>
        <v>0</v>
      </c>
      <c r="U1462" s="1" t="str">
        <f>IF(OR($G1462="",$H1462="Mahsup"),"",$G1462&amp;"|"&amp;COUNTIFS($G$7:$G1462,$G1462,$H$7:$H1462,"&lt;&gt;Mahsup"))</f>
        <v/>
      </c>
    </row>
    <row r="1463" spans="1:21" ht="18" customHeight="1" x14ac:dyDescent="0.3">
      <c r="A1463" s="2"/>
      <c r="B1463" s="65" t="str">
        <f>IF($D1463="","","T"&amp;TEXT(ROW()-6,"00000"))</f>
        <v/>
      </c>
      <c r="C1463" s="65" t="str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61"/>
      <c r="E1463" s="66"/>
      <c r="F1463" s="67"/>
      <c r="G1463" s="60"/>
      <c r="H1463" s="60"/>
      <c r="I1463" s="61"/>
      <c r="J1463" s="61"/>
      <c r="K1463" s="61"/>
      <c r="L1463" s="73" t="str">
        <f>IF($E1463="","",DATE(YEAR($E1463),MONTH($E1463),1))</f>
        <v/>
      </c>
      <c r="M1463" s="65" t="str">
        <f ca="1">IF($D1463="","",IF($C1463="TANIMSIZ MÜŞTERİ","HATA",IF(OR($E1463="",$F1463&lt;=0,$G1463=""),"EKSİK",IF($E1463&gt;TODAY(),"İLERİ TARİH",IF(COUNTIF($S$7:$S$2503,$S1463)&gt;1,"MÜKERRER?",IF($T1463&gt;0,"KAPALI DÖNEM","UYGUN"))))))</f>
        <v/>
      </c>
      <c r="N1463" s="74" t="str">
        <f>IF($C1463="","",IF($C1463="TANIMSIZ MÜŞTERİ","—",INDEX(MUSTERILER!$C$7:$C$156,MATCH($C1463,MUSTERILER!$B$7:$B$156,0))))</f>
        <v/>
      </c>
      <c r="O1463" s="2"/>
      <c r="P1463" s="2"/>
      <c r="Q1463" s="1" t="str">
        <f>IF($D1463="","",$C1463&amp;"|"&amp;COUNTIFS($C$7:$C1463,$C1463))</f>
        <v/>
      </c>
      <c r="R1463" s="1" t="str">
        <f t="shared" si="44"/>
        <v/>
      </c>
      <c r="S1463" s="1" t="str">
        <f t="shared" si="45"/>
        <v/>
      </c>
      <c r="T1463" s="1">
        <f>IF($E1463="",0,SUMPRODUCT((AY_SONU!$O$7:$O$42="Evet")*(AY_SONU!$B$7:$B$42=DATE(YEAR($E1463),MONTH($E1463),1))))</f>
        <v>0</v>
      </c>
      <c r="U1463" s="1" t="str">
        <f>IF(OR($G1463="",$H1463="Mahsup"),"",$G1463&amp;"|"&amp;COUNTIFS($G$7:$G1463,$G1463,$H$7:$H1463,"&lt;&gt;Mahsup"))</f>
        <v/>
      </c>
    </row>
    <row r="1464" spans="1:21" ht="18" customHeight="1" x14ac:dyDescent="0.3">
      <c r="A1464" s="2"/>
      <c r="B1464" s="65" t="str">
        <f>IF($D1464="","","T"&amp;TEXT(ROW()-6,"00000"))</f>
        <v/>
      </c>
      <c r="C1464" s="65" t="str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61"/>
      <c r="E1464" s="66"/>
      <c r="F1464" s="67"/>
      <c r="G1464" s="60"/>
      <c r="H1464" s="60"/>
      <c r="I1464" s="61"/>
      <c r="J1464" s="61"/>
      <c r="K1464" s="61"/>
      <c r="L1464" s="73" t="str">
        <f>IF($E1464="","",DATE(YEAR($E1464),MONTH($E1464),1))</f>
        <v/>
      </c>
      <c r="M1464" s="65" t="str">
        <f ca="1">IF($D1464="","",IF($C1464="TANIMSIZ MÜŞTERİ","HATA",IF(OR($E1464="",$F1464&lt;=0,$G1464=""),"EKSİK",IF($E1464&gt;TODAY(),"İLERİ TARİH",IF(COUNTIF($S$7:$S$2503,$S1464)&gt;1,"MÜKERRER?",IF($T1464&gt;0,"KAPALI DÖNEM","UYGUN"))))))</f>
        <v/>
      </c>
      <c r="N1464" s="74" t="str">
        <f>IF($C1464="","",IF($C1464="TANIMSIZ MÜŞTERİ","—",INDEX(MUSTERILER!$C$7:$C$156,MATCH($C1464,MUSTERILER!$B$7:$B$156,0))))</f>
        <v/>
      </c>
      <c r="O1464" s="2"/>
      <c r="P1464" s="2"/>
      <c r="Q1464" s="1" t="str">
        <f>IF($D1464="","",$C1464&amp;"|"&amp;COUNTIFS($C$7:$C1464,$C1464))</f>
        <v/>
      </c>
      <c r="R1464" s="1" t="str">
        <f t="shared" si="44"/>
        <v/>
      </c>
      <c r="S1464" s="1" t="str">
        <f t="shared" si="45"/>
        <v/>
      </c>
      <c r="T1464" s="1">
        <f>IF($E1464="",0,SUMPRODUCT((AY_SONU!$O$7:$O$42="Evet")*(AY_SONU!$B$7:$B$42=DATE(YEAR($E1464),MONTH($E1464),1))))</f>
        <v>0</v>
      </c>
      <c r="U1464" s="1" t="str">
        <f>IF(OR($G1464="",$H1464="Mahsup"),"",$G1464&amp;"|"&amp;COUNTIFS($G$7:$G1464,$G1464,$H$7:$H1464,"&lt;&gt;Mahsup"))</f>
        <v/>
      </c>
    </row>
    <row r="1465" spans="1:21" ht="18" customHeight="1" x14ac:dyDescent="0.3">
      <c r="A1465" s="2"/>
      <c r="B1465" s="65" t="str">
        <f>IF($D1465="","","T"&amp;TEXT(ROW()-6,"00000"))</f>
        <v/>
      </c>
      <c r="C1465" s="65" t="str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61"/>
      <c r="E1465" s="66"/>
      <c r="F1465" s="67"/>
      <c r="G1465" s="60"/>
      <c r="H1465" s="60"/>
      <c r="I1465" s="61"/>
      <c r="J1465" s="61"/>
      <c r="K1465" s="61"/>
      <c r="L1465" s="73" t="str">
        <f>IF($E1465="","",DATE(YEAR($E1465),MONTH($E1465),1))</f>
        <v/>
      </c>
      <c r="M1465" s="65" t="str">
        <f ca="1">IF($D1465="","",IF($C1465="TANIMSIZ MÜŞTERİ","HATA",IF(OR($E1465="",$F1465&lt;=0,$G1465=""),"EKSİK",IF($E1465&gt;TODAY(),"İLERİ TARİH",IF(COUNTIF($S$7:$S$2503,$S1465)&gt;1,"MÜKERRER?",IF($T1465&gt;0,"KAPALI DÖNEM","UYGUN"))))))</f>
        <v/>
      </c>
      <c r="N1465" s="74" t="str">
        <f>IF($C1465="","",IF($C1465="TANIMSIZ MÜŞTERİ","—",INDEX(MUSTERILER!$C$7:$C$156,MATCH($C1465,MUSTERILER!$B$7:$B$156,0))))</f>
        <v/>
      </c>
      <c r="O1465" s="2"/>
      <c r="P1465" s="2"/>
      <c r="Q1465" s="1" t="str">
        <f>IF($D1465="","",$C1465&amp;"|"&amp;COUNTIFS($C$7:$C1465,$C1465))</f>
        <v/>
      </c>
      <c r="R1465" s="1" t="str">
        <f t="shared" si="44"/>
        <v/>
      </c>
      <c r="S1465" s="1" t="str">
        <f t="shared" si="45"/>
        <v/>
      </c>
      <c r="T1465" s="1">
        <f>IF($E1465="",0,SUMPRODUCT((AY_SONU!$O$7:$O$42="Evet")*(AY_SONU!$B$7:$B$42=DATE(YEAR($E1465),MONTH($E1465),1))))</f>
        <v>0</v>
      </c>
      <c r="U1465" s="1" t="str">
        <f>IF(OR($G1465="",$H1465="Mahsup"),"",$G1465&amp;"|"&amp;COUNTIFS($G$7:$G1465,$G1465,$H$7:$H1465,"&lt;&gt;Mahsup"))</f>
        <v/>
      </c>
    </row>
    <row r="1466" spans="1:21" ht="18" customHeight="1" x14ac:dyDescent="0.3">
      <c r="A1466" s="2"/>
      <c r="B1466" s="65" t="str">
        <f>IF($D1466="","","T"&amp;TEXT(ROW()-6,"00000"))</f>
        <v/>
      </c>
      <c r="C1466" s="65" t="str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61"/>
      <c r="E1466" s="66"/>
      <c r="F1466" s="67"/>
      <c r="G1466" s="60"/>
      <c r="H1466" s="60"/>
      <c r="I1466" s="61"/>
      <c r="J1466" s="61"/>
      <c r="K1466" s="61"/>
      <c r="L1466" s="73" t="str">
        <f>IF($E1466="","",DATE(YEAR($E1466),MONTH($E1466),1))</f>
        <v/>
      </c>
      <c r="M1466" s="65" t="str">
        <f ca="1">IF($D1466="","",IF($C1466="TANIMSIZ MÜŞTERİ","HATA",IF(OR($E1466="",$F1466&lt;=0,$G1466=""),"EKSİK",IF($E1466&gt;TODAY(),"İLERİ TARİH",IF(COUNTIF($S$7:$S$2503,$S1466)&gt;1,"MÜKERRER?",IF($T1466&gt;0,"KAPALI DÖNEM","UYGUN"))))))</f>
        <v/>
      </c>
      <c r="N1466" s="74" t="str">
        <f>IF($C1466="","",IF($C1466="TANIMSIZ MÜŞTERİ","—",INDEX(MUSTERILER!$C$7:$C$156,MATCH($C1466,MUSTERILER!$B$7:$B$156,0))))</f>
        <v/>
      </c>
      <c r="O1466" s="2"/>
      <c r="P1466" s="2"/>
      <c r="Q1466" s="1" t="str">
        <f>IF($D1466="","",$C1466&amp;"|"&amp;COUNTIFS($C$7:$C1466,$C1466))</f>
        <v/>
      </c>
      <c r="R1466" s="1" t="str">
        <f t="shared" si="44"/>
        <v/>
      </c>
      <c r="S1466" s="1" t="str">
        <f t="shared" si="45"/>
        <v/>
      </c>
      <c r="T1466" s="1">
        <f>IF($E1466="",0,SUMPRODUCT((AY_SONU!$O$7:$O$42="Evet")*(AY_SONU!$B$7:$B$42=DATE(YEAR($E1466),MONTH($E1466),1))))</f>
        <v>0</v>
      </c>
      <c r="U1466" s="1" t="str">
        <f>IF(OR($G1466="",$H1466="Mahsup"),"",$G1466&amp;"|"&amp;COUNTIFS($G$7:$G1466,$G1466,$H$7:$H1466,"&lt;&gt;Mahsup"))</f>
        <v/>
      </c>
    </row>
    <row r="1467" spans="1:21" ht="18" customHeight="1" x14ac:dyDescent="0.3">
      <c r="A1467" s="2"/>
      <c r="B1467" s="65" t="str">
        <f>IF($D1467="","","T"&amp;TEXT(ROW()-6,"00000"))</f>
        <v/>
      </c>
      <c r="C1467" s="65" t="str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61"/>
      <c r="E1467" s="66"/>
      <c r="F1467" s="67"/>
      <c r="G1467" s="60"/>
      <c r="H1467" s="60"/>
      <c r="I1467" s="61"/>
      <c r="J1467" s="61"/>
      <c r="K1467" s="61"/>
      <c r="L1467" s="73" t="str">
        <f>IF($E1467="","",DATE(YEAR($E1467),MONTH($E1467),1))</f>
        <v/>
      </c>
      <c r="M1467" s="65" t="str">
        <f ca="1">IF($D1467="","",IF($C1467="TANIMSIZ MÜŞTERİ","HATA",IF(OR($E1467="",$F1467&lt;=0,$G1467=""),"EKSİK",IF($E1467&gt;TODAY(),"İLERİ TARİH",IF(COUNTIF($S$7:$S$2503,$S1467)&gt;1,"MÜKERRER?",IF($T1467&gt;0,"KAPALI DÖNEM","UYGUN"))))))</f>
        <v/>
      </c>
      <c r="N1467" s="74" t="str">
        <f>IF($C1467="","",IF($C1467="TANIMSIZ MÜŞTERİ","—",INDEX(MUSTERILER!$C$7:$C$156,MATCH($C1467,MUSTERILER!$B$7:$B$156,0))))</f>
        <v/>
      </c>
      <c r="O1467" s="2"/>
      <c r="P1467" s="2"/>
      <c r="Q1467" s="1" t="str">
        <f>IF($D1467="","",$C1467&amp;"|"&amp;COUNTIFS($C$7:$C1467,$C1467))</f>
        <v/>
      </c>
      <c r="R1467" s="1" t="str">
        <f t="shared" si="44"/>
        <v/>
      </c>
      <c r="S1467" s="1" t="str">
        <f t="shared" si="45"/>
        <v/>
      </c>
      <c r="T1467" s="1">
        <f>IF($E1467="",0,SUMPRODUCT((AY_SONU!$O$7:$O$42="Evet")*(AY_SONU!$B$7:$B$42=DATE(YEAR($E1467),MONTH($E1467),1))))</f>
        <v>0</v>
      </c>
      <c r="U1467" s="1" t="str">
        <f>IF(OR($G1467="",$H1467="Mahsup"),"",$G1467&amp;"|"&amp;COUNTIFS($G$7:$G1467,$G1467,$H$7:$H1467,"&lt;&gt;Mahsup"))</f>
        <v/>
      </c>
    </row>
    <row r="1468" spans="1:21" ht="18" customHeight="1" x14ac:dyDescent="0.3">
      <c r="A1468" s="2"/>
      <c r="B1468" s="65" t="str">
        <f>IF($D1468="","","T"&amp;TEXT(ROW()-6,"00000"))</f>
        <v/>
      </c>
      <c r="C1468" s="65" t="str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61"/>
      <c r="E1468" s="66"/>
      <c r="F1468" s="67"/>
      <c r="G1468" s="60"/>
      <c r="H1468" s="60"/>
      <c r="I1468" s="61"/>
      <c r="J1468" s="61"/>
      <c r="K1468" s="61"/>
      <c r="L1468" s="73" t="str">
        <f>IF($E1468="","",DATE(YEAR($E1468),MONTH($E1468),1))</f>
        <v/>
      </c>
      <c r="M1468" s="65" t="str">
        <f ca="1">IF($D1468="","",IF($C1468="TANIMSIZ MÜŞTERİ","HATA",IF(OR($E1468="",$F1468&lt;=0,$G1468=""),"EKSİK",IF($E1468&gt;TODAY(),"İLERİ TARİH",IF(COUNTIF($S$7:$S$2503,$S1468)&gt;1,"MÜKERRER?",IF($T1468&gt;0,"KAPALI DÖNEM","UYGUN"))))))</f>
        <v/>
      </c>
      <c r="N1468" s="74" t="str">
        <f>IF($C1468="","",IF($C1468="TANIMSIZ MÜŞTERİ","—",INDEX(MUSTERILER!$C$7:$C$156,MATCH($C1468,MUSTERILER!$B$7:$B$156,0))))</f>
        <v/>
      </c>
      <c r="O1468" s="2"/>
      <c r="P1468" s="2"/>
      <c r="Q1468" s="1" t="str">
        <f>IF($D1468="","",$C1468&amp;"|"&amp;COUNTIFS($C$7:$C1468,$C1468))</f>
        <v/>
      </c>
      <c r="R1468" s="1" t="str">
        <f t="shared" si="44"/>
        <v/>
      </c>
      <c r="S1468" s="1" t="str">
        <f t="shared" si="45"/>
        <v/>
      </c>
      <c r="T1468" s="1">
        <f>IF($E1468="",0,SUMPRODUCT((AY_SONU!$O$7:$O$42="Evet")*(AY_SONU!$B$7:$B$42=DATE(YEAR($E1468),MONTH($E1468),1))))</f>
        <v>0</v>
      </c>
      <c r="U1468" s="1" t="str">
        <f>IF(OR($G1468="",$H1468="Mahsup"),"",$G1468&amp;"|"&amp;COUNTIFS($G$7:$G1468,$G1468,$H$7:$H1468,"&lt;&gt;Mahsup"))</f>
        <v/>
      </c>
    </row>
    <row r="1469" spans="1:21" ht="18" customHeight="1" x14ac:dyDescent="0.3">
      <c r="A1469" s="2"/>
      <c r="B1469" s="65" t="str">
        <f>IF($D1469="","","T"&amp;TEXT(ROW()-6,"00000"))</f>
        <v/>
      </c>
      <c r="C1469" s="65" t="str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61"/>
      <c r="E1469" s="66"/>
      <c r="F1469" s="67"/>
      <c r="G1469" s="60"/>
      <c r="H1469" s="60"/>
      <c r="I1469" s="61"/>
      <c r="J1469" s="61"/>
      <c r="K1469" s="61"/>
      <c r="L1469" s="73" t="str">
        <f>IF($E1469="","",DATE(YEAR($E1469),MONTH($E1469),1))</f>
        <v/>
      </c>
      <c r="M1469" s="65" t="str">
        <f ca="1">IF($D1469="","",IF($C1469="TANIMSIZ MÜŞTERİ","HATA",IF(OR($E1469="",$F1469&lt;=0,$G1469=""),"EKSİK",IF($E1469&gt;TODAY(),"İLERİ TARİH",IF(COUNTIF($S$7:$S$2503,$S1469)&gt;1,"MÜKERRER?",IF($T1469&gt;0,"KAPALI DÖNEM","UYGUN"))))))</f>
        <v/>
      </c>
      <c r="N1469" s="74" t="str">
        <f>IF($C1469="","",IF($C1469="TANIMSIZ MÜŞTERİ","—",INDEX(MUSTERILER!$C$7:$C$156,MATCH($C1469,MUSTERILER!$B$7:$B$156,0))))</f>
        <v/>
      </c>
      <c r="O1469" s="2"/>
      <c r="P1469" s="2"/>
      <c r="Q1469" s="1" t="str">
        <f>IF($D1469="","",$C1469&amp;"|"&amp;COUNTIFS($C$7:$C1469,$C1469))</f>
        <v/>
      </c>
      <c r="R1469" s="1" t="str">
        <f t="shared" si="44"/>
        <v/>
      </c>
      <c r="S1469" s="1" t="str">
        <f t="shared" si="45"/>
        <v/>
      </c>
      <c r="T1469" s="1">
        <f>IF($E1469="",0,SUMPRODUCT((AY_SONU!$O$7:$O$42="Evet")*(AY_SONU!$B$7:$B$42=DATE(YEAR($E1469),MONTH($E1469),1))))</f>
        <v>0</v>
      </c>
      <c r="U1469" s="1" t="str">
        <f>IF(OR($G1469="",$H1469="Mahsup"),"",$G1469&amp;"|"&amp;COUNTIFS($G$7:$G1469,$G1469,$H$7:$H1469,"&lt;&gt;Mahsup"))</f>
        <v/>
      </c>
    </row>
    <row r="1470" spans="1:21" ht="18" customHeight="1" x14ac:dyDescent="0.3">
      <c r="A1470" s="2"/>
      <c r="B1470" s="65" t="str">
        <f>IF($D1470="","","T"&amp;TEXT(ROW()-6,"00000"))</f>
        <v/>
      </c>
      <c r="C1470" s="65" t="str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61"/>
      <c r="E1470" s="66"/>
      <c r="F1470" s="67"/>
      <c r="G1470" s="60"/>
      <c r="H1470" s="60"/>
      <c r="I1470" s="61"/>
      <c r="J1470" s="61"/>
      <c r="K1470" s="61"/>
      <c r="L1470" s="73" t="str">
        <f>IF($E1470="","",DATE(YEAR($E1470),MONTH($E1470),1))</f>
        <v/>
      </c>
      <c r="M1470" s="65" t="str">
        <f ca="1">IF($D1470="","",IF($C1470="TANIMSIZ MÜŞTERİ","HATA",IF(OR($E1470="",$F1470&lt;=0,$G1470=""),"EKSİK",IF($E1470&gt;TODAY(),"İLERİ TARİH",IF(COUNTIF($S$7:$S$2503,$S1470)&gt;1,"MÜKERRER?",IF($T1470&gt;0,"KAPALI DÖNEM","UYGUN"))))))</f>
        <v/>
      </c>
      <c r="N1470" s="74" t="str">
        <f>IF($C1470="","",IF($C1470="TANIMSIZ MÜŞTERİ","—",INDEX(MUSTERILER!$C$7:$C$156,MATCH($C1470,MUSTERILER!$B$7:$B$156,0))))</f>
        <v/>
      </c>
      <c r="O1470" s="2"/>
      <c r="P1470" s="2"/>
      <c r="Q1470" s="1" t="str">
        <f>IF($D1470="","",$C1470&amp;"|"&amp;COUNTIFS($C$7:$C1470,$C1470))</f>
        <v/>
      </c>
      <c r="R1470" s="1" t="str">
        <f t="shared" si="44"/>
        <v/>
      </c>
      <c r="S1470" s="1" t="str">
        <f t="shared" si="45"/>
        <v/>
      </c>
      <c r="T1470" s="1">
        <f>IF($E1470="",0,SUMPRODUCT((AY_SONU!$O$7:$O$42="Evet")*(AY_SONU!$B$7:$B$42=DATE(YEAR($E1470),MONTH($E1470),1))))</f>
        <v>0</v>
      </c>
      <c r="U1470" s="1" t="str">
        <f>IF(OR($G1470="",$H1470="Mahsup"),"",$G1470&amp;"|"&amp;COUNTIFS($G$7:$G1470,$G1470,$H$7:$H1470,"&lt;&gt;Mahsup"))</f>
        <v/>
      </c>
    </row>
    <row r="1471" spans="1:21" ht="18" customHeight="1" x14ac:dyDescent="0.3">
      <c r="A1471" s="2"/>
      <c r="B1471" s="65" t="str">
        <f>IF($D1471="","","T"&amp;TEXT(ROW()-6,"00000"))</f>
        <v/>
      </c>
      <c r="C1471" s="65" t="str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61"/>
      <c r="E1471" s="66"/>
      <c r="F1471" s="67"/>
      <c r="G1471" s="60"/>
      <c r="H1471" s="60"/>
      <c r="I1471" s="61"/>
      <c r="J1471" s="61"/>
      <c r="K1471" s="61"/>
      <c r="L1471" s="73" t="str">
        <f>IF($E1471="","",DATE(YEAR($E1471),MONTH($E1471),1))</f>
        <v/>
      </c>
      <c r="M1471" s="65" t="str">
        <f ca="1">IF($D1471="","",IF($C1471="TANIMSIZ MÜŞTERİ","HATA",IF(OR($E1471="",$F1471&lt;=0,$G1471=""),"EKSİK",IF($E1471&gt;TODAY(),"İLERİ TARİH",IF(COUNTIF($S$7:$S$2503,$S1471)&gt;1,"MÜKERRER?",IF($T1471&gt;0,"KAPALI DÖNEM","UYGUN"))))))</f>
        <v/>
      </c>
      <c r="N1471" s="74" t="str">
        <f>IF($C1471="","",IF($C1471="TANIMSIZ MÜŞTERİ","—",INDEX(MUSTERILER!$C$7:$C$156,MATCH($C1471,MUSTERILER!$B$7:$B$156,0))))</f>
        <v/>
      </c>
      <c r="O1471" s="2"/>
      <c r="P1471" s="2"/>
      <c r="Q1471" s="1" t="str">
        <f>IF($D1471="","",$C1471&amp;"|"&amp;COUNTIFS($C$7:$C1471,$C1471))</f>
        <v/>
      </c>
      <c r="R1471" s="1" t="str">
        <f t="shared" si="44"/>
        <v/>
      </c>
      <c r="S1471" s="1" t="str">
        <f t="shared" si="45"/>
        <v/>
      </c>
      <c r="T1471" s="1">
        <f>IF($E1471="",0,SUMPRODUCT((AY_SONU!$O$7:$O$42="Evet")*(AY_SONU!$B$7:$B$42=DATE(YEAR($E1471),MONTH($E1471),1))))</f>
        <v>0</v>
      </c>
      <c r="U1471" s="1" t="str">
        <f>IF(OR($G1471="",$H1471="Mahsup"),"",$G1471&amp;"|"&amp;COUNTIFS($G$7:$G1471,$G1471,$H$7:$H1471,"&lt;&gt;Mahsup"))</f>
        <v/>
      </c>
    </row>
    <row r="1472" spans="1:21" ht="18" customHeight="1" x14ac:dyDescent="0.3">
      <c r="A1472" s="2"/>
      <c r="B1472" s="65" t="str">
        <f>IF($D1472="","","T"&amp;TEXT(ROW()-6,"00000"))</f>
        <v/>
      </c>
      <c r="C1472" s="65" t="str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61"/>
      <c r="E1472" s="66"/>
      <c r="F1472" s="67"/>
      <c r="G1472" s="60"/>
      <c r="H1472" s="60"/>
      <c r="I1472" s="61"/>
      <c r="J1472" s="61"/>
      <c r="K1472" s="61"/>
      <c r="L1472" s="73" t="str">
        <f>IF($E1472="","",DATE(YEAR($E1472),MONTH($E1472),1))</f>
        <v/>
      </c>
      <c r="M1472" s="65" t="str">
        <f ca="1">IF($D1472="","",IF($C1472="TANIMSIZ MÜŞTERİ","HATA",IF(OR($E1472="",$F1472&lt;=0,$G1472=""),"EKSİK",IF($E1472&gt;TODAY(),"İLERİ TARİH",IF(COUNTIF($S$7:$S$2503,$S1472)&gt;1,"MÜKERRER?",IF($T1472&gt;0,"KAPALI DÖNEM","UYGUN"))))))</f>
        <v/>
      </c>
      <c r="N1472" s="74" t="str">
        <f>IF($C1472="","",IF($C1472="TANIMSIZ MÜŞTERİ","—",INDEX(MUSTERILER!$C$7:$C$156,MATCH($C1472,MUSTERILER!$B$7:$B$156,0))))</f>
        <v/>
      </c>
      <c r="O1472" s="2"/>
      <c r="P1472" s="2"/>
      <c r="Q1472" s="1" t="str">
        <f>IF($D1472="","",$C1472&amp;"|"&amp;COUNTIFS($C$7:$C1472,$C1472))</f>
        <v/>
      </c>
      <c r="R1472" s="1" t="str">
        <f t="shared" si="44"/>
        <v/>
      </c>
      <c r="S1472" s="1" t="str">
        <f t="shared" si="45"/>
        <v/>
      </c>
      <c r="T1472" s="1">
        <f>IF($E1472="",0,SUMPRODUCT((AY_SONU!$O$7:$O$42="Evet")*(AY_SONU!$B$7:$B$42=DATE(YEAR($E1472),MONTH($E1472),1))))</f>
        <v>0</v>
      </c>
      <c r="U1472" s="1" t="str">
        <f>IF(OR($G1472="",$H1472="Mahsup"),"",$G1472&amp;"|"&amp;COUNTIFS($G$7:$G1472,$G1472,$H$7:$H1472,"&lt;&gt;Mahsup"))</f>
        <v/>
      </c>
    </row>
    <row r="1473" spans="1:21" ht="18" customHeight="1" x14ac:dyDescent="0.3">
      <c r="A1473" s="2"/>
      <c r="B1473" s="65" t="str">
        <f>IF($D1473="","","T"&amp;TEXT(ROW()-6,"00000"))</f>
        <v/>
      </c>
      <c r="C1473" s="65" t="str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61"/>
      <c r="E1473" s="66"/>
      <c r="F1473" s="67"/>
      <c r="G1473" s="60"/>
      <c r="H1473" s="60"/>
      <c r="I1473" s="61"/>
      <c r="J1473" s="61"/>
      <c r="K1473" s="61"/>
      <c r="L1473" s="73" t="str">
        <f>IF($E1473="","",DATE(YEAR($E1473),MONTH($E1473),1))</f>
        <v/>
      </c>
      <c r="M1473" s="65" t="str">
        <f ca="1">IF($D1473="","",IF($C1473="TANIMSIZ MÜŞTERİ","HATA",IF(OR($E1473="",$F1473&lt;=0,$G1473=""),"EKSİK",IF($E1473&gt;TODAY(),"İLERİ TARİH",IF(COUNTIF($S$7:$S$2503,$S1473)&gt;1,"MÜKERRER?",IF($T1473&gt;0,"KAPALI DÖNEM","UYGUN"))))))</f>
        <v/>
      </c>
      <c r="N1473" s="74" t="str">
        <f>IF($C1473="","",IF($C1473="TANIMSIZ MÜŞTERİ","—",INDEX(MUSTERILER!$C$7:$C$156,MATCH($C1473,MUSTERILER!$B$7:$B$156,0))))</f>
        <v/>
      </c>
      <c r="O1473" s="2"/>
      <c r="P1473" s="2"/>
      <c r="Q1473" s="1" t="str">
        <f>IF($D1473="","",$C1473&amp;"|"&amp;COUNTIFS($C$7:$C1473,$C1473))</f>
        <v/>
      </c>
      <c r="R1473" s="1" t="str">
        <f t="shared" si="44"/>
        <v/>
      </c>
      <c r="S1473" s="1" t="str">
        <f t="shared" si="45"/>
        <v/>
      </c>
      <c r="T1473" s="1">
        <f>IF($E1473="",0,SUMPRODUCT((AY_SONU!$O$7:$O$42="Evet")*(AY_SONU!$B$7:$B$42=DATE(YEAR($E1473),MONTH($E1473),1))))</f>
        <v>0</v>
      </c>
      <c r="U1473" s="1" t="str">
        <f>IF(OR($G1473="",$H1473="Mahsup"),"",$G1473&amp;"|"&amp;COUNTIFS($G$7:$G1473,$G1473,$H$7:$H1473,"&lt;&gt;Mahsup"))</f>
        <v/>
      </c>
    </row>
    <row r="1474" spans="1:21" ht="18" customHeight="1" x14ac:dyDescent="0.3">
      <c r="A1474" s="2"/>
      <c r="B1474" s="65" t="str">
        <f>IF($D1474="","","T"&amp;TEXT(ROW()-6,"00000"))</f>
        <v/>
      </c>
      <c r="C1474" s="65" t="str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61"/>
      <c r="E1474" s="66"/>
      <c r="F1474" s="67"/>
      <c r="G1474" s="60"/>
      <c r="H1474" s="60"/>
      <c r="I1474" s="61"/>
      <c r="J1474" s="61"/>
      <c r="K1474" s="61"/>
      <c r="L1474" s="73" t="str">
        <f>IF($E1474="","",DATE(YEAR($E1474),MONTH($E1474),1))</f>
        <v/>
      </c>
      <c r="M1474" s="65" t="str">
        <f ca="1">IF($D1474="","",IF($C1474="TANIMSIZ MÜŞTERİ","HATA",IF(OR($E1474="",$F1474&lt;=0,$G1474=""),"EKSİK",IF($E1474&gt;TODAY(),"İLERİ TARİH",IF(COUNTIF($S$7:$S$2503,$S1474)&gt;1,"MÜKERRER?",IF($T1474&gt;0,"KAPALI DÖNEM","UYGUN"))))))</f>
        <v/>
      </c>
      <c r="N1474" s="74" t="str">
        <f>IF($C1474="","",IF($C1474="TANIMSIZ MÜŞTERİ","—",INDEX(MUSTERILER!$C$7:$C$156,MATCH($C1474,MUSTERILER!$B$7:$B$156,0))))</f>
        <v/>
      </c>
      <c r="O1474" s="2"/>
      <c r="P1474" s="2"/>
      <c r="Q1474" s="1" t="str">
        <f>IF($D1474="","",$C1474&amp;"|"&amp;COUNTIFS($C$7:$C1474,$C1474))</f>
        <v/>
      </c>
      <c r="R1474" s="1" t="str">
        <f t="shared" si="44"/>
        <v/>
      </c>
      <c r="S1474" s="1" t="str">
        <f t="shared" si="45"/>
        <v/>
      </c>
      <c r="T1474" s="1">
        <f>IF($E1474="",0,SUMPRODUCT((AY_SONU!$O$7:$O$42="Evet")*(AY_SONU!$B$7:$B$42=DATE(YEAR($E1474),MONTH($E1474),1))))</f>
        <v>0</v>
      </c>
      <c r="U1474" s="1" t="str">
        <f>IF(OR($G1474="",$H1474="Mahsup"),"",$G1474&amp;"|"&amp;COUNTIFS($G$7:$G1474,$G1474,$H$7:$H1474,"&lt;&gt;Mahsup"))</f>
        <v/>
      </c>
    </row>
    <row r="1475" spans="1:21" ht="18" customHeight="1" x14ac:dyDescent="0.3">
      <c r="A1475" s="2"/>
      <c r="B1475" s="65" t="str">
        <f>IF($D1475="","","T"&amp;TEXT(ROW()-6,"00000"))</f>
        <v/>
      </c>
      <c r="C1475" s="65" t="str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61"/>
      <c r="E1475" s="66"/>
      <c r="F1475" s="67"/>
      <c r="G1475" s="60"/>
      <c r="H1475" s="60"/>
      <c r="I1475" s="61"/>
      <c r="J1475" s="61"/>
      <c r="K1475" s="61"/>
      <c r="L1475" s="73" t="str">
        <f>IF($E1475="","",DATE(YEAR($E1475),MONTH($E1475),1))</f>
        <v/>
      </c>
      <c r="M1475" s="65" t="str">
        <f ca="1">IF($D1475="","",IF($C1475="TANIMSIZ MÜŞTERİ","HATA",IF(OR($E1475="",$F1475&lt;=0,$G1475=""),"EKSİK",IF($E1475&gt;TODAY(),"İLERİ TARİH",IF(COUNTIF($S$7:$S$2503,$S1475)&gt;1,"MÜKERRER?",IF($T1475&gt;0,"KAPALI DÖNEM","UYGUN"))))))</f>
        <v/>
      </c>
      <c r="N1475" s="74" t="str">
        <f>IF($C1475="","",IF($C1475="TANIMSIZ MÜŞTERİ","—",INDEX(MUSTERILER!$C$7:$C$156,MATCH($C1475,MUSTERILER!$B$7:$B$156,0))))</f>
        <v/>
      </c>
      <c r="O1475" s="2"/>
      <c r="P1475" s="2"/>
      <c r="Q1475" s="1" t="str">
        <f>IF($D1475="","",$C1475&amp;"|"&amp;COUNTIFS($C$7:$C1475,$C1475))</f>
        <v/>
      </c>
      <c r="R1475" s="1" t="str">
        <f t="shared" si="44"/>
        <v/>
      </c>
      <c r="S1475" s="1" t="str">
        <f t="shared" si="45"/>
        <v/>
      </c>
      <c r="T1475" s="1">
        <f>IF($E1475="",0,SUMPRODUCT((AY_SONU!$O$7:$O$42="Evet")*(AY_SONU!$B$7:$B$42=DATE(YEAR($E1475),MONTH($E1475),1))))</f>
        <v>0</v>
      </c>
      <c r="U1475" s="1" t="str">
        <f>IF(OR($G1475="",$H1475="Mahsup"),"",$G1475&amp;"|"&amp;COUNTIFS($G$7:$G1475,$G1475,$H$7:$H1475,"&lt;&gt;Mahsup"))</f>
        <v/>
      </c>
    </row>
    <row r="1476" spans="1:21" ht="18" customHeight="1" x14ac:dyDescent="0.3">
      <c r="A1476" s="2"/>
      <c r="B1476" s="65" t="str">
        <f>IF($D1476="","","T"&amp;TEXT(ROW()-6,"00000"))</f>
        <v/>
      </c>
      <c r="C1476" s="65" t="str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61"/>
      <c r="E1476" s="66"/>
      <c r="F1476" s="67"/>
      <c r="G1476" s="60"/>
      <c r="H1476" s="60"/>
      <c r="I1476" s="61"/>
      <c r="J1476" s="61"/>
      <c r="K1476" s="61"/>
      <c r="L1476" s="73" t="str">
        <f>IF($E1476="","",DATE(YEAR($E1476),MONTH($E1476),1))</f>
        <v/>
      </c>
      <c r="M1476" s="65" t="str">
        <f ca="1">IF($D1476="","",IF($C1476="TANIMSIZ MÜŞTERİ","HATA",IF(OR($E1476="",$F1476&lt;=0,$G1476=""),"EKSİK",IF($E1476&gt;TODAY(),"İLERİ TARİH",IF(COUNTIF($S$7:$S$2503,$S1476)&gt;1,"MÜKERRER?",IF($T1476&gt;0,"KAPALI DÖNEM","UYGUN"))))))</f>
        <v/>
      </c>
      <c r="N1476" s="74" t="str">
        <f>IF($C1476="","",IF($C1476="TANIMSIZ MÜŞTERİ","—",INDEX(MUSTERILER!$C$7:$C$156,MATCH($C1476,MUSTERILER!$B$7:$B$156,0))))</f>
        <v/>
      </c>
      <c r="O1476" s="2"/>
      <c r="P1476" s="2"/>
      <c r="Q1476" s="1" t="str">
        <f>IF($D1476="","",$C1476&amp;"|"&amp;COUNTIFS($C$7:$C1476,$C1476))</f>
        <v/>
      </c>
      <c r="R1476" s="1" t="str">
        <f t="shared" si="44"/>
        <v/>
      </c>
      <c r="S1476" s="1" t="str">
        <f t="shared" si="45"/>
        <v/>
      </c>
      <c r="T1476" s="1">
        <f>IF($E1476="",0,SUMPRODUCT((AY_SONU!$O$7:$O$42="Evet")*(AY_SONU!$B$7:$B$42=DATE(YEAR($E1476),MONTH($E1476),1))))</f>
        <v>0</v>
      </c>
      <c r="U1476" s="1" t="str">
        <f>IF(OR($G1476="",$H1476="Mahsup"),"",$G1476&amp;"|"&amp;COUNTIFS($G$7:$G1476,$G1476,$H$7:$H1476,"&lt;&gt;Mahsup"))</f>
        <v/>
      </c>
    </row>
    <row r="1477" spans="1:21" ht="18" customHeight="1" x14ac:dyDescent="0.3">
      <c r="A1477" s="2"/>
      <c r="B1477" s="65" t="str">
        <f>IF($D1477="","","T"&amp;TEXT(ROW()-6,"00000"))</f>
        <v/>
      </c>
      <c r="C1477" s="65" t="str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61"/>
      <c r="E1477" s="66"/>
      <c r="F1477" s="67"/>
      <c r="G1477" s="60"/>
      <c r="H1477" s="60"/>
      <c r="I1477" s="61"/>
      <c r="J1477" s="61"/>
      <c r="K1477" s="61"/>
      <c r="L1477" s="73" t="str">
        <f>IF($E1477="","",DATE(YEAR($E1477),MONTH($E1477),1))</f>
        <v/>
      </c>
      <c r="M1477" s="65" t="str">
        <f ca="1">IF($D1477="","",IF($C1477="TANIMSIZ MÜŞTERİ","HATA",IF(OR($E1477="",$F1477&lt;=0,$G1477=""),"EKSİK",IF($E1477&gt;TODAY(),"İLERİ TARİH",IF(COUNTIF($S$7:$S$2503,$S1477)&gt;1,"MÜKERRER?",IF($T1477&gt;0,"KAPALI DÖNEM","UYGUN"))))))</f>
        <v/>
      </c>
      <c r="N1477" s="74" t="str">
        <f>IF($C1477="","",IF($C1477="TANIMSIZ MÜŞTERİ","—",INDEX(MUSTERILER!$C$7:$C$156,MATCH($C1477,MUSTERILER!$B$7:$B$156,0))))</f>
        <v/>
      </c>
      <c r="O1477" s="2"/>
      <c r="P1477" s="2"/>
      <c r="Q1477" s="1" t="str">
        <f>IF($D1477="","",$C1477&amp;"|"&amp;COUNTIFS($C$7:$C1477,$C1477))</f>
        <v/>
      </c>
      <c r="R1477" s="1" t="str">
        <f t="shared" si="44"/>
        <v/>
      </c>
      <c r="S1477" s="1" t="str">
        <f t="shared" si="45"/>
        <v/>
      </c>
      <c r="T1477" s="1">
        <f>IF($E1477="",0,SUMPRODUCT((AY_SONU!$O$7:$O$42="Evet")*(AY_SONU!$B$7:$B$42=DATE(YEAR($E1477),MONTH($E1477),1))))</f>
        <v>0</v>
      </c>
      <c r="U1477" s="1" t="str">
        <f>IF(OR($G1477="",$H1477="Mahsup"),"",$G1477&amp;"|"&amp;COUNTIFS($G$7:$G1477,$G1477,$H$7:$H1477,"&lt;&gt;Mahsup"))</f>
        <v/>
      </c>
    </row>
    <row r="1478" spans="1:21" ht="18" customHeight="1" x14ac:dyDescent="0.3">
      <c r="A1478" s="2"/>
      <c r="B1478" s="65" t="str">
        <f>IF($D1478="","","T"&amp;TEXT(ROW()-6,"00000"))</f>
        <v/>
      </c>
      <c r="C1478" s="65" t="str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61"/>
      <c r="E1478" s="66"/>
      <c r="F1478" s="67"/>
      <c r="G1478" s="60"/>
      <c r="H1478" s="60"/>
      <c r="I1478" s="61"/>
      <c r="J1478" s="61"/>
      <c r="K1478" s="61"/>
      <c r="L1478" s="73" t="str">
        <f>IF($E1478="","",DATE(YEAR($E1478),MONTH($E1478),1))</f>
        <v/>
      </c>
      <c r="M1478" s="65" t="str">
        <f ca="1">IF($D1478="","",IF($C1478="TANIMSIZ MÜŞTERİ","HATA",IF(OR($E1478="",$F1478&lt;=0,$G1478=""),"EKSİK",IF($E1478&gt;TODAY(),"İLERİ TARİH",IF(COUNTIF($S$7:$S$2503,$S1478)&gt;1,"MÜKERRER?",IF($T1478&gt;0,"KAPALI DÖNEM","UYGUN"))))))</f>
        <v/>
      </c>
      <c r="N1478" s="74" t="str">
        <f>IF($C1478="","",IF($C1478="TANIMSIZ MÜŞTERİ","—",INDEX(MUSTERILER!$C$7:$C$156,MATCH($C1478,MUSTERILER!$B$7:$B$156,0))))</f>
        <v/>
      </c>
      <c r="O1478" s="2"/>
      <c r="P1478" s="2"/>
      <c r="Q1478" s="1" t="str">
        <f>IF($D1478="","",$C1478&amp;"|"&amp;COUNTIFS($C$7:$C1478,$C1478))</f>
        <v/>
      </c>
      <c r="R1478" s="1" t="str">
        <f t="shared" si="44"/>
        <v/>
      </c>
      <c r="S1478" s="1" t="str">
        <f t="shared" si="45"/>
        <v/>
      </c>
      <c r="T1478" s="1">
        <f>IF($E1478="",0,SUMPRODUCT((AY_SONU!$O$7:$O$42="Evet")*(AY_SONU!$B$7:$B$42=DATE(YEAR($E1478),MONTH($E1478),1))))</f>
        <v>0</v>
      </c>
      <c r="U1478" s="1" t="str">
        <f>IF(OR($G1478="",$H1478="Mahsup"),"",$G1478&amp;"|"&amp;COUNTIFS($G$7:$G1478,$G1478,$H$7:$H1478,"&lt;&gt;Mahsup"))</f>
        <v/>
      </c>
    </row>
    <row r="1479" spans="1:21" ht="18" customHeight="1" x14ac:dyDescent="0.3">
      <c r="A1479" s="2"/>
      <c r="B1479" s="65" t="str">
        <f>IF($D1479="","","T"&amp;TEXT(ROW()-6,"00000"))</f>
        <v/>
      </c>
      <c r="C1479" s="65" t="str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61"/>
      <c r="E1479" s="66"/>
      <c r="F1479" s="67"/>
      <c r="G1479" s="60"/>
      <c r="H1479" s="60"/>
      <c r="I1479" s="61"/>
      <c r="J1479" s="61"/>
      <c r="K1479" s="61"/>
      <c r="L1479" s="73" t="str">
        <f>IF($E1479="","",DATE(YEAR($E1479),MONTH($E1479),1))</f>
        <v/>
      </c>
      <c r="M1479" s="65" t="str">
        <f ca="1">IF($D1479="","",IF($C1479="TANIMSIZ MÜŞTERİ","HATA",IF(OR($E1479="",$F1479&lt;=0,$G1479=""),"EKSİK",IF($E1479&gt;TODAY(),"İLERİ TARİH",IF(COUNTIF($S$7:$S$2503,$S1479)&gt;1,"MÜKERRER?",IF($T1479&gt;0,"KAPALI DÖNEM","UYGUN"))))))</f>
        <v/>
      </c>
      <c r="N1479" s="74" t="str">
        <f>IF($C1479="","",IF($C1479="TANIMSIZ MÜŞTERİ","—",INDEX(MUSTERILER!$C$7:$C$156,MATCH($C1479,MUSTERILER!$B$7:$B$156,0))))</f>
        <v/>
      </c>
      <c r="O1479" s="2"/>
      <c r="P1479" s="2"/>
      <c r="Q1479" s="1" t="str">
        <f>IF($D1479="","",$C1479&amp;"|"&amp;COUNTIFS($C$7:$C1479,$C1479))</f>
        <v/>
      </c>
      <c r="R1479" s="1" t="str">
        <f t="shared" ref="R1479:R1542" si="46"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" t="str">
        <f t="shared" ref="S1479:S1542" si="47">IF($D1479="","",$C1479&amp;"|"&amp;TEXT($E1479,"0")&amp;"|"&amp;TEXT($F1479,"0")&amp;"|"&amp;$I1479)</f>
        <v/>
      </c>
      <c r="T1479" s="1">
        <f>IF($E1479="",0,SUMPRODUCT((AY_SONU!$O$7:$O$42="Evet")*(AY_SONU!$B$7:$B$42=DATE(YEAR($E1479),MONTH($E1479),1))))</f>
        <v>0</v>
      </c>
      <c r="U1479" s="1" t="str">
        <f>IF(OR($G1479="",$H1479="Mahsup"),"",$G1479&amp;"|"&amp;COUNTIFS($G$7:$G1479,$G1479,$H$7:$H1479,"&lt;&gt;Mahsup"))</f>
        <v/>
      </c>
    </row>
    <row r="1480" spans="1:21" ht="18" customHeight="1" x14ac:dyDescent="0.3">
      <c r="A1480" s="2"/>
      <c r="B1480" s="65" t="str">
        <f>IF($D1480="","","T"&amp;TEXT(ROW()-6,"00000"))</f>
        <v/>
      </c>
      <c r="C1480" s="65" t="str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61"/>
      <c r="E1480" s="66"/>
      <c r="F1480" s="67"/>
      <c r="G1480" s="60"/>
      <c r="H1480" s="60"/>
      <c r="I1480" s="61"/>
      <c r="J1480" s="61"/>
      <c r="K1480" s="61"/>
      <c r="L1480" s="73" t="str">
        <f>IF($E1480="","",DATE(YEAR($E1480),MONTH($E1480),1))</f>
        <v/>
      </c>
      <c r="M1480" s="65" t="str">
        <f ca="1">IF($D1480="","",IF($C1480="TANIMSIZ MÜŞTERİ","HATA",IF(OR($E1480="",$F1480&lt;=0,$G1480=""),"EKSİK",IF($E1480&gt;TODAY(),"İLERİ TARİH",IF(COUNTIF($S$7:$S$2503,$S1480)&gt;1,"MÜKERRER?",IF($T1480&gt;0,"KAPALI DÖNEM","UYGUN"))))))</f>
        <v/>
      </c>
      <c r="N1480" s="74" t="str">
        <f>IF($C1480="","",IF($C1480="TANIMSIZ MÜŞTERİ","—",INDEX(MUSTERILER!$C$7:$C$156,MATCH($C1480,MUSTERILER!$B$7:$B$156,0))))</f>
        <v/>
      </c>
      <c r="O1480" s="2"/>
      <c r="P1480" s="2"/>
      <c r="Q1480" s="1" t="str">
        <f>IF($D1480="","",$C1480&amp;"|"&amp;COUNTIFS($C$7:$C1480,$C1480))</f>
        <v/>
      </c>
      <c r="R1480" s="1" t="str">
        <f t="shared" si="46"/>
        <v/>
      </c>
      <c r="S1480" s="1" t="str">
        <f t="shared" si="47"/>
        <v/>
      </c>
      <c r="T1480" s="1">
        <f>IF($E1480="",0,SUMPRODUCT((AY_SONU!$O$7:$O$42="Evet")*(AY_SONU!$B$7:$B$42=DATE(YEAR($E1480),MONTH($E1480),1))))</f>
        <v>0</v>
      </c>
      <c r="U1480" s="1" t="str">
        <f>IF(OR($G1480="",$H1480="Mahsup"),"",$G1480&amp;"|"&amp;COUNTIFS($G$7:$G1480,$G1480,$H$7:$H1480,"&lt;&gt;Mahsup"))</f>
        <v/>
      </c>
    </row>
    <row r="1481" spans="1:21" ht="18" customHeight="1" x14ac:dyDescent="0.3">
      <c r="A1481" s="2"/>
      <c r="B1481" s="65" t="str">
        <f>IF($D1481="","","T"&amp;TEXT(ROW()-6,"00000"))</f>
        <v/>
      </c>
      <c r="C1481" s="65" t="str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61"/>
      <c r="E1481" s="66"/>
      <c r="F1481" s="67"/>
      <c r="G1481" s="60"/>
      <c r="H1481" s="60"/>
      <c r="I1481" s="61"/>
      <c r="J1481" s="61"/>
      <c r="K1481" s="61"/>
      <c r="L1481" s="73" t="str">
        <f>IF($E1481="","",DATE(YEAR($E1481),MONTH($E1481),1))</f>
        <v/>
      </c>
      <c r="M1481" s="65" t="str">
        <f ca="1">IF($D1481="","",IF($C1481="TANIMSIZ MÜŞTERİ","HATA",IF(OR($E1481="",$F1481&lt;=0,$G1481=""),"EKSİK",IF($E1481&gt;TODAY(),"İLERİ TARİH",IF(COUNTIF($S$7:$S$2503,$S1481)&gt;1,"MÜKERRER?",IF($T1481&gt;0,"KAPALI DÖNEM","UYGUN"))))))</f>
        <v/>
      </c>
      <c r="N1481" s="74" t="str">
        <f>IF($C1481="","",IF($C1481="TANIMSIZ MÜŞTERİ","—",INDEX(MUSTERILER!$C$7:$C$156,MATCH($C1481,MUSTERILER!$B$7:$B$156,0))))</f>
        <v/>
      </c>
      <c r="O1481" s="2"/>
      <c r="P1481" s="2"/>
      <c r="Q1481" s="1" t="str">
        <f>IF($D1481="","",$C1481&amp;"|"&amp;COUNTIFS($C$7:$C1481,$C1481))</f>
        <v/>
      </c>
      <c r="R1481" s="1" t="str">
        <f t="shared" si="46"/>
        <v/>
      </c>
      <c r="S1481" s="1" t="str">
        <f t="shared" si="47"/>
        <v/>
      </c>
      <c r="T1481" s="1">
        <f>IF($E1481="",0,SUMPRODUCT((AY_SONU!$O$7:$O$42="Evet")*(AY_SONU!$B$7:$B$42=DATE(YEAR($E1481),MONTH($E1481),1))))</f>
        <v>0</v>
      </c>
      <c r="U1481" s="1" t="str">
        <f>IF(OR($G1481="",$H1481="Mahsup"),"",$G1481&amp;"|"&amp;COUNTIFS($G$7:$G1481,$G1481,$H$7:$H1481,"&lt;&gt;Mahsup"))</f>
        <v/>
      </c>
    </row>
    <row r="1482" spans="1:21" ht="18" customHeight="1" x14ac:dyDescent="0.3">
      <c r="A1482" s="2"/>
      <c r="B1482" s="65" t="str">
        <f>IF($D1482="","","T"&amp;TEXT(ROW()-6,"00000"))</f>
        <v/>
      </c>
      <c r="C1482" s="65" t="str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61"/>
      <c r="E1482" s="66"/>
      <c r="F1482" s="67"/>
      <c r="G1482" s="60"/>
      <c r="H1482" s="60"/>
      <c r="I1482" s="61"/>
      <c r="J1482" s="61"/>
      <c r="K1482" s="61"/>
      <c r="L1482" s="73" t="str">
        <f>IF($E1482="","",DATE(YEAR($E1482),MONTH($E1482),1))</f>
        <v/>
      </c>
      <c r="M1482" s="65" t="str">
        <f ca="1">IF($D1482="","",IF($C1482="TANIMSIZ MÜŞTERİ","HATA",IF(OR($E1482="",$F1482&lt;=0,$G1482=""),"EKSİK",IF($E1482&gt;TODAY(),"İLERİ TARİH",IF(COUNTIF($S$7:$S$2503,$S1482)&gt;1,"MÜKERRER?",IF($T1482&gt;0,"KAPALI DÖNEM","UYGUN"))))))</f>
        <v/>
      </c>
      <c r="N1482" s="74" t="str">
        <f>IF($C1482="","",IF($C1482="TANIMSIZ MÜŞTERİ","—",INDEX(MUSTERILER!$C$7:$C$156,MATCH($C1482,MUSTERILER!$B$7:$B$156,0))))</f>
        <v/>
      </c>
      <c r="O1482" s="2"/>
      <c r="P1482" s="2"/>
      <c r="Q1482" s="1" t="str">
        <f>IF($D1482="","",$C1482&amp;"|"&amp;COUNTIFS($C$7:$C1482,$C1482))</f>
        <v/>
      </c>
      <c r="R1482" s="1" t="str">
        <f t="shared" si="46"/>
        <v/>
      </c>
      <c r="S1482" s="1" t="str">
        <f t="shared" si="47"/>
        <v/>
      </c>
      <c r="T1482" s="1">
        <f>IF($E1482="",0,SUMPRODUCT((AY_SONU!$O$7:$O$42="Evet")*(AY_SONU!$B$7:$B$42=DATE(YEAR($E1482),MONTH($E1482),1))))</f>
        <v>0</v>
      </c>
      <c r="U1482" s="1" t="str">
        <f>IF(OR($G1482="",$H1482="Mahsup"),"",$G1482&amp;"|"&amp;COUNTIFS($G$7:$G1482,$G1482,$H$7:$H1482,"&lt;&gt;Mahsup"))</f>
        <v/>
      </c>
    </row>
    <row r="1483" spans="1:21" ht="18" customHeight="1" x14ac:dyDescent="0.3">
      <c r="A1483" s="2"/>
      <c r="B1483" s="65" t="str">
        <f>IF($D1483="","","T"&amp;TEXT(ROW()-6,"00000"))</f>
        <v/>
      </c>
      <c r="C1483" s="65" t="str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61"/>
      <c r="E1483" s="66"/>
      <c r="F1483" s="67"/>
      <c r="G1483" s="60"/>
      <c r="H1483" s="60"/>
      <c r="I1483" s="61"/>
      <c r="J1483" s="61"/>
      <c r="K1483" s="61"/>
      <c r="L1483" s="73" t="str">
        <f>IF($E1483="","",DATE(YEAR($E1483),MONTH($E1483),1))</f>
        <v/>
      </c>
      <c r="M1483" s="65" t="str">
        <f ca="1">IF($D1483="","",IF($C1483="TANIMSIZ MÜŞTERİ","HATA",IF(OR($E1483="",$F1483&lt;=0,$G1483=""),"EKSİK",IF($E1483&gt;TODAY(),"İLERİ TARİH",IF(COUNTIF($S$7:$S$2503,$S1483)&gt;1,"MÜKERRER?",IF($T1483&gt;0,"KAPALI DÖNEM","UYGUN"))))))</f>
        <v/>
      </c>
      <c r="N1483" s="74" t="str">
        <f>IF($C1483="","",IF($C1483="TANIMSIZ MÜŞTERİ","—",INDEX(MUSTERILER!$C$7:$C$156,MATCH($C1483,MUSTERILER!$B$7:$B$156,0))))</f>
        <v/>
      </c>
      <c r="O1483" s="2"/>
      <c r="P1483" s="2"/>
      <c r="Q1483" s="1" t="str">
        <f>IF($D1483="","",$C1483&amp;"|"&amp;COUNTIFS($C$7:$C1483,$C1483))</f>
        <v/>
      </c>
      <c r="R1483" s="1" t="str">
        <f t="shared" si="46"/>
        <v/>
      </c>
      <c r="S1483" s="1" t="str">
        <f t="shared" si="47"/>
        <v/>
      </c>
      <c r="T1483" s="1">
        <f>IF($E1483="",0,SUMPRODUCT((AY_SONU!$O$7:$O$42="Evet")*(AY_SONU!$B$7:$B$42=DATE(YEAR($E1483),MONTH($E1483),1))))</f>
        <v>0</v>
      </c>
      <c r="U1483" s="1" t="str">
        <f>IF(OR($G1483="",$H1483="Mahsup"),"",$G1483&amp;"|"&amp;COUNTIFS($G$7:$G1483,$G1483,$H$7:$H1483,"&lt;&gt;Mahsup"))</f>
        <v/>
      </c>
    </row>
    <row r="1484" spans="1:21" ht="18" customHeight="1" x14ac:dyDescent="0.3">
      <c r="A1484" s="2"/>
      <c r="B1484" s="65" t="str">
        <f>IF($D1484="","","T"&amp;TEXT(ROW()-6,"00000"))</f>
        <v/>
      </c>
      <c r="C1484" s="65" t="str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61"/>
      <c r="E1484" s="66"/>
      <c r="F1484" s="67"/>
      <c r="G1484" s="60"/>
      <c r="H1484" s="60"/>
      <c r="I1484" s="61"/>
      <c r="J1484" s="61"/>
      <c r="K1484" s="61"/>
      <c r="L1484" s="73" t="str">
        <f>IF($E1484="","",DATE(YEAR($E1484),MONTH($E1484),1))</f>
        <v/>
      </c>
      <c r="M1484" s="65" t="str">
        <f ca="1">IF($D1484="","",IF($C1484="TANIMSIZ MÜŞTERİ","HATA",IF(OR($E1484="",$F1484&lt;=0,$G1484=""),"EKSİK",IF($E1484&gt;TODAY(),"İLERİ TARİH",IF(COUNTIF($S$7:$S$2503,$S1484)&gt;1,"MÜKERRER?",IF($T1484&gt;0,"KAPALI DÖNEM","UYGUN"))))))</f>
        <v/>
      </c>
      <c r="N1484" s="74" t="str">
        <f>IF($C1484="","",IF($C1484="TANIMSIZ MÜŞTERİ","—",INDEX(MUSTERILER!$C$7:$C$156,MATCH($C1484,MUSTERILER!$B$7:$B$156,0))))</f>
        <v/>
      </c>
      <c r="O1484" s="2"/>
      <c r="P1484" s="2"/>
      <c r="Q1484" s="1" t="str">
        <f>IF($D1484="","",$C1484&amp;"|"&amp;COUNTIFS($C$7:$C1484,$C1484))</f>
        <v/>
      </c>
      <c r="R1484" s="1" t="str">
        <f t="shared" si="46"/>
        <v/>
      </c>
      <c r="S1484" s="1" t="str">
        <f t="shared" si="47"/>
        <v/>
      </c>
      <c r="T1484" s="1">
        <f>IF($E1484="",0,SUMPRODUCT((AY_SONU!$O$7:$O$42="Evet")*(AY_SONU!$B$7:$B$42=DATE(YEAR($E1484),MONTH($E1484),1))))</f>
        <v>0</v>
      </c>
      <c r="U1484" s="1" t="str">
        <f>IF(OR($G1484="",$H1484="Mahsup"),"",$G1484&amp;"|"&amp;COUNTIFS($G$7:$G1484,$G1484,$H$7:$H1484,"&lt;&gt;Mahsup"))</f>
        <v/>
      </c>
    </row>
    <row r="1485" spans="1:21" ht="18" customHeight="1" x14ac:dyDescent="0.3">
      <c r="A1485" s="2"/>
      <c r="B1485" s="65" t="str">
        <f>IF($D1485="","","T"&amp;TEXT(ROW()-6,"00000"))</f>
        <v/>
      </c>
      <c r="C1485" s="65" t="str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61"/>
      <c r="E1485" s="66"/>
      <c r="F1485" s="67"/>
      <c r="G1485" s="60"/>
      <c r="H1485" s="60"/>
      <c r="I1485" s="61"/>
      <c r="J1485" s="61"/>
      <c r="K1485" s="61"/>
      <c r="L1485" s="73" t="str">
        <f>IF($E1485="","",DATE(YEAR($E1485),MONTH($E1485),1))</f>
        <v/>
      </c>
      <c r="M1485" s="65" t="str">
        <f ca="1">IF($D1485="","",IF($C1485="TANIMSIZ MÜŞTERİ","HATA",IF(OR($E1485="",$F1485&lt;=0,$G1485=""),"EKSİK",IF($E1485&gt;TODAY(),"İLERİ TARİH",IF(COUNTIF($S$7:$S$2503,$S1485)&gt;1,"MÜKERRER?",IF($T1485&gt;0,"KAPALI DÖNEM","UYGUN"))))))</f>
        <v/>
      </c>
      <c r="N1485" s="74" t="str">
        <f>IF($C1485="","",IF($C1485="TANIMSIZ MÜŞTERİ","—",INDEX(MUSTERILER!$C$7:$C$156,MATCH($C1485,MUSTERILER!$B$7:$B$156,0))))</f>
        <v/>
      </c>
      <c r="O1485" s="2"/>
      <c r="P1485" s="2"/>
      <c r="Q1485" s="1" t="str">
        <f>IF($D1485="","",$C1485&amp;"|"&amp;COUNTIFS($C$7:$C1485,$C1485))</f>
        <v/>
      </c>
      <c r="R1485" s="1" t="str">
        <f t="shared" si="46"/>
        <v/>
      </c>
      <c r="S1485" s="1" t="str">
        <f t="shared" si="47"/>
        <v/>
      </c>
      <c r="T1485" s="1">
        <f>IF($E1485="",0,SUMPRODUCT((AY_SONU!$O$7:$O$42="Evet")*(AY_SONU!$B$7:$B$42=DATE(YEAR($E1485),MONTH($E1485),1))))</f>
        <v>0</v>
      </c>
      <c r="U1485" s="1" t="str">
        <f>IF(OR($G1485="",$H1485="Mahsup"),"",$G1485&amp;"|"&amp;COUNTIFS($G$7:$G1485,$G1485,$H$7:$H1485,"&lt;&gt;Mahsup"))</f>
        <v/>
      </c>
    </row>
    <row r="1486" spans="1:21" ht="18" customHeight="1" x14ac:dyDescent="0.3">
      <c r="A1486" s="2"/>
      <c r="B1486" s="65" t="str">
        <f>IF($D1486="","","T"&amp;TEXT(ROW()-6,"00000"))</f>
        <v/>
      </c>
      <c r="C1486" s="65" t="str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61"/>
      <c r="E1486" s="66"/>
      <c r="F1486" s="67"/>
      <c r="G1486" s="60"/>
      <c r="H1486" s="60"/>
      <c r="I1486" s="61"/>
      <c r="J1486" s="61"/>
      <c r="K1486" s="61"/>
      <c r="L1486" s="73" t="str">
        <f>IF($E1486="","",DATE(YEAR($E1486),MONTH($E1486),1))</f>
        <v/>
      </c>
      <c r="M1486" s="65" t="str">
        <f ca="1">IF($D1486="","",IF($C1486="TANIMSIZ MÜŞTERİ","HATA",IF(OR($E1486="",$F1486&lt;=0,$G1486=""),"EKSİK",IF($E1486&gt;TODAY(),"İLERİ TARİH",IF(COUNTIF($S$7:$S$2503,$S1486)&gt;1,"MÜKERRER?",IF($T1486&gt;0,"KAPALI DÖNEM","UYGUN"))))))</f>
        <v/>
      </c>
      <c r="N1486" s="74" t="str">
        <f>IF($C1486="","",IF($C1486="TANIMSIZ MÜŞTERİ","—",INDEX(MUSTERILER!$C$7:$C$156,MATCH($C1486,MUSTERILER!$B$7:$B$156,0))))</f>
        <v/>
      </c>
      <c r="O1486" s="2"/>
      <c r="P1486" s="2"/>
      <c r="Q1486" s="1" t="str">
        <f>IF($D1486="","",$C1486&amp;"|"&amp;COUNTIFS($C$7:$C1486,$C1486))</f>
        <v/>
      </c>
      <c r="R1486" s="1" t="str">
        <f t="shared" si="46"/>
        <v/>
      </c>
      <c r="S1486" s="1" t="str">
        <f t="shared" si="47"/>
        <v/>
      </c>
      <c r="T1486" s="1">
        <f>IF($E1486="",0,SUMPRODUCT((AY_SONU!$O$7:$O$42="Evet")*(AY_SONU!$B$7:$B$42=DATE(YEAR($E1486),MONTH($E1486),1))))</f>
        <v>0</v>
      </c>
      <c r="U1486" s="1" t="str">
        <f>IF(OR($G1486="",$H1486="Mahsup"),"",$G1486&amp;"|"&amp;COUNTIFS($G$7:$G1486,$G1486,$H$7:$H1486,"&lt;&gt;Mahsup"))</f>
        <v/>
      </c>
    </row>
    <row r="1487" spans="1:21" ht="18" customHeight="1" x14ac:dyDescent="0.3">
      <c r="A1487" s="2"/>
      <c r="B1487" s="65" t="str">
        <f>IF($D1487="","","T"&amp;TEXT(ROW()-6,"00000"))</f>
        <v/>
      </c>
      <c r="C1487" s="65" t="str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61"/>
      <c r="E1487" s="66"/>
      <c r="F1487" s="67"/>
      <c r="G1487" s="60"/>
      <c r="H1487" s="60"/>
      <c r="I1487" s="61"/>
      <c r="J1487" s="61"/>
      <c r="K1487" s="61"/>
      <c r="L1487" s="73" t="str">
        <f>IF($E1487="","",DATE(YEAR($E1487),MONTH($E1487),1))</f>
        <v/>
      </c>
      <c r="M1487" s="65" t="str">
        <f ca="1">IF($D1487="","",IF($C1487="TANIMSIZ MÜŞTERİ","HATA",IF(OR($E1487="",$F1487&lt;=0,$G1487=""),"EKSİK",IF($E1487&gt;TODAY(),"İLERİ TARİH",IF(COUNTIF($S$7:$S$2503,$S1487)&gt;1,"MÜKERRER?",IF($T1487&gt;0,"KAPALI DÖNEM","UYGUN"))))))</f>
        <v/>
      </c>
      <c r="N1487" s="74" t="str">
        <f>IF($C1487="","",IF($C1487="TANIMSIZ MÜŞTERİ","—",INDEX(MUSTERILER!$C$7:$C$156,MATCH($C1487,MUSTERILER!$B$7:$B$156,0))))</f>
        <v/>
      </c>
      <c r="O1487" s="2"/>
      <c r="P1487" s="2"/>
      <c r="Q1487" s="1" t="str">
        <f>IF($D1487="","",$C1487&amp;"|"&amp;COUNTIFS($C$7:$C1487,$C1487))</f>
        <v/>
      </c>
      <c r="R1487" s="1" t="str">
        <f t="shared" si="46"/>
        <v/>
      </c>
      <c r="S1487" s="1" t="str">
        <f t="shared" si="47"/>
        <v/>
      </c>
      <c r="T1487" s="1">
        <f>IF($E1487="",0,SUMPRODUCT((AY_SONU!$O$7:$O$42="Evet")*(AY_SONU!$B$7:$B$42=DATE(YEAR($E1487),MONTH($E1487),1))))</f>
        <v>0</v>
      </c>
      <c r="U1487" s="1" t="str">
        <f>IF(OR($G1487="",$H1487="Mahsup"),"",$G1487&amp;"|"&amp;COUNTIFS($G$7:$G1487,$G1487,$H$7:$H1487,"&lt;&gt;Mahsup"))</f>
        <v/>
      </c>
    </row>
    <row r="1488" spans="1:21" ht="18" customHeight="1" x14ac:dyDescent="0.3">
      <c r="A1488" s="2"/>
      <c r="B1488" s="65" t="str">
        <f>IF($D1488="","","T"&amp;TEXT(ROW()-6,"00000"))</f>
        <v/>
      </c>
      <c r="C1488" s="65" t="str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61"/>
      <c r="E1488" s="66"/>
      <c r="F1488" s="67"/>
      <c r="G1488" s="60"/>
      <c r="H1488" s="60"/>
      <c r="I1488" s="61"/>
      <c r="J1488" s="61"/>
      <c r="K1488" s="61"/>
      <c r="L1488" s="73" t="str">
        <f>IF($E1488="","",DATE(YEAR($E1488),MONTH($E1488),1))</f>
        <v/>
      </c>
      <c r="M1488" s="65" t="str">
        <f ca="1">IF($D1488="","",IF($C1488="TANIMSIZ MÜŞTERİ","HATA",IF(OR($E1488="",$F1488&lt;=0,$G1488=""),"EKSİK",IF($E1488&gt;TODAY(),"İLERİ TARİH",IF(COUNTIF($S$7:$S$2503,$S1488)&gt;1,"MÜKERRER?",IF($T1488&gt;0,"KAPALI DÖNEM","UYGUN"))))))</f>
        <v/>
      </c>
      <c r="N1488" s="74" t="str">
        <f>IF($C1488="","",IF($C1488="TANIMSIZ MÜŞTERİ","—",INDEX(MUSTERILER!$C$7:$C$156,MATCH($C1488,MUSTERILER!$B$7:$B$156,0))))</f>
        <v/>
      </c>
      <c r="O1488" s="2"/>
      <c r="P1488" s="2"/>
      <c r="Q1488" s="1" t="str">
        <f>IF($D1488="","",$C1488&amp;"|"&amp;COUNTIFS($C$7:$C1488,$C1488))</f>
        <v/>
      </c>
      <c r="R1488" s="1" t="str">
        <f t="shared" si="46"/>
        <v/>
      </c>
      <c r="S1488" s="1" t="str">
        <f t="shared" si="47"/>
        <v/>
      </c>
      <c r="T1488" s="1">
        <f>IF($E1488="",0,SUMPRODUCT((AY_SONU!$O$7:$O$42="Evet")*(AY_SONU!$B$7:$B$42=DATE(YEAR($E1488),MONTH($E1488),1))))</f>
        <v>0</v>
      </c>
      <c r="U1488" s="1" t="str">
        <f>IF(OR($G1488="",$H1488="Mahsup"),"",$G1488&amp;"|"&amp;COUNTIFS($G$7:$G1488,$G1488,$H$7:$H1488,"&lt;&gt;Mahsup"))</f>
        <v/>
      </c>
    </row>
    <row r="1489" spans="1:21" ht="18" customHeight="1" x14ac:dyDescent="0.3">
      <c r="A1489" s="2"/>
      <c r="B1489" s="65" t="str">
        <f>IF($D1489="","","T"&amp;TEXT(ROW()-6,"00000"))</f>
        <v/>
      </c>
      <c r="C1489" s="65" t="str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61"/>
      <c r="E1489" s="66"/>
      <c r="F1489" s="67"/>
      <c r="G1489" s="60"/>
      <c r="H1489" s="60"/>
      <c r="I1489" s="61"/>
      <c r="J1489" s="61"/>
      <c r="K1489" s="61"/>
      <c r="L1489" s="73" t="str">
        <f>IF($E1489="","",DATE(YEAR($E1489),MONTH($E1489),1))</f>
        <v/>
      </c>
      <c r="M1489" s="65" t="str">
        <f ca="1">IF($D1489="","",IF($C1489="TANIMSIZ MÜŞTERİ","HATA",IF(OR($E1489="",$F1489&lt;=0,$G1489=""),"EKSİK",IF($E1489&gt;TODAY(),"İLERİ TARİH",IF(COUNTIF($S$7:$S$2503,$S1489)&gt;1,"MÜKERRER?",IF($T1489&gt;0,"KAPALI DÖNEM","UYGUN"))))))</f>
        <v/>
      </c>
      <c r="N1489" s="74" t="str">
        <f>IF($C1489="","",IF($C1489="TANIMSIZ MÜŞTERİ","—",INDEX(MUSTERILER!$C$7:$C$156,MATCH($C1489,MUSTERILER!$B$7:$B$156,0))))</f>
        <v/>
      </c>
      <c r="O1489" s="2"/>
      <c r="P1489" s="2"/>
      <c r="Q1489" s="1" t="str">
        <f>IF($D1489="","",$C1489&amp;"|"&amp;COUNTIFS($C$7:$C1489,$C1489))</f>
        <v/>
      </c>
      <c r="R1489" s="1" t="str">
        <f t="shared" si="46"/>
        <v/>
      </c>
      <c r="S1489" s="1" t="str">
        <f t="shared" si="47"/>
        <v/>
      </c>
      <c r="T1489" s="1">
        <f>IF($E1489="",0,SUMPRODUCT((AY_SONU!$O$7:$O$42="Evet")*(AY_SONU!$B$7:$B$42=DATE(YEAR($E1489),MONTH($E1489),1))))</f>
        <v>0</v>
      </c>
      <c r="U1489" s="1" t="str">
        <f>IF(OR($G1489="",$H1489="Mahsup"),"",$G1489&amp;"|"&amp;COUNTIFS($G$7:$G1489,$G1489,$H$7:$H1489,"&lt;&gt;Mahsup"))</f>
        <v/>
      </c>
    </row>
    <row r="1490" spans="1:21" ht="18" customHeight="1" x14ac:dyDescent="0.3">
      <c r="A1490" s="2"/>
      <c r="B1490" s="65" t="str">
        <f>IF($D1490="","","T"&amp;TEXT(ROW()-6,"00000"))</f>
        <v/>
      </c>
      <c r="C1490" s="65" t="str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61"/>
      <c r="E1490" s="66"/>
      <c r="F1490" s="67"/>
      <c r="G1490" s="60"/>
      <c r="H1490" s="60"/>
      <c r="I1490" s="61"/>
      <c r="J1490" s="61"/>
      <c r="K1490" s="61"/>
      <c r="L1490" s="73" t="str">
        <f>IF($E1490="","",DATE(YEAR($E1490),MONTH($E1490),1))</f>
        <v/>
      </c>
      <c r="M1490" s="65" t="str">
        <f ca="1">IF($D1490="","",IF($C1490="TANIMSIZ MÜŞTERİ","HATA",IF(OR($E1490="",$F1490&lt;=0,$G1490=""),"EKSİK",IF($E1490&gt;TODAY(),"İLERİ TARİH",IF(COUNTIF($S$7:$S$2503,$S1490)&gt;1,"MÜKERRER?",IF($T1490&gt;0,"KAPALI DÖNEM","UYGUN"))))))</f>
        <v/>
      </c>
      <c r="N1490" s="74" t="str">
        <f>IF($C1490="","",IF($C1490="TANIMSIZ MÜŞTERİ","—",INDEX(MUSTERILER!$C$7:$C$156,MATCH($C1490,MUSTERILER!$B$7:$B$156,0))))</f>
        <v/>
      </c>
      <c r="O1490" s="2"/>
      <c r="P1490" s="2"/>
      <c r="Q1490" s="1" t="str">
        <f>IF($D1490="","",$C1490&amp;"|"&amp;COUNTIFS($C$7:$C1490,$C1490))</f>
        <v/>
      </c>
      <c r="R1490" s="1" t="str">
        <f t="shared" si="46"/>
        <v/>
      </c>
      <c r="S1490" s="1" t="str">
        <f t="shared" si="47"/>
        <v/>
      </c>
      <c r="T1490" s="1">
        <f>IF($E1490="",0,SUMPRODUCT((AY_SONU!$O$7:$O$42="Evet")*(AY_SONU!$B$7:$B$42=DATE(YEAR($E1490),MONTH($E1490),1))))</f>
        <v>0</v>
      </c>
      <c r="U1490" s="1" t="str">
        <f>IF(OR($G1490="",$H1490="Mahsup"),"",$G1490&amp;"|"&amp;COUNTIFS($G$7:$G1490,$G1490,$H$7:$H1490,"&lt;&gt;Mahsup"))</f>
        <v/>
      </c>
    </row>
    <row r="1491" spans="1:21" ht="18" customHeight="1" x14ac:dyDescent="0.3">
      <c r="A1491" s="2"/>
      <c r="B1491" s="65" t="str">
        <f>IF($D1491="","","T"&amp;TEXT(ROW()-6,"00000"))</f>
        <v/>
      </c>
      <c r="C1491" s="65" t="str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61"/>
      <c r="E1491" s="66"/>
      <c r="F1491" s="67"/>
      <c r="G1491" s="60"/>
      <c r="H1491" s="60"/>
      <c r="I1491" s="61"/>
      <c r="J1491" s="61"/>
      <c r="K1491" s="61"/>
      <c r="L1491" s="73" t="str">
        <f>IF($E1491="","",DATE(YEAR($E1491),MONTH($E1491),1))</f>
        <v/>
      </c>
      <c r="M1491" s="65" t="str">
        <f ca="1">IF($D1491="","",IF($C1491="TANIMSIZ MÜŞTERİ","HATA",IF(OR($E1491="",$F1491&lt;=0,$G1491=""),"EKSİK",IF($E1491&gt;TODAY(),"İLERİ TARİH",IF(COUNTIF($S$7:$S$2503,$S1491)&gt;1,"MÜKERRER?",IF($T1491&gt;0,"KAPALI DÖNEM","UYGUN"))))))</f>
        <v/>
      </c>
      <c r="N1491" s="74" t="str">
        <f>IF($C1491="","",IF($C1491="TANIMSIZ MÜŞTERİ","—",INDEX(MUSTERILER!$C$7:$C$156,MATCH($C1491,MUSTERILER!$B$7:$B$156,0))))</f>
        <v/>
      </c>
      <c r="O1491" s="2"/>
      <c r="P1491" s="2"/>
      <c r="Q1491" s="1" t="str">
        <f>IF($D1491="","",$C1491&amp;"|"&amp;COUNTIFS($C$7:$C1491,$C1491))</f>
        <v/>
      </c>
      <c r="R1491" s="1" t="str">
        <f t="shared" si="46"/>
        <v/>
      </c>
      <c r="S1491" s="1" t="str">
        <f t="shared" si="47"/>
        <v/>
      </c>
      <c r="T1491" s="1">
        <f>IF($E1491="",0,SUMPRODUCT((AY_SONU!$O$7:$O$42="Evet")*(AY_SONU!$B$7:$B$42=DATE(YEAR($E1491),MONTH($E1491),1))))</f>
        <v>0</v>
      </c>
      <c r="U1491" s="1" t="str">
        <f>IF(OR($G1491="",$H1491="Mahsup"),"",$G1491&amp;"|"&amp;COUNTIFS($G$7:$G1491,$G1491,$H$7:$H1491,"&lt;&gt;Mahsup"))</f>
        <v/>
      </c>
    </row>
    <row r="1492" spans="1:21" ht="18" customHeight="1" x14ac:dyDescent="0.3">
      <c r="A1492" s="2"/>
      <c r="B1492" s="65" t="str">
        <f>IF($D1492="","","T"&amp;TEXT(ROW()-6,"00000"))</f>
        <v/>
      </c>
      <c r="C1492" s="65" t="str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61"/>
      <c r="E1492" s="66"/>
      <c r="F1492" s="67"/>
      <c r="G1492" s="60"/>
      <c r="H1492" s="60"/>
      <c r="I1492" s="61"/>
      <c r="J1492" s="61"/>
      <c r="K1492" s="61"/>
      <c r="L1492" s="73" t="str">
        <f>IF($E1492="","",DATE(YEAR($E1492),MONTH($E1492),1))</f>
        <v/>
      </c>
      <c r="M1492" s="65" t="str">
        <f ca="1">IF($D1492="","",IF($C1492="TANIMSIZ MÜŞTERİ","HATA",IF(OR($E1492="",$F1492&lt;=0,$G1492=""),"EKSİK",IF($E1492&gt;TODAY(),"İLERİ TARİH",IF(COUNTIF($S$7:$S$2503,$S1492)&gt;1,"MÜKERRER?",IF($T1492&gt;0,"KAPALI DÖNEM","UYGUN"))))))</f>
        <v/>
      </c>
      <c r="N1492" s="74" t="str">
        <f>IF($C1492="","",IF($C1492="TANIMSIZ MÜŞTERİ","—",INDEX(MUSTERILER!$C$7:$C$156,MATCH($C1492,MUSTERILER!$B$7:$B$156,0))))</f>
        <v/>
      </c>
      <c r="O1492" s="2"/>
      <c r="P1492" s="2"/>
      <c r="Q1492" s="1" t="str">
        <f>IF($D1492="","",$C1492&amp;"|"&amp;COUNTIFS($C$7:$C1492,$C1492))</f>
        <v/>
      </c>
      <c r="R1492" s="1" t="str">
        <f t="shared" si="46"/>
        <v/>
      </c>
      <c r="S1492" s="1" t="str">
        <f t="shared" si="47"/>
        <v/>
      </c>
      <c r="T1492" s="1">
        <f>IF($E1492="",0,SUMPRODUCT((AY_SONU!$O$7:$O$42="Evet")*(AY_SONU!$B$7:$B$42=DATE(YEAR($E1492),MONTH($E1492),1))))</f>
        <v>0</v>
      </c>
      <c r="U1492" s="1" t="str">
        <f>IF(OR($G1492="",$H1492="Mahsup"),"",$G1492&amp;"|"&amp;COUNTIFS($G$7:$G1492,$G1492,$H$7:$H1492,"&lt;&gt;Mahsup"))</f>
        <v/>
      </c>
    </row>
    <row r="1493" spans="1:21" ht="18" customHeight="1" x14ac:dyDescent="0.3">
      <c r="A1493" s="2"/>
      <c r="B1493" s="65" t="str">
        <f>IF($D1493="","","T"&amp;TEXT(ROW()-6,"00000"))</f>
        <v/>
      </c>
      <c r="C1493" s="65" t="str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61"/>
      <c r="E1493" s="66"/>
      <c r="F1493" s="67"/>
      <c r="G1493" s="60"/>
      <c r="H1493" s="60"/>
      <c r="I1493" s="61"/>
      <c r="J1493" s="61"/>
      <c r="K1493" s="61"/>
      <c r="L1493" s="73" t="str">
        <f>IF($E1493="","",DATE(YEAR($E1493),MONTH($E1493),1))</f>
        <v/>
      </c>
      <c r="M1493" s="65" t="str">
        <f ca="1">IF($D1493="","",IF($C1493="TANIMSIZ MÜŞTERİ","HATA",IF(OR($E1493="",$F1493&lt;=0,$G1493=""),"EKSİK",IF($E1493&gt;TODAY(),"İLERİ TARİH",IF(COUNTIF($S$7:$S$2503,$S1493)&gt;1,"MÜKERRER?",IF($T1493&gt;0,"KAPALI DÖNEM","UYGUN"))))))</f>
        <v/>
      </c>
      <c r="N1493" s="74" t="str">
        <f>IF($C1493="","",IF($C1493="TANIMSIZ MÜŞTERİ","—",INDEX(MUSTERILER!$C$7:$C$156,MATCH($C1493,MUSTERILER!$B$7:$B$156,0))))</f>
        <v/>
      </c>
      <c r="O1493" s="2"/>
      <c r="P1493" s="2"/>
      <c r="Q1493" s="1" t="str">
        <f>IF($D1493="","",$C1493&amp;"|"&amp;COUNTIFS($C$7:$C1493,$C1493))</f>
        <v/>
      </c>
      <c r="R1493" s="1" t="str">
        <f t="shared" si="46"/>
        <v/>
      </c>
      <c r="S1493" s="1" t="str">
        <f t="shared" si="47"/>
        <v/>
      </c>
      <c r="T1493" s="1">
        <f>IF($E1493="",0,SUMPRODUCT((AY_SONU!$O$7:$O$42="Evet")*(AY_SONU!$B$7:$B$42=DATE(YEAR($E1493),MONTH($E1493),1))))</f>
        <v>0</v>
      </c>
      <c r="U1493" s="1" t="str">
        <f>IF(OR($G1493="",$H1493="Mahsup"),"",$G1493&amp;"|"&amp;COUNTIFS($G$7:$G1493,$G1493,$H$7:$H1493,"&lt;&gt;Mahsup"))</f>
        <v/>
      </c>
    </row>
    <row r="1494" spans="1:21" ht="18" customHeight="1" x14ac:dyDescent="0.3">
      <c r="A1494" s="2"/>
      <c r="B1494" s="65" t="str">
        <f>IF($D1494="","","T"&amp;TEXT(ROW()-6,"00000"))</f>
        <v/>
      </c>
      <c r="C1494" s="65" t="str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61"/>
      <c r="E1494" s="66"/>
      <c r="F1494" s="67"/>
      <c r="G1494" s="60"/>
      <c r="H1494" s="60"/>
      <c r="I1494" s="61"/>
      <c r="J1494" s="61"/>
      <c r="K1494" s="61"/>
      <c r="L1494" s="73" t="str">
        <f>IF($E1494="","",DATE(YEAR($E1494),MONTH($E1494),1))</f>
        <v/>
      </c>
      <c r="M1494" s="65" t="str">
        <f ca="1">IF($D1494="","",IF($C1494="TANIMSIZ MÜŞTERİ","HATA",IF(OR($E1494="",$F1494&lt;=0,$G1494=""),"EKSİK",IF($E1494&gt;TODAY(),"İLERİ TARİH",IF(COUNTIF($S$7:$S$2503,$S1494)&gt;1,"MÜKERRER?",IF($T1494&gt;0,"KAPALI DÖNEM","UYGUN"))))))</f>
        <v/>
      </c>
      <c r="N1494" s="74" t="str">
        <f>IF($C1494="","",IF($C1494="TANIMSIZ MÜŞTERİ","—",INDEX(MUSTERILER!$C$7:$C$156,MATCH($C1494,MUSTERILER!$B$7:$B$156,0))))</f>
        <v/>
      </c>
      <c r="O1494" s="2"/>
      <c r="P1494" s="2"/>
      <c r="Q1494" s="1" t="str">
        <f>IF($D1494="","",$C1494&amp;"|"&amp;COUNTIFS($C$7:$C1494,$C1494))</f>
        <v/>
      </c>
      <c r="R1494" s="1" t="str">
        <f t="shared" si="46"/>
        <v/>
      </c>
      <c r="S1494" s="1" t="str">
        <f t="shared" si="47"/>
        <v/>
      </c>
      <c r="T1494" s="1">
        <f>IF($E1494="",0,SUMPRODUCT((AY_SONU!$O$7:$O$42="Evet")*(AY_SONU!$B$7:$B$42=DATE(YEAR($E1494),MONTH($E1494),1))))</f>
        <v>0</v>
      </c>
      <c r="U1494" s="1" t="str">
        <f>IF(OR($G1494="",$H1494="Mahsup"),"",$G1494&amp;"|"&amp;COUNTIFS($G$7:$G1494,$G1494,$H$7:$H1494,"&lt;&gt;Mahsup"))</f>
        <v/>
      </c>
    </row>
    <row r="1495" spans="1:21" ht="18" customHeight="1" x14ac:dyDescent="0.3">
      <c r="A1495" s="2"/>
      <c r="B1495" s="65" t="str">
        <f>IF($D1495="","","T"&amp;TEXT(ROW()-6,"00000"))</f>
        <v/>
      </c>
      <c r="C1495" s="65" t="str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61"/>
      <c r="E1495" s="66"/>
      <c r="F1495" s="67"/>
      <c r="G1495" s="60"/>
      <c r="H1495" s="60"/>
      <c r="I1495" s="61"/>
      <c r="J1495" s="61"/>
      <c r="K1495" s="61"/>
      <c r="L1495" s="73" t="str">
        <f>IF($E1495="","",DATE(YEAR($E1495),MONTH($E1495),1))</f>
        <v/>
      </c>
      <c r="M1495" s="65" t="str">
        <f ca="1">IF($D1495="","",IF($C1495="TANIMSIZ MÜŞTERİ","HATA",IF(OR($E1495="",$F1495&lt;=0,$G1495=""),"EKSİK",IF($E1495&gt;TODAY(),"İLERİ TARİH",IF(COUNTIF($S$7:$S$2503,$S1495)&gt;1,"MÜKERRER?",IF($T1495&gt;0,"KAPALI DÖNEM","UYGUN"))))))</f>
        <v/>
      </c>
      <c r="N1495" s="74" t="str">
        <f>IF($C1495="","",IF($C1495="TANIMSIZ MÜŞTERİ","—",INDEX(MUSTERILER!$C$7:$C$156,MATCH($C1495,MUSTERILER!$B$7:$B$156,0))))</f>
        <v/>
      </c>
      <c r="O1495" s="2"/>
      <c r="P1495" s="2"/>
      <c r="Q1495" s="1" t="str">
        <f>IF($D1495="","",$C1495&amp;"|"&amp;COUNTIFS($C$7:$C1495,$C1495))</f>
        <v/>
      </c>
      <c r="R1495" s="1" t="str">
        <f t="shared" si="46"/>
        <v/>
      </c>
      <c r="S1495" s="1" t="str">
        <f t="shared" si="47"/>
        <v/>
      </c>
      <c r="T1495" s="1">
        <f>IF($E1495="",0,SUMPRODUCT((AY_SONU!$O$7:$O$42="Evet")*(AY_SONU!$B$7:$B$42=DATE(YEAR($E1495),MONTH($E1495),1))))</f>
        <v>0</v>
      </c>
      <c r="U1495" s="1" t="str">
        <f>IF(OR($G1495="",$H1495="Mahsup"),"",$G1495&amp;"|"&amp;COUNTIFS($G$7:$G1495,$G1495,$H$7:$H1495,"&lt;&gt;Mahsup"))</f>
        <v/>
      </c>
    </row>
    <row r="1496" spans="1:21" ht="18" customHeight="1" x14ac:dyDescent="0.3">
      <c r="A1496" s="2"/>
      <c r="B1496" s="65" t="str">
        <f>IF($D1496="","","T"&amp;TEXT(ROW()-6,"00000"))</f>
        <v/>
      </c>
      <c r="C1496" s="65" t="str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61"/>
      <c r="E1496" s="66"/>
      <c r="F1496" s="67"/>
      <c r="G1496" s="60"/>
      <c r="H1496" s="60"/>
      <c r="I1496" s="61"/>
      <c r="J1496" s="61"/>
      <c r="K1496" s="61"/>
      <c r="L1496" s="73" t="str">
        <f>IF($E1496="","",DATE(YEAR($E1496),MONTH($E1496),1))</f>
        <v/>
      </c>
      <c r="M1496" s="65" t="str">
        <f ca="1">IF($D1496="","",IF($C1496="TANIMSIZ MÜŞTERİ","HATA",IF(OR($E1496="",$F1496&lt;=0,$G1496=""),"EKSİK",IF($E1496&gt;TODAY(),"İLERİ TARİH",IF(COUNTIF($S$7:$S$2503,$S1496)&gt;1,"MÜKERRER?",IF($T1496&gt;0,"KAPALI DÖNEM","UYGUN"))))))</f>
        <v/>
      </c>
      <c r="N1496" s="74" t="str">
        <f>IF($C1496="","",IF($C1496="TANIMSIZ MÜŞTERİ","—",INDEX(MUSTERILER!$C$7:$C$156,MATCH($C1496,MUSTERILER!$B$7:$B$156,0))))</f>
        <v/>
      </c>
      <c r="O1496" s="2"/>
      <c r="P1496" s="2"/>
      <c r="Q1496" s="1" t="str">
        <f>IF($D1496="","",$C1496&amp;"|"&amp;COUNTIFS($C$7:$C1496,$C1496))</f>
        <v/>
      </c>
      <c r="R1496" s="1" t="str">
        <f t="shared" si="46"/>
        <v/>
      </c>
      <c r="S1496" s="1" t="str">
        <f t="shared" si="47"/>
        <v/>
      </c>
      <c r="T1496" s="1">
        <f>IF($E1496="",0,SUMPRODUCT((AY_SONU!$O$7:$O$42="Evet")*(AY_SONU!$B$7:$B$42=DATE(YEAR($E1496),MONTH($E1496),1))))</f>
        <v>0</v>
      </c>
      <c r="U1496" s="1" t="str">
        <f>IF(OR($G1496="",$H1496="Mahsup"),"",$G1496&amp;"|"&amp;COUNTIFS($G$7:$G1496,$G1496,$H$7:$H1496,"&lt;&gt;Mahsup"))</f>
        <v/>
      </c>
    </row>
    <row r="1497" spans="1:21" ht="18" customHeight="1" x14ac:dyDescent="0.3">
      <c r="A1497" s="2"/>
      <c r="B1497" s="65" t="str">
        <f>IF($D1497="","","T"&amp;TEXT(ROW()-6,"00000"))</f>
        <v/>
      </c>
      <c r="C1497" s="65" t="str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61"/>
      <c r="E1497" s="66"/>
      <c r="F1497" s="67"/>
      <c r="G1497" s="60"/>
      <c r="H1497" s="60"/>
      <c r="I1497" s="61"/>
      <c r="J1497" s="61"/>
      <c r="K1497" s="61"/>
      <c r="L1497" s="73" t="str">
        <f>IF($E1497="","",DATE(YEAR($E1497),MONTH($E1497),1))</f>
        <v/>
      </c>
      <c r="M1497" s="65" t="str">
        <f ca="1">IF($D1497="","",IF($C1497="TANIMSIZ MÜŞTERİ","HATA",IF(OR($E1497="",$F1497&lt;=0,$G1497=""),"EKSİK",IF($E1497&gt;TODAY(),"İLERİ TARİH",IF(COUNTIF($S$7:$S$2503,$S1497)&gt;1,"MÜKERRER?",IF($T1497&gt;0,"KAPALI DÖNEM","UYGUN"))))))</f>
        <v/>
      </c>
      <c r="N1497" s="74" t="str">
        <f>IF($C1497="","",IF($C1497="TANIMSIZ MÜŞTERİ","—",INDEX(MUSTERILER!$C$7:$C$156,MATCH($C1497,MUSTERILER!$B$7:$B$156,0))))</f>
        <v/>
      </c>
      <c r="O1497" s="2"/>
      <c r="P1497" s="2"/>
      <c r="Q1497" s="1" t="str">
        <f>IF($D1497="","",$C1497&amp;"|"&amp;COUNTIFS($C$7:$C1497,$C1497))</f>
        <v/>
      </c>
      <c r="R1497" s="1" t="str">
        <f t="shared" si="46"/>
        <v/>
      </c>
      <c r="S1497" s="1" t="str">
        <f t="shared" si="47"/>
        <v/>
      </c>
      <c r="T1497" s="1">
        <f>IF($E1497="",0,SUMPRODUCT((AY_SONU!$O$7:$O$42="Evet")*(AY_SONU!$B$7:$B$42=DATE(YEAR($E1497),MONTH($E1497),1))))</f>
        <v>0</v>
      </c>
      <c r="U1497" s="1" t="str">
        <f>IF(OR($G1497="",$H1497="Mahsup"),"",$G1497&amp;"|"&amp;COUNTIFS($G$7:$G1497,$G1497,$H$7:$H1497,"&lt;&gt;Mahsup"))</f>
        <v/>
      </c>
    </row>
    <row r="1498" spans="1:21" ht="18" customHeight="1" x14ac:dyDescent="0.3">
      <c r="A1498" s="2"/>
      <c r="B1498" s="65" t="str">
        <f>IF($D1498="","","T"&amp;TEXT(ROW()-6,"00000"))</f>
        <v/>
      </c>
      <c r="C1498" s="65" t="str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61"/>
      <c r="E1498" s="66"/>
      <c r="F1498" s="67"/>
      <c r="G1498" s="60"/>
      <c r="H1498" s="60"/>
      <c r="I1498" s="61"/>
      <c r="J1498" s="61"/>
      <c r="K1498" s="61"/>
      <c r="L1498" s="73" t="str">
        <f>IF($E1498="","",DATE(YEAR($E1498),MONTH($E1498),1))</f>
        <v/>
      </c>
      <c r="M1498" s="65" t="str">
        <f ca="1">IF($D1498="","",IF($C1498="TANIMSIZ MÜŞTERİ","HATA",IF(OR($E1498="",$F1498&lt;=0,$G1498=""),"EKSİK",IF($E1498&gt;TODAY(),"İLERİ TARİH",IF(COUNTIF($S$7:$S$2503,$S1498)&gt;1,"MÜKERRER?",IF($T1498&gt;0,"KAPALI DÖNEM","UYGUN"))))))</f>
        <v/>
      </c>
      <c r="N1498" s="74" t="str">
        <f>IF($C1498="","",IF($C1498="TANIMSIZ MÜŞTERİ","—",INDEX(MUSTERILER!$C$7:$C$156,MATCH($C1498,MUSTERILER!$B$7:$B$156,0))))</f>
        <v/>
      </c>
      <c r="O1498" s="2"/>
      <c r="P1498" s="2"/>
      <c r="Q1498" s="1" t="str">
        <f>IF($D1498="","",$C1498&amp;"|"&amp;COUNTIFS($C$7:$C1498,$C1498))</f>
        <v/>
      </c>
      <c r="R1498" s="1" t="str">
        <f t="shared" si="46"/>
        <v/>
      </c>
      <c r="S1498" s="1" t="str">
        <f t="shared" si="47"/>
        <v/>
      </c>
      <c r="T1498" s="1">
        <f>IF($E1498="",0,SUMPRODUCT((AY_SONU!$O$7:$O$42="Evet")*(AY_SONU!$B$7:$B$42=DATE(YEAR($E1498),MONTH($E1498),1))))</f>
        <v>0</v>
      </c>
      <c r="U1498" s="1" t="str">
        <f>IF(OR($G1498="",$H1498="Mahsup"),"",$G1498&amp;"|"&amp;COUNTIFS($G$7:$G1498,$G1498,$H$7:$H1498,"&lt;&gt;Mahsup"))</f>
        <v/>
      </c>
    </row>
    <row r="1499" spans="1:21" ht="18" customHeight="1" x14ac:dyDescent="0.3">
      <c r="A1499" s="2"/>
      <c r="B1499" s="65" t="str">
        <f>IF($D1499="","","T"&amp;TEXT(ROW()-6,"00000"))</f>
        <v/>
      </c>
      <c r="C1499" s="65" t="str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61"/>
      <c r="E1499" s="66"/>
      <c r="F1499" s="67"/>
      <c r="G1499" s="60"/>
      <c r="H1499" s="60"/>
      <c r="I1499" s="61"/>
      <c r="J1499" s="61"/>
      <c r="K1499" s="61"/>
      <c r="L1499" s="73" t="str">
        <f>IF($E1499="","",DATE(YEAR($E1499),MONTH($E1499),1))</f>
        <v/>
      </c>
      <c r="M1499" s="65" t="str">
        <f ca="1">IF($D1499="","",IF($C1499="TANIMSIZ MÜŞTERİ","HATA",IF(OR($E1499="",$F1499&lt;=0,$G1499=""),"EKSİK",IF($E1499&gt;TODAY(),"İLERİ TARİH",IF(COUNTIF($S$7:$S$2503,$S1499)&gt;1,"MÜKERRER?",IF($T1499&gt;0,"KAPALI DÖNEM","UYGUN"))))))</f>
        <v/>
      </c>
      <c r="N1499" s="74" t="str">
        <f>IF($C1499="","",IF($C1499="TANIMSIZ MÜŞTERİ","—",INDEX(MUSTERILER!$C$7:$C$156,MATCH($C1499,MUSTERILER!$B$7:$B$156,0))))</f>
        <v/>
      </c>
      <c r="O1499" s="2"/>
      <c r="P1499" s="2"/>
      <c r="Q1499" s="1" t="str">
        <f>IF($D1499="","",$C1499&amp;"|"&amp;COUNTIFS($C$7:$C1499,$C1499))</f>
        <v/>
      </c>
      <c r="R1499" s="1" t="str">
        <f t="shared" si="46"/>
        <v/>
      </c>
      <c r="S1499" s="1" t="str">
        <f t="shared" si="47"/>
        <v/>
      </c>
      <c r="T1499" s="1">
        <f>IF($E1499="",0,SUMPRODUCT((AY_SONU!$O$7:$O$42="Evet")*(AY_SONU!$B$7:$B$42=DATE(YEAR($E1499),MONTH($E1499),1))))</f>
        <v>0</v>
      </c>
      <c r="U1499" s="1" t="str">
        <f>IF(OR($G1499="",$H1499="Mahsup"),"",$G1499&amp;"|"&amp;COUNTIFS($G$7:$G1499,$G1499,$H$7:$H1499,"&lt;&gt;Mahsup"))</f>
        <v/>
      </c>
    </row>
    <row r="1500" spans="1:21" ht="18" customHeight="1" x14ac:dyDescent="0.3">
      <c r="A1500" s="2"/>
      <c r="B1500" s="65" t="str">
        <f>IF($D1500="","","T"&amp;TEXT(ROW()-6,"00000"))</f>
        <v/>
      </c>
      <c r="C1500" s="65" t="str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61"/>
      <c r="E1500" s="66"/>
      <c r="F1500" s="67"/>
      <c r="G1500" s="60"/>
      <c r="H1500" s="60"/>
      <c r="I1500" s="61"/>
      <c r="J1500" s="61"/>
      <c r="K1500" s="61"/>
      <c r="L1500" s="73" t="str">
        <f>IF($E1500="","",DATE(YEAR($E1500),MONTH($E1500),1))</f>
        <v/>
      </c>
      <c r="M1500" s="65" t="str">
        <f ca="1">IF($D1500="","",IF($C1500="TANIMSIZ MÜŞTERİ","HATA",IF(OR($E1500="",$F1500&lt;=0,$G1500=""),"EKSİK",IF($E1500&gt;TODAY(),"İLERİ TARİH",IF(COUNTIF($S$7:$S$2503,$S1500)&gt;1,"MÜKERRER?",IF($T1500&gt;0,"KAPALI DÖNEM","UYGUN"))))))</f>
        <v/>
      </c>
      <c r="N1500" s="74" t="str">
        <f>IF($C1500="","",IF($C1500="TANIMSIZ MÜŞTERİ","—",INDEX(MUSTERILER!$C$7:$C$156,MATCH($C1500,MUSTERILER!$B$7:$B$156,0))))</f>
        <v/>
      </c>
      <c r="O1500" s="2"/>
      <c r="P1500" s="2"/>
      <c r="Q1500" s="1" t="str">
        <f>IF($D1500="","",$C1500&amp;"|"&amp;COUNTIFS($C$7:$C1500,$C1500))</f>
        <v/>
      </c>
      <c r="R1500" s="1" t="str">
        <f t="shared" si="46"/>
        <v/>
      </c>
      <c r="S1500" s="1" t="str">
        <f t="shared" si="47"/>
        <v/>
      </c>
      <c r="T1500" s="1">
        <f>IF($E1500="",0,SUMPRODUCT((AY_SONU!$O$7:$O$42="Evet")*(AY_SONU!$B$7:$B$42=DATE(YEAR($E1500),MONTH($E1500),1))))</f>
        <v>0</v>
      </c>
      <c r="U1500" s="1" t="str">
        <f>IF(OR($G1500="",$H1500="Mahsup"),"",$G1500&amp;"|"&amp;COUNTIFS($G$7:$G1500,$G1500,$H$7:$H1500,"&lt;&gt;Mahsup"))</f>
        <v/>
      </c>
    </row>
    <row r="1501" spans="1:21" ht="18" customHeight="1" x14ac:dyDescent="0.3">
      <c r="A1501" s="2"/>
      <c r="B1501" s="65" t="str">
        <f>IF($D1501="","","T"&amp;TEXT(ROW()-6,"00000"))</f>
        <v/>
      </c>
      <c r="C1501" s="65" t="str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61"/>
      <c r="E1501" s="66"/>
      <c r="F1501" s="67"/>
      <c r="G1501" s="60"/>
      <c r="H1501" s="60"/>
      <c r="I1501" s="61"/>
      <c r="J1501" s="61"/>
      <c r="K1501" s="61"/>
      <c r="L1501" s="73" t="str">
        <f>IF($E1501="","",DATE(YEAR($E1501),MONTH($E1501),1))</f>
        <v/>
      </c>
      <c r="M1501" s="65" t="str">
        <f ca="1">IF($D1501="","",IF($C1501="TANIMSIZ MÜŞTERİ","HATA",IF(OR($E1501="",$F1501&lt;=0,$G1501=""),"EKSİK",IF($E1501&gt;TODAY(),"İLERİ TARİH",IF(COUNTIF($S$7:$S$2503,$S1501)&gt;1,"MÜKERRER?",IF($T1501&gt;0,"KAPALI DÖNEM","UYGUN"))))))</f>
        <v/>
      </c>
      <c r="N1501" s="74" t="str">
        <f>IF($C1501="","",IF($C1501="TANIMSIZ MÜŞTERİ","—",INDEX(MUSTERILER!$C$7:$C$156,MATCH($C1501,MUSTERILER!$B$7:$B$156,0))))</f>
        <v/>
      </c>
      <c r="O1501" s="2"/>
      <c r="P1501" s="2"/>
      <c r="Q1501" s="1" t="str">
        <f>IF($D1501="","",$C1501&amp;"|"&amp;COUNTIFS($C$7:$C1501,$C1501))</f>
        <v/>
      </c>
      <c r="R1501" s="1" t="str">
        <f t="shared" si="46"/>
        <v/>
      </c>
      <c r="S1501" s="1" t="str">
        <f t="shared" si="47"/>
        <v/>
      </c>
      <c r="T1501" s="1">
        <f>IF($E1501="",0,SUMPRODUCT((AY_SONU!$O$7:$O$42="Evet")*(AY_SONU!$B$7:$B$42=DATE(YEAR($E1501),MONTH($E1501),1))))</f>
        <v>0</v>
      </c>
      <c r="U1501" s="1" t="str">
        <f>IF(OR($G1501="",$H1501="Mahsup"),"",$G1501&amp;"|"&amp;COUNTIFS($G$7:$G1501,$G1501,$H$7:$H1501,"&lt;&gt;Mahsup"))</f>
        <v/>
      </c>
    </row>
    <row r="1502" spans="1:21" ht="18" customHeight="1" x14ac:dyDescent="0.3">
      <c r="A1502" s="2"/>
      <c r="B1502" s="65" t="str">
        <f>IF($D1502="","","T"&amp;TEXT(ROW()-6,"00000"))</f>
        <v/>
      </c>
      <c r="C1502" s="65" t="str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61"/>
      <c r="E1502" s="66"/>
      <c r="F1502" s="67"/>
      <c r="G1502" s="60"/>
      <c r="H1502" s="60"/>
      <c r="I1502" s="61"/>
      <c r="J1502" s="61"/>
      <c r="K1502" s="61"/>
      <c r="L1502" s="73" t="str">
        <f>IF($E1502="","",DATE(YEAR($E1502),MONTH($E1502),1))</f>
        <v/>
      </c>
      <c r="M1502" s="65" t="str">
        <f ca="1">IF($D1502="","",IF($C1502="TANIMSIZ MÜŞTERİ","HATA",IF(OR($E1502="",$F1502&lt;=0,$G1502=""),"EKSİK",IF($E1502&gt;TODAY(),"İLERİ TARİH",IF(COUNTIF($S$7:$S$2503,$S1502)&gt;1,"MÜKERRER?",IF($T1502&gt;0,"KAPALI DÖNEM","UYGUN"))))))</f>
        <v/>
      </c>
      <c r="N1502" s="74" t="str">
        <f>IF($C1502="","",IF($C1502="TANIMSIZ MÜŞTERİ","—",INDEX(MUSTERILER!$C$7:$C$156,MATCH($C1502,MUSTERILER!$B$7:$B$156,0))))</f>
        <v/>
      </c>
      <c r="O1502" s="2"/>
      <c r="P1502" s="2"/>
      <c r="Q1502" s="1" t="str">
        <f>IF($D1502="","",$C1502&amp;"|"&amp;COUNTIFS($C$7:$C1502,$C1502))</f>
        <v/>
      </c>
      <c r="R1502" s="1" t="str">
        <f t="shared" si="46"/>
        <v/>
      </c>
      <c r="S1502" s="1" t="str">
        <f t="shared" si="47"/>
        <v/>
      </c>
      <c r="T1502" s="1">
        <f>IF($E1502="",0,SUMPRODUCT((AY_SONU!$O$7:$O$42="Evet")*(AY_SONU!$B$7:$B$42=DATE(YEAR($E1502),MONTH($E1502),1))))</f>
        <v>0</v>
      </c>
      <c r="U1502" s="1" t="str">
        <f>IF(OR($G1502="",$H1502="Mahsup"),"",$G1502&amp;"|"&amp;COUNTIFS($G$7:$G1502,$G1502,$H$7:$H1502,"&lt;&gt;Mahsup"))</f>
        <v/>
      </c>
    </row>
    <row r="1503" spans="1:21" ht="18" customHeight="1" x14ac:dyDescent="0.3">
      <c r="A1503" s="2"/>
      <c r="B1503" s="65" t="str">
        <f>IF($D1503="","","T"&amp;TEXT(ROW()-6,"00000"))</f>
        <v/>
      </c>
      <c r="C1503" s="65" t="str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61"/>
      <c r="E1503" s="66"/>
      <c r="F1503" s="67"/>
      <c r="G1503" s="60"/>
      <c r="H1503" s="60"/>
      <c r="I1503" s="61"/>
      <c r="J1503" s="61"/>
      <c r="K1503" s="61"/>
      <c r="L1503" s="73" t="str">
        <f>IF($E1503="","",DATE(YEAR($E1503),MONTH($E1503),1))</f>
        <v/>
      </c>
      <c r="M1503" s="65" t="str">
        <f ca="1">IF($D1503="","",IF($C1503="TANIMSIZ MÜŞTERİ","HATA",IF(OR($E1503="",$F1503&lt;=0,$G1503=""),"EKSİK",IF($E1503&gt;TODAY(),"İLERİ TARİH",IF(COUNTIF($S$7:$S$2503,$S1503)&gt;1,"MÜKERRER?",IF($T1503&gt;0,"KAPALI DÖNEM","UYGUN"))))))</f>
        <v/>
      </c>
      <c r="N1503" s="74" t="str">
        <f>IF($C1503="","",IF($C1503="TANIMSIZ MÜŞTERİ","—",INDEX(MUSTERILER!$C$7:$C$156,MATCH($C1503,MUSTERILER!$B$7:$B$156,0))))</f>
        <v/>
      </c>
      <c r="O1503" s="2"/>
      <c r="P1503" s="2"/>
      <c r="Q1503" s="1" t="str">
        <f>IF($D1503="","",$C1503&amp;"|"&amp;COUNTIFS($C$7:$C1503,$C1503))</f>
        <v/>
      </c>
      <c r="R1503" s="1" t="str">
        <f t="shared" si="46"/>
        <v/>
      </c>
      <c r="S1503" s="1" t="str">
        <f t="shared" si="47"/>
        <v/>
      </c>
      <c r="T1503" s="1">
        <f>IF($E1503="",0,SUMPRODUCT((AY_SONU!$O$7:$O$42="Evet")*(AY_SONU!$B$7:$B$42=DATE(YEAR($E1503),MONTH($E1503),1))))</f>
        <v>0</v>
      </c>
      <c r="U1503" s="1" t="str">
        <f>IF(OR($G1503="",$H1503="Mahsup"),"",$G1503&amp;"|"&amp;COUNTIFS($G$7:$G1503,$G1503,$H$7:$H1503,"&lt;&gt;Mahsup"))</f>
        <v/>
      </c>
    </row>
    <row r="1504" spans="1:21" ht="18" customHeight="1" x14ac:dyDescent="0.3">
      <c r="A1504" s="2"/>
      <c r="B1504" s="65" t="str">
        <f>IF($D1504="","","T"&amp;TEXT(ROW()-6,"00000"))</f>
        <v/>
      </c>
      <c r="C1504" s="65" t="str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61"/>
      <c r="E1504" s="66"/>
      <c r="F1504" s="67"/>
      <c r="G1504" s="60"/>
      <c r="H1504" s="60"/>
      <c r="I1504" s="61"/>
      <c r="J1504" s="61"/>
      <c r="K1504" s="61"/>
      <c r="L1504" s="73" t="str">
        <f>IF($E1504="","",DATE(YEAR($E1504),MONTH($E1504),1))</f>
        <v/>
      </c>
      <c r="M1504" s="65" t="str">
        <f ca="1">IF($D1504="","",IF($C1504="TANIMSIZ MÜŞTERİ","HATA",IF(OR($E1504="",$F1504&lt;=0,$G1504=""),"EKSİK",IF($E1504&gt;TODAY(),"İLERİ TARİH",IF(COUNTIF($S$7:$S$2503,$S1504)&gt;1,"MÜKERRER?",IF($T1504&gt;0,"KAPALI DÖNEM","UYGUN"))))))</f>
        <v/>
      </c>
      <c r="N1504" s="74" t="str">
        <f>IF($C1504="","",IF($C1504="TANIMSIZ MÜŞTERİ","—",INDEX(MUSTERILER!$C$7:$C$156,MATCH($C1504,MUSTERILER!$B$7:$B$156,0))))</f>
        <v/>
      </c>
      <c r="O1504" s="2"/>
      <c r="P1504" s="2"/>
      <c r="Q1504" s="1" t="str">
        <f>IF($D1504="","",$C1504&amp;"|"&amp;COUNTIFS($C$7:$C1504,$C1504))</f>
        <v/>
      </c>
      <c r="R1504" s="1" t="str">
        <f t="shared" si="46"/>
        <v/>
      </c>
      <c r="S1504" s="1" t="str">
        <f t="shared" si="47"/>
        <v/>
      </c>
      <c r="T1504" s="1">
        <f>IF($E1504="",0,SUMPRODUCT((AY_SONU!$O$7:$O$42="Evet")*(AY_SONU!$B$7:$B$42=DATE(YEAR($E1504),MONTH($E1504),1))))</f>
        <v>0</v>
      </c>
      <c r="U1504" s="1" t="str">
        <f>IF(OR($G1504="",$H1504="Mahsup"),"",$G1504&amp;"|"&amp;COUNTIFS($G$7:$G1504,$G1504,$H$7:$H1504,"&lt;&gt;Mahsup"))</f>
        <v/>
      </c>
    </row>
    <row r="1505" spans="1:21" ht="18" customHeight="1" x14ac:dyDescent="0.3">
      <c r="A1505" s="2"/>
      <c r="B1505" s="65" t="str">
        <f>IF($D1505="","","T"&amp;TEXT(ROW()-6,"00000"))</f>
        <v/>
      </c>
      <c r="C1505" s="65" t="str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61"/>
      <c r="E1505" s="66"/>
      <c r="F1505" s="67"/>
      <c r="G1505" s="60"/>
      <c r="H1505" s="60"/>
      <c r="I1505" s="61"/>
      <c r="J1505" s="61"/>
      <c r="K1505" s="61"/>
      <c r="L1505" s="73" t="str">
        <f>IF($E1505="","",DATE(YEAR($E1505),MONTH($E1505),1))</f>
        <v/>
      </c>
      <c r="M1505" s="65" t="str">
        <f ca="1">IF($D1505="","",IF($C1505="TANIMSIZ MÜŞTERİ","HATA",IF(OR($E1505="",$F1505&lt;=0,$G1505=""),"EKSİK",IF($E1505&gt;TODAY(),"İLERİ TARİH",IF(COUNTIF($S$7:$S$2503,$S1505)&gt;1,"MÜKERRER?",IF($T1505&gt;0,"KAPALI DÖNEM","UYGUN"))))))</f>
        <v/>
      </c>
      <c r="N1505" s="74" t="str">
        <f>IF($C1505="","",IF($C1505="TANIMSIZ MÜŞTERİ","—",INDEX(MUSTERILER!$C$7:$C$156,MATCH($C1505,MUSTERILER!$B$7:$B$156,0))))</f>
        <v/>
      </c>
      <c r="O1505" s="2"/>
      <c r="P1505" s="2"/>
      <c r="Q1505" s="1" t="str">
        <f>IF($D1505="","",$C1505&amp;"|"&amp;COUNTIFS($C$7:$C1505,$C1505))</f>
        <v/>
      </c>
      <c r="R1505" s="1" t="str">
        <f t="shared" si="46"/>
        <v/>
      </c>
      <c r="S1505" s="1" t="str">
        <f t="shared" si="47"/>
        <v/>
      </c>
      <c r="T1505" s="1">
        <f>IF($E1505="",0,SUMPRODUCT((AY_SONU!$O$7:$O$42="Evet")*(AY_SONU!$B$7:$B$42=DATE(YEAR($E1505),MONTH($E1505),1))))</f>
        <v>0</v>
      </c>
      <c r="U1505" s="1" t="str">
        <f>IF(OR($G1505="",$H1505="Mahsup"),"",$G1505&amp;"|"&amp;COUNTIFS($G$7:$G1505,$G1505,$H$7:$H1505,"&lt;&gt;Mahsup"))</f>
        <v/>
      </c>
    </row>
    <row r="1506" spans="1:21" ht="18" customHeight="1" x14ac:dyDescent="0.3">
      <c r="A1506" s="2"/>
      <c r="B1506" s="65" t="str">
        <f>IF($D1506="","","T"&amp;TEXT(ROW()-6,"00000"))</f>
        <v/>
      </c>
      <c r="C1506" s="65" t="str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61"/>
      <c r="E1506" s="66"/>
      <c r="F1506" s="67"/>
      <c r="G1506" s="60"/>
      <c r="H1506" s="60"/>
      <c r="I1506" s="61"/>
      <c r="J1506" s="61"/>
      <c r="K1506" s="61"/>
      <c r="L1506" s="73" t="str">
        <f>IF($E1506="","",DATE(YEAR($E1506),MONTH($E1506),1))</f>
        <v/>
      </c>
      <c r="M1506" s="65" t="str">
        <f ca="1">IF($D1506="","",IF($C1506="TANIMSIZ MÜŞTERİ","HATA",IF(OR($E1506="",$F1506&lt;=0,$G1506=""),"EKSİK",IF($E1506&gt;TODAY(),"İLERİ TARİH",IF(COUNTIF($S$7:$S$2503,$S1506)&gt;1,"MÜKERRER?",IF($T1506&gt;0,"KAPALI DÖNEM","UYGUN"))))))</f>
        <v/>
      </c>
      <c r="N1506" s="74" t="str">
        <f>IF($C1506="","",IF($C1506="TANIMSIZ MÜŞTERİ","—",INDEX(MUSTERILER!$C$7:$C$156,MATCH($C1506,MUSTERILER!$B$7:$B$156,0))))</f>
        <v/>
      </c>
      <c r="O1506" s="2"/>
      <c r="P1506" s="2"/>
      <c r="Q1506" s="1" t="str">
        <f>IF($D1506="","",$C1506&amp;"|"&amp;COUNTIFS($C$7:$C1506,$C1506))</f>
        <v/>
      </c>
      <c r="R1506" s="1" t="str">
        <f t="shared" si="46"/>
        <v/>
      </c>
      <c r="S1506" s="1" t="str">
        <f t="shared" si="47"/>
        <v/>
      </c>
      <c r="T1506" s="1">
        <f>IF($E1506="",0,SUMPRODUCT((AY_SONU!$O$7:$O$42="Evet")*(AY_SONU!$B$7:$B$42=DATE(YEAR($E1506),MONTH($E1506),1))))</f>
        <v>0</v>
      </c>
      <c r="U1506" s="1" t="str">
        <f>IF(OR($G1506="",$H1506="Mahsup"),"",$G1506&amp;"|"&amp;COUNTIFS($G$7:$G1506,$G1506,$H$7:$H1506,"&lt;&gt;Mahsup"))</f>
        <v/>
      </c>
    </row>
    <row r="1507" spans="1:21" ht="18" customHeight="1" x14ac:dyDescent="0.3">
      <c r="A1507" s="2"/>
      <c r="B1507" s="65" t="str">
        <f>IF($D1507="","","T"&amp;TEXT(ROW()-6,"00000"))</f>
        <v/>
      </c>
      <c r="C1507" s="65" t="str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61"/>
      <c r="E1507" s="66"/>
      <c r="F1507" s="67"/>
      <c r="G1507" s="60"/>
      <c r="H1507" s="60"/>
      <c r="I1507" s="61"/>
      <c r="J1507" s="61"/>
      <c r="K1507" s="61"/>
      <c r="L1507" s="73" t="str">
        <f>IF($E1507="","",DATE(YEAR($E1507),MONTH($E1507),1))</f>
        <v/>
      </c>
      <c r="M1507" s="65" t="str">
        <f ca="1">IF($D1507="","",IF($C1507="TANIMSIZ MÜŞTERİ","HATA",IF(OR($E1507="",$F1507&lt;=0,$G1507=""),"EKSİK",IF($E1507&gt;TODAY(),"İLERİ TARİH",IF(COUNTIF($S$7:$S$2503,$S1507)&gt;1,"MÜKERRER?",IF($T1507&gt;0,"KAPALI DÖNEM","UYGUN"))))))</f>
        <v/>
      </c>
      <c r="N1507" s="74" t="str">
        <f>IF($C1507="","",IF($C1507="TANIMSIZ MÜŞTERİ","—",INDEX(MUSTERILER!$C$7:$C$156,MATCH($C1507,MUSTERILER!$B$7:$B$156,0))))</f>
        <v/>
      </c>
      <c r="O1507" s="2"/>
      <c r="P1507" s="2"/>
      <c r="Q1507" s="1" t="str">
        <f>IF($D1507="","",$C1507&amp;"|"&amp;COUNTIFS($C$7:$C1507,$C1507))</f>
        <v/>
      </c>
      <c r="R1507" s="1" t="str">
        <f t="shared" si="46"/>
        <v/>
      </c>
      <c r="S1507" s="1" t="str">
        <f t="shared" si="47"/>
        <v/>
      </c>
      <c r="T1507" s="1">
        <f>IF($E1507="",0,SUMPRODUCT((AY_SONU!$O$7:$O$42="Evet")*(AY_SONU!$B$7:$B$42=DATE(YEAR($E1507),MONTH($E1507),1))))</f>
        <v>0</v>
      </c>
      <c r="U1507" s="1" t="str">
        <f>IF(OR($G1507="",$H1507="Mahsup"),"",$G1507&amp;"|"&amp;COUNTIFS($G$7:$G1507,$G1507,$H$7:$H1507,"&lt;&gt;Mahsup"))</f>
        <v/>
      </c>
    </row>
    <row r="1508" spans="1:21" ht="18" customHeight="1" x14ac:dyDescent="0.3">
      <c r="A1508" s="2"/>
      <c r="B1508" s="65" t="str">
        <f>IF($D1508="","","T"&amp;TEXT(ROW()-6,"00000"))</f>
        <v/>
      </c>
      <c r="C1508" s="65" t="str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61"/>
      <c r="E1508" s="66"/>
      <c r="F1508" s="67"/>
      <c r="G1508" s="60"/>
      <c r="H1508" s="60"/>
      <c r="I1508" s="61"/>
      <c r="J1508" s="61"/>
      <c r="K1508" s="61"/>
      <c r="L1508" s="73" t="str">
        <f>IF($E1508="","",DATE(YEAR($E1508),MONTH($E1508),1))</f>
        <v/>
      </c>
      <c r="M1508" s="65" t="str">
        <f ca="1">IF($D1508="","",IF($C1508="TANIMSIZ MÜŞTERİ","HATA",IF(OR($E1508="",$F1508&lt;=0,$G1508=""),"EKSİK",IF($E1508&gt;TODAY(),"İLERİ TARİH",IF(COUNTIF($S$7:$S$2503,$S1508)&gt;1,"MÜKERRER?",IF($T1508&gt;0,"KAPALI DÖNEM","UYGUN"))))))</f>
        <v/>
      </c>
      <c r="N1508" s="74" t="str">
        <f>IF($C1508="","",IF($C1508="TANIMSIZ MÜŞTERİ","—",INDEX(MUSTERILER!$C$7:$C$156,MATCH($C1508,MUSTERILER!$B$7:$B$156,0))))</f>
        <v/>
      </c>
      <c r="O1508" s="2"/>
      <c r="P1508" s="2"/>
      <c r="Q1508" s="1" t="str">
        <f>IF($D1508="","",$C1508&amp;"|"&amp;COUNTIFS($C$7:$C1508,$C1508))</f>
        <v/>
      </c>
      <c r="R1508" s="1" t="str">
        <f t="shared" si="46"/>
        <v/>
      </c>
      <c r="S1508" s="1" t="str">
        <f t="shared" si="47"/>
        <v/>
      </c>
      <c r="T1508" s="1">
        <f>IF($E1508="",0,SUMPRODUCT((AY_SONU!$O$7:$O$42="Evet")*(AY_SONU!$B$7:$B$42=DATE(YEAR($E1508),MONTH($E1508),1))))</f>
        <v>0</v>
      </c>
      <c r="U1508" s="1" t="str">
        <f>IF(OR($G1508="",$H1508="Mahsup"),"",$G1508&amp;"|"&amp;COUNTIFS($G$7:$G1508,$G1508,$H$7:$H1508,"&lt;&gt;Mahsup"))</f>
        <v/>
      </c>
    </row>
    <row r="1509" spans="1:21" ht="18" customHeight="1" x14ac:dyDescent="0.3">
      <c r="A1509" s="2"/>
      <c r="B1509" s="65" t="str">
        <f>IF($D1509="","","T"&amp;TEXT(ROW()-6,"00000"))</f>
        <v/>
      </c>
      <c r="C1509" s="65" t="str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61"/>
      <c r="E1509" s="66"/>
      <c r="F1509" s="67"/>
      <c r="G1509" s="60"/>
      <c r="H1509" s="60"/>
      <c r="I1509" s="61"/>
      <c r="J1509" s="61"/>
      <c r="K1509" s="61"/>
      <c r="L1509" s="73" t="str">
        <f>IF($E1509="","",DATE(YEAR($E1509),MONTH($E1509),1))</f>
        <v/>
      </c>
      <c r="M1509" s="65" t="str">
        <f ca="1">IF($D1509="","",IF($C1509="TANIMSIZ MÜŞTERİ","HATA",IF(OR($E1509="",$F1509&lt;=0,$G1509=""),"EKSİK",IF($E1509&gt;TODAY(),"İLERİ TARİH",IF(COUNTIF($S$7:$S$2503,$S1509)&gt;1,"MÜKERRER?",IF($T1509&gt;0,"KAPALI DÖNEM","UYGUN"))))))</f>
        <v/>
      </c>
      <c r="N1509" s="74" t="str">
        <f>IF($C1509="","",IF($C1509="TANIMSIZ MÜŞTERİ","—",INDEX(MUSTERILER!$C$7:$C$156,MATCH($C1509,MUSTERILER!$B$7:$B$156,0))))</f>
        <v/>
      </c>
      <c r="O1509" s="2"/>
      <c r="P1509" s="2"/>
      <c r="Q1509" s="1" t="str">
        <f>IF($D1509="","",$C1509&amp;"|"&amp;COUNTIFS($C$7:$C1509,$C1509))</f>
        <v/>
      </c>
      <c r="R1509" s="1" t="str">
        <f t="shared" si="46"/>
        <v/>
      </c>
      <c r="S1509" s="1" t="str">
        <f t="shared" si="47"/>
        <v/>
      </c>
      <c r="T1509" s="1">
        <f>IF($E1509="",0,SUMPRODUCT((AY_SONU!$O$7:$O$42="Evet")*(AY_SONU!$B$7:$B$42=DATE(YEAR($E1509),MONTH($E1509),1))))</f>
        <v>0</v>
      </c>
      <c r="U1509" s="1" t="str">
        <f>IF(OR($G1509="",$H1509="Mahsup"),"",$G1509&amp;"|"&amp;COUNTIFS($G$7:$G1509,$G1509,$H$7:$H1509,"&lt;&gt;Mahsup"))</f>
        <v/>
      </c>
    </row>
    <row r="1510" spans="1:21" ht="18" customHeight="1" x14ac:dyDescent="0.3">
      <c r="A1510" s="2"/>
      <c r="B1510" s="65" t="str">
        <f>IF($D1510="","","T"&amp;TEXT(ROW()-6,"00000"))</f>
        <v/>
      </c>
      <c r="C1510" s="65" t="str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61"/>
      <c r="E1510" s="66"/>
      <c r="F1510" s="67"/>
      <c r="G1510" s="60"/>
      <c r="H1510" s="60"/>
      <c r="I1510" s="61"/>
      <c r="J1510" s="61"/>
      <c r="K1510" s="61"/>
      <c r="L1510" s="73" t="str">
        <f>IF($E1510="","",DATE(YEAR($E1510),MONTH($E1510),1))</f>
        <v/>
      </c>
      <c r="M1510" s="65" t="str">
        <f ca="1">IF($D1510="","",IF($C1510="TANIMSIZ MÜŞTERİ","HATA",IF(OR($E1510="",$F1510&lt;=0,$G1510=""),"EKSİK",IF($E1510&gt;TODAY(),"İLERİ TARİH",IF(COUNTIF($S$7:$S$2503,$S1510)&gt;1,"MÜKERRER?",IF($T1510&gt;0,"KAPALI DÖNEM","UYGUN"))))))</f>
        <v/>
      </c>
      <c r="N1510" s="74" t="str">
        <f>IF($C1510="","",IF($C1510="TANIMSIZ MÜŞTERİ","—",INDEX(MUSTERILER!$C$7:$C$156,MATCH($C1510,MUSTERILER!$B$7:$B$156,0))))</f>
        <v/>
      </c>
      <c r="O1510" s="2"/>
      <c r="P1510" s="2"/>
      <c r="Q1510" s="1" t="str">
        <f>IF($D1510="","",$C1510&amp;"|"&amp;COUNTIFS($C$7:$C1510,$C1510))</f>
        <v/>
      </c>
      <c r="R1510" s="1" t="str">
        <f t="shared" si="46"/>
        <v/>
      </c>
      <c r="S1510" s="1" t="str">
        <f t="shared" si="47"/>
        <v/>
      </c>
      <c r="T1510" s="1">
        <f>IF($E1510="",0,SUMPRODUCT((AY_SONU!$O$7:$O$42="Evet")*(AY_SONU!$B$7:$B$42=DATE(YEAR($E1510),MONTH($E1510),1))))</f>
        <v>0</v>
      </c>
      <c r="U1510" s="1" t="str">
        <f>IF(OR($G1510="",$H1510="Mahsup"),"",$G1510&amp;"|"&amp;COUNTIFS($G$7:$G1510,$G1510,$H$7:$H1510,"&lt;&gt;Mahsup"))</f>
        <v/>
      </c>
    </row>
    <row r="1511" spans="1:21" ht="18" customHeight="1" x14ac:dyDescent="0.3">
      <c r="A1511" s="2"/>
      <c r="B1511" s="65" t="str">
        <f>IF($D1511="","","T"&amp;TEXT(ROW()-6,"00000"))</f>
        <v/>
      </c>
      <c r="C1511" s="65" t="str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61"/>
      <c r="E1511" s="66"/>
      <c r="F1511" s="67"/>
      <c r="G1511" s="60"/>
      <c r="H1511" s="60"/>
      <c r="I1511" s="61"/>
      <c r="J1511" s="61"/>
      <c r="K1511" s="61"/>
      <c r="L1511" s="73" t="str">
        <f>IF($E1511="","",DATE(YEAR($E1511),MONTH($E1511),1))</f>
        <v/>
      </c>
      <c r="M1511" s="65" t="str">
        <f ca="1">IF($D1511="","",IF($C1511="TANIMSIZ MÜŞTERİ","HATA",IF(OR($E1511="",$F1511&lt;=0,$G1511=""),"EKSİK",IF($E1511&gt;TODAY(),"İLERİ TARİH",IF(COUNTIF($S$7:$S$2503,$S1511)&gt;1,"MÜKERRER?",IF($T1511&gt;0,"KAPALI DÖNEM","UYGUN"))))))</f>
        <v/>
      </c>
      <c r="N1511" s="74" t="str">
        <f>IF($C1511="","",IF($C1511="TANIMSIZ MÜŞTERİ","—",INDEX(MUSTERILER!$C$7:$C$156,MATCH($C1511,MUSTERILER!$B$7:$B$156,0))))</f>
        <v/>
      </c>
      <c r="O1511" s="2"/>
      <c r="P1511" s="2"/>
      <c r="Q1511" s="1" t="str">
        <f>IF($D1511="","",$C1511&amp;"|"&amp;COUNTIFS($C$7:$C1511,$C1511))</f>
        <v/>
      </c>
      <c r="R1511" s="1" t="str">
        <f t="shared" si="46"/>
        <v/>
      </c>
      <c r="S1511" s="1" t="str">
        <f t="shared" si="47"/>
        <v/>
      </c>
      <c r="T1511" s="1">
        <f>IF($E1511="",0,SUMPRODUCT((AY_SONU!$O$7:$O$42="Evet")*(AY_SONU!$B$7:$B$42=DATE(YEAR($E1511),MONTH($E1511),1))))</f>
        <v>0</v>
      </c>
      <c r="U1511" s="1" t="str">
        <f>IF(OR($G1511="",$H1511="Mahsup"),"",$G1511&amp;"|"&amp;COUNTIFS($G$7:$G1511,$G1511,$H$7:$H1511,"&lt;&gt;Mahsup"))</f>
        <v/>
      </c>
    </row>
    <row r="1512" spans="1:21" ht="18" customHeight="1" x14ac:dyDescent="0.3">
      <c r="A1512" s="2"/>
      <c r="B1512" s="65" t="str">
        <f>IF($D1512="","","T"&amp;TEXT(ROW()-6,"00000"))</f>
        <v/>
      </c>
      <c r="C1512" s="65" t="str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61"/>
      <c r="E1512" s="66"/>
      <c r="F1512" s="67"/>
      <c r="G1512" s="60"/>
      <c r="H1512" s="60"/>
      <c r="I1512" s="61"/>
      <c r="J1512" s="61"/>
      <c r="K1512" s="61"/>
      <c r="L1512" s="73" t="str">
        <f>IF($E1512="","",DATE(YEAR($E1512),MONTH($E1512),1))</f>
        <v/>
      </c>
      <c r="M1512" s="65" t="str">
        <f ca="1">IF($D1512="","",IF($C1512="TANIMSIZ MÜŞTERİ","HATA",IF(OR($E1512="",$F1512&lt;=0,$G1512=""),"EKSİK",IF($E1512&gt;TODAY(),"İLERİ TARİH",IF(COUNTIF($S$7:$S$2503,$S1512)&gt;1,"MÜKERRER?",IF($T1512&gt;0,"KAPALI DÖNEM","UYGUN"))))))</f>
        <v/>
      </c>
      <c r="N1512" s="74" t="str">
        <f>IF($C1512="","",IF($C1512="TANIMSIZ MÜŞTERİ","—",INDEX(MUSTERILER!$C$7:$C$156,MATCH($C1512,MUSTERILER!$B$7:$B$156,0))))</f>
        <v/>
      </c>
      <c r="O1512" s="2"/>
      <c r="P1512" s="2"/>
      <c r="Q1512" s="1" t="str">
        <f>IF($D1512="","",$C1512&amp;"|"&amp;COUNTIFS($C$7:$C1512,$C1512))</f>
        <v/>
      </c>
      <c r="R1512" s="1" t="str">
        <f t="shared" si="46"/>
        <v/>
      </c>
      <c r="S1512" s="1" t="str">
        <f t="shared" si="47"/>
        <v/>
      </c>
      <c r="T1512" s="1">
        <f>IF($E1512="",0,SUMPRODUCT((AY_SONU!$O$7:$O$42="Evet")*(AY_SONU!$B$7:$B$42=DATE(YEAR($E1512),MONTH($E1512),1))))</f>
        <v>0</v>
      </c>
      <c r="U1512" s="1" t="str">
        <f>IF(OR($G1512="",$H1512="Mahsup"),"",$G1512&amp;"|"&amp;COUNTIFS($G$7:$G1512,$G1512,$H$7:$H1512,"&lt;&gt;Mahsup"))</f>
        <v/>
      </c>
    </row>
    <row r="1513" spans="1:21" ht="18" customHeight="1" x14ac:dyDescent="0.3">
      <c r="A1513" s="2"/>
      <c r="B1513" s="65" t="str">
        <f>IF($D1513="","","T"&amp;TEXT(ROW()-6,"00000"))</f>
        <v/>
      </c>
      <c r="C1513" s="65" t="str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61"/>
      <c r="E1513" s="66"/>
      <c r="F1513" s="67"/>
      <c r="G1513" s="60"/>
      <c r="H1513" s="60"/>
      <c r="I1513" s="61"/>
      <c r="J1513" s="61"/>
      <c r="K1513" s="61"/>
      <c r="L1513" s="73" t="str">
        <f>IF($E1513="","",DATE(YEAR($E1513),MONTH($E1513),1))</f>
        <v/>
      </c>
      <c r="M1513" s="65" t="str">
        <f ca="1">IF($D1513="","",IF($C1513="TANIMSIZ MÜŞTERİ","HATA",IF(OR($E1513="",$F1513&lt;=0,$G1513=""),"EKSİK",IF($E1513&gt;TODAY(),"İLERİ TARİH",IF(COUNTIF($S$7:$S$2503,$S1513)&gt;1,"MÜKERRER?",IF($T1513&gt;0,"KAPALI DÖNEM","UYGUN"))))))</f>
        <v/>
      </c>
      <c r="N1513" s="74" t="str">
        <f>IF($C1513="","",IF($C1513="TANIMSIZ MÜŞTERİ","—",INDEX(MUSTERILER!$C$7:$C$156,MATCH($C1513,MUSTERILER!$B$7:$B$156,0))))</f>
        <v/>
      </c>
      <c r="O1513" s="2"/>
      <c r="P1513" s="2"/>
      <c r="Q1513" s="1" t="str">
        <f>IF($D1513="","",$C1513&amp;"|"&amp;COUNTIFS($C$7:$C1513,$C1513))</f>
        <v/>
      </c>
      <c r="R1513" s="1" t="str">
        <f t="shared" si="46"/>
        <v/>
      </c>
      <c r="S1513" s="1" t="str">
        <f t="shared" si="47"/>
        <v/>
      </c>
      <c r="T1513" s="1">
        <f>IF($E1513="",0,SUMPRODUCT((AY_SONU!$O$7:$O$42="Evet")*(AY_SONU!$B$7:$B$42=DATE(YEAR($E1513),MONTH($E1513),1))))</f>
        <v>0</v>
      </c>
      <c r="U1513" s="1" t="str">
        <f>IF(OR($G1513="",$H1513="Mahsup"),"",$G1513&amp;"|"&amp;COUNTIFS($G$7:$G1513,$G1513,$H$7:$H1513,"&lt;&gt;Mahsup"))</f>
        <v/>
      </c>
    </row>
    <row r="1514" spans="1:21" ht="18" customHeight="1" x14ac:dyDescent="0.3">
      <c r="A1514" s="2"/>
      <c r="B1514" s="65" t="str">
        <f>IF($D1514="","","T"&amp;TEXT(ROW()-6,"00000"))</f>
        <v/>
      </c>
      <c r="C1514" s="65" t="str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61"/>
      <c r="E1514" s="66"/>
      <c r="F1514" s="67"/>
      <c r="G1514" s="60"/>
      <c r="H1514" s="60"/>
      <c r="I1514" s="61"/>
      <c r="J1514" s="61"/>
      <c r="K1514" s="61"/>
      <c r="L1514" s="73" t="str">
        <f>IF($E1514="","",DATE(YEAR($E1514),MONTH($E1514),1))</f>
        <v/>
      </c>
      <c r="M1514" s="65" t="str">
        <f ca="1">IF($D1514="","",IF($C1514="TANIMSIZ MÜŞTERİ","HATA",IF(OR($E1514="",$F1514&lt;=0,$G1514=""),"EKSİK",IF($E1514&gt;TODAY(),"İLERİ TARİH",IF(COUNTIF($S$7:$S$2503,$S1514)&gt;1,"MÜKERRER?",IF($T1514&gt;0,"KAPALI DÖNEM","UYGUN"))))))</f>
        <v/>
      </c>
      <c r="N1514" s="74" t="str">
        <f>IF($C1514="","",IF($C1514="TANIMSIZ MÜŞTERİ","—",INDEX(MUSTERILER!$C$7:$C$156,MATCH($C1514,MUSTERILER!$B$7:$B$156,0))))</f>
        <v/>
      </c>
      <c r="O1514" s="2"/>
      <c r="P1514" s="2"/>
      <c r="Q1514" s="1" t="str">
        <f>IF($D1514="","",$C1514&amp;"|"&amp;COUNTIFS($C$7:$C1514,$C1514))</f>
        <v/>
      </c>
      <c r="R1514" s="1" t="str">
        <f t="shared" si="46"/>
        <v/>
      </c>
      <c r="S1514" s="1" t="str">
        <f t="shared" si="47"/>
        <v/>
      </c>
      <c r="T1514" s="1">
        <f>IF($E1514="",0,SUMPRODUCT((AY_SONU!$O$7:$O$42="Evet")*(AY_SONU!$B$7:$B$42=DATE(YEAR($E1514),MONTH($E1514),1))))</f>
        <v>0</v>
      </c>
      <c r="U1514" s="1" t="str">
        <f>IF(OR($G1514="",$H1514="Mahsup"),"",$G1514&amp;"|"&amp;COUNTIFS($G$7:$G1514,$G1514,$H$7:$H1514,"&lt;&gt;Mahsup"))</f>
        <v/>
      </c>
    </row>
    <row r="1515" spans="1:21" ht="18" customHeight="1" x14ac:dyDescent="0.3">
      <c r="A1515" s="2"/>
      <c r="B1515" s="65" t="str">
        <f>IF($D1515="","","T"&amp;TEXT(ROW()-6,"00000"))</f>
        <v/>
      </c>
      <c r="C1515" s="65" t="str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61"/>
      <c r="E1515" s="66"/>
      <c r="F1515" s="67"/>
      <c r="G1515" s="60"/>
      <c r="H1515" s="60"/>
      <c r="I1515" s="61"/>
      <c r="J1515" s="61"/>
      <c r="K1515" s="61"/>
      <c r="L1515" s="73" t="str">
        <f>IF($E1515="","",DATE(YEAR($E1515),MONTH($E1515),1))</f>
        <v/>
      </c>
      <c r="M1515" s="65" t="str">
        <f ca="1">IF($D1515="","",IF($C1515="TANIMSIZ MÜŞTERİ","HATA",IF(OR($E1515="",$F1515&lt;=0,$G1515=""),"EKSİK",IF($E1515&gt;TODAY(),"İLERİ TARİH",IF(COUNTIF($S$7:$S$2503,$S1515)&gt;1,"MÜKERRER?",IF($T1515&gt;0,"KAPALI DÖNEM","UYGUN"))))))</f>
        <v/>
      </c>
      <c r="N1515" s="74" t="str">
        <f>IF($C1515="","",IF($C1515="TANIMSIZ MÜŞTERİ","—",INDEX(MUSTERILER!$C$7:$C$156,MATCH($C1515,MUSTERILER!$B$7:$B$156,0))))</f>
        <v/>
      </c>
      <c r="O1515" s="2"/>
      <c r="P1515" s="2"/>
      <c r="Q1515" s="1" t="str">
        <f>IF($D1515="","",$C1515&amp;"|"&amp;COUNTIFS($C$7:$C1515,$C1515))</f>
        <v/>
      </c>
      <c r="R1515" s="1" t="str">
        <f t="shared" si="46"/>
        <v/>
      </c>
      <c r="S1515" s="1" t="str">
        <f t="shared" si="47"/>
        <v/>
      </c>
      <c r="T1515" s="1">
        <f>IF($E1515="",0,SUMPRODUCT((AY_SONU!$O$7:$O$42="Evet")*(AY_SONU!$B$7:$B$42=DATE(YEAR($E1515),MONTH($E1515),1))))</f>
        <v>0</v>
      </c>
      <c r="U1515" s="1" t="str">
        <f>IF(OR($G1515="",$H1515="Mahsup"),"",$G1515&amp;"|"&amp;COUNTIFS($G$7:$G1515,$G1515,$H$7:$H1515,"&lt;&gt;Mahsup"))</f>
        <v/>
      </c>
    </row>
    <row r="1516" spans="1:21" ht="18" customHeight="1" x14ac:dyDescent="0.3">
      <c r="A1516" s="2"/>
      <c r="B1516" s="65" t="str">
        <f>IF($D1516="","","T"&amp;TEXT(ROW()-6,"00000"))</f>
        <v/>
      </c>
      <c r="C1516" s="65" t="str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61"/>
      <c r="E1516" s="66"/>
      <c r="F1516" s="67"/>
      <c r="G1516" s="60"/>
      <c r="H1516" s="60"/>
      <c r="I1516" s="61"/>
      <c r="J1516" s="61"/>
      <c r="K1516" s="61"/>
      <c r="L1516" s="73" t="str">
        <f>IF($E1516="","",DATE(YEAR($E1516),MONTH($E1516),1))</f>
        <v/>
      </c>
      <c r="M1516" s="65" t="str">
        <f ca="1">IF($D1516="","",IF($C1516="TANIMSIZ MÜŞTERİ","HATA",IF(OR($E1516="",$F1516&lt;=0,$G1516=""),"EKSİK",IF($E1516&gt;TODAY(),"İLERİ TARİH",IF(COUNTIF($S$7:$S$2503,$S1516)&gt;1,"MÜKERRER?",IF($T1516&gt;0,"KAPALI DÖNEM","UYGUN"))))))</f>
        <v/>
      </c>
      <c r="N1516" s="74" t="str">
        <f>IF($C1516="","",IF($C1516="TANIMSIZ MÜŞTERİ","—",INDEX(MUSTERILER!$C$7:$C$156,MATCH($C1516,MUSTERILER!$B$7:$B$156,0))))</f>
        <v/>
      </c>
      <c r="O1516" s="2"/>
      <c r="P1516" s="2"/>
      <c r="Q1516" s="1" t="str">
        <f>IF($D1516="","",$C1516&amp;"|"&amp;COUNTIFS($C$7:$C1516,$C1516))</f>
        <v/>
      </c>
      <c r="R1516" s="1" t="str">
        <f t="shared" si="46"/>
        <v/>
      </c>
      <c r="S1516" s="1" t="str">
        <f t="shared" si="47"/>
        <v/>
      </c>
      <c r="T1516" s="1">
        <f>IF($E1516="",0,SUMPRODUCT((AY_SONU!$O$7:$O$42="Evet")*(AY_SONU!$B$7:$B$42=DATE(YEAR($E1516),MONTH($E1516),1))))</f>
        <v>0</v>
      </c>
      <c r="U1516" s="1" t="str">
        <f>IF(OR($G1516="",$H1516="Mahsup"),"",$G1516&amp;"|"&amp;COUNTIFS($G$7:$G1516,$G1516,$H$7:$H1516,"&lt;&gt;Mahsup"))</f>
        <v/>
      </c>
    </row>
    <row r="1517" spans="1:21" ht="18" customHeight="1" x14ac:dyDescent="0.3">
      <c r="A1517" s="2"/>
      <c r="B1517" s="65" t="str">
        <f>IF($D1517="","","T"&amp;TEXT(ROW()-6,"00000"))</f>
        <v/>
      </c>
      <c r="C1517" s="65" t="str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61"/>
      <c r="E1517" s="66"/>
      <c r="F1517" s="67"/>
      <c r="G1517" s="60"/>
      <c r="H1517" s="60"/>
      <c r="I1517" s="61"/>
      <c r="J1517" s="61"/>
      <c r="K1517" s="61"/>
      <c r="L1517" s="73" t="str">
        <f>IF($E1517="","",DATE(YEAR($E1517),MONTH($E1517),1))</f>
        <v/>
      </c>
      <c r="M1517" s="65" t="str">
        <f ca="1">IF($D1517="","",IF($C1517="TANIMSIZ MÜŞTERİ","HATA",IF(OR($E1517="",$F1517&lt;=0,$G1517=""),"EKSİK",IF($E1517&gt;TODAY(),"İLERİ TARİH",IF(COUNTIF($S$7:$S$2503,$S1517)&gt;1,"MÜKERRER?",IF($T1517&gt;0,"KAPALI DÖNEM","UYGUN"))))))</f>
        <v/>
      </c>
      <c r="N1517" s="74" t="str">
        <f>IF($C1517="","",IF($C1517="TANIMSIZ MÜŞTERİ","—",INDEX(MUSTERILER!$C$7:$C$156,MATCH($C1517,MUSTERILER!$B$7:$B$156,0))))</f>
        <v/>
      </c>
      <c r="O1517" s="2"/>
      <c r="P1517" s="2"/>
      <c r="Q1517" s="1" t="str">
        <f>IF($D1517="","",$C1517&amp;"|"&amp;COUNTIFS($C$7:$C1517,$C1517))</f>
        <v/>
      </c>
      <c r="R1517" s="1" t="str">
        <f t="shared" si="46"/>
        <v/>
      </c>
      <c r="S1517" s="1" t="str">
        <f t="shared" si="47"/>
        <v/>
      </c>
      <c r="T1517" s="1">
        <f>IF($E1517="",0,SUMPRODUCT((AY_SONU!$O$7:$O$42="Evet")*(AY_SONU!$B$7:$B$42=DATE(YEAR($E1517),MONTH($E1517),1))))</f>
        <v>0</v>
      </c>
      <c r="U1517" s="1" t="str">
        <f>IF(OR($G1517="",$H1517="Mahsup"),"",$G1517&amp;"|"&amp;COUNTIFS($G$7:$G1517,$G1517,$H$7:$H1517,"&lt;&gt;Mahsup"))</f>
        <v/>
      </c>
    </row>
    <row r="1518" spans="1:21" ht="18" customHeight="1" x14ac:dyDescent="0.3">
      <c r="A1518" s="2"/>
      <c r="B1518" s="65" t="str">
        <f>IF($D1518="","","T"&amp;TEXT(ROW()-6,"00000"))</f>
        <v/>
      </c>
      <c r="C1518" s="65" t="str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61"/>
      <c r="E1518" s="66"/>
      <c r="F1518" s="67"/>
      <c r="G1518" s="60"/>
      <c r="H1518" s="60"/>
      <c r="I1518" s="61"/>
      <c r="J1518" s="61"/>
      <c r="K1518" s="61"/>
      <c r="L1518" s="73" t="str">
        <f>IF($E1518="","",DATE(YEAR($E1518),MONTH($E1518),1))</f>
        <v/>
      </c>
      <c r="M1518" s="65" t="str">
        <f ca="1">IF($D1518="","",IF($C1518="TANIMSIZ MÜŞTERİ","HATA",IF(OR($E1518="",$F1518&lt;=0,$G1518=""),"EKSİK",IF($E1518&gt;TODAY(),"İLERİ TARİH",IF(COUNTIF($S$7:$S$2503,$S1518)&gt;1,"MÜKERRER?",IF($T1518&gt;0,"KAPALI DÖNEM","UYGUN"))))))</f>
        <v/>
      </c>
      <c r="N1518" s="74" t="str">
        <f>IF($C1518="","",IF($C1518="TANIMSIZ MÜŞTERİ","—",INDEX(MUSTERILER!$C$7:$C$156,MATCH($C1518,MUSTERILER!$B$7:$B$156,0))))</f>
        <v/>
      </c>
      <c r="O1518" s="2"/>
      <c r="P1518" s="2"/>
      <c r="Q1518" s="1" t="str">
        <f>IF($D1518="","",$C1518&amp;"|"&amp;COUNTIFS($C$7:$C1518,$C1518))</f>
        <v/>
      </c>
      <c r="R1518" s="1" t="str">
        <f t="shared" si="46"/>
        <v/>
      </c>
      <c r="S1518" s="1" t="str">
        <f t="shared" si="47"/>
        <v/>
      </c>
      <c r="T1518" s="1">
        <f>IF($E1518="",0,SUMPRODUCT((AY_SONU!$O$7:$O$42="Evet")*(AY_SONU!$B$7:$B$42=DATE(YEAR($E1518),MONTH($E1518),1))))</f>
        <v>0</v>
      </c>
      <c r="U1518" s="1" t="str">
        <f>IF(OR($G1518="",$H1518="Mahsup"),"",$G1518&amp;"|"&amp;COUNTIFS($G$7:$G1518,$G1518,$H$7:$H1518,"&lt;&gt;Mahsup"))</f>
        <v/>
      </c>
    </row>
    <row r="1519" spans="1:21" ht="18" customHeight="1" x14ac:dyDescent="0.3">
      <c r="A1519" s="2"/>
      <c r="B1519" s="65" t="str">
        <f>IF($D1519="","","T"&amp;TEXT(ROW()-6,"00000"))</f>
        <v/>
      </c>
      <c r="C1519" s="65" t="str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61"/>
      <c r="E1519" s="66"/>
      <c r="F1519" s="67"/>
      <c r="G1519" s="60"/>
      <c r="H1519" s="60"/>
      <c r="I1519" s="61"/>
      <c r="J1519" s="61"/>
      <c r="K1519" s="61"/>
      <c r="L1519" s="73" t="str">
        <f>IF($E1519="","",DATE(YEAR($E1519),MONTH($E1519),1))</f>
        <v/>
      </c>
      <c r="M1519" s="65" t="str">
        <f ca="1">IF($D1519="","",IF($C1519="TANIMSIZ MÜŞTERİ","HATA",IF(OR($E1519="",$F1519&lt;=0,$G1519=""),"EKSİK",IF($E1519&gt;TODAY(),"İLERİ TARİH",IF(COUNTIF($S$7:$S$2503,$S1519)&gt;1,"MÜKERRER?",IF($T1519&gt;0,"KAPALI DÖNEM","UYGUN"))))))</f>
        <v/>
      </c>
      <c r="N1519" s="74" t="str">
        <f>IF($C1519="","",IF($C1519="TANIMSIZ MÜŞTERİ","—",INDEX(MUSTERILER!$C$7:$C$156,MATCH($C1519,MUSTERILER!$B$7:$B$156,0))))</f>
        <v/>
      </c>
      <c r="O1519" s="2"/>
      <c r="P1519" s="2"/>
      <c r="Q1519" s="1" t="str">
        <f>IF($D1519="","",$C1519&amp;"|"&amp;COUNTIFS($C$7:$C1519,$C1519))</f>
        <v/>
      </c>
      <c r="R1519" s="1" t="str">
        <f t="shared" si="46"/>
        <v/>
      </c>
      <c r="S1519" s="1" t="str">
        <f t="shared" si="47"/>
        <v/>
      </c>
      <c r="T1519" s="1">
        <f>IF($E1519="",0,SUMPRODUCT((AY_SONU!$O$7:$O$42="Evet")*(AY_SONU!$B$7:$B$42=DATE(YEAR($E1519),MONTH($E1519),1))))</f>
        <v>0</v>
      </c>
      <c r="U1519" s="1" t="str">
        <f>IF(OR($G1519="",$H1519="Mahsup"),"",$G1519&amp;"|"&amp;COUNTIFS($G$7:$G1519,$G1519,$H$7:$H1519,"&lt;&gt;Mahsup"))</f>
        <v/>
      </c>
    </row>
    <row r="1520" spans="1:21" ht="18" customHeight="1" x14ac:dyDescent="0.3">
      <c r="A1520" s="2"/>
      <c r="B1520" s="65" t="str">
        <f>IF($D1520="","","T"&amp;TEXT(ROW()-6,"00000"))</f>
        <v/>
      </c>
      <c r="C1520" s="65" t="str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61"/>
      <c r="E1520" s="66"/>
      <c r="F1520" s="67"/>
      <c r="G1520" s="60"/>
      <c r="H1520" s="60"/>
      <c r="I1520" s="61"/>
      <c r="J1520" s="61"/>
      <c r="K1520" s="61"/>
      <c r="L1520" s="73" t="str">
        <f>IF($E1520="","",DATE(YEAR($E1520),MONTH($E1520),1))</f>
        <v/>
      </c>
      <c r="M1520" s="65" t="str">
        <f ca="1">IF($D1520="","",IF($C1520="TANIMSIZ MÜŞTERİ","HATA",IF(OR($E1520="",$F1520&lt;=0,$G1520=""),"EKSİK",IF($E1520&gt;TODAY(),"İLERİ TARİH",IF(COUNTIF($S$7:$S$2503,$S1520)&gt;1,"MÜKERRER?",IF($T1520&gt;0,"KAPALI DÖNEM","UYGUN"))))))</f>
        <v/>
      </c>
      <c r="N1520" s="74" t="str">
        <f>IF($C1520="","",IF($C1520="TANIMSIZ MÜŞTERİ","—",INDEX(MUSTERILER!$C$7:$C$156,MATCH($C1520,MUSTERILER!$B$7:$B$156,0))))</f>
        <v/>
      </c>
      <c r="O1520" s="2"/>
      <c r="P1520" s="2"/>
      <c r="Q1520" s="1" t="str">
        <f>IF($D1520="","",$C1520&amp;"|"&amp;COUNTIFS($C$7:$C1520,$C1520))</f>
        <v/>
      </c>
      <c r="R1520" s="1" t="str">
        <f t="shared" si="46"/>
        <v/>
      </c>
      <c r="S1520" s="1" t="str">
        <f t="shared" si="47"/>
        <v/>
      </c>
      <c r="T1520" s="1">
        <f>IF($E1520="",0,SUMPRODUCT((AY_SONU!$O$7:$O$42="Evet")*(AY_SONU!$B$7:$B$42=DATE(YEAR($E1520),MONTH($E1520),1))))</f>
        <v>0</v>
      </c>
      <c r="U1520" s="1" t="str">
        <f>IF(OR($G1520="",$H1520="Mahsup"),"",$G1520&amp;"|"&amp;COUNTIFS($G$7:$G1520,$G1520,$H$7:$H1520,"&lt;&gt;Mahsup"))</f>
        <v/>
      </c>
    </row>
    <row r="1521" spans="1:21" ht="18" customHeight="1" x14ac:dyDescent="0.3">
      <c r="A1521" s="2"/>
      <c r="B1521" s="65" t="str">
        <f>IF($D1521="","","T"&amp;TEXT(ROW()-6,"00000"))</f>
        <v/>
      </c>
      <c r="C1521" s="65" t="str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61"/>
      <c r="E1521" s="66"/>
      <c r="F1521" s="67"/>
      <c r="G1521" s="60"/>
      <c r="H1521" s="60"/>
      <c r="I1521" s="61"/>
      <c r="J1521" s="61"/>
      <c r="K1521" s="61"/>
      <c r="L1521" s="73" t="str">
        <f>IF($E1521="","",DATE(YEAR($E1521),MONTH($E1521),1))</f>
        <v/>
      </c>
      <c r="M1521" s="65" t="str">
        <f ca="1">IF($D1521="","",IF($C1521="TANIMSIZ MÜŞTERİ","HATA",IF(OR($E1521="",$F1521&lt;=0,$G1521=""),"EKSİK",IF($E1521&gt;TODAY(),"İLERİ TARİH",IF(COUNTIF($S$7:$S$2503,$S1521)&gt;1,"MÜKERRER?",IF($T1521&gt;0,"KAPALI DÖNEM","UYGUN"))))))</f>
        <v/>
      </c>
      <c r="N1521" s="74" t="str">
        <f>IF($C1521="","",IF($C1521="TANIMSIZ MÜŞTERİ","—",INDEX(MUSTERILER!$C$7:$C$156,MATCH($C1521,MUSTERILER!$B$7:$B$156,0))))</f>
        <v/>
      </c>
      <c r="O1521" s="2"/>
      <c r="P1521" s="2"/>
      <c r="Q1521" s="1" t="str">
        <f>IF($D1521="","",$C1521&amp;"|"&amp;COUNTIFS($C$7:$C1521,$C1521))</f>
        <v/>
      </c>
      <c r="R1521" s="1" t="str">
        <f t="shared" si="46"/>
        <v/>
      </c>
      <c r="S1521" s="1" t="str">
        <f t="shared" si="47"/>
        <v/>
      </c>
      <c r="T1521" s="1">
        <f>IF($E1521="",0,SUMPRODUCT((AY_SONU!$O$7:$O$42="Evet")*(AY_SONU!$B$7:$B$42=DATE(YEAR($E1521),MONTH($E1521),1))))</f>
        <v>0</v>
      </c>
      <c r="U1521" s="1" t="str">
        <f>IF(OR($G1521="",$H1521="Mahsup"),"",$G1521&amp;"|"&amp;COUNTIFS($G$7:$G1521,$G1521,$H$7:$H1521,"&lt;&gt;Mahsup"))</f>
        <v/>
      </c>
    </row>
    <row r="1522" spans="1:21" ht="18" customHeight="1" x14ac:dyDescent="0.3">
      <c r="A1522" s="2"/>
      <c r="B1522" s="65" t="str">
        <f>IF($D1522="","","T"&amp;TEXT(ROW()-6,"00000"))</f>
        <v/>
      </c>
      <c r="C1522" s="65" t="str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61"/>
      <c r="E1522" s="66"/>
      <c r="F1522" s="67"/>
      <c r="G1522" s="60"/>
      <c r="H1522" s="60"/>
      <c r="I1522" s="61"/>
      <c r="J1522" s="61"/>
      <c r="K1522" s="61"/>
      <c r="L1522" s="73" t="str">
        <f>IF($E1522="","",DATE(YEAR($E1522),MONTH($E1522),1))</f>
        <v/>
      </c>
      <c r="M1522" s="65" t="str">
        <f ca="1">IF($D1522="","",IF($C1522="TANIMSIZ MÜŞTERİ","HATA",IF(OR($E1522="",$F1522&lt;=0,$G1522=""),"EKSİK",IF($E1522&gt;TODAY(),"İLERİ TARİH",IF(COUNTIF($S$7:$S$2503,$S1522)&gt;1,"MÜKERRER?",IF($T1522&gt;0,"KAPALI DÖNEM","UYGUN"))))))</f>
        <v/>
      </c>
      <c r="N1522" s="74" t="str">
        <f>IF($C1522="","",IF($C1522="TANIMSIZ MÜŞTERİ","—",INDEX(MUSTERILER!$C$7:$C$156,MATCH($C1522,MUSTERILER!$B$7:$B$156,0))))</f>
        <v/>
      </c>
      <c r="O1522" s="2"/>
      <c r="P1522" s="2"/>
      <c r="Q1522" s="1" t="str">
        <f>IF($D1522="","",$C1522&amp;"|"&amp;COUNTIFS($C$7:$C1522,$C1522))</f>
        <v/>
      </c>
      <c r="R1522" s="1" t="str">
        <f t="shared" si="46"/>
        <v/>
      </c>
      <c r="S1522" s="1" t="str">
        <f t="shared" si="47"/>
        <v/>
      </c>
      <c r="T1522" s="1">
        <f>IF($E1522="",0,SUMPRODUCT((AY_SONU!$O$7:$O$42="Evet")*(AY_SONU!$B$7:$B$42=DATE(YEAR($E1522),MONTH($E1522),1))))</f>
        <v>0</v>
      </c>
      <c r="U1522" s="1" t="str">
        <f>IF(OR($G1522="",$H1522="Mahsup"),"",$G1522&amp;"|"&amp;COUNTIFS($G$7:$G1522,$G1522,$H$7:$H1522,"&lt;&gt;Mahsup"))</f>
        <v/>
      </c>
    </row>
    <row r="1523" spans="1:21" ht="18" customHeight="1" x14ac:dyDescent="0.3">
      <c r="A1523" s="2"/>
      <c r="B1523" s="65" t="str">
        <f>IF($D1523="","","T"&amp;TEXT(ROW()-6,"00000"))</f>
        <v/>
      </c>
      <c r="C1523" s="65" t="str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61"/>
      <c r="E1523" s="66"/>
      <c r="F1523" s="67"/>
      <c r="G1523" s="60"/>
      <c r="H1523" s="60"/>
      <c r="I1523" s="61"/>
      <c r="J1523" s="61"/>
      <c r="K1523" s="61"/>
      <c r="L1523" s="73" t="str">
        <f>IF($E1523="","",DATE(YEAR($E1523),MONTH($E1523),1))</f>
        <v/>
      </c>
      <c r="M1523" s="65" t="str">
        <f ca="1">IF($D1523="","",IF($C1523="TANIMSIZ MÜŞTERİ","HATA",IF(OR($E1523="",$F1523&lt;=0,$G1523=""),"EKSİK",IF($E1523&gt;TODAY(),"İLERİ TARİH",IF(COUNTIF($S$7:$S$2503,$S1523)&gt;1,"MÜKERRER?",IF($T1523&gt;0,"KAPALI DÖNEM","UYGUN"))))))</f>
        <v/>
      </c>
      <c r="N1523" s="74" t="str">
        <f>IF($C1523="","",IF($C1523="TANIMSIZ MÜŞTERİ","—",INDEX(MUSTERILER!$C$7:$C$156,MATCH($C1523,MUSTERILER!$B$7:$B$156,0))))</f>
        <v/>
      </c>
      <c r="O1523" s="2"/>
      <c r="P1523" s="2"/>
      <c r="Q1523" s="1" t="str">
        <f>IF($D1523="","",$C1523&amp;"|"&amp;COUNTIFS($C$7:$C1523,$C1523))</f>
        <v/>
      </c>
      <c r="R1523" s="1" t="str">
        <f t="shared" si="46"/>
        <v/>
      </c>
      <c r="S1523" s="1" t="str">
        <f t="shared" si="47"/>
        <v/>
      </c>
      <c r="T1523" s="1">
        <f>IF($E1523="",0,SUMPRODUCT((AY_SONU!$O$7:$O$42="Evet")*(AY_SONU!$B$7:$B$42=DATE(YEAR($E1523),MONTH($E1523),1))))</f>
        <v>0</v>
      </c>
      <c r="U1523" s="1" t="str">
        <f>IF(OR($G1523="",$H1523="Mahsup"),"",$G1523&amp;"|"&amp;COUNTIFS($G$7:$G1523,$G1523,$H$7:$H1523,"&lt;&gt;Mahsup"))</f>
        <v/>
      </c>
    </row>
    <row r="1524" spans="1:21" ht="18" customHeight="1" x14ac:dyDescent="0.3">
      <c r="A1524" s="2"/>
      <c r="B1524" s="65" t="str">
        <f>IF($D1524="","","T"&amp;TEXT(ROW()-6,"00000"))</f>
        <v/>
      </c>
      <c r="C1524" s="65" t="str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61"/>
      <c r="E1524" s="66"/>
      <c r="F1524" s="67"/>
      <c r="G1524" s="60"/>
      <c r="H1524" s="60"/>
      <c r="I1524" s="61"/>
      <c r="J1524" s="61"/>
      <c r="K1524" s="61"/>
      <c r="L1524" s="73" t="str">
        <f>IF($E1524="","",DATE(YEAR($E1524),MONTH($E1524),1))</f>
        <v/>
      </c>
      <c r="M1524" s="65" t="str">
        <f ca="1">IF($D1524="","",IF($C1524="TANIMSIZ MÜŞTERİ","HATA",IF(OR($E1524="",$F1524&lt;=0,$G1524=""),"EKSİK",IF($E1524&gt;TODAY(),"İLERİ TARİH",IF(COUNTIF($S$7:$S$2503,$S1524)&gt;1,"MÜKERRER?",IF($T1524&gt;0,"KAPALI DÖNEM","UYGUN"))))))</f>
        <v/>
      </c>
      <c r="N1524" s="74" t="str">
        <f>IF($C1524="","",IF($C1524="TANIMSIZ MÜŞTERİ","—",INDEX(MUSTERILER!$C$7:$C$156,MATCH($C1524,MUSTERILER!$B$7:$B$156,0))))</f>
        <v/>
      </c>
      <c r="O1524" s="2"/>
      <c r="P1524" s="2"/>
      <c r="Q1524" s="1" t="str">
        <f>IF($D1524="","",$C1524&amp;"|"&amp;COUNTIFS($C$7:$C1524,$C1524))</f>
        <v/>
      </c>
      <c r="R1524" s="1" t="str">
        <f t="shared" si="46"/>
        <v/>
      </c>
      <c r="S1524" s="1" t="str">
        <f t="shared" si="47"/>
        <v/>
      </c>
      <c r="T1524" s="1">
        <f>IF($E1524="",0,SUMPRODUCT((AY_SONU!$O$7:$O$42="Evet")*(AY_SONU!$B$7:$B$42=DATE(YEAR($E1524),MONTH($E1524),1))))</f>
        <v>0</v>
      </c>
      <c r="U1524" s="1" t="str">
        <f>IF(OR($G1524="",$H1524="Mahsup"),"",$G1524&amp;"|"&amp;COUNTIFS($G$7:$G1524,$G1524,$H$7:$H1524,"&lt;&gt;Mahsup"))</f>
        <v/>
      </c>
    </row>
    <row r="1525" spans="1:21" ht="18" customHeight="1" x14ac:dyDescent="0.3">
      <c r="A1525" s="2"/>
      <c r="B1525" s="65" t="str">
        <f>IF($D1525="","","T"&amp;TEXT(ROW()-6,"00000"))</f>
        <v/>
      </c>
      <c r="C1525" s="65" t="str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61"/>
      <c r="E1525" s="66"/>
      <c r="F1525" s="67"/>
      <c r="G1525" s="60"/>
      <c r="H1525" s="60"/>
      <c r="I1525" s="61"/>
      <c r="J1525" s="61"/>
      <c r="K1525" s="61"/>
      <c r="L1525" s="73" t="str">
        <f>IF($E1525="","",DATE(YEAR($E1525),MONTH($E1525),1))</f>
        <v/>
      </c>
      <c r="M1525" s="65" t="str">
        <f ca="1">IF($D1525="","",IF($C1525="TANIMSIZ MÜŞTERİ","HATA",IF(OR($E1525="",$F1525&lt;=0,$G1525=""),"EKSİK",IF($E1525&gt;TODAY(),"İLERİ TARİH",IF(COUNTIF($S$7:$S$2503,$S1525)&gt;1,"MÜKERRER?",IF($T1525&gt;0,"KAPALI DÖNEM","UYGUN"))))))</f>
        <v/>
      </c>
      <c r="N1525" s="74" t="str">
        <f>IF($C1525="","",IF($C1525="TANIMSIZ MÜŞTERİ","—",INDEX(MUSTERILER!$C$7:$C$156,MATCH($C1525,MUSTERILER!$B$7:$B$156,0))))</f>
        <v/>
      </c>
      <c r="O1525" s="2"/>
      <c r="P1525" s="2"/>
      <c r="Q1525" s="1" t="str">
        <f>IF($D1525="","",$C1525&amp;"|"&amp;COUNTIFS($C$7:$C1525,$C1525))</f>
        <v/>
      </c>
      <c r="R1525" s="1" t="str">
        <f t="shared" si="46"/>
        <v/>
      </c>
      <c r="S1525" s="1" t="str">
        <f t="shared" si="47"/>
        <v/>
      </c>
      <c r="T1525" s="1">
        <f>IF($E1525="",0,SUMPRODUCT((AY_SONU!$O$7:$O$42="Evet")*(AY_SONU!$B$7:$B$42=DATE(YEAR($E1525),MONTH($E1525),1))))</f>
        <v>0</v>
      </c>
      <c r="U1525" s="1" t="str">
        <f>IF(OR($G1525="",$H1525="Mahsup"),"",$G1525&amp;"|"&amp;COUNTIFS($G$7:$G1525,$G1525,$H$7:$H1525,"&lt;&gt;Mahsup"))</f>
        <v/>
      </c>
    </row>
    <row r="1526" spans="1:21" ht="18" customHeight="1" x14ac:dyDescent="0.3">
      <c r="A1526" s="2"/>
      <c r="B1526" s="65" t="str">
        <f>IF($D1526="","","T"&amp;TEXT(ROW()-6,"00000"))</f>
        <v/>
      </c>
      <c r="C1526" s="65" t="str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61"/>
      <c r="E1526" s="66"/>
      <c r="F1526" s="67"/>
      <c r="G1526" s="60"/>
      <c r="H1526" s="60"/>
      <c r="I1526" s="61"/>
      <c r="J1526" s="61"/>
      <c r="K1526" s="61"/>
      <c r="L1526" s="73" t="str">
        <f>IF($E1526="","",DATE(YEAR($E1526),MONTH($E1526),1))</f>
        <v/>
      </c>
      <c r="M1526" s="65" t="str">
        <f ca="1">IF($D1526="","",IF($C1526="TANIMSIZ MÜŞTERİ","HATA",IF(OR($E1526="",$F1526&lt;=0,$G1526=""),"EKSİK",IF($E1526&gt;TODAY(),"İLERİ TARİH",IF(COUNTIF($S$7:$S$2503,$S1526)&gt;1,"MÜKERRER?",IF($T1526&gt;0,"KAPALI DÖNEM","UYGUN"))))))</f>
        <v/>
      </c>
      <c r="N1526" s="74" t="str">
        <f>IF($C1526="","",IF($C1526="TANIMSIZ MÜŞTERİ","—",INDEX(MUSTERILER!$C$7:$C$156,MATCH($C1526,MUSTERILER!$B$7:$B$156,0))))</f>
        <v/>
      </c>
      <c r="O1526" s="2"/>
      <c r="P1526" s="2"/>
      <c r="Q1526" s="1" t="str">
        <f>IF($D1526="","",$C1526&amp;"|"&amp;COUNTIFS($C$7:$C1526,$C1526))</f>
        <v/>
      </c>
      <c r="R1526" s="1" t="str">
        <f t="shared" si="46"/>
        <v/>
      </c>
      <c r="S1526" s="1" t="str">
        <f t="shared" si="47"/>
        <v/>
      </c>
      <c r="T1526" s="1">
        <f>IF($E1526="",0,SUMPRODUCT((AY_SONU!$O$7:$O$42="Evet")*(AY_SONU!$B$7:$B$42=DATE(YEAR($E1526),MONTH($E1526),1))))</f>
        <v>0</v>
      </c>
      <c r="U1526" s="1" t="str">
        <f>IF(OR($G1526="",$H1526="Mahsup"),"",$G1526&amp;"|"&amp;COUNTIFS($G$7:$G1526,$G1526,$H$7:$H1526,"&lt;&gt;Mahsup"))</f>
        <v/>
      </c>
    </row>
    <row r="1527" spans="1:21" ht="18" customHeight="1" x14ac:dyDescent="0.3">
      <c r="A1527" s="2"/>
      <c r="B1527" s="65" t="str">
        <f>IF($D1527="","","T"&amp;TEXT(ROW()-6,"00000"))</f>
        <v/>
      </c>
      <c r="C1527" s="65" t="str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61"/>
      <c r="E1527" s="66"/>
      <c r="F1527" s="67"/>
      <c r="G1527" s="60"/>
      <c r="H1527" s="60"/>
      <c r="I1527" s="61"/>
      <c r="J1527" s="61"/>
      <c r="K1527" s="61"/>
      <c r="L1527" s="73" t="str">
        <f>IF($E1527="","",DATE(YEAR($E1527),MONTH($E1527),1))</f>
        <v/>
      </c>
      <c r="M1527" s="65" t="str">
        <f ca="1">IF($D1527="","",IF($C1527="TANIMSIZ MÜŞTERİ","HATA",IF(OR($E1527="",$F1527&lt;=0,$G1527=""),"EKSİK",IF($E1527&gt;TODAY(),"İLERİ TARİH",IF(COUNTIF($S$7:$S$2503,$S1527)&gt;1,"MÜKERRER?",IF($T1527&gt;0,"KAPALI DÖNEM","UYGUN"))))))</f>
        <v/>
      </c>
      <c r="N1527" s="74" t="str">
        <f>IF($C1527="","",IF($C1527="TANIMSIZ MÜŞTERİ","—",INDEX(MUSTERILER!$C$7:$C$156,MATCH($C1527,MUSTERILER!$B$7:$B$156,0))))</f>
        <v/>
      </c>
      <c r="O1527" s="2"/>
      <c r="P1527" s="2"/>
      <c r="Q1527" s="1" t="str">
        <f>IF($D1527="","",$C1527&amp;"|"&amp;COUNTIFS($C$7:$C1527,$C1527))</f>
        <v/>
      </c>
      <c r="R1527" s="1" t="str">
        <f t="shared" si="46"/>
        <v/>
      </c>
      <c r="S1527" s="1" t="str">
        <f t="shared" si="47"/>
        <v/>
      </c>
      <c r="T1527" s="1">
        <f>IF($E1527="",0,SUMPRODUCT((AY_SONU!$O$7:$O$42="Evet")*(AY_SONU!$B$7:$B$42=DATE(YEAR($E1527),MONTH($E1527),1))))</f>
        <v>0</v>
      </c>
      <c r="U1527" s="1" t="str">
        <f>IF(OR($G1527="",$H1527="Mahsup"),"",$G1527&amp;"|"&amp;COUNTIFS($G$7:$G1527,$G1527,$H$7:$H1527,"&lt;&gt;Mahsup"))</f>
        <v/>
      </c>
    </row>
    <row r="1528" spans="1:21" ht="18" customHeight="1" x14ac:dyDescent="0.3">
      <c r="A1528" s="2"/>
      <c r="B1528" s="65" t="str">
        <f>IF($D1528="","","T"&amp;TEXT(ROW()-6,"00000"))</f>
        <v/>
      </c>
      <c r="C1528" s="65" t="str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61"/>
      <c r="E1528" s="66"/>
      <c r="F1528" s="67"/>
      <c r="G1528" s="60"/>
      <c r="H1528" s="60"/>
      <c r="I1528" s="61"/>
      <c r="J1528" s="61"/>
      <c r="K1528" s="61"/>
      <c r="L1528" s="73" t="str">
        <f>IF($E1528="","",DATE(YEAR($E1528),MONTH($E1528),1))</f>
        <v/>
      </c>
      <c r="M1528" s="65" t="str">
        <f ca="1">IF($D1528="","",IF($C1528="TANIMSIZ MÜŞTERİ","HATA",IF(OR($E1528="",$F1528&lt;=0,$G1528=""),"EKSİK",IF($E1528&gt;TODAY(),"İLERİ TARİH",IF(COUNTIF($S$7:$S$2503,$S1528)&gt;1,"MÜKERRER?",IF($T1528&gt;0,"KAPALI DÖNEM","UYGUN"))))))</f>
        <v/>
      </c>
      <c r="N1528" s="74" t="str">
        <f>IF($C1528="","",IF($C1528="TANIMSIZ MÜŞTERİ","—",INDEX(MUSTERILER!$C$7:$C$156,MATCH($C1528,MUSTERILER!$B$7:$B$156,0))))</f>
        <v/>
      </c>
      <c r="O1528" s="2"/>
      <c r="P1528" s="2"/>
      <c r="Q1528" s="1" t="str">
        <f>IF($D1528="","",$C1528&amp;"|"&amp;COUNTIFS($C$7:$C1528,$C1528))</f>
        <v/>
      </c>
      <c r="R1528" s="1" t="str">
        <f t="shared" si="46"/>
        <v/>
      </c>
      <c r="S1528" s="1" t="str">
        <f t="shared" si="47"/>
        <v/>
      </c>
      <c r="T1528" s="1">
        <f>IF($E1528="",0,SUMPRODUCT((AY_SONU!$O$7:$O$42="Evet")*(AY_SONU!$B$7:$B$42=DATE(YEAR($E1528),MONTH($E1528),1))))</f>
        <v>0</v>
      </c>
      <c r="U1528" s="1" t="str">
        <f>IF(OR($G1528="",$H1528="Mahsup"),"",$G1528&amp;"|"&amp;COUNTIFS($G$7:$G1528,$G1528,$H$7:$H1528,"&lt;&gt;Mahsup"))</f>
        <v/>
      </c>
    </row>
    <row r="1529" spans="1:21" ht="18" customHeight="1" x14ac:dyDescent="0.3">
      <c r="A1529" s="2"/>
      <c r="B1529" s="65" t="str">
        <f>IF($D1529="","","T"&amp;TEXT(ROW()-6,"00000"))</f>
        <v/>
      </c>
      <c r="C1529" s="65" t="str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61"/>
      <c r="E1529" s="66"/>
      <c r="F1529" s="67"/>
      <c r="G1529" s="60"/>
      <c r="H1529" s="60"/>
      <c r="I1529" s="61"/>
      <c r="J1529" s="61"/>
      <c r="K1529" s="61"/>
      <c r="L1529" s="73" t="str">
        <f>IF($E1529="","",DATE(YEAR($E1529),MONTH($E1529),1))</f>
        <v/>
      </c>
      <c r="M1529" s="65" t="str">
        <f ca="1">IF($D1529="","",IF($C1529="TANIMSIZ MÜŞTERİ","HATA",IF(OR($E1529="",$F1529&lt;=0,$G1529=""),"EKSİK",IF($E1529&gt;TODAY(),"İLERİ TARİH",IF(COUNTIF($S$7:$S$2503,$S1529)&gt;1,"MÜKERRER?",IF($T1529&gt;0,"KAPALI DÖNEM","UYGUN"))))))</f>
        <v/>
      </c>
      <c r="N1529" s="74" t="str">
        <f>IF($C1529="","",IF($C1529="TANIMSIZ MÜŞTERİ","—",INDEX(MUSTERILER!$C$7:$C$156,MATCH($C1529,MUSTERILER!$B$7:$B$156,0))))</f>
        <v/>
      </c>
      <c r="O1529" s="2"/>
      <c r="P1529" s="2"/>
      <c r="Q1529" s="1" t="str">
        <f>IF($D1529="","",$C1529&amp;"|"&amp;COUNTIFS($C$7:$C1529,$C1529))</f>
        <v/>
      </c>
      <c r="R1529" s="1" t="str">
        <f t="shared" si="46"/>
        <v/>
      </c>
      <c r="S1529" s="1" t="str">
        <f t="shared" si="47"/>
        <v/>
      </c>
      <c r="T1529" s="1">
        <f>IF($E1529="",0,SUMPRODUCT((AY_SONU!$O$7:$O$42="Evet")*(AY_SONU!$B$7:$B$42=DATE(YEAR($E1529),MONTH($E1529),1))))</f>
        <v>0</v>
      </c>
      <c r="U1529" s="1" t="str">
        <f>IF(OR($G1529="",$H1529="Mahsup"),"",$G1529&amp;"|"&amp;COUNTIFS($G$7:$G1529,$G1529,$H$7:$H1529,"&lt;&gt;Mahsup"))</f>
        <v/>
      </c>
    </row>
    <row r="1530" spans="1:21" ht="18" customHeight="1" x14ac:dyDescent="0.3">
      <c r="A1530" s="2"/>
      <c r="B1530" s="65" t="str">
        <f>IF($D1530="","","T"&amp;TEXT(ROW()-6,"00000"))</f>
        <v/>
      </c>
      <c r="C1530" s="65" t="str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61"/>
      <c r="E1530" s="66"/>
      <c r="F1530" s="67"/>
      <c r="G1530" s="60"/>
      <c r="H1530" s="60"/>
      <c r="I1530" s="61"/>
      <c r="J1530" s="61"/>
      <c r="K1530" s="61"/>
      <c r="L1530" s="73" t="str">
        <f>IF($E1530="","",DATE(YEAR($E1530),MONTH($E1530),1))</f>
        <v/>
      </c>
      <c r="M1530" s="65" t="str">
        <f ca="1">IF($D1530="","",IF($C1530="TANIMSIZ MÜŞTERİ","HATA",IF(OR($E1530="",$F1530&lt;=0,$G1530=""),"EKSİK",IF($E1530&gt;TODAY(),"İLERİ TARİH",IF(COUNTIF($S$7:$S$2503,$S1530)&gt;1,"MÜKERRER?",IF($T1530&gt;0,"KAPALI DÖNEM","UYGUN"))))))</f>
        <v/>
      </c>
      <c r="N1530" s="74" t="str">
        <f>IF($C1530="","",IF($C1530="TANIMSIZ MÜŞTERİ","—",INDEX(MUSTERILER!$C$7:$C$156,MATCH($C1530,MUSTERILER!$B$7:$B$156,0))))</f>
        <v/>
      </c>
      <c r="O1530" s="2"/>
      <c r="P1530" s="2"/>
      <c r="Q1530" s="1" t="str">
        <f>IF($D1530="","",$C1530&amp;"|"&amp;COUNTIFS($C$7:$C1530,$C1530))</f>
        <v/>
      </c>
      <c r="R1530" s="1" t="str">
        <f t="shared" si="46"/>
        <v/>
      </c>
      <c r="S1530" s="1" t="str">
        <f t="shared" si="47"/>
        <v/>
      </c>
      <c r="T1530" s="1">
        <f>IF($E1530="",0,SUMPRODUCT((AY_SONU!$O$7:$O$42="Evet")*(AY_SONU!$B$7:$B$42=DATE(YEAR($E1530),MONTH($E1530),1))))</f>
        <v>0</v>
      </c>
      <c r="U1530" s="1" t="str">
        <f>IF(OR($G1530="",$H1530="Mahsup"),"",$G1530&amp;"|"&amp;COUNTIFS($G$7:$G1530,$G1530,$H$7:$H1530,"&lt;&gt;Mahsup"))</f>
        <v/>
      </c>
    </row>
    <row r="1531" spans="1:21" ht="18" customHeight="1" x14ac:dyDescent="0.3">
      <c r="A1531" s="2"/>
      <c r="B1531" s="65" t="str">
        <f>IF($D1531="","","T"&amp;TEXT(ROW()-6,"00000"))</f>
        <v/>
      </c>
      <c r="C1531" s="65" t="str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61"/>
      <c r="E1531" s="66"/>
      <c r="F1531" s="67"/>
      <c r="G1531" s="60"/>
      <c r="H1531" s="60"/>
      <c r="I1531" s="61"/>
      <c r="J1531" s="61"/>
      <c r="K1531" s="61"/>
      <c r="L1531" s="73" t="str">
        <f>IF($E1531="","",DATE(YEAR($E1531),MONTH($E1531),1))</f>
        <v/>
      </c>
      <c r="M1531" s="65" t="str">
        <f ca="1">IF($D1531="","",IF($C1531="TANIMSIZ MÜŞTERİ","HATA",IF(OR($E1531="",$F1531&lt;=0,$G1531=""),"EKSİK",IF($E1531&gt;TODAY(),"İLERİ TARİH",IF(COUNTIF($S$7:$S$2503,$S1531)&gt;1,"MÜKERRER?",IF($T1531&gt;0,"KAPALI DÖNEM","UYGUN"))))))</f>
        <v/>
      </c>
      <c r="N1531" s="74" t="str">
        <f>IF($C1531="","",IF($C1531="TANIMSIZ MÜŞTERİ","—",INDEX(MUSTERILER!$C$7:$C$156,MATCH($C1531,MUSTERILER!$B$7:$B$156,0))))</f>
        <v/>
      </c>
      <c r="O1531" s="2"/>
      <c r="P1531" s="2"/>
      <c r="Q1531" s="1" t="str">
        <f>IF($D1531="","",$C1531&amp;"|"&amp;COUNTIFS($C$7:$C1531,$C1531))</f>
        <v/>
      </c>
      <c r="R1531" s="1" t="str">
        <f t="shared" si="46"/>
        <v/>
      </c>
      <c r="S1531" s="1" t="str">
        <f t="shared" si="47"/>
        <v/>
      </c>
      <c r="T1531" s="1">
        <f>IF($E1531="",0,SUMPRODUCT((AY_SONU!$O$7:$O$42="Evet")*(AY_SONU!$B$7:$B$42=DATE(YEAR($E1531),MONTH($E1531),1))))</f>
        <v>0</v>
      </c>
      <c r="U1531" s="1" t="str">
        <f>IF(OR($G1531="",$H1531="Mahsup"),"",$G1531&amp;"|"&amp;COUNTIFS($G$7:$G1531,$G1531,$H$7:$H1531,"&lt;&gt;Mahsup"))</f>
        <v/>
      </c>
    </row>
    <row r="1532" spans="1:21" ht="18" customHeight="1" x14ac:dyDescent="0.3">
      <c r="A1532" s="2"/>
      <c r="B1532" s="65" t="str">
        <f>IF($D1532="","","T"&amp;TEXT(ROW()-6,"00000"))</f>
        <v/>
      </c>
      <c r="C1532" s="65" t="str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61"/>
      <c r="E1532" s="66"/>
      <c r="F1532" s="67"/>
      <c r="G1532" s="60"/>
      <c r="H1532" s="60"/>
      <c r="I1532" s="61"/>
      <c r="J1532" s="61"/>
      <c r="K1532" s="61"/>
      <c r="L1532" s="73" t="str">
        <f>IF($E1532="","",DATE(YEAR($E1532),MONTH($E1532),1))</f>
        <v/>
      </c>
      <c r="M1532" s="65" t="str">
        <f ca="1">IF($D1532="","",IF($C1532="TANIMSIZ MÜŞTERİ","HATA",IF(OR($E1532="",$F1532&lt;=0,$G1532=""),"EKSİK",IF($E1532&gt;TODAY(),"İLERİ TARİH",IF(COUNTIF($S$7:$S$2503,$S1532)&gt;1,"MÜKERRER?",IF($T1532&gt;0,"KAPALI DÖNEM","UYGUN"))))))</f>
        <v/>
      </c>
      <c r="N1532" s="74" t="str">
        <f>IF($C1532="","",IF($C1532="TANIMSIZ MÜŞTERİ","—",INDEX(MUSTERILER!$C$7:$C$156,MATCH($C1532,MUSTERILER!$B$7:$B$156,0))))</f>
        <v/>
      </c>
      <c r="O1532" s="2"/>
      <c r="P1532" s="2"/>
      <c r="Q1532" s="1" t="str">
        <f>IF($D1532="","",$C1532&amp;"|"&amp;COUNTIFS($C$7:$C1532,$C1532))</f>
        <v/>
      </c>
      <c r="R1532" s="1" t="str">
        <f t="shared" si="46"/>
        <v/>
      </c>
      <c r="S1532" s="1" t="str">
        <f t="shared" si="47"/>
        <v/>
      </c>
      <c r="T1532" s="1">
        <f>IF($E1532="",0,SUMPRODUCT((AY_SONU!$O$7:$O$42="Evet")*(AY_SONU!$B$7:$B$42=DATE(YEAR($E1532),MONTH($E1532),1))))</f>
        <v>0</v>
      </c>
      <c r="U1532" s="1" t="str">
        <f>IF(OR($G1532="",$H1532="Mahsup"),"",$G1532&amp;"|"&amp;COUNTIFS($G$7:$G1532,$G1532,$H$7:$H1532,"&lt;&gt;Mahsup"))</f>
        <v/>
      </c>
    </row>
    <row r="1533" spans="1:21" ht="18" customHeight="1" x14ac:dyDescent="0.3">
      <c r="A1533" s="2"/>
      <c r="B1533" s="65" t="str">
        <f>IF($D1533="","","T"&amp;TEXT(ROW()-6,"00000"))</f>
        <v/>
      </c>
      <c r="C1533" s="65" t="str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61"/>
      <c r="E1533" s="66"/>
      <c r="F1533" s="67"/>
      <c r="G1533" s="60"/>
      <c r="H1533" s="60"/>
      <c r="I1533" s="61"/>
      <c r="J1533" s="61"/>
      <c r="K1533" s="61"/>
      <c r="L1533" s="73" t="str">
        <f>IF($E1533="","",DATE(YEAR($E1533),MONTH($E1533),1))</f>
        <v/>
      </c>
      <c r="M1533" s="65" t="str">
        <f ca="1">IF($D1533="","",IF($C1533="TANIMSIZ MÜŞTERİ","HATA",IF(OR($E1533="",$F1533&lt;=0,$G1533=""),"EKSİK",IF($E1533&gt;TODAY(),"İLERİ TARİH",IF(COUNTIF($S$7:$S$2503,$S1533)&gt;1,"MÜKERRER?",IF($T1533&gt;0,"KAPALI DÖNEM","UYGUN"))))))</f>
        <v/>
      </c>
      <c r="N1533" s="74" t="str">
        <f>IF($C1533="","",IF($C1533="TANIMSIZ MÜŞTERİ","—",INDEX(MUSTERILER!$C$7:$C$156,MATCH($C1533,MUSTERILER!$B$7:$B$156,0))))</f>
        <v/>
      </c>
      <c r="O1533" s="2"/>
      <c r="P1533" s="2"/>
      <c r="Q1533" s="1" t="str">
        <f>IF($D1533="","",$C1533&amp;"|"&amp;COUNTIFS($C$7:$C1533,$C1533))</f>
        <v/>
      </c>
      <c r="R1533" s="1" t="str">
        <f t="shared" si="46"/>
        <v/>
      </c>
      <c r="S1533" s="1" t="str">
        <f t="shared" si="47"/>
        <v/>
      </c>
      <c r="T1533" s="1">
        <f>IF($E1533="",0,SUMPRODUCT((AY_SONU!$O$7:$O$42="Evet")*(AY_SONU!$B$7:$B$42=DATE(YEAR($E1533),MONTH($E1533),1))))</f>
        <v>0</v>
      </c>
      <c r="U1533" s="1" t="str">
        <f>IF(OR($G1533="",$H1533="Mahsup"),"",$G1533&amp;"|"&amp;COUNTIFS($G$7:$G1533,$G1533,$H$7:$H1533,"&lt;&gt;Mahsup"))</f>
        <v/>
      </c>
    </row>
    <row r="1534" spans="1:21" ht="18" customHeight="1" x14ac:dyDescent="0.3">
      <c r="A1534" s="2"/>
      <c r="B1534" s="65" t="str">
        <f>IF($D1534="","","T"&amp;TEXT(ROW()-6,"00000"))</f>
        <v/>
      </c>
      <c r="C1534" s="65" t="str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61"/>
      <c r="E1534" s="66"/>
      <c r="F1534" s="67"/>
      <c r="G1534" s="60"/>
      <c r="H1534" s="60"/>
      <c r="I1534" s="61"/>
      <c r="J1534" s="61"/>
      <c r="K1534" s="61"/>
      <c r="L1534" s="73" t="str">
        <f>IF($E1534="","",DATE(YEAR($E1534),MONTH($E1534),1))</f>
        <v/>
      </c>
      <c r="M1534" s="65" t="str">
        <f ca="1">IF($D1534="","",IF($C1534="TANIMSIZ MÜŞTERİ","HATA",IF(OR($E1534="",$F1534&lt;=0,$G1534=""),"EKSİK",IF($E1534&gt;TODAY(),"İLERİ TARİH",IF(COUNTIF($S$7:$S$2503,$S1534)&gt;1,"MÜKERRER?",IF($T1534&gt;0,"KAPALI DÖNEM","UYGUN"))))))</f>
        <v/>
      </c>
      <c r="N1534" s="74" t="str">
        <f>IF($C1534="","",IF($C1534="TANIMSIZ MÜŞTERİ","—",INDEX(MUSTERILER!$C$7:$C$156,MATCH($C1534,MUSTERILER!$B$7:$B$156,0))))</f>
        <v/>
      </c>
      <c r="O1534" s="2"/>
      <c r="P1534" s="2"/>
      <c r="Q1534" s="1" t="str">
        <f>IF($D1534="","",$C1534&amp;"|"&amp;COUNTIFS($C$7:$C1534,$C1534))</f>
        <v/>
      </c>
      <c r="R1534" s="1" t="str">
        <f t="shared" si="46"/>
        <v/>
      </c>
      <c r="S1534" s="1" t="str">
        <f t="shared" si="47"/>
        <v/>
      </c>
      <c r="T1534" s="1">
        <f>IF($E1534="",0,SUMPRODUCT((AY_SONU!$O$7:$O$42="Evet")*(AY_SONU!$B$7:$B$42=DATE(YEAR($E1534),MONTH($E1534),1))))</f>
        <v>0</v>
      </c>
      <c r="U1534" s="1" t="str">
        <f>IF(OR($G1534="",$H1534="Mahsup"),"",$G1534&amp;"|"&amp;COUNTIFS($G$7:$G1534,$G1534,$H$7:$H1534,"&lt;&gt;Mahsup"))</f>
        <v/>
      </c>
    </row>
    <row r="1535" spans="1:21" ht="18" customHeight="1" x14ac:dyDescent="0.3">
      <c r="A1535" s="2"/>
      <c r="B1535" s="65" t="str">
        <f>IF($D1535="","","T"&amp;TEXT(ROW()-6,"00000"))</f>
        <v/>
      </c>
      <c r="C1535" s="65" t="str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61"/>
      <c r="E1535" s="66"/>
      <c r="F1535" s="67"/>
      <c r="G1535" s="60"/>
      <c r="H1535" s="60"/>
      <c r="I1535" s="61"/>
      <c r="J1535" s="61"/>
      <c r="K1535" s="61"/>
      <c r="L1535" s="73" t="str">
        <f>IF($E1535="","",DATE(YEAR($E1535),MONTH($E1535),1))</f>
        <v/>
      </c>
      <c r="M1535" s="65" t="str">
        <f ca="1">IF($D1535="","",IF($C1535="TANIMSIZ MÜŞTERİ","HATA",IF(OR($E1535="",$F1535&lt;=0,$G1535=""),"EKSİK",IF($E1535&gt;TODAY(),"İLERİ TARİH",IF(COUNTIF($S$7:$S$2503,$S1535)&gt;1,"MÜKERRER?",IF($T1535&gt;0,"KAPALI DÖNEM","UYGUN"))))))</f>
        <v/>
      </c>
      <c r="N1535" s="74" t="str">
        <f>IF($C1535="","",IF($C1535="TANIMSIZ MÜŞTERİ","—",INDEX(MUSTERILER!$C$7:$C$156,MATCH($C1535,MUSTERILER!$B$7:$B$156,0))))</f>
        <v/>
      </c>
      <c r="O1535" s="2"/>
      <c r="P1535" s="2"/>
      <c r="Q1535" s="1" t="str">
        <f>IF($D1535="","",$C1535&amp;"|"&amp;COUNTIFS($C$7:$C1535,$C1535))</f>
        <v/>
      </c>
      <c r="R1535" s="1" t="str">
        <f t="shared" si="46"/>
        <v/>
      </c>
      <c r="S1535" s="1" t="str">
        <f t="shared" si="47"/>
        <v/>
      </c>
      <c r="T1535" s="1">
        <f>IF($E1535="",0,SUMPRODUCT((AY_SONU!$O$7:$O$42="Evet")*(AY_SONU!$B$7:$B$42=DATE(YEAR($E1535),MONTH($E1535),1))))</f>
        <v>0</v>
      </c>
      <c r="U1535" s="1" t="str">
        <f>IF(OR($G1535="",$H1535="Mahsup"),"",$G1535&amp;"|"&amp;COUNTIFS($G$7:$G1535,$G1535,$H$7:$H1535,"&lt;&gt;Mahsup"))</f>
        <v/>
      </c>
    </row>
    <row r="1536" spans="1:21" ht="18" customHeight="1" x14ac:dyDescent="0.3">
      <c r="A1536" s="2"/>
      <c r="B1536" s="65" t="str">
        <f>IF($D1536="","","T"&amp;TEXT(ROW()-6,"00000"))</f>
        <v/>
      </c>
      <c r="C1536" s="65" t="str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61"/>
      <c r="E1536" s="66"/>
      <c r="F1536" s="67"/>
      <c r="G1536" s="60"/>
      <c r="H1536" s="60"/>
      <c r="I1536" s="61"/>
      <c r="J1536" s="61"/>
      <c r="K1536" s="61"/>
      <c r="L1536" s="73" t="str">
        <f>IF($E1536="","",DATE(YEAR($E1536),MONTH($E1536),1))</f>
        <v/>
      </c>
      <c r="M1536" s="65" t="str">
        <f ca="1">IF($D1536="","",IF($C1536="TANIMSIZ MÜŞTERİ","HATA",IF(OR($E1536="",$F1536&lt;=0,$G1536=""),"EKSİK",IF($E1536&gt;TODAY(),"İLERİ TARİH",IF(COUNTIF($S$7:$S$2503,$S1536)&gt;1,"MÜKERRER?",IF($T1536&gt;0,"KAPALI DÖNEM","UYGUN"))))))</f>
        <v/>
      </c>
      <c r="N1536" s="74" t="str">
        <f>IF($C1536="","",IF($C1536="TANIMSIZ MÜŞTERİ","—",INDEX(MUSTERILER!$C$7:$C$156,MATCH($C1536,MUSTERILER!$B$7:$B$156,0))))</f>
        <v/>
      </c>
      <c r="O1536" s="2"/>
      <c r="P1536" s="2"/>
      <c r="Q1536" s="1" t="str">
        <f>IF($D1536="","",$C1536&amp;"|"&amp;COUNTIFS($C$7:$C1536,$C1536))</f>
        <v/>
      </c>
      <c r="R1536" s="1" t="str">
        <f t="shared" si="46"/>
        <v/>
      </c>
      <c r="S1536" s="1" t="str">
        <f t="shared" si="47"/>
        <v/>
      </c>
      <c r="T1536" s="1">
        <f>IF($E1536="",0,SUMPRODUCT((AY_SONU!$O$7:$O$42="Evet")*(AY_SONU!$B$7:$B$42=DATE(YEAR($E1536),MONTH($E1536),1))))</f>
        <v>0</v>
      </c>
      <c r="U1536" s="1" t="str">
        <f>IF(OR($G1536="",$H1536="Mahsup"),"",$G1536&amp;"|"&amp;COUNTIFS($G$7:$G1536,$G1536,$H$7:$H1536,"&lt;&gt;Mahsup"))</f>
        <v/>
      </c>
    </row>
    <row r="1537" spans="1:21" ht="18" customHeight="1" x14ac:dyDescent="0.3">
      <c r="A1537" s="2"/>
      <c r="B1537" s="65" t="str">
        <f>IF($D1537="","","T"&amp;TEXT(ROW()-6,"00000"))</f>
        <v/>
      </c>
      <c r="C1537" s="65" t="str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61"/>
      <c r="E1537" s="66"/>
      <c r="F1537" s="67"/>
      <c r="G1537" s="60"/>
      <c r="H1537" s="60"/>
      <c r="I1537" s="61"/>
      <c r="J1537" s="61"/>
      <c r="K1537" s="61"/>
      <c r="L1537" s="73" t="str">
        <f>IF($E1537="","",DATE(YEAR($E1537),MONTH($E1537),1))</f>
        <v/>
      </c>
      <c r="M1537" s="65" t="str">
        <f ca="1">IF($D1537="","",IF($C1537="TANIMSIZ MÜŞTERİ","HATA",IF(OR($E1537="",$F1537&lt;=0,$G1537=""),"EKSİK",IF($E1537&gt;TODAY(),"İLERİ TARİH",IF(COUNTIF($S$7:$S$2503,$S1537)&gt;1,"MÜKERRER?",IF($T1537&gt;0,"KAPALI DÖNEM","UYGUN"))))))</f>
        <v/>
      </c>
      <c r="N1537" s="74" t="str">
        <f>IF($C1537="","",IF($C1537="TANIMSIZ MÜŞTERİ","—",INDEX(MUSTERILER!$C$7:$C$156,MATCH($C1537,MUSTERILER!$B$7:$B$156,0))))</f>
        <v/>
      </c>
      <c r="O1537" s="2"/>
      <c r="P1537" s="2"/>
      <c r="Q1537" s="1" t="str">
        <f>IF($D1537="","",$C1537&amp;"|"&amp;COUNTIFS($C$7:$C1537,$C1537))</f>
        <v/>
      </c>
      <c r="R1537" s="1" t="str">
        <f t="shared" si="46"/>
        <v/>
      </c>
      <c r="S1537" s="1" t="str">
        <f t="shared" si="47"/>
        <v/>
      </c>
      <c r="T1537" s="1">
        <f>IF($E1537="",0,SUMPRODUCT((AY_SONU!$O$7:$O$42="Evet")*(AY_SONU!$B$7:$B$42=DATE(YEAR($E1537),MONTH($E1537),1))))</f>
        <v>0</v>
      </c>
      <c r="U1537" s="1" t="str">
        <f>IF(OR($G1537="",$H1537="Mahsup"),"",$G1537&amp;"|"&amp;COUNTIFS($G$7:$G1537,$G1537,$H$7:$H1537,"&lt;&gt;Mahsup"))</f>
        <v/>
      </c>
    </row>
    <row r="1538" spans="1:21" ht="18" customHeight="1" x14ac:dyDescent="0.3">
      <c r="A1538" s="2"/>
      <c r="B1538" s="65" t="str">
        <f>IF($D1538="","","T"&amp;TEXT(ROW()-6,"00000"))</f>
        <v/>
      </c>
      <c r="C1538" s="65" t="str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61"/>
      <c r="E1538" s="66"/>
      <c r="F1538" s="67"/>
      <c r="G1538" s="60"/>
      <c r="H1538" s="60"/>
      <c r="I1538" s="61"/>
      <c r="J1538" s="61"/>
      <c r="K1538" s="61"/>
      <c r="L1538" s="73" t="str">
        <f>IF($E1538="","",DATE(YEAR($E1538),MONTH($E1538),1))</f>
        <v/>
      </c>
      <c r="M1538" s="65" t="str">
        <f ca="1">IF($D1538="","",IF($C1538="TANIMSIZ MÜŞTERİ","HATA",IF(OR($E1538="",$F1538&lt;=0,$G1538=""),"EKSİK",IF($E1538&gt;TODAY(),"İLERİ TARİH",IF(COUNTIF($S$7:$S$2503,$S1538)&gt;1,"MÜKERRER?",IF($T1538&gt;0,"KAPALI DÖNEM","UYGUN"))))))</f>
        <v/>
      </c>
      <c r="N1538" s="74" t="str">
        <f>IF($C1538="","",IF($C1538="TANIMSIZ MÜŞTERİ","—",INDEX(MUSTERILER!$C$7:$C$156,MATCH($C1538,MUSTERILER!$B$7:$B$156,0))))</f>
        <v/>
      </c>
      <c r="O1538" s="2"/>
      <c r="P1538" s="2"/>
      <c r="Q1538" s="1" t="str">
        <f>IF($D1538="","",$C1538&amp;"|"&amp;COUNTIFS($C$7:$C1538,$C1538))</f>
        <v/>
      </c>
      <c r="R1538" s="1" t="str">
        <f t="shared" si="46"/>
        <v/>
      </c>
      <c r="S1538" s="1" t="str">
        <f t="shared" si="47"/>
        <v/>
      </c>
      <c r="T1538" s="1">
        <f>IF($E1538="",0,SUMPRODUCT((AY_SONU!$O$7:$O$42="Evet")*(AY_SONU!$B$7:$B$42=DATE(YEAR($E1538),MONTH($E1538),1))))</f>
        <v>0</v>
      </c>
      <c r="U1538" s="1" t="str">
        <f>IF(OR($G1538="",$H1538="Mahsup"),"",$G1538&amp;"|"&amp;COUNTIFS($G$7:$G1538,$G1538,$H$7:$H1538,"&lt;&gt;Mahsup"))</f>
        <v/>
      </c>
    </row>
    <row r="1539" spans="1:21" ht="18" customHeight="1" x14ac:dyDescent="0.3">
      <c r="A1539" s="2"/>
      <c r="B1539" s="65" t="str">
        <f>IF($D1539="","","T"&amp;TEXT(ROW()-6,"00000"))</f>
        <v/>
      </c>
      <c r="C1539" s="65" t="str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61"/>
      <c r="E1539" s="66"/>
      <c r="F1539" s="67"/>
      <c r="G1539" s="60"/>
      <c r="H1539" s="60"/>
      <c r="I1539" s="61"/>
      <c r="J1539" s="61"/>
      <c r="K1539" s="61"/>
      <c r="L1539" s="73" t="str">
        <f>IF($E1539="","",DATE(YEAR($E1539),MONTH($E1539),1))</f>
        <v/>
      </c>
      <c r="M1539" s="65" t="str">
        <f ca="1">IF($D1539="","",IF($C1539="TANIMSIZ MÜŞTERİ","HATA",IF(OR($E1539="",$F1539&lt;=0,$G1539=""),"EKSİK",IF($E1539&gt;TODAY(),"İLERİ TARİH",IF(COUNTIF($S$7:$S$2503,$S1539)&gt;1,"MÜKERRER?",IF($T1539&gt;0,"KAPALI DÖNEM","UYGUN"))))))</f>
        <v/>
      </c>
      <c r="N1539" s="74" t="str">
        <f>IF($C1539="","",IF($C1539="TANIMSIZ MÜŞTERİ","—",INDEX(MUSTERILER!$C$7:$C$156,MATCH($C1539,MUSTERILER!$B$7:$B$156,0))))</f>
        <v/>
      </c>
      <c r="O1539" s="2"/>
      <c r="P1539" s="2"/>
      <c r="Q1539" s="1" t="str">
        <f>IF($D1539="","",$C1539&amp;"|"&amp;COUNTIFS($C$7:$C1539,$C1539))</f>
        <v/>
      </c>
      <c r="R1539" s="1" t="str">
        <f t="shared" si="46"/>
        <v/>
      </c>
      <c r="S1539" s="1" t="str">
        <f t="shared" si="47"/>
        <v/>
      </c>
      <c r="T1539" s="1">
        <f>IF($E1539="",0,SUMPRODUCT((AY_SONU!$O$7:$O$42="Evet")*(AY_SONU!$B$7:$B$42=DATE(YEAR($E1539),MONTH($E1539),1))))</f>
        <v>0</v>
      </c>
      <c r="U1539" s="1" t="str">
        <f>IF(OR($G1539="",$H1539="Mahsup"),"",$G1539&amp;"|"&amp;COUNTIFS($G$7:$G1539,$G1539,$H$7:$H1539,"&lt;&gt;Mahsup"))</f>
        <v/>
      </c>
    </row>
    <row r="1540" spans="1:21" ht="18" customHeight="1" x14ac:dyDescent="0.3">
      <c r="A1540" s="2"/>
      <c r="B1540" s="65" t="str">
        <f>IF($D1540="","","T"&amp;TEXT(ROW()-6,"00000"))</f>
        <v/>
      </c>
      <c r="C1540" s="65" t="str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61"/>
      <c r="E1540" s="66"/>
      <c r="F1540" s="67"/>
      <c r="G1540" s="60"/>
      <c r="H1540" s="60"/>
      <c r="I1540" s="61"/>
      <c r="J1540" s="61"/>
      <c r="K1540" s="61"/>
      <c r="L1540" s="73" t="str">
        <f>IF($E1540="","",DATE(YEAR($E1540),MONTH($E1540),1))</f>
        <v/>
      </c>
      <c r="M1540" s="65" t="str">
        <f ca="1">IF($D1540="","",IF($C1540="TANIMSIZ MÜŞTERİ","HATA",IF(OR($E1540="",$F1540&lt;=0,$G1540=""),"EKSİK",IF($E1540&gt;TODAY(),"İLERİ TARİH",IF(COUNTIF($S$7:$S$2503,$S1540)&gt;1,"MÜKERRER?",IF($T1540&gt;0,"KAPALI DÖNEM","UYGUN"))))))</f>
        <v/>
      </c>
      <c r="N1540" s="74" t="str">
        <f>IF($C1540="","",IF($C1540="TANIMSIZ MÜŞTERİ","—",INDEX(MUSTERILER!$C$7:$C$156,MATCH($C1540,MUSTERILER!$B$7:$B$156,0))))</f>
        <v/>
      </c>
      <c r="O1540" s="2"/>
      <c r="P1540" s="2"/>
      <c r="Q1540" s="1" t="str">
        <f>IF($D1540="","",$C1540&amp;"|"&amp;COUNTIFS($C$7:$C1540,$C1540))</f>
        <v/>
      </c>
      <c r="R1540" s="1" t="str">
        <f t="shared" si="46"/>
        <v/>
      </c>
      <c r="S1540" s="1" t="str">
        <f t="shared" si="47"/>
        <v/>
      </c>
      <c r="T1540" s="1">
        <f>IF($E1540="",0,SUMPRODUCT((AY_SONU!$O$7:$O$42="Evet")*(AY_SONU!$B$7:$B$42=DATE(YEAR($E1540),MONTH($E1540),1))))</f>
        <v>0</v>
      </c>
      <c r="U1540" s="1" t="str">
        <f>IF(OR($G1540="",$H1540="Mahsup"),"",$G1540&amp;"|"&amp;COUNTIFS($G$7:$G1540,$G1540,$H$7:$H1540,"&lt;&gt;Mahsup"))</f>
        <v/>
      </c>
    </row>
    <row r="1541" spans="1:21" ht="18" customHeight="1" x14ac:dyDescent="0.3">
      <c r="A1541" s="2"/>
      <c r="B1541" s="65" t="str">
        <f>IF($D1541="","","T"&amp;TEXT(ROW()-6,"00000"))</f>
        <v/>
      </c>
      <c r="C1541" s="65" t="str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61"/>
      <c r="E1541" s="66"/>
      <c r="F1541" s="67"/>
      <c r="G1541" s="60"/>
      <c r="H1541" s="60"/>
      <c r="I1541" s="61"/>
      <c r="J1541" s="61"/>
      <c r="K1541" s="61"/>
      <c r="L1541" s="73" t="str">
        <f>IF($E1541="","",DATE(YEAR($E1541),MONTH($E1541),1))</f>
        <v/>
      </c>
      <c r="M1541" s="65" t="str">
        <f ca="1">IF($D1541="","",IF($C1541="TANIMSIZ MÜŞTERİ","HATA",IF(OR($E1541="",$F1541&lt;=0,$G1541=""),"EKSİK",IF($E1541&gt;TODAY(),"İLERİ TARİH",IF(COUNTIF($S$7:$S$2503,$S1541)&gt;1,"MÜKERRER?",IF($T1541&gt;0,"KAPALI DÖNEM","UYGUN"))))))</f>
        <v/>
      </c>
      <c r="N1541" s="74" t="str">
        <f>IF($C1541="","",IF($C1541="TANIMSIZ MÜŞTERİ","—",INDEX(MUSTERILER!$C$7:$C$156,MATCH($C1541,MUSTERILER!$B$7:$B$156,0))))</f>
        <v/>
      </c>
      <c r="O1541" s="2"/>
      <c r="P1541" s="2"/>
      <c r="Q1541" s="1" t="str">
        <f>IF($D1541="","",$C1541&amp;"|"&amp;COUNTIFS($C$7:$C1541,$C1541))</f>
        <v/>
      </c>
      <c r="R1541" s="1" t="str">
        <f t="shared" si="46"/>
        <v/>
      </c>
      <c r="S1541" s="1" t="str">
        <f t="shared" si="47"/>
        <v/>
      </c>
      <c r="T1541" s="1">
        <f>IF($E1541="",0,SUMPRODUCT((AY_SONU!$O$7:$O$42="Evet")*(AY_SONU!$B$7:$B$42=DATE(YEAR($E1541),MONTH($E1541),1))))</f>
        <v>0</v>
      </c>
      <c r="U1541" s="1" t="str">
        <f>IF(OR($G1541="",$H1541="Mahsup"),"",$G1541&amp;"|"&amp;COUNTIFS($G$7:$G1541,$G1541,$H$7:$H1541,"&lt;&gt;Mahsup"))</f>
        <v/>
      </c>
    </row>
    <row r="1542" spans="1:21" ht="18" customHeight="1" x14ac:dyDescent="0.3">
      <c r="A1542" s="2"/>
      <c r="B1542" s="65" t="str">
        <f>IF($D1542="","","T"&amp;TEXT(ROW()-6,"00000"))</f>
        <v/>
      </c>
      <c r="C1542" s="65" t="str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61"/>
      <c r="E1542" s="66"/>
      <c r="F1542" s="67"/>
      <c r="G1542" s="60"/>
      <c r="H1542" s="60"/>
      <c r="I1542" s="61"/>
      <c r="J1542" s="61"/>
      <c r="K1542" s="61"/>
      <c r="L1542" s="73" t="str">
        <f>IF($E1542="","",DATE(YEAR($E1542),MONTH($E1542),1))</f>
        <v/>
      </c>
      <c r="M1542" s="65" t="str">
        <f ca="1">IF($D1542="","",IF($C1542="TANIMSIZ MÜŞTERİ","HATA",IF(OR($E1542="",$F1542&lt;=0,$G1542=""),"EKSİK",IF($E1542&gt;TODAY(),"İLERİ TARİH",IF(COUNTIF($S$7:$S$2503,$S1542)&gt;1,"MÜKERRER?",IF($T1542&gt;0,"KAPALI DÖNEM","UYGUN"))))))</f>
        <v/>
      </c>
      <c r="N1542" s="74" t="str">
        <f>IF($C1542="","",IF($C1542="TANIMSIZ MÜŞTERİ","—",INDEX(MUSTERILER!$C$7:$C$156,MATCH($C1542,MUSTERILER!$B$7:$B$156,0))))</f>
        <v/>
      </c>
      <c r="O1542" s="2"/>
      <c r="P1542" s="2"/>
      <c r="Q1542" s="1" t="str">
        <f>IF($D1542="","",$C1542&amp;"|"&amp;COUNTIFS($C$7:$C1542,$C1542))</f>
        <v/>
      </c>
      <c r="R1542" s="1" t="str">
        <f t="shared" si="46"/>
        <v/>
      </c>
      <c r="S1542" s="1" t="str">
        <f t="shared" si="47"/>
        <v/>
      </c>
      <c r="T1542" s="1">
        <f>IF($E1542="",0,SUMPRODUCT((AY_SONU!$O$7:$O$42="Evet")*(AY_SONU!$B$7:$B$42=DATE(YEAR($E1542),MONTH($E1542),1))))</f>
        <v>0</v>
      </c>
      <c r="U1542" s="1" t="str">
        <f>IF(OR($G1542="",$H1542="Mahsup"),"",$G1542&amp;"|"&amp;COUNTIFS($G$7:$G1542,$G1542,$H$7:$H1542,"&lt;&gt;Mahsup"))</f>
        <v/>
      </c>
    </row>
    <row r="1543" spans="1:21" ht="18" customHeight="1" x14ac:dyDescent="0.3">
      <c r="A1543" s="2"/>
      <c r="B1543" s="65" t="str">
        <f>IF($D1543="","","T"&amp;TEXT(ROW()-6,"00000"))</f>
        <v/>
      </c>
      <c r="C1543" s="65" t="str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61"/>
      <c r="E1543" s="66"/>
      <c r="F1543" s="67"/>
      <c r="G1543" s="60"/>
      <c r="H1543" s="60"/>
      <c r="I1543" s="61"/>
      <c r="J1543" s="61"/>
      <c r="K1543" s="61"/>
      <c r="L1543" s="73" t="str">
        <f>IF($E1543="","",DATE(YEAR($E1543),MONTH($E1543),1))</f>
        <v/>
      </c>
      <c r="M1543" s="65" t="str">
        <f ca="1">IF($D1543="","",IF($C1543="TANIMSIZ MÜŞTERİ","HATA",IF(OR($E1543="",$F1543&lt;=0,$G1543=""),"EKSİK",IF($E1543&gt;TODAY(),"İLERİ TARİH",IF(COUNTIF($S$7:$S$2503,$S1543)&gt;1,"MÜKERRER?",IF($T1543&gt;0,"KAPALI DÖNEM","UYGUN"))))))</f>
        <v/>
      </c>
      <c r="N1543" s="74" t="str">
        <f>IF($C1543="","",IF($C1543="TANIMSIZ MÜŞTERİ","—",INDEX(MUSTERILER!$C$7:$C$156,MATCH($C1543,MUSTERILER!$B$7:$B$156,0))))</f>
        <v/>
      </c>
      <c r="O1543" s="2"/>
      <c r="P1543" s="2"/>
      <c r="Q1543" s="1" t="str">
        <f>IF($D1543="","",$C1543&amp;"|"&amp;COUNTIFS($C$7:$C1543,$C1543))</f>
        <v/>
      </c>
      <c r="R1543" s="1" t="str">
        <f t="shared" ref="R1543:R1606" si="48"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" t="str">
        <f t="shared" ref="S1543:S1606" si="49">IF($D1543="","",$C1543&amp;"|"&amp;TEXT($E1543,"0")&amp;"|"&amp;TEXT($F1543,"0")&amp;"|"&amp;$I1543)</f>
        <v/>
      </c>
      <c r="T1543" s="1">
        <f>IF($E1543="",0,SUMPRODUCT((AY_SONU!$O$7:$O$42="Evet")*(AY_SONU!$B$7:$B$42=DATE(YEAR($E1543),MONTH($E1543),1))))</f>
        <v>0</v>
      </c>
      <c r="U1543" s="1" t="str">
        <f>IF(OR($G1543="",$H1543="Mahsup"),"",$G1543&amp;"|"&amp;COUNTIFS($G$7:$G1543,$G1543,$H$7:$H1543,"&lt;&gt;Mahsup"))</f>
        <v/>
      </c>
    </row>
    <row r="1544" spans="1:21" ht="18" customHeight="1" x14ac:dyDescent="0.3">
      <c r="A1544" s="2"/>
      <c r="B1544" s="65" t="str">
        <f>IF($D1544="","","T"&amp;TEXT(ROW()-6,"00000"))</f>
        <v/>
      </c>
      <c r="C1544" s="65" t="str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61"/>
      <c r="E1544" s="66"/>
      <c r="F1544" s="67"/>
      <c r="G1544" s="60"/>
      <c r="H1544" s="60"/>
      <c r="I1544" s="61"/>
      <c r="J1544" s="61"/>
      <c r="K1544" s="61"/>
      <c r="L1544" s="73" t="str">
        <f>IF($E1544="","",DATE(YEAR($E1544),MONTH($E1544),1))</f>
        <v/>
      </c>
      <c r="M1544" s="65" t="str">
        <f ca="1">IF($D1544="","",IF($C1544="TANIMSIZ MÜŞTERİ","HATA",IF(OR($E1544="",$F1544&lt;=0,$G1544=""),"EKSİK",IF($E1544&gt;TODAY(),"İLERİ TARİH",IF(COUNTIF($S$7:$S$2503,$S1544)&gt;1,"MÜKERRER?",IF($T1544&gt;0,"KAPALI DÖNEM","UYGUN"))))))</f>
        <v/>
      </c>
      <c r="N1544" s="74" t="str">
        <f>IF($C1544="","",IF($C1544="TANIMSIZ MÜŞTERİ","—",INDEX(MUSTERILER!$C$7:$C$156,MATCH($C1544,MUSTERILER!$B$7:$B$156,0))))</f>
        <v/>
      </c>
      <c r="O1544" s="2"/>
      <c r="P1544" s="2"/>
      <c r="Q1544" s="1" t="str">
        <f>IF($D1544="","",$C1544&amp;"|"&amp;COUNTIFS($C$7:$C1544,$C1544))</f>
        <v/>
      </c>
      <c r="R1544" s="1" t="str">
        <f t="shared" si="48"/>
        <v/>
      </c>
      <c r="S1544" s="1" t="str">
        <f t="shared" si="49"/>
        <v/>
      </c>
      <c r="T1544" s="1">
        <f>IF($E1544="",0,SUMPRODUCT((AY_SONU!$O$7:$O$42="Evet")*(AY_SONU!$B$7:$B$42=DATE(YEAR($E1544),MONTH($E1544),1))))</f>
        <v>0</v>
      </c>
      <c r="U1544" s="1" t="str">
        <f>IF(OR($G1544="",$H1544="Mahsup"),"",$G1544&amp;"|"&amp;COUNTIFS($G$7:$G1544,$G1544,$H$7:$H1544,"&lt;&gt;Mahsup"))</f>
        <v/>
      </c>
    </row>
    <row r="1545" spans="1:21" ht="18" customHeight="1" x14ac:dyDescent="0.3">
      <c r="A1545" s="2"/>
      <c r="B1545" s="65" t="str">
        <f>IF($D1545="","","T"&amp;TEXT(ROW()-6,"00000"))</f>
        <v/>
      </c>
      <c r="C1545" s="65" t="str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61"/>
      <c r="E1545" s="66"/>
      <c r="F1545" s="67"/>
      <c r="G1545" s="60"/>
      <c r="H1545" s="60"/>
      <c r="I1545" s="61"/>
      <c r="J1545" s="61"/>
      <c r="K1545" s="61"/>
      <c r="L1545" s="73" t="str">
        <f>IF($E1545="","",DATE(YEAR($E1545),MONTH($E1545),1))</f>
        <v/>
      </c>
      <c r="M1545" s="65" t="str">
        <f ca="1">IF($D1545="","",IF($C1545="TANIMSIZ MÜŞTERİ","HATA",IF(OR($E1545="",$F1545&lt;=0,$G1545=""),"EKSİK",IF($E1545&gt;TODAY(),"İLERİ TARİH",IF(COUNTIF($S$7:$S$2503,$S1545)&gt;1,"MÜKERRER?",IF($T1545&gt;0,"KAPALI DÖNEM","UYGUN"))))))</f>
        <v/>
      </c>
      <c r="N1545" s="74" t="str">
        <f>IF($C1545="","",IF($C1545="TANIMSIZ MÜŞTERİ","—",INDEX(MUSTERILER!$C$7:$C$156,MATCH($C1545,MUSTERILER!$B$7:$B$156,0))))</f>
        <v/>
      </c>
      <c r="O1545" s="2"/>
      <c r="P1545" s="2"/>
      <c r="Q1545" s="1" t="str">
        <f>IF($D1545="","",$C1545&amp;"|"&amp;COUNTIFS($C$7:$C1545,$C1545))</f>
        <v/>
      </c>
      <c r="R1545" s="1" t="str">
        <f t="shared" si="48"/>
        <v/>
      </c>
      <c r="S1545" s="1" t="str">
        <f t="shared" si="49"/>
        <v/>
      </c>
      <c r="T1545" s="1">
        <f>IF($E1545="",0,SUMPRODUCT((AY_SONU!$O$7:$O$42="Evet")*(AY_SONU!$B$7:$B$42=DATE(YEAR($E1545),MONTH($E1545),1))))</f>
        <v>0</v>
      </c>
      <c r="U1545" s="1" t="str">
        <f>IF(OR($G1545="",$H1545="Mahsup"),"",$G1545&amp;"|"&amp;COUNTIFS($G$7:$G1545,$G1545,$H$7:$H1545,"&lt;&gt;Mahsup"))</f>
        <v/>
      </c>
    </row>
    <row r="1546" spans="1:21" ht="18" customHeight="1" x14ac:dyDescent="0.3">
      <c r="A1546" s="2"/>
      <c r="B1546" s="65" t="str">
        <f>IF($D1546="","","T"&amp;TEXT(ROW()-6,"00000"))</f>
        <v/>
      </c>
      <c r="C1546" s="65" t="str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61"/>
      <c r="E1546" s="66"/>
      <c r="F1546" s="67"/>
      <c r="G1546" s="60"/>
      <c r="H1546" s="60"/>
      <c r="I1546" s="61"/>
      <c r="J1546" s="61"/>
      <c r="K1546" s="61"/>
      <c r="L1546" s="73" t="str">
        <f>IF($E1546="","",DATE(YEAR($E1546),MONTH($E1546),1))</f>
        <v/>
      </c>
      <c r="M1546" s="65" t="str">
        <f ca="1">IF($D1546="","",IF($C1546="TANIMSIZ MÜŞTERİ","HATA",IF(OR($E1546="",$F1546&lt;=0,$G1546=""),"EKSİK",IF($E1546&gt;TODAY(),"İLERİ TARİH",IF(COUNTIF($S$7:$S$2503,$S1546)&gt;1,"MÜKERRER?",IF($T1546&gt;0,"KAPALI DÖNEM","UYGUN"))))))</f>
        <v/>
      </c>
      <c r="N1546" s="74" t="str">
        <f>IF($C1546="","",IF($C1546="TANIMSIZ MÜŞTERİ","—",INDEX(MUSTERILER!$C$7:$C$156,MATCH($C1546,MUSTERILER!$B$7:$B$156,0))))</f>
        <v/>
      </c>
      <c r="O1546" s="2"/>
      <c r="P1546" s="2"/>
      <c r="Q1546" s="1" t="str">
        <f>IF($D1546="","",$C1546&amp;"|"&amp;COUNTIFS($C$7:$C1546,$C1546))</f>
        <v/>
      </c>
      <c r="R1546" s="1" t="str">
        <f t="shared" si="48"/>
        <v/>
      </c>
      <c r="S1546" s="1" t="str">
        <f t="shared" si="49"/>
        <v/>
      </c>
      <c r="T1546" s="1">
        <f>IF($E1546="",0,SUMPRODUCT((AY_SONU!$O$7:$O$42="Evet")*(AY_SONU!$B$7:$B$42=DATE(YEAR($E1546),MONTH($E1546),1))))</f>
        <v>0</v>
      </c>
      <c r="U1546" s="1" t="str">
        <f>IF(OR($G1546="",$H1546="Mahsup"),"",$G1546&amp;"|"&amp;COUNTIFS($G$7:$G1546,$G1546,$H$7:$H1546,"&lt;&gt;Mahsup"))</f>
        <v/>
      </c>
    </row>
    <row r="1547" spans="1:21" ht="18" customHeight="1" x14ac:dyDescent="0.3">
      <c r="A1547" s="2"/>
      <c r="B1547" s="65" t="str">
        <f>IF($D1547="","","T"&amp;TEXT(ROW()-6,"00000"))</f>
        <v/>
      </c>
      <c r="C1547" s="65" t="str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61"/>
      <c r="E1547" s="66"/>
      <c r="F1547" s="67"/>
      <c r="G1547" s="60"/>
      <c r="H1547" s="60"/>
      <c r="I1547" s="61"/>
      <c r="J1547" s="61"/>
      <c r="K1547" s="61"/>
      <c r="L1547" s="73" t="str">
        <f>IF($E1547="","",DATE(YEAR($E1547),MONTH($E1547),1))</f>
        <v/>
      </c>
      <c r="M1547" s="65" t="str">
        <f ca="1">IF($D1547="","",IF($C1547="TANIMSIZ MÜŞTERİ","HATA",IF(OR($E1547="",$F1547&lt;=0,$G1547=""),"EKSİK",IF($E1547&gt;TODAY(),"İLERİ TARİH",IF(COUNTIF($S$7:$S$2503,$S1547)&gt;1,"MÜKERRER?",IF($T1547&gt;0,"KAPALI DÖNEM","UYGUN"))))))</f>
        <v/>
      </c>
      <c r="N1547" s="74" t="str">
        <f>IF($C1547="","",IF($C1547="TANIMSIZ MÜŞTERİ","—",INDEX(MUSTERILER!$C$7:$C$156,MATCH($C1547,MUSTERILER!$B$7:$B$156,0))))</f>
        <v/>
      </c>
      <c r="O1547" s="2"/>
      <c r="P1547" s="2"/>
      <c r="Q1547" s="1" t="str">
        <f>IF($D1547="","",$C1547&amp;"|"&amp;COUNTIFS($C$7:$C1547,$C1547))</f>
        <v/>
      </c>
      <c r="R1547" s="1" t="str">
        <f t="shared" si="48"/>
        <v/>
      </c>
      <c r="S1547" s="1" t="str">
        <f t="shared" si="49"/>
        <v/>
      </c>
      <c r="T1547" s="1">
        <f>IF($E1547="",0,SUMPRODUCT((AY_SONU!$O$7:$O$42="Evet")*(AY_SONU!$B$7:$B$42=DATE(YEAR($E1547),MONTH($E1547),1))))</f>
        <v>0</v>
      </c>
      <c r="U1547" s="1" t="str">
        <f>IF(OR($G1547="",$H1547="Mahsup"),"",$G1547&amp;"|"&amp;COUNTIFS($G$7:$G1547,$G1547,$H$7:$H1547,"&lt;&gt;Mahsup"))</f>
        <v/>
      </c>
    </row>
    <row r="1548" spans="1:21" ht="18" customHeight="1" x14ac:dyDescent="0.3">
      <c r="A1548" s="2"/>
      <c r="B1548" s="65" t="str">
        <f>IF($D1548="","","T"&amp;TEXT(ROW()-6,"00000"))</f>
        <v/>
      </c>
      <c r="C1548" s="65" t="str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61"/>
      <c r="E1548" s="66"/>
      <c r="F1548" s="67"/>
      <c r="G1548" s="60"/>
      <c r="H1548" s="60"/>
      <c r="I1548" s="61"/>
      <c r="J1548" s="61"/>
      <c r="K1548" s="61"/>
      <c r="L1548" s="73" t="str">
        <f>IF($E1548="","",DATE(YEAR($E1548),MONTH($E1548),1))</f>
        <v/>
      </c>
      <c r="M1548" s="65" t="str">
        <f ca="1">IF($D1548="","",IF($C1548="TANIMSIZ MÜŞTERİ","HATA",IF(OR($E1548="",$F1548&lt;=0,$G1548=""),"EKSİK",IF($E1548&gt;TODAY(),"İLERİ TARİH",IF(COUNTIF($S$7:$S$2503,$S1548)&gt;1,"MÜKERRER?",IF($T1548&gt;0,"KAPALI DÖNEM","UYGUN"))))))</f>
        <v/>
      </c>
      <c r="N1548" s="74" t="str">
        <f>IF($C1548="","",IF($C1548="TANIMSIZ MÜŞTERİ","—",INDEX(MUSTERILER!$C$7:$C$156,MATCH($C1548,MUSTERILER!$B$7:$B$156,0))))</f>
        <v/>
      </c>
      <c r="O1548" s="2"/>
      <c r="P1548" s="2"/>
      <c r="Q1548" s="1" t="str">
        <f>IF($D1548="","",$C1548&amp;"|"&amp;COUNTIFS($C$7:$C1548,$C1548))</f>
        <v/>
      </c>
      <c r="R1548" s="1" t="str">
        <f t="shared" si="48"/>
        <v/>
      </c>
      <c r="S1548" s="1" t="str">
        <f t="shared" si="49"/>
        <v/>
      </c>
      <c r="T1548" s="1">
        <f>IF($E1548="",0,SUMPRODUCT((AY_SONU!$O$7:$O$42="Evet")*(AY_SONU!$B$7:$B$42=DATE(YEAR($E1548),MONTH($E1548),1))))</f>
        <v>0</v>
      </c>
      <c r="U1548" s="1" t="str">
        <f>IF(OR($G1548="",$H1548="Mahsup"),"",$G1548&amp;"|"&amp;COUNTIFS($G$7:$G1548,$G1548,$H$7:$H1548,"&lt;&gt;Mahsup"))</f>
        <v/>
      </c>
    </row>
    <row r="1549" spans="1:21" ht="18" customHeight="1" x14ac:dyDescent="0.3">
      <c r="A1549" s="2"/>
      <c r="B1549" s="65" t="str">
        <f>IF($D1549="","","T"&amp;TEXT(ROW()-6,"00000"))</f>
        <v/>
      </c>
      <c r="C1549" s="65" t="str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61"/>
      <c r="E1549" s="66"/>
      <c r="F1549" s="67"/>
      <c r="G1549" s="60"/>
      <c r="H1549" s="60"/>
      <c r="I1549" s="61"/>
      <c r="J1549" s="61"/>
      <c r="K1549" s="61"/>
      <c r="L1549" s="73" t="str">
        <f>IF($E1549="","",DATE(YEAR($E1549),MONTH($E1549),1))</f>
        <v/>
      </c>
      <c r="M1549" s="65" t="str">
        <f ca="1">IF($D1549="","",IF($C1549="TANIMSIZ MÜŞTERİ","HATA",IF(OR($E1549="",$F1549&lt;=0,$G1549=""),"EKSİK",IF($E1549&gt;TODAY(),"İLERİ TARİH",IF(COUNTIF($S$7:$S$2503,$S1549)&gt;1,"MÜKERRER?",IF($T1549&gt;0,"KAPALI DÖNEM","UYGUN"))))))</f>
        <v/>
      </c>
      <c r="N1549" s="74" t="str">
        <f>IF($C1549="","",IF($C1549="TANIMSIZ MÜŞTERİ","—",INDEX(MUSTERILER!$C$7:$C$156,MATCH($C1549,MUSTERILER!$B$7:$B$156,0))))</f>
        <v/>
      </c>
      <c r="O1549" s="2"/>
      <c r="P1549" s="2"/>
      <c r="Q1549" s="1" t="str">
        <f>IF($D1549="","",$C1549&amp;"|"&amp;COUNTIFS($C$7:$C1549,$C1549))</f>
        <v/>
      </c>
      <c r="R1549" s="1" t="str">
        <f t="shared" si="48"/>
        <v/>
      </c>
      <c r="S1549" s="1" t="str">
        <f t="shared" si="49"/>
        <v/>
      </c>
      <c r="T1549" s="1">
        <f>IF($E1549="",0,SUMPRODUCT((AY_SONU!$O$7:$O$42="Evet")*(AY_SONU!$B$7:$B$42=DATE(YEAR($E1549),MONTH($E1549),1))))</f>
        <v>0</v>
      </c>
      <c r="U1549" s="1" t="str">
        <f>IF(OR($G1549="",$H1549="Mahsup"),"",$G1549&amp;"|"&amp;COUNTIFS($G$7:$G1549,$G1549,$H$7:$H1549,"&lt;&gt;Mahsup"))</f>
        <v/>
      </c>
    </row>
    <row r="1550" spans="1:21" ht="18" customHeight="1" x14ac:dyDescent="0.3">
      <c r="A1550" s="2"/>
      <c r="B1550" s="65" t="str">
        <f>IF($D1550="","","T"&amp;TEXT(ROW()-6,"00000"))</f>
        <v/>
      </c>
      <c r="C1550" s="65" t="str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61"/>
      <c r="E1550" s="66"/>
      <c r="F1550" s="67"/>
      <c r="G1550" s="60"/>
      <c r="H1550" s="60"/>
      <c r="I1550" s="61"/>
      <c r="J1550" s="61"/>
      <c r="K1550" s="61"/>
      <c r="L1550" s="73" t="str">
        <f>IF($E1550="","",DATE(YEAR($E1550),MONTH($E1550),1))</f>
        <v/>
      </c>
      <c r="M1550" s="65" t="str">
        <f ca="1">IF($D1550="","",IF($C1550="TANIMSIZ MÜŞTERİ","HATA",IF(OR($E1550="",$F1550&lt;=0,$G1550=""),"EKSİK",IF($E1550&gt;TODAY(),"İLERİ TARİH",IF(COUNTIF($S$7:$S$2503,$S1550)&gt;1,"MÜKERRER?",IF($T1550&gt;0,"KAPALI DÖNEM","UYGUN"))))))</f>
        <v/>
      </c>
      <c r="N1550" s="74" t="str">
        <f>IF($C1550="","",IF($C1550="TANIMSIZ MÜŞTERİ","—",INDEX(MUSTERILER!$C$7:$C$156,MATCH($C1550,MUSTERILER!$B$7:$B$156,0))))</f>
        <v/>
      </c>
      <c r="O1550" s="2"/>
      <c r="P1550" s="2"/>
      <c r="Q1550" s="1" t="str">
        <f>IF($D1550="","",$C1550&amp;"|"&amp;COUNTIFS($C$7:$C1550,$C1550))</f>
        <v/>
      </c>
      <c r="R1550" s="1" t="str">
        <f t="shared" si="48"/>
        <v/>
      </c>
      <c r="S1550" s="1" t="str">
        <f t="shared" si="49"/>
        <v/>
      </c>
      <c r="T1550" s="1">
        <f>IF($E1550="",0,SUMPRODUCT((AY_SONU!$O$7:$O$42="Evet")*(AY_SONU!$B$7:$B$42=DATE(YEAR($E1550),MONTH($E1550),1))))</f>
        <v>0</v>
      </c>
      <c r="U1550" s="1" t="str">
        <f>IF(OR($G1550="",$H1550="Mahsup"),"",$G1550&amp;"|"&amp;COUNTIFS($G$7:$G1550,$G1550,$H$7:$H1550,"&lt;&gt;Mahsup"))</f>
        <v/>
      </c>
    </row>
    <row r="1551" spans="1:21" ht="18" customHeight="1" x14ac:dyDescent="0.3">
      <c r="A1551" s="2"/>
      <c r="B1551" s="65" t="str">
        <f>IF($D1551="","","T"&amp;TEXT(ROW()-6,"00000"))</f>
        <v/>
      </c>
      <c r="C1551" s="65" t="str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61"/>
      <c r="E1551" s="66"/>
      <c r="F1551" s="67"/>
      <c r="G1551" s="60"/>
      <c r="H1551" s="60"/>
      <c r="I1551" s="61"/>
      <c r="J1551" s="61"/>
      <c r="K1551" s="61"/>
      <c r="L1551" s="73" t="str">
        <f>IF($E1551="","",DATE(YEAR($E1551),MONTH($E1551),1))</f>
        <v/>
      </c>
      <c r="M1551" s="65" t="str">
        <f ca="1">IF($D1551="","",IF($C1551="TANIMSIZ MÜŞTERİ","HATA",IF(OR($E1551="",$F1551&lt;=0,$G1551=""),"EKSİK",IF($E1551&gt;TODAY(),"İLERİ TARİH",IF(COUNTIF($S$7:$S$2503,$S1551)&gt;1,"MÜKERRER?",IF($T1551&gt;0,"KAPALI DÖNEM","UYGUN"))))))</f>
        <v/>
      </c>
      <c r="N1551" s="74" t="str">
        <f>IF($C1551="","",IF($C1551="TANIMSIZ MÜŞTERİ","—",INDEX(MUSTERILER!$C$7:$C$156,MATCH($C1551,MUSTERILER!$B$7:$B$156,0))))</f>
        <v/>
      </c>
      <c r="O1551" s="2"/>
      <c r="P1551" s="2"/>
      <c r="Q1551" s="1" t="str">
        <f>IF($D1551="","",$C1551&amp;"|"&amp;COUNTIFS($C$7:$C1551,$C1551))</f>
        <v/>
      </c>
      <c r="R1551" s="1" t="str">
        <f t="shared" si="48"/>
        <v/>
      </c>
      <c r="S1551" s="1" t="str">
        <f t="shared" si="49"/>
        <v/>
      </c>
      <c r="T1551" s="1">
        <f>IF($E1551="",0,SUMPRODUCT((AY_SONU!$O$7:$O$42="Evet")*(AY_SONU!$B$7:$B$42=DATE(YEAR($E1551),MONTH($E1551),1))))</f>
        <v>0</v>
      </c>
      <c r="U1551" s="1" t="str">
        <f>IF(OR($G1551="",$H1551="Mahsup"),"",$G1551&amp;"|"&amp;COUNTIFS($G$7:$G1551,$G1551,$H$7:$H1551,"&lt;&gt;Mahsup"))</f>
        <v/>
      </c>
    </row>
    <row r="1552" spans="1:21" ht="18" customHeight="1" x14ac:dyDescent="0.3">
      <c r="A1552" s="2"/>
      <c r="B1552" s="65" t="str">
        <f>IF($D1552="","","T"&amp;TEXT(ROW()-6,"00000"))</f>
        <v/>
      </c>
      <c r="C1552" s="65" t="str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61"/>
      <c r="E1552" s="66"/>
      <c r="F1552" s="67"/>
      <c r="G1552" s="60"/>
      <c r="H1552" s="60"/>
      <c r="I1552" s="61"/>
      <c r="J1552" s="61"/>
      <c r="K1552" s="61"/>
      <c r="L1552" s="73" t="str">
        <f>IF($E1552="","",DATE(YEAR($E1552),MONTH($E1552),1))</f>
        <v/>
      </c>
      <c r="M1552" s="65" t="str">
        <f ca="1">IF($D1552="","",IF($C1552="TANIMSIZ MÜŞTERİ","HATA",IF(OR($E1552="",$F1552&lt;=0,$G1552=""),"EKSİK",IF($E1552&gt;TODAY(),"İLERİ TARİH",IF(COUNTIF($S$7:$S$2503,$S1552)&gt;1,"MÜKERRER?",IF($T1552&gt;0,"KAPALI DÖNEM","UYGUN"))))))</f>
        <v/>
      </c>
      <c r="N1552" s="74" t="str">
        <f>IF($C1552="","",IF($C1552="TANIMSIZ MÜŞTERİ","—",INDEX(MUSTERILER!$C$7:$C$156,MATCH($C1552,MUSTERILER!$B$7:$B$156,0))))</f>
        <v/>
      </c>
      <c r="O1552" s="2"/>
      <c r="P1552" s="2"/>
      <c r="Q1552" s="1" t="str">
        <f>IF($D1552="","",$C1552&amp;"|"&amp;COUNTIFS($C$7:$C1552,$C1552))</f>
        <v/>
      </c>
      <c r="R1552" s="1" t="str">
        <f t="shared" si="48"/>
        <v/>
      </c>
      <c r="S1552" s="1" t="str">
        <f t="shared" si="49"/>
        <v/>
      </c>
      <c r="T1552" s="1">
        <f>IF($E1552="",0,SUMPRODUCT((AY_SONU!$O$7:$O$42="Evet")*(AY_SONU!$B$7:$B$42=DATE(YEAR($E1552),MONTH($E1552),1))))</f>
        <v>0</v>
      </c>
      <c r="U1552" s="1" t="str">
        <f>IF(OR($G1552="",$H1552="Mahsup"),"",$G1552&amp;"|"&amp;COUNTIFS($G$7:$G1552,$G1552,$H$7:$H1552,"&lt;&gt;Mahsup"))</f>
        <v/>
      </c>
    </row>
    <row r="1553" spans="1:21" ht="18" customHeight="1" x14ac:dyDescent="0.3">
      <c r="A1553" s="2"/>
      <c r="B1553" s="65" t="str">
        <f>IF($D1553="","","T"&amp;TEXT(ROW()-6,"00000"))</f>
        <v/>
      </c>
      <c r="C1553" s="65" t="str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61"/>
      <c r="E1553" s="66"/>
      <c r="F1553" s="67"/>
      <c r="G1553" s="60"/>
      <c r="H1553" s="60"/>
      <c r="I1553" s="61"/>
      <c r="J1553" s="61"/>
      <c r="K1553" s="61"/>
      <c r="L1553" s="73" t="str">
        <f>IF($E1553="","",DATE(YEAR($E1553),MONTH($E1553),1))</f>
        <v/>
      </c>
      <c r="M1553" s="65" t="str">
        <f ca="1">IF($D1553="","",IF($C1553="TANIMSIZ MÜŞTERİ","HATA",IF(OR($E1553="",$F1553&lt;=0,$G1553=""),"EKSİK",IF($E1553&gt;TODAY(),"İLERİ TARİH",IF(COUNTIF($S$7:$S$2503,$S1553)&gt;1,"MÜKERRER?",IF($T1553&gt;0,"KAPALI DÖNEM","UYGUN"))))))</f>
        <v/>
      </c>
      <c r="N1553" s="74" t="str">
        <f>IF($C1553="","",IF($C1553="TANIMSIZ MÜŞTERİ","—",INDEX(MUSTERILER!$C$7:$C$156,MATCH($C1553,MUSTERILER!$B$7:$B$156,0))))</f>
        <v/>
      </c>
      <c r="O1553" s="2"/>
      <c r="P1553" s="2"/>
      <c r="Q1553" s="1" t="str">
        <f>IF($D1553="","",$C1553&amp;"|"&amp;COUNTIFS($C$7:$C1553,$C1553))</f>
        <v/>
      </c>
      <c r="R1553" s="1" t="str">
        <f t="shared" si="48"/>
        <v/>
      </c>
      <c r="S1553" s="1" t="str">
        <f t="shared" si="49"/>
        <v/>
      </c>
      <c r="T1553" s="1">
        <f>IF($E1553="",0,SUMPRODUCT((AY_SONU!$O$7:$O$42="Evet")*(AY_SONU!$B$7:$B$42=DATE(YEAR($E1553),MONTH($E1553),1))))</f>
        <v>0</v>
      </c>
      <c r="U1553" s="1" t="str">
        <f>IF(OR($G1553="",$H1553="Mahsup"),"",$G1553&amp;"|"&amp;COUNTIFS($G$7:$G1553,$G1553,$H$7:$H1553,"&lt;&gt;Mahsup"))</f>
        <v/>
      </c>
    </row>
    <row r="1554" spans="1:21" ht="18" customHeight="1" x14ac:dyDescent="0.3">
      <c r="A1554" s="2"/>
      <c r="B1554" s="65" t="str">
        <f>IF($D1554="","","T"&amp;TEXT(ROW()-6,"00000"))</f>
        <v/>
      </c>
      <c r="C1554" s="65" t="str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61"/>
      <c r="E1554" s="66"/>
      <c r="F1554" s="67"/>
      <c r="G1554" s="60"/>
      <c r="H1554" s="60"/>
      <c r="I1554" s="61"/>
      <c r="J1554" s="61"/>
      <c r="K1554" s="61"/>
      <c r="L1554" s="73" t="str">
        <f>IF($E1554="","",DATE(YEAR($E1554),MONTH($E1554),1))</f>
        <v/>
      </c>
      <c r="M1554" s="65" t="str">
        <f ca="1">IF($D1554="","",IF($C1554="TANIMSIZ MÜŞTERİ","HATA",IF(OR($E1554="",$F1554&lt;=0,$G1554=""),"EKSİK",IF($E1554&gt;TODAY(),"İLERİ TARİH",IF(COUNTIF($S$7:$S$2503,$S1554)&gt;1,"MÜKERRER?",IF($T1554&gt;0,"KAPALI DÖNEM","UYGUN"))))))</f>
        <v/>
      </c>
      <c r="N1554" s="74" t="str">
        <f>IF($C1554="","",IF($C1554="TANIMSIZ MÜŞTERİ","—",INDEX(MUSTERILER!$C$7:$C$156,MATCH($C1554,MUSTERILER!$B$7:$B$156,0))))</f>
        <v/>
      </c>
      <c r="O1554" s="2"/>
      <c r="P1554" s="2"/>
      <c r="Q1554" s="1" t="str">
        <f>IF($D1554="","",$C1554&amp;"|"&amp;COUNTIFS($C$7:$C1554,$C1554))</f>
        <v/>
      </c>
      <c r="R1554" s="1" t="str">
        <f t="shared" si="48"/>
        <v/>
      </c>
      <c r="S1554" s="1" t="str">
        <f t="shared" si="49"/>
        <v/>
      </c>
      <c r="T1554" s="1">
        <f>IF($E1554="",0,SUMPRODUCT((AY_SONU!$O$7:$O$42="Evet")*(AY_SONU!$B$7:$B$42=DATE(YEAR($E1554),MONTH($E1554),1))))</f>
        <v>0</v>
      </c>
      <c r="U1554" s="1" t="str">
        <f>IF(OR($G1554="",$H1554="Mahsup"),"",$G1554&amp;"|"&amp;COUNTIFS($G$7:$G1554,$G1554,$H$7:$H1554,"&lt;&gt;Mahsup"))</f>
        <v/>
      </c>
    </row>
    <row r="1555" spans="1:21" ht="18" customHeight="1" x14ac:dyDescent="0.3">
      <c r="A1555" s="2"/>
      <c r="B1555" s="65" t="str">
        <f>IF($D1555="","","T"&amp;TEXT(ROW()-6,"00000"))</f>
        <v/>
      </c>
      <c r="C1555" s="65" t="str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61"/>
      <c r="E1555" s="66"/>
      <c r="F1555" s="67"/>
      <c r="G1555" s="60"/>
      <c r="H1555" s="60"/>
      <c r="I1555" s="61"/>
      <c r="J1555" s="61"/>
      <c r="K1555" s="61"/>
      <c r="L1555" s="73" t="str">
        <f>IF($E1555="","",DATE(YEAR($E1555),MONTH($E1555),1))</f>
        <v/>
      </c>
      <c r="M1555" s="65" t="str">
        <f ca="1">IF($D1555="","",IF($C1555="TANIMSIZ MÜŞTERİ","HATA",IF(OR($E1555="",$F1555&lt;=0,$G1555=""),"EKSİK",IF($E1555&gt;TODAY(),"İLERİ TARİH",IF(COUNTIF($S$7:$S$2503,$S1555)&gt;1,"MÜKERRER?",IF($T1555&gt;0,"KAPALI DÖNEM","UYGUN"))))))</f>
        <v/>
      </c>
      <c r="N1555" s="74" t="str">
        <f>IF($C1555="","",IF($C1555="TANIMSIZ MÜŞTERİ","—",INDEX(MUSTERILER!$C$7:$C$156,MATCH($C1555,MUSTERILER!$B$7:$B$156,0))))</f>
        <v/>
      </c>
      <c r="O1555" s="2"/>
      <c r="P1555" s="2"/>
      <c r="Q1555" s="1" t="str">
        <f>IF($D1555="","",$C1555&amp;"|"&amp;COUNTIFS($C$7:$C1555,$C1555))</f>
        <v/>
      </c>
      <c r="R1555" s="1" t="str">
        <f t="shared" si="48"/>
        <v/>
      </c>
      <c r="S1555" s="1" t="str">
        <f t="shared" si="49"/>
        <v/>
      </c>
      <c r="T1555" s="1">
        <f>IF($E1555="",0,SUMPRODUCT((AY_SONU!$O$7:$O$42="Evet")*(AY_SONU!$B$7:$B$42=DATE(YEAR($E1555),MONTH($E1555),1))))</f>
        <v>0</v>
      </c>
      <c r="U1555" s="1" t="str">
        <f>IF(OR($G1555="",$H1555="Mahsup"),"",$G1555&amp;"|"&amp;COUNTIFS($G$7:$G1555,$G1555,$H$7:$H1555,"&lt;&gt;Mahsup"))</f>
        <v/>
      </c>
    </row>
    <row r="1556" spans="1:21" ht="18" customHeight="1" x14ac:dyDescent="0.3">
      <c r="A1556" s="2"/>
      <c r="B1556" s="65" t="str">
        <f>IF($D1556="","","T"&amp;TEXT(ROW()-6,"00000"))</f>
        <v/>
      </c>
      <c r="C1556" s="65" t="str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61"/>
      <c r="E1556" s="66"/>
      <c r="F1556" s="67"/>
      <c r="G1556" s="60"/>
      <c r="H1556" s="60"/>
      <c r="I1556" s="61"/>
      <c r="J1556" s="61"/>
      <c r="K1556" s="61"/>
      <c r="L1556" s="73" t="str">
        <f>IF($E1556="","",DATE(YEAR($E1556),MONTH($E1556),1))</f>
        <v/>
      </c>
      <c r="M1556" s="65" t="str">
        <f ca="1">IF($D1556="","",IF($C1556="TANIMSIZ MÜŞTERİ","HATA",IF(OR($E1556="",$F1556&lt;=0,$G1556=""),"EKSİK",IF($E1556&gt;TODAY(),"İLERİ TARİH",IF(COUNTIF($S$7:$S$2503,$S1556)&gt;1,"MÜKERRER?",IF($T1556&gt;0,"KAPALI DÖNEM","UYGUN"))))))</f>
        <v/>
      </c>
      <c r="N1556" s="74" t="str">
        <f>IF($C1556="","",IF($C1556="TANIMSIZ MÜŞTERİ","—",INDEX(MUSTERILER!$C$7:$C$156,MATCH($C1556,MUSTERILER!$B$7:$B$156,0))))</f>
        <v/>
      </c>
      <c r="O1556" s="2"/>
      <c r="P1556" s="2"/>
      <c r="Q1556" s="1" t="str">
        <f>IF($D1556="","",$C1556&amp;"|"&amp;COUNTIFS($C$7:$C1556,$C1556))</f>
        <v/>
      </c>
      <c r="R1556" s="1" t="str">
        <f t="shared" si="48"/>
        <v/>
      </c>
      <c r="S1556" s="1" t="str">
        <f t="shared" si="49"/>
        <v/>
      </c>
      <c r="T1556" s="1">
        <f>IF($E1556="",0,SUMPRODUCT((AY_SONU!$O$7:$O$42="Evet")*(AY_SONU!$B$7:$B$42=DATE(YEAR($E1556),MONTH($E1556),1))))</f>
        <v>0</v>
      </c>
      <c r="U1556" s="1" t="str">
        <f>IF(OR($G1556="",$H1556="Mahsup"),"",$G1556&amp;"|"&amp;COUNTIFS($G$7:$G1556,$G1556,$H$7:$H1556,"&lt;&gt;Mahsup"))</f>
        <v/>
      </c>
    </row>
    <row r="1557" spans="1:21" ht="18" customHeight="1" x14ac:dyDescent="0.3">
      <c r="A1557" s="2"/>
      <c r="B1557" s="65" t="str">
        <f>IF($D1557="","","T"&amp;TEXT(ROW()-6,"00000"))</f>
        <v/>
      </c>
      <c r="C1557" s="65" t="str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61"/>
      <c r="E1557" s="66"/>
      <c r="F1557" s="67"/>
      <c r="G1557" s="60"/>
      <c r="H1557" s="60"/>
      <c r="I1557" s="61"/>
      <c r="J1557" s="61"/>
      <c r="K1557" s="61"/>
      <c r="L1557" s="73" t="str">
        <f>IF($E1557="","",DATE(YEAR($E1557),MONTH($E1557),1))</f>
        <v/>
      </c>
      <c r="M1557" s="65" t="str">
        <f ca="1">IF($D1557="","",IF($C1557="TANIMSIZ MÜŞTERİ","HATA",IF(OR($E1557="",$F1557&lt;=0,$G1557=""),"EKSİK",IF($E1557&gt;TODAY(),"İLERİ TARİH",IF(COUNTIF($S$7:$S$2503,$S1557)&gt;1,"MÜKERRER?",IF($T1557&gt;0,"KAPALI DÖNEM","UYGUN"))))))</f>
        <v/>
      </c>
      <c r="N1557" s="74" t="str">
        <f>IF($C1557="","",IF($C1557="TANIMSIZ MÜŞTERİ","—",INDEX(MUSTERILER!$C$7:$C$156,MATCH($C1557,MUSTERILER!$B$7:$B$156,0))))</f>
        <v/>
      </c>
      <c r="O1557" s="2"/>
      <c r="P1557" s="2"/>
      <c r="Q1557" s="1" t="str">
        <f>IF($D1557="","",$C1557&amp;"|"&amp;COUNTIFS($C$7:$C1557,$C1557))</f>
        <v/>
      </c>
      <c r="R1557" s="1" t="str">
        <f t="shared" si="48"/>
        <v/>
      </c>
      <c r="S1557" s="1" t="str">
        <f t="shared" si="49"/>
        <v/>
      </c>
      <c r="T1557" s="1">
        <f>IF($E1557="",0,SUMPRODUCT((AY_SONU!$O$7:$O$42="Evet")*(AY_SONU!$B$7:$B$42=DATE(YEAR($E1557),MONTH($E1557),1))))</f>
        <v>0</v>
      </c>
      <c r="U1557" s="1" t="str">
        <f>IF(OR($G1557="",$H1557="Mahsup"),"",$G1557&amp;"|"&amp;COUNTIFS($G$7:$G1557,$G1557,$H$7:$H1557,"&lt;&gt;Mahsup"))</f>
        <v/>
      </c>
    </row>
    <row r="1558" spans="1:21" ht="18" customHeight="1" x14ac:dyDescent="0.3">
      <c r="A1558" s="2"/>
      <c r="B1558" s="65" t="str">
        <f>IF($D1558="","","T"&amp;TEXT(ROW()-6,"00000"))</f>
        <v/>
      </c>
      <c r="C1558" s="65" t="str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61"/>
      <c r="E1558" s="66"/>
      <c r="F1558" s="67"/>
      <c r="G1558" s="60"/>
      <c r="H1558" s="60"/>
      <c r="I1558" s="61"/>
      <c r="J1558" s="61"/>
      <c r="K1558" s="61"/>
      <c r="L1558" s="73" t="str">
        <f>IF($E1558="","",DATE(YEAR($E1558),MONTH($E1558),1))</f>
        <v/>
      </c>
      <c r="M1558" s="65" t="str">
        <f ca="1">IF($D1558="","",IF($C1558="TANIMSIZ MÜŞTERİ","HATA",IF(OR($E1558="",$F1558&lt;=0,$G1558=""),"EKSİK",IF($E1558&gt;TODAY(),"İLERİ TARİH",IF(COUNTIF($S$7:$S$2503,$S1558)&gt;1,"MÜKERRER?",IF($T1558&gt;0,"KAPALI DÖNEM","UYGUN"))))))</f>
        <v/>
      </c>
      <c r="N1558" s="74" t="str">
        <f>IF($C1558="","",IF($C1558="TANIMSIZ MÜŞTERİ","—",INDEX(MUSTERILER!$C$7:$C$156,MATCH($C1558,MUSTERILER!$B$7:$B$156,0))))</f>
        <v/>
      </c>
      <c r="O1558" s="2"/>
      <c r="P1558" s="2"/>
      <c r="Q1558" s="1" t="str">
        <f>IF($D1558="","",$C1558&amp;"|"&amp;COUNTIFS($C$7:$C1558,$C1558))</f>
        <v/>
      </c>
      <c r="R1558" s="1" t="str">
        <f t="shared" si="48"/>
        <v/>
      </c>
      <c r="S1558" s="1" t="str">
        <f t="shared" si="49"/>
        <v/>
      </c>
      <c r="T1558" s="1">
        <f>IF($E1558="",0,SUMPRODUCT((AY_SONU!$O$7:$O$42="Evet")*(AY_SONU!$B$7:$B$42=DATE(YEAR($E1558),MONTH($E1558),1))))</f>
        <v>0</v>
      </c>
      <c r="U1558" s="1" t="str">
        <f>IF(OR($G1558="",$H1558="Mahsup"),"",$G1558&amp;"|"&amp;COUNTIFS($G$7:$G1558,$G1558,$H$7:$H1558,"&lt;&gt;Mahsup"))</f>
        <v/>
      </c>
    </row>
    <row r="1559" spans="1:21" ht="18" customHeight="1" x14ac:dyDescent="0.3">
      <c r="A1559" s="2"/>
      <c r="B1559" s="65" t="str">
        <f>IF($D1559="","","T"&amp;TEXT(ROW()-6,"00000"))</f>
        <v/>
      </c>
      <c r="C1559" s="65" t="str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61"/>
      <c r="E1559" s="66"/>
      <c r="F1559" s="67"/>
      <c r="G1559" s="60"/>
      <c r="H1559" s="60"/>
      <c r="I1559" s="61"/>
      <c r="J1559" s="61"/>
      <c r="K1559" s="61"/>
      <c r="L1559" s="73" t="str">
        <f>IF($E1559="","",DATE(YEAR($E1559),MONTH($E1559),1))</f>
        <v/>
      </c>
      <c r="M1559" s="65" t="str">
        <f ca="1">IF($D1559="","",IF($C1559="TANIMSIZ MÜŞTERİ","HATA",IF(OR($E1559="",$F1559&lt;=0,$G1559=""),"EKSİK",IF($E1559&gt;TODAY(),"İLERİ TARİH",IF(COUNTIF($S$7:$S$2503,$S1559)&gt;1,"MÜKERRER?",IF($T1559&gt;0,"KAPALI DÖNEM","UYGUN"))))))</f>
        <v/>
      </c>
      <c r="N1559" s="74" t="str">
        <f>IF($C1559="","",IF($C1559="TANIMSIZ MÜŞTERİ","—",INDEX(MUSTERILER!$C$7:$C$156,MATCH($C1559,MUSTERILER!$B$7:$B$156,0))))</f>
        <v/>
      </c>
      <c r="O1559" s="2"/>
      <c r="P1559" s="2"/>
      <c r="Q1559" s="1" t="str">
        <f>IF($D1559="","",$C1559&amp;"|"&amp;COUNTIFS($C$7:$C1559,$C1559))</f>
        <v/>
      </c>
      <c r="R1559" s="1" t="str">
        <f t="shared" si="48"/>
        <v/>
      </c>
      <c r="S1559" s="1" t="str">
        <f t="shared" si="49"/>
        <v/>
      </c>
      <c r="T1559" s="1">
        <f>IF($E1559="",0,SUMPRODUCT((AY_SONU!$O$7:$O$42="Evet")*(AY_SONU!$B$7:$B$42=DATE(YEAR($E1559),MONTH($E1559),1))))</f>
        <v>0</v>
      </c>
      <c r="U1559" s="1" t="str">
        <f>IF(OR($G1559="",$H1559="Mahsup"),"",$G1559&amp;"|"&amp;COUNTIFS($G$7:$G1559,$G1559,$H$7:$H1559,"&lt;&gt;Mahsup"))</f>
        <v/>
      </c>
    </row>
    <row r="1560" spans="1:21" ht="18" customHeight="1" x14ac:dyDescent="0.3">
      <c r="A1560" s="2"/>
      <c r="B1560" s="65" t="str">
        <f>IF($D1560="","","T"&amp;TEXT(ROW()-6,"00000"))</f>
        <v/>
      </c>
      <c r="C1560" s="65" t="str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61"/>
      <c r="E1560" s="66"/>
      <c r="F1560" s="67"/>
      <c r="G1560" s="60"/>
      <c r="H1560" s="60"/>
      <c r="I1560" s="61"/>
      <c r="J1560" s="61"/>
      <c r="K1560" s="61"/>
      <c r="L1560" s="73" t="str">
        <f>IF($E1560="","",DATE(YEAR($E1560),MONTH($E1560),1))</f>
        <v/>
      </c>
      <c r="M1560" s="65" t="str">
        <f ca="1">IF($D1560="","",IF($C1560="TANIMSIZ MÜŞTERİ","HATA",IF(OR($E1560="",$F1560&lt;=0,$G1560=""),"EKSİK",IF($E1560&gt;TODAY(),"İLERİ TARİH",IF(COUNTIF($S$7:$S$2503,$S1560)&gt;1,"MÜKERRER?",IF($T1560&gt;0,"KAPALI DÖNEM","UYGUN"))))))</f>
        <v/>
      </c>
      <c r="N1560" s="74" t="str">
        <f>IF($C1560="","",IF($C1560="TANIMSIZ MÜŞTERİ","—",INDEX(MUSTERILER!$C$7:$C$156,MATCH($C1560,MUSTERILER!$B$7:$B$156,0))))</f>
        <v/>
      </c>
      <c r="O1560" s="2"/>
      <c r="P1560" s="2"/>
      <c r="Q1560" s="1" t="str">
        <f>IF($D1560="","",$C1560&amp;"|"&amp;COUNTIFS($C$7:$C1560,$C1560))</f>
        <v/>
      </c>
      <c r="R1560" s="1" t="str">
        <f t="shared" si="48"/>
        <v/>
      </c>
      <c r="S1560" s="1" t="str">
        <f t="shared" si="49"/>
        <v/>
      </c>
      <c r="T1560" s="1">
        <f>IF($E1560="",0,SUMPRODUCT((AY_SONU!$O$7:$O$42="Evet")*(AY_SONU!$B$7:$B$42=DATE(YEAR($E1560),MONTH($E1560),1))))</f>
        <v>0</v>
      </c>
      <c r="U1560" s="1" t="str">
        <f>IF(OR($G1560="",$H1560="Mahsup"),"",$G1560&amp;"|"&amp;COUNTIFS($G$7:$G1560,$G1560,$H$7:$H1560,"&lt;&gt;Mahsup"))</f>
        <v/>
      </c>
    </row>
    <row r="1561" spans="1:21" ht="18" customHeight="1" x14ac:dyDescent="0.3">
      <c r="A1561" s="2"/>
      <c r="B1561" s="65" t="str">
        <f>IF($D1561="","","T"&amp;TEXT(ROW()-6,"00000"))</f>
        <v/>
      </c>
      <c r="C1561" s="65" t="str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61"/>
      <c r="E1561" s="66"/>
      <c r="F1561" s="67"/>
      <c r="G1561" s="60"/>
      <c r="H1561" s="60"/>
      <c r="I1561" s="61"/>
      <c r="J1561" s="61"/>
      <c r="K1561" s="61"/>
      <c r="L1561" s="73" t="str">
        <f>IF($E1561="","",DATE(YEAR($E1561),MONTH($E1561),1))</f>
        <v/>
      </c>
      <c r="M1561" s="65" t="str">
        <f ca="1">IF($D1561="","",IF($C1561="TANIMSIZ MÜŞTERİ","HATA",IF(OR($E1561="",$F1561&lt;=0,$G1561=""),"EKSİK",IF($E1561&gt;TODAY(),"İLERİ TARİH",IF(COUNTIF($S$7:$S$2503,$S1561)&gt;1,"MÜKERRER?",IF($T1561&gt;0,"KAPALI DÖNEM","UYGUN"))))))</f>
        <v/>
      </c>
      <c r="N1561" s="74" t="str">
        <f>IF($C1561="","",IF($C1561="TANIMSIZ MÜŞTERİ","—",INDEX(MUSTERILER!$C$7:$C$156,MATCH($C1561,MUSTERILER!$B$7:$B$156,0))))</f>
        <v/>
      </c>
      <c r="O1561" s="2"/>
      <c r="P1561" s="2"/>
      <c r="Q1561" s="1" t="str">
        <f>IF($D1561="","",$C1561&amp;"|"&amp;COUNTIFS($C$7:$C1561,$C1561))</f>
        <v/>
      </c>
      <c r="R1561" s="1" t="str">
        <f t="shared" si="48"/>
        <v/>
      </c>
      <c r="S1561" s="1" t="str">
        <f t="shared" si="49"/>
        <v/>
      </c>
      <c r="T1561" s="1">
        <f>IF($E1561="",0,SUMPRODUCT((AY_SONU!$O$7:$O$42="Evet")*(AY_SONU!$B$7:$B$42=DATE(YEAR($E1561),MONTH($E1561),1))))</f>
        <v>0</v>
      </c>
      <c r="U1561" s="1" t="str">
        <f>IF(OR($G1561="",$H1561="Mahsup"),"",$G1561&amp;"|"&amp;COUNTIFS($G$7:$G1561,$G1561,$H$7:$H1561,"&lt;&gt;Mahsup"))</f>
        <v/>
      </c>
    </row>
    <row r="1562" spans="1:21" ht="18" customHeight="1" x14ac:dyDescent="0.3">
      <c r="A1562" s="2"/>
      <c r="B1562" s="65" t="str">
        <f>IF($D1562="","","T"&amp;TEXT(ROW()-6,"00000"))</f>
        <v/>
      </c>
      <c r="C1562" s="65" t="str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61"/>
      <c r="E1562" s="66"/>
      <c r="F1562" s="67"/>
      <c r="G1562" s="60"/>
      <c r="H1562" s="60"/>
      <c r="I1562" s="61"/>
      <c r="J1562" s="61"/>
      <c r="K1562" s="61"/>
      <c r="L1562" s="73" t="str">
        <f>IF($E1562="","",DATE(YEAR($E1562),MONTH($E1562),1))</f>
        <v/>
      </c>
      <c r="M1562" s="65" t="str">
        <f ca="1">IF($D1562="","",IF($C1562="TANIMSIZ MÜŞTERİ","HATA",IF(OR($E1562="",$F1562&lt;=0,$G1562=""),"EKSİK",IF($E1562&gt;TODAY(),"İLERİ TARİH",IF(COUNTIF($S$7:$S$2503,$S1562)&gt;1,"MÜKERRER?",IF($T1562&gt;0,"KAPALI DÖNEM","UYGUN"))))))</f>
        <v/>
      </c>
      <c r="N1562" s="74" t="str">
        <f>IF($C1562="","",IF($C1562="TANIMSIZ MÜŞTERİ","—",INDEX(MUSTERILER!$C$7:$C$156,MATCH($C1562,MUSTERILER!$B$7:$B$156,0))))</f>
        <v/>
      </c>
      <c r="O1562" s="2"/>
      <c r="P1562" s="2"/>
      <c r="Q1562" s="1" t="str">
        <f>IF($D1562="","",$C1562&amp;"|"&amp;COUNTIFS($C$7:$C1562,$C1562))</f>
        <v/>
      </c>
      <c r="R1562" s="1" t="str">
        <f t="shared" si="48"/>
        <v/>
      </c>
      <c r="S1562" s="1" t="str">
        <f t="shared" si="49"/>
        <v/>
      </c>
      <c r="T1562" s="1">
        <f>IF($E1562="",0,SUMPRODUCT((AY_SONU!$O$7:$O$42="Evet")*(AY_SONU!$B$7:$B$42=DATE(YEAR($E1562),MONTH($E1562),1))))</f>
        <v>0</v>
      </c>
      <c r="U1562" s="1" t="str">
        <f>IF(OR($G1562="",$H1562="Mahsup"),"",$G1562&amp;"|"&amp;COUNTIFS($G$7:$G1562,$G1562,$H$7:$H1562,"&lt;&gt;Mahsup"))</f>
        <v/>
      </c>
    </row>
    <row r="1563" spans="1:21" ht="18" customHeight="1" x14ac:dyDescent="0.3">
      <c r="A1563" s="2"/>
      <c r="B1563" s="65" t="str">
        <f>IF($D1563="","","T"&amp;TEXT(ROW()-6,"00000"))</f>
        <v/>
      </c>
      <c r="C1563" s="65" t="str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61"/>
      <c r="E1563" s="66"/>
      <c r="F1563" s="67"/>
      <c r="G1563" s="60"/>
      <c r="H1563" s="60"/>
      <c r="I1563" s="61"/>
      <c r="J1563" s="61"/>
      <c r="K1563" s="61"/>
      <c r="L1563" s="73" t="str">
        <f>IF($E1563="","",DATE(YEAR($E1563),MONTH($E1563),1))</f>
        <v/>
      </c>
      <c r="M1563" s="65" t="str">
        <f ca="1">IF($D1563="","",IF($C1563="TANIMSIZ MÜŞTERİ","HATA",IF(OR($E1563="",$F1563&lt;=0,$G1563=""),"EKSİK",IF($E1563&gt;TODAY(),"İLERİ TARİH",IF(COUNTIF($S$7:$S$2503,$S1563)&gt;1,"MÜKERRER?",IF($T1563&gt;0,"KAPALI DÖNEM","UYGUN"))))))</f>
        <v/>
      </c>
      <c r="N1563" s="74" t="str">
        <f>IF($C1563="","",IF($C1563="TANIMSIZ MÜŞTERİ","—",INDEX(MUSTERILER!$C$7:$C$156,MATCH($C1563,MUSTERILER!$B$7:$B$156,0))))</f>
        <v/>
      </c>
      <c r="O1563" s="2"/>
      <c r="P1563" s="2"/>
      <c r="Q1563" s="1" t="str">
        <f>IF($D1563="","",$C1563&amp;"|"&amp;COUNTIFS($C$7:$C1563,$C1563))</f>
        <v/>
      </c>
      <c r="R1563" s="1" t="str">
        <f t="shared" si="48"/>
        <v/>
      </c>
      <c r="S1563" s="1" t="str">
        <f t="shared" si="49"/>
        <v/>
      </c>
      <c r="T1563" s="1">
        <f>IF($E1563="",0,SUMPRODUCT((AY_SONU!$O$7:$O$42="Evet")*(AY_SONU!$B$7:$B$42=DATE(YEAR($E1563),MONTH($E1563),1))))</f>
        <v>0</v>
      </c>
      <c r="U1563" s="1" t="str">
        <f>IF(OR($G1563="",$H1563="Mahsup"),"",$G1563&amp;"|"&amp;COUNTIFS($G$7:$G1563,$G1563,$H$7:$H1563,"&lt;&gt;Mahsup"))</f>
        <v/>
      </c>
    </row>
    <row r="1564" spans="1:21" ht="18" customHeight="1" x14ac:dyDescent="0.3">
      <c r="A1564" s="2"/>
      <c r="B1564" s="65" t="str">
        <f>IF($D1564="","","T"&amp;TEXT(ROW()-6,"00000"))</f>
        <v/>
      </c>
      <c r="C1564" s="65" t="str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61"/>
      <c r="E1564" s="66"/>
      <c r="F1564" s="67"/>
      <c r="G1564" s="60"/>
      <c r="H1564" s="60"/>
      <c r="I1564" s="61"/>
      <c r="J1564" s="61"/>
      <c r="K1564" s="61"/>
      <c r="L1564" s="73" t="str">
        <f>IF($E1564="","",DATE(YEAR($E1564),MONTH($E1564),1))</f>
        <v/>
      </c>
      <c r="M1564" s="65" t="str">
        <f ca="1">IF($D1564="","",IF($C1564="TANIMSIZ MÜŞTERİ","HATA",IF(OR($E1564="",$F1564&lt;=0,$G1564=""),"EKSİK",IF($E1564&gt;TODAY(),"İLERİ TARİH",IF(COUNTIF($S$7:$S$2503,$S1564)&gt;1,"MÜKERRER?",IF($T1564&gt;0,"KAPALI DÖNEM","UYGUN"))))))</f>
        <v/>
      </c>
      <c r="N1564" s="74" t="str">
        <f>IF($C1564="","",IF($C1564="TANIMSIZ MÜŞTERİ","—",INDEX(MUSTERILER!$C$7:$C$156,MATCH($C1564,MUSTERILER!$B$7:$B$156,0))))</f>
        <v/>
      </c>
      <c r="O1564" s="2"/>
      <c r="P1564" s="2"/>
      <c r="Q1564" s="1" t="str">
        <f>IF($D1564="","",$C1564&amp;"|"&amp;COUNTIFS($C$7:$C1564,$C1564))</f>
        <v/>
      </c>
      <c r="R1564" s="1" t="str">
        <f t="shared" si="48"/>
        <v/>
      </c>
      <c r="S1564" s="1" t="str">
        <f t="shared" si="49"/>
        <v/>
      </c>
      <c r="T1564" s="1">
        <f>IF($E1564="",0,SUMPRODUCT((AY_SONU!$O$7:$O$42="Evet")*(AY_SONU!$B$7:$B$42=DATE(YEAR($E1564),MONTH($E1564),1))))</f>
        <v>0</v>
      </c>
      <c r="U1564" s="1" t="str">
        <f>IF(OR($G1564="",$H1564="Mahsup"),"",$G1564&amp;"|"&amp;COUNTIFS($G$7:$G1564,$G1564,$H$7:$H1564,"&lt;&gt;Mahsup"))</f>
        <v/>
      </c>
    </row>
    <row r="1565" spans="1:21" ht="18" customHeight="1" x14ac:dyDescent="0.3">
      <c r="A1565" s="2"/>
      <c r="B1565" s="65" t="str">
        <f>IF($D1565="","","T"&amp;TEXT(ROW()-6,"00000"))</f>
        <v/>
      </c>
      <c r="C1565" s="65" t="str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61"/>
      <c r="E1565" s="66"/>
      <c r="F1565" s="67"/>
      <c r="G1565" s="60"/>
      <c r="H1565" s="60"/>
      <c r="I1565" s="61"/>
      <c r="J1565" s="61"/>
      <c r="K1565" s="61"/>
      <c r="L1565" s="73" t="str">
        <f>IF($E1565="","",DATE(YEAR($E1565),MONTH($E1565),1))</f>
        <v/>
      </c>
      <c r="M1565" s="65" t="str">
        <f ca="1">IF($D1565="","",IF($C1565="TANIMSIZ MÜŞTERİ","HATA",IF(OR($E1565="",$F1565&lt;=0,$G1565=""),"EKSİK",IF($E1565&gt;TODAY(),"İLERİ TARİH",IF(COUNTIF($S$7:$S$2503,$S1565)&gt;1,"MÜKERRER?",IF($T1565&gt;0,"KAPALI DÖNEM","UYGUN"))))))</f>
        <v/>
      </c>
      <c r="N1565" s="74" t="str">
        <f>IF($C1565="","",IF($C1565="TANIMSIZ MÜŞTERİ","—",INDEX(MUSTERILER!$C$7:$C$156,MATCH($C1565,MUSTERILER!$B$7:$B$156,0))))</f>
        <v/>
      </c>
      <c r="O1565" s="2"/>
      <c r="P1565" s="2"/>
      <c r="Q1565" s="1" t="str">
        <f>IF($D1565="","",$C1565&amp;"|"&amp;COUNTIFS($C$7:$C1565,$C1565))</f>
        <v/>
      </c>
      <c r="R1565" s="1" t="str">
        <f t="shared" si="48"/>
        <v/>
      </c>
      <c r="S1565" s="1" t="str">
        <f t="shared" si="49"/>
        <v/>
      </c>
      <c r="T1565" s="1">
        <f>IF($E1565="",0,SUMPRODUCT((AY_SONU!$O$7:$O$42="Evet")*(AY_SONU!$B$7:$B$42=DATE(YEAR($E1565),MONTH($E1565),1))))</f>
        <v>0</v>
      </c>
      <c r="U1565" s="1" t="str">
        <f>IF(OR($G1565="",$H1565="Mahsup"),"",$G1565&amp;"|"&amp;COUNTIFS($G$7:$G1565,$G1565,$H$7:$H1565,"&lt;&gt;Mahsup"))</f>
        <v/>
      </c>
    </row>
    <row r="1566" spans="1:21" ht="18" customHeight="1" x14ac:dyDescent="0.3">
      <c r="A1566" s="2"/>
      <c r="B1566" s="65" t="str">
        <f>IF($D1566="","","T"&amp;TEXT(ROW()-6,"00000"))</f>
        <v/>
      </c>
      <c r="C1566" s="65" t="str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61"/>
      <c r="E1566" s="66"/>
      <c r="F1566" s="67"/>
      <c r="G1566" s="60"/>
      <c r="H1566" s="60"/>
      <c r="I1566" s="61"/>
      <c r="J1566" s="61"/>
      <c r="K1566" s="61"/>
      <c r="L1566" s="73" t="str">
        <f>IF($E1566="","",DATE(YEAR($E1566),MONTH($E1566),1))</f>
        <v/>
      </c>
      <c r="M1566" s="65" t="str">
        <f ca="1">IF($D1566="","",IF($C1566="TANIMSIZ MÜŞTERİ","HATA",IF(OR($E1566="",$F1566&lt;=0,$G1566=""),"EKSİK",IF($E1566&gt;TODAY(),"İLERİ TARİH",IF(COUNTIF($S$7:$S$2503,$S1566)&gt;1,"MÜKERRER?",IF($T1566&gt;0,"KAPALI DÖNEM","UYGUN"))))))</f>
        <v/>
      </c>
      <c r="N1566" s="74" t="str">
        <f>IF($C1566="","",IF($C1566="TANIMSIZ MÜŞTERİ","—",INDEX(MUSTERILER!$C$7:$C$156,MATCH($C1566,MUSTERILER!$B$7:$B$156,0))))</f>
        <v/>
      </c>
      <c r="O1566" s="2"/>
      <c r="P1566" s="2"/>
      <c r="Q1566" s="1" t="str">
        <f>IF($D1566="","",$C1566&amp;"|"&amp;COUNTIFS($C$7:$C1566,$C1566))</f>
        <v/>
      </c>
      <c r="R1566" s="1" t="str">
        <f t="shared" si="48"/>
        <v/>
      </c>
      <c r="S1566" s="1" t="str">
        <f t="shared" si="49"/>
        <v/>
      </c>
      <c r="T1566" s="1">
        <f>IF($E1566="",0,SUMPRODUCT((AY_SONU!$O$7:$O$42="Evet")*(AY_SONU!$B$7:$B$42=DATE(YEAR($E1566),MONTH($E1566),1))))</f>
        <v>0</v>
      </c>
      <c r="U1566" s="1" t="str">
        <f>IF(OR($G1566="",$H1566="Mahsup"),"",$G1566&amp;"|"&amp;COUNTIFS($G$7:$G1566,$G1566,$H$7:$H1566,"&lt;&gt;Mahsup"))</f>
        <v/>
      </c>
    </row>
    <row r="1567" spans="1:21" ht="18" customHeight="1" x14ac:dyDescent="0.3">
      <c r="A1567" s="2"/>
      <c r="B1567" s="65" t="str">
        <f>IF($D1567="","","T"&amp;TEXT(ROW()-6,"00000"))</f>
        <v/>
      </c>
      <c r="C1567" s="65" t="str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61"/>
      <c r="E1567" s="66"/>
      <c r="F1567" s="67"/>
      <c r="G1567" s="60"/>
      <c r="H1567" s="60"/>
      <c r="I1567" s="61"/>
      <c r="J1567" s="61"/>
      <c r="K1567" s="61"/>
      <c r="L1567" s="73" t="str">
        <f>IF($E1567="","",DATE(YEAR($E1567),MONTH($E1567),1))</f>
        <v/>
      </c>
      <c r="M1567" s="65" t="str">
        <f ca="1">IF($D1567="","",IF($C1567="TANIMSIZ MÜŞTERİ","HATA",IF(OR($E1567="",$F1567&lt;=0,$G1567=""),"EKSİK",IF($E1567&gt;TODAY(),"İLERİ TARİH",IF(COUNTIF($S$7:$S$2503,$S1567)&gt;1,"MÜKERRER?",IF($T1567&gt;0,"KAPALI DÖNEM","UYGUN"))))))</f>
        <v/>
      </c>
      <c r="N1567" s="74" t="str">
        <f>IF($C1567="","",IF($C1567="TANIMSIZ MÜŞTERİ","—",INDEX(MUSTERILER!$C$7:$C$156,MATCH($C1567,MUSTERILER!$B$7:$B$156,0))))</f>
        <v/>
      </c>
      <c r="O1567" s="2"/>
      <c r="P1567" s="2"/>
      <c r="Q1567" s="1" t="str">
        <f>IF($D1567="","",$C1567&amp;"|"&amp;COUNTIFS($C$7:$C1567,$C1567))</f>
        <v/>
      </c>
      <c r="R1567" s="1" t="str">
        <f t="shared" si="48"/>
        <v/>
      </c>
      <c r="S1567" s="1" t="str">
        <f t="shared" si="49"/>
        <v/>
      </c>
      <c r="T1567" s="1">
        <f>IF($E1567="",0,SUMPRODUCT((AY_SONU!$O$7:$O$42="Evet")*(AY_SONU!$B$7:$B$42=DATE(YEAR($E1567),MONTH($E1567),1))))</f>
        <v>0</v>
      </c>
      <c r="U1567" s="1" t="str">
        <f>IF(OR($G1567="",$H1567="Mahsup"),"",$G1567&amp;"|"&amp;COUNTIFS($G$7:$G1567,$G1567,$H$7:$H1567,"&lt;&gt;Mahsup"))</f>
        <v/>
      </c>
    </row>
    <row r="1568" spans="1:21" ht="18" customHeight="1" x14ac:dyDescent="0.3">
      <c r="A1568" s="2"/>
      <c r="B1568" s="65" t="str">
        <f>IF($D1568="","","T"&amp;TEXT(ROW()-6,"00000"))</f>
        <v/>
      </c>
      <c r="C1568" s="65" t="str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61"/>
      <c r="E1568" s="66"/>
      <c r="F1568" s="67"/>
      <c r="G1568" s="60"/>
      <c r="H1568" s="60"/>
      <c r="I1568" s="61"/>
      <c r="J1568" s="61"/>
      <c r="K1568" s="61"/>
      <c r="L1568" s="73" t="str">
        <f>IF($E1568="","",DATE(YEAR($E1568),MONTH($E1568),1))</f>
        <v/>
      </c>
      <c r="M1568" s="65" t="str">
        <f ca="1">IF($D1568="","",IF($C1568="TANIMSIZ MÜŞTERİ","HATA",IF(OR($E1568="",$F1568&lt;=0,$G1568=""),"EKSİK",IF($E1568&gt;TODAY(),"İLERİ TARİH",IF(COUNTIF($S$7:$S$2503,$S1568)&gt;1,"MÜKERRER?",IF($T1568&gt;0,"KAPALI DÖNEM","UYGUN"))))))</f>
        <v/>
      </c>
      <c r="N1568" s="74" t="str">
        <f>IF($C1568="","",IF($C1568="TANIMSIZ MÜŞTERİ","—",INDEX(MUSTERILER!$C$7:$C$156,MATCH($C1568,MUSTERILER!$B$7:$B$156,0))))</f>
        <v/>
      </c>
      <c r="O1568" s="2"/>
      <c r="P1568" s="2"/>
      <c r="Q1568" s="1" t="str">
        <f>IF($D1568="","",$C1568&amp;"|"&amp;COUNTIFS($C$7:$C1568,$C1568))</f>
        <v/>
      </c>
      <c r="R1568" s="1" t="str">
        <f t="shared" si="48"/>
        <v/>
      </c>
      <c r="S1568" s="1" t="str">
        <f t="shared" si="49"/>
        <v/>
      </c>
      <c r="T1568" s="1">
        <f>IF($E1568="",0,SUMPRODUCT((AY_SONU!$O$7:$O$42="Evet")*(AY_SONU!$B$7:$B$42=DATE(YEAR($E1568),MONTH($E1568),1))))</f>
        <v>0</v>
      </c>
      <c r="U1568" s="1" t="str">
        <f>IF(OR($G1568="",$H1568="Mahsup"),"",$G1568&amp;"|"&amp;COUNTIFS($G$7:$G1568,$G1568,$H$7:$H1568,"&lt;&gt;Mahsup"))</f>
        <v/>
      </c>
    </row>
    <row r="1569" spans="1:21" ht="18" customHeight="1" x14ac:dyDescent="0.3">
      <c r="A1569" s="2"/>
      <c r="B1569" s="65" t="str">
        <f>IF($D1569="","","T"&amp;TEXT(ROW()-6,"00000"))</f>
        <v/>
      </c>
      <c r="C1569" s="65" t="str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61"/>
      <c r="E1569" s="66"/>
      <c r="F1569" s="67"/>
      <c r="G1569" s="60"/>
      <c r="H1569" s="60"/>
      <c r="I1569" s="61"/>
      <c r="J1569" s="61"/>
      <c r="K1569" s="61"/>
      <c r="L1569" s="73" t="str">
        <f>IF($E1569="","",DATE(YEAR($E1569),MONTH($E1569),1))</f>
        <v/>
      </c>
      <c r="M1569" s="65" t="str">
        <f ca="1">IF($D1569="","",IF($C1569="TANIMSIZ MÜŞTERİ","HATA",IF(OR($E1569="",$F1569&lt;=0,$G1569=""),"EKSİK",IF($E1569&gt;TODAY(),"İLERİ TARİH",IF(COUNTIF($S$7:$S$2503,$S1569)&gt;1,"MÜKERRER?",IF($T1569&gt;0,"KAPALI DÖNEM","UYGUN"))))))</f>
        <v/>
      </c>
      <c r="N1569" s="74" t="str">
        <f>IF($C1569="","",IF($C1569="TANIMSIZ MÜŞTERİ","—",INDEX(MUSTERILER!$C$7:$C$156,MATCH($C1569,MUSTERILER!$B$7:$B$156,0))))</f>
        <v/>
      </c>
      <c r="O1569" s="2"/>
      <c r="P1569" s="2"/>
      <c r="Q1569" s="1" t="str">
        <f>IF($D1569="","",$C1569&amp;"|"&amp;COUNTIFS($C$7:$C1569,$C1569))</f>
        <v/>
      </c>
      <c r="R1569" s="1" t="str">
        <f t="shared" si="48"/>
        <v/>
      </c>
      <c r="S1569" s="1" t="str">
        <f t="shared" si="49"/>
        <v/>
      </c>
      <c r="T1569" s="1">
        <f>IF($E1569="",0,SUMPRODUCT((AY_SONU!$O$7:$O$42="Evet")*(AY_SONU!$B$7:$B$42=DATE(YEAR($E1569),MONTH($E1569),1))))</f>
        <v>0</v>
      </c>
      <c r="U1569" s="1" t="str">
        <f>IF(OR($G1569="",$H1569="Mahsup"),"",$G1569&amp;"|"&amp;COUNTIFS($G$7:$G1569,$G1569,$H$7:$H1569,"&lt;&gt;Mahsup"))</f>
        <v/>
      </c>
    </row>
    <row r="1570" spans="1:21" ht="18" customHeight="1" x14ac:dyDescent="0.3">
      <c r="A1570" s="2"/>
      <c r="B1570" s="65" t="str">
        <f>IF($D1570="","","T"&amp;TEXT(ROW()-6,"00000"))</f>
        <v/>
      </c>
      <c r="C1570" s="65" t="str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61"/>
      <c r="E1570" s="66"/>
      <c r="F1570" s="67"/>
      <c r="G1570" s="60"/>
      <c r="H1570" s="60"/>
      <c r="I1570" s="61"/>
      <c r="J1570" s="61"/>
      <c r="K1570" s="61"/>
      <c r="L1570" s="73" t="str">
        <f>IF($E1570="","",DATE(YEAR($E1570),MONTH($E1570),1))</f>
        <v/>
      </c>
      <c r="M1570" s="65" t="str">
        <f ca="1">IF($D1570="","",IF($C1570="TANIMSIZ MÜŞTERİ","HATA",IF(OR($E1570="",$F1570&lt;=0,$G1570=""),"EKSİK",IF($E1570&gt;TODAY(),"İLERİ TARİH",IF(COUNTIF($S$7:$S$2503,$S1570)&gt;1,"MÜKERRER?",IF($T1570&gt;0,"KAPALI DÖNEM","UYGUN"))))))</f>
        <v/>
      </c>
      <c r="N1570" s="74" t="str">
        <f>IF($C1570="","",IF($C1570="TANIMSIZ MÜŞTERİ","—",INDEX(MUSTERILER!$C$7:$C$156,MATCH($C1570,MUSTERILER!$B$7:$B$156,0))))</f>
        <v/>
      </c>
      <c r="O1570" s="2"/>
      <c r="P1570" s="2"/>
      <c r="Q1570" s="1" t="str">
        <f>IF($D1570="","",$C1570&amp;"|"&amp;COUNTIFS($C$7:$C1570,$C1570))</f>
        <v/>
      </c>
      <c r="R1570" s="1" t="str">
        <f t="shared" si="48"/>
        <v/>
      </c>
      <c r="S1570" s="1" t="str">
        <f t="shared" si="49"/>
        <v/>
      </c>
      <c r="T1570" s="1">
        <f>IF($E1570="",0,SUMPRODUCT((AY_SONU!$O$7:$O$42="Evet")*(AY_SONU!$B$7:$B$42=DATE(YEAR($E1570),MONTH($E1570),1))))</f>
        <v>0</v>
      </c>
      <c r="U1570" s="1" t="str">
        <f>IF(OR($G1570="",$H1570="Mahsup"),"",$G1570&amp;"|"&amp;COUNTIFS($G$7:$G1570,$G1570,$H$7:$H1570,"&lt;&gt;Mahsup"))</f>
        <v/>
      </c>
    </row>
    <row r="1571" spans="1:21" ht="18" customHeight="1" x14ac:dyDescent="0.3">
      <c r="A1571" s="2"/>
      <c r="B1571" s="65" t="str">
        <f>IF($D1571="","","T"&amp;TEXT(ROW()-6,"00000"))</f>
        <v/>
      </c>
      <c r="C1571" s="65" t="str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61"/>
      <c r="E1571" s="66"/>
      <c r="F1571" s="67"/>
      <c r="G1571" s="60"/>
      <c r="H1571" s="60"/>
      <c r="I1571" s="61"/>
      <c r="J1571" s="61"/>
      <c r="K1571" s="61"/>
      <c r="L1571" s="73" t="str">
        <f>IF($E1571="","",DATE(YEAR($E1571),MONTH($E1571),1))</f>
        <v/>
      </c>
      <c r="M1571" s="65" t="str">
        <f ca="1">IF($D1571="","",IF($C1571="TANIMSIZ MÜŞTERİ","HATA",IF(OR($E1571="",$F1571&lt;=0,$G1571=""),"EKSİK",IF($E1571&gt;TODAY(),"İLERİ TARİH",IF(COUNTIF($S$7:$S$2503,$S1571)&gt;1,"MÜKERRER?",IF($T1571&gt;0,"KAPALI DÖNEM","UYGUN"))))))</f>
        <v/>
      </c>
      <c r="N1571" s="74" t="str">
        <f>IF($C1571="","",IF($C1571="TANIMSIZ MÜŞTERİ","—",INDEX(MUSTERILER!$C$7:$C$156,MATCH($C1571,MUSTERILER!$B$7:$B$156,0))))</f>
        <v/>
      </c>
      <c r="O1571" s="2"/>
      <c r="P1571" s="2"/>
      <c r="Q1571" s="1" t="str">
        <f>IF($D1571="","",$C1571&amp;"|"&amp;COUNTIFS($C$7:$C1571,$C1571))</f>
        <v/>
      </c>
      <c r="R1571" s="1" t="str">
        <f t="shared" si="48"/>
        <v/>
      </c>
      <c r="S1571" s="1" t="str">
        <f t="shared" si="49"/>
        <v/>
      </c>
      <c r="T1571" s="1">
        <f>IF($E1571="",0,SUMPRODUCT((AY_SONU!$O$7:$O$42="Evet")*(AY_SONU!$B$7:$B$42=DATE(YEAR($E1571),MONTH($E1571),1))))</f>
        <v>0</v>
      </c>
      <c r="U1571" s="1" t="str">
        <f>IF(OR($G1571="",$H1571="Mahsup"),"",$G1571&amp;"|"&amp;COUNTIFS($G$7:$G1571,$G1571,$H$7:$H1571,"&lt;&gt;Mahsup"))</f>
        <v/>
      </c>
    </row>
    <row r="1572" spans="1:21" ht="18" customHeight="1" x14ac:dyDescent="0.3">
      <c r="A1572" s="2"/>
      <c r="B1572" s="65" t="str">
        <f>IF($D1572="","","T"&amp;TEXT(ROW()-6,"00000"))</f>
        <v/>
      </c>
      <c r="C1572" s="65" t="str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61"/>
      <c r="E1572" s="66"/>
      <c r="F1572" s="67"/>
      <c r="G1572" s="60"/>
      <c r="H1572" s="60"/>
      <c r="I1572" s="61"/>
      <c r="J1572" s="61"/>
      <c r="K1572" s="61"/>
      <c r="L1572" s="73" t="str">
        <f>IF($E1572="","",DATE(YEAR($E1572),MONTH($E1572),1))</f>
        <v/>
      </c>
      <c r="M1572" s="65" t="str">
        <f ca="1">IF($D1572="","",IF($C1572="TANIMSIZ MÜŞTERİ","HATA",IF(OR($E1572="",$F1572&lt;=0,$G1572=""),"EKSİK",IF($E1572&gt;TODAY(),"İLERİ TARİH",IF(COUNTIF($S$7:$S$2503,$S1572)&gt;1,"MÜKERRER?",IF($T1572&gt;0,"KAPALI DÖNEM","UYGUN"))))))</f>
        <v/>
      </c>
      <c r="N1572" s="74" t="str">
        <f>IF($C1572="","",IF($C1572="TANIMSIZ MÜŞTERİ","—",INDEX(MUSTERILER!$C$7:$C$156,MATCH($C1572,MUSTERILER!$B$7:$B$156,0))))</f>
        <v/>
      </c>
      <c r="O1572" s="2"/>
      <c r="P1572" s="2"/>
      <c r="Q1572" s="1" t="str">
        <f>IF($D1572="","",$C1572&amp;"|"&amp;COUNTIFS($C$7:$C1572,$C1572))</f>
        <v/>
      </c>
      <c r="R1572" s="1" t="str">
        <f t="shared" si="48"/>
        <v/>
      </c>
      <c r="S1572" s="1" t="str">
        <f t="shared" si="49"/>
        <v/>
      </c>
      <c r="T1572" s="1">
        <f>IF($E1572="",0,SUMPRODUCT((AY_SONU!$O$7:$O$42="Evet")*(AY_SONU!$B$7:$B$42=DATE(YEAR($E1572),MONTH($E1572),1))))</f>
        <v>0</v>
      </c>
      <c r="U1572" s="1" t="str">
        <f>IF(OR($G1572="",$H1572="Mahsup"),"",$G1572&amp;"|"&amp;COUNTIFS($G$7:$G1572,$G1572,$H$7:$H1572,"&lt;&gt;Mahsup"))</f>
        <v/>
      </c>
    </row>
    <row r="1573" spans="1:21" ht="18" customHeight="1" x14ac:dyDescent="0.3">
      <c r="A1573" s="2"/>
      <c r="B1573" s="65" t="str">
        <f>IF($D1573="","","T"&amp;TEXT(ROW()-6,"00000"))</f>
        <v/>
      </c>
      <c r="C1573" s="65" t="str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61"/>
      <c r="E1573" s="66"/>
      <c r="F1573" s="67"/>
      <c r="G1573" s="60"/>
      <c r="H1573" s="60"/>
      <c r="I1573" s="61"/>
      <c r="J1573" s="61"/>
      <c r="K1573" s="61"/>
      <c r="L1573" s="73" t="str">
        <f>IF($E1573="","",DATE(YEAR($E1573),MONTH($E1573),1))</f>
        <v/>
      </c>
      <c r="M1573" s="65" t="str">
        <f ca="1">IF($D1573="","",IF($C1573="TANIMSIZ MÜŞTERİ","HATA",IF(OR($E1573="",$F1573&lt;=0,$G1573=""),"EKSİK",IF($E1573&gt;TODAY(),"İLERİ TARİH",IF(COUNTIF($S$7:$S$2503,$S1573)&gt;1,"MÜKERRER?",IF($T1573&gt;0,"KAPALI DÖNEM","UYGUN"))))))</f>
        <v/>
      </c>
      <c r="N1573" s="74" t="str">
        <f>IF($C1573="","",IF($C1573="TANIMSIZ MÜŞTERİ","—",INDEX(MUSTERILER!$C$7:$C$156,MATCH($C1573,MUSTERILER!$B$7:$B$156,0))))</f>
        <v/>
      </c>
      <c r="O1573" s="2"/>
      <c r="P1573" s="2"/>
      <c r="Q1573" s="1" t="str">
        <f>IF($D1573="","",$C1573&amp;"|"&amp;COUNTIFS($C$7:$C1573,$C1573))</f>
        <v/>
      </c>
      <c r="R1573" s="1" t="str">
        <f t="shared" si="48"/>
        <v/>
      </c>
      <c r="S1573" s="1" t="str">
        <f t="shared" si="49"/>
        <v/>
      </c>
      <c r="T1573" s="1">
        <f>IF($E1573="",0,SUMPRODUCT((AY_SONU!$O$7:$O$42="Evet")*(AY_SONU!$B$7:$B$42=DATE(YEAR($E1573),MONTH($E1573),1))))</f>
        <v>0</v>
      </c>
      <c r="U1573" s="1" t="str">
        <f>IF(OR($G1573="",$H1573="Mahsup"),"",$G1573&amp;"|"&amp;COUNTIFS($G$7:$G1573,$G1573,$H$7:$H1573,"&lt;&gt;Mahsup"))</f>
        <v/>
      </c>
    </row>
    <row r="1574" spans="1:21" ht="18" customHeight="1" x14ac:dyDescent="0.3">
      <c r="A1574" s="2"/>
      <c r="B1574" s="65" t="str">
        <f>IF($D1574="","","T"&amp;TEXT(ROW()-6,"00000"))</f>
        <v/>
      </c>
      <c r="C1574" s="65" t="str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61"/>
      <c r="E1574" s="66"/>
      <c r="F1574" s="67"/>
      <c r="G1574" s="60"/>
      <c r="H1574" s="60"/>
      <c r="I1574" s="61"/>
      <c r="J1574" s="61"/>
      <c r="K1574" s="61"/>
      <c r="L1574" s="73" t="str">
        <f>IF($E1574="","",DATE(YEAR($E1574),MONTH($E1574),1))</f>
        <v/>
      </c>
      <c r="M1574" s="65" t="str">
        <f ca="1">IF($D1574="","",IF($C1574="TANIMSIZ MÜŞTERİ","HATA",IF(OR($E1574="",$F1574&lt;=0,$G1574=""),"EKSİK",IF($E1574&gt;TODAY(),"İLERİ TARİH",IF(COUNTIF($S$7:$S$2503,$S1574)&gt;1,"MÜKERRER?",IF($T1574&gt;0,"KAPALI DÖNEM","UYGUN"))))))</f>
        <v/>
      </c>
      <c r="N1574" s="74" t="str">
        <f>IF($C1574="","",IF($C1574="TANIMSIZ MÜŞTERİ","—",INDEX(MUSTERILER!$C$7:$C$156,MATCH($C1574,MUSTERILER!$B$7:$B$156,0))))</f>
        <v/>
      </c>
      <c r="O1574" s="2"/>
      <c r="P1574" s="2"/>
      <c r="Q1574" s="1" t="str">
        <f>IF($D1574="","",$C1574&amp;"|"&amp;COUNTIFS($C$7:$C1574,$C1574))</f>
        <v/>
      </c>
      <c r="R1574" s="1" t="str">
        <f t="shared" si="48"/>
        <v/>
      </c>
      <c r="S1574" s="1" t="str">
        <f t="shared" si="49"/>
        <v/>
      </c>
      <c r="T1574" s="1">
        <f>IF($E1574="",0,SUMPRODUCT((AY_SONU!$O$7:$O$42="Evet")*(AY_SONU!$B$7:$B$42=DATE(YEAR($E1574),MONTH($E1574),1))))</f>
        <v>0</v>
      </c>
      <c r="U1574" s="1" t="str">
        <f>IF(OR($G1574="",$H1574="Mahsup"),"",$G1574&amp;"|"&amp;COUNTIFS($G$7:$G1574,$G1574,$H$7:$H1574,"&lt;&gt;Mahsup"))</f>
        <v/>
      </c>
    </row>
    <row r="1575" spans="1:21" ht="18" customHeight="1" x14ac:dyDescent="0.3">
      <c r="A1575" s="2"/>
      <c r="B1575" s="65" t="str">
        <f>IF($D1575="","","T"&amp;TEXT(ROW()-6,"00000"))</f>
        <v/>
      </c>
      <c r="C1575" s="65" t="str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61"/>
      <c r="E1575" s="66"/>
      <c r="F1575" s="67"/>
      <c r="G1575" s="60"/>
      <c r="H1575" s="60"/>
      <c r="I1575" s="61"/>
      <c r="J1575" s="61"/>
      <c r="K1575" s="61"/>
      <c r="L1575" s="73" t="str">
        <f>IF($E1575="","",DATE(YEAR($E1575),MONTH($E1575),1))</f>
        <v/>
      </c>
      <c r="M1575" s="65" t="str">
        <f ca="1">IF($D1575="","",IF($C1575="TANIMSIZ MÜŞTERİ","HATA",IF(OR($E1575="",$F1575&lt;=0,$G1575=""),"EKSİK",IF($E1575&gt;TODAY(),"İLERİ TARİH",IF(COUNTIF($S$7:$S$2503,$S1575)&gt;1,"MÜKERRER?",IF($T1575&gt;0,"KAPALI DÖNEM","UYGUN"))))))</f>
        <v/>
      </c>
      <c r="N1575" s="74" t="str">
        <f>IF($C1575="","",IF($C1575="TANIMSIZ MÜŞTERİ","—",INDEX(MUSTERILER!$C$7:$C$156,MATCH($C1575,MUSTERILER!$B$7:$B$156,0))))</f>
        <v/>
      </c>
      <c r="O1575" s="2"/>
      <c r="P1575" s="2"/>
      <c r="Q1575" s="1" t="str">
        <f>IF($D1575="","",$C1575&amp;"|"&amp;COUNTIFS($C$7:$C1575,$C1575))</f>
        <v/>
      </c>
      <c r="R1575" s="1" t="str">
        <f t="shared" si="48"/>
        <v/>
      </c>
      <c r="S1575" s="1" t="str">
        <f t="shared" si="49"/>
        <v/>
      </c>
      <c r="T1575" s="1">
        <f>IF($E1575="",0,SUMPRODUCT((AY_SONU!$O$7:$O$42="Evet")*(AY_SONU!$B$7:$B$42=DATE(YEAR($E1575),MONTH($E1575),1))))</f>
        <v>0</v>
      </c>
      <c r="U1575" s="1" t="str">
        <f>IF(OR($G1575="",$H1575="Mahsup"),"",$G1575&amp;"|"&amp;COUNTIFS($G$7:$G1575,$G1575,$H$7:$H1575,"&lt;&gt;Mahsup"))</f>
        <v/>
      </c>
    </row>
    <row r="1576" spans="1:21" ht="18" customHeight="1" x14ac:dyDescent="0.3">
      <c r="A1576" s="2"/>
      <c r="B1576" s="65" t="str">
        <f>IF($D1576="","","T"&amp;TEXT(ROW()-6,"00000"))</f>
        <v/>
      </c>
      <c r="C1576" s="65" t="str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61"/>
      <c r="E1576" s="66"/>
      <c r="F1576" s="67"/>
      <c r="G1576" s="60"/>
      <c r="H1576" s="60"/>
      <c r="I1576" s="61"/>
      <c r="J1576" s="61"/>
      <c r="K1576" s="61"/>
      <c r="L1576" s="73" t="str">
        <f>IF($E1576="","",DATE(YEAR($E1576),MONTH($E1576),1))</f>
        <v/>
      </c>
      <c r="M1576" s="65" t="str">
        <f ca="1">IF($D1576="","",IF($C1576="TANIMSIZ MÜŞTERİ","HATA",IF(OR($E1576="",$F1576&lt;=0,$G1576=""),"EKSİK",IF($E1576&gt;TODAY(),"İLERİ TARİH",IF(COUNTIF($S$7:$S$2503,$S1576)&gt;1,"MÜKERRER?",IF($T1576&gt;0,"KAPALI DÖNEM","UYGUN"))))))</f>
        <v/>
      </c>
      <c r="N1576" s="74" t="str">
        <f>IF($C1576="","",IF($C1576="TANIMSIZ MÜŞTERİ","—",INDEX(MUSTERILER!$C$7:$C$156,MATCH($C1576,MUSTERILER!$B$7:$B$156,0))))</f>
        <v/>
      </c>
      <c r="O1576" s="2"/>
      <c r="P1576" s="2"/>
      <c r="Q1576" s="1" t="str">
        <f>IF($D1576="","",$C1576&amp;"|"&amp;COUNTIFS($C$7:$C1576,$C1576))</f>
        <v/>
      </c>
      <c r="R1576" s="1" t="str">
        <f t="shared" si="48"/>
        <v/>
      </c>
      <c r="S1576" s="1" t="str">
        <f t="shared" si="49"/>
        <v/>
      </c>
      <c r="T1576" s="1">
        <f>IF($E1576="",0,SUMPRODUCT((AY_SONU!$O$7:$O$42="Evet")*(AY_SONU!$B$7:$B$42=DATE(YEAR($E1576),MONTH($E1576),1))))</f>
        <v>0</v>
      </c>
      <c r="U1576" s="1" t="str">
        <f>IF(OR($G1576="",$H1576="Mahsup"),"",$G1576&amp;"|"&amp;COUNTIFS($G$7:$G1576,$G1576,$H$7:$H1576,"&lt;&gt;Mahsup"))</f>
        <v/>
      </c>
    </row>
    <row r="1577" spans="1:21" ht="18" customHeight="1" x14ac:dyDescent="0.3">
      <c r="A1577" s="2"/>
      <c r="B1577" s="65" t="str">
        <f>IF($D1577="","","T"&amp;TEXT(ROW()-6,"00000"))</f>
        <v/>
      </c>
      <c r="C1577" s="65" t="str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61"/>
      <c r="E1577" s="66"/>
      <c r="F1577" s="67"/>
      <c r="G1577" s="60"/>
      <c r="H1577" s="60"/>
      <c r="I1577" s="61"/>
      <c r="J1577" s="61"/>
      <c r="K1577" s="61"/>
      <c r="L1577" s="73" t="str">
        <f>IF($E1577="","",DATE(YEAR($E1577),MONTH($E1577),1))</f>
        <v/>
      </c>
      <c r="M1577" s="65" t="str">
        <f ca="1">IF($D1577="","",IF($C1577="TANIMSIZ MÜŞTERİ","HATA",IF(OR($E1577="",$F1577&lt;=0,$G1577=""),"EKSİK",IF($E1577&gt;TODAY(),"İLERİ TARİH",IF(COUNTIF($S$7:$S$2503,$S1577)&gt;1,"MÜKERRER?",IF($T1577&gt;0,"KAPALI DÖNEM","UYGUN"))))))</f>
        <v/>
      </c>
      <c r="N1577" s="74" t="str">
        <f>IF($C1577="","",IF($C1577="TANIMSIZ MÜŞTERİ","—",INDEX(MUSTERILER!$C$7:$C$156,MATCH($C1577,MUSTERILER!$B$7:$B$156,0))))</f>
        <v/>
      </c>
      <c r="O1577" s="2"/>
      <c r="P1577" s="2"/>
      <c r="Q1577" s="1" t="str">
        <f>IF($D1577="","",$C1577&amp;"|"&amp;COUNTIFS($C$7:$C1577,$C1577))</f>
        <v/>
      </c>
      <c r="R1577" s="1" t="str">
        <f t="shared" si="48"/>
        <v/>
      </c>
      <c r="S1577" s="1" t="str">
        <f t="shared" si="49"/>
        <v/>
      </c>
      <c r="T1577" s="1">
        <f>IF($E1577="",0,SUMPRODUCT((AY_SONU!$O$7:$O$42="Evet")*(AY_SONU!$B$7:$B$42=DATE(YEAR($E1577),MONTH($E1577),1))))</f>
        <v>0</v>
      </c>
      <c r="U1577" s="1" t="str">
        <f>IF(OR($G1577="",$H1577="Mahsup"),"",$G1577&amp;"|"&amp;COUNTIFS($G$7:$G1577,$G1577,$H$7:$H1577,"&lt;&gt;Mahsup"))</f>
        <v/>
      </c>
    </row>
    <row r="1578" spans="1:21" ht="18" customHeight="1" x14ac:dyDescent="0.3">
      <c r="A1578" s="2"/>
      <c r="B1578" s="65" t="str">
        <f>IF($D1578="","","T"&amp;TEXT(ROW()-6,"00000"))</f>
        <v/>
      </c>
      <c r="C1578" s="65" t="str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61"/>
      <c r="E1578" s="66"/>
      <c r="F1578" s="67"/>
      <c r="G1578" s="60"/>
      <c r="H1578" s="60"/>
      <c r="I1578" s="61"/>
      <c r="J1578" s="61"/>
      <c r="K1578" s="61"/>
      <c r="L1578" s="73" t="str">
        <f>IF($E1578="","",DATE(YEAR($E1578),MONTH($E1578),1))</f>
        <v/>
      </c>
      <c r="M1578" s="65" t="str">
        <f ca="1">IF($D1578="","",IF($C1578="TANIMSIZ MÜŞTERİ","HATA",IF(OR($E1578="",$F1578&lt;=0,$G1578=""),"EKSİK",IF($E1578&gt;TODAY(),"İLERİ TARİH",IF(COUNTIF($S$7:$S$2503,$S1578)&gt;1,"MÜKERRER?",IF($T1578&gt;0,"KAPALI DÖNEM","UYGUN"))))))</f>
        <v/>
      </c>
      <c r="N1578" s="74" t="str">
        <f>IF($C1578="","",IF($C1578="TANIMSIZ MÜŞTERİ","—",INDEX(MUSTERILER!$C$7:$C$156,MATCH($C1578,MUSTERILER!$B$7:$B$156,0))))</f>
        <v/>
      </c>
      <c r="O1578" s="2"/>
      <c r="P1578" s="2"/>
      <c r="Q1578" s="1" t="str">
        <f>IF($D1578="","",$C1578&amp;"|"&amp;COUNTIFS($C$7:$C1578,$C1578))</f>
        <v/>
      </c>
      <c r="R1578" s="1" t="str">
        <f t="shared" si="48"/>
        <v/>
      </c>
      <c r="S1578" s="1" t="str">
        <f t="shared" si="49"/>
        <v/>
      </c>
      <c r="T1578" s="1">
        <f>IF($E1578="",0,SUMPRODUCT((AY_SONU!$O$7:$O$42="Evet")*(AY_SONU!$B$7:$B$42=DATE(YEAR($E1578),MONTH($E1578),1))))</f>
        <v>0</v>
      </c>
      <c r="U1578" s="1" t="str">
        <f>IF(OR($G1578="",$H1578="Mahsup"),"",$G1578&amp;"|"&amp;COUNTIFS($G$7:$G1578,$G1578,$H$7:$H1578,"&lt;&gt;Mahsup"))</f>
        <v/>
      </c>
    </row>
    <row r="1579" spans="1:21" ht="18" customHeight="1" x14ac:dyDescent="0.3">
      <c r="A1579" s="2"/>
      <c r="B1579" s="65" t="str">
        <f>IF($D1579="","","T"&amp;TEXT(ROW()-6,"00000"))</f>
        <v/>
      </c>
      <c r="C1579" s="65" t="str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61"/>
      <c r="E1579" s="66"/>
      <c r="F1579" s="67"/>
      <c r="G1579" s="60"/>
      <c r="H1579" s="60"/>
      <c r="I1579" s="61"/>
      <c r="J1579" s="61"/>
      <c r="K1579" s="61"/>
      <c r="L1579" s="73" t="str">
        <f>IF($E1579="","",DATE(YEAR($E1579),MONTH($E1579),1))</f>
        <v/>
      </c>
      <c r="M1579" s="65" t="str">
        <f ca="1">IF($D1579="","",IF($C1579="TANIMSIZ MÜŞTERİ","HATA",IF(OR($E1579="",$F1579&lt;=0,$G1579=""),"EKSİK",IF($E1579&gt;TODAY(),"İLERİ TARİH",IF(COUNTIF($S$7:$S$2503,$S1579)&gt;1,"MÜKERRER?",IF($T1579&gt;0,"KAPALI DÖNEM","UYGUN"))))))</f>
        <v/>
      </c>
      <c r="N1579" s="74" t="str">
        <f>IF($C1579="","",IF($C1579="TANIMSIZ MÜŞTERİ","—",INDEX(MUSTERILER!$C$7:$C$156,MATCH($C1579,MUSTERILER!$B$7:$B$156,0))))</f>
        <v/>
      </c>
      <c r="O1579" s="2"/>
      <c r="P1579" s="2"/>
      <c r="Q1579" s="1" t="str">
        <f>IF($D1579="","",$C1579&amp;"|"&amp;COUNTIFS($C$7:$C1579,$C1579))</f>
        <v/>
      </c>
      <c r="R1579" s="1" t="str">
        <f t="shared" si="48"/>
        <v/>
      </c>
      <c r="S1579" s="1" t="str">
        <f t="shared" si="49"/>
        <v/>
      </c>
      <c r="T1579" s="1">
        <f>IF($E1579="",0,SUMPRODUCT((AY_SONU!$O$7:$O$42="Evet")*(AY_SONU!$B$7:$B$42=DATE(YEAR($E1579),MONTH($E1579),1))))</f>
        <v>0</v>
      </c>
      <c r="U1579" s="1" t="str">
        <f>IF(OR($G1579="",$H1579="Mahsup"),"",$G1579&amp;"|"&amp;COUNTIFS($G$7:$G1579,$G1579,$H$7:$H1579,"&lt;&gt;Mahsup"))</f>
        <v/>
      </c>
    </row>
    <row r="1580" spans="1:21" ht="18" customHeight="1" x14ac:dyDescent="0.3">
      <c r="A1580" s="2"/>
      <c r="B1580" s="65" t="str">
        <f>IF($D1580="","","T"&amp;TEXT(ROW()-6,"00000"))</f>
        <v/>
      </c>
      <c r="C1580" s="65" t="str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61"/>
      <c r="E1580" s="66"/>
      <c r="F1580" s="67"/>
      <c r="G1580" s="60"/>
      <c r="H1580" s="60"/>
      <c r="I1580" s="61"/>
      <c r="J1580" s="61"/>
      <c r="K1580" s="61"/>
      <c r="L1580" s="73" t="str">
        <f>IF($E1580="","",DATE(YEAR($E1580),MONTH($E1580),1))</f>
        <v/>
      </c>
      <c r="M1580" s="65" t="str">
        <f ca="1">IF($D1580="","",IF($C1580="TANIMSIZ MÜŞTERİ","HATA",IF(OR($E1580="",$F1580&lt;=0,$G1580=""),"EKSİK",IF($E1580&gt;TODAY(),"İLERİ TARİH",IF(COUNTIF($S$7:$S$2503,$S1580)&gt;1,"MÜKERRER?",IF($T1580&gt;0,"KAPALI DÖNEM","UYGUN"))))))</f>
        <v/>
      </c>
      <c r="N1580" s="74" t="str">
        <f>IF($C1580="","",IF($C1580="TANIMSIZ MÜŞTERİ","—",INDEX(MUSTERILER!$C$7:$C$156,MATCH($C1580,MUSTERILER!$B$7:$B$156,0))))</f>
        <v/>
      </c>
      <c r="O1580" s="2"/>
      <c r="P1580" s="2"/>
      <c r="Q1580" s="1" t="str">
        <f>IF($D1580="","",$C1580&amp;"|"&amp;COUNTIFS($C$7:$C1580,$C1580))</f>
        <v/>
      </c>
      <c r="R1580" s="1" t="str">
        <f t="shared" si="48"/>
        <v/>
      </c>
      <c r="S1580" s="1" t="str">
        <f t="shared" si="49"/>
        <v/>
      </c>
      <c r="T1580" s="1">
        <f>IF($E1580="",0,SUMPRODUCT((AY_SONU!$O$7:$O$42="Evet")*(AY_SONU!$B$7:$B$42=DATE(YEAR($E1580),MONTH($E1580),1))))</f>
        <v>0</v>
      </c>
      <c r="U1580" s="1" t="str">
        <f>IF(OR($G1580="",$H1580="Mahsup"),"",$G1580&amp;"|"&amp;COUNTIFS($G$7:$G1580,$G1580,$H$7:$H1580,"&lt;&gt;Mahsup"))</f>
        <v/>
      </c>
    </row>
    <row r="1581" spans="1:21" ht="18" customHeight="1" x14ac:dyDescent="0.3">
      <c r="A1581" s="2"/>
      <c r="B1581" s="65" t="str">
        <f>IF($D1581="","","T"&amp;TEXT(ROW()-6,"00000"))</f>
        <v/>
      </c>
      <c r="C1581" s="65" t="str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61"/>
      <c r="E1581" s="66"/>
      <c r="F1581" s="67"/>
      <c r="G1581" s="60"/>
      <c r="H1581" s="60"/>
      <c r="I1581" s="61"/>
      <c r="J1581" s="61"/>
      <c r="K1581" s="61"/>
      <c r="L1581" s="73" t="str">
        <f>IF($E1581="","",DATE(YEAR($E1581),MONTH($E1581),1))</f>
        <v/>
      </c>
      <c r="M1581" s="65" t="str">
        <f ca="1">IF($D1581="","",IF($C1581="TANIMSIZ MÜŞTERİ","HATA",IF(OR($E1581="",$F1581&lt;=0,$G1581=""),"EKSİK",IF($E1581&gt;TODAY(),"İLERİ TARİH",IF(COUNTIF($S$7:$S$2503,$S1581)&gt;1,"MÜKERRER?",IF($T1581&gt;0,"KAPALI DÖNEM","UYGUN"))))))</f>
        <v/>
      </c>
      <c r="N1581" s="74" t="str">
        <f>IF($C1581="","",IF($C1581="TANIMSIZ MÜŞTERİ","—",INDEX(MUSTERILER!$C$7:$C$156,MATCH($C1581,MUSTERILER!$B$7:$B$156,0))))</f>
        <v/>
      </c>
      <c r="O1581" s="2"/>
      <c r="P1581" s="2"/>
      <c r="Q1581" s="1" t="str">
        <f>IF($D1581="","",$C1581&amp;"|"&amp;COUNTIFS($C$7:$C1581,$C1581))</f>
        <v/>
      </c>
      <c r="R1581" s="1" t="str">
        <f t="shared" si="48"/>
        <v/>
      </c>
      <c r="S1581" s="1" t="str">
        <f t="shared" si="49"/>
        <v/>
      </c>
      <c r="T1581" s="1">
        <f>IF($E1581="",0,SUMPRODUCT((AY_SONU!$O$7:$O$42="Evet")*(AY_SONU!$B$7:$B$42=DATE(YEAR($E1581),MONTH($E1581),1))))</f>
        <v>0</v>
      </c>
      <c r="U1581" s="1" t="str">
        <f>IF(OR($G1581="",$H1581="Mahsup"),"",$G1581&amp;"|"&amp;COUNTIFS($G$7:$G1581,$G1581,$H$7:$H1581,"&lt;&gt;Mahsup"))</f>
        <v/>
      </c>
    </row>
    <row r="1582" spans="1:21" ht="18" customHeight="1" x14ac:dyDescent="0.3">
      <c r="A1582" s="2"/>
      <c r="B1582" s="65" t="str">
        <f>IF($D1582="","","T"&amp;TEXT(ROW()-6,"00000"))</f>
        <v/>
      </c>
      <c r="C1582" s="65" t="str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61"/>
      <c r="E1582" s="66"/>
      <c r="F1582" s="67"/>
      <c r="G1582" s="60"/>
      <c r="H1582" s="60"/>
      <c r="I1582" s="61"/>
      <c r="J1582" s="61"/>
      <c r="K1582" s="61"/>
      <c r="L1582" s="73" t="str">
        <f>IF($E1582="","",DATE(YEAR($E1582),MONTH($E1582),1))</f>
        <v/>
      </c>
      <c r="M1582" s="65" t="str">
        <f ca="1">IF($D1582="","",IF($C1582="TANIMSIZ MÜŞTERİ","HATA",IF(OR($E1582="",$F1582&lt;=0,$G1582=""),"EKSİK",IF($E1582&gt;TODAY(),"İLERİ TARİH",IF(COUNTIF($S$7:$S$2503,$S1582)&gt;1,"MÜKERRER?",IF($T1582&gt;0,"KAPALI DÖNEM","UYGUN"))))))</f>
        <v/>
      </c>
      <c r="N1582" s="74" t="str">
        <f>IF($C1582="","",IF($C1582="TANIMSIZ MÜŞTERİ","—",INDEX(MUSTERILER!$C$7:$C$156,MATCH($C1582,MUSTERILER!$B$7:$B$156,0))))</f>
        <v/>
      </c>
      <c r="O1582" s="2"/>
      <c r="P1582" s="2"/>
      <c r="Q1582" s="1" t="str">
        <f>IF($D1582="","",$C1582&amp;"|"&amp;COUNTIFS($C$7:$C1582,$C1582))</f>
        <v/>
      </c>
      <c r="R1582" s="1" t="str">
        <f t="shared" si="48"/>
        <v/>
      </c>
      <c r="S1582" s="1" t="str">
        <f t="shared" si="49"/>
        <v/>
      </c>
      <c r="T1582" s="1">
        <f>IF($E1582="",0,SUMPRODUCT((AY_SONU!$O$7:$O$42="Evet")*(AY_SONU!$B$7:$B$42=DATE(YEAR($E1582),MONTH($E1582),1))))</f>
        <v>0</v>
      </c>
      <c r="U1582" s="1" t="str">
        <f>IF(OR($G1582="",$H1582="Mahsup"),"",$G1582&amp;"|"&amp;COUNTIFS($G$7:$G1582,$G1582,$H$7:$H1582,"&lt;&gt;Mahsup"))</f>
        <v/>
      </c>
    </row>
    <row r="1583" spans="1:21" ht="18" customHeight="1" x14ac:dyDescent="0.3">
      <c r="A1583" s="2"/>
      <c r="B1583" s="65" t="str">
        <f>IF($D1583="","","T"&amp;TEXT(ROW()-6,"00000"))</f>
        <v/>
      </c>
      <c r="C1583" s="65" t="str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61"/>
      <c r="E1583" s="66"/>
      <c r="F1583" s="67"/>
      <c r="G1583" s="60"/>
      <c r="H1583" s="60"/>
      <c r="I1583" s="61"/>
      <c r="J1583" s="61"/>
      <c r="K1583" s="61"/>
      <c r="L1583" s="73" t="str">
        <f>IF($E1583="","",DATE(YEAR($E1583),MONTH($E1583),1))</f>
        <v/>
      </c>
      <c r="M1583" s="65" t="str">
        <f ca="1">IF($D1583="","",IF($C1583="TANIMSIZ MÜŞTERİ","HATA",IF(OR($E1583="",$F1583&lt;=0,$G1583=""),"EKSİK",IF($E1583&gt;TODAY(),"İLERİ TARİH",IF(COUNTIF($S$7:$S$2503,$S1583)&gt;1,"MÜKERRER?",IF($T1583&gt;0,"KAPALI DÖNEM","UYGUN"))))))</f>
        <v/>
      </c>
      <c r="N1583" s="74" t="str">
        <f>IF($C1583="","",IF($C1583="TANIMSIZ MÜŞTERİ","—",INDEX(MUSTERILER!$C$7:$C$156,MATCH($C1583,MUSTERILER!$B$7:$B$156,0))))</f>
        <v/>
      </c>
      <c r="O1583" s="2"/>
      <c r="P1583" s="2"/>
      <c r="Q1583" s="1" t="str">
        <f>IF($D1583="","",$C1583&amp;"|"&amp;COUNTIFS($C$7:$C1583,$C1583))</f>
        <v/>
      </c>
      <c r="R1583" s="1" t="str">
        <f t="shared" si="48"/>
        <v/>
      </c>
      <c r="S1583" s="1" t="str">
        <f t="shared" si="49"/>
        <v/>
      </c>
      <c r="T1583" s="1">
        <f>IF($E1583="",0,SUMPRODUCT((AY_SONU!$O$7:$O$42="Evet")*(AY_SONU!$B$7:$B$42=DATE(YEAR($E1583),MONTH($E1583),1))))</f>
        <v>0</v>
      </c>
      <c r="U1583" s="1" t="str">
        <f>IF(OR($G1583="",$H1583="Mahsup"),"",$G1583&amp;"|"&amp;COUNTIFS($G$7:$G1583,$G1583,$H$7:$H1583,"&lt;&gt;Mahsup"))</f>
        <v/>
      </c>
    </row>
    <row r="1584" spans="1:21" ht="18" customHeight="1" x14ac:dyDescent="0.3">
      <c r="A1584" s="2"/>
      <c r="B1584" s="65" t="str">
        <f>IF($D1584="","","T"&amp;TEXT(ROW()-6,"00000"))</f>
        <v/>
      </c>
      <c r="C1584" s="65" t="str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61"/>
      <c r="E1584" s="66"/>
      <c r="F1584" s="67"/>
      <c r="G1584" s="60"/>
      <c r="H1584" s="60"/>
      <c r="I1584" s="61"/>
      <c r="J1584" s="61"/>
      <c r="K1584" s="61"/>
      <c r="L1584" s="73" t="str">
        <f>IF($E1584="","",DATE(YEAR($E1584),MONTH($E1584),1))</f>
        <v/>
      </c>
      <c r="M1584" s="65" t="str">
        <f ca="1">IF($D1584="","",IF($C1584="TANIMSIZ MÜŞTERİ","HATA",IF(OR($E1584="",$F1584&lt;=0,$G1584=""),"EKSİK",IF($E1584&gt;TODAY(),"İLERİ TARİH",IF(COUNTIF($S$7:$S$2503,$S1584)&gt;1,"MÜKERRER?",IF($T1584&gt;0,"KAPALI DÖNEM","UYGUN"))))))</f>
        <v/>
      </c>
      <c r="N1584" s="74" t="str">
        <f>IF($C1584="","",IF($C1584="TANIMSIZ MÜŞTERİ","—",INDEX(MUSTERILER!$C$7:$C$156,MATCH($C1584,MUSTERILER!$B$7:$B$156,0))))</f>
        <v/>
      </c>
      <c r="O1584" s="2"/>
      <c r="P1584" s="2"/>
      <c r="Q1584" s="1" t="str">
        <f>IF($D1584="","",$C1584&amp;"|"&amp;COUNTIFS($C$7:$C1584,$C1584))</f>
        <v/>
      </c>
      <c r="R1584" s="1" t="str">
        <f t="shared" si="48"/>
        <v/>
      </c>
      <c r="S1584" s="1" t="str">
        <f t="shared" si="49"/>
        <v/>
      </c>
      <c r="T1584" s="1">
        <f>IF($E1584="",0,SUMPRODUCT((AY_SONU!$O$7:$O$42="Evet")*(AY_SONU!$B$7:$B$42=DATE(YEAR($E1584),MONTH($E1584),1))))</f>
        <v>0</v>
      </c>
      <c r="U1584" s="1" t="str">
        <f>IF(OR($G1584="",$H1584="Mahsup"),"",$G1584&amp;"|"&amp;COUNTIFS($G$7:$G1584,$G1584,$H$7:$H1584,"&lt;&gt;Mahsup"))</f>
        <v/>
      </c>
    </row>
    <row r="1585" spans="1:21" ht="18" customHeight="1" x14ac:dyDescent="0.3">
      <c r="A1585" s="2"/>
      <c r="B1585" s="65" t="str">
        <f>IF($D1585="","","T"&amp;TEXT(ROW()-6,"00000"))</f>
        <v/>
      </c>
      <c r="C1585" s="65" t="str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61"/>
      <c r="E1585" s="66"/>
      <c r="F1585" s="67"/>
      <c r="G1585" s="60"/>
      <c r="H1585" s="60"/>
      <c r="I1585" s="61"/>
      <c r="J1585" s="61"/>
      <c r="K1585" s="61"/>
      <c r="L1585" s="73" t="str">
        <f>IF($E1585="","",DATE(YEAR($E1585),MONTH($E1585),1))</f>
        <v/>
      </c>
      <c r="M1585" s="65" t="str">
        <f ca="1">IF($D1585="","",IF($C1585="TANIMSIZ MÜŞTERİ","HATA",IF(OR($E1585="",$F1585&lt;=0,$G1585=""),"EKSİK",IF($E1585&gt;TODAY(),"İLERİ TARİH",IF(COUNTIF($S$7:$S$2503,$S1585)&gt;1,"MÜKERRER?",IF($T1585&gt;0,"KAPALI DÖNEM","UYGUN"))))))</f>
        <v/>
      </c>
      <c r="N1585" s="74" t="str">
        <f>IF($C1585="","",IF($C1585="TANIMSIZ MÜŞTERİ","—",INDEX(MUSTERILER!$C$7:$C$156,MATCH($C1585,MUSTERILER!$B$7:$B$156,0))))</f>
        <v/>
      </c>
      <c r="O1585" s="2"/>
      <c r="P1585" s="2"/>
      <c r="Q1585" s="1" t="str">
        <f>IF($D1585="","",$C1585&amp;"|"&amp;COUNTIFS($C$7:$C1585,$C1585))</f>
        <v/>
      </c>
      <c r="R1585" s="1" t="str">
        <f t="shared" si="48"/>
        <v/>
      </c>
      <c r="S1585" s="1" t="str">
        <f t="shared" si="49"/>
        <v/>
      </c>
      <c r="T1585" s="1">
        <f>IF($E1585="",0,SUMPRODUCT((AY_SONU!$O$7:$O$42="Evet")*(AY_SONU!$B$7:$B$42=DATE(YEAR($E1585),MONTH($E1585),1))))</f>
        <v>0</v>
      </c>
      <c r="U1585" s="1" t="str">
        <f>IF(OR($G1585="",$H1585="Mahsup"),"",$G1585&amp;"|"&amp;COUNTIFS($G$7:$G1585,$G1585,$H$7:$H1585,"&lt;&gt;Mahsup"))</f>
        <v/>
      </c>
    </row>
    <row r="1586" spans="1:21" ht="18" customHeight="1" x14ac:dyDescent="0.3">
      <c r="A1586" s="2"/>
      <c r="B1586" s="65" t="str">
        <f>IF($D1586="","","T"&amp;TEXT(ROW()-6,"00000"))</f>
        <v/>
      </c>
      <c r="C1586" s="65" t="str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61"/>
      <c r="E1586" s="66"/>
      <c r="F1586" s="67"/>
      <c r="G1586" s="60"/>
      <c r="H1586" s="60"/>
      <c r="I1586" s="61"/>
      <c r="J1586" s="61"/>
      <c r="K1586" s="61"/>
      <c r="L1586" s="73" t="str">
        <f>IF($E1586="","",DATE(YEAR($E1586),MONTH($E1586),1))</f>
        <v/>
      </c>
      <c r="M1586" s="65" t="str">
        <f ca="1">IF($D1586="","",IF($C1586="TANIMSIZ MÜŞTERİ","HATA",IF(OR($E1586="",$F1586&lt;=0,$G1586=""),"EKSİK",IF($E1586&gt;TODAY(),"İLERİ TARİH",IF(COUNTIF($S$7:$S$2503,$S1586)&gt;1,"MÜKERRER?",IF($T1586&gt;0,"KAPALI DÖNEM","UYGUN"))))))</f>
        <v/>
      </c>
      <c r="N1586" s="74" t="str">
        <f>IF($C1586="","",IF($C1586="TANIMSIZ MÜŞTERİ","—",INDEX(MUSTERILER!$C$7:$C$156,MATCH($C1586,MUSTERILER!$B$7:$B$156,0))))</f>
        <v/>
      </c>
      <c r="O1586" s="2"/>
      <c r="P1586" s="2"/>
      <c r="Q1586" s="1" t="str">
        <f>IF($D1586="","",$C1586&amp;"|"&amp;COUNTIFS($C$7:$C1586,$C1586))</f>
        <v/>
      </c>
      <c r="R1586" s="1" t="str">
        <f t="shared" si="48"/>
        <v/>
      </c>
      <c r="S1586" s="1" t="str">
        <f t="shared" si="49"/>
        <v/>
      </c>
      <c r="T1586" s="1">
        <f>IF($E1586="",0,SUMPRODUCT((AY_SONU!$O$7:$O$42="Evet")*(AY_SONU!$B$7:$B$42=DATE(YEAR($E1586),MONTH($E1586),1))))</f>
        <v>0</v>
      </c>
      <c r="U1586" s="1" t="str">
        <f>IF(OR($G1586="",$H1586="Mahsup"),"",$G1586&amp;"|"&amp;COUNTIFS($G$7:$G1586,$G1586,$H$7:$H1586,"&lt;&gt;Mahsup"))</f>
        <v/>
      </c>
    </row>
    <row r="1587" spans="1:21" ht="18" customHeight="1" x14ac:dyDescent="0.3">
      <c r="A1587" s="2"/>
      <c r="B1587" s="65" t="str">
        <f>IF($D1587="","","T"&amp;TEXT(ROW()-6,"00000"))</f>
        <v/>
      </c>
      <c r="C1587" s="65" t="str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61"/>
      <c r="E1587" s="66"/>
      <c r="F1587" s="67"/>
      <c r="G1587" s="60"/>
      <c r="H1587" s="60"/>
      <c r="I1587" s="61"/>
      <c r="J1587" s="61"/>
      <c r="K1587" s="61"/>
      <c r="L1587" s="73" t="str">
        <f>IF($E1587="","",DATE(YEAR($E1587),MONTH($E1587),1))</f>
        <v/>
      </c>
      <c r="M1587" s="65" t="str">
        <f ca="1">IF($D1587="","",IF($C1587="TANIMSIZ MÜŞTERİ","HATA",IF(OR($E1587="",$F1587&lt;=0,$G1587=""),"EKSİK",IF($E1587&gt;TODAY(),"İLERİ TARİH",IF(COUNTIF($S$7:$S$2503,$S1587)&gt;1,"MÜKERRER?",IF($T1587&gt;0,"KAPALI DÖNEM","UYGUN"))))))</f>
        <v/>
      </c>
      <c r="N1587" s="74" t="str">
        <f>IF($C1587="","",IF($C1587="TANIMSIZ MÜŞTERİ","—",INDEX(MUSTERILER!$C$7:$C$156,MATCH($C1587,MUSTERILER!$B$7:$B$156,0))))</f>
        <v/>
      </c>
      <c r="O1587" s="2"/>
      <c r="P1587" s="2"/>
      <c r="Q1587" s="1" t="str">
        <f>IF($D1587="","",$C1587&amp;"|"&amp;COUNTIFS($C$7:$C1587,$C1587))</f>
        <v/>
      </c>
      <c r="R1587" s="1" t="str">
        <f t="shared" si="48"/>
        <v/>
      </c>
      <c r="S1587" s="1" t="str">
        <f t="shared" si="49"/>
        <v/>
      </c>
      <c r="T1587" s="1">
        <f>IF($E1587="",0,SUMPRODUCT((AY_SONU!$O$7:$O$42="Evet")*(AY_SONU!$B$7:$B$42=DATE(YEAR($E1587),MONTH($E1587),1))))</f>
        <v>0</v>
      </c>
      <c r="U1587" s="1" t="str">
        <f>IF(OR($G1587="",$H1587="Mahsup"),"",$G1587&amp;"|"&amp;COUNTIFS($G$7:$G1587,$G1587,$H$7:$H1587,"&lt;&gt;Mahsup"))</f>
        <v/>
      </c>
    </row>
    <row r="1588" spans="1:21" ht="18" customHeight="1" x14ac:dyDescent="0.3">
      <c r="A1588" s="2"/>
      <c r="B1588" s="65" t="str">
        <f>IF($D1588="","","T"&amp;TEXT(ROW()-6,"00000"))</f>
        <v/>
      </c>
      <c r="C1588" s="65" t="str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61"/>
      <c r="E1588" s="66"/>
      <c r="F1588" s="67"/>
      <c r="G1588" s="60"/>
      <c r="H1588" s="60"/>
      <c r="I1588" s="61"/>
      <c r="J1588" s="61"/>
      <c r="K1588" s="61"/>
      <c r="L1588" s="73" t="str">
        <f>IF($E1588="","",DATE(YEAR($E1588),MONTH($E1588),1))</f>
        <v/>
      </c>
      <c r="M1588" s="65" t="str">
        <f ca="1">IF($D1588="","",IF($C1588="TANIMSIZ MÜŞTERİ","HATA",IF(OR($E1588="",$F1588&lt;=0,$G1588=""),"EKSİK",IF($E1588&gt;TODAY(),"İLERİ TARİH",IF(COUNTIF($S$7:$S$2503,$S1588)&gt;1,"MÜKERRER?",IF($T1588&gt;0,"KAPALI DÖNEM","UYGUN"))))))</f>
        <v/>
      </c>
      <c r="N1588" s="74" t="str">
        <f>IF($C1588="","",IF($C1588="TANIMSIZ MÜŞTERİ","—",INDEX(MUSTERILER!$C$7:$C$156,MATCH($C1588,MUSTERILER!$B$7:$B$156,0))))</f>
        <v/>
      </c>
      <c r="O1588" s="2"/>
      <c r="P1588" s="2"/>
      <c r="Q1588" s="1" t="str">
        <f>IF($D1588="","",$C1588&amp;"|"&amp;COUNTIFS($C$7:$C1588,$C1588))</f>
        <v/>
      </c>
      <c r="R1588" s="1" t="str">
        <f t="shared" si="48"/>
        <v/>
      </c>
      <c r="S1588" s="1" t="str">
        <f t="shared" si="49"/>
        <v/>
      </c>
      <c r="T1588" s="1">
        <f>IF($E1588="",0,SUMPRODUCT((AY_SONU!$O$7:$O$42="Evet")*(AY_SONU!$B$7:$B$42=DATE(YEAR($E1588),MONTH($E1588),1))))</f>
        <v>0</v>
      </c>
      <c r="U1588" s="1" t="str">
        <f>IF(OR($G1588="",$H1588="Mahsup"),"",$G1588&amp;"|"&amp;COUNTIFS($G$7:$G1588,$G1588,$H$7:$H1588,"&lt;&gt;Mahsup"))</f>
        <v/>
      </c>
    </row>
    <row r="1589" spans="1:21" ht="18" customHeight="1" x14ac:dyDescent="0.3">
      <c r="A1589" s="2"/>
      <c r="B1589" s="65" t="str">
        <f>IF($D1589="","","T"&amp;TEXT(ROW()-6,"00000"))</f>
        <v/>
      </c>
      <c r="C1589" s="65" t="str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61"/>
      <c r="E1589" s="66"/>
      <c r="F1589" s="67"/>
      <c r="G1589" s="60"/>
      <c r="H1589" s="60"/>
      <c r="I1589" s="61"/>
      <c r="J1589" s="61"/>
      <c r="K1589" s="61"/>
      <c r="L1589" s="73" t="str">
        <f>IF($E1589="","",DATE(YEAR($E1589),MONTH($E1589),1))</f>
        <v/>
      </c>
      <c r="M1589" s="65" t="str">
        <f ca="1">IF($D1589="","",IF($C1589="TANIMSIZ MÜŞTERİ","HATA",IF(OR($E1589="",$F1589&lt;=0,$G1589=""),"EKSİK",IF($E1589&gt;TODAY(),"İLERİ TARİH",IF(COUNTIF($S$7:$S$2503,$S1589)&gt;1,"MÜKERRER?",IF($T1589&gt;0,"KAPALI DÖNEM","UYGUN"))))))</f>
        <v/>
      </c>
      <c r="N1589" s="74" t="str">
        <f>IF($C1589="","",IF($C1589="TANIMSIZ MÜŞTERİ","—",INDEX(MUSTERILER!$C$7:$C$156,MATCH($C1589,MUSTERILER!$B$7:$B$156,0))))</f>
        <v/>
      </c>
      <c r="O1589" s="2"/>
      <c r="P1589" s="2"/>
      <c r="Q1589" s="1" t="str">
        <f>IF($D1589="","",$C1589&amp;"|"&amp;COUNTIFS($C$7:$C1589,$C1589))</f>
        <v/>
      </c>
      <c r="R1589" s="1" t="str">
        <f t="shared" si="48"/>
        <v/>
      </c>
      <c r="S1589" s="1" t="str">
        <f t="shared" si="49"/>
        <v/>
      </c>
      <c r="T1589" s="1">
        <f>IF($E1589="",0,SUMPRODUCT((AY_SONU!$O$7:$O$42="Evet")*(AY_SONU!$B$7:$B$42=DATE(YEAR($E1589),MONTH($E1589),1))))</f>
        <v>0</v>
      </c>
      <c r="U1589" s="1" t="str">
        <f>IF(OR($G1589="",$H1589="Mahsup"),"",$G1589&amp;"|"&amp;COUNTIFS($G$7:$G1589,$G1589,$H$7:$H1589,"&lt;&gt;Mahsup"))</f>
        <v/>
      </c>
    </row>
    <row r="1590" spans="1:21" ht="18" customHeight="1" x14ac:dyDescent="0.3">
      <c r="A1590" s="2"/>
      <c r="B1590" s="65" t="str">
        <f>IF($D1590="","","T"&amp;TEXT(ROW()-6,"00000"))</f>
        <v/>
      </c>
      <c r="C1590" s="65" t="str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61"/>
      <c r="E1590" s="66"/>
      <c r="F1590" s="67"/>
      <c r="G1590" s="60"/>
      <c r="H1590" s="60"/>
      <c r="I1590" s="61"/>
      <c r="J1590" s="61"/>
      <c r="K1590" s="61"/>
      <c r="L1590" s="73" t="str">
        <f>IF($E1590="","",DATE(YEAR($E1590),MONTH($E1590),1))</f>
        <v/>
      </c>
      <c r="M1590" s="65" t="str">
        <f ca="1">IF($D1590="","",IF($C1590="TANIMSIZ MÜŞTERİ","HATA",IF(OR($E1590="",$F1590&lt;=0,$G1590=""),"EKSİK",IF($E1590&gt;TODAY(),"İLERİ TARİH",IF(COUNTIF($S$7:$S$2503,$S1590)&gt;1,"MÜKERRER?",IF($T1590&gt;0,"KAPALI DÖNEM","UYGUN"))))))</f>
        <v/>
      </c>
      <c r="N1590" s="74" t="str">
        <f>IF($C1590="","",IF($C1590="TANIMSIZ MÜŞTERİ","—",INDEX(MUSTERILER!$C$7:$C$156,MATCH($C1590,MUSTERILER!$B$7:$B$156,0))))</f>
        <v/>
      </c>
      <c r="O1590" s="2"/>
      <c r="P1590" s="2"/>
      <c r="Q1590" s="1" t="str">
        <f>IF($D1590="","",$C1590&amp;"|"&amp;COUNTIFS($C$7:$C1590,$C1590))</f>
        <v/>
      </c>
      <c r="R1590" s="1" t="str">
        <f t="shared" si="48"/>
        <v/>
      </c>
      <c r="S1590" s="1" t="str">
        <f t="shared" si="49"/>
        <v/>
      </c>
      <c r="T1590" s="1">
        <f>IF($E1590="",0,SUMPRODUCT((AY_SONU!$O$7:$O$42="Evet")*(AY_SONU!$B$7:$B$42=DATE(YEAR($E1590),MONTH($E1590),1))))</f>
        <v>0</v>
      </c>
      <c r="U1590" s="1" t="str">
        <f>IF(OR($G1590="",$H1590="Mahsup"),"",$G1590&amp;"|"&amp;COUNTIFS($G$7:$G1590,$G1590,$H$7:$H1590,"&lt;&gt;Mahsup"))</f>
        <v/>
      </c>
    </row>
    <row r="1591" spans="1:21" ht="18" customHeight="1" x14ac:dyDescent="0.3">
      <c r="A1591" s="2"/>
      <c r="B1591" s="65" t="str">
        <f>IF($D1591="","","T"&amp;TEXT(ROW()-6,"00000"))</f>
        <v/>
      </c>
      <c r="C1591" s="65" t="str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61"/>
      <c r="E1591" s="66"/>
      <c r="F1591" s="67"/>
      <c r="G1591" s="60"/>
      <c r="H1591" s="60"/>
      <c r="I1591" s="61"/>
      <c r="J1591" s="61"/>
      <c r="K1591" s="61"/>
      <c r="L1591" s="73" t="str">
        <f>IF($E1591="","",DATE(YEAR($E1591),MONTH($E1591),1))</f>
        <v/>
      </c>
      <c r="M1591" s="65" t="str">
        <f ca="1">IF($D1591="","",IF($C1591="TANIMSIZ MÜŞTERİ","HATA",IF(OR($E1591="",$F1591&lt;=0,$G1591=""),"EKSİK",IF($E1591&gt;TODAY(),"İLERİ TARİH",IF(COUNTIF($S$7:$S$2503,$S1591)&gt;1,"MÜKERRER?",IF($T1591&gt;0,"KAPALI DÖNEM","UYGUN"))))))</f>
        <v/>
      </c>
      <c r="N1591" s="74" t="str">
        <f>IF($C1591="","",IF($C1591="TANIMSIZ MÜŞTERİ","—",INDEX(MUSTERILER!$C$7:$C$156,MATCH($C1591,MUSTERILER!$B$7:$B$156,0))))</f>
        <v/>
      </c>
      <c r="O1591" s="2"/>
      <c r="P1591" s="2"/>
      <c r="Q1591" s="1" t="str">
        <f>IF($D1591="","",$C1591&amp;"|"&amp;COUNTIFS($C$7:$C1591,$C1591))</f>
        <v/>
      </c>
      <c r="R1591" s="1" t="str">
        <f t="shared" si="48"/>
        <v/>
      </c>
      <c r="S1591" s="1" t="str">
        <f t="shared" si="49"/>
        <v/>
      </c>
      <c r="T1591" s="1">
        <f>IF($E1591="",0,SUMPRODUCT((AY_SONU!$O$7:$O$42="Evet")*(AY_SONU!$B$7:$B$42=DATE(YEAR($E1591),MONTH($E1591),1))))</f>
        <v>0</v>
      </c>
      <c r="U1591" s="1" t="str">
        <f>IF(OR($G1591="",$H1591="Mahsup"),"",$G1591&amp;"|"&amp;COUNTIFS($G$7:$G1591,$G1591,$H$7:$H1591,"&lt;&gt;Mahsup"))</f>
        <v/>
      </c>
    </row>
    <row r="1592" spans="1:21" ht="18" customHeight="1" x14ac:dyDescent="0.3">
      <c r="A1592" s="2"/>
      <c r="B1592" s="65" t="str">
        <f>IF($D1592="","","T"&amp;TEXT(ROW()-6,"00000"))</f>
        <v/>
      </c>
      <c r="C1592" s="65" t="str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61"/>
      <c r="E1592" s="66"/>
      <c r="F1592" s="67"/>
      <c r="G1592" s="60"/>
      <c r="H1592" s="60"/>
      <c r="I1592" s="61"/>
      <c r="J1592" s="61"/>
      <c r="K1592" s="61"/>
      <c r="L1592" s="73" t="str">
        <f>IF($E1592="","",DATE(YEAR($E1592),MONTH($E1592),1))</f>
        <v/>
      </c>
      <c r="M1592" s="65" t="str">
        <f ca="1">IF($D1592="","",IF($C1592="TANIMSIZ MÜŞTERİ","HATA",IF(OR($E1592="",$F1592&lt;=0,$G1592=""),"EKSİK",IF($E1592&gt;TODAY(),"İLERİ TARİH",IF(COUNTIF($S$7:$S$2503,$S1592)&gt;1,"MÜKERRER?",IF($T1592&gt;0,"KAPALI DÖNEM","UYGUN"))))))</f>
        <v/>
      </c>
      <c r="N1592" s="74" t="str">
        <f>IF($C1592="","",IF($C1592="TANIMSIZ MÜŞTERİ","—",INDEX(MUSTERILER!$C$7:$C$156,MATCH($C1592,MUSTERILER!$B$7:$B$156,0))))</f>
        <v/>
      </c>
      <c r="O1592" s="2"/>
      <c r="P1592" s="2"/>
      <c r="Q1592" s="1" t="str">
        <f>IF($D1592="","",$C1592&amp;"|"&amp;COUNTIFS($C$7:$C1592,$C1592))</f>
        <v/>
      </c>
      <c r="R1592" s="1" t="str">
        <f t="shared" si="48"/>
        <v/>
      </c>
      <c r="S1592" s="1" t="str">
        <f t="shared" si="49"/>
        <v/>
      </c>
      <c r="T1592" s="1">
        <f>IF($E1592="",0,SUMPRODUCT((AY_SONU!$O$7:$O$42="Evet")*(AY_SONU!$B$7:$B$42=DATE(YEAR($E1592),MONTH($E1592),1))))</f>
        <v>0</v>
      </c>
      <c r="U1592" s="1" t="str">
        <f>IF(OR($G1592="",$H1592="Mahsup"),"",$G1592&amp;"|"&amp;COUNTIFS($G$7:$G1592,$G1592,$H$7:$H1592,"&lt;&gt;Mahsup"))</f>
        <v/>
      </c>
    </row>
    <row r="1593" spans="1:21" ht="18" customHeight="1" x14ac:dyDescent="0.3">
      <c r="A1593" s="2"/>
      <c r="B1593" s="65" t="str">
        <f>IF($D1593="","","T"&amp;TEXT(ROW()-6,"00000"))</f>
        <v/>
      </c>
      <c r="C1593" s="65" t="str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61"/>
      <c r="E1593" s="66"/>
      <c r="F1593" s="67"/>
      <c r="G1593" s="60"/>
      <c r="H1593" s="60"/>
      <c r="I1593" s="61"/>
      <c r="J1593" s="61"/>
      <c r="K1593" s="61"/>
      <c r="L1593" s="73" t="str">
        <f>IF($E1593="","",DATE(YEAR($E1593),MONTH($E1593),1))</f>
        <v/>
      </c>
      <c r="M1593" s="65" t="str">
        <f ca="1">IF($D1593="","",IF($C1593="TANIMSIZ MÜŞTERİ","HATA",IF(OR($E1593="",$F1593&lt;=0,$G1593=""),"EKSİK",IF($E1593&gt;TODAY(),"İLERİ TARİH",IF(COUNTIF($S$7:$S$2503,$S1593)&gt;1,"MÜKERRER?",IF($T1593&gt;0,"KAPALI DÖNEM","UYGUN"))))))</f>
        <v/>
      </c>
      <c r="N1593" s="74" t="str">
        <f>IF($C1593="","",IF($C1593="TANIMSIZ MÜŞTERİ","—",INDEX(MUSTERILER!$C$7:$C$156,MATCH($C1593,MUSTERILER!$B$7:$B$156,0))))</f>
        <v/>
      </c>
      <c r="O1593" s="2"/>
      <c r="P1593" s="2"/>
      <c r="Q1593" s="1" t="str">
        <f>IF($D1593="","",$C1593&amp;"|"&amp;COUNTIFS($C$7:$C1593,$C1593))</f>
        <v/>
      </c>
      <c r="R1593" s="1" t="str">
        <f t="shared" si="48"/>
        <v/>
      </c>
      <c r="S1593" s="1" t="str">
        <f t="shared" si="49"/>
        <v/>
      </c>
      <c r="T1593" s="1">
        <f>IF($E1593="",0,SUMPRODUCT((AY_SONU!$O$7:$O$42="Evet")*(AY_SONU!$B$7:$B$42=DATE(YEAR($E1593),MONTH($E1593),1))))</f>
        <v>0</v>
      </c>
      <c r="U1593" s="1" t="str">
        <f>IF(OR($G1593="",$H1593="Mahsup"),"",$G1593&amp;"|"&amp;COUNTIFS($G$7:$G1593,$G1593,$H$7:$H1593,"&lt;&gt;Mahsup"))</f>
        <v/>
      </c>
    </row>
    <row r="1594" spans="1:21" ht="18" customHeight="1" x14ac:dyDescent="0.3">
      <c r="A1594" s="2"/>
      <c r="B1594" s="65" t="str">
        <f>IF($D1594="","","T"&amp;TEXT(ROW()-6,"00000"))</f>
        <v/>
      </c>
      <c r="C1594" s="65" t="str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61"/>
      <c r="E1594" s="66"/>
      <c r="F1594" s="67"/>
      <c r="G1594" s="60"/>
      <c r="H1594" s="60"/>
      <c r="I1594" s="61"/>
      <c r="J1594" s="61"/>
      <c r="K1594" s="61"/>
      <c r="L1594" s="73" t="str">
        <f>IF($E1594="","",DATE(YEAR($E1594),MONTH($E1594),1))</f>
        <v/>
      </c>
      <c r="M1594" s="65" t="str">
        <f ca="1">IF($D1594="","",IF($C1594="TANIMSIZ MÜŞTERİ","HATA",IF(OR($E1594="",$F1594&lt;=0,$G1594=""),"EKSİK",IF($E1594&gt;TODAY(),"İLERİ TARİH",IF(COUNTIF($S$7:$S$2503,$S1594)&gt;1,"MÜKERRER?",IF($T1594&gt;0,"KAPALI DÖNEM","UYGUN"))))))</f>
        <v/>
      </c>
      <c r="N1594" s="74" t="str">
        <f>IF($C1594="","",IF($C1594="TANIMSIZ MÜŞTERİ","—",INDEX(MUSTERILER!$C$7:$C$156,MATCH($C1594,MUSTERILER!$B$7:$B$156,0))))</f>
        <v/>
      </c>
      <c r="O1594" s="2"/>
      <c r="P1594" s="2"/>
      <c r="Q1594" s="1" t="str">
        <f>IF($D1594="","",$C1594&amp;"|"&amp;COUNTIFS($C$7:$C1594,$C1594))</f>
        <v/>
      </c>
      <c r="R1594" s="1" t="str">
        <f t="shared" si="48"/>
        <v/>
      </c>
      <c r="S1594" s="1" t="str">
        <f t="shared" si="49"/>
        <v/>
      </c>
      <c r="T1594" s="1">
        <f>IF($E1594="",0,SUMPRODUCT((AY_SONU!$O$7:$O$42="Evet")*(AY_SONU!$B$7:$B$42=DATE(YEAR($E1594),MONTH($E1594),1))))</f>
        <v>0</v>
      </c>
      <c r="U1594" s="1" t="str">
        <f>IF(OR($G1594="",$H1594="Mahsup"),"",$G1594&amp;"|"&amp;COUNTIFS($G$7:$G1594,$G1594,$H$7:$H1594,"&lt;&gt;Mahsup"))</f>
        <v/>
      </c>
    </row>
    <row r="1595" spans="1:21" ht="18" customHeight="1" x14ac:dyDescent="0.3">
      <c r="A1595" s="2"/>
      <c r="B1595" s="65" t="str">
        <f>IF($D1595="","","T"&amp;TEXT(ROW()-6,"00000"))</f>
        <v/>
      </c>
      <c r="C1595" s="65" t="str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61"/>
      <c r="E1595" s="66"/>
      <c r="F1595" s="67"/>
      <c r="G1595" s="60"/>
      <c r="H1595" s="60"/>
      <c r="I1595" s="61"/>
      <c r="J1595" s="61"/>
      <c r="K1595" s="61"/>
      <c r="L1595" s="73" t="str">
        <f>IF($E1595="","",DATE(YEAR($E1595),MONTH($E1595),1))</f>
        <v/>
      </c>
      <c r="M1595" s="65" t="str">
        <f ca="1">IF($D1595="","",IF($C1595="TANIMSIZ MÜŞTERİ","HATA",IF(OR($E1595="",$F1595&lt;=0,$G1595=""),"EKSİK",IF($E1595&gt;TODAY(),"İLERİ TARİH",IF(COUNTIF($S$7:$S$2503,$S1595)&gt;1,"MÜKERRER?",IF($T1595&gt;0,"KAPALI DÖNEM","UYGUN"))))))</f>
        <v/>
      </c>
      <c r="N1595" s="74" t="str">
        <f>IF($C1595="","",IF($C1595="TANIMSIZ MÜŞTERİ","—",INDEX(MUSTERILER!$C$7:$C$156,MATCH($C1595,MUSTERILER!$B$7:$B$156,0))))</f>
        <v/>
      </c>
      <c r="O1595" s="2"/>
      <c r="P1595" s="2"/>
      <c r="Q1595" s="1" t="str">
        <f>IF($D1595="","",$C1595&amp;"|"&amp;COUNTIFS($C$7:$C1595,$C1595))</f>
        <v/>
      </c>
      <c r="R1595" s="1" t="str">
        <f t="shared" si="48"/>
        <v/>
      </c>
      <c r="S1595" s="1" t="str">
        <f t="shared" si="49"/>
        <v/>
      </c>
      <c r="T1595" s="1">
        <f>IF($E1595="",0,SUMPRODUCT((AY_SONU!$O$7:$O$42="Evet")*(AY_SONU!$B$7:$B$42=DATE(YEAR($E1595),MONTH($E1595),1))))</f>
        <v>0</v>
      </c>
      <c r="U1595" s="1" t="str">
        <f>IF(OR($G1595="",$H1595="Mahsup"),"",$G1595&amp;"|"&amp;COUNTIFS($G$7:$G1595,$G1595,$H$7:$H1595,"&lt;&gt;Mahsup"))</f>
        <v/>
      </c>
    </row>
    <row r="1596" spans="1:21" ht="18" customHeight="1" x14ac:dyDescent="0.3">
      <c r="A1596" s="2"/>
      <c r="B1596" s="65" t="str">
        <f>IF($D1596="","","T"&amp;TEXT(ROW()-6,"00000"))</f>
        <v/>
      </c>
      <c r="C1596" s="65" t="str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61"/>
      <c r="E1596" s="66"/>
      <c r="F1596" s="67"/>
      <c r="G1596" s="60"/>
      <c r="H1596" s="60"/>
      <c r="I1596" s="61"/>
      <c r="J1596" s="61"/>
      <c r="K1596" s="61"/>
      <c r="L1596" s="73" t="str">
        <f>IF($E1596="","",DATE(YEAR($E1596),MONTH($E1596),1))</f>
        <v/>
      </c>
      <c r="M1596" s="65" t="str">
        <f ca="1">IF($D1596="","",IF($C1596="TANIMSIZ MÜŞTERİ","HATA",IF(OR($E1596="",$F1596&lt;=0,$G1596=""),"EKSİK",IF($E1596&gt;TODAY(),"İLERİ TARİH",IF(COUNTIF($S$7:$S$2503,$S1596)&gt;1,"MÜKERRER?",IF($T1596&gt;0,"KAPALI DÖNEM","UYGUN"))))))</f>
        <v/>
      </c>
      <c r="N1596" s="74" t="str">
        <f>IF($C1596="","",IF($C1596="TANIMSIZ MÜŞTERİ","—",INDEX(MUSTERILER!$C$7:$C$156,MATCH($C1596,MUSTERILER!$B$7:$B$156,0))))</f>
        <v/>
      </c>
      <c r="O1596" s="2"/>
      <c r="P1596" s="2"/>
      <c r="Q1596" s="1" t="str">
        <f>IF($D1596="","",$C1596&amp;"|"&amp;COUNTIFS($C$7:$C1596,$C1596))</f>
        <v/>
      </c>
      <c r="R1596" s="1" t="str">
        <f t="shared" si="48"/>
        <v/>
      </c>
      <c r="S1596" s="1" t="str">
        <f t="shared" si="49"/>
        <v/>
      </c>
      <c r="T1596" s="1">
        <f>IF($E1596="",0,SUMPRODUCT((AY_SONU!$O$7:$O$42="Evet")*(AY_SONU!$B$7:$B$42=DATE(YEAR($E1596),MONTH($E1596),1))))</f>
        <v>0</v>
      </c>
      <c r="U1596" s="1" t="str">
        <f>IF(OR($G1596="",$H1596="Mahsup"),"",$G1596&amp;"|"&amp;COUNTIFS($G$7:$G1596,$G1596,$H$7:$H1596,"&lt;&gt;Mahsup"))</f>
        <v/>
      </c>
    </row>
    <row r="1597" spans="1:21" ht="18" customHeight="1" x14ac:dyDescent="0.3">
      <c r="A1597" s="2"/>
      <c r="B1597" s="65" t="str">
        <f>IF($D1597="","","T"&amp;TEXT(ROW()-6,"00000"))</f>
        <v/>
      </c>
      <c r="C1597" s="65" t="str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61"/>
      <c r="E1597" s="66"/>
      <c r="F1597" s="67"/>
      <c r="G1597" s="60"/>
      <c r="H1597" s="60"/>
      <c r="I1597" s="61"/>
      <c r="J1597" s="61"/>
      <c r="K1597" s="61"/>
      <c r="L1597" s="73" t="str">
        <f>IF($E1597="","",DATE(YEAR($E1597),MONTH($E1597),1))</f>
        <v/>
      </c>
      <c r="M1597" s="65" t="str">
        <f ca="1">IF($D1597="","",IF($C1597="TANIMSIZ MÜŞTERİ","HATA",IF(OR($E1597="",$F1597&lt;=0,$G1597=""),"EKSİK",IF($E1597&gt;TODAY(),"İLERİ TARİH",IF(COUNTIF($S$7:$S$2503,$S1597)&gt;1,"MÜKERRER?",IF($T1597&gt;0,"KAPALI DÖNEM","UYGUN"))))))</f>
        <v/>
      </c>
      <c r="N1597" s="74" t="str">
        <f>IF($C1597="","",IF($C1597="TANIMSIZ MÜŞTERİ","—",INDEX(MUSTERILER!$C$7:$C$156,MATCH($C1597,MUSTERILER!$B$7:$B$156,0))))</f>
        <v/>
      </c>
      <c r="O1597" s="2"/>
      <c r="P1597" s="2"/>
      <c r="Q1597" s="1" t="str">
        <f>IF($D1597="","",$C1597&amp;"|"&amp;COUNTIFS($C$7:$C1597,$C1597))</f>
        <v/>
      </c>
      <c r="R1597" s="1" t="str">
        <f t="shared" si="48"/>
        <v/>
      </c>
      <c r="S1597" s="1" t="str">
        <f t="shared" si="49"/>
        <v/>
      </c>
      <c r="T1597" s="1">
        <f>IF($E1597="",0,SUMPRODUCT((AY_SONU!$O$7:$O$42="Evet")*(AY_SONU!$B$7:$B$42=DATE(YEAR($E1597),MONTH($E1597),1))))</f>
        <v>0</v>
      </c>
      <c r="U1597" s="1" t="str">
        <f>IF(OR($G1597="",$H1597="Mahsup"),"",$G1597&amp;"|"&amp;COUNTIFS($G$7:$G1597,$G1597,$H$7:$H1597,"&lt;&gt;Mahsup"))</f>
        <v/>
      </c>
    </row>
    <row r="1598" spans="1:21" ht="18" customHeight="1" x14ac:dyDescent="0.3">
      <c r="A1598" s="2"/>
      <c r="B1598" s="65" t="str">
        <f>IF($D1598="","","T"&amp;TEXT(ROW()-6,"00000"))</f>
        <v/>
      </c>
      <c r="C1598" s="65" t="str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61"/>
      <c r="E1598" s="66"/>
      <c r="F1598" s="67"/>
      <c r="G1598" s="60"/>
      <c r="H1598" s="60"/>
      <c r="I1598" s="61"/>
      <c r="J1598" s="61"/>
      <c r="K1598" s="61"/>
      <c r="L1598" s="73" t="str">
        <f>IF($E1598="","",DATE(YEAR($E1598),MONTH($E1598),1))</f>
        <v/>
      </c>
      <c r="M1598" s="65" t="str">
        <f ca="1">IF($D1598="","",IF($C1598="TANIMSIZ MÜŞTERİ","HATA",IF(OR($E1598="",$F1598&lt;=0,$G1598=""),"EKSİK",IF($E1598&gt;TODAY(),"İLERİ TARİH",IF(COUNTIF($S$7:$S$2503,$S1598)&gt;1,"MÜKERRER?",IF($T1598&gt;0,"KAPALI DÖNEM","UYGUN"))))))</f>
        <v/>
      </c>
      <c r="N1598" s="74" t="str">
        <f>IF($C1598="","",IF($C1598="TANIMSIZ MÜŞTERİ","—",INDEX(MUSTERILER!$C$7:$C$156,MATCH($C1598,MUSTERILER!$B$7:$B$156,0))))</f>
        <v/>
      </c>
      <c r="O1598" s="2"/>
      <c r="P1598" s="2"/>
      <c r="Q1598" s="1" t="str">
        <f>IF($D1598="","",$C1598&amp;"|"&amp;COUNTIFS($C$7:$C1598,$C1598))</f>
        <v/>
      </c>
      <c r="R1598" s="1" t="str">
        <f t="shared" si="48"/>
        <v/>
      </c>
      <c r="S1598" s="1" t="str">
        <f t="shared" si="49"/>
        <v/>
      </c>
      <c r="T1598" s="1">
        <f>IF($E1598="",0,SUMPRODUCT((AY_SONU!$O$7:$O$42="Evet")*(AY_SONU!$B$7:$B$42=DATE(YEAR($E1598),MONTH($E1598),1))))</f>
        <v>0</v>
      </c>
      <c r="U1598" s="1" t="str">
        <f>IF(OR($G1598="",$H1598="Mahsup"),"",$G1598&amp;"|"&amp;COUNTIFS($G$7:$G1598,$G1598,$H$7:$H1598,"&lt;&gt;Mahsup"))</f>
        <v/>
      </c>
    </row>
    <row r="1599" spans="1:21" ht="18" customHeight="1" x14ac:dyDescent="0.3">
      <c r="A1599" s="2"/>
      <c r="B1599" s="65" t="str">
        <f>IF($D1599="","","T"&amp;TEXT(ROW()-6,"00000"))</f>
        <v/>
      </c>
      <c r="C1599" s="65" t="str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61"/>
      <c r="E1599" s="66"/>
      <c r="F1599" s="67"/>
      <c r="G1599" s="60"/>
      <c r="H1599" s="60"/>
      <c r="I1599" s="61"/>
      <c r="J1599" s="61"/>
      <c r="K1599" s="61"/>
      <c r="L1599" s="73" t="str">
        <f>IF($E1599="","",DATE(YEAR($E1599),MONTH($E1599),1))</f>
        <v/>
      </c>
      <c r="M1599" s="65" t="str">
        <f ca="1">IF($D1599="","",IF($C1599="TANIMSIZ MÜŞTERİ","HATA",IF(OR($E1599="",$F1599&lt;=0,$G1599=""),"EKSİK",IF($E1599&gt;TODAY(),"İLERİ TARİH",IF(COUNTIF($S$7:$S$2503,$S1599)&gt;1,"MÜKERRER?",IF($T1599&gt;0,"KAPALI DÖNEM","UYGUN"))))))</f>
        <v/>
      </c>
      <c r="N1599" s="74" t="str">
        <f>IF($C1599="","",IF($C1599="TANIMSIZ MÜŞTERİ","—",INDEX(MUSTERILER!$C$7:$C$156,MATCH($C1599,MUSTERILER!$B$7:$B$156,0))))</f>
        <v/>
      </c>
      <c r="O1599" s="2"/>
      <c r="P1599" s="2"/>
      <c r="Q1599" s="1" t="str">
        <f>IF($D1599="","",$C1599&amp;"|"&amp;COUNTIFS($C$7:$C1599,$C1599))</f>
        <v/>
      </c>
      <c r="R1599" s="1" t="str">
        <f t="shared" si="48"/>
        <v/>
      </c>
      <c r="S1599" s="1" t="str">
        <f t="shared" si="49"/>
        <v/>
      </c>
      <c r="T1599" s="1">
        <f>IF($E1599="",0,SUMPRODUCT((AY_SONU!$O$7:$O$42="Evet")*(AY_SONU!$B$7:$B$42=DATE(YEAR($E1599),MONTH($E1599),1))))</f>
        <v>0</v>
      </c>
      <c r="U1599" s="1" t="str">
        <f>IF(OR($G1599="",$H1599="Mahsup"),"",$G1599&amp;"|"&amp;COUNTIFS($G$7:$G1599,$G1599,$H$7:$H1599,"&lt;&gt;Mahsup"))</f>
        <v/>
      </c>
    </row>
    <row r="1600" spans="1:21" ht="18" customHeight="1" x14ac:dyDescent="0.3">
      <c r="A1600" s="2"/>
      <c r="B1600" s="65" t="str">
        <f>IF($D1600="","","T"&amp;TEXT(ROW()-6,"00000"))</f>
        <v/>
      </c>
      <c r="C1600" s="65" t="str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61"/>
      <c r="E1600" s="66"/>
      <c r="F1600" s="67"/>
      <c r="G1600" s="60"/>
      <c r="H1600" s="60"/>
      <c r="I1600" s="61"/>
      <c r="J1600" s="61"/>
      <c r="K1600" s="61"/>
      <c r="L1600" s="73" t="str">
        <f>IF($E1600="","",DATE(YEAR($E1600),MONTH($E1600),1))</f>
        <v/>
      </c>
      <c r="M1600" s="65" t="str">
        <f ca="1">IF($D1600="","",IF($C1600="TANIMSIZ MÜŞTERİ","HATA",IF(OR($E1600="",$F1600&lt;=0,$G1600=""),"EKSİK",IF($E1600&gt;TODAY(),"İLERİ TARİH",IF(COUNTIF($S$7:$S$2503,$S1600)&gt;1,"MÜKERRER?",IF($T1600&gt;0,"KAPALI DÖNEM","UYGUN"))))))</f>
        <v/>
      </c>
      <c r="N1600" s="74" t="str">
        <f>IF($C1600="","",IF($C1600="TANIMSIZ MÜŞTERİ","—",INDEX(MUSTERILER!$C$7:$C$156,MATCH($C1600,MUSTERILER!$B$7:$B$156,0))))</f>
        <v/>
      </c>
      <c r="O1600" s="2"/>
      <c r="P1600" s="2"/>
      <c r="Q1600" s="1" t="str">
        <f>IF($D1600="","",$C1600&amp;"|"&amp;COUNTIFS($C$7:$C1600,$C1600))</f>
        <v/>
      </c>
      <c r="R1600" s="1" t="str">
        <f t="shared" si="48"/>
        <v/>
      </c>
      <c r="S1600" s="1" t="str">
        <f t="shared" si="49"/>
        <v/>
      </c>
      <c r="T1600" s="1">
        <f>IF($E1600="",0,SUMPRODUCT((AY_SONU!$O$7:$O$42="Evet")*(AY_SONU!$B$7:$B$42=DATE(YEAR($E1600),MONTH($E1600),1))))</f>
        <v>0</v>
      </c>
      <c r="U1600" s="1" t="str">
        <f>IF(OR($G1600="",$H1600="Mahsup"),"",$G1600&amp;"|"&amp;COUNTIFS($G$7:$G1600,$G1600,$H$7:$H1600,"&lt;&gt;Mahsup"))</f>
        <v/>
      </c>
    </row>
    <row r="1601" spans="1:21" ht="18" customHeight="1" x14ac:dyDescent="0.3">
      <c r="A1601" s="2"/>
      <c r="B1601" s="65" t="str">
        <f>IF($D1601="","","T"&amp;TEXT(ROW()-6,"00000"))</f>
        <v/>
      </c>
      <c r="C1601" s="65" t="str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61"/>
      <c r="E1601" s="66"/>
      <c r="F1601" s="67"/>
      <c r="G1601" s="60"/>
      <c r="H1601" s="60"/>
      <c r="I1601" s="61"/>
      <c r="J1601" s="61"/>
      <c r="K1601" s="61"/>
      <c r="L1601" s="73" t="str">
        <f>IF($E1601="","",DATE(YEAR($E1601),MONTH($E1601),1))</f>
        <v/>
      </c>
      <c r="M1601" s="65" t="str">
        <f ca="1">IF($D1601="","",IF($C1601="TANIMSIZ MÜŞTERİ","HATA",IF(OR($E1601="",$F1601&lt;=0,$G1601=""),"EKSİK",IF($E1601&gt;TODAY(),"İLERİ TARİH",IF(COUNTIF($S$7:$S$2503,$S1601)&gt;1,"MÜKERRER?",IF($T1601&gt;0,"KAPALI DÖNEM","UYGUN"))))))</f>
        <v/>
      </c>
      <c r="N1601" s="74" t="str">
        <f>IF($C1601="","",IF($C1601="TANIMSIZ MÜŞTERİ","—",INDEX(MUSTERILER!$C$7:$C$156,MATCH($C1601,MUSTERILER!$B$7:$B$156,0))))</f>
        <v/>
      </c>
      <c r="O1601" s="2"/>
      <c r="P1601" s="2"/>
      <c r="Q1601" s="1" t="str">
        <f>IF($D1601="","",$C1601&amp;"|"&amp;COUNTIFS($C$7:$C1601,$C1601))</f>
        <v/>
      </c>
      <c r="R1601" s="1" t="str">
        <f t="shared" si="48"/>
        <v/>
      </c>
      <c r="S1601" s="1" t="str">
        <f t="shared" si="49"/>
        <v/>
      </c>
      <c r="T1601" s="1">
        <f>IF($E1601="",0,SUMPRODUCT((AY_SONU!$O$7:$O$42="Evet")*(AY_SONU!$B$7:$B$42=DATE(YEAR($E1601),MONTH($E1601),1))))</f>
        <v>0</v>
      </c>
      <c r="U1601" s="1" t="str">
        <f>IF(OR($G1601="",$H1601="Mahsup"),"",$G1601&amp;"|"&amp;COUNTIFS($G$7:$G1601,$G1601,$H$7:$H1601,"&lt;&gt;Mahsup"))</f>
        <v/>
      </c>
    </row>
    <row r="1602" spans="1:21" ht="18" customHeight="1" x14ac:dyDescent="0.3">
      <c r="A1602" s="2"/>
      <c r="B1602" s="65" t="str">
        <f>IF($D1602="","","T"&amp;TEXT(ROW()-6,"00000"))</f>
        <v/>
      </c>
      <c r="C1602" s="65" t="str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61"/>
      <c r="E1602" s="66"/>
      <c r="F1602" s="67"/>
      <c r="G1602" s="60"/>
      <c r="H1602" s="60"/>
      <c r="I1602" s="61"/>
      <c r="J1602" s="61"/>
      <c r="K1602" s="61"/>
      <c r="L1602" s="73" t="str">
        <f>IF($E1602="","",DATE(YEAR($E1602),MONTH($E1602),1))</f>
        <v/>
      </c>
      <c r="M1602" s="65" t="str">
        <f ca="1">IF($D1602="","",IF($C1602="TANIMSIZ MÜŞTERİ","HATA",IF(OR($E1602="",$F1602&lt;=0,$G1602=""),"EKSİK",IF($E1602&gt;TODAY(),"İLERİ TARİH",IF(COUNTIF($S$7:$S$2503,$S1602)&gt;1,"MÜKERRER?",IF($T1602&gt;0,"KAPALI DÖNEM","UYGUN"))))))</f>
        <v/>
      </c>
      <c r="N1602" s="74" t="str">
        <f>IF($C1602="","",IF($C1602="TANIMSIZ MÜŞTERİ","—",INDEX(MUSTERILER!$C$7:$C$156,MATCH($C1602,MUSTERILER!$B$7:$B$156,0))))</f>
        <v/>
      </c>
      <c r="O1602" s="2"/>
      <c r="P1602" s="2"/>
      <c r="Q1602" s="1" t="str">
        <f>IF($D1602="","",$C1602&amp;"|"&amp;COUNTIFS($C$7:$C1602,$C1602))</f>
        <v/>
      </c>
      <c r="R1602" s="1" t="str">
        <f t="shared" si="48"/>
        <v/>
      </c>
      <c r="S1602" s="1" t="str">
        <f t="shared" si="49"/>
        <v/>
      </c>
      <c r="T1602" s="1">
        <f>IF($E1602="",0,SUMPRODUCT((AY_SONU!$O$7:$O$42="Evet")*(AY_SONU!$B$7:$B$42=DATE(YEAR($E1602),MONTH($E1602),1))))</f>
        <v>0</v>
      </c>
      <c r="U1602" s="1" t="str">
        <f>IF(OR($G1602="",$H1602="Mahsup"),"",$G1602&amp;"|"&amp;COUNTIFS($G$7:$G1602,$G1602,$H$7:$H1602,"&lt;&gt;Mahsup"))</f>
        <v/>
      </c>
    </row>
    <row r="1603" spans="1:21" ht="18" customHeight="1" x14ac:dyDescent="0.3">
      <c r="A1603" s="2"/>
      <c r="B1603" s="65" t="str">
        <f>IF($D1603="","","T"&amp;TEXT(ROW()-6,"00000"))</f>
        <v/>
      </c>
      <c r="C1603" s="65" t="str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61"/>
      <c r="E1603" s="66"/>
      <c r="F1603" s="67"/>
      <c r="G1603" s="60"/>
      <c r="H1603" s="60"/>
      <c r="I1603" s="61"/>
      <c r="J1603" s="61"/>
      <c r="K1603" s="61"/>
      <c r="L1603" s="73" t="str">
        <f>IF($E1603="","",DATE(YEAR($E1603),MONTH($E1603),1))</f>
        <v/>
      </c>
      <c r="M1603" s="65" t="str">
        <f ca="1">IF($D1603="","",IF($C1603="TANIMSIZ MÜŞTERİ","HATA",IF(OR($E1603="",$F1603&lt;=0,$G1603=""),"EKSİK",IF($E1603&gt;TODAY(),"İLERİ TARİH",IF(COUNTIF($S$7:$S$2503,$S1603)&gt;1,"MÜKERRER?",IF($T1603&gt;0,"KAPALI DÖNEM","UYGUN"))))))</f>
        <v/>
      </c>
      <c r="N1603" s="74" t="str">
        <f>IF($C1603="","",IF($C1603="TANIMSIZ MÜŞTERİ","—",INDEX(MUSTERILER!$C$7:$C$156,MATCH($C1603,MUSTERILER!$B$7:$B$156,0))))</f>
        <v/>
      </c>
      <c r="O1603" s="2"/>
      <c r="P1603" s="2"/>
      <c r="Q1603" s="1" t="str">
        <f>IF($D1603="","",$C1603&amp;"|"&amp;COUNTIFS($C$7:$C1603,$C1603))</f>
        <v/>
      </c>
      <c r="R1603" s="1" t="str">
        <f t="shared" si="48"/>
        <v/>
      </c>
      <c r="S1603" s="1" t="str">
        <f t="shared" si="49"/>
        <v/>
      </c>
      <c r="T1603" s="1">
        <f>IF($E1603="",0,SUMPRODUCT((AY_SONU!$O$7:$O$42="Evet")*(AY_SONU!$B$7:$B$42=DATE(YEAR($E1603),MONTH($E1603),1))))</f>
        <v>0</v>
      </c>
      <c r="U1603" s="1" t="str">
        <f>IF(OR($G1603="",$H1603="Mahsup"),"",$G1603&amp;"|"&amp;COUNTIFS($G$7:$G1603,$G1603,$H$7:$H1603,"&lt;&gt;Mahsup"))</f>
        <v/>
      </c>
    </row>
    <row r="1604" spans="1:21" ht="18" customHeight="1" x14ac:dyDescent="0.3">
      <c r="A1604" s="2"/>
      <c r="B1604" s="65" t="str">
        <f>IF($D1604="","","T"&amp;TEXT(ROW()-6,"00000"))</f>
        <v/>
      </c>
      <c r="C1604" s="65" t="str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61"/>
      <c r="E1604" s="66"/>
      <c r="F1604" s="67"/>
      <c r="G1604" s="60"/>
      <c r="H1604" s="60"/>
      <c r="I1604" s="61"/>
      <c r="J1604" s="61"/>
      <c r="K1604" s="61"/>
      <c r="L1604" s="73" t="str">
        <f>IF($E1604="","",DATE(YEAR($E1604),MONTH($E1604),1))</f>
        <v/>
      </c>
      <c r="M1604" s="65" t="str">
        <f ca="1">IF($D1604="","",IF($C1604="TANIMSIZ MÜŞTERİ","HATA",IF(OR($E1604="",$F1604&lt;=0,$G1604=""),"EKSİK",IF($E1604&gt;TODAY(),"İLERİ TARİH",IF(COUNTIF($S$7:$S$2503,$S1604)&gt;1,"MÜKERRER?",IF($T1604&gt;0,"KAPALI DÖNEM","UYGUN"))))))</f>
        <v/>
      </c>
      <c r="N1604" s="74" t="str">
        <f>IF($C1604="","",IF($C1604="TANIMSIZ MÜŞTERİ","—",INDEX(MUSTERILER!$C$7:$C$156,MATCH($C1604,MUSTERILER!$B$7:$B$156,0))))</f>
        <v/>
      </c>
      <c r="O1604" s="2"/>
      <c r="P1604" s="2"/>
      <c r="Q1604" s="1" t="str">
        <f>IF($D1604="","",$C1604&amp;"|"&amp;COUNTIFS($C$7:$C1604,$C1604))</f>
        <v/>
      </c>
      <c r="R1604" s="1" t="str">
        <f t="shared" si="48"/>
        <v/>
      </c>
      <c r="S1604" s="1" t="str">
        <f t="shared" si="49"/>
        <v/>
      </c>
      <c r="T1604" s="1">
        <f>IF($E1604="",0,SUMPRODUCT((AY_SONU!$O$7:$O$42="Evet")*(AY_SONU!$B$7:$B$42=DATE(YEAR($E1604),MONTH($E1604),1))))</f>
        <v>0</v>
      </c>
      <c r="U1604" s="1" t="str">
        <f>IF(OR($G1604="",$H1604="Mahsup"),"",$G1604&amp;"|"&amp;COUNTIFS($G$7:$G1604,$G1604,$H$7:$H1604,"&lt;&gt;Mahsup"))</f>
        <v/>
      </c>
    </row>
    <row r="1605" spans="1:21" ht="18" customHeight="1" x14ac:dyDescent="0.3">
      <c r="A1605" s="2"/>
      <c r="B1605" s="65" t="str">
        <f>IF($D1605="","","T"&amp;TEXT(ROW()-6,"00000"))</f>
        <v/>
      </c>
      <c r="C1605" s="65" t="str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61"/>
      <c r="E1605" s="66"/>
      <c r="F1605" s="67"/>
      <c r="G1605" s="60"/>
      <c r="H1605" s="60"/>
      <c r="I1605" s="61"/>
      <c r="J1605" s="61"/>
      <c r="K1605" s="61"/>
      <c r="L1605" s="73" t="str">
        <f>IF($E1605="","",DATE(YEAR($E1605),MONTH($E1605),1))</f>
        <v/>
      </c>
      <c r="M1605" s="65" t="str">
        <f ca="1">IF($D1605="","",IF($C1605="TANIMSIZ MÜŞTERİ","HATA",IF(OR($E1605="",$F1605&lt;=0,$G1605=""),"EKSİK",IF($E1605&gt;TODAY(),"İLERİ TARİH",IF(COUNTIF($S$7:$S$2503,$S1605)&gt;1,"MÜKERRER?",IF($T1605&gt;0,"KAPALI DÖNEM","UYGUN"))))))</f>
        <v/>
      </c>
      <c r="N1605" s="74" t="str">
        <f>IF($C1605="","",IF($C1605="TANIMSIZ MÜŞTERİ","—",INDEX(MUSTERILER!$C$7:$C$156,MATCH($C1605,MUSTERILER!$B$7:$B$156,0))))</f>
        <v/>
      </c>
      <c r="O1605" s="2"/>
      <c r="P1605" s="2"/>
      <c r="Q1605" s="1" t="str">
        <f>IF($D1605="","",$C1605&amp;"|"&amp;COUNTIFS($C$7:$C1605,$C1605))</f>
        <v/>
      </c>
      <c r="R1605" s="1" t="str">
        <f t="shared" si="48"/>
        <v/>
      </c>
      <c r="S1605" s="1" t="str">
        <f t="shared" si="49"/>
        <v/>
      </c>
      <c r="T1605" s="1">
        <f>IF($E1605="",0,SUMPRODUCT((AY_SONU!$O$7:$O$42="Evet")*(AY_SONU!$B$7:$B$42=DATE(YEAR($E1605),MONTH($E1605),1))))</f>
        <v>0</v>
      </c>
      <c r="U1605" s="1" t="str">
        <f>IF(OR($G1605="",$H1605="Mahsup"),"",$G1605&amp;"|"&amp;COUNTIFS($G$7:$G1605,$G1605,$H$7:$H1605,"&lt;&gt;Mahsup"))</f>
        <v/>
      </c>
    </row>
    <row r="1606" spans="1:21" ht="18" customHeight="1" x14ac:dyDescent="0.3">
      <c r="A1606" s="2"/>
      <c r="B1606" s="65" t="str">
        <f>IF($D1606="","","T"&amp;TEXT(ROW()-6,"00000"))</f>
        <v/>
      </c>
      <c r="C1606" s="65" t="str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61"/>
      <c r="E1606" s="66"/>
      <c r="F1606" s="67"/>
      <c r="G1606" s="60"/>
      <c r="H1606" s="60"/>
      <c r="I1606" s="61"/>
      <c r="J1606" s="61"/>
      <c r="K1606" s="61"/>
      <c r="L1606" s="73" t="str">
        <f>IF($E1606="","",DATE(YEAR($E1606),MONTH($E1606),1))</f>
        <v/>
      </c>
      <c r="M1606" s="65" t="str">
        <f ca="1">IF($D1606="","",IF($C1606="TANIMSIZ MÜŞTERİ","HATA",IF(OR($E1606="",$F1606&lt;=0,$G1606=""),"EKSİK",IF($E1606&gt;TODAY(),"İLERİ TARİH",IF(COUNTIF($S$7:$S$2503,$S1606)&gt;1,"MÜKERRER?",IF($T1606&gt;0,"KAPALI DÖNEM","UYGUN"))))))</f>
        <v/>
      </c>
      <c r="N1606" s="74" t="str">
        <f>IF($C1606="","",IF($C1606="TANIMSIZ MÜŞTERİ","—",INDEX(MUSTERILER!$C$7:$C$156,MATCH($C1606,MUSTERILER!$B$7:$B$156,0))))</f>
        <v/>
      </c>
      <c r="O1606" s="2"/>
      <c r="P1606" s="2"/>
      <c r="Q1606" s="1" t="str">
        <f>IF($D1606="","",$C1606&amp;"|"&amp;COUNTIFS($C$7:$C1606,$C1606))</f>
        <v/>
      </c>
      <c r="R1606" s="1" t="str">
        <f t="shared" si="48"/>
        <v/>
      </c>
      <c r="S1606" s="1" t="str">
        <f t="shared" si="49"/>
        <v/>
      </c>
      <c r="T1606" s="1">
        <f>IF($E1606="",0,SUMPRODUCT((AY_SONU!$O$7:$O$42="Evet")*(AY_SONU!$B$7:$B$42=DATE(YEAR($E1606),MONTH($E1606),1))))</f>
        <v>0</v>
      </c>
      <c r="U1606" s="1" t="str">
        <f>IF(OR($G1606="",$H1606="Mahsup"),"",$G1606&amp;"|"&amp;COUNTIFS($G$7:$G1606,$G1606,$H$7:$H1606,"&lt;&gt;Mahsup"))</f>
        <v/>
      </c>
    </row>
    <row r="1607" spans="1:21" ht="18" customHeight="1" x14ac:dyDescent="0.3">
      <c r="A1607" s="2"/>
      <c r="B1607" s="65" t="str">
        <f>IF($D1607="","","T"&amp;TEXT(ROW()-6,"00000"))</f>
        <v/>
      </c>
      <c r="C1607" s="65" t="str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61"/>
      <c r="E1607" s="66"/>
      <c r="F1607" s="67"/>
      <c r="G1607" s="60"/>
      <c r="H1607" s="60"/>
      <c r="I1607" s="61"/>
      <c r="J1607" s="61"/>
      <c r="K1607" s="61"/>
      <c r="L1607" s="73" t="str">
        <f>IF($E1607="","",DATE(YEAR($E1607),MONTH($E1607),1))</f>
        <v/>
      </c>
      <c r="M1607" s="65" t="str">
        <f ca="1">IF($D1607="","",IF($C1607="TANIMSIZ MÜŞTERİ","HATA",IF(OR($E1607="",$F1607&lt;=0,$G1607=""),"EKSİK",IF($E1607&gt;TODAY(),"İLERİ TARİH",IF(COUNTIF($S$7:$S$2503,$S1607)&gt;1,"MÜKERRER?",IF($T1607&gt;0,"KAPALI DÖNEM","UYGUN"))))))</f>
        <v/>
      </c>
      <c r="N1607" s="74" t="str">
        <f>IF($C1607="","",IF($C1607="TANIMSIZ MÜŞTERİ","—",INDEX(MUSTERILER!$C$7:$C$156,MATCH($C1607,MUSTERILER!$B$7:$B$156,0))))</f>
        <v/>
      </c>
      <c r="O1607" s="2"/>
      <c r="P1607" s="2"/>
      <c r="Q1607" s="1" t="str">
        <f>IF($D1607="","",$C1607&amp;"|"&amp;COUNTIFS($C$7:$C1607,$C1607))</f>
        <v/>
      </c>
      <c r="R1607" s="1" t="str">
        <f t="shared" ref="R1607:R1670" si="50"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" t="str">
        <f t="shared" ref="S1607:S1670" si="51">IF($D1607="","",$C1607&amp;"|"&amp;TEXT($E1607,"0")&amp;"|"&amp;TEXT($F1607,"0")&amp;"|"&amp;$I1607)</f>
        <v/>
      </c>
      <c r="T1607" s="1">
        <f>IF($E1607="",0,SUMPRODUCT((AY_SONU!$O$7:$O$42="Evet")*(AY_SONU!$B$7:$B$42=DATE(YEAR($E1607),MONTH($E1607),1))))</f>
        <v>0</v>
      </c>
      <c r="U1607" s="1" t="str">
        <f>IF(OR($G1607="",$H1607="Mahsup"),"",$G1607&amp;"|"&amp;COUNTIFS($G$7:$G1607,$G1607,$H$7:$H1607,"&lt;&gt;Mahsup"))</f>
        <v/>
      </c>
    </row>
    <row r="1608" spans="1:21" ht="18" customHeight="1" x14ac:dyDescent="0.3">
      <c r="A1608" s="2"/>
      <c r="B1608" s="65" t="str">
        <f>IF($D1608="","","T"&amp;TEXT(ROW()-6,"00000"))</f>
        <v/>
      </c>
      <c r="C1608" s="65" t="str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61"/>
      <c r="E1608" s="66"/>
      <c r="F1608" s="67"/>
      <c r="G1608" s="60"/>
      <c r="H1608" s="60"/>
      <c r="I1608" s="61"/>
      <c r="J1608" s="61"/>
      <c r="K1608" s="61"/>
      <c r="L1608" s="73" t="str">
        <f>IF($E1608="","",DATE(YEAR($E1608),MONTH($E1608),1))</f>
        <v/>
      </c>
      <c r="M1608" s="65" t="str">
        <f ca="1">IF($D1608="","",IF($C1608="TANIMSIZ MÜŞTERİ","HATA",IF(OR($E1608="",$F1608&lt;=0,$G1608=""),"EKSİK",IF($E1608&gt;TODAY(),"İLERİ TARİH",IF(COUNTIF($S$7:$S$2503,$S1608)&gt;1,"MÜKERRER?",IF($T1608&gt;0,"KAPALI DÖNEM","UYGUN"))))))</f>
        <v/>
      </c>
      <c r="N1608" s="74" t="str">
        <f>IF($C1608="","",IF($C1608="TANIMSIZ MÜŞTERİ","—",INDEX(MUSTERILER!$C$7:$C$156,MATCH($C1608,MUSTERILER!$B$7:$B$156,0))))</f>
        <v/>
      </c>
      <c r="O1608" s="2"/>
      <c r="P1608" s="2"/>
      <c r="Q1608" s="1" t="str">
        <f>IF($D1608="","",$C1608&amp;"|"&amp;COUNTIFS($C$7:$C1608,$C1608))</f>
        <v/>
      </c>
      <c r="R1608" s="1" t="str">
        <f t="shared" si="50"/>
        <v/>
      </c>
      <c r="S1608" s="1" t="str">
        <f t="shared" si="51"/>
        <v/>
      </c>
      <c r="T1608" s="1">
        <f>IF($E1608="",0,SUMPRODUCT((AY_SONU!$O$7:$O$42="Evet")*(AY_SONU!$B$7:$B$42=DATE(YEAR($E1608),MONTH($E1608),1))))</f>
        <v>0</v>
      </c>
      <c r="U1608" s="1" t="str">
        <f>IF(OR($G1608="",$H1608="Mahsup"),"",$G1608&amp;"|"&amp;COUNTIFS($G$7:$G1608,$G1608,$H$7:$H1608,"&lt;&gt;Mahsup"))</f>
        <v/>
      </c>
    </row>
    <row r="1609" spans="1:21" ht="18" customHeight="1" x14ac:dyDescent="0.3">
      <c r="A1609" s="2"/>
      <c r="B1609" s="65" t="str">
        <f>IF($D1609="","","T"&amp;TEXT(ROW()-6,"00000"))</f>
        <v/>
      </c>
      <c r="C1609" s="65" t="str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61"/>
      <c r="E1609" s="66"/>
      <c r="F1609" s="67"/>
      <c r="G1609" s="60"/>
      <c r="H1609" s="60"/>
      <c r="I1609" s="61"/>
      <c r="J1609" s="61"/>
      <c r="K1609" s="61"/>
      <c r="L1609" s="73" t="str">
        <f>IF($E1609="","",DATE(YEAR($E1609),MONTH($E1609),1))</f>
        <v/>
      </c>
      <c r="M1609" s="65" t="str">
        <f ca="1">IF($D1609="","",IF($C1609="TANIMSIZ MÜŞTERİ","HATA",IF(OR($E1609="",$F1609&lt;=0,$G1609=""),"EKSİK",IF($E1609&gt;TODAY(),"İLERİ TARİH",IF(COUNTIF($S$7:$S$2503,$S1609)&gt;1,"MÜKERRER?",IF($T1609&gt;0,"KAPALI DÖNEM","UYGUN"))))))</f>
        <v/>
      </c>
      <c r="N1609" s="74" t="str">
        <f>IF($C1609="","",IF($C1609="TANIMSIZ MÜŞTERİ","—",INDEX(MUSTERILER!$C$7:$C$156,MATCH($C1609,MUSTERILER!$B$7:$B$156,0))))</f>
        <v/>
      </c>
      <c r="O1609" s="2"/>
      <c r="P1609" s="2"/>
      <c r="Q1609" s="1" t="str">
        <f>IF($D1609="","",$C1609&amp;"|"&amp;COUNTIFS($C$7:$C1609,$C1609))</f>
        <v/>
      </c>
      <c r="R1609" s="1" t="str">
        <f t="shared" si="50"/>
        <v/>
      </c>
      <c r="S1609" s="1" t="str">
        <f t="shared" si="51"/>
        <v/>
      </c>
      <c r="T1609" s="1">
        <f>IF($E1609="",0,SUMPRODUCT((AY_SONU!$O$7:$O$42="Evet")*(AY_SONU!$B$7:$B$42=DATE(YEAR($E1609),MONTH($E1609),1))))</f>
        <v>0</v>
      </c>
      <c r="U1609" s="1" t="str">
        <f>IF(OR($G1609="",$H1609="Mahsup"),"",$G1609&amp;"|"&amp;COUNTIFS($G$7:$G1609,$G1609,$H$7:$H1609,"&lt;&gt;Mahsup"))</f>
        <v/>
      </c>
    </row>
    <row r="1610" spans="1:21" ht="18" customHeight="1" x14ac:dyDescent="0.3">
      <c r="A1610" s="2"/>
      <c r="B1610" s="65" t="str">
        <f>IF($D1610="","","T"&amp;TEXT(ROW()-6,"00000"))</f>
        <v/>
      </c>
      <c r="C1610" s="65" t="str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61"/>
      <c r="E1610" s="66"/>
      <c r="F1610" s="67"/>
      <c r="G1610" s="60"/>
      <c r="H1610" s="60"/>
      <c r="I1610" s="61"/>
      <c r="J1610" s="61"/>
      <c r="K1610" s="61"/>
      <c r="L1610" s="73" t="str">
        <f>IF($E1610="","",DATE(YEAR($E1610),MONTH($E1610),1))</f>
        <v/>
      </c>
      <c r="M1610" s="65" t="str">
        <f ca="1">IF($D1610="","",IF($C1610="TANIMSIZ MÜŞTERİ","HATA",IF(OR($E1610="",$F1610&lt;=0,$G1610=""),"EKSİK",IF($E1610&gt;TODAY(),"İLERİ TARİH",IF(COUNTIF($S$7:$S$2503,$S1610)&gt;1,"MÜKERRER?",IF($T1610&gt;0,"KAPALI DÖNEM","UYGUN"))))))</f>
        <v/>
      </c>
      <c r="N1610" s="74" t="str">
        <f>IF($C1610="","",IF($C1610="TANIMSIZ MÜŞTERİ","—",INDEX(MUSTERILER!$C$7:$C$156,MATCH($C1610,MUSTERILER!$B$7:$B$156,0))))</f>
        <v/>
      </c>
      <c r="O1610" s="2"/>
      <c r="P1610" s="2"/>
      <c r="Q1610" s="1" t="str">
        <f>IF($D1610="","",$C1610&amp;"|"&amp;COUNTIFS($C$7:$C1610,$C1610))</f>
        <v/>
      </c>
      <c r="R1610" s="1" t="str">
        <f t="shared" si="50"/>
        <v/>
      </c>
      <c r="S1610" s="1" t="str">
        <f t="shared" si="51"/>
        <v/>
      </c>
      <c r="T1610" s="1">
        <f>IF($E1610="",0,SUMPRODUCT((AY_SONU!$O$7:$O$42="Evet")*(AY_SONU!$B$7:$B$42=DATE(YEAR($E1610),MONTH($E1610),1))))</f>
        <v>0</v>
      </c>
      <c r="U1610" s="1" t="str">
        <f>IF(OR($G1610="",$H1610="Mahsup"),"",$G1610&amp;"|"&amp;COUNTIFS($G$7:$G1610,$G1610,$H$7:$H1610,"&lt;&gt;Mahsup"))</f>
        <v/>
      </c>
    </row>
    <row r="1611" spans="1:21" ht="18" customHeight="1" x14ac:dyDescent="0.3">
      <c r="A1611" s="2"/>
      <c r="B1611" s="65" t="str">
        <f>IF($D1611="","","T"&amp;TEXT(ROW()-6,"00000"))</f>
        <v/>
      </c>
      <c r="C1611" s="65" t="str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61"/>
      <c r="E1611" s="66"/>
      <c r="F1611" s="67"/>
      <c r="G1611" s="60"/>
      <c r="H1611" s="60"/>
      <c r="I1611" s="61"/>
      <c r="J1611" s="61"/>
      <c r="K1611" s="61"/>
      <c r="L1611" s="73" t="str">
        <f>IF($E1611="","",DATE(YEAR($E1611),MONTH($E1611),1))</f>
        <v/>
      </c>
      <c r="M1611" s="65" t="str">
        <f ca="1">IF($D1611="","",IF($C1611="TANIMSIZ MÜŞTERİ","HATA",IF(OR($E1611="",$F1611&lt;=0,$G1611=""),"EKSİK",IF($E1611&gt;TODAY(),"İLERİ TARİH",IF(COUNTIF($S$7:$S$2503,$S1611)&gt;1,"MÜKERRER?",IF($T1611&gt;0,"KAPALI DÖNEM","UYGUN"))))))</f>
        <v/>
      </c>
      <c r="N1611" s="74" t="str">
        <f>IF($C1611="","",IF($C1611="TANIMSIZ MÜŞTERİ","—",INDEX(MUSTERILER!$C$7:$C$156,MATCH($C1611,MUSTERILER!$B$7:$B$156,0))))</f>
        <v/>
      </c>
      <c r="O1611" s="2"/>
      <c r="P1611" s="2"/>
      <c r="Q1611" s="1" t="str">
        <f>IF($D1611="","",$C1611&amp;"|"&amp;COUNTIFS($C$7:$C1611,$C1611))</f>
        <v/>
      </c>
      <c r="R1611" s="1" t="str">
        <f t="shared" si="50"/>
        <v/>
      </c>
      <c r="S1611" s="1" t="str">
        <f t="shared" si="51"/>
        <v/>
      </c>
      <c r="T1611" s="1">
        <f>IF($E1611="",0,SUMPRODUCT((AY_SONU!$O$7:$O$42="Evet")*(AY_SONU!$B$7:$B$42=DATE(YEAR($E1611),MONTH($E1611),1))))</f>
        <v>0</v>
      </c>
      <c r="U1611" s="1" t="str">
        <f>IF(OR($G1611="",$H1611="Mahsup"),"",$G1611&amp;"|"&amp;COUNTIFS($G$7:$G1611,$G1611,$H$7:$H1611,"&lt;&gt;Mahsup"))</f>
        <v/>
      </c>
    </row>
    <row r="1612" spans="1:21" ht="18" customHeight="1" x14ac:dyDescent="0.3">
      <c r="A1612" s="2"/>
      <c r="B1612" s="65" t="str">
        <f>IF($D1612="","","T"&amp;TEXT(ROW()-6,"00000"))</f>
        <v/>
      </c>
      <c r="C1612" s="65" t="str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61"/>
      <c r="E1612" s="66"/>
      <c r="F1612" s="67"/>
      <c r="G1612" s="60"/>
      <c r="H1612" s="60"/>
      <c r="I1612" s="61"/>
      <c r="J1612" s="61"/>
      <c r="K1612" s="61"/>
      <c r="L1612" s="73" t="str">
        <f>IF($E1612="","",DATE(YEAR($E1612),MONTH($E1612),1))</f>
        <v/>
      </c>
      <c r="M1612" s="65" t="str">
        <f ca="1">IF($D1612="","",IF($C1612="TANIMSIZ MÜŞTERİ","HATA",IF(OR($E1612="",$F1612&lt;=0,$G1612=""),"EKSİK",IF($E1612&gt;TODAY(),"İLERİ TARİH",IF(COUNTIF($S$7:$S$2503,$S1612)&gt;1,"MÜKERRER?",IF($T1612&gt;0,"KAPALI DÖNEM","UYGUN"))))))</f>
        <v/>
      </c>
      <c r="N1612" s="74" t="str">
        <f>IF($C1612="","",IF($C1612="TANIMSIZ MÜŞTERİ","—",INDEX(MUSTERILER!$C$7:$C$156,MATCH($C1612,MUSTERILER!$B$7:$B$156,0))))</f>
        <v/>
      </c>
      <c r="O1612" s="2"/>
      <c r="P1612" s="2"/>
      <c r="Q1612" s="1" t="str">
        <f>IF($D1612="","",$C1612&amp;"|"&amp;COUNTIFS($C$7:$C1612,$C1612))</f>
        <v/>
      </c>
      <c r="R1612" s="1" t="str">
        <f t="shared" si="50"/>
        <v/>
      </c>
      <c r="S1612" s="1" t="str">
        <f t="shared" si="51"/>
        <v/>
      </c>
      <c r="T1612" s="1">
        <f>IF($E1612="",0,SUMPRODUCT((AY_SONU!$O$7:$O$42="Evet")*(AY_SONU!$B$7:$B$42=DATE(YEAR($E1612),MONTH($E1612),1))))</f>
        <v>0</v>
      </c>
      <c r="U1612" s="1" t="str">
        <f>IF(OR($G1612="",$H1612="Mahsup"),"",$G1612&amp;"|"&amp;COUNTIFS($G$7:$G1612,$G1612,$H$7:$H1612,"&lt;&gt;Mahsup"))</f>
        <v/>
      </c>
    </row>
    <row r="1613" spans="1:21" ht="18" customHeight="1" x14ac:dyDescent="0.3">
      <c r="A1613" s="2"/>
      <c r="B1613" s="65" t="str">
        <f>IF($D1613="","","T"&amp;TEXT(ROW()-6,"00000"))</f>
        <v/>
      </c>
      <c r="C1613" s="65" t="str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61"/>
      <c r="E1613" s="66"/>
      <c r="F1613" s="67"/>
      <c r="G1613" s="60"/>
      <c r="H1613" s="60"/>
      <c r="I1613" s="61"/>
      <c r="J1613" s="61"/>
      <c r="K1613" s="61"/>
      <c r="L1613" s="73" t="str">
        <f>IF($E1613="","",DATE(YEAR($E1613),MONTH($E1613),1))</f>
        <v/>
      </c>
      <c r="M1613" s="65" t="str">
        <f ca="1">IF($D1613="","",IF($C1613="TANIMSIZ MÜŞTERİ","HATA",IF(OR($E1613="",$F1613&lt;=0,$G1613=""),"EKSİK",IF($E1613&gt;TODAY(),"İLERİ TARİH",IF(COUNTIF($S$7:$S$2503,$S1613)&gt;1,"MÜKERRER?",IF($T1613&gt;0,"KAPALI DÖNEM","UYGUN"))))))</f>
        <v/>
      </c>
      <c r="N1613" s="74" t="str">
        <f>IF($C1613="","",IF($C1613="TANIMSIZ MÜŞTERİ","—",INDEX(MUSTERILER!$C$7:$C$156,MATCH($C1613,MUSTERILER!$B$7:$B$156,0))))</f>
        <v/>
      </c>
      <c r="O1613" s="2"/>
      <c r="P1613" s="2"/>
      <c r="Q1613" s="1" t="str">
        <f>IF($D1613="","",$C1613&amp;"|"&amp;COUNTIFS($C$7:$C1613,$C1613))</f>
        <v/>
      </c>
      <c r="R1613" s="1" t="str">
        <f t="shared" si="50"/>
        <v/>
      </c>
      <c r="S1613" s="1" t="str">
        <f t="shared" si="51"/>
        <v/>
      </c>
      <c r="T1613" s="1">
        <f>IF($E1613="",0,SUMPRODUCT((AY_SONU!$O$7:$O$42="Evet")*(AY_SONU!$B$7:$B$42=DATE(YEAR($E1613),MONTH($E1613),1))))</f>
        <v>0</v>
      </c>
      <c r="U1613" s="1" t="str">
        <f>IF(OR($G1613="",$H1613="Mahsup"),"",$G1613&amp;"|"&amp;COUNTIFS($G$7:$G1613,$G1613,$H$7:$H1613,"&lt;&gt;Mahsup"))</f>
        <v/>
      </c>
    </row>
    <row r="1614" spans="1:21" ht="18" customHeight="1" x14ac:dyDescent="0.3">
      <c r="A1614" s="2"/>
      <c r="B1614" s="65" t="str">
        <f>IF($D1614="","","T"&amp;TEXT(ROW()-6,"00000"))</f>
        <v/>
      </c>
      <c r="C1614" s="65" t="str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61"/>
      <c r="E1614" s="66"/>
      <c r="F1614" s="67"/>
      <c r="G1614" s="60"/>
      <c r="H1614" s="60"/>
      <c r="I1614" s="61"/>
      <c r="J1614" s="61"/>
      <c r="K1614" s="61"/>
      <c r="L1614" s="73" t="str">
        <f>IF($E1614="","",DATE(YEAR($E1614),MONTH($E1614),1))</f>
        <v/>
      </c>
      <c r="M1614" s="65" t="str">
        <f ca="1">IF($D1614="","",IF($C1614="TANIMSIZ MÜŞTERİ","HATA",IF(OR($E1614="",$F1614&lt;=0,$G1614=""),"EKSİK",IF($E1614&gt;TODAY(),"İLERİ TARİH",IF(COUNTIF($S$7:$S$2503,$S1614)&gt;1,"MÜKERRER?",IF($T1614&gt;0,"KAPALI DÖNEM","UYGUN"))))))</f>
        <v/>
      </c>
      <c r="N1614" s="74" t="str">
        <f>IF($C1614="","",IF($C1614="TANIMSIZ MÜŞTERİ","—",INDEX(MUSTERILER!$C$7:$C$156,MATCH($C1614,MUSTERILER!$B$7:$B$156,0))))</f>
        <v/>
      </c>
      <c r="O1614" s="2"/>
      <c r="P1614" s="2"/>
      <c r="Q1614" s="1" t="str">
        <f>IF($D1614="","",$C1614&amp;"|"&amp;COUNTIFS($C$7:$C1614,$C1614))</f>
        <v/>
      </c>
      <c r="R1614" s="1" t="str">
        <f t="shared" si="50"/>
        <v/>
      </c>
      <c r="S1614" s="1" t="str">
        <f t="shared" si="51"/>
        <v/>
      </c>
      <c r="T1614" s="1">
        <f>IF($E1614="",0,SUMPRODUCT((AY_SONU!$O$7:$O$42="Evet")*(AY_SONU!$B$7:$B$42=DATE(YEAR($E1614),MONTH($E1614),1))))</f>
        <v>0</v>
      </c>
      <c r="U1614" s="1" t="str">
        <f>IF(OR($G1614="",$H1614="Mahsup"),"",$G1614&amp;"|"&amp;COUNTIFS($G$7:$G1614,$G1614,$H$7:$H1614,"&lt;&gt;Mahsup"))</f>
        <v/>
      </c>
    </row>
    <row r="1615" spans="1:21" ht="18" customHeight="1" x14ac:dyDescent="0.3">
      <c r="A1615" s="2"/>
      <c r="B1615" s="65" t="str">
        <f>IF($D1615="","","T"&amp;TEXT(ROW()-6,"00000"))</f>
        <v/>
      </c>
      <c r="C1615" s="65" t="str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61"/>
      <c r="E1615" s="66"/>
      <c r="F1615" s="67"/>
      <c r="G1615" s="60"/>
      <c r="H1615" s="60"/>
      <c r="I1615" s="61"/>
      <c r="J1615" s="61"/>
      <c r="K1615" s="61"/>
      <c r="L1615" s="73" t="str">
        <f>IF($E1615="","",DATE(YEAR($E1615),MONTH($E1615),1))</f>
        <v/>
      </c>
      <c r="M1615" s="65" t="str">
        <f ca="1">IF($D1615="","",IF($C1615="TANIMSIZ MÜŞTERİ","HATA",IF(OR($E1615="",$F1615&lt;=0,$G1615=""),"EKSİK",IF($E1615&gt;TODAY(),"İLERİ TARİH",IF(COUNTIF($S$7:$S$2503,$S1615)&gt;1,"MÜKERRER?",IF($T1615&gt;0,"KAPALI DÖNEM","UYGUN"))))))</f>
        <v/>
      </c>
      <c r="N1615" s="74" t="str">
        <f>IF($C1615="","",IF($C1615="TANIMSIZ MÜŞTERİ","—",INDEX(MUSTERILER!$C$7:$C$156,MATCH($C1615,MUSTERILER!$B$7:$B$156,0))))</f>
        <v/>
      </c>
      <c r="O1615" s="2"/>
      <c r="P1615" s="2"/>
      <c r="Q1615" s="1" t="str">
        <f>IF($D1615="","",$C1615&amp;"|"&amp;COUNTIFS($C$7:$C1615,$C1615))</f>
        <v/>
      </c>
      <c r="R1615" s="1" t="str">
        <f t="shared" si="50"/>
        <v/>
      </c>
      <c r="S1615" s="1" t="str">
        <f t="shared" si="51"/>
        <v/>
      </c>
      <c r="T1615" s="1">
        <f>IF($E1615="",0,SUMPRODUCT((AY_SONU!$O$7:$O$42="Evet")*(AY_SONU!$B$7:$B$42=DATE(YEAR($E1615),MONTH($E1615),1))))</f>
        <v>0</v>
      </c>
      <c r="U1615" s="1" t="str">
        <f>IF(OR($G1615="",$H1615="Mahsup"),"",$G1615&amp;"|"&amp;COUNTIFS($G$7:$G1615,$G1615,$H$7:$H1615,"&lt;&gt;Mahsup"))</f>
        <v/>
      </c>
    </row>
    <row r="1616" spans="1:21" ht="18" customHeight="1" x14ac:dyDescent="0.3">
      <c r="A1616" s="2"/>
      <c r="B1616" s="65" t="str">
        <f>IF($D1616="","","T"&amp;TEXT(ROW()-6,"00000"))</f>
        <v/>
      </c>
      <c r="C1616" s="65" t="str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61"/>
      <c r="E1616" s="66"/>
      <c r="F1616" s="67"/>
      <c r="G1616" s="60"/>
      <c r="H1616" s="60"/>
      <c r="I1616" s="61"/>
      <c r="J1616" s="61"/>
      <c r="K1616" s="61"/>
      <c r="L1616" s="73" t="str">
        <f>IF($E1616="","",DATE(YEAR($E1616),MONTH($E1616),1))</f>
        <v/>
      </c>
      <c r="M1616" s="65" t="str">
        <f ca="1">IF($D1616="","",IF($C1616="TANIMSIZ MÜŞTERİ","HATA",IF(OR($E1616="",$F1616&lt;=0,$G1616=""),"EKSİK",IF($E1616&gt;TODAY(),"İLERİ TARİH",IF(COUNTIF($S$7:$S$2503,$S1616)&gt;1,"MÜKERRER?",IF($T1616&gt;0,"KAPALI DÖNEM","UYGUN"))))))</f>
        <v/>
      </c>
      <c r="N1616" s="74" t="str">
        <f>IF($C1616="","",IF($C1616="TANIMSIZ MÜŞTERİ","—",INDEX(MUSTERILER!$C$7:$C$156,MATCH($C1616,MUSTERILER!$B$7:$B$156,0))))</f>
        <v/>
      </c>
      <c r="O1616" s="2"/>
      <c r="P1616" s="2"/>
      <c r="Q1616" s="1" t="str">
        <f>IF($D1616="","",$C1616&amp;"|"&amp;COUNTIFS($C$7:$C1616,$C1616))</f>
        <v/>
      </c>
      <c r="R1616" s="1" t="str">
        <f t="shared" si="50"/>
        <v/>
      </c>
      <c r="S1616" s="1" t="str">
        <f t="shared" si="51"/>
        <v/>
      </c>
      <c r="T1616" s="1">
        <f>IF($E1616="",0,SUMPRODUCT((AY_SONU!$O$7:$O$42="Evet")*(AY_SONU!$B$7:$B$42=DATE(YEAR($E1616),MONTH($E1616),1))))</f>
        <v>0</v>
      </c>
      <c r="U1616" s="1" t="str">
        <f>IF(OR($G1616="",$H1616="Mahsup"),"",$G1616&amp;"|"&amp;COUNTIFS($G$7:$G1616,$G1616,$H$7:$H1616,"&lt;&gt;Mahsup"))</f>
        <v/>
      </c>
    </row>
    <row r="1617" spans="1:21" ht="18" customHeight="1" x14ac:dyDescent="0.3">
      <c r="A1617" s="2"/>
      <c r="B1617" s="65" t="str">
        <f>IF($D1617="","","T"&amp;TEXT(ROW()-6,"00000"))</f>
        <v/>
      </c>
      <c r="C1617" s="65" t="str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61"/>
      <c r="E1617" s="66"/>
      <c r="F1617" s="67"/>
      <c r="G1617" s="60"/>
      <c r="H1617" s="60"/>
      <c r="I1617" s="61"/>
      <c r="J1617" s="61"/>
      <c r="K1617" s="61"/>
      <c r="L1617" s="73" t="str">
        <f>IF($E1617="","",DATE(YEAR($E1617),MONTH($E1617),1))</f>
        <v/>
      </c>
      <c r="M1617" s="65" t="str">
        <f ca="1">IF($D1617="","",IF($C1617="TANIMSIZ MÜŞTERİ","HATA",IF(OR($E1617="",$F1617&lt;=0,$G1617=""),"EKSİK",IF($E1617&gt;TODAY(),"İLERİ TARİH",IF(COUNTIF($S$7:$S$2503,$S1617)&gt;1,"MÜKERRER?",IF($T1617&gt;0,"KAPALI DÖNEM","UYGUN"))))))</f>
        <v/>
      </c>
      <c r="N1617" s="74" t="str">
        <f>IF($C1617="","",IF($C1617="TANIMSIZ MÜŞTERİ","—",INDEX(MUSTERILER!$C$7:$C$156,MATCH($C1617,MUSTERILER!$B$7:$B$156,0))))</f>
        <v/>
      </c>
      <c r="O1617" s="2"/>
      <c r="P1617" s="2"/>
      <c r="Q1617" s="1" t="str">
        <f>IF($D1617="","",$C1617&amp;"|"&amp;COUNTIFS($C$7:$C1617,$C1617))</f>
        <v/>
      </c>
      <c r="R1617" s="1" t="str">
        <f t="shared" si="50"/>
        <v/>
      </c>
      <c r="S1617" s="1" t="str">
        <f t="shared" si="51"/>
        <v/>
      </c>
      <c r="T1617" s="1">
        <f>IF($E1617="",0,SUMPRODUCT((AY_SONU!$O$7:$O$42="Evet")*(AY_SONU!$B$7:$B$42=DATE(YEAR($E1617),MONTH($E1617),1))))</f>
        <v>0</v>
      </c>
      <c r="U1617" s="1" t="str">
        <f>IF(OR($G1617="",$H1617="Mahsup"),"",$G1617&amp;"|"&amp;COUNTIFS($G$7:$G1617,$G1617,$H$7:$H1617,"&lt;&gt;Mahsup"))</f>
        <v/>
      </c>
    </row>
    <row r="1618" spans="1:21" ht="18" customHeight="1" x14ac:dyDescent="0.3">
      <c r="A1618" s="2"/>
      <c r="B1618" s="65" t="str">
        <f>IF($D1618="","","T"&amp;TEXT(ROW()-6,"00000"))</f>
        <v/>
      </c>
      <c r="C1618" s="65" t="str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61"/>
      <c r="E1618" s="66"/>
      <c r="F1618" s="67"/>
      <c r="G1618" s="60"/>
      <c r="H1618" s="60"/>
      <c r="I1618" s="61"/>
      <c r="J1618" s="61"/>
      <c r="K1618" s="61"/>
      <c r="L1618" s="73" t="str">
        <f>IF($E1618="","",DATE(YEAR($E1618),MONTH($E1618),1))</f>
        <v/>
      </c>
      <c r="M1618" s="65" t="str">
        <f ca="1">IF($D1618="","",IF($C1618="TANIMSIZ MÜŞTERİ","HATA",IF(OR($E1618="",$F1618&lt;=0,$G1618=""),"EKSİK",IF($E1618&gt;TODAY(),"İLERİ TARİH",IF(COUNTIF($S$7:$S$2503,$S1618)&gt;1,"MÜKERRER?",IF($T1618&gt;0,"KAPALI DÖNEM","UYGUN"))))))</f>
        <v/>
      </c>
      <c r="N1618" s="74" t="str">
        <f>IF($C1618="","",IF($C1618="TANIMSIZ MÜŞTERİ","—",INDEX(MUSTERILER!$C$7:$C$156,MATCH($C1618,MUSTERILER!$B$7:$B$156,0))))</f>
        <v/>
      </c>
      <c r="O1618" s="2"/>
      <c r="P1618" s="2"/>
      <c r="Q1618" s="1" t="str">
        <f>IF($D1618="","",$C1618&amp;"|"&amp;COUNTIFS($C$7:$C1618,$C1618))</f>
        <v/>
      </c>
      <c r="R1618" s="1" t="str">
        <f t="shared" si="50"/>
        <v/>
      </c>
      <c r="S1618" s="1" t="str">
        <f t="shared" si="51"/>
        <v/>
      </c>
      <c r="T1618" s="1">
        <f>IF($E1618="",0,SUMPRODUCT((AY_SONU!$O$7:$O$42="Evet")*(AY_SONU!$B$7:$B$42=DATE(YEAR($E1618),MONTH($E1618),1))))</f>
        <v>0</v>
      </c>
      <c r="U1618" s="1" t="str">
        <f>IF(OR($G1618="",$H1618="Mahsup"),"",$G1618&amp;"|"&amp;COUNTIFS($G$7:$G1618,$G1618,$H$7:$H1618,"&lt;&gt;Mahsup"))</f>
        <v/>
      </c>
    </row>
    <row r="1619" spans="1:21" ht="18" customHeight="1" x14ac:dyDescent="0.3">
      <c r="A1619" s="2"/>
      <c r="B1619" s="65" t="str">
        <f>IF($D1619="","","T"&amp;TEXT(ROW()-6,"00000"))</f>
        <v/>
      </c>
      <c r="C1619" s="65" t="str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61"/>
      <c r="E1619" s="66"/>
      <c r="F1619" s="67"/>
      <c r="G1619" s="60"/>
      <c r="H1619" s="60"/>
      <c r="I1619" s="61"/>
      <c r="J1619" s="61"/>
      <c r="K1619" s="61"/>
      <c r="L1619" s="73" t="str">
        <f>IF($E1619="","",DATE(YEAR($E1619),MONTH($E1619),1))</f>
        <v/>
      </c>
      <c r="M1619" s="65" t="str">
        <f ca="1">IF($D1619="","",IF($C1619="TANIMSIZ MÜŞTERİ","HATA",IF(OR($E1619="",$F1619&lt;=0,$G1619=""),"EKSİK",IF($E1619&gt;TODAY(),"İLERİ TARİH",IF(COUNTIF($S$7:$S$2503,$S1619)&gt;1,"MÜKERRER?",IF($T1619&gt;0,"KAPALI DÖNEM","UYGUN"))))))</f>
        <v/>
      </c>
      <c r="N1619" s="74" t="str">
        <f>IF($C1619="","",IF($C1619="TANIMSIZ MÜŞTERİ","—",INDEX(MUSTERILER!$C$7:$C$156,MATCH($C1619,MUSTERILER!$B$7:$B$156,0))))</f>
        <v/>
      </c>
      <c r="O1619" s="2"/>
      <c r="P1619" s="2"/>
      <c r="Q1619" s="1" t="str">
        <f>IF($D1619="","",$C1619&amp;"|"&amp;COUNTIFS($C$7:$C1619,$C1619))</f>
        <v/>
      </c>
      <c r="R1619" s="1" t="str">
        <f t="shared" si="50"/>
        <v/>
      </c>
      <c r="S1619" s="1" t="str">
        <f t="shared" si="51"/>
        <v/>
      </c>
      <c r="T1619" s="1">
        <f>IF($E1619="",0,SUMPRODUCT((AY_SONU!$O$7:$O$42="Evet")*(AY_SONU!$B$7:$B$42=DATE(YEAR($E1619),MONTH($E1619),1))))</f>
        <v>0</v>
      </c>
      <c r="U1619" s="1" t="str">
        <f>IF(OR($G1619="",$H1619="Mahsup"),"",$G1619&amp;"|"&amp;COUNTIFS($G$7:$G1619,$G1619,$H$7:$H1619,"&lt;&gt;Mahsup"))</f>
        <v/>
      </c>
    </row>
    <row r="1620" spans="1:21" ht="18" customHeight="1" x14ac:dyDescent="0.3">
      <c r="A1620" s="2"/>
      <c r="B1620" s="65" t="str">
        <f>IF($D1620="","","T"&amp;TEXT(ROW()-6,"00000"))</f>
        <v/>
      </c>
      <c r="C1620" s="65" t="str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61"/>
      <c r="E1620" s="66"/>
      <c r="F1620" s="67"/>
      <c r="G1620" s="60"/>
      <c r="H1620" s="60"/>
      <c r="I1620" s="61"/>
      <c r="J1620" s="61"/>
      <c r="K1620" s="61"/>
      <c r="L1620" s="73" t="str">
        <f>IF($E1620="","",DATE(YEAR($E1620),MONTH($E1620),1))</f>
        <v/>
      </c>
      <c r="M1620" s="65" t="str">
        <f ca="1">IF($D1620="","",IF($C1620="TANIMSIZ MÜŞTERİ","HATA",IF(OR($E1620="",$F1620&lt;=0,$G1620=""),"EKSİK",IF($E1620&gt;TODAY(),"İLERİ TARİH",IF(COUNTIF($S$7:$S$2503,$S1620)&gt;1,"MÜKERRER?",IF($T1620&gt;0,"KAPALI DÖNEM","UYGUN"))))))</f>
        <v/>
      </c>
      <c r="N1620" s="74" t="str">
        <f>IF($C1620="","",IF($C1620="TANIMSIZ MÜŞTERİ","—",INDEX(MUSTERILER!$C$7:$C$156,MATCH($C1620,MUSTERILER!$B$7:$B$156,0))))</f>
        <v/>
      </c>
      <c r="O1620" s="2"/>
      <c r="P1620" s="2"/>
      <c r="Q1620" s="1" t="str">
        <f>IF($D1620="","",$C1620&amp;"|"&amp;COUNTIFS($C$7:$C1620,$C1620))</f>
        <v/>
      </c>
      <c r="R1620" s="1" t="str">
        <f t="shared" si="50"/>
        <v/>
      </c>
      <c r="S1620" s="1" t="str">
        <f t="shared" si="51"/>
        <v/>
      </c>
      <c r="T1620" s="1">
        <f>IF($E1620="",0,SUMPRODUCT((AY_SONU!$O$7:$O$42="Evet")*(AY_SONU!$B$7:$B$42=DATE(YEAR($E1620),MONTH($E1620),1))))</f>
        <v>0</v>
      </c>
      <c r="U1620" s="1" t="str">
        <f>IF(OR($G1620="",$H1620="Mahsup"),"",$G1620&amp;"|"&amp;COUNTIFS($G$7:$G1620,$G1620,$H$7:$H1620,"&lt;&gt;Mahsup"))</f>
        <v/>
      </c>
    </row>
    <row r="1621" spans="1:21" ht="18" customHeight="1" x14ac:dyDescent="0.3">
      <c r="A1621" s="2"/>
      <c r="B1621" s="65" t="str">
        <f>IF($D1621="","","T"&amp;TEXT(ROW()-6,"00000"))</f>
        <v/>
      </c>
      <c r="C1621" s="65" t="str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61"/>
      <c r="E1621" s="66"/>
      <c r="F1621" s="67"/>
      <c r="G1621" s="60"/>
      <c r="H1621" s="60"/>
      <c r="I1621" s="61"/>
      <c r="J1621" s="61"/>
      <c r="K1621" s="61"/>
      <c r="L1621" s="73" t="str">
        <f>IF($E1621="","",DATE(YEAR($E1621),MONTH($E1621),1))</f>
        <v/>
      </c>
      <c r="M1621" s="65" t="str">
        <f ca="1">IF($D1621="","",IF($C1621="TANIMSIZ MÜŞTERİ","HATA",IF(OR($E1621="",$F1621&lt;=0,$G1621=""),"EKSİK",IF($E1621&gt;TODAY(),"İLERİ TARİH",IF(COUNTIF($S$7:$S$2503,$S1621)&gt;1,"MÜKERRER?",IF($T1621&gt;0,"KAPALI DÖNEM","UYGUN"))))))</f>
        <v/>
      </c>
      <c r="N1621" s="74" t="str">
        <f>IF($C1621="","",IF($C1621="TANIMSIZ MÜŞTERİ","—",INDEX(MUSTERILER!$C$7:$C$156,MATCH($C1621,MUSTERILER!$B$7:$B$156,0))))</f>
        <v/>
      </c>
      <c r="O1621" s="2"/>
      <c r="P1621" s="2"/>
      <c r="Q1621" s="1" t="str">
        <f>IF($D1621="","",$C1621&amp;"|"&amp;COUNTIFS($C$7:$C1621,$C1621))</f>
        <v/>
      </c>
      <c r="R1621" s="1" t="str">
        <f t="shared" si="50"/>
        <v/>
      </c>
      <c r="S1621" s="1" t="str">
        <f t="shared" si="51"/>
        <v/>
      </c>
      <c r="T1621" s="1">
        <f>IF($E1621="",0,SUMPRODUCT((AY_SONU!$O$7:$O$42="Evet")*(AY_SONU!$B$7:$B$42=DATE(YEAR($E1621),MONTH($E1621),1))))</f>
        <v>0</v>
      </c>
      <c r="U1621" s="1" t="str">
        <f>IF(OR($G1621="",$H1621="Mahsup"),"",$G1621&amp;"|"&amp;COUNTIFS($G$7:$G1621,$G1621,$H$7:$H1621,"&lt;&gt;Mahsup"))</f>
        <v/>
      </c>
    </row>
    <row r="1622" spans="1:21" ht="18" customHeight="1" x14ac:dyDescent="0.3">
      <c r="A1622" s="2"/>
      <c r="B1622" s="65" t="str">
        <f>IF($D1622="","","T"&amp;TEXT(ROW()-6,"00000"))</f>
        <v/>
      </c>
      <c r="C1622" s="65" t="str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61"/>
      <c r="E1622" s="66"/>
      <c r="F1622" s="67"/>
      <c r="G1622" s="60"/>
      <c r="H1622" s="60"/>
      <c r="I1622" s="61"/>
      <c r="J1622" s="61"/>
      <c r="K1622" s="61"/>
      <c r="L1622" s="73" t="str">
        <f>IF($E1622="","",DATE(YEAR($E1622),MONTH($E1622),1))</f>
        <v/>
      </c>
      <c r="M1622" s="65" t="str">
        <f ca="1">IF($D1622="","",IF($C1622="TANIMSIZ MÜŞTERİ","HATA",IF(OR($E1622="",$F1622&lt;=0,$G1622=""),"EKSİK",IF($E1622&gt;TODAY(),"İLERİ TARİH",IF(COUNTIF($S$7:$S$2503,$S1622)&gt;1,"MÜKERRER?",IF($T1622&gt;0,"KAPALI DÖNEM","UYGUN"))))))</f>
        <v/>
      </c>
      <c r="N1622" s="74" t="str">
        <f>IF($C1622="","",IF($C1622="TANIMSIZ MÜŞTERİ","—",INDEX(MUSTERILER!$C$7:$C$156,MATCH($C1622,MUSTERILER!$B$7:$B$156,0))))</f>
        <v/>
      </c>
      <c r="O1622" s="2"/>
      <c r="P1622" s="2"/>
      <c r="Q1622" s="1" t="str">
        <f>IF($D1622="","",$C1622&amp;"|"&amp;COUNTIFS($C$7:$C1622,$C1622))</f>
        <v/>
      </c>
      <c r="R1622" s="1" t="str">
        <f t="shared" si="50"/>
        <v/>
      </c>
      <c r="S1622" s="1" t="str">
        <f t="shared" si="51"/>
        <v/>
      </c>
      <c r="T1622" s="1">
        <f>IF($E1622="",0,SUMPRODUCT((AY_SONU!$O$7:$O$42="Evet")*(AY_SONU!$B$7:$B$42=DATE(YEAR($E1622),MONTH($E1622),1))))</f>
        <v>0</v>
      </c>
      <c r="U1622" s="1" t="str">
        <f>IF(OR($G1622="",$H1622="Mahsup"),"",$G1622&amp;"|"&amp;COUNTIFS($G$7:$G1622,$G1622,$H$7:$H1622,"&lt;&gt;Mahsup"))</f>
        <v/>
      </c>
    </row>
    <row r="1623" spans="1:21" ht="18" customHeight="1" x14ac:dyDescent="0.3">
      <c r="A1623" s="2"/>
      <c r="B1623" s="65" t="str">
        <f>IF($D1623="","","T"&amp;TEXT(ROW()-6,"00000"))</f>
        <v/>
      </c>
      <c r="C1623" s="65" t="str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61"/>
      <c r="E1623" s="66"/>
      <c r="F1623" s="67"/>
      <c r="G1623" s="60"/>
      <c r="H1623" s="60"/>
      <c r="I1623" s="61"/>
      <c r="J1623" s="61"/>
      <c r="K1623" s="61"/>
      <c r="L1623" s="73" t="str">
        <f>IF($E1623="","",DATE(YEAR($E1623),MONTH($E1623),1))</f>
        <v/>
      </c>
      <c r="M1623" s="65" t="str">
        <f ca="1">IF($D1623="","",IF($C1623="TANIMSIZ MÜŞTERİ","HATA",IF(OR($E1623="",$F1623&lt;=0,$G1623=""),"EKSİK",IF($E1623&gt;TODAY(),"İLERİ TARİH",IF(COUNTIF($S$7:$S$2503,$S1623)&gt;1,"MÜKERRER?",IF($T1623&gt;0,"KAPALI DÖNEM","UYGUN"))))))</f>
        <v/>
      </c>
      <c r="N1623" s="74" t="str">
        <f>IF($C1623="","",IF($C1623="TANIMSIZ MÜŞTERİ","—",INDEX(MUSTERILER!$C$7:$C$156,MATCH($C1623,MUSTERILER!$B$7:$B$156,0))))</f>
        <v/>
      </c>
      <c r="O1623" s="2"/>
      <c r="P1623" s="2"/>
      <c r="Q1623" s="1" t="str">
        <f>IF($D1623="","",$C1623&amp;"|"&amp;COUNTIFS($C$7:$C1623,$C1623))</f>
        <v/>
      </c>
      <c r="R1623" s="1" t="str">
        <f t="shared" si="50"/>
        <v/>
      </c>
      <c r="S1623" s="1" t="str">
        <f t="shared" si="51"/>
        <v/>
      </c>
      <c r="T1623" s="1">
        <f>IF($E1623="",0,SUMPRODUCT((AY_SONU!$O$7:$O$42="Evet")*(AY_SONU!$B$7:$B$42=DATE(YEAR($E1623),MONTH($E1623),1))))</f>
        <v>0</v>
      </c>
      <c r="U1623" s="1" t="str">
        <f>IF(OR($G1623="",$H1623="Mahsup"),"",$G1623&amp;"|"&amp;COUNTIFS($G$7:$G1623,$G1623,$H$7:$H1623,"&lt;&gt;Mahsup"))</f>
        <v/>
      </c>
    </row>
    <row r="1624" spans="1:21" ht="18" customHeight="1" x14ac:dyDescent="0.3">
      <c r="A1624" s="2"/>
      <c r="B1624" s="65" t="str">
        <f>IF($D1624="","","T"&amp;TEXT(ROW()-6,"00000"))</f>
        <v/>
      </c>
      <c r="C1624" s="65" t="str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61"/>
      <c r="E1624" s="66"/>
      <c r="F1624" s="67"/>
      <c r="G1624" s="60"/>
      <c r="H1624" s="60"/>
      <c r="I1624" s="61"/>
      <c r="J1624" s="61"/>
      <c r="K1624" s="61"/>
      <c r="L1624" s="73" t="str">
        <f>IF($E1624="","",DATE(YEAR($E1624),MONTH($E1624),1))</f>
        <v/>
      </c>
      <c r="M1624" s="65" t="str">
        <f ca="1">IF($D1624="","",IF($C1624="TANIMSIZ MÜŞTERİ","HATA",IF(OR($E1624="",$F1624&lt;=0,$G1624=""),"EKSİK",IF($E1624&gt;TODAY(),"İLERİ TARİH",IF(COUNTIF($S$7:$S$2503,$S1624)&gt;1,"MÜKERRER?",IF($T1624&gt;0,"KAPALI DÖNEM","UYGUN"))))))</f>
        <v/>
      </c>
      <c r="N1624" s="74" t="str">
        <f>IF($C1624="","",IF($C1624="TANIMSIZ MÜŞTERİ","—",INDEX(MUSTERILER!$C$7:$C$156,MATCH($C1624,MUSTERILER!$B$7:$B$156,0))))</f>
        <v/>
      </c>
      <c r="O1624" s="2"/>
      <c r="P1624" s="2"/>
      <c r="Q1624" s="1" t="str">
        <f>IF($D1624="","",$C1624&amp;"|"&amp;COUNTIFS($C$7:$C1624,$C1624))</f>
        <v/>
      </c>
      <c r="R1624" s="1" t="str">
        <f t="shared" si="50"/>
        <v/>
      </c>
      <c r="S1624" s="1" t="str">
        <f t="shared" si="51"/>
        <v/>
      </c>
      <c r="T1624" s="1">
        <f>IF($E1624="",0,SUMPRODUCT((AY_SONU!$O$7:$O$42="Evet")*(AY_SONU!$B$7:$B$42=DATE(YEAR($E1624),MONTH($E1624),1))))</f>
        <v>0</v>
      </c>
      <c r="U1624" s="1" t="str">
        <f>IF(OR($G1624="",$H1624="Mahsup"),"",$G1624&amp;"|"&amp;COUNTIFS($G$7:$G1624,$G1624,$H$7:$H1624,"&lt;&gt;Mahsup"))</f>
        <v/>
      </c>
    </row>
    <row r="1625" spans="1:21" ht="18" customHeight="1" x14ac:dyDescent="0.3">
      <c r="A1625" s="2"/>
      <c r="B1625" s="65" t="str">
        <f>IF($D1625="","","T"&amp;TEXT(ROW()-6,"00000"))</f>
        <v/>
      </c>
      <c r="C1625" s="65" t="str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61"/>
      <c r="E1625" s="66"/>
      <c r="F1625" s="67"/>
      <c r="G1625" s="60"/>
      <c r="H1625" s="60"/>
      <c r="I1625" s="61"/>
      <c r="J1625" s="61"/>
      <c r="K1625" s="61"/>
      <c r="L1625" s="73" t="str">
        <f>IF($E1625="","",DATE(YEAR($E1625),MONTH($E1625),1))</f>
        <v/>
      </c>
      <c r="M1625" s="65" t="str">
        <f ca="1">IF($D1625="","",IF($C1625="TANIMSIZ MÜŞTERİ","HATA",IF(OR($E1625="",$F1625&lt;=0,$G1625=""),"EKSİK",IF($E1625&gt;TODAY(),"İLERİ TARİH",IF(COUNTIF($S$7:$S$2503,$S1625)&gt;1,"MÜKERRER?",IF($T1625&gt;0,"KAPALI DÖNEM","UYGUN"))))))</f>
        <v/>
      </c>
      <c r="N1625" s="74" t="str">
        <f>IF($C1625="","",IF($C1625="TANIMSIZ MÜŞTERİ","—",INDEX(MUSTERILER!$C$7:$C$156,MATCH($C1625,MUSTERILER!$B$7:$B$156,0))))</f>
        <v/>
      </c>
      <c r="O1625" s="2"/>
      <c r="P1625" s="2"/>
      <c r="Q1625" s="1" t="str">
        <f>IF($D1625="","",$C1625&amp;"|"&amp;COUNTIFS($C$7:$C1625,$C1625))</f>
        <v/>
      </c>
      <c r="R1625" s="1" t="str">
        <f t="shared" si="50"/>
        <v/>
      </c>
      <c r="S1625" s="1" t="str">
        <f t="shared" si="51"/>
        <v/>
      </c>
      <c r="T1625" s="1">
        <f>IF($E1625="",0,SUMPRODUCT((AY_SONU!$O$7:$O$42="Evet")*(AY_SONU!$B$7:$B$42=DATE(YEAR($E1625),MONTH($E1625),1))))</f>
        <v>0</v>
      </c>
      <c r="U1625" s="1" t="str">
        <f>IF(OR($G1625="",$H1625="Mahsup"),"",$G1625&amp;"|"&amp;COUNTIFS($G$7:$G1625,$G1625,$H$7:$H1625,"&lt;&gt;Mahsup"))</f>
        <v/>
      </c>
    </row>
    <row r="1626" spans="1:21" ht="18" customHeight="1" x14ac:dyDescent="0.3">
      <c r="A1626" s="2"/>
      <c r="B1626" s="65" t="str">
        <f>IF($D1626="","","T"&amp;TEXT(ROW()-6,"00000"))</f>
        <v/>
      </c>
      <c r="C1626" s="65" t="str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61"/>
      <c r="E1626" s="66"/>
      <c r="F1626" s="67"/>
      <c r="G1626" s="60"/>
      <c r="H1626" s="60"/>
      <c r="I1626" s="61"/>
      <c r="J1626" s="61"/>
      <c r="K1626" s="61"/>
      <c r="L1626" s="73" t="str">
        <f>IF($E1626="","",DATE(YEAR($E1626),MONTH($E1626),1))</f>
        <v/>
      </c>
      <c r="M1626" s="65" t="str">
        <f ca="1">IF($D1626="","",IF($C1626="TANIMSIZ MÜŞTERİ","HATA",IF(OR($E1626="",$F1626&lt;=0,$G1626=""),"EKSİK",IF($E1626&gt;TODAY(),"İLERİ TARİH",IF(COUNTIF($S$7:$S$2503,$S1626)&gt;1,"MÜKERRER?",IF($T1626&gt;0,"KAPALI DÖNEM","UYGUN"))))))</f>
        <v/>
      </c>
      <c r="N1626" s="74" t="str">
        <f>IF($C1626="","",IF($C1626="TANIMSIZ MÜŞTERİ","—",INDEX(MUSTERILER!$C$7:$C$156,MATCH($C1626,MUSTERILER!$B$7:$B$156,0))))</f>
        <v/>
      </c>
      <c r="O1626" s="2"/>
      <c r="P1626" s="2"/>
      <c r="Q1626" s="1" t="str">
        <f>IF($D1626="","",$C1626&amp;"|"&amp;COUNTIFS($C$7:$C1626,$C1626))</f>
        <v/>
      </c>
      <c r="R1626" s="1" t="str">
        <f t="shared" si="50"/>
        <v/>
      </c>
      <c r="S1626" s="1" t="str">
        <f t="shared" si="51"/>
        <v/>
      </c>
      <c r="T1626" s="1">
        <f>IF($E1626="",0,SUMPRODUCT((AY_SONU!$O$7:$O$42="Evet")*(AY_SONU!$B$7:$B$42=DATE(YEAR($E1626),MONTH($E1626),1))))</f>
        <v>0</v>
      </c>
      <c r="U1626" s="1" t="str">
        <f>IF(OR($G1626="",$H1626="Mahsup"),"",$G1626&amp;"|"&amp;COUNTIFS($G$7:$G1626,$G1626,$H$7:$H1626,"&lt;&gt;Mahsup"))</f>
        <v/>
      </c>
    </row>
    <row r="1627" spans="1:21" ht="18" customHeight="1" x14ac:dyDescent="0.3">
      <c r="A1627" s="2"/>
      <c r="B1627" s="65" t="str">
        <f>IF($D1627="","","T"&amp;TEXT(ROW()-6,"00000"))</f>
        <v/>
      </c>
      <c r="C1627" s="65" t="str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61"/>
      <c r="E1627" s="66"/>
      <c r="F1627" s="67"/>
      <c r="G1627" s="60"/>
      <c r="H1627" s="60"/>
      <c r="I1627" s="61"/>
      <c r="J1627" s="61"/>
      <c r="K1627" s="61"/>
      <c r="L1627" s="73" t="str">
        <f>IF($E1627="","",DATE(YEAR($E1627),MONTH($E1627),1))</f>
        <v/>
      </c>
      <c r="M1627" s="65" t="str">
        <f ca="1">IF($D1627="","",IF($C1627="TANIMSIZ MÜŞTERİ","HATA",IF(OR($E1627="",$F1627&lt;=0,$G1627=""),"EKSİK",IF($E1627&gt;TODAY(),"İLERİ TARİH",IF(COUNTIF($S$7:$S$2503,$S1627)&gt;1,"MÜKERRER?",IF($T1627&gt;0,"KAPALI DÖNEM","UYGUN"))))))</f>
        <v/>
      </c>
      <c r="N1627" s="74" t="str">
        <f>IF($C1627="","",IF($C1627="TANIMSIZ MÜŞTERİ","—",INDEX(MUSTERILER!$C$7:$C$156,MATCH($C1627,MUSTERILER!$B$7:$B$156,0))))</f>
        <v/>
      </c>
      <c r="O1627" s="2"/>
      <c r="P1627" s="2"/>
      <c r="Q1627" s="1" t="str">
        <f>IF($D1627="","",$C1627&amp;"|"&amp;COUNTIFS($C$7:$C1627,$C1627))</f>
        <v/>
      </c>
      <c r="R1627" s="1" t="str">
        <f t="shared" si="50"/>
        <v/>
      </c>
      <c r="S1627" s="1" t="str">
        <f t="shared" si="51"/>
        <v/>
      </c>
      <c r="T1627" s="1">
        <f>IF($E1627="",0,SUMPRODUCT((AY_SONU!$O$7:$O$42="Evet")*(AY_SONU!$B$7:$B$42=DATE(YEAR($E1627),MONTH($E1627),1))))</f>
        <v>0</v>
      </c>
      <c r="U1627" s="1" t="str">
        <f>IF(OR($G1627="",$H1627="Mahsup"),"",$G1627&amp;"|"&amp;COUNTIFS($G$7:$G1627,$G1627,$H$7:$H1627,"&lt;&gt;Mahsup"))</f>
        <v/>
      </c>
    </row>
    <row r="1628" spans="1:21" ht="18" customHeight="1" x14ac:dyDescent="0.3">
      <c r="A1628" s="2"/>
      <c r="B1628" s="65" t="str">
        <f>IF($D1628="","","T"&amp;TEXT(ROW()-6,"00000"))</f>
        <v/>
      </c>
      <c r="C1628" s="65" t="str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61"/>
      <c r="E1628" s="66"/>
      <c r="F1628" s="67"/>
      <c r="G1628" s="60"/>
      <c r="H1628" s="60"/>
      <c r="I1628" s="61"/>
      <c r="J1628" s="61"/>
      <c r="K1628" s="61"/>
      <c r="L1628" s="73" t="str">
        <f>IF($E1628="","",DATE(YEAR($E1628),MONTH($E1628),1))</f>
        <v/>
      </c>
      <c r="M1628" s="65" t="str">
        <f ca="1">IF($D1628="","",IF($C1628="TANIMSIZ MÜŞTERİ","HATA",IF(OR($E1628="",$F1628&lt;=0,$G1628=""),"EKSİK",IF($E1628&gt;TODAY(),"İLERİ TARİH",IF(COUNTIF($S$7:$S$2503,$S1628)&gt;1,"MÜKERRER?",IF($T1628&gt;0,"KAPALI DÖNEM","UYGUN"))))))</f>
        <v/>
      </c>
      <c r="N1628" s="74" t="str">
        <f>IF($C1628="","",IF($C1628="TANIMSIZ MÜŞTERİ","—",INDEX(MUSTERILER!$C$7:$C$156,MATCH($C1628,MUSTERILER!$B$7:$B$156,0))))</f>
        <v/>
      </c>
      <c r="O1628" s="2"/>
      <c r="P1628" s="2"/>
      <c r="Q1628" s="1" t="str">
        <f>IF($D1628="","",$C1628&amp;"|"&amp;COUNTIFS($C$7:$C1628,$C1628))</f>
        <v/>
      </c>
      <c r="R1628" s="1" t="str">
        <f t="shared" si="50"/>
        <v/>
      </c>
      <c r="S1628" s="1" t="str">
        <f t="shared" si="51"/>
        <v/>
      </c>
      <c r="T1628" s="1">
        <f>IF($E1628="",0,SUMPRODUCT((AY_SONU!$O$7:$O$42="Evet")*(AY_SONU!$B$7:$B$42=DATE(YEAR($E1628),MONTH($E1628),1))))</f>
        <v>0</v>
      </c>
      <c r="U1628" s="1" t="str">
        <f>IF(OR($G1628="",$H1628="Mahsup"),"",$G1628&amp;"|"&amp;COUNTIFS($G$7:$G1628,$G1628,$H$7:$H1628,"&lt;&gt;Mahsup"))</f>
        <v/>
      </c>
    </row>
    <row r="1629" spans="1:21" ht="18" customHeight="1" x14ac:dyDescent="0.3">
      <c r="A1629" s="2"/>
      <c r="B1629" s="65" t="str">
        <f>IF($D1629="","","T"&amp;TEXT(ROW()-6,"00000"))</f>
        <v/>
      </c>
      <c r="C1629" s="65" t="str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61"/>
      <c r="E1629" s="66"/>
      <c r="F1629" s="67"/>
      <c r="G1629" s="60"/>
      <c r="H1629" s="60"/>
      <c r="I1629" s="61"/>
      <c r="J1629" s="61"/>
      <c r="K1629" s="61"/>
      <c r="L1629" s="73" t="str">
        <f>IF($E1629="","",DATE(YEAR($E1629),MONTH($E1629),1))</f>
        <v/>
      </c>
      <c r="M1629" s="65" t="str">
        <f ca="1">IF($D1629="","",IF($C1629="TANIMSIZ MÜŞTERİ","HATA",IF(OR($E1629="",$F1629&lt;=0,$G1629=""),"EKSİK",IF($E1629&gt;TODAY(),"İLERİ TARİH",IF(COUNTIF($S$7:$S$2503,$S1629)&gt;1,"MÜKERRER?",IF($T1629&gt;0,"KAPALI DÖNEM","UYGUN"))))))</f>
        <v/>
      </c>
      <c r="N1629" s="74" t="str">
        <f>IF($C1629="","",IF($C1629="TANIMSIZ MÜŞTERİ","—",INDEX(MUSTERILER!$C$7:$C$156,MATCH($C1629,MUSTERILER!$B$7:$B$156,0))))</f>
        <v/>
      </c>
      <c r="O1629" s="2"/>
      <c r="P1629" s="2"/>
      <c r="Q1629" s="1" t="str">
        <f>IF($D1629="","",$C1629&amp;"|"&amp;COUNTIFS($C$7:$C1629,$C1629))</f>
        <v/>
      </c>
      <c r="R1629" s="1" t="str">
        <f t="shared" si="50"/>
        <v/>
      </c>
      <c r="S1629" s="1" t="str">
        <f t="shared" si="51"/>
        <v/>
      </c>
      <c r="T1629" s="1">
        <f>IF($E1629="",0,SUMPRODUCT((AY_SONU!$O$7:$O$42="Evet")*(AY_SONU!$B$7:$B$42=DATE(YEAR($E1629),MONTH($E1629),1))))</f>
        <v>0</v>
      </c>
      <c r="U1629" s="1" t="str">
        <f>IF(OR($G1629="",$H1629="Mahsup"),"",$G1629&amp;"|"&amp;COUNTIFS($G$7:$G1629,$G1629,$H$7:$H1629,"&lt;&gt;Mahsup"))</f>
        <v/>
      </c>
    </row>
    <row r="1630" spans="1:21" ht="18" customHeight="1" x14ac:dyDescent="0.3">
      <c r="A1630" s="2"/>
      <c r="B1630" s="65" t="str">
        <f>IF($D1630="","","T"&amp;TEXT(ROW()-6,"00000"))</f>
        <v/>
      </c>
      <c r="C1630" s="65" t="str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61"/>
      <c r="E1630" s="66"/>
      <c r="F1630" s="67"/>
      <c r="G1630" s="60"/>
      <c r="H1630" s="60"/>
      <c r="I1630" s="61"/>
      <c r="J1630" s="61"/>
      <c r="K1630" s="61"/>
      <c r="L1630" s="73" t="str">
        <f>IF($E1630="","",DATE(YEAR($E1630),MONTH($E1630),1))</f>
        <v/>
      </c>
      <c r="M1630" s="65" t="str">
        <f ca="1">IF($D1630="","",IF($C1630="TANIMSIZ MÜŞTERİ","HATA",IF(OR($E1630="",$F1630&lt;=0,$G1630=""),"EKSİK",IF($E1630&gt;TODAY(),"İLERİ TARİH",IF(COUNTIF($S$7:$S$2503,$S1630)&gt;1,"MÜKERRER?",IF($T1630&gt;0,"KAPALI DÖNEM","UYGUN"))))))</f>
        <v/>
      </c>
      <c r="N1630" s="74" t="str">
        <f>IF($C1630="","",IF($C1630="TANIMSIZ MÜŞTERİ","—",INDEX(MUSTERILER!$C$7:$C$156,MATCH($C1630,MUSTERILER!$B$7:$B$156,0))))</f>
        <v/>
      </c>
      <c r="O1630" s="2"/>
      <c r="P1630" s="2"/>
      <c r="Q1630" s="1" t="str">
        <f>IF($D1630="","",$C1630&amp;"|"&amp;COUNTIFS($C$7:$C1630,$C1630))</f>
        <v/>
      </c>
      <c r="R1630" s="1" t="str">
        <f t="shared" si="50"/>
        <v/>
      </c>
      <c r="S1630" s="1" t="str">
        <f t="shared" si="51"/>
        <v/>
      </c>
      <c r="T1630" s="1">
        <f>IF($E1630="",0,SUMPRODUCT((AY_SONU!$O$7:$O$42="Evet")*(AY_SONU!$B$7:$B$42=DATE(YEAR($E1630),MONTH($E1630),1))))</f>
        <v>0</v>
      </c>
      <c r="U1630" s="1" t="str">
        <f>IF(OR($G1630="",$H1630="Mahsup"),"",$G1630&amp;"|"&amp;COUNTIFS($G$7:$G1630,$G1630,$H$7:$H1630,"&lt;&gt;Mahsup"))</f>
        <v/>
      </c>
    </row>
    <row r="1631" spans="1:21" ht="18" customHeight="1" x14ac:dyDescent="0.3">
      <c r="A1631" s="2"/>
      <c r="B1631" s="65" t="str">
        <f>IF($D1631="","","T"&amp;TEXT(ROW()-6,"00000"))</f>
        <v/>
      </c>
      <c r="C1631" s="65" t="str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61"/>
      <c r="E1631" s="66"/>
      <c r="F1631" s="67"/>
      <c r="G1631" s="60"/>
      <c r="H1631" s="60"/>
      <c r="I1631" s="61"/>
      <c r="J1631" s="61"/>
      <c r="K1631" s="61"/>
      <c r="L1631" s="73" t="str">
        <f>IF($E1631="","",DATE(YEAR($E1631),MONTH($E1631),1))</f>
        <v/>
      </c>
      <c r="M1631" s="65" t="str">
        <f ca="1">IF($D1631="","",IF($C1631="TANIMSIZ MÜŞTERİ","HATA",IF(OR($E1631="",$F1631&lt;=0,$G1631=""),"EKSİK",IF($E1631&gt;TODAY(),"İLERİ TARİH",IF(COUNTIF($S$7:$S$2503,$S1631)&gt;1,"MÜKERRER?",IF($T1631&gt;0,"KAPALI DÖNEM","UYGUN"))))))</f>
        <v/>
      </c>
      <c r="N1631" s="74" t="str">
        <f>IF($C1631="","",IF($C1631="TANIMSIZ MÜŞTERİ","—",INDEX(MUSTERILER!$C$7:$C$156,MATCH($C1631,MUSTERILER!$B$7:$B$156,0))))</f>
        <v/>
      </c>
      <c r="O1631" s="2"/>
      <c r="P1631" s="2"/>
      <c r="Q1631" s="1" t="str">
        <f>IF($D1631="","",$C1631&amp;"|"&amp;COUNTIFS($C$7:$C1631,$C1631))</f>
        <v/>
      </c>
      <c r="R1631" s="1" t="str">
        <f t="shared" si="50"/>
        <v/>
      </c>
      <c r="S1631" s="1" t="str">
        <f t="shared" si="51"/>
        <v/>
      </c>
      <c r="T1631" s="1">
        <f>IF($E1631="",0,SUMPRODUCT((AY_SONU!$O$7:$O$42="Evet")*(AY_SONU!$B$7:$B$42=DATE(YEAR($E1631),MONTH($E1631),1))))</f>
        <v>0</v>
      </c>
      <c r="U1631" s="1" t="str">
        <f>IF(OR($G1631="",$H1631="Mahsup"),"",$G1631&amp;"|"&amp;COUNTIFS($G$7:$G1631,$G1631,$H$7:$H1631,"&lt;&gt;Mahsup"))</f>
        <v/>
      </c>
    </row>
    <row r="1632" spans="1:21" ht="18" customHeight="1" x14ac:dyDescent="0.3">
      <c r="A1632" s="2"/>
      <c r="B1632" s="65" t="str">
        <f>IF($D1632="","","T"&amp;TEXT(ROW()-6,"00000"))</f>
        <v/>
      </c>
      <c r="C1632" s="65" t="str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61"/>
      <c r="E1632" s="66"/>
      <c r="F1632" s="67"/>
      <c r="G1632" s="60"/>
      <c r="H1632" s="60"/>
      <c r="I1632" s="61"/>
      <c r="J1632" s="61"/>
      <c r="K1632" s="61"/>
      <c r="L1632" s="73" t="str">
        <f>IF($E1632="","",DATE(YEAR($E1632),MONTH($E1632),1))</f>
        <v/>
      </c>
      <c r="M1632" s="65" t="str">
        <f ca="1">IF($D1632="","",IF($C1632="TANIMSIZ MÜŞTERİ","HATA",IF(OR($E1632="",$F1632&lt;=0,$G1632=""),"EKSİK",IF($E1632&gt;TODAY(),"İLERİ TARİH",IF(COUNTIF($S$7:$S$2503,$S1632)&gt;1,"MÜKERRER?",IF($T1632&gt;0,"KAPALI DÖNEM","UYGUN"))))))</f>
        <v/>
      </c>
      <c r="N1632" s="74" t="str">
        <f>IF($C1632="","",IF($C1632="TANIMSIZ MÜŞTERİ","—",INDEX(MUSTERILER!$C$7:$C$156,MATCH($C1632,MUSTERILER!$B$7:$B$156,0))))</f>
        <v/>
      </c>
      <c r="O1632" s="2"/>
      <c r="P1632" s="2"/>
      <c r="Q1632" s="1" t="str">
        <f>IF($D1632="","",$C1632&amp;"|"&amp;COUNTIFS($C$7:$C1632,$C1632))</f>
        <v/>
      </c>
      <c r="R1632" s="1" t="str">
        <f t="shared" si="50"/>
        <v/>
      </c>
      <c r="S1632" s="1" t="str">
        <f t="shared" si="51"/>
        <v/>
      </c>
      <c r="T1632" s="1">
        <f>IF($E1632="",0,SUMPRODUCT((AY_SONU!$O$7:$O$42="Evet")*(AY_SONU!$B$7:$B$42=DATE(YEAR($E1632),MONTH($E1632),1))))</f>
        <v>0</v>
      </c>
      <c r="U1632" s="1" t="str">
        <f>IF(OR($G1632="",$H1632="Mahsup"),"",$G1632&amp;"|"&amp;COUNTIFS($G$7:$G1632,$G1632,$H$7:$H1632,"&lt;&gt;Mahsup"))</f>
        <v/>
      </c>
    </row>
    <row r="1633" spans="1:21" ht="18" customHeight="1" x14ac:dyDescent="0.3">
      <c r="A1633" s="2"/>
      <c r="B1633" s="65" t="str">
        <f>IF($D1633="","","T"&amp;TEXT(ROW()-6,"00000"))</f>
        <v/>
      </c>
      <c r="C1633" s="65" t="str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61"/>
      <c r="E1633" s="66"/>
      <c r="F1633" s="67"/>
      <c r="G1633" s="60"/>
      <c r="H1633" s="60"/>
      <c r="I1633" s="61"/>
      <c r="J1633" s="61"/>
      <c r="K1633" s="61"/>
      <c r="L1633" s="73" t="str">
        <f>IF($E1633="","",DATE(YEAR($E1633),MONTH($E1633),1))</f>
        <v/>
      </c>
      <c r="M1633" s="65" t="str">
        <f ca="1">IF($D1633="","",IF($C1633="TANIMSIZ MÜŞTERİ","HATA",IF(OR($E1633="",$F1633&lt;=0,$G1633=""),"EKSİK",IF($E1633&gt;TODAY(),"İLERİ TARİH",IF(COUNTIF($S$7:$S$2503,$S1633)&gt;1,"MÜKERRER?",IF($T1633&gt;0,"KAPALI DÖNEM","UYGUN"))))))</f>
        <v/>
      </c>
      <c r="N1633" s="74" t="str">
        <f>IF($C1633="","",IF($C1633="TANIMSIZ MÜŞTERİ","—",INDEX(MUSTERILER!$C$7:$C$156,MATCH($C1633,MUSTERILER!$B$7:$B$156,0))))</f>
        <v/>
      </c>
      <c r="O1633" s="2"/>
      <c r="P1633" s="2"/>
      <c r="Q1633" s="1" t="str">
        <f>IF($D1633="","",$C1633&amp;"|"&amp;COUNTIFS($C$7:$C1633,$C1633))</f>
        <v/>
      </c>
      <c r="R1633" s="1" t="str">
        <f t="shared" si="50"/>
        <v/>
      </c>
      <c r="S1633" s="1" t="str">
        <f t="shared" si="51"/>
        <v/>
      </c>
      <c r="T1633" s="1">
        <f>IF($E1633="",0,SUMPRODUCT((AY_SONU!$O$7:$O$42="Evet")*(AY_SONU!$B$7:$B$42=DATE(YEAR($E1633),MONTH($E1633),1))))</f>
        <v>0</v>
      </c>
      <c r="U1633" s="1" t="str">
        <f>IF(OR($G1633="",$H1633="Mahsup"),"",$G1633&amp;"|"&amp;COUNTIFS($G$7:$G1633,$G1633,$H$7:$H1633,"&lt;&gt;Mahsup"))</f>
        <v/>
      </c>
    </row>
    <row r="1634" spans="1:21" ht="18" customHeight="1" x14ac:dyDescent="0.3">
      <c r="A1634" s="2"/>
      <c r="B1634" s="65" t="str">
        <f>IF($D1634="","","T"&amp;TEXT(ROW()-6,"00000"))</f>
        <v/>
      </c>
      <c r="C1634" s="65" t="str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61"/>
      <c r="E1634" s="66"/>
      <c r="F1634" s="67"/>
      <c r="G1634" s="60"/>
      <c r="H1634" s="60"/>
      <c r="I1634" s="61"/>
      <c r="J1634" s="61"/>
      <c r="K1634" s="61"/>
      <c r="L1634" s="73" t="str">
        <f>IF($E1634="","",DATE(YEAR($E1634),MONTH($E1634),1))</f>
        <v/>
      </c>
      <c r="M1634" s="65" t="str">
        <f ca="1">IF($D1634="","",IF($C1634="TANIMSIZ MÜŞTERİ","HATA",IF(OR($E1634="",$F1634&lt;=0,$G1634=""),"EKSİK",IF($E1634&gt;TODAY(),"İLERİ TARİH",IF(COUNTIF($S$7:$S$2503,$S1634)&gt;1,"MÜKERRER?",IF($T1634&gt;0,"KAPALI DÖNEM","UYGUN"))))))</f>
        <v/>
      </c>
      <c r="N1634" s="74" t="str">
        <f>IF($C1634="","",IF($C1634="TANIMSIZ MÜŞTERİ","—",INDEX(MUSTERILER!$C$7:$C$156,MATCH($C1634,MUSTERILER!$B$7:$B$156,0))))</f>
        <v/>
      </c>
      <c r="O1634" s="2"/>
      <c r="P1634" s="2"/>
      <c r="Q1634" s="1" t="str">
        <f>IF($D1634="","",$C1634&amp;"|"&amp;COUNTIFS($C$7:$C1634,$C1634))</f>
        <v/>
      </c>
      <c r="R1634" s="1" t="str">
        <f t="shared" si="50"/>
        <v/>
      </c>
      <c r="S1634" s="1" t="str">
        <f t="shared" si="51"/>
        <v/>
      </c>
      <c r="T1634" s="1">
        <f>IF($E1634="",0,SUMPRODUCT((AY_SONU!$O$7:$O$42="Evet")*(AY_SONU!$B$7:$B$42=DATE(YEAR($E1634),MONTH($E1634),1))))</f>
        <v>0</v>
      </c>
      <c r="U1634" s="1" t="str">
        <f>IF(OR($G1634="",$H1634="Mahsup"),"",$G1634&amp;"|"&amp;COUNTIFS($G$7:$G1634,$G1634,$H$7:$H1634,"&lt;&gt;Mahsup"))</f>
        <v/>
      </c>
    </row>
    <row r="1635" spans="1:21" ht="18" customHeight="1" x14ac:dyDescent="0.3">
      <c r="A1635" s="2"/>
      <c r="B1635" s="65" t="str">
        <f>IF($D1635="","","T"&amp;TEXT(ROW()-6,"00000"))</f>
        <v/>
      </c>
      <c r="C1635" s="65" t="str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61"/>
      <c r="E1635" s="66"/>
      <c r="F1635" s="67"/>
      <c r="G1635" s="60"/>
      <c r="H1635" s="60"/>
      <c r="I1635" s="61"/>
      <c r="J1635" s="61"/>
      <c r="K1635" s="61"/>
      <c r="L1635" s="73" t="str">
        <f>IF($E1635="","",DATE(YEAR($E1635),MONTH($E1635),1))</f>
        <v/>
      </c>
      <c r="M1635" s="65" t="str">
        <f ca="1">IF($D1635="","",IF($C1635="TANIMSIZ MÜŞTERİ","HATA",IF(OR($E1635="",$F1635&lt;=0,$G1635=""),"EKSİK",IF($E1635&gt;TODAY(),"İLERİ TARİH",IF(COUNTIF($S$7:$S$2503,$S1635)&gt;1,"MÜKERRER?",IF($T1635&gt;0,"KAPALI DÖNEM","UYGUN"))))))</f>
        <v/>
      </c>
      <c r="N1635" s="74" t="str">
        <f>IF($C1635="","",IF($C1635="TANIMSIZ MÜŞTERİ","—",INDEX(MUSTERILER!$C$7:$C$156,MATCH($C1635,MUSTERILER!$B$7:$B$156,0))))</f>
        <v/>
      </c>
      <c r="O1635" s="2"/>
      <c r="P1635" s="2"/>
      <c r="Q1635" s="1" t="str">
        <f>IF($D1635="","",$C1635&amp;"|"&amp;COUNTIFS($C$7:$C1635,$C1635))</f>
        <v/>
      </c>
      <c r="R1635" s="1" t="str">
        <f t="shared" si="50"/>
        <v/>
      </c>
      <c r="S1635" s="1" t="str">
        <f t="shared" si="51"/>
        <v/>
      </c>
      <c r="T1635" s="1">
        <f>IF($E1635="",0,SUMPRODUCT((AY_SONU!$O$7:$O$42="Evet")*(AY_SONU!$B$7:$B$42=DATE(YEAR($E1635),MONTH($E1635),1))))</f>
        <v>0</v>
      </c>
      <c r="U1635" s="1" t="str">
        <f>IF(OR($G1635="",$H1635="Mahsup"),"",$G1635&amp;"|"&amp;COUNTIFS($G$7:$G1635,$G1635,$H$7:$H1635,"&lt;&gt;Mahsup"))</f>
        <v/>
      </c>
    </row>
    <row r="1636" spans="1:21" ht="18" customHeight="1" x14ac:dyDescent="0.3">
      <c r="A1636" s="2"/>
      <c r="B1636" s="65" t="str">
        <f>IF($D1636="","","T"&amp;TEXT(ROW()-6,"00000"))</f>
        <v/>
      </c>
      <c r="C1636" s="65" t="str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61"/>
      <c r="E1636" s="66"/>
      <c r="F1636" s="67"/>
      <c r="G1636" s="60"/>
      <c r="H1636" s="60"/>
      <c r="I1636" s="61"/>
      <c r="J1636" s="61"/>
      <c r="K1636" s="61"/>
      <c r="L1636" s="73" t="str">
        <f>IF($E1636="","",DATE(YEAR($E1636),MONTH($E1636),1))</f>
        <v/>
      </c>
      <c r="M1636" s="65" t="str">
        <f ca="1">IF($D1636="","",IF($C1636="TANIMSIZ MÜŞTERİ","HATA",IF(OR($E1636="",$F1636&lt;=0,$G1636=""),"EKSİK",IF($E1636&gt;TODAY(),"İLERİ TARİH",IF(COUNTIF($S$7:$S$2503,$S1636)&gt;1,"MÜKERRER?",IF($T1636&gt;0,"KAPALI DÖNEM","UYGUN"))))))</f>
        <v/>
      </c>
      <c r="N1636" s="74" t="str">
        <f>IF($C1636="","",IF($C1636="TANIMSIZ MÜŞTERİ","—",INDEX(MUSTERILER!$C$7:$C$156,MATCH($C1636,MUSTERILER!$B$7:$B$156,0))))</f>
        <v/>
      </c>
      <c r="O1636" s="2"/>
      <c r="P1636" s="2"/>
      <c r="Q1636" s="1" t="str">
        <f>IF($D1636="","",$C1636&amp;"|"&amp;COUNTIFS($C$7:$C1636,$C1636))</f>
        <v/>
      </c>
      <c r="R1636" s="1" t="str">
        <f t="shared" si="50"/>
        <v/>
      </c>
      <c r="S1636" s="1" t="str">
        <f t="shared" si="51"/>
        <v/>
      </c>
      <c r="T1636" s="1">
        <f>IF($E1636="",0,SUMPRODUCT((AY_SONU!$O$7:$O$42="Evet")*(AY_SONU!$B$7:$B$42=DATE(YEAR($E1636),MONTH($E1636),1))))</f>
        <v>0</v>
      </c>
      <c r="U1636" s="1" t="str">
        <f>IF(OR($G1636="",$H1636="Mahsup"),"",$G1636&amp;"|"&amp;COUNTIFS($G$7:$G1636,$G1636,$H$7:$H1636,"&lt;&gt;Mahsup"))</f>
        <v/>
      </c>
    </row>
    <row r="1637" spans="1:21" ht="18" customHeight="1" x14ac:dyDescent="0.3">
      <c r="A1637" s="2"/>
      <c r="B1637" s="65" t="str">
        <f>IF($D1637="","","T"&amp;TEXT(ROW()-6,"00000"))</f>
        <v/>
      </c>
      <c r="C1637" s="65" t="str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61"/>
      <c r="E1637" s="66"/>
      <c r="F1637" s="67"/>
      <c r="G1637" s="60"/>
      <c r="H1637" s="60"/>
      <c r="I1637" s="61"/>
      <c r="J1637" s="61"/>
      <c r="K1637" s="61"/>
      <c r="L1637" s="73" t="str">
        <f>IF($E1637="","",DATE(YEAR($E1637),MONTH($E1637),1))</f>
        <v/>
      </c>
      <c r="M1637" s="65" t="str">
        <f ca="1">IF($D1637="","",IF($C1637="TANIMSIZ MÜŞTERİ","HATA",IF(OR($E1637="",$F1637&lt;=0,$G1637=""),"EKSİK",IF($E1637&gt;TODAY(),"İLERİ TARİH",IF(COUNTIF($S$7:$S$2503,$S1637)&gt;1,"MÜKERRER?",IF($T1637&gt;0,"KAPALI DÖNEM","UYGUN"))))))</f>
        <v/>
      </c>
      <c r="N1637" s="74" t="str">
        <f>IF($C1637="","",IF($C1637="TANIMSIZ MÜŞTERİ","—",INDEX(MUSTERILER!$C$7:$C$156,MATCH($C1637,MUSTERILER!$B$7:$B$156,0))))</f>
        <v/>
      </c>
      <c r="O1637" s="2"/>
      <c r="P1637" s="2"/>
      <c r="Q1637" s="1" t="str">
        <f>IF($D1637="","",$C1637&amp;"|"&amp;COUNTIFS($C$7:$C1637,$C1637))</f>
        <v/>
      </c>
      <c r="R1637" s="1" t="str">
        <f t="shared" si="50"/>
        <v/>
      </c>
      <c r="S1637" s="1" t="str">
        <f t="shared" si="51"/>
        <v/>
      </c>
      <c r="T1637" s="1">
        <f>IF($E1637="",0,SUMPRODUCT((AY_SONU!$O$7:$O$42="Evet")*(AY_SONU!$B$7:$B$42=DATE(YEAR($E1637),MONTH($E1637),1))))</f>
        <v>0</v>
      </c>
      <c r="U1637" s="1" t="str">
        <f>IF(OR($G1637="",$H1637="Mahsup"),"",$G1637&amp;"|"&amp;COUNTIFS($G$7:$G1637,$G1637,$H$7:$H1637,"&lt;&gt;Mahsup"))</f>
        <v/>
      </c>
    </row>
    <row r="1638" spans="1:21" ht="18" customHeight="1" x14ac:dyDescent="0.3">
      <c r="A1638" s="2"/>
      <c r="B1638" s="65" t="str">
        <f>IF($D1638="","","T"&amp;TEXT(ROW()-6,"00000"))</f>
        <v/>
      </c>
      <c r="C1638" s="65" t="str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61"/>
      <c r="E1638" s="66"/>
      <c r="F1638" s="67"/>
      <c r="G1638" s="60"/>
      <c r="H1638" s="60"/>
      <c r="I1638" s="61"/>
      <c r="J1638" s="61"/>
      <c r="K1638" s="61"/>
      <c r="L1638" s="73" t="str">
        <f>IF($E1638="","",DATE(YEAR($E1638),MONTH($E1638),1))</f>
        <v/>
      </c>
      <c r="M1638" s="65" t="str">
        <f ca="1">IF($D1638="","",IF($C1638="TANIMSIZ MÜŞTERİ","HATA",IF(OR($E1638="",$F1638&lt;=0,$G1638=""),"EKSİK",IF($E1638&gt;TODAY(),"İLERİ TARİH",IF(COUNTIF($S$7:$S$2503,$S1638)&gt;1,"MÜKERRER?",IF($T1638&gt;0,"KAPALI DÖNEM","UYGUN"))))))</f>
        <v/>
      </c>
      <c r="N1638" s="74" t="str">
        <f>IF($C1638="","",IF($C1638="TANIMSIZ MÜŞTERİ","—",INDEX(MUSTERILER!$C$7:$C$156,MATCH($C1638,MUSTERILER!$B$7:$B$156,0))))</f>
        <v/>
      </c>
      <c r="O1638" s="2"/>
      <c r="P1638" s="2"/>
      <c r="Q1638" s="1" t="str">
        <f>IF($D1638="","",$C1638&amp;"|"&amp;COUNTIFS($C$7:$C1638,$C1638))</f>
        <v/>
      </c>
      <c r="R1638" s="1" t="str">
        <f t="shared" si="50"/>
        <v/>
      </c>
      <c r="S1638" s="1" t="str">
        <f t="shared" si="51"/>
        <v/>
      </c>
      <c r="T1638" s="1">
        <f>IF($E1638="",0,SUMPRODUCT((AY_SONU!$O$7:$O$42="Evet")*(AY_SONU!$B$7:$B$42=DATE(YEAR($E1638),MONTH($E1638),1))))</f>
        <v>0</v>
      </c>
      <c r="U1638" s="1" t="str">
        <f>IF(OR($G1638="",$H1638="Mahsup"),"",$G1638&amp;"|"&amp;COUNTIFS($G$7:$G1638,$G1638,$H$7:$H1638,"&lt;&gt;Mahsup"))</f>
        <v/>
      </c>
    </row>
    <row r="1639" spans="1:21" ht="18" customHeight="1" x14ac:dyDescent="0.3">
      <c r="A1639" s="2"/>
      <c r="B1639" s="65" t="str">
        <f>IF($D1639="","","T"&amp;TEXT(ROW()-6,"00000"))</f>
        <v/>
      </c>
      <c r="C1639" s="65" t="str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61"/>
      <c r="E1639" s="66"/>
      <c r="F1639" s="67"/>
      <c r="G1639" s="60"/>
      <c r="H1639" s="60"/>
      <c r="I1639" s="61"/>
      <c r="J1639" s="61"/>
      <c r="K1639" s="61"/>
      <c r="L1639" s="73" t="str">
        <f>IF($E1639="","",DATE(YEAR($E1639),MONTH($E1639),1))</f>
        <v/>
      </c>
      <c r="M1639" s="65" t="str">
        <f ca="1">IF($D1639="","",IF($C1639="TANIMSIZ MÜŞTERİ","HATA",IF(OR($E1639="",$F1639&lt;=0,$G1639=""),"EKSİK",IF($E1639&gt;TODAY(),"İLERİ TARİH",IF(COUNTIF($S$7:$S$2503,$S1639)&gt;1,"MÜKERRER?",IF($T1639&gt;0,"KAPALI DÖNEM","UYGUN"))))))</f>
        <v/>
      </c>
      <c r="N1639" s="74" t="str">
        <f>IF($C1639="","",IF($C1639="TANIMSIZ MÜŞTERİ","—",INDEX(MUSTERILER!$C$7:$C$156,MATCH($C1639,MUSTERILER!$B$7:$B$156,0))))</f>
        <v/>
      </c>
      <c r="O1639" s="2"/>
      <c r="P1639" s="2"/>
      <c r="Q1639" s="1" t="str">
        <f>IF($D1639="","",$C1639&amp;"|"&amp;COUNTIFS($C$7:$C1639,$C1639))</f>
        <v/>
      </c>
      <c r="R1639" s="1" t="str">
        <f t="shared" si="50"/>
        <v/>
      </c>
      <c r="S1639" s="1" t="str">
        <f t="shared" si="51"/>
        <v/>
      </c>
      <c r="T1639" s="1">
        <f>IF($E1639="",0,SUMPRODUCT((AY_SONU!$O$7:$O$42="Evet")*(AY_SONU!$B$7:$B$42=DATE(YEAR($E1639),MONTH($E1639),1))))</f>
        <v>0</v>
      </c>
      <c r="U1639" s="1" t="str">
        <f>IF(OR($G1639="",$H1639="Mahsup"),"",$G1639&amp;"|"&amp;COUNTIFS($G$7:$G1639,$G1639,$H$7:$H1639,"&lt;&gt;Mahsup"))</f>
        <v/>
      </c>
    </row>
    <row r="1640" spans="1:21" ht="18" customHeight="1" x14ac:dyDescent="0.3">
      <c r="A1640" s="2"/>
      <c r="B1640" s="65" t="str">
        <f>IF($D1640="","","T"&amp;TEXT(ROW()-6,"00000"))</f>
        <v/>
      </c>
      <c r="C1640" s="65" t="str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61"/>
      <c r="E1640" s="66"/>
      <c r="F1640" s="67"/>
      <c r="G1640" s="60"/>
      <c r="H1640" s="60"/>
      <c r="I1640" s="61"/>
      <c r="J1640" s="61"/>
      <c r="K1640" s="61"/>
      <c r="L1640" s="73" t="str">
        <f>IF($E1640="","",DATE(YEAR($E1640),MONTH($E1640),1))</f>
        <v/>
      </c>
      <c r="M1640" s="65" t="str">
        <f ca="1">IF($D1640="","",IF($C1640="TANIMSIZ MÜŞTERİ","HATA",IF(OR($E1640="",$F1640&lt;=0,$G1640=""),"EKSİK",IF($E1640&gt;TODAY(),"İLERİ TARİH",IF(COUNTIF($S$7:$S$2503,$S1640)&gt;1,"MÜKERRER?",IF($T1640&gt;0,"KAPALI DÖNEM","UYGUN"))))))</f>
        <v/>
      </c>
      <c r="N1640" s="74" t="str">
        <f>IF($C1640="","",IF($C1640="TANIMSIZ MÜŞTERİ","—",INDEX(MUSTERILER!$C$7:$C$156,MATCH($C1640,MUSTERILER!$B$7:$B$156,0))))</f>
        <v/>
      </c>
      <c r="O1640" s="2"/>
      <c r="P1640" s="2"/>
      <c r="Q1640" s="1" t="str">
        <f>IF($D1640="","",$C1640&amp;"|"&amp;COUNTIFS($C$7:$C1640,$C1640))</f>
        <v/>
      </c>
      <c r="R1640" s="1" t="str">
        <f t="shared" si="50"/>
        <v/>
      </c>
      <c r="S1640" s="1" t="str">
        <f t="shared" si="51"/>
        <v/>
      </c>
      <c r="T1640" s="1">
        <f>IF($E1640="",0,SUMPRODUCT((AY_SONU!$O$7:$O$42="Evet")*(AY_SONU!$B$7:$B$42=DATE(YEAR($E1640),MONTH($E1640),1))))</f>
        <v>0</v>
      </c>
      <c r="U1640" s="1" t="str">
        <f>IF(OR($G1640="",$H1640="Mahsup"),"",$G1640&amp;"|"&amp;COUNTIFS($G$7:$G1640,$G1640,$H$7:$H1640,"&lt;&gt;Mahsup"))</f>
        <v/>
      </c>
    </row>
    <row r="1641" spans="1:21" ht="18" customHeight="1" x14ac:dyDescent="0.3">
      <c r="A1641" s="2"/>
      <c r="B1641" s="65" t="str">
        <f>IF($D1641="","","T"&amp;TEXT(ROW()-6,"00000"))</f>
        <v/>
      </c>
      <c r="C1641" s="65" t="str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61"/>
      <c r="E1641" s="66"/>
      <c r="F1641" s="67"/>
      <c r="G1641" s="60"/>
      <c r="H1641" s="60"/>
      <c r="I1641" s="61"/>
      <c r="J1641" s="61"/>
      <c r="K1641" s="61"/>
      <c r="L1641" s="73" t="str">
        <f>IF($E1641="","",DATE(YEAR($E1641),MONTH($E1641),1))</f>
        <v/>
      </c>
      <c r="M1641" s="65" t="str">
        <f ca="1">IF($D1641="","",IF($C1641="TANIMSIZ MÜŞTERİ","HATA",IF(OR($E1641="",$F1641&lt;=0,$G1641=""),"EKSİK",IF($E1641&gt;TODAY(),"İLERİ TARİH",IF(COUNTIF($S$7:$S$2503,$S1641)&gt;1,"MÜKERRER?",IF($T1641&gt;0,"KAPALI DÖNEM","UYGUN"))))))</f>
        <v/>
      </c>
      <c r="N1641" s="74" t="str">
        <f>IF($C1641="","",IF($C1641="TANIMSIZ MÜŞTERİ","—",INDEX(MUSTERILER!$C$7:$C$156,MATCH($C1641,MUSTERILER!$B$7:$B$156,0))))</f>
        <v/>
      </c>
      <c r="O1641" s="2"/>
      <c r="P1641" s="2"/>
      <c r="Q1641" s="1" t="str">
        <f>IF($D1641="","",$C1641&amp;"|"&amp;COUNTIFS($C$7:$C1641,$C1641))</f>
        <v/>
      </c>
      <c r="R1641" s="1" t="str">
        <f t="shared" si="50"/>
        <v/>
      </c>
      <c r="S1641" s="1" t="str">
        <f t="shared" si="51"/>
        <v/>
      </c>
      <c r="T1641" s="1">
        <f>IF($E1641="",0,SUMPRODUCT((AY_SONU!$O$7:$O$42="Evet")*(AY_SONU!$B$7:$B$42=DATE(YEAR($E1641),MONTH($E1641),1))))</f>
        <v>0</v>
      </c>
      <c r="U1641" s="1" t="str">
        <f>IF(OR($G1641="",$H1641="Mahsup"),"",$G1641&amp;"|"&amp;COUNTIFS($G$7:$G1641,$G1641,$H$7:$H1641,"&lt;&gt;Mahsup"))</f>
        <v/>
      </c>
    </row>
    <row r="1642" spans="1:21" ht="18" customHeight="1" x14ac:dyDescent="0.3">
      <c r="A1642" s="2"/>
      <c r="B1642" s="65" t="str">
        <f>IF($D1642="","","T"&amp;TEXT(ROW()-6,"00000"))</f>
        <v/>
      </c>
      <c r="C1642" s="65" t="str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61"/>
      <c r="E1642" s="66"/>
      <c r="F1642" s="67"/>
      <c r="G1642" s="60"/>
      <c r="H1642" s="60"/>
      <c r="I1642" s="61"/>
      <c r="J1642" s="61"/>
      <c r="K1642" s="61"/>
      <c r="L1642" s="73" t="str">
        <f>IF($E1642="","",DATE(YEAR($E1642),MONTH($E1642),1))</f>
        <v/>
      </c>
      <c r="M1642" s="65" t="str">
        <f ca="1">IF($D1642="","",IF($C1642="TANIMSIZ MÜŞTERİ","HATA",IF(OR($E1642="",$F1642&lt;=0,$G1642=""),"EKSİK",IF($E1642&gt;TODAY(),"İLERİ TARİH",IF(COUNTIF($S$7:$S$2503,$S1642)&gt;1,"MÜKERRER?",IF($T1642&gt;0,"KAPALI DÖNEM","UYGUN"))))))</f>
        <v/>
      </c>
      <c r="N1642" s="74" t="str">
        <f>IF($C1642="","",IF($C1642="TANIMSIZ MÜŞTERİ","—",INDEX(MUSTERILER!$C$7:$C$156,MATCH($C1642,MUSTERILER!$B$7:$B$156,0))))</f>
        <v/>
      </c>
      <c r="O1642" s="2"/>
      <c r="P1642" s="2"/>
      <c r="Q1642" s="1" t="str">
        <f>IF($D1642="","",$C1642&amp;"|"&amp;COUNTIFS($C$7:$C1642,$C1642))</f>
        <v/>
      </c>
      <c r="R1642" s="1" t="str">
        <f t="shared" si="50"/>
        <v/>
      </c>
      <c r="S1642" s="1" t="str">
        <f t="shared" si="51"/>
        <v/>
      </c>
      <c r="T1642" s="1">
        <f>IF($E1642="",0,SUMPRODUCT((AY_SONU!$O$7:$O$42="Evet")*(AY_SONU!$B$7:$B$42=DATE(YEAR($E1642),MONTH($E1642),1))))</f>
        <v>0</v>
      </c>
      <c r="U1642" s="1" t="str">
        <f>IF(OR($G1642="",$H1642="Mahsup"),"",$G1642&amp;"|"&amp;COUNTIFS($G$7:$G1642,$G1642,$H$7:$H1642,"&lt;&gt;Mahsup"))</f>
        <v/>
      </c>
    </row>
    <row r="1643" spans="1:21" ht="18" customHeight="1" x14ac:dyDescent="0.3">
      <c r="A1643" s="2"/>
      <c r="B1643" s="65" t="str">
        <f>IF($D1643="","","T"&amp;TEXT(ROW()-6,"00000"))</f>
        <v/>
      </c>
      <c r="C1643" s="65" t="str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61"/>
      <c r="E1643" s="66"/>
      <c r="F1643" s="67"/>
      <c r="G1643" s="60"/>
      <c r="H1643" s="60"/>
      <c r="I1643" s="61"/>
      <c r="J1643" s="61"/>
      <c r="K1643" s="61"/>
      <c r="L1643" s="73" t="str">
        <f>IF($E1643="","",DATE(YEAR($E1643),MONTH($E1643),1))</f>
        <v/>
      </c>
      <c r="M1643" s="65" t="str">
        <f ca="1">IF($D1643="","",IF($C1643="TANIMSIZ MÜŞTERİ","HATA",IF(OR($E1643="",$F1643&lt;=0,$G1643=""),"EKSİK",IF($E1643&gt;TODAY(),"İLERİ TARİH",IF(COUNTIF($S$7:$S$2503,$S1643)&gt;1,"MÜKERRER?",IF($T1643&gt;0,"KAPALI DÖNEM","UYGUN"))))))</f>
        <v/>
      </c>
      <c r="N1643" s="74" t="str">
        <f>IF($C1643="","",IF($C1643="TANIMSIZ MÜŞTERİ","—",INDEX(MUSTERILER!$C$7:$C$156,MATCH($C1643,MUSTERILER!$B$7:$B$156,0))))</f>
        <v/>
      </c>
      <c r="O1643" s="2"/>
      <c r="P1643" s="2"/>
      <c r="Q1643" s="1" t="str">
        <f>IF($D1643="","",$C1643&amp;"|"&amp;COUNTIFS($C$7:$C1643,$C1643))</f>
        <v/>
      </c>
      <c r="R1643" s="1" t="str">
        <f t="shared" si="50"/>
        <v/>
      </c>
      <c r="S1643" s="1" t="str">
        <f t="shared" si="51"/>
        <v/>
      </c>
      <c r="T1643" s="1">
        <f>IF($E1643="",0,SUMPRODUCT((AY_SONU!$O$7:$O$42="Evet")*(AY_SONU!$B$7:$B$42=DATE(YEAR($E1643),MONTH($E1643),1))))</f>
        <v>0</v>
      </c>
      <c r="U1643" s="1" t="str">
        <f>IF(OR($G1643="",$H1643="Mahsup"),"",$G1643&amp;"|"&amp;COUNTIFS($G$7:$G1643,$G1643,$H$7:$H1643,"&lt;&gt;Mahsup"))</f>
        <v/>
      </c>
    </row>
    <row r="1644" spans="1:21" ht="18" customHeight="1" x14ac:dyDescent="0.3">
      <c r="A1644" s="2"/>
      <c r="B1644" s="65" t="str">
        <f>IF($D1644="","","T"&amp;TEXT(ROW()-6,"00000"))</f>
        <v/>
      </c>
      <c r="C1644" s="65" t="str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61"/>
      <c r="E1644" s="66"/>
      <c r="F1644" s="67"/>
      <c r="G1644" s="60"/>
      <c r="H1644" s="60"/>
      <c r="I1644" s="61"/>
      <c r="J1644" s="61"/>
      <c r="K1644" s="61"/>
      <c r="L1644" s="73" t="str">
        <f>IF($E1644="","",DATE(YEAR($E1644),MONTH($E1644),1))</f>
        <v/>
      </c>
      <c r="M1644" s="65" t="str">
        <f ca="1">IF($D1644="","",IF($C1644="TANIMSIZ MÜŞTERİ","HATA",IF(OR($E1644="",$F1644&lt;=0,$G1644=""),"EKSİK",IF($E1644&gt;TODAY(),"İLERİ TARİH",IF(COUNTIF($S$7:$S$2503,$S1644)&gt;1,"MÜKERRER?",IF($T1644&gt;0,"KAPALI DÖNEM","UYGUN"))))))</f>
        <v/>
      </c>
      <c r="N1644" s="74" t="str">
        <f>IF($C1644="","",IF($C1644="TANIMSIZ MÜŞTERİ","—",INDEX(MUSTERILER!$C$7:$C$156,MATCH($C1644,MUSTERILER!$B$7:$B$156,0))))</f>
        <v/>
      </c>
      <c r="O1644" s="2"/>
      <c r="P1644" s="2"/>
      <c r="Q1644" s="1" t="str">
        <f>IF($D1644="","",$C1644&amp;"|"&amp;COUNTIFS($C$7:$C1644,$C1644))</f>
        <v/>
      </c>
      <c r="R1644" s="1" t="str">
        <f t="shared" si="50"/>
        <v/>
      </c>
      <c r="S1644" s="1" t="str">
        <f t="shared" si="51"/>
        <v/>
      </c>
      <c r="T1644" s="1">
        <f>IF($E1644="",0,SUMPRODUCT((AY_SONU!$O$7:$O$42="Evet")*(AY_SONU!$B$7:$B$42=DATE(YEAR($E1644),MONTH($E1644),1))))</f>
        <v>0</v>
      </c>
      <c r="U1644" s="1" t="str">
        <f>IF(OR($G1644="",$H1644="Mahsup"),"",$G1644&amp;"|"&amp;COUNTIFS($G$7:$G1644,$G1644,$H$7:$H1644,"&lt;&gt;Mahsup"))</f>
        <v/>
      </c>
    </row>
    <row r="1645" spans="1:21" ht="18" customHeight="1" x14ac:dyDescent="0.3">
      <c r="A1645" s="2"/>
      <c r="B1645" s="65" t="str">
        <f>IF($D1645="","","T"&amp;TEXT(ROW()-6,"00000"))</f>
        <v/>
      </c>
      <c r="C1645" s="65" t="str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61"/>
      <c r="E1645" s="66"/>
      <c r="F1645" s="67"/>
      <c r="G1645" s="60"/>
      <c r="H1645" s="60"/>
      <c r="I1645" s="61"/>
      <c r="J1645" s="61"/>
      <c r="K1645" s="61"/>
      <c r="L1645" s="73" t="str">
        <f>IF($E1645="","",DATE(YEAR($E1645),MONTH($E1645),1))</f>
        <v/>
      </c>
      <c r="M1645" s="65" t="str">
        <f ca="1">IF($D1645="","",IF($C1645="TANIMSIZ MÜŞTERİ","HATA",IF(OR($E1645="",$F1645&lt;=0,$G1645=""),"EKSİK",IF($E1645&gt;TODAY(),"İLERİ TARİH",IF(COUNTIF($S$7:$S$2503,$S1645)&gt;1,"MÜKERRER?",IF($T1645&gt;0,"KAPALI DÖNEM","UYGUN"))))))</f>
        <v/>
      </c>
      <c r="N1645" s="74" t="str">
        <f>IF($C1645="","",IF($C1645="TANIMSIZ MÜŞTERİ","—",INDEX(MUSTERILER!$C$7:$C$156,MATCH($C1645,MUSTERILER!$B$7:$B$156,0))))</f>
        <v/>
      </c>
      <c r="O1645" s="2"/>
      <c r="P1645" s="2"/>
      <c r="Q1645" s="1" t="str">
        <f>IF($D1645="","",$C1645&amp;"|"&amp;COUNTIFS($C$7:$C1645,$C1645))</f>
        <v/>
      </c>
      <c r="R1645" s="1" t="str">
        <f t="shared" si="50"/>
        <v/>
      </c>
      <c r="S1645" s="1" t="str">
        <f t="shared" si="51"/>
        <v/>
      </c>
      <c r="T1645" s="1">
        <f>IF($E1645="",0,SUMPRODUCT((AY_SONU!$O$7:$O$42="Evet")*(AY_SONU!$B$7:$B$42=DATE(YEAR($E1645),MONTH($E1645),1))))</f>
        <v>0</v>
      </c>
      <c r="U1645" s="1" t="str">
        <f>IF(OR($G1645="",$H1645="Mahsup"),"",$G1645&amp;"|"&amp;COUNTIFS($G$7:$G1645,$G1645,$H$7:$H1645,"&lt;&gt;Mahsup"))</f>
        <v/>
      </c>
    </row>
    <row r="1646" spans="1:21" ht="18" customHeight="1" x14ac:dyDescent="0.3">
      <c r="A1646" s="2"/>
      <c r="B1646" s="65" t="str">
        <f>IF($D1646="","","T"&amp;TEXT(ROW()-6,"00000"))</f>
        <v/>
      </c>
      <c r="C1646" s="65" t="str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61"/>
      <c r="E1646" s="66"/>
      <c r="F1646" s="67"/>
      <c r="G1646" s="60"/>
      <c r="H1646" s="60"/>
      <c r="I1646" s="61"/>
      <c r="J1646" s="61"/>
      <c r="K1646" s="61"/>
      <c r="L1646" s="73" t="str">
        <f>IF($E1646="","",DATE(YEAR($E1646),MONTH($E1646),1))</f>
        <v/>
      </c>
      <c r="M1646" s="65" t="str">
        <f ca="1">IF($D1646="","",IF($C1646="TANIMSIZ MÜŞTERİ","HATA",IF(OR($E1646="",$F1646&lt;=0,$G1646=""),"EKSİK",IF($E1646&gt;TODAY(),"İLERİ TARİH",IF(COUNTIF($S$7:$S$2503,$S1646)&gt;1,"MÜKERRER?",IF($T1646&gt;0,"KAPALI DÖNEM","UYGUN"))))))</f>
        <v/>
      </c>
      <c r="N1646" s="74" t="str">
        <f>IF($C1646="","",IF($C1646="TANIMSIZ MÜŞTERİ","—",INDEX(MUSTERILER!$C$7:$C$156,MATCH($C1646,MUSTERILER!$B$7:$B$156,0))))</f>
        <v/>
      </c>
      <c r="O1646" s="2"/>
      <c r="P1646" s="2"/>
      <c r="Q1646" s="1" t="str">
        <f>IF($D1646="","",$C1646&amp;"|"&amp;COUNTIFS($C$7:$C1646,$C1646))</f>
        <v/>
      </c>
      <c r="R1646" s="1" t="str">
        <f t="shared" si="50"/>
        <v/>
      </c>
      <c r="S1646" s="1" t="str">
        <f t="shared" si="51"/>
        <v/>
      </c>
      <c r="T1646" s="1">
        <f>IF($E1646="",0,SUMPRODUCT((AY_SONU!$O$7:$O$42="Evet")*(AY_SONU!$B$7:$B$42=DATE(YEAR($E1646),MONTH($E1646),1))))</f>
        <v>0</v>
      </c>
      <c r="U1646" s="1" t="str">
        <f>IF(OR($G1646="",$H1646="Mahsup"),"",$G1646&amp;"|"&amp;COUNTIFS($G$7:$G1646,$G1646,$H$7:$H1646,"&lt;&gt;Mahsup"))</f>
        <v/>
      </c>
    </row>
    <row r="1647" spans="1:21" ht="18" customHeight="1" x14ac:dyDescent="0.3">
      <c r="A1647" s="2"/>
      <c r="B1647" s="65" t="str">
        <f>IF($D1647="","","T"&amp;TEXT(ROW()-6,"00000"))</f>
        <v/>
      </c>
      <c r="C1647" s="65" t="str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61"/>
      <c r="E1647" s="66"/>
      <c r="F1647" s="67"/>
      <c r="G1647" s="60"/>
      <c r="H1647" s="60"/>
      <c r="I1647" s="61"/>
      <c r="J1647" s="61"/>
      <c r="K1647" s="61"/>
      <c r="L1647" s="73" t="str">
        <f>IF($E1647="","",DATE(YEAR($E1647),MONTH($E1647),1))</f>
        <v/>
      </c>
      <c r="M1647" s="65" t="str">
        <f ca="1">IF($D1647="","",IF($C1647="TANIMSIZ MÜŞTERİ","HATA",IF(OR($E1647="",$F1647&lt;=0,$G1647=""),"EKSİK",IF($E1647&gt;TODAY(),"İLERİ TARİH",IF(COUNTIF($S$7:$S$2503,$S1647)&gt;1,"MÜKERRER?",IF($T1647&gt;0,"KAPALI DÖNEM","UYGUN"))))))</f>
        <v/>
      </c>
      <c r="N1647" s="74" t="str">
        <f>IF($C1647="","",IF($C1647="TANIMSIZ MÜŞTERİ","—",INDEX(MUSTERILER!$C$7:$C$156,MATCH($C1647,MUSTERILER!$B$7:$B$156,0))))</f>
        <v/>
      </c>
      <c r="O1647" s="2"/>
      <c r="P1647" s="2"/>
      <c r="Q1647" s="1" t="str">
        <f>IF($D1647="","",$C1647&amp;"|"&amp;COUNTIFS($C$7:$C1647,$C1647))</f>
        <v/>
      </c>
      <c r="R1647" s="1" t="str">
        <f t="shared" si="50"/>
        <v/>
      </c>
      <c r="S1647" s="1" t="str">
        <f t="shared" si="51"/>
        <v/>
      </c>
      <c r="T1647" s="1">
        <f>IF($E1647="",0,SUMPRODUCT((AY_SONU!$O$7:$O$42="Evet")*(AY_SONU!$B$7:$B$42=DATE(YEAR($E1647),MONTH($E1647),1))))</f>
        <v>0</v>
      </c>
      <c r="U1647" s="1" t="str">
        <f>IF(OR($G1647="",$H1647="Mahsup"),"",$G1647&amp;"|"&amp;COUNTIFS($G$7:$G1647,$G1647,$H$7:$H1647,"&lt;&gt;Mahsup"))</f>
        <v/>
      </c>
    </row>
    <row r="1648" spans="1:21" ht="18" customHeight="1" x14ac:dyDescent="0.3">
      <c r="A1648" s="2"/>
      <c r="B1648" s="65" t="str">
        <f>IF($D1648="","","T"&amp;TEXT(ROW()-6,"00000"))</f>
        <v/>
      </c>
      <c r="C1648" s="65" t="str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61"/>
      <c r="E1648" s="66"/>
      <c r="F1648" s="67"/>
      <c r="G1648" s="60"/>
      <c r="H1648" s="60"/>
      <c r="I1648" s="61"/>
      <c r="J1648" s="61"/>
      <c r="K1648" s="61"/>
      <c r="L1648" s="73" t="str">
        <f>IF($E1648="","",DATE(YEAR($E1648),MONTH($E1648),1))</f>
        <v/>
      </c>
      <c r="M1648" s="65" t="str">
        <f ca="1">IF($D1648="","",IF($C1648="TANIMSIZ MÜŞTERİ","HATA",IF(OR($E1648="",$F1648&lt;=0,$G1648=""),"EKSİK",IF($E1648&gt;TODAY(),"İLERİ TARİH",IF(COUNTIF($S$7:$S$2503,$S1648)&gt;1,"MÜKERRER?",IF($T1648&gt;0,"KAPALI DÖNEM","UYGUN"))))))</f>
        <v/>
      </c>
      <c r="N1648" s="74" t="str">
        <f>IF($C1648="","",IF($C1648="TANIMSIZ MÜŞTERİ","—",INDEX(MUSTERILER!$C$7:$C$156,MATCH($C1648,MUSTERILER!$B$7:$B$156,0))))</f>
        <v/>
      </c>
      <c r="O1648" s="2"/>
      <c r="P1648" s="2"/>
      <c r="Q1648" s="1" t="str">
        <f>IF($D1648="","",$C1648&amp;"|"&amp;COUNTIFS($C$7:$C1648,$C1648))</f>
        <v/>
      </c>
      <c r="R1648" s="1" t="str">
        <f t="shared" si="50"/>
        <v/>
      </c>
      <c r="S1648" s="1" t="str">
        <f t="shared" si="51"/>
        <v/>
      </c>
      <c r="T1648" s="1">
        <f>IF($E1648="",0,SUMPRODUCT((AY_SONU!$O$7:$O$42="Evet")*(AY_SONU!$B$7:$B$42=DATE(YEAR($E1648),MONTH($E1648),1))))</f>
        <v>0</v>
      </c>
      <c r="U1648" s="1" t="str">
        <f>IF(OR($G1648="",$H1648="Mahsup"),"",$G1648&amp;"|"&amp;COUNTIFS($G$7:$G1648,$G1648,$H$7:$H1648,"&lt;&gt;Mahsup"))</f>
        <v/>
      </c>
    </row>
    <row r="1649" spans="1:21" ht="18" customHeight="1" x14ac:dyDescent="0.3">
      <c r="A1649" s="2"/>
      <c r="B1649" s="65" t="str">
        <f>IF($D1649="","","T"&amp;TEXT(ROW()-6,"00000"))</f>
        <v/>
      </c>
      <c r="C1649" s="65" t="str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61"/>
      <c r="E1649" s="66"/>
      <c r="F1649" s="67"/>
      <c r="G1649" s="60"/>
      <c r="H1649" s="60"/>
      <c r="I1649" s="61"/>
      <c r="J1649" s="61"/>
      <c r="K1649" s="61"/>
      <c r="L1649" s="73" t="str">
        <f>IF($E1649="","",DATE(YEAR($E1649),MONTH($E1649),1))</f>
        <v/>
      </c>
      <c r="M1649" s="65" t="str">
        <f ca="1">IF($D1649="","",IF($C1649="TANIMSIZ MÜŞTERİ","HATA",IF(OR($E1649="",$F1649&lt;=0,$G1649=""),"EKSİK",IF($E1649&gt;TODAY(),"İLERİ TARİH",IF(COUNTIF($S$7:$S$2503,$S1649)&gt;1,"MÜKERRER?",IF($T1649&gt;0,"KAPALI DÖNEM","UYGUN"))))))</f>
        <v/>
      </c>
      <c r="N1649" s="74" t="str">
        <f>IF($C1649="","",IF($C1649="TANIMSIZ MÜŞTERİ","—",INDEX(MUSTERILER!$C$7:$C$156,MATCH($C1649,MUSTERILER!$B$7:$B$156,0))))</f>
        <v/>
      </c>
      <c r="O1649" s="2"/>
      <c r="P1649" s="2"/>
      <c r="Q1649" s="1" t="str">
        <f>IF($D1649="","",$C1649&amp;"|"&amp;COUNTIFS($C$7:$C1649,$C1649))</f>
        <v/>
      </c>
      <c r="R1649" s="1" t="str">
        <f t="shared" si="50"/>
        <v/>
      </c>
      <c r="S1649" s="1" t="str">
        <f t="shared" si="51"/>
        <v/>
      </c>
      <c r="T1649" s="1">
        <f>IF($E1649="",0,SUMPRODUCT((AY_SONU!$O$7:$O$42="Evet")*(AY_SONU!$B$7:$B$42=DATE(YEAR($E1649),MONTH($E1649),1))))</f>
        <v>0</v>
      </c>
      <c r="U1649" s="1" t="str">
        <f>IF(OR($G1649="",$H1649="Mahsup"),"",$G1649&amp;"|"&amp;COUNTIFS($G$7:$G1649,$G1649,$H$7:$H1649,"&lt;&gt;Mahsup"))</f>
        <v/>
      </c>
    </row>
    <row r="1650" spans="1:21" ht="18" customHeight="1" x14ac:dyDescent="0.3">
      <c r="A1650" s="2"/>
      <c r="B1650" s="65" t="str">
        <f>IF($D1650="","","T"&amp;TEXT(ROW()-6,"00000"))</f>
        <v/>
      </c>
      <c r="C1650" s="65" t="str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61"/>
      <c r="E1650" s="66"/>
      <c r="F1650" s="67"/>
      <c r="G1650" s="60"/>
      <c r="H1650" s="60"/>
      <c r="I1650" s="61"/>
      <c r="J1650" s="61"/>
      <c r="K1650" s="61"/>
      <c r="L1650" s="73" t="str">
        <f>IF($E1650="","",DATE(YEAR($E1650),MONTH($E1650),1))</f>
        <v/>
      </c>
      <c r="M1650" s="65" t="str">
        <f ca="1">IF($D1650="","",IF($C1650="TANIMSIZ MÜŞTERİ","HATA",IF(OR($E1650="",$F1650&lt;=0,$G1650=""),"EKSİK",IF($E1650&gt;TODAY(),"İLERİ TARİH",IF(COUNTIF($S$7:$S$2503,$S1650)&gt;1,"MÜKERRER?",IF($T1650&gt;0,"KAPALI DÖNEM","UYGUN"))))))</f>
        <v/>
      </c>
      <c r="N1650" s="74" t="str">
        <f>IF($C1650="","",IF($C1650="TANIMSIZ MÜŞTERİ","—",INDEX(MUSTERILER!$C$7:$C$156,MATCH($C1650,MUSTERILER!$B$7:$B$156,0))))</f>
        <v/>
      </c>
      <c r="O1650" s="2"/>
      <c r="P1650" s="2"/>
      <c r="Q1650" s="1" t="str">
        <f>IF($D1650="","",$C1650&amp;"|"&amp;COUNTIFS($C$7:$C1650,$C1650))</f>
        <v/>
      </c>
      <c r="R1650" s="1" t="str">
        <f t="shared" si="50"/>
        <v/>
      </c>
      <c r="S1650" s="1" t="str">
        <f t="shared" si="51"/>
        <v/>
      </c>
      <c r="T1650" s="1">
        <f>IF($E1650="",0,SUMPRODUCT((AY_SONU!$O$7:$O$42="Evet")*(AY_SONU!$B$7:$B$42=DATE(YEAR($E1650),MONTH($E1650),1))))</f>
        <v>0</v>
      </c>
      <c r="U1650" s="1" t="str">
        <f>IF(OR($G1650="",$H1650="Mahsup"),"",$G1650&amp;"|"&amp;COUNTIFS($G$7:$G1650,$G1650,$H$7:$H1650,"&lt;&gt;Mahsup"))</f>
        <v/>
      </c>
    </row>
    <row r="1651" spans="1:21" ht="18" customHeight="1" x14ac:dyDescent="0.3">
      <c r="A1651" s="2"/>
      <c r="B1651" s="65" t="str">
        <f>IF($D1651="","","T"&amp;TEXT(ROW()-6,"00000"))</f>
        <v/>
      </c>
      <c r="C1651" s="65" t="str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61"/>
      <c r="E1651" s="66"/>
      <c r="F1651" s="67"/>
      <c r="G1651" s="60"/>
      <c r="H1651" s="60"/>
      <c r="I1651" s="61"/>
      <c r="J1651" s="61"/>
      <c r="K1651" s="61"/>
      <c r="L1651" s="73" t="str">
        <f>IF($E1651="","",DATE(YEAR($E1651),MONTH($E1651),1))</f>
        <v/>
      </c>
      <c r="M1651" s="65" t="str">
        <f ca="1">IF($D1651="","",IF($C1651="TANIMSIZ MÜŞTERİ","HATA",IF(OR($E1651="",$F1651&lt;=0,$G1651=""),"EKSİK",IF($E1651&gt;TODAY(),"İLERİ TARİH",IF(COUNTIF($S$7:$S$2503,$S1651)&gt;1,"MÜKERRER?",IF($T1651&gt;0,"KAPALI DÖNEM","UYGUN"))))))</f>
        <v/>
      </c>
      <c r="N1651" s="74" t="str">
        <f>IF($C1651="","",IF($C1651="TANIMSIZ MÜŞTERİ","—",INDEX(MUSTERILER!$C$7:$C$156,MATCH($C1651,MUSTERILER!$B$7:$B$156,0))))</f>
        <v/>
      </c>
      <c r="O1651" s="2"/>
      <c r="P1651" s="2"/>
      <c r="Q1651" s="1" t="str">
        <f>IF($D1651="","",$C1651&amp;"|"&amp;COUNTIFS($C$7:$C1651,$C1651))</f>
        <v/>
      </c>
      <c r="R1651" s="1" t="str">
        <f t="shared" si="50"/>
        <v/>
      </c>
      <c r="S1651" s="1" t="str">
        <f t="shared" si="51"/>
        <v/>
      </c>
      <c r="T1651" s="1">
        <f>IF($E1651="",0,SUMPRODUCT((AY_SONU!$O$7:$O$42="Evet")*(AY_SONU!$B$7:$B$42=DATE(YEAR($E1651),MONTH($E1651),1))))</f>
        <v>0</v>
      </c>
      <c r="U1651" s="1" t="str">
        <f>IF(OR($G1651="",$H1651="Mahsup"),"",$G1651&amp;"|"&amp;COUNTIFS($G$7:$G1651,$G1651,$H$7:$H1651,"&lt;&gt;Mahsup"))</f>
        <v/>
      </c>
    </row>
    <row r="1652" spans="1:21" ht="18" customHeight="1" x14ac:dyDescent="0.3">
      <c r="A1652" s="2"/>
      <c r="B1652" s="65" t="str">
        <f>IF($D1652="","","T"&amp;TEXT(ROW()-6,"00000"))</f>
        <v/>
      </c>
      <c r="C1652" s="65" t="str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61"/>
      <c r="E1652" s="66"/>
      <c r="F1652" s="67"/>
      <c r="G1652" s="60"/>
      <c r="H1652" s="60"/>
      <c r="I1652" s="61"/>
      <c r="J1652" s="61"/>
      <c r="K1652" s="61"/>
      <c r="L1652" s="73" t="str">
        <f>IF($E1652="","",DATE(YEAR($E1652),MONTH($E1652),1))</f>
        <v/>
      </c>
      <c r="M1652" s="65" t="str">
        <f ca="1">IF($D1652="","",IF($C1652="TANIMSIZ MÜŞTERİ","HATA",IF(OR($E1652="",$F1652&lt;=0,$G1652=""),"EKSİK",IF($E1652&gt;TODAY(),"İLERİ TARİH",IF(COUNTIF($S$7:$S$2503,$S1652)&gt;1,"MÜKERRER?",IF($T1652&gt;0,"KAPALI DÖNEM","UYGUN"))))))</f>
        <v/>
      </c>
      <c r="N1652" s="74" t="str">
        <f>IF($C1652="","",IF($C1652="TANIMSIZ MÜŞTERİ","—",INDEX(MUSTERILER!$C$7:$C$156,MATCH($C1652,MUSTERILER!$B$7:$B$156,0))))</f>
        <v/>
      </c>
      <c r="O1652" s="2"/>
      <c r="P1652" s="2"/>
      <c r="Q1652" s="1" t="str">
        <f>IF($D1652="","",$C1652&amp;"|"&amp;COUNTIFS($C$7:$C1652,$C1652))</f>
        <v/>
      </c>
      <c r="R1652" s="1" t="str">
        <f t="shared" si="50"/>
        <v/>
      </c>
      <c r="S1652" s="1" t="str">
        <f t="shared" si="51"/>
        <v/>
      </c>
      <c r="T1652" s="1">
        <f>IF($E1652="",0,SUMPRODUCT((AY_SONU!$O$7:$O$42="Evet")*(AY_SONU!$B$7:$B$42=DATE(YEAR($E1652),MONTH($E1652),1))))</f>
        <v>0</v>
      </c>
      <c r="U1652" s="1" t="str">
        <f>IF(OR($G1652="",$H1652="Mahsup"),"",$G1652&amp;"|"&amp;COUNTIFS($G$7:$G1652,$G1652,$H$7:$H1652,"&lt;&gt;Mahsup"))</f>
        <v/>
      </c>
    </row>
    <row r="1653" spans="1:21" ht="18" customHeight="1" x14ac:dyDescent="0.3">
      <c r="A1653" s="2"/>
      <c r="B1653" s="65" t="str">
        <f>IF($D1653="","","T"&amp;TEXT(ROW()-6,"00000"))</f>
        <v/>
      </c>
      <c r="C1653" s="65" t="str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61"/>
      <c r="E1653" s="66"/>
      <c r="F1653" s="67"/>
      <c r="G1653" s="60"/>
      <c r="H1653" s="60"/>
      <c r="I1653" s="61"/>
      <c r="J1653" s="61"/>
      <c r="K1653" s="61"/>
      <c r="L1653" s="73" t="str">
        <f>IF($E1653="","",DATE(YEAR($E1653),MONTH($E1653),1))</f>
        <v/>
      </c>
      <c r="M1653" s="65" t="str">
        <f ca="1">IF($D1653="","",IF($C1653="TANIMSIZ MÜŞTERİ","HATA",IF(OR($E1653="",$F1653&lt;=0,$G1653=""),"EKSİK",IF($E1653&gt;TODAY(),"İLERİ TARİH",IF(COUNTIF($S$7:$S$2503,$S1653)&gt;1,"MÜKERRER?",IF($T1653&gt;0,"KAPALI DÖNEM","UYGUN"))))))</f>
        <v/>
      </c>
      <c r="N1653" s="74" t="str">
        <f>IF($C1653="","",IF($C1653="TANIMSIZ MÜŞTERİ","—",INDEX(MUSTERILER!$C$7:$C$156,MATCH($C1653,MUSTERILER!$B$7:$B$156,0))))</f>
        <v/>
      </c>
      <c r="O1653" s="2"/>
      <c r="P1653" s="2"/>
      <c r="Q1653" s="1" t="str">
        <f>IF($D1653="","",$C1653&amp;"|"&amp;COUNTIFS($C$7:$C1653,$C1653))</f>
        <v/>
      </c>
      <c r="R1653" s="1" t="str">
        <f t="shared" si="50"/>
        <v/>
      </c>
      <c r="S1653" s="1" t="str">
        <f t="shared" si="51"/>
        <v/>
      </c>
      <c r="T1653" s="1">
        <f>IF($E1653="",0,SUMPRODUCT((AY_SONU!$O$7:$O$42="Evet")*(AY_SONU!$B$7:$B$42=DATE(YEAR($E1653),MONTH($E1653),1))))</f>
        <v>0</v>
      </c>
      <c r="U1653" s="1" t="str">
        <f>IF(OR($G1653="",$H1653="Mahsup"),"",$G1653&amp;"|"&amp;COUNTIFS($G$7:$G1653,$G1653,$H$7:$H1653,"&lt;&gt;Mahsup"))</f>
        <v/>
      </c>
    </row>
    <row r="1654" spans="1:21" ht="18" customHeight="1" x14ac:dyDescent="0.3">
      <c r="A1654" s="2"/>
      <c r="B1654" s="65" t="str">
        <f>IF($D1654="","","T"&amp;TEXT(ROW()-6,"00000"))</f>
        <v/>
      </c>
      <c r="C1654" s="65" t="str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61"/>
      <c r="E1654" s="66"/>
      <c r="F1654" s="67"/>
      <c r="G1654" s="60"/>
      <c r="H1654" s="60"/>
      <c r="I1654" s="61"/>
      <c r="J1654" s="61"/>
      <c r="K1654" s="61"/>
      <c r="L1654" s="73" t="str">
        <f>IF($E1654="","",DATE(YEAR($E1654),MONTH($E1654),1))</f>
        <v/>
      </c>
      <c r="M1654" s="65" t="str">
        <f ca="1">IF($D1654="","",IF($C1654="TANIMSIZ MÜŞTERİ","HATA",IF(OR($E1654="",$F1654&lt;=0,$G1654=""),"EKSİK",IF($E1654&gt;TODAY(),"İLERİ TARİH",IF(COUNTIF($S$7:$S$2503,$S1654)&gt;1,"MÜKERRER?",IF($T1654&gt;0,"KAPALI DÖNEM","UYGUN"))))))</f>
        <v/>
      </c>
      <c r="N1654" s="74" t="str">
        <f>IF($C1654="","",IF($C1654="TANIMSIZ MÜŞTERİ","—",INDEX(MUSTERILER!$C$7:$C$156,MATCH($C1654,MUSTERILER!$B$7:$B$156,0))))</f>
        <v/>
      </c>
      <c r="O1654" s="2"/>
      <c r="P1654" s="2"/>
      <c r="Q1654" s="1" t="str">
        <f>IF($D1654="","",$C1654&amp;"|"&amp;COUNTIFS($C$7:$C1654,$C1654))</f>
        <v/>
      </c>
      <c r="R1654" s="1" t="str">
        <f t="shared" si="50"/>
        <v/>
      </c>
      <c r="S1654" s="1" t="str">
        <f t="shared" si="51"/>
        <v/>
      </c>
      <c r="T1654" s="1">
        <f>IF($E1654="",0,SUMPRODUCT((AY_SONU!$O$7:$O$42="Evet")*(AY_SONU!$B$7:$B$42=DATE(YEAR($E1654),MONTH($E1654),1))))</f>
        <v>0</v>
      </c>
      <c r="U1654" s="1" t="str">
        <f>IF(OR($G1654="",$H1654="Mahsup"),"",$G1654&amp;"|"&amp;COUNTIFS($G$7:$G1654,$G1654,$H$7:$H1654,"&lt;&gt;Mahsup"))</f>
        <v/>
      </c>
    </row>
    <row r="1655" spans="1:21" ht="18" customHeight="1" x14ac:dyDescent="0.3">
      <c r="A1655" s="2"/>
      <c r="B1655" s="65" t="str">
        <f>IF($D1655="","","T"&amp;TEXT(ROW()-6,"00000"))</f>
        <v/>
      </c>
      <c r="C1655" s="65" t="str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61"/>
      <c r="E1655" s="66"/>
      <c r="F1655" s="67"/>
      <c r="G1655" s="60"/>
      <c r="H1655" s="60"/>
      <c r="I1655" s="61"/>
      <c r="J1655" s="61"/>
      <c r="K1655" s="61"/>
      <c r="L1655" s="73" t="str">
        <f>IF($E1655="","",DATE(YEAR($E1655),MONTH($E1655),1))</f>
        <v/>
      </c>
      <c r="M1655" s="65" t="str">
        <f ca="1">IF($D1655="","",IF($C1655="TANIMSIZ MÜŞTERİ","HATA",IF(OR($E1655="",$F1655&lt;=0,$G1655=""),"EKSİK",IF($E1655&gt;TODAY(),"İLERİ TARİH",IF(COUNTIF($S$7:$S$2503,$S1655)&gt;1,"MÜKERRER?",IF($T1655&gt;0,"KAPALI DÖNEM","UYGUN"))))))</f>
        <v/>
      </c>
      <c r="N1655" s="74" t="str">
        <f>IF($C1655="","",IF($C1655="TANIMSIZ MÜŞTERİ","—",INDEX(MUSTERILER!$C$7:$C$156,MATCH($C1655,MUSTERILER!$B$7:$B$156,0))))</f>
        <v/>
      </c>
      <c r="O1655" s="2"/>
      <c r="P1655" s="2"/>
      <c r="Q1655" s="1" t="str">
        <f>IF($D1655="","",$C1655&amp;"|"&amp;COUNTIFS($C$7:$C1655,$C1655))</f>
        <v/>
      </c>
      <c r="R1655" s="1" t="str">
        <f t="shared" si="50"/>
        <v/>
      </c>
      <c r="S1655" s="1" t="str">
        <f t="shared" si="51"/>
        <v/>
      </c>
      <c r="T1655" s="1">
        <f>IF($E1655="",0,SUMPRODUCT((AY_SONU!$O$7:$O$42="Evet")*(AY_SONU!$B$7:$B$42=DATE(YEAR($E1655),MONTH($E1655),1))))</f>
        <v>0</v>
      </c>
      <c r="U1655" s="1" t="str">
        <f>IF(OR($G1655="",$H1655="Mahsup"),"",$G1655&amp;"|"&amp;COUNTIFS($G$7:$G1655,$G1655,$H$7:$H1655,"&lt;&gt;Mahsup"))</f>
        <v/>
      </c>
    </row>
    <row r="1656" spans="1:21" ht="18" customHeight="1" x14ac:dyDescent="0.3">
      <c r="A1656" s="2"/>
      <c r="B1656" s="65" t="str">
        <f>IF($D1656="","","T"&amp;TEXT(ROW()-6,"00000"))</f>
        <v/>
      </c>
      <c r="C1656" s="65" t="str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61"/>
      <c r="E1656" s="66"/>
      <c r="F1656" s="67"/>
      <c r="G1656" s="60"/>
      <c r="H1656" s="60"/>
      <c r="I1656" s="61"/>
      <c r="J1656" s="61"/>
      <c r="K1656" s="61"/>
      <c r="L1656" s="73" t="str">
        <f>IF($E1656="","",DATE(YEAR($E1656),MONTH($E1656),1))</f>
        <v/>
      </c>
      <c r="M1656" s="65" t="str">
        <f ca="1">IF($D1656="","",IF($C1656="TANIMSIZ MÜŞTERİ","HATA",IF(OR($E1656="",$F1656&lt;=0,$G1656=""),"EKSİK",IF($E1656&gt;TODAY(),"İLERİ TARİH",IF(COUNTIF($S$7:$S$2503,$S1656)&gt;1,"MÜKERRER?",IF($T1656&gt;0,"KAPALI DÖNEM","UYGUN"))))))</f>
        <v/>
      </c>
      <c r="N1656" s="74" t="str">
        <f>IF($C1656="","",IF($C1656="TANIMSIZ MÜŞTERİ","—",INDEX(MUSTERILER!$C$7:$C$156,MATCH($C1656,MUSTERILER!$B$7:$B$156,0))))</f>
        <v/>
      </c>
      <c r="O1656" s="2"/>
      <c r="P1656" s="2"/>
      <c r="Q1656" s="1" t="str">
        <f>IF($D1656="","",$C1656&amp;"|"&amp;COUNTIFS($C$7:$C1656,$C1656))</f>
        <v/>
      </c>
      <c r="R1656" s="1" t="str">
        <f t="shared" si="50"/>
        <v/>
      </c>
      <c r="S1656" s="1" t="str">
        <f t="shared" si="51"/>
        <v/>
      </c>
      <c r="T1656" s="1">
        <f>IF($E1656="",0,SUMPRODUCT((AY_SONU!$O$7:$O$42="Evet")*(AY_SONU!$B$7:$B$42=DATE(YEAR($E1656),MONTH($E1656),1))))</f>
        <v>0</v>
      </c>
      <c r="U1656" s="1" t="str">
        <f>IF(OR($G1656="",$H1656="Mahsup"),"",$G1656&amp;"|"&amp;COUNTIFS($G$7:$G1656,$G1656,$H$7:$H1656,"&lt;&gt;Mahsup"))</f>
        <v/>
      </c>
    </row>
    <row r="1657" spans="1:21" ht="18" customHeight="1" x14ac:dyDescent="0.3">
      <c r="A1657" s="2"/>
      <c r="B1657" s="65" t="str">
        <f>IF($D1657="","","T"&amp;TEXT(ROW()-6,"00000"))</f>
        <v/>
      </c>
      <c r="C1657" s="65" t="str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61"/>
      <c r="E1657" s="66"/>
      <c r="F1657" s="67"/>
      <c r="G1657" s="60"/>
      <c r="H1657" s="60"/>
      <c r="I1657" s="61"/>
      <c r="J1657" s="61"/>
      <c r="K1657" s="61"/>
      <c r="L1657" s="73" t="str">
        <f>IF($E1657="","",DATE(YEAR($E1657),MONTH($E1657),1))</f>
        <v/>
      </c>
      <c r="M1657" s="65" t="str">
        <f ca="1">IF($D1657="","",IF($C1657="TANIMSIZ MÜŞTERİ","HATA",IF(OR($E1657="",$F1657&lt;=0,$G1657=""),"EKSİK",IF($E1657&gt;TODAY(),"İLERİ TARİH",IF(COUNTIF($S$7:$S$2503,$S1657)&gt;1,"MÜKERRER?",IF($T1657&gt;0,"KAPALI DÖNEM","UYGUN"))))))</f>
        <v/>
      </c>
      <c r="N1657" s="74" t="str">
        <f>IF($C1657="","",IF($C1657="TANIMSIZ MÜŞTERİ","—",INDEX(MUSTERILER!$C$7:$C$156,MATCH($C1657,MUSTERILER!$B$7:$B$156,0))))</f>
        <v/>
      </c>
      <c r="O1657" s="2"/>
      <c r="P1657" s="2"/>
      <c r="Q1657" s="1" t="str">
        <f>IF($D1657="","",$C1657&amp;"|"&amp;COUNTIFS($C$7:$C1657,$C1657))</f>
        <v/>
      </c>
      <c r="R1657" s="1" t="str">
        <f t="shared" si="50"/>
        <v/>
      </c>
      <c r="S1657" s="1" t="str">
        <f t="shared" si="51"/>
        <v/>
      </c>
      <c r="T1657" s="1">
        <f>IF($E1657="",0,SUMPRODUCT((AY_SONU!$O$7:$O$42="Evet")*(AY_SONU!$B$7:$B$42=DATE(YEAR($E1657),MONTH($E1657),1))))</f>
        <v>0</v>
      </c>
      <c r="U1657" s="1" t="str">
        <f>IF(OR($G1657="",$H1657="Mahsup"),"",$G1657&amp;"|"&amp;COUNTIFS($G$7:$G1657,$G1657,$H$7:$H1657,"&lt;&gt;Mahsup"))</f>
        <v/>
      </c>
    </row>
    <row r="1658" spans="1:21" ht="18" customHeight="1" x14ac:dyDescent="0.3">
      <c r="A1658" s="2"/>
      <c r="B1658" s="65" t="str">
        <f>IF($D1658="","","T"&amp;TEXT(ROW()-6,"00000"))</f>
        <v/>
      </c>
      <c r="C1658" s="65" t="str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61"/>
      <c r="E1658" s="66"/>
      <c r="F1658" s="67"/>
      <c r="G1658" s="60"/>
      <c r="H1658" s="60"/>
      <c r="I1658" s="61"/>
      <c r="J1658" s="61"/>
      <c r="K1658" s="61"/>
      <c r="L1658" s="73" t="str">
        <f>IF($E1658="","",DATE(YEAR($E1658),MONTH($E1658),1))</f>
        <v/>
      </c>
      <c r="M1658" s="65" t="str">
        <f ca="1">IF($D1658="","",IF($C1658="TANIMSIZ MÜŞTERİ","HATA",IF(OR($E1658="",$F1658&lt;=0,$G1658=""),"EKSİK",IF($E1658&gt;TODAY(),"İLERİ TARİH",IF(COUNTIF($S$7:$S$2503,$S1658)&gt;1,"MÜKERRER?",IF($T1658&gt;0,"KAPALI DÖNEM","UYGUN"))))))</f>
        <v/>
      </c>
      <c r="N1658" s="74" t="str">
        <f>IF($C1658="","",IF($C1658="TANIMSIZ MÜŞTERİ","—",INDEX(MUSTERILER!$C$7:$C$156,MATCH($C1658,MUSTERILER!$B$7:$B$156,0))))</f>
        <v/>
      </c>
      <c r="O1658" s="2"/>
      <c r="P1658" s="2"/>
      <c r="Q1658" s="1" t="str">
        <f>IF($D1658="","",$C1658&amp;"|"&amp;COUNTIFS($C$7:$C1658,$C1658))</f>
        <v/>
      </c>
      <c r="R1658" s="1" t="str">
        <f t="shared" si="50"/>
        <v/>
      </c>
      <c r="S1658" s="1" t="str">
        <f t="shared" si="51"/>
        <v/>
      </c>
      <c r="T1658" s="1">
        <f>IF($E1658="",0,SUMPRODUCT((AY_SONU!$O$7:$O$42="Evet")*(AY_SONU!$B$7:$B$42=DATE(YEAR($E1658),MONTH($E1658),1))))</f>
        <v>0</v>
      </c>
      <c r="U1658" s="1" t="str">
        <f>IF(OR($G1658="",$H1658="Mahsup"),"",$G1658&amp;"|"&amp;COUNTIFS($G$7:$G1658,$G1658,$H$7:$H1658,"&lt;&gt;Mahsup"))</f>
        <v/>
      </c>
    </row>
    <row r="1659" spans="1:21" ht="18" customHeight="1" x14ac:dyDescent="0.3">
      <c r="A1659" s="2"/>
      <c r="B1659" s="65" t="str">
        <f>IF($D1659="","","T"&amp;TEXT(ROW()-6,"00000"))</f>
        <v/>
      </c>
      <c r="C1659" s="65" t="str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61"/>
      <c r="E1659" s="66"/>
      <c r="F1659" s="67"/>
      <c r="G1659" s="60"/>
      <c r="H1659" s="60"/>
      <c r="I1659" s="61"/>
      <c r="J1659" s="61"/>
      <c r="K1659" s="61"/>
      <c r="L1659" s="73" t="str">
        <f>IF($E1659="","",DATE(YEAR($E1659),MONTH($E1659),1))</f>
        <v/>
      </c>
      <c r="M1659" s="65" t="str">
        <f ca="1">IF($D1659="","",IF($C1659="TANIMSIZ MÜŞTERİ","HATA",IF(OR($E1659="",$F1659&lt;=0,$G1659=""),"EKSİK",IF($E1659&gt;TODAY(),"İLERİ TARİH",IF(COUNTIF($S$7:$S$2503,$S1659)&gt;1,"MÜKERRER?",IF($T1659&gt;0,"KAPALI DÖNEM","UYGUN"))))))</f>
        <v/>
      </c>
      <c r="N1659" s="74" t="str">
        <f>IF($C1659="","",IF($C1659="TANIMSIZ MÜŞTERİ","—",INDEX(MUSTERILER!$C$7:$C$156,MATCH($C1659,MUSTERILER!$B$7:$B$156,0))))</f>
        <v/>
      </c>
      <c r="O1659" s="2"/>
      <c r="P1659" s="2"/>
      <c r="Q1659" s="1" t="str">
        <f>IF($D1659="","",$C1659&amp;"|"&amp;COUNTIFS($C$7:$C1659,$C1659))</f>
        <v/>
      </c>
      <c r="R1659" s="1" t="str">
        <f t="shared" si="50"/>
        <v/>
      </c>
      <c r="S1659" s="1" t="str">
        <f t="shared" si="51"/>
        <v/>
      </c>
      <c r="T1659" s="1">
        <f>IF($E1659="",0,SUMPRODUCT((AY_SONU!$O$7:$O$42="Evet")*(AY_SONU!$B$7:$B$42=DATE(YEAR($E1659),MONTH($E1659),1))))</f>
        <v>0</v>
      </c>
      <c r="U1659" s="1" t="str">
        <f>IF(OR($G1659="",$H1659="Mahsup"),"",$G1659&amp;"|"&amp;COUNTIFS($G$7:$G1659,$G1659,$H$7:$H1659,"&lt;&gt;Mahsup"))</f>
        <v/>
      </c>
    </row>
    <row r="1660" spans="1:21" ht="18" customHeight="1" x14ac:dyDescent="0.3">
      <c r="A1660" s="2"/>
      <c r="B1660" s="65" t="str">
        <f>IF($D1660="","","T"&amp;TEXT(ROW()-6,"00000"))</f>
        <v/>
      </c>
      <c r="C1660" s="65" t="str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61"/>
      <c r="E1660" s="66"/>
      <c r="F1660" s="67"/>
      <c r="G1660" s="60"/>
      <c r="H1660" s="60"/>
      <c r="I1660" s="61"/>
      <c r="J1660" s="61"/>
      <c r="K1660" s="61"/>
      <c r="L1660" s="73" t="str">
        <f>IF($E1660="","",DATE(YEAR($E1660),MONTH($E1660),1))</f>
        <v/>
      </c>
      <c r="M1660" s="65" t="str">
        <f ca="1">IF($D1660="","",IF($C1660="TANIMSIZ MÜŞTERİ","HATA",IF(OR($E1660="",$F1660&lt;=0,$G1660=""),"EKSİK",IF($E1660&gt;TODAY(),"İLERİ TARİH",IF(COUNTIF($S$7:$S$2503,$S1660)&gt;1,"MÜKERRER?",IF($T1660&gt;0,"KAPALI DÖNEM","UYGUN"))))))</f>
        <v/>
      </c>
      <c r="N1660" s="74" t="str">
        <f>IF($C1660="","",IF($C1660="TANIMSIZ MÜŞTERİ","—",INDEX(MUSTERILER!$C$7:$C$156,MATCH($C1660,MUSTERILER!$B$7:$B$156,0))))</f>
        <v/>
      </c>
      <c r="O1660" s="2"/>
      <c r="P1660" s="2"/>
      <c r="Q1660" s="1" t="str">
        <f>IF($D1660="","",$C1660&amp;"|"&amp;COUNTIFS($C$7:$C1660,$C1660))</f>
        <v/>
      </c>
      <c r="R1660" s="1" t="str">
        <f t="shared" si="50"/>
        <v/>
      </c>
      <c r="S1660" s="1" t="str">
        <f t="shared" si="51"/>
        <v/>
      </c>
      <c r="T1660" s="1">
        <f>IF($E1660="",0,SUMPRODUCT((AY_SONU!$O$7:$O$42="Evet")*(AY_SONU!$B$7:$B$42=DATE(YEAR($E1660),MONTH($E1660),1))))</f>
        <v>0</v>
      </c>
      <c r="U1660" s="1" t="str">
        <f>IF(OR($G1660="",$H1660="Mahsup"),"",$G1660&amp;"|"&amp;COUNTIFS($G$7:$G1660,$G1660,$H$7:$H1660,"&lt;&gt;Mahsup"))</f>
        <v/>
      </c>
    </row>
    <row r="1661" spans="1:21" ht="18" customHeight="1" x14ac:dyDescent="0.3">
      <c r="A1661" s="2"/>
      <c r="B1661" s="65" t="str">
        <f>IF($D1661="","","T"&amp;TEXT(ROW()-6,"00000"))</f>
        <v/>
      </c>
      <c r="C1661" s="65" t="str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61"/>
      <c r="E1661" s="66"/>
      <c r="F1661" s="67"/>
      <c r="G1661" s="60"/>
      <c r="H1661" s="60"/>
      <c r="I1661" s="61"/>
      <c r="J1661" s="61"/>
      <c r="K1661" s="61"/>
      <c r="L1661" s="73" t="str">
        <f>IF($E1661="","",DATE(YEAR($E1661),MONTH($E1661),1))</f>
        <v/>
      </c>
      <c r="M1661" s="65" t="str">
        <f ca="1">IF($D1661="","",IF($C1661="TANIMSIZ MÜŞTERİ","HATA",IF(OR($E1661="",$F1661&lt;=0,$G1661=""),"EKSİK",IF($E1661&gt;TODAY(),"İLERİ TARİH",IF(COUNTIF($S$7:$S$2503,$S1661)&gt;1,"MÜKERRER?",IF($T1661&gt;0,"KAPALI DÖNEM","UYGUN"))))))</f>
        <v/>
      </c>
      <c r="N1661" s="74" t="str">
        <f>IF($C1661="","",IF($C1661="TANIMSIZ MÜŞTERİ","—",INDEX(MUSTERILER!$C$7:$C$156,MATCH($C1661,MUSTERILER!$B$7:$B$156,0))))</f>
        <v/>
      </c>
      <c r="O1661" s="2"/>
      <c r="P1661" s="2"/>
      <c r="Q1661" s="1" t="str">
        <f>IF($D1661="","",$C1661&amp;"|"&amp;COUNTIFS($C$7:$C1661,$C1661))</f>
        <v/>
      </c>
      <c r="R1661" s="1" t="str">
        <f t="shared" si="50"/>
        <v/>
      </c>
      <c r="S1661" s="1" t="str">
        <f t="shared" si="51"/>
        <v/>
      </c>
      <c r="T1661" s="1">
        <f>IF($E1661="",0,SUMPRODUCT((AY_SONU!$O$7:$O$42="Evet")*(AY_SONU!$B$7:$B$42=DATE(YEAR($E1661),MONTH($E1661),1))))</f>
        <v>0</v>
      </c>
      <c r="U1661" s="1" t="str">
        <f>IF(OR($G1661="",$H1661="Mahsup"),"",$G1661&amp;"|"&amp;COUNTIFS($G$7:$G1661,$G1661,$H$7:$H1661,"&lt;&gt;Mahsup"))</f>
        <v/>
      </c>
    </row>
    <row r="1662" spans="1:21" ht="18" customHeight="1" x14ac:dyDescent="0.3">
      <c r="A1662" s="2"/>
      <c r="B1662" s="65" t="str">
        <f>IF($D1662="","","T"&amp;TEXT(ROW()-6,"00000"))</f>
        <v/>
      </c>
      <c r="C1662" s="65" t="str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61"/>
      <c r="E1662" s="66"/>
      <c r="F1662" s="67"/>
      <c r="G1662" s="60"/>
      <c r="H1662" s="60"/>
      <c r="I1662" s="61"/>
      <c r="J1662" s="61"/>
      <c r="K1662" s="61"/>
      <c r="L1662" s="73" t="str">
        <f>IF($E1662="","",DATE(YEAR($E1662),MONTH($E1662),1))</f>
        <v/>
      </c>
      <c r="M1662" s="65" t="str">
        <f ca="1">IF($D1662="","",IF($C1662="TANIMSIZ MÜŞTERİ","HATA",IF(OR($E1662="",$F1662&lt;=0,$G1662=""),"EKSİK",IF($E1662&gt;TODAY(),"İLERİ TARİH",IF(COUNTIF($S$7:$S$2503,$S1662)&gt;1,"MÜKERRER?",IF($T1662&gt;0,"KAPALI DÖNEM","UYGUN"))))))</f>
        <v/>
      </c>
      <c r="N1662" s="74" t="str">
        <f>IF($C1662="","",IF($C1662="TANIMSIZ MÜŞTERİ","—",INDEX(MUSTERILER!$C$7:$C$156,MATCH($C1662,MUSTERILER!$B$7:$B$156,0))))</f>
        <v/>
      </c>
      <c r="O1662" s="2"/>
      <c r="P1662" s="2"/>
      <c r="Q1662" s="1" t="str">
        <f>IF($D1662="","",$C1662&amp;"|"&amp;COUNTIFS($C$7:$C1662,$C1662))</f>
        <v/>
      </c>
      <c r="R1662" s="1" t="str">
        <f t="shared" si="50"/>
        <v/>
      </c>
      <c r="S1662" s="1" t="str">
        <f t="shared" si="51"/>
        <v/>
      </c>
      <c r="T1662" s="1">
        <f>IF($E1662="",0,SUMPRODUCT((AY_SONU!$O$7:$O$42="Evet")*(AY_SONU!$B$7:$B$42=DATE(YEAR($E1662),MONTH($E1662),1))))</f>
        <v>0</v>
      </c>
      <c r="U1662" s="1" t="str">
        <f>IF(OR($G1662="",$H1662="Mahsup"),"",$G1662&amp;"|"&amp;COUNTIFS($G$7:$G1662,$G1662,$H$7:$H1662,"&lt;&gt;Mahsup"))</f>
        <v/>
      </c>
    </row>
    <row r="1663" spans="1:21" ht="18" customHeight="1" x14ac:dyDescent="0.3">
      <c r="A1663" s="2"/>
      <c r="B1663" s="65" t="str">
        <f>IF($D1663="","","T"&amp;TEXT(ROW()-6,"00000"))</f>
        <v/>
      </c>
      <c r="C1663" s="65" t="str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61"/>
      <c r="E1663" s="66"/>
      <c r="F1663" s="67"/>
      <c r="G1663" s="60"/>
      <c r="H1663" s="60"/>
      <c r="I1663" s="61"/>
      <c r="J1663" s="61"/>
      <c r="K1663" s="61"/>
      <c r="L1663" s="73" t="str">
        <f>IF($E1663="","",DATE(YEAR($E1663),MONTH($E1663),1))</f>
        <v/>
      </c>
      <c r="M1663" s="65" t="str">
        <f ca="1">IF($D1663="","",IF($C1663="TANIMSIZ MÜŞTERİ","HATA",IF(OR($E1663="",$F1663&lt;=0,$G1663=""),"EKSİK",IF($E1663&gt;TODAY(),"İLERİ TARİH",IF(COUNTIF($S$7:$S$2503,$S1663)&gt;1,"MÜKERRER?",IF($T1663&gt;0,"KAPALI DÖNEM","UYGUN"))))))</f>
        <v/>
      </c>
      <c r="N1663" s="74" t="str">
        <f>IF($C1663="","",IF($C1663="TANIMSIZ MÜŞTERİ","—",INDEX(MUSTERILER!$C$7:$C$156,MATCH($C1663,MUSTERILER!$B$7:$B$156,0))))</f>
        <v/>
      </c>
      <c r="O1663" s="2"/>
      <c r="P1663" s="2"/>
      <c r="Q1663" s="1" t="str">
        <f>IF($D1663="","",$C1663&amp;"|"&amp;COUNTIFS($C$7:$C1663,$C1663))</f>
        <v/>
      </c>
      <c r="R1663" s="1" t="str">
        <f t="shared" si="50"/>
        <v/>
      </c>
      <c r="S1663" s="1" t="str">
        <f t="shared" si="51"/>
        <v/>
      </c>
      <c r="T1663" s="1">
        <f>IF($E1663="",0,SUMPRODUCT((AY_SONU!$O$7:$O$42="Evet")*(AY_SONU!$B$7:$B$42=DATE(YEAR($E1663),MONTH($E1663),1))))</f>
        <v>0</v>
      </c>
      <c r="U1663" s="1" t="str">
        <f>IF(OR($G1663="",$H1663="Mahsup"),"",$G1663&amp;"|"&amp;COUNTIFS($G$7:$G1663,$G1663,$H$7:$H1663,"&lt;&gt;Mahsup"))</f>
        <v/>
      </c>
    </row>
    <row r="1664" spans="1:21" ht="18" customHeight="1" x14ac:dyDescent="0.3">
      <c r="A1664" s="2"/>
      <c r="B1664" s="65" t="str">
        <f>IF($D1664="","","T"&amp;TEXT(ROW()-6,"00000"))</f>
        <v/>
      </c>
      <c r="C1664" s="65" t="str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61"/>
      <c r="E1664" s="66"/>
      <c r="F1664" s="67"/>
      <c r="G1664" s="60"/>
      <c r="H1664" s="60"/>
      <c r="I1664" s="61"/>
      <c r="J1664" s="61"/>
      <c r="K1664" s="61"/>
      <c r="L1664" s="73" t="str">
        <f>IF($E1664="","",DATE(YEAR($E1664),MONTH($E1664),1))</f>
        <v/>
      </c>
      <c r="M1664" s="65" t="str">
        <f ca="1">IF($D1664="","",IF($C1664="TANIMSIZ MÜŞTERİ","HATA",IF(OR($E1664="",$F1664&lt;=0,$G1664=""),"EKSİK",IF($E1664&gt;TODAY(),"İLERİ TARİH",IF(COUNTIF($S$7:$S$2503,$S1664)&gt;1,"MÜKERRER?",IF($T1664&gt;0,"KAPALI DÖNEM","UYGUN"))))))</f>
        <v/>
      </c>
      <c r="N1664" s="74" t="str">
        <f>IF($C1664="","",IF($C1664="TANIMSIZ MÜŞTERİ","—",INDEX(MUSTERILER!$C$7:$C$156,MATCH($C1664,MUSTERILER!$B$7:$B$156,0))))</f>
        <v/>
      </c>
      <c r="O1664" s="2"/>
      <c r="P1664" s="2"/>
      <c r="Q1664" s="1" t="str">
        <f>IF($D1664="","",$C1664&amp;"|"&amp;COUNTIFS($C$7:$C1664,$C1664))</f>
        <v/>
      </c>
      <c r="R1664" s="1" t="str">
        <f t="shared" si="50"/>
        <v/>
      </c>
      <c r="S1664" s="1" t="str">
        <f t="shared" si="51"/>
        <v/>
      </c>
      <c r="T1664" s="1">
        <f>IF($E1664="",0,SUMPRODUCT((AY_SONU!$O$7:$O$42="Evet")*(AY_SONU!$B$7:$B$42=DATE(YEAR($E1664),MONTH($E1664),1))))</f>
        <v>0</v>
      </c>
      <c r="U1664" s="1" t="str">
        <f>IF(OR($G1664="",$H1664="Mahsup"),"",$G1664&amp;"|"&amp;COUNTIFS($G$7:$G1664,$G1664,$H$7:$H1664,"&lt;&gt;Mahsup"))</f>
        <v/>
      </c>
    </row>
    <row r="1665" spans="1:21" ht="18" customHeight="1" x14ac:dyDescent="0.3">
      <c r="A1665" s="2"/>
      <c r="B1665" s="65" t="str">
        <f>IF($D1665="","","T"&amp;TEXT(ROW()-6,"00000"))</f>
        <v/>
      </c>
      <c r="C1665" s="65" t="str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61"/>
      <c r="E1665" s="66"/>
      <c r="F1665" s="67"/>
      <c r="G1665" s="60"/>
      <c r="H1665" s="60"/>
      <c r="I1665" s="61"/>
      <c r="J1665" s="61"/>
      <c r="K1665" s="61"/>
      <c r="L1665" s="73" t="str">
        <f>IF($E1665="","",DATE(YEAR($E1665),MONTH($E1665),1))</f>
        <v/>
      </c>
      <c r="M1665" s="65" t="str">
        <f ca="1">IF($D1665="","",IF($C1665="TANIMSIZ MÜŞTERİ","HATA",IF(OR($E1665="",$F1665&lt;=0,$G1665=""),"EKSİK",IF($E1665&gt;TODAY(),"İLERİ TARİH",IF(COUNTIF($S$7:$S$2503,$S1665)&gt;1,"MÜKERRER?",IF($T1665&gt;0,"KAPALI DÖNEM","UYGUN"))))))</f>
        <v/>
      </c>
      <c r="N1665" s="74" t="str">
        <f>IF($C1665="","",IF($C1665="TANIMSIZ MÜŞTERİ","—",INDEX(MUSTERILER!$C$7:$C$156,MATCH($C1665,MUSTERILER!$B$7:$B$156,0))))</f>
        <v/>
      </c>
      <c r="O1665" s="2"/>
      <c r="P1665" s="2"/>
      <c r="Q1665" s="1" t="str">
        <f>IF($D1665="","",$C1665&amp;"|"&amp;COUNTIFS($C$7:$C1665,$C1665))</f>
        <v/>
      </c>
      <c r="R1665" s="1" t="str">
        <f t="shared" si="50"/>
        <v/>
      </c>
      <c r="S1665" s="1" t="str">
        <f t="shared" si="51"/>
        <v/>
      </c>
      <c r="T1665" s="1">
        <f>IF($E1665="",0,SUMPRODUCT((AY_SONU!$O$7:$O$42="Evet")*(AY_SONU!$B$7:$B$42=DATE(YEAR($E1665),MONTH($E1665),1))))</f>
        <v>0</v>
      </c>
      <c r="U1665" s="1" t="str">
        <f>IF(OR($G1665="",$H1665="Mahsup"),"",$G1665&amp;"|"&amp;COUNTIFS($G$7:$G1665,$G1665,$H$7:$H1665,"&lt;&gt;Mahsup"))</f>
        <v/>
      </c>
    </row>
    <row r="1666" spans="1:21" ht="18" customHeight="1" x14ac:dyDescent="0.3">
      <c r="A1666" s="2"/>
      <c r="B1666" s="65" t="str">
        <f>IF($D1666="","","T"&amp;TEXT(ROW()-6,"00000"))</f>
        <v/>
      </c>
      <c r="C1666" s="65" t="str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61"/>
      <c r="E1666" s="66"/>
      <c r="F1666" s="67"/>
      <c r="G1666" s="60"/>
      <c r="H1666" s="60"/>
      <c r="I1666" s="61"/>
      <c r="J1666" s="61"/>
      <c r="K1666" s="61"/>
      <c r="L1666" s="73" t="str">
        <f>IF($E1666="","",DATE(YEAR($E1666),MONTH($E1666),1))</f>
        <v/>
      </c>
      <c r="M1666" s="65" t="str">
        <f ca="1">IF($D1666="","",IF($C1666="TANIMSIZ MÜŞTERİ","HATA",IF(OR($E1666="",$F1666&lt;=0,$G1666=""),"EKSİK",IF($E1666&gt;TODAY(),"İLERİ TARİH",IF(COUNTIF($S$7:$S$2503,$S1666)&gt;1,"MÜKERRER?",IF($T1666&gt;0,"KAPALI DÖNEM","UYGUN"))))))</f>
        <v/>
      </c>
      <c r="N1666" s="74" t="str">
        <f>IF($C1666="","",IF($C1666="TANIMSIZ MÜŞTERİ","—",INDEX(MUSTERILER!$C$7:$C$156,MATCH($C1666,MUSTERILER!$B$7:$B$156,0))))</f>
        <v/>
      </c>
      <c r="O1666" s="2"/>
      <c r="P1666" s="2"/>
      <c r="Q1666" s="1" t="str">
        <f>IF($D1666="","",$C1666&amp;"|"&amp;COUNTIFS($C$7:$C1666,$C1666))</f>
        <v/>
      </c>
      <c r="R1666" s="1" t="str">
        <f t="shared" si="50"/>
        <v/>
      </c>
      <c r="S1666" s="1" t="str">
        <f t="shared" si="51"/>
        <v/>
      </c>
      <c r="T1666" s="1">
        <f>IF($E1666="",0,SUMPRODUCT((AY_SONU!$O$7:$O$42="Evet")*(AY_SONU!$B$7:$B$42=DATE(YEAR($E1666),MONTH($E1666),1))))</f>
        <v>0</v>
      </c>
      <c r="U1666" s="1" t="str">
        <f>IF(OR($G1666="",$H1666="Mahsup"),"",$G1666&amp;"|"&amp;COUNTIFS($G$7:$G1666,$G1666,$H$7:$H1666,"&lt;&gt;Mahsup"))</f>
        <v/>
      </c>
    </row>
    <row r="1667" spans="1:21" ht="18" customHeight="1" x14ac:dyDescent="0.3">
      <c r="A1667" s="2"/>
      <c r="B1667" s="65" t="str">
        <f>IF($D1667="","","T"&amp;TEXT(ROW()-6,"00000"))</f>
        <v/>
      </c>
      <c r="C1667" s="65" t="str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61"/>
      <c r="E1667" s="66"/>
      <c r="F1667" s="67"/>
      <c r="G1667" s="60"/>
      <c r="H1667" s="60"/>
      <c r="I1667" s="61"/>
      <c r="J1667" s="61"/>
      <c r="K1667" s="61"/>
      <c r="L1667" s="73" t="str">
        <f>IF($E1667="","",DATE(YEAR($E1667),MONTH($E1667),1))</f>
        <v/>
      </c>
      <c r="M1667" s="65" t="str">
        <f ca="1">IF($D1667="","",IF($C1667="TANIMSIZ MÜŞTERİ","HATA",IF(OR($E1667="",$F1667&lt;=0,$G1667=""),"EKSİK",IF($E1667&gt;TODAY(),"İLERİ TARİH",IF(COUNTIF($S$7:$S$2503,$S1667)&gt;1,"MÜKERRER?",IF($T1667&gt;0,"KAPALI DÖNEM","UYGUN"))))))</f>
        <v/>
      </c>
      <c r="N1667" s="74" t="str">
        <f>IF($C1667="","",IF($C1667="TANIMSIZ MÜŞTERİ","—",INDEX(MUSTERILER!$C$7:$C$156,MATCH($C1667,MUSTERILER!$B$7:$B$156,0))))</f>
        <v/>
      </c>
      <c r="O1667" s="2"/>
      <c r="P1667" s="2"/>
      <c r="Q1667" s="1" t="str">
        <f>IF($D1667="","",$C1667&amp;"|"&amp;COUNTIFS($C$7:$C1667,$C1667))</f>
        <v/>
      </c>
      <c r="R1667" s="1" t="str">
        <f t="shared" si="50"/>
        <v/>
      </c>
      <c r="S1667" s="1" t="str">
        <f t="shared" si="51"/>
        <v/>
      </c>
      <c r="T1667" s="1">
        <f>IF($E1667="",0,SUMPRODUCT((AY_SONU!$O$7:$O$42="Evet")*(AY_SONU!$B$7:$B$42=DATE(YEAR($E1667),MONTH($E1667),1))))</f>
        <v>0</v>
      </c>
      <c r="U1667" s="1" t="str">
        <f>IF(OR($G1667="",$H1667="Mahsup"),"",$G1667&amp;"|"&amp;COUNTIFS($G$7:$G1667,$G1667,$H$7:$H1667,"&lt;&gt;Mahsup"))</f>
        <v/>
      </c>
    </row>
    <row r="1668" spans="1:21" ht="18" customHeight="1" x14ac:dyDescent="0.3">
      <c r="A1668" s="2"/>
      <c r="B1668" s="65" t="str">
        <f>IF($D1668="","","T"&amp;TEXT(ROW()-6,"00000"))</f>
        <v/>
      </c>
      <c r="C1668" s="65" t="str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61"/>
      <c r="E1668" s="66"/>
      <c r="F1668" s="67"/>
      <c r="G1668" s="60"/>
      <c r="H1668" s="60"/>
      <c r="I1668" s="61"/>
      <c r="J1668" s="61"/>
      <c r="K1668" s="61"/>
      <c r="L1668" s="73" t="str">
        <f>IF($E1668="","",DATE(YEAR($E1668),MONTH($E1668),1))</f>
        <v/>
      </c>
      <c r="M1668" s="65" t="str">
        <f ca="1">IF($D1668="","",IF($C1668="TANIMSIZ MÜŞTERİ","HATA",IF(OR($E1668="",$F1668&lt;=0,$G1668=""),"EKSİK",IF($E1668&gt;TODAY(),"İLERİ TARİH",IF(COUNTIF($S$7:$S$2503,$S1668)&gt;1,"MÜKERRER?",IF($T1668&gt;0,"KAPALI DÖNEM","UYGUN"))))))</f>
        <v/>
      </c>
      <c r="N1668" s="74" t="str">
        <f>IF($C1668="","",IF($C1668="TANIMSIZ MÜŞTERİ","—",INDEX(MUSTERILER!$C$7:$C$156,MATCH($C1668,MUSTERILER!$B$7:$B$156,0))))</f>
        <v/>
      </c>
      <c r="O1668" s="2"/>
      <c r="P1668" s="2"/>
      <c r="Q1668" s="1" t="str">
        <f>IF($D1668="","",$C1668&amp;"|"&amp;COUNTIFS($C$7:$C1668,$C1668))</f>
        <v/>
      </c>
      <c r="R1668" s="1" t="str">
        <f t="shared" si="50"/>
        <v/>
      </c>
      <c r="S1668" s="1" t="str">
        <f t="shared" si="51"/>
        <v/>
      </c>
      <c r="T1668" s="1">
        <f>IF($E1668="",0,SUMPRODUCT((AY_SONU!$O$7:$O$42="Evet")*(AY_SONU!$B$7:$B$42=DATE(YEAR($E1668),MONTH($E1668),1))))</f>
        <v>0</v>
      </c>
      <c r="U1668" s="1" t="str">
        <f>IF(OR($G1668="",$H1668="Mahsup"),"",$G1668&amp;"|"&amp;COUNTIFS($G$7:$G1668,$G1668,$H$7:$H1668,"&lt;&gt;Mahsup"))</f>
        <v/>
      </c>
    </row>
    <row r="1669" spans="1:21" ht="18" customHeight="1" x14ac:dyDescent="0.3">
      <c r="A1669" s="2"/>
      <c r="B1669" s="65" t="str">
        <f>IF($D1669="","","T"&amp;TEXT(ROW()-6,"00000"))</f>
        <v/>
      </c>
      <c r="C1669" s="65" t="str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61"/>
      <c r="E1669" s="66"/>
      <c r="F1669" s="67"/>
      <c r="G1669" s="60"/>
      <c r="H1669" s="60"/>
      <c r="I1669" s="61"/>
      <c r="J1669" s="61"/>
      <c r="K1669" s="61"/>
      <c r="L1669" s="73" t="str">
        <f>IF($E1669="","",DATE(YEAR($E1669),MONTH($E1669),1))</f>
        <v/>
      </c>
      <c r="M1669" s="65" t="str">
        <f ca="1">IF($D1669="","",IF($C1669="TANIMSIZ MÜŞTERİ","HATA",IF(OR($E1669="",$F1669&lt;=0,$G1669=""),"EKSİK",IF($E1669&gt;TODAY(),"İLERİ TARİH",IF(COUNTIF($S$7:$S$2503,$S1669)&gt;1,"MÜKERRER?",IF($T1669&gt;0,"KAPALI DÖNEM","UYGUN"))))))</f>
        <v/>
      </c>
      <c r="N1669" s="74" t="str">
        <f>IF($C1669="","",IF($C1669="TANIMSIZ MÜŞTERİ","—",INDEX(MUSTERILER!$C$7:$C$156,MATCH($C1669,MUSTERILER!$B$7:$B$156,0))))</f>
        <v/>
      </c>
      <c r="O1669" s="2"/>
      <c r="P1669" s="2"/>
      <c r="Q1669" s="1" t="str">
        <f>IF($D1669="","",$C1669&amp;"|"&amp;COUNTIFS($C$7:$C1669,$C1669))</f>
        <v/>
      </c>
      <c r="R1669" s="1" t="str">
        <f t="shared" si="50"/>
        <v/>
      </c>
      <c r="S1669" s="1" t="str">
        <f t="shared" si="51"/>
        <v/>
      </c>
      <c r="T1669" s="1">
        <f>IF($E1669="",0,SUMPRODUCT((AY_SONU!$O$7:$O$42="Evet")*(AY_SONU!$B$7:$B$42=DATE(YEAR($E1669),MONTH($E1669),1))))</f>
        <v>0</v>
      </c>
      <c r="U1669" s="1" t="str">
        <f>IF(OR($G1669="",$H1669="Mahsup"),"",$G1669&amp;"|"&amp;COUNTIFS($G$7:$G1669,$G1669,$H$7:$H1669,"&lt;&gt;Mahsup"))</f>
        <v/>
      </c>
    </row>
    <row r="1670" spans="1:21" ht="18" customHeight="1" x14ac:dyDescent="0.3">
      <c r="A1670" s="2"/>
      <c r="B1670" s="65" t="str">
        <f>IF($D1670="","","T"&amp;TEXT(ROW()-6,"00000"))</f>
        <v/>
      </c>
      <c r="C1670" s="65" t="str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61"/>
      <c r="E1670" s="66"/>
      <c r="F1670" s="67"/>
      <c r="G1670" s="60"/>
      <c r="H1670" s="60"/>
      <c r="I1670" s="61"/>
      <c r="J1670" s="61"/>
      <c r="K1670" s="61"/>
      <c r="L1670" s="73" t="str">
        <f>IF($E1670="","",DATE(YEAR($E1670),MONTH($E1670),1))</f>
        <v/>
      </c>
      <c r="M1670" s="65" t="str">
        <f ca="1">IF($D1670="","",IF($C1670="TANIMSIZ MÜŞTERİ","HATA",IF(OR($E1670="",$F1670&lt;=0,$G1670=""),"EKSİK",IF($E1670&gt;TODAY(),"İLERİ TARİH",IF(COUNTIF($S$7:$S$2503,$S1670)&gt;1,"MÜKERRER?",IF($T1670&gt;0,"KAPALI DÖNEM","UYGUN"))))))</f>
        <v/>
      </c>
      <c r="N1670" s="74" t="str">
        <f>IF($C1670="","",IF($C1670="TANIMSIZ MÜŞTERİ","—",INDEX(MUSTERILER!$C$7:$C$156,MATCH($C1670,MUSTERILER!$B$7:$B$156,0))))</f>
        <v/>
      </c>
      <c r="O1670" s="2"/>
      <c r="P1670" s="2"/>
      <c r="Q1670" s="1" t="str">
        <f>IF($D1670="","",$C1670&amp;"|"&amp;COUNTIFS($C$7:$C1670,$C1670))</f>
        <v/>
      </c>
      <c r="R1670" s="1" t="str">
        <f t="shared" si="50"/>
        <v/>
      </c>
      <c r="S1670" s="1" t="str">
        <f t="shared" si="51"/>
        <v/>
      </c>
      <c r="T1670" s="1">
        <f>IF($E1670="",0,SUMPRODUCT((AY_SONU!$O$7:$O$42="Evet")*(AY_SONU!$B$7:$B$42=DATE(YEAR($E1670),MONTH($E1670),1))))</f>
        <v>0</v>
      </c>
      <c r="U1670" s="1" t="str">
        <f>IF(OR($G1670="",$H1670="Mahsup"),"",$G1670&amp;"|"&amp;COUNTIFS($G$7:$G1670,$G1670,$H$7:$H1670,"&lt;&gt;Mahsup"))</f>
        <v/>
      </c>
    </row>
    <row r="1671" spans="1:21" ht="18" customHeight="1" x14ac:dyDescent="0.3">
      <c r="A1671" s="2"/>
      <c r="B1671" s="65" t="str">
        <f>IF($D1671="","","T"&amp;TEXT(ROW()-6,"00000"))</f>
        <v/>
      </c>
      <c r="C1671" s="65" t="str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61"/>
      <c r="E1671" s="66"/>
      <c r="F1671" s="67"/>
      <c r="G1671" s="60"/>
      <c r="H1671" s="60"/>
      <c r="I1671" s="61"/>
      <c r="J1671" s="61"/>
      <c r="K1671" s="61"/>
      <c r="L1671" s="73" t="str">
        <f>IF($E1671="","",DATE(YEAR($E1671),MONTH($E1671),1))</f>
        <v/>
      </c>
      <c r="M1671" s="65" t="str">
        <f ca="1">IF($D1671="","",IF($C1671="TANIMSIZ MÜŞTERİ","HATA",IF(OR($E1671="",$F1671&lt;=0,$G1671=""),"EKSİK",IF($E1671&gt;TODAY(),"İLERİ TARİH",IF(COUNTIF($S$7:$S$2503,$S1671)&gt;1,"MÜKERRER?",IF($T1671&gt;0,"KAPALI DÖNEM","UYGUN"))))))</f>
        <v/>
      </c>
      <c r="N1671" s="74" t="str">
        <f>IF($C1671="","",IF($C1671="TANIMSIZ MÜŞTERİ","—",INDEX(MUSTERILER!$C$7:$C$156,MATCH($C1671,MUSTERILER!$B$7:$B$156,0))))</f>
        <v/>
      </c>
      <c r="O1671" s="2"/>
      <c r="P1671" s="2"/>
      <c r="Q1671" s="1" t="str">
        <f>IF($D1671="","",$C1671&amp;"|"&amp;COUNTIFS($C$7:$C1671,$C1671))</f>
        <v/>
      </c>
      <c r="R1671" s="1" t="str">
        <f t="shared" ref="R1671:R1734" si="52"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" t="str">
        <f t="shared" ref="S1671:S1734" si="53">IF($D1671="","",$C1671&amp;"|"&amp;TEXT($E1671,"0")&amp;"|"&amp;TEXT($F1671,"0")&amp;"|"&amp;$I1671)</f>
        <v/>
      </c>
      <c r="T1671" s="1">
        <f>IF($E1671="",0,SUMPRODUCT((AY_SONU!$O$7:$O$42="Evet")*(AY_SONU!$B$7:$B$42=DATE(YEAR($E1671),MONTH($E1671),1))))</f>
        <v>0</v>
      </c>
      <c r="U1671" s="1" t="str">
        <f>IF(OR($G1671="",$H1671="Mahsup"),"",$G1671&amp;"|"&amp;COUNTIFS($G$7:$G1671,$G1671,$H$7:$H1671,"&lt;&gt;Mahsup"))</f>
        <v/>
      </c>
    </row>
    <row r="1672" spans="1:21" ht="18" customHeight="1" x14ac:dyDescent="0.3">
      <c r="A1672" s="2"/>
      <c r="B1672" s="65" t="str">
        <f>IF($D1672="","","T"&amp;TEXT(ROW()-6,"00000"))</f>
        <v/>
      </c>
      <c r="C1672" s="65" t="str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61"/>
      <c r="E1672" s="66"/>
      <c r="F1672" s="67"/>
      <c r="G1672" s="60"/>
      <c r="H1672" s="60"/>
      <c r="I1672" s="61"/>
      <c r="J1672" s="61"/>
      <c r="K1672" s="61"/>
      <c r="L1672" s="73" t="str">
        <f>IF($E1672="","",DATE(YEAR($E1672),MONTH($E1672),1))</f>
        <v/>
      </c>
      <c r="M1672" s="65" t="str">
        <f ca="1">IF($D1672="","",IF($C1672="TANIMSIZ MÜŞTERİ","HATA",IF(OR($E1672="",$F1672&lt;=0,$G1672=""),"EKSİK",IF($E1672&gt;TODAY(),"İLERİ TARİH",IF(COUNTIF($S$7:$S$2503,$S1672)&gt;1,"MÜKERRER?",IF($T1672&gt;0,"KAPALI DÖNEM","UYGUN"))))))</f>
        <v/>
      </c>
      <c r="N1672" s="74" t="str">
        <f>IF($C1672="","",IF($C1672="TANIMSIZ MÜŞTERİ","—",INDEX(MUSTERILER!$C$7:$C$156,MATCH($C1672,MUSTERILER!$B$7:$B$156,0))))</f>
        <v/>
      </c>
      <c r="O1672" s="2"/>
      <c r="P1672" s="2"/>
      <c r="Q1672" s="1" t="str">
        <f>IF($D1672="","",$C1672&amp;"|"&amp;COUNTIFS($C$7:$C1672,$C1672))</f>
        <v/>
      </c>
      <c r="R1672" s="1" t="str">
        <f t="shared" si="52"/>
        <v/>
      </c>
      <c r="S1672" s="1" t="str">
        <f t="shared" si="53"/>
        <v/>
      </c>
      <c r="T1672" s="1">
        <f>IF($E1672="",0,SUMPRODUCT((AY_SONU!$O$7:$O$42="Evet")*(AY_SONU!$B$7:$B$42=DATE(YEAR($E1672),MONTH($E1672),1))))</f>
        <v>0</v>
      </c>
      <c r="U1672" s="1" t="str">
        <f>IF(OR($G1672="",$H1672="Mahsup"),"",$G1672&amp;"|"&amp;COUNTIFS($G$7:$G1672,$G1672,$H$7:$H1672,"&lt;&gt;Mahsup"))</f>
        <v/>
      </c>
    </row>
    <row r="1673" spans="1:21" ht="18" customHeight="1" x14ac:dyDescent="0.3">
      <c r="A1673" s="2"/>
      <c r="B1673" s="65" t="str">
        <f>IF($D1673="","","T"&amp;TEXT(ROW()-6,"00000"))</f>
        <v/>
      </c>
      <c r="C1673" s="65" t="str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61"/>
      <c r="E1673" s="66"/>
      <c r="F1673" s="67"/>
      <c r="G1673" s="60"/>
      <c r="H1673" s="60"/>
      <c r="I1673" s="61"/>
      <c r="J1673" s="61"/>
      <c r="K1673" s="61"/>
      <c r="L1673" s="73" t="str">
        <f>IF($E1673="","",DATE(YEAR($E1673),MONTH($E1673),1))</f>
        <v/>
      </c>
      <c r="M1673" s="65" t="str">
        <f ca="1">IF($D1673="","",IF($C1673="TANIMSIZ MÜŞTERİ","HATA",IF(OR($E1673="",$F1673&lt;=0,$G1673=""),"EKSİK",IF($E1673&gt;TODAY(),"İLERİ TARİH",IF(COUNTIF($S$7:$S$2503,$S1673)&gt;1,"MÜKERRER?",IF($T1673&gt;0,"KAPALI DÖNEM","UYGUN"))))))</f>
        <v/>
      </c>
      <c r="N1673" s="74" t="str">
        <f>IF($C1673="","",IF($C1673="TANIMSIZ MÜŞTERİ","—",INDEX(MUSTERILER!$C$7:$C$156,MATCH($C1673,MUSTERILER!$B$7:$B$156,0))))</f>
        <v/>
      </c>
      <c r="O1673" s="2"/>
      <c r="P1673" s="2"/>
      <c r="Q1673" s="1" t="str">
        <f>IF($D1673="","",$C1673&amp;"|"&amp;COUNTIFS($C$7:$C1673,$C1673))</f>
        <v/>
      </c>
      <c r="R1673" s="1" t="str">
        <f t="shared" si="52"/>
        <v/>
      </c>
      <c r="S1673" s="1" t="str">
        <f t="shared" si="53"/>
        <v/>
      </c>
      <c r="T1673" s="1">
        <f>IF($E1673="",0,SUMPRODUCT((AY_SONU!$O$7:$O$42="Evet")*(AY_SONU!$B$7:$B$42=DATE(YEAR($E1673),MONTH($E1673),1))))</f>
        <v>0</v>
      </c>
      <c r="U1673" s="1" t="str">
        <f>IF(OR($G1673="",$H1673="Mahsup"),"",$G1673&amp;"|"&amp;COUNTIFS($G$7:$G1673,$G1673,$H$7:$H1673,"&lt;&gt;Mahsup"))</f>
        <v/>
      </c>
    </row>
    <row r="1674" spans="1:21" ht="18" customHeight="1" x14ac:dyDescent="0.3">
      <c r="A1674" s="2"/>
      <c r="B1674" s="65" t="str">
        <f>IF($D1674="","","T"&amp;TEXT(ROW()-6,"00000"))</f>
        <v/>
      </c>
      <c r="C1674" s="65" t="str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61"/>
      <c r="E1674" s="66"/>
      <c r="F1674" s="67"/>
      <c r="G1674" s="60"/>
      <c r="H1674" s="60"/>
      <c r="I1674" s="61"/>
      <c r="J1674" s="61"/>
      <c r="K1674" s="61"/>
      <c r="L1674" s="73" t="str">
        <f>IF($E1674="","",DATE(YEAR($E1674),MONTH($E1674),1))</f>
        <v/>
      </c>
      <c r="M1674" s="65" t="str">
        <f ca="1">IF($D1674="","",IF($C1674="TANIMSIZ MÜŞTERİ","HATA",IF(OR($E1674="",$F1674&lt;=0,$G1674=""),"EKSİK",IF($E1674&gt;TODAY(),"İLERİ TARİH",IF(COUNTIF($S$7:$S$2503,$S1674)&gt;1,"MÜKERRER?",IF($T1674&gt;0,"KAPALI DÖNEM","UYGUN"))))))</f>
        <v/>
      </c>
      <c r="N1674" s="74" t="str">
        <f>IF($C1674="","",IF($C1674="TANIMSIZ MÜŞTERİ","—",INDEX(MUSTERILER!$C$7:$C$156,MATCH($C1674,MUSTERILER!$B$7:$B$156,0))))</f>
        <v/>
      </c>
      <c r="O1674" s="2"/>
      <c r="P1674" s="2"/>
      <c r="Q1674" s="1" t="str">
        <f>IF($D1674="","",$C1674&amp;"|"&amp;COUNTIFS($C$7:$C1674,$C1674))</f>
        <v/>
      </c>
      <c r="R1674" s="1" t="str">
        <f t="shared" si="52"/>
        <v/>
      </c>
      <c r="S1674" s="1" t="str">
        <f t="shared" si="53"/>
        <v/>
      </c>
      <c r="T1674" s="1">
        <f>IF($E1674="",0,SUMPRODUCT((AY_SONU!$O$7:$O$42="Evet")*(AY_SONU!$B$7:$B$42=DATE(YEAR($E1674),MONTH($E1674),1))))</f>
        <v>0</v>
      </c>
      <c r="U1674" s="1" t="str">
        <f>IF(OR($G1674="",$H1674="Mahsup"),"",$G1674&amp;"|"&amp;COUNTIFS($G$7:$G1674,$G1674,$H$7:$H1674,"&lt;&gt;Mahsup"))</f>
        <v/>
      </c>
    </row>
    <row r="1675" spans="1:21" ht="18" customHeight="1" x14ac:dyDescent="0.3">
      <c r="A1675" s="2"/>
      <c r="B1675" s="65" t="str">
        <f>IF($D1675="","","T"&amp;TEXT(ROW()-6,"00000"))</f>
        <v/>
      </c>
      <c r="C1675" s="65" t="str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61"/>
      <c r="E1675" s="66"/>
      <c r="F1675" s="67"/>
      <c r="G1675" s="60"/>
      <c r="H1675" s="60"/>
      <c r="I1675" s="61"/>
      <c r="J1675" s="61"/>
      <c r="K1675" s="61"/>
      <c r="L1675" s="73" t="str">
        <f>IF($E1675="","",DATE(YEAR($E1675),MONTH($E1675),1))</f>
        <v/>
      </c>
      <c r="M1675" s="65" t="str">
        <f ca="1">IF($D1675="","",IF($C1675="TANIMSIZ MÜŞTERİ","HATA",IF(OR($E1675="",$F1675&lt;=0,$G1675=""),"EKSİK",IF($E1675&gt;TODAY(),"İLERİ TARİH",IF(COUNTIF($S$7:$S$2503,$S1675)&gt;1,"MÜKERRER?",IF($T1675&gt;0,"KAPALI DÖNEM","UYGUN"))))))</f>
        <v/>
      </c>
      <c r="N1675" s="74" t="str">
        <f>IF($C1675="","",IF($C1675="TANIMSIZ MÜŞTERİ","—",INDEX(MUSTERILER!$C$7:$C$156,MATCH($C1675,MUSTERILER!$B$7:$B$156,0))))</f>
        <v/>
      </c>
      <c r="O1675" s="2"/>
      <c r="P1675" s="2"/>
      <c r="Q1675" s="1" t="str">
        <f>IF($D1675="","",$C1675&amp;"|"&amp;COUNTIFS($C$7:$C1675,$C1675))</f>
        <v/>
      </c>
      <c r="R1675" s="1" t="str">
        <f t="shared" si="52"/>
        <v/>
      </c>
      <c r="S1675" s="1" t="str">
        <f t="shared" si="53"/>
        <v/>
      </c>
      <c r="T1675" s="1">
        <f>IF($E1675="",0,SUMPRODUCT((AY_SONU!$O$7:$O$42="Evet")*(AY_SONU!$B$7:$B$42=DATE(YEAR($E1675),MONTH($E1675),1))))</f>
        <v>0</v>
      </c>
      <c r="U1675" s="1" t="str">
        <f>IF(OR($G1675="",$H1675="Mahsup"),"",$G1675&amp;"|"&amp;COUNTIFS($G$7:$G1675,$G1675,$H$7:$H1675,"&lt;&gt;Mahsup"))</f>
        <v/>
      </c>
    </row>
    <row r="1676" spans="1:21" ht="18" customHeight="1" x14ac:dyDescent="0.3">
      <c r="A1676" s="2"/>
      <c r="B1676" s="65" t="str">
        <f>IF($D1676="","","T"&amp;TEXT(ROW()-6,"00000"))</f>
        <v/>
      </c>
      <c r="C1676" s="65" t="str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61"/>
      <c r="E1676" s="66"/>
      <c r="F1676" s="67"/>
      <c r="G1676" s="60"/>
      <c r="H1676" s="60"/>
      <c r="I1676" s="61"/>
      <c r="J1676" s="61"/>
      <c r="K1676" s="61"/>
      <c r="L1676" s="73" t="str">
        <f>IF($E1676="","",DATE(YEAR($E1676),MONTH($E1676),1))</f>
        <v/>
      </c>
      <c r="M1676" s="65" t="str">
        <f ca="1">IF($D1676="","",IF($C1676="TANIMSIZ MÜŞTERİ","HATA",IF(OR($E1676="",$F1676&lt;=0,$G1676=""),"EKSİK",IF($E1676&gt;TODAY(),"İLERİ TARİH",IF(COUNTIF($S$7:$S$2503,$S1676)&gt;1,"MÜKERRER?",IF($T1676&gt;0,"KAPALI DÖNEM","UYGUN"))))))</f>
        <v/>
      </c>
      <c r="N1676" s="74" t="str">
        <f>IF($C1676="","",IF($C1676="TANIMSIZ MÜŞTERİ","—",INDEX(MUSTERILER!$C$7:$C$156,MATCH($C1676,MUSTERILER!$B$7:$B$156,0))))</f>
        <v/>
      </c>
      <c r="O1676" s="2"/>
      <c r="P1676" s="2"/>
      <c r="Q1676" s="1" t="str">
        <f>IF($D1676="","",$C1676&amp;"|"&amp;COUNTIFS($C$7:$C1676,$C1676))</f>
        <v/>
      </c>
      <c r="R1676" s="1" t="str">
        <f t="shared" si="52"/>
        <v/>
      </c>
      <c r="S1676" s="1" t="str">
        <f t="shared" si="53"/>
        <v/>
      </c>
      <c r="T1676" s="1">
        <f>IF($E1676="",0,SUMPRODUCT((AY_SONU!$O$7:$O$42="Evet")*(AY_SONU!$B$7:$B$42=DATE(YEAR($E1676),MONTH($E1676),1))))</f>
        <v>0</v>
      </c>
      <c r="U1676" s="1" t="str">
        <f>IF(OR($G1676="",$H1676="Mahsup"),"",$G1676&amp;"|"&amp;COUNTIFS($G$7:$G1676,$G1676,$H$7:$H1676,"&lt;&gt;Mahsup"))</f>
        <v/>
      </c>
    </row>
    <row r="1677" spans="1:21" ht="18" customHeight="1" x14ac:dyDescent="0.3">
      <c r="A1677" s="2"/>
      <c r="B1677" s="65" t="str">
        <f>IF($D1677="","","T"&amp;TEXT(ROW()-6,"00000"))</f>
        <v/>
      </c>
      <c r="C1677" s="65" t="str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61"/>
      <c r="E1677" s="66"/>
      <c r="F1677" s="67"/>
      <c r="G1677" s="60"/>
      <c r="H1677" s="60"/>
      <c r="I1677" s="61"/>
      <c r="J1677" s="61"/>
      <c r="K1677" s="61"/>
      <c r="L1677" s="73" t="str">
        <f>IF($E1677="","",DATE(YEAR($E1677),MONTH($E1677),1))</f>
        <v/>
      </c>
      <c r="M1677" s="65" t="str">
        <f ca="1">IF($D1677="","",IF($C1677="TANIMSIZ MÜŞTERİ","HATA",IF(OR($E1677="",$F1677&lt;=0,$G1677=""),"EKSİK",IF($E1677&gt;TODAY(),"İLERİ TARİH",IF(COUNTIF($S$7:$S$2503,$S1677)&gt;1,"MÜKERRER?",IF($T1677&gt;0,"KAPALI DÖNEM","UYGUN"))))))</f>
        <v/>
      </c>
      <c r="N1677" s="74" t="str">
        <f>IF($C1677="","",IF($C1677="TANIMSIZ MÜŞTERİ","—",INDEX(MUSTERILER!$C$7:$C$156,MATCH($C1677,MUSTERILER!$B$7:$B$156,0))))</f>
        <v/>
      </c>
      <c r="O1677" s="2"/>
      <c r="P1677" s="2"/>
      <c r="Q1677" s="1" t="str">
        <f>IF($D1677="","",$C1677&amp;"|"&amp;COUNTIFS($C$7:$C1677,$C1677))</f>
        <v/>
      </c>
      <c r="R1677" s="1" t="str">
        <f t="shared" si="52"/>
        <v/>
      </c>
      <c r="S1677" s="1" t="str">
        <f t="shared" si="53"/>
        <v/>
      </c>
      <c r="T1677" s="1">
        <f>IF($E1677="",0,SUMPRODUCT((AY_SONU!$O$7:$O$42="Evet")*(AY_SONU!$B$7:$B$42=DATE(YEAR($E1677),MONTH($E1677),1))))</f>
        <v>0</v>
      </c>
      <c r="U1677" s="1" t="str">
        <f>IF(OR($G1677="",$H1677="Mahsup"),"",$G1677&amp;"|"&amp;COUNTIFS($G$7:$G1677,$G1677,$H$7:$H1677,"&lt;&gt;Mahsup"))</f>
        <v/>
      </c>
    </row>
    <row r="1678" spans="1:21" ht="18" customHeight="1" x14ac:dyDescent="0.3">
      <c r="A1678" s="2"/>
      <c r="B1678" s="65" t="str">
        <f>IF($D1678="","","T"&amp;TEXT(ROW()-6,"00000"))</f>
        <v/>
      </c>
      <c r="C1678" s="65" t="str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61"/>
      <c r="E1678" s="66"/>
      <c r="F1678" s="67"/>
      <c r="G1678" s="60"/>
      <c r="H1678" s="60"/>
      <c r="I1678" s="61"/>
      <c r="J1678" s="61"/>
      <c r="K1678" s="61"/>
      <c r="L1678" s="73" t="str">
        <f>IF($E1678="","",DATE(YEAR($E1678),MONTH($E1678),1))</f>
        <v/>
      </c>
      <c r="M1678" s="65" t="str">
        <f ca="1">IF($D1678="","",IF($C1678="TANIMSIZ MÜŞTERİ","HATA",IF(OR($E1678="",$F1678&lt;=0,$G1678=""),"EKSİK",IF($E1678&gt;TODAY(),"İLERİ TARİH",IF(COUNTIF($S$7:$S$2503,$S1678)&gt;1,"MÜKERRER?",IF($T1678&gt;0,"KAPALI DÖNEM","UYGUN"))))))</f>
        <v/>
      </c>
      <c r="N1678" s="74" t="str">
        <f>IF($C1678="","",IF($C1678="TANIMSIZ MÜŞTERİ","—",INDEX(MUSTERILER!$C$7:$C$156,MATCH($C1678,MUSTERILER!$B$7:$B$156,0))))</f>
        <v/>
      </c>
      <c r="O1678" s="2"/>
      <c r="P1678" s="2"/>
      <c r="Q1678" s="1" t="str">
        <f>IF($D1678="","",$C1678&amp;"|"&amp;COUNTIFS($C$7:$C1678,$C1678))</f>
        <v/>
      </c>
      <c r="R1678" s="1" t="str">
        <f t="shared" si="52"/>
        <v/>
      </c>
      <c r="S1678" s="1" t="str">
        <f t="shared" si="53"/>
        <v/>
      </c>
      <c r="T1678" s="1">
        <f>IF($E1678="",0,SUMPRODUCT((AY_SONU!$O$7:$O$42="Evet")*(AY_SONU!$B$7:$B$42=DATE(YEAR($E1678),MONTH($E1678),1))))</f>
        <v>0</v>
      </c>
      <c r="U1678" s="1" t="str">
        <f>IF(OR($G1678="",$H1678="Mahsup"),"",$G1678&amp;"|"&amp;COUNTIFS($G$7:$G1678,$G1678,$H$7:$H1678,"&lt;&gt;Mahsup"))</f>
        <v/>
      </c>
    </row>
    <row r="1679" spans="1:21" ht="18" customHeight="1" x14ac:dyDescent="0.3">
      <c r="A1679" s="2"/>
      <c r="B1679" s="65" t="str">
        <f>IF($D1679="","","T"&amp;TEXT(ROW()-6,"00000"))</f>
        <v/>
      </c>
      <c r="C1679" s="65" t="str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61"/>
      <c r="E1679" s="66"/>
      <c r="F1679" s="67"/>
      <c r="G1679" s="60"/>
      <c r="H1679" s="60"/>
      <c r="I1679" s="61"/>
      <c r="J1679" s="61"/>
      <c r="K1679" s="61"/>
      <c r="L1679" s="73" t="str">
        <f>IF($E1679="","",DATE(YEAR($E1679),MONTH($E1679),1))</f>
        <v/>
      </c>
      <c r="M1679" s="65" t="str">
        <f ca="1">IF($D1679="","",IF($C1679="TANIMSIZ MÜŞTERİ","HATA",IF(OR($E1679="",$F1679&lt;=0,$G1679=""),"EKSİK",IF($E1679&gt;TODAY(),"İLERİ TARİH",IF(COUNTIF($S$7:$S$2503,$S1679)&gt;1,"MÜKERRER?",IF($T1679&gt;0,"KAPALI DÖNEM","UYGUN"))))))</f>
        <v/>
      </c>
      <c r="N1679" s="74" t="str">
        <f>IF($C1679="","",IF($C1679="TANIMSIZ MÜŞTERİ","—",INDEX(MUSTERILER!$C$7:$C$156,MATCH($C1679,MUSTERILER!$B$7:$B$156,0))))</f>
        <v/>
      </c>
      <c r="O1679" s="2"/>
      <c r="P1679" s="2"/>
      <c r="Q1679" s="1" t="str">
        <f>IF($D1679="","",$C1679&amp;"|"&amp;COUNTIFS($C$7:$C1679,$C1679))</f>
        <v/>
      </c>
      <c r="R1679" s="1" t="str">
        <f t="shared" si="52"/>
        <v/>
      </c>
      <c r="S1679" s="1" t="str">
        <f t="shared" si="53"/>
        <v/>
      </c>
      <c r="T1679" s="1">
        <f>IF($E1679="",0,SUMPRODUCT((AY_SONU!$O$7:$O$42="Evet")*(AY_SONU!$B$7:$B$42=DATE(YEAR($E1679),MONTH($E1679),1))))</f>
        <v>0</v>
      </c>
      <c r="U1679" s="1" t="str">
        <f>IF(OR($G1679="",$H1679="Mahsup"),"",$G1679&amp;"|"&amp;COUNTIFS($G$7:$G1679,$G1679,$H$7:$H1679,"&lt;&gt;Mahsup"))</f>
        <v/>
      </c>
    </row>
    <row r="1680" spans="1:21" ht="18" customHeight="1" x14ac:dyDescent="0.3">
      <c r="A1680" s="2"/>
      <c r="B1680" s="65" t="str">
        <f>IF($D1680="","","T"&amp;TEXT(ROW()-6,"00000"))</f>
        <v/>
      </c>
      <c r="C1680" s="65" t="str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61"/>
      <c r="E1680" s="66"/>
      <c r="F1680" s="67"/>
      <c r="G1680" s="60"/>
      <c r="H1680" s="60"/>
      <c r="I1680" s="61"/>
      <c r="J1680" s="61"/>
      <c r="K1680" s="61"/>
      <c r="L1680" s="73" t="str">
        <f>IF($E1680="","",DATE(YEAR($E1680),MONTH($E1680),1))</f>
        <v/>
      </c>
      <c r="M1680" s="65" t="str">
        <f ca="1">IF($D1680="","",IF($C1680="TANIMSIZ MÜŞTERİ","HATA",IF(OR($E1680="",$F1680&lt;=0,$G1680=""),"EKSİK",IF($E1680&gt;TODAY(),"İLERİ TARİH",IF(COUNTIF($S$7:$S$2503,$S1680)&gt;1,"MÜKERRER?",IF($T1680&gt;0,"KAPALI DÖNEM","UYGUN"))))))</f>
        <v/>
      </c>
      <c r="N1680" s="74" t="str">
        <f>IF($C1680="","",IF($C1680="TANIMSIZ MÜŞTERİ","—",INDEX(MUSTERILER!$C$7:$C$156,MATCH($C1680,MUSTERILER!$B$7:$B$156,0))))</f>
        <v/>
      </c>
      <c r="O1680" s="2"/>
      <c r="P1680" s="2"/>
      <c r="Q1680" s="1" t="str">
        <f>IF($D1680="","",$C1680&amp;"|"&amp;COUNTIFS($C$7:$C1680,$C1680))</f>
        <v/>
      </c>
      <c r="R1680" s="1" t="str">
        <f t="shared" si="52"/>
        <v/>
      </c>
      <c r="S1680" s="1" t="str">
        <f t="shared" si="53"/>
        <v/>
      </c>
      <c r="T1680" s="1">
        <f>IF($E1680="",0,SUMPRODUCT((AY_SONU!$O$7:$O$42="Evet")*(AY_SONU!$B$7:$B$42=DATE(YEAR($E1680),MONTH($E1680),1))))</f>
        <v>0</v>
      </c>
      <c r="U1680" s="1" t="str">
        <f>IF(OR($G1680="",$H1680="Mahsup"),"",$G1680&amp;"|"&amp;COUNTIFS($G$7:$G1680,$G1680,$H$7:$H1680,"&lt;&gt;Mahsup"))</f>
        <v/>
      </c>
    </row>
    <row r="1681" spans="1:21" ht="18" customHeight="1" x14ac:dyDescent="0.3">
      <c r="A1681" s="2"/>
      <c r="B1681" s="65" t="str">
        <f>IF($D1681="","","T"&amp;TEXT(ROW()-6,"00000"))</f>
        <v/>
      </c>
      <c r="C1681" s="65" t="str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61"/>
      <c r="E1681" s="66"/>
      <c r="F1681" s="67"/>
      <c r="G1681" s="60"/>
      <c r="H1681" s="60"/>
      <c r="I1681" s="61"/>
      <c r="J1681" s="61"/>
      <c r="K1681" s="61"/>
      <c r="L1681" s="73" t="str">
        <f>IF($E1681="","",DATE(YEAR($E1681),MONTH($E1681),1))</f>
        <v/>
      </c>
      <c r="M1681" s="65" t="str">
        <f ca="1">IF($D1681="","",IF($C1681="TANIMSIZ MÜŞTERİ","HATA",IF(OR($E1681="",$F1681&lt;=0,$G1681=""),"EKSİK",IF($E1681&gt;TODAY(),"İLERİ TARİH",IF(COUNTIF($S$7:$S$2503,$S1681)&gt;1,"MÜKERRER?",IF($T1681&gt;0,"KAPALI DÖNEM","UYGUN"))))))</f>
        <v/>
      </c>
      <c r="N1681" s="74" t="str">
        <f>IF($C1681="","",IF($C1681="TANIMSIZ MÜŞTERİ","—",INDEX(MUSTERILER!$C$7:$C$156,MATCH($C1681,MUSTERILER!$B$7:$B$156,0))))</f>
        <v/>
      </c>
      <c r="O1681" s="2"/>
      <c r="P1681" s="2"/>
      <c r="Q1681" s="1" t="str">
        <f>IF($D1681="","",$C1681&amp;"|"&amp;COUNTIFS($C$7:$C1681,$C1681))</f>
        <v/>
      </c>
      <c r="R1681" s="1" t="str">
        <f t="shared" si="52"/>
        <v/>
      </c>
      <c r="S1681" s="1" t="str">
        <f t="shared" si="53"/>
        <v/>
      </c>
      <c r="T1681" s="1">
        <f>IF($E1681="",0,SUMPRODUCT((AY_SONU!$O$7:$O$42="Evet")*(AY_SONU!$B$7:$B$42=DATE(YEAR($E1681),MONTH($E1681),1))))</f>
        <v>0</v>
      </c>
      <c r="U1681" s="1" t="str">
        <f>IF(OR($G1681="",$H1681="Mahsup"),"",$G1681&amp;"|"&amp;COUNTIFS($G$7:$G1681,$G1681,$H$7:$H1681,"&lt;&gt;Mahsup"))</f>
        <v/>
      </c>
    </row>
    <row r="1682" spans="1:21" ht="18" customHeight="1" x14ac:dyDescent="0.3">
      <c r="A1682" s="2"/>
      <c r="B1682" s="65" t="str">
        <f>IF($D1682="","","T"&amp;TEXT(ROW()-6,"00000"))</f>
        <v/>
      </c>
      <c r="C1682" s="65" t="str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61"/>
      <c r="E1682" s="66"/>
      <c r="F1682" s="67"/>
      <c r="G1682" s="60"/>
      <c r="H1682" s="60"/>
      <c r="I1682" s="61"/>
      <c r="J1682" s="61"/>
      <c r="K1682" s="61"/>
      <c r="L1682" s="73" t="str">
        <f>IF($E1682="","",DATE(YEAR($E1682),MONTH($E1682),1))</f>
        <v/>
      </c>
      <c r="M1682" s="65" t="str">
        <f ca="1">IF($D1682="","",IF($C1682="TANIMSIZ MÜŞTERİ","HATA",IF(OR($E1682="",$F1682&lt;=0,$G1682=""),"EKSİK",IF($E1682&gt;TODAY(),"İLERİ TARİH",IF(COUNTIF($S$7:$S$2503,$S1682)&gt;1,"MÜKERRER?",IF($T1682&gt;0,"KAPALI DÖNEM","UYGUN"))))))</f>
        <v/>
      </c>
      <c r="N1682" s="74" t="str">
        <f>IF($C1682="","",IF($C1682="TANIMSIZ MÜŞTERİ","—",INDEX(MUSTERILER!$C$7:$C$156,MATCH($C1682,MUSTERILER!$B$7:$B$156,0))))</f>
        <v/>
      </c>
      <c r="O1682" s="2"/>
      <c r="P1682" s="2"/>
      <c r="Q1682" s="1" t="str">
        <f>IF($D1682="","",$C1682&amp;"|"&amp;COUNTIFS($C$7:$C1682,$C1682))</f>
        <v/>
      </c>
      <c r="R1682" s="1" t="str">
        <f t="shared" si="52"/>
        <v/>
      </c>
      <c r="S1682" s="1" t="str">
        <f t="shared" si="53"/>
        <v/>
      </c>
      <c r="T1682" s="1">
        <f>IF($E1682="",0,SUMPRODUCT((AY_SONU!$O$7:$O$42="Evet")*(AY_SONU!$B$7:$B$42=DATE(YEAR($E1682),MONTH($E1682),1))))</f>
        <v>0</v>
      </c>
      <c r="U1682" s="1" t="str">
        <f>IF(OR($G1682="",$H1682="Mahsup"),"",$G1682&amp;"|"&amp;COUNTIFS($G$7:$G1682,$G1682,$H$7:$H1682,"&lt;&gt;Mahsup"))</f>
        <v/>
      </c>
    </row>
    <row r="1683" spans="1:21" ht="18" customHeight="1" x14ac:dyDescent="0.3">
      <c r="A1683" s="2"/>
      <c r="B1683" s="65" t="str">
        <f>IF($D1683="","","T"&amp;TEXT(ROW()-6,"00000"))</f>
        <v/>
      </c>
      <c r="C1683" s="65" t="str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61"/>
      <c r="E1683" s="66"/>
      <c r="F1683" s="67"/>
      <c r="G1683" s="60"/>
      <c r="H1683" s="60"/>
      <c r="I1683" s="61"/>
      <c r="J1683" s="61"/>
      <c r="K1683" s="61"/>
      <c r="L1683" s="73" t="str">
        <f>IF($E1683="","",DATE(YEAR($E1683),MONTH($E1683),1))</f>
        <v/>
      </c>
      <c r="M1683" s="65" t="str">
        <f ca="1">IF($D1683="","",IF($C1683="TANIMSIZ MÜŞTERİ","HATA",IF(OR($E1683="",$F1683&lt;=0,$G1683=""),"EKSİK",IF($E1683&gt;TODAY(),"İLERİ TARİH",IF(COUNTIF($S$7:$S$2503,$S1683)&gt;1,"MÜKERRER?",IF($T1683&gt;0,"KAPALI DÖNEM","UYGUN"))))))</f>
        <v/>
      </c>
      <c r="N1683" s="74" t="str">
        <f>IF($C1683="","",IF($C1683="TANIMSIZ MÜŞTERİ","—",INDEX(MUSTERILER!$C$7:$C$156,MATCH($C1683,MUSTERILER!$B$7:$B$156,0))))</f>
        <v/>
      </c>
      <c r="O1683" s="2"/>
      <c r="P1683" s="2"/>
      <c r="Q1683" s="1" t="str">
        <f>IF($D1683="","",$C1683&amp;"|"&amp;COUNTIFS($C$7:$C1683,$C1683))</f>
        <v/>
      </c>
      <c r="R1683" s="1" t="str">
        <f t="shared" si="52"/>
        <v/>
      </c>
      <c r="S1683" s="1" t="str">
        <f t="shared" si="53"/>
        <v/>
      </c>
      <c r="T1683" s="1">
        <f>IF($E1683="",0,SUMPRODUCT((AY_SONU!$O$7:$O$42="Evet")*(AY_SONU!$B$7:$B$42=DATE(YEAR($E1683),MONTH($E1683),1))))</f>
        <v>0</v>
      </c>
      <c r="U1683" s="1" t="str">
        <f>IF(OR($G1683="",$H1683="Mahsup"),"",$G1683&amp;"|"&amp;COUNTIFS($G$7:$G1683,$G1683,$H$7:$H1683,"&lt;&gt;Mahsup"))</f>
        <v/>
      </c>
    </row>
    <row r="1684" spans="1:21" ht="18" customHeight="1" x14ac:dyDescent="0.3">
      <c r="A1684" s="2"/>
      <c r="B1684" s="65" t="str">
        <f>IF($D1684="","","T"&amp;TEXT(ROW()-6,"00000"))</f>
        <v/>
      </c>
      <c r="C1684" s="65" t="str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61"/>
      <c r="E1684" s="66"/>
      <c r="F1684" s="67"/>
      <c r="G1684" s="60"/>
      <c r="H1684" s="60"/>
      <c r="I1684" s="61"/>
      <c r="J1684" s="61"/>
      <c r="K1684" s="61"/>
      <c r="L1684" s="73" t="str">
        <f>IF($E1684="","",DATE(YEAR($E1684),MONTH($E1684),1))</f>
        <v/>
      </c>
      <c r="M1684" s="65" t="str">
        <f ca="1">IF($D1684="","",IF($C1684="TANIMSIZ MÜŞTERİ","HATA",IF(OR($E1684="",$F1684&lt;=0,$G1684=""),"EKSİK",IF($E1684&gt;TODAY(),"İLERİ TARİH",IF(COUNTIF($S$7:$S$2503,$S1684)&gt;1,"MÜKERRER?",IF($T1684&gt;0,"KAPALI DÖNEM","UYGUN"))))))</f>
        <v/>
      </c>
      <c r="N1684" s="74" t="str">
        <f>IF($C1684="","",IF($C1684="TANIMSIZ MÜŞTERİ","—",INDEX(MUSTERILER!$C$7:$C$156,MATCH($C1684,MUSTERILER!$B$7:$B$156,0))))</f>
        <v/>
      </c>
      <c r="O1684" s="2"/>
      <c r="P1684" s="2"/>
      <c r="Q1684" s="1" t="str">
        <f>IF($D1684="","",$C1684&amp;"|"&amp;COUNTIFS($C$7:$C1684,$C1684))</f>
        <v/>
      </c>
      <c r="R1684" s="1" t="str">
        <f t="shared" si="52"/>
        <v/>
      </c>
      <c r="S1684" s="1" t="str">
        <f t="shared" si="53"/>
        <v/>
      </c>
      <c r="T1684" s="1">
        <f>IF($E1684="",0,SUMPRODUCT((AY_SONU!$O$7:$O$42="Evet")*(AY_SONU!$B$7:$B$42=DATE(YEAR($E1684),MONTH($E1684),1))))</f>
        <v>0</v>
      </c>
      <c r="U1684" s="1" t="str">
        <f>IF(OR($G1684="",$H1684="Mahsup"),"",$G1684&amp;"|"&amp;COUNTIFS($G$7:$G1684,$G1684,$H$7:$H1684,"&lt;&gt;Mahsup"))</f>
        <v/>
      </c>
    </row>
    <row r="1685" spans="1:21" ht="18" customHeight="1" x14ac:dyDescent="0.3">
      <c r="A1685" s="2"/>
      <c r="B1685" s="65" t="str">
        <f>IF($D1685="","","T"&amp;TEXT(ROW()-6,"00000"))</f>
        <v/>
      </c>
      <c r="C1685" s="65" t="str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61"/>
      <c r="E1685" s="66"/>
      <c r="F1685" s="67"/>
      <c r="G1685" s="60"/>
      <c r="H1685" s="60"/>
      <c r="I1685" s="61"/>
      <c r="J1685" s="61"/>
      <c r="K1685" s="61"/>
      <c r="L1685" s="73" t="str">
        <f>IF($E1685="","",DATE(YEAR($E1685),MONTH($E1685),1))</f>
        <v/>
      </c>
      <c r="M1685" s="65" t="str">
        <f ca="1">IF($D1685="","",IF($C1685="TANIMSIZ MÜŞTERİ","HATA",IF(OR($E1685="",$F1685&lt;=0,$G1685=""),"EKSİK",IF($E1685&gt;TODAY(),"İLERİ TARİH",IF(COUNTIF($S$7:$S$2503,$S1685)&gt;1,"MÜKERRER?",IF($T1685&gt;0,"KAPALI DÖNEM","UYGUN"))))))</f>
        <v/>
      </c>
      <c r="N1685" s="74" t="str">
        <f>IF($C1685="","",IF($C1685="TANIMSIZ MÜŞTERİ","—",INDEX(MUSTERILER!$C$7:$C$156,MATCH($C1685,MUSTERILER!$B$7:$B$156,0))))</f>
        <v/>
      </c>
      <c r="O1685" s="2"/>
      <c r="P1685" s="2"/>
      <c r="Q1685" s="1" t="str">
        <f>IF($D1685="","",$C1685&amp;"|"&amp;COUNTIFS($C$7:$C1685,$C1685))</f>
        <v/>
      </c>
      <c r="R1685" s="1" t="str">
        <f t="shared" si="52"/>
        <v/>
      </c>
      <c r="S1685" s="1" t="str">
        <f t="shared" si="53"/>
        <v/>
      </c>
      <c r="T1685" s="1">
        <f>IF($E1685="",0,SUMPRODUCT((AY_SONU!$O$7:$O$42="Evet")*(AY_SONU!$B$7:$B$42=DATE(YEAR($E1685),MONTH($E1685),1))))</f>
        <v>0</v>
      </c>
      <c r="U1685" s="1" t="str">
        <f>IF(OR($G1685="",$H1685="Mahsup"),"",$G1685&amp;"|"&amp;COUNTIFS($G$7:$G1685,$G1685,$H$7:$H1685,"&lt;&gt;Mahsup"))</f>
        <v/>
      </c>
    </row>
    <row r="1686" spans="1:21" ht="18" customHeight="1" x14ac:dyDescent="0.3">
      <c r="A1686" s="2"/>
      <c r="B1686" s="65" t="str">
        <f>IF($D1686="","","T"&amp;TEXT(ROW()-6,"00000"))</f>
        <v/>
      </c>
      <c r="C1686" s="65" t="str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61"/>
      <c r="E1686" s="66"/>
      <c r="F1686" s="67"/>
      <c r="G1686" s="60"/>
      <c r="H1686" s="60"/>
      <c r="I1686" s="61"/>
      <c r="J1686" s="61"/>
      <c r="K1686" s="61"/>
      <c r="L1686" s="73" t="str">
        <f>IF($E1686="","",DATE(YEAR($E1686),MONTH($E1686),1))</f>
        <v/>
      </c>
      <c r="M1686" s="65" t="str">
        <f ca="1">IF($D1686="","",IF($C1686="TANIMSIZ MÜŞTERİ","HATA",IF(OR($E1686="",$F1686&lt;=0,$G1686=""),"EKSİK",IF($E1686&gt;TODAY(),"İLERİ TARİH",IF(COUNTIF($S$7:$S$2503,$S1686)&gt;1,"MÜKERRER?",IF($T1686&gt;0,"KAPALI DÖNEM","UYGUN"))))))</f>
        <v/>
      </c>
      <c r="N1686" s="74" t="str">
        <f>IF($C1686="","",IF($C1686="TANIMSIZ MÜŞTERİ","—",INDEX(MUSTERILER!$C$7:$C$156,MATCH($C1686,MUSTERILER!$B$7:$B$156,0))))</f>
        <v/>
      </c>
      <c r="O1686" s="2"/>
      <c r="P1686" s="2"/>
      <c r="Q1686" s="1" t="str">
        <f>IF($D1686="","",$C1686&amp;"|"&amp;COUNTIFS($C$7:$C1686,$C1686))</f>
        <v/>
      </c>
      <c r="R1686" s="1" t="str">
        <f t="shared" si="52"/>
        <v/>
      </c>
      <c r="S1686" s="1" t="str">
        <f t="shared" si="53"/>
        <v/>
      </c>
      <c r="T1686" s="1">
        <f>IF($E1686="",0,SUMPRODUCT((AY_SONU!$O$7:$O$42="Evet")*(AY_SONU!$B$7:$B$42=DATE(YEAR($E1686),MONTH($E1686),1))))</f>
        <v>0</v>
      </c>
      <c r="U1686" s="1" t="str">
        <f>IF(OR($G1686="",$H1686="Mahsup"),"",$G1686&amp;"|"&amp;COUNTIFS($G$7:$G1686,$G1686,$H$7:$H1686,"&lt;&gt;Mahsup"))</f>
        <v/>
      </c>
    </row>
    <row r="1687" spans="1:21" ht="18" customHeight="1" x14ac:dyDescent="0.3">
      <c r="A1687" s="2"/>
      <c r="B1687" s="65" t="str">
        <f>IF($D1687="","","T"&amp;TEXT(ROW()-6,"00000"))</f>
        <v/>
      </c>
      <c r="C1687" s="65" t="str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61"/>
      <c r="E1687" s="66"/>
      <c r="F1687" s="67"/>
      <c r="G1687" s="60"/>
      <c r="H1687" s="60"/>
      <c r="I1687" s="61"/>
      <c r="J1687" s="61"/>
      <c r="K1687" s="61"/>
      <c r="L1687" s="73" t="str">
        <f>IF($E1687="","",DATE(YEAR($E1687),MONTH($E1687),1))</f>
        <v/>
      </c>
      <c r="M1687" s="65" t="str">
        <f ca="1">IF($D1687="","",IF($C1687="TANIMSIZ MÜŞTERİ","HATA",IF(OR($E1687="",$F1687&lt;=0,$G1687=""),"EKSİK",IF($E1687&gt;TODAY(),"İLERİ TARİH",IF(COUNTIF($S$7:$S$2503,$S1687)&gt;1,"MÜKERRER?",IF($T1687&gt;0,"KAPALI DÖNEM","UYGUN"))))))</f>
        <v/>
      </c>
      <c r="N1687" s="74" t="str">
        <f>IF($C1687="","",IF($C1687="TANIMSIZ MÜŞTERİ","—",INDEX(MUSTERILER!$C$7:$C$156,MATCH($C1687,MUSTERILER!$B$7:$B$156,0))))</f>
        <v/>
      </c>
      <c r="O1687" s="2"/>
      <c r="P1687" s="2"/>
      <c r="Q1687" s="1" t="str">
        <f>IF($D1687="","",$C1687&amp;"|"&amp;COUNTIFS($C$7:$C1687,$C1687))</f>
        <v/>
      </c>
      <c r="R1687" s="1" t="str">
        <f t="shared" si="52"/>
        <v/>
      </c>
      <c r="S1687" s="1" t="str">
        <f t="shared" si="53"/>
        <v/>
      </c>
      <c r="T1687" s="1">
        <f>IF($E1687="",0,SUMPRODUCT((AY_SONU!$O$7:$O$42="Evet")*(AY_SONU!$B$7:$B$42=DATE(YEAR($E1687),MONTH($E1687),1))))</f>
        <v>0</v>
      </c>
      <c r="U1687" s="1" t="str">
        <f>IF(OR($G1687="",$H1687="Mahsup"),"",$G1687&amp;"|"&amp;COUNTIFS($G$7:$G1687,$G1687,$H$7:$H1687,"&lt;&gt;Mahsup"))</f>
        <v/>
      </c>
    </row>
    <row r="1688" spans="1:21" ht="18" customHeight="1" x14ac:dyDescent="0.3">
      <c r="A1688" s="2"/>
      <c r="B1688" s="65" t="str">
        <f>IF($D1688="","","T"&amp;TEXT(ROW()-6,"00000"))</f>
        <v/>
      </c>
      <c r="C1688" s="65" t="str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61"/>
      <c r="E1688" s="66"/>
      <c r="F1688" s="67"/>
      <c r="G1688" s="60"/>
      <c r="H1688" s="60"/>
      <c r="I1688" s="61"/>
      <c r="J1688" s="61"/>
      <c r="K1688" s="61"/>
      <c r="L1688" s="73" t="str">
        <f>IF($E1688="","",DATE(YEAR($E1688),MONTH($E1688),1))</f>
        <v/>
      </c>
      <c r="M1688" s="65" t="str">
        <f ca="1">IF($D1688="","",IF($C1688="TANIMSIZ MÜŞTERİ","HATA",IF(OR($E1688="",$F1688&lt;=0,$G1688=""),"EKSİK",IF($E1688&gt;TODAY(),"İLERİ TARİH",IF(COUNTIF($S$7:$S$2503,$S1688)&gt;1,"MÜKERRER?",IF($T1688&gt;0,"KAPALI DÖNEM","UYGUN"))))))</f>
        <v/>
      </c>
      <c r="N1688" s="74" t="str">
        <f>IF($C1688="","",IF($C1688="TANIMSIZ MÜŞTERİ","—",INDEX(MUSTERILER!$C$7:$C$156,MATCH($C1688,MUSTERILER!$B$7:$B$156,0))))</f>
        <v/>
      </c>
      <c r="O1688" s="2"/>
      <c r="P1688" s="2"/>
      <c r="Q1688" s="1" t="str">
        <f>IF($D1688="","",$C1688&amp;"|"&amp;COUNTIFS($C$7:$C1688,$C1688))</f>
        <v/>
      </c>
      <c r="R1688" s="1" t="str">
        <f t="shared" si="52"/>
        <v/>
      </c>
      <c r="S1688" s="1" t="str">
        <f t="shared" si="53"/>
        <v/>
      </c>
      <c r="T1688" s="1">
        <f>IF($E1688="",0,SUMPRODUCT((AY_SONU!$O$7:$O$42="Evet")*(AY_SONU!$B$7:$B$42=DATE(YEAR($E1688),MONTH($E1688),1))))</f>
        <v>0</v>
      </c>
      <c r="U1688" s="1" t="str">
        <f>IF(OR($G1688="",$H1688="Mahsup"),"",$G1688&amp;"|"&amp;COUNTIFS($G$7:$G1688,$G1688,$H$7:$H1688,"&lt;&gt;Mahsup"))</f>
        <v/>
      </c>
    </row>
    <row r="1689" spans="1:21" ht="18" customHeight="1" x14ac:dyDescent="0.3">
      <c r="A1689" s="2"/>
      <c r="B1689" s="65" t="str">
        <f>IF($D1689="","","T"&amp;TEXT(ROW()-6,"00000"))</f>
        <v/>
      </c>
      <c r="C1689" s="65" t="str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61"/>
      <c r="E1689" s="66"/>
      <c r="F1689" s="67"/>
      <c r="G1689" s="60"/>
      <c r="H1689" s="60"/>
      <c r="I1689" s="61"/>
      <c r="J1689" s="61"/>
      <c r="K1689" s="61"/>
      <c r="L1689" s="73" t="str">
        <f>IF($E1689="","",DATE(YEAR($E1689),MONTH($E1689),1))</f>
        <v/>
      </c>
      <c r="M1689" s="65" t="str">
        <f ca="1">IF($D1689="","",IF($C1689="TANIMSIZ MÜŞTERİ","HATA",IF(OR($E1689="",$F1689&lt;=0,$G1689=""),"EKSİK",IF($E1689&gt;TODAY(),"İLERİ TARİH",IF(COUNTIF($S$7:$S$2503,$S1689)&gt;1,"MÜKERRER?",IF($T1689&gt;0,"KAPALI DÖNEM","UYGUN"))))))</f>
        <v/>
      </c>
      <c r="N1689" s="74" t="str">
        <f>IF($C1689="","",IF($C1689="TANIMSIZ MÜŞTERİ","—",INDEX(MUSTERILER!$C$7:$C$156,MATCH($C1689,MUSTERILER!$B$7:$B$156,0))))</f>
        <v/>
      </c>
      <c r="O1689" s="2"/>
      <c r="P1689" s="2"/>
      <c r="Q1689" s="1" t="str">
        <f>IF($D1689="","",$C1689&amp;"|"&amp;COUNTIFS($C$7:$C1689,$C1689))</f>
        <v/>
      </c>
      <c r="R1689" s="1" t="str">
        <f t="shared" si="52"/>
        <v/>
      </c>
      <c r="S1689" s="1" t="str">
        <f t="shared" si="53"/>
        <v/>
      </c>
      <c r="T1689" s="1">
        <f>IF($E1689="",0,SUMPRODUCT((AY_SONU!$O$7:$O$42="Evet")*(AY_SONU!$B$7:$B$42=DATE(YEAR($E1689),MONTH($E1689),1))))</f>
        <v>0</v>
      </c>
      <c r="U1689" s="1" t="str">
        <f>IF(OR($G1689="",$H1689="Mahsup"),"",$G1689&amp;"|"&amp;COUNTIFS($G$7:$G1689,$G1689,$H$7:$H1689,"&lt;&gt;Mahsup"))</f>
        <v/>
      </c>
    </row>
    <row r="1690" spans="1:21" ht="18" customHeight="1" x14ac:dyDescent="0.3">
      <c r="A1690" s="2"/>
      <c r="B1690" s="65" t="str">
        <f>IF($D1690="","","T"&amp;TEXT(ROW()-6,"00000"))</f>
        <v/>
      </c>
      <c r="C1690" s="65" t="str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61"/>
      <c r="E1690" s="66"/>
      <c r="F1690" s="67"/>
      <c r="G1690" s="60"/>
      <c r="H1690" s="60"/>
      <c r="I1690" s="61"/>
      <c r="J1690" s="61"/>
      <c r="K1690" s="61"/>
      <c r="L1690" s="73" t="str">
        <f>IF($E1690="","",DATE(YEAR($E1690),MONTH($E1690),1))</f>
        <v/>
      </c>
      <c r="M1690" s="65" t="str">
        <f ca="1">IF($D1690="","",IF($C1690="TANIMSIZ MÜŞTERİ","HATA",IF(OR($E1690="",$F1690&lt;=0,$G1690=""),"EKSİK",IF($E1690&gt;TODAY(),"İLERİ TARİH",IF(COUNTIF($S$7:$S$2503,$S1690)&gt;1,"MÜKERRER?",IF($T1690&gt;0,"KAPALI DÖNEM","UYGUN"))))))</f>
        <v/>
      </c>
      <c r="N1690" s="74" t="str">
        <f>IF($C1690="","",IF($C1690="TANIMSIZ MÜŞTERİ","—",INDEX(MUSTERILER!$C$7:$C$156,MATCH($C1690,MUSTERILER!$B$7:$B$156,0))))</f>
        <v/>
      </c>
      <c r="O1690" s="2"/>
      <c r="P1690" s="2"/>
      <c r="Q1690" s="1" t="str">
        <f>IF($D1690="","",$C1690&amp;"|"&amp;COUNTIFS($C$7:$C1690,$C1690))</f>
        <v/>
      </c>
      <c r="R1690" s="1" t="str">
        <f t="shared" si="52"/>
        <v/>
      </c>
      <c r="S1690" s="1" t="str">
        <f t="shared" si="53"/>
        <v/>
      </c>
      <c r="T1690" s="1">
        <f>IF($E1690="",0,SUMPRODUCT((AY_SONU!$O$7:$O$42="Evet")*(AY_SONU!$B$7:$B$42=DATE(YEAR($E1690),MONTH($E1690),1))))</f>
        <v>0</v>
      </c>
      <c r="U1690" s="1" t="str">
        <f>IF(OR($G1690="",$H1690="Mahsup"),"",$G1690&amp;"|"&amp;COUNTIFS($G$7:$G1690,$G1690,$H$7:$H1690,"&lt;&gt;Mahsup"))</f>
        <v/>
      </c>
    </row>
    <row r="1691" spans="1:21" ht="18" customHeight="1" x14ac:dyDescent="0.3">
      <c r="A1691" s="2"/>
      <c r="B1691" s="65" t="str">
        <f>IF($D1691="","","T"&amp;TEXT(ROW()-6,"00000"))</f>
        <v/>
      </c>
      <c r="C1691" s="65" t="str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61"/>
      <c r="E1691" s="66"/>
      <c r="F1691" s="67"/>
      <c r="G1691" s="60"/>
      <c r="H1691" s="60"/>
      <c r="I1691" s="61"/>
      <c r="J1691" s="61"/>
      <c r="K1691" s="61"/>
      <c r="L1691" s="73" t="str">
        <f>IF($E1691="","",DATE(YEAR($E1691),MONTH($E1691),1))</f>
        <v/>
      </c>
      <c r="M1691" s="65" t="str">
        <f ca="1">IF($D1691="","",IF($C1691="TANIMSIZ MÜŞTERİ","HATA",IF(OR($E1691="",$F1691&lt;=0,$G1691=""),"EKSİK",IF($E1691&gt;TODAY(),"İLERİ TARİH",IF(COUNTIF($S$7:$S$2503,$S1691)&gt;1,"MÜKERRER?",IF($T1691&gt;0,"KAPALI DÖNEM","UYGUN"))))))</f>
        <v/>
      </c>
      <c r="N1691" s="74" t="str">
        <f>IF($C1691="","",IF($C1691="TANIMSIZ MÜŞTERİ","—",INDEX(MUSTERILER!$C$7:$C$156,MATCH($C1691,MUSTERILER!$B$7:$B$156,0))))</f>
        <v/>
      </c>
      <c r="O1691" s="2"/>
      <c r="P1691" s="2"/>
      <c r="Q1691" s="1" t="str">
        <f>IF($D1691="","",$C1691&amp;"|"&amp;COUNTIFS($C$7:$C1691,$C1691))</f>
        <v/>
      </c>
      <c r="R1691" s="1" t="str">
        <f t="shared" si="52"/>
        <v/>
      </c>
      <c r="S1691" s="1" t="str">
        <f t="shared" si="53"/>
        <v/>
      </c>
      <c r="T1691" s="1">
        <f>IF($E1691="",0,SUMPRODUCT((AY_SONU!$O$7:$O$42="Evet")*(AY_SONU!$B$7:$B$42=DATE(YEAR($E1691),MONTH($E1691),1))))</f>
        <v>0</v>
      </c>
      <c r="U1691" s="1" t="str">
        <f>IF(OR($G1691="",$H1691="Mahsup"),"",$G1691&amp;"|"&amp;COUNTIFS($G$7:$G1691,$G1691,$H$7:$H1691,"&lt;&gt;Mahsup"))</f>
        <v/>
      </c>
    </row>
    <row r="1692" spans="1:21" ht="18" customHeight="1" x14ac:dyDescent="0.3">
      <c r="A1692" s="2"/>
      <c r="B1692" s="65" t="str">
        <f>IF($D1692="","","T"&amp;TEXT(ROW()-6,"00000"))</f>
        <v/>
      </c>
      <c r="C1692" s="65" t="str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61"/>
      <c r="E1692" s="66"/>
      <c r="F1692" s="67"/>
      <c r="G1692" s="60"/>
      <c r="H1692" s="60"/>
      <c r="I1692" s="61"/>
      <c r="J1692" s="61"/>
      <c r="K1692" s="61"/>
      <c r="L1692" s="73" t="str">
        <f>IF($E1692="","",DATE(YEAR($E1692),MONTH($E1692),1))</f>
        <v/>
      </c>
      <c r="M1692" s="65" t="str">
        <f ca="1">IF($D1692="","",IF($C1692="TANIMSIZ MÜŞTERİ","HATA",IF(OR($E1692="",$F1692&lt;=0,$G1692=""),"EKSİK",IF($E1692&gt;TODAY(),"İLERİ TARİH",IF(COUNTIF($S$7:$S$2503,$S1692)&gt;1,"MÜKERRER?",IF($T1692&gt;0,"KAPALI DÖNEM","UYGUN"))))))</f>
        <v/>
      </c>
      <c r="N1692" s="74" t="str">
        <f>IF($C1692="","",IF($C1692="TANIMSIZ MÜŞTERİ","—",INDEX(MUSTERILER!$C$7:$C$156,MATCH($C1692,MUSTERILER!$B$7:$B$156,0))))</f>
        <v/>
      </c>
      <c r="O1692" s="2"/>
      <c r="P1692" s="2"/>
      <c r="Q1692" s="1" t="str">
        <f>IF($D1692="","",$C1692&amp;"|"&amp;COUNTIFS($C$7:$C1692,$C1692))</f>
        <v/>
      </c>
      <c r="R1692" s="1" t="str">
        <f t="shared" si="52"/>
        <v/>
      </c>
      <c r="S1692" s="1" t="str">
        <f t="shared" si="53"/>
        <v/>
      </c>
      <c r="T1692" s="1">
        <f>IF($E1692="",0,SUMPRODUCT((AY_SONU!$O$7:$O$42="Evet")*(AY_SONU!$B$7:$B$42=DATE(YEAR($E1692),MONTH($E1692),1))))</f>
        <v>0</v>
      </c>
      <c r="U1692" s="1" t="str">
        <f>IF(OR($G1692="",$H1692="Mahsup"),"",$G1692&amp;"|"&amp;COUNTIFS($G$7:$G1692,$G1692,$H$7:$H1692,"&lt;&gt;Mahsup"))</f>
        <v/>
      </c>
    </row>
    <row r="1693" spans="1:21" ht="18" customHeight="1" x14ac:dyDescent="0.3">
      <c r="A1693" s="2"/>
      <c r="B1693" s="65" t="str">
        <f>IF($D1693="","","T"&amp;TEXT(ROW()-6,"00000"))</f>
        <v/>
      </c>
      <c r="C1693" s="65" t="str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61"/>
      <c r="E1693" s="66"/>
      <c r="F1693" s="67"/>
      <c r="G1693" s="60"/>
      <c r="H1693" s="60"/>
      <c r="I1693" s="61"/>
      <c r="J1693" s="61"/>
      <c r="K1693" s="61"/>
      <c r="L1693" s="73" t="str">
        <f>IF($E1693="","",DATE(YEAR($E1693),MONTH($E1693),1))</f>
        <v/>
      </c>
      <c r="M1693" s="65" t="str">
        <f ca="1">IF($D1693="","",IF($C1693="TANIMSIZ MÜŞTERİ","HATA",IF(OR($E1693="",$F1693&lt;=0,$G1693=""),"EKSİK",IF($E1693&gt;TODAY(),"İLERİ TARİH",IF(COUNTIF($S$7:$S$2503,$S1693)&gt;1,"MÜKERRER?",IF($T1693&gt;0,"KAPALI DÖNEM","UYGUN"))))))</f>
        <v/>
      </c>
      <c r="N1693" s="74" t="str">
        <f>IF($C1693="","",IF($C1693="TANIMSIZ MÜŞTERİ","—",INDEX(MUSTERILER!$C$7:$C$156,MATCH($C1693,MUSTERILER!$B$7:$B$156,0))))</f>
        <v/>
      </c>
      <c r="O1693" s="2"/>
      <c r="P1693" s="2"/>
      <c r="Q1693" s="1" t="str">
        <f>IF($D1693="","",$C1693&amp;"|"&amp;COUNTIFS($C$7:$C1693,$C1693))</f>
        <v/>
      </c>
      <c r="R1693" s="1" t="str">
        <f t="shared" si="52"/>
        <v/>
      </c>
      <c r="S1693" s="1" t="str">
        <f t="shared" si="53"/>
        <v/>
      </c>
      <c r="T1693" s="1">
        <f>IF($E1693="",0,SUMPRODUCT((AY_SONU!$O$7:$O$42="Evet")*(AY_SONU!$B$7:$B$42=DATE(YEAR($E1693),MONTH($E1693),1))))</f>
        <v>0</v>
      </c>
      <c r="U1693" s="1" t="str">
        <f>IF(OR($G1693="",$H1693="Mahsup"),"",$G1693&amp;"|"&amp;COUNTIFS($G$7:$G1693,$G1693,$H$7:$H1693,"&lt;&gt;Mahsup"))</f>
        <v/>
      </c>
    </row>
    <row r="1694" spans="1:21" ht="18" customHeight="1" x14ac:dyDescent="0.3">
      <c r="A1694" s="2"/>
      <c r="B1694" s="65" t="str">
        <f>IF($D1694="","","T"&amp;TEXT(ROW()-6,"00000"))</f>
        <v/>
      </c>
      <c r="C1694" s="65" t="str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61"/>
      <c r="E1694" s="66"/>
      <c r="F1694" s="67"/>
      <c r="G1694" s="60"/>
      <c r="H1694" s="60"/>
      <c r="I1694" s="61"/>
      <c r="J1694" s="61"/>
      <c r="K1694" s="61"/>
      <c r="L1694" s="73" t="str">
        <f>IF($E1694="","",DATE(YEAR($E1694),MONTH($E1694),1))</f>
        <v/>
      </c>
      <c r="M1694" s="65" t="str">
        <f ca="1">IF($D1694="","",IF($C1694="TANIMSIZ MÜŞTERİ","HATA",IF(OR($E1694="",$F1694&lt;=0,$G1694=""),"EKSİK",IF($E1694&gt;TODAY(),"İLERİ TARİH",IF(COUNTIF($S$7:$S$2503,$S1694)&gt;1,"MÜKERRER?",IF($T1694&gt;0,"KAPALI DÖNEM","UYGUN"))))))</f>
        <v/>
      </c>
      <c r="N1694" s="74" t="str">
        <f>IF($C1694="","",IF($C1694="TANIMSIZ MÜŞTERİ","—",INDEX(MUSTERILER!$C$7:$C$156,MATCH($C1694,MUSTERILER!$B$7:$B$156,0))))</f>
        <v/>
      </c>
      <c r="O1694" s="2"/>
      <c r="P1694" s="2"/>
      <c r="Q1694" s="1" t="str">
        <f>IF($D1694="","",$C1694&amp;"|"&amp;COUNTIFS($C$7:$C1694,$C1694))</f>
        <v/>
      </c>
      <c r="R1694" s="1" t="str">
        <f t="shared" si="52"/>
        <v/>
      </c>
      <c r="S1694" s="1" t="str">
        <f t="shared" si="53"/>
        <v/>
      </c>
      <c r="T1694" s="1">
        <f>IF($E1694="",0,SUMPRODUCT((AY_SONU!$O$7:$O$42="Evet")*(AY_SONU!$B$7:$B$42=DATE(YEAR($E1694),MONTH($E1694),1))))</f>
        <v>0</v>
      </c>
      <c r="U1694" s="1" t="str">
        <f>IF(OR($G1694="",$H1694="Mahsup"),"",$G1694&amp;"|"&amp;COUNTIFS($G$7:$G1694,$G1694,$H$7:$H1694,"&lt;&gt;Mahsup"))</f>
        <v/>
      </c>
    </row>
    <row r="1695" spans="1:21" ht="18" customHeight="1" x14ac:dyDescent="0.3">
      <c r="A1695" s="2"/>
      <c r="B1695" s="65" t="str">
        <f>IF($D1695="","","T"&amp;TEXT(ROW()-6,"00000"))</f>
        <v/>
      </c>
      <c r="C1695" s="65" t="str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61"/>
      <c r="E1695" s="66"/>
      <c r="F1695" s="67"/>
      <c r="G1695" s="60"/>
      <c r="H1695" s="60"/>
      <c r="I1695" s="61"/>
      <c r="J1695" s="61"/>
      <c r="K1695" s="61"/>
      <c r="L1695" s="73" t="str">
        <f>IF($E1695="","",DATE(YEAR($E1695),MONTH($E1695),1))</f>
        <v/>
      </c>
      <c r="M1695" s="65" t="str">
        <f ca="1">IF($D1695="","",IF($C1695="TANIMSIZ MÜŞTERİ","HATA",IF(OR($E1695="",$F1695&lt;=0,$G1695=""),"EKSİK",IF($E1695&gt;TODAY(),"İLERİ TARİH",IF(COUNTIF($S$7:$S$2503,$S1695)&gt;1,"MÜKERRER?",IF($T1695&gt;0,"KAPALI DÖNEM","UYGUN"))))))</f>
        <v/>
      </c>
      <c r="N1695" s="74" t="str">
        <f>IF($C1695="","",IF($C1695="TANIMSIZ MÜŞTERİ","—",INDEX(MUSTERILER!$C$7:$C$156,MATCH($C1695,MUSTERILER!$B$7:$B$156,0))))</f>
        <v/>
      </c>
      <c r="O1695" s="2"/>
      <c r="P1695" s="2"/>
      <c r="Q1695" s="1" t="str">
        <f>IF($D1695="","",$C1695&amp;"|"&amp;COUNTIFS($C$7:$C1695,$C1695))</f>
        <v/>
      </c>
      <c r="R1695" s="1" t="str">
        <f t="shared" si="52"/>
        <v/>
      </c>
      <c r="S1695" s="1" t="str">
        <f t="shared" si="53"/>
        <v/>
      </c>
      <c r="T1695" s="1">
        <f>IF($E1695="",0,SUMPRODUCT((AY_SONU!$O$7:$O$42="Evet")*(AY_SONU!$B$7:$B$42=DATE(YEAR($E1695),MONTH($E1695),1))))</f>
        <v>0</v>
      </c>
      <c r="U1695" s="1" t="str">
        <f>IF(OR($G1695="",$H1695="Mahsup"),"",$G1695&amp;"|"&amp;COUNTIFS($G$7:$G1695,$G1695,$H$7:$H1695,"&lt;&gt;Mahsup"))</f>
        <v/>
      </c>
    </row>
    <row r="1696" spans="1:21" ht="18" customHeight="1" x14ac:dyDescent="0.3">
      <c r="A1696" s="2"/>
      <c r="B1696" s="65" t="str">
        <f>IF($D1696="","","T"&amp;TEXT(ROW()-6,"00000"))</f>
        <v/>
      </c>
      <c r="C1696" s="65" t="str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61"/>
      <c r="E1696" s="66"/>
      <c r="F1696" s="67"/>
      <c r="G1696" s="60"/>
      <c r="H1696" s="60"/>
      <c r="I1696" s="61"/>
      <c r="J1696" s="61"/>
      <c r="K1696" s="61"/>
      <c r="L1696" s="73" t="str">
        <f>IF($E1696="","",DATE(YEAR($E1696),MONTH($E1696),1))</f>
        <v/>
      </c>
      <c r="M1696" s="65" t="str">
        <f ca="1">IF($D1696="","",IF($C1696="TANIMSIZ MÜŞTERİ","HATA",IF(OR($E1696="",$F1696&lt;=0,$G1696=""),"EKSİK",IF($E1696&gt;TODAY(),"İLERİ TARİH",IF(COUNTIF($S$7:$S$2503,$S1696)&gt;1,"MÜKERRER?",IF($T1696&gt;0,"KAPALI DÖNEM","UYGUN"))))))</f>
        <v/>
      </c>
      <c r="N1696" s="74" t="str">
        <f>IF($C1696="","",IF($C1696="TANIMSIZ MÜŞTERİ","—",INDEX(MUSTERILER!$C$7:$C$156,MATCH($C1696,MUSTERILER!$B$7:$B$156,0))))</f>
        <v/>
      </c>
      <c r="O1696" s="2"/>
      <c r="P1696" s="2"/>
      <c r="Q1696" s="1" t="str">
        <f>IF($D1696="","",$C1696&amp;"|"&amp;COUNTIFS($C$7:$C1696,$C1696))</f>
        <v/>
      </c>
      <c r="R1696" s="1" t="str">
        <f t="shared" si="52"/>
        <v/>
      </c>
      <c r="S1696" s="1" t="str">
        <f t="shared" si="53"/>
        <v/>
      </c>
      <c r="T1696" s="1">
        <f>IF($E1696="",0,SUMPRODUCT((AY_SONU!$O$7:$O$42="Evet")*(AY_SONU!$B$7:$B$42=DATE(YEAR($E1696),MONTH($E1696),1))))</f>
        <v>0</v>
      </c>
      <c r="U1696" s="1" t="str">
        <f>IF(OR($G1696="",$H1696="Mahsup"),"",$G1696&amp;"|"&amp;COUNTIFS($G$7:$G1696,$G1696,$H$7:$H1696,"&lt;&gt;Mahsup"))</f>
        <v/>
      </c>
    </row>
    <row r="1697" spans="1:21" ht="18" customHeight="1" x14ac:dyDescent="0.3">
      <c r="A1697" s="2"/>
      <c r="B1697" s="65" t="str">
        <f>IF($D1697="","","T"&amp;TEXT(ROW()-6,"00000"))</f>
        <v/>
      </c>
      <c r="C1697" s="65" t="str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61"/>
      <c r="E1697" s="66"/>
      <c r="F1697" s="67"/>
      <c r="G1697" s="60"/>
      <c r="H1697" s="60"/>
      <c r="I1697" s="61"/>
      <c r="J1697" s="61"/>
      <c r="K1697" s="61"/>
      <c r="L1697" s="73" t="str">
        <f>IF($E1697="","",DATE(YEAR($E1697),MONTH($E1697),1))</f>
        <v/>
      </c>
      <c r="M1697" s="65" t="str">
        <f ca="1">IF($D1697="","",IF($C1697="TANIMSIZ MÜŞTERİ","HATA",IF(OR($E1697="",$F1697&lt;=0,$G1697=""),"EKSİK",IF($E1697&gt;TODAY(),"İLERİ TARİH",IF(COUNTIF($S$7:$S$2503,$S1697)&gt;1,"MÜKERRER?",IF($T1697&gt;0,"KAPALI DÖNEM","UYGUN"))))))</f>
        <v/>
      </c>
      <c r="N1697" s="74" t="str">
        <f>IF($C1697="","",IF($C1697="TANIMSIZ MÜŞTERİ","—",INDEX(MUSTERILER!$C$7:$C$156,MATCH($C1697,MUSTERILER!$B$7:$B$156,0))))</f>
        <v/>
      </c>
      <c r="O1697" s="2"/>
      <c r="P1697" s="2"/>
      <c r="Q1697" s="1" t="str">
        <f>IF($D1697="","",$C1697&amp;"|"&amp;COUNTIFS($C$7:$C1697,$C1697))</f>
        <v/>
      </c>
      <c r="R1697" s="1" t="str">
        <f t="shared" si="52"/>
        <v/>
      </c>
      <c r="S1697" s="1" t="str">
        <f t="shared" si="53"/>
        <v/>
      </c>
      <c r="T1697" s="1">
        <f>IF($E1697="",0,SUMPRODUCT((AY_SONU!$O$7:$O$42="Evet")*(AY_SONU!$B$7:$B$42=DATE(YEAR($E1697),MONTH($E1697),1))))</f>
        <v>0</v>
      </c>
      <c r="U1697" s="1" t="str">
        <f>IF(OR($G1697="",$H1697="Mahsup"),"",$G1697&amp;"|"&amp;COUNTIFS($G$7:$G1697,$G1697,$H$7:$H1697,"&lt;&gt;Mahsup"))</f>
        <v/>
      </c>
    </row>
    <row r="1698" spans="1:21" ht="18" customHeight="1" x14ac:dyDescent="0.3">
      <c r="A1698" s="2"/>
      <c r="B1698" s="65" t="str">
        <f>IF($D1698="","","T"&amp;TEXT(ROW()-6,"00000"))</f>
        <v/>
      </c>
      <c r="C1698" s="65" t="str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61"/>
      <c r="E1698" s="66"/>
      <c r="F1698" s="67"/>
      <c r="G1698" s="60"/>
      <c r="H1698" s="60"/>
      <c r="I1698" s="61"/>
      <c r="J1698" s="61"/>
      <c r="K1698" s="61"/>
      <c r="L1698" s="73" t="str">
        <f>IF($E1698="","",DATE(YEAR($E1698),MONTH($E1698),1))</f>
        <v/>
      </c>
      <c r="M1698" s="65" t="str">
        <f ca="1">IF($D1698="","",IF($C1698="TANIMSIZ MÜŞTERİ","HATA",IF(OR($E1698="",$F1698&lt;=0,$G1698=""),"EKSİK",IF($E1698&gt;TODAY(),"İLERİ TARİH",IF(COUNTIF($S$7:$S$2503,$S1698)&gt;1,"MÜKERRER?",IF($T1698&gt;0,"KAPALI DÖNEM","UYGUN"))))))</f>
        <v/>
      </c>
      <c r="N1698" s="74" t="str">
        <f>IF($C1698="","",IF($C1698="TANIMSIZ MÜŞTERİ","—",INDEX(MUSTERILER!$C$7:$C$156,MATCH($C1698,MUSTERILER!$B$7:$B$156,0))))</f>
        <v/>
      </c>
      <c r="O1698" s="2"/>
      <c r="P1698" s="2"/>
      <c r="Q1698" s="1" t="str">
        <f>IF($D1698="","",$C1698&amp;"|"&amp;COUNTIFS($C$7:$C1698,$C1698))</f>
        <v/>
      </c>
      <c r="R1698" s="1" t="str">
        <f t="shared" si="52"/>
        <v/>
      </c>
      <c r="S1698" s="1" t="str">
        <f t="shared" si="53"/>
        <v/>
      </c>
      <c r="T1698" s="1">
        <f>IF($E1698="",0,SUMPRODUCT((AY_SONU!$O$7:$O$42="Evet")*(AY_SONU!$B$7:$B$42=DATE(YEAR($E1698),MONTH($E1698),1))))</f>
        <v>0</v>
      </c>
      <c r="U1698" s="1" t="str">
        <f>IF(OR($G1698="",$H1698="Mahsup"),"",$G1698&amp;"|"&amp;COUNTIFS($G$7:$G1698,$G1698,$H$7:$H1698,"&lt;&gt;Mahsup"))</f>
        <v/>
      </c>
    </row>
    <row r="1699" spans="1:21" ht="18" customHeight="1" x14ac:dyDescent="0.3">
      <c r="A1699" s="2"/>
      <c r="B1699" s="65" t="str">
        <f>IF($D1699="","","T"&amp;TEXT(ROW()-6,"00000"))</f>
        <v/>
      </c>
      <c r="C1699" s="65" t="str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61"/>
      <c r="E1699" s="66"/>
      <c r="F1699" s="67"/>
      <c r="G1699" s="60"/>
      <c r="H1699" s="60"/>
      <c r="I1699" s="61"/>
      <c r="J1699" s="61"/>
      <c r="K1699" s="61"/>
      <c r="L1699" s="73" t="str">
        <f>IF($E1699="","",DATE(YEAR($E1699),MONTH($E1699),1))</f>
        <v/>
      </c>
      <c r="M1699" s="65" t="str">
        <f ca="1">IF($D1699="","",IF($C1699="TANIMSIZ MÜŞTERİ","HATA",IF(OR($E1699="",$F1699&lt;=0,$G1699=""),"EKSİK",IF($E1699&gt;TODAY(),"İLERİ TARİH",IF(COUNTIF($S$7:$S$2503,$S1699)&gt;1,"MÜKERRER?",IF($T1699&gt;0,"KAPALI DÖNEM","UYGUN"))))))</f>
        <v/>
      </c>
      <c r="N1699" s="74" t="str">
        <f>IF($C1699="","",IF($C1699="TANIMSIZ MÜŞTERİ","—",INDEX(MUSTERILER!$C$7:$C$156,MATCH($C1699,MUSTERILER!$B$7:$B$156,0))))</f>
        <v/>
      </c>
      <c r="O1699" s="2"/>
      <c r="P1699" s="2"/>
      <c r="Q1699" s="1" t="str">
        <f>IF($D1699="","",$C1699&amp;"|"&amp;COUNTIFS($C$7:$C1699,$C1699))</f>
        <v/>
      </c>
      <c r="R1699" s="1" t="str">
        <f t="shared" si="52"/>
        <v/>
      </c>
      <c r="S1699" s="1" t="str">
        <f t="shared" si="53"/>
        <v/>
      </c>
      <c r="T1699" s="1">
        <f>IF($E1699="",0,SUMPRODUCT((AY_SONU!$O$7:$O$42="Evet")*(AY_SONU!$B$7:$B$42=DATE(YEAR($E1699),MONTH($E1699),1))))</f>
        <v>0</v>
      </c>
      <c r="U1699" s="1" t="str">
        <f>IF(OR($G1699="",$H1699="Mahsup"),"",$G1699&amp;"|"&amp;COUNTIFS($G$7:$G1699,$G1699,$H$7:$H1699,"&lt;&gt;Mahsup"))</f>
        <v/>
      </c>
    </row>
    <row r="1700" spans="1:21" ht="18" customHeight="1" x14ac:dyDescent="0.3">
      <c r="A1700" s="2"/>
      <c r="B1700" s="65" t="str">
        <f>IF($D1700="","","T"&amp;TEXT(ROW()-6,"00000"))</f>
        <v/>
      </c>
      <c r="C1700" s="65" t="str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61"/>
      <c r="E1700" s="66"/>
      <c r="F1700" s="67"/>
      <c r="G1700" s="60"/>
      <c r="H1700" s="60"/>
      <c r="I1700" s="61"/>
      <c r="J1700" s="61"/>
      <c r="K1700" s="61"/>
      <c r="L1700" s="73" t="str">
        <f>IF($E1700="","",DATE(YEAR($E1700),MONTH($E1700),1))</f>
        <v/>
      </c>
      <c r="M1700" s="65" t="str">
        <f ca="1">IF($D1700="","",IF($C1700="TANIMSIZ MÜŞTERİ","HATA",IF(OR($E1700="",$F1700&lt;=0,$G1700=""),"EKSİK",IF($E1700&gt;TODAY(),"İLERİ TARİH",IF(COUNTIF($S$7:$S$2503,$S1700)&gt;1,"MÜKERRER?",IF($T1700&gt;0,"KAPALI DÖNEM","UYGUN"))))))</f>
        <v/>
      </c>
      <c r="N1700" s="74" t="str">
        <f>IF($C1700="","",IF($C1700="TANIMSIZ MÜŞTERİ","—",INDEX(MUSTERILER!$C$7:$C$156,MATCH($C1700,MUSTERILER!$B$7:$B$156,0))))</f>
        <v/>
      </c>
      <c r="O1700" s="2"/>
      <c r="P1700" s="2"/>
      <c r="Q1700" s="1" t="str">
        <f>IF($D1700="","",$C1700&amp;"|"&amp;COUNTIFS($C$7:$C1700,$C1700))</f>
        <v/>
      </c>
      <c r="R1700" s="1" t="str">
        <f t="shared" si="52"/>
        <v/>
      </c>
      <c r="S1700" s="1" t="str">
        <f t="shared" si="53"/>
        <v/>
      </c>
      <c r="T1700" s="1">
        <f>IF($E1700="",0,SUMPRODUCT((AY_SONU!$O$7:$O$42="Evet")*(AY_SONU!$B$7:$B$42=DATE(YEAR($E1700),MONTH($E1700),1))))</f>
        <v>0</v>
      </c>
      <c r="U1700" s="1" t="str">
        <f>IF(OR($G1700="",$H1700="Mahsup"),"",$G1700&amp;"|"&amp;COUNTIFS($G$7:$G1700,$G1700,$H$7:$H1700,"&lt;&gt;Mahsup"))</f>
        <v/>
      </c>
    </row>
    <row r="1701" spans="1:21" ht="18" customHeight="1" x14ac:dyDescent="0.3">
      <c r="A1701" s="2"/>
      <c r="B1701" s="65" t="str">
        <f>IF($D1701="","","T"&amp;TEXT(ROW()-6,"00000"))</f>
        <v/>
      </c>
      <c r="C1701" s="65" t="str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61"/>
      <c r="E1701" s="66"/>
      <c r="F1701" s="67"/>
      <c r="G1701" s="60"/>
      <c r="H1701" s="60"/>
      <c r="I1701" s="61"/>
      <c r="J1701" s="61"/>
      <c r="K1701" s="61"/>
      <c r="L1701" s="73" t="str">
        <f>IF($E1701="","",DATE(YEAR($E1701),MONTH($E1701),1))</f>
        <v/>
      </c>
      <c r="M1701" s="65" t="str">
        <f ca="1">IF($D1701="","",IF($C1701="TANIMSIZ MÜŞTERİ","HATA",IF(OR($E1701="",$F1701&lt;=0,$G1701=""),"EKSİK",IF($E1701&gt;TODAY(),"İLERİ TARİH",IF(COUNTIF($S$7:$S$2503,$S1701)&gt;1,"MÜKERRER?",IF($T1701&gt;0,"KAPALI DÖNEM","UYGUN"))))))</f>
        <v/>
      </c>
      <c r="N1701" s="74" t="str">
        <f>IF($C1701="","",IF($C1701="TANIMSIZ MÜŞTERİ","—",INDEX(MUSTERILER!$C$7:$C$156,MATCH($C1701,MUSTERILER!$B$7:$B$156,0))))</f>
        <v/>
      </c>
      <c r="O1701" s="2"/>
      <c r="P1701" s="2"/>
      <c r="Q1701" s="1" t="str">
        <f>IF($D1701="","",$C1701&amp;"|"&amp;COUNTIFS($C$7:$C1701,$C1701))</f>
        <v/>
      </c>
      <c r="R1701" s="1" t="str">
        <f t="shared" si="52"/>
        <v/>
      </c>
      <c r="S1701" s="1" t="str">
        <f t="shared" si="53"/>
        <v/>
      </c>
      <c r="T1701" s="1">
        <f>IF($E1701="",0,SUMPRODUCT((AY_SONU!$O$7:$O$42="Evet")*(AY_SONU!$B$7:$B$42=DATE(YEAR($E1701),MONTH($E1701),1))))</f>
        <v>0</v>
      </c>
      <c r="U1701" s="1" t="str">
        <f>IF(OR($G1701="",$H1701="Mahsup"),"",$G1701&amp;"|"&amp;COUNTIFS($G$7:$G1701,$G1701,$H$7:$H1701,"&lt;&gt;Mahsup"))</f>
        <v/>
      </c>
    </row>
    <row r="1702" spans="1:21" ht="18" customHeight="1" x14ac:dyDescent="0.3">
      <c r="A1702" s="2"/>
      <c r="B1702" s="65" t="str">
        <f>IF($D1702="","","T"&amp;TEXT(ROW()-6,"00000"))</f>
        <v/>
      </c>
      <c r="C1702" s="65" t="str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61"/>
      <c r="E1702" s="66"/>
      <c r="F1702" s="67"/>
      <c r="G1702" s="60"/>
      <c r="H1702" s="60"/>
      <c r="I1702" s="61"/>
      <c r="J1702" s="61"/>
      <c r="K1702" s="61"/>
      <c r="L1702" s="73" t="str">
        <f>IF($E1702="","",DATE(YEAR($E1702),MONTH($E1702),1))</f>
        <v/>
      </c>
      <c r="M1702" s="65" t="str">
        <f ca="1">IF($D1702="","",IF($C1702="TANIMSIZ MÜŞTERİ","HATA",IF(OR($E1702="",$F1702&lt;=0,$G1702=""),"EKSİK",IF($E1702&gt;TODAY(),"İLERİ TARİH",IF(COUNTIF($S$7:$S$2503,$S1702)&gt;1,"MÜKERRER?",IF($T1702&gt;0,"KAPALI DÖNEM","UYGUN"))))))</f>
        <v/>
      </c>
      <c r="N1702" s="74" t="str">
        <f>IF($C1702="","",IF($C1702="TANIMSIZ MÜŞTERİ","—",INDEX(MUSTERILER!$C$7:$C$156,MATCH($C1702,MUSTERILER!$B$7:$B$156,0))))</f>
        <v/>
      </c>
      <c r="O1702" s="2"/>
      <c r="P1702" s="2"/>
      <c r="Q1702" s="1" t="str">
        <f>IF($D1702="","",$C1702&amp;"|"&amp;COUNTIFS($C$7:$C1702,$C1702))</f>
        <v/>
      </c>
      <c r="R1702" s="1" t="str">
        <f t="shared" si="52"/>
        <v/>
      </c>
      <c r="S1702" s="1" t="str">
        <f t="shared" si="53"/>
        <v/>
      </c>
      <c r="T1702" s="1">
        <f>IF($E1702="",0,SUMPRODUCT((AY_SONU!$O$7:$O$42="Evet")*(AY_SONU!$B$7:$B$42=DATE(YEAR($E1702),MONTH($E1702),1))))</f>
        <v>0</v>
      </c>
      <c r="U1702" s="1" t="str">
        <f>IF(OR($G1702="",$H1702="Mahsup"),"",$G1702&amp;"|"&amp;COUNTIFS($G$7:$G1702,$G1702,$H$7:$H1702,"&lt;&gt;Mahsup"))</f>
        <v/>
      </c>
    </row>
    <row r="1703" spans="1:21" ht="18" customHeight="1" x14ac:dyDescent="0.3">
      <c r="A1703" s="2"/>
      <c r="B1703" s="65" t="str">
        <f>IF($D1703="","","T"&amp;TEXT(ROW()-6,"00000"))</f>
        <v/>
      </c>
      <c r="C1703" s="65" t="str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61"/>
      <c r="E1703" s="66"/>
      <c r="F1703" s="67"/>
      <c r="G1703" s="60"/>
      <c r="H1703" s="60"/>
      <c r="I1703" s="61"/>
      <c r="J1703" s="61"/>
      <c r="K1703" s="61"/>
      <c r="L1703" s="73" t="str">
        <f>IF($E1703="","",DATE(YEAR($E1703),MONTH($E1703),1))</f>
        <v/>
      </c>
      <c r="M1703" s="65" t="str">
        <f ca="1">IF($D1703="","",IF($C1703="TANIMSIZ MÜŞTERİ","HATA",IF(OR($E1703="",$F1703&lt;=0,$G1703=""),"EKSİK",IF($E1703&gt;TODAY(),"İLERİ TARİH",IF(COUNTIF($S$7:$S$2503,$S1703)&gt;1,"MÜKERRER?",IF($T1703&gt;0,"KAPALI DÖNEM","UYGUN"))))))</f>
        <v/>
      </c>
      <c r="N1703" s="74" t="str">
        <f>IF($C1703="","",IF($C1703="TANIMSIZ MÜŞTERİ","—",INDEX(MUSTERILER!$C$7:$C$156,MATCH($C1703,MUSTERILER!$B$7:$B$156,0))))</f>
        <v/>
      </c>
      <c r="O1703" s="2"/>
      <c r="P1703" s="2"/>
      <c r="Q1703" s="1" t="str">
        <f>IF($D1703="","",$C1703&amp;"|"&amp;COUNTIFS($C$7:$C1703,$C1703))</f>
        <v/>
      </c>
      <c r="R1703" s="1" t="str">
        <f t="shared" si="52"/>
        <v/>
      </c>
      <c r="S1703" s="1" t="str">
        <f t="shared" si="53"/>
        <v/>
      </c>
      <c r="T1703" s="1">
        <f>IF($E1703="",0,SUMPRODUCT((AY_SONU!$O$7:$O$42="Evet")*(AY_SONU!$B$7:$B$42=DATE(YEAR($E1703),MONTH($E1703),1))))</f>
        <v>0</v>
      </c>
      <c r="U1703" s="1" t="str">
        <f>IF(OR($G1703="",$H1703="Mahsup"),"",$G1703&amp;"|"&amp;COUNTIFS($G$7:$G1703,$G1703,$H$7:$H1703,"&lt;&gt;Mahsup"))</f>
        <v/>
      </c>
    </row>
    <row r="1704" spans="1:21" ht="18" customHeight="1" x14ac:dyDescent="0.3">
      <c r="A1704" s="2"/>
      <c r="B1704" s="65" t="str">
        <f>IF($D1704="","","T"&amp;TEXT(ROW()-6,"00000"))</f>
        <v/>
      </c>
      <c r="C1704" s="65" t="str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61"/>
      <c r="E1704" s="66"/>
      <c r="F1704" s="67"/>
      <c r="G1704" s="60"/>
      <c r="H1704" s="60"/>
      <c r="I1704" s="61"/>
      <c r="J1704" s="61"/>
      <c r="K1704" s="61"/>
      <c r="L1704" s="73" t="str">
        <f>IF($E1704="","",DATE(YEAR($E1704),MONTH($E1704),1))</f>
        <v/>
      </c>
      <c r="M1704" s="65" t="str">
        <f ca="1">IF($D1704="","",IF($C1704="TANIMSIZ MÜŞTERİ","HATA",IF(OR($E1704="",$F1704&lt;=0,$G1704=""),"EKSİK",IF($E1704&gt;TODAY(),"İLERİ TARİH",IF(COUNTIF($S$7:$S$2503,$S1704)&gt;1,"MÜKERRER?",IF($T1704&gt;0,"KAPALI DÖNEM","UYGUN"))))))</f>
        <v/>
      </c>
      <c r="N1704" s="74" t="str">
        <f>IF($C1704="","",IF($C1704="TANIMSIZ MÜŞTERİ","—",INDEX(MUSTERILER!$C$7:$C$156,MATCH($C1704,MUSTERILER!$B$7:$B$156,0))))</f>
        <v/>
      </c>
      <c r="O1704" s="2"/>
      <c r="P1704" s="2"/>
      <c r="Q1704" s="1" t="str">
        <f>IF($D1704="","",$C1704&amp;"|"&amp;COUNTIFS($C$7:$C1704,$C1704))</f>
        <v/>
      </c>
      <c r="R1704" s="1" t="str">
        <f t="shared" si="52"/>
        <v/>
      </c>
      <c r="S1704" s="1" t="str">
        <f t="shared" si="53"/>
        <v/>
      </c>
      <c r="T1704" s="1">
        <f>IF($E1704="",0,SUMPRODUCT((AY_SONU!$O$7:$O$42="Evet")*(AY_SONU!$B$7:$B$42=DATE(YEAR($E1704),MONTH($E1704),1))))</f>
        <v>0</v>
      </c>
      <c r="U1704" s="1" t="str">
        <f>IF(OR($G1704="",$H1704="Mahsup"),"",$G1704&amp;"|"&amp;COUNTIFS($G$7:$G1704,$G1704,$H$7:$H1704,"&lt;&gt;Mahsup"))</f>
        <v/>
      </c>
    </row>
    <row r="1705" spans="1:21" ht="18" customHeight="1" x14ac:dyDescent="0.3">
      <c r="A1705" s="2"/>
      <c r="B1705" s="65" t="str">
        <f>IF($D1705="","","T"&amp;TEXT(ROW()-6,"00000"))</f>
        <v/>
      </c>
      <c r="C1705" s="65" t="str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61"/>
      <c r="E1705" s="66"/>
      <c r="F1705" s="67"/>
      <c r="G1705" s="60"/>
      <c r="H1705" s="60"/>
      <c r="I1705" s="61"/>
      <c r="J1705" s="61"/>
      <c r="K1705" s="61"/>
      <c r="L1705" s="73" t="str">
        <f>IF($E1705="","",DATE(YEAR($E1705),MONTH($E1705),1))</f>
        <v/>
      </c>
      <c r="M1705" s="65" t="str">
        <f ca="1">IF($D1705="","",IF($C1705="TANIMSIZ MÜŞTERİ","HATA",IF(OR($E1705="",$F1705&lt;=0,$G1705=""),"EKSİK",IF($E1705&gt;TODAY(),"İLERİ TARİH",IF(COUNTIF($S$7:$S$2503,$S1705)&gt;1,"MÜKERRER?",IF($T1705&gt;0,"KAPALI DÖNEM","UYGUN"))))))</f>
        <v/>
      </c>
      <c r="N1705" s="74" t="str">
        <f>IF($C1705="","",IF($C1705="TANIMSIZ MÜŞTERİ","—",INDEX(MUSTERILER!$C$7:$C$156,MATCH($C1705,MUSTERILER!$B$7:$B$156,0))))</f>
        <v/>
      </c>
      <c r="O1705" s="2"/>
      <c r="P1705" s="2"/>
      <c r="Q1705" s="1" t="str">
        <f>IF($D1705="","",$C1705&amp;"|"&amp;COUNTIFS($C$7:$C1705,$C1705))</f>
        <v/>
      </c>
      <c r="R1705" s="1" t="str">
        <f t="shared" si="52"/>
        <v/>
      </c>
      <c r="S1705" s="1" t="str">
        <f t="shared" si="53"/>
        <v/>
      </c>
      <c r="T1705" s="1">
        <f>IF($E1705="",0,SUMPRODUCT((AY_SONU!$O$7:$O$42="Evet")*(AY_SONU!$B$7:$B$42=DATE(YEAR($E1705),MONTH($E1705),1))))</f>
        <v>0</v>
      </c>
      <c r="U1705" s="1" t="str">
        <f>IF(OR($G1705="",$H1705="Mahsup"),"",$G1705&amp;"|"&amp;COUNTIFS($G$7:$G1705,$G1705,$H$7:$H1705,"&lt;&gt;Mahsup"))</f>
        <v/>
      </c>
    </row>
    <row r="1706" spans="1:21" ht="18" customHeight="1" x14ac:dyDescent="0.3">
      <c r="A1706" s="2"/>
      <c r="B1706" s="65" t="str">
        <f>IF($D1706="","","T"&amp;TEXT(ROW()-6,"00000"))</f>
        <v/>
      </c>
      <c r="C1706" s="65" t="str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61"/>
      <c r="E1706" s="66"/>
      <c r="F1706" s="67"/>
      <c r="G1706" s="60"/>
      <c r="H1706" s="60"/>
      <c r="I1706" s="61"/>
      <c r="J1706" s="61"/>
      <c r="K1706" s="61"/>
      <c r="L1706" s="73" t="str">
        <f>IF($E1706="","",DATE(YEAR($E1706),MONTH($E1706),1))</f>
        <v/>
      </c>
      <c r="M1706" s="65" t="str">
        <f ca="1">IF($D1706="","",IF($C1706="TANIMSIZ MÜŞTERİ","HATA",IF(OR($E1706="",$F1706&lt;=0,$G1706=""),"EKSİK",IF($E1706&gt;TODAY(),"İLERİ TARİH",IF(COUNTIF($S$7:$S$2503,$S1706)&gt;1,"MÜKERRER?",IF($T1706&gt;0,"KAPALI DÖNEM","UYGUN"))))))</f>
        <v/>
      </c>
      <c r="N1706" s="74" t="str">
        <f>IF($C1706="","",IF($C1706="TANIMSIZ MÜŞTERİ","—",INDEX(MUSTERILER!$C$7:$C$156,MATCH($C1706,MUSTERILER!$B$7:$B$156,0))))</f>
        <v/>
      </c>
      <c r="O1706" s="2"/>
      <c r="P1706" s="2"/>
      <c r="Q1706" s="1" t="str">
        <f>IF($D1706="","",$C1706&amp;"|"&amp;COUNTIFS($C$7:$C1706,$C1706))</f>
        <v/>
      </c>
      <c r="R1706" s="1" t="str">
        <f t="shared" si="52"/>
        <v/>
      </c>
      <c r="S1706" s="1" t="str">
        <f t="shared" si="53"/>
        <v/>
      </c>
      <c r="T1706" s="1">
        <f>IF($E1706="",0,SUMPRODUCT((AY_SONU!$O$7:$O$42="Evet")*(AY_SONU!$B$7:$B$42=DATE(YEAR($E1706),MONTH($E1706),1))))</f>
        <v>0</v>
      </c>
      <c r="U1706" s="1" t="str">
        <f>IF(OR($G1706="",$H1706="Mahsup"),"",$G1706&amp;"|"&amp;COUNTIFS($G$7:$G1706,$G1706,$H$7:$H1706,"&lt;&gt;Mahsup"))</f>
        <v/>
      </c>
    </row>
    <row r="1707" spans="1:21" ht="18" customHeight="1" x14ac:dyDescent="0.3">
      <c r="A1707" s="2"/>
      <c r="B1707" s="65" t="str">
        <f>IF($D1707="","","T"&amp;TEXT(ROW()-6,"00000"))</f>
        <v/>
      </c>
      <c r="C1707" s="65" t="str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61"/>
      <c r="E1707" s="66"/>
      <c r="F1707" s="67"/>
      <c r="G1707" s="60"/>
      <c r="H1707" s="60"/>
      <c r="I1707" s="61"/>
      <c r="J1707" s="61"/>
      <c r="K1707" s="61"/>
      <c r="L1707" s="73" t="str">
        <f>IF($E1707="","",DATE(YEAR($E1707),MONTH($E1707),1))</f>
        <v/>
      </c>
      <c r="M1707" s="65" t="str">
        <f ca="1">IF($D1707="","",IF($C1707="TANIMSIZ MÜŞTERİ","HATA",IF(OR($E1707="",$F1707&lt;=0,$G1707=""),"EKSİK",IF($E1707&gt;TODAY(),"İLERİ TARİH",IF(COUNTIF($S$7:$S$2503,$S1707)&gt;1,"MÜKERRER?",IF($T1707&gt;0,"KAPALI DÖNEM","UYGUN"))))))</f>
        <v/>
      </c>
      <c r="N1707" s="74" t="str">
        <f>IF($C1707="","",IF($C1707="TANIMSIZ MÜŞTERİ","—",INDEX(MUSTERILER!$C$7:$C$156,MATCH($C1707,MUSTERILER!$B$7:$B$156,0))))</f>
        <v/>
      </c>
      <c r="O1707" s="2"/>
      <c r="P1707" s="2"/>
      <c r="Q1707" s="1" t="str">
        <f>IF($D1707="","",$C1707&amp;"|"&amp;COUNTIFS($C$7:$C1707,$C1707))</f>
        <v/>
      </c>
      <c r="R1707" s="1" t="str">
        <f t="shared" si="52"/>
        <v/>
      </c>
      <c r="S1707" s="1" t="str">
        <f t="shared" si="53"/>
        <v/>
      </c>
      <c r="T1707" s="1">
        <f>IF($E1707="",0,SUMPRODUCT((AY_SONU!$O$7:$O$42="Evet")*(AY_SONU!$B$7:$B$42=DATE(YEAR($E1707),MONTH($E1707),1))))</f>
        <v>0</v>
      </c>
      <c r="U1707" s="1" t="str">
        <f>IF(OR($G1707="",$H1707="Mahsup"),"",$G1707&amp;"|"&amp;COUNTIFS($G$7:$G1707,$G1707,$H$7:$H1707,"&lt;&gt;Mahsup"))</f>
        <v/>
      </c>
    </row>
    <row r="1708" spans="1:21" ht="18" customHeight="1" x14ac:dyDescent="0.3">
      <c r="A1708" s="2"/>
      <c r="B1708" s="65" t="str">
        <f>IF($D1708="","","T"&amp;TEXT(ROW()-6,"00000"))</f>
        <v/>
      </c>
      <c r="C1708" s="65" t="str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61"/>
      <c r="E1708" s="66"/>
      <c r="F1708" s="67"/>
      <c r="G1708" s="60"/>
      <c r="H1708" s="60"/>
      <c r="I1708" s="61"/>
      <c r="J1708" s="61"/>
      <c r="K1708" s="61"/>
      <c r="L1708" s="73" t="str">
        <f>IF($E1708="","",DATE(YEAR($E1708),MONTH($E1708),1))</f>
        <v/>
      </c>
      <c r="M1708" s="65" t="str">
        <f ca="1">IF($D1708="","",IF($C1708="TANIMSIZ MÜŞTERİ","HATA",IF(OR($E1708="",$F1708&lt;=0,$G1708=""),"EKSİK",IF($E1708&gt;TODAY(),"İLERİ TARİH",IF(COUNTIF($S$7:$S$2503,$S1708)&gt;1,"MÜKERRER?",IF($T1708&gt;0,"KAPALI DÖNEM","UYGUN"))))))</f>
        <v/>
      </c>
      <c r="N1708" s="74" t="str">
        <f>IF($C1708="","",IF($C1708="TANIMSIZ MÜŞTERİ","—",INDEX(MUSTERILER!$C$7:$C$156,MATCH($C1708,MUSTERILER!$B$7:$B$156,0))))</f>
        <v/>
      </c>
      <c r="O1708" s="2"/>
      <c r="P1708" s="2"/>
      <c r="Q1708" s="1" t="str">
        <f>IF($D1708="","",$C1708&amp;"|"&amp;COUNTIFS($C$7:$C1708,$C1708))</f>
        <v/>
      </c>
      <c r="R1708" s="1" t="str">
        <f t="shared" si="52"/>
        <v/>
      </c>
      <c r="S1708" s="1" t="str">
        <f t="shared" si="53"/>
        <v/>
      </c>
      <c r="T1708" s="1">
        <f>IF($E1708="",0,SUMPRODUCT((AY_SONU!$O$7:$O$42="Evet")*(AY_SONU!$B$7:$B$42=DATE(YEAR($E1708),MONTH($E1708),1))))</f>
        <v>0</v>
      </c>
      <c r="U1708" s="1" t="str">
        <f>IF(OR($G1708="",$H1708="Mahsup"),"",$G1708&amp;"|"&amp;COUNTIFS($G$7:$G1708,$G1708,$H$7:$H1708,"&lt;&gt;Mahsup"))</f>
        <v/>
      </c>
    </row>
    <row r="1709" spans="1:21" ht="18" customHeight="1" x14ac:dyDescent="0.3">
      <c r="A1709" s="2"/>
      <c r="B1709" s="65" t="str">
        <f>IF($D1709="","","T"&amp;TEXT(ROW()-6,"00000"))</f>
        <v/>
      </c>
      <c r="C1709" s="65" t="str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61"/>
      <c r="E1709" s="66"/>
      <c r="F1709" s="67"/>
      <c r="G1709" s="60"/>
      <c r="H1709" s="60"/>
      <c r="I1709" s="61"/>
      <c r="J1709" s="61"/>
      <c r="K1709" s="61"/>
      <c r="L1709" s="73" t="str">
        <f>IF($E1709="","",DATE(YEAR($E1709),MONTH($E1709),1))</f>
        <v/>
      </c>
      <c r="M1709" s="65" t="str">
        <f ca="1">IF($D1709="","",IF($C1709="TANIMSIZ MÜŞTERİ","HATA",IF(OR($E1709="",$F1709&lt;=0,$G1709=""),"EKSİK",IF($E1709&gt;TODAY(),"İLERİ TARİH",IF(COUNTIF($S$7:$S$2503,$S1709)&gt;1,"MÜKERRER?",IF($T1709&gt;0,"KAPALI DÖNEM","UYGUN"))))))</f>
        <v/>
      </c>
      <c r="N1709" s="74" t="str">
        <f>IF($C1709="","",IF($C1709="TANIMSIZ MÜŞTERİ","—",INDEX(MUSTERILER!$C$7:$C$156,MATCH($C1709,MUSTERILER!$B$7:$B$156,0))))</f>
        <v/>
      </c>
      <c r="O1709" s="2"/>
      <c r="P1709" s="2"/>
      <c r="Q1709" s="1" t="str">
        <f>IF($D1709="","",$C1709&amp;"|"&amp;COUNTIFS($C$7:$C1709,$C1709))</f>
        <v/>
      </c>
      <c r="R1709" s="1" t="str">
        <f t="shared" si="52"/>
        <v/>
      </c>
      <c r="S1709" s="1" t="str">
        <f t="shared" si="53"/>
        <v/>
      </c>
      <c r="T1709" s="1">
        <f>IF($E1709="",0,SUMPRODUCT((AY_SONU!$O$7:$O$42="Evet")*(AY_SONU!$B$7:$B$42=DATE(YEAR($E1709),MONTH($E1709),1))))</f>
        <v>0</v>
      </c>
      <c r="U1709" s="1" t="str">
        <f>IF(OR($G1709="",$H1709="Mahsup"),"",$G1709&amp;"|"&amp;COUNTIFS($G$7:$G1709,$G1709,$H$7:$H1709,"&lt;&gt;Mahsup"))</f>
        <v/>
      </c>
    </row>
    <row r="1710" spans="1:21" ht="18" customHeight="1" x14ac:dyDescent="0.3">
      <c r="A1710" s="2"/>
      <c r="B1710" s="65" t="str">
        <f>IF($D1710="","","T"&amp;TEXT(ROW()-6,"00000"))</f>
        <v/>
      </c>
      <c r="C1710" s="65" t="str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61"/>
      <c r="E1710" s="66"/>
      <c r="F1710" s="67"/>
      <c r="G1710" s="60"/>
      <c r="H1710" s="60"/>
      <c r="I1710" s="61"/>
      <c r="J1710" s="61"/>
      <c r="K1710" s="61"/>
      <c r="L1710" s="73" t="str">
        <f>IF($E1710="","",DATE(YEAR($E1710),MONTH($E1710),1))</f>
        <v/>
      </c>
      <c r="M1710" s="65" t="str">
        <f ca="1">IF($D1710="","",IF($C1710="TANIMSIZ MÜŞTERİ","HATA",IF(OR($E1710="",$F1710&lt;=0,$G1710=""),"EKSİK",IF($E1710&gt;TODAY(),"İLERİ TARİH",IF(COUNTIF($S$7:$S$2503,$S1710)&gt;1,"MÜKERRER?",IF($T1710&gt;0,"KAPALI DÖNEM","UYGUN"))))))</f>
        <v/>
      </c>
      <c r="N1710" s="74" t="str">
        <f>IF($C1710="","",IF($C1710="TANIMSIZ MÜŞTERİ","—",INDEX(MUSTERILER!$C$7:$C$156,MATCH($C1710,MUSTERILER!$B$7:$B$156,0))))</f>
        <v/>
      </c>
      <c r="O1710" s="2"/>
      <c r="P1710" s="2"/>
      <c r="Q1710" s="1" t="str">
        <f>IF($D1710="","",$C1710&amp;"|"&amp;COUNTIFS($C$7:$C1710,$C1710))</f>
        <v/>
      </c>
      <c r="R1710" s="1" t="str">
        <f t="shared" si="52"/>
        <v/>
      </c>
      <c r="S1710" s="1" t="str">
        <f t="shared" si="53"/>
        <v/>
      </c>
      <c r="T1710" s="1">
        <f>IF($E1710="",0,SUMPRODUCT((AY_SONU!$O$7:$O$42="Evet")*(AY_SONU!$B$7:$B$42=DATE(YEAR($E1710),MONTH($E1710),1))))</f>
        <v>0</v>
      </c>
      <c r="U1710" s="1" t="str">
        <f>IF(OR($G1710="",$H1710="Mahsup"),"",$G1710&amp;"|"&amp;COUNTIFS($G$7:$G1710,$G1710,$H$7:$H1710,"&lt;&gt;Mahsup"))</f>
        <v/>
      </c>
    </row>
    <row r="1711" spans="1:21" ht="18" customHeight="1" x14ac:dyDescent="0.3">
      <c r="A1711" s="2"/>
      <c r="B1711" s="65" t="str">
        <f>IF($D1711="","","T"&amp;TEXT(ROW()-6,"00000"))</f>
        <v/>
      </c>
      <c r="C1711" s="65" t="str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61"/>
      <c r="E1711" s="66"/>
      <c r="F1711" s="67"/>
      <c r="G1711" s="60"/>
      <c r="H1711" s="60"/>
      <c r="I1711" s="61"/>
      <c r="J1711" s="61"/>
      <c r="K1711" s="61"/>
      <c r="L1711" s="73" t="str">
        <f>IF($E1711="","",DATE(YEAR($E1711),MONTH($E1711),1))</f>
        <v/>
      </c>
      <c r="M1711" s="65" t="str">
        <f ca="1">IF($D1711="","",IF($C1711="TANIMSIZ MÜŞTERİ","HATA",IF(OR($E1711="",$F1711&lt;=0,$G1711=""),"EKSİK",IF($E1711&gt;TODAY(),"İLERİ TARİH",IF(COUNTIF($S$7:$S$2503,$S1711)&gt;1,"MÜKERRER?",IF($T1711&gt;0,"KAPALI DÖNEM","UYGUN"))))))</f>
        <v/>
      </c>
      <c r="N1711" s="74" t="str">
        <f>IF($C1711="","",IF($C1711="TANIMSIZ MÜŞTERİ","—",INDEX(MUSTERILER!$C$7:$C$156,MATCH($C1711,MUSTERILER!$B$7:$B$156,0))))</f>
        <v/>
      </c>
      <c r="O1711" s="2"/>
      <c r="P1711" s="2"/>
      <c r="Q1711" s="1" t="str">
        <f>IF($D1711="","",$C1711&amp;"|"&amp;COUNTIFS($C$7:$C1711,$C1711))</f>
        <v/>
      </c>
      <c r="R1711" s="1" t="str">
        <f t="shared" si="52"/>
        <v/>
      </c>
      <c r="S1711" s="1" t="str">
        <f t="shared" si="53"/>
        <v/>
      </c>
      <c r="T1711" s="1">
        <f>IF($E1711="",0,SUMPRODUCT((AY_SONU!$O$7:$O$42="Evet")*(AY_SONU!$B$7:$B$42=DATE(YEAR($E1711),MONTH($E1711),1))))</f>
        <v>0</v>
      </c>
      <c r="U1711" s="1" t="str">
        <f>IF(OR($G1711="",$H1711="Mahsup"),"",$G1711&amp;"|"&amp;COUNTIFS($G$7:$G1711,$G1711,$H$7:$H1711,"&lt;&gt;Mahsup"))</f>
        <v/>
      </c>
    </row>
    <row r="1712" spans="1:21" ht="18" customHeight="1" x14ac:dyDescent="0.3">
      <c r="A1712" s="2"/>
      <c r="B1712" s="65" t="str">
        <f>IF($D1712="","","T"&amp;TEXT(ROW()-6,"00000"))</f>
        <v/>
      </c>
      <c r="C1712" s="65" t="str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61"/>
      <c r="E1712" s="66"/>
      <c r="F1712" s="67"/>
      <c r="G1712" s="60"/>
      <c r="H1712" s="60"/>
      <c r="I1712" s="61"/>
      <c r="J1712" s="61"/>
      <c r="K1712" s="61"/>
      <c r="L1712" s="73" t="str">
        <f>IF($E1712="","",DATE(YEAR($E1712),MONTH($E1712),1))</f>
        <v/>
      </c>
      <c r="M1712" s="65" t="str">
        <f ca="1">IF($D1712="","",IF($C1712="TANIMSIZ MÜŞTERİ","HATA",IF(OR($E1712="",$F1712&lt;=0,$G1712=""),"EKSİK",IF($E1712&gt;TODAY(),"İLERİ TARİH",IF(COUNTIF($S$7:$S$2503,$S1712)&gt;1,"MÜKERRER?",IF($T1712&gt;0,"KAPALI DÖNEM","UYGUN"))))))</f>
        <v/>
      </c>
      <c r="N1712" s="74" t="str">
        <f>IF($C1712="","",IF($C1712="TANIMSIZ MÜŞTERİ","—",INDEX(MUSTERILER!$C$7:$C$156,MATCH($C1712,MUSTERILER!$B$7:$B$156,0))))</f>
        <v/>
      </c>
      <c r="O1712" s="2"/>
      <c r="P1712" s="2"/>
      <c r="Q1712" s="1" t="str">
        <f>IF($D1712="","",$C1712&amp;"|"&amp;COUNTIFS($C$7:$C1712,$C1712))</f>
        <v/>
      </c>
      <c r="R1712" s="1" t="str">
        <f t="shared" si="52"/>
        <v/>
      </c>
      <c r="S1712" s="1" t="str">
        <f t="shared" si="53"/>
        <v/>
      </c>
      <c r="T1712" s="1">
        <f>IF($E1712="",0,SUMPRODUCT((AY_SONU!$O$7:$O$42="Evet")*(AY_SONU!$B$7:$B$42=DATE(YEAR($E1712),MONTH($E1712),1))))</f>
        <v>0</v>
      </c>
      <c r="U1712" s="1" t="str">
        <f>IF(OR($G1712="",$H1712="Mahsup"),"",$G1712&amp;"|"&amp;COUNTIFS($G$7:$G1712,$G1712,$H$7:$H1712,"&lt;&gt;Mahsup"))</f>
        <v/>
      </c>
    </row>
    <row r="1713" spans="1:21" ht="18" customHeight="1" x14ac:dyDescent="0.3">
      <c r="A1713" s="2"/>
      <c r="B1713" s="65" t="str">
        <f>IF($D1713="","","T"&amp;TEXT(ROW()-6,"00000"))</f>
        <v/>
      </c>
      <c r="C1713" s="65" t="str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61"/>
      <c r="E1713" s="66"/>
      <c r="F1713" s="67"/>
      <c r="G1713" s="60"/>
      <c r="H1713" s="60"/>
      <c r="I1713" s="61"/>
      <c r="J1713" s="61"/>
      <c r="K1713" s="61"/>
      <c r="L1713" s="73" t="str">
        <f>IF($E1713="","",DATE(YEAR($E1713),MONTH($E1713),1))</f>
        <v/>
      </c>
      <c r="M1713" s="65" t="str">
        <f ca="1">IF($D1713="","",IF($C1713="TANIMSIZ MÜŞTERİ","HATA",IF(OR($E1713="",$F1713&lt;=0,$G1713=""),"EKSİK",IF($E1713&gt;TODAY(),"İLERİ TARİH",IF(COUNTIF($S$7:$S$2503,$S1713)&gt;1,"MÜKERRER?",IF($T1713&gt;0,"KAPALI DÖNEM","UYGUN"))))))</f>
        <v/>
      </c>
      <c r="N1713" s="74" t="str">
        <f>IF($C1713="","",IF($C1713="TANIMSIZ MÜŞTERİ","—",INDEX(MUSTERILER!$C$7:$C$156,MATCH($C1713,MUSTERILER!$B$7:$B$156,0))))</f>
        <v/>
      </c>
      <c r="O1713" s="2"/>
      <c r="P1713" s="2"/>
      <c r="Q1713" s="1" t="str">
        <f>IF($D1713="","",$C1713&amp;"|"&amp;COUNTIFS($C$7:$C1713,$C1713))</f>
        <v/>
      </c>
      <c r="R1713" s="1" t="str">
        <f t="shared" si="52"/>
        <v/>
      </c>
      <c r="S1713" s="1" t="str">
        <f t="shared" si="53"/>
        <v/>
      </c>
      <c r="T1713" s="1">
        <f>IF($E1713="",0,SUMPRODUCT((AY_SONU!$O$7:$O$42="Evet")*(AY_SONU!$B$7:$B$42=DATE(YEAR($E1713),MONTH($E1713),1))))</f>
        <v>0</v>
      </c>
      <c r="U1713" s="1" t="str">
        <f>IF(OR($G1713="",$H1713="Mahsup"),"",$G1713&amp;"|"&amp;COUNTIFS($G$7:$G1713,$G1713,$H$7:$H1713,"&lt;&gt;Mahsup"))</f>
        <v/>
      </c>
    </row>
    <row r="1714" spans="1:21" ht="18" customHeight="1" x14ac:dyDescent="0.3">
      <c r="A1714" s="2"/>
      <c r="B1714" s="65" t="str">
        <f>IF($D1714="","","T"&amp;TEXT(ROW()-6,"00000"))</f>
        <v/>
      </c>
      <c r="C1714" s="65" t="str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61"/>
      <c r="E1714" s="66"/>
      <c r="F1714" s="67"/>
      <c r="G1714" s="60"/>
      <c r="H1714" s="60"/>
      <c r="I1714" s="61"/>
      <c r="J1714" s="61"/>
      <c r="K1714" s="61"/>
      <c r="L1714" s="73" t="str">
        <f>IF($E1714="","",DATE(YEAR($E1714),MONTH($E1714),1))</f>
        <v/>
      </c>
      <c r="M1714" s="65" t="str">
        <f ca="1">IF($D1714="","",IF($C1714="TANIMSIZ MÜŞTERİ","HATA",IF(OR($E1714="",$F1714&lt;=0,$G1714=""),"EKSİK",IF($E1714&gt;TODAY(),"İLERİ TARİH",IF(COUNTIF($S$7:$S$2503,$S1714)&gt;1,"MÜKERRER?",IF($T1714&gt;0,"KAPALI DÖNEM","UYGUN"))))))</f>
        <v/>
      </c>
      <c r="N1714" s="74" t="str">
        <f>IF($C1714="","",IF($C1714="TANIMSIZ MÜŞTERİ","—",INDEX(MUSTERILER!$C$7:$C$156,MATCH($C1714,MUSTERILER!$B$7:$B$156,0))))</f>
        <v/>
      </c>
      <c r="O1714" s="2"/>
      <c r="P1714" s="2"/>
      <c r="Q1714" s="1" t="str">
        <f>IF($D1714="","",$C1714&amp;"|"&amp;COUNTIFS($C$7:$C1714,$C1714))</f>
        <v/>
      </c>
      <c r="R1714" s="1" t="str">
        <f t="shared" si="52"/>
        <v/>
      </c>
      <c r="S1714" s="1" t="str">
        <f t="shared" si="53"/>
        <v/>
      </c>
      <c r="T1714" s="1">
        <f>IF($E1714="",0,SUMPRODUCT((AY_SONU!$O$7:$O$42="Evet")*(AY_SONU!$B$7:$B$42=DATE(YEAR($E1714),MONTH($E1714),1))))</f>
        <v>0</v>
      </c>
      <c r="U1714" s="1" t="str">
        <f>IF(OR($G1714="",$H1714="Mahsup"),"",$G1714&amp;"|"&amp;COUNTIFS($G$7:$G1714,$G1714,$H$7:$H1714,"&lt;&gt;Mahsup"))</f>
        <v/>
      </c>
    </row>
    <row r="1715" spans="1:21" ht="18" customHeight="1" x14ac:dyDescent="0.3">
      <c r="A1715" s="2"/>
      <c r="B1715" s="65" t="str">
        <f>IF($D1715="","","T"&amp;TEXT(ROW()-6,"00000"))</f>
        <v/>
      </c>
      <c r="C1715" s="65" t="str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61"/>
      <c r="E1715" s="66"/>
      <c r="F1715" s="67"/>
      <c r="G1715" s="60"/>
      <c r="H1715" s="60"/>
      <c r="I1715" s="61"/>
      <c r="J1715" s="61"/>
      <c r="K1715" s="61"/>
      <c r="L1715" s="73" t="str">
        <f>IF($E1715="","",DATE(YEAR($E1715),MONTH($E1715),1))</f>
        <v/>
      </c>
      <c r="M1715" s="65" t="str">
        <f ca="1">IF($D1715="","",IF($C1715="TANIMSIZ MÜŞTERİ","HATA",IF(OR($E1715="",$F1715&lt;=0,$G1715=""),"EKSİK",IF($E1715&gt;TODAY(),"İLERİ TARİH",IF(COUNTIF($S$7:$S$2503,$S1715)&gt;1,"MÜKERRER?",IF($T1715&gt;0,"KAPALI DÖNEM","UYGUN"))))))</f>
        <v/>
      </c>
      <c r="N1715" s="74" t="str">
        <f>IF($C1715="","",IF($C1715="TANIMSIZ MÜŞTERİ","—",INDEX(MUSTERILER!$C$7:$C$156,MATCH($C1715,MUSTERILER!$B$7:$B$156,0))))</f>
        <v/>
      </c>
      <c r="O1715" s="2"/>
      <c r="P1715" s="2"/>
      <c r="Q1715" s="1" t="str">
        <f>IF($D1715="","",$C1715&amp;"|"&amp;COUNTIFS($C$7:$C1715,$C1715))</f>
        <v/>
      </c>
      <c r="R1715" s="1" t="str">
        <f t="shared" si="52"/>
        <v/>
      </c>
      <c r="S1715" s="1" t="str">
        <f t="shared" si="53"/>
        <v/>
      </c>
      <c r="T1715" s="1">
        <f>IF($E1715="",0,SUMPRODUCT((AY_SONU!$O$7:$O$42="Evet")*(AY_SONU!$B$7:$B$42=DATE(YEAR($E1715),MONTH($E1715),1))))</f>
        <v>0</v>
      </c>
      <c r="U1715" s="1" t="str">
        <f>IF(OR($G1715="",$H1715="Mahsup"),"",$G1715&amp;"|"&amp;COUNTIFS($G$7:$G1715,$G1715,$H$7:$H1715,"&lt;&gt;Mahsup"))</f>
        <v/>
      </c>
    </row>
    <row r="1716" spans="1:21" ht="18" customHeight="1" x14ac:dyDescent="0.3">
      <c r="A1716" s="2"/>
      <c r="B1716" s="65" t="str">
        <f>IF($D1716="","","T"&amp;TEXT(ROW()-6,"00000"))</f>
        <v/>
      </c>
      <c r="C1716" s="65" t="str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61"/>
      <c r="E1716" s="66"/>
      <c r="F1716" s="67"/>
      <c r="G1716" s="60"/>
      <c r="H1716" s="60"/>
      <c r="I1716" s="61"/>
      <c r="J1716" s="61"/>
      <c r="K1716" s="61"/>
      <c r="L1716" s="73" t="str">
        <f>IF($E1716="","",DATE(YEAR($E1716),MONTH($E1716),1))</f>
        <v/>
      </c>
      <c r="M1716" s="65" t="str">
        <f ca="1">IF($D1716="","",IF($C1716="TANIMSIZ MÜŞTERİ","HATA",IF(OR($E1716="",$F1716&lt;=0,$G1716=""),"EKSİK",IF($E1716&gt;TODAY(),"İLERİ TARİH",IF(COUNTIF($S$7:$S$2503,$S1716)&gt;1,"MÜKERRER?",IF($T1716&gt;0,"KAPALI DÖNEM","UYGUN"))))))</f>
        <v/>
      </c>
      <c r="N1716" s="74" t="str">
        <f>IF($C1716="","",IF($C1716="TANIMSIZ MÜŞTERİ","—",INDEX(MUSTERILER!$C$7:$C$156,MATCH($C1716,MUSTERILER!$B$7:$B$156,0))))</f>
        <v/>
      </c>
      <c r="O1716" s="2"/>
      <c r="P1716" s="2"/>
      <c r="Q1716" s="1" t="str">
        <f>IF($D1716="","",$C1716&amp;"|"&amp;COUNTIFS($C$7:$C1716,$C1716))</f>
        <v/>
      </c>
      <c r="R1716" s="1" t="str">
        <f t="shared" si="52"/>
        <v/>
      </c>
      <c r="S1716" s="1" t="str">
        <f t="shared" si="53"/>
        <v/>
      </c>
      <c r="T1716" s="1">
        <f>IF($E1716="",0,SUMPRODUCT((AY_SONU!$O$7:$O$42="Evet")*(AY_SONU!$B$7:$B$42=DATE(YEAR($E1716),MONTH($E1716),1))))</f>
        <v>0</v>
      </c>
      <c r="U1716" s="1" t="str">
        <f>IF(OR($G1716="",$H1716="Mahsup"),"",$G1716&amp;"|"&amp;COUNTIFS($G$7:$G1716,$G1716,$H$7:$H1716,"&lt;&gt;Mahsup"))</f>
        <v/>
      </c>
    </row>
    <row r="1717" spans="1:21" ht="18" customHeight="1" x14ac:dyDescent="0.3">
      <c r="A1717" s="2"/>
      <c r="B1717" s="65" t="str">
        <f>IF($D1717="","","T"&amp;TEXT(ROW()-6,"00000"))</f>
        <v/>
      </c>
      <c r="C1717" s="65" t="str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61"/>
      <c r="E1717" s="66"/>
      <c r="F1717" s="67"/>
      <c r="G1717" s="60"/>
      <c r="H1717" s="60"/>
      <c r="I1717" s="61"/>
      <c r="J1717" s="61"/>
      <c r="K1717" s="61"/>
      <c r="L1717" s="73" t="str">
        <f>IF($E1717="","",DATE(YEAR($E1717),MONTH($E1717),1))</f>
        <v/>
      </c>
      <c r="M1717" s="65" t="str">
        <f ca="1">IF($D1717="","",IF($C1717="TANIMSIZ MÜŞTERİ","HATA",IF(OR($E1717="",$F1717&lt;=0,$G1717=""),"EKSİK",IF($E1717&gt;TODAY(),"İLERİ TARİH",IF(COUNTIF($S$7:$S$2503,$S1717)&gt;1,"MÜKERRER?",IF($T1717&gt;0,"KAPALI DÖNEM","UYGUN"))))))</f>
        <v/>
      </c>
      <c r="N1717" s="74" t="str">
        <f>IF($C1717="","",IF($C1717="TANIMSIZ MÜŞTERİ","—",INDEX(MUSTERILER!$C$7:$C$156,MATCH($C1717,MUSTERILER!$B$7:$B$156,0))))</f>
        <v/>
      </c>
      <c r="O1717" s="2"/>
      <c r="P1717" s="2"/>
      <c r="Q1717" s="1" t="str">
        <f>IF($D1717="","",$C1717&amp;"|"&amp;COUNTIFS($C$7:$C1717,$C1717))</f>
        <v/>
      </c>
      <c r="R1717" s="1" t="str">
        <f t="shared" si="52"/>
        <v/>
      </c>
      <c r="S1717" s="1" t="str">
        <f t="shared" si="53"/>
        <v/>
      </c>
      <c r="T1717" s="1">
        <f>IF($E1717="",0,SUMPRODUCT((AY_SONU!$O$7:$O$42="Evet")*(AY_SONU!$B$7:$B$42=DATE(YEAR($E1717),MONTH($E1717),1))))</f>
        <v>0</v>
      </c>
      <c r="U1717" s="1" t="str">
        <f>IF(OR($G1717="",$H1717="Mahsup"),"",$G1717&amp;"|"&amp;COUNTIFS($G$7:$G1717,$G1717,$H$7:$H1717,"&lt;&gt;Mahsup"))</f>
        <v/>
      </c>
    </row>
    <row r="1718" spans="1:21" ht="18" customHeight="1" x14ac:dyDescent="0.3">
      <c r="A1718" s="2"/>
      <c r="B1718" s="65" t="str">
        <f>IF($D1718="","","T"&amp;TEXT(ROW()-6,"00000"))</f>
        <v/>
      </c>
      <c r="C1718" s="65" t="str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61"/>
      <c r="E1718" s="66"/>
      <c r="F1718" s="67"/>
      <c r="G1718" s="60"/>
      <c r="H1718" s="60"/>
      <c r="I1718" s="61"/>
      <c r="J1718" s="61"/>
      <c r="K1718" s="61"/>
      <c r="L1718" s="73" t="str">
        <f>IF($E1718="","",DATE(YEAR($E1718),MONTH($E1718),1))</f>
        <v/>
      </c>
      <c r="M1718" s="65" t="str">
        <f ca="1">IF($D1718="","",IF($C1718="TANIMSIZ MÜŞTERİ","HATA",IF(OR($E1718="",$F1718&lt;=0,$G1718=""),"EKSİK",IF($E1718&gt;TODAY(),"İLERİ TARİH",IF(COUNTIF($S$7:$S$2503,$S1718)&gt;1,"MÜKERRER?",IF($T1718&gt;0,"KAPALI DÖNEM","UYGUN"))))))</f>
        <v/>
      </c>
      <c r="N1718" s="74" t="str">
        <f>IF($C1718="","",IF($C1718="TANIMSIZ MÜŞTERİ","—",INDEX(MUSTERILER!$C$7:$C$156,MATCH($C1718,MUSTERILER!$B$7:$B$156,0))))</f>
        <v/>
      </c>
      <c r="O1718" s="2"/>
      <c r="P1718" s="2"/>
      <c r="Q1718" s="1" t="str">
        <f>IF($D1718="","",$C1718&amp;"|"&amp;COUNTIFS($C$7:$C1718,$C1718))</f>
        <v/>
      </c>
      <c r="R1718" s="1" t="str">
        <f t="shared" si="52"/>
        <v/>
      </c>
      <c r="S1718" s="1" t="str">
        <f t="shared" si="53"/>
        <v/>
      </c>
      <c r="T1718" s="1">
        <f>IF($E1718="",0,SUMPRODUCT((AY_SONU!$O$7:$O$42="Evet")*(AY_SONU!$B$7:$B$42=DATE(YEAR($E1718),MONTH($E1718),1))))</f>
        <v>0</v>
      </c>
      <c r="U1718" s="1" t="str">
        <f>IF(OR($G1718="",$H1718="Mahsup"),"",$G1718&amp;"|"&amp;COUNTIFS($G$7:$G1718,$G1718,$H$7:$H1718,"&lt;&gt;Mahsup"))</f>
        <v/>
      </c>
    </row>
    <row r="1719" spans="1:21" ht="18" customHeight="1" x14ac:dyDescent="0.3">
      <c r="A1719" s="2"/>
      <c r="B1719" s="65" t="str">
        <f>IF($D1719="","","T"&amp;TEXT(ROW()-6,"00000"))</f>
        <v/>
      </c>
      <c r="C1719" s="65" t="str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61"/>
      <c r="E1719" s="66"/>
      <c r="F1719" s="67"/>
      <c r="G1719" s="60"/>
      <c r="H1719" s="60"/>
      <c r="I1719" s="61"/>
      <c r="J1719" s="61"/>
      <c r="K1719" s="61"/>
      <c r="L1719" s="73" t="str">
        <f>IF($E1719="","",DATE(YEAR($E1719),MONTH($E1719),1))</f>
        <v/>
      </c>
      <c r="M1719" s="65" t="str">
        <f ca="1">IF($D1719="","",IF($C1719="TANIMSIZ MÜŞTERİ","HATA",IF(OR($E1719="",$F1719&lt;=0,$G1719=""),"EKSİK",IF($E1719&gt;TODAY(),"İLERİ TARİH",IF(COUNTIF($S$7:$S$2503,$S1719)&gt;1,"MÜKERRER?",IF($T1719&gt;0,"KAPALI DÖNEM","UYGUN"))))))</f>
        <v/>
      </c>
      <c r="N1719" s="74" t="str">
        <f>IF($C1719="","",IF($C1719="TANIMSIZ MÜŞTERİ","—",INDEX(MUSTERILER!$C$7:$C$156,MATCH($C1719,MUSTERILER!$B$7:$B$156,0))))</f>
        <v/>
      </c>
      <c r="O1719" s="2"/>
      <c r="P1719" s="2"/>
      <c r="Q1719" s="1" t="str">
        <f>IF($D1719="","",$C1719&amp;"|"&amp;COUNTIFS($C$7:$C1719,$C1719))</f>
        <v/>
      </c>
      <c r="R1719" s="1" t="str">
        <f t="shared" si="52"/>
        <v/>
      </c>
      <c r="S1719" s="1" t="str">
        <f t="shared" si="53"/>
        <v/>
      </c>
      <c r="T1719" s="1">
        <f>IF($E1719="",0,SUMPRODUCT((AY_SONU!$O$7:$O$42="Evet")*(AY_SONU!$B$7:$B$42=DATE(YEAR($E1719),MONTH($E1719),1))))</f>
        <v>0</v>
      </c>
      <c r="U1719" s="1" t="str">
        <f>IF(OR($G1719="",$H1719="Mahsup"),"",$G1719&amp;"|"&amp;COUNTIFS($G$7:$G1719,$G1719,$H$7:$H1719,"&lt;&gt;Mahsup"))</f>
        <v/>
      </c>
    </row>
    <row r="1720" spans="1:21" ht="18" customHeight="1" x14ac:dyDescent="0.3">
      <c r="A1720" s="2"/>
      <c r="B1720" s="65" t="str">
        <f>IF($D1720="","","T"&amp;TEXT(ROW()-6,"00000"))</f>
        <v/>
      </c>
      <c r="C1720" s="65" t="str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61"/>
      <c r="E1720" s="66"/>
      <c r="F1720" s="67"/>
      <c r="G1720" s="60"/>
      <c r="H1720" s="60"/>
      <c r="I1720" s="61"/>
      <c r="J1720" s="61"/>
      <c r="K1720" s="61"/>
      <c r="L1720" s="73" t="str">
        <f>IF($E1720="","",DATE(YEAR($E1720),MONTH($E1720),1))</f>
        <v/>
      </c>
      <c r="M1720" s="65" t="str">
        <f ca="1">IF($D1720="","",IF($C1720="TANIMSIZ MÜŞTERİ","HATA",IF(OR($E1720="",$F1720&lt;=0,$G1720=""),"EKSİK",IF($E1720&gt;TODAY(),"İLERİ TARİH",IF(COUNTIF($S$7:$S$2503,$S1720)&gt;1,"MÜKERRER?",IF($T1720&gt;0,"KAPALI DÖNEM","UYGUN"))))))</f>
        <v/>
      </c>
      <c r="N1720" s="74" t="str">
        <f>IF($C1720="","",IF($C1720="TANIMSIZ MÜŞTERİ","—",INDEX(MUSTERILER!$C$7:$C$156,MATCH($C1720,MUSTERILER!$B$7:$B$156,0))))</f>
        <v/>
      </c>
      <c r="O1720" s="2"/>
      <c r="P1720" s="2"/>
      <c r="Q1720" s="1" t="str">
        <f>IF($D1720="","",$C1720&amp;"|"&amp;COUNTIFS($C$7:$C1720,$C1720))</f>
        <v/>
      </c>
      <c r="R1720" s="1" t="str">
        <f t="shared" si="52"/>
        <v/>
      </c>
      <c r="S1720" s="1" t="str">
        <f t="shared" si="53"/>
        <v/>
      </c>
      <c r="T1720" s="1">
        <f>IF($E1720="",0,SUMPRODUCT((AY_SONU!$O$7:$O$42="Evet")*(AY_SONU!$B$7:$B$42=DATE(YEAR($E1720),MONTH($E1720),1))))</f>
        <v>0</v>
      </c>
      <c r="U1720" s="1" t="str">
        <f>IF(OR($G1720="",$H1720="Mahsup"),"",$G1720&amp;"|"&amp;COUNTIFS($G$7:$G1720,$G1720,$H$7:$H1720,"&lt;&gt;Mahsup"))</f>
        <v/>
      </c>
    </row>
    <row r="1721" spans="1:21" ht="18" customHeight="1" x14ac:dyDescent="0.3">
      <c r="A1721" s="2"/>
      <c r="B1721" s="65" t="str">
        <f>IF($D1721="","","T"&amp;TEXT(ROW()-6,"00000"))</f>
        <v/>
      </c>
      <c r="C1721" s="65" t="str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61"/>
      <c r="E1721" s="66"/>
      <c r="F1721" s="67"/>
      <c r="G1721" s="60"/>
      <c r="H1721" s="60"/>
      <c r="I1721" s="61"/>
      <c r="J1721" s="61"/>
      <c r="K1721" s="61"/>
      <c r="L1721" s="73" t="str">
        <f>IF($E1721="","",DATE(YEAR($E1721),MONTH($E1721),1))</f>
        <v/>
      </c>
      <c r="M1721" s="65" t="str">
        <f ca="1">IF($D1721="","",IF($C1721="TANIMSIZ MÜŞTERİ","HATA",IF(OR($E1721="",$F1721&lt;=0,$G1721=""),"EKSİK",IF($E1721&gt;TODAY(),"İLERİ TARİH",IF(COUNTIF($S$7:$S$2503,$S1721)&gt;1,"MÜKERRER?",IF($T1721&gt;0,"KAPALI DÖNEM","UYGUN"))))))</f>
        <v/>
      </c>
      <c r="N1721" s="74" t="str">
        <f>IF($C1721="","",IF($C1721="TANIMSIZ MÜŞTERİ","—",INDEX(MUSTERILER!$C$7:$C$156,MATCH($C1721,MUSTERILER!$B$7:$B$156,0))))</f>
        <v/>
      </c>
      <c r="O1721" s="2"/>
      <c r="P1721" s="2"/>
      <c r="Q1721" s="1" t="str">
        <f>IF($D1721="","",$C1721&amp;"|"&amp;COUNTIFS($C$7:$C1721,$C1721))</f>
        <v/>
      </c>
      <c r="R1721" s="1" t="str">
        <f t="shared" si="52"/>
        <v/>
      </c>
      <c r="S1721" s="1" t="str">
        <f t="shared" si="53"/>
        <v/>
      </c>
      <c r="T1721" s="1">
        <f>IF($E1721="",0,SUMPRODUCT((AY_SONU!$O$7:$O$42="Evet")*(AY_SONU!$B$7:$B$42=DATE(YEAR($E1721),MONTH($E1721),1))))</f>
        <v>0</v>
      </c>
      <c r="U1721" s="1" t="str">
        <f>IF(OR($G1721="",$H1721="Mahsup"),"",$G1721&amp;"|"&amp;COUNTIFS($G$7:$G1721,$G1721,$H$7:$H1721,"&lt;&gt;Mahsup"))</f>
        <v/>
      </c>
    </row>
    <row r="1722" spans="1:21" ht="18" customHeight="1" x14ac:dyDescent="0.3">
      <c r="A1722" s="2"/>
      <c r="B1722" s="65" t="str">
        <f>IF($D1722="","","T"&amp;TEXT(ROW()-6,"00000"))</f>
        <v/>
      </c>
      <c r="C1722" s="65" t="str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61"/>
      <c r="E1722" s="66"/>
      <c r="F1722" s="67"/>
      <c r="G1722" s="60"/>
      <c r="H1722" s="60"/>
      <c r="I1722" s="61"/>
      <c r="J1722" s="61"/>
      <c r="K1722" s="61"/>
      <c r="L1722" s="73" t="str">
        <f>IF($E1722="","",DATE(YEAR($E1722),MONTH($E1722),1))</f>
        <v/>
      </c>
      <c r="M1722" s="65" t="str">
        <f ca="1">IF($D1722="","",IF($C1722="TANIMSIZ MÜŞTERİ","HATA",IF(OR($E1722="",$F1722&lt;=0,$G1722=""),"EKSİK",IF($E1722&gt;TODAY(),"İLERİ TARİH",IF(COUNTIF($S$7:$S$2503,$S1722)&gt;1,"MÜKERRER?",IF($T1722&gt;0,"KAPALI DÖNEM","UYGUN"))))))</f>
        <v/>
      </c>
      <c r="N1722" s="74" t="str">
        <f>IF($C1722="","",IF($C1722="TANIMSIZ MÜŞTERİ","—",INDEX(MUSTERILER!$C$7:$C$156,MATCH($C1722,MUSTERILER!$B$7:$B$156,0))))</f>
        <v/>
      </c>
      <c r="O1722" s="2"/>
      <c r="P1722" s="2"/>
      <c r="Q1722" s="1" t="str">
        <f>IF($D1722="","",$C1722&amp;"|"&amp;COUNTIFS($C$7:$C1722,$C1722))</f>
        <v/>
      </c>
      <c r="R1722" s="1" t="str">
        <f t="shared" si="52"/>
        <v/>
      </c>
      <c r="S1722" s="1" t="str">
        <f t="shared" si="53"/>
        <v/>
      </c>
      <c r="T1722" s="1">
        <f>IF($E1722="",0,SUMPRODUCT((AY_SONU!$O$7:$O$42="Evet")*(AY_SONU!$B$7:$B$42=DATE(YEAR($E1722),MONTH($E1722),1))))</f>
        <v>0</v>
      </c>
      <c r="U1722" s="1" t="str">
        <f>IF(OR($G1722="",$H1722="Mahsup"),"",$G1722&amp;"|"&amp;COUNTIFS($G$7:$G1722,$G1722,$H$7:$H1722,"&lt;&gt;Mahsup"))</f>
        <v/>
      </c>
    </row>
    <row r="1723" spans="1:21" ht="18" customHeight="1" x14ac:dyDescent="0.3">
      <c r="A1723" s="2"/>
      <c r="B1723" s="65" t="str">
        <f>IF($D1723="","","T"&amp;TEXT(ROW()-6,"00000"))</f>
        <v/>
      </c>
      <c r="C1723" s="65" t="str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61"/>
      <c r="E1723" s="66"/>
      <c r="F1723" s="67"/>
      <c r="G1723" s="60"/>
      <c r="H1723" s="60"/>
      <c r="I1723" s="61"/>
      <c r="J1723" s="61"/>
      <c r="K1723" s="61"/>
      <c r="L1723" s="73" t="str">
        <f>IF($E1723="","",DATE(YEAR($E1723),MONTH($E1723),1))</f>
        <v/>
      </c>
      <c r="M1723" s="65" t="str">
        <f ca="1">IF($D1723="","",IF($C1723="TANIMSIZ MÜŞTERİ","HATA",IF(OR($E1723="",$F1723&lt;=0,$G1723=""),"EKSİK",IF($E1723&gt;TODAY(),"İLERİ TARİH",IF(COUNTIF($S$7:$S$2503,$S1723)&gt;1,"MÜKERRER?",IF($T1723&gt;0,"KAPALI DÖNEM","UYGUN"))))))</f>
        <v/>
      </c>
      <c r="N1723" s="74" t="str">
        <f>IF($C1723="","",IF($C1723="TANIMSIZ MÜŞTERİ","—",INDEX(MUSTERILER!$C$7:$C$156,MATCH($C1723,MUSTERILER!$B$7:$B$156,0))))</f>
        <v/>
      </c>
      <c r="O1723" s="2"/>
      <c r="P1723" s="2"/>
      <c r="Q1723" s="1" t="str">
        <f>IF($D1723="","",$C1723&amp;"|"&amp;COUNTIFS($C$7:$C1723,$C1723))</f>
        <v/>
      </c>
      <c r="R1723" s="1" t="str">
        <f t="shared" si="52"/>
        <v/>
      </c>
      <c r="S1723" s="1" t="str">
        <f t="shared" si="53"/>
        <v/>
      </c>
      <c r="T1723" s="1">
        <f>IF($E1723="",0,SUMPRODUCT((AY_SONU!$O$7:$O$42="Evet")*(AY_SONU!$B$7:$B$42=DATE(YEAR($E1723),MONTH($E1723),1))))</f>
        <v>0</v>
      </c>
      <c r="U1723" s="1" t="str">
        <f>IF(OR($G1723="",$H1723="Mahsup"),"",$G1723&amp;"|"&amp;COUNTIFS($G$7:$G1723,$G1723,$H$7:$H1723,"&lt;&gt;Mahsup"))</f>
        <v/>
      </c>
    </row>
    <row r="1724" spans="1:21" ht="18" customHeight="1" x14ac:dyDescent="0.3">
      <c r="A1724" s="2"/>
      <c r="B1724" s="65" t="str">
        <f>IF($D1724="","","T"&amp;TEXT(ROW()-6,"00000"))</f>
        <v/>
      </c>
      <c r="C1724" s="65" t="str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61"/>
      <c r="E1724" s="66"/>
      <c r="F1724" s="67"/>
      <c r="G1724" s="60"/>
      <c r="H1724" s="60"/>
      <c r="I1724" s="61"/>
      <c r="J1724" s="61"/>
      <c r="K1724" s="61"/>
      <c r="L1724" s="73" t="str">
        <f>IF($E1724="","",DATE(YEAR($E1724),MONTH($E1724),1))</f>
        <v/>
      </c>
      <c r="M1724" s="65" t="str">
        <f ca="1">IF($D1724="","",IF($C1724="TANIMSIZ MÜŞTERİ","HATA",IF(OR($E1724="",$F1724&lt;=0,$G1724=""),"EKSİK",IF($E1724&gt;TODAY(),"İLERİ TARİH",IF(COUNTIF($S$7:$S$2503,$S1724)&gt;1,"MÜKERRER?",IF($T1724&gt;0,"KAPALI DÖNEM","UYGUN"))))))</f>
        <v/>
      </c>
      <c r="N1724" s="74" t="str">
        <f>IF($C1724="","",IF($C1724="TANIMSIZ MÜŞTERİ","—",INDEX(MUSTERILER!$C$7:$C$156,MATCH($C1724,MUSTERILER!$B$7:$B$156,0))))</f>
        <v/>
      </c>
      <c r="O1724" s="2"/>
      <c r="P1724" s="2"/>
      <c r="Q1724" s="1" t="str">
        <f>IF($D1724="","",$C1724&amp;"|"&amp;COUNTIFS($C$7:$C1724,$C1724))</f>
        <v/>
      </c>
      <c r="R1724" s="1" t="str">
        <f t="shared" si="52"/>
        <v/>
      </c>
      <c r="S1724" s="1" t="str">
        <f t="shared" si="53"/>
        <v/>
      </c>
      <c r="T1724" s="1">
        <f>IF($E1724="",0,SUMPRODUCT((AY_SONU!$O$7:$O$42="Evet")*(AY_SONU!$B$7:$B$42=DATE(YEAR($E1724),MONTH($E1724),1))))</f>
        <v>0</v>
      </c>
      <c r="U1724" s="1" t="str">
        <f>IF(OR($G1724="",$H1724="Mahsup"),"",$G1724&amp;"|"&amp;COUNTIFS($G$7:$G1724,$G1724,$H$7:$H1724,"&lt;&gt;Mahsup"))</f>
        <v/>
      </c>
    </row>
    <row r="1725" spans="1:21" ht="18" customHeight="1" x14ac:dyDescent="0.3">
      <c r="A1725" s="2"/>
      <c r="B1725" s="65" t="str">
        <f>IF($D1725="","","T"&amp;TEXT(ROW()-6,"00000"))</f>
        <v/>
      </c>
      <c r="C1725" s="65" t="str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61"/>
      <c r="E1725" s="66"/>
      <c r="F1725" s="67"/>
      <c r="G1725" s="60"/>
      <c r="H1725" s="60"/>
      <c r="I1725" s="61"/>
      <c r="J1725" s="61"/>
      <c r="K1725" s="61"/>
      <c r="L1725" s="73" t="str">
        <f>IF($E1725="","",DATE(YEAR($E1725),MONTH($E1725),1))</f>
        <v/>
      </c>
      <c r="M1725" s="65" t="str">
        <f ca="1">IF($D1725="","",IF($C1725="TANIMSIZ MÜŞTERİ","HATA",IF(OR($E1725="",$F1725&lt;=0,$G1725=""),"EKSİK",IF($E1725&gt;TODAY(),"İLERİ TARİH",IF(COUNTIF($S$7:$S$2503,$S1725)&gt;1,"MÜKERRER?",IF($T1725&gt;0,"KAPALI DÖNEM","UYGUN"))))))</f>
        <v/>
      </c>
      <c r="N1725" s="74" t="str">
        <f>IF($C1725="","",IF($C1725="TANIMSIZ MÜŞTERİ","—",INDEX(MUSTERILER!$C$7:$C$156,MATCH($C1725,MUSTERILER!$B$7:$B$156,0))))</f>
        <v/>
      </c>
      <c r="O1725" s="2"/>
      <c r="P1725" s="2"/>
      <c r="Q1725" s="1" t="str">
        <f>IF($D1725="","",$C1725&amp;"|"&amp;COUNTIFS($C$7:$C1725,$C1725))</f>
        <v/>
      </c>
      <c r="R1725" s="1" t="str">
        <f t="shared" si="52"/>
        <v/>
      </c>
      <c r="S1725" s="1" t="str">
        <f t="shared" si="53"/>
        <v/>
      </c>
      <c r="T1725" s="1">
        <f>IF($E1725="",0,SUMPRODUCT((AY_SONU!$O$7:$O$42="Evet")*(AY_SONU!$B$7:$B$42=DATE(YEAR($E1725),MONTH($E1725),1))))</f>
        <v>0</v>
      </c>
      <c r="U1725" s="1" t="str">
        <f>IF(OR($G1725="",$H1725="Mahsup"),"",$G1725&amp;"|"&amp;COUNTIFS($G$7:$G1725,$G1725,$H$7:$H1725,"&lt;&gt;Mahsup"))</f>
        <v/>
      </c>
    </row>
    <row r="1726" spans="1:21" ht="18" customHeight="1" x14ac:dyDescent="0.3">
      <c r="A1726" s="2"/>
      <c r="B1726" s="65" t="str">
        <f>IF($D1726="","","T"&amp;TEXT(ROW()-6,"00000"))</f>
        <v/>
      </c>
      <c r="C1726" s="65" t="str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61"/>
      <c r="E1726" s="66"/>
      <c r="F1726" s="67"/>
      <c r="G1726" s="60"/>
      <c r="H1726" s="60"/>
      <c r="I1726" s="61"/>
      <c r="J1726" s="61"/>
      <c r="K1726" s="61"/>
      <c r="L1726" s="73" t="str">
        <f>IF($E1726="","",DATE(YEAR($E1726),MONTH($E1726),1))</f>
        <v/>
      </c>
      <c r="M1726" s="65" t="str">
        <f ca="1">IF($D1726="","",IF($C1726="TANIMSIZ MÜŞTERİ","HATA",IF(OR($E1726="",$F1726&lt;=0,$G1726=""),"EKSİK",IF($E1726&gt;TODAY(),"İLERİ TARİH",IF(COUNTIF($S$7:$S$2503,$S1726)&gt;1,"MÜKERRER?",IF($T1726&gt;0,"KAPALI DÖNEM","UYGUN"))))))</f>
        <v/>
      </c>
      <c r="N1726" s="74" t="str">
        <f>IF($C1726="","",IF($C1726="TANIMSIZ MÜŞTERİ","—",INDEX(MUSTERILER!$C$7:$C$156,MATCH($C1726,MUSTERILER!$B$7:$B$156,0))))</f>
        <v/>
      </c>
      <c r="O1726" s="2"/>
      <c r="P1726" s="2"/>
      <c r="Q1726" s="1" t="str">
        <f>IF($D1726="","",$C1726&amp;"|"&amp;COUNTIFS($C$7:$C1726,$C1726))</f>
        <v/>
      </c>
      <c r="R1726" s="1" t="str">
        <f t="shared" si="52"/>
        <v/>
      </c>
      <c r="S1726" s="1" t="str">
        <f t="shared" si="53"/>
        <v/>
      </c>
      <c r="T1726" s="1">
        <f>IF($E1726="",0,SUMPRODUCT((AY_SONU!$O$7:$O$42="Evet")*(AY_SONU!$B$7:$B$42=DATE(YEAR($E1726),MONTH($E1726),1))))</f>
        <v>0</v>
      </c>
      <c r="U1726" s="1" t="str">
        <f>IF(OR($G1726="",$H1726="Mahsup"),"",$G1726&amp;"|"&amp;COUNTIFS($G$7:$G1726,$G1726,$H$7:$H1726,"&lt;&gt;Mahsup"))</f>
        <v/>
      </c>
    </row>
    <row r="1727" spans="1:21" ht="18" customHeight="1" x14ac:dyDescent="0.3">
      <c r="A1727" s="2"/>
      <c r="B1727" s="65" t="str">
        <f>IF($D1727="","","T"&amp;TEXT(ROW()-6,"00000"))</f>
        <v/>
      </c>
      <c r="C1727" s="65" t="str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61"/>
      <c r="E1727" s="66"/>
      <c r="F1727" s="67"/>
      <c r="G1727" s="60"/>
      <c r="H1727" s="60"/>
      <c r="I1727" s="61"/>
      <c r="J1727" s="61"/>
      <c r="K1727" s="61"/>
      <c r="L1727" s="73" t="str">
        <f>IF($E1727="","",DATE(YEAR($E1727),MONTH($E1727),1))</f>
        <v/>
      </c>
      <c r="M1727" s="65" t="str">
        <f ca="1">IF($D1727="","",IF($C1727="TANIMSIZ MÜŞTERİ","HATA",IF(OR($E1727="",$F1727&lt;=0,$G1727=""),"EKSİK",IF($E1727&gt;TODAY(),"İLERİ TARİH",IF(COUNTIF($S$7:$S$2503,$S1727)&gt;1,"MÜKERRER?",IF($T1727&gt;0,"KAPALI DÖNEM","UYGUN"))))))</f>
        <v/>
      </c>
      <c r="N1727" s="74" t="str">
        <f>IF($C1727="","",IF($C1727="TANIMSIZ MÜŞTERİ","—",INDEX(MUSTERILER!$C$7:$C$156,MATCH($C1727,MUSTERILER!$B$7:$B$156,0))))</f>
        <v/>
      </c>
      <c r="O1727" s="2"/>
      <c r="P1727" s="2"/>
      <c r="Q1727" s="1" t="str">
        <f>IF($D1727="","",$C1727&amp;"|"&amp;COUNTIFS($C$7:$C1727,$C1727))</f>
        <v/>
      </c>
      <c r="R1727" s="1" t="str">
        <f t="shared" si="52"/>
        <v/>
      </c>
      <c r="S1727" s="1" t="str">
        <f t="shared" si="53"/>
        <v/>
      </c>
      <c r="T1727" s="1">
        <f>IF($E1727="",0,SUMPRODUCT((AY_SONU!$O$7:$O$42="Evet")*(AY_SONU!$B$7:$B$42=DATE(YEAR($E1727),MONTH($E1727),1))))</f>
        <v>0</v>
      </c>
      <c r="U1727" s="1" t="str">
        <f>IF(OR($G1727="",$H1727="Mahsup"),"",$G1727&amp;"|"&amp;COUNTIFS($G$7:$G1727,$G1727,$H$7:$H1727,"&lt;&gt;Mahsup"))</f>
        <v/>
      </c>
    </row>
    <row r="1728" spans="1:21" ht="18" customHeight="1" x14ac:dyDescent="0.3">
      <c r="A1728" s="2"/>
      <c r="B1728" s="65" t="str">
        <f>IF($D1728="","","T"&amp;TEXT(ROW()-6,"00000"))</f>
        <v/>
      </c>
      <c r="C1728" s="65" t="str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61"/>
      <c r="E1728" s="66"/>
      <c r="F1728" s="67"/>
      <c r="G1728" s="60"/>
      <c r="H1728" s="60"/>
      <c r="I1728" s="61"/>
      <c r="J1728" s="61"/>
      <c r="K1728" s="61"/>
      <c r="L1728" s="73" t="str">
        <f>IF($E1728="","",DATE(YEAR($E1728),MONTH($E1728),1))</f>
        <v/>
      </c>
      <c r="M1728" s="65" t="str">
        <f ca="1">IF($D1728="","",IF($C1728="TANIMSIZ MÜŞTERİ","HATA",IF(OR($E1728="",$F1728&lt;=0,$G1728=""),"EKSİK",IF($E1728&gt;TODAY(),"İLERİ TARİH",IF(COUNTIF($S$7:$S$2503,$S1728)&gt;1,"MÜKERRER?",IF($T1728&gt;0,"KAPALI DÖNEM","UYGUN"))))))</f>
        <v/>
      </c>
      <c r="N1728" s="74" t="str">
        <f>IF($C1728="","",IF($C1728="TANIMSIZ MÜŞTERİ","—",INDEX(MUSTERILER!$C$7:$C$156,MATCH($C1728,MUSTERILER!$B$7:$B$156,0))))</f>
        <v/>
      </c>
      <c r="O1728" s="2"/>
      <c r="P1728" s="2"/>
      <c r="Q1728" s="1" t="str">
        <f>IF($D1728="","",$C1728&amp;"|"&amp;COUNTIFS($C$7:$C1728,$C1728))</f>
        <v/>
      </c>
      <c r="R1728" s="1" t="str">
        <f t="shared" si="52"/>
        <v/>
      </c>
      <c r="S1728" s="1" t="str">
        <f t="shared" si="53"/>
        <v/>
      </c>
      <c r="T1728" s="1">
        <f>IF($E1728="",0,SUMPRODUCT((AY_SONU!$O$7:$O$42="Evet")*(AY_SONU!$B$7:$B$42=DATE(YEAR($E1728),MONTH($E1728),1))))</f>
        <v>0</v>
      </c>
      <c r="U1728" s="1" t="str">
        <f>IF(OR($G1728="",$H1728="Mahsup"),"",$G1728&amp;"|"&amp;COUNTIFS($G$7:$G1728,$G1728,$H$7:$H1728,"&lt;&gt;Mahsup"))</f>
        <v/>
      </c>
    </row>
    <row r="1729" spans="1:21" ht="18" customHeight="1" x14ac:dyDescent="0.3">
      <c r="A1729" s="2"/>
      <c r="B1729" s="65" t="str">
        <f>IF($D1729="","","T"&amp;TEXT(ROW()-6,"00000"))</f>
        <v/>
      </c>
      <c r="C1729" s="65" t="str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61"/>
      <c r="E1729" s="66"/>
      <c r="F1729" s="67"/>
      <c r="G1729" s="60"/>
      <c r="H1729" s="60"/>
      <c r="I1729" s="61"/>
      <c r="J1729" s="61"/>
      <c r="K1729" s="61"/>
      <c r="L1729" s="73" t="str">
        <f>IF($E1729="","",DATE(YEAR($E1729),MONTH($E1729),1))</f>
        <v/>
      </c>
      <c r="M1729" s="65" t="str">
        <f ca="1">IF($D1729="","",IF($C1729="TANIMSIZ MÜŞTERİ","HATA",IF(OR($E1729="",$F1729&lt;=0,$G1729=""),"EKSİK",IF($E1729&gt;TODAY(),"İLERİ TARİH",IF(COUNTIF($S$7:$S$2503,$S1729)&gt;1,"MÜKERRER?",IF($T1729&gt;0,"KAPALI DÖNEM","UYGUN"))))))</f>
        <v/>
      </c>
      <c r="N1729" s="74" t="str">
        <f>IF($C1729="","",IF($C1729="TANIMSIZ MÜŞTERİ","—",INDEX(MUSTERILER!$C$7:$C$156,MATCH($C1729,MUSTERILER!$B$7:$B$156,0))))</f>
        <v/>
      </c>
      <c r="O1729" s="2"/>
      <c r="P1729" s="2"/>
      <c r="Q1729" s="1" t="str">
        <f>IF($D1729="","",$C1729&amp;"|"&amp;COUNTIFS($C$7:$C1729,$C1729))</f>
        <v/>
      </c>
      <c r="R1729" s="1" t="str">
        <f t="shared" si="52"/>
        <v/>
      </c>
      <c r="S1729" s="1" t="str">
        <f t="shared" si="53"/>
        <v/>
      </c>
      <c r="T1729" s="1">
        <f>IF($E1729="",0,SUMPRODUCT((AY_SONU!$O$7:$O$42="Evet")*(AY_SONU!$B$7:$B$42=DATE(YEAR($E1729),MONTH($E1729),1))))</f>
        <v>0</v>
      </c>
      <c r="U1729" s="1" t="str">
        <f>IF(OR($G1729="",$H1729="Mahsup"),"",$G1729&amp;"|"&amp;COUNTIFS($G$7:$G1729,$G1729,$H$7:$H1729,"&lt;&gt;Mahsup"))</f>
        <v/>
      </c>
    </row>
    <row r="1730" spans="1:21" ht="18" customHeight="1" x14ac:dyDescent="0.3">
      <c r="A1730" s="2"/>
      <c r="B1730" s="65" t="str">
        <f>IF($D1730="","","T"&amp;TEXT(ROW()-6,"00000"))</f>
        <v/>
      </c>
      <c r="C1730" s="65" t="str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61"/>
      <c r="E1730" s="66"/>
      <c r="F1730" s="67"/>
      <c r="G1730" s="60"/>
      <c r="H1730" s="60"/>
      <c r="I1730" s="61"/>
      <c r="J1730" s="61"/>
      <c r="K1730" s="61"/>
      <c r="L1730" s="73" t="str">
        <f>IF($E1730="","",DATE(YEAR($E1730),MONTH($E1730),1))</f>
        <v/>
      </c>
      <c r="M1730" s="65" t="str">
        <f ca="1">IF($D1730="","",IF($C1730="TANIMSIZ MÜŞTERİ","HATA",IF(OR($E1730="",$F1730&lt;=0,$G1730=""),"EKSİK",IF($E1730&gt;TODAY(),"İLERİ TARİH",IF(COUNTIF($S$7:$S$2503,$S1730)&gt;1,"MÜKERRER?",IF($T1730&gt;0,"KAPALI DÖNEM","UYGUN"))))))</f>
        <v/>
      </c>
      <c r="N1730" s="74" t="str">
        <f>IF($C1730="","",IF($C1730="TANIMSIZ MÜŞTERİ","—",INDEX(MUSTERILER!$C$7:$C$156,MATCH($C1730,MUSTERILER!$B$7:$B$156,0))))</f>
        <v/>
      </c>
      <c r="O1730" s="2"/>
      <c r="P1730" s="2"/>
      <c r="Q1730" s="1" t="str">
        <f>IF($D1730="","",$C1730&amp;"|"&amp;COUNTIFS($C$7:$C1730,$C1730))</f>
        <v/>
      </c>
      <c r="R1730" s="1" t="str">
        <f t="shared" si="52"/>
        <v/>
      </c>
      <c r="S1730" s="1" t="str">
        <f t="shared" si="53"/>
        <v/>
      </c>
      <c r="T1730" s="1">
        <f>IF($E1730="",0,SUMPRODUCT((AY_SONU!$O$7:$O$42="Evet")*(AY_SONU!$B$7:$B$42=DATE(YEAR($E1730),MONTH($E1730),1))))</f>
        <v>0</v>
      </c>
      <c r="U1730" s="1" t="str">
        <f>IF(OR($G1730="",$H1730="Mahsup"),"",$G1730&amp;"|"&amp;COUNTIFS($G$7:$G1730,$G1730,$H$7:$H1730,"&lt;&gt;Mahsup"))</f>
        <v/>
      </c>
    </row>
    <row r="1731" spans="1:21" ht="18" customHeight="1" x14ac:dyDescent="0.3">
      <c r="A1731" s="2"/>
      <c r="B1731" s="65" t="str">
        <f>IF($D1731="","","T"&amp;TEXT(ROW()-6,"00000"))</f>
        <v/>
      </c>
      <c r="C1731" s="65" t="str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61"/>
      <c r="E1731" s="66"/>
      <c r="F1731" s="67"/>
      <c r="G1731" s="60"/>
      <c r="H1731" s="60"/>
      <c r="I1731" s="61"/>
      <c r="J1731" s="61"/>
      <c r="K1731" s="61"/>
      <c r="L1731" s="73" t="str">
        <f>IF($E1731="","",DATE(YEAR($E1731),MONTH($E1731),1))</f>
        <v/>
      </c>
      <c r="M1731" s="65" t="str">
        <f ca="1">IF($D1731="","",IF($C1731="TANIMSIZ MÜŞTERİ","HATA",IF(OR($E1731="",$F1731&lt;=0,$G1731=""),"EKSİK",IF($E1731&gt;TODAY(),"İLERİ TARİH",IF(COUNTIF($S$7:$S$2503,$S1731)&gt;1,"MÜKERRER?",IF($T1731&gt;0,"KAPALI DÖNEM","UYGUN"))))))</f>
        <v/>
      </c>
      <c r="N1731" s="74" t="str">
        <f>IF($C1731="","",IF($C1731="TANIMSIZ MÜŞTERİ","—",INDEX(MUSTERILER!$C$7:$C$156,MATCH($C1731,MUSTERILER!$B$7:$B$156,0))))</f>
        <v/>
      </c>
      <c r="O1731" s="2"/>
      <c r="P1731" s="2"/>
      <c r="Q1731" s="1" t="str">
        <f>IF($D1731="","",$C1731&amp;"|"&amp;COUNTIFS($C$7:$C1731,$C1731))</f>
        <v/>
      </c>
      <c r="R1731" s="1" t="str">
        <f t="shared" si="52"/>
        <v/>
      </c>
      <c r="S1731" s="1" t="str">
        <f t="shared" si="53"/>
        <v/>
      </c>
      <c r="T1731" s="1">
        <f>IF($E1731="",0,SUMPRODUCT((AY_SONU!$O$7:$O$42="Evet")*(AY_SONU!$B$7:$B$42=DATE(YEAR($E1731),MONTH($E1731),1))))</f>
        <v>0</v>
      </c>
      <c r="U1731" s="1" t="str">
        <f>IF(OR($G1731="",$H1731="Mahsup"),"",$G1731&amp;"|"&amp;COUNTIFS($G$7:$G1731,$G1731,$H$7:$H1731,"&lt;&gt;Mahsup"))</f>
        <v/>
      </c>
    </row>
    <row r="1732" spans="1:21" ht="18" customHeight="1" x14ac:dyDescent="0.3">
      <c r="A1732" s="2"/>
      <c r="B1732" s="65" t="str">
        <f>IF($D1732="","","T"&amp;TEXT(ROW()-6,"00000"))</f>
        <v/>
      </c>
      <c r="C1732" s="65" t="str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61"/>
      <c r="E1732" s="66"/>
      <c r="F1732" s="67"/>
      <c r="G1732" s="60"/>
      <c r="H1732" s="60"/>
      <c r="I1732" s="61"/>
      <c r="J1732" s="61"/>
      <c r="K1732" s="61"/>
      <c r="L1732" s="73" t="str">
        <f>IF($E1732="","",DATE(YEAR($E1732),MONTH($E1732),1))</f>
        <v/>
      </c>
      <c r="M1732" s="65" t="str">
        <f ca="1">IF($D1732="","",IF($C1732="TANIMSIZ MÜŞTERİ","HATA",IF(OR($E1732="",$F1732&lt;=0,$G1732=""),"EKSİK",IF($E1732&gt;TODAY(),"İLERİ TARİH",IF(COUNTIF($S$7:$S$2503,$S1732)&gt;1,"MÜKERRER?",IF($T1732&gt;0,"KAPALI DÖNEM","UYGUN"))))))</f>
        <v/>
      </c>
      <c r="N1732" s="74" t="str">
        <f>IF($C1732="","",IF($C1732="TANIMSIZ MÜŞTERİ","—",INDEX(MUSTERILER!$C$7:$C$156,MATCH($C1732,MUSTERILER!$B$7:$B$156,0))))</f>
        <v/>
      </c>
      <c r="O1732" s="2"/>
      <c r="P1732" s="2"/>
      <c r="Q1732" s="1" t="str">
        <f>IF($D1732="","",$C1732&amp;"|"&amp;COUNTIFS($C$7:$C1732,$C1732))</f>
        <v/>
      </c>
      <c r="R1732" s="1" t="str">
        <f t="shared" si="52"/>
        <v/>
      </c>
      <c r="S1732" s="1" t="str">
        <f t="shared" si="53"/>
        <v/>
      </c>
      <c r="T1732" s="1">
        <f>IF($E1732="",0,SUMPRODUCT((AY_SONU!$O$7:$O$42="Evet")*(AY_SONU!$B$7:$B$42=DATE(YEAR($E1732),MONTH($E1732),1))))</f>
        <v>0</v>
      </c>
      <c r="U1732" s="1" t="str">
        <f>IF(OR($G1732="",$H1732="Mahsup"),"",$G1732&amp;"|"&amp;COUNTIFS($G$7:$G1732,$G1732,$H$7:$H1732,"&lt;&gt;Mahsup"))</f>
        <v/>
      </c>
    </row>
    <row r="1733" spans="1:21" ht="18" customHeight="1" x14ac:dyDescent="0.3">
      <c r="A1733" s="2"/>
      <c r="B1733" s="65" t="str">
        <f>IF($D1733="","","T"&amp;TEXT(ROW()-6,"00000"))</f>
        <v/>
      </c>
      <c r="C1733" s="65" t="str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61"/>
      <c r="E1733" s="66"/>
      <c r="F1733" s="67"/>
      <c r="G1733" s="60"/>
      <c r="H1733" s="60"/>
      <c r="I1733" s="61"/>
      <c r="J1733" s="61"/>
      <c r="K1733" s="61"/>
      <c r="L1733" s="73" t="str">
        <f>IF($E1733="","",DATE(YEAR($E1733),MONTH($E1733),1))</f>
        <v/>
      </c>
      <c r="M1733" s="65" t="str">
        <f ca="1">IF($D1733="","",IF($C1733="TANIMSIZ MÜŞTERİ","HATA",IF(OR($E1733="",$F1733&lt;=0,$G1733=""),"EKSİK",IF($E1733&gt;TODAY(),"İLERİ TARİH",IF(COUNTIF($S$7:$S$2503,$S1733)&gt;1,"MÜKERRER?",IF($T1733&gt;0,"KAPALI DÖNEM","UYGUN"))))))</f>
        <v/>
      </c>
      <c r="N1733" s="74" t="str">
        <f>IF($C1733="","",IF($C1733="TANIMSIZ MÜŞTERİ","—",INDEX(MUSTERILER!$C$7:$C$156,MATCH($C1733,MUSTERILER!$B$7:$B$156,0))))</f>
        <v/>
      </c>
      <c r="O1733" s="2"/>
      <c r="P1733" s="2"/>
      <c r="Q1733" s="1" t="str">
        <f>IF($D1733="","",$C1733&amp;"|"&amp;COUNTIFS($C$7:$C1733,$C1733))</f>
        <v/>
      </c>
      <c r="R1733" s="1" t="str">
        <f t="shared" si="52"/>
        <v/>
      </c>
      <c r="S1733" s="1" t="str">
        <f t="shared" si="53"/>
        <v/>
      </c>
      <c r="T1733" s="1">
        <f>IF($E1733="",0,SUMPRODUCT((AY_SONU!$O$7:$O$42="Evet")*(AY_SONU!$B$7:$B$42=DATE(YEAR($E1733),MONTH($E1733),1))))</f>
        <v>0</v>
      </c>
      <c r="U1733" s="1" t="str">
        <f>IF(OR($G1733="",$H1733="Mahsup"),"",$G1733&amp;"|"&amp;COUNTIFS($G$7:$G1733,$G1733,$H$7:$H1733,"&lt;&gt;Mahsup"))</f>
        <v/>
      </c>
    </row>
    <row r="1734" spans="1:21" ht="18" customHeight="1" x14ac:dyDescent="0.3">
      <c r="A1734" s="2"/>
      <c r="B1734" s="65" t="str">
        <f>IF($D1734="","","T"&amp;TEXT(ROW()-6,"00000"))</f>
        <v/>
      </c>
      <c r="C1734" s="65" t="str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61"/>
      <c r="E1734" s="66"/>
      <c r="F1734" s="67"/>
      <c r="G1734" s="60"/>
      <c r="H1734" s="60"/>
      <c r="I1734" s="61"/>
      <c r="J1734" s="61"/>
      <c r="K1734" s="61"/>
      <c r="L1734" s="73" t="str">
        <f>IF($E1734="","",DATE(YEAR($E1734),MONTH($E1734),1))</f>
        <v/>
      </c>
      <c r="M1734" s="65" t="str">
        <f ca="1">IF($D1734="","",IF($C1734="TANIMSIZ MÜŞTERİ","HATA",IF(OR($E1734="",$F1734&lt;=0,$G1734=""),"EKSİK",IF($E1734&gt;TODAY(),"İLERİ TARİH",IF(COUNTIF($S$7:$S$2503,$S1734)&gt;1,"MÜKERRER?",IF($T1734&gt;0,"KAPALI DÖNEM","UYGUN"))))))</f>
        <v/>
      </c>
      <c r="N1734" s="74" t="str">
        <f>IF($C1734="","",IF($C1734="TANIMSIZ MÜŞTERİ","—",INDEX(MUSTERILER!$C$7:$C$156,MATCH($C1734,MUSTERILER!$B$7:$B$156,0))))</f>
        <v/>
      </c>
      <c r="O1734" s="2"/>
      <c r="P1734" s="2"/>
      <c r="Q1734" s="1" t="str">
        <f>IF($D1734="","",$C1734&amp;"|"&amp;COUNTIFS($C$7:$C1734,$C1734))</f>
        <v/>
      </c>
      <c r="R1734" s="1" t="str">
        <f t="shared" si="52"/>
        <v/>
      </c>
      <c r="S1734" s="1" t="str">
        <f t="shared" si="53"/>
        <v/>
      </c>
      <c r="T1734" s="1">
        <f>IF($E1734="",0,SUMPRODUCT((AY_SONU!$O$7:$O$42="Evet")*(AY_SONU!$B$7:$B$42=DATE(YEAR($E1734),MONTH($E1734),1))))</f>
        <v>0</v>
      </c>
      <c r="U1734" s="1" t="str">
        <f>IF(OR($G1734="",$H1734="Mahsup"),"",$G1734&amp;"|"&amp;COUNTIFS($G$7:$G1734,$G1734,$H$7:$H1734,"&lt;&gt;Mahsup"))</f>
        <v/>
      </c>
    </row>
    <row r="1735" spans="1:21" ht="18" customHeight="1" x14ac:dyDescent="0.3">
      <c r="A1735" s="2"/>
      <c r="B1735" s="65" t="str">
        <f>IF($D1735="","","T"&amp;TEXT(ROW()-6,"00000"))</f>
        <v/>
      </c>
      <c r="C1735" s="65" t="str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61"/>
      <c r="E1735" s="66"/>
      <c r="F1735" s="67"/>
      <c r="G1735" s="60"/>
      <c r="H1735" s="60"/>
      <c r="I1735" s="61"/>
      <c r="J1735" s="61"/>
      <c r="K1735" s="61"/>
      <c r="L1735" s="73" t="str">
        <f>IF($E1735="","",DATE(YEAR($E1735),MONTH($E1735),1))</f>
        <v/>
      </c>
      <c r="M1735" s="65" t="str">
        <f ca="1">IF($D1735="","",IF($C1735="TANIMSIZ MÜŞTERİ","HATA",IF(OR($E1735="",$F1735&lt;=0,$G1735=""),"EKSİK",IF($E1735&gt;TODAY(),"İLERİ TARİH",IF(COUNTIF($S$7:$S$2503,$S1735)&gt;1,"MÜKERRER?",IF($T1735&gt;0,"KAPALI DÖNEM","UYGUN"))))))</f>
        <v/>
      </c>
      <c r="N1735" s="74" t="str">
        <f>IF($C1735="","",IF($C1735="TANIMSIZ MÜŞTERİ","—",INDEX(MUSTERILER!$C$7:$C$156,MATCH($C1735,MUSTERILER!$B$7:$B$156,0))))</f>
        <v/>
      </c>
      <c r="O1735" s="2"/>
      <c r="P1735" s="2"/>
      <c r="Q1735" s="1" t="str">
        <f>IF($D1735="","",$C1735&amp;"|"&amp;COUNTIFS($C$7:$C1735,$C1735))</f>
        <v/>
      </c>
      <c r="R1735" s="1" t="str">
        <f t="shared" ref="R1735:R1798" si="54"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" t="str">
        <f t="shared" ref="S1735:S1798" si="55">IF($D1735="","",$C1735&amp;"|"&amp;TEXT($E1735,"0")&amp;"|"&amp;TEXT($F1735,"0")&amp;"|"&amp;$I1735)</f>
        <v/>
      </c>
      <c r="T1735" s="1">
        <f>IF($E1735="",0,SUMPRODUCT((AY_SONU!$O$7:$O$42="Evet")*(AY_SONU!$B$7:$B$42=DATE(YEAR($E1735),MONTH($E1735),1))))</f>
        <v>0</v>
      </c>
      <c r="U1735" s="1" t="str">
        <f>IF(OR($G1735="",$H1735="Mahsup"),"",$G1735&amp;"|"&amp;COUNTIFS($G$7:$G1735,$G1735,$H$7:$H1735,"&lt;&gt;Mahsup"))</f>
        <v/>
      </c>
    </row>
    <row r="1736" spans="1:21" ht="18" customHeight="1" x14ac:dyDescent="0.3">
      <c r="A1736" s="2"/>
      <c r="B1736" s="65" t="str">
        <f>IF($D1736="","","T"&amp;TEXT(ROW()-6,"00000"))</f>
        <v/>
      </c>
      <c r="C1736" s="65" t="str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61"/>
      <c r="E1736" s="66"/>
      <c r="F1736" s="67"/>
      <c r="G1736" s="60"/>
      <c r="H1736" s="60"/>
      <c r="I1736" s="61"/>
      <c r="J1736" s="61"/>
      <c r="K1736" s="61"/>
      <c r="L1736" s="73" t="str">
        <f>IF($E1736="","",DATE(YEAR($E1736),MONTH($E1736),1))</f>
        <v/>
      </c>
      <c r="M1736" s="65" t="str">
        <f ca="1">IF($D1736="","",IF($C1736="TANIMSIZ MÜŞTERİ","HATA",IF(OR($E1736="",$F1736&lt;=0,$G1736=""),"EKSİK",IF($E1736&gt;TODAY(),"İLERİ TARİH",IF(COUNTIF($S$7:$S$2503,$S1736)&gt;1,"MÜKERRER?",IF($T1736&gt;0,"KAPALI DÖNEM","UYGUN"))))))</f>
        <v/>
      </c>
      <c r="N1736" s="74" t="str">
        <f>IF($C1736="","",IF($C1736="TANIMSIZ MÜŞTERİ","—",INDEX(MUSTERILER!$C$7:$C$156,MATCH($C1736,MUSTERILER!$B$7:$B$156,0))))</f>
        <v/>
      </c>
      <c r="O1736" s="2"/>
      <c r="P1736" s="2"/>
      <c r="Q1736" s="1" t="str">
        <f>IF($D1736="","",$C1736&amp;"|"&amp;COUNTIFS($C$7:$C1736,$C1736))</f>
        <v/>
      </c>
      <c r="R1736" s="1" t="str">
        <f t="shared" si="54"/>
        <v/>
      </c>
      <c r="S1736" s="1" t="str">
        <f t="shared" si="55"/>
        <v/>
      </c>
      <c r="T1736" s="1">
        <f>IF($E1736="",0,SUMPRODUCT((AY_SONU!$O$7:$O$42="Evet")*(AY_SONU!$B$7:$B$42=DATE(YEAR($E1736),MONTH($E1736),1))))</f>
        <v>0</v>
      </c>
      <c r="U1736" s="1" t="str">
        <f>IF(OR($G1736="",$H1736="Mahsup"),"",$G1736&amp;"|"&amp;COUNTIFS($G$7:$G1736,$G1736,$H$7:$H1736,"&lt;&gt;Mahsup"))</f>
        <v/>
      </c>
    </row>
    <row r="1737" spans="1:21" ht="18" customHeight="1" x14ac:dyDescent="0.3">
      <c r="A1737" s="2"/>
      <c r="B1737" s="65" t="str">
        <f>IF($D1737="","","T"&amp;TEXT(ROW()-6,"00000"))</f>
        <v/>
      </c>
      <c r="C1737" s="65" t="str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61"/>
      <c r="E1737" s="66"/>
      <c r="F1737" s="67"/>
      <c r="G1737" s="60"/>
      <c r="H1737" s="60"/>
      <c r="I1737" s="61"/>
      <c r="J1737" s="61"/>
      <c r="K1737" s="61"/>
      <c r="L1737" s="73" t="str">
        <f>IF($E1737="","",DATE(YEAR($E1737),MONTH($E1737),1))</f>
        <v/>
      </c>
      <c r="M1737" s="65" t="str">
        <f ca="1">IF($D1737="","",IF($C1737="TANIMSIZ MÜŞTERİ","HATA",IF(OR($E1737="",$F1737&lt;=0,$G1737=""),"EKSİK",IF($E1737&gt;TODAY(),"İLERİ TARİH",IF(COUNTIF($S$7:$S$2503,$S1737)&gt;1,"MÜKERRER?",IF($T1737&gt;0,"KAPALI DÖNEM","UYGUN"))))))</f>
        <v/>
      </c>
      <c r="N1737" s="74" t="str">
        <f>IF($C1737="","",IF($C1737="TANIMSIZ MÜŞTERİ","—",INDEX(MUSTERILER!$C$7:$C$156,MATCH($C1737,MUSTERILER!$B$7:$B$156,0))))</f>
        <v/>
      </c>
      <c r="O1737" s="2"/>
      <c r="P1737" s="2"/>
      <c r="Q1737" s="1" t="str">
        <f>IF($D1737="","",$C1737&amp;"|"&amp;COUNTIFS($C$7:$C1737,$C1737))</f>
        <v/>
      </c>
      <c r="R1737" s="1" t="str">
        <f t="shared" si="54"/>
        <v/>
      </c>
      <c r="S1737" s="1" t="str">
        <f t="shared" si="55"/>
        <v/>
      </c>
      <c r="T1737" s="1">
        <f>IF($E1737="",0,SUMPRODUCT((AY_SONU!$O$7:$O$42="Evet")*(AY_SONU!$B$7:$B$42=DATE(YEAR($E1737),MONTH($E1737),1))))</f>
        <v>0</v>
      </c>
      <c r="U1737" s="1" t="str">
        <f>IF(OR($G1737="",$H1737="Mahsup"),"",$G1737&amp;"|"&amp;COUNTIFS($G$7:$G1737,$G1737,$H$7:$H1737,"&lt;&gt;Mahsup"))</f>
        <v/>
      </c>
    </row>
    <row r="1738" spans="1:21" ht="18" customHeight="1" x14ac:dyDescent="0.3">
      <c r="A1738" s="2"/>
      <c r="B1738" s="65" t="str">
        <f>IF($D1738="","","T"&amp;TEXT(ROW()-6,"00000"))</f>
        <v/>
      </c>
      <c r="C1738" s="65" t="str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61"/>
      <c r="E1738" s="66"/>
      <c r="F1738" s="67"/>
      <c r="G1738" s="60"/>
      <c r="H1738" s="60"/>
      <c r="I1738" s="61"/>
      <c r="J1738" s="61"/>
      <c r="K1738" s="61"/>
      <c r="L1738" s="73" t="str">
        <f>IF($E1738="","",DATE(YEAR($E1738),MONTH($E1738),1))</f>
        <v/>
      </c>
      <c r="M1738" s="65" t="str">
        <f ca="1">IF($D1738="","",IF($C1738="TANIMSIZ MÜŞTERİ","HATA",IF(OR($E1738="",$F1738&lt;=0,$G1738=""),"EKSİK",IF($E1738&gt;TODAY(),"İLERİ TARİH",IF(COUNTIF($S$7:$S$2503,$S1738)&gt;1,"MÜKERRER?",IF($T1738&gt;0,"KAPALI DÖNEM","UYGUN"))))))</f>
        <v/>
      </c>
      <c r="N1738" s="74" t="str">
        <f>IF($C1738="","",IF($C1738="TANIMSIZ MÜŞTERİ","—",INDEX(MUSTERILER!$C$7:$C$156,MATCH($C1738,MUSTERILER!$B$7:$B$156,0))))</f>
        <v/>
      </c>
      <c r="O1738" s="2"/>
      <c r="P1738" s="2"/>
      <c r="Q1738" s="1" t="str">
        <f>IF($D1738="","",$C1738&amp;"|"&amp;COUNTIFS($C$7:$C1738,$C1738))</f>
        <v/>
      </c>
      <c r="R1738" s="1" t="str">
        <f t="shared" si="54"/>
        <v/>
      </c>
      <c r="S1738" s="1" t="str">
        <f t="shared" si="55"/>
        <v/>
      </c>
      <c r="T1738" s="1">
        <f>IF($E1738="",0,SUMPRODUCT((AY_SONU!$O$7:$O$42="Evet")*(AY_SONU!$B$7:$B$42=DATE(YEAR($E1738),MONTH($E1738),1))))</f>
        <v>0</v>
      </c>
      <c r="U1738" s="1" t="str">
        <f>IF(OR($G1738="",$H1738="Mahsup"),"",$G1738&amp;"|"&amp;COUNTIFS($G$7:$G1738,$G1738,$H$7:$H1738,"&lt;&gt;Mahsup"))</f>
        <v/>
      </c>
    </row>
    <row r="1739" spans="1:21" ht="18" customHeight="1" x14ac:dyDescent="0.3">
      <c r="A1739" s="2"/>
      <c r="B1739" s="65" t="str">
        <f>IF($D1739="","","T"&amp;TEXT(ROW()-6,"00000"))</f>
        <v/>
      </c>
      <c r="C1739" s="65" t="str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61"/>
      <c r="E1739" s="66"/>
      <c r="F1739" s="67"/>
      <c r="G1739" s="60"/>
      <c r="H1739" s="60"/>
      <c r="I1739" s="61"/>
      <c r="J1739" s="61"/>
      <c r="K1739" s="61"/>
      <c r="L1739" s="73" t="str">
        <f>IF($E1739="","",DATE(YEAR($E1739),MONTH($E1739),1))</f>
        <v/>
      </c>
      <c r="M1739" s="65" t="str">
        <f ca="1">IF($D1739="","",IF($C1739="TANIMSIZ MÜŞTERİ","HATA",IF(OR($E1739="",$F1739&lt;=0,$G1739=""),"EKSİK",IF($E1739&gt;TODAY(),"İLERİ TARİH",IF(COUNTIF($S$7:$S$2503,$S1739)&gt;1,"MÜKERRER?",IF($T1739&gt;0,"KAPALI DÖNEM","UYGUN"))))))</f>
        <v/>
      </c>
      <c r="N1739" s="74" t="str">
        <f>IF($C1739="","",IF($C1739="TANIMSIZ MÜŞTERİ","—",INDEX(MUSTERILER!$C$7:$C$156,MATCH($C1739,MUSTERILER!$B$7:$B$156,0))))</f>
        <v/>
      </c>
      <c r="O1739" s="2"/>
      <c r="P1739" s="2"/>
      <c r="Q1739" s="1" t="str">
        <f>IF($D1739="","",$C1739&amp;"|"&amp;COUNTIFS($C$7:$C1739,$C1739))</f>
        <v/>
      </c>
      <c r="R1739" s="1" t="str">
        <f t="shared" si="54"/>
        <v/>
      </c>
      <c r="S1739" s="1" t="str">
        <f t="shared" si="55"/>
        <v/>
      </c>
      <c r="T1739" s="1">
        <f>IF($E1739="",0,SUMPRODUCT((AY_SONU!$O$7:$O$42="Evet")*(AY_SONU!$B$7:$B$42=DATE(YEAR($E1739),MONTH($E1739),1))))</f>
        <v>0</v>
      </c>
      <c r="U1739" s="1" t="str">
        <f>IF(OR($G1739="",$H1739="Mahsup"),"",$G1739&amp;"|"&amp;COUNTIFS($G$7:$G1739,$G1739,$H$7:$H1739,"&lt;&gt;Mahsup"))</f>
        <v/>
      </c>
    </row>
    <row r="1740" spans="1:21" ht="18" customHeight="1" x14ac:dyDescent="0.3">
      <c r="A1740" s="2"/>
      <c r="B1740" s="65" t="str">
        <f>IF($D1740="","","T"&amp;TEXT(ROW()-6,"00000"))</f>
        <v/>
      </c>
      <c r="C1740" s="65" t="str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61"/>
      <c r="E1740" s="66"/>
      <c r="F1740" s="67"/>
      <c r="G1740" s="60"/>
      <c r="H1740" s="60"/>
      <c r="I1740" s="61"/>
      <c r="J1740" s="61"/>
      <c r="K1740" s="61"/>
      <c r="L1740" s="73" t="str">
        <f>IF($E1740="","",DATE(YEAR($E1740),MONTH($E1740),1))</f>
        <v/>
      </c>
      <c r="M1740" s="65" t="str">
        <f ca="1">IF($D1740="","",IF($C1740="TANIMSIZ MÜŞTERİ","HATA",IF(OR($E1740="",$F1740&lt;=0,$G1740=""),"EKSİK",IF($E1740&gt;TODAY(),"İLERİ TARİH",IF(COUNTIF($S$7:$S$2503,$S1740)&gt;1,"MÜKERRER?",IF($T1740&gt;0,"KAPALI DÖNEM","UYGUN"))))))</f>
        <v/>
      </c>
      <c r="N1740" s="74" t="str">
        <f>IF($C1740="","",IF($C1740="TANIMSIZ MÜŞTERİ","—",INDEX(MUSTERILER!$C$7:$C$156,MATCH($C1740,MUSTERILER!$B$7:$B$156,0))))</f>
        <v/>
      </c>
      <c r="O1740" s="2"/>
      <c r="P1740" s="2"/>
      <c r="Q1740" s="1" t="str">
        <f>IF($D1740="","",$C1740&amp;"|"&amp;COUNTIFS($C$7:$C1740,$C1740))</f>
        <v/>
      </c>
      <c r="R1740" s="1" t="str">
        <f t="shared" si="54"/>
        <v/>
      </c>
      <c r="S1740" s="1" t="str">
        <f t="shared" si="55"/>
        <v/>
      </c>
      <c r="T1740" s="1">
        <f>IF($E1740="",0,SUMPRODUCT((AY_SONU!$O$7:$O$42="Evet")*(AY_SONU!$B$7:$B$42=DATE(YEAR($E1740),MONTH($E1740),1))))</f>
        <v>0</v>
      </c>
      <c r="U1740" s="1" t="str">
        <f>IF(OR($G1740="",$H1740="Mahsup"),"",$G1740&amp;"|"&amp;COUNTIFS($G$7:$G1740,$G1740,$H$7:$H1740,"&lt;&gt;Mahsup"))</f>
        <v/>
      </c>
    </row>
    <row r="1741" spans="1:21" ht="18" customHeight="1" x14ac:dyDescent="0.3">
      <c r="A1741" s="2"/>
      <c r="B1741" s="65" t="str">
        <f>IF($D1741="","","T"&amp;TEXT(ROW()-6,"00000"))</f>
        <v/>
      </c>
      <c r="C1741" s="65" t="str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61"/>
      <c r="E1741" s="66"/>
      <c r="F1741" s="67"/>
      <c r="G1741" s="60"/>
      <c r="H1741" s="60"/>
      <c r="I1741" s="61"/>
      <c r="J1741" s="61"/>
      <c r="K1741" s="61"/>
      <c r="L1741" s="73" t="str">
        <f>IF($E1741="","",DATE(YEAR($E1741),MONTH($E1741),1))</f>
        <v/>
      </c>
      <c r="M1741" s="65" t="str">
        <f ca="1">IF($D1741="","",IF($C1741="TANIMSIZ MÜŞTERİ","HATA",IF(OR($E1741="",$F1741&lt;=0,$G1741=""),"EKSİK",IF($E1741&gt;TODAY(),"İLERİ TARİH",IF(COUNTIF($S$7:$S$2503,$S1741)&gt;1,"MÜKERRER?",IF($T1741&gt;0,"KAPALI DÖNEM","UYGUN"))))))</f>
        <v/>
      </c>
      <c r="N1741" s="74" t="str">
        <f>IF($C1741="","",IF($C1741="TANIMSIZ MÜŞTERİ","—",INDEX(MUSTERILER!$C$7:$C$156,MATCH($C1741,MUSTERILER!$B$7:$B$156,0))))</f>
        <v/>
      </c>
      <c r="O1741" s="2"/>
      <c r="P1741" s="2"/>
      <c r="Q1741" s="1" t="str">
        <f>IF($D1741="","",$C1741&amp;"|"&amp;COUNTIFS($C$7:$C1741,$C1741))</f>
        <v/>
      </c>
      <c r="R1741" s="1" t="str">
        <f t="shared" si="54"/>
        <v/>
      </c>
      <c r="S1741" s="1" t="str">
        <f t="shared" si="55"/>
        <v/>
      </c>
      <c r="T1741" s="1">
        <f>IF($E1741="",0,SUMPRODUCT((AY_SONU!$O$7:$O$42="Evet")*(AY_SONU!$B$7:$B$42=DATE(YEAR($E1741),MONTH($E1741),1))))</f>
        <v>0</v>
      </c>
      <c r="U1741" s="1" t="str">
        <f>IF(OR($G1741="",$H1741="Mahsup"),"",$G1741&amp;"|"&amp;COUNTIFS($G$7:$G1741,$G1741,$H$7:$H1741,"&lt;&gt;Mahsup"))</f>
        <v/>
      </c>
    </row>
    <row r="1742" spans="1:21" ht="18" customHeight="1" x14ac:dyDescent="0.3">
      <c r="A1742" s="2"/>
      <c r="B1742" s="65" t="str">
        <f>IF($D1742="","","T"&amp;TEXT(ROW()-6,"00000"))</f>
        <v/>
      </c>
      <c r="C1742" s="65" t="str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61"/>
      <c r="E1742" s="66"/>
      <c r="F1742" s="67"/>
      <c r="G1742" s="60"/>
      <c r="H1742" s="60"/>
      <c r="I1742" s="61"/>
      <c r="J1742" s="61"/>
      <c r="K1742" s="61"/>
      <c r="L1742" s="73" t="str">
        <f>IF($E1742="","",DATE(YEAR($E1742),MONTH($E1742),1))</f>
        <v/>
      </c>
      <c r="M1742" s="65" t="str">
        <f ca="1">IF($D1742="","",IF($C1742="TANIMSIZ MÜŞTERİ","HATA",IF(OR($E1742="",$F1742&lt;=0,$G1742=""),"EKSİK",IF($E1742&gt;TODAY(),"İLERİ TARİH",IF(COUNTIF($S$7:$S$2503,$S1742)&gt;1,"MÜKERRER?",IF($T1742&gt;0,"KAPALI DÖNEM","UYGUN"))))))</f>
        <v/>
      </c>
      <c r="N1742" s="74" t="str">
        <f>IF($C1742="","",IF($C1742="TANIMSIZ MÜŞTERİ","—",INDEX(MUSTERILER!$C$7:$C$156,MATCH($C1742,MUSTERILER!$B$7:$B$156,0))))</f>
        <v/>
      </c>
      <c r="O1742" s="2"/>
      <c r="P1742" s="2"/>
      <c r="Q1742" s="1" t="str">
        <f>IF($D1742="","",$C1742&amp;"|"&amp;COUNTIFS($C$7:$C1742,$C1742))</f>
        <v/>
      </c>
      <c r="R1742" s="1" t="str">
        <f t="shared" si="54"/>
        <v/>
      </c>
      <c r="S1742" s="1" t="str">
        <f t="shared" si="55"/>
        <v/>
      </c>
      <c r="T1742" s="1">
        <f>IF($E1742="",0,SUMPRODUCT((AY_SONU!$O$7:$O$42="Evet")*(AY_SONU!$B$7:$B$42=DATE(YEAR($E1742),MONTH($E1742),1))))</f>
        <v>0</v>
      </c>
      <c r="U1742" s="1" t="str">
        <f>IF(OR($G1742="",$H1742="Mahsup"),"",$G1742&amp;"|"&amp;COUNTIFS($G$7:$G1742,$G1742,$H$7:$H1742,"&lt;&gt;Mahsup"))</f>
        <v/>
      </c>
    </row>
    <row r="1743" spans="1:21" ht="18" customHeight="1" x14ac:dyDescent="0.3">
      <c r="A1743" s="2"/>
      <c r="B1743" s="65" t="str">
        <f>IF($D1743="","","T"&amp;TEXT(ROW()-6,"00000"))</f>
        <v/>
      </c>
      <c r="C1743" s="65" t="str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61"/>
      <c r="E1743" s="66"/>
      <c r="F1743" s="67"/>
      <c r="G1743" s="60"/>
      <c r="H1743" s="60"/>
      <c r="I1743" s="61"/>
      <c r="J1743" s="61"/>
      <c r="K1743" s="61"/>
      <c r="L1743" s="73" t="str">
        <f>IF($E1743="","",DATE(YEAR($E1743),MONTH($E1743),1))</f>
        <v/>
      </c>
      <c r="M1743" s="65" t="str">
        <f ca="1">IF($D1743="","",IF($C1743="TANIMSIZ MÜŞTERİ","HATA",IF(OR($E1743="",$F1743&lt;=0,$G1743=""),"EKSİK",IF($E1743&gt;TODAY(),"İLERİ TARİH",IF(COUNTIF($S$7:$S$2503,$S1743)&gt;1,"MÜKERRER?",IF($T1743&gt;0,"KAPALI DÖNEM","UYGUN"))))))</f>
        <v/>
      </c>
      <c r="N1743" s="74" t="str">
        <f>IF($C1743="","",IF($C1743="TANIMSIZ MÜŞTERİ","—",INDEX(MUSTERILER!$C$7:$C$156,MATCH($C1743,MUSTERILER!$B$7:$B$156,0))))</f>
        <v/>
      </c>
      <c r="O1743" s="2"/>
      <c r="P1743" s="2"/>
      <c r="Q1743" s="1" t="str">
        <f>IF($D1743="","",$C1743&amp;"|"&amp;COUNTIFS($C$7:$C1743,$C1743))</f>
        <v/>
      </c>
      <c r="R1743" s="1" t="str">
        <f t="shared" si="54"/>
        <v/>
      </c>
      <c r="S1743" s="1" t="str">
        <f t="shared" si="55"/>
        <v/>
      </c>
      <c r="T1743" s="1">
        <f>IF($E1743="",0,SUMPRODUCT((AY_SONU!$O$7:$O$42="Evet")*(AY_SONU!$B$7:$B$42=DATE(YEAR($E1743),MONTH($E1743),1))))</f>
        <v>0</v>
      </c>
      <c r="U1743" s="1" t="str">
        <f>IF(OR($G1743="",$H1743="Mahsup"),"",$G1743&amp;"|"&amp;COUNTIFS($G$7:$G1743,$G1743,$H$7:$H1743,"&lt;&gt;Mahsup"))</f>
        <v/>
      </c>
    </row>
    <row r="1744" spans="1:21" ht="18" customHeight="1" x14ac:dyDescent="0.3">
      <c r="A1744" s="2"/>
      <c r="B1744" s="65" t="str">
        <f>IF($D1744="","","T"&amp;TEXT(ROW()-6,"00000"))</f>
        <v/>
      </c>
      <c r="C1744" s="65" t="str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61"/>
      <c r="E1744" s="66"/>
      <c r="F1744" s="67"/>
      <c r="G1744" s="60"/>
      <c r="H1744" s="60"/>
      <c r="I1744" s="61"/>
      <c r="J1744" s="61"/>
      <c r="K1744" s="61"/>
      <c r="L1744" s="73" t="str">
        <f>IF($E1744="","",DATE(YEAR($E1744),MONTH($E1744),1))</f>
        <v/>
      </c>
      <c r="M1744" s="65" t="str">
        <f ca="1">IF($D1744="","",IF($C1744="TANIMSIZ MÜŞTERİ","HATA",IF(OR($E1744="",$F1744&lt;=0,$G1744=""),"EKSİK",IF($E1744&gt;TODAY(),"İLERİ TARİH",IF(COUNTIF($S$7:$S$2503,$S1744)&gt;1,"MÜKERRER?",IF($T1744&gt;0,"KAPALI DÖNEM","UYGUN"))))))</f>
        <v/>
      </c>
      <c r="N1744" s="74" t="str">
        <f>IF($C1744="","",IF($C1744="TANIMSIZ MÜŞTERİ","—",INDEX(MUSTERILER!$C$7:$C$156,MATCH($C1744,MUSTERILER!$B$7:$B$156,0))))</f>
        <v/>
      </c>
      <c r="O1744" s="2"/>
      <c r="P1744" s="2"/>
      <c r="Q1744" s="1" t="str">
        <f>IF($D1744="","",$C1744&amp;"|"&amp;COUNTIFS($C$7:$C1744,$C1744))</f>
        <v/>
      </c>
      <c r="R1744" s="1" t="str">
        <f t="shared" si="54"/>
        <v/>
      </c>
      <c r="S1744" s="1" t="str">
        <f t="shared" si="55"/>
        <v/>
      </c>
      <c r="T1744" s="1">
        <f>IF($E1744="",0,SUMPRODUCT((AY_SONU!$O$7:$O$42="Evet")*(AY_SONU!$B$7:$B$42=DATE(YEAR($E1744),MONTH($E1744),1))))</f>
        <v>0</v>
      </c>
      <c r="U1744" s="1" t="str">
        <f>IF(OR($G1744="",$H1744="Mahsup"),"",$G1744&amp;"|"&amp;COUNTIFS($G$7:$G1744,$G1744,$H$7:$H1744,"&lt;&gt;Mahsup"))</f>
        <v/>
      </c>
    </row>
    <row r="1745" spans="1:21" ht="18" customHeight="1" x14ac:dyDescent="0.3">
      <c r="A1745" s="2"/>
      <c r="B1745" s="65" t="str">
        <f>IF($D1745="","","T"&amp;TEXT(ROW()-6,"00000"))</f>
        <v/>
      </c>
      <c r="C1745" s="65" t="str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61"/>
      <c r="E1745" s="66"/>
      <c r="F1745" s="67"/>
      <c r="G1745" s="60"/>
      <c r="H1745" s="60"/>
      <c r="I1745" s="61"/>
      <c r="J1745" s="61"/>
      <c r="K1745" s="61"/>
      <c r="L1745" s="73" t="str">
        <f>IF($E1745="","",DATE(YEAR($E1745),MONTH($E1745),1))</f>
        <v/>
      </c>
      <c r="M1745" s="65" t="str">
        <f ca="1">IF($D1745="","",IF($C1745="TANIMSIZ MÜŞTERİ","HATA",IF(OR($E1745="",$F1745&lt;=0,$G1745=""),"EKSİK",IF($E1745&gt;TODAY(),"İLERİ TARİH",IF(COUNTIF($S$7:$S$2503,$S1745)&gt;1,"MÜKERRER?",IF($T1745&gt;0,"KAPALI DÖNEM","UYGUN"))))))</f>
        <v/>
      </c>
      <c r="N1745" s="74" t="str">
        <f>IF($C1745="","",IF($C1745="TANIMSIZ MÜŞTERİ","—",INDEX(MUSTERILER!$C$7:$C$156,MATCH($C1745,MUSTERILER!$B$7:$B$156,0))))</f>
        <v/>
      </c>
      <c r="O1745" s="2"/>
      <c r="P1745" s="2"/>
      <c r="Q1745" s="1" t="str">
        <f>IF($D1745="","",$C1745&amp;"|"&amp;COUNTIFS($C$7:$C1745,$C1745))</f>
        <v/>
      </c>
      <c r="R1745" s="1" t="str">
        <f t="shared" si="54"/>
        <v/>
      </c>
      <c r="S1745" s="1" t="str">
        <f t="shared" si="55"/>
        <v/>
      </c>
      <c r="T1745" s="1">
        <f>IF($E1745="",0,SUMPRODUCT((AY_SONU!$O$7:$O$42="Evet")*(AY_SONU!$B$7:$B$42=DATE(YEAR($E1745),MONTH($E1745),1))))</f>
        <v>0</v>
      </c>
      <c r="U1745" s="1" t="str">
        <f>IF(OR($G1745="",$H1745="Mahsup"),"",$G1745&amp;"|"&amp;COUNTIFS($G$7:$G1745,$G1745,$H$7:$H1745,"&lt;&gt;Mahsup"))</f>
        <v/>
      </c>
    </row>
    <row r="1746" spans="1:21" ht="18" customHeight="1" x14ac:dyDescent="0.3">
      <c r="A1746" s="2"/>
      <c r="B1746" s="65" t="str">
        <f>IF($D1746="","","T"&amp;TEXT(ROW()-6,"00000"))</f>
        <v/>
      </c>
      <c r="C1746" s="65" t="str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61"/>
      <c r="E1746" s="66"/>
      <c r="F1746" s="67"/>
      <c r="G1746" s="60"/>
      <c r="H1746" s="60"/>
      <c r="I1746" s="61"/>
      <c r="J1746" s="61"/>
      <c r="K1746" s="61"/>
      <c r="L1746" s="73" t="str">
        <f>IF($E1746="","",DATE(YEAR($E1746),MONTH($E1746),1))</f>
        <v/>
      </c>
      <c r="M1746" s="65" t="str">
        <f ca="1">IF($D1746="","",IF($C1746="TANIMSIZ MÜŞTERİ","HATA",IF(OR($E1746="",$F1746&lt;=0,$G1746=""),"EKSİK",IF($E1746&gt;TODAY(),"İLERİ TARİH",IF(COUNTIF($S$7:$S$2503,$S1746)&gt;1,"MÜKERRER?",IF($T1746&gt;0,"KAPALI DÖNEM","UYGUN"))))))</f>
        <v/>
      </c>
      <c r="N1746" s="74" t="str">
        <f>IF($C1746="","",IF($C1746="TANIMSIZ MÜŞTERİ","—",INDEX(MUSTERILER!$C$7:$C$156,MATCH($C1746,MUSTERILER!$B$7:$B$156,0))))</f>
        <v/>
      </c>
      <c r="O1746" s="2"/>
      <c r="P1746" s="2"/>
      <c r="Q1746" s="1" t="str">
        <f>IF($D1746="","",$C1746&amp;"|"&amp;COUNTIFS($C$7:$C1746,$C1746))</f>
        <v/>
      </c>
      <c r="R1746" s="1" t="str">
        <f t="shared" si="54"/>
        <v/>
      </c>
      <c r="S1746" s="1" t="str">
        <f t="shared" si="55"/>
        <v/>
      </c>
      <c r="T1746" s="1">
        <f>IF($E1746="",0,SUMPRODUCT((AY_SONU!$O$7:$O$42="Evet")*(AY_SONU!$B$7:$B$42=DATE(YEAR($E1746),MONTH($E1746),1))))</f>
        <v>0</v>
      </c>
      <c r="U1746" s="1" t="str">
        <f>IF(OR($G1746="",$H1746="Mahsup"),"",$G1746&amp;"|"&amp;COUNTIFS($G$7:$G1746,$G1746,$H$7:$H1746,"&lt;&gt;Mahsup"))</f>
        <v/>
      </c>
    </row>
    <row r="1747" spans="1:21" ht="18" customHeight="1" x14ac:dyDescent="0.3">
      <c r="A1747" s="2"/>
      <c r="B1747" s="65" t="str">
        <f>IF($D1747="","","T"&amp;TEXT(ROW()-6,"00000"))</f>
        <v/>
      </c>
      <c r="C1747" s="65" t="str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61"/>
      <c r="E1747" s="66"/>
      <c r="F1747" s="67"/>
      <c r="G1747" s="60"/>
      <c r="H1747" s="60"/>
      <c r="I1747" s="61"/>
      <c r="J1747" s="61"/>
      <c r="K1747" s="61"/>
      <c r="L1747" s="73" t="str">
        <f>IF($E1747="","",DATE(YEAR($E1747),MONTH($E1747),1))</f>
        <v/>
      </c>
      <c r="M1747" s="65" t="str">
        <f ca="1">IF($D1747="","",IF($C1747="TANIMSIZ MÜŞTERİ","HATA",IF(OR($E1747="",$F1747&lt;=0,$G1747=""),"EKSİK",IF($E1747&gt;TODAY(),"İLERİ TARİH",IF(COUNTIF($S$7:$S$2503,$S1747)&gt;1,"MÜKERRER?",IF($T1747&gt;0,"KAPALI DÖNEM","UYGUN"))))))</f>
        <v/>
      </c>
      <c r="N1747" s="74" t="str">
        <f>IF($C1747="","",IF($C1747="TANIMSIZ MÜŞTERİ","—",INDEX(MUSTERILER!$C$7:$C$156,MATCH($C1747,MUSTERILER!$B$7:$B$156,0))))</f>
        <v/>
      </c>
      <c r="O1747" s="2"/>
      <c r="P1747" s="2"/>
      <c r="Q1747" s="1" t="str">
        <f>IF($D1747="","",$C1747&amp;"|"&amp;COUNTIFS($C$7:$C1747,$C1747))</f>
        <v/>
      </c>
      <c r="R1747" s="1" t="str">
        <f t="shared" si="54"/>
        <v/>
      </c>
      <c r="S1747" s="1" t="str">
        <f t="shared" si="55"/>
        <v/>
      </c>
      <c r="T1747" s="1">
        <f>IF($E1747="",0,SUMPRODUCT((AY_SONU!$O$7:$O$42="Evet")*(AY_SONU!$B$7:$B$42=DATE(YEAR($E1747),MONTH($E1747),1))))</f>
        <v>0</v>
      </c>
      <c r="U1747" s="1" t="str">
        <f>IF(OR($G1747="",$H1747="Mahsup"),"",$G1747&amp;"|"&amp;COUNTIFS($G$7:$G1747,$G1747,$H$7:$H1747,"&lt;&gt;Mahsup"))</f>
        <v/>
      </c>
    </row>
    <row r="1748" spans="1:21" ht="18" customHeight="1" x14ac:dyDescent="0.3">
      <c r="A1748" s="2"/>
      <c r="B1748" s="65" t="str">
        <f>IF($D1748="","","T"&amp;TEXT(ROW()-6,"00000"))</f>
        <v/>
      </c>
      <c r="C1748" s="65" t="str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61"/>
      <c r="E1748" s="66"/>
      <c r="F1748" s="67"/>
      <c r="G1748" s="60"/>
      <c r="H1748" s="60"/>
      <c r="I1748" s="61"/>
      <c r="J1748" s="61"/>
      <c r="K1748" s="61"/>
      <c r="L1748" s="73" t="str">
        <f>IF($E1748="","",DATE(YEAR($E1748),MONTH($E1748),1))</f>
        <v/>
      </c>
      <c r="M1748" s="65" t="str">
        <f ca="1">IF($D1748="","",IF($C1748="TANIMSIZ MÜŞTERİ","HATA",IF(OR($E1748="",$F1748&lt;=0,$G1748=""),"EKSİK",IF($E1748&gt;TODAY(),"İLERİ TARİH",IF(COUNTIF($S$7:$S$2503,$S1748)&gt;1,"MÜKERRER?",IF($T1748&gt;0,"KAPALI DÖNEM","UYGUN"))))))</f>
        <v/>
      </c>
      <c r="N1748" s="74" t="str">
        <f>IF($C1748="","",IF($C1748="TANIMSIZ MÜŞTERİ","—",INDEX(MUSTERILER!$C$7:$C$156,MATCH($C1748,MUSTERILER!$B$7:$B$156,0))))</f>
        <v/>
      </c>
      <c r="O1748" s="2"/>
      <c r="P1748" s="2"/>
      <c r="Q1748" s="1" t="str">
        <f>IF($D1748="","",$C1748&amp;"|"&amp;COUNTIFS($C$7:$C1748,$C1748))</f>
        <v/>
      </c>
      <c r="R1748" s="1" t="str">
        <f t="shared" si="54"/>
        <v/>
      </c>
      <c r="S1748" s="1" t="str">
        <f t="shared" si="55"/>
        <v/>
      </c>
      <c r="T1748" s="1">
        <f>IF($E1748="",0,SUMPRODUCT((AY_SONU!$O$7:$O$42="Evet")*(AY_SONU!$B$7:$B$42=DATE(YEAR($E1748),MONTH($E1748),1))))</f>
        <v>0</v>
      </c>
      <c r="U1748" s="1" t="str">
        <f>IF(OR($G1748="",$H1748="Mahsup"),"",$G1748&amp;"|"&amp;COUNTIFS($G$7:$G1748,$G1748,$H$7:$H1748,"&lt;&gt;Mahsup"))</f>
        <v/>
      </c>
    </row>
    <row r="1749" spans="1:21" ht="18" customHeight="1" x14ac:dyDescent="0.3">
      <c r="A1749" s="2"/>
      <c r="B1749" s="65" t="str">
        <f>IF($D1749="","","T"&amp;TEXT(ROW()-6,"00000"))</f>
        <v/>
      </c>
      <c r="C1749" s="65" t="str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61"/>
      <c r="E1749" s="66"/>
      <c r="F1749" s="67"/>
      <c r="G1749" s="60"/>
      <c r="H1749" s="60"/>
      <c r="I1749" s="61"/>
      <c r="J1749" s="61"/>
      <c r="K1749" s="61"/>
      <c r="L1749" s="73" t="str">
        <f>IF($E1749="","",DATE(YEAR($E1749),MONTH($E1749),1))</f>
        <v/>
      </c>
      <c r="M1749" s="65" t="str">
        <f ca="1">IF($D1749="","",IF($C1749="TANIMSIZ MÜŞTERİ","HATA",IF(OR($E1749="",$F1749&lt;=0,$G1749=""),"EKSİK",IF($E1749&gt;TODAY(),"İLERİ TARİH",IF(COUNTIF($S$7:$S$2503,$S1749)&gt;1,"MÜKERRER?",IF($T1749&gt;0,"KAPALI DÖNEM","UYGUN"))))))</f>
        <v/>
      </c>
      <c r="N1749" s="74" t="str">
        <f>IF($C1749="","",IF($C1749="TANIMSIZ MÜŞTERİ","—",INDEX(MUSTERILER!$C$7:$C$156,MATCH($C1749,MUSTERILER!$B$7:$B$156,0))))</f>
        <v/>
      </c>
      <c r="O1749" s="2"/>
      <c r="P1749" s="2"/>
      <c r="Q1749" s="1" t="str">
        <f>IF($D1749="","",$C1749&amp;"|"&amp;COUNTIFS($C$7:$C1749,$C1749))</f>
        <v/>
      </c>
      <c r="R1749" s="1" t="str">
        <f t="shared" si="54"/>
        <v/>
      </c>
      <c r="S1749" s="1" t="str">
        <f t="shared" si="55"/>
        <v/>
      </c>
      <c r="T1749" s="1">
        <f>IF($E1749="",0,SUMPRODUCT((AY_SONU!$O$7:$O$42="Evet")*(AY_SONU!$B$7:$B$42=DATE(YEAR($E1749),MONTH($E1749),1))))</f>
        <v>0</v>
      </c>
      <c r="U1749" s="1" t="str">
        <f>IF(OR($G1749="",$H1749="Mahsup"),"",$G1749&amp;"|"&amp;COUNTIFS($G$7:$G1749,$G1749,$H$7:$H1749,"&lt;&gt;Mahsup"))</f>
        <v/>
      </c>
    </row>
    <row r="1750" spans="1:21" ht="18" customHeight="1" x14ac:dyDescent="0.3">
      <c r="A1750" s="2"/>
      <c r="B1750" s="65" t="str">
        <f>IF($D1750="","","T"&amp;TEXT(ROW()-6,"00000"))</f>
        <v/>
      </c>
      <c r="C1750" s="65" t="str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61"/>
      <c r="E1750" s="66"/>
      <c r="F1750" s="67"/>
      <c r="G1750" s="60"/>
      <c r="H1750" s="60"/>
      <c r="I1750" s="61"/>
      <c r="J1750" s="61"/>
      <c r="K1750" s="61"/>
      <c r="L1750" s="73" t="str">
        <f>IF($E1750="","",DATE(YEAR($E1750),MONTH($E1750),1))</f>
        <v/>
      </c>
      <c r="M1750" s="65" t="str">
        <f ca="1">IF($D1750="","",IF($C1750="TANIMSIZ MÜŞTERİ","HATA",IF(OR($E1750="",$F1750&lt;=0,$G1750=""),"EKSİK",IF($E1750&gt;TODAY(),"İLERİ TARİH",IF(COUNTIF($S$7:$S$2503,$S1750)&gt;1,"MÜKERRER?",IF($T1750&gt;0,"KAPALI DÖNEM","UYGUN"))))))</f>
        <v/>
      </c>
      <c r="N1750" s="74" t="str">
        <f>IF($C1750="","",IF($C1750="TANIMSIZ MÜŞTERİ","—",INDEX(MUSTERILER!$C$7:$C$156,MATCH($C1750,MUSTERILER!$B$7:$B$156,0))))</f>
        <v/>
      </c>
      <c r="O1750" s="2"/>
      <c r="P1750" s="2"/>
      <c r="Q1750" s="1" t="str">
        <f>IF($D1750="","",$C1750&amp;"|"&amp;COUNTIFS($C$7:$C1750,$C1750))</f>
        <v/>
      </c>
      <c r="R1750" s="1" t="str">
        <f t="shared" si="54"/>
        <v/>
      </c>
      <c r="S1750" s="1" t="str">
        <f t="shared" si="55"/>
        <v/>
      </c>
      <c r="T1750" s="1">
        <f>IF($E1750="",0,SUMPRODUCT((AY_SONU!$O$7:$O$42="Evet")*(AY_SONU!$B$7:$B$42=DATE(YEAR($E1750),MONTH($E1750),1))))</f>
        <v>0</v>
      </c>
      <c r="U1750" s="1" t="str">
        <f>IF(OR($G1750="",$H1750="Mahsup"),"",$G1750&amp;"|"&amp;COUNTIFS($G$7:$G1750,$G1750,$H$7:$H1750,"&lt;&gt;Mahsup"))</f>
        <v/>
      </c>
    </row>
    <row r="1751" spans="1:21" ht="18" customHeight="1" x14ac:dyDescent="0.3">
      <c r="A1751" s="2"/>
      <c r="B1751" s="65" t="str">
        <f>IF($D1751="","","T"&amp;TEXT(ROW()-6,"00000"))</f>
        <v/>
      </c>
      <c r="C1751" s="65" t="str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61"/>
      <c r="E1751" s="66"/>
      <c r="F1751" s="67"/>
      <c r="G1751" s="60"/>
      <c r="H1751" s="60"/>
      <c r="I1751" s="61"/>
      <c r="J1751" s="61"/>
      <c r="K1751" s="61"/>
      <c r="L1751" s="73" t="str">
        <f>IF($E1751="","",DATE(YEAR($E1751),MONTH($E1751),1))</f>
        <v/>
      </c>
      <c r="M1751" s="65" t="str">
        <f ca="1">IF($D1751="","",IF($C1751="TANIMSIZ MÜŞTERİ","HATA",IF(OR($E1751="",$F1751&lt;=0,$G1751=""),"EKSİK",IF($E1751&gt;TODAY(),"İLERİ TARİH",IF(COUNTIF($S$7:$S$2503,$S1751)&gt;1,"MÜKERRER?",IF($T1751&gt;0,"KAPALI DÖNEM","UYGUN"))))))</f>
        <v/>
      </c>
      <c r="N1751" s="74" t="str">
        <f>IF($C1751="","",IF($C1751="TANIMSIZ MÜŞTERİ","—",INDEX(MUSTERILER!$C$7:$C$156,MATCH($C1751,MUSTERILER!$B$7:$B$156,0))))</f>
        <v/>
      </c>
      <c r="O1751" s="2"/>
      <c r="P1751" s="2"/>
      <c r="Q1751" s="1" t="str">
        <f>IF($D1751="","",$C1751&amp;"|"&amp;COUNTIFS($C$7:$C1751,$C1751))</f>
        <v/>
      </c>
      <c r="R1751" s="1" t="str">
        <f t="shared" si="54"/>
        <v/>
      </c>
      <c r="S1751" s="1" t="str">
        <f t="shared" si="55"/>
        <v/>
      </c>
      <c r="T1751" s="1">
        <f>IF($E1751="",0,SUMPRODUCT((AY_SONU!$O$7:$O$42="Evet")*(AY_SONU!$B$7:$B$42=DATE(YEAR($E1751),MONTH($E1751),1))))</f>
        <v>0</v>
      </c>
      <c r="U1751" s="1" t="str">
        <f>IF(OR($G1751="",$H1751="Mahsup"),"",$G1751&amp;"|"&amp;COUNTIFS($G$7:$G1751,$G1751,$H$7:$H1751,"&lt;&gt;Mahsup"))</f>
        <v/>
      </c>
    </row>
    <row r="1752" spans="1:21" ht="18" customHeight="1" x14ac:dyDescent="0.3">
      <c r="A1752" s="2"/>
      <c r="B1752" s="65" t="str">
        <f>IF($D1752="","","T"&amp;TEXT(ROW()-6,"00000"))</f>
        <v/>
      </c>
      <c r="C1752" s="65" t="str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61"/>
      <c r="E1752" s="66"/>
      <c r="F1752" s="67"/>
      <c r="G1752" s="60"/>
      <c r="H1752" s="60"/>
      <c r="I1752" s="61"/>
      <c r="J1752" s="61"/>
      <c r="K1752" s="61"/>
      <c r="L1752" s="73" t="str">
        <f>IF($E1752="","",DATE(YEAR($E1752),MONTH($E1752),1))</f>
        <v/>
      </c>
      <c r="M1752" s="65" t="str">
        <f ca="1">IF($D1752="","",IF($C1752="TANIMSIZ MÜŞTERİ","HATA",IF(OR($E1752="",$F1752&lt;=0,$G1752=""),"EKSİK",IF($E1752&gt;TODAY(),"İLERİ TARİH",IF(COUNTIF($S$7:$S$2503,$S1752)&gt;1,"MÜKERRER?",IF($T1752&gt;0,"KAPALI DÖNEM","UYGUN"))))))</f>
        <v/>
      </c>
      <c r="N1752" s="74" t="str">
        <f>IF($C1752="","",IF($C1752="TANIMSIZ MÜŞTERİ","—",INDEX(MUSTERILER!$C$7:$C$156,MATCH($C1752,MUSTERILER!$B$7:$B$156,0))))</f>
        <v/>
      </c>
      <c r="O1752" s="2"/>
      <c r="P1752" s="2"/>
      <c r="Q1752" s="1" t="str">
        <f>IF($D1752="","",$C1752&amp;"|"&amp;COUNTIFS($C$7:$C1752,$C1752))</f>
        <v/>
      </c>
      <c r="R1752" s="1" t="str">
        <f t="shared" si="54"/>
        <v/>
      </c>
      <c r="S1752" s="1" t="str">
        <f t="shared" si="55"/>
        <v/>
      </c>
      <c r="T1752" s="1">
        <f>IF($E1752="",0,SUMPRODUCT((AY_SONU!$O$7:$O$42="Evet")*(AY_SONU!$B$7:$B$42=DATE(YEAR($E1752),MONTH($E1752),1))))</f>
        <v>0</v>
      </c>
      <c r="U1752" s="1" t="str">
        <f>IF(OR($G1752="",$H1752="Mahsup"),"",$G1752&amp;"|"&amp;COUNTIFS($G$7:$G1752,$G1752,$H$7:$H1752,"&lt;&gt;Mahsup"))</f>
        <v/>
      </c>
    </row>
    <row r="1753" spans="1:21" ht="18" customHeight="1" x14ac:dyDescent="0.3">
      <c r="A1753" s="2"/>
      <c r="B1753" s="65" t="str">
        <f>IF($D1753="","","T"&amp;TEXT(ROW()-6,"00000"))</f>
        <v/>
      </c>
      <c r="C1753" s="65" t="str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61"/>
      <c r="E1753" s="66"/>
      <c r="F1753" s="67"/>
      <c r="G1753" s="60"/>
      <c r="H1753" s="60"/>
      <c r="I1753" s="61"/>
      <c r="J1753" s="61"/>
      <c r="K1753" s="61"/>
      <c r="L1753" s="73" t="str">
        <f>IF($E1753="","",DATE(YEAR($E1753),MONTH($E1753),1))</f>
        <v/>
      </c>
      <c r="M1753" s="65" t="str">
        <f ca="1">IF($D1753="","",IF($C1753="TANIMSIZ MÜŞTERİ","HATA",IF(OR($E1753="",$F1753&lt;=0,$G1753=""),"EKSİK",IF($E1753&gt;TODAY(),"İLERİ TARİH",IF(COUNTIF($S$7:$S$2503,$S1753)&gt;1,"MÜKERRER?",IF($T1753&gt;0,"KAPALI DÖNEM","UYGUN"))))))</f>
        <v/>
      </c>
      <c r="N1753" s="74" t="str">
        <f>IF($C1753="","",IF($C1753="TANIMSIZ MÜŞTERİ","—",INDEX(MUSTERILER!$C$7:$C$156,MATCH($C1753,MUSTERILER!$B$7:$B$156,0))))</f>
        <v/>
      </c>
      <c r="O1753" s="2"/>
      <c r="P1753" s="2"/>
      <c r="Q1753" s="1" t="str">
        <f>IF($D1753="","",$C1753&amp;"|"&amp;COUNTIFS($C$7:$C1753,$C1753))</f>
        <v/>
      </c>
      <c r="R1753" s="1" t="str">
        <f t="shared" si="54"/>
        <v/>
      </c>
      <c r="S1753" s="1" t="str">
        <f t="shared" si="55"/>
        <v/>
      </c>
      <c r="T1753" s="1">
        <f>IF($E1753="",0,SUMPRODUCT((AY_SONU!$O$7:$O$42="Evet")*(AY_SONU!$B$7:$B$42=DATE(YEAR($E1753),MONTH($E1753),1))))</f>
        <v>0</v>
      </c>
      <c r="U1753" s="1" t="str">
        <f>IF(OR($G1753="",$H1753="Mahsup"),"",$G1753&amp;"|"&amp;COUNTIFS($G$7:$G1753,$G1753,$H$7:$H1753,"&lt;&gt;Mahsup"))</f>
        <v/>
      </c>
    </row>
    <row r="1754" spans="1:21" ht="18" customHeight="1" x14ac:dyDescent="0.3">
      <c r="A1754" s="2"/>
      <c r="B1754" s="65" t="str">
        <f>IF($D1754="","","T"&amp;TEXT(ROW()-6,"00000"))</f>
        <v/>
      </c>
      <c r="C1754" s="65" t="str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61"/>
      <c r="E1754" s="66"/>
      <c r="F1754" s="67"/>
      <c r="G1754" s="60"/>
      <c r="H1754" s="60"/>
      <c r="I1754" s="61"/>
      <c r="J1754" s="61"/>
      <c r="K1754" s="61"/>
      <c r="L1754" s="73" t="str">
        <f>IF($E1754="","",DATE(YEAR($E1754),MONTH($E1754),1))</f>
        <v/>
      </c>
      <c r="M1754" s="65" t="str">
        <f ca="1">IF($D1754="","",IF($C1754="TANIMSIZ MÜŞTERİ","HATA",IF(OR($E1754="",$F1754&lt;=0,$G1754=""),"EKSİK",IF($E1754&gt;TODAY(),"İLERİ TARİH",IF(COUNTIF($S$7:$S$2503,$S1754)&gt;1,"MÜKERRER?",IF($T1754&gt;0,"KAPALI DÖNEM","UYGUN"))))))</f>
        <v/>
      </c>
      <c r="N1754" s="74" t="str">
        <f>IF($C1754="","",IF($C1754="TANIMSIZ MÜŞTERİ","—",INDEX(MUSTERILER!$C$7:$C$156,MATCH($C1754,MUSTERILER!$B$7:$B$156,0))))</f>
        <v/>
      </c>
      <c r="O1754" s="2"/>
      <c r="P1754" s="2"/>
      <c r="Q1754" s="1" t="str">
        <f>IF($D1754="","",$C1754&amp;"|"&amp;COUNTIFS($C$7:$C1754,$C1754))</f>
        <v/>
      </c>
      <c r="R1754" s="1" t="str">
        <f t="shared" si="54"/>
        <v/>
      </c>
      <c r="S1754" s="1" t="str">
        <f t="shared" si="55"/>
        <v/>
      </c>
      <c r="T1754" s="1">
        <f>IF($E1754="",0,SUMPRODUCT((AY_SONU!$O$7:$O$42="Evet")*(AY_SONU!$B$7:$B$42=DATE(YEAR($E1754),MONTH($E1754),1))))</f>
        <v>0</v>
      </c>
      <c r="U1754" s="1" t="str">
        <f>IF(OR($G1754="",$H1754="Mahsup"),"",$G1754&amp;"|"&amp;COUNTIFS($G$7:$G1754,$G1754,$H$7:$H1754,"&lt;&gt;Mahsup"))</f>
        <v/>
      </c>
    </row>
    <row r="1755" spans="1:21" ht="18" customHeight="1" x14ac:dyDescent="0.3">
      <c r="A1755" s="2"/>
      <c r="B1755" s="65" t="str">
        <f>IF($D1755="","","T"&amp;TEXT(ROW()-6,"00000"))</f>
        <v/>
      </c>
      <c r="C1755" s="65" t="str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61"/>
      <c r="E1755" s="66"/>
      <c r="F1755" s="67"/>
      <c r="G1755" s="60"/>
      <c r="H1755" s="60"/>
      <c r="I1755" s="61"/>
      <c r="J1755" s="61"/>
      <c r="K1755" s="61"/>
      <c r="L1755" s="73" t="str">
        <f>IF($E1755="","",DATE(YEAR($E1755),MONTH($E1755),1))</f>
        <v/>
      </c>
      <c r="M1755" s="65" t="str">
        <f ca="1">IF($D1755="","",IF($C1755="TANIMSIZ MÜŞTERİ","HATA",IF(OR($E1755="",$F1755&lt;=0,$G1755=""),"EKSİK",IF($E1755&gt;TODAY(),"İLERİ TARİH",IF(COUNTIF($S$7:$S$2503,$S1755)&gt;1,"MÜKERRER?",IF($T1755&gt;0,"KAPALI DÖNEM","UYGUN"))))))</f>
        <v/>
      </c>
      <c r="N1755" s="74" t="str">
        <f>IF($C1755="","",IF($C1755="TANIMSIZ MÜŞTERİ","—",INDEX(MUSTERILER!$C$7:$C$156,MATCH($C1755,MUSTERILER!$B$7:$B$156,0))))</f>
        <v/>
      </c>
      <c r="O1755" s="2"/>
      <c r="P1755" s="2"/>
      <c r="Q1755" s="1" t="str">
        <f>IF($D1755="","",$C1755&amp;"|"&amp;COUNTIFS($C$7:$C1755,$C1755))</f>
        <v/>
      </c>
      <c r="R1755" s="1" t="str">
        <f t="shared" si="54"/>
        <v/>
      </c>
      <c r="S1755" s="1" t="str">
        <f t="shared" si="55"/>
        <v/>
      </c>
      <c r="T1755" s="1">
        <f>IF($E1755="",0,SUMPRODUCT((AY_SONU!$O$7:$O$42="Evet")*(AY_SONU!$B$7:$B$42=DATE(YEAR($E1755),MONTH($E1755),1))))</f>
        <v>0</v>
      </c>
      <c r="U1755" s="1" t="str">
        <f>IF(OR($G1755="",$H1755="Mahsup"),"",$G1755&amp;"|"&amp;COUNTIFS($G$7:$G1755,$G1755,$H$7:$H1755,"&lt;&gt;Mahsup"))</f>
        <v/>
      </c>
    </row>
    <row r="1756" spans="1:21" ht="18" customHeight="1" x14ac:dyDescent="0.3">
      <c r="A1756" s="2"/>
      <c r="B1756" s="65" t="str">
        <f>IF($D1756="","","T"&amp;TEXT(ROW()-6,"00000"))</f>
        <v/>
      </c>
      <c r="C1756" s="65" t="str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61"/>
      <c r="E1756" s="66"/>
      <c r="F1756" s="67"/>
      <c r="G1756" s="60"/>
      <c r="H1756" s="60"/>
      <c r="I1756" s="61"/>
      <c r="J1756" s="61"/>
      <c r="K1756" s="61"/>
      <c r="L1756" s="73" t="str">
        <f>IF($E1756="","",DATE(YEAR($E1756),MONTH($E1756),1))</f>
        <v/>
      </c>
      <c r="M1756" s="65" t="str">
        <f ca="1">IF($D1756="","",IF($C1756="TANIMSIZ MÜŞTERİ","HATA",IF(OR($E1756="",$F1756&lt;=0,$G1756=""),"EKSİK",IF($E1756&gt;TODAY(),"İLERİ TARİH",IF(COUNTIF($S$7:$S$2503,$S1756)&gt;1,"MÜKERRER?",IF($T1756&gt;0,"KAPALI DÖNEM","UYGUN"))))))</f>
        <v/>
      </c>
      <c r="N1756" s="74" t="str">
        <f>IF($C1756="","",IF($C1756="TANIMSIZ MÜŞTERİ","—",INDEX(MUSTERILER!$C$7:$C$156,MATCH($C1756,MUSTERILER!$B$7:$B$156,0))))</f>
        <v/>
      </c>
      <c r="O1756" s="2"/>
      <c r="P1756" s="2"/>
      <c r="Q1756" s="1" t="str">
        <f>IF($D1756="","",$C1756&amp;"|"&amp;COUNTIFS($C$7:$C1756,$C1756))</f>
        <v/>
      </c>
      <c r="R1756" s="1" t="str">
        <f t="shared" si="54"/>
        <v/>
      </c>
      <c r="S1756" s="1" t="str">
        <f t="shared" si="55"/>
        <v/>
      </c>
      <c r="T1756" s="1">
        <f>IF($E1756="",0,SUMPRODUCT((AY_SONU!$O$7:$O$42="Evet")*(AY_SONU!$B$7:$B$42=DATE(YEAR($E1756),MONTH($E1756),1))))</f>
        <v>0</v>
      </c>
      <c r="U1756" s="1" t="str">
        <f>IF(OR($G1756="",$H1756="Mahsup"),"",$G1756&amp;"|"&amp;COUNTIFS($G$7:$G1756,$G1756,$H$7:$H1756,"&lt;&gt;Mahsup"))</f>
        <v/>
      </c>
    </row>
    <row r="1757" spans="1:21" ht="18" customHeight="1" x14ac:dyDescent="0.3">
      <c r="A1757" s="2"/>
      <c r="B1757" s="65" t="str">
        <f>IF($D1757="","","T"&amp;TEXT(ROW()-6,"00000"))</f>
        <v/>
      </c>
      <c r="C1757" s="65" t="str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61"/>
      <c r="E1757" s="66"/>
      <c r="F1757" s="67"/>
      <c r="G1757" s="60"/>
      <c r="H1757" s="60"/>
      <c r="I1757" s="61"/>
      <c r="J1757" s="61"/>
      <c r="K1757" s="61"/>
      <c r="L1757" s="73" t="str">
        <f>IF($E1757="","",DATE(YEAR($E1757),MONTH($E1757),1))</f>
        <v/>
      </c>
      <c r="M1757" s="65" t="str">
        <f ca="1">IF($D1757="","",IF($C1757="TANIMSIZ MÜŞTERİ","HATA",IF(OR($E1757="",$F1757&lt;=0,$G1757=""),"EKSİK",IF($E1757&gt;TODAY(),"İLERİ TARİH",IF(COUNTIF($S$7:$S$2503,$S1757)&gt;1,"MÜKERRER?",IF($T1757&gt;0,"KAPALI DÖNEM","UYGUN"))))))</f>
        <v/>
      </c>
      <c r="N1757" s="74" t="str">
        <f>IF($C1757="","",IF($C1757="TANIMSIZ MÜŞTERİ","—",INDEX(MUSTERILER!$C$7:$C$156,MATCH($C1757,MUSTERILER!$B$7:$B$156,0))))</f>
        <v/>
      </c>
      <c r="O1757" s="2"/>
      <c r="P1757" s="2"/>
      <c r="Q1757" s="1" t="str">
        <f>IF($D1757="","",$C1757&amp;"|"&amp;COUNTIFS($C$7:$C1757,$C1757))</f>
        <v/>
      </c>
      <c r="R1757" s="1" t="str">
        <f t="shared" si="54"/>
        <v/>
      </c>
      <c r="S1757" s="1" t="str">
        <f t="shared" si="55"/>
        <v/>
      </c>
      <c r="T1757" s="1">
        <f>IF($E1757="",0,SUMPRODUCT((AY_SONU!$O$7:$O$42="Evet")*(AY_SONU!$B$7:$B$42=DATE(YEAR($E1757),MONTH($E1757),1))))</f>
        <v>0</v>
      </c>
      <c r="U1757" s="1" t="str">
        <f>IF(OR($G1757="",$H1757="Mahsup"),"",$G1757&amp;"|"&amp;COUNTIFS($G$7:$G1757,$G1757,$H$7:$H1757,"&lt;&gt;Mahsup"))</f>
        <v/>
      </c>
    </row>
    <row r="1758" spans="1:21" ht="18" customHeight="1" x14ac:dyDescent="0.3">
      <c r="A1758" s="2"/>
      <c r="B1758" s="65" t="str">
        <f>IF($D1758="","","T"&amp;TEXT(ROW()-6,"00000"))</f>
        <v/>
      </c>
      <c r="C1758" s="65" t="str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61"/>
      <c r="E1758" s="66"/>
      <c r="F1758" s="67"/>
      <c r="G1758" s="60"/>
      <c r="H1758" s="60"/>
      <c r="I1758" s="61"/>
      <c r="J1758" s="61"/>
      <c r="K1758" s="61"/>
      <c r="L1758" s="73" t="str">
        <f>IF($E1758="","",DATE(YEAR($E1758),MONTH($E1758),1))</f>
        <v/>
      </c>
      <c r="M1758" s="65" t="str">
        <f ca="1">IF($D1758="","",IF($C1758="TANIMSIZ MÜŞTERİ","HATA",IF(OR($E1758="",$F1758&lt;=0,$G1758=""),"EKSİK",IF($E1758&gt;TODAY(),"İLERİ TARİH",IF(COUNTIF($S$7:$S$2503,$S1758)&gt;1,"MÜKERRER?",IF($T1758&gt;0,"KAPALI DÖNEM","UYGUN"))))))</f>
        <v/>
      </c>
      <c r="N1758" s="74" t="str">
        <f>IF($C1758="","",IF($C1758="TANIMSIZ MÜŞTERİ","—",INDEX(MUSTERILER!$C$7:$C$156,MATCH($C1758,MUSTERILER!$B$7:$B$156,0))))</f>
        <v/>
      </c>
      <c r="O1758" s="2"/>
      <c r="P1758" s="2"/>
      <c r="Q1758" s="1" t="str">
        <f>IF($D1758="","",$C1758&amp;"|"&amp;COUNTIFS($C$7:$C1758,$C1758))</f>
        <v/>
      </c>
      <c r="R1758" s="1" t="str">
        <f t="shared" si="54"/>
        <v/>
      </c>
      <c r="S1758" s="1" t="str">
        <f t="shared" si="55"/>
        <v/>
      </c>
      <c r="T1758" s="1">
        <f>IF($E1758="",0,SUMPRODUCT((AY_SONU!$O$7:$O$42="Evet")*(AY_SONU!$B$7:$B$42=DATE(YEAR($E1758),MONTH($E1758),1))))</f>
        <v>0</v>
      </c>
      <c r="U1758" s="1" t="str">
        <f>IF(OR($G1758="",$H1758="Mahsup"),"",$G1758&amp;"|"&amp;COUNTIFS($G$7:$G1758,$G1758,$H$7:$H1758,"&lt;&gt;Mahsup"))</f>
        <v/>
      </c>
    </row>
    <row r="1759" spans="1:21" ht="18" customHeight="1" x14ac:dyDescent="0.3">
      <c r="A1759" s="2"/>
      <c r="B1759" s="65" t="str">
        <f>IF($D1759="","","T"&amp;TEXT(ROW()-6,"00000"))</f>
        <v/>
      </c>
      <c r="C1759" s="65" t="str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61"/>
      <c r="E1759" s="66"/>
      <c r="F1759" s="67"/>
      <c r="G1759" s="60"/>
      <c r="H1759" s="60"/>
      <c r="I1759" s="61"/>
      <c r="J1759" s="61"/>
      <c r="K1759" s="61"/>
      <c r="L1759" s="73" t="str">
        <f>IF($E1759="","",DATE(YEAR($E1759),MONTH($E1759),1))</f>
        <v/>
      </c>
      <c r="M1759" s="65" t="str">
        <f ca="1">IF($D1759="","",IF($C1759="TANIMSIZ MÜŞTERİ","HATA",IF(OR($E1759="",$F1759&lt;=0,$G1759=""),"EKSİK",IF($E1759&gt;TODAY(),"İLERİ TARİH",IF(COUNTIF($S$7:$S$2503,$S1759)&gt;1,"MÜKERRER?",IF($T1759&gt;0,"KAPALI DÖNEM","UYGUN"))))))</f>
        <v/>
      </c>
      <c r="N1759" s="74" t="str">
        <f>IF($C1759="","",IF($C1759="TANIMSIZ MÜŞTERİ","—",INDEX(MUSTERILER!$C$7:$C$156,MATCH($C1759,MUSTERILER!$B$7:$B$156,0))))</f>
        <v/>
      </c>
      <c r="O1759" s="2"/>
      <c r="P1759" s="2"/>
      <c r="Q1759" s="1" t="str">
        <f>IF($D1759="","",$C1759&amp;"|"&amp;COUNTIFS($C$7:$C1759,$C1759))</f>
        <v/>
      </c>
      <c r="R1759" s="1" t="str">
        <f t="shared" si="54"/>
        <v/>
      </c>
      <c r="S1759" s="1" t="str">
        <f t="shared" si="55"/>
        <v/>
      </c>
      <c r="T1759" s="1">
        <f>IF($E1759="",0,SUMPRODUCT((AY_SONU!$O$7:$O$42="Evet")*(AY_SONU!$B$7:$B$42=DATE(YEAR($E1759),MONTH($E1759),1))))</f>
        <v>0</v>
      </c>
      <c r="U1759" s="1" t="str">
        <f>IF(OR($G1759="",$H1759="Mahsup"),"",$G1759&amp;"|"&amp;COUNTIFS($G$7:$G1759,$G1759,$H$7:$H1759,"&lt;&gt;Mahsup"))</f>
        <v/>
      </c>
    </row>
    <row r="1760" spans="1:21" ht="18" customHeight="1" x14ac:dyDescent="0.3">
      <c r="A1760" s="2"/>
      <c r="B1760" s="65" t="str">
        <f>IF($D1760="","","T"&amp;TEXT(ROW()-6,"00000"))</f>
        <v/>
      </c>
      <c r="C1760" s="65" t="str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61"/>
      <c r="E1760" s="66"/>
      <c r="F1760" s="67"/>
      <c r="G1760" s="60"/>
      <c r="H1760" s="60"/>
      <c r="I1760" s="61"/>
      <c r="J1760" s="61"/>
      <c r="K1760" s="61"/>
      <c r="L1760" s="73" t="str">
        <f>IF($E1760="","",DATE(YEAR($E1760),MONTH($E1760),1))</f>
        <v/>
      </c>
      <c r="M1760" s="65" t="str">
        <f ca="1">IF($D1760="","",IF($C1760="TANIMSIZ MÜŞTERİ","HATA",IF(OR($E1760="",$F1760&lt;=0,$G1760=""),"EKSİK",IF($E1760&gt;TODAY(),"İLERİ TARİH",IF(COUNTIF($S$7:$S$2503,$S1760)&gt;1,"MÜKERRER?",IF($T1760&gt;0,"KAPALI DÖNEM","UYGUN"))))))</f>
        <v/>
      </c>
      <c r="N1760" s="74" t="str">
        <f>IF($C1760="","",IF($C1760="TANIMSIZ MÜŞTERİ","—",INDEX(MUSTERILER!$C$7:$C$156,MATCH($C1760,MUSTERILER!$B$7:$B$156,0))))</f>
        <v/>
      </c>
      <c r="O1760" s="2"/>
      <c r="P1760" s="2"/>
      <c r="Q1760" s="1" t="str">
        <f>IF($D1760="","",$C1760&amp;"|"&amp;COUNTIFS($C$7:$C1760,$C1760))</f>
        <v/>
      </c>
      <c r="R1760" s="1" t="str">
        <f t="shared" si="54"/>
        <v/>
      </c>
      <c r="S1760" s="1" t="str">
        <f t="shared" si="55"/>
        <v/>
      </c>
      <c r="T1760" s="1">
        <f>IF($E1760="",0,SUMPRODUCT((AY_SONU!$O$7:$O$42="Evet")*(AY_SONU!$B$7:$B$42=DATE(YEAR($E1760),MONTH($E1760),1))))</f>
        <v>0</v>
      </c>
      <c r="U1760" s="1" t="str">
        <f>IF(OR($G1760="",$H1760="Mahsup"),"",$G1760&amp;"|"&amp;COUNTIFS($G$7:$G1760,$G1760,$H$7:$H1760,"&lt;&gt;Mahsup"))</f>
        <v/>
      </c>
    </row>
    <row r="1761" spans="1:21" ht="18" customHeight="1" x14ac:dyDescent="0.3">
      <c r="A1761" s="2"/>
      <c r="B1761" s="65" t="str">
        <f>IF($D1761="","","T"&amp;TEXT(ROW()-6,"00000"))</f>
        <v/>
      </c>
      <c r="C1761" s="65" t="str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61"/>
      <c r="E1761" s="66"/>
      <c r="F1761" s="67"/>
      <c r="G1761" s="60"/>
      <c r="H1761" s="60"/>
      <c r="I1761" s="61"/>
      <c r="J1761" s="61"/>
      <c r="K1761" s="61"/>
      <c r="L1761" s="73" t="str">
        <f>IF($E1761="","",DATE(YEAR($E1761),MONTH($E1761),1))</f>
        <v/>
      </c>
      <c r="M1761" s="65" t="str">
        <f ca="1">IF($D1761="","",IF($C1761="TANIMSIZ MÜŞTERİ","HATA",IF(OR($E1761="",$F1761&lt;=0,$G1761=""),"EKSİK",IF($E1761&gt;TODAY(),"İLERİ TARİH",IF(COUNTIF($S$7:$S$2503,$S1761)&gt;1,"MÜKERRER?",IF($T1761&gt;0,"KAPALI DÖNEM","UYGUN"))))))</f>
        <v/>
      </c>
      <c r="N1761" s="74" t="str">
        <f>IF($C1761="","",IF($C1761="TANIMSIZ MÜŞTERİ","—",INDEX(MUSTERILER!$C$7:$C$156,MATCH($C1761,MUSTERILER!$B$7:$B$156,0))))</f>
        <v/>
      </c>
      <c r="O1761" s="2"/>
      <c r="P1761" s="2"/>
      <c r="Q1761" s="1" t="str">
        <f>IF($D1761="","",$C1761&amp;"|"&amp;COUNTIFS($C$7:$C1761,$C1761))</f>
        <v/>
      </c>
      <c r="R1761" s="1" t="str">
        <f t="shared" si="54"/>
        <v/>
      </c>
      <c r="S1761" s="1" t="str">
        <f t="shared" si="55"/>
        <v/>
      </c>
      <c r="T1761" s="1">
        <f>IF($E1761="",0,SUMPRODUCT((AY_SONU!$O$7:$O$42="Evet")*(AY_SONU!$B$7:$B$42=DATE(YEAR($E1761),MONTH($E1761),1))))</f>
        <v>0</v>
      </c>
      <c r="U1761" s="1" t="str">
        <f>IF(OR($G1761="",$H1761="Mahsup"),"",$G1761&amp;"|"&amp;COUNTIFS($G$7:$G1761,$G1761,$H$7:$H1761,"&lt;&gt;Mahsup"))</f>
        <v/>
      </c>
    </row>
    <row r="1762" spans="1:21" ht="18" customHeight="1" x14ac:dyDescent="0.3">
      <c r="A1762" s="2"/>
      <c r="B1762" s="65" t="str">
        <f>IF($D1762="","","T"&amp;TEXT(ROW()-6,"00000"))</f>
        <v/>
      </c>
      <c r="C1762" s="65" t="str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61"/>
      <c r="E1762" s="66"/>
      <c r="F1762" s="67"/>
      <c r="G1762" s="60"/>
      <c r="H1762" s="60"/>
      <c r="I1762" s="61"/>
      <c r="J1762" s="61"/>
      <c r="K1762" s="61"/>
      <c r="L1762" s="73" t="str">
        <f>IF($E1762="","",DATE(YEAR($E1762),MONTH($E1762),1))</f>
        <v/>
      </c>
      <c r="M1762" s="65" t="str">
        <f ca="1">IF($D1762="","",IF($C1762="TANIMSIZ MÜŞTERİ","HATA",IF(OR($E1762="",$F1762&lt;=0,$G1762=""),"EKSİK",IF($E1762&gt;TODAY(),"İLERİ TARİH",IF(COUNTIF($S$7:$S$2503,$S1762)&gt;1,"MÜKERRER?",IF($T1762&gt;0,"KAPALI DÖNEM","UYGUN"))))))</f>
        <v/>
      </c>
      <c r="N1762" s="74" t="str">
        <f>IF($C1762="","",IF($C1762="TANIMSIZ MÜŞTERİ","—",INDEX(MUSTERILER!$C$7:$C$156,MATCH($C1762,MUSTERILER!$B$7:$B$156,0))))</f>
        <v/>
      </c>
      <c r="O1762" s="2"/>
      <c r="P1762" s="2"/>
      <c r="Q1762" s="1" t="str">
        <f>IF($D1762="","",$C1762&amp;"|"&amp;COUNTIFS($C$7:$C1762,$C1762))</f>
        <v/>
      </c>
      <c r="R1762" s="1" t="str">
        <f t="shared" si="54"/>
        <v/>
      </c>
      <c r="S1762" s="1" t="str">
        <f t="shared" si="55"/>
        <v/>
      </c>
      <c r="T1762" s="1">
        <f>IF($E1762="",0,SUMPRODUCT((AY_SONU!$O$7:$O$42="Evet")*(AY_SONU!$B$7:$B$42=DATE(YEAR($E1762),MONTH($E1762),1))))</f>
        <v>0</v>
      </c>
      <c r="U1762" s="1" t="str">
        <f>IF(OR($G1762="",$H1762="Mahsup"),"",$G1762&amp;"|"&amp;COUNTIFS($G$7:$G1762,$G1762,$H$7:$H1762,"&lt;&gt;Mahsup"))</f>
        <v/>
      </c>
    </row>
    <row r="1763" spans="1:21" ht="18" customHeight="1" x14ac:dyDescent="0.3">
      <c r="A1763" s="2"/>
      <c r="B1763" s="65" t="str">
        <f>IF($D1763="","","T"&amp;TEXT(ROW()-6,"00000"))</f>
        <v/>
      </c>
      <c r="C1763" s="65" t="str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61"/>
      <c r="E1763" s="66"/>
      <c r="F1763" s="67"/>
      <c r="G1763" s="60"/>
      <c r="H1763" s="60"/>
      <c r="I1763" s="61"/>
      <c r="J1763" s="61"/>
      <c r="K1763" s="61"/>
      <c r="L1763" s="73" t="str">
        <f>IF($E1763="","",DATE(YEAR($E1763),MONTH($E1763),1))</f>
        <v/>
      </c>
      <c r="M1763" s="65" t="str">
        <f ca="1">IF($D1763="","",IF($C1763="TANIMSIZ MÜŞTERİ","HATA",IF(OR($E1763="",$F1763&lt;=0,$G1763=""),"EKSİK",IF($E1763&gt;TODAY(),"İLERİ TARİH",IF(COUNTIF($S$7:$S$2503,$S1763)&gt;1,"MÜKERRER?",IF($T1763&gt;0,"KAPALI DÖNEM","UYGUN"))))))</f>
        <v/>
      </c>
      <c r="N1763" s="74" t="str">
        <f>IF($C1763="","",IF($C1763="TANIMSIZ MÜŞTERİ","—",INDEX(MUSTERILER!$C$7:$C$156,MATCH($C1763,MUSTERILER!$B$7:$B$156,0))))</f>
        <v/>
      </c>
      <c r="O1763" s="2"/>
      <c r="P1763" s="2"/>
      <c r="Q1763" s="1" t="str">
        <f>IF($D1763="","",$C1763&amp;"|"&amp;COUNTIFS($C$7:$C1763,$C1763))</f>
        <v/>
      </c>
      <c r="R1763" s="1" t="str">
        <f t="shared" si="54"/>
        <v/>
      </c>
      <c r="S1763" s="1" t="str">
        <f t="shared" si="55"/>
        <v/>
      </c>
      <c r="T1763" s="1">
        <f>IF($E1763="",0,SUMPRODUCT((AY_SONU!$O$7:$O$42="Evet")*(AY_SONU!$B$7:$B$42=DATE(YEAR($E1763),MONTH($E1763),1))))</f>
        <v>0</v>
      </c>
      <c r="U1763" s="1" t="str">
        <f>IF(OR($G1763="",$H1763="Mahsup"),"",$G1763&amp;"|"&amp;COUNTIFS($G$7:$G1763,$G1763,$H$7:$H1763,"&lt;&gt;Mahsup"))</f>
        <v/>
      </c>
    </row>
    <row r="1764" spans="1:21" ht="18" customHeight="1" x14ac:dyDescent="0.3">
      <c r="A1764" s="2"/>
      <c r="B1764" s="65" t="str">
        <f>IF($D1764="","","T"&amp;TEXT(ROW()-6,"00000"))</f>
        <v/>
      </c>
      <c r="C1764" s="65" t="str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61"/>
      <c r="E1764" s="66"/>
      <c r="F1764" s="67"/>
      <c r="G1764" s="60"/>
      <c r="H1764" s="60"/>
      <c r="I1764" s="61"/>
      <c r="J1764" s="61"/>
      <c r="K1764" s="61"/>
      <c r="L1764" s="73" t="str">
        <f>IF($E1764="","",DATE(YEAR($E1764),MONTH($E1764),1))</f>
        <v/>
      </c>
      <c r="M1764" s="65" t="str">
        <f ca="1">IF($D1764="","",IF($C1764="TANIMSIZ MÜŞTERİ","HATA",IF(OR($E1764="",$F1764&lt;=0,$G1764=""),"EKSİK",IF($E1764&gt;TODAY(),"İLERİ TARİH",IF(COUNTIF($S$7:$S$2503,$S1764)&gt;1,"MÜKERRER?",IF($T1764&gt;0,"KAPALI DÖNEM","UYGUN"))))))</f>
        <v/>
      </c>
      <c r="N1764" s="74" t="str">
        <f>IF($C1764="","",IF($C1764="TANIMSIZ MÜŞTERİ","—",INDEX(MUSTERILER!$C$7:$C$156,MATCH($C1764,MUSTERILER!$B$7:$B$156,0))))</f>
        <v/>
      </c>
      <c r="O1764" s="2"/>
      <c r="P1764" s="2"/>
      <c r="Q1764" s="1" t="str">
        <f>IF($D1764="","",$C1764&amp;"|"&amp;COUNTIFS($C$7:$C1764,$C1764))</f>
        <v/>
      </c>
      <c r="R1764" s="1" t="str">
        <f t="shared" si="54"/>
        <v/>
      </c>
      <c r="S1764" s="1" t="str">
        <f t="shared" si="55"/>
        <v/>
      </c>
      <c r="T1764" s="1">
        <f>IF($E1764="",0,SUMPRODUCT((AY_SONU!$O$7:$O$42="Evet")*(AY_SONU!$B$7:$B$42=DATE(YEAR($E1764),MONTH($E1764),1))))</f>
        <v>0</v>
      </c>
      <c r="U1764" s="1" t="str">
        <f>IF(OR($G1764="",$H1764="Mahsup"),"",$G1764&amp;"|"&amp;COUNTIFS($G$7:$G1764,$G1764,$H$7:$H1764,"&lt;&gt;Mahsup"))</f>
        <v/>
      </c>
    </row>
    <row r="1765" spans="1:21" ht="18" customHeight="1" x14ac:dyDescent="0.3">
      <c r="A1765" s="2"/>
      <c r="B1765" s="65" t="str">
        <f>IF($D1765="","","T"&amp;TEXT(ROW()-6,"00000"))</f>
        <v/>
      </c>
      <c r="C1765" s="65" t="str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61"/>
      <c r="E1765" s="66"/>
      <c r="F1765" s="67"/>
      <c r="G1765" s="60"/>
      <c r="H1765" s="60"/>
      <c r="I1765" s="61"/>
      <c r="J1765" s="61"/>
      <c r="K1765" s="61"/>
      <c r="L1765" s="73" t="str">
        <f>IF($E1765="","",DATE(YEAR($E1765),MONTH($E1765),1))</f>
        <v/>
      </c>
      <c r="M1765" s="65" t="str">
        <f ca="1">IF($D1765="","",IF($C1765="TANIMSIZ MÜŞTERİ","HATA",IF(OR($E1765="",$F1765&lt;=0,$G1765=""),"EKSİK",IF($E1765&gt;TODAY(),"İLERİ TARİH",IF(COUNTIF($S$7:$S$2503,$S1765)&gt;1,"MÜKERRER?",IF($T1765&gt;0,"KAPALI DÖNEM","UYGUN"))))))</f>
        <v/>
      </c>
      <c r="N1765" s="74" t="str">
        <f>IF($C1765="","",IF($C1765="TANIMSIZ MÜŞTERİ","—",INDEX(MUSTERILER!$C$7:$C$156,MATCH($C1765,MUSTERILER!$B$7:$B$156,0))))</f>
        <v/>
      </c>
      <c r="O1765" s="2"/>
      <c r="P1765" s="2"/>
      <c r="Q1765" s="1" t="str">
        <f>IF($D1765="","",$C1765&amp;"|"&amp;COUNTIFS($C$7:$C1765,$C1765))</f>
        <v/>
      </c>
      <c r="R1765" s="1" t="str">
        <f t="shared" si="54"/>
        <v/>
      </c>
      <c r="S1765" s="1" t="str">
        <f t="shared" si="55"/>
        <v/>
      </c>
      <c r="T1765" s="1">
        <f>IF($E1765="",0,SUMPRODUCT((AY_SONU!$O$7:$O$42="Evet")*(AY_SONU!$B$7:$B$42=DATE(YEAR($E1765),MONTH($E1765),1))))</f>
        <v>0</v>
      </c>
      <c r="U1765" s="1" t="str">
        <f>IF(OR($G1765="",$H1765="Mahsup"),"",$G1765&amp;"|"&amp;COUNTIFS($G$7:$G1765,$G1765,$H$7:$H1765,"&lt;&gt;Mahsup"))</f>
        <v/>
      </c>
    </row>
    <row r="1766" spans="1:21" ht="18" customHeight="1" x14ac:dyDescent="0.3">
      <c r="A1766" s="2"/>
      <c r="B1766" s="65" t="str">
        <f>IF($D1766="","","T"&amp;TEXT(ROW()-6,"00000"))</f>
        <v/>
      </c>
      <c r="C1766" s="65" t="str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61"/>
      <c r="E1766" s="66"/>
      <c r="F1766" s="67"/>
      <c r="G1766" s="60"/>
      <c r="H1766" s="60"/>
      <c r="I1766" s="61"/>
      <c r="J1766" s="61"/>
      <c r="K1766" s="61"/>
      <c r="L1766" s="73" t="str">
        <f>IF($E1766="","",DATE(YEAR($E1766),MONTH($E1766),1))</f>
        <v/>
      </c>
      <c r="M1766" s="65" t="str">
        <f ca="1">IF($D1766="","",IF($C1766="TANIMSIZ MÜŞTERİ","HATA",IF(OR($E1766="",$F1766&lt;=0,$G1766=""),"EKSİK",IF($E1766&gt;TODAY(),"İLERİ TARİH",IF(COUNTIF($S$7:$S$2503,$S1766)&gt;1,"MÜKERRER?",IF($T1766&gt;0,"KAPALI DÖNEM","UYGUN"))))))</f>
        <v/>
      </c>
      <c r="N1766" s="74" t="str">
        <f>IF($C1766="","",IF($C1766="TANIMSIZ MÜŞTERİ","—",INDEX(MUSTERILER!$C$7:$C$156,MATCH($C1766,MUSTERILER!$B$7:$B$156,0))))</f>
        <v/>
      </c>
      <c r="O1766" s="2"/>
      <c r="P1766" s="2"/>
      <c r="Q1766" s="1" t="str">
        <f>IF($D1766="","",$C1766&amp;"|"&amp;COUNTIFS($C$7:$C1766,$C1766))</f>
        <v/>
      </c>
      <c r="R1766" s="1" t="str">
        <f t="shared" si="54"/>
        <v/>
      </c>
      <c r="S1766" s="1" t="str">
        <f t="shared" si="55"/>
        <v/>
      </c>
      <c r="T1766" s="1">
        <f>IF($E1766="",0,SUMPRODUCT((AY_SONU!$O$7:$O$42="Evet")*(AY_SONU!$B$7:$B$42=DATE(YEAR($E1766),MONTH($E1766),1))))</f>
        <v>0</v>
      </c>
      <c r="U1766" s="1" t="str">
        <f>IF(OR($G1766="",$H1766="Mahsup"),"",$G1766&amp;"|"&amp;COUNTIFS($G$7:$G1766,$G1766,$H$7:$H1766,"&lt;&gt;Mahsup"))</f>
        <v/>
      </c>
    </row>
    <row r="1767" spans="1:21" ht="18" customHeight="1" x14ac:dyDescent="0.3">
      <c r="A1767" s="2"/>
      <c r="B1767" s="65" t="str">
        <f>IF($D1767="","","T"&amp;TEXT(ROW()-6,"00000"))</f>
        <v/>
      </c>
      <c r="C1767" s="65" t="str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61"/>
      <c r="E1767" s="66"/>
      <c r="F1767" s="67"/>
      <c r="G1767" s="60"/>
      <c r="H1767" s="60"/>
      <c r="I1767" s="61"/>
      <c r="J1767" s="61"/>
      <c r="K1767" s="61"/>
      <c r="L1767" s="73" t="str">
        <f>IF($E1767="","",DATE(YEAR($E1767),MONTH($E1767),1))</f>
        <v/>
      </c>
      <c r="M1767" s="65" t="str">
        <f ca="1">IF($D1767="","",IF($C1767="TANIMSIZ MÜŞTERİ","HATA",IF(OR($E1767="",$F1767&lt;=0,$G1767=""),"EKSİK",IF($E1767&gt;TODAY(),"İLERİ TARİH",IF(COUNTIF($S$7:$S$2503,$S1767)&gt;1,"MÜKERRER?",IF($T1767&gt;0,"KAPALI DÖNEM","UYGUN"))))))</f>
        <v/>
      </c>
      <c r="N1767" s="74" t="str">
        <f>IF($C1767="","",IF($C1767="TANIMSIZ MÜŞTERİ","—",INDEX(MUSTERILER!$C$7:$C$156,MATCH($C1767,MUSTERILER!$B$7:$B$156,0))))</f>
        <v/>
      </c>
      <c r="O1767" s="2"/>
      <c r="P1767" s="2"/>
      <c r="Q1767" s="1" t="str">
        <f>IF($D1767="","",$C1767&amp;"|"&amp;COUNTIFS($C$7:$C1767,$C1767))</f>
        <v/>
      </c>
      <c r="R1767" s="1" t="str">
        <f t="shared" si="54"/>
        <v/>
      </c>
      <c r="S1767" s="1" t="str">
        <f t="shared" si="55"/>
        <v/>
      </c>
      <c r="T1767" s="1">
        <f>IF($E1767="",0,SUMPRODUCT((AY_SONU!$O$7:$O$42="Evet")*(AY_SONU!$B$7:$B$42=DATE(YEAR($E1767),MONTH($E1767),1))))</f>
        <v>0</v>
      </c>
      <c r="U1767" s="1" t="str">
        <f>IF(OR($G1767="",$H1767="Mahsup"),"",$G1767&amp;"|"&amp;COUNTIFS($G$7:$G1767,$G1767,$H$7:$H1767,"&lt;&gt;Mahsup"))</f>
        <v/>
      </c>
    </row>
    <row r="1768" spans="1:21" ht="18" customHeight="1" x14ac:dyDescent="0.3">
      <c r="A1768" s="2"/>
      <c r="B1768" s="65" t="str">
        <f>IF($D1768="","","T"&amp;TEXT(ROW()-6,"00000"))</f>
        <v/>
      </c>
      <c r="C1768" s="65" t="str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61"/>
      <c r="E1768" s="66"/>
      <c r="F1768" s="67"/>
      <c r="G1768" s="60"/>
      <c r="H1768" s="60"/>
      <c r="I1768" s="61"/>
      <c r="J1768" s="61"/>
      <c r="K1768" s="61"/>
      <c r="L1768" s="73" t="str">
        <f>IF($E1768="","",DATE(YEAR($E1768),MONTH($E1768),1))</f>
        <v/>
      </c>
      <c r="M1768" s="65" t="str">
        <f ca="1">IF($D1768="","",IF($C1768="TANIMSIZ MÜŞTERİ","HATA",IF(OR($E1768="",$F1768&lt;=0,$G1768=""),"EKSİK",IF($E1768&gt;TODAY(),"İLERİ TARİH",IF(COUNTIF($S$7:$S$2503,$S1768)&gt;1,"MÜKERRER?",IF($T1768&gt;0,"KAPALI DÖNEM","UYGUN"))))))</f>
        <v/>
      </c>
      <c r="N1768" s="74" t="str">
        <f>IF($C1768="","",IF($C1768="TANIMSIZ MÜŞTERİ","—",INDEX(MUSTERILER!$C$7:$C$156,MATCH($C1768,MUSTERILER!$B$7:$B$156,0))))</f>
        <v/>
      </c>
      <c r="O1768" s="2"/>
      <c r="P1768" s="2"/>
      <c r="Q1768" s="1" t="str">
        <f>IF($D1768="","",$C1768&amp;"|"&amp;COUNTIFS($C$7:$C1768,$C1768))</f>
        <v/>
      </c>
      <c r="R1768" s="1" t="str">
        <f t="shared" si="54"/>
        <v/>
      </c>
      <c r="S1768" s="1" t="str">
        <f t="shared" si="55"/>
        <v/>
      </c>
      <c r="T1768" s="1">
        <f>IF($E1768="",0,SUMPRODUCT((AY_SONU!$O$7:$O$42="Evet")*(AY_SONU!$B$7:$B$42=DATE(YEAR($E1768),MONTH($E1768),1))))</f>
        <v>0</v>
      </c>
      <c r="U1768" s="1" t="str">
        <f>IF(OR($G1768="",$H1768="Mahsup"),"",$G1768&amp;"|"&amp;COUNTIFS($G$7:$G1768,$G1768,$H$7:$H1768,"&lt;&gt;Mahsup"))</f>
        <v/>
      </c>
    </row>
    <row r="1769" spans="1:21" ht="18" customHeight="1" x14ac:dyDescent="0.3">
      <c r="A1769" s="2"/>
      <c r="B1769" s="65" t="str">
        <f>IF($D1769="","","T"&amp;TEXT(ROW()-6,"00000"))</f>
        <v/>
      </c>
      <c r="C1769" s="65" t="str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61"/>
      <c r="E1769" s="66"/>
      <c r="F1769" s="67"/>
      <c r="G1769" s="60"/>
      <c r="H1769" s="60"/>
      <c r="I1769" s="61"/>
      <c r="J1769" s="61"/>
      <c r="K1769" s="61"/>
      <c r="L1769" s="73" t="str">
        <f>IF($E1769="","",DATE(YEAR($E1769),MONTH($E1769),1))</f>
        <v/>
      </c>
      <c r="M1769" s="65" t="str">
        <f ca="1">IF($D1769="","",IF($C1769="TANIMSIZ MÜŞTERİ","HATA",IF(OR($E1769="",$F1769&lt;=0,$G1769=""),"EKSİK",IF($E1769&gt;TODAY(),"İLERİ TARİH",IF(COUNTIF($S$7:$S$2503,$S1769)&gt;1,"MÜKERRER?",IF($T1769&gt;0,"KAPALI DÖNEM","UYGUN"))))))</f>
        <v/>
      </c>
      <c r="N1769" s="74" t="str">
        <f>IF($C1769="","",IF($C1769="TANIMSIZ MÜŞTERİ","—",INDEX(MUSTERILER!$C$7:$C$156,MATCH($C1769,MUSTERILER!$B$7:$B$156,0))))</f>
        <v/>
      </c>
      <c r="O1769" s="2"/>
      <c r="P1769" s="2"/>
      <c r="Q1769" s="1" t="str">
        <f>IF($D1769="","",$C1769&amp;"|"&amp;COUNTIFS($C$7:$C1769,$C1769))</f>
        <v/>
      </c>
      <c r="R1769" s="1" t="str">
        <f t="shared" si="54"/>
        <v/>
      </c>
      <c r="S1769" s="1" t="str">
        <f t="shared" si="55"/>
        <v/>
      </c>
      <c r="T1769" s="1">
        <f>IF($E1769="",0,SUMPRODUCT((AY_SONU!$O$7:$O$42="Evet")*(AY_SONU!$B$7:$B$42=DATE(YEAR($E1769),MONTH($E1769),1))))</f>
        <v>0</v>
      </c>
      <c r="U1769" s="1" t="str">
        <f>IF(OR($G1769="",$H1769="Mahsup"),"",$G1769&amp;"|"&amp;COUNTIFS($G$7:$G1769,$G1769,$H$7:$H1769,"&lt;&gt;Mahsup"))</f>
        <v/>
      </c>
    </row>
    <row r="1770" spans="1:21" ht="18" customHeight="1" x14ac:dyDescent="0.3">
      <c r="A1770" s="2"/>
      <c r="B1770" s="65" t="str">
        <f>IF($D1770="","","T"&amp;TEXT(ROW()-6,"00000"))</f>
        <v/>
      </c>
      <c r="C1770" s="65" t="str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61"/>
      <c r="E1770" s="66"/>
      <c r="F1770" s="67"/>
      <c r="G1770" s="60"/>
      <c r="H1770" s="60"/>
      <c r="I1770" s="61"/>
      <c r="J1770" s="61"/>
      <c r="K1770" s="61"/>
      <c r="L1770" s="73" t="str">
        <f>IF($E1770="","",DATE(YEAR($E1770),MONTH($E1770),1))</f>
        <v/>
      </c>
      <c r="M1770" s="65" t="str">
        <f ca="1">IF($D1770="","",IF($C1770="TANIMSIZ MÜŞTERİ","HATA",IF(OR($E1770="",$F1770&lt;=0,$G1770=""),"EKSİK",IF($E1770&gt;TODAY(),"İLERİ TARİH",IF(COUNTIF($S$7:$S$2503,$S1770)&gt;1,"MÜKERRER?",IF($T1770&gt;0,"KAPALI DÖNEM","UYGUN"))))))</f>
        <v/>
      </c>
      <c r="N1770" s="74" t="str">
        <f>IF($C1770="","",IF($C1770="TANIMSIZ MÜŞTERİ","—",INDEX(MUSTERILER!$C$7:$C$156,MATCH($C1770,MUSTERILER!$B$7:$B$156,0))))</f>
        <v/>
      </c>
      <c r="O1770" s="2"/>
      <c r="P1770" s="2"/>
      <c r="Q1770" s="1" t="str">
        <f>IF($D1770="","",$C1770&amp;"|"&amp;COUNTIFS($C$7:$C1770,$C1770))</f>
        <v/>
      </c>
      <c r="R1770" s="1" t="str">
        <f t="shared" si="54"/>
        <v/>
      </c>
      <c r="S1770" s="1" t="str">
        <f t="shared" si="55"/>
        <v/>
      </c>
      <c r="T1770" s="1">
        <f>IF($E1770="",0,SUMPRODUCT((AY_SONU!$O$7:$O$42="Evet")*(AY_SONU!$B$7:$B$42=DATE(YEAR($E1770),MONTH($E1770),1))))</f>
        <v>0</v>
      </c>
      <c r="U1770" s="1" t="str">
        <f>IF(OR($G1770="",$H1770="Mahsup"),"",$G1770&amp;"|"&amp;COUNTIFS($G$7:$G1770,$G1770,$H$7:$H1770,"&lt;&gt;Mahsup"))</f>
        <v/>
      </c>
    </row>
    <row r="1771" spans="1:21" ht="18" customHeight="1" x14ac:dyDescent="0.3">
      <c r="A1771" s="2"/>
      <c r="B1771" s="65" t="str">
        <f>IF($D1771="","","T"&amp;TEXT(ROW()-6,"00000"))</f>
        <v/>
      </c>
      <c r="C1771" s="65" t="str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61"/>
      <c r="E1771" s="66"/>
      <c r="F1771" s="67"/>
      <c r="G1771" s="60"/>
      <c r="H1771" s="60"/>
      <c r="I1771" s="61"/>
      <c r="J1771" s="61"/>
      <c r="K1771" s="61"/>
      <c r="L1771" s="73" t="str">
        <f>IF($E1771="","",DATE(YEAR($E1771),MONTH($E1771),1))</f>
        <v/>
      </c>
      <c r="M1771" s="65" t="str">
        <f ca="1">IF($D1771="","",IF($C1771="TANIMSIZ MÜŞTERİ","HATA",IF(OR($E1771="",$F1771&lt;=0,$G1771=""),"EKSİK",IF($E1771&gt;TODAY(),"İLERİ TARİH",IF(COUNTIF($S$7:$S$2503,$S1771)&gt;1,"MÜKERRER?",IF($T1771&gt;0,"KAPALI DÖNEM","UYGUN"))))))</f>
        <v/>
      </c>
      <c r="N1771" s="74" t="str">
        <f>IF($C1771="","",IF($C1771="TANIMSIZ MÜŞTERİ","—",INDEX(MUSTERILER!$C$7:$C$156,MATCH($C1771,MUSTERILER!$B$7:$B$156,0))))</f>
        <v/>
      </c>
      <c r="O1771" s="2"/>
      <c r="P1771" s="2"/>
      <c r="Q1771" s="1" t="str">
        <f>IF($D1771="","",$C1771&amp;"|"&amp;COUNTIFS($C$7:$C1771,$C1771))</f>
        <v/>
      </c>
      <c r="R1771" s="1" t="str">
        <f t="shared" si="54"/>
        <v/>
      </c>
      <c r="S1771" s="1" t="str">
        <f t="shared" si="55"/>
        <v/>
      </c>
      <c r="T1771" s="1">
        <f>IF($E1771="",0,SUMPRODUCT((AY_SONU!$O$7:$O$42="Evet")*(AY_SONU!$B$7:$B$42=DATE(YEAR($E1771),MONTH($E1771),1))))</f>
        <v>0</v>
      </c>
      <c r="U1771" s="1" t="str">
        <f>IF(OR($G1771="",$H1771="Mahsup"),"",$G1771&amp;"|"&amp;COUNTIFS($G$7:$G1771,$G1771,$H$7:$H1771,"&lt;&gt;Mahsup"))</f>
        <v/>
      </c>
    </row>
    <row r="1772" spans="1:21" ht="18" customHeight="1" x14ac:dyDescent="0.3">
      <c r="A1772" s="2"/>
      <c r="B1772" s="65" t="str">
        <f>IF($D1772="","","T"&amp;TEXT(ROW()-6,"00000"))</f>
        <v/>
      </c>
      <c r="C1772" s="65" t="str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61"/>
      <c r="E1772" s="66"/>
      <c r="F1772" s="67"/>
      <c r="G1772" s="60"/>
      <c r="H1772" s="60"/>
      <c r="I1772" s="61"/>
      <c r="J1772" s="61"/>
      <c r="K1772" s="61"/>
      <c r="L1772" s="73" t="str">
        <f>IF($E1772="","",DATE(YEAR($E1772),MONTH($E1772),1))</f>
        <v/>
      </c>
      <c r="M1772" s="65" t="str">
        <f ca="1">IF($D1772="","",IF($C1772="TANIMSIZ MÜŞTERİ","HATA",IF(OR($E1772="",$F1772&lt;=0,$G1772=""),"EKSİK",IF($E1772&gt;TODAY(),"İLERİ TARİH",IF(COUNTIF($S$7:$S$2503,$S1772)&gt;1,"MÜKERRER?",IF($T1772&gt;0,"KAPALI DÖNEM","UYGUN"))))))</f>
        <v/>
      </c>
      <c r="N1772" s="74" t="str">
        <f>IF($C1772="","",IF($C1772="TANIMSIZ MÜŞTERİ","—",INDEX(MUSTERILER!$C$7:$C$156,MATCH($C1772,MUSTERILER!$B$7:$B$156,0))))</f>
        <v/>
      </c>
      <c r="O1772" s="2"/>
      <c r="P1772" s="2"/>
      <c r="Q1772" s="1" t="str">
        <f>IF($D1772="","",$C1772&amp;"|"&amp;COUNTIFS($C$7:$C1772,$C1772))</f>
        <v/>
      </c>
      <c r="R1772" s="1" t="str">
        <f t="shared" si="54"/>
        <v/>
      </c>
      <c r="S1772" s="1" t="str">
        <f t="shared" si="55"/>
        <v/>
      </c>
      <c r="T1772" s="1">
        <f>IF($E1772="",0,SUMPRODUCT((AY_SONU!$O$7:$O$42="Evet")*(AY_SONU!$B$7:$B$42=DATE(YEAR($E1772),MONTH($E1772),1))))</f>
        <v>0</v>
      </c>
      <c r="U1772" s="1" t="str">
        <f>IF(OR($G1772="",$H1772="Mahsup"),"",$G1772&amp;"|"&amp;COUNTIFS($G$7:$G1772,$G1772,$H$7:$H1772,"&lt;&gt;Mahsup"))</f>
        <v/>
      </c>
    </row>
    <row r="1773" spans="1:21" ht="18" customHeight="1" x14ac:dyDescent="0.3">
      <c r="A1773" s="2"/>
      <c r="B1773" s="65" t="str">
        <f>IF($D1773="","","T"&amp;TEXT(ROW()-6,"00000"))</f>
        <v/>
      </c>
      <c r="C1773" s="65" t="str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61"/>
      <c r="E1773" s="66"/>
      <c r="F1773" s="67"/>
      <c r="G1773" s="60"/>
      <c r="H1773" s="60"/>
      <c r="I1773" s="61"/>
      <c r="J1773" s="61"/>
      <c r="K1773" s="61"/>
      <c r="L1773" s="73" t="str">
        <f>IF($E1773="","",DATE(YEAR($E1773),MONTH($E1773),1))</f>
        <v/>
      </c>
      <c r="M1773" s="65" t="str">
        <f ca="1">IF($D1773="","",IF($C1773="TANIMSIZ MÜŞTERİ","HATA",IF(OR($E1773="",$F1773&lt;=0,$G1773=""),"EKSİK",IF($E1773&gt;TODAY(),"İLERİ TARİH",IF(COUNTIF($S$7:$S$2503,$S1773)&gt;1,"MÜKERRER?",IF($T1773&gt;0,"KAPALI DÖNEM","UYGUN"))))))</f>
        <v/>
      </c>
      <c r="N1773" s="74" t="str">
        <f>IF($C1773="","",IF($C1773="TANIMSIZ MÜŞTERİ","—",INDEX(MUSTERILER!$C$7:$C$156,MATCH($C1773,MUSTERILER!$B$7:$B$156,0))))</f>
        <v/>
      </c>
      <c r="O1773" s="2"/>
      <c r="P1773" s="2"/>
      <c r="Q1773" s="1" t="str">
        <f>IF($D1773="","",$C1773&amp;"|"&amp;COUNTIFS($C$7:$C1773,$C1773))</f>
        <v/>
      </c>
      <c r="R1773" s="1" t="str">
        <f t="shared" si="54"/>
        <v/>
      </c>
      <c r="S1773" s="1" t="str">
        <f t="shared" si="55"/>
        <v/>
      </c>
      <c r="T1773" s="1">
        <f>IF($E1773="",0,SUMPRODUCT((AY_SONU!$O$7:$O$42="Evet")*(AY_SONU!$B$7:$B$42=DATE(YEAR($E1773),MONTH($E1773),1))))</f>
        <v>0</v>
      </c>
      <c r="U1773" s="1" t="str">
        <f>IF(OR($G1773="",$H1773="Mahsup"),"",$G1773&amp;"|"&amp;COUNTIFS($G$7:$G1773,$G1773,$H$7:$H1773,"&lt;&gt;Mahsup"))</f>
        <v/>
      </c>
    </row>
    <row r="1774" spans="1:21" ht="18" customHeight="1" x14ac:dyDescent="0.3">
      <c r="A1774" s="2"/>
      <c r="B1774" s="65" t="str">
        <f>IF($D1774="","","T"&amp;TEXT(ROW()-6,"00000"))</f>
        <v/>
      </c>
      <c r="C1774" s="65" t="str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61"/>
      <c r="E1774" s="66"/>
      <c r="F1774" s="67"/>
      <c r="G1774" s="60"/>
      <c r="H1774" s="60"/>
      <c r="I1774" s="61"/>
      <c r="J1774" s="61"/>
      <c r="K1774" s="61"/>
      <c r="L1774" s="73" t="str">
        <f>IF($E1774="","",DATE(YEAR($E1774),MONTH($E1774),1))</f>
        <v/>
      </c>
      <c r="M1774" s="65" t="str">
        <f ca="1">IF($D1774="","",IF($C1774="TANIMSIZ MÜŞTERİ","HATA",IF(OR($E1774="",$F1774&lt;=0,$G1774=""),"EKSİK",IF($E1774&gt;TODAY(),"İLERİ TARİH",IF(COUNTIF($S$7:$S$2503,$S1774)&gt;1,"MÜKERRER?",IF($T1774&gt;0,"KAPALI DÖNEM","UYGUN"))))))</f>
        <v/>
      </c>
      <c r="N1774" s="74" t="str">
        <f>IF($C1774="","",IF($C1774="TANIMSIZ MÜŞTERİ","—",INDEX(MUSTERILER!$C$7:$C$156,MATCH($C1774,MUSTERILER!$B$7:$B$156,0))))</f>
        <v/>
      </c>
      <c r="O1774" s="2"/>
      <c r="P1774" s="2"/>
      <c r="Q1774" s="1" t="str">
        <f>IF($D1774="","",$C1774&amp;"|"&amp;COUNTIFS($C$7:$C1774,$C1774))</f>
        <v/>
      </c>
      <c r="R1774" s="1" t="str">
        <f t="shared" si="54"/>
        <v/>
      </c>
      <c r="S1774" s="1" t="str">
        <f t="shared" si="55"/>
        <v/>
      </c>
      <c r="T1774" s="1">
        <f>IF($E1774="",0,SUMPRODUCT((AY_SONU!$O$7:$O$42="Evet")*(AY_SONU!$B$7:$B$42=DATE(YEAR($E1774),MONTH($E1774),1))))</f>
        <v>0</v>
      </c>
      <c r="U1774" s="1" t="str">
        <f>IF(OR($G1774="",$H1774="Mahsup"),"",$G1774&amp;"|"&amp;COUNTIFS($G$7:$G1774,$G1774,$H$7:$H1774,"&lt;&gt;Mahsup"))</f>
        <v/>
      </c>
    </row>
    <row r="1775" spans="1:21" ht="18" customHeight="1" x14ac:dyDescent="0.3">
      <c r="A1775" s="2"/>
      <c r="B1775" s="65" t="str">
        <f>IF($D1775="","","T"&amp;TEXT(ROW()-6,"00000"))</f>
        <v/>
      </c>
      <c r="C1775" s="65" t="str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61"/>
      <c r="E1775" s="66"/>
      <c r="F1775" s="67"/>
      <c r="G1775" s="60"/>
      <c r="H1775" s="60"/>
      <c r="I1775" s="61"/>
      <c r="J1775" s="61"/>
      <c r="K1775" s="61"/>
      <c r="L1775" s="73" t="str">
        <f>IF($E1775="","",DATE(YEAR($E1775),MONTH($E1775),1))</f>
        <v/>
      </c>
      <c r="M1775" s="65" t="str">
        <f ca="1">IF($D1775="","",IF($C1775="TANIMSIZ MÜŞTERİ","HATA",IF(OR($E1775="",$F1775&lt;=0,$G1775=""),"EKSİK",IF($E1775&gt;TODAY(),"İLERİ TARİH",IF(COUNTIF($S$7:$S$2503,$S1775)&gt;1,"MÜKERRER?",IF($T1775&gt;0,"KAPALI DÖNEM","UYGUN"))))))</f>
        <v/>
      </c>
      <c r="N1775" s="74" t="str">
        <f>IF($C1775="","",IF($C1775="TANIMSIZ MÜŞTERİ","—",INDEX(MUSTERILER!$C$7:$C$156,MATCH($C1775,MUSTERILER!$B$7:$B$156,0))))</f>
        <v/>
      </c>
      <c r="O1775" s="2"/>
      <c r="P1775" s="2"/>
      <c r="Q1775" s="1" t="str">
        <f>IF($D1775="","",$C1775&amp;"|"&amp;COUNTIFS($C$7:$C1775,$C1775))</f>
        <v/>
      </c>
      <c r="R1775" s="1" t="str">
        <f t="shared" si="54"/>
        <v/>
      </c>
      <c r="S1775" s="1" t="str">
        <f t="shared" si="55"/>
        <v/>
      </c>
      <c r="T1775" s="1">
        <f>IF($E1775="",0,SUMPRODUCT((AY_SONU!$O$7:$O$42="Evet")*(AY_SONU!$B$7:$B$42=DATE(YEAR($E1775),MONTH($E1775),1))))</f>
        <v>0</v>
      </c>
      <c r="U1775" s="1" t="str">
        <f>IF(OR($G1775="",$H1775="Mahsup"),"",$G1775&amp;"|"&amp;COUNTIFS($G$7:$G1775,$G1775,$H$7:$H1775,"&lt;&gt;Mahsup"))</f>
        <v/>
      </c>
    </row>
    <row r="1776" spans="1:21" ht="18" customHeight="1" x14ac:dyDescent="0.3">
      <c r="A1776" s="2"/>
      <c r="B1776" s="65" t="str">
        <f>IF($D1776="","","T"&amp;TEXT(ROW()-6,"00000"))</f>
        <v/>
      </c>
      <c r="C1776" s="65" t="str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61"/>
      <c r="E1776" s="66"/>
      <c r="F1776" s="67"/>
      <c r="G1776" s="60"/>
      <c r="H1776" s="60"/>
      <c r="I1776" s="61"/>
      <c r="J1776" s="61"/>
      <c r="K1776" s="61"/>
      <c r="L1776" s="73" t="str">
        <f>IF($E1776="","",DATE(YEAR($E1776),MONTH($E1776),1))</f>
        <v/>
      </c>
      <c r="M1776" s="65" t="str">
        <f ca="1">IF($D1776="","",IF($C1776="TANIMSIZ MÜŞTERİ","HATA",IF(OR($E1776="",$F1776&lt;=0,$G1776=""),"EKSİK",IF($E1776&gt;TODAY(),"İLERİ TARİH",IF(COUNTIF($S$7:$S$2503,$S1776)&gt;1,"MÜKERRER?",IF($T1776&gt;0,"KAPALI DÖNEM","UYGUN"))))))</f>
        <v/>
      </c>
      <c r="N1776" s="74" t="str">
        <f>IF($C1776="","",IF($C1776="TANIMSIZ MÜŞTERİ","—",INDEX(MUSTERILER!$C$7:$C$156,MATCH($C1776,MUSTERILER!$B$7:$B$156,0))))</f>
        <v/>
      </c>
      <c r="O1776" s="2"/>
      <c r="P1776" s="2"/>
      <c r="Q1776" s="1" t="str">
        <f>IF($D1776="","",$C1776&amp;"|"&amp;COUNTIFS($C$7:$C1776,$C1776))</f>
        <v/>
      </c>
      <c r="R1776" s="1" t="str">
        <f t="shared" si="54"/>
        <v/>
      </c>
      <c r="S1776" s="1" t="str">
        <f t="shared" si="55"/>
        <v/>
      </c>
      <c r="T1776" s="1">
        <f>IF($E1776="",0,SUMPRODUCT((AY_SONU!$O$7:$O$42="Evet")*(AY_SONU!$B$7:$B$42=DATE(YEAR($E1776),MONTH($E1776),1))))</f>
        <v>0</v>
      </c>
      <c r="U1776" s="1" t="str">
        <f>IF(OR($G1776="",$H1776="Mahsup"),"",$G1776&amp;"|"&amp;COUNTIFS($G$7:$G1776,$G1776,$H$7:$H1776,"&lt;&gt;Mahsup"))</f>
        <v/>
      </c>
    </row>
    <row r="1777" spans="1:21" ht="18" customHeight="1" x14ac:dyDescent="0.3">
      <c r="A1777" s="2"/>
      <c r="B1777" s="65" t="str">
        <f>IF($D1777="","","T"&amp;TEXT(ROW()-6,"00000"))</f>
        <v/>
      </c>
      <c r="C1777" s="65" t="str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61"/>
      <c r="E1777" s="66"/>
      <c r="F1777" s="67"/>
      <c r="G1777" s="60"/>
      <c r="H1777" s="60"/>
      <c r="I1777" s="61"/>
      <c r="J1777" s="61"/>
      <c r="K1777" s="61"/>
      <c r="L1777" s="73" t="str">
        <f>IF($E1777="","",DATE(YEAR($E1777),MONTH($E1777),1))</f>
        <v/>
      </c>
      <c r="M1777" s="65" t="str">
        <f ca="1">IF($D1777="","",IF($C1777="TANIMSIZ MÜŞTERİ","HATA",IF(OR($E1777="",$F1777&lt;=0,$G1777=""),"EKSİK",IF($E1777&gt;TODAY(),"İLERİ TARİH",IF(COUNTIF($S$7:$S$2503,$S1777)&gt;1,"MÜKERRER?",IF($T1777&gt;0,"KAPALI DÖNEM","UYGUN"))))))</f>
        <v/>
      </c>
      <c r="N1777" s="74" t="str">
        <f>IF($C1777="","",IF($C1777="TANIMSIZ MÜŞTERİ","—",INDEX(MUSTERILER!$C$7:$C$156,MATCH($C1777,MUSTERILER!$B$7:$B$156,0))))</f>
        <v/>
      </c>
      <c r="O1777" s="2"/>
      <c r="P1777" s="2"/>
      <c r="Q1777" s="1" t="str">
        <f>IF($D1777="","",$C1777&amp;"|"&amp;COUNTIFS($C$7:$C1777,$C1777))</f>
        <v/>
      </c>
      <c r="R1777" s="1" t="str">
        <f t="shared" si="54"/>
        <v/>
      </c>
      <c r="S1777" s="1" t="str">
        <f t="shared" si="55"/>
        <v/>
      </c>
      <c r="T1777" s="1">
        <f>IF($E1777="",0,SUMPRODUCT((AY_SONU!$O$7:$O$42="Evet")*(AY_SONU!$B$7:$B$42=DATE(YEAR($E1777),MONTH($E1777),1))))</f>
        <v>0</v>
      </c>
      <c r="U1777" s="1" t="str">
        <f>IF(OR($G1777="",$H1777="Mahsup"),"",$G1777&amp;"|"&amp;COUNTIFS($G$7:$G1777,$G1777,$H$7:$H1777,"&lt;&gt;Mahsup"))</f>
        <v/>
      </c>
    </row>
    <row r="1778" spans="1:21" ht="18" customHeight="1" x14ac:dyDescent="0.3">
      <c r="A1778" s="2"/>
      <c r="B1778" s="65" t="str">
        <f>IF($D1778="","","T"&amp;TEXT(ROW()-6,"00000"))</f>
        <v/>
      </c>
      <c r="C1778" s="65" t="str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61"/>
      <c r="E1778" s="66"/>
      <c r="F1778" s="67"/>
      <c r="G1778" s="60"/>
      <c r="H1778" s="60"/>
      <c r="I1778" s="61"/>
      <c r="J1778" s="61"/>
      <c r="K1778" s="61"/>
      <c r="L1778" s="73" t="str">
        <f>IF($E1778="","",DATE(YEAR($E1778),MONTH($E1778),1))</f>
        <v/>
      </c>
      <c r="M1778" s="65" t="str">
        <f ca="1">IF($D1778="","",IF($C1778="TANIMSIZ MÜŞTERİ","HATA",IF(OR($E1778="",$F1778&lt;=0,$G1778=""),"EKSİK",IF($E1778&gt;TODAY(),"İLERİ TARİH",IF(COUNTIF($S$7:$S$2503,$S1778)&gt;1,"MÜKERRER?",IF($T1778&gt;0,"KAPALI DÖNEM","UYGUN"))))))</f>
        <v/>
      </c>
      <c r="N1778" s="74" t="str">
        <f>IF($C1778="","",IF($C1778="TANIMSIZ MÜŞTERİ","—",INDEX(MUSTERILER!$C$7:$C$156,MATCH($C1778,MUSTERILER!$B$7:$B$156,0))))</f>
        <v/>
      </c>
      <c r="O1778" s="2"/>
      <c r="P1778" s="2"/>
      <c r="Q1778" s="1" t="str">
        <f>IF($D1778="","",$C1778&amp;"|"&amp;COUNTIFS($C$7:$C1778,$C1778))</f>
        <v/>
      </c>
      <c r="R1778" s="1" t="str">
        <f t="shared" si="54"/>
        <v/>
      </c>
      <c r="S1778" s="1" t="str">
        <f t="shared" si="55"/>
        <v/>
      </c>
      <c r="T1778" s="1">
        <f>IF($E1778="",0,SUMPRODUCT((AY_SONU!$O$7:$O$42="Evet")*(AY_SONU!$B$7:$B$42=DATE(YEAR($E1778),MONTH($E1778),1))))</f>
        <v>0</v>
      </c>
      <c r="U1778" s="1" t="str">
        <f>IF(OR($G1778="",$H1778="Mahsup"),"",$G1778&amp;"|"&amp;COUNTIFS($G$7:$G1778,$G1778,$H$7:$H1778,"&lt;&gt;Mahsup"))</f>
        <v/>
      </c>
    </row>
    <row r="1779" spans="1:21" ht="18" customHeight="1" x14ac:dyDescent="0.3">
      <c r="A1779" s="2"/>
      <c r="B1779" s="65" t="str">
        <f>IF($D1779="","","T"&amp;TEXT(ROW()-6,"00000"))</f>
        <v/>
      </c>
      <c r="C1779" s="65" t="str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61"/>
      <c r="E1779" s="66"/>
      <c r="F1779" s="67"/>
      <c r="G1779" s="60"/>
      <c r="H1779" s="60"/>
      <c r="I1779" s="61"/>
      <c r="J1779" s="61"/>
      <c r="K1779" s="61"/>
      <c r="L1779" s="73" t="str">
        <f>IF($E1779="","",DATE(YEAR($E1779),MONTH($E1779),1))</f>
        <v/>
      </c>
      <c r="M1779" s="65" t="str">
        <f ca="1">IF($D1779="","",IF($C1779="TANIMSIZ MÜŞTERİ","HATA",IF(OR($E1779="",$F1779&lt;=0,$G1779=""),"EKSİK",IF($E1779&gt;TODAY(),"İLERİ TARİH",IF(COUNTIF($S$7:$S$2503,$S1779)&gt;1,"MÜKERRER?",IF($T1779&gt;0,"KAPALI DÖNEM","UYGUN"))))))</f>
        <v/>
      </c>
      <c r="N1779" s="74" t="str">
        <f>IF($C1779="","",IF($C1779="TANIMSIZ MÜŞTERİ","—",INDEX(MUSTERILER!$C$7:$C$156,MATCH($C1779,MUSTERILER!$B$7:$B$156,0))))</f>
        <v/>
      </c>
      <c r="O1779" s="2"/>
      <c r="P1779" s="2"/>
      <c r="Q1779" s="1" t="str">
        <f>IF($D1779="","",$C1779&amp;"|"&amp;COUNTIFS($C$7:$C1779,$C1779))</f>
        <v/>
      </c>
      <c r="R1779" s="1" t="str">
        <f t="shared" si="54"/>
        <v/>
      </c>
      <c r="S1779" s="1" t="str">
        <f t="shared" si="55"/>
        <v/>
      </c>
      <c r="T1779" s="1">
        <f>IF($E1779="",0,SUMPRODUCT((AY_SONU!$O$7:$O$42="Evet")*(AY_SONU!$B$7:$B$42=DATE(YEAR($E1779),MONTH($E1779),1))))</f>
        <v>0</v>
      </c>
      <c r="U1779" s="1" t="str">
        <f>IF(OR($G1779="",$H1779="Mahsup"),"",$G1779&amp;"|"&amp;COUNTIFS($G$7:$G1779,$G1779,$H$7:$H1779,"&lt;&gt;Mahsup"))</f>
        <v/>
      </c>
    </row>
    <row r="1780" spans="1:21" ht="18" customHeight="1" x14ac:dyDescent="0.3">
      <c r="A1780" s="2"/>
      <c r="B1780" s="65" t="str">
        <f>IF($D1780="","","T"&amp;TEXT(ROW()-6,"00000"))</f>
        <v/>
      </c>
      <c r="C1780" s="65" t="str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61"/>
      <c r="E1780" s="66"/>
      <c r="F1780" s="67"/>
      <c r="G1780" s="60"/>
      <c r="H1780" s="60"/>
      <c r="I1780" s="61"/>
      <c r="J1780" s="61"/>
      <c r="K1780" s="61"/>
      <c r="L1780" s="73" t="str">
        <f>IF($E1780="","",DATE(YEAR($E1780),MONTH($E1780),1))</f>
        <v/>
      </c>
      <c r="M1780" s="65" t="str">
        <f ca="1">IF($D1780="","",IF($C1780="TANIMSIZ MÜŞTERİ","HATA",IF(OR($E1780="",$F1780&lt;=0,$G1780=""),"EKSİK",IF($E1780&gt;TODAY(),"İLERİ TARİH",IF(COUNTIF($S$7:$S$2503,$S1780)&gt;1,"MÜKERRER?",IF($T1780&gt;0,"KAPALI DÖNEM","UYGUN"))))))</f>
        <v/>
      </c>
      <c r="N1780" s="74" t="str">
        <f>IF($C1780="","",IF($C1780="TANIMSIZ MÜŞTERİ","—",INDEX(MUSTERILER!$C$7:$C$156,MATCH($C1780,MUSTERILER!$B$7:$B$156,0))))</f>
        <v/>
      </c>
      <c r="O1780" s="2"/>
      <c r="P1780" s="2"/>
      <c r="Q1780" s="1" t="str">
        <f>IF($D1780="","",$C1780&amp;"|"&amp;COUNTIFS($C$7:$C1780,$C1780))</f>
        <v/>
      </c>
      <c r="R1780" s="1" t="str">
        <f t="shared" si="54"/>
        <v/>
      </c>
      <c r="S1780" s="1" t="str">
        <f t="shared" si="55"/>
        <v/>
      </c>
      <c r="T1780" s="1">
        <f>IF($E1780="",0,SUMPRODUCT((AY_SONU!$O$7:$O$42="Evet")*(AY_SONU!$B$7:$B$42=DATE(YEAR($E1780),MONTH($E1780),1))))</f>
        <v>0</v>
      </c>
      <c r="U1780" s="1" t="str">
        <f>IF(OR($G1780="",$H1780="Mahsup"),"",$G1780&amp;"|"&amp;COUNTIFS($G$7:$G1780,$G1780,$H$7:$H1780,"&lt;&gt;Mahsup"))</f>
        <v/>
      </c>
    </row>
    <row r="1781" spans="1:21" ht="18" customHeight="1" x14ac:dyDescent="0.3">
      <c r="A1781" s="2"/>
      <c r="B1781" s="65" t="str">
        <f>IF($D1781="","","T"&amp;TEXT(ROW()-6,"00000"))</f>
        <v/>
      </c>
      <c r="C1781" s="65" t="str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61"/>
      <c r="E1781" s="66"/>
      <c r="F1781" s="67"/>
      <c r="G1781" s="60"/>
      <c r="H1781" s="60"/>
      <c r="I1781" s="61"/>
      <c r="J1781" s="61"/>
      <c r="K1781" s="61"/>
      <c r="L1781" s="73" t="str">
        <f>IF($E1781="","",DATE(YEAR($E1781),MONTH($E1781),1))</f>
        <v/>
      </c>
      <c r="M1781" s="65" t="str">
        <f ca="1">IF($D1781="","",IF($C1781="TANIMSIZ MÜŞTERİ","HATA",IF(OR($E1781="",$F1781&lt;=0,$G1781=""),"EKSİK",IF($E1781&gt;TODAY(),"İLERİ TARİH",IF(COUNTIF($S$7:$S$2503,$S1781)&gt;1,"MÜKERRER?",IF($T1781&gt;0,"KAPALI DÖNEM","UYGUN"))))))</f>
        <v/>
      </c>
      <c r="N1781" s="74" t="str">
        <f>IF($C1781="","",IF($C1781="TANIMSIZ MÜŞTERİ","—",INDEX(MUSTERILER!$C$7:$C$156,MATCH($C1781,MUSTERILER!$B$7:$B$156,0))))</f>
        <v/>
      </c>
      <c r="O1781" s="2"/>
      <c r="P1781" s="2"/>
      <c r="Q1781" s="1" t="str">
        <f>IF($D1781="","",$C1781&amp;"|"&amp;COUNTIFS($C$7:$C1781,$C1781))</f>
        <v/>
      </c>
      <c r="R1781" s="1" t="str">
        <f t="shared" si="54"/>
        <v/>
      </c>
      <c r="S1781" s="1" t="str">
        <f t="shared" si="55"/>
        <v/>
      </c>
      <c r="T1781" s="1">
        <f>IF($E1781="",0,SUMPRODUCT((AY_SONU!$O$7:$O$42="Evet")*(AY_SONU!$B$7:$B$42=DATE(YEAR($E1781),MONTH($E1781),1))))</f>
        <v>0</v>
      </c>
      <c r="U1781" s="1" t="str">
        <f>IF(OR($G1781="",$H1781="Mahsup"),"",$G1781&amp;"|"&amp;COUNTIFS($G$7:$G1781,$G1781,$H$7:$H1781,"&lt;&gt;Mahsup"))</f>
        <v/>
      </c>
    </row>
    <row r="1782" spans="1:21" ht="18" customHeight="1" x14ac:dyDescent="0.3">
      <c r="A1782" s="2"/>
      <c r="B1782" s="65" t="str">
        <f>IF($D1782="","","T"&amp;TEXT(ROW()-6,"00000"))</f>
        <v/>
      </c>
      <c r="C1782" s="65" t="str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61"/>
      <c r="E1782" s="66"/>
      <c r="F1782" s="67"/>
      <c r="G1782" s="60"/>
      <c r="H1782" s="60"/>
      <c r="I1782" s="61"/>
      <c r="J1782" s="61"/>
      <c r="K1782" s="61"/>
      <c r="L1782" s="73" t="str">
        <f>IF($E1782="","",DATE(YEAR($E1782),MONTH($E1782),1))</f>
        <v/>
      </c>
      <c r="M1782" s="65" t="str">
        <f ca="1">IF($D1782="","",IF($C1782="TANIMSIZ MÜŞTERİ","HATA",IF(OR($E1782="",$F1782&lt;=0,$G1782=""),"EKSİK",IF($E1782&gt;TODAY(),"İLERİ TARİH",IF(COUNTIF($S$7:$S$2503,$S1782)&gt;1,"MÜKERRER?",IF($T1782&gt;0,"KAPALI DÖNEM","UYGUN"))))))</f>
        <v/>
      </c>
      <c r="N1782" s="74" t="str">
        <f>IF($C1782="","",IF($C1782="TANIMSIZ MÜŞTERİ","—",INDEX(MUSTERILER!$C$7:$C$156,MATCH($C1782,MUSTERILER!$B$7:$B$156,0))))</f>
        <v/>
      </c>
      <c r="O1782" s="2"/>
      <c r="P1782" s="2"/>
      <c r="Q1782" s="1" t="str">
        <f>IF($D1782="","",$C1782&amp;"|"&amp;COUNTIFS($C$7:$C1782,$C1782))</f>
        <v/>
      </c>
      <c r="R1782" s="1" t="str">
        <f t="shared" si="54"/>
        <v/>
      </c>
      <c r="S1782" s="1" t="str">
        <f t="shared" si="55"/>
        <v/>
      </c>
      <c r="T1782" s="1">
        <f>IF($E1782="",0,SUMPRODUCT((AY_SONU!$O$7:$O$42="Evet")*(AY_SONU!$B$7:$B$42=DATE(YEAR($E1782),MONTH($E1782),1))))</f>
        <v>0</v>
      </c>
      <c r="U1782" s="1" t="str">
        <f>IF(OR($G1782="",$H1782="Mahsup"),"",$G1782&amp;"|"&amp;COUNTIFS($G$7:$G1782,$G1782,$H$7:$H1782,"&lt;&gt;Mahsup"))</f>
        <v/>
      </c>
    </row>
    <row r="1783" spans="1:21" ht="18" customHeight="1" x14ac:dyDescent="0.3">
      <c r="A1783" s="2"/>
      <c r="B1783" s="65" t="str">
        <f>IF($D1783="","","T"&amp;TEXT(ROW()-6,"00000"))</f>
        <v/>
      </c>
      <c r="C1783" s="65" t="str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61"/>
      <c r="E1783" s="66"/>
      <c r="F1783" s="67"/>
      <c r="G1783" s="60"/>
      <c r="H1783" s="60"/>
      <c r="I1783" s="61"/>
      <c r="J1783" s="61"/>
      <c r="K1783" s="61"/>
      <c r="L1783" s="73" t="str">
        <f>IF($E1783="","",DATE(YEAR($E1783),MONTH($E1783),1))</f>
        <v/>
      </c>
      <c r="M1783" s="65" t="str">
        <f ca="1">IF($D1783="","",IF($C1783="TANIMSIZ MÜŞTERİ","HATA",IF(OR($E1783="",$F1783&lt;=0,$G1783=""),"EKSİK",IF($E1783&gt;TODAY(),"İLERİ TARİH",IF(COUNTIF($S$7:$S$2503,$S1783)&gt;1,"MÜKERRER?",IF($T1783&gt;0,"KAPALI DÖNEM","UYGUN"))))))</f>
        <v/>
      </c>
      <c r="N1783" s="74" t="str">
        <f>IF($C1783="","",IF($C1783="TANIMSIZ MÜŞTERİ","—",INDEX(MUSTERILER!$C$7:$C$156,MATCH($C1783,MUSTERILER!$B$7:$B$156,0))))</f>
        <v/>
      </c>
      <c r="O1783" s="2"/>
      <c r="P1783" s="2"/>
      <c r="Q1783" s="1" t="str">
        <f>IF($D1783="","",$C1783&amp;"|"&amp;COUNTIFS($C$7:$C1783,$C1783))</f>
        <v/>
      </c>
      <c r="R1783" s="1" t="str">
        <f t="shared" si="54"/>
        <v/>
      </c>
      <c r="S1783" s="1" t="str">
        <f t="shared" si="55"/>
        <v/>
      </c>
      <c r="T1783" s="1">
        <f>IF($E1783="",0,SUMPRODUCT((AY_SONU!$O$7:$O$42="Evet")*(AY_SONU!$B$7:$B$42=DATE(YEAR($E1783),MONTH($E1783),1))))</f>
        <v>0</v>
      </c>
      <c r="U1783" s="1" t="str">
        <f>IF(OR($G1783="",$H1783="Mahsup"),"",$G1783&amp;"|"&amp;COUNTIFS($G$7:$G1783,$G1783,$H$7:$H1783,"&lt;&gt;Mahsup"))</f>
        <v/>
      </c>
    </row>
    <row r="1784" spans="1:21" ht="18" customHeight="1" x14ac:dyDescent="0.3">
      <c r="A1784" s="2"/>
      <c r="B1784" s="65" t="str">
        <f>IF($D1784="","","T"&amp;TEXT(ROW()-6,"00000"))</f>
        <v/>
      </c>
      <c r="C1784" s="65" t="str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61"/>
      <c r="E1784" s="66"/>
      <c r="F1784" s="67"/>
      <c r="G1784" s="60"/>
      <c r="H1784" s="60"/>
      <c r="I1784" s="61"/>
      <c r="J1784" s="61"/>
      <c r="K1784" s="61"/>
      <c r="L1784" s="73" t="str">
        <f>IF($E1784="","",DATE(YEAR($E1784),MONTH($E1784),1))</f>
        <v/>
      </c>
      <c r="M1784" s="65" t="str">
        <f ca="1">IF($D1784="","",IF($C1784="TANIMSIZ MÜŞTERİ","HATA",IF(OR($E1784="",$F1784&lt;=0,$G1784=""),"EKSİK",IF($E1784&gt;TODAY(),"İLERİ TARİH",IF(COUNTIF($S$7:$S$2503,$S1784)&gt;1,"MÜKERRER?",IF($T1784&gt;0,"KAPALI DÖNEM","UYGUN"))))))</f>
        <v/>
      </c>
      <c r="N1784" s="74" t="str">
        <f>IF($C1784="","",IF($C1784="TANIMSIZ MÜŞTERİ","—",INDEX(MUSTERILER!$C$7:$C$156,MATCH($C1784,MUSTERILER!$B$7:$B$156,0))))</f>
        <v/>
      </c>
      <c r="O1784" s="2"/>
      <c r="P1784" s="2"/>
      <c r="Q1784" s="1" t="str">
        <f>IF($D1784="","",$C1784&amp;"|"&amp;COUNTIFS($C$7:$C1784,$C1784))</f>
        <v/>
      </c>
      <c r="R1784" s="1" t="str">
        <f t="shared" si="54"/>
        <v/>
      </c>
      <c r="S1784" s="1" t="str">
        <f t="shared" si="55"/>
        <v/>
      </c>
      <c r="T1784" s="1">
        <f>IF($E1784="",0,SUMPRODUCT((AY_SONU!$O$7:$O$42="Evet")*(AY_SONU!$B$7:$B$42=DATE(YEAR($E1784),MONTH($E1784),1))))</f>
        <v>0</v>
      </c>
      <c r="U1784" s="1" t="str">
        <f>IF(OR($G1784="",$H1784="Mahsup"),"",$G1784&amp;"|"&amp;COUNTIFS($G$7:$G1784,$G1784,$H$7:$H1784,"&lt;&gt;Mahsup"))</f>
        <v/>
      </c>
    </row>
    <row r="1785" spans="1:21" ht="18" customHeight="1" x14ac:dyDescent="0.3">
      <c r="A1785" s="2"/>
      <c r="B1785" s="65" t="str">
        <f>IF($D1785="","","T"&amp;TEXT(ROW()-6,"00000"))</f>
        <v/>
      </c>
      <c r="C1785" s="65" t="str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61"/>
      <c r="E1785" s="66"/>
      <c r="F1785" s="67"/>
      <c r="G1785" s="60"/>
      <c r="H1785" s="60"/>
      <c r="I1785" s="61"/>
      <c r="J1785" s="61"/>
      <c r="K1785" s="61"/>
      <c r="L1785" s="73" t="str">
        <f>IF($E1785="","",DATE(YEAR($E1785),MONTH($E1785),1))</f>
        <v/>
      </c>
      <c r="M1785" s="65" t="str">
        <f ca="1">IF($D1785="","",IF($C1785="TANIMSIZ MÜŞTERİ","HATA",IF(OR($E1785="",$F1785&lt;=0,$G1785=""),"EKSİK",IF($E1785&gt;TODAY(),"İLERİ TARİH",IF(COUNTIF($S$7:$S$2503,$S1785)&gt;1,"MÜKERRER?",IF($T1785&gt;0,"KAPALI DÖNEM","UYGUN"))))))</f>
        <v/>
      </c>
      <c r="N1785" s="74" t="str">
        <f>IF($C1785="","",IF($C1785="TANIMSIZ MÜŞTERİ","—",INDEX(MUSTERILER!$C$7:$C$156,MATCH($C1785,MUSTERILER!$B$7:$B$156,0))))</f>
        <v/>
      </c>
      <c r="O1785" s="2"/>
      <c r="P1785" s="2"/>
      <c r="Q1785" s="1" t="str">
        <f>IF($D1785="","",$C1785&amp;"|"&amp;COUNTIFS($C$7:$C1785,$C1785))</f>
        <v/>
      </c>
      <c r="R1785" s="1" t="str">
        <f t="shared" si="54"/>
        <v/>
      </c>
      <c r="S1785" s="1" t="str">
        <f t="shared" si="55"/>
        <v/>
      </c>
      <c r="T1785" s="1">
        <f>IF($E1785="",0,SUMPRODUCT((AY_SONU!$O$7:$O$42="Evet")*(AY_SONU!$B$7:$B$42=DATE(YEAR($E1785),MONTH($E1785),1))))</f>
        <v>0</v>
      </c>
      <c r="U1785" s="1" t="str">
        <f>IF(OR($G1785="",$H1785="Mahsup"),"",$G1785&amp;"|"&amp;COUNTIFS($G$7:$G1785,$G1785,$H$7:$H1785,"&lt;&gt;Mahsup"))</f>
        <v/>
      </c>
    </row>
    <row r="1786" spans="1:21" ht="18" customHeight="1" x14ac:dyDescent="0.3">
      <c r="A1786" s="2"/>
      <c r="B1786" s="65" t="str">
        <f>IF($D1786="","","T"&amp;TEXT(ROW()-6,"00000"))</f>
        <v/>
      </c>
      <c r="C1786" s="65" t="str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61"/>
      <c r="E1786" s="66"/>
      <c r="F1786" s="67"/>
      <c r="G1786" s="60"/>
      <c r="H1786" s="60"/>
      <c r="I1786" s="61"/>
      <c r="J1786" s="61"/>
      <c r="K1786" s="61"/>
      <c r="L1786" s="73" t="str">
        <f>IF($E1786="","",DATE(YEAR($E1786),MONTH($E1786),1))</f>
        <v/>
      </c>
      <c r="M1786" s="65" t="str">
        <f ca="1">IF($D1786="","",IF($C1786="TANIMSIZ MÜŞTERİ","HATA",IF(OR($E1786="",$F1786&lt;=0,$G1786=""),"EKSİK",IF($E1786&gt;TODAY(),"İLERİ TARİH",IF(COUNTIF($S$7:$S$2503,$S1786)&gt;1,"MÜKERRER?",IF($T1786&gt;0,"KAPALI DÖNEM","UYGUN"))))))</f>
        <v/>
      </c>
      <c r="N1786" s="74" t="str">
        <f>IF($C1786="","",IF($C1786="TANIMSIZ MÜŞTERİ","—",INDEX(MUSTERILER!$C$7:$C$156,MATCH($C1786,MUSTERILER!$B$7:$B$156,0))))</f>
        <v/>
      </c>
      <c r="O1786" s="2"/>
      <c r="P1786" s="2"/>
      <c r="Q1786" s="1" t="str">
        <f>IF($D1786="","",$C1786&amp;"|"&amp;COUNTIFS($C$7:$C1786,$C1786))</f>
        <v/>
      </c>
      <c r="R1786" s="1" t="str">
        <f t="shared" si="54"/>
        <v/>
      </c>
      <c r="S1786" s="1" t="str">
        <f t="shared" si="55"/>
        <v/>
      </c>
      <c r="T1786" s="1">
        <f>IF($E1786="",0,SUMPRODUCT((AY_SONU!$O$7:$O$42="Evet")*(AY_SONU!$B$7:$B$42=DATE(YEAR($E1786),MONTH($E1786),1))))</f>
        <v>0</v>
      </c>
      <c r="U1786" s="1" t="str">
        <f>IF(OR($G1786="",$H1786="Mahsup"),"",$G1786&amp;"|"&amp;COUNTIFS($G$7:$G1786,$G1786,$H$7:$H1786,"&lt;&gt;Mahsup"))</f>
        <v/>
      </c>
    </row>
    <row r="1787" spans="1:21" ht="18" customHeight="1" x14ac:dyDescent="0.3">
      <c r="A1787" s="2"/>
      <c r="B1787" s="65" t="str">
        <f>IF($D1787="","","T"&amp;TEXT(ROW()-6,"00000"))</f>
        <v/>
      </c>
      <c r="C1787" s="65" t="str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61"/>
      <c r="E1787" s="66"/>
      <c r="F1787" s="67"/>
      <c r="G1787" s="60"/>
      <c r="H1787" s="60"/>
      <c r="I1787" s="61"/>
      <c r="J1787" s="61"/>
      <c r="K1787" s="61"/>
      <c r="L1787" s="73" t="str">
        <f>IF($E1787="","",DATE(YEAR($E1787),MONTH($E1787),1))</f>
        <v/>
      </c>
      <c r="M1787" s="65" t="str">
        <f ca="1">IF($D1787="","",IF($C1787="TANIMSIZ MÜŞTERİ","HATA",IF(OR($E1787="",$F1787&lt;=0,$G1787=""),"EKSİK",IF($E1787&gt;TODAY(),"İLERİ TARİH",IF(COUNTIF($S$7:$S$2503,$S1787)&gt;1,"MÜKERRER?",IF($T1787&gt;0,"KAPALI DÖNEM","UYGUN"))))))</f>
        <v/>
      </c>
      <c r="N1787" s="74" t="str">
        <f>IF($C1787="","",IF($C1787="TANIMSIZ MÜŞTERİ","—",INDEX(MUSTERILER!$C$7:$C$156,MATCH($C1787,MUSTERILER!$B$7:$B$156,0))))</f>
        <v/>
      </c>
      <c r="O1787" s="2"/>
      <c r="P1787" s="2"/>
      <c r="Q1787" s="1" t="str">
        <f>IF($D1787="","",$C1787&amp;"|"&amp;COUNTIFS($C$7:$C1787,$C1787))</f>
        <v/>
      </c>
      <c r="R1787" s="1" t="str">
        <f t="shared" si="54"/>
        <v/>
      </c>
      <c r="S1787" s="1" t="str">
        <f t="shared" si="55"/>
        <v/>
      </c>
      <c r="T1787" s="1">
        <f>IF($E1787="",0,SUMPRODUCT((AY_SONU!$O$7:$O$42="Evet")*(AY_SONU!$B$7:$B$42=DATE(YEAR($E1787),MONTH($E1787),1))))</f>
        <v>0</v>
      </c>
      <c r="U1787" s="1" t="str">
        <f>IF(OR($G1787="",$H1787="Mahsup"),"",$G1787&amp;"|"&amp;COUNTIFS($G$7:$G1787,$G1787,$H$7:$H1787,"&lt;&gt;Mahsup"))</f>
        <v/>
      </c>
    </row>
    <row r="1788" spans="1:21" ht="18" customHeight="1" x14ac:dyDescent="0.3">
      <c r="A1788" s="2"/>
      <c r="B1788" s="65" t="str">
        <f>IF($D1788="","","T"&amp;TEXT(ROW()-6,"00000"))</f>
        <v/>
      </c>
      <c r="C1788" s="65" t="str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61"/>
      <c r="E1788" s="66"/>
      <c r="F1788" s="67"/>
      <c r="G1788" s="60"/>
      <c r="H1788" s="60"/>
      <c r="I1788" s="61"/>
      <c r="J1788" s="61"/>
      <c r="K1788" s="61"/>
      <c r="L1788" s="73" t="str">
        <f>IF($E1788="","",DATE(YEAR($E1788),MONTH($E1788),1))</f>
        <v/>
      </c>
      <c r="M1788" s="65" t="str">
        <f ca="1">IF($D1788="","",IF($C1788="TANIMSIZ MÜŞTERİ","HATA",IF(OR($E1788="",$F1788&lt;=0,$G1788=""),"EKSİK",IF($E1788&gt;TODAY(),"İLERİ TARİH",IF(COUNTIF($S$7:$S$2503,$S1788)&gt;1,"MÜKERRER?",IF($T1788&gt;0,"KAPALI DÖNEM","UYGUN"))))))</f>
        <v/>
      </c>
      <c r="N1788" s="74" t="str">
        <f>IF($C1788="","",IF($C1788="TANIMSIZ MÜŞTERİ","—",INDEX(MUSTERILER!$C$7:$C$156,MATCH($C1788,MUSTERILER!$B$7:$B$156,0))))</f>
        <v/>
      </c>
      <c r="O1788" s="2"/>
      <c r="P1788" s="2"/>
      <c r="Q1788" s="1" t="str">
        <f>IF($D1788="","",$C1788&amp;"|"&amp;COUNTIFS($C$7:$C1788,$C1788))</f>
        <v/>
      </c>
      <c r="R1788" s="1" t="str">
        <f t="shared" si="54"/>
        <v/>
      </c>
      <c r="S1788" s="1" t="str">
        <f t="shared" si="55"/>
        <v/>
      </c>
      <c r="T1788" s="1">
        <f>IF($E1788="",0,SUMPRODUCT((AY_SONU!$O$7:$O$42="Evet")*(AY_SONU!$B$7:$B$42=DATE(YEAR($E1788),MONTH($E1788),1))))</f>
        <v>0</v>
      </c>
      <c r="U1788" s="1" t="str">
        <f>IF(OR($G1788="",$H1788="Mahsup"),"",$G1788&amp;"|"&amp;COUNTIFS($G$7:$G1788,$G1788,$H$7:$H1788,"&lt;&gt;Mahsup"))</f>
        <v/>
      </c>
    </row>
    <row r="1789" spans="1:21" ht="18" customHeight="1" x14ac:dyDescent="0.3">
      <c r="A1789" s="2"/>
      <c r="B1789" s="65" t="str">
        <f>IF($D1789="","","T"&amp;TEXT(ROW()-6,"00000"))</f>
        <v/>
      </c>
      <c r="C1789" s="65" t="str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61"/>
      <c r="E1789" s="66"/>
      <c r="F1789" s="67"/>
      <c r="G1789" s="60"/>
      <c r="H1789" s="60"/>
      <c r="I1789" s="61"/>
      <c r="J1789" s="61"/>
      <c r="K1789" s="61"/>
      <c r="L1789" s="73" t="str">
        <f>IF($E1789="","",DATE(YEAR($E1789),MONTH($E1789),1))</f>
        <v/>
      </c>
      <c r="M1789" s="65" t="str">
        <f ca="1">IF($D1789="","",IF($C1789="TANIMSIZ MÜŞTERİ","HATA",IF(OR($E1789="",$F1789&lt;=0,$G1789=""),"EKSİK",IF($E1789&gt;TODAY(),"İLERİ TARİH",IF(COUNTIF($S$7:$S$2503,$S1789)&gt;1,"MÜKERRER?",IF($T1789&gt;0,"KAPALI DÖNEM","UYGUN"))))))</f>
        <v/>
      </c>
      <c r="N1789" s="74" t="str">
        <f>IF($C1789="","",IF($C1789="TANIMSIZ MÜŞTERİ","—",INDEX(MUSTERILER!$C$7:$C$156,MATCH($C1789,MUSTERILER!$B$7:$B$156,0))))</f>
        <v/>
      </c>
      <c r="O1789" s="2"/>
      <c r="P1789" s="2"/>
      <c r="Q1789" s="1" t="str">
        <f>IF($D1789="","",$C1789&amp;"|"&amp;COUNTIFS($C$7:$C1789,$C1789))</f>
        <v/>
      </c>
      <c r="R1789" s="1" t="str">
        <f t="shared" si="54"/>
        <v/>
      </c>
      <c r="S1789" s="1" t="str">
        <f t="shared" si="55"/>
        <v/>
      </c>
      <c r="T1789" s="1">
        <f>IF($E1789="",0,SUMPRODUCT((AY_SONU!$O$7:$O$42="Evet")*(AY_SONU!$B$7:$B$42=DATE(YEAR($E1789),MONTH($E1789),1))))</f>
        <v>0</v>
      </c>
      <c r="U1789" s="1" t="str">
        <f>IF(OR($G1789="",$H1789="Mahsup"),"",$G1789&amp;"|"&amp;COUNTIFS($G$7:$G1789,$G1789,$H$7:$H1789,"&lt;&gt;Mahsup"))</f>
        <v/>
      </c>
    </row>
    <row r="1790" spans="1:21" ht="18" customHeight="1" x14ac:dyDescent="0.3">
      <c r="A1790" s="2"/>
      <c r="B1790" s="65" t="str">
        <f>IF($D1790="","","T"&amp;TEXT(ROW()-6,"00000"))</f>
        <v/>
      </c>
      <c r="C1790" s="65" t="str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61"/>
      <c r="E1790" s="66"/>
      <c r="F1790" s="67"/>
      <c r="G1790" s="60"/>
      <c r="H1790" s="60"/>
      <c r="I1790" s="61"/>
      <c r="J1790" s="61"/>
      <c r="K1790" s="61"/>
      <c r="L1790" s="73" t="str">
        <f>IF($E1790="","",DATE(YEAR($E1790),MONTH($E1790),1))</f>
        <v/>
      </c>
      <c r="M1790" s="65" t="str">
        <f ca="1">IF($D1790="","",IF($C1790="TANIMSIZ MÜŞTERİ","HATA",IF(OR($E1790="",$F1790&lt;=0,$G1790=""),"EKSİK",IF($E1790&gt;TODAY(),"İLERİ TARİH",IF(COUNTIF($S$7:$S$2503,$S1790)&gt;1,"MÜKERRER?",IF($T1790&gt;0,"KAPALI DÖNEM","UYGUN"))))))</f>
        <v/>
      </c>
      <c r="N1790" s="74" t="str">
        <f>IF($C1790="","",IF($C1790="TANIMSIZ MÜŞTERİ","—",INDEX(MUSTERILER!$C$7:$C$156,MATCH($C1790,MUSTERILER!$B$7:$B$156,0))))</f>
        <v/>
      </c>
      <c r="O1790" s="2"/>
      <c r="P1790" s="2"/>
      <c r="Q1790" s="1" t="str">
        <f>IF($D1790="","",$C1790&amp;"|"&amp;COUNTIFS($C$7:$C1790,$C1790))</f>
        <v/>
      </c>
      <c r="R1790" s="1" t="str">
        <f t="shared" si="54"/>
        <v/>
      </c>
      <c r="S1790" s="1" t="str">
        <f t="shared" si="55"/>
        <v/>
      </c>
      <c r="T1790" s="1">
        <f>IF($E1790="",0,SUMPRODUCT((AY_SONU!$O$7:$O$42="Evet")*(AY_SONU!$B$7:$B$42=DATE(YEAR($E1790),MONTH($E1790),1))))</f>
        <v>0</v>
      </c>
      <c r="U1790" s="1" t="str">
        <f>IF(OR($G1790="",$H1790="Mahsup"),"",$G1790&amp;"|"&amp;COUNTIFS($G$7:$G1790,$G1790,$H$7:$H1790,"&lt;&gt;Mahsup"))</f>
        <v/>
      </c>
    </row>
    <row r="1791" spans="1:21" ht="18" customHeight="1" x14ac:dyDescent="0.3">
      <c r="A1791" s="2"/>
      <c r="B1791" s="65" t="str">
        <f>IF($D1791="","","T"&amp;TEXT(ROW()-6,"00000"))</f>
        <v/>
      </c>
      <c r="C1791" s="65" t="str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61"/>
      <c r="E1791" s="66"/>
      <c r="F1791" s="67"/>
      <c r="G1791" s="60"/>
      <c r="H1791" s="60"/>
      <c r="I1791" s="61"/>
      <c r="J1791" s="61"/>
      <c r="K1791" s="61"/>
      <c r="L1791" s="73" t="str">
        <f>IF($E1791="","",DATE(YEAR($E1791),MONTH($E1791),1))</f>
        <v/>
      </c>
      <c r="M1791" s="65" t="str">
        <f ca="1">IF($D1791="","",IF($C1791="TANIMSIZ MÜŞTERİ","HATA",IF(OR($E1791="",$F1791&lt;=0,$G1791=""),"EKSİK",IF($E1791&gt;TODAY(),"İLERİ TARİH",IF(COUNTIF($S$7:$S$2503,$S1791)&gt;1,"MÜKERRER?",IF($T1791&gt;0,"KAPALI DÖNEM","UYGUN"))))))</f>
        <v/>
      </c>
      <c r="N1791" s="74" t="str">
        <f>IF($C1791="","",IF($C1791="TANIMSIZ MÜŞTERİ","—",INDEX(MUSTERILER!$C$7:$C$156,MATCH($C1791,MUSTERILER!$B$7:$B$156,0))))</f>
        <v/>
      </c>
      <c r="O1791" s="2"/>
      <c r="P1791" s="2"/>
      <c r="Q1791" s="1" t="str">
        <f>IF($D1791="","",$C1791&amp;"|"&amp;COUNTIFS($C$7:$C1791,$C1791))</f>
        <v/>
      </c>
      <c r="R1791" s="1" t="str">
        <f t="shared" si="54"/>
        <v/>
      </c>
      <c r="S1791" s="1" t="str">
        <f t="shared" si="55"/>
        <v/>
      </c>
      <c r="T1791" s="1">
        <f>IF($E1791="",0,SUMPRODUCT((AY_SONU!$O$7:$O$42="Evet")*(AY_SONU!$B$7:$B$42=DATE(YEAR($E1791),MONTH($E1791),1))))</f>
        <v>0</v>
      </c>
      <c r="U1791" s="1" t="str">
        <f>IF(OR($G1791="",$H1791="Mahsup"),"",$G1791&amp;"|"&amp;COUNTIFS($G$7:$G1791,$G1791,$H$7:$H1791,"&lt;&gt;Mahsup"))</f>
        <v/>
      </c>
    </row>
    <row r="1792" spans="1:21" ht="18" customHeight="1" x14ac:dyDescent="0.3">
      <c r="A1792" s="2"/>
      <c r="B1792" s="65" t="str">
        <f>IF($D1792="","","T"&amp;TEXT(ROW()-6,"00000"))</f>
        <v/>
      </c>
      <c r="C1792" s="65" t="str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61"/>
      <c r="E1792" s="66"/>
      <c r="F1792" s="67"/>
      <c r="G1792" s="60"/>
      <c r="H1792" s="60"/>
      <c r="I1792" s="61"/>
      <c r="J1792" s="61"/>
      <c r="K1792" s="61"/>
      <c r="L1792" s="73" t="str">
        <f>IF($E1792="","",DATE(YEAR($E1792),MONTH($E1792),1))</f>
        <v/>
      </c>
      <c r="M1792" s="65" t="str">
        <f ca="1">IF($D1792="","",IF($C1792="TANIMSIZ MÜŞTERİ","HATA",IF(OR($E1792="",$F1792&lt;=0,$G1792=""),"EKSİK",IF($E1792&gt;TODAY(),"İLERİ TARİH",IF(COUNTIF($S$7:$S$2503,$S1792)&gt;1,"MÜKERRER?",IF($T1792&gt;0,"KAPALI DÖNEM","UYGUN"))))))</f>
        <v/>
      </c>
      <c r="N1792" s="74" t="str">
        <f>IF($C1792="","",IF($C1792="TANIMSIZ MÜŞTERİ","—",INDEX(MUSTERILER!$C$7:$C$156,MATCH($C1792,MUSTERILER!$B$7:$B$156,0))))</f>
        <v/>
      </c>
      <c r="O1792" s="2"/>
      <c r="P1792" s="2"/>
      <c r="Q1792" s="1" t="str">
        <f>IF($D1792="","",$C1792&amp;"|"&amp;COUNTIFS($C$7:$C1792,$C1792))</f>
        <v/>
      </c>
      <c r="R1792" s="1" t="str">
        <f t="shared" si="54"/>
        <v/>
      </c>
      <c r="S1792" s="1" t="str">
        <f t="shared" si="55"/>
        <v/>
      </c>
      <c r="T1792" s="1">
        <f>IF($E1792="",0,SUMPRODUCT((AY_SONU!$O$7:$O$42="Evet")*(AY_SONU!$B$7:$B$42=DATE(YEAR($E1792),MONTH($E1792),1))))</f>
        <v>0</v>
      </c>
      <c r="U1792" s="1" t="str">
        <f>IF(OR($G1792="",$H1792="Mahsup"),"",$G1792&amp;"|"&amp;COUNTIFS($G$7:$G1792,$G1792,$H$7:$H1792,"&lt;&gt;Mahsup"))</f>
        <v/>
      </c>
    </row>
    <row r="1793" spans="1:21" ht="18" customHeight="1" x14ac:dyDescent="0.3">
      <c r="A1793" s="2"/>
      <c r="B1793" s="65" t="str">
        <f>IF($D1793="","","T"&amp;TEXT(ROW()-6,"00000"))</f>
        <v/>
      </c>
      <c r="C1793" s="65" t="str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61"/>
      <c r="E1793" s="66"/>
      <c r="F1793" s="67"/>
      <c r="G1793" s="60"/>
      <c r="H1793" s="60"/>
      <c r="I1793" s="61"/>
      <c r="J1793" s="61"/>
      <c r="K1793" s="61"/>
      <c r="L1793" s="73" t="str">
        <f>IF($E1793="","",DATE(YEAR($E1793),MONTH($E1793),1))</f>
        <v/>
      </c>
      <c r="M1793" s="65" t="str">
        <f ca="1">IF($D1793="","",IF($C1793="TANIMSIZ MÜŞTERİ","HATA",IF(OR($E1793="",$F1793&lt;=0,$G1793=""),"EKSİK",IF($E1793&gt;TODAY(),"İLERİ TARİH",IF(COUNTIF($S$7:$S$2503,$S1793)&gt;1,"MÜKERRER?",IF($T1793&gt;0,"KAPALI DÖNEM","UYGUN"))))))</f>
        <v/>
      </c>
      <c r="N1793" s="74" t="str">
        <f>IF($C1793="","",IF($C1793="TANIMSIZ MÜŞTERİ","—",INDEX(MUSTERILER!$C$7:$C$156,MATCH($C1793,MUSTERILER!$B$7:$B$156,0))))</f>
        <v/>
      </c>
      <c r="O1793" s="2"/>
      <c r="P1793" s="2"/>
      <c r="Q1793" s="1" t="str">
        <f>IF($D1793="","",$C1793&amp;"|"&amp;COUNTIFS($C$7:$C1793,$C1793))</f>
        <v/>
      </c>
      <c r="R1793" s="1" t="str">
        <f t="shared" si="54"/>
        <v/>
      </c>
      <c r="S1793" s="1" t="str">
        <f t="shared" si="55"/>
        <v/>
      </c>
      <c r="T1793" s="1">
        <f>IF($E1793="",0,SUMPRODUCT((AY_SONU!$O$7:$O$42="Evet")*(AY_SONU!$B$7:$B$42=DATE(YEAR($E1793),MONTH($E1793),1))))</f>
        <v>0</v>
      </c>
      <c r="U1793" s="1" t="str">
        <f>IF(OR($G1793="",$H1793="Mahsup"),"",$G1793&amp;"|"&amp;COUNTIFS($G$7:$G1793,$G1793,$H$7:$H1793,"&lt;&gt;Mahsup"))</f>
        <v/>
      </c>
    </row>
    <row r="1794" spans="1:21" ht="18" customHeight="1" x14ac:dyDescent="0.3">
      <c r="A1794" s="2"/>
      <c r="B1794" s="65" t="str">
        <f>IF($D1794="","","T"&amp;TEXT(ROW()-6,"00000"))</f>
        <v/>
      </c>
      <c r="C1794" s="65" t="str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61"/>
      <c r="E1794" s="66"/>
      <c r="F1794" s="67"/>
      <c r="G1794" s="60"/>
      <c r="H1794" s="60"/>
      <c r="I1794" s="61"/>
      <c r="J1794" s="61"/>
      <c r="K1794" s="61"/>
      <c r="L1794" s="73" t="str">
        <f>IF($E1794="","",DATE(YEAR($E1794),MONTH($E1794),1))</f>
        <v/>
      </c>
      <c r="M1794" s="65" t="str">
        <f ca="1">IF($D1794="","",IF($C1794="TANIMSIZ MÜŞTERİ","HATA",IF(OR($E1794="",$F1794&lt;=0,$G1794=""),"EKSİK",IF($E1794&gt;TODAY(),"İLERİ TARİH",IF(COUNTIF($S$7:$S$2503,$S1794)&gt;1,"MÜKERRER?",IF($T1794&gt;0,"KAPALI DÖNEM","UYGUN"))))))</f>
        <v/>
      </c>
      <c r="N1794" s="74" t="str">
        <f>IF($C1794="","",IF($C1794="TANIMSIZ MÜŞTERİ","—",INDEX(MUSTERILER!$C$7:$C$156,MATCH($C1794,MUSTERILER!$B$7:$B$156,0))))</f>
        <v/>
      </c>
      <c r="O1794" s="2"/>
      <c r="P1794" s="2"/>
      <c r="Q1794" s="1" t="str">
        <f>IF($D1794="","",$C1794&amp;"|"&amp;COUNTIFS($C$7:$C1794,$C1794))</f>
        <v/>
      </c>
      <c r="R1794" s="1" t="str">
        <f t="shared" si="54"/>
        <v/>
      </c>
      <c r="S1794" s="1" t="str">
        <f t="shared" si="55"/>
        <v/>
      </c>
      <c r="T1794" s="1">
        <f>IF($E1794="",0,SUMPRODUCT((AY_SONU!$O$7:$O$42="Evet")*(AY_SONU!$B$7:$B$42=DATE(YEAR($E1794),MONTH($E1794),1))))</f>
        <v>0</v>
      </c>
      <c r="U1794" s="1" t="str">
        <f>IF(OR($G1794="",$H1794="Mahsup"),"",$G1794&amp;"|"&amp;COUNTIFS($G$7:$G1794,$G1794,$H$7:$H1794,"&lt;&gt;Mahsup"))</f>
        <v/>
      </c>
    </row>
    <row r="1795" spans="1:21" ht="18" customHeight="1" x14ac:dyDescent="0.3">
      <c r="A1795" s="2"/>
      <c r="B1795" s="65" t="str">
        <f>IF($D1795="","","T"&amp;TEXT(ROW()-6,"00000"))</f>
        <v/>
      </c>
      <c r="C1795" s="65" t="str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61"/>
      <c r="E1795" s="66"/>
      <c r="F1795" s="67"/>
      <c r="G1795" s="60"/>
      <c r="H1795" s="60"/>
      <c r="I1795" s="61"/>
      <c r="J1795" s="61"/>
      <c r="K1795" s="61"/>
      <c r="L1795" s="73" t="str">
        <f>IF($E1795="","",DATE(YEAR($E1795),MONTH($E1795),1))</f>
        <v/>
      </c>
      <c r="M1795" s="65" t="str">
        <f ca="1">IF($D1795="","",IF($C1795="TANIMSIZ MÜŞTERİ","HATA",IF(OR($E1795="",$F1795&lt;=0,$G1795=""),"EKSİK",IF($E1795&gt;TODAY(),"İLERİ TARİH",IF(COUNTIF($S$7:$S$2503,$S1795)&gt;1,"MÜKERRER?",IF($T1795&gt;0,"KAPALI DÖNEM","UYGUN"))))))</f>
        <v/>
      </c>
      <c r="N1795" s="74" t="str">
        <f>IF($C1795="","",IF($C1795="TANIMSIZ MÜŞTERİ","—",INDEX(MUSTERILER!$C$7:$C$156,MATCH($C1795,MUSTERILER!$B$7:$B$156,0))))</f>
        <v/>
      </c>
      <c r="O1795" s="2"/>
      <c r="P1795" s="2"/>
      <c r="Q1795" s="1" t="str">
        <f>IF($D1795="","",$C1795&amp;"|"&amp;COUNTIFS($C$7:$C1795,$C1795))</f>
        <v/>
      </c>
      <c r="R1795" s="1" t="str">
        <f t="shared" si="54"/>
        <v/>
      </c>
      <c r="S1795" s="1" t="str">
        <f t="shared" si="55"/>
        <v/>
      </c>
      <c r="T1795" s="1">
        <f>IF($E1795="",0,SUMPRODUCT((AY_SONU!$O$7:$O$42="Evet")*(AY_SONU!$B$7:$B$42=DATE(YEAR($E1795),MONTH($E1795),1))))</f>
        <v>0</v>
      </c>
      <c r="U1795" s="1" t="str">
        <f>IF(OR($G1795="",$H1795="Mahsup"),"",$G1795&amp;"|"&amp;COUNTIFS($G$7:$G1795,$G1795,$H$7:$H1795,"&lt;&gt;Mahsup"))</f>
        <v/>
      </c>
    </row>
    <row r="1796" spans="1:21" ht="18" customHeight="1" x14ac:dyDescent="0.3">
      <c r="A1796" s="2"/>
      <c r="B1796" s="65" t="str">
        <f>IF($D1796="","","T"&amp;TEXT(ROW()-6,"00000"))</f>
        <v/>
      </c>
      <c r="C1796" s="65" t="str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61"/>
      <c r="E1796" s="66"/>
      <c r="F1796" s="67"/>
      <c r="G1796" s="60"/>
      <c r="H1796" s="60"/>
      <c r="I1796" s="61"/>
      <c r="J1796" s="61"/>
      <c r="K1796" s="61"/>
      <c r="L1796" s="73" t="str">
        <f>IF($E1796="","",DATE(YEAR($E1796),MONTH($E1796),1))</f>
        <v/>
      </c>
      <c r="M1796" s="65" t="str">
        <f ca="1">IF($D1796="","",IF($C1796="TANIMSIZ MÜŞTERİ","HATA",IF(OR($E1796="",$F1796&lt;=0,$G1796=""),"EKSİK",IF($E1796&gt;TODAY(),"İLERİ TARİH",IF(COUNTIF($S$7:$S$2503,$S1796)&gt;1,"MÜKERRER?",IF($T1796&gt;0,"KAPALI DÖNEM","UYGUN"))))))</f>
        <v/>
      </c>
      <c r="N1796" s="74" t="str">
        <f>IF($C1796="","",IF($C1796="TANIMSIZ MÜŞTERİ","—",INDEX(MUSTERILER!$C$7:$C$156,MATCH($C1796,MUSTERILER!$B$7:$B$156,0))))</f>
        <v/>
      </c>
      <c r="O1796" s="2"/>
      <c r="P1796" s="2"/>
      <c r="Q1796" s="1" t="str">
        <f>IF($D1796="","",$C1796&amp;"|"&amp;COUNTIFS($C$7:$C1796,$C1796))</f>
        <v/>
      </c>
      <c r="R1796" s="1" t="str">
        <f t="shared" si="54"/>
        <v/>
      </c>
      <c r="S1796" s="1" t="str">
        <f t="shared" si="55"/>
        <v/>
      </c>
      <c r="T1796" s="1">
        <f>IF($E1796="",0,SUMPRODUCT((AY_SONU!$O$7:$O$42="Evet")*(AY_SONU!$B$7:$B$42=DATE(YEAR($E1796),MONTH($E1796),1))))</f>
        <v>0</v>
      </c>
      <c r="U1796" s="1" t="str">
        <f>IF(OR($G1796="",$H1796="Mahsup"),"",$G1796&amp;"|"&amp;COUNTIFS($G$7:$G1796,$G1796,$H$7:$H1796,"&lt;&gt;Mahsup"))</f>
        <v/>
      </c>
    </row>
    <row r="1797" spans="1:21" ht="18" customHeight="1" x14ac:dyDescent="0.3">
      <c r="A1797" s="2"/>
      <c r="B1797" s="65" t="str">
        <f>IF($D1797="","","T"&amp;TEXT(ROW()-6,"00000"))</f>
        <v/>
      </c>
      <c r="C1797" s="65" t="str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61"/>
      <c r="E1797" s="66"/>
      <c r="F1797" s="67"/>
      <c r="G1797" s="60"/>
      <c r="H1797" s="60"/>
      <c r="I1797" s="61"/>
      <c r="J1797" s="61"/>
      <c r="K1797" s="61"/>
      <c r="L1797" s="73" t="str">
        <f>IF($E1797="","",DATE(YEAR($E1797),MONTH($E1797),1))</f>
        <v/>
      </c>
      <c r="M1797" s="65" t="str">
        <f ca="1">IF($D1797="","",IF($C1797="TANIMSIZ MÜŞTERİ","HATA",IF(OR($E1797="",$F1797&lt;=0,$G1797=""),"EKSİK",IF($E1797&gt;TODAY(),"İLERİ TARİH",IF(COUNTIF($S$7:$S$2503,$S1797)&gt;1,"MÜKERRER?",IF($T1797&gt;0,"KAPALI DÖNEM","UYGUN"))))))</f>
        <v/>
      </c>
      <c r="N1797" s="74" t="str">
        <f>IF($C1797="","",IF($C1797="TANIMSIZ MÜŞTERİ","—",INDEX(MUSTERILER!$C$7:$C$156,MATCH($C1797,MUSTERILER!$B$7:$B$156,0))))</f>
        <v/>
      </c>
      <c r="O1797" s="2"/>
      <c r="P1797" s="2"/>
      <c r="Q1797" s="1" t="str">
        <f>IF($D1797="","",$C1797&amp;"|"&amp;COUNTIFS($C$7:$C1797,$C1797))</f>
        <v/>
      </c>
      <c r="R1797" s="1" t="str">
        <f t="shared" si="54"/>
        <v/>
      </c>
      <c r="S1797" s="1" t="str">
        <f t="shared" si="55"/>
        <v/>
      </c>
      <c r="T1797" s="1">
        <f>IF($E1797="",0,SUMPRODUCT((AY_SONU!$O$7:$O$42="Evet")*(AY_SONU!$B$7:$B$42=DATE(YEAR($E1797),MONTH($E1797),1))))</f>
        <v>0</v>
      </c>
      <c r="U1797" s="1" t="str">
        <f>IF(OR($G1797="",$H1797="Mahsup"),"",$G1797&amp;"|"&amp;COUNTIFS($G$7:$G1797,$G1797,$H$7:$H1797,"&lt;&gt;Mahsup"))</f>
        <v/>
      </c>
    </row>
    <row r="1798" spans="1:21" ht="18" customHeight="1" x14ac:dyDescent="0.3">
      <c r="A1798" s="2"/>
      <c r="B1798" s="65" t="str">
        <f>IF($D1798="","","T"&amp;TEXT(ROW()-6,"00000"))</f>
        <v/>
      </c>
      <c r="C1798" s="65" t="str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61"/>
      <c r="E1798" s="66"/>
      <c r="F1798" s="67"/>
      <c r="G1798" s="60"/>
      <c r="H1798" s="60"/>
      <c r="I1798" s="61"/>
      <c r="J1798" s="61"/>
      <c r="K1798" s="61"/>
      <c r="L1798" s="73" t="str">
        <f>IF($E1798="","",DATE(YEAR($E1798),MONTH($E1798),1))</f>
        <v/>
      </c>
      <c r="M1798" s="65" t="str">
        <f ca="1">IF($D1798="","",IF($C1798="TANIMSIZ MÜŞTERİ","HATA",IF(OR($E1798="",$F1798&lt;=0,$G1798=""),"EKSİK",IF($E1798&gt;TODAY(),"İLERİ TARİH",IF(COUNTIF($S$7:$S$2503,$S1798)&gt;1,"MÜKERRER?",IF($T1798&gt;0,"KAPALI DÖNEM","UYGUN"))))))</f>
        <v/>
      </c>
      <c r="N1798" s="74" t="str">
        <f>IF($C1798="","",IF($C1798="TANIMSIZ MÜŞTERİ","—",INDEX(MUSTERILER!$C$7:$C$156,MATCH($C1798,MUSTERILER!$B$7:$B$156,0))))</f>
        <v/>
      </c>
      <c r="O1798" s="2"/>
      <c r="P1798" s="2"/>
      <c r="Q1798" s="1" t="str">
        <f>IF($D1798="","",$C1798&amp;"|"&amp;COUNTIFS($C$7:$C1798,$C1798))</f>
        <v/>
      </c>
      <c r="R1798" s="1" t="str">
        <f t="shared" si="54"/>
        <v/>
      </c>
      <c r="S1798" s="1" t="str">
        <f t="shared" si="55"/>
        <v/>
      </c>
      <c r="T1798" s="1">
        <f>IF($E1798="",0,SUMPRODUCT((AY_SONU!$O$7:$O$42="Evet")*(AY_SONU!$B$7:$B$42=DATE(YEAR($E1798),MONTH($E1798),1))))</f>
        <v>0</v>
      </c>
      <c r="U1798" s="1" t="str">
        <f>IF(OR($G1798="",$H1798="Mahsup"),"",$G1798&amp;"|"&amp;COUNTIFS($G$7:$G1798,$G1798,$H$7:$H1798,"&lt;&gt;Mahsup"))</f>
        <v/>
      </c>
    </row>
    <row r="1799" spans="1:21" ht="18" customHeight="1" x14ac:dyDescent="0.3">
      <c r="A1799" s="2"/>
      <c r="B1799" s="65" t="str">
        <f>IF($D1799="","","T"&amp;TEXT(ROW()-6,"00000"))</f>
        <v/>
      </c>
      <c r="C1799" s="65" t="str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61"/>
      <c r="E1799" s="66"/>
      <c r="F1799" s="67"/>
      <c r="G1799" s="60"/>
      <c r="H1799" s="60"/>
      <c r="I1799" s="61"/>
      <c r="J1799" s="61"/>
      <c r="K1799" s="61"/>
      <c r="L1799" s="73" t="str">
        <f>IF($E1799="","",DATE(YEAR($E1799),MONTH($E1799),1))</f>
        <v/>
      </c>
      <c r="M1799" s="65" t="str">
        <f ca="1">IF($D1799="","",IF($C1799="TANIMSIZ MÜŞTERİ","HATA",IF(OR($E1799="",$F1799&lt;=0,$G1799=""),"EKSİK",IF($E1799&gt;TODAY(),"İLERİ TARİH",IF(COUNTIF($S$7:$S$2503,$S1799)&gt;1,"MÜKERRER?",IF($T1799&gt;0,"KAPALI DÖNEM","UYGUN"))))))</f>
        <v/>
      </c>
      <c r="N1799" s="74" t="str">
        <f>IF($C1799="","",IF($C1799="TANIMSIZ MÜŞTERİ","—",INDEX(MUSTERILER!$C$7:$C$156,MATCH($C1799,MUSTERILER!$B$7:$B$156,0))))</f>
        <v/>
      </c>
      <c r="O1799" s="2"/>
      <c r="P1799" s="2"/>
      <c r="Q1799" s="1" t="str">
        <f>IF($D1799="","",$C1799&amp;"|"&amp;COUNTIFS($C$7:$C1799,$C1799))</f>
        <v/>
      </c>
      <c r="R1799" s="1" t="str">
        <f t="shared" ref="R1799:R1862" si="56"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" t="str">
        <f t="shared" ref="S1799:S1862" si="57">IF($D1799="","",$C1799&amp;"|"&amp;TEXT($E1799,"0")&amp;"|"&amp;TEXT($F1799,"0")&amp;"|"&amp;$I1799)</f>
        <v/>
      </c>
      <c r="T1799" s="1">
        <f>IF($E1799="",0,SUMPRODUCT((AY_SONU!$O$7:$O$42="Evet")*(AY_SONU!$B$7:$B$42=DATE(YEAR($E1799),MONTH($E1799),1))))</f>
        <v>0</v>
      </c>
      <c r="U1799" s="1" t="str">
        <f>IF(OR($G1799="",$H1799="Mahsup"),"",$G1799&amp;"|"&amp;COUNTIFS($G$7:$G1799,$G1799,$H$7:$H1799,"&lt;&gt;Mahsup"))</f>
        <v/>
      </c>
    </row>
    <row r="1800" spans="1:21" ht="18" customHeight="1" x14ac:dyDescent="0.3">
      <c r="A1800" s="2"/>
      <c r="B1800" s="65" t="str">
        <f>IF($D1800="","","T"&amp;TEXT(ROW()-6,"00000"))</f>
        <v/>
      </c>
      <c r="C1800" s="65" t="str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61"/>
      <c r="E1800" s="66"/>
      <c r="F1800" s="67"/>
      <c r="G1800" s="60"/>
      <c r="H1800" s="60"/>
      <c r="I1800" s="61"/>
      <c r="J1800" s="61"/>
      <c r="K1800" s="61"/>
      <c r="L1800" s="73" t="str">
        <f>IF($E1800="","",DATE(YEAR($E1800),MONTH($E1800),1))</f>
        <v/>
      </c>
      <c r="M1800" s="65" t="str">
        <f ca="1">IF($D1800="","",IF($C1800="TANIMSIZ MÜŞTERİ","HATA",IF(OR($E1800="",$F1800&lt;=0,$G1800=""),"EKSİK",IF($E1800&gt;TODAY(),"İLERİ TARİH",IF(COUNTIF($S$7:$S$2503,$S1800)&gt;1,"MÜKERRER?",IF($T1800&gt;0,"KAPALI DÖNEM","UYGUN"))))))</f>
        <v/>
      </c>
      <c r="N1800" s="74" t="str">
        <f>IF($C1800="","",IF($C1800="TANIMSIZ MÜŞTERİ","—",INDEX(MUSTERILER!$C$7:$C$156,MATCH($C1800,MUSTERILER!$B$7:$B$156,0))))</f>
        <v/>
      </c>
      <c r="O1800" s="2"/>
      <c r="P1800" s="2"/>
      <c r="Q1800" s="1" t="str">
        <f>IF($D1800="","",$C1800&amp;"|"&amp;COUNTIFS($C$7:$C1800,$C1800))</f>
        <v/>
      </c>
      <c r="R1800" s="1" t="str">
        <f t="shared" si="56"/>
        <v/>
      </c>
      <c r="S1800" s="1" t="str">
        <f t="shared" si="57"/>
        <v/>
      </c>
      <c r="T1800" s="1">
        <f>IF($E1800="",0,SUMPRODUCT((AY_SONU!$O$7:$O$42="Evet")*(AY_SONU!$B$7:$B$42=DATE(YEAR($E1800),MONTH($E1800),1))))</f>
        <v>0</v>
      </c>
      <c r="U1800" s="1" t="str">
        <f>IF(OR($G1800="",$H1800="Mahsup"),"",$G1800&amp;"|"&amp;COUNTIFS($G$7:$G1800,$G1800,$H$7:$H1800,"&lt;&gt;Mahsup"))</f>
        <v/>
      </c>
    </row>
    <row r="1801" spans="1:21" ht="18" customHeight="1" x14ac:dyDescent="0.3">
      <c r="A1801" s="2"/>
      <c r="B1801" s="65" t="str">
        <f>IF($D1801="","","T"&amp;TEXT(ROW()-6,"00000"))</f>
        <v/>
      </c>
      <c r="C1801" s="65" t="str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61"/>
      <c r="E1801" s="66"/>
      <c r="F1801" s="67"/>
      <c r="G1801" s="60"/>
      <c r="H1801" s="60"/>
      <c r="I1801" s="61"/>
      <c r="J1801" s="61"/>
      <c r="K1801" s="61"/>
      <c r="L1801" s="73" t="str">
        <f>IF($E1801="","",DATE(YEAR($E1801),MONTH($E1801),1))</f>
        <v/>
      </c>
      <c r="M1801" s="65" t="str">
        <f ca="1">IF($D1801="","",IF($C1801="TANIMSIZ MÜŞTERİ","HATA",IF(OR($E1801="",$F1801&lt;=0,$G1801=""),"EKSİK",IF($E1801&gt;TODAY(),"İLERİ TARİH",IF(COUNTIF($S$7:$S$2503,$S1801)&gt;1,"MÜKERRER?",IF($T1801&gt;0,"KAPALI DÖNEM","UYGUN"))))))</f>
        <v/>
      </c>
      <c r="N1801" s="74" t="str">
        <f>IF($C1801="","",IF($C1801="TANIMSIZ MÜŞTERİ","—",INDEX(MUSTERILER!$C$7:$C$156,MATCH($C1801,MUSTERILER!$B$7:$B$156,0))))</f>
        <v/>
      </c>
      <c r="O1801" s="2"/>
      <c r="P1801" s="2"/>
      <c r="Q1801" s="1" t="str">
        <f>IF($D1801="","",$C1801&amp;"|"&amp;COUNTIFS($C$7:$C1801,$C1801))</f>
        <v/>
      </c>
      <c r="R1801" s="1" t="str">
        <f t="shared" si="56"/>
        <v/>
      </c>
      <c r="S1801" s="1" t="str">
        <f t="shared" si="57"/>
        <v/>
      </c>
      <c r="T1801" s="1">
        <f>IF($E1801="",0,SUMPRODUCT((AY_SONU!$O$7:$O$42="Evet")*(AY_SONU!$B$7:$B$42=DATE(YEAR($E1801),MONTH($E1801),1))))</f>
        <v>0</v>
      </c>
      <c r="U1801" s="1" t="str">
        <f>IF(OR($G1801="",$H1801="Mahsup"),"",$G1801&amp;"|"&amp;COUNTIFS($G$7:$G1801,$G1801,$H$7:$H1801,"&lt;&gt;Mahsup"))</f>
        <v/>
      </c>
    </row>
    <row r="1802" spans="1:21" ht="18" customHeight="1" x14ac:dyDescent="0.3">
      <c r="A1802" s="2"/>
      <c r="B1802" s="65" t="str">
        <f>IF($D1802="","","T"&amp;TEXT(ROW()-6,"00000"))</f>
        <v/>
      </c>
      <c r="C1802" s="65" t="str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61"/>
      <c r="E1802" s="66"/>
      <c r="F1802" s="67"/>
      <c r="G1802" s="60"/>
      <c r="H1802" s="60"/>
      <c r="I1802" s="61"/>
      <c r="J1802" s="61"/>
      <c r="K1802" s="61"/>
      <c r="L1802" s="73" t="str">
        <f>IF($E1802="","",DATE(YEAR($E1802),MONTH($E1802),1))</f>
        <v/>
      </c>
      <c r="M1802" s="65" t="str">
        <f ca="1">IF($D1802="","",IF($C1802="TANIMSIZ MÜŞTERİ","HATA",IF(OR($E1802="",$F1802&lt;=0,$G1802=""),"EKSİK",IF($E1802&gt;TODAY(),"İLERİ TARİH",IF(COUNTIF($S$7:$S$2503,$S1802)&gt;1,"MÜKERRER?",IF($T1802&gt;0,"KAPALI DÖNEM","UYGUN"))))))</f>
        <v/>
      </c>
      <c r="N1802" s="74" t="str">
        <f>IF($C1802="","",IF($C1802="TANIMSIZ MÜŞTERİ","—",INDEX(MUSTERILER!$C$7:$C$156,MATCH($C1802,MUSTERILER!$B$7:$B$156,0))))</f>
        <v/>
      </c>
      <c r="O1802" s="2"/>
      <c r="P1802" s="2"/>
      <c r="Q1802" s="1" t="str">
        <f>IF($D1802="","",$C1802&amp;"|"&amp;COUNTIFS($C$7:$C1802,$C1802))</f>
        <v/>
      </c>
      <c r="R1802" s="1" t="str">
        <f t="shared" si="56"/>
        <v/>
      </c>
      <c r="S1802" s="1" t="str">
        <f t="shared" si="57"/>
        <v/>
      </c>
      <c r="T1802" s="1">
        <f>IF($E1802="",0,SUMPRODUCT((AY_SONU!$O$7:$O$42="Evet")*(AY_SONU!$B$7:$B$42=DATE(YEAR($E1802),MONTH($E1802),1))))</f>
        <v>0</v>
      </c>
      <c r="U1802" s="1" t="str">
        <f>IF(OR($G1802="",$H1802="Mahsup"),"",$G1802&amp;"|"&amp;COUNTIFS($G$7:$G1802,$G1802,$H$7:$H1802,"&lt;&gt;Mahsup"))</f>
        <v/>
      </c>
    </row>
    <row r="1803" spans="1:21" ht="18" customHeight="1" x14ac:dyDescent="0.3">
      <c r="A1803" s="2"/>
      <c r="B1803" s="65" t="str">
        <f>IF($D1803="","","T"&amp;TEXT(ROW()-6,"00000"))</f>
        <v/>
      </c>
      <c r="C1803" s="65" t="str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61"/>
      <c r="E1803" s="66"/>
      <c r="F1803" s="67"/>
      <c r="G1803" s="60"/>
      <c r="H1803" s="60"/>
      <c r="I1803" s="61"/>
      <c r="J1803" s="61"/>
      <c r="K1803" s="61"/>
      <c r="L1803" s="73" t="str">
        <f>IF($E1803="","",DATE(YEAR($E1803),MONTH($E1803),1))</f>
        <v/>
      </c>
      <c r="M1803" s="65" t="str">
        <f ca="1">IF($D1803="","",IF($C1803="TANIMSIZ MÜŞTERİ","HATA",IF(OR($E1803="",$F1803&lt;=0,$G1803=""),"EKSİK",IF($E1803&gt;TODAY(),"İLERİ TARİH",IF(COUNTIF($S$7:$S$2503,$S1803)&gt;1,"MÜKERRER?",IF($T1803&gt;0,"KAPALI DÖNEM","UYGUN"))))))</f>
        <v/>
      </c>
      <c r="N1803" s="74" t="str">
        <f>IF($C1803="","",IF($C1803="TANIMSIZ MÜŞTERİ","—",INDEX(MUSTERILER!$C$7:$C$156,MATCH($C1803,MUSTERILER!$B$7:$B$156,0))))</f>
        <v/>
      </c>
      <c r="O1803" s="2"/>
      <c r="P1803" s="2"/>
      <c r="Q1803" s="1" t="str">
        <f>IF($D1803="","",$C1803&amp;"|"&amp;COUNTIFS($C$7:$C1803,$C1803))</f>
        <v/>
      </c>
      <c r="R1803" s="1" t="str">
        <f t="shared" si="56"/>
        <v/>
      </c>
      <c r="S1803" s="1" t="str">
        <f t="shared" si="57"/>
        <v/>
      </c>
      <c r="T1803" s="1">
        <f>IF($E1803="",0,SUMPRODUCT((AY_SONU!$O$7:$O$42="Evet")*(AY_SONU!$B$7:$B$42=DATE(YEAR($E1803),MONTH($E1803),1))))</f>
        <v>0</v>
      </c>
      <c r="U1803" s="1" t="str">
        <f>IF(OR($G1803="",$H1803="Mahsup"),"",$G1803&amp;"|"&amp;COUNTIFS($G$7:$G1803,$G1803,$H$7:$H1803,"&lt;&gt;Mahsup"))</f>
        <v/>
      </c>
    </row>
    <row r="1804" spans="1:21" ht="18" customHeight="1" x14ac:dyDescent="0.3">
      <c r="A1804" s="2"/>
      <c r="B1804" s="65" t="str">
        <f>IF($D1804="","","T"&amp;TEXT(ROW()-6,"00000"))</f>
        <v/>
      </c>
      <c r="C1804" s="65" t="str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61"/>
      <c r="E1804" s="66"/>
      <c r="F1804" s="67"/>
      <c r="G1804" s="60"/>
      <c r="H1804" s="60"/>
      <c r="I1804" s="61"/>
      <c r="J1804" s="61"/>
      <c r="K1804" s="61"/>
      <c r="L1804" s="73" t="str">
        <f>IF($E1804="","",DATE(YEAR($E1804),MONTH($E1804),1))</f>
        <v/>
      </c>
      <c r="M1804" s="65" t="str">
        <f ca="1">IF($D1804="","",IF($C1804="TANIMSIZ MÜŞTERİ","HATA",IF(OR($E1804="",$F1804&lt;=0,$G1804=""),"EKSİK",IF($E1804&gt;TODAY(),"İLERİ TARİH",IF(COUNTIF($S$7:$S$2503,$S1804)&gt;1,"MÜKERRER?",IF($T1804&gt;0,"KAPALI DÖNEM","UYGUN"))))))</f>
        <v/>
      </c>
      <c r="N1804" s="74" t="str">
        <f>IF($C1804="","",IF($C1804="TANIMSIZ MÜŞTERİ","—",INDEX(MUSTERILER!$C$7:$C$156,MATCH($C1804,MUSTERILER!$B$7:$B$156,0))))</f>
        <v/>
      </c>
      <c r="O1804" s="2"/>
      <c r="P1804" s="2"/>
      <c r="Q1804" s="1" t="str">
        <f>IF($D1804="","",$C1804&amp;"|"&amp;COUNTIFS($C$7:$C1804,$C1804))</f>
        <v/>
      </c>
      <c r="R1804" s="1" t="str">
        <f t="shared" si="56"/>
        <v/>
      </c>
      <c r="S1804" s="1" t="str">
        <f t="shared" si="57"/>
        <v/>
      </c>
      <c r="T1804" s="1">
        <f>IF($E1804="",0,SUMPRODUCT((AY_SONU!$O$7:$O$42="Evet")*(AY_SONU!$B$7:$B$42=DATE(YEAR($E1804),MONTH($E1804),1))))</f>
        <v>0</v>
      </c>
      <c r="U1804" s="1" t="str">
        <f>IF(OR($G1804="",$H1804="Mahsup"),"",$G1804&amp;"|"&amp;COUNTIFS($G$7:$G1804,$G1804,$H$7:$H1804,"&lt;&gt;Mahsup"))</f>
        <v/>
      </c>
    </row>
    <row r="1805" spans="1:21" ht="18" customHeight="1" x14ac:dyDescent="0.3">
      <c r="A1805" s="2"/>
      <c r="B1805" s="65" t="str">
        <f>IF($D1805="","","T"&amp;TEXT(ROW()-6,"00000"))</f>
        <v/>
      </c>
      <c r="C1805" s="65" t="str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61"/>
      <c r="E1805" s="66"/>
      <c r="F1805" s="67"/>
      <c r="G1805" s="60"/>
      <c r="H1805" s="60"/>
      <c r="I1805" s="61"/>
      <c r="J1805" s="61"/>
      <c r="K1805" s="61"/>
      <c r="L1805" s="73" t="str">
        <f>IF($E1805="","",DATE(YEAR($E1805),MONTH($E1805),1))</f>
        <v/>
      </c>
      <c r="M1805" s="65" t="str">
        <f ca="1">IF($D1805="","",IF($C1805="TANIMSIZ MÜŞTERİ","HATA",IF(OR($E1805="",$F1805&lt;=0,$G1805=""),"EKSİK",IF($E1805&gt;TODAY(),"İLERİ TARİH",IF(COUNTIF($S$7:$S$2503,$S1805)&gt;1,"MÜKERRER?",IF($T1805&gt;0,"KAPALI DÖNEM","UYGUN"))))))</f>
        <v/>
      </c>
      <c r="N1805" s="74" t="str">
        <f>IF($C1805="","",IF($C1805="TANIMSIZ MÜŞTERİ","—",INDEX(MUSTERILER!$C$7:$C$156,MATCH($C1805,MUSTERILER!$B$7:$B$156,0))))</f>
        <v/>
      </c>
      <c r="O1805" s="2"/>
      <c r="P1805" s="2"/>
      <c r="Q1805" s="1" t="str">
        <f>IF($D1805="","",$C1805&amp;"|"&amp;COUNTIFS($C$7:$C1805,$C1805))</f>
        <v/>
      </c>
      <c r="R1805" s="1" t="str">
        <f t="shared" si="56"/>
        <v/>
      </c>
      <c r="S1805" s="1" t="str">
        <f t="shared" si="57"/>
        <v/>
      </c>
      <c r="T1805" s="1">
        <f>IF($E1805="",0,SUMPRODUCT((AY_SONU!$O$7:$O$42="Evet")*(AY_SONU!$B$7:$B$42=DATE(YEAR($E1805),MONTH($E1805),1))))</f>
        <v>0</v>
      </c>
      <c r="U1805" s="1" t="str">
        <f>IF(OR($G1805="",$H1805="Mahsup"),"",$G1805&amp;"|"&amp;COUNTIFS($G$7:$G1805,$G1805,$H$7:$H1805,"&lt;&gt;Mahsup"))</f>
        <v/>
      </c>
    </row>
    <row r="1806" spans="1:21" ht="18" customHeight="1" x14ac:dyDescent="0.3">
      <c r="A1806" s="2"/>
      <c r="B1806" s="65" t="str">
        <f>IF($D1806="","","T"&amp;TEXT(ROW()-6,"00000"))</f>
        <v/>
      </c>
      <c r="C1806" s="65" t="str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61"/>
      <c r="E1806" s="66"/>
      <c r="F1806" s="67"/>
      <c r="G1806" s="60"/>
      <c r="H1806" s="60"/>
      <c r="I1806" s="61"/>
      <c r="J1806" s="61"/>
      <c r="K1806" s="61"/>
      <c r="L1806" s="73" t="str">
        <f>IF($E1806="","",DATE(YEAR($E1806),MONTH($E1806),1))</f>
        <v/>
      </c>
      <c r="M1806" s="65" t="str">
        <f ca="1">IF($D1806="","",IF($C1806="TANIMSIZ MÜŞTERİ","HATA",IF(OR($E1806="",$F1806&lt;=0,$G1806=""),"EKSİK",IF($E1806&gt;TODAY(),"İLERİ TARİH",IF(COUNTIF($S$7:$S$2503,$S1806)&gt;1,"MÜKERRER?",IF($T1806&gt;0,"KAPALI DÖNEM","UYGUN"))))))</f>
        <v/>
      </c>
      <c r="N1806" s="74" t="str">
        <f>IF($C1806="","",IF($C1806="TANIMSIZ MÜŞTERİ","—",INDEX(MUSTERILER!$C$7:$C$156,MATCH($C1806,MUSTERILER!$B$7:$B$156,0))))</f>
        <v/>
      </c>
      <c r="O1806" s="2"/>
      <c r="P1806" s="2"/>
      <c r="Q1806" s="1" t="str">
        <f>IF($D1806="","",$C1806&amp;"|"&amp;COUNTIFS($C$7:$C1806,$C1806))</f>
        <v/>
      </c>
      <c r="R1806" s="1" t="str">
        <f t="shared" si="56"/>
        <v/>
      </c>
      <c r="S1806" s="1" t="str">
        <f t="shared" si="57"/>
        <v/>
      </c>
      <c r="T1806" s="1">
        <f>IF($E1806="",0,SUMPRODUCT((AY_SONU!$O$7:$O$42="Evet")*(AY_SONU!$B$7:$B$42=DATE(YEAR($E1806),MONTH($E1806),1))))</f>
        <v>0</v>
      </c>
      <c r="U1806" s="1" t="str">
        <f>IF(OR($G1806="",$H1806="Mahsup"),"",$G1806&amp;"|"&amp;COUNTIFS($G$7:$G1806,$G1806,$H$7:$H1806,"&lt;&gt;Mahsup"))</f>
        <v/>
      </c>
    </row>
    <row r="1807" spans="1:21" ht="18" customHeight="1" x14ac:dyDescent="0.3">
      <c r="A1807" s="2"/>
      <c r="B1807" s="65" t="str">
        <f>IF($D1807="","","T"&amp;TEXT(ROW()-6,"00000"))</f>
        <v/>
      </c>
      <c r="C1807" s="65" t="str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61"/>
      <c r="E1807" s="66"/>
      <c r="F1807" s="67"/>
      <c r="G1807" s="60"/>
      <c r="H1807" s="60"/>
      <c r="I1807" s="61"/>
      <c r="J1807" s="61"/>
      <c r="K1807" s="61"/>
      <c r="L1807" s="73" t="str">
        <f>IF($E1807="","",DATE(YEAR($E1807),MONTH($E1807),1))</f>
        <v/>
      </c>
      <c r="M1807" s="65" t="str">
        <f ca="1">IF($D1807="","",IF($C1807="TANIMSIZ MÜŞTERİ","HATA",IF(OR($E1807="",$F1807&lt;=0,$G1807=""),"EKSİK",IF($E1807&gt;TODAY(),"İLERİ TARİH",IF(COUNTIF($S$7:$S$2503,$S1807)&gt;1,"MÜKERRER?",IF($T1807&gt;0,"KAPALI DÖNEM","UYGUN"))))))</f>
        <v/>
      </c>
      <c r="N1807" s="74" t="str">
        <f>IF($C1807="","",IF($C1807="TANIMSIZ MÜŞTERİ","—",INDEX(MUSTERILER!$C$7:$C$156,MATCH($C1807,MUSTERILER!$B$7:$B$156,0))))</f>
        <v/>
      </c>
      <c r="O1807" s="2"/>
      <c r="P1807" s="2"/>
      <c r="Q1807" s="1" t="str">
        <f>IF($D1807="","",$C1807&amp;"|"&amp;COUNTIFS($C$7:$C1807,$C1807))</f>
        <v/>
      </c>
      <c r="R1807" s="1" t="str">
        <f t="shared" si="56"/>
        <v/>
      </c>
      <c r="S1807" s="1" t="str">
        <f t="shared" si="57"/>
        <v/>
      </c>
      <c r="T1807" s="1">
        <f>IF($E1807="",0,SUMPRODUCT((AY_SONU!$O$7:$O$42="Evet")*(AY_SONU!$B$7:$B$42=DATE(YEAR($E1807),MONTH($E1807),1))))</f>
        <v>0</v>
      </c>
      <c r="U1807" s="1" t="str">
        <f>IF(OR($G1807="",$H1807="Mahsup"),"",$G1807&amp;"|"&amp;COUNTIFS($G$7:$G1807,$G1807,$H$7:$H1807,"&lt;&gt;Mahsup"))</f>
        <v/>
      </c>
    </row>
    <row r="1808" spans="1:21" ht="18" customHeight="1" x14ac:dyDescent="0.3">
      <c r="A1808" s="2"/>
      <c r="B1808" s="65" t="str">
        <f>IF($D1808="","","T"&amp;TEXT(ROW()-6,"00000"))</f>
        <v/>
      </c>
      <c r="C1808" s="65" t="str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61"/>
      <c r="E1808" s="66"/>
      <c r="F1808" s="67"/>
      <c r="G1808" s="60"/>
      <c r="H1808" s="60"/>
      <c r="I1808" s="61"/>
      <c r="J1808" s="61"/>
      <c r="K1808" s="61"/>
      <c r="L1808" s="73" t="str">
        <f>IF($E1808="","",DATE(YEAR($E1808),MONTH($E1808),1))</f>
        <v/>
      </c>
      <c r="M1808" s="65" t="str">
        <f ca="1">IF($D1808="","",IF($C1808="TANIMSIZ MÜŞTERİ","HATA",IF(OR($E1808="",$F1808&lt;=0,$G1808=""),"EKSİK",IF($E1808&gt;TODAY(),"İLERİ TARİH",IF(COUNTIF($S$7:$S$2503,$S1808)&gt;1,"MÜKERRER?",IF($T1808&gt;0,"KAPALI DÖNEM","UYGUN"))))))</f>
        <v/>
      </c>
      <c r="N1808" s="74" t="str">
        <f>IF($C1808="","",IF($C1808="TANIMSIZ MÜŞTERİ","—",INDEX(MUSTERILER!$C$7:$C$156,MATCH($C1808,MUSTERILER!$B$7:$B$156,0))))</f>
        <v/>
      </c>
      <c r="O1808" s="2"/>
      <c r="P1808" s="2"/>
      <c r="Q1808" s="1" t="str">
        <f>IF($D1808="","",$C1808&amp;"|"&amp;COUNTIFS($C$7:$C1808,$C1808))</f>
        <v/>
      </c>
      <c r="R1808" s="1" t="str">
        <f t="shared" si="56"/>
        <v/>
      </c>
      <c r="S1808" s="1" t="str">
        <f t="shared" si="57"/>
        <v/>
      </c>
      <c r="T1808" s="1">
        <f>IF($E1808="",0,SUMPRODUCT((AY_SONU!$O$7:$O$42="Evet")*(AY_SONU!$B$7:$B$42=DATE(YEAR($E1808),MONTH($E1808),1))))</f>
        <v>0</v>
      </c>
      <c r="U1808" s="1" t="str">
        <f>IF(OR($G1808="",$H1808="Mahsup"),"",$G1808&amp;"|"&amp;COUNTIFS($G$7:$G1808,$G1808,$H$7:$H1808,"&lt;&gt;Mahsup"))</f>
        <v/>
      </c>
    </row>
    <row r="1809" spans="1:21" ht="18" customHeight="1" x14ac:dyDescent="0.3">
      <c r="A1809" s="2"/>
      <c r="B1809" s="65" t="str">
        <f>IF($D1809="","","T"&amp;TEXT(ROW()-6,"00000"))</f>
        <v/>
      </c>
      <c r="C1809" s="65" t="str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61"/>
      <c r="E1809" s="66"/>
      <c r="F1809" s="67"/>
      <c r="G1809" s="60"/>
      <c r="H1809" s="60"/>
      <c r="I1809" s="61"/>
      <c r="J1809" s="61"/>
      <c r="K1809" s="61"/>
      <c r="L1809" s="73" t="str">
        <f>IF($E1809="","",DATE(YEAR($E1809),MONTH($E1809),1))</f>
        <v/>
      </c>
      <c r="M1809" s="65" t="str">
        <f ca="1">IF($D1809="","",IF($C1809="TANIMSIZ MÜŞTERİ","HATA",IF(OR($E1809="",$F1809&lt;=0,$G1809=""),"EKSİK",IF($E1809&gt;TODAY(),"İLERİ TARİH",IF(COUNTIF($S$7:$S$2503,$S1809)&gt;1,"MÜKERRER?",IF($T1809&gt;0,"KAPALI DÖNEM","UYGUN"))))))</f>
        <v/>
      </c>
      <c r="N1809" s="74" t="str">
        <f>IF($C1809="","",IF($C1809="TANIMSIZ MÜŞTERİ","—",INDEX(MUSTERILER!$C$7:$C$156,MATCH($C1809,MUSTERILER!$B$7:$B$156,0))))</f>
        <v/>
      </c>
      <c r="O1809" s="2"/>
      <c r="P1809" s="2"/>
      <c r="Q1809" s="1" t="str">
        <f>IF($D1809="","",$C1809&amp;"|"&amp;COUNTIFS($C$7:$C1809,$C1809))</f>
        <v/>
      </c>
      <c r="R1809" s="1" t="str">
        <f t="shared" si="56"/>
        <v/>
      </c>
      <c r="S1809" s="1" t="str">
        <f t="shared" si="57"/>
        <v/>
      </c>
      <c r="T1809" s="1">
        <f>IF($E1809="",0,SUMPRODUCT((AY_SONU!$O$7:$O$42="Evet")*(AY_SONU!$B$7:$B$42=DATE(YEAR($E1809),MONTH($E1809),1))))</f>
        <v>0</v>
      </c>
      <c r="U1809" s="1" t="str">
        <f>IF(OR($G1809="",$H1809="Mahsup"),"",$G1809&amp;"|"&amp;COUNTIFS($G$7:$G1809,$G1809,$H$7:$H1809,"&lt;&gt;Mahsup"))</f>
        <v/>
      </c>
    </row>
    <row r="1810" spans="1:21" ht="18" customHeight="1" x14ac:dyDescent="0.3">
      <c r="A1810" s="2"/>
      <c r="B1810" s="65" t="str">
        <f>IF($D1810="","","T"&amp;TEXT(ROW()-6,"00000"))</f>
        <v/>
      </c>
      <c r="C1810" s="65" t="str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61"/>
      <c r="E1810" s="66"/>
      <c r="F1810" s="67"/>
      <c r="G1810" s="60"/>
      <c r="H1810" s="60"/>
      <c r="I1810" s="61"/>
      <c r="J1810" s="61"/>
      <c r="K1810" s="61"/>
      <c r="L1810" s="73" t="str">
        <f>IF($E1810="","",DATE(YEAR($E1810),MONTH($E1810),1))</f>
        <v/>
      </c>
      <c r="M1810" s="65" t="str">
        <f ca="1">IF($D1810="","",IF($C1810="TANIMSIZ MÜŞTERİ","HATA",IF(OR($E1810="",$F1810&lt;=0,$G1810=""),"EKSİK",IF($E1810&gt;TODAY(),"İLERİ TARİH",IF(COUNTIF($S$7:$S$2503,$S1810)&gt;1,"MÜKERRER?",IF($T1810&gt;0,"KAPALI DÖNEM","UYGUN"))))))</f>
        <v/>
      </c>
      <c r="N1810" s="74" t="str">
        <f>IF($C1810="","",IF($C1810="TANIMSIZ MÜŞTERİ","—",INDEX(MUSTERILER!$C$7:$C$156,MATCH($C1810,MUSTERILER!$B$7:$B$156,0))))</f>
        <v/>
      </c>
      <c r="O1810" s="2"/>
      <c r="P1810" s="2"/>
      <c r="Q1810" s="1" t="str">
        <f>IF($D1810="","",$C1810&amp;"|"&amp;COUNTIFS($C$7:$C1810,$C1810))</f>
        <v/>
      </c>
      <c r="R1810" s="1" t="str">
        <f t="shared" si="56"/>
        <v/>
      </c>
      <c r="S1810" s="1" t="str">
        <f t="shared" si="57"/>
        <v/>
      </c>
      <c r="T1810" s="1">
        <f>IF($E1810="",0,SUMPRODUCT((AY_SONU!$O$7:$O$42="Evet")*(AY_SONU!$B$7:$B$42=DATE(YEAR($E1810),MONTH($E1810),1))))</f>
        <v>0</v>
      </c>
      <c r="U1810" s="1" t="str">
        <f>IF(OR($G1810="",$H1810="Mahsup"),"",$G1810&amp;"|"&amp;COUNTIFS($G$7:$G1810,$G1810,$H$7:$H1810,"&lt;&gt;Mahsup"))</f>
        <v/>
      </c>
    </row>
    <row r="1811" spans="1:21" ht="18" customHeight="1" x14ac:dyDescent="0.3">
      <c r="A1811" s="2"/>
      <c r="B1811" s="65" t="str">
        <f>IF($D1811="","","T"&amp;TEXT(ROW()-6,"00000"))</f>
        <v/>
      </c>
      <c r="C1811" s="65" t="str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61"/>
      <c r="E1811" s="66"/>
      <c r="F1811" s="67"/>
      <c r="G1811" s="60"/>
      <c r="H1811" s="60"/>
      <c r="I1811" s="61"/>
      <c r="J1811" s="61"/>
      <c r="K1811" s="61"/>
      <c r="L1811" s="73" t="str">
        <f>IF($E1811="","",DATE(YEAR($E1811),MONTH($E1811),1))</f>
        <v/>
      </c>
      <c r="M1811" s="65" t="str">
        <f ca="1">IF($D1811="","",IF($C1811="TANIMSIZ MÜŞTERİ","HATA",IF(OR($E1811="",$F1811&lt;=0,$G1811=""),"EKSİK",IF($E1811&gt;TODAY(),"İLERİ TARİH",IF(COUNTIF($S$7:$S$2503,$S1811)&gt;1,"MÜKERRER?",IF($T1811&gt;0,"KAPALI DÖNEM","UYGUN"))))))</f>
        <v/>
      </c>
      <c r="N1811" s="74" t="str">
        <f>IF($C1811="","",IF($C1811="TANIMSIZ MÜŞTERİ","—",INDEX(MUSTERILER!$C$7:$C$156,MATCH($C1811,MUSTERILER!$B$7:$B$156,0))))</f>
        <v/>
      </c>
      <c r="O1811" s="2"/>
      <c r="P1811" s="2"/>
      <c r="Q1811" s="1" t="str">
        <f>IF($D1811="","",$C1811&amp;"|"&amp;COUNTIFS($C$7:$C1811,$C1811))</f>
        <v/>
      </c>
      <c r="R1811" s="1" t="str">
        <f t="shared" si="56"/>
        <v/>
      </c>
      <c r="S1811" s="1" t="str">
        <f t="shared" si="57"/>
        <v/>
      </c>
      <c r="T1811" s="1">
        <f>IF($E1811="",0,SUMPRODUCT((AY_SONU!$O$7:$O$42="Evet")*(AY_SONU!$B$7:$B$42=DATE(YEAR($E1811),MONTH($E1811),1))))</f>
        <v>0</v>
      </c>
      <c r="U1811" s="1" t="str">
        <f>IF(OR($G1811="",$H1811="Mahsup"),"",$G1811&amp;"|"&amp;COUNTIFS($G$7:$G1811,$G1811,$H$7:$H1811,"&lt;&gt;Mahsup"))</f>
        <v/>
      </c>
    </row>
    <row r="1812" spans="1:21" ht="18" customHeight="1" x14ac:dyDescent="0.3">
      <c r="A1812" s="2"/>
      <c r="B1812" s="65" t="str">
        <f>IF($D1812="","","T"&amp;TEXT(ROW()-6,"00000"))</f>
        <v/>
      </c>
      <c r="C1812" s="65" t="str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61"/>
      <c r="E1812" s="66"/>
      <c r="F1812" s="67"/>
      <c r="G1812" s="60"/>
      <c r="H1812" s="60"/>
      <c r="I1812" s="61"/>
      <c r="J1812" s="61"/>
      <c r="K1812" s="61"/>
      <c r="L1812" s="73" t="str">
        <f>IF($E1812="","",DATE(YEAR($E1812),MONTH($E1812),1))</f>
        <v/>
      </c>
      <c r="M1812" s="65" t="str">
        <f ca="1">IF($D1812="","",IF($C1812="TANIMSIZ MÜŞTERİ","HATA",IF(OR($E1812="",$F1812&lt;=0,$G1812=""),"EKSİK",IF($E1812&gt;TODAY(),"İLERİ TARİH",IF(COUNTIF($S$7:$S$2503,$S1812)&gt;1,"MÜKERRER?",IF($T1812&gt;0,"KAPALI DÖNEM","UYGUN"))))))</f>
        <v/>
      </c>
      <c r="N1812" s="74" t="str">
        <f>IF($C1812="","",IF($C1812="TANIMSIZ MÜŞTERİ","—",INDEX(MUSTERILER!$C$7:$C$156,MATCH($C1812,MUSTERILER!$B$7:$B$156,0))))</f>
        <v/>
      </c>
      <c r="O1812" s="2"/>
      <c r="P1812" s="2"/>
      <c r="Q1812" s="1" t="str">
        <f>IF($D1812="","",$C1812&amp;"|"&amp;COUNTIFS($C$7:$C1812,$C1812))</f>
        <v/>
      </c>
      <c r="R1812" s="1" t="str">
        <f t="shared" si="56"/>
        <v/>
      </c>
      <c r="S1812" s="1" t="str">
        <f t="shared" si="57"/>
        <v/>
      </c>
      <c r="T1812" s="1">
        <f>IF($E1812="",0,SUMPRODUCT((AY_SONU!$O$7:$O$42="Evet")*(AY_SONU!$B$7:$B$42=DATE(YEAR($E1812),MONTH($E1812),1))))</f>
        <v>0</v>
      </c>
      <c r="U1812" s="1" t="str">
        <f>IF(OR($G1812="",$H1812="Mahsup"),"",$G1812&amp;"|"&amp;COUNTIFS($G$7:$G1812,$G1812,$H$7:$H1812,"&lt;&gt;Mahsup"))</f>
        <v/>
      </c>
    </row>
    <row r="1813" spans="1:21" ht="18" customHeight="1" x14ac:dyDescent="0.3">
      <c r="A1813" s="2"/>
      <c r="B1813" s="65" t="str">
        <f>IF($D1813="","","T"&amp;TEXT(ROW()-6,"00000"))</f>
        <v/>
      </c>
      <c r="C1813" s="65" t="str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61"/>
      <c r="E1813" s="66"/>
      <c r="F1813" s="67"/>
      <c r="G1813" s="60"/>
      <c r="H1813" s="60"/>
      <c r="I1813" s="61"/>
      <c r="J1813" s="61"/>
      <c r="K1813" s="61"/>
      <c r="L1813" s="73" t="str">
        <f>IF($E1813="","",DATE(YEAR($E1813),MONTH($E1813),1))</f>
        <v/>
      </c>
      <c r="M1813" s="65" t="str">
        <f ca="1">IF($D1813="","",IF($C1813="TANIMSIZ MÜŞTERİ","HATA",IF(OR($E1813="",$F1813&lt;=0,$G1813=""),"EKSİK",IF($E1813&gt;TODAY(),"İLERİ TARİH",IF(COUNTIF($S$7:$S$2503,$S1813)&gt;1,"MÜKERRER?",IF($T1813&gt;0,"KAPALI DÖNEM","UYGUN"))))))</f>
        <v/>
      </c>
      <c r="N1813" s="74" t="str">
        <f>IF($C1813="","",IF($C1813="TANIMSIZ MÜŞTERİ","—",INDEX(MUSTERILER!$C$7:$C$156,MATCH($C1813,MUSTERILER!$B$7:$B$156,0))))</f>
        <v/>
      </c>
      <c r="O1813" s="2"/>
      <c r="P1813" s="2"/>
      <c r="Q1813" s="1" t="str">
        <f>IF($D1813="","",$C1813&amp;"|"&amp;COUNTIFS($C$7:$C1813,$C1813))</f>
        <v/>
      </c>
      <c r="R1813" s="1" t="str">
        <f t="shared" si="56"/>
        <v/>
      </c>
      <c r="S1813" s="1" t="str">
        <f t="shared" si="57"/>
        <v/>
      </c>
      <c r="T1813" s="1">
        <f>IF($E1813="",0,SUMPRODUCT((AY_SONU!$O$7:$O$42="Evet")*(AY_SONU!$B$7:$B$42=DATE(YEAR($E1813),MONTH($E1813),1))))</f>
        <v>0</v>
      </c>
      <c r="U1813" s="1" t="str">
        <f>IF(OR($G1813="",$H1813="Mahsup"),"",$G1813&amp;"|"&amp;COUNTIFS($G$7:$G1813,$G1813,$H$7:$H1813,"&lt;&gt;Mahsup"))</f>
        <v/>
      </c>
    </row>
    <row r="1814" spans="1:21" ht="18" customHeight="1" x14ac:dyDescent="0.3">
      <c r="A1814" s="2"/>
      <c r="B1814" s="65" t="str">
        <f>IF($D1814="","","T"&amp;TEXT(ROW()-6,"00000"))</f>
        <v/>
      </c>
      <c r="C1814" s="65" t="str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61"/>
      <c r="E1814" s="66"/>
      <c r="F1814" s="67"/>
      <c r="G1814" s="60"/>
      <c r="H1814" s="60"/>
      <c r="I1814" s="61"/>
      <c r="J1814" s="61"/>
      <c r="K1814" s="61"/>
      <c r="L1814" s="73" t="str">
        <f>IF($E1814="","",DATE(YEAR($E1814),MONTH($E1814),1))</f>
        <v/>
      </c>
      <c r="M1814" s="65" t="str">
        <f ca="1">IF($D1814="","",IF($C1814="TANIMSIZ MÜŞTERİ","HATA",IF(OR($E1814="",$F1814&lt;=0,$G1814=""),"EKSİK",IF($E1814&gt;TODAY(),"İLERİ TARİH",IF(COUNTIF($S$7:$S$2503,$S1814)&gt;1,"MÜKERRER?",IF($T1814&gt;0,"KAPALI DÖNEM","UYGUN"))))))</f>
        <v/>
      </c>
      <c r="N1814" s="74" t="str">
        <f>IF($C1814="","",IF($C1814="TANIMSIZ MÜŞTERİ","—",INDEX(MUSTERILER!$C$7:$C$156,MATCH($C1814,MUSTERILER!$B$7:$B$156,0))))</f>
        <v/>
      </c>
      <c r="O1814" s="2"/>
      <c r="P1814" s="2"/>
      <c r="Q1814" s="1" t="str">
        <f>IF($D1814="","",$C1814&amp;"|"&amp;COUNTIFS($C$7:$C1814,$C1814))</f>
        <v/>
      </c>
      <c r="R1814" s="1" t="str">
        <f t="shared" si="56"/>
        <v/>
      </c>
      <c r="S1814" s="1" t="str">
        <f t="shared" si="57"/>
        <v/>
      </c>
      <c r="T1814" s="1">
        <f>IF($E1814="",0,SUMPRODUCT((AY_SONU!$O$7:$O$42="Evet")*(AY_SONU!$B$7:$B$42=DATE(YEAR($E1814),MONTH($E1814),1))))</f>
        <v>0</v>
      </c>
      <c r="U1814" s="1" t="str">
        <f>IF(OR($G1814="",$H1814="Mahsup"),"",$G1814&amp;"|"&amp;COUNTIFS($G$7:$G1814,$G1814,$H$7:$H1814,"&lt;&gt;Mahsup"))</f>
        <v/>
      </c>
    </row>
    <row r="1815" spans="1:21" ht="18" customHeight="1" x14ac:dyDescent="0.3">
      <c r="A1815" s="2"/>
      <c r="B1815" s="65" t="str">
        <f>IF($D1815="","","T"&amp;TEXT(ROW()-6,"00000"))</f>
        <v/>
      </c>
      <c r="C1815" s="65" t="str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61"/>
      <c r="E1815" s="66"/>
      <c r="F1815" s="67"/>
      <c r="G1815" s="60"/>
      <c r="H1815" s="60"/>
      <c r="I1815" s="61"/>
      <c r="J1815" s="61"/>
      <c r="K1815" s="61"/>
      <c r="L1815" s="73" t="str">
        <f>IF($E1815="","",DATE(YEAR($E1815),MONTH($E1815),1))</f>
        <v/>
      </c>
      <c r="M1815" s="65" t="str">
        <f ca="1">IF($D1815="","",IF($C1815="TANIMSIZ MÜŞTERİ","HATA",IF(OR($E1815="",$F1815&lt;=0,$G1815=""),"EKSİK",IF($E1815&gt;TODAY(),"İLERİ TARİH",IF(COUNTIF($S$7:$S$2503,$S1815)&gt;1,"MÜKERRER?",IF($T1815&gt;0,"KAPALI DÖNEM","UYGUN"))))))</f>
        <v/>
      </c>
      <c r="N1815" s="74" t="str">
        <f>IF($C1815="","",IF($C1815="TANIMSIZ MÜŞTERİ","—",INDEX(MUSTERILER!$C$7:$C$156,MATCH($C1815,MUSTERILER!$B$7:$B$156,0))))</f>
        <v/>
      </c>
      <c r="O1815" s="2"/>
      <c r="P1815" s="2"/>
      <c r="Q1815" s="1" t="str">
        <f>IF($D1815="","",$C1815&amp;"|"&amp;COUNTIFS($C$7:$C1815,$C1815))</f>
        <v/>
      </c>
      <c r="R1815" s="1" t="str">
        <f t="shared" si="56"/>
        <v/>
      </c>
      <c r="S1815" s="1" t="str">
        <f t="shared" si="57"/>
        <v/>
      </c>
      <c r="T1815" s="1">
        <f>IF($E1815="",0,SUMPRODUCT((AY_SONU!$O$7:$O$42="Evet")*(AY_SONU!$B$7:$B$42=DATE(YEAR($E1815),MONTH($E1815),1))))</f>
        <v>0</v>
      </c>
      <c r="U1815" s="1" t="str">
        <f>IF(OR($G1815="",$H1815="Mahsup"),"",$G1815&amp;"|"&amp;COUNTIFS($G$7:$G1815,$G1815,$H$7:$H1815,"&lt;&gt;Mahsup"))</f>
        <v/>
      </c>
    </row>
    <row r="1816" spans="1:21" ht="18" customHeight="1" x14ac:dyDescent="0.3">
      <c r="A1816" s="2"/>
      <c r="B1816" s="65" t="str">
        <f>IF($D1816="","","T"&amp;TEXT(ROW()-6,"00000"))</f>
        <v/>
      </c>
      <c r="C1816" s="65" t="str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61"/>
      <c r="E1816" s="66"/>
      <c r="F1816" s="67"/>
      <c r="G1816" s="60"/>
      <c r="H1816" s="60"/>
      <c r="I1816" s="61"/>
      <c r="J1816" s="61"/>
      <c r="K1816" s="61"/>
      <c r="L1816" s="73" t="str">
        <f>IF($E1816="","",DATE(YEAR($E1816),MONTH($E1816),1))</f>
        <v/>
      </c>
      <c r="M1816" s="65" t="str">
        <f ca="1">IF($D1816="","",IF($C1816="TANIMSIZ MÜŞTERİ","HATA",IF(OR($E1816="",$F1816&lt;=0,$G1816=""),"EKSİK",IF($E1816&gt;TODAY(),"İLERİ TARİH",IF(COUNTIF($S$7:$S$2503,$S1816)&gt;1,"MÜKERRER?",IF($T1816&gt;0,"KAPALI DÖNEM","UYGUN"))))))</f>
        <v/>
      </c>
      <c r="N1816" s="74" t="str">
        <f>IF($C1816="","",IF($C1816="TANIMSIZ MÜŞTERİ","—",INDEX(MUSTERILER!$C$7:$C$156,MATCH($C1816,MUSTERILER!$B$7:$B$156,0))))</f>
        <v/>
      </c>
      <c r="O1816" s="2"/>
      <c r="P1816" s="2"/>
      <c r="Q1816" s="1" t="str">
        <f>IF($D1816="","",$C1816&amp;"|"&amp;COUNTIFS($C$7:$C1816,$C1816))</f>
        <v/>
      </c>
      <c r="R1816" s="1" t="str">
        <f t="shared" si="56"/>
        <v/>
      </c>
      <c r="S1816" s="1" t="str">
        <f t="shared" si="57"/>
        <v/>
      </c>
      <c r="T1816" s="1">
        <f>IF($E1816="",0,SUMPRODUCT((AY_SONU!$O$7:$O$42="Evet")*(AY_SONU!$B$7:$B$42=DATE(YEAR($E1816),MONTH($E1816),1))))</f>
        <v>0</v>
      </c>
      <c r="U1816" s="1" t="str">
        <f>IF(OR($G1816="",$H1816="Mahsup"),"",$G1816&amp;"|"&amp;COUNTIFS($G$7:$G1816,$G1816,$H$7:$H1816,"&lt;&gt;Mahsup"))</f>
        <v/>
      </c>
    </row>
    <row r="1817" spans="1:21" ht="18" customHeight="1" x14ac:dyDescent="0.3">
      <c r="A1817" s="2"/>
      <c r="B1817" s="65" t="str">
        <f>IF($D1817="","","T"&amp;TEXT(ROW()-6,"00000"))</f>
        <v/>
      </c>
      <c r="C1817" s="65" t="str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61"/>
      <c r="E1817" s="66"/>
      <c r="F1817" s="67"/>
      <c r="G1817" s="60"/>
      <c r="H1817" s="60"/>
      <c r="I1817" s="61"/>
      <c r="J1817" s="61"/>
      <c r="K1817" s="61"/>
      <c r="L1817" s="73" t="str">
        <f>IF($E1817="","",DATE(YEAR($E1817),MONTH($E1817),1))</f>
        <v/>
      </c>
      <c r="M1817" s="65" t="str">
        <f ca="1">IF($D1817="","",IF($C1817="TANIMSIZ MÜŞTERİ","HATA",IF(OR($E1817="",$F1817&lt;=0,$G1817=""),"EKSİK",IF($E1817&gt;TODAY(),"İLERİ TARİH",IF(COUNTIF($S$7:$S$2503,$S1817)&gt;1,"MÜKERRER?",IF($T1817&gt;0,"KAPALI DÖNEM","UYGUN"))))))</f>
        <v/>
      </c>
      <c r="N1817" s="74" t="str">
        <f>IF($C1817="","",IF($C1817="TANIMSIZ MÜŞTERİ","—",INDEX(MUSTERILER!$C$7:$C$156,MATCH($C1817,MUSTERILER!$B$7:$B$156,0))))</f>
        <v/>
      </c>
      <c r="O1817" s="2"/>
      <c r="P1817" s="2"/>
      <c r="Q1817" s="1" t="str">
        <f>IF($D1817="","",$C1817&amp;"|"&amp;COUNTIFS($C$7:$C1817,$C1817))</f>
        <v/>
      </c>
      <c r="R1817" s="1" t="str">
        <f t="shared" si="56"/>
        <v/>
      </c>
      <c r="S1817" s="1" t="str">
        <f t="shared" si="57"/>
        <v/>
      </c>
      <c r="T1817" s="1">
        <f>IF($E1817="",0,SUMPRODUCT((AY_SONU!$O$7:$O$42="Evet")*(AY_SONU!$B$7:$B$42=DATE(YEAR($E1817),MONTH($E1817),1))))</f>
        <v>0</v>
      </c>
      <c r="U1817" s="1" t="str">
        <f>IF(OR($G1817="",$H1817="Mahsup"),"",$G1817&amp;"|"&amp;COUNTIFS($G$7:$G1817,$G1817,$H$7:$H1817,"&lt;&gt;Mahsup"))</f>
        <v/>
      </c>
    </row>
    <row r="1818" spans="1:21" ht="18" customHeight="1" x14ac:dyDescent="0.3">
      <c r="A1818" s="2"/>
      <c r="B1818" s="65" t="str">
        <f>IF($D1818="","","T"&amp;TEXT(ROW()-6,"00000"))</f>
        <v/>
      </c>
      <c r="C1818" s="65" t="str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61"/>
      <c r="E1818" s="66"/>
      <c r="F1818" s="67"/>
      <c r="G1818" s="60"/>
      <c r="H1818" s="60"/>
      <c r="I1818" s="61"/>
      <c r="J1818" s="61"/>
      <c r="K1818" s="61"/>
      <c r="L1818" s="73" t="str">
        <f>IF($E1818="","",DATE(YEAR($E1818),MONTH($E1818),1))</f>
        <v/>
      </c>
      <c r="M1818" s="65" t="str">
        <f ca="1">IF($D1818="","",IF($C1818="TANIMSIZ MÜŞTERİ","HATA",IF(OR($E1818="",$F1818&lt;=0,$G1818=""),"EKSİK",IF($E1818&gt;TODAY(),"İLERİ TARİH",IF(COUNTIF($S$7:$S$2503,$S1818)&gt;1,"MÜKERRER?",IF($T1818&gt;0,"KAPALI DÖNEM","UYGUN"))))))</f>
        <v/>
      </c>
      <c r="N1818" s="74" t="str">
        <f>IF($C1818="","",IF($C1818="TANIMSIZ MÜŞTERİ","—",INDEX(MUSTERILER!$C$7:$C$156,MATCH($C1818,MUSTERILER!$B$7:$B$156,0))))</f>
        <v/>
      </c>
      <c r="O1818" s="2"/>
      <c r="P1818" s="2"/>
      <c r="Q1818" s="1" t="str">
        <f>IF($D1818="","",$C1818&amp;"|"&amp;COUNTIFS($C$7:$C1818,$C1818))</f>
        <v/>
      </c>
      <c r="R1818" s="1" t="str">
        <f t="shared" si="56"/>
        <v/>
      </c>
      <c r="S1818" s="1" t="str">
        <f t="shared" si="57"/>
        <v/>
      </c>
      <c r="T1818" s="1">
        <f>IF($E1818="",0,SUMPRODUCT((AY_SONU!$O$7:$O$42="Evet")*(AY_SONU!$B$7:$B$42=DATE(YEAR($E1818),MONTH($E1818),1))))</f>
        <v>0</v>
      </c>
      <c r="U1818" s="1" t="str">
        <f>IF(OR($G1818="",$H1818="Mahsup"),"",$G1818&amp;"|"&amp;COUNTIFS($G$7:$G1818,$G1818,$H$7:$H1818,"&lt;&gt;Mahsup"))</f>
        <v/>
      </c>
    </row>
    <row r="1819" spans="1:21" ht="18" customHeight="1" x14ac:dyDescent="0.3">
      <c r="A1819" s="2"/>
      <c r="B1819" s="65" t="str">
        <f>IF($D1819="","","T"&amp;TEXT(ROW()-6,"00000"))</f>
        <v/>
      </c>
      <c r="C1819" s="65" t="str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61"/>
      <c r="E1819" s="66"/>
      <c r="F1819" s="67"/>
      <c r="G1819" s="60"/>
      <c r="H1819" s="60"/>
      <c r="I1819" s="61"/>
      <c r="J1819" s="61"/>
      <c r="K1819" s="61"/>
      <c r="L1819" s="73" t="str">
        <f>IF($E1819="","",DATE(YEAR($E1819),MONTH($E1819),1))</f>
        <v/>
      </c>
      <c r="M1819" s="65" t="str">
        <f ca="1">IF($D1819="","",IF($C1819="TANIMSIZ MÜŞTERİ","HATA",IF(OR($E1819="",$F1819&lt;=0,$G1819=""),"EKSİK",IF($E1819&gt;TODAY(),"İLERİ TARİH",IF(COUNTIF($S$7:$S$2503,$S1819)&gt;1,"MÜKERRER?",IF($T1819&gt;0,"KAPALI DÖNEM","UYGUN"))))))</f>
        <v/>
      </c>
      <c r="N1819" s="74" t="str">
        <f>IF($C1819="","",IF($C1819="TANIMSIZ MÜŞTERİ","—",INDEX(MUSTERILER!$C$7:$C$156,MATCH($C1819,MUSTERILER!$B$7:$B$156,0))))</f>
        <v/>
      </c>
      <c r="O1819" s="2"/>
      <c r="P1819" s="2"/>
      <c r="Q1819" s="1" t="str">
        <f>IF($D1819="","",$C1819&amp;"|"&amp;COUNTIFS($C$7:$C1819,$C1819))</f>
        <v/>
      </c>
      <c r="R1819" s="1" t="str">
        <f t="shared" si="56"/>
        <v/>
      </c>
      <c r="S1819" s="1" t="str">
        <f t="shared" si="57"/>
        <v/>
      </c>
      <c r="T1819" s="1">
        <f>IF($E1819="",0,SUMPRODUCT((AY_SONU!$O$7:$O$42="Evet")*(AY_SONU!$B$7:$B$42=DATE(YEAR($E1819),MONTH($E1819),1))))</f>
        <v>0</v>
      </c>
      <c r="U1819" s="1" t="str">
        <f>IF(OR($G1819="",$H1819="Mahsup"),"",$G1819&amp;"|"&amp;COUNTIFS($G$7:$G1819,$G1819,$H$7:$H1819,"&lt;&gt;Mahsup"))</f>
        <v/>
      </c>
    </row>
    <row r="1820" spans="1:21" ht="18" customHeight="1" x14ac:dyDescent="0.3">
      <c r="A1820" s="2"/>
      <c r="B1820" s="65" t="str">
        <f>IF($D1820="","","T"&amp;TEXT(ROW()-6,"00000"))</f>
        <v/>
      </c>
      <c r="C1820" s="65" t="str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61"/>
      <c r="E1820" s="66"/>
      <c r="F1820" s="67"/>
      <c r="G1820" s="60"/>
      <c r="H1820" s="60"/>
      <c r="I1820" s="61"/>
      <c r="J1820" s="61"/>
      <c r="K1820" s="61"/>
      <c r="L1820" s="73" t="str">
        <f>IF($E1820="","",DATE(YEAR($E1820),MONTH($E1820),1))</f>
        <v/>
      </c>
      <c r="M1820" s="65" t="str">
        <f ca="1">IF($D1820="","",IF($C1820="TANIMSIZ MÜŞTERİ","HATA",IF(OR($E1820="",$F1820&lt;=0,$G1820=""),"EKSİK",IF($E1820&gt;TODAY(),"İLERİ TARİH",IF(COUNTIF($S$7:$S$2503,$S1820)&gt;1,"MÜKERRER?",IF($T1820&gt;0,"KAPALI DÖNEM","UYGUN"))))))</f>
        <v/>
      </c>
      <c r="N1820" s="74" t="str">
        <f>IF($C1820="","",IF($C1820="TANIMSIZ MÜŞTERİ","—",INDEX(MUSTERILER!$C$7:$C$156,MATCH($C1820,MUSTERILER!$B$7:$B$156,0))))</f>
        <v/>
      </c>
      <c r="O1820" s="2"/>
      <c r="P1820" s="2"/>
      <c r="Q1820" s="1" t="str">
        <f>IF($D1820="","",$C1820&amp;"|"&amp;COUNTIFS($C$7:$C1820,$C1820))</f>
        <v/>
      </c>
      <c r="R1820" s="1" t="str">
        <f t="shared" si="56"/>
        <v/>
      </c>
      <c r="S1820" s="1" t="str">
        <f t="shared" si="57"/>
        <v/>
      </c>
      <c r="T1820" s="1">
        <f>IF($E1820="",0,SUMPRODUCT((AY_SONU!$O$7:$O$42="Evet")*(AY_SONU!$B$7:$B$42=DATE(YEAR($E1820),MONTH($E1820),1))))</f>
        <v>0</v>
      </c>
      <c r="U1820" s="1" t="str">
        <f>IF(OR($G1820="",$H1820="Mahsup"),"",$G1820&amp;"|"&amp;COUNTIFS($G$7:$G1820,$G1820,$H$7:$H1820,"&lt;&gt;Mahsup"))</f>
        <v/>
      </c>
    </row>
    <row r="1821" spans="1:21" ht="18" customHeight="1" x14ac:dyDescent="0.3">
      <c r="A1821" s="2"/>
      <c r="B1821" s="65" t="str">
        <f>IF($D1821="","","T"&amp;TEXT(ROW()-6,"00000"))</f>
        <v/>
      </c>
      <c r="C1821" s="65" t="str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61"/>
      <c r="E1821" s="66"/>
      <c r="F1821" s="67"/>
      <c r="G1821" s="60"/>
      <c r="H1821" s="60"/>
      <c r="I1821" s="61"/>
      <c r="J1821" s="61"/>
      <c r="K1821" s="61"/>
      <c r="L1821" s="73" t="str">
        <f>IF($E1821="","",DATE(YEAR($E1821),MONTH($E1821),1))</f>
        <v/>
      </c>
      <c r="M1821" s="65" t="str">
        <f ca="1">IF($D1821="","",IF($C1821="TANIMSIZ MÜŞTERİ","HATA",IF(OR($E1821="",$F1821&lt;=0,$G1821=""),"EKSİK",IF($E1821&gt;TODAY(),"İLERİ TARİH",IF(COUNTIF($S$7:$S$2503,$S1821)&gt;1,"MÜKERRER?",IF($T1821&gt;0,"KAPALI DÖNEM","UYGUN"))))))</f>
        <v/>
      </c>
      <c r="N1821" s="74" t="str">
        <f>IF($C1821="","",IF($C1821="TANIMSIZ MÜŞTERİ","—",INDEX(MUSTERILER!$C$7:$C$156,MATCH($C1821,MUSTERILER!$B$7:$B$156,0))))</f>
        <v/>
      </c>
      <c r="O1821" s="2"/>
      <c r="P1821" s="2"/>
      <c r="Q1821" s="1" t="str">
        <f>IF($D1821="","",$C1821&amp;"|"&amp;COUNTIFS($C$7:$C1821,$C1821))</f>
        <v/>
      </c>
      <c r="R1821" s="1" t="str">
        <f t="shared" si="56"/>
        <v/>
      </c>
      <c r="S1821" s="1" t="str">
        <f t="shared" si="57"/>
        <v/>
      </c>
      <c r="T1821" s="1">
        <f>IF($E1821="",0,SUMPRODUCT((AY_SONU!$O$7:$O$42="Evet")*(AY_SONU!$B$7:$B$42=DATE(YEAR($E1821),MONTH($E1821),1))))</f>
        <v>0</v>
      </c>
      <c r="U1821" s="1" t="str">
        <f>IF(OR($G1821="",$H1821="Mahsup"),"",$G1821&amp;"|"&amp;COUNTIFS($G$7:$G1821,$G1821,$H$7:$H1821,"&lt;&gt;Mahsup"))</f>
        <v/>
      </c>
    </row>
    <row r="1822" spans="1:21" ht="18" customHeight="1" x14ac:dyDescent="0.3">
      <c r="A1822" s="2"/>
      <c r="B1822" s="65" t="str">
        <f>IF($D1822="","","T"&amp;TEXT(ROW()-6,"00000"))</f>
        <v/>
      </c>
      <c r="C1822" s="65" t="str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61"/>
      <c r="E1822" s="66"/>
      <c r="F1822" s="67"/>
      <c r="G1822" s="60"/>
      <c r="H1822" s="60"/>
      <c r="I1822" s="61"/>
      <c r="J1822" s="61"/>
      <c r="K1822" s="61"/>
      <c r="L1822" s="73" t="str">
        <f>IF($E1822="","",DATE(YEAR($E1822),MONTH($E1822),1))</f>
        <v/>
      </c>
      <c r="M1822" s="65" t="str">
        <f ca="1">IF($D1822="","",IF($C1822="TANIMSIZ MÜŞTERİ","HATA",IF(OR($E1822="",$F1822&lt;=0,$G1822=""),"EKSİK",IF($E1822&gt;TODAY(),"İLERİ TARİH",IF(COUNTIF($S$7:$S$2503,$S1822)&gt;1,"MÜKERRER?",IF($T1822&gt;0,"KAPALI DÖNEM","UYGUN"))))))</f>
        <v/>
      </c>
      <c r="N1822" s="74" t="str">
        <f>IF($C1822="","",IF($C1822="TANIMSIZ MÜŞTERİ","—",INDEX(MUSTERILER!$C$7:$C$156,MATCH($C1822,MUSTERILER!$B$7:$B$156,0))))</f>
        <v/>
      </c>
      <c r="O1822" s="2"/>
      <c r="P1822" s="2"/>
      <c r="Q1822" s="1" t="str">
        <f>IF($D1822="","",$C1822&amp;"|"&amp;COUNTIFS($C$7:$C1822,$C1822))</f>
        <v/>
      </c>
      <c r="R1822" s="1" t="str">
        <f t="shared" si="56"/>
        <v/>
      </c>
      <c r="S1822" s="1" t="str">
        <f t="shared" si="57"/>
        <v/>
      </c>
      <c r="T1822" s="1">
        <f>IF($E1822="",0,SUMPRODUCT((AY_SONU!$O$7:$O$42="Evet")*(AY_SONU!$B$7:$B$42=DATE(YEAR($E1822),MONTH($E1822),1))))</f>
        <v>0</v>
      </c>
      <c r="U1822" s="1" t="str">
        <f>IF(OR($G1822="",$H1822="Mahsup"),"",$G1822&amp;"|"&amp;COUNTIFS($G$7:$G1822,$G1822,$H$7:$H1822,"&lt;&gt;Mahsup"))</f>
        <v/>
      </c>
    </row>
    <row r="1823" spans="1:21" ht="18" customHeight="1" x14ac:dyDescent="0.3">
      <c r="A1823" s="2"/>
      <c r="B1823" s="65" t="str">
        <f>IF($D1823="","","T"&amp;TEXT(ROW()-6,"00000"))</f>
        <v/>
      </c>
      <c r="C1823" s="65" t="str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61"/>
      <c r="E1823" s="66"/>
      <c r="F1823" s="67"/>
      <c r="G1823" s="60"/>
      <c r="H1823" s="60"/>
      <c r="I1823" s="61"/>
      <c r="J1823" s="61"/>
      <c r="K1823" s="61"/>
      <c r="L1823" s="73" t="str">
        <f>IF($E1823="","",DATE(YEAR($E1823),MONTH($E1823),1))</f>
        <v/>
      </c>
      <c r="M1823" s="65" t="str">
        <f ca="1">IF($D1823="","",IF($C1823="TANIMSIZ MÜŞTERİ","HATA",IF(OR($E1823="",$F1823&lt;=0,$G1823=""),"EKSİK",IF($E1823&gt;TODAY(),"İLERİ TARİH",IF(COUNTIF($S$7:$S$2503,$S1823)&gt;1,"MÜKERRER?",IF($T1823&gt;0,"KAPALI DÖNEM","UYGUN"))))))</f>
        <v/>
      </c>
      <c r="N1823" s="74" t="str">
        <f>IF($C1823="","",IF($C1823="TANIMSIZ MÜŞTERİ","—",INDEX(MUSTERILER!$C$7:$C$156,MATCH($C1823,MUSTERILER!$B$7:$B$156,0))))</f>
        <v/>
      </c>
      <c r="O1823" s="2"/>
      <c r="P1823" s="2"/>
      <c r="Q1823" s="1" t="str">
        <f>IF($D1823="","",$C1823&amp;"|"&amp;COUNTIFS($C$7:$C1823,$C1823))</f>
        <v/>
      </c>
      <c r="R1823" s="1" t="str">
        <f t="shared" si="56"/>
        <v/>
      </c>
      <c r="S1823" s="1" t="str">
        <f t="shared" si="57"/>
        <v/>
      </c>
      <c r="T1823" s="1">
        <f>IF($E1823="",0,SUMPRODUCT((AY_SONU!$O$7:$O$42="Evet")*(AY_SONU!$B$7:$B$42=DATE(YEAR($E1823),MONTH($E1823),1))))</f>
        <v>0</v>
      </c>
      <c r="U1823" s="1" t="str">
        <f>IF(OR($G1823="",$H1823="Mahsup"),"",$G1823&amp;"|"&amp;COUNTIFS($G$7:$G1823,$G1823,$H$7:$H1823,"&lt;&gt;Mahsup"))</f>
        <v/>
      </c>
    </row>
    <row r="1824" spans="1:21" ht="18" customHeight="1" x14ac:dyDescent="0.3">
      <c r="A1824" s="2"/>
      <c r="B1824" s="65" t="str">
        <f>IF($D1824="","","T"&amp;TEXT(ROW()-6,"00000"))</f>
        <v/>
      </c>
      <c r="C1824" s="65" t="str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61"/>
      <c r="E1824" s="66"/>
      <c r="F1824" s="67"/>
      <c r="G1824" s="60"/>
      <c r="H1824" s="60"/>
      <c r="I1824" s="61"/>
      <c r="J1824" s="61"/>
      <c r="K1824" s="61"/>
      <c r="L1824" s="73" t="str">
        <f>IF($E1824="","",DATE(YEAR($E1824),MONTH($E1824),1))</f>
        <v/>
      </c>
      <c r="M1824" s="65" t="str">
        <f ca="1">IF($D1824="","",IF($C1824="TANIMSIZ MÜŞTERİ","HATA",IF(OR($E1824="",$F1824&lt;=0,$G1824=""),"EKSİK",IF($E1824&gt;TODAY(),"İLERİ TARİH",IF(COUNTIF($S$7:$S$2503,$S1824)&gt;1,"MÜKERRER?",IF($T1824&gt;0,"KAPALI DÖNEM","UYGUN"))))))</f>
        <v/>
      </c>
      <c r="N1824" s="74" t="str">
        <f>IF($C1824="","",IF($C1824="TANIMSIZ MÜŞTERİ","—",INDEX(MUSTERILER!$C$7:$C$156,MATCH($C1824,MUSTERILER!$B$7:$B$156,0))))</f>
        <v/>
      </c>
      <c r="O1824" s="2"/>
      <c r="P1824" s="2"/>
      <c r="Q1824" s="1" t="str">
        <f>IF($D1824="","",$C1824&amp;"|"&amp;COUNTIFS($C$7:$C1824,$C1824))</f>
        <v/>
      </c>
      <c r="R1824" s="1" t="str">
        <f t="shared" si="56"/>
        <v/>
      </c>
      <c r="S1824" s="1" t="str">
        <f t="shared" si="57"/>
        <v/>
      </c>
      <c r="T1824" s="1">
        <f>IF($E1824="",0,SUMPRODUCT((AY_SONU!$O$7:$O$42="Evet")*(AY_SONU!$B$7:$B$42=DATE(YEAR($E1824),MONTH($E1824),1))))</f>
        <v>0</v>
      </c>
      <c r="U1824" s="1" t="str">
        <f>IF(OR($G1824="",$H1824="Mahsup"),"",$G1824&amp;"|"&amp;COUNTIFS($G$7:$G1824,$G1824,$H$7:$H1824,"&lt;&gt;Mahsup"))</f>
        <v/>
      </c>
    </row>
    <row r="1825" spans="1:21" ht="18" customHeight="1" x14ac:dyDescent="0.3">
      <c r="A1825" s="2"/>
      <c r="B1825" s="65" t="str">
        <f>IF($D1825="","","T"&amp;TEXT(ROW()-6,"00000"))</f>
        <v/>
      </c>
      <c r="C1825" s="65" t="str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61"/>
      <c r="E1825" s="66"/>
      <c r="F1825" s="67"/>
      <c r="G1825" s="60"/>
      <c r="H1825" s="60"/>
      <c r="I1825" s="61"/>
      <c r="J1825" s="61"/>
      <c r="K1825" s="61"/>
      <c r="L1825" s="73" t="str">
        <f>IF($E1825="","",DATE(YEAR($E1825),MONTH($E1825),1))</f>
        <v/>
      </c>
      <c r="M1825" s="65" t="str">
        <f ca="1">IF($D1825="","",IF($C1825="TANIMSIZ MÜŞTERİ","HATA",IF(OR($E1825="",$F1825&lt;=0,$G1825=""),"EKSİK",IF($E1825&gt;TODAY(),"İLERİ TARİH",IF(COUNTIF($S$7:$S$2503,$S1825)&gt;1,"MÜKERRER?",IF($T1825&gt;0,"KAPALI DÖNEM","UYGUN"))))))</f>
        <v/>
      </c>
      <c r="N1825" s="74" t="str">
        <f>IF($C1825="","",IF($C1825="TANIMSIZ MÜŞTERİ","—",INDEX(MUSTERILER!$C$7:$C$156,MATCH($C1825,MUSTERILER!$B$7:$B$156,0))))</f>
        <v/>
      </c>
      <c r="O1825" s="2"/>
      <c r="P1825" s="2"/>
      <c r="Q1825" s="1" t="str">
        <f>IF($D1825="","",$C1825&amp;"|"&amp;COUNTIFS($C$7:$C1825,$C1825))</f>
        <v/>
      </c>
      <c r="R1825" s="1" t="str">
        <f t="shared" si="56"/>
        <v/>
      </c>
      <c r="S1825" s="1" t="str">
        <f t="shared" si="57"/>
        <v/>
      </c>
      <c r="T1825" s="1">
        <f>IF($E1825="",0,SUMPRODUCT((AY_SONU!$O$7:$O$42="Evet")*(AY_SONU!$B$7:$B$42=DATE(YEAR($E1825),MONTH($E1825),1))))</f>
        <v>0</v>
      </c>
      <c r="U1825" s="1" t="str">
        <f>IF(OR($G1825="",$H1825="Mahsup"),"",$G1825&amp;"|"&amp;COUNTIFS($G$7:$G1825,$G1825,$H$7:$H1825,"&lt;&gt;Mahsup"))</f>
        <v/>
      </c>
    </row>
    <row r="1826" spans="1:21" ht="18" customHeight="1" x14ac:dyDescent="0.3">
      <c r="A1826" s="2"/>
      <c r="B1826" s="65" t="str">
        <f>IF($D1826="","","T"&amp;TEXT(ROW()-6,"00000"))</f>
        <v/>
      </c>
      <c r="C1826" s="65" t="str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61"/>
      <c r="E1826" s="66"/>
      <c r="F1826" s="67"/>
      <c r="G1826" s="60"/>
      <c r="H1826" s="60"/>
      <c r="I1826" s="61"/>
      <c r="J1826" s="61"/>
      <c r="K1826" s="61"/>
      <c r="L1826" s="73" t="str">
        <f>IF($E1826="","",DATE(YEAR($E1826),MONTH($E1826),1))</f>
        <v/>
      </c>
      <c r="M1826" s="65" t="str">
        <f ca="1">IF($D1826="","",IF($C1826="TANIMSIZ MÜŞTERİ","HATA",IF(OR($E1826="",$F1826&lt;=0,$G1826=""),"EKSİK",IF($E1826&gt;TODAY(),"İLERİ TARİH",IF(COUNTIF($S$7:$S$2503,$S1826)&gt;1,"MÜKERRER?",IF($T1826&gt;0,"KAPALI DÖNEM","UYGUN"))))))</f>
        <v/>
      </c>
      <c r="N1826" s="74" t="str">
        <f>IF($C1826="","",IF($C1826="TANIMSIZ MÜŞTERİ","—",INDEX(MUSTERILER!$C$7:$C$156,MATCH($C1826,MUSTERILER!$B$7:$B$156,0))))</f>
        <v/>
      </c>
      <c r="O1826" s="2"/>
      <c r="P1826" s="2"/>
      <c r="Q1826" s="1" t="str">
        <f>IF($D1826="","",$C1826&amp;"|"&amp;COUNTIFS($C$7:$C1826,$C1826))</f>
        <v/>
      </c>
      <c r="R1826" s="1" t="str">
        <f t="shared" si="56"/>
        <v/>
      </c>
      <c r="S1826" s="1" t="str">
        <f t="shared" si="57"/>
        <v/>
      </c>
      <c r="T1826" s="1">
        <f>IF($E1826="",0,SUMPRODUCT((AY_SONU!$O$7:$O$42="Evet")*(AY_SONU!$B$7:$B$42=DATE(YEAR($E1826),MONTH($E1826),1))))</f>
        <v>0</v>
      </c>
      <c r="U1826" s="1" t="str">
        <f>IF(OR($G1826="",$H1826="Mahsup"),"",$G1826&amp;"|"&amp;COUNTIFS($G$7:$G1826,$G1826,$H$7:$H1826,"&lt;&gt;Mahsup"))</f>
        <v/>
      </c>
    </row>
    <row r="1827" spans="1:21" ht="18" customHeight="1" x14ac:dyDescent="0.3">
      <c r="A1827" s="2"/>
      <c r="B1827" s="65" t="str">
        <f>IF($D1827="","","T"&amp;TEXT(ROW()-6,"00000"))</f>
        <v/>
      </c>
      <c r="C1827" s="65" t="str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61"/>
      <c r="E1827" s="66"/>
      <c r="F1827" s="67"/>
      <c r="G1827" s="60"/>
      <c r="H1827" s="60"/>
      <c r="I1827" s="61"/>
      <c r="J1827" s="61"/>
      <c r="K1827" s="61"/>
      <c r="L1827" s="73" t="str">
        <f>IF($E1827="","",DATE(YEAR($E1827),MONTH($E1827),1))</f>
        <v/>
      </c>
      <c r="M1827" s="65" t="str">
        <f ca="1">IF($D1827="","",IF($C1827="TANIMSIZ MÜŞTERİ","HATA",IF(OR($E1827="",$F1827&lt;=0,$G1827=""),"EKSİK",IF($E1827&gt;TODAY(),"İLERİ TARİH",IF(COUNTIF($S$7:$S$2503,$S1827)&gt;1,"MÜKERRER?",IF($T1827&gt;0,"KAPALI DÖNEM","UYGUN"))))))</f>
        <v/>
      </c>
      <c r="N1827" s="74" t="str">
        <f>IF($C1827="","",IF($C1827="TANIMSIZ MÜŞTERİ","—",INDEX(MUSTERILER!$C$7:$C$156,MATCH($C1827,MUSTERILER!$B$7:$B$156,0))))</f>
        <v/>
      </c>
      <c r="O1827" s="2"/>
      <c r="P1827" s="2"/>
      <c r="Q1827" s="1" t="str">
        <f>IF($D1827="","",$C1827&amp;"|"&amp;COUNTIFS($C$7:$C1827,$C1827))</f>
        <v/>
      </c>
      <c r="R1827" s="1" t="str">
        <f t="shared" si="56"/>
        <v/>
      </c>
      <c r="S1827" s="1" t="str">
        <f t="shared" si="57"/>
        <v/>
      </c>
      <c r="T1827" s="1">
        <f>IF($E1827="",0,SUMPRODUCT((AY_SONU!$O$7:$O$42="Evet")*(AY_SONU!$B$7:$B$42=DATE(YEAR($E1827),MONTH($E1827),1))))</f>
        <v>0</v>
      </c>
      <c r="U1827" s="1" t="str">
        <f>IF(OR($G1827="",$H1827="Mahsup"),"",$G1827&amp;"|"&amp;COUNTIFS($G$7:$G1827,$G1827,$H$7:$H1827,"&lt;&gt;Mahsup"))</f>
        <v/>
      </c>
    </row>
    <row r="1828" spans="1:21" ht="18" customHeight="1" x14ac:dyDescent="0.3">
      <c r="A1828" s="2"/>
      <c r="B1828" s="65" t="str">
        <f>IF($D1828="","","T"&amp;TEXT(ROW()-6,"00000"))</f>
        <v/>
      </c>
      <c r="C1828" s="65" t="str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61"/>
      <c r="E1828" s="66"/>
      <c r="F1828" s="67"/>
      <c r="G1828" s="60"/>
      <c r="H1828" s="60"/>
      <c r="I1828" s="61"/>
      <c r="J1828" s="61"/>
      <c r="K1828" s="61"/>
      <c r="L1828" s="73" t="str">
        <f>IF($E1828="","",DATE(YEAR($E1828),MONTH($E1828),1))</f>
        <v/>
      </c>
      <c r="M1828" s="65" t="str">
        <f ca="1">IF($D1828="","",IF($C1828="TANIMSIZ MÜŞTERİ","HATA",IF(OR($E1828="",$F1828&lt;=0,$G1828=""),"EKSİK",IF($E1828&gt;TODAY(),"İLERİ TARİH",IF(COUNTIF($S$7:$S$2503,$S1828)&gt;1,"MÜKERRER?",IF($T1828&gt;0,"KAPALI DÖNEM","UYGUN"))))))</f>
        <v/>
      </c>
      <c r="N1828" s="74" t="str">
        <f>IF($C1828="","",IF($C1828="TANIMSIZ MÜŞTERİ","—",INDEX(MUSTERILER!$C$7:$C$156,MATCH($C1828,MUSTERILER!$B$7:$B$156,0))))</f>
        <v/>
      </c>
      <c r="O1828" s="2"/>
      <c r="P1828" s="2"/>
      <c r="Q1828" s="1" t="str">
        <f>IF($D1828="","",$C1828&amp;"|"&amp;COUNTIFS($C$7:$C1828,$C1828))</f>
        <v/>
      </c>
      <c r="R1828" s="1" t="str">
        <f t="shared" si="56"/>
        <v/>
      </c>
      <c r="S1828" s="1" t="str">
        <f t="shared" si="57"/>
        <v/>
      </c>
      <c r="T1828" s="1">
        <f>IF($E1828="",0,SUMPRODUCT((AY_SONU!$O$7:$O$42="Evet")*(AY_SONU!$B$7:$B$42=DATE(YEAR($E1828),MONTH($E1828),1))))</f>
        <v>0</v>
      </c>
      <c r="U1828" s="1" t="str">
        <f>IF(OR($G1828="",$H1828="Mahsup"),"",$G1828&amp;"|"&amp;COUNTIFS($G$7:$G1828,$G1828,$H$7:$H1828,"&lt;&gt;Mahsup"))</f>
        <v/>
      </c>
    </row>
    <row r="1829" spans="1:21" ht="18" customHeight="1" x14ac:dyDescent="0.3">
      <c r="A1829" s="2"/>
      <c r="B1829" s="65" t="str">
        <f>IF($D1829="","","T"&amp;TEXT(ROW()-6,"00000"))</f>
        <v/>
      </c>
      <c r="C1829" s="65" t="str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61"/>
      <c r="E1829" s="66"/>
      <c r="F1829" s="67"/>
      <c r="G1829" s="60"/>
      <c r="H1829" s="60"/>
      <c r="I1829" s="61"/>
      <c r="J1829" s="61"/>
      <c r="K1829" s="61"/>
      <c r="L1829" s="73" t="str">
        <f>IF($E1829="","",DATE(YEAR($E1829),MONTH($E1829),1))</f>
        <v/>
      </c>
      <c r="M1829" s="65" t="str">
        <f ca="1">IF($D1829="","",IF($C1829="TANIMSIZ MÜŞTERİ","HATA",IF(OR($E1829="",$F1829&lt;=0,$G1829=""),"EKSİK",IF($E1829&gt;TODAY(),"İLERİ TARİH",IF(COUNTIF($S$7:$S$2503,$S1829)&gt;1,"MÜKERRER?",IF($T1829&gt;0,"KAPALI DÖNEM","UYGUN"))))))</f>
        <v/>
      </c>
      <c r="N1829" s="74" t="str">
        <f>IF($C1829="","",IF($C1829="TANIMSIZ MÜŞTERİ","—",INDEX(MUSTERILER!$C$7:$C$156,MATCH($C1829,MUSTERILER!$B$7:$B$156,0))))</f>
        <v/>
      </c>
      <c r="O1829" s="2"/>
      <c r="P1829" s="2"/>
      <c r="Q1829" s="1" t="str">
        <f>IF($D1829="","",$C1829&amp;"|"&amp;COUNTIFS($C$7:$C1829,$C1829))</f>
        <v/>
      </c>
      <c r="R1829" s="1" t="str">
        <f t="shared" si="56"/>
        <v/>
      </c>
      <c r="S1829" s="1" t="str">
        <f t="shared" si="57"/>
        <v/>
      </c>
      <c r="T1829" s="1">
        <f>IF($E1829="",0,SUMPRODUCT((AY_SONU!$O$7:$O$42="Evet")*(AY_SONU!$B$7:$B$42=DATE(YEAR($E1829),MONTH($E1829),1))))</f>
        <v>0</v>
      </c>
      <c r="U1829" s="1" t="str">
        <f>IF(OR($G1829="",$H1829="Mahsup"),"",$G1829&amp;"|"&amp;COUNTIFS($G$7:$G1829,$G1829,$H$7:$H1829,"&lt;&gt;Mahsup"))</f>
        <v/>
      </c>
    </row>
    <row r="1830" spans="1:21" ht="18" customHeight="1" x14ac:dyDescent="0.3">
      <c r="A1830" s="2"/>
      <c r="B1830" s="65" t="str">
        <f>IF($D1830="","","T"&amp;TEXT(ROW()-6,"00000"))</f>
        <v/>
      </c>
      <c r="C1830" s="65" t="str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61"/>
      <c r="E1830" s="66"/>
      <c r="F1830" s="67"/>
      <c r="G1830" s="60"/>
      <c r="H1830" s="60"/>
      <c r="I1830" s="61"/>
      <c r="J1830" s="61"/>
      <c r="K1830" s="61"/>
      <c r="L1830" s="73" t="str">
        <f>IF($E1830="","",DATE(YEAR($E1830),MONTH($E1830),1))</f>
        <v/>
      </c>
      <c r="M1830" s="65" t="str">
        <f ca="1">IF($D1830="","",IF($C1830="TANIMSIZ MÜŞTERİ","HATA",IF(OR($E1830="",$F1830&lt;=0,$G1830=""),"EKSİK",IF($E1830&gt;TODAY(),"İLERİ TARİH",IF(COUNTIF($S$7:$S$2503,$S1830)&gt;1,"MÜKERRER?",IF($T1830&gt;0,"KAPALI DÖNEM","UYGUN"))))))</f>
        <v/>
      </c>
      <c r="N1830" s="74" t="str">
        <f>IF($C1830="","",IF($C1830="TANIMSIZ MÜŞTERİ","—",INDEX(MUSTERILER!$C$7:$C$156,MATCH($C1830,MUSTERILER!$B$7:$B$156,0))))</f>
        <v/>
      </c>
      <c r="O1830" s="2"/>
      <c r="P1830" s="2"/>
      <c r="Q1830" s="1" t="str">
        <f>IF($D1830="","",$C1830&amp;"|"&amp;COUNTIFS($C$7:$C1830,$C1830))</f>
        <v/>
      </c>
      <c r="R1830" s="1" t="str">
        <f t="shared" si="56"/>
        <v/>
      </c>
      <c r="S1830" s="1" t="str">
        <f t="shared" si="57"/>
        <v/>
      </c>
      <c r="T1830" s="1">
        <f>IF($E1830="",0,SUMPRODUCT((AY_SONU!$O$7:$O$42="Evet")*(AY_SONU!$B$7:$B$42=DATE(YEAR($E1830),MONTH($E1830),1))))</f>
        <v>0</v>
      </c>
      <c r="U1830" s="1" t="str">
        <f>IF(OR($G1830="",$H1830="Mahsup"),"",$G1830&amp;"|"&amp;COUNTIFS($G$7:$G1830,$G1830,$H$7:$H1830,"&lt;&gt;Mahsup"))</f>
        <v/>
      </c>
    </row>
    <row r="1831" spans="1:21" ht="18" customHeight="1" x14ac:dyDescent="0.3">
      <c r="A1831" s="2"/>
      <c r="B1831" s="65" t="str">
        <f>IF($D1831="","","T"&amp;TEXT(ROW()-6,"00000"))</f>
        <v/>
      </c>
      <c r="C1831" s="65" t="str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61"/>
      <c r="E1831" s="66"/>
      <c r="F1831" s="67"/>
      <c r="G1831" s="60"/>
      <c r="H1831" s="60"/>
      <c r="I1831" s="61"/>
      <c r="J1831" s="61"/>
      <c r="K1831" s="61"/>
      <c r="L1831" s="73" t="str">
        <f>IF($E1831="","",DATE(YEAR($E1831),MONTH($E1831),1))</f>
        <v/>
      </c>
      <c r="M1831" s="65" t="str">
        <f ca="1">IF($D1831="","",IF($C1831="TANIMSIZ MÜŞTERİ","HATA",IF(OR($E1831="",$F1831&lt;=0,$G1831=""),"EKSİK",IF($E1831&gt;TODAY(),"İLERİ TARİH",IF(COUNTIF($S$7:$S$2503,$S1831)&gt;1,"MÜKERRER?",IF($T1831&gt;0,"KAPALI DÖNEM","UYGUN"))))))</f>
        <v/>
      </c>
      <c r="N1831" s="74" t="str">
        <f>IF($C1831="","",IF($C1831="TANIMSIZ MÜŞTERİ","—",INDEX(MUSTERILER!$C$7:$C$156,MATCH($C1831,MUSTERILER!$B$7:$B$156,0))))</f>
        <v/>
      </c>
      <c r="O1831" s="2"/>
      <c r="P1831" s="2"/>
      <c r="Q1831" s="1" t="str">
        <f>IF($D1831="","",$C1831&amp;"|"&amp;COUNTIFS($C$7:$C1831,$C1831))</f>
        <v/>
      </c>
      <c r="R1831" s="1" t="str">
        <f t="shared" si="56"/>
        <v/>
      </c>
      <c r="S1831" s="1" t="str">
        <f t="shared" si="57"/>
        <v/>
      </c>
      <c r="T1831" s="1">
        <f>IF($E1831="",0,SUMPRODUCT((AY_SONU!$O$7:$O$42="Evet")*(AY_SONU!$B$7:$B$42=DATE(YEAR($E1831),MONTH($E1831),1))))</f>
        <v>0</v>
      </c>
      <c r="U1831" s="1" t="str">
        <f>IF(OR($G1831="",$H1831="Mahsup"),"",$G1831&amp;"|"&amp;COUNTIFS($G$7:$G1831,$G1831,$H$7:$H1831,"&lt;&gt;Mahsup"))</f>
        <v/>
      </c>
    </row>
    <row r="1832" spans="1:21" ht="18" customHeight="1" x14ac:dyDescent="0.3">
      <c r="A1832" s="2"/>
      <c r="B1832" s="65" t="str">
        <f>IF($D1832="","","T"&amp;TEXT(ROW()-6,"00000"))</f>
        <v/>
      </c>
      <c r="C1832" s="65" t="str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61"/>
      <c r="E1832" s="66"/>
      <c r="F1832" s="67"/>
      <c r="G1832" s="60"/>
      <c r="H1832" s="60"/>
      <c r="I1832" s="61"/>
      <c r="J1832" s="61"/>
      <c r="K1832" s="61"/>
      <c r="L1832" s="73" t="str">
        <f>IF($E1832="","",DATE(YEAR($E1832),MONTH($E1832),1))</f>
        <v/>
      </c>
      <c r="M1832" s="65" t="str">
        <f ca="1">IF($D1832="","",IF($C1832="TANIMSIZ MÜŞTERİ","HATA",IF(OR($E1832="",$F1832&lt;=0,$G1832=""),"EKSİK",IF($E1832&gt;TODAY(),"İLERİ TARİH",IF(COUNTIF($S$7:$S$2503,$S1832)&gt;1,"MÜKERRER?",IF($T1832&gt;0,"KAPALI DÖNEM","UYGUN"))))))</f>
        <v/>
      </c>
      <c r="N1832" s="74" t="str">
        <f>IF($C1832="","",IF($C1832="TANIMSIZ MÜŞTERİ","—",INDEX(MUSTERILER!$C$7:$C$156,MATCH($C1832,MUSTERILER!$B$7:$B$156,0))))</f>
        <v/>
      </c>
      <c r="O1832" s="2"/>
      <c r="P1832" s="2"/>
      <c r="Q1832" s="1" t="str">
        <f>IF($D1832="","",$C1832&amp;"|"&amp;COUNTIFS($C$7:$C1832,$C1832))</f>
        <v/>
      </c>
      <c r="R1832" s="1" t="str">
        <f t="shared" si="56"/>
        <v/>
      </c>
      <c r="S1832" s="1" t="str">
        <f t="shared" si="57"/>
        <v/>
      </c>
      <c r="T1832" s="1">
        <f>IF($E1832="",0,SUMPRODUCT((AY_SONU!$O$7:$O$42="Evet")*(AY_SONU!$B$7:$B$42=DATE(YEAR($E1832),MONTH($E1832),1))))</f>
        <v>0</v>
      </c>
      <c r="U1832" s="1" t="str">
        <f>IF(OR($G1832="",$H1832="Mahsup"),"",$G1832&amp;"|"&amp;COUNTIFS($G$7:$G1832,$G1832,$H$7:$H1832,"&lt;&gt;Mahsup"))</f>
        <v/>
      </c>
    </row>
    <row r="1833" spans="1:21" ht="18" customHeight="1" x14ac:dyDescent="0.3">
      <c r="A1833" s="2"/>
      <c r="B1833" s="65" t="str">
        <f>IF($D1833="","","T"&amp;TEXT(ROW()-6,"00000"))</f>
        <v/>
      </c>
      <c r="C1833" s="65" t="str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61"/>
      <c r="E1833" s="66"/>
      <c r="F1833" s="67"/>
      <c r="G1833" s="60"/>
      <c r="H1833" s="60"/>
      <c r="I1833" s="61"/>
      <c r="J1833" s="61"/>
      <c r="K1833" s="61"/>
      <c r="L1833" s="73" t="str">
        <f>IF($E1833="","",DATE(YEAR($E1833),MONTH($E1833),1))</f>
        <v/>
      </c>
      <c r="M1833" s="65" t="str">
        <f ca="1">IF($D1833="","",IF($C1833="TANIMSIZ MÜŞTERİ","HATA",IF(OR($E1833="",$F1833&lt;=0,$G1833=""),"EKSİK",IF($E1833&gt;TODAY(),"İLERİ TARİH",IF(COUNTIF($S$7:$S$2503,$S1833)&gt;1,"MÜKERRER?",IF($T1833&gt;0,"KAPALI DÖNEM","UYGUN"))))))</f>
        <v/>
      </c>
      <c r="N1833" s="74" t="str">
        <f>IF($C1833="","",IF($C1833="TANIMSIZ MÜŞTERİ","—",INDEX(MUSTERILER!$C$7:$C$156,MATCH($C1833,MUSTERILER!$B$7:$B$156,0))))</f>
        <v/>
      </c>
      <c r="O1833" s="2"/>
      <c r="P1833" s="2"/>
      <c r="Q1833" s="1" t="str">
        <f>IF($D1833="","",$C1833&amp;"|"&amp;COUNTIFS($C$7:$C1833,$C1833))</f>
        <v/>
      </c>
      <c r="R1833" s="1" t="str">
        <f t="shared" si="56"/>
        <v/>
      </c>
      <c r="S1833" s="1" t="str">
        <f t="shared" si="57"/>
        <v/>
      </c>
      <c r="T1833" s="1">
        <f>IF($E1833="",0,SUMPRODUCT((AY_SONU!$O$7:$O$42="Evet")*(AY_SONU!$B$7:$B$42=DATE(YEAR($E1833),MONTH($E1833),1))))</f>
        <v>0</v>
      </c>
      <c r="U1833" s="1" t="str">
        <f>IF(OR($G1833="",$H1833="Mahsup"),"",$G1833&amp;"|"&amp;COUNTIFS($G$7:$G1833,$G1833,$H$7:$H1833,"&lt;&gt;Mahsup"))</f>
        <v/>
      </c>
    </row>
    <row r="1834" spans="1:21" ht="18" customHeight="1" x14ac:dyDescent="0.3">
      <c r="A1834" s="2"/>
      <c r="B1834" s="65" t="str">
        <f>IF($D1834="","","T"&amp;TEXT(ROW()-6,"00000"))</f>
        <v/>
      </c>
      <c r="C1834" s="65" t="str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61"/>
      <c r="E1834" s="66"/>
      <c r="F1834" s="67"/>
      <c r="G1834" s="60"/>
      <c r="H1834" s="60"/>
      <c r="I1834" s="61"/>
      <c r="J1834" s="61"/>
      <c r="K1834" s="61"/>
      <c r="L1834" s="73" t="str">
        <f>IF($E1834="","",DATE(YEAR($E1834),MONTH($E1834),1))</f>
        <v/>
      </c>
      <c r="M1834" s="65" t="str">
        <f ca="1">IF($D1834="","",IF($C1834="TANIMSIZ MÜŞTERİ","HATA",IF(OR($E1834="",$F1834&lt;=0,$G1834=""),"EKSİK",IF($E1834&gt;TODAY(),"İLERİ TARİH",IF(COUNTIF($S$7:$S$2503,$S1834)&gt;1,"MÜKERRER?",IF($T1834&gt;0,"KAPALI DÖNEM","UYGUN"))))))</f>
        <v/>
      </c>
      <c r="N1834" s="74" t="str">
        <f>IF($C1834="","",IF($C1834="TANIMSIZ MÜŞTERİ","—",INDEX(MUSTERILER!$C$7:$C$156,MATCH($C1834,MUSTERILER!$B$7:$B$156,0))))</f>
        <v/>
      </c>
      <c r="O1834" s="2"/>
      <c r="P1834" s="2"/>
      <c r="Q1834" s="1" t="str">
        <f>IF($D1834="","",$C1834&amp;"|"&amp;COUNTIFS($C$7:$C1834,$C1834))</f>
        <v/>
      </c>
      <c r="R1834" s="1" t="str">
        <f t="shared" si="56"/>
        <v/>
      </c>
      <c r="S1834" s="1" t="str">
        <f t="shared" si="57"/>
        <v/>
      </c>
      <c r="T1834" s="1">
        <f>IF($E1834="",0,SUMPRODUCT((AY_SONU!$O$7:$O$42="Evet")*(AY_SONU!$B$7:$B$42=DATE(YEAR($E1834),MONTH($E1834),1))))</f>
        <v>0</v>
      </c>
      <c r="U1834" s="1" t="str">
        <f>IF(OR($G1834="",$H1834="Mahsup"),"",$G1834&amp;"|"&amp;COUNTIFS($G$7:$G1834,$G1834,$H$7:$H1834,"&lt;&gt;Mahsup"))</f>
        <v/>
      </c>
    </row>
    <row r="1835" spans="1:21" ht="18" customHeight="1" x14ac:dyDescent="0.3">
      <c r="A1835" s="2"/>
      <c r="B1835" s="65" t="str">
        <f>IF($D1835="","","T"&amp;TEXT(ROW()-6,"00000"))</f>
        <v/>
      </c>
      <c r="C1835" s="65" t="str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61"/>
      <c r="E1835" s="66"/>
      <c r="F1835" s="67"/>
      <c r="G1835" s="60"/>
      <c r="H1835" s="60"/>
      <c r="I1835" s="61"/>
      <c r="J1835" s="61"/>
      <c r="K1835" s="61"/>
      <c r="L1835" s="73" t="str">
        <f>IF($E1835="","",DATE(YEAR($E1835),MONTH($E1835),1))</f>
        <v/>
      </c>
      <c r="M1835" s="65" t="str">
        <f ca="1">IF($D1835="","",IF($C1835="TANIMSIZ MÜŞTERİ","HATA",IF(OR($E1835="",$F1835&lt;=0,$G1835=""),"EKSİK",IF($E1835&gt;TODAY(),"İLERİ TARİH",IF(COUNTIF($S$7:$S$2503,$S1835)&gt;1,"MÜKERRER?",IF($T1835&gt;0,"KAPALI DÖNEM","UYGUN"))))))</f>
        <v/>
      </c>
      <c r="N1835" s="74" t="str">
        <f>IF($C1835="","",IF($C1835="TANIMSIZ MÜŞTERİ","—",INDEX(MUSTERILER!$C$7:$C$156,MATCH($C1835,MUSTERILER!$B$7:$B$156,0))))</f>
        <v/>
      </c>
      <c r="O1835" s="2"/>
      <c r="P1835" s="2"/>
      <c r="Q1835" s="1" t="str">
        <f>IF($D1835="","",$C1835&amp;"|"&amp;COUNTIFS($C$7:$C1835,$C1835))</f>
        <v/>
      </c>
      <c r="R1835" s="1" t="str">
        <f t="shared" si="56"/>
        <v/>
      </c>
      <c r="S1835" s="1" t="str">
        <f t="shared" si="57"/>
        <v/>
      </c>
      <c r="T1835" s="1">
        <f>IF($E1835="",0,SUMPRODUCT((AY_SONU!$O$7:$O$42="Evet")*(AY_SONU!$B$7:$B$42=DATE(YEAR($E1835),MONTH($E1835),1))))</f>
        <v>0</v>
      </c>
      <c r="U1835" s="1" t="str">
        <f>IF(OR($G1835="",$H1835="Mahsup"),"",$G1835&amp;"|"&amp;COUNTIFS($G$7:$G1835,$G1835,$H$7:$H1835,"&lt;&gt;Mahsup"))</f>
        <v/>
      </c>
    </row>
    <row r="1836" spans="1:21" ht="18" customHeight="1" x14ac:dyDescent="0.3">
      <c r="A1836" s="2"/>
      <c r="B1836" s="65" t="str">
        <f>IF($D1836="","","T"&amp;TEXT(ROW()-6,"00000"))</f>
        <v/>
      </c>
      <c r="C1836" s="65" t="str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61"/>
      <c r="E1836" s="66"/>
      <c r="F1836" s="67"/>
      <c r="G1836" s="60"/>
      <c r="H1836" s="60"/>
      <c r="I1836" s="61"/>
      <c r="J1836" s="61"/>
      <c r="K1836" s="61"/>
      <c r="L1836" s="73" t="str">
        <f>IF($E1836="","",DATE(YEAR($E1836),MONTH($E1836),1))</f>
        <v/>
      </c>
      <c r="M1836" s="65" t="str">
        <f ca="1">IF($D1836="","",IF($C1836="TANIMSIZ MÜŞTERİ","HATA",IF(OR($E1836="",$F1836&lt;=0,$G1836=""),"EKSİK",IF($E1836&gt;TODAY(),"İLERİ TARİH",IF(COUNTIF($S$7:$S$2503,$S1836)&gt;1,"MÜKERRER?",IF($T1836&gt;0,"KAPALI DÖNEM","UYGUN"))))))</f>
        <v/>
      </c>
      <c r="N1836" s="74" t="str">
        <f>IF($C1836="","",IF($C1836="TANIMSIZ MÜŞTERİ","—",INDEX(MUSTERILER!$C$7:$C$156,MATCH($C1836,MUSTERILER!$B$7:$B$156,0))))</f>
        <v/>
      </c>
      <c r="O1836" s="2"/>
      <c r="P1836" s="2"/>
      <c r="Q1836" s="1" t="str">
        <f>IF($D1836="","",$C1836&amp;"|"&amp;COUNTIFS($C$7:$C1836,$C1836))</f>
        <v/>
      </c>
      <c r="R1836" s="1" t="str">
        <f t="shared" si="56"/>
        <v/>
      </c>
      <c r="S1836" s="1" t="str">
        <f t="shared" si="57"/>
        <v/>
      </c>
      <c r="T1836" s="1">
        <f>IF($E1836="",0,SUMPRODUCT((AY_SONU!$O$7:$O$42="Evet")*(AY_SONU!$B$7:$B$42=DATE(YEAR($E1836),MONTH($E1836),1))))</f>
        <v>0</v>
      </c>
      <c r="U1836" s="1" t="str">
        <f>IF(OR($G1836="",$H1836="Mahsup"),"",$G1836&amp;"|"&amp;COUNTIFS($G$7:$G1836,$G1836,$H$7:$H1836,"&lt;&gt;Mahsup"))</f>
        <v/>
      </c>
    </row>
    <row r="1837" spans="1:21" ht="18" customHeight="1" x14ac:dyDescent="0.3">
      <c r="A1837" s="2"/>
      <c r="B1837" s="65" t="str">
        <f>IF($D1837="","","T"&amp;TEXT(ROW()-6,"00000"))</f>
        <v/>
      </c>
      <c r="C1837" s="65" t="str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61"/>
      <c r="E1837" s="66"/>
      <c r="F1837" s="67"/>
      <c r="G1837" s="60"/>
      <c r="H1837" s="60"/>
      <c r="I1837" s="61"/>
      <c r="J1837" s="61"/>
      <c r="K1837" s="61"/>
      <c r="L1837" s="73" t="str">
        <f>IF($E1837="","",DATE(YEAR($E1837),MONTH($E1837),1))</f>
        <v/>
      </c>
      <c r="M1837" s="65" t="str">
        <f ca="1">IF($D1837="","",IF($C1837="TANIMSIZ MÜŞTERİ","HATA",IF(OR($E1837="",$F1837&lt;=0,$G1837=""),"EKSİK",IF($E1837&gt;TODAY(),"İLERİ TARİH",IF(COUNTIF($S$7:$S$2503,$S1837)&gt;1,"MÜKERRER?",IF($T1837&gt;0,"KAPALI DÖNEM","UYGUN"))))))</f>
        <v/>
      </c>
      <c r="N1837" s="74" t="str">
        <f>IF($C1837="","",IF($C1837="TANIMSIZ MÜŞTERİ","—",INDEX(MUSTERILER!$C$7:$C$156,MATCH($C1837,MUSTERILER!$B$7:$B$156,0))))</f>
        <v/>
      </c>
      <c r="O1837" s="2"/>
      <c r="P1837" s="2"/>
      <c r="Q1837" s="1" t="str">
        <f>IF($D1837="","",$C1837&amp;"|"&amp;COUNTIFS($C$7:$C1837,$C1837))</f>
        <v/>
      </c>
      <c r="R1837" s="1" t="str">
        <f t="shared" si="56"/>
        <v/>
      </c>
      <c r="S1837" s="1" t="str">
        <f t="shared" si="57"/>
        <v/>
      </c>
      <c r="T1837" s="1">
        <f>IF($E1837="",0,SUMPRODUCT((AY_SONU!$O$7:$O$42="Evet")*(AY_SONU!$B$7:$B$42=DATE(YEAR($E1837),MONTH($E1837),1))))</f>
        <v>0</v>
      </c>
      <c r="U1837" s="1" t="str">
        <f>IF(OR($G1837="",$H1837="Mahsup"),"",$G1837&amp;"|"&amp;COUNTIFS($G$7:$G1837,$G1837,$H$7:$H1837,"&lt;&gt;Mahsup"))</f>
        <v/>
      </c>
    </row>
    <row r="1838" spans="1:21" ht="18" customHeight="1" x14ac:dyDescent="0.3">
      <c r="A1838" s="2"/>
      <c r="B1838" s="65" t="str">
        <f>IF($D1838="","","T"&amp;TEXT(ROW()-6,"00000"))</f>
        <v/>
      </c>
      <c r="C1838" s="65" t="str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61"/>
      <c r="E1838" s="66"/>
      <c r="F1838" s="67"/>
      <c r="G1838" s="60"/>
      <c r="H1838" s="60"/>
      <c r="I1838" s="61"/>
      <c r="J1838" s="61"/>
      <c r="K1838" s="61"/>
      <c r="L1838" s="73" t="str">
        <f>IF($E1838="","",DATE(YEAR($E1838),MONTH($E1838),1))</f>
        <v/>
      </c>
      <c r="M1838" s="65" t="str">
        <f ca="1">IF($D1838="","",IF($C1838="TANIMSIZ MÜŞTERİ","HATA",IF(OR($E1838="",$F1838&lt;=0,$G1838=""),"EKSİK",IF($E1838&gt;TODAY(),"İLERİ TARİH",IF(COUNTIF($S$7:$S$2503,$S1838)&gt;1,"MÜKERRER?",IF($T1838&gt;0,"KAPALI DÖNEM","UYGUN"))))))</f>
        <v/>
      </c>
      <c r="N1838" s="74" t="str">
        <f>IF($C1838="","",IF($C1838="TANIMSIZ MÜŞTERİ","—",INDEX(MUSTERILER!$C$7:$C$156,MATCH($C1838,MUSTERILER!$B$7:$B$156,0))))</f>
        <v/>
      </c>
      <c r="O1838" s="2"/>
      <c r="P1838" s="2"/>
      <c r="Q1838" s="1" t="str">
        <f>IF($D1838="","",$C1838&amp;"|"&amp;COUNTIFS($C$7:$C1838,$C1838))</f>
        <v/>
      </c>
      <c r="R1838" s="1" t="str">
        <f t="shared" si="56"/>
        <v/>
      </c>
      <c r="S1838" s="1" t="str">
        <f t="shared" si="57"/>
        <v/>
      </c>
      <c r="T1838" s="1">
        <f>IF($E1838="",0,SUMPRODUCT((AY_SONU!$O$7:$O$42="Evet")*(AY_SONU!$B$7:$B$42=DATE(YEAR($E1838),MONTH($E1838),1))))</f>
        <v>0</v>
      </c>
      <c r="U1838" s="1" t="str">
        <f>IF(OR($G1838="",$H1838="Mahsup"),"",$G1838&amp;"|"&amp;COUNTIFS($G$7:$G1838,$G1838,$H$7:$H1838,"&lt;&gt;Mahsup"))</f>
        <v/>
      </c>
    </row>
    <row r="1839" spans="1:21" ht="18" customHeight="1" x14ac:dyDescent="0.3">
      <c r="A1839" s="2"/>
      <c r="B1839" s="65" t="str">
        <f>IF($D1839="","","T"&amp;TEXT(ROW()-6,"00000"))</f>
        <v/>
      </c>
      <c r="C1839" s="65" t="str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61"/>
      <c r="E1839" s="66"/>
      <c r="F1839" s="67"/>
      <c r="G1839" s="60"/>
      <c r="H1839" s="60"/>
      <c r="I1839" s="61"/>
      <c r="J1839" s="61"/>
      <c r="K1839" s="61"/>
      <c r="L1839" s="73" t="str">
        <f>IF($E1839="","",DATE(YEAR($E1839),MONTH($E1839),1))</f>
        <v/>
      </c>
      <c r="M1839" s="65" t="str">
        <f ca="1">IF($D1839="","",IF($C1839="TANIMSIZ MÜŞTERİ","HATA",IF(OR($E1839="",$F1839&lt;=0,$G1839=""),"EKSİK",IF($E1839&gt;TODAY(),"İLERİ TARİH",IF(COUNTIF($S$7:$S$2503,$S1839)&gt;1,"MÜKERRER?",IF($T1839&gt;0,"KAPALI DÖNEM","UYGUN"))))))</f>
        <v/>
      </c>
      <c r="N1839" s="74" t="str">
        <f>IF($C1839="","",IF($C1839="TANIMSIZ MÜŞTERİ","—",INDEX(MUSTERILER!$C$7:$C$156,MATCH($C1839,MUSTERILER!$B$7:$B$156,0))))</f>
        <v/>
      </c>
      <c r="O1839" s="2"/>
      <c r="P1839" s="2"/>
      <c r="Q1839" s="1" t="str">
        <f>IF($D1839="","",$C1839&amp;"|"&amp;COUNTIFS($C$7:$C1839,$C1839))</f>
        <v/>
      </c>
      <c r="R1839" s="1" t="str">
        <f t="shared" si="56"/>
        <v/>
      </c>
      <c r="S1839" s="1" t="str">
        <f t="shared" si="57"/>
        <v/>
      </c>
      <c r="T1839" s="1">
        <f>IF($E1839="",0,SUMPRODUCT((AY_SONU!$O$7:$O$42="Evet")*(AY_SONU!$B$7:$B$42=DATE(YEAR($E1839),MONTH($E1839),1))))</f>
        <v>0</v>
      </c>
      <c r="U1839" s="1" t="str">
        <f>IF(OR($G1839="",$H1839="Mahsup"),"",$G1839&amp;"|"&amp;COUNTIFS($G$7:$G1839,$G1839,$H$7:$H1839,"&lt;&gt;Mahsup"))</f>
        <v/>
      </c>
    </row>
    <row r="1840" spans="1:21" ht="18" customHeight="1" x14ac:dyDescent="0.3">
      <c r="A1840" s="2"/>
      <c r="B1840" s="65" t="str">
        <f>IF($D1840="","","T"&amp;TEXT(ROW()-6,"00000"))</f>
        <v/>
      </c>
      <c r="C1840" s="65" t="str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61"/>
      <c r="E1840" s="66"/>
      <c r="F1840" s="67"/>
      <c r="G1840" s="60"/>
      <c r="H1840" s="60"/>
      <c r="I1840" s="61"/>
      <c r="J1840" s="61"/>
      <c r="K1840" s="61"/>
      <c r="L1840" s="73" t="str">
        <f>IF($E1840="","",DATE(YEAR($E1840),MONTH($E1840),1))</f>
        <v/>
      </c>
      <c r="M1840" s="65" t="str">
        <f ca="1">IF($D1840="","",IF($C1840="TANIMSIZ MÜŞTERİ","HATA",IF(OR($E1840="",$F1840&lt;=0,$G1840=""),"EKSİK",IF($E1840&gt;TODAY(),"İLERİ TARİH",IF(COUNTIF($S$7:$S$2503,$S1840)&gt;1,"MÜKERRER?",IF($T1840&gt;0,"KAPALI DÖNEM","UYGUN"))))))</f>
        <v/>
      </c>
      <c r="N1840" s="74" t="str">
        <f>IF($C1840="","",IF($C1840="TANIMSIZ MÜŞTERİ","—",INDEX(MUSTERILER!$C$7:$C$156,MATCH($C1840,MUSTERILER!$B$7:$B$156,0))))</f>
        <v/>
      </c>
      <c r="O1840" s="2"/>
      <c r="P1840" s="2"/>
      <c r="Q1840" s="1" t="str">
        <f>IF($D1840="","",$C1840&amp;"|"&amp;COUNTIFS($C$7:$C1840,$C1840))</f>
        <v/>
      </c>
      <c r="R1840" s="1" t="str">
        <f t="shared" si="56"/>
        <v/>
      </c>
      <c r="S1840" s="1" t="str">
        <f t="shared" si="57"/>
        <v/>
      </c>
      <c r="T1840" s="1">
        <f>IF($E1840="",0,SUMPRODUCT((AY_SONU!$O$7:$O$42="Evet")*(AY_SONU!$B$7:$B$42=DATE(YEAR($E1840),MONTH($E1840),1))))</f>
        <v>0</v>
      </c>
      <c r="U1840" s="1" t="str">
        <f>IF(OR($G1840="",$H1840="Mahsup"),"",$G1840&amp;"|"&amp;COUNTIFS($G$7:$G1840,$G1840,$H$7:$H1840,"&lt;&gt;Mahsup"))</f>
        <v/>
      </c>
    </row>
    <row r="1841" spans="1:21" ht="18" customHeight="1" x14ac:dyDescent="0.3">
      <c r="A1841" s="2"/>
      <c r="B1841" s="65" t="str">
        <f>IF($D1841="","","T"&amp;TEXT(ROW()-6,"00000"))</f>
        <v/>
      </c>
      <c r="C1841" s="65" t="str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61"/>
      <c r="E1841" s="66"/>
      <c r="F1841" s="67"/>
      <c r="G1841" s="60"/>
      <c r="H1841" s="60"/>
      <c r="I1841" s="61"/>
      <c r="J1841" s="61"/>
      <c r="K1841" s="61"/>
      <c r="L1841" s="73" t="str">
        <f>IF($E1841="","",DATE(YEAR($E1841),MONTH($E1841),1))</f>
        <v/>
      </c>
      <c r="M1841" s="65" t="str">
        <f ca="1">IF($D1841="","",IF($C1841="TANIMSIZ MÜŞTERİ","HATA",IF(OR($E1841="",$F1841&lt;=0,$G1841=""),"EKSİK",IF($E1841&gt;TODAY(),"İLERİ TARİH",IF(COUNTIF($S$7:$S$2503,$S1841)&gt;1,"MÜKERRER?",IF($T1841&gt;0,"KAPALI DÖNEM","UYGUN"))))))</f>
        <v/>
      </c>
      <c r="N1841" s="74" t="str">
        <f>IF($C1841="","",IF($C1841="TANIMSIZ MÜŞTERİ","—",INDEX(MUSTERILER!$C$7:$C$156,MATCH($C1841,MUSTERILER!$B$7:$B$156,0))))</f>
        <v/>
      </c>
      <c r="O1841" s="2"/>
      <c r="P1841" s="2"/>
      <c r="Q1841" s="1" t="str">
        <f>IF($D1841="","",$C1841&amp;"|"&amp;COUNTIFS($C$7:$C1841,$C1841))</f>
        <v/>
      </c>
      <c r="R1841" s="1" t="str">
        <f t="shared" si="56"/>
        <v/>
      </c>
      <c r="S1841" s="1" t="str">
        <f t="shared" si="57"/>
        <v/>
      </c>
      <c r="T1841" s="1">
        <f>IF($E1841="",0,SUMPRODUCT((AY_SONU!$O$7:$O$42="Evet")*(AY_SONU!$B$7:$B$42=DATE(YEAR($E1841),MONTH($E1841),1))))</f>
        <v>0</v>
      </c>
      <c r="U1841" s="1" t="str">
        <f>IF(OR($G1841="",$H1841="Mahsup"),"",$G1841&amp;"|"&amp;COUNTIFS($G$7:$G1841,$G1841,$H$7:$H1841,"&lt;&gt;Mahsup"))</f>
        <v/>
      </c>
    </row>
    <row r="1842" spans="1:21" ht="18" customHeight="1" x14ac:dyDescent="0.3">
      <c r="A1842" s="2"/>
      <c r="B1842" s="65" t="str">
        <f>IF($D1842="","","T"&amp;TEXT(ROW()-6,"00000"))</f>
        <v/>
      </c>
      <c r="C1842" s="65" t="str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61"/>
      <c r="E1842" s="66"/>
      <c r="F1842" s="67"/>
      <c r="G1842" s="60"/>
      <c r="H1842" s="60"/>
      <c r="I1842" s="61"/>
      <c r="J1842" s="61"/>
      <c r="K1842" s="61"/>
      <c r="L1842" s="73" t="str">
        <f>IF($E1842="","",DATE(YEAR($E1842),MONTH($E1842),1))</f>
        <v/>
      </c>
      <c r="M1842" s="65" t="str">
        <f ca="1">IF($D1842="","",IF($C1842="TANIMSIZ MÜŞTERİ","HATA",IF(OR($E1842="",$F1842&lt;=0,$G1842=""),"EKSİK",IF($E1842&gt;TODAY(),"İLERİ TARİH",IF(COUNTIF($S$7:$S$2503,$S1842)&gt;1,"MÜKERRER?",IF($T1842&gt;0,"KAPALI DÖNEM","UYGUN"))))))</f>
        <v/>
      </c>
      <c r="N1842" s="74" t="str">
        <f>IF($C1842="","",IF($C1842="TANIMSIZ MÜŞTERİ","—",INDEX(MUSTERILER!$C$7:$C$156,MATCH($C1842,MUSTERILER!$B$7:$B$156,0))))</f>
        <v/>
      </c>
      <c r="O1842" s="2"/>
      <c r="P1842" s="2"/>
      <c r="Q1842" s="1" t="str">
        <f>IF($D1842="","",$C1842&amp;"|"&amp;COUNTIFS($C$7:$C1842,$C1842))</f>
        <v/>
      </c>
      <c r="R1842" s="1" t="str">
        <f t="shared" si="56"/>
        <v/>
      </c>
      <c r="S1842" s="1" t="str">
        <f t="shared" si="57"/>
        <v/>
      </c>
      <c r="T1842" s="1">
        <f>IF($E1842="",0,SUMPRODUCT((AY_SONU!$O$7:$O$42="Evet")*(AY_SONU!$B$7:$B$42=DATE(YEAR($E1842),MONTH($E1842),1))))</f>
        <v>0</v>
      </c>
      <c r="U1842" s="1" t="str">
        <f>IF(OR($G1842="",$H1842="Mahsup"),"",$G1842&amp;"|"&amp;COUNTIFS($G$7:$G1842,$G1842,$H$7:$H1842,"&lt;&gt;Mahsup"))</f>
        <v/>
      </c>
    </row>
    <row r="1843" spans="1:21" ht="18" customHeight="1" x14ac:dyDescent="0.3">
      <c r="A1843" s="2"/>
      <c r="B1843" s="65" t="str">
        <f>IF($D1843="","","T"&amp;TEXT(ROW()-6,"00000"))</f>
        <v/>
      </c>
      <c r="C1843" s="65" t="str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61"/>
      <c r="E1843" s="66"/>
      <c r="F1843" s="67"/>
      <c r="G1843" s="60"/>
      <c r="H1843" s="60"/>
      <c r="I1843" s="61"/>
      <c r="J1843" s="61"/>
      <c r="K1843" s="61"/>
      <c r="L1843" s="73" t="str">
        <f>IF($E1843="","",DATE(YEAR($E1843),MONTH($E1843),1))</f>
        <v/>
      </c>
      <c r="M1843" s="65" t="str">
        <f ca="1">IF($D1843="","",IF($C1843="TANIMSIZ MÜŞTERİ","HATA",IF(OR($E1843="",$F1843&lt;=0,$G1843=""),"EKSİK",IF($E1843&gt;TODAY(),"İLERİ TARİH",IF(COUNTIF($S$7:$S$2503,$S1843)&gt;1,"MÜKERRER?",IF($T1843&gt;0,"KAPALI DÖNEM","UYGUN"))))))</f>
        <v/>
      </c>
      <c r="N1843" s="74" t="str">
        <f>IF($C1843="","",IF($C1843="TANIMSIZ MÜŞTERİ","—",INDEX(MUSTERILER!$C$7:$C$156,MATCH($C1843,MUSTERILER!$B$7:$B$156,0))))</f>
        <v/>
      </c>
      <c r="O1843" s="2"/>
      <c r="P1843" s="2"/>
      <c r="Q1843" s="1" t="str">
        <f>IF($D1843="","",$C1843&amp;"|"&amp;COUNTIFS($C$7:$C1843,$C1843))</f>
        <v/>
      </c>
      <c r="R1843" s="1" t="str">
        <f t="shared" si="56"/>
        <v/>
      </c>
      <c r="S1843" s="1" t="str">
        <f t="shared" si="57"/>
        <v/>
      </c>
      <c r="T1843" s="1">
        <f>IF($E1843="",0,SUMPRODUCT((AY_SONU!$O$7:$O$42="Evet")*(AY_SONU!$B$7:$B$42=DATE(YEAR($E1843),MONTH($E1843),1))))</f>
        <v>0</v>
      </c>
      <c r="U1843" s="1" t="str">
        <f>IF(OR($G1843="",$H1843="Mahsup"),"",$G1843&amp;"|"&amp;COUNTIFS($G$7:$G1843,$G1843,$H$7:$H1843,"&lt;&gt;Mahsup"))</f>
        <v/>
      </c>
    </row>
    <row r="1844" spans="1:21" ht="18" customHeight="1" x14ac:dyDescent="0.3">
      <c r="A1844" s="2"/>
      <c r="B1844" s="65" t="str">
        <f>IF($D1844="","","T"&amp;TEXT(ROW()-6,"00000"))</f>
        <v/>
      </c>
      <c r="C1844" s="65" t="str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61"/>
      <c r="E1844" s="66"/>
      <c r="F1844" s="67"/>
      <c r="G1844" s="60"/>
      <c r="H1844" s="60"/>
      <c r="I1844" s="61"/>
      <c r="J1844" s="61"/>
      <c r="K1844" s="61"/>
      <c r="L1844" s="73" t="str">
        <f>IF($E1844="","",DATE(YEAR($E1844),MONTH($E1844),1))</f>
        <v/>
      </c>
      <c r="M1844" s="65" t="str">
        <f ca="1">IF($D1844="","",IF($C1844="TANIMSIZ MÜŞTERİ","HATA",IF(OR($E1844="",$F1844&lt;=0,$G1844=""),"EKSİK",IF($E1844&gt;TODAY(),"İLERİ TARİH",IF(COUNTIF($S$7:$S$2503,$S1844)&gt;1,"MÜKERRER?",IF($T1844&gt;0,"KAPALI DÖNEM","UYGUN"))))))</f>
        <v/>
      </c>
      <c r="N1844" s="74" t="str">
        <f>IF($C1844="","",IF($C1844="TANIMSIZ MÜŞTERİ","—",INDEX(MUSTERILER!$C$7:$C$156,MATCH($C1844,MUSTERILER!$B$7:$B$156,0))))</f>
        <v/>
      </c>
      <c r="O1844" s="2"/>
      <c r="P1844" s="2"/>
      <c r="Q1844" s="1" t="str">
        <f>IF($D1844="","",$C1844&amp;"|"&amp;COUNTIFS($C$7:$C1844,$C1844))</f>
        <v/>
      </c>
      <c r="R1844" s="1" t="str">
        <f t="shared" si="56"/>
        <v/>
      </c>
      <c r="S1844" s="1" t="str">
        <f t="shared" si="57"/>
        <v/>
      </c>
      <c r="T1844" s="1">
        <f>IF($E1844="",0,SUMPRODUCT((AY_SONU!$O$7:$O$42="Evet")*(AY_SONU!$B$7:$B$42=DATE(YEAR($E1844),MONTH($E1844),1))))</f>
        <v>0</v>
      </c>
      <c r="U1844" s="1" t="str">
        <f>IF(OR($G1844="",$H1844="Mahsup"),"",$G1844&amp;"|"&amp;COUNTIFS($G$7:$G1844,$G1844,$H$7:$H1844,"&lt;&gt;Mahsup"))</f>
        <v/>
      </c>
    </row>
    <row r="1845" spans="1:21" ht="18" customHeight="1" x14ac:dyDescent="0.3">
      <c r="A1845" s="2"/>
      <c r="B1845" s="65" t="str">
        <f>IF($D1845="","","T"&amp;TEXT(ROW()-6,"00000"))</f>
        <v/>
      </c>
      <c r="C1845" s="65" t="str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61"/>
      <c r="E1845" s="66"/>
      <c r="F1845" s="67"/>
      <c r="G1845" s="60"/>
      <c r="H1845" s="60"/>
      <c r="I1845" s="61"/>
      <c r="J1845" s="61"/>
      <c r="K1845" s="61"/>
      <c r="L1845" s="73" t="str">
        <f>IF($E1845="","",DATE(YEAR($E1845),MONTH($E1845),1))</f>
        <v/>
      </c>
      <c r="M1845" s="65" t="str">
        <f ca="1">IF($D1845="","",IF($C1845="TANIMSIZ MÜŞTERİ","HATA",IF(OR($E1845="",$F1845&lt;=0,$G1845=""),"EKSİK",IF($E1845&gt;TODAY(),"İLERİ TARİH",IF(COUNTIF($S$7:$S$2503,$S1845)&gt;1,"MÜKERRER?",IF($T1845&gt;0,"KAPALI DÖNEM","UYGUN"))))))</f>
        <v/>
      </c>
      <c r="N1845" s="74" t="str">
        <f>IF($C1845="","",IF($C1845="TANIMSIZ MÜŞTERİ","—",INDEX(MUSTERILER!$C$7:$C$156,MATCH($C1845,MUSTERILER!$B$7:$B$156,0))))</f>
        <v/>
      </c>
      <c r="O1845" s="2"/>
      <c r="P1845" s="2"/>
      <c r="Q1845" s="1" t="str">
        <f>IF($D1845="","",$C1845&amp;"|"&amp;COUNTIFS($C$7:$C1845,$C1845))</f>
        <v/>
      </c>
      <c r="R1845" s="1" t="str">
        <f t="shared" si="56"/>
        <v/>
      </c>
      <c r="S1845" s="1" t="str">
        <f t="shared" si="57"/>
        <v/>
      </c>
      <c r="T1845" s="1">
        <f>IF($E1845="",0,SUMPRODUCT((AY_SONU!$O$7:$O$42="Evet")*(AY_SONU!$B$7:$B$42=DATE(YEAR($E1845),MONTH($E1845),1))))</f>
        <v>0</v>
      </c>
      <c r="U1845" s="1" t="str">
        <f>IF(OR($G1845="",$H1845="Mahsup"),"",$G1845&amp;"|"&amp;COUNTIFS($G$7:$G1845,$G1845,$H$7:$H1845,"&lt;&gt;Mahsup"))</f>
        <v/>
      </c>
    </row>
    <row r="1846" spans="1:21" ht="18" customHeight="1" x14ac:dyDescent="0.3">
      <c r="A1846" s="2"/>
      <c r="B1846" s="65" t="str">
        <f>IF($D1846="","","T"&amp;TEXT(ROW()-6,"00000"))</f>
        <v/>
      </c>
      <c r="C1846" s="65" t="str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61"/>
      <c r="E1846" s="66"/>
      <c r="F1846" s="67"/>
      <c r="G1846" s="60"/>
      <c r="H1846" s="60"/>
      <c r="I1846" s="61"/>
      <c r="J1846" s="61"/>
      <c r="K1846" s="61"/>
      <c r="L1846" s="73" t="str">
        <f>IF($E1846="","",DATE(YEAR($E1846),MONTH($E1846),1))</f>
        <v/>
      </c>
      <c r="M1846" s="65" t="str">
        <f ca="1">IF($D1846="","",IF($C1846="TANIMSIZ MÜŞTERİ","HATA",IF(OR($E1846="",$F1846&lt;=0,$G1846=""),"EKSİK",IF($E1846&gt;TODAY(),"İLERİ TARİH",IF(COUNTIF($S$7:$S$2503,$S1846)&gt;1,"MÜKERRER?",IF($T1846&gt;0,"KAPALI DÖNEM","UYGUN"))))))</f>
        <v/>
      </c>
      <c r="N1846" s="74" t="str">
        <f>IF($C1846="","",IF($C1846="TANIMSIZ MÜŞTERİ","—",INDEX(MUSTERILER!$C$7:$C$156,MATCH($C1846,MUSTERILER!$B$7:$B$156,0))))</f>
        <v/>
      </c>
      <c r="O1846" s="2"/>
      <c r="P1846" s="2"/>
      <c r="Q1846" s="1" t="str">
        <f>IF($D1846="","",$C1846&amp;"|"&amp;COUNTIFS($C$7:$C1846,$C1846))</f>
        <v/>
      </c>
      <c r="R1846" s="1" t="str">
        <f t="shared" si="56"/>
        <v/>
      </c>
      <c r="S1846" s="1" t="str">
        <f t="shared" si="57"/>
        <v/>
      </c>
      <c r="T1846" s="1">
        <f>IF($E1846="",0,SUMPRODUCT((AY_SONU!$O$7:$O$42="Evet")*(AY_SONU!$B$7:$B$42=DATE(YEAR($E1846),MONTH($E1846),1))))</f>
        <v>0</v>
      </c>
      <c r="U1846" s="1" t="str">
        <f>IF(OR($G1846="",$H1846="Mahsup"),"",$G1846&amp;"|"&amp;COUNTIFS($G$7:$G1846,$G1846,$H$7:$H1846,"&lt;&gt;Mahsup"))</f>
        <v/>
      </c>
    </row>
    <row r="1847" spans="1:21" ht="18" customHeight="1" x14ac:dyDescent="0.3">
      <c r="A1847" s="2"/>
      <c r="B1847" s="65" t="str">
        <f>IF($D1847="","","T"&amp;TEXT(ROW()-6,"00000"))</f>
        <v/>
      </c>
      <c r="C1847" s="65" t="str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61"/>
      <c r="E1847" s="66"/>
      <c r="F1847" s="67"/>
      <c r="G1847" s="60"/>
      <c r="H1847" s="60"/>
      <c r="I1847" s="61"/>
      <c r="J1847" s="61"/>
      <c r="K1847" s="61"/>
      <c r="L1847" s="73" t="str">
        <f>IF($E1847="","",DATE(YEAR($E1847),MONTH($E1847),1))</f>
        <v/>
      </c>
      <c r="M1847" s="65" t="str">
        <f ca="1">IF($D1847="","",IF($C1847="TANIMSIZ MÜŞTERİ","HATA",IF(OR($E1847="",$F1847&lt;=0,$G1847=""),"EKSİK",IF($E1847&gt;TODAY(),"İLERİ TARİH",IF(COUNTIF($S$7:$S$2503,$S1847)&gt;1,"MÜKERRER?",IF($T1847&gt;0,"KAPALI DÖNEM","UYGUN"))))))</f>
        <v/>
      </c>
      <c r="N1847" s="74" t="str">
        <f>IF($C1847="","",IF($C1847="TANIMSIZ MÜŞTERİ","—",INDEX(MUSTERILER!$C$7:$C$156,MATCH($C1847,MUSTERILER!$B$7:$B$156,0))))</f>
        <v/>
      </c>
      <c r="O1847" s="2"/>
      <c r="P1847" s="2"/>
      <c r="Q1847" s="1" t="str">
        <f>IF($D1847="","",$C1847&amp;"|"&amp;COUNTIFS($C$7:$C1847,$C1847))</f>
        <v/>
      </c>
      <c r="R1847" s="1" t="str">
        <f t="shared" si="56"/>
        <v/>
      </c>
      <c r="S1847" s="1" t="str">
        <f t="shared" si="57"/>
        <v/>
      </c>
      <c r="T1847" s="1">
        <f>IF($E1847="",0,SUMPRODUCT((AY_SONU!$O$7:$O$42="Evet")*(AY_SONU!$B$7:$B$42=DATE(YEAR($E1847),MONTH($E1847),1))))</f>
        <v>0</v>
      </c>
      <c r="U1847" s="1" t="str">
        <f>IF(OR($G1847="",$H1847="Mahsup"),"",$G1847&amp;"|"&amp;COUNTIFS($G$7:$G1847,$G1847,$H$7:$H1847,"&lt;&gt;Mahsup"))</f>
        <v/>
      </c>
    </row>
    <row r="1848" spans="1:21" ht="18" customHeight="1" x14ac:dyDescent="0.3">
      <c r="A1848" s="2"/>
      <c r="B1848" s="65" t="str">
        <f>IF($D1848="","","T"&amp;TEXT(ROW()-6,"00000"))</f>
        <v/>
      </c>
      <c r="C1848" s="65" t="str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61"/>
      <c r="E1848" s="66"/>
      <c r="F1848" s="67"/>
      <c r="G1848" s="60"/>
      <c r="H1848" s="60"/>
      <c r="I1848" s="61"/>
      <c r="J1848" s="61"/>
      <c r="K1848" s="61"/>
      <c r="L1848" s="73" t="str">
        <f>IF($E1848="","",DATE(YEAR($E1848),MONTH($E1848),1))</f>
        <v/>
      </c>
      <c r="M1848" s="65" t="str">
        <f ca="1">IF($D1848="","",IF($C1848="TANIMSIZ MÜŞTERİ","HATA",IF(OR($E1848="",$F1848&lt;=0,$G1848=""),"EKSİK",IF($E1848&gt;TODAY(),"İLERİ TARİH",IF(COUNTIF($S$7:$S$2503,$S1848)&gt;1,"MÜKERRER?",IF($T1848&gt;0,"KAPALI DÖNEM","UYGUN"))))))</f>
        <v/>
      </c>
      <c r="N1848" s="74" t="str">
        <f>IF($C1848="","",IF($C1848="TANIMSIZ MÜŞTERİ","—",INDEX(MUSTERILER!$C$7:$C$156,MATCH($C1848,MUSTERILER!$B$7:$B$156,0))))</f>
        <v/>
      </c>
      <c r="O1848" s="2"/>
      <c r="P1848" s="2"/>
      <c r="Q1848" s="1" t="str">
        <f>IF($D1848="","",$C1848&amp;"|"&amp;COUNTIFS($C$7:$C1848,$C1848))</f>
        <v/>
      </c>
      <c r="R1848" s="1" t="str">
        <f t="shared" si="56"/>
        <v/>
      </c>
      <c r="S1848" s="1" t="str">
        <f t="shared" si="57"/>
        <v/>
      </c>
      <c r="T1848" s="1">
        <f>IF($E1848="",0,SUMPRODUCT((AY_SONU!$O$7:$O$42="Evet")*(AY_SONU!$B$7:$B$42=DATE(YEAR($E1848),MONTH($E1848),1))))</f>
        <v>0</v>
      </c>
      <c r="U1848" s="1" t="str">
        <f>IF(OR($G1848="",$H1848="Mahsup"),"",$G1848&amp;"|"&amp;COUNTIFS($G$7:$G1848,$G1848,$H$7:$H1848,"&lt;&gt;Mahsup"))</f>
        <v/>
      </c>
    </row>
    <row r="1849" spans="1:21" ht="18" customHeight="1" x14ac:dyDescent="0.3">
      <c r="A1849" s="2"/>
      <c r="B1849" s="65" t="str">
        <f>IF($D1849="","","T"&amp;TEXT(ROW()-6,"00000"))</f>
        <v/>
      </c>
      <c r="C1849" s="65" t="str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61"/>
      <c r="E1849" s="66"/>
      <c r="F1849" s="67"/>
      <c r="G1849" s="60"/>
      <c r="H1849" s="60"/>
      <c r="I1849" s="61"/>
      <c r="J1849" s="61"/>
      <c r="K1849" s="61"/>
      <c r="L1849" s="73" t="str">
        <f>IF($E1849="","",DATE(YEAR($E1849),MONTH($E1849),1))</f>
        <v/>
      </c>
      <c r="M1849" s="65" t="str">
        <f ca="1">IF($D1849="","",IF($C1849="TANIMSIZ MÜŞTERİ","HATA",IF(OR($E1849="",$F1849&lt;=0,$G1849=""),"EKSİK",IF($E1849&gt;TODAY(),"İLERİ TARİH",IF(COUNTIF($S$7:$S$2503,$S1849)&gt;1,"MÜKERRER?",IF($T1849&gt;0,"KAPALI DÖNEM","UYGUN"))))))</f>
        <v/>
      </c>
      <c r="N1849" s="74" t="str">
        <f>IF($C1849="","",IF($C1849="TANIMSIZ MÜŞTERİ","—",INDEX(MUSTERILER!$C$7:$C$156,MATCH($C1849,MUSTERILER!$B$7:$B$156,0))))</f>
        <v/>
      </c>
      <c r="O1849" s="2"/>
      <c r="P1849" s="2"/>
      <c r="Q1849" s="1" t="str">
        <f>IF($D1849="","",$C1849&amp;"|"&amp;COUNTIFS($C$7:$C1849,$C1849))</f>
        <v/>
      </c>
      <c r="R1849" s="1" t="str">
        <f t="shared" si="56"/>
        <v/>
      </c>
      <c r="S1849" s="1" t="str">
        <f t="shared" si="57"/>
        <v/>
      </c>
      <c r="T1849" s="1">
        <f>IF($E1849="",0,SUMPRODUCT((AY_SONU!$O$7:$O$42="Evet")*(AY_SONU!$B$7:$B$42=DATE(YEAR($E1849),MONTH($E1849),1))))</f>
        <v>0</v>
      </c>
      <c r="U1849" s="1" t="str">
        <f>IF(OR($G1849="",$H1849="Mahsup"),"",$G1849&amp;"|"&amp;COUNTIFS($G$7:$G1849,$G1849,$H$7:$H1849,"&lt;&gt;Mahsup"))</f>
        <v/>
      </c>
    </row>
    <row r="1850" spans="1:21" ht="18" customHeight="1" x14ac:dyDescent="0.3">
      <c r="A1850" s="2"/>
      <c r="B1850" s="65" t="str">
        <f>IF($D1850="","","T"&amp;TEXT(ROW()-6,"00000"))</f>
        <v/>
      </c>
      <c r="C1850" s="65" t="str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61"/>
      <c r="E1850" s="66"/>
      <c r="F1850" s="67"/>
      <c r="G1850" s="60"/>
      <c r="H1850" s="60"/>
      <c r="I1850" s="61"/>
      <c r="J1850" s="61"/>
      <c r="K1850" s="61"/>
      <c r="L1850" s="73" t="str">
        <f>IF($E1850="","",DATE(YEAR($E1850),MONTH($E1850),1))</f>
        <v/>
      </c>
      <c r="M1850" s="65" t="str">
        <f ca="1">IF($D1850="","",IF($C1850="TANIMSIZ MÜŞTERİ","HATA",IF(OR($E1850="",$F1850&lt;=0,$G1850=""),"EKSİK",IF($E1850&gt;TODAY(),"İLERİ TARİH",IF(COUNTIF($S$7:$S$2503,$S1850)&gt;1,"MÜKERRER?",IF($T1850&gt;0,"KAPALI DÖNEM","UYGUN"))))))</f>
        <v/>
      </c>
      <c r="N1850" s="74" t="str">
        <f>IF($C1850="","",IF($C1850="TANIMSIZ MÜŞTERİ","—",INDEX(MUSTERILER!$C$7:$C$156,MATCH($C1850,MUSTERILER!$B$7:$B$156,0))))</f>
        <v/>
      </c>
      <c r="O1850" s="2"/>
      <c r="P1850" s="2"/>
      <c r="Q1850" s="1" t="str">
        <f>IF($D1850="","",$C1850&amp;"|"&amp;COUNTIFS($C$7:$C1850,$C1850))</f>
        <v/>
      </c>
      <c r="R1850" s="1" t="str">
        <f t="shared" si="56"/>
        <v/>
      </c>
      <c r="S1850" s="1" t="str">
        <f t="shared" si="57"/>
        <v/>
      </c>
      <c r="T1850" s="1">
        <f>IF($E1850="",0,SUMPRODUCT((AY_SONU!$O$7:$O$42="Evet")*(AY_SONU!$B$7:$B$42=DATE(YEAR($E1850),MONTH($E1850),1))))</f>
        <v>0</v>
      </c>
      <c r="U1850" s="1" t="str">
        <f>IF(OR($G1850="",$H1850="Mahsup"),"",$G1850&amp;"|"&amp;COUNTIFS($G$7:$G1850,$G1850,$H$7:$H1850,"&lt;&gt;Mahsup"))</f>
        <v/>
      </c>
    </row>
    <row r="1851" spans="1:21" ht="18" customHeight="1" x14ac:dyDescent="0.3">
      <c r="A1851" s="2"/>
      <c r="B1851" s="65" t="str">
        <f>IF($D1851="","","T"&amp;TEXT(ROW()-6,"00000"))</f>
        <v/>
      </c>
      <c r="C1851" s="65" t="str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61"/>
      <c r="E1851" s="66"/>
      <c r="F1851" s="67"/>
      <c r="G1851" s="60"/>
      <c r="H1851" s="60"/>
      <c r="I1851" s="61"/>
      <c r="J1851" s="61"/>
      <c r="K1851" s="61"/>
      <c r="L1851" s="73" t="str">
        <f>IF($E1851="","",DATE(YEAR($E1851),MONTH($E1851),1))</f>
        <v/>
      </c>
      <c r="M1851" s="65" t="str">
        <f ca="1">IF($D1851="","",IF($C1851="TANIMSIZ MÜŞTERİ","HATA",IF(OR($E1851="",$F1851&lt;=0,$G1851=""),"EKSİK",IF($E1851&gt;TODAY(),"İLERİ TARİH",IF(COUNTIF($S$7:$S$2503,$S1851)&gt;1,"MÜKERRER?",IF($T1851&gt;0,"KAPALI DÖNEM","UYGUN"))))))</f>
        <v/>
      </c>
      <c r="N1851" s="74" t="str">
        <f>IF($C1851="","",IF($C1851="TANIMSIZ MÜŞTERİ","—",INDEX(MUSTERILER!$C$7:$C$156,MATCH($C1851,MUSTERILER!$B$7:$B$156,0))))</f>
        <v/>
      </c>
      <c r="O1851" s="2"/>
      <c r="P1851" s="2"/>
      <c r="Q1851" s="1" t="str">
        <f>IF($D1851="","",$C1851&amp;"|"&amp;COUNTIFS($C$7:$C1851,$C1851))</f>
        <v/>
      </c>
      <c r="R1851" s="1" t="str">
        <f t="shared" si="56"/>
        <v/>
      </c>
      <c r="S1851" s="1" t="str">
        <f t="shared" si="57"/>
        <v/>
      </c>
      <c r="T1851" s="1">
        <f>IF($E1851="",0,SUMPRODUCT((AY_SONU!$O$7:$O$42="Evet")*(AY_SONU!$B$7:$B$42=DATE(YEAR($E1851),MONTH($E1851),1))))</f>
        <v>0</v>
      </c>
      <c r="U1851" s="1" t="str">
        <f>IF(OR($G1851="",$H1851="Mahsup"),"",$G1851&amp;"|"&amp;COUNTIFS($G$7:$G1851,$G1851,$H$7:$H1851,"&lt;&gt;Mahsup"))</f>
        <v/>
      </c>
    </row>
    <row r="1852" spans="1:21" ht="18" customHeight="1" x14ac:dyDescent="0.3">
      <c r="A1852" s="2"/>
      <c r="B1852" s="65" t="str">
        <f>IF($D1852="","","T"&amp;TEXT(ROW()-6,"00000"))</f>
        <v/>
      </c>
      <c r="C1852" s="65" t="str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61"/>
      <c r="E1852" s="66"/>
      <c r="F1852" s="67"/>
      <c r="G1852" s="60"/>
      <c r="H1852" s="60"/>
      <c r="I1852" s="61"/>
      <c r="J1852" s="61"/>
      <c r="K1852" s="61"/>
      <c r="L1852" s="73" t="str">
        <f>IF($E1852="","",DATE(YEAR($E1852),MONTH($E1852),1))</f>
        <v/>
      </c>
      <c r="M1852" s="65" t="str">
        <f ca="1">IF($D1852="","",IF($C1852="TANIMSIZ MÜŞTERİ","HATA",IF(OR($E1852="",$F1852&lt;=0,$G1852=""),"EKSİK",IF($E1852&gt;TODAY(),"İLERİ TARİH",IF(COUNTIF($S$7:$S$2503,$S1852)&gt;1,"MÜKERRER?",IF($T1852&gt;0,"KAPALI DÖNEM","UYGUN"))))))</f>
        <v/>
      </c>
      <c r="N1852" s="74" t="str">
        <f>IF($C1852="","",IF($C1852="TANIMSIZ MÜŞTERİ","—",INDEX(MUSTERILER!$C$7:$C$156,MATCH($C1852,MUSTERILER!$B$7:$B$156,0))))</f>
        <v/>
      </c>
      <c r="O1852" s="2"/>
      <c r="P1852" s="2"/>
      <c r="Q1852" s="1" t="str">
        <f>IF($D1852="","",$C1852&amp;"|"&amp;COUNTIFS($C$7:$C1852,$C1852))</f>
        <v/>
      </c>
      <c r="R1852" s="1" t="str">
        <f t="shared" si="56"/>
        <v/>
      </c>
      <c r="S1852" s="1" t="str">
        <f t="shared" si="57"/>
        <v/>
      </c>
      <c r="T1852" s="1">
        <f>IF($E1852="",0,SUMPRODUCT((AY_SONU!$O$7:$O$42="Evet")*(AY_SONU!$B$7:$B$42=DATE(YEAR($E1852),MONTH($E1852),1))))</f>
        <v>0</v>
      </c>
      <c r="U1852" s="1" t="str">
        <f>IF(OR($G1852="",$H1852="Mahsup"),"",$G1852&amp;"|"&amp;COUNTIFS($G$7:$G1852,$G1852,$H$7:$H1852,"&lt;&gt;Mahsup"))</f>
        <v/>
      </c>
    </row>
    <row r="1853" spans="1:21" ht="18" customHeight="1" x14ac:dyDescent="0.3">
      <c r="A1853" s="2"/>
      <c r="B1853" s="65" t="str">
        <f>IF($D1853="","","T"&amp;TEXT(ROW()-6,"00000"))</f>
        <v/>
      </c>
      <c r="C1853" s="65" t="str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61"/>
      <c r="E1853" s="66"/>
      <c r="F1853" s="67"/>
      <c r="G1853" s="60"/>
      <c r="H1853" s="60"/>
      <c r="I1853" s="61"/>
      <c r="J1853" s="61"/>
      <c r="K1853" s="61"/>
      <c r="L1853" s="73" t="str">
        <f>IF($E1853="","",DATE(YEAR($E1853),MONTH($E1853),1))</f>
        <v/>
      </c>
      <c r="M1853" s="65" t="str">
        <f ca="1">IF($D1853="","",IF($C1853="TANIMSIZ MÜŞTERİ","HATA",IF(OR($E1853="",$F1853&lt;=0,$G1853=""),"EKSİK",IF($E1853&gt;TODAY(),"İLERİ TARİH",IF(COUNTIF($S$7:$S$2503,$S1853)&gt;1,"MÜKERRER?",IF($T1853&gt;0,"KAPALI DÖNEM","UYGUN"))))))</f>
        <v/>
      </c>
      <c r="N1853" s="74" t="str">
        <f>IF($C1853="","",IF($C1853="TANIMSIZ MÜŞTERİ","—",INDEX(MUSTERILER!$C$7:$C$156,MATCH($C1853,MUSTERILER!$B$7:$B$156,0))))</f>
        <v/>
      </c>
      <c r="O1853" s="2"/>
      <c r="P1853" s="2"/>
      <c r="Q1853" s="1" t="str">
        <f>IF($D1853="","",$C1853&amp;"|"&amp;COUNTIFS($C$7:$C1853,$C1853))</f>
        <v/>
      </c>
      <c r="R1853" s="1" t="str">
        <f t="shared" si="56"/>
        <v/>
      </c>
      <c r="S1853" s="1" t="str">
        <f t="shared" si="57"/>
        <v/>
      </c>
      <c r="T1853" s="1">
        <f>IF($E1853="",0,SUMPRODUCT((AY_SONU!$O$7:$O$42="Evet")*(AY_SONU!$B$7:$B$42=DATE(YEAR($E1853),MONTH($E1853),1))))</f>
        <v>0</v>
      </c>
      <c r="U1853" s="1" t="str">
        <f>IF(OR($G1853="",$H1853="Mahsup"),"",$G1853&amp;"|"&amp;COUNTIFS($G$7:$G1853,$G1853,$H$7:$H1853,"&lt;&gt;Mahsup"))</f>
        <v/>
      </c>
    </row>
    <row r="1854" spans="1:21" ht="18" customHeight="1" x14ac:dyDescent="0.3">
      <c r="A1854" s="2"/>
      <c r="B1854" s="65" t="str">
        <f>IF($D1854="","","T"&amp;TEXT(ROW()-6,"00000"))</f>
        <v/>
      </c>
      <c r="C1854" s="65" t="str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61"/>
      <c r="E1854" s="66"/>
      <c r="F1854" s="67"/>
      <c r="G1854" s="60"/>
      <c r="H1854" s="60"/>
      <c r="I1854" s="61"/>
      <c r="J1854" s="61"/>
      <c r="K1854" s="61"/>
      <c r="L1854" s="73" t="str">
        <f>IF($E1854="","",DATE(YEAR($E1854),MONTH($E1854),1))</f>
        <v/>
      </c>
      <c r="M1854" s="65" t="str">
        <f ca="1">IF($D1854="","",IF($C1854="TANIMSIZ MÜŞTERİ","HATA",IF(OR($E1854="",$F1854&lt;=0,$G1854=""),"EKSİK",IF($E1854&gt;TODAY(),"İLERİ TARİH",IF(COUNTIF($S$7:$S$2503,$S1854)&gt;1,"MÜKERRER?",IF($T1854&gt;0,"KAPALI DÖNEM","UYGUN"))))))</f>
        <v/>
      </c>
      <c r="N1854" s="74" t="str">
        <f>IF($C1854="","",IF($C1854="TANIMSIZ MÜŞTERİ","—",INDEX(MUSTERILER!$C$7:$C$156,MATCH($C1854,MUSTERILER!$B$7:$B$156,0))))</f>
        <v/>
      </c>
      <c r="O1854" s="2"/>
      <c r="P1854" s="2"/>
      <c r="Q1854" s="1" t="str">
        <f>IF($D1854="","",$C1854&amp;"|"&amp;COUNTIFS($C$7:$C1854,$C1854))</f>
        <v/>
      </c>
      <c r="R1854" s="1" t="str">
        <f t="shared" si="56"/>
        <v/>
      </c>
      <c r="S1854" s="1" t="str">
        <f t="shared" si="57"/>
        <v/>
      </c>
      <c r="T1854" s="1">
        <f>IF($E1854="",0,SUMPRODUCT((AY_SONU!$O$7:$O$42="Evet")*(AY_SONU!$B$7:$B$42=DATE(YEAR($E1854),MONTH($E1854),1))))</f>
        <v>0</v>
      </c>
      <c r="U1854" s="1" t="str">
        <f>IF(OR($G1854="",$H1854="Mahsup"),"",$G1854&amp;"|"&amp;COUNTIFS($G$7:$G1854,$G1854,$H$7:$H1854,"&lt;&gt;Mahsup"))</f>
        <v/>
      </c>
    </row>
    <row r="1855" spans="1:21" ht="18" customHeight="1" x14ac:dyDescent="0.3">
      <c r="A1855" s="2"/>
      <c r="B1855" s="65" t="str">
        <f>IF($D1855="","","T"&amp;TEXT(ROW()-6,"00000"))</f>
        <v/>
      </c>
      <c r="C1855" s="65" t="str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61"/>
      <c r="E1855" s="66"/>
      <c r="F1855" s="67"/>
      <c r="G1855" s="60"/>
      <c r="H1855" s="60"/>
      <c r="I1855" s="61"/>
      <c r="J1855" s="61"/>
      <c r="K1855" s="61"/>
      <c r="L1855" s="73" t="str">
        <f>IF($E1855="","",DATE(YEAR($E1855),MONTH($E1855),1))</f>
        <v/>
      </c>
      <c r="M1855" s="65" t="str">
        <f ca="1">IF($D1855="","",IF($C1855="TANIMSIZ MÜŞTERİ","HATA",IF(OR($E1855="",$F1855&lt;=0,$G1855=""),"EKSİK",IF($E1855&gt;TODAY(),"İLERİ TARİH",IF(COUNTIF($S$7:$S$2503,$S1855)&gt;1,"MÜKERRER?",IF($T1855&gt;0,"KAPALI DÖNEM","UYGUN"))))))</f>
        <v/>
      </c>
      <c r="N1855" s="74" t="str">
        <f>IF($C1855="","",IF($C1855="TANIMSIZ MÜŞTERİ","—",INDEX(MUSTERILER!$C$7:$C$156,MATCH($C1855,MUSTERILER!$B$7:$B$156,0))))</f>
        <v/>
      </c>
      <c r="O1855" s="2"/>
      <c r="P1855" s="2"/>
      <c r="Q1855" s="1" t="str">
        <f>IF($D1855="","",$C1855&amp;"|"&amp;COUNTIFS($C$7:$C1855,$C1855))</f>
        <v/>
      </c>
      <c r="R1855" s="1" t="str">
        <f t="shared" si="56"/>
        <v/>
      </c>
      <c r="S1855" s="1" t="str">
        <f t="shared" si="57"/>
        <v/>
      </c>
      <c r="T1855" s="1">
        <f>IF($E1855="",0,SUMPRODUCT((AY_SONU!$O$7:$O$42="Evet")*(AY_SONU!$B$7:$B$42=DATE(YEAR($E1855),MONTH($E1855),1))))</f>
        <v>0</v>
      </c>
      <c r="U1855" s="1" t="str">
        <f>IF(OR($G1855="",$H1855="Mahsup"),"",$G1855&amp;"|"&amp;COUNTIFS($G$7:$G1855,$G1855,$H$7:$H1855,"&lt;&gt;Mahsup"))</f>
        <v/>
      </c>
    </row>
    <row r="1856" spans="1:21" ht="18" customHeight="1" x14ac:dyDescent="0.3">
      <c r="A1856" s="2"/>
      <c r="B1856" s="65" t="str">
        <f>IF($D1856="","","T"&amp;TEXT(ROW()-6,"00000"))</f>
        <v/>
      </c>
      <c r="C1856" s="65" t="str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61"/>
      <c r="E1856" s="66"/>
      <c r="F1856" s="67"/>
      <c r="G1856" s="60"/>
      <c r="H1856" s="60"/>
      <c r="I1856" s="61"/>
      <c r="J1856" s="61"/>
      <c r="K1856" s="61"/>
      <c r="L1856" s="73" t="str">
        <f>IF($E1856="","",DATE(YEAR($E1856),MONTH($E1856),1))</f>
        <v/>
      </c>
      <c r="M1856" s="65" t="str">
        <f ca="1">IF($D1856="","",IF($C1856="TANIMSIZ MÜŞTERİ","HATA",IF(OR($E1856="",$F1856&lt;=0,$G1856=""),"EKSİK",IF($E1856&gt;TODAY(),"İLERİ TARİH",IF(COUNTIF($S$7:$S$2503,$S1856)&gt;1,"MÜKERRER?",IF($T1856&gt;0,"KAPALI DÖNEM","UYGUN"))))))</f>
        <v/>
      </c>
      <c r="N1856" s="74" t="str">
        <f>IF($C1856="","",IF($C1856="TANIMSIZ MÜŞTERİ","—",INDEX(MUSTERILER!$C$7:$C$156,MATCH($C1856,MUSTERILER!$B$7:$B$156,0))))</f>
        <v/>
      </c>
      <c r="O1856" s="2"/>
      <c r="P1856" s="2"/>
      <c r="Q1856" s="1" t="str">
        <f>IF($D1856="","",$C1856&amp;"|"&amp;COUNTIFS($C$7:$C1856,$C1856))</f>
        <v/>
      </c>
      <c r="R1856" s="1" t="str">
        <f t="shared" si="56"/>
        <v/>
      </c>
      <c r="S1856" s="1" t="str">
        <f t="shared" si="57"/>
        <v/>
      </c>
      <c r="T1856" s="1">
        <f>IF($E1856="",0,SUMPRODUCT((AY_SONU!$O$7:$O$42="Evet")*(AY_SONU!$B$7:$B$42=DATE(YEAR($E1856),MONTH($E1856),1))))</f>
        <v>0</v>
      </c>
      <c r="U1856" s="1" t="str">
        <f>IF(OR($G1856="",$H1856="Mahsup"),"",$G1856&amp;"|"&amp;COUNTIFS($G$7:$G1856,$G1856,$H$7:$H1856,"&lt;&gt;Mahsup"))</f>
        <v/>
      </c>
    </row>
    <row r="1857" spans="1:21" ht="18" customHeight="1" x14ac:dyDescent="0.3">
      <c r="A1857" s="2"/>
      <c r="B1857" s="65" t="str">
        <f>IF($D1857="","","T"&amp;TEXT(ROW()-6,"00000"))</f>
        <v/>
      </c>
      <c r="C1857" s="65" t="str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61"/>
      <c r="E1857" s="66"/>
      <c r="F1857" s="67"/>
      <c r="G1857" s="60"/>
      <c r="H1857" s="60"/>
      <c r="I1857" s="61"/>
      <c r="J1857" s="61"/>
      <c r="K1857" s="61"/>
      <c r="L1857" s="73" t="str">
        <f>IF($E1857="","",DATE(YEAR($E1857),MONTH($E1857),1))</f>
        <v/>
      </c>
      <c r="M1857" s="65" t="str">
        <f ca="1">IF($D1857="","",IF($C1857="TANIMSIZ MÜŞTERİ","HATA",IF(OR($E1857="",$F1857&lt;=0,$G1857=""),"EKSİK",IF($E1857&gt;TODAY(),"İLERİ TARİH",IF(COUNTIF($S$7:$S$2503,$S1857)&gt;1,"MÜKERRER?",IF($T1857&gt;0,"KAPALI DÖNEM","UYGUN"))))))</f>
        <v/>
      </c>
      <c r="N1857" s="74" t="str">
        <f>IF($C1857="","",IF($C1857="TANIMSIZ MÜŞTERİ","—",INDEX(MUSTERILER!$C$7:$C$156,MATCH($C1857,MUSTERILER!$B$7:$B$156,0))))</f>
        <v/>
      </c>
      <c r="O1857" s="2"/>
      <c r="P1857" s="2"/>
      <c r="Q1857" s="1" t="str">
        <f>IF($D1857="","",$C1857&amp;"|"&amp;COUNTIFS($C$7:$C1857,$C1857))</f>
        <v/>
      </c>
      <c r="R1857" s="1" t="str">
        <f t="shared" si="56"/>
        <v/>
      </c>
      <c r="S1857" s="1" t="str">
        <f t="shared" si="57"/>
        <v/>
      </c>
      <c r="T1857" s="1">
        <f>IF($E1857="",0,SUMPRODUCT((AY_SONU!$O$7:$O$42="Evet")*(AY_SONU!$B$7:$B$42=DATE(YEAR($E1857),MONTH($E1857),1))))</f>
        <v>0</v>
      </c>
      <c r="U1857" s="1" t="str">
        <f>IF(OR($G1857="",$H1857="Mahsup"),"",$G1857&amp;"|"&amp;COUNTIFS($G$7:$G1857,$G1857,$H$7:$H1857,"&lt;&gt;Mahsup"))</f>
        <v/>
      </c>
    </row>
    <row r="1858" spans="1:21" ht="18" customHeight="1" x14ac:dyDescent="0.3">
      <c r="A1858" s="2"/>
      <c r="B1858" s="65" t="str">
        <f>IF($D1858="","","T"&amp;TEXT(ROW()-6,"00000"))</f>
        <v/>
      </c>
      <c r="C1858" s="65" t="str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61"/>
      <c r="E1858" s="66"/>
      <c r="F1858" s="67"/>
      <c r="G1858" s="60"/>
      <c r="H1858" s="60"/>
      <c r="I1858" s="61"/>
      <c r="J1858" s="61"/>
      <c r="K1858" s="61"/>
      <c r="L1858" s="73" t="str">
        <f>IF($E1858="","",DATE(YEAR($E1858),MONTH($E1858),1))</f>
        <v/>
      </c>
      <c r="M1858" s="65" t="str">
        <f ca="1">IF($D1858="","",IF($C1858="TANIMSIZ MÜŞTERİ","HATA",IF(OR($E1858="",$F1858&lt;=0,$G1858=""),"EKSİK",IF($E1858&gt;TODAY(),"İLERİ TARİH",IF(COUNTIF($S$7:$S$2503,$S1858)&gt;1,"MÜKERRER?",IF($T1858&gt;0,"KAPALI DÖNEM","UYGUN"))))))</f>
        <v/>
      </c>
      <c r="N1858" s="74" t="str">
        <f>IF($C1858="","",IF($C1858="TANIMSIZ MÜŞTERİ","—",INDEX(MUSTERILER!$C$7:$C$156,MATCH($C1858,MUSTERILER!$B$7:$B$156,0))))</f>
        <v/>
      </c>
      <c r="O1858" s="2"/>
      <c r="P1858" s="2"/>
      <c r="Q1858" s="1" t="str">
        <f>IF($D1858="","",$C1858&amp;"|"&amp;COUNTIFS($C$7:$C1858,$C1858))</f>
        <v/>
      </c>
      <c r="R1858" s="1" t="str">
        <f t="shared" si="56"/>
        <v/>
      </c>
      <c r="S1858" s="1" t="str">
        <f t="shared" si="57"/>
        <v/>
      </c>
      <c r="T1858" s="1">
        <f>IF($E1858="",0,SUMPRODUCT((AY_SONU!$O$7:$O$42="Evet")*(AY_SONU!$B$7:$B$42=DATE(YEAR($E1858),MONTH($E1858),1))))</f>
        <v>0</v>
      </c>
      <c r="U1858" s="1" t="str">
        <f>IF(OR($G1858="",$H1858="Mahsup"),"",$G1858&amp;"|"&amp;COUNTIFS($G$7:$G1858,$G1858,$H$7:$H1858,"&lt;&gt;Mahsup"))</f>
        <v/>
      </c>
    </row>
    <row r="1859" spans="1:21" ht="18" customHeight="1" x14ac:dyDescent="0.3">
      <c r="A1859" s="2"/>
      <c r="B1859" s="65" t="str">
        <f>IF($D1859="","","T"&amp;TEXT(ROW()-6,"00000"))</f>
        <v/>
      </c>
      <c r="C1859" s="65" t="str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61"/>
      <c r="E1859" s="66"/>
      <c r="F1859" s="67"/>
      <c r="G1859" s="60"/>
      <c r="H1859" s="60"/>
      <c r="I1859" s="61"/>
      <c r="J1859" s="61"/>
      <c r="K1859" s="61"/>
      <c r="L1859" s="73" t="str">
        <f>IF($E1859="","",DATE(YEAR($E1859),MONTH($E1859),1))</f>
        <v/>
      </c>
      <c r="M1859" s="65" t="str">
        <f ca="1">IF($D1859="","",IF($C1859="TANIMSIZ MÜŞTERİ","HATA",IF(OR($E1859="",$F1859&lt;=0,$G1859=""),"EKSİK",IF($E1859&gt;TODAY(),"İLERİ TARİH",IF(COUNTIF($S$7:$S$2503,$S1859)&gt;1,"MÜKERRER?",IF($T1859&gt;0,"KAPALI DÖNEM","UYGUN"))))))</f>
        <v/>
      </c>
      <c r="N1859" s="74" t="str">
        <f>IF($C1859="","",IF($C1859="TANIMSIZ MÜŞTERİ","—",INDEX(MUSTERILER!$C$7:$C$156,MATCH($C1859,MUSTERILER!$B$7:$B$156,0))))</f>
        <v/>
      </c>
      <c r="O1859" s="2"/>
      <c r="P1859" s="2"/>
      <c r="Q1859" s="1" t="str">
        <f>IF($D1859="","",$C1859&amp;"|"&amp;COUNTIFS($C$7:$C1859,$C1859))</f>
        <v/>
      </c>
      <c r="R1859" s="1" t="str">
        <f t="shared" si="56"/>
        <v/>
      </c>
      <c r="S1859" s="1" t="str">
        <f t="shared" si="57"/>
        <v/>
      </c>
      <c r="T1859" s="1">
        <f>IF($E1859="",0,SUMPRODUCT((AY_SONU!$O$7:$O$42="Evet")*(AY_SONU!$B$7:$B$42=DATE(YEAR($E1859),MONTH($E1859),1))))</f>
        <v>0</v>
      </c>
      <c r="U1859" s="1" t="str">
        <f>IF(OR($G1859="",$H1859="Mahsup"),"",$G1859&amp;"|"&amp;COUNTIFS($G$7:$G1859,$G1859,$H$7:$H1859,"&lt;&gt;Mahsup"))</f>
        <v/>
      </c>
    </row>
    <row r="1860" spans="1:21" ht="18" customHeight="1" x14ac:dyDescent="0.3">
      <c r="A1860" s="2"/>
      <c r="B1860" s="65" t="str">
        <f>IF($D1860="","","T"&amp;TEXT(ROW()-6,"00000"))</f>
        <v/>
      </c>
      <c r="C1860" s="65" t="str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61"/>
      <c r="E1860" s="66"/>
      <c r="F1860" s="67"/>
      <c r="G1860" s="60"/>
      <c r="H1860" s="60"/>
      <c r="I1860" s="61"/>
      <c r="J1860" s="61"/>
      <c r="K1860" s="61"/>
      <c r="L1860" s="73" t="str">
        <f>IF($E1860="","",DATE(YEAR($E1860),MONTH($E1860),1))</f>
        <v/>
      </c>
      <c r="M1860" s="65" t="str">
        <f ca="1">IF($D1860="","",IF($C1860="TANIMSIZ MÜŞTERİ","HATA",IF(OR($E1860="",$F1860&lt;=0,$G1860=""),"EKSİK",IF($E1860&gt;TODAY(),"İLERİ TARİH",IF(COUNTIF($S$7:$S$2503,$S1860)&gt;1,"MÜKERRER?",IF($T1860&gt;0,"KAPALI DÖNEM","UYGUN"))))))</f>
        <v/>
      </c>
      <c r="N1860" s="74" t="str">
        <f>IF($C1860="","",IF($C1860="TANIMSIZ MÜŞTERİ","—",INDEX(MUSTERILER!$C$7:$C$156,MATCH($C1860,MUSTERILER!$B$7:$B$156,0))))</f>
        <v/>
      </c>
      <c r="O1860" s="2"/>
      <c r="P1860" s="2"/>
      <c r="Q1860" s="1" t="str">
        <f>IF($D1860="","",$C1860&amp;"|"&amp;COUNTIFS($C$7:$C1860,$C1860))</f>
        <v/>
      </c>
      <c r="R1860" s="1" t="str">
        <f t="shared" si="56"/>
        <v/>
      </c>
      <c r="S1860" s="1" t="str">
        <f t="shared" si="57"/>
        <v/>
      </c>
      <c r="T1860" s="1">
        <f>IF($E1860="",0,SUMPRODUCT((AY_SONU!$O$7:$O$42="Evet")*(AY_SONU!$B$7:$B$42=DATE(YEAR($E1860),MONTH($E1860),1))))</f>
        <v>0</v>
      </c>
      <c r="U1860" s="1" t="str">
        <f>IF(OR($G1860="",$H1860="Mahsup"),"",$G1860&amp;"|"&amp;COUNTIFS($G$7:$G1860,$G1860,$H$7:$H1860,"&lt;&gt;Mahsup"))</f>
        <v/>
      </c>
    </row>
    <row r="1861" spans="1:21" ht="18" customHeight="1" x14ac:dyDescent="0.3">
      <c r="A1861" s="2"/>
      <c r="B1861" s="65" t="str">
        <f>IF($D1861="","","T"&amp;TEXT(ROW()-6,"00000"))</f>
        <v/>
      </c>
      <c r="C1861" s="65" t="str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61"/>
      <c r="E1861" s="66"/>
      <c r="F1861" s="67"/>
      <c r="G1861" s="60"/>
      <c r="H1861" s="60"/>
      <c r="I1861" s="61"/>
      <c r="J1861" s="61"/>
      <c r="K1861" s="61"/>
      <c r="L1861" s="73" t="str">
        <f>IF($E1861="","",DATE(YEAR($E1861),MONTH($E1861),1))</f>
        <v/>
      </c>
      <c r="M1861" s="65" t="str">
        <f ca="1">IF($D1861="","",IF($C1861="TANIMSIZ MÜŞTERİ","HATA",IF(OR($E1861="",$F1861&lt;=0,$G1861=""),"EKSİK",IF($E1861&gt;TODAY(),"İLERİ TARİH",IF(COUNTIF($S$7:$S$2503,$S1861)&gt;1,"MÜKERRER?",IF($T1861&gt;0,"KAPALI DÖNEM","UYGUN"))))))</f>
        <v/>
      </c>
      <c r="N1861" s="74" t="str">
        <f>IF($C1861="","",IF($C1861="TANIMSIZ MÜŞTERİ","—",INDEX(MUSTERILER!$C$7:$C$156,MATCH($C1861,MUSTERILER!$B$7:$B$156,0))))</f>
        <v/>
      </c>
      <c r="O1861" s="2"/>
      <c r="P1861" s="2"/>
      <c r="Q1861" s="1" t="str">
        <f>IF($D1861="","",$C1861&amp;"|"&amp;COUNTIFS($C$7:$C1861,$C1861))</f>
        <v/>
      </c>
      <c r="R1861" s="1" t="str">
        <f t="shared" si="56"/>
        <v/>
      </c>
      <c r="S1861" s="1" t="str">
        <f t="shared" si="57"/>
        <v/>
      </c>
      <c r="T1861" s="1">
        <f>IF($E1861="",0,SUMPRODUCT((AY_SONU!$O$7:$O$42="Evet")*(AY_SONU!$B$7:$B$42=DATE(YEAR($E1861),MONTH($E1861),1))))</f>
        <v>0</v>
      </c>
      <c r="U1861" s="1" t="str">
        <f>IF(OR($G1861="",$H1861="Mahsup"),"",$G1861&amp;"|"&amp;COUNTIFS($G$7:$G1861,$G1861,$H$7:$H1861,"&lt;&gt;Mahsup"))</f>
        <v/>
      </c>
    </row>
    <row r="1862" spans="1:21" ht="18" customHeight="1" x14ac:dyDescent="0.3">
      <c r="A1862" s="2"/>
      <c r="B1862" s="65" t="str">
        <f>IF($D1862="","","T"&amp;TEXT(ROW()-6,"00000"))</f>
        <v/>
      </c>
      <c r="C1862" s="65" t="str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61"/>
      <c r="E1862" s="66"/>
      <c r="F1862" s="67"/>
      <c r="G1862" s="60"/>
      <c r="H1862" s="60"/>
      <c r="I1862" s="61"/>
      <c r="J1862" s="61"/>
      <c r="K1862" s="61"/>
      <c r="L1862" s="73" t="str">
        <f>IF($E1862="","",DATE(YEAR($E1862),MONTH($E1862),1))</f>
        <v/>
      </c>
      <c r="M1862" s="65" t="str">
        <f ca="1">IF($D1862="","",IF($C1862="TANIMSIZ MÜŞTERİ","HATA",IF(OR($E1862="",$F1862&lt;=0,$G1862=""),"EKSİK",IF($E1862&gt;TODAY(),"İLERİ TARİH",IF(COUNTIF($S$7:$S$2503,$S1862)&gt;1,"MÜKERRER?",IF($T1862&gt;0,"KAPALI DÖNEM","UYGUN"))))))</f>
        <v/>
      </c>
      <c r="N1862" s="74" t="str">
        <f>IF($C1862="","",IF($C1862="TANIMSIZ MÜŞTERİ","—",INDEX(MUSTERILER!$C$7:$C$156,MATCH($C1862,MUSTERILER!$B$7:$B$156,0))))</f>
        <v/>
      </c>
      <c r="O1862" s="2"/>
      <c r="P1862" s="2"/>
      <c r="Q1862" s="1" t="str">
        <f>IF($D1862="","",$C1862&amp;"|"&amp;COUNTIFS($C$7:$C1862,$C1862))</f>
        <v/>
      </c>
      <c r="R1862" s="1" t="str">
        <f t="shared" si="56"/>
        <v/>
      </c>
      <c r="S1862" s="1" t="str">
        <f t="shared" si="57"/>
        <v/>
      </c>
      <c r="T1862" s="1">
        <f>IF($E1862="",0,SUMPRODUCT((AY_SONU!$O$7:$O$42="Evet")*(AY_SONU!$B$7:$B$42=DATE(YEAR($E1862),MONTH($E1862),1))))</f>
        <v>0</v>
      </c>
      <c r="U1862" s="1" t="str">
        <f>IF(OR($G1862="",$H1862="Mahsup"),"",$G1862&amp;"|"&amp;COUNTIFS($G$7:$G1862,$G1862,$H$7:$H1862,"&lt;&gt;Mahsup"))</f>
        <v/>
      </c>
    </row>
    <row r="1863" spans="1:21" ht="18" customHeight="1" x14ac:dyDescent="0.3">
      <c r="A1863" s="2"/>
      <c r="B1863" s="65" t="str">
        <f>IF($D1863="","","T"&amp;TEXT(ROW()-6,"00000"))</f>
        <v/>
      </c>
      <c r="C1863" s="65" t="str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61"/>
      <c r="E1863" s="66"/>
      <c r="F1863" s="67"/>
      <c r="G1863" s="60"/>
      <c r="H1863" s="60"/>
      <c r="I1863" s="61"/>
      <c r="J1863" s="61"/>
      <c r="K1863" s="61"/>
      <c r="L1863" s="73" t="str">
        <f>IF($E1863="","",DATE(YEAR($E1863),MONTH($E1863),1))</f>
        <v/>
      </c>
      <c r="M1863" s="65" t="str">
        <f ca="1">IF($D1863="","",IF($C1863="TANIMSIZ MÜŞTERİ","HATA",IF(OR($E1863="",$F1863&lt;=0,$G1863=""),"EKSİK",IF($E1863&gt;TODAY(),"İLERİ TARİH",IF(COUNTIF($S$7:$S$2503,$S1863)&gt;1,"MÜKERRER?",IF($T1863&gt;0,"KAPALI DÖNEM","UYGUN"))))))</f>
        <v/>
      </c>
      <c r="N1863" s="74" t="str">
        <f>IF($C1863="","",IF($C1863="TANIMSIZ MÜŞTERİ","—",INDEX(MUSTERILER!$C$7:$C$156,MATCH($C1863,MUSTERILER!$B$7:$B$156,0))))</f>
        <v/>
      </c>
      <c r="O1863" s="2"/>
      <c r="P1863" s="2"/>
      <c r="Q1863" s="1" t="str">
        <f>IF($D1863="","",$C1863&amp;"|"&amp;COUNTIFS($C$7:$C1863,$C1863))</f>
        <v/>
      </c>
      <c r="R1863" s="1" t="str">
        <f t="shared" ref="R1863:R1926" si="58"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" t="str">
        <f t="shared" ref="S1863:S1926" si="59">IF($D1863="","",$C1863&amp;"|"&amp;TEXT($E1863,"0")&amp;"|"&amp;TEXT($F1863,"0")&amp;"|"&amp;$I1863)</f>
        <v/>
      </c>
      <c r="T1863" s="1">
        <f>IF($E1863="",0,SUMPRODUCT((AY_SONU!$O$7:$O$42="Evet")*(AY_SONU!$B$7:$B$42=DATE(YEAR($E1863),MONTH($E1863),1))))</f>
        <v>0</v>
      </c>
      <c r="U1863" s="1" t="str">
        <f>IF(OR($G1863="",$H1863="Mahsup"),"",$G1863&amp;"|"&amp;COUNTIFS($G$7:$G1863,$G1863,$H$7:$H1863,"&lt;&gt;Mahsup"))</f>
        <v/>
      </c>
    </row>
    <row r="1864" spans="1:21" ht="18" customHeight="1" x14ac:dyDescent="0.3">
      <c r="A1864" s="2"/>
      <c r="B1864" s="65" t="str">
        <f>IF($D1864="","","T"&amp;TEXT(ROW()-6,"00000"))</f>
        <v/>
      </c>
      <c r="C1864" s="65" t="str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61"/>
      <c r="E1864" s="66"/>
      <c r="F1864" s="67"/>
      <c r="G1864" s="60"/>
      <c r="H1864" s="60"/>
      <c r="I1864" s="61"/>
      <c r="J1864" s="61"/>
      <c r="K1864" s="61"/>
      <c r="L1864" s="73" t="str">
        <f>IF($E1864="","",DATE(YEAR($E1864),MONTH($E1864),1))</f>
        <v/>
      </c>
      <c r="M1864" s="65" t="str">
        <f ca="1">IF($D1864="","",IF($C1864="TANIMSIZ MÜŞTERİ","HATA",IF(OR($E1864="",$F1864&lt;=0,$G1864=""),"EKSİK",IF($E1864&gt;TODAY(),"İLERİ TARİH",IF(COUNTIF($S$7:$S$2503,$S1864)&gt;1,"MÜKERRER?",IF($T1864&gt;0,"KAPALI DÖNEM","UYGUN"))))))</f>
        <v/>
      </c>
      <c r="N1864" s="74" t="str">
        <f>IF($C1864="","",IF($C1864="TANIMSIZ MÜŞTERİ","—",INDEX(MUSTERILER!$C$7:$C$156,MATCH($C1864,MUSTERILER!$B$7:$B$156,0))))</f>
        <v/>
      </c>
      <c r="O1864" s="2"/>
      <c r="P1864" s="2"/>
      <c r="Q1864" s="1" t="str">
        <f>IF($D1864="","",$C1864&amp;"|"&amp;COUNTIFS($C$7:$C1864,$C1864))</f>
        <v/>
      </c>
      <c r="R1864" s="1" t="str">
        <f t="shared" si="58"/>
        <v/>
      </c>
      <c r="S1864" s="1" t="str">
        <f t="shared" si="59"/>
        <v/>
      </c>
      <c r="T1864" s="1">
        <f>IF($E1864="",0,SUMPRODUCT((AY_SONU!$O$7:$O$42="Evet")*(AY_SONU!$B$7:$B$42=DATE(YEAR($E1864),MONTH($E1864),1))))</f>
        <v>0</v>
      </c>
      <c r="U1864" s="1" t="str">
        <f>IF(OR($G1864="",$H1864="Mahsup"),"",$G1864&amp;"|"&amp;COUNTIFS($G$7:$G1864,$G1864,$H$7:$H1864,"&lt;&gt;Mahsup"))</f>
        <v/>
      </c>
    </row>
    <row r="1865" spans="1:21" ht="18" customHeight="1" x14ac:dyDescent="0.3">
      <c r="A1865" s="2"/>
      <c r="B1865" s="65" t="str">
        <f>IF($D1865="","","T"&amp;TEXT(ROW()-6,"00000"))</f>
        <v/>
      </c>
      <c r="C1865" s="65" t="str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61"/>
      <c r="E1865" s="66"/>
      <c r="F1865" s="67"/>
      <c r="G1865" s="60"/>
      <c r="H1865" s="60"/>
      <c r="I1865" s="61"/>
      <c r="J1865" s="61"/>
      <c r="K1865" s="61"/>
      <c r="L1865" s="73" t="str">
        <f>IF($E1865="","",DATE(YEAR($E1865),MONTH($E1865),1))</f>
        <v/>
      </c>
      <c r="M1865" s="65" t="str">
        <f ca="1">IF($D1865="","",IF($C1865="TANIMSIZ MÜŞTERİ","HATA",IF(OR($E1865="",$F1865&lt;=0,$G1865=""),"EKSİK",IF($E1865&gt;TODAY(),"İLERİ TARİH",IF(COUNTIF($S$7:$S$2503,$S1865)&gt;1,"MÜKERRER?",IF($T1865&gt;0,"KAPALI DÖNEM","UYGUN"))))))</f>
        <v/>
      </c>
      <c r="N1865" s="74" t="str">
        <f>IF($C1865="","",IF($C1865="TANIMSIZ MÜŞTERİ","—",INDEX(MUSTERILER!$C$7:$C$156,MATCH($C1865,MUSTERILER!$B$7:$B$156,0))))</f>
        <v/>
      </c>
      <c r="O1865" s="2"/>
      <c r="P1865" s="2"/>
      <c r="Q1865" s="1" t="str">
        <f>IF($D1865="","",$C1865&amp;"|"&amp;COUNTIFS($C$7:$C1865,$C1865))</f>
        <v/>
      </c>
      <c r="R1865" s="1" t="str">
        <f t="shared" si="58"/>
        <v/>
      </c>
      <c r="S1865" s="1" t="str">
        <f t="shared" si="59"/>
        <v/>
      </c>
      <c r="T1865" s="1">
        <f>IF($E1865="",0,SUMPRODUCT((AY_SONU!$O$7:$O$42="Evet")*(AY_SONU!$B$7:$B$42=DATE(YEAR($E1865),MONTH($E1865),1))))</f>
        <v>0</v>
      </c>
      <c r="U1865" s="1" t="str">
        <f>IF(OR($G1865="",$H1865="Mahsup"),"",$G1865&amp;"|"&amp;COUNTIFS($G$7:$G1865,$G1865,$H$7:$H1865,"&lt;&gt;Mahsup"))</f>
        <v/>
      </c>
    </row>
    <row r="1866" spans="1:21" ht="18" customHeight="1" x14ac:dyDescent="0.3">
      <c r="A1866" s="2"/>
      <c r="B1866" s="65" t="str">
        <f>IF($D1866="","","T"&amp;TEXT(ROW()-6,"00000"))</f>
        <v/>
      </c>
      <c r="C1866" s="65" t="str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61"/>
      <c r="E1866" s="66"/>
      <c r="F1866" s="67"/>
      <c r="G1866" s="60"/>
      <c r="H1866" s="60"/>
      <c r="I1866" s="61"/>
      <c r="J1866" s="61"/>
      <c r="K1866" s="61"/>
      <c r="L1866" s="73" t="str">
        <f>IF($E1866="","",DATE(YEAR($E1866),MONTH($E1866),1))</f>
        <v/>
      </c>
      <c r="M1866" s="65" t="str">
        <f ca="1">IF($D1866="","",IF($C1866="TANIMSIZ MÜŞTERİ","HATA",IF(OR($E1866="",$F1866&lt;=0,$G1866=""),"EKSİK",IF($E1866&gt;TODAY(),"İLERİ TARİH",IF(COUNTIF($S$7:$S$2503,$S1866)&gt;1,"MÜKERRER?",IF($T1866&gt;0,"KAPALI DÖNEM","UYGUN"))))))</f>
        <v/>
      </c>
      <c r="N1866" s="74" t="str">
        <f>IF($C1866="","",IF($C1866="TANIMSIZ MÜŞTERİ","—",INDEX(MUSTERILER!$C$7:$C$156,MATCH($C1866,MUSTERILER!$B$7:$B$156,0))))</f>
        <v/>
      </c>
      <c r="O1866" s="2"/>
      <c r="P1866" s="2"/>
      <c r="Q1866" s="1" t="str">
        <f>IF($D1866="","",$C1866&amp;"|"&amp;COUNTIFS($C$7:$C1866,$C1866))</f>
        <v/>
      </c>
      <c r="R1866" s="1" t="str">
        <f t="shared" si="58"/>
        <v/>
      </c>
      <c r="S1866" s="1" t="str">
        <f t="shared" si="59"/>
        <v/>
      </c>
      <c r="T1866" s="1">
        <f>IF($E1866="",0,SUMPRODUCT((AY_SONU!$O$7:$O$42="Evet")*(AY_SONU!$B$7:$B$42=DATE(YEAR($E1866),MONTH($E1866),1))))</f>
        <v>0</v>
      </c>
      <c r="U1866" s="1" t="str">
        <f>IF(OR($G1866="",$H1866="Mahsup"),"",$G1866&amp;"|"&amp;COUNTIFS($G$7:$G1866,$G1866,$H$7:$H1866,"&lt;&gt;Mahsup"))</f>
        <v/>
      </c>
    </row>
    <row r="1867" spans="1:21" ht="18" customHeight="1" x14ac:dyDescent="0.3">
      <c r="A1867" s="2"/>
      <c r="B1867" s="65" t="str">
        <f>IF($D1867="","","T"&amp;TEXT(ROW()-6,"00000"))</f>
        <v/>
      </c>
      <c r="C1867" s="65" t="str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61"/>
      <c r="E1867" s="66"/>
      <c r="F1867" s="67"/>
      <c r="G1867" s="60"/>
      <c r="H1867" s="60"/>
      <c r="I1867" s="61"/>
      <c r="J1867" s="61"/>
      <c r="K1867" s="61"/>
      <c r="L1867" s="73" t="str">
        <f>IF($E1867="","",DATE(YEAR($E1867),MONTH($E1867),1))</f>
        <v/>
      </c>
      <c r="M1867" s="65" t="str">
        <f ca="1">IF($D1867="","",IF($C1867="TANIMSIZ MÜŞTERİ","HATA",IF(OR($E1867="",$F1867&lt;=0,$G1867=""),"EKSİK",IF($E1867&gt;TODAY(),"İLERİ TARİH",IF(COUNTIF($S$7:$S$2503,$S1867)&gt;1,"MÜKERRER?",IF($T1867&gt;0,"KAPALI DÖNEM","UYGUN"))))))</f>
        <v/>
      </c>
      <c r="N1867" s="74" t="str">
        <f>IF($C1867="","",IF($C1867="TANIMSIZ MÜŞTERİ","—",INDEX(MUSTERILER!$C$7:$C$156,MATCH($C1867,MUSTERILER!$B$7:$B$156,0))))</f>
        <v/>
      </c>
      <c r="O1867" s="2"/>
      <c r="P1867" s="2"/>
      <c r="Q1867" s="1" t="str">
        <f>IF($D1867="","",$C1867&amp;"|"&amp;COUNTIFS($C$7:$C1867,$C1867))</f>
        <v/>
      </c>
      <c r="R1867" s="1" t="str">
        <f t="shared" si="58"/>
        <v/>
      </c>
      <c r="S1867" s="1" t="str">
        <f t="shared" si="59"/>
        <v/>
      </c>
      <c r="T1867" s="1">
        <f>IF($E1867="",0,SUMPRODUCT((AY_SONU!$O$7:$O$42="Evet")*(AY_SONU!$B$7:$B$42=DATE(YEAR($E1867),MONTH($E1867),1))))</f>
        <v>0</v>
      </c>
      <c r="U1867" s="1" t="str">
        <f>IF(OR($G1867="",$H1867="Mahsup"),"",$G1867&amp;"|"&amp;COUNTIFS($G$7:$G1867,$G1867,$H$7:$H1867,"&lt;&gt;Mahsup"))</f>
        <v/>
      </c>
    </row>
    <row r="1868" spans="1:21" ht="18" customHeight="1" x14ac:dyDescent="0.3">
      <c r="A1868" s="2"/>
      <c r="B1868" s="65" t="str">
        <f>IF($D1868="","","T"&amp;TEXT(ROW()-6,"00000"))</f>
        <v/>
      </c>
      <c r="C1868" s="65" t="str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61"/>
      <c r="E1868" s="66"/>
      <c r="F1868" s="67"/>
      <c r="G1868" s="60"/>
      <c r="H1868" s="60"/>
      <c r="I1868" s="61"/>
      <c r="J1868" s="61"/>
      <c r="K1868" s="61"/>
      <c r="L1868" s="73" t="str">
        <f>IF($E1868="","",DATE(YEAR($E1868),MONTH($E1868),1))</f>
        <v/>
      </c>
      <c r="M1868" s="65" t="str">
        <f ca="1">IF($D1868="","",IF($C1868="TANIMSIZ MÜŞTERİ","HATA",IF(OR($E1868="",$F1868&lt;=0,$G1868=""),"EKSİK",IF($E1868&gt;TODAY(),"İLERİ TARİH",IF(COUNTIF($S$7:$S$2503,$S1868)&gt;1,"MÜKERRER?",IF($T1868&gt;0,"KAPALI DÖNEM","UYGUN"))))))</f>
        <v/>
      </c>
      <c r="N1868" s="74" t="str">
        <f>IF($C1868="","",IF($C1868="TANIMSIZ MÜŞTERİ","—",INDEX(MUSTERILER!$C$7:$C$156,MATCH($C1868,MUSTERILER!$B$7:$B$156,0))))</f>
        <v/>
      </c>
      <c r="O1868" s="2"/>
      <c r="P1868" s="2"/>
      <c r="Q1868" s="1" t="str">
        <f>IF($D1868="","",$C1868&amp;"|"&amp;COUNTIFS($C$7:$C1868,$C1868))</f>
        <v/>
      </c>
      <c r="R1868" s="1" t="str">
        <f t="shared" si="58"/>
        <v/>
      </c>
      <c r="S1868" s="1" t="str">
        <f t="shared" si="59"/>
        <v/>
      </c>
      <c r="T1868" s="1">
        <f>IF($E1868="",0,SUMPRODUCT((AY_SONU!$O$7:$O$42="Evet")*(AY_SONU!$B$7:$B$42=DATE(YEAR($E1868),MONTH($E1868),1))))</f>
        <v>0</v>
      </c>
      <c r="U1868" s="1" t="str">
        <f>IF(OR($G1868="",$H1868="Mahsup"),"",$G1868&amp;"|"&amp;COUNTIFS($G$7:$G1868,$G1868,$H$7:$H1868,"&lt;&gt;Mahsup"))</f>
        <v/>
      </c>
    </row>
    <row r="1869" spans="1:21" ht="18" customHeight="1" x14ac:dyDescent="0.3">
      <c r="A1869" s="2"/>
      <c r="B1869" s="65" t="str">
        <f>IF($D1869="","","T"&amp;TEXT(ROW()-6,"00000"))</f>
        <v/>
      </c>
      <c r="C1869" s="65" t="str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61"/>
      <c r="E1869" s="66"/>
      <c r="F1869" s="67"/>
      <c r="G1869" s="60"/>
      <c r="H1869" s="60"/>
      <c r="I1869" s="61"/>
      <c r="J1869" s="61"/>
      <c r="K1869" s="61"/>
      <c r="L1869" s="73" t="str">
        <f>IF($E1869="","",DATE(YEAR($E1869),MONTH($E1869),1))</f>
        <v/>
      </c>
      <c r="M1869" s="65" t="str">
        <f ca="1">IF($D1869="","",IF($C1869="TANIMSIZ MÜŞTERİ","HATA",IF(OR($E1869="",$F1869&lt;=0,$G1869=""),"EKSİK",IF($E1869&gt;TODAY(),"İLERİ TARİH",IF(COUNTIF($S$7:$S$2503,$S1869)&gt;1,"MÜKERRER?",IF($T1869&gt;0,"KAPALI DÖNEM","UYGUN"))))))</f>
        <v/>
      </c>
      <c r="N1869" s="74" t="str">
        <f>IF($C1869="","",IF($C1869="TANIMSIZ MÜŞTERİ","—",INDEX(MUSTERILER!$C$7:$C$156,MATCH($C1869,MUSTERILER!$B$7:$B$156,0))))</f>
        <v/>
      </c>
      <c r="O1869" s="2"/>
      <c r="P1869" s="2"/>
      <c r="Q1869" s="1" t="str">
        <f>IF($D1869="","",$C1869&amp;"|"&amp;COUNTIFS($C$7:$C1869,$C1869))</f>
        <v/>
      </c>
      <c r="R1869" s="1" t="str">
        <f t="shared" si="58"/>
        <v/>
      </c>
      <c r="S1869" s="1" t="str">
        <f t="shared" si="59"/>
        <v/>
      </c>
      <c r="T1869" s="1">
        <f>IF($E1869="",0,SUMPRODUCT((AY_SONU!$O$7:$O$42="Evet")*(AY_SONU!$B$7:$B$42=DATE(YEAR($E1869),MONTH($E1869),1))))</f>
        <v>0</v>
      </c>
      <c r="U1869" s="1" t="str">
        <f>IF(OR($G1869="",$H1869="Mahsup"),"",$G1869&amp;"|"&amp;COUNTIFS($G$7:$G1869,$G1869,$H$7:$H1869,"&lt;&gt;Mahsup"))</f>
        <v/>
      </c>
    </row>
    <row r="1870" spans="1:21" ht="18" customHeight="1" x14ac:dyDescent="0.3">
      <c r="A1870" s="2"/>
      <c r="B1870" s="65" t="str">
        <f>IF($D1870="","","T"&amp;TEXT(ROW()-6,"00000"))</f>
        <v/>
      </c>
      <c r="C1870" s="65" t="str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61"/>
      <c r="E1870" s="66"/>
      <c r="F1870" s="67"/>
      <c r="G1870" s="60"/>
      <c r="H1870" s="60"/>
      <c r="I1870" s="61"/>
      <c r="J1870" s="61"/>
      <c r="K1870" s="61"/>
      <c r="L1870" s="73" t="str">
        <f>IF($E1870="","",DATE(YEAR($E1870),MONTH($E1870),1))</f>
        <v/>
      </c>
      <c r="M1870" s="65" t="str">
        <f ca="1">IF($D1870="","",IF($C1870="TANIMSIZ MÜŞTERİ","HATA",IF(OR($E1870="",$F1870&lt;=0,$G1870=""),"EKSİK",IF($E1870&gt;TODAY(),"İLERİ TARİH",IF(COUNTIF($S$7:$S$2503,$S1870)&gt;1,"MÜKERRER?",IF($T1870&gt;0,"KAPALI DÖNEM","UYGUN"))))))</f>
        <v/>
      </c>
      <c r="N1870" s="74" t="str">
        <f>IF($C1870="","",IF($C1870="TANIMSIZ MÜŞTERİ","—",INDEX(MUSTERILER!$C$7:$C$156,MATCH($C1870,MUSTERILER!$B$7:$B$156,0))))</f>
        <v/>
      </c>
      <c r="O1870" s="2"/>
      <c r="P1870" s="2"/>
      <c r="Q1870" s="1" t="str">
        <f>IF($D1870="","",$C1870&amp;"|"&amp;COUNTIFS($C$7:$C1870,$C1870))</f>
        <v/>
      </c>
      <c r="R1870" s="1" t="str">
        <f t="shared" si="58"/>
        <v/>
      </c>
      <c r="S1870" s="1" t="str">
        <f t="shared" si="59"/>
        <v/>
      </c>
      <c r="T1870" s="1">
        <f>IF($E1870="",0,SUMPRODUCT((AY_SONU!$O$7:$O$42="Evet")*(AY_SONU!$B$7:$B$42=DATE(YEAR($E1870),MONTH($E1870),1))))</f>
        <v>0</v>
      </c>
      <c r="U1870" s="1" t="str">
        <f>IF(OR($G1870="",$H1870="Mahsup"),"",$G1870&amp;"|"&amp;COUNTIFS($G$7:$G1870,$G1870,$H$7:$H1870,"&lt;&gt;Mahsup"))</f>
        <v/>
      </c>
    </row>
    <row r="1871" spans="1:21" ht="18" customHeight="1" x14ac:dyDescent="0.3">
      <c r="A1871" s="2"/>
      <c r="B1871" s="65" t="str">
        <f>IF($D1871="","","T"&amp;TEXT(ROW()-6,"00000"))</f>
        <v/>
      </c>
      <c r="C1871" s="65" t="str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61"/>
      <c r="E1871" s="66"/>
      <c r="F1871" s="67"/>
      <c r="G1871" s="60"/>
      <c r="H1871" s="60"/>
      <c r="I1871" s="61"/>
      <c r="J1871" s="61"/>
      <c r="K1871" s="61"/>
      <c r="L1871" s="73" t="str">
        <f>IF($E1871="","",DATE(YEAR($E1871),MONTH($E1871),1))</f>
        <v/>
      </c>
      <c r="M1871" s="65" t="str">
        <f ca="1">IF($D1871="","",IF($C1871="TANIMSIZ MÜŞTERİ","HATA",IF(OR($E1871="",$F1871&lt;=0,$G1871=""),"EKSİK",IF($E1871&gt;TODAY(),"İLERİ TARİH",IF(COUNTIF($S$7:$S$2503,$S1871)&gt;1,"MÜKERRER?",IF($T1871&gt;0,"KAPALI DÖNEM","UYGUN"))))))</f>
        <v/>
      </c>
      <c r="N1871" s="74" t="str">
        <f>IF($C1871="","",IF($C1871="TANIMSIZ MÜŞTERİ","—",INDEX(MUSTERILER!$C$7:$C$156,MATCH($C1871,MUSTERILER!$B$7:$B$156,0))))</f>
        <v/>
      </c>
      <c r="O1871" s="2"/>
      <c r="P1871" s="2"/>
      <c r="Q1871" s="1" t="str">
        <f>IF($D1871="","",$C1871&amp;"|"&amp;COUNTIFS($C$7:$C1871,$C1871))</f>
        <v/>
      </c>
      <c r="R1871" s="1" t="str">
        <f t="shared" si="58"/>
        <v/>
      </c>
      <c r="S1871" s="1" t="str">
        <f t="shared" si="59"/>
        <v/>
      </c>
      <c r="T1871" s="1">
        <f>IF($E1871="",0,SUMPRODUCT((AY_SONU!$O$7:$O$42="Evet")*(AY_SONU!$B$7:$B$42=DATE(YEAR($E1871),MONTH($E1871),1))))</f>
        <v>0</v>
      </c>
      <c r="U1871" s="1" t="str">
        <f>IF(OR($G1871="",$H1871="Mahsup"),"",$G1871&amp;"|"&amp;COUNTIFS($G$7:$G1871,$G1871,$H$7:$H1871,"&lt;&gt;Mahsup"))</f>
        <v/>
      </c>
    </row>
    <row r="1872" spans="1:21" ht="18" customHeight="1" x14ac:dyDescent="0.3">
      <c r="A1872" s="2"/>
      <c r="B1872" s="65" t="str">
        <f>IF($D1872="","","T"&amp;TEXT(ROW()-6,"00000"))</f>
        <v/>
      </c>
      <c r="C1872" s="65" t="str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61"/>
      <c r="E1872" s="66"/>
      <c r="F1872" s="67"/>
      <c r="G1872" s="60"/>
      <c r="H1872" s="60"/>
      <c r="I1872" s="61"/>
      <c r="J1872" s="61"/>
      <c r="K1872" s="61"/>
      <c r="L1872" s="73" t="str">
        <f>IF($E1872="","",DATE(YEAR($E1872),MONTH($E1872),1))</f>
        <v/>
      </c>
      <c r="M1872" s="65" t="str">
        <f ca="1">IF($D1872="","",IF($C1872="TANIMSIZ MÜŞTERİ","HATA",IF(OR($E1872="",$F1872&lt;=0,$G1872=""),"EKSİK",IF($E1872&gt;TODAY(),"İLERİ TARİH",IF(COUNTIF($S$7:$S$2503,$S1872)&gt;1,"MÜKERRER?",IF($T1872&gt;0,"KAPALI DÖNEM","UYGUN"))))))</f>
        <v/>
      </c>
      <c r="N1872" s="74" t="str">
        <f>IF($C1872="","",IF($C1872="TANIMSIZ MÜŞTERİ","—",INDEX(MUSTERILER!$C$7:$C$156,MATCH($C1872,MUSTERILER!$B$7:$B$156,0))))</f>
        <v/>
      </c>
      <c r="O1872" s="2"/>
      <c r="P1872" s="2"/>
      <c r="Q1872" s="1" t="str">
        <f>IF($D1872="","",$C1872&amp;"|"&amp;COUNTIFS($C$7:$C1872,$C1872))</f>
        <v/>
      </c>
      <c r="R1872" s="1" t="str">
        <f t="shared" si="58"/>
        <v/>
      </c>
      <c r="S1872" s="1" t="str">
        <f t="shared" si="59"/>
        <v/>
      </c>
      <c r="T1872" s="1">
        <f>IF($E1872="",0,SUMPRODUCT((AY_SONU!$O$7:$O$42="Evet")*(AY_SONU!$B$7:$B$42=DATE(YEAR($E1872),MONTH($E1872),1))))</f>
        <v>0</v>
      </c>
      <c r="U1872" s="1" t="str">
        <f>IF(OR($G1872="",$H1872="Mahsup"),"",$G1872&amp;"|"&amp;COUNTIFS($G$7:$G1872,$G1872,$H$7:$H1872,"&lt;&gt;Mahsup"))</f>
        <v/>
      </c>
    </row>
    <row r="1873" spans="1:21" ht="18" customHeight="1" x14ac:dyDescent="0.3">
      <c r="A1873" s="2"/>
      <c r="B1873" s="65" t="str">
        <f>IF($D1873="","","T"&amp;TEXT(ROW()-6,"00000"))</f>
        <v/>
      </c>
      <c r="C1873" s="65" t="str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61"/>
      <c r="E1873" s="66"/>
      <c r="F1873" s="67"/>
      <c r="G1873" s="60"/>
      <c r="H1873" s="60"/>
      <c r="I1873" s="61"/>
      <c r="J1873" s="61"/>
      <c r="K1873" s="61"/>
      <c r="L1873" s="73" t="str">
        <f>IF($E1873="","",DATE(YEAR($E1873),MONTH($E1873),1))</f>
        <v/>
      </c>
      <c r="M1873" s="65" t="str">
        <f ca="1">IF($D1873="","",IF($C1873="TANIMSIZ MÜŞTERİ","HATA",IF(OR($E1873="",$F1873&lt;=0,$G1873=""),"EKSİK",IF($E1873&gt;TODAY(),"İLERİ TARİH",IF(COUNTIF($S$7:$S$2503,$S1873)&gt;1,"MÜKERRER?",IF($T1873&gt;0,"KAPALI DÖNEM","UYGUN"))))))</f>
        <v/>
      </c>
      <c r="N1873" s="74" t="str">
        <f>IF($C1873="","",IF($C1873="TANIMSIZ MÜŞTERİ","—",INDEX(MUSTERILER!$C$7:$C$156,MATCH($C1873,MUSTERILER!$B$7:$B$156,0))))</f>
        <v/>
      </c>
      <c r="O1873" s="2"/>
      <c r="P1873" s="2"/>
      <c r="Q1873" s="1" t="str">
        <f>IF($D1873="","",$C1873&amp;"|"&amp;COUNTIFS($C$7:$C1873,$C1873))</f>
        <v/>
      </c>
      <c r="R1873" s="1" t="str">
        <f t="shared" si="58"/>
        <v/>
      </c>
      <c r="S1873" s="1" t="str">
        <f t="shared" si="59"/>
        <v/>
      </c>
      <c r="T1873" s="1">
        <f>IF($E1873="",0,SUMPRODUCT((AY_SONU!$O$7:$O$42="Evet")*(AY_SONU!$B$7:$B$42=DATE(YEAR($E1873),MONTH($E1873),1))))</f>
        <v>0</v>
      </c>
      <c r="U1873" s="1" t="str">
        <f>IF(OR($G1873="",$H1873="Mahsup"),"",$G1873&amp;"|"&amp;COUNTIFS($G$7:$G1873,$G1873,$H$7:$H1873,"&lt;&gt;Mahsup"))</f>
        <v/>
      </c>
    </row>
    <row r="1874" spans="1:21" ht="18" customHeight="1" x14ac:dyDescent="0.3">
      <c r="A1874" s="2"/>
      <c r="B1874" s="65" t="str">
        <f>IF($D1874="","","T"&amp;TEXT(ROW()-6,"00000"))</f>
        <v/>
      </c>
      <c r="C1874" s="65" t="str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61"/>
      <c r="E1874" s="66"/>
      <c r="F1874" s="67"/>
      <c r="G1874" s="60"/>
      <c r="H1874" s="60"/>
      <c r="I1874" s="61"/>
      <c r="J1874" s="61"/>
      <c r="K1874" s="61"/>
      <c r="L1874" s="73" t="str">
        <f>IF($E1874="","",DATE(YEAR($E1874),MONTH($E1874),1))</f>
        <v/>
      </c>
      <c r="M1874" s="65" t="str">
        <f ca="1">IF($D1874="","",IF($C1874="TANIMSIZ MÜŞTERİ","HATA",IF(OR($E1874="",$F1874&lt;=0,$G1874=""),"EKSİK",IF($E1874&gt;TODAY(),"İLERİ TARİH",IF(COUNTIF($S$7:$S$2503,$S1874)&gt;1,"MÜKERRER?",IF($T1874&gt;0,"KAPALI DÖNEM","UYGUN"))))))</f>
        <v/>
      </c>
      <c r="N1874" s="74" t="str">
        <f>IF($C1874="","",IF($C1874="TANIMSIZ MÜŞTERİ","—",INDEX(MUSTERILER!$C$7:$C$156,MATCH($C1874,MUSTERILER!$B$7:$B$156,0))))</f>
        <v/>
      </c>
      <c r="O1874" s="2"/>
      <c r="P1874" s="2"/>
      <c r="Q1874" s="1" t="str">
        <f>IF($D1874="","",$C1874&amp;"|"&amp;COUNTIFS($C$7:$C1874,$C1874))</f>
        <v/>
      </c>
      <c r="R1874" s="1" t="str">
        <f t="shared" si="58"/>
        <v/>
      </c>
      <c r="S1874" s="1" t="str">
        <f t="shared" si="59"/>
        <v/>
      </c>
      <c r="T1874" s="1">
        <f>IF($E1874="",0,SUMPRODUCT((AY_SONU!$O$7:$O$42="Evet")*(AY_SONU!$B$7:$B$42=DATE(YEAR($E1874),MONTH($E1874),1))))</f>
        <v>0</v>
      </c>
      <c r="U1874" s="1" t="str">
        <f>IF(OR($G1874="",$H1874="Mahsup"),"",$G1874&amp;"|"&amp;COUNTIFS($G$7:$G1874,$G1874,$H$7:$H1874,"&lt;&gt;Mahsup"))</f>
        <v/>
      </c>
    </row>
    <row r="1875" spans="1:21" ht="18" customHeight="1" x14ac:dyDescent="0.3">
      <c r="A1875" s="2"/>
      <c r="B1875" s="65" t="str">
        <f>IF($D1875="","","T"&amp;TEXT(ROW()-6,"00000"))</f>
        <v/>
      </c>
      <c r="C1875" s="65" t="str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61"/>
      <c r="E1875" s="66"/>
      <c r="F1875" s="67"/>
      <c r="G1875" s="60"/>
      <c r="H1875" s="60"/>
      <c r="I1875" s="61"/>
      <c r="J1875" s="61"/>
      <c r="K1875" s="61"/>
      <c r="L1875" s="73" t="str">
        <f>IF($E1875="","",DATE(YEAR($E1875),MONTH($E1875),1))</f>
        <v/>
      </c>
      <c r="M1875" s="65" t="str">
        <f ca="1">IF($D1875="","",IF($C1875="TANIMSIZ MÜŞTERİ","HATA",IF(OR($E1875="",$F1875&lt;=0,$G1875=""),"EKSİK",IF($E1875&gt;TODAY(),"İLERİ TARİH",IF(COUNTIF($S$7:$S$2503,$S1875)&gt;1,"MÜKERRER?",IF($T1875&gt;0,"KAPALI DÖNEM","UYGUN"))))))</f>
        <v/>
      </c>
      <c r="N1875" s="74" t="str">
        <f>IF($C1875="","",IF($C1875="TANIMSIZ MÜŞTERİ","—",INDEX(MUSTERILER!$C$7:$C$156,MATCH($C1875,MUSTERILER!$B$7:$B$156,0))))</f>
        <v/>
      </c>
      <c r="O1875" s="2"/>
      <c r="P1875" s="2"/>
      <c r="Q1875" s="1" t="str">
        <f>IF($D1875="","",$C1875&amp;"|"&amp;COUNTIFS($C$7:$C1875,$C1875))</f>
        <v/>
      </c>
      <c r="R1875" s="1" t="str">
        <f t="shared" si="58"/>
        <v/>
      </c>
      <c r="S1875" s="1" t="str">
        <f t="shared" si="59"/>
        <v/>
      </c>
      <c r="T1875" s="1">
        <f>IF($E1875="",0,SUMPRODUCT((AY_SONU!$O$7:$O$42="Evet")*(AY_SONU!$B$7:$B$42=DATE(YEAR($E1875),MONTH($E1875),1))))</f>
        <v>0</v>
      </c>
      <c r="U1875" s="1" t="str">
        <f>IF(OR($G1875="",$H1875="Mahsup"),"",$G1875&amp;"|"&amp;COUNTIFS($G$7:$G1875,$G1875,$H$7:$H1875,"&lt;&gt;Mahsup"))</f>
        <v/>
      </c>
    </row>
    <row r="1876" spans="1:21" ht="18" customHeight="1" x14ac:dyDescent="0.3">
      <c r="A1876" s="2"/>
      <c r="B1876" s="65" t="str">
        <f>IF($D1876="","","T"&amp;TEXT(ROW()-6,"00000"))</f>
        <v/>
      </c>
      <c r="C1876" s="65" t="str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61"/>
      <c r="E1876" s="66"/>
      <c r="F1876" s="67"/>
      <c r="G1876" s="60"/>
      <c r="H1876" s="60"/>
      <c r="I1876" s="61"/>
      <c r="J1876" s="61"/>
      <c r="K1876" s="61"/>
      <c r="L1876" s="73" t="str">
        <f>IF($E1876="","",DATE(YEAR($E1876),MONTH($E1876),1))</f>
        <v/>
      </c>
      <c r="M1876" s="65" t="str">
        <f ca="1">IF($D1876="","",IF($C1876="TANIMSIZ MÜŞTERİ","HATA",IF(OR($E1876="",$F1876&lt;=0,$G1876=""),"EKSİK",IF($E1876&gt;TODAY(),"İLERİ TARİH",IF(COUNTIF($S$7:$S$2503,$S1876)&gt;1,"MÜKERRER?",IF($T1876&gt;0,"KAPALI DÖNEM","UYGUN"))))))</f>
        <v/>
      </c>
      <c r="N1876" s="74" t="str">
        <f>IF($C1876="","",IF($C1876="TANIMSIZ MÜŞTERİ","—",INDEX(MUSTERILER!$C$7:$C$156,MATCH($C1876,MUSTERILER!$B$7:$B$156,0))))</f>
        <v/>
      </c>
      <c r="O1876" s="2"/>
      <c r="P1876" s="2"/>
      <c r="Q1876" s="1" t="str">
        <f>IF($D1876="","",$C1876&amp;"|"&amp;COUNTIFS($C$7:$C1876,$C1876))</f>
        <v/>
      </c>
      <c r="R1876" s="1" t="str">
        <f t="shared" si="58"/>
        <v/>
      </c>
      <c r="S1876" s="1" t="str">
        <f t="shared" si="59"/>
        <v/>
      </c>
      <c r="T1876" s="1">
        <f>IF($E1876="",0,SUMPRODUCT((AY_SONU!$O$7:$O$42="Evet")*(AY_SONU!$B$7:$B$42=DATE(YEAR($E1876),MONTH($E1876),1))))</f>
        <v>0</v>
      </c>
      <c r="U1876" s="1" t="str">
        <f>IF(OR($G1876="",$H1876="Mahsup"),"",$G1876&amp;"|"&amp;COUNTIFS($G$7:$G1876,$G1876,$H$7:$H1876,"&lt;&gt;Mahsup"))</f>
        <v/>
      </c>
    </row>
    <row r="1877" spans="1:21" ht="18" customHeight="1" x14ac:dyDescent="0.3">
      <c r="A1877" s="2"/>
      <c r="B1877" s="65" t="str">
        <f>IF($D1877="","","T"&amp;TEXT(ROW()-6,"00000"))</f>
        <v/>
      </c>
      <c r="C1877" s="65" t="str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61"/>
      <c r="E1877" s="66"/>
      <c r="F1877" s="67"/>
      <c r="G1877" s="60"/>
      <c r="H1877" s="60"/>
      <c r="I1877" s="61"/>
      <c r="J1877" s="61"/>
      <c r="K1877" s="61"/>
      <c r="L1877" s="73" t="str">
        <f>IF($E1877="","",DATE(YEAR($E1877),MONTH($E1877),1))</f>
        <v/>
      </c>
      <c r="M1877" s="65" t="str">
        <f ca="1">IF($D1877="","",IF($C1877="TANIMSIZ MÜŞTERİ","HATA",IF(OR($E1877="",$F1877&lt;=0,$G1877=""),"EKSİK",IF($E1877&gt;TODAY(),"İLERİ TARİH",IF(COUNTIF($S$7:$S$2503,$S1877)&gt;1,"MÜKERRER?",IF($T1877&gt;0,"KAPALI DÖNEM","UYGUN"))))))</f>
        <v/>
      </c>
      <c r="N1877" s="74" t="str">
        <f>IF($C1877="","",IF($C1877="TANIMSIZ MÜŞTERİ","—",INDEX(MUSTERILER!$C$7:$C$156,MATCH($C1877,MUSTERILER!$B$7:$B$156,0))))</f>
        <v/>
      </c>
      <c r="O1877" s="2"/>
      <c r="P1877" s="2"/>
      <c r="Q1877" s="1" t="str">
        <f>IF($D1877="","",$C1877&amp;"|"&amp;COUNTIFS($C$7:$C1877,$C1877))</f>
        <v/>
      </c>
      <c r="R1877" s="1" t="str">
        <f t="shared" si="58"/>
        <v/>
      </c>
      <c r="S1877" s="1" t="str">
        <f t="shared" si="59"/>
        <v/>
      </c>
      <c r="T1877" s="1">
        <f>IF($E1877="",0,SUMPRODUCT((AY_SONU!$O$7:$O$42="Evet")*(AY_SONU!$B$7:$B$42=DATE(YEAR($E1877),MONTH($E1877),1))))</f>
        <v>0</v>
      </c>
      <c r="U1877" s="1" t="str">
        <f>IF(OR($G1877="",$H1877="Mahsup"),"",$G1877&amp;"|"&amp;COUNTIFS($G$7:$G1877,$G1877,$H$7:$H1877,"&lt;&gt;Mahsup"))</f>
        <v/>
      </c>
    </row>
    <row r="1878" spans="1:21" ht="18" customHeight="1" x14ac:dyDescent="0.3">
      <c r="A1878" s="2"/>
      <c r="B1878" s="65" t="str">
        <f>IF($D1878="","","T"&amp;TEXT(ROW()-6,"00000"))</f>
        <v/>
      </c>
      <c r="C1878" s="65" t="str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61"/>
      <c r="E1878" s="66"/>
      <c r="F1878" s="67"/>
      <c r="G1878" s="60"/>
      <c r="H1878" s="60"/>
      <c r="I1878" s="61"/>
      <c r="J1878" s="61"/>
      <c r="K1878" s="61"/>
      <c r="L1878" s="73" t="str">
        <f>IF($E1878="","",DATE(YEAR($E1878),MONTH($E1878),1))</f>
        <v/>
      </c>
      <c r="M1878" s="65" t="str">
        <f ca="1">IF($D1878="","",IF($C1878="TANIMSIZ MÜŞTERİ","HATA",IF(OR($E1878="",$F1878&lt;=0,$G1878=""),"EKSİK",IF($E1878&gt;TODAY(),"İLERİ TARİH",IF(COUNTIF($S$7:$S$2503,$S1878)&gt;1,"MÜKERRER?",IF($T1878&gt;0,"KAPALI DÖNEM","UYGUN"))))))</f>
        <v/>
      </c>
      <c r="N1878" s="74" t="str">
        <f>IF($C1878="","",IF($C1878="TANIMSIZ MÜŞTERİ","—",INDEX(MUSTERILER!$C$7:$C$156,MATCH($C1878,MUSTERILER!$B$7:$B$156,0))))</f>
        <v/>
      </c>
      <c r="O1878" s="2"/>
      <c r="P1878" s="2"/>
      <c r="Q1878" s="1" t="str">
        <f>IF($D1878="","",$C1878&amp;"|"&amp;COUNTIFS($C$7:$C1878,$C1878))</f>
        <v/>
      </c>
      <c r="R1878" s="1" t="str">
        <f t="shared" si="58"/>
        <v/>
      </c>
      <c r="S1878" s="1" t="str">
        <f t="shared" si="59"/>
        <v/>
      </c>
      <c r="T1878" s="1">
        <f>IF($E1878="",0,SUMPRODUCT((AY_SONU!$O$7:$O$42="Evet")*(AY_SONU!$B$7:$B$42=DATE(YEAR($E1878),MONTH($E1878),1))))</f>
        <v>0</v>
      </c>
      <c r="U1878" s="1" t="str">
        <f>IF(OR($G1878="",$H1878="Mahsup"),"",$G1878&amp;"|"&amp;COUNTIFS($G$7:$G1878,$G1878,$H$7:$H1878,"&lt;&gt;Mahsup"))</f>
        <v/>
      </c>
    </row>
    <row r="1879" spans="1:21" ht="18" customHeight="1" x14ac:dyDescent="0.3">
      <c r="A1879" s="2"/>
      <c r="B1879" s="65" t="str">
        <f>IF($D1879="","","T"&amp;TEXT(ROW()-6,"00000"))</f>
        <v/>
      </c>
      <c r="C1879" s="65" t="str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61"/>
      <c r="E1879" s="66"/>
      <c r="F1879" s="67"/>
      <c r="G1879" s="60"/>
      <c r="H1879" s="60"/>
      <c r="I1879" s="61"/>
      <c r="J1879" s="61"/>
      <c r="K1879" s="61"/>
      <c r="L1879" s="73" t="str">
        <f>IF($E1879="","",DATE(YEAR($E1879),MONTH($E1879),1))</f>
        <v/>
      </c>
      <c r="M1879" s="65" t="str">
        <f ca="1">IF($D1879="","",IF($C1879="TANIMSIZ MÜŞTERİ","HATA",IF(OR($E1879="",$F1879&lt;=0,$G1879=""),"EKSİK",IF($E1879&gt;TODAY(),"İLERİ TARİH",IF(COUNTIF($S$7:$S$2503,$S1879)&gt;1,"MÜKERRER?",IF($T1879&gt;0,"KAPALI DÖNEM","UYGUN"))))))</f>
        <v/>
      </c>
      <c r="N1879" s="74" t="str">
        <f>IF($C1879="","",IF($C1879="TANIMSIZ MÜŞTERİ","—",INDEX(MUSTERILER!$C$7:$C$156,MATCH($C1879,MUSTERILER!$B$7:$B$156,0))))</f>
        <v/>
      </c>
      <c r="O1879" s="2"/>
      <c r="P1879" s="2"/>
      <c r="Q1879" s="1" t="str">
        <f>IF($D1879="","",$C1879&amp;"|"&amp;COUNTIFS($C$7:$C1879,$C1879))</f>
        <v/>
      </c>
      <c r="R1879" s="1" t="str">
        <f t="shared" si="58"/>
        <v/>
      </c>
      <c r="S1879" s="1" t="str">
        <f t="shared" si="59"/>
        <v/>
      </c>
      <c r="T1879" s="1">
        <f>IF($E1879="",0,SUMPRODUCT((AY_SONU!$O$7:$O$42="Evet")*(AY_SONU!$B$7:$B$42=DATE(YEAR($E1879),MONTH($E1879),1))))</f>
        <v>0</v>
      </c>
      <c r="U1879" s="1" t="str">
        <f>IF(OR($G1879="",$H1879="Mahsup"),"",$G1879&amp;"|"&amp;COUNTIFS($G$7:$G1879,$G1879,$H$7:$H1879,"&lt;&gt;Mahsup"))</f>
        <v/>
      </c>
    </row>
    <row r="1880" spans="1:21" ht="18" customHeight="1" x14ac:dyDescent="0.3">
      <c r="A1880" s="2"/>
      <c r="B1880" s="65" t="str">
        <f>IF($D1880="","","T"&amp;TEXT(ROW()-6,"00000"))</f>
        <v/>
      </c>
      <c r="C1880" s="65" t="str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61"/>
      <c r="E1880" s="66"/>
      <c r="F1880" s="67"/>
      <c r="G1880" s="60"/>
      <c r="H1880" s="60"/>
      <c r="I1880" s="61"/>
      <c r="J1880" s="61"/>
      <c r="K1880" s="61"/>
      <c r="L1880" s="73" t="str">
        <f>IF($E1880="","",DATE(YEAR($E1880),MONTH($E1880),1))</f>
        <v/>
      </c>
      <c r="M1880" s="65" t="str">
        <f ca="1">IF($D1880="","",IF($C1880="TANIMSIZ MÜŞTERİ","HATA",IF(OR($E1880="",$F1880&lt;=0,$G1880=""),"EKSİK",IF($E1880&gt;TODAY(),"İLERİ TARİH",IF(COUNTIF($S$7:$S$2503,$S1880)&gt;1,"MÜKERRER?",IF($T1880&gt;0,"KAPALI DÖNEM","UYGUN"))))))</f>
        <v/>
      </c>
      <c r="N1880" s="74" t="str">
        <f>IF($C1880="","",IF($C1880="TANIMSIZ MÜŞTERİ","—",INDEX(MUSTERILER!$C$7:$C$156,MATCH($C1880,MUSTERILER!$B$7:$B$156,0))))</f>
        <v/>
      </c>
      <c r="O1880" s="2"/>
      <c r="P1880" s="2"/>
      <c r="Q1880" s="1" t="str">
        <f>IF($D1880="","",$C1880&amp;"|"&amp;COUNTIFS($C$7:$C1880,$C1880))</f>
        <v/>
      </c>
      <c r="R1880" s="1" t="str">
        <f t="shared" si="58"/>
        <v/>
      </c>
      <c r="S1880" s="1" t="str">
        <f t="shared" si="59"/>
        <v/>
      </c>
      <c r="T1880" s="1">
        <f>IF($E1880="",0,SUMPRODUCT((AY_SONU!$O$7:$O$42="Evet")*(AY_SONU!$B$7:$B$42=DATE(YEAR($E1880),MONTH($E1880),1))))</f>
        <v>0</v>
      </c>
      <c r="U1880" s="1" t="str">
        <f>IF(OR($G1880="",$H1880="Mahsup"),"",$G1880&amp;"|"&amp;COUNTIFS($G$7:$G1880,$G1880,$H$7:$H1880,"&lt;&gt;Mahsup"))</f>
        <v/>
      </c>
    </row>
    <row r="1881" spans="1:21" ht="18" customHeight="1" x14ac:dyDescent="0.3">
      <c r="A1881" s="2"/>
      <c r="B1881" s="65" t="str">
        <f>IF($D1881="","","T"&amp;TEXT(ROW()-6,"00000"))</f>
        <v/>
      </c>
      <c r="C1881" s="65" t="str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61"/>
      <c r="E1881" s="66"/>
      <c r="F1881" s="67"/>
      <c r="G1881" s="60"/>
      <c r="H1881" s="60"/>
      <c r="I1881" s="61"/>
      <c r="J1881" s="61"/>
      <c r="K1881" s="61"/>
      <c r="L1881" s="73" t="str">
        <f>IF($E1881="","",DATE(YEAR($E1881),MONTH($E1881),1))</f>
        <v/>
      </c>
      <c r="M1881" s="65" t="str">
        <f ca="1">IF($D1881="","",IF($C1881="TANIMSIZ MÜŞTERİ","HATA",IF(OR($E1881="",$F1881&lt;=0,$G1881=""),"EKSİK",IF($E1881&gt;TODAY(),"İLERİ TARİH",IF(COUNTIF($S$7:$S$2503,$S1881)&gt;1,"MÜKERRER?",IF($T1881&gt;0,"KAPALI DÖNEM","UYGUN"))))))</f>
        <v/>
      </c>
      <c r="N1881" s="74" t="str">
        <f>IF($C1881="","",IF($C1881="TANIMSIZ MÜŞTERİ","—",INDEX(MUSTERILER!$C$7:$C$156,MATCH($C1881,MUSTERILER!$B$7:$B$156,0))))</f>
        <v/>
      </c>
      <c r="O1881" s="2"/>
      <c r="P1881" s="2"/>
      <c r="Q1881" s="1" t="str">
        <f>IF($D1881="","",$C1881&amp;"|"&amp;COUNTIFS($C$7:$C1881,$C1881))</f>
        <v/>
      </c>
      <c r="R1881" s="1" t="str">
        <f t="shared" si="58"/>
        <v/>
      </c>
      <c r="S1881" s="1" t="str">
        <f t="shared" si="59"/>
        <v/>
      </c>
      <c r="T1881" s="1">
        <f>IF($E1881="",0,SUMPRODUCT((AY_SONU!$O$7:$O$42="Evet")*(AY_SONU!$B$7:$B$42=DATE(YEAR($E1881),MONTH($E1881),1))))</f>
        <v>0</v>
      </c>
      <c r="U1881" s="1" t="str">
        <f>IF(OR($G1881="",$H1881="Mahsup"),"",$G1881&amp;"|"&amp;COUNTIFS($G$7:$G1881,$G1881,$H$7:$H1881,"&lt;&gt;Mahsup"))</f>
        <v/>
      </c>
    </row>
    <row r="1882" spans="1:21" ht="18" customHeight="1" x14ac:dyDescent="0.3">
      <c r="A1882" s="2"/>
      <c r="B1882" s="65" t="str">
        <f>IF($D1882="","","T"&amp;TEXT(ROW()-6,"00000"))</f>
        <v/>
      </c>
      <c r="C1882" s="65" t="str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61"/>
      <c r="E1882" s="66"/>
      <c r="F1882" s="67"/>
      <c r="G1882" s="60"/>
      <c r="H1882" s="60"/>
      <c r="I1882" s="61"/>
      <c r="J1882" s="61"/>
      <c r="K1882" s="61"/>
      <c r="L1882" s="73" t="str">
        <f>IF($E1882="","",DATE(YEAR($E1882),MONTH($E1882),1))</f>
        <v/>
      </c>
      <c r="M1882" s="65" t="str">
        <f ca="1">IF($D1882="","",IF($C1882="TANIMSIZ MÜŞTERİ","HATA",IF(OR($E1882="",$F1882&lt;=0,$G1882=""),"EKSİK",IF($E1882&gt;TODAY(),"İLERİ TARİH",IF(COUNTIF($S$7:$S$2503,$S1882)&gt;1,"MÜKERRER?",IF($T1882&gt;0,"KAPALI DÖNEM","UYGUN"))))))</f>
        <v/>
      </c>
      <c r="N1882" s="74" t="str">
        <f>IF($C1882="","",IF($C1882="TANIMSIZ MÜŞTERİ","—",INDEX(MUSTERILER!$C$7:$C$156,MATCH($C1882,MUSTERILER!$B$7:$B$156,0))))</f>
        <v/>
      </c>
      <c r="O1882" s="2"/>
      <c r="P1882" s="2"/>
      <c r="Q1882" s="1" t="str">
        <f>IF($D1882="","",$C1882&amp;"|"&amp;COUNTIFS($C$7:$C1882,$C1882))</f>
        <v/>
      </c>
      <c r="R1882" s="1" t="str">
        <f t="shared" si="58"/>
        <v/>
      </c>
      <c r="S1882" s="1" t="str">
        <f t="shared" si="59"/>
        <v/>
      </c>
      <c r="T1882" s="1">
        <f>IF($E1882="",0,SUMPRODUCT((AY_SONU!$O$7:$O$42="Evet")*(AY_SONU!$B$7:$B$42=DATE(YEAR($E1882),MONTH($E1882),1))))</f>
        <v>0</v>
      </c>
      <c r="U1882" s="1" t="str">
        <f>IF(OR($G1882="",$H1882="Mahsup"),"",$G1882&amp;"|"&amp;COUNTIFS($G$7:$G1882,$G1882,$H$7:$H1882,"&lt;&gt;Mahsup"))</f>
        <v/>
      </c>
    </row>
    <row r="1883" spans="1:21" ht="18" customHeight="1" x14ac:dyDescent="0.3">
      <c r="A1883" s="2"/>
      <c r="B1883" s="65" t="str">
        <f>IF($D1883="","","T"&amp;TEXT(ROW()-6,"00000"))</f>
        <v/>
      </c>
      <c r="C1883" s="65" t="str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61"/>
      <c r="E1883" s="66"/>
      <c r="F1883" s="67"/>
      <c r="G1883" s="60"/>
      <c r="H1883" s="60"/>
      <c r="I1883" s="61"/>
      <c r="J1883" s="61"/>
      <c r="K1883" s="61"/>
      <c r="L1883" s="73" t="str">
        <f>IF($E1883="","",DATE(YEAR($E1883),MONTH($E1883),1))</f>
        <v/>
      </c>
      <c r="M1883" s="65" t="str">
        <f ca="1">IF($D1883="","",IF($C1883="TANIMSIZ MÜŞTERİ","HATA",IF(OR($E1883="",$F1883&lt;=0,$G1883=""),"EKSİK",IF($E1883&gt;TODAY(),"İLERİ TARİH",IF(COUNTIF($S$7:$S$2503,$S1883)&gt;1,"MÜKERRER?",IF($T1883&gt;0,"KAPALI DÖNEM","UYGUN"))))))</f>
        <v/>
      </c>
      <c r="N1883" s="74" t="str">
        <f>IF($C1883="","",IF($C1883="TANIMSIZ MÜŞTERİ","—",INDEX(MUSTERILER!$C$7:$C$156,MATCH($C1883,MUSTERILER!$B$7:$B$156,0))))</f>
        <v/>
      </c>
      <c r="O1883" s="2"/>
      <c r="P1883" s="2"/>
      <c r="Q1883" s="1" t="str">
        <f>IF($D1883="","",$C1883&amp;"|"&amp;COUNTIFS($C$7:$C1883,$C1883))</f>
        <v/>
      </c>
      <c r="R1883" s="1" t="str">
        <f t="shared" si="58"/>
        <v/>
      </c>
      <c r="S1883" s="1" t="str">
        <f t="shared" si="59"/>
        <v/>
      </c>
      <c r="T1883" s="1">
        <f>IF($E1883="",0,SUMPRODUCT((AY_SONU!$O$7:$O$42="Evet")*(AY_SONU!$B$7:$B$42=DATE(YEAR($E1883),MONTH($E1883),1))))</f>
        <v>0</v>
      </c>
      <c r="U1883" s="1" t="str">
        <f>IF(OR($G1883="",$H1883="Mahsup"),"",$G1883&amp;"|"&amp;COUNTIFS($G$7:$G1883,$G1883,$H$7:$H1883,"&lt;&gt;Mahsup"))</f>
        <v/>
      </c>
    </row>
    <row r="1884" spans="1:21" ht="18" customHeight="1" x14ac:dyDescent="0.3">
      <c r="A1884" s="2"/>
      <c r="B1884" s="65" t="str">
        <f>IF($D1884="","","T"&amp;TEXT(ROW()-6,"00000"))</f>
        <v/>
      </c>
      <c r="C1884" s="65" t="str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61"/>
      <c r="E1884" s="66"/>
      <c r="F1884" s="67"/>
      <c r="G1884" s="60"/>
      <c r="H1884" s="60"/>
      <c r="I1884" s="61"/>
      <c r="J1884" s="61"/>
      <c r="K1884" s="61"/>
      <c r="L1884" s="73" t="str">
        <f>IF($E1884="","",DATE(YEAR($E1884),MONTH($E1884),1))</f>
        <v/>
      </c>
      <c r="M1884" s="65" t="str">
        <f ca="1">IF($D1884="","",IF($C1884="TANIMSIZ MÜŞTERİ","HATA",IF(OR($E1884="",$F1884&lt;=0,$G1884=""),"EKSİK",IF($E1884&gt;TODAY(),"İLERİ TARİH",IF(COUNTIF($S$7:$S$2503,$S1884)&gt;1,"MÜKERRER?",IF($T1884&gt;0,"KAPALI DÖNEM","UYGUN"))))))</f>
        <v/>
      </c>
      <c r="N1884" s="74" t="str">
        <f>IF($C1884="","",IF($C1884="TANIMSIZ MÜŞTERİ","—",INDEX(MUSTERILER!$C$7:$C$156,MATCH($C1884,MUSTERILER!$B$7:$B$156,0))))</f>
        <v/>
      </c>
      <c r="O1884" s="2"/>
      <c r="P1884" s="2"/>
      <c r="Q1884" s="1" t="str">
        <f>IF($D1884="","",$C1884&amp;"|"&amp;COUNTIFS($C$7:$C1884,$C1884))</f>
        <v/>
      </c>
      <c r="R1884" s="1" t="str">
        <f t="shared" si="58"/>
        <v/>
      </c>
      <c r="S1884" s="1" t="str">
        <f t="shared" si="59"/>
        <v/>
      </c>
      <c r="T1884" s="1">
        <f>IF($E1884="",0,SUMPRODUCT((AY_SONU!$O$7:$O$42="Evet")*(AY_SONU!$B$7:$B$42=DATE(YEAR($E1884),MONTH($E1884),1))))</f>
        <v>0</v>
      </c>
      <c r="U1884" s="1" t="str">
        <f>IF(OR($G1884="",$H1884="Mahsup"),"",$G1884&amp;"|"&amp;COUNTIFS($G$7:$G1884,$G1884,$H$7:$H1884,"&lt;&gt;Mahsup"))</f>
        <v/>
      </c>
    </row>
    <row r="1885" spans="1:21" ht="18" customHeight="1" x14ac:dyDescent="0.3">
      <c r="A1885" s="2"/>
      <c r="B1885" s="65" t="str">
        <f>IF($D1885="","","T"&amp;TEXT(ROW()-6,"00000"))</f>
        <v/>
      </c>
      <c r="C1885" s="65" t="str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61"/>
      <c r="E1885" s="66"/>
      <c r="F1885" s="67"/>
      <c r="G1885" s="60"/>
      <c r="H1885" s="60"/>
      <c r="I1885" s="61"/>
      <c r="J1885" s="61"/>
      <c r="K1885" s="61"/>
      <c r="L1885" s="73" t="str">
        <f>IF($E1885="","",DATE(YEAR($E1885),MONTH($E1885),1))</f>
        <v/>
      </c>
      <c r="M1885" s="65" t="str">
        <f ca="1">IF($D1885="","",IF($C1885="TANIMSIZ MÜŞTERİ","HATA",IF(OR($E1885="",$F1885&lt;=0,$G1885=""),"EKSİK",IF($E1885&gt;TODAY(),"İLERİ TARİH",IF(COUNTIF($S$7:$S$2503,$S1885)&gt;1,"MÜKERRER?",IF($T1885&gt;0,"KAPALI DÖNEM","UYGUN"))))))</f>
        <v/>
      </c>
      <c r="N1885" s="74" t="str">
        <f>IF($C1885="","",IF($C1885="TANIMSIZ MÜŞTERİ","—",INDEX(MUSTERILER!$C$7:$C$156,MATCH($C1885,MUSTERILER!$B$7:$B$156,0))))</f>
        <v/>
      </c>
      <c r="O1885" s="2"/>
      <c r="P1885" s="2"/>
      <c r="Q1885" s="1" t="str">
        <f>IF($D1885="","",$C1885&amp;"|"&amp;COUNTIFS($C$7:$C1885,$C1885))</f>
        <v/>
      </c>
      <c r="R1885" s="1" t="str">
        <f t="shared" si="58"/>
        <v/>
      </c>
      <c r="S1885" s="1" t="str">
        <f t="shared" si="59"/>
        <v/>
      </c>
      <c r="T1885" s="1">
        <f>IF($E1885="",0,SUMPRODUCT((AY_SONU!$O$7:$O$42="Evet")*(AY_SONU!$B$7:$B$42=DATE(YEAR($E1885),MONTH($E1885),1))))</f>
        <v>0</v>
      </c>
      <c r="U1885" s="1" t="str">
        <f>IF(OR($G1885="",$H1885="Mahsup"),"",$G1885&amp;"|"&amp;COUNTIFS($G$7:$G1885,$G1885,$H$7:$H1885,"&lt;&gt;Mahsup"))</f>
        <v/>
      </c>
    </row>
    <row r="1886" spans="1:21" ht="18" customHeight="1" x14ac:dyDescent="0.3">
      <c r="A1886" s="2"/>
      <c r="B1886" s="65" t="str">
        <f>IF($D1886="","","T"&amp;TEXT(ROW()-6,"00000"))</f>
        <v/>
      </c>
      <c r="C1886" s="65" t="str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61"/>
      <c r="E1886" s="66"/>
      <c r="F1886" s="67"/>
      <c r="G1886" s="60"/>
      <c r="H1886" s="60"/>
      <c r="I1886" s="61"/>
      <c r="J1886" s="61"/>
      <c r="K1886" s="61"/>
      <c r="L1886" s="73" t="str">
        <f>IF($E1886="","",DATE(YEAR($E1886),MONTH($E1886),1))</f>
        <v/>
      </c>
      <c r="M1886" s="65" t="str">
        <f ca="1">IF($D1886="","",IF($C1886="TANIMSIZ MÜŞTERİ","HATA",IF(OR($E1886="",$F1886&lt;=0,$G1886=""),"EKSİK",IF($E1886&gt;TODAY(),"İLERİ TARİH",IF(COUNTIF($S$7:$S$2503,$S1886)&gt;1,"MÜKERRER?",IF($T1886&gt;0,"KAPALI DÖNEM","UYGUN"))))))</f>
        <v/>
      </c>
      <c r="N1886" s="74" t="str">
        <f>IF($C1886="","",IF($C1886="TANIMSIZ MÜŞTERİ","—",INDEX(MUSTERILER!$C$7:$C$156,MATCH($C1886,MUSTERILER!$B$7:$B$156,0))))</f>
        <v/>
      </c>
      <c r="O1886" s="2"/>
      <c r="P1886" s="2"/>
      <c r="Q1886" s="1" t="str">
        <f>IF($D1886="","",$C1886&amp;"|"&amp;COUNTIFS($C$7:$C1886,$C1886))</f>
        <v/>
      </c>
      <c r="R1886" s="1" t="str">
        <f t="shared" si="58"/>
        <v/>
      </c>
      <c r="S1886" s="1" t="str">
        <f t="shared" si="59"/>
        <v/>
      </c>
      <c r="T1886" s="1">
        <f>IF($E1886="",0,SUMPRODUCT((AY_SONU!$O$7:$O$42="Evet")*(AY_SONU!$B$7:$B$42=DATE(YEAR($E1886),MONTH($E1886),1))))</f>
        <v>0</v>
      </c>
      <c r="U1886" s="1" t="str">
        <f>IF(OR($G1886="",$H1886="Mahsup"),"",$G1886&amp;"|"&amp;COUNTIFS($G$7:$G1886,$G1886,$H$7:$H1886,"&lt;&gt;Mahsup"))</f>
        <v/>
      </c>
    </row>
    <row r="1887" spans="1:21" ht="18" customHeight="1" x14ac:dyDescent="0.3">
      <c r="A1887" s="2"/>
      <c r="B1887" s="65" t="str">
        <f>IF($D1887="","","T"&amp;TEXT(ROW()-6,"00000"))</f>
        <v/>
      </c>
      <c r="C1887" s="65" t="str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61"/>
      <c r="E1887" s="66"/>
      <c r="F1887" s="67"/>
      <c r="G1887" s="60"/>
      <c r="H1887" s="60"/>
      <c r="I1887" s="61"/>
      <c r="J1887" s="61"/>
      <c r="K1887" s="61"/>
      <c r="L1887" s="73" t="str">
        <f>IF($E1887="","",DATE(YEAR($E1887),MONTH($E1887),1))</f>
        <v/>
      </c>
      <c r="M1887" s="65" t="str">
        <f ca="1">IF($D1887="","",IF($C1887="TANIMSIZ MÜŞTERİ","HATA",IF(OR($E1887="",$F1887&lt;=0,$G1887=""),"EKSİK",IF($E1887&gt;TODAY(),"İLERİ TARİH",IF(COUNTIF($S$7:$S$2503,$S1887)&gt;1,"MÜKERRER?",IF($T1887&gt;0,"KAPALI DÖNEM","UYGUN"))))))</f>
        <v/>
      </c>
      <c r="N1887" s="74" t="str">
        <f>IF($C1887="","",IF($C1887="TANIMSIZ MÜŞTERİ","—",INDEX(MUSTERILER!$C$7:$C$156,MATCH($C1887,MUSTERILER!$B$7:$B$156,0))))</f>
        <v/>
      </c>
      <c r="O1887" s="2"/>
      <c r="P1887" s="2"/>
      <c r="Q1887" s="1" t="str">
        <f>IF($D1887="","",$C1887&amp;"|"&amp;COUNTIFS($C$7:$C1887,$C1887))</f>
        <v/>
      </c>
      <c r="R1887" s="1" t="str">
        <f t="shared" si="58"/>
        <v/>
      </c>
      <c r="S1887" s="1" t="str">
        <f t="shared" si="59"/>
        <v/>
      </c>
      <c r="T1887" s="1">
        <f>IF($E1887="",0,SUMPRODUCT((AY_SONU!$O$7:$O$42="Evet")*(AY_SONU!$B$7:$B$42=DATE(YEAR($E1887),MONTH($E1887),1))))</f>
        <v>0</v>
      </c>
      <c r="U1887" s="1" t="str">
        <f>IF(OR($G1887="",$H1887="Mahsup"),"",$G1887&amp;"|"&amp;COUNTIFS($G$7:$G1887,$G1887,$H$7:$H1887,"&lt;&gt;Mahsup"))</f>
        <v/>
      </c>
    </row>
    <row r="1888" spans="1:21" ht="18" customHeight="1" x14ac:dyDescent="0.3">
      <c r="A1888" s="2"/>
      <c r="B1888" s="65" t="str">
        <f>IF($D1888="","","T"&amp;TEXT(ROW()-6,"00000"))</f>
        <v/>
      </c>
      <c r="C1888" s="65" t="str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61"/>
      <c r="E1888" s="66"/>
      <c r="F1888" s="67"/>
      <c r="G1888" s="60"/>
      <c r="H1888" s="60"/>
      <c r="I1888" s="61"/>
      <c r="J1888" s="61"/>
      <c r="K1888" s="61"/>
      <c r="L1888" s="73" t="str">
        <f>IF($E1888="","",DATE(YEAR($E1888),MONTH($E1888),1))</f>
        <v/>
      </c>
      <c r="M1888" s="65" t="str">
        <f ca="1">IF($D1888="","",IF($C1888="TANIMSIZ MÜŞTERİ","HATA",IF(OR($E1888="",$F1888&lt;=0,$G1888=""),"EKSİK",IF($E1888&gt;TODAY(),"İLERİ TARİH",IF(COUNTIF($S$7:$S$2503,$S1888)&gt;1,"MÜKERRER?",IF($T1888&gt;0,"KAPALI DÖNEM","UYGUN"))))))</f>
        <v/>
      </c>
      <c r="N1888" s="74" t="str">
        <f>IF($C1888="","",IF($C1888="TANIMSIZ MÜŞTERİ","—",INDEX(MUSTERILER!$C$7:$C$156,MATCH($C1888,MUSTERILER!$B$7:$B$156,0))))</f>
        <v/>
      </c>
      <c r="O1888" s="2"/>
      <c r="P1888" s="2"/>
      <c r="Q1888" s="1" t="str">
        <f>IF($D1888="","",$C1888&amp;"|"&amp;COUNTIFS($C$7:$C1888,$C1888))</f>
        <v/>
      </c>
      <c r="R1888" s="1" t="str">
        <f t="shared" si="58"/>
        <v/>
      </c>
      <c r="S1888" s="1" t="str">
        <f t="shared" si="59"/>
        <v/>
      </c>
      <c r="T1888" s="1">
        <f>IF($E1888="",0,SUMPRODUCT((AY_SONU!$O$7:$O$42="Evet")*(AY_SONU!$B$7:$B$42=DATE(YEAR($E1888),MONTH($E1888),1))))</f>
        <v>0</v>
      </c>
      <c r="U1888" s="1" t="str">
        <f>IF(OR($G1888="",$H1888="Mahsup"),"",$G1888&amp;"|"&amp;COUNTIFS($G$7:$G1888,$G1888,$H$7:$H1888,"&lt;&gt;Mahsup"))</f>
        <v/>
      </c>
    </row>
    <row r="1889" spans="1:21" ht="18" customHeight="1" x14ac:dyDescent="0.3">
      <c r="A1889" s="2"/>
      <c r="B1889" s="65" t="str">
        <f>IF($D1889="","","T"&amp;TEXT(ROW()-6,"00000"))</f>
        <v/>
      </c>
      <c r="C1889" s="65" t="str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61"/>
      <c r="E1889" s="66"/>
      <c r="F1889" s="67"/>
      <c r="G1889" s="60"/>
      <c r="H1889" s="60"/>
      <c r="I1889" s="61"/>
      <c r="J1889" s="61"/>
      <c r="K1889" s="61"/>
      <c r="L1889" s="73" t="str">
        <f>IF($E1889="","",DATE(YEAR($E1889),MONTH($E1889),1))</f>
        <v/>
      </c>
      <c r="M1889" s="65" t="str">
        <f ca="1">IF($D1889="","",IF($C1889="TANIMSIZ MÜŞTERİ","HATA",IF(OR($E1889="",$F1889&lt;=0,$G1889=""),"EKSİK",IF($E1889&gt;TODAY(),"İLERİ TARİH",IF(COUNTIF($S$7:$S$2503,$S1889)&gt;1,"MÜKERRER?",IF($T1889&gt;0,"KAPALI DÖNEM","UYGUN"))))))</f>
        <v/>
      </c>
      <c r="N1889" s="74" t="str">
        <f>IF($C1889="","",IF($C1889="TANIMSIZ MÜŞTERİ","—",INDEX(MUSTERILER!$C$7:$C$156,MATCH($C1889,MUSTERILER!$B$7:$B$156,0))))</f>
        <v/>
      </c>
      <c r="O1889" s="2"/>
      <c r="P1889" s="2"/>
      <c r="Q1889" s="1" t="str">
        <f>IF($D1889="","",$C1889&amp;"|"&amp;COUNTIFS($C$7:$C1889,$C1889))</f>
        <v/>
      </c>
      <c r="R1889" s="1" t="str">
        <f t="shared" si="58"/>
        <v/>
      </c>
      <c r="S1889" s="1" t="str">
        <f t="shared" si="59"/>
        <v/>
      </c>
      <c r="T1889" s="1">
        <f>IF($E1889="",0,SUMPRODUCT((AY_SONU!$O$7:$O$42="Evet")*(AY_SONU!$B$7:$B$42=DATE(YEAR($E1889),MONTH($E1889),1))))</f>
        <v>0</v>
      </c>
      <c r="U1889" s="1" t="str">
        <f>IF(OR($G1889="",$H1889="Mahsup"),"",$G1889&amp;"|"&amp;COUNTIFS($G$7:$G1889,$G1889,$H$7:$H1889,"&lt;&gt;Mahsup"))</f>
        <v/>
      </c>
    </row>
    <row r="1890" spans="1:21" ht="18" customHeight="1" x14ac:dyDescent="0.3">
      <c r="A1890" s="2"/>
      <c r="B1890" s="65" t="str">
        <f>IF($D1890="","","T"&amp;TEXT(ROW()-6,"00000"))</f>
        <v/>
      </c>
      <c r="C1890" s="65" t="str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61"/>
      <c r="E1890" s="66"/>
      <c r="F1890" s="67"/>
      <c r="G1890" s="60"/>
      <c r="H1890" s="60"/>
      <c r="I1890" s="61"/>
      <c r="J1890" s="61"/>
      <c r="K1890" s="61"/>
      <c r="L1890" s="73" t="str">
        <f>IF($E1890="","",DATE(YEAR($E1890),MONTH($E1890),1))</f>
        <v/>
      </c>
      <c r="M1890" s="65" t="str">
        <f ca="1">IF($D1890="","",IF($C1890="TANIMSIZ MÜŞTERİ","HATA",IF(OR($E1890="",$F1890&lt;=0,$G1890=""),"EKSİK",IF($E1890&gt;TODAY(),"İLERİ TARİH",IF(COUNTIF($S$7:$S$2503,$S1890)&gt;1,"MÜKERRER?",IF($T1890&gt;0,"KAPALI DÖNEM","UYGUN"))))))</f>
        <v/>
      </c>
      <c r="N1890" s="74" t="str">
        <f>IF($C1890="","",IF($C1890="TANIMSIZ MÜŞTERİ","—",INDEX(MUSTERILER!$C$7:$C$156,MATCH($C1890,MUSTERILER!$B$7:$B$156,0))))</f>
        <v/>
      </c>
      <c r="O1890" s="2"/>
      <c r="P1890" s="2"/>
      <c r="Q1890" s="1" t="str">
        <f>IF($D1890="","",$C1890&amp;"|"&amp;COUNTIFS($C$7:$C1890,$C1890))</f>
        <v/>
      </c>
      <c r="R1890" s="1" t="str">
        <f t="shared" si="58"/>
        <v/>
      </c>
      <c r="S1890" s="1" t="str">
        <f t="shared" si="59"/>
        <v/>
      </c>
      <c r="T1890" s="1">
        <f>IF($E1890="",0,SUMPRODUCT((AY_SONU!$O$7:$O$42="Evet")*(AY_SONU!$B$7:$B$42=DATE(YEAR($E1890),MONTH($E1890),1))))</f>
        <v>0</v>
      </c>
      <c r="U1890" s="1" t="str">
        <f>IF(OR($G1890="",$H1890="Mahsup"),"",$G1890&amp;"|"&amp;COUNTIFS($G$7:$G1890,$G1890,$H$7:$H1890,"&lt;&gt;Mahsup"))</f>
        <v/>
      </c>
    </row>
    <row r="1891" spans="1:21" ht="18" customHeight="1" x14ac:dyDescent="0.3">
      <c r="A1891" s="2"/>
      <c r="B1891" s="65" t="str">
        <f>IF($D1891="","","T"&amp;TEXT(ROW()-6,"00000"))</f>
        <v/>
      </c>
      <c r="C1891" s="65" t="str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61"/>
      <c r="E1891" s="66"/>
      <c r="F1891" s="67"/>
      <c r="G1891" s="60"/>
      <c r="H1891" s="60"/>
      <c r="I1891" s="61"/>
      <c r="J1891" s="61"/>
      <c r="K1891" s="61"/>
      <c r="L1891" s="73" t="str">
        <f>IF($E1891="","",DATE(YEAR($E1891),MONTH($E1891),1))</f>
        <v/>
      </c>
      <c r="M1891" s="65" t="str">
        <f ca="1">IF($D1891="","",IF($C1891="TANIMSIZ MÜŞTERİ","HATA",IF(OR($E1891="",$F1891&lt;=0,$G1891=""),"EKSİK",IF($E1891&gt;TODAY(),"İLERİ TARİH",IF(COUNTIF($S$7:$S$2503,$S1891)&gt;1,"MÜKERRER?",IF($T1891&gt;0,"KAPALI DÖNEM","UYGUN"))))))</f>
        <v/>
      </c>
      <c r="N1891" s="74" t="str">
        <f>IF($C1891="","",IF($C1891="TANIMSIZ MÜŞTERİ","—",INDEX(MUSTERILER!$C$7:$C$156,MATCH($C1891,MUSTERILER!$B$7:$B$156,0))))</f>
        <v/>
      </c>
      <c r="O1891" s="2"/>
      <c r="P1891" s="2"/>
      <c r="Q1891" s="1" t="str">
        <f>IF($D1891="","",$C1891&amp;"|"&amp;COUNTIFS($C$7:$C1891,$C1891))</f>
        <v/>
      </c>
      <c r="R1891" s="1" t="str">
        <f t="shared" si="58"/>
        <v/>
      </c>
      <c r="S1891" s="1" t="str">
        <f t="shared" si="59"/>
        <v/>
      </c>
      <c r="T1891" s="1">
        <f>IF($E1891="",0,SUMPRODUCT((AY_SONU!$O$7:$O$42="Evet")*(AY_SONU!$B$7:$B$42=DATE(YEAR($E1891),MONTH($E1891),1))))</f>
        <v>0</v>
      </c>
      <c r="U1891" s="1" t="str">
        <f>IF(OR($G1891="",$H1891="Mahsup"),"",$G1891&amp;"|"&amp;COUNTIFS($G$7:$G1891,$G1891,$H$7:$H1891,"&lt;&gt;Mahsup"))</f>
        <v/>
      </c>
    </row>
    <row r="1892" spans="1:21" ht="18" customHeight="1" x14ac:dyDescent="0.3">
      <c r="A1892" s="2"/>
      <c r="B1892" s="65" t="str">
        <f>IF($D1892="","","T"&amp;TEXT(ROW()-6,"00000"))</f>
        <v/>
      </c>
      <c r="C1892" s="65" t="str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61"/>
      <c r="E1892" s="66"/>
      <c r="F1892" s="67"/>
      <c r="G1892" s="60"/>
      <c r="H1892" s="60"/>
      <c r="I1892" s="61"/>
      <c r="J1892" s="61"/>
      <c r="K1892" s="61"/>
      <c r="L1892" s="73" t="str">
        <f>IF($E1892="","",DATE(YEAR($E1892),MONTH($E1892),1))</f>
        <v/>
      </c>
      <c r="M1892" s="65" t="str">
        <f ca="1">IF($D1892="","",IF($C1892="TANIMSIZ MÜŞTERİ","HATA",IF(OR($E1892="",$F1892&lt;=0,$G1892=""),"EKSİK",IF($E1892&gt;TODAY(),"İLERİ TARİH",IF(COUNTIF($S$7:$S$2503,$S1892)&gt;1,"MÜKERRER?",IF($T1892&gt;0,"KAPALI DÖNEM","UYGUN"))))))</f>
        <v/>
      </c>
      <c r="N1892" s="74" t="str">
        <f>IF($C1892="","",IF($C1892="TANIMSIZ MÜŞTERİ","—",INDEX(MUSTERILER!$C$7:$C$156,MATCH($C1892,MUSTERILER!$B$7:$B$156,0))))</f>
        <v/>
      </c>
      <c r="O1892" s="2"/>
      <c r="P1892" s="2"/>
      <c r="Q1892" s="1" t="str">
        <f>IF($D1892="","",$C1892&amp;"|"&amp;COUNTIFS($C$7:$C1892,$C1892))</f>
        <v/>
      </c>
      <c r="R1892" s="1" t="str">
        <f t="shared" si="58"/>
        <v/>
      </c>
      <c r="S1892" s="1" t="str">
        <f t="shared" si="59"/>
        <v/>
      </c>
      <c r="T1892" s="1">
        <f>IF($E1892="",0,SUMPRODUCT((AY_SONU!$O$7:$O$42="Evet")*(AY_SONU!$B$7:$B$42=DATE(YEAR($E1892),MONTH($E1892),1))))</f>
        <v>0</v>
      </c>
      <c r="U1892" s="1" t="str">
        <f>IF(OR($G1892="",$H1892="Mahsup"),"",$G1892&amp;"|"&amp;COUNTIFS($G$7:$G1892,$G1892,$H$7:$H1892,"&lt;&gt;Mahsup"))</f>
        <v/>
      </c>
    </row>
    <row r="1893" spans="1:21" ht="18" customHeight="1" x14ac:dyDescent="0.3">
      <c r="A1893" s="2"/>
      <c r="B1893" s="65" t="str">
        <f>IF($D1893="","","T"&amp;TEXT(ROW()-6,"00000"))</f>
        <v/>
      </c>
      <c r="C1893" s="65" t="str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61"/>
      <c r="E1893" s="66"/>
      <c r="F1893" s="67"/>
      <c r="G1893" s="60"/>
      <c r="H1893" s="60"/>
      <c r="I1893" s="61"/>
      <c r="J1893" s="61"/>
      <c r="K1893" s="61"/>
      <c r="L1893" s="73" t="str">
        <f>IF($E1893="","",DATE(YEAR($E1893),MONTH($E1893),1))</f>
        <v/>
      </c>
      <c r="M1893" s="65" t="str">
        <f ca="1">IF($D1893="","",IF($C1893="TANIMSIZ MÜŞTERİ","HATA",IF(OR($E1893="",$F1893&lt;=0,$G1893=""),"EKSİK",IF($E1893&gt;TODAY(),"İLERİ TARİH",IF(COUNTIF($S$7:$S$2503,$S1893)&gt;1,"MÜKERRER?",IF($T1893&gt;0,"KAPALI DÖNEM","UYGUN"))))))</f>
        <v/>
      </c>
      <c r="N1893" s="74" t="str">
        <f>IF($C1893="","",IF($C1893="TANIMSIZ MÜŞTERİ","—",INDEX(MUSTERILER!$C$7:$C$156,MATCH($C1893,MUSTERILER!$B$7:$B$156,0))))</f>
        <v/>
      </c>
      <c r="O1893" s="2"/>
      <c r="P1893" s="2"/>
      <c r="Q1893" s="1" t="str">
        <f>IF($D1893="","",$C1893&amp;"|"&amp;COUNTIFS($C$7:$C1893,$C1893))</f>
        <v/>
      </c>
      <c r="R1893" s="1" t="str">
        <f t="shared" si="58"/>
        <v/>
      </c>
      <c r="S1893" s="1" t="str">
        <f t="shared" si="59"/>
        <v/>
      </c>
      <c r="T1893" s="1">
        <f>IF($E1893="",0,SUMPRODUCT((AY_SONU!$O$7:$O$42="Evet")*(AY_SONU!$B$7:$B$42=DATE(YEAR($E1893),MONTH($E1893),1))))</f>
        <v>0</v>
      </c>
      <c r="U1893" s="1" t="str">
        <f>IF(OR($G1893="",$H1893="Mahsup"),"",$G1893&amp;"|"&amp;COUNTIFS($G$7:$G1893,$G1893,$H$7:$H1893,"&lt;&gt;Mahsup"))</f>
        <v/>
      </c>
    </row>
    <row r="1894" spans="1:21" ht="18" customHeight="1" x14ac:dyDescent="0.3">
      <c r="A1894" s="2"/>
      <c r="B1894" s="65" t="str">
        <f>IF($D1894="","","T"&amp;TEXT(ROW()-6,"00000"))</f>
        <v/>
      </c>
      <c r="C1894" s="65" t="str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61"/>
      <c r="E1894" s="66"/>
      <c r="F1894" s="67"/>
      <c r="G1894" s="60"/>
      <c r="H1894" s="60"/>
      <c r="I1894" s="61"/>
      <c r="J1894" s="61"/>
      <c r="K1894" s="61"/>
      <c r="L1894" s="73" t="str">
        <f>IF($E1894="","",DATE(YEAR($E1894),MONTH($E1894),1))</f>
        <v/>
      </c>
      <c r="M1894" s="65" t="str">
        <f ca="1">IF($D1894="","",IF($C1894="TANIMSIZ MÜŞTERİ","HATA",IF(OR($E1894="",$F1894&lt;=0,$G1894=""),"EKSİK",IF($E1894&gt;TODAY(),"İLERİ TARİH",IF(COUNTIF($S$7:$S$2503,$S1894)&gt;1,"MÜKERRER?",IF($T1894&gt;0,"KAPALI DÖNEM","UYGUN"))))))</f>
        <v/>
      </c>
      <c r="N1894" s="74" t="str">
        <f>IF($C1894="","",IF($C1894="TANIMSIZ MÜŞTERİ","—",INDEX(MUSTERILER!$C$7:$C$156,MATCH($C1894,MUSTERILER!$B$7:$B$156,0))))</f>
        <v/>
      </c>
      <c r="O1894" s="2"/>
      <c r="P1894" s="2"/>
      <c r="Q1894" s="1" t="str">
        <f>IF($D1894="","",$C1894&amp;"|"&amp;COUNTIFS($C$7:$C1894,$C1894))</f>
        <v/>
      </c>
      <c r="R1894" s="1" t="str">
        <f t="shared" si="58"/>
        <v/>
      </c>
      <c r="S1894" s="1" t="str">
        <f t="shared" si="59"/>
        <v/>
      </c>
      <c r="T1894" s="1">
        <f>IF($E1894="",0,SUMPRODUCT((AY_SONU!$O$7:$O$42="Evet")*(AY_SONU!$B$7:$B$42=DATE(YEAR($E1894),MONTH($E1894),1))))</f>
        <v>0</v>
      </c>
      <c r="U1894" s="1" t="str">
        <f>IF(OR($G1894="",$H1894="Mahsup"),"",$G1894&amp;"|"&amp;COUNTIFS($G$7:$G1894,$G1894,$H$7:$H1894,"&lt;&gt;Mahsup"))</f>
        <v/>
      </c>
    </row>
    <row r="1895" spans="1:21" ht="18" customHeight="1" x14ac:dyDescent="0.3">
      <c r="A1895" s="2"/>
      <c r="B1895" s="65" t="str">
        <f>IF($D1895="","","T"&amp;TEXT(ROW()-6,"00000"))</f>
        <v/>
      </c>
      <c r="C1895" s="65" t="str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61"/>
      <c r="E1895" s="66"/>
      <c r="F1895" s="67"/>
      <c r="G1895" s="60"/>
      <c r="H1895" s="60"/>
      <c r="I1895" s="61"/>
      <c r="J1895" s="61"/>
      <c r="K1895" s="61"/>
      <c r="L1895" s="73" t="str">
        <f>IF($E1895="","",DATE(YEAR($E1895),MONTH($E1895),1))</f>
        <v/>
      </c>
      <c r="M1895" s="65" t="str">
        <f ca="1">IF($D1895="","",IF($C1895="TANIMSIZ MÜŞTERİ","HATA",IF(OR($E1895="",$F1895&lt;=0,$G1895=""),"EKSİK",IF($E1895&gt;TODAY(),"İLERİ TARİH",IF(COUNTIF($S$7:$S$2503,$S1895)&gt;1,"MÜKERRER?",IF($T1895&gt;0,"KAPALI DÖNEM","UYGUN"))))))</f>
        <v/>
      </c>
      <c r="N1895" s="74" t="str">
        <f>IF($C1895="","",IF($C1895="TANIMSIZ MÜŞTERİ","—",INDEX(MUSTERILER!$C$7:$C$156,MATCH($C1895,MUSTERILER!$B$7:$B$156,0))))</f>
        <v/>
      </c>
      <c r="O1895" s="2"/>
      <c r="P1895" s="2"/>
      <c r="Q1895" s="1" t="str">
        <f>IF($D1895="","",$C1895&amp;"|"&amp;COUNTIFS($C$7:$C1895,$C1895))</f>
        <v/>
      </c>
      <c r="R1895" s="1" t="str">
        <f t="shared" si="58"/>
        <v/>
      </c>
      <c r="S1895" s="1" t="str">
        <f t="shared" si="59"/>
        <v/>
      </c>
      <c r="T1895" s="1">
        <f>IF($E1895="",0,SUMPRODUCT((AY_SONU!$O$7:$O$42="Evet")*(AY_SONU!$B$7:$B$42=DATE(YEAR($E1895),MONTH($E1895),1))))</f>
        <v>0</v>
      </c>
      <c r="U1895" s="1" t="str">
        <f>IF(OR($G1895="",$H1895="Mahsup"),"",$G1895&amp;"|"&amp;COUNTIFS($G$7:$G1895,$G1895,$H$7:$H1895,"&lt;&gt;Mahsup"))</f>
        <v/>
      </c>
    </row>
    <row r="1896" spans="1:21" ht="18" customHeight="1" x14ac:dyDescent="0.3">
      <c r="A1896" s="2"/>
      <c r="B1896" s="65" t="str">
        <f>IF($D1896="","","T"&amp;TEXT(ROW()-6,"00000"))</f>
        <v/>
      </c>
      <c r="C1896" s="65" t="str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61"/>
      <c r="E1896" s="66"/>
      <c r="F1896" s="67"/>
      <c r="G1896" s="60"/>
      <c r="H1896" s="60"/>
      <c r="I1896" s="61"/>
      <c r="J1896" s="61"/>
      <c r="K1896" s="61"/>
      <c r="L1896" s="73" t="str">
        <f>IF($E1896="","",DATE(YEAR($E1896),MONTH($E1896),1))</f>
        <v/>
      </c>
      <c r="M1896" s="65" t="str">
        <f ca="1">IF($D1896="","",IF($C1896="TANIMSIZ MÜŞTERİ","HATA",IF(OR($E1896="",$F1896&lt;=0,$G1896=""),"EKSİK",IF($E1896&gt;TODAY(),"İLERİ TARİH",IF(COUNTIF($S$7:$S$2503,$S1896)&gt;1,"MÜKERRER?",IF($T1896&gt;0,"KAPALI DÖNEM","UYGUN"))))))</f>
        <v/>
      </c>
      <c r="N1896" s="74" t="str">
        <f>IF($C1896="","",IF($C1896="TANIMSIZ MÜŞTERİ","—",INDEX(MUSTERILER!$C$7:$C$156,MATCH($C1896,MUSTERILER!$B$7:$B$156,0))))</f>
        <v/>
      </c>
      <c r="O1896" s="2"/>
      <c r="P1896" s="2"/>
      <c r="Q1896" s="1" t="str">
        <f>IF($D1896="","",$C1896&amp;"|"&amp;COUNTIFS($C$7:$C1896,$C1896))</f>
        <v/>
      </c>
      <c r="R1896" s="1" t="str">
        <f t="shared" si="58"/>
        <v/>
      </c>
      <c r="S1896" s="1" t="str">
        <f t="shared" si="59"/>
        <v/>
      </c>
      <c r="T1896" s="1">
        <f>IF($E1896="",0,SUMPRODUCT((AY_SONU!$O$7:$O$42="Evet")*(AY_SONU!$B$7:$B$42=DATE(YEAR($E1896),MONTH($E1896),1))))</f>
        <v>0</v>
      </c>
      <c r="U1896" s="1" t="str">
        <f>IF(OR($G1896="",$H1896="Mahsup"),"",$G1896&amp;"|"&amp;COUNTIFS($G$7:$G1896,$G1896,$H$7:$H1896,"&lt;&gt;Mahsup"))</f>
        <v/>
      </c>
    </row>
    <row r="1897" spans="1:21" ht="18" customHeight="1" x14ac:dyDescent="0.3">
      <c r="A1897" s="2"/>
      <c r="B1897" s="65" t="str">
        <f>IF($D1897="","","T"&amp;TEXT(ROW()-6,"00000"))</f>
        <v/>
      </c>
      <c r="C1897" s="65" t="str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61"/>
      <c r="E1897" s="66"/>
      <c r="F1897" s="67"/>
      <c r="G1897" s="60"/>
      <c r="H1897" s="60"/>
      <c r="I1897" s="61"/>
      <c r="J1897" s="61"/>
      <c r="K1897" s="61"/>
      <c r="L1897" s="73" t="str">
        <f>IF($E1897="","",DATE(YEAR($E1897),MONTH($E1897),1))</f>
        <v/>
      </c>
      <c r="M1897" s="65" t="str">
        <f ca="1">IF($D1897="","",IF($C1897="TANIMSIZ MÜŞTERİ","HATA",IF(OR($E1897="",$F1897&lt;=0,$G1897=""),"EKSİK",IF($E1897&gt;TODAY(),"İLERİ TARİH",IF(COUNTIF($S$7:$S$2503,$S1897)&gt;1,"MÜKERRER?",IF($T1897&gt;0,"KAPALI DÖNEM","UYGUN"))))))</f>
        <v/>
      </c>
      <c r="N1897" s="74" t="str">
        <f>IF($C1897="","",IF($C1897="TANIMSIZ MÜŞTERİ","—",INDEX(MUSTERILER!$C$7:$C$156,MATCH($C1897,MUSTERILER!$B$7:$B$156,0))))</f>
        <v/>
      </c>
      <c r="O1897" s="2"/>
      <c r="P1897" s="2"/>
      <c r="Q1897" s="1" t="str">
        <f>IF($D1897="","",$C1897&amp;"|"&amp;COUNTIFS($C$7:$C1897,$C1897))</f>
        <v/>
      </c>
      <c r="R1897" s="1" t="str">
        <f t="shared" si="58"/>
        <v/>
      </c>
      <c r="S1897" s="1" t="str">
        <f t="shared" si="59"/>
        <v/>
      </c>
      <c r="T1897" s="1">
        <f>IF($E1897="",0,SUMPRODUCT((AY_SONU!$O$7:$O$42="Evet")*(AY_SONU!$B$7:$B$42=DATE(YEAR($E1897),MONTH($E1897),1))))</f>
        <v>0</v>
      </c>
      <c r="U1897" s="1" t="str">
        <f>IF(OR($G1897="",$H1897="Mahsup"),"",$G1897&amp;"|"&amp;COUNTIFS($G$7:$G1897,$G1897,$H$7:$H1897,"&lt;&gt;Mahsup"))</f>
        <v/>
      </c>
    </row>
    <row r="1898" spans="1:21" ht="18" customHeight="1" x14ac:dyDescent="0.3">
      <c r="A1898" s="2"/>
      <c r="B1898" s="65" t="str">
        <f>IF($D1898="","","T"&amp;TEXT(ROW()-6,"00000"))</f>
        <v/>
      </c>
      <c r="C1898" s="65" t="str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61"/>
      <c r="E1898" s="66"/>
      <c r="F1898" s="67"/>
      <c r="G1898" s="60"/>
      <c r="H1898" s="60"/>
      <c r="I1898" s="61"/>
      <c r="J1898" s="61"/>
      <c r="K1898" s="61"/>
      <c r="L1898" s="73" t="str">
        <f>IF($E1898="","",DATE(YEAR($E1898),MONTH($E1898),1))</f>
        <v/>
      </c>
      <c r="M1898" s="65" t="str">
        <f ca="1">IF($D1898="","",IF($C1898="TANIMSIZ MÜŞTERİ","HATA",IF(OR($E1898="",$F1898&lt;=0,$G1898=""),"EKSİK",IF($E1898&gt;TODAY(),"İLERİ TARİH",IF(COUNTIF($S$7:$S$2503,$S1898)&gt;1,"MÜKERRER?",IF($T1898&gt;0,"KAPALI DÖNEM","UYGUN"))))))</f>
        <v/>
      </c>
      <c r="N1898" s="74" t="str">
        <f>IF($C1898="","",IF($C1898="TANIMSIZ MÜŞTERİ","—",INDEX(MUSTERILER!$C$7:$C$156,MATCH($C1898,MUSTERILER!$B$7:$B$156,0))))</f>
        <v/>
      </c>
      <c r="O1898" s="2"/>
      <c r="P1898" s="2"/>
      <c r="Q1898" s="1" t="str">
        <f>IF($D1898="","",$C1898&amp;"|"&amp;COUNTIFS($C$7:$C1898,$C1898))</f>
        <v/>
      </c>
      <c r="R1898" s="1" t="str">
        <f t="shared" si="58"/>
        <v/>
      </c>
      <c r="S1898" s="1" t="str">
        <f t="shared" si="59"/>
        <v/>
      </c>
      <c r="T1898" s="1">
        <f>IF($E1898="",0,SUMPRODUCT((AY_SONU!$O$7:$O$42="Evet")*(AY_SONU!$B$7:$B$42=DATE(YEAR($E1898),MONTH($E1898),1))))</f>
        <v>0</v>
      </c>
      <c r="U1898" s="1" t="str">
        <f>IF(OR($G1898="",$H1898="Mahsup"),"",$G1898&amp;"|"&amp;COUNTIFS($G$7:$G1898,$G1898,$H$7:$H1898,"&lt;&gt;Mahsup"))</f>
        <v/>
      </c>
    </row>
    <row r="1899" spans="1:21" ht="18" customHeight="1" x14ac:dyDescent="0.3">
      <c r="A1899" s="2"/>
      <c r="B1899" s="65" t="str">
        <f>IF($D1899="","","T"&amp;TEXT(ROW()-6,"00000"))</f>
        <v/>
      </c>
      <c r="C1899" s="65" t="str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61"/>
      <c r="E1899" s="66"/>
      <c r="F1899" s="67"/>
      <c r="G1899" s="60"/>
      <c r="H1899" s="60"/>
      <c r="I1899" s="61"/>
      <c r="J1899" s="61"/>
      <c r="K1899" s="61"/>
      <c r="L1899" s="73" t="str">
        <f>IF($E1899="","",DATE(YEAR($E1899),MONTH($E1899),1))</f>
        <v/>
      </c>
      <c r="M1899" s="65" t="str">
        <f ca="1">IF($D1899="","",IF($C1899="TANIMSIZ MÜŞTERİ","HATA",IF(OR($E1899="",$F1899&lt;=0,$G1899=""),"EKSİK",IF($E1899&gt;TODAY(),"İLERİ TARİH",IF(COUNTIF($S$7:$S$2503,$S1899)&gt;1,"MÜKERRER?",IF($T1899&gt;0,"KAPALI DÖNEM","UYGUN"))))))</f>
        <v/>
      </c>
      <c r="N1899" s="74" t="str">
        <f>IF($C1899="","",IF($C1899="TANIMSIZ MÜŞTERİ","—",INDEX(MUSTERILER!$C$7:$C$156,MATCH($C1899,MUSTERILER!$B$7:$B$156,0))))</f>
        <v/>
      </c>
      <c r="O1899" s="2"/>
      <c r="P1899" s="2"/>
      <c r="Q1899" s="1" t="str">
        <f>IF($D1899="","",$C1899&amp;"|"&amp;COUNTIFS($C$7:$C1899,$C1899))</f>
        <v/>
      </c>
      <c r="R1899" s="1" t="str">
        <f t="shared" si="58"/>
        <v/>
      </c>
      <c r="S1899" s="1" t="str">
        <f t="shared" si="59"/>
        <v/>
      </c>
      <c r="T1899" s="1">
        <f>IF($E1899="",0,SUMPRODUCT((AY_SONU!$O$7:$O$42="Evet")*(AY_SONU!$B$7:$B$42=DATE(YEAR($E1899),MONTH($E1899),1))))</f>
        <v>0</v>
      </c>
      <c r="U1899" s="1" t="str">
        <f>IF(OR($G1899="",$H1899="Mahsup"),"",$G1899&amp;"|"&amp;COUNTIFS($G$7:$G1899,$G1899,$H$7:$H1899,"&lt;&gt;Mahsup"))</f>
        <v/>
      </c>
    </row>
    <row r="1900" spans="1:21" ht="18" customHeight="1" x14ac:dyDescent="0.3">
      <c r="A1900" s="2"/>
      <c r="B1900" s="65" t="str">
        <f>IF($D1900="","","T"&amp;TEXT(ROW()-6,"00000"))</f>
        <v/>
      </c>
      <c r="C1900" s="65" t="str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61"/>
      <c r="E1900" s="66"/>
      <c r="F1900" s="67"/>
      <c r="G1900" s="60"/>
      <c r="H1900" s="60"/>
      <c r="I1900" s="61"/>
      <c r="J1900" s="61"/>
      <c r="K1900" s="61"/>
      <c r="L1900" s="73" t="str">
        <f>IF($E1900="","",DATE(YEAR($E1900),MONTH($E1900),1))</f>
        <v/>
      </c>
      <c r="M1900" s="65" t="str">
        <f ca="1">IF($D1900="","",IF($C1900="TANIMSIZ MÜŞTERİ","HATA",IF(OR($E1900="",$F1900&lt;=0,$G1900=""),"EKSİK",IF($E1900&gt;TODAY(),"İLERİ TARİH",IF(COUNTIF($S$7:$S$2503,$S1900)&gt;1,"MÜKERRER?",IF($T1900&gt;0,"KAPALI DÖNEM","UYGUN"))))))</f>
        <v/>
      </c>
      <c r="N1900" s="74" t="str">
        <f>IF($C1900="","",IF($C1900="TANIMSIZ MÜŞTERİ","—",INDEX(MUSTERILER!$C$7:$C$156,MATCH($C1900,MUSTERILER!$B$7:$B$156,0))))</f>
        <v/>
      </c>
      <c r="O1900" s="2"/>
      <c r="P1900" s="2"/>
      <c r="Q1900" s="1" t="str">
        <f>IF($D1900="","",$C1900&amp;"|"&amp;COUNTIFS($C$7:$C1900,$C1900))</f>
        <v/>
      </c>
      <c r="R1900" s="1" t="str">
        <f t="shared" si="58"/>
        <v/>
      </c>
      <c r="S1900" s="1" t="str">
        <f t="shared" si="59"/>
        <v/>
      </c>
      <c r="T1900" s="1">
        <f>IF($E1900="",0,SUMPRODUCT((AY_SONU!$O$7:$O$42="Evet")*(AY_SONU!$B$7:$B$42=DATE(YEAR($E1900),MONTH($E1900),1))))</f>
        <v>0</v>
      </c>
      <c r="U1900" s="1" t="str">
        <f>IF(OR($G1900="",$H1900="Mahsup"),"",$G1900&amp;"|"&amp;COUNTIFS($G$7:$G1900,$G1900,$H$7:$H1900,"&lt;&gt;Mahsup"))</f>
        <v/>
      </c>
    </row>
    <row r="1901" spans="1:21" ht="18" customHeight="1" x14ac:dyDescent="0.3">
      <c r="A1901" s="2"/>
      <c r="B1901" s="65" t="str">
        <f>IF($D1901="","","T"&amp;TEXT(ROW()-6,"00000"))</f>
        <v/>
      </c>
      <c r="C1901" s="65" t="str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61"/>
      <c r="E1901" s="66"/>
      <c r="F1901" s="67"/>
      <c r="G1901" s="60"/>
      <c r="H1901" s="60"/>
      <c r="I1901" s="61"/>
      <c r="J1901" s="61"/>
      <c r="K1901" s="61"/>
      <c r="L1901" s="73" t="str">
        <f>IF($E1901="","",DATE(YEAR($E1901),MONTH($E1901),1))</f>
        <v/>
      </c>
      <c r="M1901" s="65" t="str">
        <f ca="1">IF($D1901="","",IF($C1901="TANIMSIZ MÜŞTERİ","HATA",IF(OR($E1901="",$F1901&lt;=0,$G1901=""),"EKSİK",IF($E1901&gt;TODAY(),"İLERİ TARİH",IF(COUNTIF($S$7:$S$2503,$S1901)&gt;1,"MÜKERRER?",IF($T1901&gt;0,"KAPALI DÖNEM","UYGUN"))))))</f>
        <v/>
      </c>
      <c r="N1901" s="74" t="str">
        <f>IF($C1901="","",IF($C1901="TANIMSIZ MÜŞTERİ","—",INDEX(MUSTERILER!$C$7:$C$156,MATCH($C1901,MUSTERILER!$B$7:$B$156,0))))</f>
        <v/>
      </c>
      <c r="O1901" s="2"/>
      <c r="P1901" s="2"/>
      <c r="Q1901" s="1" t="str">
        <f>IF($D1901="","",$C1901&amp;"|"&amp;COUNTIFS($C$7:$C1901,$C1901))</f>
        <v/>
      </c>
      <c r="R1901" s="1" t="str">
        <f t="shared" si="58"/>
        <v/>
      </c>
      <c r="S1901" s="1" t="str">
        <f t="shared" si="59"/>
        <v/>
      </c>
      <c r="T1901" s="1">
        <f>IF($E1901="",0,SUMPRODUCT((AY_SONU!$O$7:$O$42="Evet")*(AY_SONU!$B$7:$B$42=DATE(YEAR($E1901),MONTH($E1901),1))))</f>
        <v>0</v>
      </c>
      <c r="U1901" s="1" t="str">
        <f>IF(OR($G1901="",$H1901="Mahsup"),"",$G1901&amp;"|"&amp;COUNTIFS($G$7:$G1901,$G1901,$H$7:$H1901,"&lt;&gt;Mahsup"))</f>
        <v/>
      </c>
    </row>
    <row r="1902" spans="1:21" ht="18" customHeight="1" x14ac:dyDescent="0.3">
      <c r="A1902" s="2"/>
      <c r="B1902" s="65" t="str">
        <f>IF($D1902="","","T"&amp;TEXT(ROW()-6,"00000"))</f>
        <v/>
      </c>
      <c r="C1902" s="65" t="str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61"/>
      <c r="E1902" s="66"/>
      <c r="F1902" s="67"/>
      <c r="G1902" s="60"/>
      <c r="H1902" s="60"/>
      <c r="I1902" s="61"/>
      <c r="J1902" s="61"/>
      <c r="K1902" s="61"/>
      <c r="L1902" s="73" t="str">
        <f>IF($E1902="","",DATE(YEAR($E1902),MONTH($E1902),1))</f>
        <v/>
      </c>
      <c r="M1902" s="65" t="str">
        <f ca="1">IF($D1902="","",IF($C1902="TANIMSIZ MÜŞTERİ","HATA",IF(OR($E1902="",$F1902&lt;=0,$G1902=""),"EKSİK",IF($E1902&gt;TODAY(),"İLERİ TARİH",IF(COUNTIF($S$7:$S$2503,$S1902)&gt;1,"MÜKERRER?",IF($T1902&gt;0,"KAPALI DÖNEM","UYGUN"))))))</f>
        <v/>
      </c>
      <c r="N1902" s="74" t="str">
        <f>IF($C1902="","",IF($C1902="TANIMSIZ MÜŞTERİ","—",INDEX(MUSTERILER!$C$7:$C$156,MATCH($C1902,MUSTERILER!$B$7:$B$156,0))))</f>
        <v/>
      </c>
      <c r="O1902" s="2"/>
      <c r="P1902" s="2"/>
      <c r="Q1902" s="1" t="str">
        <f>IF($D1902="","",$C1902&amp;"|"&amp;COUNTIFS($C$7:$C1902,$C1902))</f>
        <v/>
      </c>
      <c r="R1902" s="1" t="str">
        <f t="shared" si="58"/>
        <v/>
      </c>
      <c r="S1902" s="1" t="str">
        <f t="shared" si="59"/>
        <v/>
      </c>
      <c r="T1902" s="1">
        <f>IF($E1902="",0,SUMPRODUCT((AY_SONU!$O$7:$O$42="Evet")*(AY_SONU!$B$7:$B$42=DATE(YEAR($E1902),MONTH($E1902),1))))</f>
        <v>0</v>
      </c>
      <c r="U1902" s="1" t="str">
        <f>IF(OR($G1902="",$H1902="Mahsup"),"",$G1902&amp;"|"&amp;COUNTIFS($G$7:$G1902,$G1902,$H$7:$H1902,"&lt;&gt;Mahsup"))</f>
        <v/>
      </c>
    </row>
    <row r="1903" spans="1:21" ht="18" customHeight="1" x14ac:dyDescent="0.3">
      <c r="A1903" s="2"/>
      <c r="B1903" s="65" t="str">
        <f>IF($D1903="","","T"&amp;TEXT(ROW()-6,"00000"))</f>
        <v/>
      </c>
      <c r="C1903" s="65" t="str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61"/>
      <c r="E1903" s="66"/>
      <c r="F1903" s="67"/>
      <c r="G1903" s="60"/>
      <c r="H1903" s="60"/>
      <c r="I1903" s="61"/>
      <c r="J1903" s="61"/>
      <c r="K1903" s="61"/>
      <c r="L1903" s="73" t="str">
        <f>IF($E1903="","",DATE(YEAR($E1903),MONTH($E1903),1))</f>
        <v/>
      </c>
      <c r="M1903" s="65" t="str">
        <f ca="1">IF($D1903="","",IF($C1903="TANIMSIZ MÜŞTERİ","HATA",IF(OR($E1903="",$F1903&lt;=0,$G1903=""),"EKSİK",IF($E1903&gt;TODAY(),"İLERİ TARİH",IF(COUNTIF($S$7:$S$2503,$S1903)&gt;1,"MÜKERRER?",IF($T1903&gt;0,"KAPALI DÖNEM","UYGUN"))))))</f>
        <v/>
      </c>
      <c r="N1903" s="74" t="str">
        <f>IF($C1903="","",IF($C1903="TANIMSIZ MÜŞTERİ","—",INDEX(MUSTERILER!$C$7:$C$156,MATCH($C1903,MUSTERILER!$B$7:$B$156,0))))</f>
        <v/>
      </c>
      <c r="O1903" s="2"/>
      <c r="P1903" s="2"/>
      <c r="Q1903" s="1" t="str">
        <f>IF($D1903="","",$C1903&amp;"|"&amp;COUNTIFS($C$7:$C1903,$C1903))</f>
        <v/>
      </c>
      <c r="R1903" s="1" t="str">
        <f t="shared" si="58"/>
        <v/>
      </c>
      <c r="S1903" s="1" t="str">
        <f t="shared" si="59"/>
        <v/>
      </c>
      <c r="T1903" s="1">
        <f>IF($E1903="",0,SUMPRODUCT((AY_SONU!$O$7:$O$42="Evet")*(AY_SONU!$B$7:$B$42=DATE(YEAR($E1903),MONTH($E1903),1))))</f>
        <v>0</v>
      </c>
      <c r="U1903" s="1" t="str">
        <f>IF(OR($G1903="",$H1903="Mahsup"),"",$G1903&amp;"|"&amp;COUNTIFS($G$7:$G1903,$G1903,$H$7:$H1903,"&lt;&gt;Mahsup"))</f>
        <v/>
      </c>
    </row>
    <row r="1904" spans="1:21" ht="18" customHeight="1" x14ac:dyDescent="0.3">
      <c r="A1904" s="2"/>
      <c r="B1904" s="65" t="str">
        <f>IF($D1904="","","T"&amp;TEXT(ROW()-6,"00000"))</f>
        <v/>
      </c>
      <c r="C1904" s="65" t="str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61"/>
      <c r="E1904" s="66"/>
      <c r="F1904" s="67"/>
      <c r="G1904" s="60"/>
      <c r="H1904" s="60"/>
      <c r="I1904" s="61"/>
      <c r="J1904" s="61"/>
      <c r="K1904" s="61"/>
      <c r="L1904" s="73" t="str">
        <f>IF($E1904="","",DATE(YEAR($E1904),MONTH($E1904),1))</f>
        <v/>
      </c>
      <c r="M1904" s="65" t="str">
        <f ca="1">IF($D1904="","",IF($C1904="TANIMSIZ MÜŞTERİ","HATA",IF(OR($E1904="",$F1904&lt;=0,$G1904=""),"EKSİK",IF($E1904&gt;TODAY(),"İLERİ TARİH",IF(COUNTIF($S$7:$S$2503,$S1904)&gt;1,"MÜKERRER?",IF($T1904&gt;0,"KAPALI DÖNEM","UYGUN"))))))</f>
        <v/>
      </c>
      <c r="N1904" s="74" t="str">
        <f>IF($C1904="","",IF($C1904="TANIMSIZ MÜŞTERİ","—",INDEX(MUSTERILER!$C$7:$C$156,MATCH($C1904,MUSTERILER!$B$7:$B$156,0))))</f>
        <v/>
      </c>
      <c r="O1904" s="2"/>
      <c r="P1904" s="2"/>
      <c r="Q1904" s="1" t="str">
        <f>IF($D1904="","",$C1904&amp;"|"&amp;COUNTIFS($C$7:$C1904,$C1904))</f>
        <v/>
      </c>
      <c r="R1904" s="1" t="str">
        <f t="shared" si="58"/>
        <v/>
      </c>
      <c r="S1904" s="1" t="str">
        <f t="shared" si="59"/>
        <v/>
      </c>
      <c r="T1904" s="1">
        <f>IF($E1904="",0,SUMPRODUCT((AY_SONU!$O$7:$O$42="Evet")*(AY_SONU!$B$7:$B$42=DATE(YEAR($E1904),MONTH($E1904),1))))</f>
        <v>0</v>
      </c>
      <c r="U1904" s="1" t="str">
        <f>IF(OR($G1904="",$H1904="Mahsup"),"",$G1904&amp;"|"&amp;COUNTIFS($G$7:$G1904,$G1904,$H$7:$H1904,"&lt;&gt;Mahsup"))</f>
        <v/>
      </c>
    </row>
    <row r="1905" spans="1:21" ht="18" customHeight="1" x14ac:dyDescent="0.3">
      <c r="A1905" s="2"/>
      <c r="B1905" s="65" t="str">
        <f>IF($D1905="","","T"&amp;TEXT(ROW()-6,"00000"))</f>
        <v/>
      </c>
      <c r="C1905" s="65" t="str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61"/>
      <c r="E1905" s="66"/>
      <c r="F1905" s="67"/>
      <c r="G1905" s="60"/>
      <c r="H1905" s="60"/>
      <c r="I1905" s="61"/>
      <c r="J1905" s="61"/>
      <c r="K1905" s="61"/>
      <c r="L1905" s="73" t="str">
        <f>IF($E1905="","",DATE(YEAR($E1905),MONTH($E1905),1))</f>
        <v/>
      </c>
      <c r="M1905" s="65" t="str">
        <f ca="1">IF($D1905="","",IF($C1905="TANIMSIZ MÜŞTERİ","HATA",IF(OR($E1905="",$F1905&lt;=0,$G1905=""),"EKSİK",IF($E1905&gt;TODAY(),"İLERİ TARİH",IF(COUNTIF($S$7:$S$2503,$S1905)&gt;1,"MÜKERRER?",IF($T1905&gt;0,"KAPALI DÖNEM","UYGUN"))))))</f>
        <v/>
      </c>
      <c r="N1905" s="74" t="str">
        <f>IF($C1905="","",IF($C1905="TANIMSIZ MÜŞTERİ","—",INDEX(MUSTERILER!$C$7:$C$156,MATCH($C1905,MUSTERILER!$B$7:$B$156,0))))</f>
        <v/>
      </c>
      <c r="O1905" s="2"/>
      <c r="P1905" s="2"/>
      <c r="Q1905" s="1" t="str">
        <f>IF($D1905="","",$C1905&amp;"|"&amp;COUNTIFS($C$7:$C1905,$C1905))</f>
        <v/>
      </c>
      <c r="R1905" s="1" t="str">
        <f t="shared" si="58"/>
        <v/>
      </c>
      <c r="S1905" s="1" t="str">
        <f t="shared" si="59"/>
        <v/>
      </c>
      <c r="T1905" s="1">
        <f>IF($E1905="",0,SUMPRODUCT((AY_SONU!$O$7:$O$42="Evet")*(AY_SONU!$B$7:$B$42=DATE(YEAR($E1905),MONTH($E1905),1))))</f>
        <v>0</v>
      </c>
      <c r="U1905" s="1" t="str">
        <f>IF(OR($G1905="",$H1905="Mahsup"),"",$G1905&amp;"|"&amp;COUNTIFS($G$7:$G1905,$G1905,$H$7:$H1905,"&lt;&gt;Mahsup"))</f>
        <v/>
      </c>
    </row>
    <row r="1906" spans="1:21" ht="18" customHeight="1" x14ac:dyDescent="0.3">
      <c r="A1906" s="2"/>
      <c r="B1906" s="65" t="str">
        <f>IF($D1906="","","T"&amp;TEXT(ROW()-6,"00000"))</f>
        <v/>
      </c>
      <c r="C1906" s="65" t="str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61"/>
      <c r="E1906" s="66"/>
      <c r="F1906" s="67"/>
      <c r="G1906" s="60"/>
      <c r="H1906" s="60"/>
      <c r="I1906" s="61"/>
      <c r="J1906" s="61"/>
      <c r="K1906" s="61"/>
      <c r="L1906" s="73" t="str">
        <f>IF($E1906="","",DATE(YEAR($E1906),MONTH($E1906),1))</f>
        <v/>
      </c>
      <c r="M1906" s="65" t="str">
        <f ca="1">IF($D1906="","",IF($C1906="TANIMSIZ MÜŞTERİ","HATA",IF(OR($E1906="",$F1906&lt;=0,$G1906=""),"EKSİK",IF($E1906&gt;TODAY(),"İLERİ TARİH",IF(COUNTIF($S$7:$S$2503,$S1906)&gt;1,"MÜKERRER?",IF($T1906&gt;0,"KAPALI DÖNEM","UYGUN"))))))</f>
        <v/>
      </c>
      <c r="N1906" s="74" t="str">
        <f>IF($C1906="","",IF($C1906="TANIMSIZ MÜŞTERİ","—",INDEX(MUSTERILER!$C$7:$C$156,MATCH($C1906,MUSTERILER!$B$7:$B$156,0))))</f>
        <v/>
      </c>
      <c r="O1906" s="2"/>
      <c r="P1906" s="2"/>
      <c r="Q1906" s="1" t="str">
        <f>IF($D1906="","",$C1906&amp;"|"&amp;COUNTIFS($C$7:$C1906,$C1906))</f>
        <v/>
      </c>
      <c r="R1906" s="1" t="str">
        <f t="shared" si="58"/>
        <v/>
      </c>
      <c r="S1906" s="1" t="str">
        <f t="shared" si="59"/>
        <v/>
      </c>
      <c r="T1906" s="1">
        <f>IF($E1906="",0,SUMPRODUCT((AY_SONU!$O$7:$O$42="Evet")*(AY_SONU!$B$7:$B$42=DATE(YEAR($E1906),MONTH($E1906),1))))</f>
        <v>0</v>
      </c>
      <c r="U1906" s="1" t="str">
        <f>IF(OR($G1906="",$H1906="Mahsup"),"",$G1906&amp;"|"&amp;COUNTIFS($G$7:$G1906,$G1906,$H$7:$H1906,"&lt;&gt;Mahsup"))</f>
        <v/>
      </c>
    </row>
    <row r="1907" spans="1:21" ht="18" customHeight="1" x14ac:dyDescent="0.3">
      <c r="A1907" s="2"/>
      <c r="B1907" s="65" t="str">
        <f>IF($D1907="","","T"&amp;TEXT(ROW()-6,"00000"))</f>
        <v/>
      </c>
      <c r="C1907" s="65" t="str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61"/>
      <c r="E1907" s="66"/>
      <c r="F1907" s="67"/>
      <c r="G1907" s="60"/>
      <c r="H1907" s="60"/>
      <c r="I1907" s="61"/>
      <c r="J1907" s="61"/>
      <c r="K1907" s="61"/>
      <c r="L1907" s="73" t="str">
        <f>IF($E1907="","",DATE(YEAR($E1907),MONTH($E1907),1))</f>
        <v/>
      </c>
      <c r="M1907" s="65" t="str">
        <f ca="1">IF($D1907="","",IF($C1907="TANIMSIZ MÜŞTERİ","HATA",IF(OR($E1907="",$F1907&lt;=0,$G1907=""),"EKSİK",IF($E1907&gt;TODAY(),"İLERİ TARİH",IF(COUNTIF($S$7:$S$2503,$S1907)&gt;1,"MÜKERRER?",IF($T1907&gt;0,"KAPALI DÖNEM","UYGUN"))))))</f>
        <v/>
      </c>
      <c r="N1907" s="74" t="str">
        <f>IF($C1907="","",IF($C1907="TANIMSIZ MÜŞTERİ","—",INDEX(MUSTERILER!$C$7:$C$156,MATCH($C1907,MUSTERILER!$B$7:$B$156,0))))</f>
        <v/>
      </c>
      <c r="O1907" s="2"/>
      <c r="P1907" s="2"/>
      <c r="Q1907" s="1" t="str">
        <f>IF($D1907="","",$C1907&amp;"|"&amp;COUNTIFS($C$7:$C1907,$C1907))</f>
        <v/>
      </c>
      <c r="R1907" s="1" t="str">
        <f t="shared" si="58"/>
        <v/>
      </c>
      <c r="S1907" s="1" t="str">
        <f t="shared" si="59"/>
        <v/>
      </c>
      <c r="T1907" s="1">
        <f>IF($E1907="",0,SUMPRODUCT((AY_SONU!$O$7:$O$42="Evet")*(AY_SONU!$B$7:$B$42=DATE(YEAR($E1907),MONTH($E1907),1))))</f>
        <v>0</v>
      </c>
      <c r="U1907" s="1" t="str">
        <f>IF(OR($G1907="",$H1907="Mahsup"),"",$G1907&amp;"|"&amp;COUNTIFS($G$7:$G1907,$G1907,$H$7:$H1907,"&lt;&gt;Mahsup"))</f>
        <v/>
      </c>
    </row>
    <row r="1908" spans="1:21" ht="18" customHeight="1" x14ac:dyDescent="0.3">
      <c r="A1908" s="2"/>
      <c r="B1908" s="65" t="str">
        <f>IF($D1908="","","T"&amp;TEXT(ROW()-6,"00000"))</f>
        <v/>
      </c>
      <c r="C1908" s="65" t="str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61"/>
      <c r="E1908" s="66"/>
      <c r="F1908" s="67"/>
      <c r="G1908" s="60"/>
      <c r="H1908" s="60"/>
      <c r="I1908" s="61"/>
      <c r="J1908" s="61"/>
      <c r="K1908" s="61"/>
      <c r="L1908" s="73" t="str">
        <f>IF($E1908="","",DATE(YEAR($E1908),MONTH($E1908),1))</f>
        <v/>
      </c>
      <c r="M1908" s="65" t="str">
        <f ca="1">IF($D1908="","",IF($C1908="TANIMSIZ MÜŞTERİ","HATA",IF(OR($E1908="",$F1908&lt;=0,$G1908=""),"EKSİK",IF($E1908&gt;TODAY(),"İLERİ TARİH",IF(COUNTIF($S$7:$S$2503,$S1908)&gt;1,"MÜKERRER?",IF($T1908&gt;0,"KAPALI DÖNEM","UYGUN"))))))</f>
        <v/>
      </c>
      <c r="N1908" s="74" t="str">
        <f>IF($C1908="","",IF($C1908="TANIMSIZ MÜŞTERİ","—",INDEX(MUSTERILER!$C$7:$C$156,MATCH($C1908,MUSTERILER!$B$7:$B$156,0))))</f>
        <v/>
      </c>
      <c r="O1908" s="2"/>
      <c r="P1908" s="2"/>
      <c r="Q1908" s="1" t="str">
        <f>IF($D1908="","",$C1908&amp;"|"&amp;COUNTIFS($C$7:$C1908,$C1908))</f>
        <v/>
      </c>
      <c r="R1908" s="1" t="str">
        <f t="shared" si="58"/>
        <v/>
      </c>
      <c r="S1908" s="1" t="str">
        <f t="shared" si="59"/>
        <v/>
      </c>
      <c r="T1908" s="1">
        <f>IF($E1908="",0,SUMPRODUCT((AY_SONU!$O$7:$O$42="Evet")*(AY_SONU!$B$7:$B$42=DATE(YEAR($E1908),MONTH($E1908),1))))</f>
        <v>0</v>
      </c>
      <c r="U1908" s="1" t="str">
        <f>IF(OR($G1908="",$H1908="Mahsup"),"",$G1908&amp;"|"&amp;COUNTIFS($G$7:$G1908,$G1908,$H$7:$H1908,"&lt;&gt;Mahsup"))</f>
        <v/>
      </c>
    </row>
    <row r="1909" spans="1:21" ht="18" customHeight="1" x14ac:dyDescent="0.3">
      <c r="A1909" s="2"/>
      <c r="B1909" s="65" t="str">
        <f>IF($D1909="","","T"&amp;TEXT(ROW()-6,"00000"))</f>
        <v/>
      </c>
      <c r="C1909" s="65" t="str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61"/>
      <c r="E1909" s="66"/>
      <c r="F1909" s="67"/>
      <c r="G1909" s="60"/>
      <c r="H1909" s="60"/>
      <c r="I1909" s="61"/>
      <c r="J1909" s="61"/>
      <c r="K1909" s="61"/>
      <c r="L1909" s="73" t="str">
        <f>IF($E1909="","",DATE(YEAR($E1909),MONTH($E1909),1))</f>
        <v/>
      </c>
      <c r="M1909" s="65" t="str">
        <f ca="1">IF($D1909="","",IF($C1909="TANIMSIZ MÜŞTERİ","HATA",IF(OR($E1909="",$F1909&lt;=0,$G1909=""),"EKSİK",IF($E1909&gt;TODAY(),"İLERİ TARİH",IF(COUNTIF($S$7:$S$2503,$S1909)&gt;1,"MÜKERRER?",IF($T1909&gt;0,"KAPALI DÖNEM","UYGUN"))))))</f>
        <v/>
      </c>
      <c r="N1909" s="74" t="str">
        <f>IF($C1909="","",IF($C1909="TANIMSIZ MÜŞTERİ","—",INDEX(MUSTERILER!$C$7:$C$156,MATCH($C1909,MUSTERILER!$B$7:$B$156,0))))</f>
        <v/>
      </c>
      <c r="O1909" s="2"/>
      <c r="P1909" s="2"/>
      <c r="Q1909" s="1" t="str">
        <f>IF($D1909="","",$C1909&amp;"|"&amp;COUNTIFS($C$7:$C1909,$C1909))</f>
        <v/>
      </c>
      <c r="R1909" s="1" t="str">
        <f t="shared" si="58"/>
        <v/>
      </c>
      <c r="S1909" s="1" t="str">
        <f t="shared" si="59"/>
        <v/>
      </c>
      <c r="T1909" s="1">
        <f>IF($E1909="",0,SUMPRODUCT((AY_SONU!$O$7:$O$42="Evet")*(AY_SONU!$B$7:$B$42=DATE(YEAR($E1909),MONTH($E1909),1))))</f>
        <v>0</v>
      </c>
      <c r="U1909" s="1" t="str">
        <f>IF(OR($G1909="",$H1909="Mahsup"),"",$G1909&amp;"|"&amp;COUNTIFS($G$7:$G1909,$G1909,$H$7:$H1909,"&lt;&gt;Mahsup"))</f>
        <v/>
      </c>
    </row>
    <row r="1910" spans="1:21" ht="18" customHeight="1" x14ac:dyDescent="0.3">
      <c r="A1910" s="2"/>
      <c r="B1910" s="65" t="str">
        <f>IF($D1910="","","T"&amp;TEXT(ROW()-6,"00000"))</f>
        <v/>
      </c>
      <c r="C1910" s="65" t="str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61"/>
      <c r="E1910" s="66"/>
      <c r="F1910" s="67"/>
      <c r="G1910" s="60"/>
      <c r="H1910" s="60"/>
      <c r="I1910" s="61"/>
      <c r="J1910" s="61"/>
      <c r="K1910" s="61"/>
      <c r="L1910" s="73" t="str">
        <f>IF($E1910="","",DATE(YEAR($E1910),MONTH($E1910),1))</f>
        <v/>
      </c>
      <c r="M1910" s="65" t="str">
        <f ca="1">IF($D1910="","",IF($C1910="TANIMSIZ MÜŞTERİ","HATA",IF(OR($E1910="",$F1910&lt;=0,$G1910=""),"EKSİK",IF($E1910&gt;TODAY(),"İLERİ TARİH",IF(COUNTIF($S$7:$S$2503,$S1910)&gt;1,"MÜKERRER?",IF($T1910&gt;0,"KAPALI DÖNEM","UYGUN"))))))</f>
        <v/>
      </c>
      <c r="N1910" s="74" t="str">
        <f>IF($C1910="","",IF($C1910="TANIMSIZ MÜŞTERİ","—",INDEX(MUSTERILER!$C$7:$C$156,MATCH($C1910,MUSTERILER!$B$7:$B$156,0))))</f>
        <v/>
      </c>
      <c r="O1910" s="2"/>
      <c r="P1910" s="2"/>
      <c r="Q1910" s="1" t="str">
        <f>IF($D1910="","",$C1910&amp;"|"&amp;COUNTIFS($C$7:$C1910,$C1910))</f>
        <v/>
      </c>
      <c r="R1910" s="1" t="str">
        <f t="shared" si="58"/>
        <v/>
      </c>
      <c r="S1910" s="1" t="str">
        <f t="shared" si="59"/>
        <v/>
      </c>
      <c r="T1910" s="1">
        <f>IF($E1910="",0,SUMPRODUCT((AY_SONU!$O$7:$O$42="Evet")*(AY_SONU!$B$7:$B$42=DATE(YEAR($E1910),MONTH($E1910),1))))</f>
        <v>0</v>
      </c>
      <c r="U1910" s="1" t="str">
        <f>IF(OR($G1910="",$H1910="Mahsup"),"",$G1910&amp;"|"&amp;COUNTIFS($G$7:$G1910,$G1910,$H$7:$H1910,"&lt;&gt;Mahsup"))</f>
        <v/>
      </c>
    </row>
    <row r="1911" spans="1:21" ht="18" customHeight="1" x14ac:dyDescent="0.3">
      <c r="A1911" s="2"/>
      <c r="B1911" s="65" t="str">
        <f>IF($D1911="","","T"&amp;TEXT(ROW()-6,"00000"))</f>
        <v/>
      </c>
      <c r="C1911" s="65" t="str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61"/>
      <c r="E1911" s="66"/>
      <c r="F1911" s="67"/>
      <c r="G1911" s="60"/>
      <c r="H1911" s="60"/>
      <c r="I1911" s="61"/>
      <c r="J1911" s="61"/>
      <c r="K1911" s="61"/>
      <c r="L1911" s="73" t="str">
        <f>IF($E1911="","",DATE(YEAR($E1911),MONTH($E1911),1))</f>
        <v/>
      </c>
      <c r="M1911" s="65" t="str">
        <f ca="1">IF($D1911="","",IF($C1911="TANIMSIZ MÜŞTERİ","HATA",IF(OR($E1911="",$F1911&lt;=0,$G1911=""),"EKSİK",IF($E1911&gt;TODAY(),"İLERİ TARİH",IF(COUNTIF($S$7:$S$2503,$S1911)&gt;1,"MÜKERRER?",IF($T1911&gt;0,"KAPALI DÖNEM","UYGUN"))))))</f>
        <v/>
      </c>
      <c r="N1911" s="74" t="str">
        <f>IF($C1911="","",IF($C1911="TANIMSIZ MÜŞTERİ","—",INDEX(MUSTERILER!$C$7:$C$156,MATCH($C1911,MUSTERILER!$B$7:$B$156,0))))</f>
        <v/>
      </c>
      <c r="O1911" s="2"/>
      <c r="P1911" s="2"/>
      <c r="Q1911" s="1" t="str">
        <f>IF($D1911="","",$C1911&amp;"|"&amp;COUNTIFS($C$7:$C1911,$C1911))</f>
        <v/>
      </c>
      <c r="R1911" s="1" t="str">
        <f t="shared" si="58"/>
        <v/>
      </c>
      <c r="S1911" s="1" t="str">
        <f t="shared" si="59"/>
        <v/>
      </c>
      <c r="T1911" s="1">
        <f>IF($E1911="",0,SUMPRODUCT((AY_SONU!$O$7:$O$42="Evet")*(AY_SONU!$B$7:$B$42=DATE(YEAR($E1911),MONTH($E1911),1))))</f>
        <v>0</v>
      </c>
      <c r="U1911" s="1" t="str">
        <f>IF(OR($G1911="",$H1911="Mahsup"),"",$G1911&amp;"|"&amp;COUNTIFS($G$7:$G1911,$G1911,$H$7:$H1911,"&lt;&gt;Mahsup"))</f>
        <v/>
      </c>
    </row>
    <row r="1912" spans="1:21" ht="18" customHeight="1" x14ac:dyDescent="0.3">
      <c r="A1912" s="2"/>
      <c r="B1912" s="65" t="str">
        <f>IF($D1912="","","T"&amp;TEXT(ROW()-6,"00000"))</f>
        <v/>
      </c>
      <c r="C1912" s="65" t="str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61"/>
      <c r="E1912" s="66"/>
      <c r="F1912" s="67"/>
      <c r="G1912" s="60"/>
      <c r="H1912" s="60"/>
      <c r="I1912" s="61"/>
      <c r="J1912" s="61"/>
      <c r="K1912" s="61"/>
      <c r="L1912" s="73" t="str">
        <f>IF($E1912="","",DATE(YEAR($E1912),MONTH($E1912),1))</f>
        <v/>
      </c>
      <c r="M1912" s="65" t="str">
        <f ca="1">IF($D1912="","",IF($C1912="TANIMSIZ MÜŞTERİ","HATA",IF(OR($E1912="",$F1912&lt;=0,$G1912=""),"EKSİK",IF($E1912&gt;TODAY(),"İLERİ TARİH",IF(COUNTIF($S$7:$S$2503,$S1912)&gt;1,"MÜKERRER?",IF($T1912&gt;0,"KAPALI DÖNEM","UYGUN"))))))</f>
        <v/>
      </c>
      <c r="N1912" s="74" t="str">
        <f>IF($C1912="","",IF($C1912="TANIMSIZ MÜŞTERİ","—",INDEX(MUSTERILER!$C$7:$C$156,MATCH($C1912,MUSTERILER!$B$7:$B$156,0))))</f>
        <v/>
      </c>
      <c r="O1912" s="2"/>
      <c r="P1912" s="2"/>
      <c r="Q1912" s="1" t="str">
        <f>IF($D1912="","",$C1912&amp;"|"&amp;COUNTIFS($C$7:$C1912,$C1912))</f>
        <v/>
      </c>
      <c r="R1912" s="1" t="str">
        <f t="shared" si="58"/>
        <v/>
      </c>
      <c r="S1912" s="1" t="str">
        <f t="shared" si="59"/>
        <v/>
      </c>
      <c r="T1912" s="1">
        <f>IF($E1912="",0,SUMPRODUCT((AY_SONU!$O$7:$O$42="Evet")*(AY_SONU!$B$7:$B$42=DATE(YEAR($E1912),MONTH($E1912),1))))</f>
        <v>0</v>
      </c>
      <c r="U1912" s="1" t="str">
        <f>IF(OR($G1912="",$H1912="Mahsup"),"",$G1912&amp;"|"&amp;COUNTIFS($G$7:$G1912,$G1912,$H$7:$H1912,"&lt;&gt;Mahsup"))</f>
        <v/>
      </c>
    </row>
    <row r="1913" spans="1:21" ht="18" customHeight="1" x14ac:dyDescent="0.3">
      <c r="A1913" s="2"/>
      <c r="B1913" s="65" t="str">
        <f>IF($D1913="","","T"&amp;TEXT(ROW()-6,"00000"))</f>
        <v/>
      </c>
      <c r="C1913" s="65" t="str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61"/>
      <c r="E1913" s="66"/>
      <c r="F1913" s="67"/>
      <c r="G1913" s="60"/>
      <c r="H1913" s="60"/>
      <c r="I1913" s="61"/>
      <c r="J1913" s="61"/>
      <c r="K1913" s="61"/>
      <c r="L1913" s="73" t="str">
        <f>IF($E1913="","",DATE(YEAR($E1913),MONTH($E1913),1))</f>
        <v/>
      </c>
      <c r="M1913" s="65" t="str">
        <f ca="1">IF($D1913="","",IF($C1913="TANIMSIZ MÜŞTERİ","HATA",IF(OR($E1913="",$F1913&lt;=0,$G1913=""),"EKSİK",IF($E1913&gt;TODAY(),"İLERİ TARİH",IF(COUNTIF($S$7:$S$2503,$S1913)&gt;1,"MÜKERRER?",IF($T1913&gt;0,"KAPALI DÖNEM","UYGUN"))))))</f>
        <v/>
      </c>
      <c r="N1913" s="74" t="str">
        <f>IF($C1913="","",IF($C1913="TANIMSIZ MÜŞTERİ","—",INDEX(MUSTERILER!$C$7:$C$156,MATCH($C1913,MUSTERILER!$B$7:$B$156,0))))</f>
        <v/>
      </c>
      <c r="O1913" s="2"/>
      <c r="P1913" s="2"/>
      <c r="Q1913" s="1" t="str">
        <f>IF($D1913="","",$C1913&amp;"|"&amp;COUNTIFS($C$7:$C1913,$C1913))</f>
        <v/>
      </c>
      <c r="R1913" s="1" t="str">
        <f t="shared" si="58"/>
        <v/>
      </c>
      <c r="S1913" s="1" t="str">
        <f t="shared" si="59"/>
        <v/>
      </c>
      <c r="T1913" s="1">
        <f>IF($E1913="",0,SUMPRODUCT((AY_SONU!$O$7:$O$42="Evet")*(AY_SONU!$B$7:$B$42=DATE(YEAR($E1913),MONTH($E1913),1))))</f>
        <v>0</v>
      </c>
      <c r="U1913" s="1" t="str">
        <f>IF(OR($G1913="",$H1913="Mahsup"),"",$G1913&amp;"|"&amp;COUNTIFS($G$7:$G1913,$G1913,$H$7:$H1913,"&lt;&gt;Mahsup"))</f>
        <v/>
      </c>
    </row>
    <row r="1914" spans="1:21" ht="18" customHeight="1" x14ac:dyDescent="0.3">
      <c r="A1914" s="2"/>
      <c r="B1914" s="65" t="str">
        <f>IF($D1914="","","T"&amp;TEXT(ROW()-6,"00000"))</f>
        <v/>
      </c>
      <c r="C1914" s="65" t="str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61"/>
      <c r="E1914" s="66"/>
      <c r="F1914" s="67"/>
      <c r="G1914" s="60"/>
      <c r="H1914" s="60"/>
      <c r="I1914" s="61"/>
      <c r="J1914" s="61"/>
      <c r="K1914" s="61"/>
      <c r="L1914" s="73" t="str">
        <f>IF($E1914="","",DATE(YEAR($E1914),MONTH($E1914),1))</f>
        <v/>
      </c>
      <c r="M1914" s="65" t="str">
        <f ca="1">IF($D1914="","",IF($C1914="TANIMSIZ MÜŞTERİ","HATA",IF(OR($E1914="",$F1914&lt;=0,$G1914=""),"EKSİK",IF($E1914&gt;TODAY(),"İLERİ TARİH",IF(COUNTIF($S$7:$S$2503,$S1914)&gt;1,"MÜKERRER?",IF($T1914&gt;0,"KAPALI DÖNEM","UYGUN"))))))</f>
        <v/>
      </c>
      <c r="N1914" s="74" t="str">
        <f>IF($C1914="","",IF($C1914="TANIMSIZ MÜŞTERİ","—",INDEX(MUSTERILER!$C$7:$C$156,MATCH($C1914,MUSTERILER!$B$7:$B$156,0))))</f>
        <v/>
      </c>
      <c r="O1914" s="2"/>
      <c r="P1914" s="2"/>
      <c r="Q1914" s="1" t="str">
        <f>IF($D1914="","",$C1914&amp;"|"&amp;COUNTIFS($C$7:$C1914,$C1914))</f>
        <v/>
      </c>
      <c r="R1914" s="1" t="str">
        <f t="shared" si="58"/>
        <v/>
      </c>
      <c r="S1914" s="1" t="str">
        <f t="shared" si="59"/>
        <v/>
      </c>
      <c r="T1914" s="1">
        <f>IF($E1914="",0,SUMPRODUCT((AY_SONU!$O$7:$O$42="Evet")*(AY_SONU!$B$7:$B$42=DATE(YEAR($E1914),MONTH($E1914),1))))</f>
        <v>0</v>
      </c>
      <c r="U1914" s="1" t="str">
        <f>IF(OR($G1914="",$H1914="Mahsup"),"",$G1914&amp;"|"&amp;COUNTIFS($G$7:$G1914,$G1914,$H$7:$H1914,"&lt;&gt;Mahsup"))</f>
        <v/>
      </c>
    </row>
    <row r="1915" spans="1:21" ht="18" customHeight="1" x14ac:dyDescent="0.3">
      <c r="A1915" s="2"/>
      <c r="B1915" s="65" t="str">
        <f>IF($D1915="","","T"&amp;TEXT(ROW()-6,"00000"))</f>
        <v/>
      </c>
      <c r="C1915" s="65" t="str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61"/>
      <c r="E1915" s="66"/>
      <c r="F1915" s="67"/>
      <c r="G1915" s="60"/>
      <c r="H1915" s="60"/>
      <c r="I1915" s="61"/>
      <c r="J1915" s="61"/>
      <c r="K1915" s="61"/>
      <c r="L1915" s="73" t="str">
        <f>IF($E1915="","",DATE(YEAR($E1915),MONTH($E1915),1))</f>
        <v/>
      </c>
      <c r="M1915" s="65" t="str">
        <f ca="1">IF($D1915="","",IF($C1915="TANIMSIZ MÜŞTERİ","HATA",IF(OR($E1915="",$F1915&lt;=0,$G1915=""),"EKSİK",IF($E1915&gt;TODAY(),"İLERİ TARİH",IF(COUNTIF($S$7:$S$2503,$S1915)&gt;1,"MÜKERRER?",IF($T1915&gt;0,"KAPALI DÖNEM","UYGUN"))))))</f>
        <v/>
      </c>
      <c r="N1915" s="74" t="str">
        <f>IF($C1915="","",IF($C1915="TANIMSIZ MÜŞTERİ","—",INDEX(MUSTERILER!$C$7:$C$156,MATCH($C1915,MUSTERILER!$B$7:$B$156,0))))</f>
        <v/>
      </c>
      <c r="O1915" s="2"/>
      <c r="P1915" s="2"/>
      <c r="Q1915" s="1" t="str">
        <f>IF($D1915="","",$C1915&amp;"|"&amp;COUNTIFS($C$7:$C1915,$C1915))</f>
        <v/>
      </c>
      <c r="R1915" s="1" t="str">
        <f t="shared" si="58"/>
        <v/>
      </c>
      <c r="S1915" s="1" t="str">
        <f t="shared" si="59"/>
        <v/>
      </c>
      <c r="T1915" s="1">
        <f>IF($E1915="",0,SUMPRODUCT((AY_SONU!$O$7:$O$42="Evet")*(AY_SONU!$B$7:$B$42=DATE(YEAR($E1915),MONTH($E1915),1))))</f>
        <v>0</v>
      </c>
      <c r="U1915" s="1" t="str">
        <f>IF(OR($G1915="",$H1915="Mahsup"),"",$G1915&amp;"|"&amp;COUNTIFS($G$7:$G1915,$G1915,$H$7:$H1915,"&lt;&gt;Mahsup"))</f>
        <v/>
      </c>
    </row>
    <row r="1916" spans="1:21" ht="18" customHeight="1" x14ac:dyDescent="0.3">
      <c r="A1916" s="2"/>
      <c r="B1916" s="65" t="str">
        <f>IF($D1916="","","T"&amp;TEXT(ROW()-6,"00000"))</f>
        <v/>
      </c>
      <c r="C1916" s="65" t="str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61"/>
      <c r="E1916" s="66"/>
      <c r="F1916" s="67"/>
      <c r="G1916" s="60"/>
      <c r="H1916" s="60"/>
      <c r="I1916" s="61"/>
      <c r="J1916" s="61"/>
      <c r="K1916" s="61"/>
      <c r="L1916" s="73" t="str">
        <f>IF($E1916="","",DATE(YEAR($E1916),MONTH($E1916),1))</f>
        <v/>
      </c>
      <c r="M1916" s="65" t="str">
        <f ca="1">IF($D1916="","",IF($C1916="TANIMSIZ MÜŞTERİ","HATA",IF(OR($E1916="",$F1916&lt;=0,$G1916=""),"EKSİK",IF($E1916&gt;TODAY(),"İLERİ TARİH",IF(COUNTIF($S$7:$S$2503,$S1916)&gt;1,"MÜKERRER?",IF($T1916&gt;0,"KAPALI DÖNEM","UYGUN"))))))</f>
        <v/>
      </c>
      <c r="N1916" s="74" t="str">
        <f>IF($C1916="","",IF($C1916="TANIMSIZ MÜŞTERİ","—",INDEX(MUSTERILER!$C$7:$C$156,MATCH($C1916,MUSTERILER!$B$7:$B$156,0))))</f>
        <v/>
      </c>
      <c r="O1916" s="2"/>
      <c r="P1916" s="2"/>
      <c r="Q1916" s="1" t="str">
        <f>IF($D1916="","",$C1916&amp;"|"&amp;COUNTIFS($C$7:$C1916,$C1916))</f>
        <v/>
      </c>
      <c r="R1916" s="1" t="str">
        <f t="shared" si="58"/>
        <v/>
      </c>
      <c r="S1916" s="1" t="str">
        <f t="shared" si="59"/>
        <v/>
      </c>
      <c r="T1916" s="1">
        <f>IF($E1916="",0,SUMPRODUCT((AY_SONU!$O$7:$O$42="Evet")*(AY_SONU!$B$7:$B$42=DATE(YEAR($E1916),MONTH($E1916),1))))</f>
        <v>0</v>
      </c>
      <c r="U1916" s="1" t="str">
        <f>IF(OR($G1916="",$H1916="Mahsup"),"",$G1916&amp;"|"&amp;COUNTIFS($G$7:$G1916,$G1916,$H$7:$H1916,"&lt;&gt;Mahsup"))</f>
        <v/>
      </c>
    </row>
    <row r="1917" spans="1:21" ht="18" customHeight="1" x14ac:dyDescent="0.3">
      <c r="A1917" s="2"/>
      <c r="B1917" s="65" t="str">
        <f>IF($D1917="","","T"&amp;TEXT(ROW()-6,"00000"))</f>
        <v/>
      </c>
      <c r="C1917" s="65" t="str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61"/>
      <c r="E1917" s="66"/>
      <c r="F1917" s="67"/>
      <c r="G1917" s="60"/>
      <c r="H1917" s="60"/>
      <c r="I1917" s="61"/>
      <c r="J1917" s="61"/>
      <c r="K1917" s="61"/>
      <c r="L1917" s="73" t="str">
        <f>IF($E1917="","",DATE(YEAR($E1917),MONTH($E1917),1))</f>
        <v/>
      </c>
      <c r="M1917" s="65" t="str">
        <f ca="1">IF($D1917="","",IF($C1917="TANIMSIZ MÜŞTERİ","HATA",IF(OR($E1917="",$F1917&lt;=0,$G1917=""),"EKSİK",IF($E1917&gt;TODAY(),"İLERİ TARİH",IF(COUNTIF($S$7:$S$2503,$S1917)&gt;1,"MÜKERRER?",IF($T1917&gt;0,"KAPALI DÖNEM","UYGUN"))))))</f>
        <v/>
      </c>
      <c r="N1917" s="74" t="str">
        <f>IF($C1917="","",IF($C1917="TANIMSIZ MÜŞTERİ","—",INDEX(MUSTERILER!$C$7:$C$156,MATCH($C1917,MUSTERILER!$B$7:$B$156,0))))</f>
        <v/>
      </c>
      <c r="O1917" s="2"/>
      <c r="P1917" s="2"/>
      <c r="Q1917" s="1" t="str">
        <f>IF($D1917="","",$C1917&amp;"|"&amp;COUNTIFS($C$7:$C1917,$C1917))</f>
        <v/>
      </c>
      <c r="R1917" s="1" t="str">
        <f t="shared" si="58"/>
        <v/>
      </c>
      <c r="S1917" s="1" t="str">
        <f t="shared" si="59"/>
        <v/>
      </c>
      <c r="T1917" s="1">
        <f>IF($E1917="",0,SUMPRODUCT((AY_SONU!$O$7:$O$42="Evet")*(AY_SONU!$B$7:$B$42=DATE(YEAR($E1917),MONTH($E1917),1))))</f>
        <v>0</v>
      </c>
      <c r="U1917" s="1" t="str">
        <f>IF(OR($G1917="",$H1917="Mahsup"),"",$G1917&amp;"|"&amp;COUNTIFS($G$7:$G1917,$G1917,$H$7:$H1917,"&lt;&gt;Mahsup"))</f>
        <v/>
      </c>
    </row>
    <row r="1918" spans="1:21" ht="18" customHeight="1" x14ac:dyDescent="0.3">
      <c r="A1918" s="2"/>
      <c r="B1918" s="65" t="str">
        <f>IF($D1918="","","T"&amp;TEXT(ROW()-6,"00000"))</f>
        <v/>
      </c>
      <c r="C1918" s="65" t="str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61"/>
      <c r="E1918" s="66"/>
      <c r="F1918" s="67"/>
      <c r="G1918" s="60"/>
      <c r="H1918" s="60"/>
      <c r="I1918" s="61"/>
      <c r="J1918" s="61"/>
      <c r="K1918" s="61"/>
      <c r="L1918" s="73" t="str">
        <f>IF($E1918="","",DATE(YEAR($E1918),MONTH($E1918),1))</f>
        <v/>
      </c>
      <c r="M1918" s="65" t="str">
        <f ca="1">IF($D1918="","",IF($C1918="TANIMSIZ MÜŞTERİ","HATA",IF(OR($E1918="",$F1918&lt;=0,$G1918=""),"EKSİK",IF($E1918&gt;TODAY(),"İLERİ TARİH",IF(COUNTIF($S$7:$S$2503,$S1918)&gt;1,"MÜKERRER?",IF($T1918&gt;0,"KAPALI DÖNEM","UYGUN"))))))</f>
        <v/>
      </c>
      <c r="N1918" s="74" t="str">
        <f>IF($C1918="","",IF($C1918="TANIMSIZ MÜŞTERİ","—",INDEX(MUSTERILER!$C$7:$C$156,MATCH($C1918,MUSTERILER!$B$7:$B$156,0))))</f>
        <v/>
      </c>
      <c r="O1918" s="2"/>
      <c r="P1918" s="2"/>
      <c r="Q1918" s="1" t="str">
        <f>IF($D1918="","",$C1918&amp;"|"&amp;COUNTIFS($C$7:$C1918,$C1918))</f>
        <v/>
      </c>
      <c r="R1918" s="1" t="str">
        <f t="shared" si="58"/>
        <v/>
      </c>
      <c r="S1918" s="1" t="str">
        <f t="shared" si="59"/>
        <v/>
      </c>
      <c r="T1918" s="1">
        <f>IF($E1918="",0,SUMPRODUCT((AY_SONU!$O$7:$O$42="Evet")*(AY_SONU!$B$7:$B$42=DATE(YEAR($E1918),MONTH($E1918),1))))</f>
        <v>0</v>
      </c>
      <c r="U1918" s="1" t="str">
        <f>IF(OR($G1918="",$H1918="Mahsup"),"",$G1918&amp;"|"&amp;COUNTIFS($G$7:$G1918,$G1918,$H$7:$H1918,"&lt;&gt;Mahsup"))</f>
        <v/>
      </c>
    </row>
    <row r="1919" spans="1:21" ht="18" customHeight="1" x14ac:dyDescent="0.3">
      <c r="A1919" s="2"/>
      <c r="B1919" s="65" t="str">
        <f>IF($D1919="","","T"&amp;TEXT(ROW()-6,"00000"))</f>
        <v/>
      </c>
      <c r="C1919" s="65" t="str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61"/>
      <c r="E1919" s="66"/>
      <c r="F1919" s="67"/>
      <c r="G1919" s="60"/>
      <c r="H1919" s="60"/>
      <c r="I1919" s="61"/>
      <c r="J1919" s="61"/>
      <c r="K1919" s="61"/>
      <c r="L1919" s="73" t="str">
        <f>IF($E1919="","",DATE(YEAR($E1919),MONTH($E1919),1))</f>
        <v/>
      </c>
      <c r="M1919" s="65" t="str">
        <f ca="1">IF($D1919="","",IF($C1919="TANIMSIZ MÜŞTERİ","HATA",IF(OR($E1919="",$F1919&lt;=0,$G1919=""),"EKSİK",IF($E1919&gt;TODAY(),"İLERİ TARİH",IF(COUNTIF($S$7:$S$2503,$S1919)&gt;1,"MÜKERRER?",IF($T1919&gt;0,"KAPALI DÖNEM","UYGUN"))))))</f>
        <v/>
      </c>
      <c r="N1919" s="74" t="str">
        <f>IF($C1919="","",IF($C1919="TANIMSIZ MÜŞTERİ","—",INDEX(MUSTERILER!$C$7:$C$156,MATCH($C1919,MUSTERILER!$B$7:$B$156,0))))</f>
        <v/>
      </c>
      <c r="O1919" s="2"/>
      <c r="P1919" s="2"/>
      <c r="Q1919" s="1" t="str">
        <f>IF($D1919="","",$C1919&amp;"|"&amp;COUNTIFS($C$7:$C1919,$C1919))</f>
        <v/>
      </c>
      <c r="R1919" s="1" t="str">
        <f t="shared" si="58"/>
        <v/>
      </c>
      <c r="S1919" s="1" t="str">
        <f t="shared" si="59"/>
        <v/>
      </c>
      <c r="T1919" s="1">
        <f>IF($E1919="",0,SUMPRODUCT((AY_SONU!$O$7:$O$42="Evet")*(AY_SONU!$B$7:$B$42=DATE(YEAR($E1919),MONTH($E1919),1))))</f>
        <v>0</v>
      </c>
      <c r="U1919" s="1" t="str">
        <f>IF(OR($G1919="",$H1919="Mahsup"),"",$G1919&amp;"|"&amp;COUNTIFS($G$7:$G1919,$G1919,$H$7:$H1919,"&lt;&gt;Mahsup"))</f>
        <v/>
      </c>
    </row>
    <row r="1920" spans="1:21" ht="18" customHeight="1" x14ac:dyDescent="0.3">
      <c r="A1920" s="2"/>
      <c r="B1920" s="65" t="str">
        <f>IF($D1920="","","T"&amp;TEXT(ROW()-6,"00000"))</f>
        <v/>
      </c>
      <c r="C1920" s="65" t="str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61"/>
      <c r="E1920" s="66"/>
      <c r="F1920" s="67"/>
      <c r="G1920" s="60"/>
      <c r="H1920" s="60"/>
      <c r="I1920" s="61"/>
      <c r="J1920" s="61"/>
      <c r="K1920" s="61"/>
      <c r="L1920" s="73" t="str">
        <f>IF($E1920="","",DATE(YEAR($E1920),MONTH($E1920),1))</f>
        <v/>
      </c>
      <c r="M1920" s="65" t="str">
        <f ca="1">IF($D1920="","",IF($C1920="TANIMSIZ MÜŞTERİ","HATA",IF(OR($E1920="",$F1920&lt;=0,$G1920=""),"EKSİK",IF($E1920&gt;TODAY(),"İLERİ TARİH",IF(COUNTIF($S$7:$S$2503,$S1920)&gt;1,"MÜKERRER?",IF($T1920&gt;0,"KAPALI DÖNEM","UYGUN"))))))</f>
        <v/>
      </c>
      <c r="N1920" s="74" t="str">
        <f>IF($C1920="","",IF($C1920="TANIMSIZ MÜŞTERİ","—",INDEX(MUSTERILER!$C$7:$C$156,MATCH($C1920,MUSTERILER!$B$7:$B$156,0))))</f>
        <v/>
      </c>
      <c r="O1920" s="2"/>
      <c r="P1920" s="2"/>
      <c r="Q1920" s="1" t="str">
        <f>IF($D1920="","",$C1920&amp;"|"&amp;COUNTIFS($C$7:$C1920,$C1920))</f>
        <v/>
      </c>
      <c r="R1920" s="1" t="str">
        <f t="shared" si="58"/>
        <v/>
      </c>
      <c r="S1920" s="1" t="str">
        <f t="shared" si="59"/>
        <v/>
      </c>
      <c r="T1920" s="1">
        <f>IF($E1920="",0,SUMPRODUCT((AY_SONU!$O$7:$O$42="Evet")*(AY_SONU!$B$7:$B$42=DATE(YEAR($E1920),MONTH($E1920),1))))</f>
        <v>0</v>
      </c>
      <c r="U1920" s="1" t="str">
        <f>IF(OR($G1920="",$H1920="Mahsup"),"",$G1920&amp;"|"&amp;COUNTIFS($G$7:$G1920,$G1920,$H$7:$H1920,"&lt;&gt;Mahsup"))</f>
        <v/>
      </c>
    </row>
    <row r="1921" spans="1:21" ht="18" customHeight="1" x14ac:dyDescent="0.3">
      <c r="A1921" s="2"/>
      <c r="B1921" s="65" t="str">
        <f>IF($D1921="","","T"&amp;TEXT(ROW()-6,"00000"))</f>
        <v/>
      </c>
      <c r="C1921" s="65" t="str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61"/>
      <c r="E1921" s="66"/>
      <c r="F1921" s="67"/>
      <c r="G1921" s="60"/>
      <c r="H1921" s="60"/>
      <c r="I1921" s="61"/>
      <c r="J1921" s="61"/>
      <c r="K1921" s="61"/>
      <c r="L1921" s="73" t="str">
        <f>IF($E1921="","",DATE(YEAR($E1921),MONTH($E1921),1))</f>
        <v/>
      </c>
      <c r="M1921" s="65" t="str">
        <f ca="1">IF($D1921="","",IF($C1921="TANIMSIZ MÜŞTERİ","HATA",IF(OR($E1921="",$F1921&lt;=0,$G1921=""),"EKSİK",IF($E1921&gt;TODAY(),"İLERİ TARİH",IF(COUNTIF($S$7:$S$2503,$S1921)&gt;1,"MÜKERRER?",IF($T1921&gt;0,"KAPALI DÖNEM","UYGUN"))))))</f>
        <v/>
      </c>
      <c r="N1921" s="74" t="str">
        <f>IF($C1921="","",IF($C1921="TANIMSIZ MÜŞTERİ","—",INDEX(MUSTERILER!$C$7:$C$156,MATCH($C1921,MUSTERILER!$B$7:$B$156,0))))</f>
        <v/>
      </c>
      <c r="O1921" s="2"/>
      <c r="P1921" s="2"/>
      <c r="Q1921" s="1" t="str">
        <f>IF($D1921="","",$C1921&amp;"|"&amp;COUNTIFS($C$7:$C1921,$C1921))</f>
        <v/>
      </c>
      <c r="R1921" s="1" t="str">
        <f t="shared" si="58"/>
        <v/>
      </c>
      <c r="S1921" s="1" t="str">
        <f t="shared" si="59"/>
        <v/>
      </c>
      <c r="T1921" s="1">
        <f>IF($E1921="",0,SUMPRODUCT((AY_SONU!$O$7:$O$42="Evet")*(AY_SONU!$B$7:$B$42=DATE(YEAR($E1921),MONTH($E1921),1))))</f>
        <v>0</v>
      </c>
      <c r="U1921" s="1" t="str">
        <f>IF(OR($G1921="",$H1921="Mahsup"),"",$G1921&amp;"|"&amp;COUNTIFS($G$7:$G1921,$G1921,$H$7:$H1921,"&lt;&gt;Mahsup"))</f>
        <v/>
      </c>
    </row>
    <row r="1922" spans="1:21" ht="18" customHeight="1" x14ac:dyDescent="0.3">
      <c r="A1922" s="2"/>
      <c r="B1922" s="65" t="str">
        <f>IF($D1922="","","T"&amp;TEXT(ROW()-6,"00000"))</f>
        <v/>
      </c>
      <c r="C1922" s="65" t="str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61"/>
      <c r="E1922" s="66"/>
      <c r="F1922" s="67"/>
      <c r="G1922" s="60"/>
      <c r="H1922" s="60"/>
      <c r="I1922" s="61"/>
      <c r="J1922" s="61"/>
      <c r="K1922" s="61"/>
      <c r="L1922" s="73" t="str">
        <f>IF($E1922="","",DATE(YEAR($E1922),MONTH($E1922),1))</f>
        <v/>
      </c>
      <c r="M1922" s="65" t="str">
        <f ca="1">IF($D1922="","",IF($C1922="TANIMSIZ MÜŞTERİ","HATA",IF(OR($E1922="",$F1922&lt;=0,$G1922=""),"EKSİK",IF($E1922&gt;TODAY(),"İLERİ TARİH",IF(COUNTIF($S$7:$S$2503,$S1922)&gt;1,"MÜKERRER?",IF($T1922&gt;0,"KAPALI DÖNEM","UYGUN"))))))</f>
        <v/>
      </c>
      <c r="N1922" s="74" t="str">
        <f>IF($C1922="","",IF($C1922="TANIMSIZ MÜŞTERİ","—",INDEX(MUSTERILER!$C$7:$C$156,MATCH($C1922,MUSTERILER!$B$7:$B$156,0))))</f>
        <v/>
      </c>
      <c r="O1922" s="2"/>
      <c r="P1922" s="2"/>
      <c r="Q1922" s="1" t="str">
        <f>IF($D1922="","",$C1922&amp;"|"&amp;COUNTIFS($C$7:$C1922,$C1922))</f>
        <v/>
      </c>
      <c r="R1922" s="1" t="str">
        <f t="shared" si="58"/>
        <v/>
      </c>
      <c r="S1922" s="1" t="str">
        <f t="shared" si="59"/>
        <v/>
      </c>
      <c r="T1922" s="1">
        <f>IF($E1922="",0,SUMPRODUCT((AY_SONU!$O$7:$O$42="Evet")*(AY_SONU!$B$7:$B$42=DATE(YEAR($E1922),MONTH($E1922),1))))</f>
        <v>0</v>
      </c>
      <c r="U1922" s="1" t="str">
        <f>IF(OR($G1922="",$H1922="Mahsup"),"",$G1922&amp;"|"&amp;COUNTIFS($G$7:$G1922,$G1922,$H$7:$H1922,"&lt;&gt;Mahsup"))</f>
        <v/>
      </c>
    </row>
    <row r="1923" spans="1:21" ht="18" customHeight="1" x14ac:dyDescent="0.3">
      <c r="A1923" s="2"/>
      <c r="B1923" s="65" t="str">
        <f>IF($D1923="","","T"&amp;TEXT(ROW()-6,"00000"))</f>
        <v/>
      </c>
      <c r="C1923" s="65" t="str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61"/>
      <c r="E1923" s="66"/>
      <c r="F1923" s="67"/>
      <c r="G1923" s="60"/>
      <c r="H1923" s="60"/>
      <c r="I1923" s="61"/>
      <c r="J1923" s="61"/>
      <c r="K1923" s="61"/>
      <c r="L1923" s="73" t="str">
        <f>IF($E1923="","",DATE(YEAR($E1923),MONTH($E1923),1))</f>
        <v/>
      </c>
      <c r="M1923" s="65" t="str">
        <f ca="1">IF($D1923="","",IF($C1923="TANIMSIZ MÜŞTERİ","HATA",IF(OR($E1923="",$F1923&lt;=0,$G1923=""),"EKSİK",IF($E1923&gt;TODAY(),"İLERİ TARİH",IF(COUNTIF($S$7:$S$2503,$S1923)&gt;1,"MÜKERRER?",IF($T1923&gt;0,"KAPALI DÖNEM","UYGUN"))))))</f>
        <v/>
      </c>
      <c r="N1923" s="74" t="str">
        <f>IF($C1923="","",IF($C1923="TANIMSIZ MÜŞTERİ","—",INDEX(MUSTERILER!$C$7:$C$156,MATCH($C1923,MUSTERILER!$B$7:$B$156,0))))</f>
        <v/>
      </c>
      <c r="O1923" s="2"/>
      <c r="P1923" s="2"/>
      <c r="Q1923" s="1" t="str">
        <f>IF($D1923="","",$C1923&amp;"|"&amp;COUNTIFS($C$7:$C1923,$C1923))</f>
        <v/>
      </c>
      <c r="R1923" s="1" t="str">
        <f t="shared" si="58"/>
        <v/>
      </c>
      <c r="S1923" s="1" t="str">
        <f t="shared" si="59"/>
        <v/>
      </c>
      <c r="T1923" s="1">
        <f>IF($E1923="",0,SUMPRODUCT((AY_SONU!$O$7:$O$42="Evet")*(AY_SONU!$B$7:$B$42=DATE(YEAR($E1923),MONTH($E1923),1))))</f>
        <v>0</v>
      </c>
      <c r="U1923" s="1" t="str">
        <f>IF(OR($G1923="",$H1923="Mahsup"),"",$G1923&amp;"|"&amp;COUNTIFS($G$7:$G1923,$G1923,$H$7:$H1923,"&lt;&gt;Mahsup"))</f>
        <v/>
      </c>
    </row>
    <row r="1924" spans="1:21" ht="18" customHeight="1" x14ac:dyDescent="0.3">
      <c r="A1924" s="2"/>
      <c r="B1924" s="65" t="str">
        <f>IF($D1924="","","T"&amp;TEXT(ROW()-6,"00000"))</f>
        <v/>
      </c>
      <c r="C1924" s="65" t="str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61"/>
      <c r="E1924" s="66"/>
      <c r="F1924" s="67"/>
      <c r="G1924" s="60"/>
      <c r="H1924" s="60"/>
      <c r="I1924" s="61"/>
      <c r="J1924" s="61"/>
      <c r="K1924" s="61"/>
      <c r="L1924" s="73" t="str">
        <f>IF($E1924="","",DATE(YEAR($E1924),MONTH($E1924),1))</f>
        <v/>
      </c>
      <c r="M1924" s="65" t="str">
        <f ca="1">IF($D1924="","",IF($C1924="TANIMSIZ MÜŞTERİ","HATA",IF(OR($E1924="",$F1924&lt;=0,$G1924=""),"EKSİK",IF($E1924&gt;TODAY(),"İLERİ TARİH",IF(COUNTIF($S$7:$S$2503,$S1924)&gt;1,"MÜKERRER?",IF($T1924&gt;0,"KAPALI DÖNEM","UYGUN"))))))</f>
        <v/>
      </c>
      <c r="N1924" s="74" t="str">
        <f>IF($C1924="","",IF($C1924="TANIMSIZ MÜŞTERİ","—",INDEX(MUSTERILER!$C$7:$C$156,MATCH($C1924,MUSTERILER!$B$7:$B$156,0))))</f>
        <v/>
      </c>
      <c r="O1924" s="2"/>
      <c r="P1924" s="2"/>
      <c r="Q1924" s="1" t="str">
        <f>IF($D1924="","",$C1924&amp;"|"&amp;COUNTIFS($C$7:$C1924,$C1924))</f>
        <v/>
      </c>
      <c r="R1924" s="1" t="str">
        <f t="shared" si="58"/>
        <v/>
      </c>
      <c r="S1924" s="1" t="str">
        <f t="shared" si="59"/>
        <v/>
      </c>
      <c r="T1924" s="1">
        <f>IF($E1924="",0,SUMPRODUCT((AY_SONU!$O$7:$O$42="Evet")*(AY_SONU!$B$7:$B$42=DATE(YEAR($E1924),MONTH($E1924),1))))</f>
        <v>0</v>
      </c>
      <c r="U1924" s="1" t="str">
        <f>IF(OR($G1924="",$H1924="Mahsup"),"",$G1924&amp;"|"&amp;COUNTIFS($G$7:$G1924,$G1924,$H$7:$H1924,"&lt;&gt;Mahsup"))</f>
        <v/>
      </c>
    </row>
    <row r="1925" spans="1:21" ht="18" customHeight="1" x14ac:dyDescent="0.3">
      <c r="A1925" s="2"/>
      <c r="B1925" s="65" t="str">
        <f>IF($D1925="","","T"&amp;TEXT(ROW()-6,"00000"))</f>
        <v/>
      </c>
      <c r="C1925" s="65" t="str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61"/>
      <c r="E1925" s="66"/>
      <c r="F1925" s="67"/>
      <c r="G1925" s="60"/>
      <c r="H1925" s="60"/>
      <c r="I1925" s="61"/>
      <c r="J1925" s="61"/>
      <c r="K1925" s="61"/>
      <c r="L1925" s="73" t="str">
        <f>IF($E1925="","",DATE(YEAR($E1925),MONTH($E1925),1))</f>
        <v/>
      </c>
      <c r="M1925" s="65" t="str">
        <f ca="1">IF($D1925="","",IF($C1925="TANIMSIZ MÜŞTERİ","HATA",IF(OR($E1925="",$F1925&lt;=0,$G1925=""),"EKSİK",IF($E1925&gt;TODAY(),"İLERİ TARİH",IF(COUNTIF($S$7:$S$2503,$S1925)&gt;1,"MÜKERRER?",IF($T1925&gt;0,"KAPALI DÖNEM","UYGUN"))))))</f>
        <v/>
      </c>
      <c r="N1925" s="74" t="str">
        <f>IF($C1925="","",IF($C1925="TANIMSIZ MÜŞTERİ","—",INDEX(MUSTERILER!$C$7:$C$156,MATCH($C1925,MUSTERILER!$B$7:$B$156,0))))</f>
        <v/>
      </c>
      <c r="O1925" s="2"/>
      <c r="P1925" s="2"/>
      <c r="Q1925" s="1" t="str">
        <f>IF($D1925="","",$C1925&amp;"|"&amp;COUNTIFS($C$7:$C1925,$C1925))</f>
        <v/>
      </c>
      <c r="R1925" s="1" t="str">
        <f t="shared" si="58"/>
        <v/>
      </c>
      <c r="S1925" s="1" t="str">
        <f t="shared" si="59"/>
        <v/>
      </c>
      <c r="T1925" s="1">
        <f>IF($E1925="",0,SUMPRODUCT((AY_SONU!$O$7:$O$42="Evet")*(AY_SONU!$B$7:$B$42=DATE(YEAR($E1925),MONTH($E1925),1))))</f>
        <v>0</v>
      </c>
      <c r="U1925" s="1" t="str">
        <f>IF(OR($G1925="",$H1925="Mahsup"),"",$G1925&amp;"|"&amp;COUNTIFS($G$7:$G1925,$G1925,$H$7:$H1925,"&lt;&gt;Mahsup"))</f>
        <v/>
      </c>
    </row>
    <row r="1926" spans="1:21" ht="18" customHeight="1" x14ac:dyDescent="0.3">
      <c r="A1926" s="2"/>
      <c r="B1926" s="65" t="str">
        <f>IF($D1926="","","T"&amp;TEXT(ROW()-6,"00000"))</f>
        <v/>
      </c>
      <c r="C1926" s="65" t="str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61"/>
      <c r="E1926" s="66"/>
      <c r="F1926" s="67"/>
      <c r="G1926" s="60"/>
      <c r="H1926" s="60"/>
      <c r="I1926" s="61"/>
      <c r="J1926" s="61"/>
      <c r="K1926" s="61"/>
      <c r="L1926" s="73" t="str">
        <f>IF($E1926="","",DATE(YEAR($E1926),MONTH($E1926),1))</f>
        <v/>
      </c>
      <c r="M1926" s="65" t="str">
        <f ca="1">IF($D1926="","",IF($C1926="TANIMSIZ MÜŞTERİ","HATA",IF(OR($E1926="",$F1926&lt;=0,$G1926=""),"EKSİK",IF($E1926&gt;TODAY(),"İLERİ TARİH",IF(COUNTIF($S$7:$S$2503,$S1926)&gt;1,"MÜKERRER?",IF($T1926&gt;0,"KAPALI DÖNEM","UYGUN"))))))</f>
        <v/>
      </c>
      <c r="N1926" s="74" t="str">
        <f>IF($C1926="","",IF($C1926="TANIMSIZ MÜŞTERİ","—",INDEX(MUSTERILER!$C$7:$C$156,MATCH($C1926,MUSTERILER!$B$7:$B$156,0))))</f>
        <v/>
      </c>
      <c r="O1926" s="2"/>
      <c r="P1926" s="2"/>
      <c r="Q1926" s="1" t="str">
        <f>IF($D1926="","",$C1926&amp;"|"&amp;COUNTIFS($C$7:$C1926,$C1926))</f>
        <v/>
      </c>
      <c r="R1926" s="1" t="str">
        <f t="shared" si="58"/>
        <v/>
      </c>
      <c r="S1926" s="1" t="str">
        <f t="shared" si="59"/>
        <v/>
      </c>
      <c r="T1926" s="1">
        <f>IF($E1926="",0,SUMPRODUCT((AY_SONU!$O$7:$O$42="Evet")*(AY_SONU!$B$7:$B$42=DATE(YEAR($E1926),MONTH($E1926),1))))</f>
        <v>0</v>
      </c>
      <c r="U1926" s="1" t="str">
        <f>IF(OR($G1926="",$H1926="Mahsup"),"",$G1926&amp;"|"&amp;COUNTIFS($G$7:$G1926,$G1926,$H$7:$H1926,"&lt;&gt;Mahsup"))</f>
        <v/>
      </c>
    </row>
    <row r="1927" spans="1:21" ht="18" customHeight="1" x14ac:dyDescent="0.3">
      <c r="A1927" s="2"/>
      <c r="B1927" s="65" t="str">
        <f>IF($D1927="","","T"&amp;TEXT(ROW()-6,"00000"))</f>
        <v/>
      </c>
      <c r="C1927" s="65" t="str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61"/>
      <c r="E1927" s="66"/>
      <c r="F1927" s="67"/>
      <c r="G1927" s="60"/>
      <c r="H1927" s="60"/>
      <c r="I1927" s="61"/>
      <c r="J1927" s="61"/>
      <c r="K1927" s="61"/>
      <c r="L1927" s="73" t="str">
        <f>IF($E1927="","",DATE(YEAR($E1927),MONTH($E1927),1))</f>
        <v/>
      </c>
      <c r="M1927" s="65" t="str">
        <f ca="1">IF($D1927="","",IF($C1927="TANIMSIZ MÜŞTERİ","HATA",IF(OR($E1927="",$F1927&lt;=0,$G1927=""),"EKSİK",IF($E1927&gt;TODAY(),"İLERİ TARİH",IF(COUNTIF($S$7:$S$2503,$S1927)&gt;1,"MÜKERRER?",IF($T1927&gt;0,"KAPALI DÖNEM","UYGUN"))))))</f>
        <v/>
      </c>
      <c r="N1927" s="74" t="str">
        <f>IF($C1927="","",IF($C1927="TANIMSIZ MÜŞTERİ","—",INDEX(MUSTERILER!$C$7:$C$156,MATCH($C1927,MUSTERILER!$B$7:$B$156,0))))</f>
        <v/>
      </c>
      <c r="O1927" s="2"/>
      <c r="P1927" s="2"/>
      <c r="Q1927" s="1" t="str">
        <f>IF($D1927="","",$C1927&amp;"|"&amp;COUNTIFS($C$7:$C1927,$C1927))</f>
        <v/>
      </c>
      <c r="R1927" s="1" t="str">
        <f t="shared" ref="R1927:R1990" si="60"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" t="str">
        <f t="shared" ref="S1927:S1990" si="61">IF($D1927="","",$C1927&amp;"|"&amp;TEXT($E1927,"0")&amp;"|"&amp;TEXT($F1927,"0")&amp;"|"&amp;$I1927)</f>
        <v/>
      </c>
      <c r="T1927" s="1">
        <f>IF($E1927="",0,SUMPRODUCT((AY_SONU!$O$7:$O$42="Evet")*(AY_SONU!$B$7:$B$42=DATE(YEAR($E1927),MONTH($E1927),1))))</f>
        <v>0</v>
      </c>
      <c r="U1927" s="1" t="str">
        <f>IF(OR($G1927="",$H1927="Mahsup"),"",$G1927&amp;"|"&amp;COUNTIFS($G$7:$G1927,$G1927,$H$7:$H1927,"&lt;&gt;Mahsup"))</f>
        <v/>
      </c>
    </row>
    <row r="1928" spans="1:21" ht="18" customHeight="1" x14ac:dyDescent="0.3">
      <c r="A1928" s="2"/>
      <c r="B1928" s="65" t="str">
        <f>IF($D1928="","","T"&amp;TEXT(ROW()-6,"00000"))</f>
        <v/>
      </c>
      <c r="C1928" s="65" t="str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61"/>
      <c r="E1928" s="66"/>
      <c r="F1928" s="67"/>
      <c r="G1928" s="60"/>
      <c r="H1928" s="60"/>
      <c r="I1928" s="61"/>
      <c r="J1928" s="61"/>
      <c r="K1928" s="61"/>
      <c r="L1928" s="73" t="str">
        <f>IF($E1928="","",DATE(YEAR($E1928),MONTH($E1928),1))</f>
        <v/>
      </c>
      <c r="M1928" s="65" t="str">
        <f ca="1">IF($D1928="","",IF($C1928="TANIMSIZ MÜŞTERİ","HATA",IF(OR($E1928="",$F1928&lt;=0,$G1928=""),"EKSİK",IF($E1928&gt;TODAY(),"İLERİ TARİH",IF(COUNTIF($S$7:$S$2503,$S1928)&gt;1,"MÜKERRER?",IF($T1928&gt;0,"KAPALI DÖNEM","UYGUN"))))))</f>
        <v/>
      </c>
      <c r="N1928" s="74" t="str">
        <f>IF($C1928="","",IF($C1928="TANIMSIZ MÜŞTERİ","—",INDEX(MUSTERILER!$C$7:$C$156,MATCH($C1928,MUSTERILER!$B$7:$B$156,0))))</f>
        <v/>
      </c>
      <c r="O1928" s="2"/>
      <c r="P1928" s="2"/>
      <c r="Q1928" s="1" t="str">
        <f>IF($D1928="","",$C1928&amp;"|"&amp;COUNTIFS($C$7:$C1928,$C1928))</f>
        <v/>
      </c>
      <c r="R1928" s="1" t="str">
        <f t="shared" si="60"/>
        <v/>
      </c>
      <c r="S1928" s="1" t="str">
        <f t="shared" si="61"/>
        <v/>
      </c>
      <c r="T1928" s="1">
        <f>IF($E1928="",0,SUMPRODUCT((AY_SONU!$O$7:$O$42="Evet")*(AY_SONU!$B$7:$B$42=DATE(YEAR($E1928),MONTH($E1928),1))))</f>
        <v>0</v>
      </c>
      <c r="U1928" s="1" t="str">
        <f>IF(OR($G1928="",$H1928="Mahsup"),"",$G1928&amp;"|"&amp;COUNTIFS($G$7:$G1928,$G1928,$H$7:$H1928,"&lt;&gt;Mahsup"))</f>
        <v/>
      </c>
    </row>
    <row r="1929" spans="1:21" ht="18" customHeight="1" x14ac:dyDescent="0.3">
      <c r="A1929" s="2"/>
      <c r="B1929" s="65" t="str">
        <f>IF($D1929="","","T"&amp;TEXT(ROW()-6,"00000"))</f>
        <v/>
      </c>
      <c r="C1929" s="65" t="str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61"/>
      <c r="E1929" s="66"/>
      <c r="F1929" s="67"/>
      <c r="G1929" s="60"/>
      <c r="H1929" s="60"/>
      <c r="I1929" s="61"/>
      <c r="J1929" s="61"/>
      <c r="K1929" s="61"/>
      <c r="L1929" s="73" t="str">
        <f>IF($E1929="","",DATE(YEAR($E1929),MONTH($E1929),1))</f>
        <v/>
      </c>
      <c r="M1929" s="65" t="str">
        <f ca="1">IF($D1929="","",IF($C1929="TANIMSIZ MÜŞTERİ","HATA",IF(OR($E1929="",$F1929&lt;=0,$G1929=""),"EKSİK",IF($E1929&gt;TODAY(),"İLERİ TARİH",IF(COUNTIF($S$7:$S$2503,$S1929)&gt;1,"MÜKERRER?",IF($T1929&gt;0,"KAPALI DÖNEM","UYGUN"))))))</f>
        <v/>
      </c>
      <c r="N1929" s="74" t="str">
        <f>IF($C1929="","",IF($C1929="TANIMSIZ MÜŞTERİ","—",INDEX(MUSTERILER!$C$7:$C$156,MATCH($C1929,MUSTERILER!$B$7:$B$156,0))))</f>
        <v/>
      </c>
      <c r="O1929" s="2"/>
      <c r="P1929" s="2"/>
      <c r="Q1929" s="1" t="str">
        <f>IF($D1929="","",$C1929&amp;"|"&amp;COUNTIFS($C$7:$C1929,$C1929))</f>
        <v/>
      </c>
      <c r="R1929" s="1" t="str">
        <f t="shared" si="60"/>
        <v/>
      </c>
      <c r="S1929" s="1" t="str">
        <f t="shared" si="61"/>
        <v/>
      </c>
      <c r="T1929" s="1">
        <f>IF($E1929="",0,SUMPRODUCT((AY_SONU!$O$7:$O$42="Evet")*(AY_SONU!$B$7:$B$42=DATE(YEAR($E1929),MONTH($E1929),1))))</f>
        <v>0</v>
      </c>
      <c r="U1929" s="1" t="str">
        <f>IF(OR($G1929="",$H1929="Mahsup"),"",$G1929&amp;"|"&amp;COUNTIFS($G$7:$G1929,$G1929,$H$7:$H1929,"&lt;&gt;Mahsup"))</f>
        <v/>
      </c>
    </row>
    <row r="1930" spans="1:21" ht="18" customHeight="1" x14ac:dyDescent="0.3">
      <c r="A1930" s="2"/>
      <c r="B1930" s="65" t="str">
        <f>IF($D1930="","","T"&amp;TEXT(ROW()-6,"00000"))</f>
        <v/>
      </c>
      <c r="C1930" s="65" t="str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61"/>
      <c r="E1930" s="66"/>
      <c r="F1930" s="67"/>
      <c r="G1930" s="60"/>
      <c r="H1930" s="60"/>
      <c r="I1930" s="61"/>
      <c r="J1930" s="61"/>
      <c r="K1930" s="61"/>
      <c r="L1930" s="73" t="str">
        <f>IF($E1930="","",DATE(YEAR($E1930),MONTH($E1930),1))</f>
        <v/>
      </c>
      <c r="M1930" s="65" t="str">
        <f ca="1">IF($D1930="","",IF($C1930="TANIMSIZ MÜŞTERİ","HATA",IF(OR($E1930="",$F1930&lt;=0,$G1930=""),"EKSİK",IF($E1930&gt;TODAY(),"İLERİ TARİH",IF(COUNTIF($S$7:$S$2503,$S1930)&gt;1,"MÜKERRER?",IF($T1930&gt;0,"KAPALI DÖNEM","UYGUN"))))))</f>
        <v/>
      </c>
      <c r="N1930" s="74" t="str">
        <f>IF($C1930="","",IF($C1930="TANIMSIZ MÜŞTERİ","—",INDEX(MUSTERILER!$C$7:$C$156,MATCH($C1930,MUSTERILER!$B$7:$B$156,0))))</f>
        <v/>
      </c>
      <c r="O1930" s="2"/>
      <c r="P1930" s="2"/>
      <c r="Q1930" s="1" t="str">
        <f>IF($D1930="","",$C1930&amp;"|"&amp;COUNTIFS($C$7:$C1930,$C1930))</f>
        <v/>
      </c>
      <c r="R1930" s="1" t="str">
        <f t="shared" si="60"/>
        <v/>
      </c>
      <c r="S1930" s="1" t="str">
        <f t="shared" si="61"/>
        <v/>
      </c>
      <c r="T1930" s="1">
        <f>IF($E1930="",0,SUMPRODUCT((AY_SONU!$O$7:$O$42="Evet")*(AY_SONU!$B$7:$B$42=DATE(YEAR($E1930),MONTH($E1930),1))))</f>
        <v>0</v>
      </c>
      <c r="U1930" s="1" t="str">
        <f>IF(OR($G1930="",$H1930="Mahsup"),"",$G1930&amp;"|"&amp;COUNTIFS($G$7:$G1930,$G1930,$H$7:$H1930,"&lt;&gt;Mahsup"))</f>
        <v/>
      </c>
    </row>
    <row r="1931" spans="1:21" ht="18" customHeight="1" x14ac:dyDescent="0.3">
      <c r="A1931" s="2"/>
      <c r="B1931" s="65" t="str">
        <f>IF($D1931="","","T"&amp;TEXT(ROW()-6,"00000"))</f>
        <v/>
      </c>
      <c r="C1931" s="65" t="str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61"/>
      <c r="E1931" s="66"/>
      <c r="F1931" s="67"/>
      <c r="G1931" s="60"/>
      <c r="H1931" s="60"/>
      <c r="I1931" s="61"/>
      <c r="J1931" s="61"/>
      <c r="K1931" s="61"/>
      <c r="L1931" s="73" t="str">
        <f>IF($E1931="","",DATE(YEAR($E1931),MONTH($E1931),1))</f>
        <v/>
      </c>
      <c r="M1931" s="65" t="str">
        <f ca="1">IF($D1931="","",IF($C1931="TANIMSIZ MÜŞTERİ","HATA",IF(OR($E1931="",$F1931&lt;=0,$G1931=""),"EKSİK",IF($E1931&gt;TODAY(),"İLERİ TARİH",IF(COUNTIF($S$7:$S$2503,$S1931)&gt;1,"MÜKERRER?",IF($T1931&gt;0,"KAPALI DÖNEM","UYGUN"))))))</f>
        <v/>
      </c>
      <c r="N1931" s="74" t="str">
        <f>IF($C1931="","",IF($C1931="TANIMSIZ MÜŞTERİ","—",INDEX(MUSTERILER!$C$7:$C$156,MATCH($C1931,MUSTERILER!$B$7:$B$156,0))))</f>
        <v/>
      </c>
      <c r="O1931" s="2"/>
      <c r="P1931" s="2"/>
      <c r="Q1931" s="1" t="str">
        <f>IF($D1931="","",$C1931&amp;"|"&amp;COUNTIFS($C$7:$C1931,$C1931))</f>
        <v/>
      </c>
      <c r="R1931" s="1" t="str">
        <f t="shared" si="60"/>
        <v/>
      </c>
      <c r="S1931" s="1" t="str">
        <f t="shared" si="61"/>
        <v/>
      </c>
      <c r="T1931" s="1">
        <f>IF($E1931="",0,SUMPRODUCT((AY_SONU!$O$7:$O$42="Evet")*(AY_SONU!$B$7:$B$42=DATE(YEAR($E1931),MONTH($E1931),1))))</f>
        <v>0</v>
      </c>
      <c r="U1931" s="1" t="str">
        <f>IF(OR($G1931="",$H1931="Mahsup"),"",$G1931&amp;"|"&amp;COUNTIFS($G$7:$G1931,$G1931,$H$7:$H1931,"&lt;&gt;Mahsup"))</f>
        <v/>
      </c>
    </row>
    <row r="1932" spans="1:21" ht="18" customHeight="1" x14ac:dyDescent="0.3">
      <c r="A1932" s="2"/>
      <c r="B1932" s="65" t="str">
        <f>IF($D1932="","","T"&amp;TEXT(ROW()-6,"00000"))</f>
        <v/>
      </c>
      <c r="C1932" s="65" t="str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61"/>
      <c r="E1932" s="66"/>
      <c r="F1932" s="67"/>
      <c r="G1932" s="60"/>
      <c r="H1932" s="60"/>
      <c r="I1932" s="61"/>
      <c r="J1932" s="61"/>
      <c r="K1932" s="61"/>
      <c r="L1932" s="73" t="str">
        <f>IF($E1932="","",DATE(YEAR($E1932),MONTH($E1932),1))</f>
        <v/>
      </c>
      <c r="M1932" s="65" t="str">
        <f ca="1">IF($D1932="","",IF($C1932="TANIMSIZ MÜŞTERİ","HATA",IF(OR($E1932="",$F1932&lt;=0,$G1932=""),"EKSİK",IF($E1932&gt;TODAY(),"İLERİ TARİH",IF(COUNTIF($S$7:$S$2503,$S1932)&gt;1,"MÜKERRER?",IF($T1932&gt;0,"KAPALI DÖNEM","UYGUN"))))))</f>
        <v/>
      </c>
      <c r="N1932" s="74" t="str">
        <f>IF($C1932="","",IF($C1932="TANIMSIZ MÜŞTERİ","—",INDEX(MUSTERILER!$C$7:$C$156,MATCH($C1932,MUSTERILER!$B$7:$B$156,0))))</f>
        <v/>
      </c>
      <c r="O1932" s="2"/>
      <c r="P1932" s="2"/>
      <c r="Q1932" s="1" t="str">
        <f>IF($D1932="","",$C1932&amp;"|"&amp;COUNTIFS($C$7:$C1932,$C1932))</f>
        <v/>
      </c>
      <c r="R1932" s="1" t="str">
        <f t="shared" si="60"/>
        <v/>
      </c>
      <c r="S1932" s="1" t="str">
        <f t="shared" si="61"/>
        <v/>
      </c>
      <c r="T1932" s="1">
        <f>IF($E1932="",0,SUMPRODUCT((AY_SONU!$O$7:$O$42="Evet")*(AY_SONU!$B$7:$B$42=DATE(YEAR($E1932),MONTH($E1932),1))))</f>
        <v>0</v>
      </c>
      <c r="U1932" s="1" t="str">
        <f>IF(OR($G1932="",$H1932="Mahsup"),"",$G1932&amp;"|"&amp;COUNTIFS($G$7:$G1932,$G1932,$H$7:$H1932,"&lt;&gt;Mahsup"))</f>
        <v/>
      </c>
    </row>
    <row r="1933" spans="1:21" ht="18" customHeight="1" x14ac:dyDescent="0.3">
      <c r="A1933" s="2"/>
      <c r="B1933" s="65" t="str">
        <f>IF($D1933="","","T"&amp;TEXT(ROW()-6,"00000"))</f>
        <v/>
      </c>
      <c r="C1933" s="65" t="str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61"/>
      <c r="E1933" s="66"/>
      <c r="F1933" s="67"/>
      <c r="G1933" s="60"/>
      <c r="H1933" s="60"/>
      <c r="I1933" s="61"/>
      <c r="J1933" s="61"/>
      <c r="K1933" s="61"/>
      <c r="L1933" s="73" t="str">
        <f>IF($E1933="","",DATE(YEAR($E1933),MONTH($E1933),1))</f>
        <v/>
      </c>
      <c r="M1933" s="65" t="str">
        <f ca="1">IF($D1933="","",IF($C1933="TANIMSIZ MÜŞTERİ","HATA",IF(OR($E1933="",$F1933&lt;=0,$G1933=""),"EKSİK",IF($E1933&gt;TODAY(),"İLERİ TARİH",IF(COUNTIF($S$7:$S$2503,$S1933)&gt;1,"MÜKERRER?",IF($T1933&gt;0,"KAPALI DÖNEM","UYGUN"))))))</f>
        <v/>
      </c>
      <c r="N1933" s="74" t="str">
        <f>IF($C1933="","",IF($C1933="TANIMSIZ MÜŞTERİ","—",INDEX(MUSTERILER!$C$7:$C$156,MATCH($C1933,MUSTERILER!$B$7:$B$156,0))))</f>
        <v/>
      </c>
      <c r="O1933" s="2"/>
      <c r="P1933" s="2"/>
      <c r="Q1933" s="1" t="str">
        <f>IF($D1933="","",$C1933&amp;"|"&amp;COUNTIFS($C$7:$C1933,$C1933))</f>
        <v/>
      </c>
      <c r="R1933" s="1" t="str">
        <f t="shared" si="60"/>
        <v/>
      </c>
      <c r="S1933" s="1" t="str">
        <f t="shared" si="61"/>
        <v/>
      </c>
      <c r="T1933" s="1">
        <f>IF($E1933="",0,SUMPRODUCT((AY_SONU!$O$7:$O$42="Evet")*(AY_SONU!$B$7:$B$42=DATE(YEAR($E1933),MONTH($E1933),1))))</f>
        <v>0</v>
      </c>
      <c r="U1933" s="1" t="str">
        <f>IF(OR($G1933="",$H1933="Mahsup"),"",$G1933&amp;"|"&amp;COUNTIFS($G$7:$G1933,$G1933,$H$7:$H1933,"&lt;&gt;Mahsup"))</f>
        <v/>
      </c>
    </row>
    <row r="1934" spans="1:21" ht="18" customHeight="1" x14ac:dyDescent="0.3">
      <c r="A1934" s="2"/>
      <c r="B1934" s="65" t="str">
        <f>IF($D1934="","","T"&amp;TEXT(ROW()-6,"00000"))</f>
        <v/>
      </c>
      <c r="C1934" s="65" t="str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61"/>
      <c r="E1934" s="66"/>
      <c r="F1934" s="67"/>
      <c r="G1934" s="60"/>
      <c r="H1934" s="60"/>
      <c r="I1934" s="61"/>
      <c r="J1934" s="61"/>
      <c r="K1934" s="61"/>
      <c r="L1934" s="73" t="str">
        <f>IF($E1934="","",DATE(YEAR($E1934),MONTH($E1934),1))</f>
        <v/>
      </c>
      <c r="M1934" s="65" t="str">
        <f ca="1">IF($D1934="","",IF($C1934="TANIMSIZ MÜŞTERİ","HATA",IF(OR($E1934="",$F1934&lt;=0,$G1934=""),"EKSİK",IF($E1934&gt;TODAY(),"İLERİ TARİH",IF(COUNTIF($S$7:$S$2503,$S1934)&gt;1,"MÜKERRER?",IF($T1934&gt;0,"KAPALI DÖNEM","UYGUN"))))))</f>
        <v/>
      </c>
      <c r="N1934" s="74" t="str">
        <f>IF($C1934="","",IF($C1934="TANIMSIZ MÜŞTERİ","—",INDEX(MUSTERILER!$C$7:$C$156,MATCH($C1934,MUSTERILER!$B$7:$B$156,0))))</f>
        <v/>
      </c>
      <c r="O1934" s="2"/>
      <c r="P1934" s="2"/>
      <c r="Q1934" s="1" t="str">
        <f>IF($D1934="","",$C1934&amp;"|"&amp;COUNTIFS($C$7:$C1934,$C1934))</f>
        <v/>
      </c>
      <c r="R1934" s="1" t="str">
        <f t="shared" si="60"/>
        <v/>
      </c>
      <c r="S1934" s="1" t="str">
        <f t="shared" si="61"/>
        <v/>
      </c>
      <c r="T1934" s="1">
        <f>IF($E1934="",0,SUMPRODUCT((AY_SONU!$O$7:$O$42="Evet")*(AY_SONU!$B$7:$B$42=DATE(YEAR($E1934),MONTH($E1934),1))))</f>
        <v>0</v>
      </c>
      <c r="U1934" s="1" t="str">
        <f>IF(OR($G1934="",$H1934="Mahsup"),"",$G1934&amp;"|"&amp;COUNTIFS($G$7:$G1934,$G1934,$H$7:$H1934,"&lt;&gt;Mahsup"))</f>
        <v/>
      </c>
    </row>
    <row r="1935" spans="1:21" ht="18" customHeight="1" x14ac:dyDescent="0.3">
      <c r="A1935" s="2"/>
      <c r="B1935" s="65" t="str">
        <f>IF($D1935="","","T"&amp;TEXT(ROW()-6,"00000"))</f>
        <v/>
      </c>
      <c r="C1935" s="65" t="str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61"/>
      <c r="E1935" s="66"/>
      <c r="F1935" s="67"/>
      <c r="G1935" s="60"/>
      <c r="H1935" s="60"/>
      <c r="I1935" s="61"/>
      <c r="J1935" s="61"/>
      <c r="K1935" s="61"/>
      <c r="L1935" s="73" t="str">
        <f>IF($E1935="","",DATE(YEAR($E1935),MONTH($E1935),1))</f>
        <v/>
      </c>
      <c r="M1935" s="65" t="str">
        <f ca="1">IF($D1935="","",IF($C1935="TANIMSIZ MÜŞTERİ","HATA",IF(OR($E1935="",$F1935&lt;=0,$G1935=""),"EKSİK",IF($E1935&gt;TODAY(),"İLERİ TARİH",IF(COUNTIF($S$7:$S$2503,$S1935)&gt;1,"MÜKERRER?",IF($T1935&gt;0,"KAPALI DÖNEM","UYGUN"))))))</f>
        <v/>
      </c>
      <c r="N1935" s="74" t="str">
        <f>IF($C1935="","",IF($C1935="TANIMSIZ MÜŞTERİ","—",INDEX(MUSTERILER!$C$7:$C$156,MATCH($C1935,MUSTERILER!$B$7:$B$156,0))))</f>
        <v/>
      </c>
      <c r="O1935" s="2"/>
      <c r="P1935" s="2"/>
      <c r="Q1935" s="1" t="str">
        <f>IF($D1935="","",$C1935&amp;"|"&amp;COUNTIFS($C$7:$C1935,$C1935))</f>
        <v/>
      </c>
      <c r="R1935" s="1" t="str">
        <f t="shared" si="60"/>
        <v/>
      </c>
      <c r="S1935" s="1" t="str">
        <f t="shared" si="61"/>
        <v/>
      </c>
      <c r="T1935" s="1">
        <f>IF($E1935="",0,SUMPRODUCT((AY_SONU!$O$7:$O$42="Evet")*(AY_SONU!$B$7:$B$42=DATE(YEAR($E1935),MONTH($E1935),1))))</f>
        <v>0</v>
      </c>
      <c r="U1935" s="1" t="str">
        <f>IF(OR($G1935="",$H1935="Mahsup"),"",$G1935&amp;"|"&amp;COUNTIFS($G$7:$G1935,$G1935,$H$7:$H1935,"&lt;&gt;Mahsup"))</f>
        <v/>
      </c>
    </row>
    <row r="1936" spans="1:21" ht="18" customHeight="1" x14ac:dyDescent="0.3">
      <c r="A1936" s="2"/>
      <c r="B1936" s="65" t="str">
        <f>IF($D1936="","","T"&amp;TEXT(ROW()-6,"00000"))</f>
        <v/>
      </c>
      <c r="C1936" s="65" t="str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61"/>
      <c r="E1936" s="66"/>
      <c r="F1936" s="67"/>
      <c r="G1936" s="60"/>
      <c r="H1936" s="60"/>
      <c r="I1936" s="61"/>
      <c r="J1936" s="61"/>
      <c r="K1936" s="61"/>
      <c r="L1936" s="73" t="str">
        <f>IF($E1936="","",DATE(YEAR($E1936),MONTH($E1936),1))</f>
        <v/>
      </c>
      <c r="M1936" s="65" t="str">
        <f ca="1">IF($D1936="","",IF($C1936="TANIMSIZ MÜŞTERİ","HATA",IF(OR($E1936="",$F1936&lt;=0,$G1936=""),"EKSİK",IF($E1936&gt;TODAY(),"İLERİ TARİH",IF(COUNTIF($S$7:$S$2503,$S1936)&gt;1,"MÜKERRER?",IF($T1936&gt;0,"KAPALI DÖNEM","UYGUN"))))))</f>
        <v/>
      </c>
      <c r="N1936" s="74" t="str">
        <f>IF($C1936="","",IF($C1936="TANIMSIZ MÜŞTERİ","—",INDEX(MUSTERILER!$C$7:$C$156,MATCH($C1936,MUSTERILER!$B$7:$B$156,0))))</f>
        <v/>
      </c>
      <c r="O1936" s="2"/>
      <c r="P1936" s="2"/>
      <c r="Q1936" s="1" t="str">
        <f>IF($D1936="","",$C1936&amp;"|"&amp;COUNTIFS($C$7:$C1936,$C1936))</f>
        <v/>
      </c>
      <c r="R1936" s="1" t="str">
        <f t="shared" si="60"/>
        <v/>
      </c>
      <c r="S1936" s="1" t="str">
        <f t="shared" si="61"/>
        <v/>
      </c>
      <c r="T1936" s="1">
        <f>IF($E1936="",0,SUMPRODUCT((AY_SONU!$O$7:$O$42="Evet")*(AY_SONU!$B$7:$B$42=DATE(YEAR($E1936),MONTH($E1936),1))))</f>
        <v>0</v>
      </c>
      <c r="U1936" s="1" t="str">
        <f>IF(OR($G1936="",$H1936="Mahsup"),"",$G1936&amp;"|"&amp;COUNTIFS($G$7:$G1936,$G1936,$H$7:$H1936,"&lt;&gt;Mahsup"))</f>
        <v/>
      </c>
    </row>
    <row r="1937" spans="1:21" ht="18" customHeight="1" x14ac:dyDescent="0.3">
      <c r="A1937" s="2"/>
      <c r="B1937" s="65" t="str">
        <f>IF($D1937="","","T"&amp;TEXT(ROW()-6,"00000"))</f>
        <v/>
      </c>
      <c r="C1937" s="65" t="str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61"/>
      <c r="E1937" s="66"/>
      <c r="F1937" s="67"/>
      <c r="G1937" s="60"/>
      <c r="H1937" s="60"/>
      <c r="I1937" s="61"/>
      <c r="J1937" s="61"/>
      <c r="K1937" s="61"/>
      <c r="L1937" s="73" t="str">
        <f>IF($E1937="","",DATE(YEAR($E1937),MONTH($E1937),1))</f>
        <v/>
      </c>
      <c r="M1937" s="65" t="str">
        <f ca="1">IF($D1937="","",IF($C1937="TANIMSIZ MÜŞTERİ","HATA",IF(OR($E1937="",$F1937&lt;=0,$G1937=""),"EKSİK",IF($E1937&gt;TODAY(),"İLERİ TARİH",IF(COUNTIF($S$7:$S$2503,$S1937)&gt;1,"MÜKERRER?",IF($T1937&gt;0,"KAPALI DÖNEM","UYGUN"))))))</f>
        <v/>
      </c>
      <c r="N1937" s="74" t="str">
        <f>IF($C1937="","",IF($C1937="TANIMSIZ MÜŞTERİ","—",INDEX(MUSTERILER!$C$7:$C$156,MATCH($C1937,MUSTERILER!$B$7:$B$156,0))))</f>
        <v/>
      </c>
      <c r="O1937" s="2"/>
      <c r="P1937" s="2"/>
      <c r="Q1937" s="1" t="str">
        <f>IF($D1937="","",$C1937&amp;"|"&amp;COUNTIFS($C$7:$C1937,$C1937))</f>
        <v/>
      </c>
      <c r="R1937" s="1" t="str">
        <f t="shared" si="60"/>
        <v/>
      </c>
      <c r="S1937" s="1" t="str">
        <f t="shared" si="61"/>
        <v/>
      </c>
      <c r="T1937" s="1">
        <f>IF($E1937="",0,SUMPRODUCT((AY_SONU!$O$7:$O$42="Evet")*(AY_SONU!$B$7:$B$42=DATE(YEAR($E1937),MONTH($E1937),1))))</f>
        <v>0</v>
      </c>
      <c r="U1937" s="1" t="str">
        <f>IF(OR($G1937="",$H1937="Mahsup"),"",$G1937&amp;"|"&amp;COUNTIFS($G$7:$G1937,$G1937,$H$7:$H1937,"&lt;&gt;Mahsup"))</f>
        <v/>
      </c>
    </row>
    <row r="1938" spans="1:21" ht="18" customHeight="1" x14ac:dyDescent="0.3">
      <c r="A1938" s="2"/>
      <c r="B1938" s="65" t="str">
        <f>IF($D1938="","","T"&amp;TEXT(ROW()-6,"00000"))</f>
        <v/>
      </c>
      <c r="C1938" s="65" t="str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61"/>
      <c r="E1938" s="66"/>
      <c r="F1938" s="67"/>
      <c r="G1938" s="60"/>
      <c r="H1938" s="60"/>
      <c r="I1938" s="61"/>
      <c r="J1938" s="61"/>
      <c r="K1938" s="61"/>
      <c r="L1938" s="73" t="str">
        <f>IF($E1938="","",DATE(YEAR($E1938),MONTH($E1938),1))</f>
        <v/>
      </c>
      <c r="M1938" s="65" t="str">
        <f ca="1">IF($D1938="","",IF($C1938="TANIMSIZ MÜŞTERİ","HATA",IF(OR($E1938="",$F1938&lt;=0,$G1938=""),"EKSİK",IF($E1938&gt;TODAY(),"İLERİ TARİH",IF(COUNTIF($S$7:$S$2503,$S1938)&gt;1,"MÜKERRER?",IF($T1938&gt;0,"KAPALI DÖNEM","UYGUN"))))))</f>
        <v/>
      </c>
      <c r="N1938" s="74" t="str">
        <f>IF($C1938="","",IF($C1938="TANIMSIZ MÜŞTERİ","—",INDEX(MUSTERILER!$C$7:$C$156,MATCH($C1938,MUSTERILER!$B$7:$B$156,0))))</f>
        <v/>
      </c>
      <c r="O1938" s="2"/>
      <c r="P1938" s="2"/>
      <c r="Q1938" s="1" t="str">
        <f>IF($D1938="","",$C1938&amp;"|"&amp;COUNTIFS($C$7:$C1938,$C1938))</f>
        <v/>
      </c>
      <c r="R1938" s="1" t="str">
        <f t="shared" si="60"/>
        <v/>
      </c>
      <c r="S1938" s="1" t="str">
        <f t="shared" si="61"/>
        <v/>
      </c>
      <c r="T1938" s="1">
        <f>IF($E1938="",0,SUMPRODUCT((AY_SONU!$O$7:$O$42="Evet")*(AY_SONU!$B$7:$B$42=DATE(YEAR($E1938),MONTH($E1938),1))))</f>
        <v>0</v>
      </c>
      <c r="U1938" s="1" t="str">
        <f>IF(OR($G1938="",$H1938="Mahsup"),"",$G1938&amp;"|"&amp;COUNTIFS($G$7:$G1938,$G1938,$H$7:$H1938,"&lt;&gt;Mahsup"))</f>
        <v/>
      </c>
    </row>
    <row r="1939" spans="1:21" ht="18" customHeight="1" x14ac:dyDescent="0.3">
      <c r="A1939" s="2"/>
      <c r="B1939" s="65" t="str">
        <f>IF($D1939="","","T"&amp;TEXT(ROW()-6,"00000"))</f>
        <v/>
      </c>
      <c r="C1939" s="65" t="str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61"/>
      <c r="E1939" s="66"/>
      <c r="F1939" s="67"/>
      <c r="G1939" s="60"/>
      <c r="H1939" s="60"/>
      <c r="I1939" s="61"/>
      <c r="J1939" s="61"/>
      <c r="K1939" s="61"/>
      <c r="L1939" s="73" t="str">
        <f>IF($E1939="","",DATE(YEAR($E1939),MONTH($E1939),1))</f>
        <v/>
      </c>
      <c r="M1939" s="65" t="str">
        <f ca="1">IF($D1939="","",IF($C1939="TANIMSIZ MÜŞTERİ","HATA",IF(OR($E1939="",$F1939&lt;=0,$G1939=""),"EKSİK",IF($E1939&gt;TODAY(),"İLERİ TARİH",IF(COUNTIF($S$7:$S$2503,$S1939)&gt;1,"MÜKERRER?",IF($T1939&gt;0,"KAPALI DÖNEM","UYGUN"))))))</f>
        <v/>
      </c>
      <c r="N1939" s="74" t="str">
        <f>IF($C1939="","",IF($C1939="TANIMSIZ MÜŞTERİ","—",INDEX(MUSTERILER!$C$7:$C$156,MATCH($C1939,MUSTERILER!$B$7:$B$156,0))))</f>
        <v/>
      </c>
      <c r="O1939" s="2"/>
      <c r="P1939" s="2"/>
      <c r="Q1939" s="1" t="str">
        <f>IF($D1939="","",$C1939&amp;"|"&amp;COUNTIFS($C$7:$C1939,$C1939))</f>
        <v/>
      </c>
      <c r="R1939" s="1" t="str">
        <f t="shared" si="60"/>
        <v/>
      </c>
      <c r="S1939" s="1" t="str">
        <f t="shared" si="61"/>
        <v/>
      </c>
      <c r="T1939" s="1">
        <f>IF($E1939="",0,SUMPRODUCT((AY_SONU!$O$7:$O$42="Evet")*(AY_SONU!$B$7:$B$42=DATE(YEAR($E1939),MONTH($E1939),1))))</f>
        <v>0</v>
      </c>
      <c r="U1939" s="1" t="str">
        <f>IF(OR($G1939="",$H1939="Mahsup"),"",$G1939&amp;"|"&amp;COUNTIFS($G$7:$G1939,$G1939,$H$7:$H1939,"&lt;&gt;Mahsup"))</f>
        <v/>
      </c>
    </row>
    <row r="1940" spans="1:21" ht="18" customHeight="1" x14ac:dyDescent="0.3">
      <c r="A1940" s="2"/>
      <c r="B1940" s="65" t="str">
        <f>IF($D1940="","","T"&amp;TEXT(ROW()-6,"00000"))</f>
        <v/>
      </c>
      <c r="C1940" s="65" t="str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61"/>
      <c r="E1940" s="66"/>
      <c r="F1940" s="67"/>
      <c r="G1940" s="60"/>
      <c r="H1940" s="60"/>
      <c r="I1940" s="61"/>
      <c r="J1940" s="61"/>
      <c r="K1940" s="61"/>
      <c r="L1940" s="73" t="str">
        <f>IF($E1940="","",DATE(YEAR($E1940),MONTH($E1940),1))</f>
        <v/>
      </c>
      <c r="M1940" s="65" t="str">
        <f ca="1">IF($D1940="","",IF($C1940="TANIMSIZ MÜŞTERİ","HATA",IF(OR($E1940="",$F1940&lt;=0,$G1940=""),"EKSİK",IF($E1940&gt;TODAY(),"İLERİ TARİH",IF(COUNTIF($S$7:$S$2503,$S1940)&gt;1,"MÜKERRER?",IF($T1940&gt;0,"KAPALI DÖNEM","UYGUN"))))))</f>
        <v/>
      </c>
      <c r="N1940" s="74" t="str">
        <f>IF($C1940="","",IF($C1940="TANIMSIZ MÜŞTERİ","—",INDEX(MUSTERILER!$C$7:$C$156,MATCH($C1940,MUSTERILER!$B$7:$B$156,0))))</f>
        <v/>
      </c>
      <c r="O1940" s="2"/>
      <c r="P1940" s="2"/>
      <c r="Q1940" s="1" t="str">
        <f>IF($D1940="","",$C1940&amp;"|"&amp;COUNTIFS($C$7:$C1940,$C1940))</f>
        <v/>
      </c>
      <c r="R1940" s="1" t="str">
        <f t="shared" si="60"/>
        <v/>
      </c>
      <c r="S1940" s="1" t="str">
        <f t="shared" si="61"/>
        <v/>
      </c>
      <c r="T1940" s="1">
        <f>IF($E1940="",0,SUMPRODUCT((AY_SONU!$O$7:$O$42="Evet")*(AY_SONU!$B$7:$B$42=DATE(YEAR($E1940),MONTH($E1940),1))))</f>
        <v>0</v>
      </c>
      <c r="U1940" s="1" t="str">
        <f>IF(OR($G1940="",$H1940="Mahsup"),"",$G1940&amp;"|"&amp;COUNTIFS($G$7:$G1940,$G1940,$H$7:$H1940,"&lt;&gt;Mahsup"))</f>
        <v/>
      </c>
    </row>
    <row r="1941" spans="1:21" ht="18" customHeight="1" x14ac:dyDescent="0.3">
      <c r="A1941" s="2"/>
      <c r="B1941" s="65" t="str">
        <f>IF($D1941="","","T"&amp;TEXT(ROW()-6,"00000"))</f>
        <v/>
      </c>
      <c r="C1941" s="65" t="str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61"/>
      <c r="E1941" s="66"/>
      <c r="F1941" s="67"/>
      <c r="G1941" s="60"/>
      <c r="H1941" s="60"/>
      <c r="I1941" s="61"/>
      <c r="J1941" s="61"/>
      <c r="K1941" s="61"/>
      <c r="L1941" s="73" t="str">
        <f>IF($E1941="","",DATE(YEAR($E1941),MONTH($E1941),1))</f>
        <v/>
      </c>
      <c r="M1941" s="65" t="str">
        <f ca="1">IF($D1941="","",IF($C1941="TANIMSIZ MÜŞTERİ","HATA",IF(OR($E1941="",$F1941&lt;=0,$G1941=""),"EKSİK",IF($E1941&gt;TODAY(),"İLERİ TARİH",IF(COUNTIF($S$7:$S$2503,$S1941)&gt;1,"MÜKERRER?",IF($T1941&gt;0,"KAPALI DÖNEM","UYGUN"))))))</f>
        <v/>
      </c>
      <c r="N1941" s="74" t="str">
        <f>IF($C1941="","",IF($C1941="TANIMSIZ MÜŞTERİ","—",INDEX(MUSTERILER!$C$7:$C$156,MATCH($C1941,MUSTERILER!$B$7:$B$156,0))))</f>
        <v/>
      </c>
      <c r="O1941" s="2"/>
      <c r="P1941" s="2"/>
      <c r="Q1941" s="1" t="str">
        <f>IF($D1941="","",$C1941&amp;"|"&amp;COUNTIFS($C$7:$C1941,$C1941))</f>
        <v/>
      </c>
      <c r="R1941" s="1" t="str">
        <f t="shared" si="60"/>
        <v/>
      </c>
      <c r="S1941" s="1" t="str">
        <f t="shared" si="61"/>
        <v/>
      </c>
      <c r="T1941" s="1">
        <f>IF($E1941="",0,SUMPRODUCT((AY_SONU!$O$7:$O$42="Evet")*(AY_SONU!$B$7:$B$42=DATE(YEAR($E1941),MONTH($E1941),1))))</f>
        <v>0</v>
      </c>
      <c r="U1941" s="1" t="str">
        <f>IF(OR($G1941="",$H1941="Mahsup"),"",$G1941&amp;"|"&amp;COUNTIFS($G$7:$G1941,$G1941,$H$7:$H1941,"&lt;&gt;Mahsup"))</f>
        <v/>
      </c>
    </row>
    <row r="1942" spans="1:21" ht="18" customHeight="1" x14ac:dyDescent="0.3">
      <c r="A1942" s="2"/>
      <c r="B1942" s="65" t="str">
        <f>IF($D1942="","","T"&amp;TEXT(ROW()-6,"00000"))</f>
        <v/>
      </c>
      <c r="C1942" s="65" t="str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61"/>
      <c r="E1942" s="66"/>
      <c r="F1942" s="67"/>
      <c r="G1942" s="60"/>
      <c r="H1942" s="60"/>
      <c r="I1942" s="61"/>
      <c r="J1942" s="61"/>
      <c r="K1942" s="61"/>
      <c r="L1942" s="73" t="str">
        <f>IF($E1942="","",DATE(YEAR($E1942),MONTH($E1942),1))</f>
        <v/>
      </c>
      <c r="M1942" s="65" t="str">
        <f ca="1">IF($D1942="","",IF($C1942="TANIMSIZ MÜŞTERİ","HATA",IF(OR($E1942="",$F1942&lt;=0,$G1942=""),"EKSİK",IF($E1942&gt;TODAY(),"İLERİ TARİH",IF(COUNTIF($S$7:$S$2503,$S1942)&gt;1,"MÜKERRER?",IF($T1942&gt;0,"KAPALI DÖNEM","UYGUN"))))))</f>
        <v/>
      </c>
      <c r="N1942" s="74" t="str">
        <f>IF($C1942="","",IF($C1942="TANIMSIZ MÜŞTERİ","—",INDEX(MUSTERILER!$C$7:$C$156,MATCH($C1942,MUSTERILER!$B$7:$B$156,0))))</f>
        <v/>
      </c>
      <c r="O1942" s="2"/>
      <c r="P1942" s="2"/>
      <c r="Q1942" s="1" t="str">
        <f>IF($D1942="","",$C1942&amp;"|"&amp;COUNTIFS($C$7:$C1942,$C1942))</f>
        <v/>
      </c>
      <c r="R1942" s="1" t="str">
        <f t="shared" si="60"/>
        <v/>
      </c>
      <c r="S1942" s="1" t="str">
        <f t="shared" si="61"/>
        <v/>
      </c>
      <c r="T1942" s="1">
        <f>IF($E1942="",0,SUMPRODUCT((AY_SONU!$O$7:$O$42="Evet")*(AY_SONU!$B$7:$B$42=DATE(YEAR($E1942),MONTH($E1942),1))))</f>
        <v>0</v>
      </c>
      <c r="U1942" s="1" t="str">
        <f>IF(OR($G1942="",$H1942="Mahsup"),"",$G1942&amp;"|"&amp;COUNTIFS($G$7:$G1942,$G1942,$H$7:$H1942,"&lt;&gt;Mahsup"))</f>
        <v/>
      </c>
    </row>
    <row r="1943" spans="1:21" ht="18" customHeight="1" x14ac:dyDescent="0.3">
      <c r="A1943" s="2"/>
      <c r="B1943" s="65" t="str">
        <f>IF($D1943="","","T"&amp;TEXT(ROW()-6,"00000"))</f>
        <v/>
      </c>
      <c r="C1943" s="65" t="str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61"/>
      <c r="E1943" s="66"/>
      <c r="F1943" s="67"/>
      <c r="G1943" s="60"/>
      <c r="H1943" s="60"/>
      <c r="I1943" s="61"/>
      <c r="J1943" s="61"/>
      <c r="K1943" s="61"/>
      <c r="L1943" s="73" t="str">
        <f>IF($E1943="","",DATE(YEAR($E1943),MONTH($E1943),1))</f>
        <v/>
      </c>
      <c r="M1943" s="65" t="str">
        <f ca="1">IF($D1943="","",IF($C1943="TANIMSIZ MÜŞTERİ","HATA",IF(OR($E1943="",$F1943&lt;=0,$G1943=""),"EKSİK",IF($E1943&gt;TODAY(),"İLERİ TARİH",IF(COUNTIF($S$7:$S$2503,$S1943)&gt;1,"MÜKERRER?",IF($T1943&gt;0,"KAPALI DÖNEM","UYGUN"))))))</f>
        <v/>
      </c>
      <c r="N1943" s="74" t="str">
        <f>IF($C1943="","",IF($C1943="TANIMSIZ MÜŞTERİ","—",INDEX(MUSTERILER!$C$7:$C$156,MATCH($C1943,MUSTERILER!$B$7:$B$156,0))))</f>
        <v/>
      </c>
      <c r="O1943" s="2"/>
      <c r="P1943" s="2"/>
      <c r="Q1943" s="1" t="str">
        <f>IF($D1943="","",$C1943&amp;"|"&amp;COUNTIFS($C$7:$C1943,$C1943))</f>
        <v/>
      </c>
      <c r="R1943" s="1" t="str">
        <f t="shared" si="60"/>
        <v/>
      </c>
      <c r="S1943" s="1" t="str">
        <f t="shared" si="61"/>
        <v/>
      </c>
      <c r="T1943" s="1">
        <f>IF($E1943="",0,SUMPRODUCT((AY_SONU!$O$7:$O$42="Evet")*(AY_SONU!$B$7:$B$42=DATE(YEAR($E1943),MONTH($E1943),1))))</f>
        <v>0</v>
      </c>
      <c r="U1943" s="1" t="str">
        <f>IF(OR($G1943="",$H1943="Mahsup"),"",$G1943&amp;"|"&amp;COUNTIFS($G$7:$G1943,$G1943,$H$7:$H1943,"&lt;&gt;Mahsup"))</f>
        <v/>
      </c>
    </row>
    <row r="1944" spans="1:21" ht="18" customHeight="1" x14ac:dyDescent="0.3">
      <c r="A1944" s="2"/>
      <c r="B1944" s="65" t="str">
        <f>IF($D1944="","","T"&amp;TEXT(ROW()-6,"00000"))</f>
        <v/>
      </c>
      <c r="C1944" s="65" t="str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61"/>
      <c r="E1944" s="66"/>
      <c r="F1944" s="67"/>
      <c r="G1944" s="60"/>
      <c r="H1944" s="60"/>
      <c r="I1944" s="61"/>
      <c r="J1944" s="61"/>
      <c r="K1944" s="61"/>
      <c r="L1944" s="73" t="str">
        <f>IF($E1944="","",DATE(YEAR($E1944),MONTH($E1944),1))</f>
        <v/>
      </c>
      <c r="M1944" s="65" t="str">
        <f ca="1">IF($D1944="","",IF($C1944="TANIMSIZ MÜŞTERİ","HATA",IF(OR($E1944="",$F1944&lt;=0,$G1944=""),"EKSİK",IF($E1944&gt;TODAY(),"İLERİ TARİH",IF(COUNTIF($S$7:$S$2503,$S1944)&gt;1,"MÜKERRER?",IF($T1944&gt;0,"KAPALI DÖNEM","UYGUN"))))))</f>
        <v/>
      </c>
      <c r="N1944" s="74" t="str">
        <f>IF($C1944="","",IF($C1944="TANIMSIZ MÜŞTERİ","—",INDEX(MUSTERILER!$C$7:$C$156,MATCH($C1944,MUSTERILER!$B$7:$B$156,0))))</f>
        <v/>
      </c>
      <c r="O1944" s="2"/>
      <c r="P1944" s="2"/>
      <c r="Q1944" s="1" t="str">
        <f>IF($D1944="","",$C1944&amp;"|"&amp;COUNTIFS($C$7:$C1944,$C1944))</f>
        <v/>
      </c>
      <c r="R1944" s="1" t="str">
        <f t="shared" si="60"/>
        <v/>
      </c>
      <c r="S1944" s="1" t="str">
        <f t="shared" si="61"/>
        <v/>
      </c>
      <c r="T1944" s="1">
        <f>IF($E1944="",0,SUMPRODUCT((AY_SONU!$O$7:$O$42="Evet")*(AY_SONU!$B$7:$B$42=DATE(YEAR($E1944),MONTH($E1944),1))))</f>
        <v>0</v>
      </c>
      <c r="U1944" s="1" t="str">
        <f>IF(OR($G1944="",$H1944="Mahsup"),"",$G1944&amp;"|"&amp;COUNTIFS($G$7:$G1944,$G1944,$H$7:$H1944,"&lt;&gt;Mahsup"))</f>
        <v/>
      </c>
    </row>
    <row r="1945" spans="1:21" ht="18" customHeight="1" x14ac:dyDescent="0.3">
      <c r="A1945" s="2"/>
      <c r="B1945" s="65" t="str">
        <f>IF($D1945="","","T"&amp;TEXT(ROW()-6,"00000"))</f>
        <v/>
      </c>
      <c r="C1945" s="65" t="str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61"/>
      <c r="E1945" s="66"/>
      <c r="F1945" s="67"/>
      <c r="G1945" s="60"/>
      <c r="H1945" s="60"/>
      <c r="I1945" s="61"/>
      <c r="J1945" s="61"/>
      <c r="K1945" s="61"/>
      <c r="L1945" s="73" t="str">
        <f>IF($E1945="","",DATE(YEAR($E1945),MONTH($E1945),1))</f>
        <v/>
      </c>
      <c r="M1945" s="65" t="str">
        <f ca="1">IF($D1945="","",IF($C1945="TANIMSIZ MÜŞTERİ","HATA",IF(OR($E1945="",$F1945&lt;=0,$G1945=""),"EKSİK",IF($E1945&gt;TODAY(),"İLERİ TARİH",IF(COUNTIF($S$7:$S$2503,$S1945)&gt;1,"MÜKERRER?",IF($T1945&gt;0,"KAPALI DÖNEM","UYGUN"))))))</f>
        <v/>
      </c>
      <c r="N1945" s="74" t="str">
        <f>IF($C1945="","",IF($C1945="TANIMSIZ MÜŞTERİ","—",INDEX(MUSTERILER!$C$7:$C$156,MATCH($C1945,MUSTERILER!$B$7:$B$156,0))))</f>
        <v/>
      </c>
      <c r="O1945" s="2"/>
      <c r="P1945" s="2"/>
      <c r="Q1945" s="1" t="str">
        <f>IF($D1945="","",$C1945&amp;"|"&amp;COUNTIFS($C$7:$C1945,$C1945))</f>
        <v/>
      </c>
      <c r="R1945" s="1" t="str">
        <f t="shared" si="60"/>
        <v/>
      </c>
      <c r="S1945" s="1" t="str">
        <f t="shared" si="61"/>
        <v/>
      </c>
      <c r="T1945" s="1">
        <f>IF($E1945="",0,SUMPRODUCT((AY_SONU!$O$7:$O$42="Evet")*(AY_SONU!$B$7:$B$42=DATE(YEAR($E1945),MONTH($E1945),1))))</f>
        <v>0</v>
      </c>
      <c r="U1945" s="1" t="str">
        <f>IF(OR($G1945="",$H1945="Mahsup"),"",$G1945&amp;"|"&amp;COUNTIFS($G$7:$G1945,$G1945,$H$7:$H1945,"&lt;&gt;Mahsup"))</f>
        <v/>
      </c>
    </row>
    <row r="1946" spans="1:21" ht="18" customHeight="1" x14ac:dyDescent="0.3">
      <c r="A1946" s="2"/>
      <c r="B1946" s="65" t="str">
        <f>IF($D1946="","","T"&amp;TEXT(ROW()-6,"00000"))</f>
        <v/>
      </c>
      <c r="C1946" s="65" t="str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61"/>
      <c r="E1946" s="66"/>
      <c r="F1946" s="67"/>
      <c r="G1946" s="60"/>
      <c r="H1946" s="60"/>
      <c r="I1946" s="61"/>
      <c r="J1946" s="61"/>
      <c r="K1946" s="61"/>
      <c r="L1946" s="73" t="str">
        <f>IF($E1946="","",DATE(YEAR($E1946),MONTH($E1946),1))</f>
        <v/>
      </c>
      <c r="M1946" s="65" t="str">
        <f ca="1">IF($D1946="","",IF($C1946="TANIMSIZ MÜŞTERİ","HATA",IF(OR($E1946="",$F1946&lt;=0,$G1946=""),"EKSİK",IF($E1946&gt;TODAY(),"İLERİ TARİH",IF(COUNTIF($S$7:$S$2503,$S1946)&gt;1,"MÜKERRER?",IF($T1946&gt;0,"KAPALI DÖNEM","UYGUN"))))))</f>
        <v/>
      </c>
      <c r="N1946" s="74" t="str">
        <f>IF($C1946="","",IF($C1946="TANIMSIZ MÜŞTERİ","—",INDEX(MUSTERILER!$C$7:$C$156,MATCH($C1946,MUSTERILER!$B$7:$B$156,0))))</f>
        <v/>
      </c>
      <c r="O1946" s="2"/>
      <c r="P1946" s="2"/>
      <c r="Q1946" s="1" t="str">
        <f>IF($D1946="","",$C1946&amp;"|"&amp;COUNTIFS($C$7:$C1946,$C1946))</f>
        <v/>
      </c>
      <c r="R1946" s="1" t="str">
        <f t="shared" si="60"/>
        <v/>
      </c>
      <c r="S1946" s="1" t="str">
        <f t="shared" si="61"/>
        <v/>
      </c>
      <c r="T1946" s="1">
        <f>IF($E1946="",0,SUMPRODUCT((AY_SONU!$O$7:$O$42="Evet")*(AY_SONU!$B$7:$B$42=DATE(YEAR($E1946),MONTH($E1946),1))))</f>
        <v>0</v>
      </c>
      <c r="U1946" s="1" t="str">
        <f>IF(OR($G1946="",$H1946="Mahsup"),"",$G1946&amp;"|"&amp;COUNTIFS($G$7:$G1946,$G1946,$H$7:$H1946,"&lt;&gt;Mahsup"))</f>
        <v/>
      </c>
    </row>
    <row r="1947" spans="1:21" ht="18" customHeight="1" x14ac:dyDescent="0.3">
      <c r="A1947" s="2"/>
      <c r="B1947" s="65" t="str">
        <f>IF($D1947="","","T"&amp;TEXT(ROW()-6,"00000"))</f>
        <v/>
      </c>
      <c r="C1947" s="65" t="str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61"/>
      <c r="E1947" s="66"/>
      <c r="F1947" s="67"/>
      <c r="G1947" s="60"/>
      <c r="H1947" s="60"/>
      <c r="I1947" s="61"/>
      <c r="J1947" s="61"/>
      <c r="K1947" s="61"/>
      <c r="L1947" s="73" t="str">
        <f>IF($E1947="","",DATE(YEAR($E1947),MONTH($E1947),1))</f>
        <v/>
      </c>
      <c r="M1947" s="65" t="str">
        <f ca="1">IF($D1947="","",IF($C1947="TANIMSIZ MÜŞTERİ","HATA",IF(OR($E1947="",$F1947&lt;=0,$G1947=""),"EKSİK",IF($E1947&gt;TODAY(),"İLERİ TARİH",IF(COUNTIF($S$7:$S$2503,$S1947)&gt;1,"MÜKERRER?",IF($T1947&gt;0,"KAPALI DÖNEM","UYGUN"))))))</f>
        <v/>
      </c>
      <c r="N1947" s="74" t="str">
        <f>IF($C1947="","",IF($C1947="TANIMSIZ MÜŞTERİ","—",INDEX(MUSTERILER!$C$7:$C$156,MATCH($C1947,MUSTERILER!$B$7:$B$156,0))))</f>
        <v/>
      </c>
      <c r="O1947" s="2"/>
      <c r="P1947" s="2"/>
      <c r="Q1947" s="1" t="str">
        <f>IF($D1947="","",$C1947&amp;"|"&amp;COUNTIFS($C$7:$C1947,$C1947))</f>
        <v/>
      </c>
      <c r="R1947" s="1" t="str">
        <f t="shared" si="60"/>
        <v/>
      </c>
      <c r="S1947" s="1" t="str">
        <f t="shared" si="61"/>
        <v/>
      </c>
      <c r="T1947" s="1">
        <f>IF($E1947="",0,SUMPRODUCT((AY_SONU!$O$7:$O$42="Evet")*(AY_SONU!$B$7:$B$42=DATE(YEAR($E1947),MONTH($E1947),1))))</f>
        <v>0</v>
      </c>
      <c r="U1947" s="1" t="str">
        <f>IF(OR($G1947="",$H1947="Mahsup"),"",$G1947&amp;"|"&amp;COUNTIFS($G$7:$G1947,$G1947,$H$7:$H1947,"&lt;&gt;Mahsup"))</f>
        <v/>
      </c>
    </row>
    <row r="1948" spans="1:21" ht="18" customHeight="1" x14ac:dyDescent="0.3">
      <c r="A1948" s="2"/>
      <c r="B1948" s="65" t="str">
        <f>IF($D1948="","","T"&amp;TEXT(ROW()-6,"00000"))</f>
        <v/>
      </c>
      <c r="C1948" s="65" t="str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61"/>
      <c r="E1948" s="66"/>
      <c r="F1948" s="67"/>
      <c r="G1948" s="60"/>
      <c r="H1948" s="60"/>
      <c r="I1948" s="61"/>
      <c r="J1948" s="61"/>
      <c r="K1948" s="61"/>
      <c r="L1948" s="73" t="str">
        <f>IF($E1948="","",DATE(YEAR($E1948),MONTH($E1948),1))</f>
        <v/>
      </c>
      <c r="M1948" s="65" t="str">
        <f ca="1">IF($D1948="","",IF($C1948="TANIMSIZ MÜŞTERİ","HATA",IF(OR($E1948="",$F1948&lt;=0,$G1948=""),"EKSİK",IF($E1948&gt;TODAY(),"İLERİ TARİH",IF(COUNTIF($S$7:$S$2503,$S1948)&gt;1,"MÜKERRER?",IF($T1948&gt;0,"KAPALI DÖNEM","UYGUN"))))))</f>
        <v/>
      </c>
      <c r="N1948" s="74" t="str">
        <f>IF($C1948="","",IF($C1948="TANIMSIZ MÜŞTERİ","—",INDEX(MUSTERILER!$C$7:$C$156,MATCH($C1948,MUSTERILER!$B$7:$B$156,0))))</f>
        <v/>
      </c>
      <c r="O1948" s="2"/>
      <c r="P1948" s="2"/>
      <c r="Q1948" s="1" t="str">
        <f>IF($D1948="","",$C1948&amp;"|"&amp;COUNTIFS($C$7:$C1948,$C1948))</f>
        <v/>
      </c>
      <c r="R1948" s="1" t="str">
        <f t="shared" si="60"/>
        <v/>
      </c>
      <c r="S1948" s="1" t="str">
        <f t="shared" si="61"/>
        <v/>
      </c>
      <c r="T1948" s="1">
        <f>IF($E1948="",0,SUMPRODUCT((AY_SONU!$O$7:$O$42="Evet")*(AY_SONU!$B$7:$B$42=DATE(YEAR($E1948),MONTH($E1948),1))))</f>
        <v>0</v>
      </c>
      <c r="U1948" s="1" t="str">
        <f>IF(OR($G1948="",$H1948="Mahsup"),"",$G1948&amp;"|"&amp;COUNTIFS($G$7:$G1948,$G1948,$H$7:$H1948,"&lt;&gt;Mahsup"))</f>
        <v/>
      </c>
    </row>
    <row r="1949" spans="1:21" ht="18" customHeight="1" x14ac:dyDescent="0.3">
      <c r="A1949" s="2"/>
      <c r="B1949" s="65" t="str">
        <f>IF($D1949="","","T"&amp;TEXT(ROW()-6,"00000"))</f>
        <v/>
      </c>
      <c r="C1949" s="65" t="str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61"/>
      <c r="E1949" s="66"/>
      <c r="F1949" s="67"/>
      <c r="G1949" s="60"/>
      <c r="H1949" s="60"/>
      <c r="I1949" s="61"/>
      <c r="J1949" s="61"/>
      <c r="K1949" s="61"/>
      <c r="L1949" s="73" t="str">
        <f>IF($E1949="","",DATE(YEAR($E1949),MONTH($E1949),1))</f>
        <v/>
      </c>
      <c r="M1949" s="65" t="str">
        <f ca="1">IF($D1949="","",IF($C1949="TANIMSIZ MÜŞTERİ","HATA",IF(OR($E1949="",$F1949&lt;=0,$G1949=""),"EKSİK",IF($E1949&gt;TODAY(),"İLERİ TARİH",IF(COUNTIF($S$7:$S$2503,$S1949)&gt;1,"MÜKERRER?",IF($T1949&gt;0,"KAPALI DÖNEM","UYGUN"))))))</f>
        <v/>
      </c>
      <c r="N1949" s="74" t="str">
        <f>IF($C1949="","",IF($C1949="TANIMSIZ MÜŞTERİ","—",INDEX(MUSTERILER!$C$7:$C$156,MATCH($C1949,MUSTERILER!$B$7:$B$156,0))))</f>
        <v/>
      </c>
      <c r="O1949" s="2"/>
      <c r="P1949" s="2"/>
      <c r="Q1949" s="1" t="str">
        <f>IF($D1949="","",$C1949&amp;"|"&amp;COUNTIFS($C$7:$C1949,$C1949))</f>
        <v/>
      </c>
      <c r="R1949" s="1" t="str">
        <f t="shared" si="60"/>
        <v/>
      </c>
      <c r="S1949" s="1" t="str">
        <f t="shared" si="61"/>
        <v/>
      </c>
      <c r="T1949" s="1">
        <f>IF($E1949="",0,SUMPRODUCT((AY_SONU!$O$7:$O$42="Evet")*(AY_SONU!$B$7:$B$42=DATE(YEAR($E1949),MONTH($E1949),1))))</f>
        <v>0</v>
      </c>
      <c r="U1949" s="1" t="str">
        <f>IF(OR($G1949="",$H1949="Mahsup"),"",$G1949&amp;"|"&amp;COUNTIFS($G$7:$G1949,$G1949,$H$7:$H1949,"&lt;&gt;Mahsup"))</f>
        <v/>
      </c>
    </row>
    <row r="1950" spans="1:21" ht="18" customHeight="1" x14ac:dyDescent="0.3">
      <c r="A1950" s="2"/>
      <c r="B1950" s="65" t="str">
        <f>IF($D1950="","","T"&amp;TEXT(ROW()-6,"00000"))</f>
        <v/>
      </c>
      <c r="C1950" s="65" t="str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61"/>
      <c r="E1950" s="66"/>
      <c r="F1950" s="67"/>
      <c r="G1950" s="60"/>
      <c r="H1950" s="60"/>
      <c r="I1950" s="61"/>
      <c r="J1950" s="61"/>
      <c r="K1950" s="61"/>
      <c r="L1950" s="73" t="str">
        <f>IF($E1950="","",DATE(YEAR($E1950),MONTH($E1950),1))</f>
        <v/>
      </c>
      <c r="M1950" s="65" t="str">
        <f ca="1">IF($D1950="","",IF($C1950="TANIMSIZ MÜŞTERİ","HATA",IF(OR($E1950="",$F1950&lt;=0,$G1950=""),"EKSİK",IF($E1950&gt;TODAY(),"İLERİ TARİH",IF(COUNTIF($S$7:$S$2503,$S1950)&gt;1,"MÜKERRER?",IF($T1950&gt;0,"KAPALI DÖNEM","UYGUN"))))))</f>
        <v/>
      </c>
      <c r="N1950" s="74" t="str">
        <f>IF($C1950="","",IF($C1950="TANIMSIZ MÜŞTERİ","—",INDEX(MUSTERILER!$C$7:$C$156,MATCH($C1950,MUSTERILER!$B$7:$B$156,0))))</f>
        <v/>
      </c>
      <c r="O1950" s="2"/>
      <c r="P1950" s="2"/>
      <c r="Q1950" s="1" t="str">
        <f>IF($D1950="","",$C1950&amp;"|"&amp;COUNTIFS($C$7:$C1950,$C1950))</f>
        <v/>
      </c>
      <c r="R1950" s="1" t="str">
        <f t="shared" si="60"/>
        <v/>
      </c>
      <c r="S1950" s="1" t="str">
        <f t="shared" si="61"/>
        <v/>
      </c>
      <c r="T1950" s="1">
        <f>IF($E1950="",0,SUMPRODUCT((AY_SONU!$O$7:$O$42="Evet")*(AY_SONU!$B$7:$B$42=DATE(YEAR($E1950),MONTH($E1950),1))))</f>
        <v>0</v>
      </c>
      <c r="U1950" s="1" t="str">
        <f>IF(OR($G1950="",$H1950="Mahsup"),"",$G1950&amp;"|"&amp;COUNTIFS($G$7:$G1950,$G1950,$H$7:$H1950,"&lt;&gt;Mahsup"))</f>
        <v/>
      </c>
    </row>
    <row r="1951" spans="1:21" ht="18" customHeight="1" x14ac:dyDescent="0.3">
      <c r="A1951" s="2"/>
      <c r="B1951" s="65" t="str">
        <f>IF($D1951="","","T"&amp;TEXT(ROW()-6,"00000"))</f>
        <v/>
      </c>
      <c r="C1951" s="65" t="str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61"/>
      <c r="E1951" s="66"/>
      <c r="F1951" s="67"/>
      <c r="G1951" s="60"/>
      <c r="H1951" s="60"/>
      <c r="I1951" s="61"/>
      <c r="J1951" s="61"/>
      <c r="K1951" s="61"/>
      <c r="L1951" s="73" t="str">
        <f>IF($E1951="","",DATE(YEAR($E1951),MONTH($E1951),1))</f>
        <v/>
      </c>
      <c r="M1951" s="65" t="str">
        <f ca="1">IF($D1951="","",IF($C1951="TANIMSIZ MÜŞTERİ","HATA",IF(OR($E1951="",$F1951&lt;=0,$G1951=""),"EKSİK",IF($E1951&gt;TODAY(),"İLERİ TARİH",IF(COUNTIF($S$7:$S$2503,$S1951)&gt;1,"MÜKERRER?",IF($T1951&gt;0,"KAPALI DÖNEM","UYGUN"))))))</f>
        <v/>
      </c>
      <c r="N1951" s="74" t="str">
        <f>IF($C1951="","",IF($C1951="TANIMSIZ MÜŞTERİ","—",INDEX(MUSTERILER!$C$7:$C$156,MATCH($C1951,MUSTERILER!$B$7:$B$156,0))))</f>
        <v/>
      </c>
      <c r="O1951" s="2"/>
      <c r="P1951" s="2"/>
      <c r="Q1951" s="1" t="str">
        <f>IF($D1951="","",$C1951&amp;"|"&amp;COUNTIFS($C$7:$C1951,$C1951))</f>
        <v/>
      </c>
      <c r="R1951" s="1" t="str">
        <f t="shared" si="60"/>
        <v/>
      </c>
      <c r="S1951" s="1" t="str">
        <f t="shared" si="61"/>
        <v/>
      </c>
      <c r="T1951" s="1">
        <f>IF($E1951="",0,SUMPRODUCT((AY_SONU!$O$7:$O$42="Evet")*(AY_SONU!$B$7:$B$42=DATE(YEAR($E1951),MONTH($E1951),1))))</f>
        <v>0</v>
      </c>
      <c r="U1951" s="1" t="str">
        <f>IF(OR($G1951="",$H1951="Mahsup"),"",$G1951&amp;"|"&amp;COUNTIFS($G$7:$G1951,$G1951,$H$7:$H1951,"&lt;&gt;Mahsup"))</f>
        <v/>
      </c>
    </row>
    <row r="1952" spans="1:21" ht="18" customHeight="1" x14ac:dyDescent="0.3">
      <c r="A1952" s="2"/>
      <c r="B1952" s="65" t="str">
        <f>IF($D1952="","","T"&amp;TEXT(ROW()-6,"00000"))</f>
        <v/>
      </c>
      <c r="C1952" s="65" t="str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61"/>
      <c r="E1952" s="66"/>
      <c r="F1952" s="67"/>
      <c r="G1952" s="60"/>
      <c r="H1952" s="60"/>
      <c r="I1952" s="61"/>
      <c r="J1952" s="61"/>
      <c r="K1952" s="61"/>
      <c r="L1952" s="73" t="str">
        <f>IF($E1952="","",DATE(YEAR($E1952),MONTH($E1952),1))</f>
        <v/>
      </c>
      <c r="M1952" s="65" t="str">
        <f ca="1">IF($D1952="","",IF($C1952="TANIMSIZ MÜŞTERİ","HATA",IF(OR($E1952="",$F1952&lt;=0,$G1952=""),"EKSİK",IF($E1952&gt;TODAY(),"İLERİ TARİH",IF(COUNTIF($S$7:$S$2503,$S1952)&gt;1,"MÜKERRER?",IF($T1952&gt;0,"KAPALI DÖNEM","UYGUN"))))))</f>
        <v/>
      </c>
      <c r="N1952" s="74" t="str">
        <f>IF($C1952="","",IF($C1952="TANIMSIZ MÜŞTERİ","—",INDEX(MUSTERILER!$C$7:$C$156,MATCH($C1952,MUSTERILER!$B$7:$B$156,0))))</f>
        <v/>
      </c>
      <c r="O1952" s="2"/>
      <c r="P1952" s="2"/>
      <c r="Q1952" s="1" t="str">
        <f>IF($D1952="","",$C1952&amp;"|"&amp;COUNTIFS($C$7:$C1952,$C1952))</f>
        <v/>
      </c>
      <c r="R1952" s="1" t="str">
        <f t="shared" si="60"/>
        <v/>
      </c>
      <c r="S1952" s="1" t="str">
        <f t="shared" si="61"/>
        <v/>
      </c>
      <c r="T1952" s="1">
        <f>IF($E1952="",0,SUMPRODUCT((AY_SONU!$O$7:$O$42="Evet")*(AY_SONU!$B$7:$B$42=DATE(YEAR($E1952),MONTH($E1952),1))))</f>
        <v>0</v>
      </c>
      <c r="U1952" s="1" t="str">
        <f>IF(OR($G1952="",$H1952="Mahsup"),"",$G1952&amp;"|"&amp;COUNTIFS($G$7:$G1952,$G1952,$H$7:$H1952,"&lt;&gt;Mahsup"))</f>
        <v/>
      </c>
    </row>
    <row r="1953" spans="1:21" ht="18" customHeight="1" x14ac:dyDescent="0.3">
      <c r="A1953" s="2"/>
      <c r="B1953" s="65" t="str">
        <f>IF($D1953="","","T"&amp;TEXT(ROW()-6,"00000"))</f>
        <v/>
      </c>
      <c r="C1953" s="65" t="str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61"/>
      <c r="E1953" s="66"/>
      <c r="F1953" s="67"/>
      <c r="G1953" s="60"/>
      <c r="H1953" s="60"/>
      <c r="I1953" s="61"/>
      <c r="J1953" s="61"/>
      <c r="K1953" s="61"/>
      <c r="L1953" s="73" t="str">
        <f>IF($E1953="","",DATE(YEAR($E1953),MONTH($E1953),1))</f>
        <v/>
      </c>
      <c r="M1953" s="65" t="str">
        <f ca="1">IF($D1953="","",IF($C1953="TANIMSIZ MÜŞTERİ","HATA",IF(OR($E1953="",$F1953&lt;=0,$G1953=""),"EKSİK",IF($E1953&gt;TODAY(),"İLERİ TARİH",IF(COUNTIF($S$7:$S$2503,$S1953)&gt;1,"MÜKERRER?",IF($T1953&gt;0,"KAPALI DÖNEM","UYGUN"))))))</f>
        <v/>
      </c>
      <c r="N1953" s="74" t="str">
        <f>IF($C1953="","",IF($C1953="TANIMSIZ MÜŞTERİ","—",INDEX(MUSTERILER!$C$7:$C$156,MATCH($C1953,MUSTERILER!$B$7:$B$156,0))))</f>
        <v/>
      </c>
      <c r="O1953" s="2"/>
      <c r="P1953" s="2"/>
      <c r="Q1953" s="1" t="str">
        <f>IF($D1953="","",$C1953&amp;"|"&amp;COUNTIFS($C$7:$C1953,$C1953))</f>
        <v/>
      </c>
      <c r="R1953" s="1" t="str">
        <f t="shared" si="60"/>
        <v/>
      </c>
      <c r="S1953" s="1" t="str">
        <f t="shared" si="61"/>
        <v/>
      </c>
      <c r="T1953" s="1">
        <f>IF($E1953="",0,SUMPRODUCT((AY_SONU!$O$7:$O$42="Evet")*(AY_SONU!$B$7:$B$42=DATE(YEAR($E1953),MONTH($E1953),1))))</f>
        <v>0</v>
      </c>
      <c r="U1953" s="1" t="str">
        <f>IF(OR($G1953="",$H1953="Mahsup"),"",$G1953&amp;"|"&amp;COUNTIFS($G$7:$G1953,$G1953,$H$7:$H1953,"&lt;&gt;Mahsup"))</f>
        <v/>
      </c>
    </row>
    <row r="1954" spans="1:21" ht="18" customHeight="1" x14ac:dyDescent="0.3">
      <c r="A1954" s="2"/>
      <c r="B1954" s="65" t="str">
        <f>IF($D1954="","","T"&amp;TEXT(ROW()-6,"00000"))</f>
        <v/>
      </c>
      <c r="C1954" s="65" t="str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61"/>
      <c r="E1954" s="66"/>
      <c r="F1954" s="67"/>
      <c r="G1954" s="60"/>
      <c r="H1954" s="60"/>
      <c r="I1954" s="61"/>
      <c r="J1954" s="61"/>
      <c r="K1954" s="61"/>
      <c r="L1954" s="73" t="str">
        <f>IF($E1954="","",DATE(YEAR($E1954),MONTH($E1954),1))</f>
        <v/>
      </c>
      <c r="M1954" s="65" t="str">
        <f ca="1">IF($D1954="","",IF($C1954="TANIMSIZ MÜŞTERİ","HATA",IF(OR($E1954="",$F1954&lt;=0,$G1954=""),"EKSİK",IF($E1954&gt;TODAY(),"İLERİ TARİH",IF(COUNTIF($S$7:$S$2503,$S1954)&gt;1,"MÜKERRER?",IF($T1954&gt;0,"KAPALI DÖNEM","UYGUN"))))))</f>
        <v/>
      </c>
      <c r="N1954" s="74" t="str">
        <f>IF($C1954="","",IF($C1954="TANIMSIZ MÜŞTERİ","—",INDEX(MUSTERILER!$C$7:$C$156,MATCH($C1954,MUSTERILER!$B$7:$B$156,0))))</f>
        <v/>
      </c>
      <c r="O1954" s="2"/>
      <c r="P1954" s="2"/>
      <c r="Q1954" s="1" t="str">
        <f>IF($D1954="","",$C1954&amp;"|"&amp;COUNTIFS($C$7:$C1954,$C1954))</f>
        <v/>
      </c>
      <c r="R1954" s="1" t="str">
        <f t="shared" si="60"/>
        <v/>
      </c>
      <c r="S1954" s="1" t="str">
        <f t="shared" si="61"/>
        <v/>
      </c>
      <c r="T1954" s="1">
        <f>IF($E1954="",0,SUMPRODUCT((AY_SONU!$O$7:$O$42="Evet")*(AY_SONU!$B$7:$B$42=DATE(YEAR($E1954),MONTH($E1954),1))))</f>
        <v>0</v>
      </c>
      <c r="U1954" s="1" t="str">
        <f>IF(OR($G1954="",$H1954="Mahsup"),"",$G1954&amp;"|"&amp;COUNTIFS($G$7:$G1954,$G1954,$H$7:$H1954,"&lt;&gt;Mahsup"))</f>
        <v/>
      </c>
    </row>
    <row r="1955" spans="1:21" ht="18" customHeight="1" x14ac:dyDescent="0.3">
      <c r="A1955" s="2"/>
      <c r="B1955" s="65" t="str">
        <f>IF($D1955="","","T"&amp;TEXT(ROW()-6,"00000"))</f>
        <v/>
      </c>
      <c r="C1955" s="65" t="str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61"/>
      <c r="E1955" s="66"/>
      <c r="F1955" s="67"/>
      <c r="G1955" s="60"/>
      <c r="H1955" s="60"/>
      <c r="I1955" s="61"/>
      <c r="J1955" s="61"/>
      <c r="K1955" s="61"/>
      <c r="L1955" s="73" t="str">
        <f>IF($E1955="","",DATE(YEAR($E1955),MONTH($E1955),1))</f>
        <v/>
      </c>
      <c r="M1955" s="65" t="str">
        <f ca="1">IF($D1955="","",IF($C1955="TANIMSIZ MÜŞTERİ","HATA",IF(OR($E1955="",$F1955&lt;=0,$G1955=""),"EKSİK",IF($E1955&gt;TODAY(),"İLERİ TARİH",IF(COUNTIF($S$7:$S$2503,$S1955)&gt;1,"MÜKERRER?",IF($T1955&gt;0,"KAPALI DÖNEM","UYGUN"))))))</f>
        <v/>
      </c>
      <c r="N1955" s="74" t="str">
        <f>IF($C1955="","",IF($C1955="TANIMSIZ MÜŞTERİ","—",INDEX(MUSTERILER!$C$7:$C$156,MATCH($C1955,MUSTERILER!$B$7:$B$156,0))))</f>
        <v/>
      </c>
      <c r="O1955" s="2"/>
      <c r="P1955" s="2"/>
      <c r="Q1955" s="1" t="str">
        <f>IF($D1955="","",$C1955&amp;"|"&amp;COUNTIFS($C$7:$C1955,$C1955))</f>
        <v/>
      </c>
      <c r="R1955" s="1" t="str">
        <f t="shared" si="60"/>
        <v/>
      </c>
      <c r="S1955" s="1" t="str">
        <f t="shared" si="61"/>
        <v/>
      </c>
      <c r="T1955" s="1">
        <f>IF($E1955="",0,SUMPRODUCT((AY_SONU!$O$7:$O$42="Evet")*(AY_SONU!$B$7:$B$42=DATE(YEAR($E1955),MONTH($E1955),1))))</f>
        <v>0</v>
      </c>
      <c r="U1955" s="1" t="str">
        <f>IF(OR($G1955="",$H1955="Mahsup"),"",$G1955&amp;"|"&amp;COUNTIFS($G$7:$G1955,$G1955,$H$7:$H1955,"&lt;&gt;Mahsup"))</f>
        <v/>
      </c>
    </row>
    <row r="1956" spans="1:21" ht="18" customHeight="1" x14ac:dyDescent="0.3">
      <c r="A1956" s="2"/>
      <c r="B1956" s="65" t="str">
        <f>IF($D1956="","","T"&amp;TEXT(ROW()-6,"00000"))</f>
        <v/>
      </c>
      <c r="C1956" s="65" t="str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61"/>
      <c r="E1956" s="66"/>
      <c r="F1956" s="67"/>
      <c r="G1956" s="60"/>
      <c r="H1956" s="60"/>
      <c r="I1956" s="61"/>
      <c r="J1956" s="61"/>
      <c r="K1956" s="61"/>
      <c r="L1956" s="73" t="str">
        <f>IF($E1956="","",DATE(YEAR($E1956),MONTH($E1956),1))</f>
        <v/>
      </c>
      <c r="M1956" s="65" t="str">
        <f ca="1">IF($D1956="","",IF($C1956="TANIMSIZ MÜŞTERİ","HATA",IF(OR($E1956="",$F1956&lt;=0,$G1956=""),"EKSİK",IF($E1956&gt;TODAY(),"İLERİ TARİH",IF(COUNTIF($S$7:$S$2503,$S1956)&gt;1,"MÜKERRER?",IF($T1956&gt;0,"KAPALI DÖNEM","UYGUN"))))))</f>
        <v/>
      </c>
      <c r="N1956" s="74" t="str">
        <f>IF($C1956="","",IF($C1956="TANIMSIZ MÜŞTERİ","—",INDEX(MUSTERILER!$C$7:$C$156,MATCH($C1956,MUSTERILER!$B$7:$B$156,0))))</f>
        <v/>
      </c>
      <c r="O1956" s="2"/>
      <c r="P1956" s="2"/>
      <c r="Q1956" s="1" t="str">
        <f>IF($D1956="","",$C1956&amp;"|"&amp;COUNTIFS($C$7:$C1956,$C1956))</f>
        <v/>
      </c>
      <c r="R1956" s="1" t="str">
        <f t="shared" si="60"/>
        <v/>
      </c>
      <c r="S1956" s="1" t="str">
        <f t="shared" si="61"/>
        <v/>
      </c>
      <c r="T1956" s="1">
        <f>IF($E1956="",0,SUMPRODUCT((AY_SONU!$O$7:$O$42="Evet")*(AY_SONU!$B$7:$B$42=DATE(YEAR($E1956),MONTH($E1956),1))))</f>
        <v>0</v>
      </c>
      <c r="U1956" s="1" t="str">
        <f>IF(OR($G1956="",$H1956="Mahsup"),"",$G1956&amp;"|"&amp;COUNTIFS($G$7:$G1956,$G1956,$H$7:$H1956,"&lt;&gt;Mahsup"))</f>
        <v/>
      </c>
    </row>
    <row r="1957" spans="1:21" ht="18" customHeight="1" x14ac:dyDescent="0.3">
      <c r="A1957" s="2"/>
      <c r="B1957" s="65" t="str">
        <f>IF($D1957="","","T"&amp;TEXT(ROW()-6,"00000"))</f>
        <v/>
      </c>
      <c r="C1957" s="65" t="str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61"/>
      <c r="E1957" s="66"/>
      <c r="F1957" s="67"/>
      <c r="G1957" s="60"/>
      <c r="H1957" s="60"/>
      <c r="I1957" s="61"/>
      <c r="J1957" s="61"/>
      <c r="K1957" s="61"/>
      <c r="L1957" s="73" t="str">
        <f>IF($E1957="","",DATE(YEAR($E1957),MONTH($E1957),1))</f>
        <v/>
      </c>
      <c r="M1957" s="65" t="str">
        <f ca="1">IF($D1957="","",IF($C1957="TANIMSIZ MÜŞTERİ","HATA",IF(OR($E1957="",$F1957&lt;=0,$G1957=""),"EKSİK",IF($E1957&gt;TODAY(),"İLERİ TARİH",IF(COUNTIF($S$7:$S$2503,$S1957)&gt;1,"MÜKERRER?",IF($T1957&gt;0,"KAPALI DÖNEM","UYGUN"))))))</f>
        <v/>
      </c>
      <c r="N1957" s="74" t="str">
        <f>IF($C1957="","",IF($C1957="TANIMSIZ MÜŞTERİ","—",INDEX(MUSTERILER!$C$7:$C$156,MATCH($C1957,MUSTERILER!$B$7:$B$156,0))))</f>
        <v/>
      </c>
      <c r="O1957" s="2"/>
      <c r="P1957" s="2"/>
      <c r="Q1957" s="1" t="str">
        <f>IF($D1957="","",$C1957&amp;"|"&amp;COUNTIFS($C$7:$C1957,$C1957))</f>
        <v/>
      </c>
      <c r="R1957" s="1" t="str">
        <f t="shared" si="60"/>
        <v/>
      </c>
      <c r="S1957" s="1" t="str">
        <f t="shared" si="61"/>
        <v/>
      </c>
      <c r="T1957" s="1">
        <f>IF($E1957="",0,SUMPRODUCT((AY_SONU!$O$7:$O$42="Evet")*(AY_SONU!$B$7:$B$42=DATE(YEAR($E1957),MONTH($E1957),1))))</f>
        <v>0</v>
      </c>
      <c r="U1957" s="1" t="str">
        <f>IF(OR($G1957="",$H1957="Mahsup"),"",$G1957&amp;"|"&amp;COUNTIFS($G$7:$G1957,$G1957,$H$7:$H1957,"&lt;&gt;Mahsup"))</f>
        <v/>
      </c>
    </row>
    <row r="1958" spans="1:21" ht="18" customHeight="1" x14ac:dyDescent="0.3">
      <c r="A1958" s="2"/>
      <c r="B1958" s="65" t="str">
        <f>IF($D1958="","","T"&amp;TEXT(ROW()-6,"00000"))</f>
        <v/>
      </c>
      <c r="C1958" s="65" t="str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61"/>
      <c r="E1958" s="66"/>
      <c r="F1958" s="67"/>
      <c r="G1958" s="60"/>
      <c r="H1958" s="60"/>
      <c r="I1958" s="61"/>
      <c r="J1958" s="61"/>
      <c r="K1958" s="61"/>
      <c r="L1958" s="73" t="str">
        <f>IF($E1958="","",DATE(YEAR($E1958),MONTH($E1958),1))</f>
        <v/>
      </c>
      <c r="M1958" s="65" t="str">
        <f ca="1">IF($D1958="","",IF($C1958="TANIMSIZ MÜŞTERİ","HATA",IF(OR($E1958="",$F1958&lt;=0,$G1958=""),"EKSİK",IF($E1958&gt;TODAY(),"İLERİ TARİH",IF(COUNTIF($S$7:$S$2503,$S1958)&gt;1,"MÜKERRER?",IF($T1958&gt;0,"KAPALI DÖNEM","UYGUN"))))))</f>
        <v/>
      </c>
      <c r="N1958" s="74" t="str">
        <f>IF($C1958="","",IF($C1958="TANIMSIZ MÜŞTERİ","—",INDEX(MUSTERILER!$C$7:$C$156,MATCH($C1958,MUSTERILER!$B$7:$B$156,0))))</f>
        <v/>
      </c>
      <c r="O1958" s="2"/>
      <c r="P1958" s="2"/>
      <c r="Q1958" s="1" t="str">
        <f>IF($D1958="","",$C1958&amp;"|"&amp;COUNTIFS($C$7:$C1958,$C1958))</f>
        <v/>
      </c>
      <c r="R1958" s="1" t="str">
        <f t="shared" si="60"/>
        <v/>
      </c>
      <c r="S1958" s="1" t="str">
        <f t="shared" si="61"/>
        <v/>
      </c>
      <c r="T1958" s="1">
        <f>IF($E1958="",0,SUMPRODUCT((AY_SONU!$O$7:$O$42="Evet")*(AY_SONU!$B$7:$B$42=DATE(YEAR($E1958),MONTH($E1958),1))))</f>
        <v>0</v>
      </c>
      <c r="U1958" s="1" t="str">
        <f>IF(OR($G1958="",$H1958="Mahsup"),"",$G1958&amp;"|"&amp;COUNTIFS($G$7:$G1958,$G1958,$H$7:$H1958,"&lt;&gt;Mahsup"))</f>
        <v/>
      </c>
    </row>
    <row r="1959" spans="1:21" ht="18" customHeight="1" x14ac:dyDescent="0.3">
      <c r="A1959" s="2"/>
      <c r="B1959" s="65" t="str">
        <f>IF($D1959="","","T"&amp;TEXT(ROW()-6,"00000"))</f>
        <v/>
      </c>
      <c r="C1959" s="65" t="str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61"/>
      <c r="E1959" s="66"/>
      <c r="F1959" s="67"/>
      <c r="G1959" s="60"/>
      <c r="H1959" s="60"/>
      <c r="I1959" s="61"/>
      <c r="J1959" s="61"/>
      <c r="K1959" s="61"/>
      <c r="L1959" s="73" t="str">
        <f>IF($E1959="","",DATE(YEAR($E1959),MONTH($E1959),1))</f>
        <v/>
      </c>
      <c r="M1959" s="65" t="str">
        <f ca="1">IF($D1959="","",IF($C1959="TANIMSIZ MÜŞTERİ","HATA",IF(OR($E1959="",$F1959&lt;=0,$G1959=""),"EKSİK",IF($E1959&gt;TODAY(),"İLERİ TARİH",IF(COUNTIF($S$7:$S$2503,$S1959)&gt;1,"MÜKERRER?",IF($T1959&gt;0,"KAPALI DÖNEM","UYGUN"))))))</f>
        <v/>
      </c>
      <c r="N1959" s="74" t="str">
        <f>IF($C1959="","",IF($C1959="TANIMSIZ MÜŞTERİ","—",INDEX(MUSTERILER!$C$7:$C$156,MATCH($C1959,MUSTERILER!$B$7:$B$156,0))))</f>
        <v/>
      </c>
      <c r="O1959" s="2"/>
      <c r="P1959" s="2"/>
      <c r="Q1959" s="1" t="str">
        <f>IF($D1959="","",$C1959&amp;"|"&amp;COUNTIFS($C$7:$C1959,$C1959))</f>
        <v/>
      </c>
      <c r="R1959" s="1" t="str">
        <f t="shared" si="60"/>
        <v/>
      </c>
      <c r="S1959" s="1" t="str">
        <f t="shared" si="61"/>
        <v/>
      </c>
      <c r="T1959" s="1">
        <f>IF($E1959="",0,SUMPRODUCT((AY_SONU!$O$7:$O$42="Evet")*(AY_SONU!$B$7:$B$42=DATE(YEAR($E1959),MONTH($E1959),1))))</f>
        <v>0</v>
      </c>
      <c r="U1959" s="1" t="str">
        <f>IF(OR($G1959="",$H1959="Mahsup"),"",$G1959&amp;"|"&amp;COUNTIFS($G$7:$G1959,$G1959,$H$7:$H1959,"&lt;&gt;Mahsup"))</f>
        <v/>
      </c>
    </row>
    <row r="1960" spans="1:21" ht="18" customHeight="1" x14ac:dyDescent="0.3">
      <c r="A1960" s="2"/>
      <c r="B1960" s="65" t="str">
        <f>IF($D1960="","","T"&amp;TEXT(ROW()-6,"00000"))</f>
        <v/>
      </c>
      <c r="C1960" s="65" t="str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61"/>
      <c r="E1960" s="66"/>
      <c r="F1960" s="67"/>
      <c r="G1960" s="60"/>
      <c r="H1960" s="60"/>
      <c r="I1960" s="61"/>
      <c r="J1960" s="61"/>
      <c r="K1960" s="61"/>
      <c r="L1960" s="73" t="str">
        <f>IF($E1960="","",DATE(YEAR($E1960),MONTH($E1960),1))</f>
        <v/>
      </c>
      <c r="M1960" s="65" t="str">
        <f ca="1">IF($D1960="","",IF($C1960="TANIMSIZ MÜŞTERİ","HATA",IF(OR($E1960="",$F1960&lt;=0,$G1960=""),"EKSİK",IF($E1960&gt;TODAY(),"İLERİ TARİH",IF(COUNTIF($S$7:$S$2503,$S1960)&gt;1,"MÜKERRER?",IF($T1960&gt;0,"KAPALI DÖNEM","UYGUN"))))))</f>
        <v/>
      </c>
      <c r="N1960" s="74" t="str">
        <f>IF($C1960="","",IF($C1960="TANIMSIZ MÜŞTERİ","—",INDEX(MUSTERILER!$C$7:$C$156,MATCH($C1960,MUSTERILER!$B$7:$B$156,0))))</f>
        <v/>
      </c>
      <c r="O1960" s="2"/>
      <c r="P1960" s="2"/>
      <c r="Q1960" s="1" t="str">
        <f>IF($D1960="","",$C1960&amp;"|"&amp;COUNTIFS($C$7:$C1960,$C1960))</f>
        <v/>
      </c>
      <c r="R1960" s="1" t="str">
        <f t="shared" si="60"/>
        <v/>
      </c>
      <c r="S1960" s="1" t="str">
        <f t="shared" si="61"/>
        <v/>
      </c>
      <c r="T1960" s="1">
        <f>IF($E1960="",0,SUMPRODUCT((AY_SONU!$O$7:$O$42="Evet")*(AY_SONU!$B$7:$B$42=DATE(YEAR($E1960),MONTH($E1960),1))))</f>
        <v>0</v>
      </c>
      <c r="U1960" s="1" t="str">
        <f>IF(OR($G1960="",$H1960="Mahsup"),"",$G1960&amp;"|"&amp;COUNTIFS($G$7:$G1960,$G1960,$H$7:$H1960,"&lt;&gt;Mahsup"))</f>
        <v/>
      </c>
    </row>
    <row r="1961" spans="1:21" ht="18" customHeight="1" x14ac:dyDescent="0.3">
      <c r="A1961" s="2"/>
      <c r="B1961" s="65" t="str">
        <f>IF($D1961="","","T"&amp;TEXT(ROW()-6,"00000"))</f>
        <v/>
      </c>
      <c r="C1961" s="65" t="str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61"/>
      <c r="E1961" s="66"/>
      <c r="F1961" s="67"/>
      <c r="G1961" s="60"/>
      <c r="H1961" s="60"/>
      <c r="I1961" s="61"/>
      <c r="J1961" s="61"/>
      <c r="K1961" s="61"/>
      <c r="L1961" s="73" t="str">
        <f>IF($E1961="","",DATE(YEAR($E1961),MONTH($E1961),1))</f>
        <v/>
      </c>
      <c r="M1961" s="65" t="str">
        <f ca="1">IF($D1961="","",IF($C1961="TANIMSIZ MÜŞTERİ","HATA",IF(OR($E1961="",$F1961&lt;=0,$G1961=""),"EKSİK",IF($E1961&gt;TODAY(),"İLERİ TARİH",IF(COUNTIF($S$7:$S$2503,$S1961)&gt;1,"MÜKERRER?",IF($T1961&gt;0,"KAPALI DÖNEM","UYGUN"))))))</f>
        <v/>
      </c>
      <c r="N1961" s="74" t="str">
        <f>IF($C1961="","",IF($C1961="TANIMSIZ MÜŞTERİ","—",INDEX(MUSTERILER!$C$7:$C$156,MATCH($C1961,MUSTERILER!$B$7:$B$156,0))))</f>
        <v/>
      </c>
      <c r="O1961" s="2"/>
      <c r="P1961" s="2"/>
      <c r="Q1961" s="1" t="str">
        <f>IF($D1961="","",$C1961&amp;"|"&amp;COUNTIFS($C$7:$C1961,$C1961))</f>
        <v/>
      </c>
      <c r="R1961" s="1" t="str">
        <f t="shared" si="60"/>
        <v/>
      </c>
      <c r="S1961" s="1" t="str">
        <f t="shared" si="61"/>
        <v/>
      </c>
      <c r="T1961" s="1">
        <f>IF($E1961="",0,SUMPRODUCT((AY_SONU!$O$7:$O$42="Evet")*(AY_SONU!$B$7:$B$42=DATE(YEAR($E1961),MONTH($E1961),1))))</f>
        <v>0</v>
      </c>
      <c r="U1961" s="1" t="str">
        <f>IF(OR($G1961="",$H1961="Mahsup"),"",$G1961&amp;"|"&amp;COUNTIFS($G$7:$G1961,$G1961,$H$7:$H1961,"&lt;&gt;Mahsup"))</f>
        <v/>
      </c>
    </row>
    <row r="1962" spans="1:21" ht="18" customHeight="1" x14ac:dyDescent="0.3">
      <c r="A1962" s="2"/>
      <c r="B1962" s="65" t="str">
        <f>IF($D1962="","","T"&amp;TEXT(ROW()-6,"00000"))</f>
        <v/>
      </c>
      <c r="C1962" s="65" t="str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61"/>
      <c r="E1962" s="66"/>
      <c r="F1962" s="67"/>
      <c r="G1962" s="60"/>
      <c r="H1962" s="60"/>
      <c r="I1962" s="61"/>
      <c r="J1962" s="61"/>
      <c r="K1962" s="61"/>
      <c r="L1962" s="73" t="str">
        <f>IF($E1962="","",DATE(YEAR($E1962),MONTH($E1962),1))</f>
        <v/>
      </c>
      <c r="M1962" s="65" t="str">
        <f ca="1">IF($D1962="","",IF($C1962="TANIMSIZ MÜŞTERİ","HATA",IF(OR($E1962="",$F1962&lt;=0,$G1962=""),"EKSİK",IF($E1962&gt;TODAY(),"İLERİ TARİH",IF(COUNTIF($S$7:$S$2503,$S1962)&gt;1,"MÜKERRER?",IF($T1962&gt;0,"KAPALI DÖNEM","UYGUN"))))))</f>
        <v/>
      </c>
      <c r="N1962" s="74" t="str">
        <f>IF($C1962="","",IF($C1962="TANIMSIZ MÜŞTERİ","—",INDEX(MUSTERILER!$C$7:$C$156,MATCH($C1962,MUSTERILER!$B$7:$B$156,0))))</f>
        <v/>
      </c>
      <c r="O1962" s="2"/>
      <c r="P1962" s="2"/>
      <c r="Q1962" s="1" t="str">
        <f>IF($D1962="","",$C1962&amp;"|"&amp;COUNTIFS($C$7:$C1962,$C1962))</f>
        <v/>
      </c>
      <c r="R1962" s="1" t="str">
        <f t="shared" si="60"/>
        <v/>
      </c>
      <c r="S1962" s="1" t="str">
        <f t="shared" si="61"/>
        <v/>
      </c>
      <c r="T1962" s="1">
        <f>IF($E1962="",0,SUMPRODUCT((AY_SONU!$O$7:$O$42="Evet")*(AY_SONU!$B$7:$B$42=DATE(YEAR($E1962),MONTH($E1962),1))))</f>
        <v>0</v>
      </c>
      <c r="U1962" s="1" t="str">
        <f>IF(OR($G1962="",$H1962="Mahsup"),"",$G1962&amp;"|"&amp;COUNTIFS($G$7:$G1962,$G1962,$H$7:$H1962,"&lt;&gt;Mahsup"))</f>
        <v/>
      </c>
    </row>
    <row r="1963" spans="1:21" ht="18" customHeight="1" x14ac:dyDescent="0.3">
      <c r="A1963" s="2"/>
      <c r="B1963" s="65" t="str">
        <f>IF($D1963="","","T"&amp;TEXT(ROW()-6,"00000"))</f>
        <v/>
      </c>
      <c r="C1963" s="65" t="str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61"/>
      <c r="E1963" s="66"/>
      <c r="F1963" s="67"/>
      <c r="G1963" s="60"/>
      <c r="H1963" s="60"/>
      <c r="I1963" s="61"/>
      <c r="J1963" s="61"/>
      <c r="K1963" s="61"/>
      <c r="L1963" s="73" t="str">
        <f>IF($E1963="","",DATE(YEAR($E1963),MONTH($E1963),1))</f>
        <v/>
      </c>
      <c r="M1963" s="65" t="str">
        <f ca="1">IF($D1963="","",IF($C1963="TANIMSIZ MÜŞTERİ","HATA",IF(OR($E1963="",$F1963&lt;=0,$G1963=""),"EKSİK",IF($E1963&gt;TODAY(),"İLERİ TARİH",IF(COUNTIF($S$7:$S$2503,$S1963)&gt;1,"MÜKERRER?",IF($T1963&gt;0,"KAPALI DÖNEM","UYGUN"))))))</f>
        <v/>
      </c>
      <c r="N1963" s="74" t="str">
        <f>IF($C1963="","",IF($C1963="TANIMSIZ MÜŞTERİ","—",INDEX(MUSTERILER!$C$7:$C$156,MATCH($C1963,MUSTERILER!$B$7:$B$156,0))))</f>
        <v/>
      </c>
      <c r="O1963" s="2"/>
      <c r="P1963" s="2"/>
      <c r="Q1963" s="1" t="str">
        <f>IF($D1963="","",$C1963&amp;"|"&amp;COUNTIFS($C$7:$C1963,$C1963))</f>
        <v/>
      </c>
      <c r="R1963" s="1" t="str">
        <f t="shared" si="60"/>
        <v/>
      </c>
      <c r="S1963" s="1" t="str">
        <f t="shared" si="61"/>
        <v/>
      </c>
      <c r="T1963" s="1">
        <f>IF($E1963="",0,SUMPRODUCT((AY_SONU!$O$7:$O$42="Evet")*(AY_SONU!$B$7:$B$42=DATE(YEAR($E1963),MONTH($E1963),1))))</f>
        <v>0</v>
      </c>
      <c r="U1963" s="1" t="str">
        <f>IF(OR($G1963="",$H1963="Mahsup"),"",$G1963&amp;"|"&amp;COUNTIFS($G$7:$G1963,$G1963,$H$7:$H1963,"&lt;&gt;Mahsup"))</f>
        <v/>
      </c>
    </row>
    <row r="1964" spans="1:21" ht="18" customHeight="1" x14ac:dyDescent="0.3">
      <c r="A1964" s="2"/>
      <c r="B1964" s="65" t="str">
        <f>IF($D1964="","","T"&amp;TEXT(ROW()-6,"00000"))</f>
        <v/>
      </c>
      <c r="C1964" s="65" t="str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61"/>
      <c r="E1964" s="66"/>
      <c r="F1964" s="67"/>
      <c r="G1964" s="60"/>
      <c r="H1964" s="60"/>
      <c r="I1964" s="61"/>
      <c r="J1964" s="61"/>
      <c r="K1964" s="61"/>
      <c r="L1964" s="73" t="str">
        <f>IF($E1964="","",DATE(YEAR($E1964),MONTH($E1964),1))</f>
        <v/>
      </c>
      <c r="M1964" s="65" t="str">
        <f ca="1">IF($D1964="","",IF($C1964="TANIMSIZ MÜŞTERİ","HATA",IF(OR($E1964="",$F1964&lt;=0,$G1964=""),"EKSİK",IF($E1964&gt;TODAY(),"İLERİ TARİH",IF(COUNTIF($S$7:$S$2503,$S1964)&gt;1,"MÜKERRER?",IF($T1964&gt;0,"KAPALI DÖNEM","UYGUN"))))))</f>
        <v/>
      </c>
      <c r="N1964" s="74" t="str">
        <f>IF($C1964="","",IF($C1964="TANIMSIZ MÜŞTERİ","—",INDEX(MUSTERILER!$C$7:$C$156,MATCH($C1964,MUSTERILER!$B$7:$B$156,0))))</f>
        <v/>
      </c>
      <c r="O1964" s="2"/>
      <c r="P1964" s="2"/>
      <c r="Q1964" s="1" t="str">
        <f>IF($D1964="","",$C1964&amp;"|"&amp;COUNTIFS($C$7:$C1964,$C1964))</f>
        <v/>
      </c>
      <c r="R1964" s="1" t="str">
        <f t="shared" si="60"/>
        <v/>
      </c>
      <c r="S1964" s="1" t="str">
        <f t="shared" si="61"/>
        <v/>
      </c>
      <c r="T1964" s="1">
        <f>IF($E1964="",0,SUMPRODUCT((AY_SONU!$O$7:$O$42="Evet")*(AY_SONU!$B$7:$B$42=DATE(YEAR($E1964),MONTH($E1964),1))))</f>
        <v>0</v>
      </c>
      <c r="U1964" s="1" t="str">
        <f>IF(OR($G1964="",$H1964="Mahsup"),"",$G1964&amp;"|"&amp;COUNTIFS($G$7:$G1964,$G1964,$H$7:$H1964,"&lt;&gt;Mahsup"))</f>
        <v/>
      </c>
    </row>
    <row r="1965" spans="1:21" ht="18" customHeight="1" x14ac:dyDescent="0.3">
      <c r="A1965" s="2"/>
      <c r="B1965" s="65" t="str">
        <f>IF($D1965="","","T"&amp;TEXT(ROW()-6,"00000"))</f>
        <v/>
      </c>
      <c r="C1965" s="65" t="str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61"/>
      <c r="E1965" s="66"/>
      <c r="F1965" s="67"/>
      <c r="G1965" s="60"/>
      <c r="H1965" s="60"/>
      <c r="I1965" s="61"/>
      <c r="J1965" s="61"/>
      <c r="K1965" s="61"/>
      <c r="L1965" s="73" t="str">
        <f>IF($E1965="","",DATE(YEAR($E1965),MONTH($E1965),1))</f>
        <v/>
      </c>
      <c r="M1965" s="65" t="str">
        <f ca="1">IF($D1965="","",IF($C1965="TANIMSIZ MÜŞTERİ","HATA",IF(OR($E1965="",$F1965&lt;=0,$G1965=""),"EKSİK",IF($E1965&gt;TODAY(),"İLERİ TARİH",IF(COUNTIF($S$7:$S$2503,$S1965)&gt;1,"MÜKERRER?",IF($T1965&gt;0,"KAPALI DÖNEM","UYGUN"))))))</f>
        <v/>
      </c>
      <c r="N1965" s="74" t="str">
        <f>IF($C1965="","",IF($C1965="TANIMSIZ MÜŞTERİ","—",INDEX(MUSTERILER!$C$7:$C$156,MATCH($C1965,MUSTERILER!$B$7:$B$156,0))))</f>
        <v/>
      </c>
      <c r="O1965" s="2"/>
      <c r="P1965" s="2"/>
      <c r="Q1965" s="1" t="str">
        <f>IF($D1965="","",$C1965&amp;"|"&amp;COUNTIFS($C$7:$C1965,$C1965))</f>
        <v/>
      </c>
      <c r="R1965" s="1" t="str">
        <f t="shared" si="60"/>
        <v/>
      </c>
      <c r="S1965" s="1" t="str">
        <f t="shared" si="61"/>
        <v/>
      </c>
      <c r="T1965" s="1">
        <f>IF($E1965="",0,SUMPRODUCT((AY_SONU!$O$7:$O$42="Evet")*(AY_SONU!$B$7:$B$42=DATE(YEAR($E1965),MONTH($E1965),1))))</f>
        <v>0</v>
      </c>
      <c r="U1965" s="1" t="str">
        <f>IF(OR($G1965="",$H1965="Mahsup"),"",$G1965&amp;"|"&amp;COUNTIFS($G$7:$G1965,$G1965,$H$7:$H1965,"&lt;&gt;Mahsup"))</f>
        <v/>
      </c>
    </row>
    <row r="1966" spans="1:21" ht="18" customHeight="1" x14ac:dyDescent="0.3">
      <c r="A1966" s="2"/>
      <c r="B1966" s="65" t="str">
        <f>IF($D1966="","","T"&amp;TEXT(ROW()-6,"00000"))</f>
        <v/>
      </c>
      <c r="C1966" s="65" t="str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61"/>
      <c r="E1966" s="66"/>
      <c r="F1966" s="67"/>
      <c r="G1966" s="60"/>
      <c r="H1966" s="60"/>
      <c r="I1966" s="61"/>
      <c r="J1966" s="61"/>
      <c r="K1966" s="61"/>
      <c r="L1966" s="73" t="str">
        <f>IF($E1966="","",DATE(YEAR($E1966),MONTH($E1966),1))</f>
        <v/>
      </c>
      <c r="M1966" s="65" t="str">
        <f ca="1">IF($D1966="","",IF($C1966="TANIMSIZ MÜŞTERİ","HATA",IF(OR($E1966="",$F1966&lt;=0,$G1966=""),"EKSİK",IF($E1966&gt;TODAY(),"İLERİ TARİH",IF(COUNTIF($S$7:$S$2503,$S1966)&gt;1,"MÜKERRER?",IF($T1966&gt;0,"KAPALI DÖNEM","UYGUN"))))))</f>
        <v/>
      </c>
      <c r="N1966" s="74" t="str">
        <f>IF($C1966="","",IF($C1966="TANIMSIZ MÜŞTERİ","—",INDEX(MUSTERILER!$C$7:$C$156,MATCH($C1966,MUSTERILER!$B$7:$B$156,0))))</f>
        <v/>
      </c>
      <c r="O1966" s="2"/>
      <c r="P1966" s="2"/>
      <c r="Q1966" s="1" t="str">
        <f>IF($D1966="","",$C1966&amp;"|"&amp;COUNTIFS($C$7:$C1966,$C1966))</f>
        <v/>
      </c>
      <c r="R1966" s="1" t="str">
        <f t="shared" si="60"/>
        <v/>
      </c>
      <c r="S1966" s="1" t="str">
        <f t="shared" si="61"/>
        <v/>
      </c>
      <c r="T1966" s="1">
        <f>IF($E1966="",0,SUMPRODUCT((AY_SONU!$O$7:$O$42="Evet")*(AY_SONU!$B$7:$B$42=DATE(YEAR($E1966),MONTH($E1966),1))))</f>
        <v>0</v>
      </c>
      <c r="U1966" s="1" t="str">
        <f>IF(OR($G1966="",$H1966="Mahsup"),"",$G1966&amp;"|"&amp;COUNTIFS($G$7:$G1966,$G1966,$H$7:$H1966,"&lt;&gt;Mahsup"))</f>
        <v/>
      </c>
    </row>
    <row r="1967" spans="1:21" ht="18" customHeight="1" x14ac:dyDescent="0.3">
      <c r="A1967" s="2"/>
      <c r="B1967" s="65" t="str">
        <f>IF($D1967="","","T"&amp;TEXT(ROW()-6,"00000"))</f>
        <v/>
      </c>
      <c r="C1967" s="65" t="str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61"/>
      <c r="E1967" s="66"/>
      <c r="F1967" s="67"/>
      <c r="G1967" s="60"/>
      <c r="H1967" s="60"/>
      <c r="I1967" s="61"/>
      <c r="J1967" s="61"/>
      <c r="K1967" s="61"/>
      <c r="L1967" s="73" t="str">
        <f>IF($E1967="","",DATE(YEAR($E1967),MONTH($E1967),1))</f>
        <v/>
      </c>
      <c r="M1967" s="65" t="str">
        <f ca="1">IF($D1967="","",IF($C1967="TANIMSIZ MÜŞTERİ","HATA",IF(OR($E1967="",$F1967&lt;=0,$G1967=""),"EKSİK",IF($E1967&gt;TODAY(),"İLERİ TARİH",IF(COUNTIF($S$7:$S$2503,$S1967)&gt;1,"MÜKERRER?",IF($T1967&gt;0,"KAPALI DÖNEM","UYGUN"))))))</f>
        <v/>
      </c>
      <c r="N1967" s="74" t="str">
        <f>IF($C1967="","",IF($C1967="TANIMSIZ MÜŞTERİ","—",INDEX(MUSTERILER!$C$7:$C$156,MATCH($C1967,MUSTERILER!$B$7:$B$156,0))))</f>
        <v/>
      </c>
      <c r="O1967" s="2"/>
      <c r="P1967" s="2"/>
      <c r="Q1967" s="1" t="str">
        <f>IF($D1967="","",$C1967&amp;"|"&amp;COUNTIFS($C$7:$C1967,$C1967))</f>
        <v/>
      </c>
      <c r="R1967" s="1" t="str">
        <f t="shared" si="60"/>
        <v/>
      </c>
      <c r="S1967" s="1" t="str">
        <f t="shared" si="61"/>
        <v/>
      </c>
      <c r="T1967" s="1">
        <f>IF($E1967="",0,SUMPRODUCT((AY_SONU!$O$7:$O$42="Evet")*(AY_SONU!$B$7:$B$42=DATE(YEAR($E1967),MONTH($E1967),1))))</f>
        <v>0</v>
      </c>
      <c r="U1967" s="1" t="str">
        <f>IF(OR($G1967="",$H1967="Mahsup"),"",$G1967&amp;"|"&amp;COUNTIFS($G$7:$G1967,$G1967,$H$7:$H1967,"&lt;&gt;Mahsup"))</f>
        <v/>
      </c>
    </row>
    <row r="1968" spans="1:21" ht="18" customHeight="1" x14ac:dyDescent="0.3">
      <c r="A1968" s="2"/>
      <c r="B1968" s="65" t="str">
        <f>IF($D1968="","","T"&amp;TEXT(ROW()-6,"00000"))</f>
        <v/>
      </c>
      <c r="C1968" s="65" t="str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61"/>
      <c r="E1968" s="66"/>
      <c r="F1968" s="67"/>
      <c r="G1968" s="60"/>
      <c r="H1968" s="60"/>
      <c r="I1968" s="61"/>
      <c r="J1968" s="61"/>
      <c r="K1968" s="61"/>
      <c r="L1968" s="73" t="str">
        <f>IF($E1968="","",DATE(YEAR($E1968),MONTH($E1968),1))</f>
        <v/>
      </c>
      <c r="M1968" s="65" t="str">
        <f ca="1">IF($D1968="","",IF($C1968="TANIMSIZ MÜŞTERİ","HATA",IF(OR($E1968="",$F1968&lt;=0,$G1968=""),"EKSİK",IF($E1968&gt;TODAY(),"İLERİ TARİH",IF(COUNTIF($S$7:$S$2503,$S1968)&gt;1,"MÜKERRER?",IF($T1968&gt;0,"KAPALI DÖNEM","UYGUN"))))))</f>
        <v/>
      </c>
      <c r="N1968" s="74" t="str">
        <f>IF($C1968="","",IF($C1968="TANIMSIZ MÜŞTERİ","—",INDEX(MUSTERILER!$C$7:$C$156,MATCH($C1968,MUSTERILER!$B$7:$B$156,0))))</f>
        <v/>
      </c>
      <c r="O1968" s="2"/>
      <c r="P1968" s="2"/>
      <c r="Q1968" s="1" t="str">
        <f>IF($D1968="","",$C1968&amp;"|"&amp;COUNTIFS($C$7:$C1968,$C1968))</f>
        <v/>
      </c>
      <c r="R1968" s="1" t="str">
        <f t="shared" si="60"/>
        <v/>
      </c>
      <c r="S1968" s="1" t="str">
        <f t="shared" si="61"/>
        <v/>
      </c>
      <c r="T1968" s="1">
        <f>IF($E1968="",0,SUMPRODUCT((AY_SONU!$O$7:$O$42="Evet")*(AY_SONU!$B$7:$B$42=DATE(YEAR($E1968),MONTH($E1968),1))))</f>
        <v>0</v>
      </c>
      <c r="U1968" s="1" t="str">
        <f>IF(OR($G1968="",$H1968="Mahsup"),"",$G1968&amp;"|"&amp;COUNTIFS($G$7:$G1968,$G1968,$H$7:$H1968,"&lt;&gt;Mahsup"))</f>
        <v/>
      </c>
    </row>
    <row r="1969" spans="1:21" ht="18" customHeight="1" x14ac:dyDescent="0.3">
      <c r="A1969" s="2"/>
      <c r="B1969" s="65" t="str">
        <f>IF($D1969="","","T"&amp;TEXT(ROW()-6,"00000"))</f>
        <v/>
      </c>
      <c r="C1969" s="65" t="str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61"/>
      <c r="E1969" s="66"/>
      <c r="F1969" s="67"/>
      <c r="G1969" s="60"/>
      <c r="H1969" s="60"/>
      <c r="I1969" s="61"/>
      <c r="J1969" s="61"/>
      <c r="K1969" s="61"/>
      <c r="L1969" s="73" t="str">
        <f>IF($E1969="","",DATE(YEAR($E1969),MONTH($E1969),1))</f>
        <v/>
      </c>
      <c r="M1969" s="65" t="str">
        <f ca="1">IF($D1969="","",IF($C1969="TANIMSIZ MÜŞTERİ","HATA",IF(OR($E1969="",$F1969&lt;=0,$G1969=""),"EKSİK",IF($E1969&gt;TODAY(),"İLERİ TARİH",IF(COUNTIF($S$7:$S$2503,$S1969)&gt;1,"MÜKERRER?",IF($T1969&gt;0,"KAPALI DÖNEM","UYGUN"))))))</f>
        <v/>
      </c>
      <c r="N1969" s="74" t="str">
        <f>IF($C1969="","",IF($C1969="TANIMSIZ MÜŞTERİ","—",INDEX(MUSTERILER!$C$7:$C$156,MATCH($C1969,MUSTERILER!$B$7:$B$156,0))))</f>
        <v/>
      </c>
      <c r="O1969" s="2"/>
      <c r="P1969" s="2"/>
      <c r="Q1969" s="1" t="str">
        <f>IF($D1969="","",$C1969&amp;"|"&amp;COUNTIFS($C$7:$C1969,$C1969))</f>
        <v/>
      </c>
      <c r="R1969" s="1" t="str">
        <f t="shared" si="60"/>
        <v/>
      </c>
      <c r="S1969" s="1" t="str">
        <f t="shared" si="61"/>
        <v/>
      </c>
      <c r="T1969" s="1">
        <f>IF($E1969="",0,SUMPRODUCT((AY_SONU!$O$7:$O$42="Evet")*(AY_SONU!$B$7:$B$42=DATE(YEAR($E1969),MONTH($E1969),1))))</f>
        <v>0</v>
      </c>
      <c r="U1969" s="1" t="str">
        <f>IF(OR($G1969="",$H1969="Mahsup"),"",$G1969&amp;"|"&amp;COUNTIFS($G$7:$G1969,$G1969,$H$7:$H1969,"&lt;&gt;Mahsup"))</f>
        <v/>
      </c>
    </row>
    <row r="1970" spans="1:21" ht="18" customHeight="1" x14ac:dyDescent="0.3">
      <c r="A1970" s="2"/>
      <c r="B1970" s="65" t="str">
        <f>IF($D1970="","","T"&amp;TEXT(ROW()-6,"00000"))</f>
        <v/>
      </c>
      <c r="C1970" s="65" t="str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61"/>
      <c r="E1970" s="66"/>
      <c r="F1970" s="67"/>
      <c r="G1970" s="60"/>
      <c r="H1970" s="60"/>
      <c r="I1970" s="61"/>
      <c r="J1970" s="61"/>
      <c r="K1970" s="61"/>
      <c r="L1970" s="73" t="str">
        <f>IF($E1970="","",DATE(YEAR($E1970),MONTH($E1970),1))</f>
        <v/>
      </c>
      <c r="M1970" s="65" t="str">
        <f ca="1">IF($D1970="","",IF($C1970="TANIMSIZ MÜŞTERİ","HATA",IF(OR($E1970="",$F1970&lt;=0,$G1970=""),"EKSİK",IF($E1970&gt;TODAY(),"İLERİ TARİH",IF(COUNTIF($S$7:$S$2503,$S1970)&gt;1,"MÜKERRER?",IF($T1970&gt;0,"KAPALI DÖNEM","UYGUN"))))))</f>
        <v/>
      </c>
      <c r="N1970" s="74" t="str">
        <f>IF($C1970="","",IF($C1970="TANIMSIZ MÜŞTERİ","—",INDEX(MUSTERILER!$C$7:$C$156,MATCH($C1970,MUSTERILER!$B$7:$B$156,0))))</f>
        <v/>
      </c>
      <c r="O1970" s="2"/>
      <c r="P1970" s="2"/>
      <c r="Q1970" s="1" t="str">
        <f>IF($D1970="","",$C1970&amp;"|"&amp;COUNTIFS($C$7:$C1970,$C1970))</f>
        <v/>
      </c>
      <c r="R1970" s="1" t="str">
        <f t="shared" si="60"/>
        <v/>
      </c>
      <c r="S1970" s="1" t="str">
        <f t="shared" si="61"/>
        <v/>
      </c>
      <c r="T1970" s="1">
        <f>IF($E1970="",0,SUMPRODUCT((AY_SONU!$O$7:$O$42="Evet")*(AY_SONU!$B$7:$B$42=DATE(YEAR($E1970),MONTH($E1970),1))))</f>
        <v>0</v>
      </c>
      <c r="U1970" s="1" t="str">
        <f>IF(OR($G1970="",$H1970="Mahsup"),"",$G1970&amp;"|"&amp;COUNTIFS($G$7:$G1970,$G1970,$H$7:$H1970,"&lt;&gt;Mahsup"))</f>
        <v/>
      </c>
    </row>
    <row r="1971" spans="1:21" ht="18" customHeight="1" x14ac:dyDescent="0.3">
      <c r="A1971" s="2"/>
      <c r="B1971" s="65" t="str">
        <f>IF($D1971="","","T"&amp;TEXT(ROW()-6,"00000"))</f>
        <v/>
      </c>
      <c r="C1971" s="65" t="str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61"/>
      <c r="E1971" s="66"/>
      <c r="F1971" s="67"/>
      <c r="G1971" s="60"/>
      <c r="H1971" s="60"/>
      <c r="I1971" s="61"/>
      <c r="J1971" s="61"/>
      <c r="K1971" s="61"/>
      <c r="L1971" s="73" t="str">
        <f>IF($E1971="","",DATE(YEAR($E1971),MONTH($E1971),1))</f>
        <v/>
      </c>
      <c r="M1971" s="65" t="str">
        <f ca="1">IF($D1971="","",IF($C1971="TANIMSIZ MÜŞTERİ","HATA",IF(OR($E1971="",$F1971&lt;=0,$G1971=""),"EKSİK",IF($E1971&gt;TODAY(),"İLERİ TARİH",IF(COUNTIF($S$7:$S$2503,$S1971)&gt;1,"MÜKERRER?",IF($T1971&gt;0,"KAPALI DÖNEM","UYGUN"))))))</f>
        <v/>
      </c>
      <c r="N1971" s="74" t="str">
        <f>IF($C1971="","",IF($C1971="TANIMSIZ MÜŞTERİ","—",INDEX(MUSTERILER!$C$7:$C$156,MATCH($C1971,MUSTERILER!$B$7:$B$156,0))))</f>
        <v/>
      </c>
      <c r="O1971" s="2"/>
      <c r="P1971" s="2"/>
      <c r="Q1971" s="1" t="str">
        <f>IF($D1971="","",$C1971&amp;"|"&amp;COUNTIFS($C$7:$C1971,$C1971))</f>
        <v/>
      </c>
      <c r="R1971" s="1" t="str">
        <f t="shared" si="60"/>
        <v/>
      </c>
      <c r="S1971" s="1" t="str">
        <f t="shared" si="61"/>
        <v/>
      </c>
      <c r="T1971" s="1">
        <f>IF($E1971="",0,SUMPRODUCT((AY_SONU!$O$7:$O$42="Evet")*(AY_SONU!$B$7:$B$42=DATE(YEAR($E1971),MONTH($E1971),1))))</f>
        <v>0</v>
      </c>
      <c r="U1971" s="1" t="str">
        <f>IF(OR($G1971="",$H1971="Mahsup"),"",$G1971&amp;"|"&amp;COUNTIFS($G$7:$G1971,$G1971,$H$7:$H1971,"&lt;&gt;Mahsup"))</f>
        <v/>
      </c>
    </row>
    <row r="1972" spans="1:21" ht="18" customHeight="1" x14ac:dyDescent="0.3">
      <c r="A1972" s="2"/>
      <c r="B1972" s="65" t="str">
        <f>IF($D1972="","","T"&amp;TEXT(ROW()-6,"00000"))</f>
        <v/>
      </c>
      <c r="C1972" s="65" t="str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61"/>
      <c r="E1972" s="66"/>
      <c r="F1972" s="67"/>
      <c r="G1972" s="60"/>
      <c r="H1972" s="60"/>
      <c r="I1972" s="61"/>
      <c r="J1972" s="61"/>
      <c r="K1972" s="61"/>
      <c r="L1972" s="73" t="str">
        <f>IF($E1972="","",DATE(YEAR($E1972),MONTH($E1972),1))</f>
        <v/>
      </c>
      <c r="M1972" s="65" t="str">
        <f ca="1">IF($D1972="","",IF($C1972="TANIMSIZ MÜŞTERİ","HATA",IF(OR($E1972="",$F1972&lt;=0,$G1972=""),"EKSİK",IF($E1972&gt;TODAY(),"İLERİ TARİH",IF(COUNTIF($S$7:$S$2503,$S1972)&gt;1,"MÜKERRER?",IF($T1972&gt;0,"KAPALI DÖNEM","UYGUN"))))))</f>
        <v/>
      </c>
      <c r="N1972" s="74" t="str">
        <f>IF($C1972="","",IF($C1972="TANIMSIZ MÜŞTERİ","—",INDEX(MUSTERILER!$C$7:$C$156,MATCH($C1972,MUSTERILER!$B$7:$B$156,0))))</f>
        <v/>
      </c>
      <c r="O1972" s="2"/>
      <c r="P1972" s="2"/>
      <c r="Q1972" s="1" t="str">
        <f>IF($D1972="","",$C1972&amp;"|"&amp;COUNTIFS($C$7:$C1972,$C1972))</f>
        <v/>
      </c>
      <c r="R1972" s="1" t="str">
        <f t="shared" si="60"/>
        <v/>
      </c>
      <c r="S1972" s="1" t="str">
        <f t="shared" si="61"/>
        <v/>
      </c>
      <c r="T1972" s="1">
        <f>IF($E1972="",0,SUMPRODUCT((AY_SONU!$O$7:$O$42="Evet")*(AY_SONU!$B$7:$B$42=DATE(YEAR($E1972),MONTH($E1972),1))))</f>
        <v>0</v>
      </c>
      <c r="U1972" s="1" t="str">
        <f>IF(OR($G1972="",$H1972="Mahsup"),"",$G1972&amp;"|"&amp;COUNTIFS($G$7:$G1972,$G1972,$H$7:$H1972,"&lt;&gt;Mahsup"))</f>
        <v/>
      </c>
    </row>
    <row r="1973" spans="1:21" ht="18" customHeight="1" x14ac:dyDescent="0.3">
      <c r="A1973" s="2"/>
      <c r="B1973" s="65" t="str">
        <f>IF($D1973="","","T"&amp;TEXT(ROW()-6,"00000"))</f>
        <v/>
      </c>
      <c r="C1973" s="65" t="str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61"/>
      <c r="E1973" s="66"/>
      <c r="F1973" s="67"/>
      <c r="G1973" s="60"/>
      <c r="H1973" s="60"/>
      <c r="I1973" s="61"/>
      <c r="J1973" s="61"/>
      <c r="K1973" s="61"/>
      <c r="L1973" s="73" t="str">
        <f>IF($E1973="","",DATE(YEAR($E1973),MONTH($E1973),1))</f>
        <v/>
      </c>
      <c r="M1973" s="65" t="str">
        <f ca="1">IF($D1973="","",IF($C1973="TANIMSIZ MÜŞTERİ","HATA",IF(OR($E1973="",$F1973&lt;=0,$G1973=""),"EKSİK",IF($E1973&gt;TODAY(),"İLERİ TARİH",IF(COUNTIF($S$7:$S$2503,$S1973)&gt;1,"MÜKERRER?",IF($T1973&gt;0,"KAPALI DÖNEM","UYGUN"))))))</f>
        <v/>
      </c>
      <c r="N1973" s="74" t="str">
        <f>IF($C1973="","",IF($C1973="TANIMSIZ MÜŞTERİ","—",INDEX(MUSTERILER!$C$7:$C$156,MATCH($C1973,MUSTERILER!$B$7:$B$156,0))))</f>
        <v/>
      </c>
      <c r="O1973" s="2"/>
      <c r="P1973" s="2"/>
      <c r="Q1973" s="1" t="str">
        <f>IF($D1973="","",$C1973&amp;"|"&amp;COUNTIFS($C$7:$C1973,$C1973))</f>
        <v/>
      </c>
      <c r="R1973" s="1" t="str">
        <f t="shared" si="60"/>
        <v/>
      </c>
      <c r="S1973" s="1" t="str">
        <f t="shared" si="61"/>
        <v/>
      </c>
      <c r="T1973" s="1">
        <f>IF($E1973="",0,SUMPRODUCT((AY_SONU!$O$7:$O$42="Evet")*(AY_SONU!$B$7:$B$42=DATE(YEAR($E1973),MONTH($E1973),1))))</f>
        <v>0</v>
      </c>
      <c r="U1973" s="1" t="str">
        <f>IF(OR($G1973="",$H1973="Mahsup"),"",$G1973&amp;"|"&amp;COUNTIFS($G$7:$G1973,$G1973,$H$7:$H1973,"&lt;&gt;Mahsup"))</f>
        <v/>
      </c>
    </row>
    <row r="1974" spans="1:21" ht="18" customHeight="1" x14ac:dyDescent="0.3">
      <c r="A1974" s="2"/>
      <c r="B1974" s="65" t="str">
        <f>IF($D1974="","","T"&amp;TEXT(ROW()-6,"00000"))</f>
        <v/>
      </c>
      <c r="C1974" s="65" t="str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61"/>
      <c r="E1974" s="66"/>
      <c r="F1974" s="67"/>
      <c r="G1974" s="60"/>
      <c r="H1974" s="60"/>
      <c r="I1974" s="61"/>
      <c r="J1974" s="61"/>
      <c r="K1974" s="61"/>
      <c r="L1974" s="73" t="str">
        <f>IF($E1974="","",DATE(YEAR($E1974),MONTH($E1974),1))</f>
        <v/>
      </c>
      <c r="M1974" s="65" t="str">
        <f ca="1">IF($D1974="","",IF($C1974="TANIMSIZ MÜŞTERİ","HATA",IF(OR($E1974="",$F1974&lt;=0,$G1974=""),"EKSİK",IF($E1974&gt;TODAY(),"İLERİ TARİH",IF(COUNTIF($S$7:$S$2503,$S1974)&gt;1,"MÜKERRER?",IF($T1974&gt;0,"KAPALI DÖNEM","UYGUN"))))))</f>
        <v/>
      </c>
      <c r="N1974" s="74" t="str">
        <f>IF($C1974="","",IF($C1974="TANIMSIZ MÜŞTERİ","—",INDEX(MUSTERILER!$C$7:$C$156,MATCH($C1974,MUSTERILER!$B$7:$B$156,0))))</f>
        <v/>
      </c>
      <c r="O1974" s="2"/>
      <c r="P1974" s="2"/>
      <c r="Q1974" s="1" t="str">
        <f>IF($D1974="","",$C1974&amp;"|"&amp;COUNTIFS($C$7:$C1974,$C1974))</f>
        <v/>
      </c>
      <c r="R1974" s="1" t="str">
        <f t="shared" si="60"/>
        <v/>
      </c>
      <c r="S1974" s="1" t="str">
        <f t="shared" si="61"/>
        <v/>
      </c>
      <c r="T1974" s="1">
        <f>IF($E1974="",0,SUMPRODUCT((AY_SONU!$O$7:$O$42="Evet")*(AY_SONU!$B$7:$B$42=DATE(YEAR($E1974),MONTH($E1974),1))))</f>
        <v>0</v>
      </c>
      <c r="U1974" s="1" t="str">
        <f>IF(OR($G1974="",$H1974="Mahsup"),"",$G1974&amp;"|"&amp;COUNTIFS($G$7:$G1974,$G1974,$H$7:$H1974,"&lt;&gt;Mahsup"))</f>
        <v/>
      </c>
    </row>
    <row r="1975" spans="1:21" ht="18" customHeight="1" x14ac:dyDescent="0.3">
      <c r="A1975" s="2"/>
      <c r="B1975" s="65" t="str">
        <f>IF($D1975="","","T"&amp;TEXT(ROW()-6,"00000"))</f>
        <v/>
      </c>
      <c r="C1975" s="65" t="str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61"/>
      <c r="E1975" s="66"/>
      <c r="F1975" s="67"/>
      <c r="G1975" s="60"/>
      <c r="H1975" s="60"/>
      <c r="I1975" s="61"/>
      <c r="J1975" s="61"/>
      <c r="K1975" s="61"/>
      <c r="L1975" s="73" t="str">
        <f>IF($E1975="","",DATE(YEAR($E1975),MONTH($E1975),1))</f>
        <v/>
      </c>
      <c r="M1975" s="65" t="str">
        <f ca="1">IF($D1975="","",IF($C1975="TANIMSIZ MÜŞTERİ","HATA",IF(OR($E1975="",$F1975&lt;=0,$G1975=""),"EKSİK",IF($E1975&gt;TODAY(),"İLERİ TARİH",IF(COUNTIF($S$7:$S$2503,$S1975)&gt;1,"MÜKERRER?",IF($T1975&gt;0,"KAPALI DÖNEM","UYGUN"))))))</f>
        <v/>
      </c>
      <c r="N1975" s="74" t="str">
        <f>IF($C1975="","",IF($C1975="TANIMSIZ MÜŞTERİ","—",INDEX(MUSTERILER!$C$7:$C$156,MATCH($C1975,MUSTERILER!$B$7:$B$156,0))))</f>
        <v/>
      </c>
      <c r="O1975" s="2"/>
      <c r="P1975" s="2"/>
      <c r="Q1975" s="1" t="str">
        <f>IF($D1975="","",$C1975&amp;"|"&amp;COUNTIFS($C$7:$C1975,$C1975))</f>
        <v/>
      </c>
      <c r="R1975" s="1" t="str">
        <f t="shared" si="60"/>
        <v/>
      </c>
      <c r="S1975" s="1" t="str">
        <f t="shared" si="61"/>
        <v/>
      </c>
      <c r="T1975" s="1">
        <f>IF($E1975="",0,SUMPRODUCT((AY_SONU!$O$7:$O$42="Evet")*(AY_SONU!$B$7:$B$42=DATE(YEAR($E1975),MONTH($E1975),1))))</f>
        <v>0</v>
      </c>
      <c r="U1975" s="1" t="str">
        <f>IF(OR($G1975="",$H1975="Mahsup"),"",$G1975&amp;"|"&amp;COUNTIFS($G$7:$G1975,$G1975,$H$7:$H1975,"&lt;&gt;Mahsup"))</f>
        <v/>
      </c>
    </row>
    <row r="1976" spans="1:21" ht="18" customHeight="1" x14ac:dyDescent="0.3">
      <c r="A1976" s="2"/>
      <c r="B1976" s="65" t="str">
        <f>IF($D1976="","","T"&amp;TEXT(ROW()-6,"00000"))</f>
        <v/>
      </c>
      <c r="C1976" s="65" t="str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61"/>
      <c r="E1976" s="66"/>
      <c r="F1976" s="67"/>
      <c r="G1976" s="60"/>
      <c r="H1976" s="60"/>
      <c r="I1976" s="61"/>
      <c r="J1976" s="61"/>
      <c r="K1976" s="61"/>
      <c r="L1976" s="73" t="str">
        <f>IF($E1976="","",DATE(YEAR($E1976),MONTH($E1976),1))</f>
        <v/>
      </c>
      <c r="M1976" s="65" t="str">
        <f ca="1">IF($D1976="","",IF($C1976="TANIMSIZ MÜŞTERİ","HATA",IF(OR($E1976="",$F1976&lt;=0,$G1976=""),"EKSİK",IF($E1976&gt;TODAY(),"İLERİ TARİH",IF(COUNTIF($S$7:$S$2503,$S1976)&gt;1,"MÜKERRER?",IF($T1976&gt;0,"KAPALI DÖNEM","UYGUN"))))))</f>
        <v/>
      </c>
      <c r="N1976" s="74" t="str">
        <f>IF($C1976="","",IF($C1976="TANIMSIZ MÜŞTERİ","—",INDEX(MUSTERILER!$C$7:$C$156,MATCH($C1976,MUSTERILER!$B$7:$B$156,0))))</f>
        <v/>
      </c>
      <c r="O1976" s="2"/>
      <c r="P1976" s="2"/>
      <c r="Q1976" s="1" t="str">
        <f>IF($D1976="","",$C1976&amp;"|"&amp;COUNTIFS($C$7:$C1976,$C1976))</f>
        <v/>
      </c>
      <c r="R1976" s="1" t="str">
        <f t="shared" si="60"/>
        <v/>
      </c>
      <c r="S1976" s="1" t="str">
        <f t="shared" si="61"/>
        <v/>
      </c>
      <c r="T1976" s="1">
        <f>IF($E1976="",0,SUMPRODUCT((AY_SONU!$O$7:$O$42="Evet")*(AY_SONU!$B$7:$B$42=DATE(YEAR($E1976),MONTH($E1976),1))))</f>
        <v>0</v>
      </c>
      <c r="U1976" s="1" t="str">
        <f>IF(OR($G1976="",$H1976="Mahsup"),"",$G1976&amp;"|"&amp;COUNTIFS($G$7:$G1976,$G1976,$H$7:$H1976,"&lt;&gt;Mahsup"))</f>
        <v/>
      </c>
    </row>
    <row r="1977" spans="1:21" ht="18" customHeight="1" x14ac:dyDescent="0.3">
      <c r="A1977" s="2"/>
      <c r="B1977" s="65" t="str">
        <f>IF($D1977="","","T"&amp;TEXT(ROW()-6,"00000"))</f>
        <v/>
      </c>
      <c r="C1977" s="65" t="str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61"/>
      <c r="E1977" s="66"/>
      <c r="F1977" s="67"/>
      <c r="G1977" s="60"/>
      <c r="H1977" s="60"/>
      <c r="I1977" s="61"/>
      <c r="J1977" s="61"/>
      <c r="K1977" s="61"/>
      <c r="L1977" s="73" t="str">
        <f>IF($E1977="","",DATE(YEAR($E1977),MONTH($E1977),1))</f>
        <v/>
      </c>
      <c r="M1977" s="65" t="str">
        <f ca="1">IF($D1977="","",IF($C1977="TANIMSIZ MÜŞTERİ","HATA",IF(OR($E1977="",$F1977&lt;=0,$G1977=""),"EKSİK",IF($E1977&gt;TODAY(),"İLERİ TARİH",IF(COUNTIF($S$7:$S$2503,$S1977)&gt;1,"MÜKERRER?",IF($T1977&gt;0,"KAPALI DÖNEM","UYGUN"))))))</f>
        <v/>
      </c>
      <c r="N1977" s="74" t="str">
        <f>IF($C1977="","",IF($C1977="TANIMSIZ MÜŞTERİ","—",INDEX(MUSTERILER!$C$7:$C$156,MATCH($C1977,MUSTERILER!$B$7:$B$156,0))))</f>
        <v/>
      </c>
      <c r="O1977" s="2"/>
      <c r="P1977" s="2"/>
      <c r="Q1977" s="1" t="str">
        <f>IF($D1977="","",$C1977&amp;"|"&amp;COUNTIFS($C$7:$C1977,$C1977))</f>
        <v/>
      </c>
      <c r="R1977" s="1" t="str">
        <f t="shared" si="60"/>
        <v/>
      </c>
      <c r="S1977" s="1" t="str">
        <f t="shared" si="61"/>
        <v/>
      </c>
      <c r="T1977" s="1">
        <f>IF($E1977="",0,SUMPRODUCT((AY_SONU!$O$7:$O$42="Evet")*(AY_SONU!$B$7:$B$42=DATE(YEAR($E1977),MONTH($E1977),1))))</f>
        <v>0</v>
      </c>
      <c r="U1977" s="1" t="str">
        <f>IF(OR($G1977="",$H1977="Mahsup"),"",$G1977&amp;"|"&amp;COUNTIFS($G$7:$G1977,$G1977,$H$7:$H1977,"&lt;&gt;Mahsup"))</f>
        <v/>
      </c>
    </row>
    <row r="1978" spans="1:21" ht="18" customHeight="1" x14ac:dyDescent="0.3">
      <c r="A1978" s="2"/>
      <c r="B1978" s="65" t="str">
        <f>IF($D1978="","","T"&amp;TEXT(ROW()-6,"00000"))</f>
        <v/>
      </c>
      <c r="C1978" s="65" t="str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61"/>
      <c r="E1978" s="66"/>
      <c r="F1978" s="67"/>
      <c r="G1978" s="60"/>
      <c r="H1978" s="60"/>
      <c r="I1978" s="61"/>
      <c r="J1978" s="61"/>
      <c r="K1978" s="61"/>
      <c r="L1978" s="73" t="str">
        <f>IF($E1978="","",DATE(YEAR($E1978),MONTH($E1978),1))</f>
        <v/>
      </c>
      <c r="M1978" s="65" t="str">
        <f ca="1">IF($D1978="","",IF($C1978="TANIMSIZ MÜŞTERİ","HATA",IF(OR($E1978="",$F1978&lt;=0,$G1978=""),"EKSİK",IF($E1978&gt;TODAY(),"İLERİ TARİH",IF(COUNTIF($S$7:$S$2503,$S1978)&gt;1,"MÜKERRER?",IF($T1978&gt;0,"KAPALI DÖNEM","UYGUN"))))))</f>
        <v/>
      </c>
      <c r="N1978" s="74" t="str">
        <f>IF($C1978="","",IF($C1978="TANIMSIZ MÜŞTERİ","—",INDEX(MUSTERILER!$C$7:$C$156,MATCH($C1978,MUSTERILER!$B$7:$B$156,0))))</f>
        <v/>
      </c>
      <c r="O1978" s="2"/>
      <c r="P1978" s="2"/>
      <c r="Q1978" s="1" t="str">
        <f>IF($D1978="","",$C1978&amp;"|"&amp;COUNTIFS($C$7:$C1978,$C1978))</f>
        <v/>
      </c>
      <c r="R1978" s="1" t="str">
        <f t="shared" si="60"/>
        <v/>
      </c>
      <c r="S1978" s="1" t="str">
        <f t="shared" si="61"/>
        <v/>
      </c>
      <c r="T1978" s="1">
        <f>IF($E1978="",0,SUMPRODUCT((AY_SONU!$O$7:$O$42="Evet")*(AY_SONU!$B$7:$B$42=DATE(YEAR($E1978),MONTH($E1978),1))))</f>
        <v>0</v>
      </c>
      <c r="U1978" s="1" t="str">
        <f>IF(OR($G1978="",$H1978="Mahsup"),"",$G1978&amp;"|"&amp;COUNTIFS($G$7:$G1978,$G1978,$H$7:$H1978,"&lt;&gt;Mahsup"))</f>
        <v/>
      </c>
    </row>
    <row r="1979" spans="1:21" ht="18" customHeight="1" x14ac:dyDescent="0.3">
      <c r="A1979" s="2"/>
      <c r="B1979" s="65" t="str">
        <f>IF($D1979="","","T"&amp;TEXT(ROW()-6,"00000"))</f>
        <v/>
      </c>
      <c r="C1979" s="65" t="str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61"/>
      <c r="E1979" s="66"/>
      <c r="F1979" s="67"/>
      <c r="G1979" s="60"/>
      <c r="H1979" s="60"/>
      <c r="I1979" s="61"/>
      <c r="J1979" s="61"/>
      <c r="K1979" s="61"/>
      <c r="L1979" s="73" t="str">
        <f>IF($E1979="","",DATE(YEAR($E1979),MONTH($E1979),1))</f>
        <v/>
      </c>
      <c r="M1979" s="65" t="str">
        <f ca="1">IF($D1979="","",IF($C1979="TANIMSIZ MÜŞTERİ","HATA",IF(OR($E1979="",$F1979&lt;=0,$G1979=""),"EKSİK",IF($E1979&gt;TODAY(),"İLERİ TARİH",IF(COUNTIF($S$7:$S$2503,$S1979)&gt;1,"MÜKERRER?",IF($T1979&gt;0,"KAPALI DÖNEM","UYGUN"))))))</f>
        <v/>
      </c>
      <c r="N1979" s="74" t="str">
        <f>IF($C1979="","",IF($C1979="TANIMSIZ MÜŞTERİ","—",INDEX(MUSTERILER!$C$7:$C$156,MATCH($C1979,MUSTERILER!$B$7:$B$156,0))))</f>
        <v/>
      </c>
      <c r="O1979" s="2"/>
      <c r="P1979" s="2"/>
      <c r="Q1979" s="1" t="str">
        <f>IF($D1979="","",$C1979&amp;"|"&amp;COUNTIFS($C$7:$C1979,$C1979))</f>
        <v/>
      </c>
      <c r="R1979" s="1" t="str">
        <f t="shared" si="60"/>
        <v/>
      </c>
      <c r="S1979" s="1" t="str">
        <f t="shared" si="61"/>
        <v/>
      </c>
      <c r="T1979" s="1">
        <f>IF($E1979="",0,SUMPRODUCT((AY_SONU!$O$7:$O$42="Evet")*(AY_SONU!$B$7:$B$42=DATE(YEAR($E1979),MONTH($E1979),1))))</f>
        <v>0</v>
      </c>
      <c r="U1979" s="1" t="str">
        <f>IF(OR($G1979="",$H1979="Mahsup"),"",$G1979&amp;"|"&amp;COUNTIFS($G$7:$G1979,$G1979,$H$7:$H1979,"&lt;&gt;Mahsup"))</f>
        <v/>
      </c>
    </row>
    <row r="1980" spans="1:21" ht="18" customHeight="1" x14ac:dyDescent="0.3">
      <c r="A1980" s="2"/>
      <c r="B1980" s="65" t="str">
        <f>IF($D1980="","","T"&amp;TEXT(ROW()-6,"00000"))</f>
        <v/>
      </c>
      <c r="C1980" s="65" t="str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61"/>
      <c r="E1980" s="66"/>
      <c r="F1980" s="67"/>
      <c r="G1980" s="60"/>
      <c r="H1980" s="60"/>
      <c r="I1980" s="61"/>
      <c r="J1980" s="61"/>
      <c r="K1980" s="61"/>
      <c r="L1980" s="73" t="str">
        <f>IF($E1980="","",DATE(YEAR($E1980),MONTH($E1980),1))</f>
        <v/>
      </c>
      <c r="M1980" s="65" t="str">
        <f ca="1">IF($D1980="","",IF($C1980="TANIMSIZ MÜŞTERİ","HATA",IF(OR($E1980="",$F1980&lt;=0,$G1980=""),"EKSİK",IF($E1980&gt;TODAY(),"İLERİ TARİH",IF(COUNTIF($S$7:$S$2503,$S1980)&gt;1,"MÜKERRER?",IF($T1980&gt;0,"KAPALI DÖNEM","UYGUN"))))))</f>
        <v/>
      </c>
      <c r="N1980" s="74" t="str">
        <f>IF($C1980="","",IF($C1980="TANIMSIZ MÜŞTERİ","—",INDEX(MUSTERILER!$C$7:$C$156,MATCH($C1980,MUSTERILER!$B$7:$B$156,0))))</f>
        <v/>
      </c>
      <c r="O1980" s="2"/>
      <c r="P1980" s="2"/>
      <c r="Q1980" s="1" t="str">
        <f>IF($D1980="","",$C1980&amp;"|"&amp;COUNTIFS($C$7:$C1980,$C1980))</f>
        <v/>
      </c>
      <c r="R1980" s="1" t="str">
        <f t="shared" si="60"/>
        <v/>
      </c>
      <c r="S1980" s="1" t="str">
        <f t="shared" si="61"/>
        <v/>
      </c>
      <c r="T1980" s="1">
        <f>IF($E1980="",0,SUMPRODUCT((AY_SONU!$O$7:$O$42="Evet")*(AY_SONU!$B$7:$B$42=DATE(YEAR($E1980),MONTH($E1980),1))))</f>
        <v>0</v>
      </c>
      <c r="U1980" s="1" t="str">
        <f>IF(OR($G1980="",$H1980="Mahsup"),"",$G1980&amp;"|"&amp;COUNTIFS($G$7:$G1980,$G1980,$H$7:$H1980,"&lt;&gt;Mahsup"))</f>
        <v/>
      </c>
    </row>
    <row r="1981" spans="1:21" ht="18" customHeight="1" x14ac:dyDescent="0.3">
      <c r="A1981" s="2"/>
      <c r="B1981" s="65" t="str">
        <f>IF($D1981="","","T"&amp;TEXT(ROW()-6,"00000"))</f>
        <v/>
      </c>
      <c r="C1981" s="65" t="str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61"/>
      <c r="E1981" s="66"/>
      <c r="F1981" s="67"/>
      <c r="G1981" s="60"/>
      <c r="H1981" s="60"/>
      <c r="I1981" s="61"/>
      <c r="J1981" s="61"/>
      <c r="K1981" s="61"/>
      <c r="L1981" s="73" t="str">
        <f>IF($E1981="","",DATE(YEAR($E1981),MONTH($E1981),1))</f>
        <v/>
      </c>
      <c r="M1981" s="65" t="str">
        <f ca="1">IF($D1981="","",IF($C1981="TANIMSIZ MÜŞTERİ","HATA",IF(OR($E1981="",$F1981&lt;=0,$G1981=""),"EKSİK",IF($E1981&gt;TODAY(),"İLERİ TARİH",IF(COUNTIF($S$7:$S$2503,$S1981)&gt;1,"MÜKERRER?",IF($T1981&gt;0,"KAPALI DÖNEM","UYGUN"))))))</f>
        <v/>
      </c>
      <c r="N1981" s="74" t="str">
        <f>IF($C1981="","",IF($C1981="TANIMSIZ MÜŞTERİ","—",INDEX(MUSTERILER!$C$7:$C$156,MATCH($C1981,MUSTERILER!$B$7:$B$156,0))))</f>
        <v/>
      </c>
      <c r="O1981" s="2"/>
      <c r="P1981" s="2"/>
      <c r="Q1981" s="1" t="str">
        <f>IF($D1981="","",$C1981&amp;"|"&amp;COUNTIFS($C$7:$C1981,$C1981))</f>
        <v/>
      </c>
      <c r="R1981" s="1" t="str">
        <f t="shared" si="60"/>
        <v/>
      </c>
      <c r="S1981" s="1" t="str">
        <f t="shared" si="61"/>
        <v/>
      </c>
      <c r="T1981" s="1">
        <f>IF($E1981="",0,SUMPRODUCT((AY_SONU!$O$7:$O$42="Evet")*(AY_SONU!$B$7:$B$42=DATE(YEAR($E1981),MONTH($E1981),1))))</f>
        <v>0</v>
      </c>
      <c r="U1981" s="1" t="str">
        <f>IF(OR($G1981="",$H1981="Mahsup"),"",$G1981&amp;"|"&amp;COUNTIFS($G$7:$G1981,$G1981,$H$7:$H1981,"&lt;&gt;Mahsup"))</f>
        <v/>
      </c>
    </row>
    <row r="1982" spans="1:21" ht="18" customHeight="1" x14ac:dyDescent="0.3">
      <c r="A1982" s="2"/>
      <c r="B1982" s="65" t="str">
        <f>IF($D1982="","","T"&amp;TEXT(ROW()-6,"00000"))</f>
        <v/>
      </c>
      <c r="C1982" s="65" t="str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61"/>
      <c r="E1982" s="66"/>
      <c r="F1982" s="67"/>
      <c r="G1982" s="60"/>
      <c r="H1982" s="60"/>
      <c r="I1982" s="61"/>
      <c r="J1982" s="61"/>
      <c r="K1982" s="61"/>
      <c r="L1982" s="73" t="str">
        <f>IF($E1982="","",DATE(YEAR($E1982),MONTH($E1982),1))</f>
        <v/>
      </c>
      <c r="M1982" s="65" t="str">
        <f ca="1">IF($D1982="","",IF($C1982="TANIMSIZ MÜŞTERİ","HATA",IF(OR($E1982="",$F1982&lt;=0,$G1982=""),"EKSİK",IF($E1982&gt;TODAY(),"İLERİ TARİH",IF(COUNTIF($S$7:$S$2503,$S1982)&gt;1,"MÜKERRER?",IF($T1982&gt;0,"KAPALI DÖNEM","UYGUN"))))))</f>
        <v/>
      </c>
      <c r="N1982" s="74" t="str">
        <f>IF($C1982="","",IF($C1982="TANIMSIZ MÜŞTERİ","—",INDEX(MUSTERILER!$C$7:$C$156,MATCH($C1982,MUSTERILER!$B$7:$B$156,0))))</f>
        <v/>
      </c>
      <c r="O1982" s="2"/>
      <c r="P1982" s="2"/>
      <c r="Q1982" s="1" t="str">
        <f>IF($D1982="","",$C1982&amp;"|"&amp;COUNTIFS($C$7:$C1982,$C1982))</f>
        <v/>
      </c>
      <c r="R1982" s="1" t="str">
        <f t="shared" si="60"/>
        <v/>
      </c>
      <c r="S1982" s="1" t="str">
        <f t="shared" si="61"/>
        <v/>
      </c>
      <c r="T1982" s="1">
        <f>IF($E1982="",0,SUMPRODUCT((AY_SONU!$O$7:$O$42="Evet")*(AY_SONU!$B$7:$B$42=DATE(YEAR($E1982),MONTH($E1982),1))))</f>
        <v>0</v>
      </c>
      <c r="U1982" s="1" t="str">
        <f>IF(OR($G1982="",$H1982="Mahsup"),"",$G1982&amp;"|"&amp;COUNTIFS($G$7:$G1982,$G1982,$H$7:$H1982,"&lt;&gt;Mahsup"))</f>
        <v/>
      </c>
    </row>
    <row r="1983" spans="1:21" ht="18" customHeight="1" x14ac:dyDescent="0.3">
      <c r="A1983" s="2"/>
      <c r="B1983" s="65" t="str">
        <f>IF($D1983="","","T"&amp;TEXT(ROW()-6,"00000"))</f>
        <v/>
      </c>
      <c r="C1983" s="65" t="str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61"/>
      <c r="E1983" s="66"/>
      <c r="F1983" s="67"/>
      <c r="G1983" s="60"/>
      <c r="H1983" s="60"/>
      <c r="I1983" s="61"/>
      <c r="J1983" s="61"/>
      <c r="K1983" s="61"/>
      <c r="L1983" s="73" t="str">
        <f>IF($E1983="","",DATE(YEAR($E1983),MONTH($E1983),1))</f>
        <v/>
      </c>
      <c r="M1983" s="65" t="str">
        <f ca="1">IF($D1983="","",IF($C1983="TANIMSIZ MÜŞTERİ","HATA",IF(OR($E1983="",$F1983&lt;=0,$G1983=""),"EKSİK",IF($E1983&gt;TODAY(),"İLERİ TARİH",IF(COUNTIF($S$7:$S$2503,$S1983)&gt;1,"MÜKERRER?",IF($T1983&gt;0,"KAPALI DÖNEM","UYGUN"))))))</f>
        <v/>
      </c>
      <c r="N1983" s="74" t="str">
        <f>IF($C1983="","",IF($C1983="TANIMSIZ MÜŞTERİ","—",INDEX(MUSTERILER!$C$7:$C$156,MATCH($C1983,MUSTERILER!$B$7:$B$156,0))))</f>
        <v/>
      </c>
      <c r="O1983" s="2"/>
      <c r="P1983" s="2"/>
      <c r="Q1983" s="1" t="str">
        <f>IF($D1983="","",$C1983&amp;"|"&amp;COUNTIFS($C$7:$C1983,$C1983))</f>
        <v/>
      </c>
      <c r="R1983" s="1" t="str">
        <f t="shared" si="60"/>
        <v/>
      </c>
      <c r="S1983" s="1" t="str">
        <f t="shared" si="61"/>
        <v/>
      </c>
      <c r="T1983" s="1">
        <f>IF($E1983="",0,SUMPRODUCT((AY_SONU!$O$7:$O$42="Evet")*(AY_SONU!$B$7:$B$42=DATE(YEAR($E1983),MONTH($E1983),1))))</f>
        <v>0</v>
      </c>
      <c r="U1983" s="1" t="str">
        <f>IF(OR($G1983="",$H1983="Mahsup"),"",$G1983&amp;"|"&amp;COUNTIFS($G$7:$G1983,$G1983,$H$7:$H1983,"&lt;&gt;Mahsup"))</f>
        <v/>
      </c>
    </row>
    <row r="1984" spans="1:21" ht="18" customHeight="1" x14ac:dyDescent="0.3">
      <c r="A1984" s="2"/>
      <c r="B1984" s="65" t="str">
        <f>IF($D1984="","","T"&amp;TEXT(ROW()-6,"00000"))</f>
        <v/>
      </c>
      <c r="C1984" s="65" t="str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61"/>
      <c r="E1984" s="66"/>
      <c r="F1984" s="67"/>
      <c r="G1984" s="60"/>
      <c r="H1984" s="60"/>
      <c r="I1984" s="61"/>
      <c r="J1984" s="61"/>
      <c r="K1984" s="61"/>
      <c r="L1984" s="73" t="str">
        <f>IF($E1984="","",DATE(YEAR($E1984),MONTH($E1984),1))</f>
        <v/>
      </c>
      <c r="M1984" s="65" t="str">
        <f ca="1">IF($D1984="","",IF($C1984="TANIMSIZ MÜŞTERİ","HATA",IF(OR($E1984="",$F1984&lt;=0,$G1984=""),"EKSİK",IF($E1984&gt;TODAY(),"İLERİ TARİH",IF(COUNTIF($S$7:$S$2503,$S1984)&gt;1,"MÜKERRER?",IF($T1984&gt;0,"KAPALI DÖNEM","UYGUN"))))))</f>
        <v/>
      </c>
      <c r="N1984" s="74" t="str">
        <f>IF($C1984="","",IF($C1984="TANIMSIZ MÜŞTERİ","—",INDEX(MUSTERILER!$C$7:$C$156,MATCH($C1984,MUSTERILER!$B$7:$B$156,0))))</f>
        <v/>
      </c>
      <c r="O1984" s="2"/>
      <c r="P1984" s="2"/>
      <c r="Q1984" s="1" t="str">
        <f>IF($D1984="","",$C1984&amp;"|"&amp;COUNTIFS($C$7:$C1984,$C1984))</f>
        <v/>
      </c>
      <c r="R1984" s="1" t="str">
        <f t="shared" si="60"/>
        <v/>
      </c>
      <c r="S1984" s="1" t="str">
        <f t="shared" si="61"/>
        <v/>
      </c>
      <c r="T1984" s="1">
        <f>IF($E1984="",0,SUMPRODUCT((AY_SONU!$O$7:$O$42="Evet")*(AY_SONU!$B$7:$B$42=DATE(YEAR($E1984),MONTH($E1984),1))))</f>
        <v>0</v>
      </c>
      <c r="U1984" s="1" t="str">
        <f>IF(OR($G1984="",$H1984="Mahsup"),"",$G1984&amp;"|"&amp;COUNTIFS($G$7:$G1984,$G1984,$H$7:$H1984,"&lt;&gt;Mahsup"))</f>
        <v/>
      </c>
    </row>
    <row r="1985" spans="1:21" ht="18" customHeight="1" x14ac:dyDescent="0.3">
      <c r="A1985" s="2"/>
      <c r="B1985" s="65" t="str">
        <f>IF($D1985="","","T"&amp;TEXT(ROW()-6,"00000"))</f>
        <v/>
      </c>
      <c r="C1985" s="65" t="str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61"/>
      <c r="E1985" s="66"/>
      <c r="F1985" s="67"/>
      <c r="G1985" s="60"/>
      <c r="H1985" s="60"/>
      <c r="I1985" s="61"/>
      <c r="J1985" s="61"/>
      <c r="K1985" s="61"/>
      <c r="L1985" s="73" t="str">
        <f>IF($E1985="","",DATE(YEAR($E1985),MONTH($E1985),1))</f>
        <v/>
      </c>
      <c r="M1985" s="65" t="str">
        <f ca="1">IF($D1985="","",IF($C1985="TANIMSIZ MÜŞTERİ","HATA",IF(OR($E1985="",$F1985&lt;=0,$G1985=""),"EKSİK",IF($E1985&gt;TODAY(),"İLERİ TARİH",IF(COUNTIF($S$7:$S$2503,$S1985)&gt;1,"MÜKERRER?",IF($T1985&gt;0,"KAPALI DÖNEM","UYGUN"))))))</f>
        <v/>
      </c>
      <c r="N1985" s="74" t="str">
        <f>IF($C1985="","",IF($C1985="TANIMSIZ MÜŞTERİ","—",INDEX(MUSTERILER!$C$7:$C$156,MATCH($C1985,MUSTERILER!$B$7:$B$156,0))))</f>
        <v/>
      </c>
      <c r="O1985" s="2"/>
      <c r="P1985" s="2"/>
      <c r="Q1985" s="1" t="str">
        <f>IF($D1985="","",$C1985&amp;"|"&amp;COUNTIFS($C$7:$C1985,$C1985))</f>
        <v/>
      </c>
      <c r="R1985" s="1" t="str">
        <f t="shared" si="60"/>
        <v/>
      </c>
      <c r="S1985" s="1" t="str">
        <f t="shared" si="61"/>
        <v/>
      </c>
      <c r="T1985" s="1">
        <f>IF($E1985="",0,SUMPRODUCT((AY_SONU!$O$7:$O$42="Evet")*(AY_SONU!$B$7:$B$42=DATE(YEAR($E1985),MONTH($E1985),1))))</f>
        <v>0</v>
      </c>
      <c r="U1985" s="1" t="str">
        <f>IF(OR($G1985="",$H1985="Mahsup"),"",$G1985&amp;"|"&amp;COUNTIFS($G$7:$G1985,$G1985,$H$7:$H1985,"&lt;&gt;Mahsup"))</f>
        <v/>
      </c>
    </row>
    <row r="1986" spans="1:21" ht="18" customHeight="1" x14ac:dyDescent="0.3">
      <c r="A1986" s="2"/>
      <c r="B1986" s="65" t="str">
        <f>IF($D1986="","","T"&amp;TEXT(ROW()-6,"00000"))</f>
        <v/>
      </c>
      <c r="C1986" s="65" t="str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61"/>
      <c r="E1986" s="66"/>
      <c r="F1986" s="67"/>
      <c r="G1986" s="60"/>
      <c r="H1986" s="60"/>
      <c r="I1986" s="61"/>
      <c r="J1986" s="61"/>
      <c r="K1986" s="61"/>
      <c r="L1986" s="73" t="str">
        <f>IF($E1986="","",DATE(YEAR($E1986),MONTH($E1986),1))</f>
        <v/>
      </c>
      <c r="M1986" s="65" t="str">
        <f ca="1">IF($D1986="","",IF($C1986="TANIMSIZ MÜŞTERİ","HATA",IF(OR($E1986="",$F1986&lt;=0,$G1986=""),"EKSİK",IF($E1986&gt;TODAY(),"İLERİ TARİH",IF(COUNTIF($S$7:$S$2503,$S1986)&gt;1,"MÜKERRER?",IF($T1986&gt;0,"KAPALI DÖNEM","UYGUN"))))))</f>
        <v/>
      </c>
      <c r="N1986" s="74" t="str">
        <f>IF($C1986="","",IF($C1986="TANIMSIZ MÜŞTERİ","—",INDEX(MUSTERILER!$C$7:$C$156,MATCH($C1986,MUSTERILER!$B$7:$B$156,0))))</f>
        <v/>
      </c>
      <c r="O1986" s="2"/>
      <c r="P1986" s="2"/>
      <c r="Q1986" s="1" t="str">
        <f>IF($D1986="","",$C1986&amp;"|"&amp;COUNTIFS($C$7:$C1986,$C1986))</f>
        <v/>
      </c>
      <c r="R1986" s="1" t="str">
        <f t="shared" si="60"/>
        <v/>
      </c>
      <c r="S1986" s="1" t="str">
        <f t="shared" si="61"/>
        <v/>
      </c>
      <c r="T1986" s="1">
        <f>IF($E1986="",0,SUMPRODUCT((AY_SONU!$O$7:$O$42="Evet")*(AY_SONU!$B$7:$B$42=DATE(YEAR($E1986),MONTH($E1986),1))))</f>
        <v>0</v>
      </c>
      <c r="U1986" s="1" t="str">
        <f>IF(OR($G1986="",$H1986="Mahsup"),"",$G1986&amp;"|"&amp;COUNTIFS($G$7:$G1986,$G1986,$H$7:$H1986,"&lt;&gt;Mahsup"))</f>
        <v/>
      </c>
    </row>
    <row r="1987" spans="1:21" ht="18" customHeight="1" x14ac:dyDescent="0.3">
      <c r="A1987" s="2"/>
      <c r="B1987" s="65" t="str">
        <f>IF($D1987="","","T"&amp;TEXT(ROW()-6,"00000"))</f>
        <v/>
      </c>
      <c r="C1987" s="65" t="str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61"/>
      <c r="E1987" s="66"/>
      <c r="F1987" s="67"/>
      <c r="G1987" s="60"/>
      <c r="H1987" s="60"/>
      <c r="I1987" s="61"/>
      <c r="J1987" s="61"/>
      <c r="K1987" s="61"/>
      <c r="L1987" s="73" t="str">
        <f>IF($E1987="","",DATE(YEAR($E1987),MONTH($E1987),1))</f>
        <v/>
      </c>
      <c r="M1987" s="65" t="str">
        <f ca="1">IF($D1987="","",IF($C1987="TANIMSIZ MÜŞTERİ","HATA",IF(OR($E1987="",$F1987&lt;=0,$G1987=""),"EKSİK",IF($E1987&gt;TODAY(),"İLERİ TARİH",IF(COUNTIF($S$7:$S$2503,$S1987)&gt;1,"MÜKERRER?",IF($T1987&gt;0,"KAPALI DÖNEM","UYGUN"))))))</f>
        <v/>
      </c>
      <c r="N1987" s="74" t="str">
        <f>IF($C1987="","",IF($C1987="TANIMSIZ MÜŞTERİ","—",INDEX(MUSTERILER!$C$7:$C$156,MATCH($C1987,MUSTERILER!$B$7:$B$156,0))))</f>
        <v/>
      </c>
      <c r="O1987" s="2"/>
      <c r="P1987" s="2"/>
      <c r="Q1987" s="1" t="str">
        <f>IF($D1987="","",$C1987&amp;"|"&amp;COUNTIFS($C$7:$C1987,$C1987))</f>
        <v/>
      </c>
      <c r="R1987" s="1" t="str">
        <f t="shared" si="60"/>
        <v/>
      </c>
      <c r="S1987" s="1" t="str">
        <f t="shared" si="61"/>
        <v/>
      </c>
      <c r="T1987" s="1">
        <f>IF($E1987="",0,SUMPRODUCT((AY_SONU!$O$7:$O$42="Evet")*(AY_SONU!$B$7:$B$42=DATE(YEAR($E1987),MONTH($E1987),1))))</f>
        <v>0</v>
      </c>
      <c r="U1987" s="1" t="str">
        <f>IF(OR($G1987="",$H1987="Mahsup"),"",$G1987&amp;"|"&amp;COUNTIFS($G$7:$G1987,$G1987,$H$7:$H1987,"&lt;&gt;Mahsup"))</f>
        <v/>
      </c>
    </row>
    <row r="1988" spans="1:21" ht="18" customHeight="1" x14ac:dyDescent="0.3">
      <c r="A1988" s="2"/>
      <c r="B1988" s="65" t="str">
        <f>IF($D1988="","","T"&amp;TEXT(ROW()-6,"00000"))</f>
        <v/>
      </c>
      <c r="C1988" s="65" t="str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61"/>
      <c r="E1988" s="66"/>
      <c r="F1988" s="67"/>
      <c r="G1988" s="60"/>
      <c r="H1988" s="60"/>
      <c r="I1988" s="61"/>
      <c r="J1988" s="61"/>
      <c r="K1988" s="61"/>
      <c r="L1988" s="73" t="str">
        <f>IF($E1988="","",DATE(YEAR($E1988),MONTH($E1988),1))</f>
        <v/>
      </c>
      <c r="M1988" s="65" t="str">
        <f ca="1">IF($D1988="","",IF($C1988="TANIMSIZ MÜŞTERİ","HATA",IF(OR($E1988="",$F1988&lt;=0,$G1988=""),"EKSİK",IF($E1988&gt;TODAY(),"İLERİ TARİH",IF(COUNTIF($S$7:$S$2503,$S1988)&gt;1,"MÜKERRER?",IF($T1988&gt;0,"KAPALI DÖNEM","UYGUN"))))))</f>
        <v/>
      </c>
      <c r="N1988" s="74" t="str">
        <f>IF($C1988="","",IF($C1988="TANIMSIZ MÜŞTERİ","—",INDEX(MUSTERILER!$C$7:$C$156,MATCH($C1988,MUSTERILER!$B$7:$B$156,0))))</f>
        <v/>
      </c>
      <c r="O1988" s="2"/>
      <c r="P1988" s="2"/>
      <c r="Q1988" s="1" t="str">
        <f>IF($D1988="","",$C1988&amp;"|"&amp;COUNTIFS($C$7:$C1988,$C1988))</f>
        <v/>
      </c>
      <c r="R1988" s="1" t="str">
        <f t="shared" si="60"/>
        <v/>
      </c>
      <c r="S1988" s="1" t="str">
        <f t="shared" si="61"/>
        <v/>
      </c>
      <c r="T1988" s="1">
        <f>IF($E1988="",0,SUMPRODUCT((AY_SONU!$O$7:$O$42="Evet")*(AY_SONU!$B$7:$B$42=DATE(YEAR($E1988),MONTH($E1988),1))))</f>
        <v>0</v>
      </c>
      <c r="U1988" s="1" t="str">
        <f>IF(OR($G1988="",$H1988="Mahsup"),"",$G1988&amp;"|"&amp;COUNTIFS($G$7:$G1988,$G1988,$H$7:$H1988,"&lt;&gt;Mahsup"))</f>
        <v/>
      </c>
    </row>
    <row r="1989" spans="1:21" ht="18" customHeight="1" x14ac:dyDescent="0.3">
      <c r="A1989" s="2"/>
      <c r="B1989" s="65" t="str">
        <f>IF($D1989="","","T"&amp;TEXT(ROW()-6,"00000"))</f>
        <v/>
      </c>
      <c r="C1989" s="65" t="str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61"/>
      <c r="E1989" s="66"/>
      <c r="F1989" s="67"/>
      <c r="G1989" s="60"/>
      <c r="H1989" s="60"/>
      <c r="I1989" s="61"/>
      <c r="J1989" s="61"/>
      <c r="K1989" s="61"/>
      <c r="L1989" s="73" t="str">
        <f>IF($E1989="","",DATE(YEAR($E1989),MONTH($E1989),1))</f>
        <v/>
      </c>
      <c r="M1989" s="65" t="str">
        <f ca="1">IF($D1989="","",IF($C1989="TANIMSIZ MÜŞTERİ","HATA",IF(OR($E1989="",$F1989&lt;=0,$G1989=""),"EKSİK",IF($E1989&gt;TODAY(),"İLERİ TARİH",IF(COUNTIF($S$7:$S$2503,$S1989)&gt;1,"MÜKERRER?",IF($T1989&gt;0,"KAPALI DÖNEM","UYGUN"))))))</f>
        <v/>
      </c>
      <c r="N1989" s="74" t="str">
        <f>IF($C1989="","",IF($C1989="TANIMSIZ MÜŞTERİ","—",INDEX(MUSTERILER!$C$7:$C$156,MATCH($C1989,MUSTERILER!$B$7:$B$156,0))))</f>
        <v/>
      </c>
      <c r="O1989" s="2"/>
      <c r="P1989" s="2"/>
      <c r="Q1989" s="1" t="str">
        <f>IF($D1989="","",$C1989&amp;"|"&amp;COUNTIFS($C$7:$C1989,$C1989))</f>
        <v/>
      </c>
      <c r="R1989" s="1" t="str">
        <f t="shared" si="60"/>
        <v/>
      </c>
      <c r="S1989" s="1" t="str">
        <f t="shared" si="61"/>
        <v/>
      </c>
      <c r="T1989" s="1">
        <f>IF($E1989="",0,SUMPRODUCT((AY_SONU!$O$7:$O$42="Evet")*(AY_SONU!$B$7:$B$42=DATE(YEAR($E1989),MONTH($E1989),1))))</f>
        <v>0</v>
      </c>
      <c r="U1989" s="1" t="str">
        <f>IF(OR($G1989="",$H1989="Mahsup"),"",$G1989&amp;"|"&amp;COUNTIFS($G$7:$G1989,$G1989,$H$7:$H1989,"&lt;&gt;Mahsup"))</f>
        <v/>
      </c>
    </row>
    <row r="1990" spans="1:21" ht="18" customHeight="1" x14ac:dyDescent="0.3">
      <c r="A1990" s="2"/>
      <c r="B1990" s="65" t="str">
        <f>IF($D1990="","","T"&amp;TEXT(ROW()-6,"00000"))</f>
        <v/>
      </c>
      <c r="C1990" s="65" t="str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61"/>
      <c r="E1990" s="66"/>
      <c r="F1990" s="67"/>
      <c r="G1990" s="60"/>
      <c r="H1990" s="60"/>
      <c r="I1990" s="61"/>
      <c r="J1990" s="61"/>
      <c r="K1990" s="61"/>
      <c r="L1990" s="73" t="str">
        <f>IF($E1990="","",DATE(YEAR($E1990),MONTH($E1990),1))</f>
        <v/>
      </c>
      <c r="M1990" s="65" t="str">
        <f ca="1">IF($D1990="","",IF($C1990="TANIMSIZ MÜŞTERİ","HATA",IF(OR($E1990="",$F1990&lt;=0,$G1990=""),"EKSİK",IF($E1990&gt;TODAY(),"İLERİ TARİH",IF(COUNTIF($S$7:$S$2503,$S1990)&gt;1,"MÜKERRER?",IF($T1990&gt;0,"KAPALI DÖNEM","UYGUN"))))))</f>
        <v/>
      </c>
      <c r="N1990" s="74" t="str">
        <f>IF($C1990="","",IF($C1990="TANIMSIZ MÜŞTERİ","—",INDEX(MUSTERILER!$C$7:$C$156,MATCH($C1990,MUSTERILER!$B$7:$B$156,0))))</f>
        <v/>
      </c>
      <c r="O1990" s="2"/>
      <c r="P1990" s="2"/>
      <c r="Q1990" s="1" t="str">
        <f>IF($D1990="","",$C1990&amp;"|"&amp;COUNTIFS($C$7:$C1990,$C1990))</f>
        <v/>
      </c>
      <c r="R1990" s="1" t="str">
        <f t="shared" si="60"/>
        <v/>
      </c>
      <c r="S1990" s="1" t="str">
        <f t="shared" si="61"/>
        <v/>
      </c>
      <c r="T1990" s="1">
        <f>IF($E1990="",0,SUMPRODUCT((AY_SONU!$O$7:$O$42="Evet")*(AY_SONU!$B$7:$B$42=DATE(YEAR($E1990),MONTH($E1990),1))))</f>
        <v>0</v>
      </c>
      <c r="U1990" s="1" t="str">
        <f>IF(OR($G1990="",$H1990="Mahsup"),"",$G1990&amp;"|"&amp;COUNTIFS($G$7:$G1990,$G1990,$H$7:$H1990,"&lt;&gt;Mahsup"))</f>
        <v/>
      </c>
    </row>
    <row r="1991" spans="1:21" ht="18" customHeight="1" x14ac:dyDescent="0.3">
      <c r="A1991" s="2"/>
      <c r="B1991" s="65" t="str">
        <f>IF($D1991="","","T"&amp;TEXT(ROW()-6,"00000"))</f>
        <v/>
      </c>
      <c r="C1991" s="65" t="str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61"/>
      <c r="E1991" s="66"/>
      <c r="F1991" s="67"/>
      <c r="G1991" s="60"/>
      <c r="H1991" s="60"/>
      <c r="I1991" s="61"/>
      <c r="J1991" s="61"/>
      <c r="K1991" s="61"/>
      <c r="L1991" s="73" t="str">
        <f>IF($E1991="","",DATE(YEAR($E1991),MONTH($E1991),1))</f>
        <v/>
      </c>
      <c r="M1991" s="65" t="str">
        <f ca="1">IF($D1991="","",IF($C1991="TANIMSIZ MÜŞTERİ","HATA",IF(OR($E1991="",$F1991&lt;=0,$G1991=""),"EKSİK",IF($E1991&gt;TODAY(),"İLERİ TARİH",IF(COUNTIF($S$7:$S$2503,$S1991)&gt;1,"MÜKERRER?",IF($T1991&gt;0,"KAPALI DÖNEM","UYGUN"))))))</f>
        <v/>
      </c>
      <c r="N1991" s="74" t="str">
        <f>IF($C1991="","",IF($C1991="TANIMSIZ MÜŞTERİ","—",INDEX(MUSTERILER!$C$7:$C$156,MATCH($C1991,MUSTERILER!$B$7:$B$156,0))))</f>
        <v/>
      </c>
      <c r="O1991" s="2"/>
      <c r="P1991" s="2"/>
      <c r="Q1991" s="1" t="str">
        <f>IF($D1991="","",$C1991&amp;"|"&amp;COUNTIFS($C$7:$C1991,$C1991))</f>
        <v/>
      </c>
      <c r="R1991" s="1" t="str">
        <f t="shared" ref="R1991:R2054" si="62"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" t="str">
        <f t="shared" ref="S1991:S2054" si="63">IF($D1991="","",$C1991&amp;"|"&amp;TEXT($E1991,"0")&amp;"|"&amp;TEXT($F1991,"0")&amp;"|"&amp;$I1991)</f>
        <v/>
      </c>
      <c r="T1991" s="1">
        <f>IF($E1991="",0,SUMPRODUCT((AY_SONU!$O$7:$O$42="Evet")*(AY_SONU!$B$7:$B$42=DATE(YEAR($E1991),MONTH($E1991),1))))</f>
        <v>0</v>
      </c>
      <c r="U1991" s="1" t="str">
        <f>IF(OR($G1991="",$H1991="Mahsup"),"",$G1991&amp;"|"&amp;COUNTIFS($G$7:$G1991,$G1991,$H$7:$H1991,"&lt;&gt;Mahsup"))</f>
        <v/>
      </c>
    </row>
    <row r="1992" spans="1:21" ht="18" customHeight="1" x14ac:dyDescent="0.3">
      <c r="A1992" s="2"/>
      <c r="B1992" s="65" t="str">
        <f>IF($D1992="","","T"&amp;TEXT(ROW()-6,"00000"))</f>
        <v/>
      </c>
      <c r="C1992" s="65" t="str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61"/>
      <c r="E1992" s="66"/>
      <c r="F1992" s="67"/>
      <c r="G1992" s="60"/>
      <c r="H1992" s="60"/>
      <c r="I1992" s="61"/>
      <c r="J1992" s="61"/>
      <c r="K1992" s="61"/>
      <c r="L1992" s="73" t="str">
        <f>IF($E1992="","",DATE(YEAR($E1992),MONTH($E1992),1))</f>
        <v/>
      </c>
      <c r="M1992" s="65" t="str">
        <f ca="1">IF($D1992="","",IF($C1992="TANIMSIZ MÜŞTERİ","HATA",IF(OR($E1992="",$F1992&lt;=0,$G1992=""),"EKSİK",IF($E1992&gt;TODAY(),"İLERİ TARİH",IF(COUNTIF($S$7:$S$2503,$S1992)&gt;1,"MÜKERRER?",IF($T1992&gt;0,"KAPALI DÖNEM","UYGUN"))))))</f>
        <v/>
      </c>
      <c r="N1992" s="74" t="str">
        <f>IF($C1992="","",IF($C1992="TANIMSIZ MÜŞTERİ","—",INDEX(MUSTERILER!$C$7:$C$156,MATCH($C1992,MUSTERILER!$B$7:$B$156,0))))</f>
        <v/>
      </c>
      <c r="O1992" s="2"/>
      <c r="P1992" s="2"/>
      <c r="Q1992" s="1" t="str">
        <f>IF($D1992="","",$C1992&amp;"|"&amp;COUNTIFS($C$7:$C1992,$C1992))</f>
        <v/>
      </c>
      <c r="R1992" s="1" t="str">
        <f t="shared" si="62"/>
        <v/>
      </c>
      <c r="S1992" s="1" t="str">
        <f t="shared" si="63"/>
        <v/>
      </c>
      <c r="T1992" s="1">
        <f>IF($E1992="",0,SUMPRODUCT((AY_SONU!$O$7:$O$42="Evet")*(AY_SONU!$B$7:$B$42=DATE(YEAR($E1992),MONTH($E1992),1))))</f>
        <v>0</v>
      </c>
      <c r="U1992" s="1" t="str">
        <f>IF(OR($G1992="",$H1992="Mahsup"),"",$G1992&amp;"|"&amp;COUNTIFS($G$7:$G1992,$G1992,$H$7:$H1992,"&lt;&gt;Mahsup"))</f>
        <v/>
      </c>
    </row>
    <row r="1993" spans="1:21" ht="18" customHeight="1" x14ac:dyDescent="0.3">
      <c r="A1993" s="2"/>
      <c r="B1993" s="65" t="str">
        <f>IF($D1993="","","T"&amp;TEXT(ROW()-6,"00000"))</f>
        <v/>
      </c>
      <c r="C1993" s="65" t="str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61"/>
      <c r="E1993" s="66"/>
      <c r="F1993" s="67"/>
      <c r="G1993" s="60"/>
      <c r="H1993" s="60"/>
      <c r="I1993" s="61"/>
      <c r="J1993" s="61"/>
      <c r="K1993" s="61"/>
      <c r="L1993" s="73" t="str">
        <f>IF($E1993="","",DATE(YEAR($E1993),MONTH($E1993),1))</f>
        <v/>
      </c>
      <c r="M1993" s="65" t="str">
        <f ca="1">IF($D1993="","",IF($C1993="TANIMSIZ MÜŞTERİ","HATA",IF(OR($E1993="",$F1993&lt;=0,$G1993=""),"EKSİK",IF($E1993&gt;TODAY(),"İLERİ TARİH",IF(COUNTIF($S$7:$S$2503,$S1993)&gt;1,"MÜKERRER?",IF($T1993&gt;0,"KAPALI DÖNEM","UYGUN"))))))</f>
        <v/>
      </c>
      <c r="N1993" s="74" t="str">
        <f>IF($C1993="","",IF($C1993="TANIMSIZ MÜŞTERİ","—",INDEX(MUSTERILER!$C$7:$C$156,MATCH($C1993,MUSTERILER!$B$7:$B$156,0))))</f>
        <v/>
      </c>
      <c r="O1993" s="2"/>
      <c r="P1993" s="2"/>
      <c r="Q1993" s="1" t="str">
        <f>IF($D1993="","",$C1993&amp;"|"&amp;COUNTIFS($C$7:$C1993,$C1993))</f>
        <v/>
      </c>
      <c r="R1993" s="1" t="str">
        <f t="shared" si="62"/>
        <v/>
      </c>
      <c r="S1993" s="1" t="str">
        <f t="shared" si="63"/>
        <v/>
      </c>
      <c r="T1993" s="1">
        <f>IF($E1993="",0,SUMPRODUCT((AY_SONU!$O$7:$O$42="Evet")*(AY_SONU!$B$7:$B$42=DATE(YEAR($E1993),MONTH($E1993),1))))</f>
        <v>0</v>
      </c>
      <c r="U1993" s="1" t="str">
        <f>IF(OR($G1993="",$H1993="Mahsup"),"",$G1993&amp;"|"&amp;COUNTIFS($G$7:$G1993,$G1993,$H$7:$H1993,"&lt;&gt;Mahsup"))</f>
        <v/>
      </c>
    </row>
    <row r="1994" spans="1:21" ht="18" customHeight="1" x14ac:dyDescent="0.3">
      <c r="A1994" s="2"/>
      <c r="B1994" s="65" t="str">
        <f>IF($D1994="","","T"&amp;TEXT(ROW()-6,"00000"))</f>
        <v/>
      </c>
      <c r="C1994" s="65" t="str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61"/>
      <c r="E1994" s="66"/>
      <c r="F1994" s="67"/>
      <c r="G1994" s="60"/>
      <c r="H1994" s="60"/>
      <c r="I1994" s="61"/>
      <c r="J1994" s="61"/>
      <c r="K1994" s="61"/>
      <c r="L1994" s="73" t="str">
        <f>IF($E1994="","",DATE(YEAR($E1994),MONTH($E1994),1))</f>
        <v/>
      </c>
      <c r="M1994" s="65" t="str">
        <f ca="1">IF($D1994="","",IF($C1994="TANIMSIZ MÜŞTERİ","HATA",IF(OR($E1994="",$F1994&lt;=0,$G1994=""),"EKSİK",IF($E1994&gt;TODAY(),"İLERİ TARİH",IF(COUNTIF($S$7:$S$2503,$S1994)&gt;1,"MÜKERRER?",IF($T1994&gt;0,"KAPALI DÖNEM","UYGUN"))))))</f>
        <v/>
      </c>
      <c r="N1994" s="74" t="str">
        <f>IF($C1994="","",IF($C1994="TANIMSIZ MÜŞTERİ","—",INDEX(MUSTERILER!$C$7:$C$156,MATCH($C1994,MUSTERILER!$B$7:$B$156,0))))</f>
        <v/>
      </c>
      <c r="O1994" s="2"/>
      <c r="P1994" s="2"/>
      <c r="Q1994" s="1" t="str">
        <f>IF($D1994="","",$C1994&amp;"|"&amp;COUNTIFS($C$7:$C1994,$C1994))</f>
        <v/>
      </c>
      <c r="R1994" s="1" t="str">
        <f t="shared" si="62"/>
        <v/>
      </c>
      <c r="S1994" s="1" t="str">
        <f t="shared" si="63"/>
        <v/>
      </c>
      <c r="T1994" s="1">
        <f>IF($E1994="",0,SUMPRODUCT((AY_SONU!$O$7:$O$42="Evet")*(AY_SONU!$B$7:$B$42=DATE(YEAR($E1994),MONTH($E1994),1))))</f>
        <v>0</v>
      </c>
      <c r="U1994" s="1" t="str">
        <f>IF(OR($G1994="",$H1994="Mahsup"),"",$G1994&amp;"|"&amp;COUNTIFS($G$7:$G1994,$G1994,$H$7:$H1994,"&lt;&gt;Mahsup"))</f>
        <v/>
      </c>
    </row>
    <row r="1995" spans="1:21" ht="18" customHeight="1" x14ac:dyDescent="0.3">
      <c r="A1995" s="2"/>
      <c r="B1995" s="65" t="str">
        <f>IF($D1995="","","T"&amp;TEXT(ROW()-6,"00000"))</f>
        <v/>
      </c>
      <c r="C1995" s="65" t="str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61"/>
      <c r="E1995" s="66"/>
      <c r="F1995" s="67"/>
      <c r="G1995" s="60"/>
      <c r="H1995" s="60"/>
      <c r="I1995" s="61"/>
      <c r="J1995" s="61"/>
      <c r="K1995" s="61"/>
      <c r="L1995" s="73" t="str">
        <f>IF($E1995="","",DATE(YEAR($E1995),MONTH($E1995),1))</f>
        <v/>
      </c>
      <c r="M1995" s="65" t="str">
        <f ca="1">IF($D1995="","",IF($C1995="TANIMSIZ MÜŞTERİ","HATA",IF(OR($E1995="",$F1995&lt;=0,$G1995=""),"EKSİK",IF($E1995&gt;TODAY(),"İLERİ TARİH",IF(COUNTIF($S$7:$S$2503,$S1995)&gt;1,"MÜKERRER?",IF($T1995&gt;0,"KAPALI DÖNEM","UYGUN"))))))</f>
        <v/>
      </c>
      <c r="N1995" s="74" t="str">
        <f>IF($C1995="","",IF($C1995="TANIMSIZ MÜŞTERİ","—",INDEX(MUSTERILER!$C$7:$C$156,MATCH($C1995,MUSTERILER!$B$7:$B$156,0))))</f>
        <v/>
      </c>
      <c r="O1995" s="2"/>
      <c r="P1995" s="2"/>
      <c r="Q1995" s="1" t="str">
        <f>IF($D1995="","",$C1995&amp;"|"&amp;COUNTIFS($C$7:$C1995,$C1995))</f>
        <v/>
      </c>
      <c r="R1995" s="1" t="str">
        <f t="shared" si="62"/>
        <v/>
      </c>
      <c r="S1995" s="1" t="str">
        <f t="shared" si="63"/>
        <v/>
      </c>
      <c r="T1995" s="1">
        <f>IF($E1995="",0,SUMPRODUCT((AY_SONU!$O$7:$O$42="Evet")*(AY_SONU!$B$7:$B$42=DATE(YEAR($E1995),MONTH($E1995),1))))</f>
        <v>0</v>
      </c>
      <c r="U1995" s="1" t="str">
        <f>IF(OR($G1995="",$H1995="Mahsup"),"",$G1995&amp;"|"&amp;COUNTIFS($G$7:$G1995,$G1995,$H$7:$H1995,"&lt;&gt;Mahsup"))</f>
        <v/>
      </c>
    </row>
    <row r="1996" spans="1:21" ht="18" customHeight="1" x14ac:dyDescent="0.3">
      <c r="A1996" s="2"/>
      <c r="B1996" s="65" t="str">
        <f>IF($D1996="","","T"&amp;TEXT(ROW()-6,"00000"))</f>
        <v/>
      </c>
      <c r="C1996" s="65" t="str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61"/>
      <c r="E1996" s="66"/>
      <c r="F1996" s="67"/>
      <c r="G1996" s="60"/>
      <c r="H1996" s="60"/>
      <c r="I1996" s="61"/>
      <c r="J1996" s="61"/>
      <c r="K1996" s="61"/>
      <c r="L1996" s="73" t="str">
        <f>IF($E1996="","",DATE(YEAR($E1996),MONTH($E1996),1))</f>
        <v/>
      </c>
      <c r="M1996" s="65" t="str">
        <f ca="1">IF($D1996="","",IF($C1996="TANIMSIZ MÜŞTERİ","HATA",IF(OR($E1996="",$F1996&lt;=0,$G1996=""),"EKSİK",IF($E1996&gt;TODAY(),"İLERİ TARİH",IF(COUNTIF($S$7:$S$2503,$S1996)&gt;1,"MÜKERRER?",IF($T1996&gt;0,"KAPALI DÖNEM","UYGUN"))))))</f>
        <v/>
      </c>
      <c r="N1996" s="74" t="str">
        <f>IF($C1996="","",IF($C1996="TANIMSIZ MÜŞTERİ","—",INDEX(MUSTERILER!$C$7:$C$156,MATCH($C1996,MUSTERILER!$B$7:$B$156,0))))</f>
        <v/>
      </c>
      <c r="O1996" s="2"/>
      <c r="P1996" s="2"/>
      <c r="Q1996" s="1" t="str">
        <f>IF($D1996="","",$C1996&amp;"|"&amp;COUNTIFS($C$7:$C1996,$C1996))</f>
        <v/>
      </c>
      <c r="R1996" s="1" t="str">
        <f t="shared" si="62"/>
        <v/>
      </c>
      <c r="S1996" s="1" t="str">
        <f t="shared" si="63"/>
        <v/>
      </c>
      <c r="T1996" s="1">
        <f>IF($E1996="",0,SUMPRODUCT((AY_SONU!$O$7:$O$42="Evet")*(AY_SONU!$B$7:$B$42=DATE(YEAR($E1996),MONTH($E1996),1))))</f>
        <v>0</v>
      </c>
      <c r="U1996" s="1" t="str">
        <f>IF(OR($G1996="",$H1996="Mahsup"),"",$G1996&amp;"|"&amp;COUNTIFS($G$7:$G1996,$G1996,$H$7:$H1996,"&lt;&gt;Mahsup"))</f>
        <v/>
      </c>
    </row>
    <row r="1997" spans="1:21" ht="18" customHeight="1" x14ac:dyDescent="0.3">
      <c r="A1997" s="2"/>
      <c r="B1997" s="65" t="str">
        <f>IF($D1997="","","T"&amp;TEXT(ROW()-6,"00000"))</f>
        <v/>
      </c>
      <c r="C1997" s="65" t="str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61"/>
      <c r="E1997" s="66"/>
      <c r="F1997" s="67"/>
      <c r="G1997" s="60"/>
      <c r="H1997" s="60"/>
      <c r="I1997" s="61"/>
      <c r="J1997" s="61"/>
      <c r="K1997" s="61"/>
      <c r="L1997" s="73" t="str">
        <f>IF($E1997="","",DATE(YEAR($E1997),MONTH($E1997),1))</f>
        <v/>
      </c>
      <c r="M1997" s="65" t="str">
        <f ca="1">IF($D1997="","",IF($C1997="TANIMSIZ MÜŞTERİ","HATA",IF(OR($E1997="",$F1997&lt;=0,$G1997=""),"EKSİK",IF($E1997&gt;TODAY(),"İLERİ TARİH",IF(COUNTIF($S$7:$S$2503,$S1997)&gt;1,"MÜKERRER?",IF($T1997&gt;0,"KAPALI DÖNEM","UYGUN"))))))</f>
        <v/>
      </c>
      <c r="N1997" s="74" t="str">
        <f>IF($C1997="","",IF($C1997="TANIMSIZ MÜŞTERİ","—",INDEX(MUSTERILER!$C$7:$C$156,MATCH($C1997,MUSTERILER!$B$7:$B$156,0))))</f>
        <v/>
      </c>
      <c r="O1997" s="2"/>
      <c r="P1997" s="2"/>
      <c r="Q1997" s="1" t="str">
        <f>IF($D1997="","",$C1997&amp;"|"&amp;COUNTIFS($C$7:$C1997,$C1997))</f>
        <v/>
      </c>
      <c r="R1997" s="1" t="str">
        <f t="shared" si="62"/>
        <v/>
      </c>
      <c r="S1997" s="1" t="str">
        <f t="shared" si="63"/>
        <v/>
      </c>
      <c r="T1997" s="1">
        <f>IF($E1997="",0,SUMPRODUCT((AY_SONU!$O$7:$O$42="Evet")*(AY_SONU!$B$7:$B$42=DATE(YEAR($E1997),MONTH($E1997),1))))</f>
        <v>0</v>
      </c>
      <c r="U1997" s="1" t="str">
        <f>IF(OR($G1997="",$H1997="Mahsup"),"",$G1997&amp;"|"&amp;COUNTIFS($G$7:$G1997,$G1997,$H$7:$H1997,"&lt;&gt;Mahsup"))</f>
        <v/>
      </c>
    </row>
    <row r="1998" spans="1:21" ht="18" customHeight="1" x14ac:dyDescent="0.3">
      <c r="A1998" s="2"/>
      <c r="B1998" s="65" t="str">
        <f>IF($D1998="","","T"&amp;TEXT(ROW()-6,"00000"))</f>
        <v/>
      </c>
      <c r="C1998" s="65" t="str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61"/>
      <c r="E1998" s="66"/>
      <c r="F1998" s="67"/>
      <c r="G1998" s="60"/>
      <c r="H1998" s="60"/>
      <c r="I1998" s="61"/>
      <c r="J1998" s="61"/>
      <c r="K1998" s="61"/>
      <c r="L1998" s="73" t="str">
        <f>IF($E1998="","",DATE(YEAR($E1998),MONTH($E1998),1))</f>
        <v/>
      </c>
      <c r="M1998" s="65" t="str">
        <f ca="1">IF($D1998="","",IF($C1998="TANIMSIZ MÜŞTERİ","HATA",IF(OR($E1998="",$F1998&lt;=0,$G1998=""),"EKSİK",IF($E1998&gt;TODAY(),"İLERİ TARİH",IF(COUNTIF($S$7:$S$2503,$S1998)&gt;1,"MÜKERRER?",IF($T1998&gt;0,"KAPALI DÖNEM","UYGUN"))))))</f>
        <v/>
      </c>
      <c r="N1998" s="74" t="str">
        <f>IF($C1998="","",IF($C1998="TANIMSIZ MÜŞTERİ","—",INDEX(MUSTERILER!$C$7:$C$156,MATCH($C1998,MUSTERILER!$B$7:$B$156,0))))</f>
        <v/>
      </c>
      <c r="O1998" s="2"/>
      <c r="P1998" s="2"/>
      <c r="Q1998" s="1" t="str">
        <f>IF($D1998="","",$C1998&amp;"|"&amp;COUNTIFS($C$7:$C1998,$C1998))</f>
        <v/>
      </c>
      <c r="R1998" s="1" t="str">
        <f t="shared" si="62"/>
        <v/>
      </c>
      <c r="S1998" s="1" t="str">
        <f t="shared" si="63"/>
        <v/>
      </c>
      <c r="T1998" s="1">
        <f>IF($E1998="",0,SUMPRODUCT((AY_SONU!$O$7:$O$42="Evet")*(AY_SONU!$B$7:$B$42=DATE(YEAR($E1998),MONTH($E1998),1))))</f>
        <v>0</v>
      </c>
      <c r="U1998" s="1" t="str">
        <f>IF(OR($G1998="",$H1998="Mahsup"),"",$G1998&amp;"|"&amp;COUNTIFS($G$7:$G1998,$G1998,$H$7:$H1998,"&lt;&gt;Mahsup"))</f>
        <v/>
      </c>
    </row>
    <row r="1999" spans="1:21" ht="18" customHeight="1" x14ac:dyDescent="0.3">
      <c r="A1999" s="2"/>
      <c r="B1999" s="65" t="str">
        <f>IF($D1999="","","T"&amp;TEXT(ROW()-6,"00000"))</f>
        <v/>
      </c>
      <c r="C1999" s="65" t="str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61"/>
      <c r="E1999" s="66"/>
      <c r="F1999" s="67"/>
      <c r="G1999" s="60"/>
      <c r="H1999" s="60"/>
      <c r="I1999" s="61"/>
      <c r="J1999" s="61"/>
      <c r="K1999" s="61"/>
      <c r="L1999" s="73" t="str">
        <f>IF($E1999="","",DATE(YEAR($E1999),MONTH($E1999),1))</f>
        <v/>
      </c>
      <c r="M1999" s="65" t="str">
        <f ca="1">IF($D1999="","",IF($C1999="TANIMSIZ MÜŞTERİ","HATA",IF(OR($E1999="",$F1999&lt;=0,$G1999=""),"EKSİK",IF($E1999&gt;TODAY(),"İLERİ TARİH",IF(COUNTIF($S$7:$S$2503,$S1999)&gt;1,"MÜKERRER?",IF($T1999&gt;0,"KAPALI DÖNEM","UYGUN"))))))</f>
        <v/>
      </c>
      <c r="N1999" s="74" t="str">
        <f>IF($C1999="","",IF($C1999="TANIMSIZ MÜŞTERİ","—",INDEX(MUSTERILER!$C$7:$C$156,MATCH($C1999,MUSTERILER!$B$7:$B$156,0))))</f>
        <v/>
      </c>
      <c r="O1999" s="2"/>
      <c r="P1999" s="2"/>
      <c r="Q1999" s="1" t="str">
        <f>IF($D1999="","",$C1999&amp;"|"&amp;COUNTIFS($C$7:$C1999,$C1999))</f>
        <v/>
      </c>
      <c r="R1999" s="1" t="str">
        <f t="shared" si="62"/>
        <v/>
      </c>
      <c r="S1999" s="1" t="str">
        <f t="shared" si="63"/>
        <v/>
      </c>
      <c r="T1999" s="1">
        <f>IF($E1999="",0,SUMPRODUCT((AY_SONU!$O$7:$O$42="Evet")*(AY_SONU!$B$7:$B$42=DATE(YEAR($E1999),MONTH($E1999),1))))</f>
        <v>0</v>
      </c>
      <c r="U1999" s="1" t="str">
        <f>IF(OR($G1999="",$H1999="Mahsup"),"",$G1999&amp;"|"&amp;COUNTIFS($G$7:$G1999,$G1999,$H$7:$H1999,"&lt;&gt;Mahsup"))</f>
        <v/>
      </c>
    </row>
    <row r="2000" spans="1:21" ht="18" customHeight="1" x14ac:dyDescent="0.3">
      <c r="A2000" s="2"/>
      <c r="B2000" s="65" t="str">
        <f>IF($D2000="","","T"&amp;TEXT(ROW()-6,"00000"))</f>
        <v/>
      </c>
      <c r="C2000" s="65" t="str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61"/>
      <c r="E2000" s="66"/>
      <c r="F2000" s="67"/>
      <c r="G2000" s="60"/>
      <c r="H2000" s="60"/>
      <c r="I2000" s="61"/>
      <c r="J2000" s="61"/>
      <c r="K2000" s="61"/>
      <c r="L2000" s="73" t="str">
        <f>IF($E2000="","",DATE(YEAR($E2000),MONTH($E2000),1))</f>
        <v/>
      </c>
      <c r="M2000" s="65" t="str">
        <f ca="1">IF($D2000="","",IF($C2000="TANIMSIZ MÜŞTERİ","HATA",IF(OR($E2000="",$F2000&lt;=0,$G2000=""),"EKSİK",IF($E2000&gt;TODAY(),"İLERİ TARİH",IF(COUNTIF($S$7:$S$2503,$S2000)&gt;1,"MÜKERRER?",IF($T2000&gt;0,"KAPALI DÖNEM","UYGUN"))))))</f>
        <v/>
      </c>
      <c r="N2000" s="74" t="str">
        <f>IF($C2000="","",IF($C2000="TANIMSIZ MÜŞTERİ","—",INDEX(MUSTERILER!$C$7:$C$156,MATCH($C2000,MUSTERILER!$B$7:$B$156,0))))</f>
        <v/>
      </c>
      <c r="O2000" s="2"/>
      <c r="P2000" s="2"/>
      <c r="Q2000" s="1" t="str">
        <f>IF($D2000="","",$C2000&amp;"|"&amp;COUNTIFS($C$7:$C2000,$C2000))</f>
        <v/>
      </c>
      <c r="R2000" s="1" t="str">
        <f t="shared" si="62"/>
        <v/>
      </c>
      <c r="S2000" s="1" t="str">
        <f t="shared" si="63"/>
        <v/>
      </c>
      <c r="T2000" s="1">
        <f>IF($E2000="",0,SUMPRODUCT((AY_SONU!$O$7:$O$42="Evet")*(AY_SONU!$B$7:$B$42=DATE(YEAR($E2000),MONTH($E2000),1))))</f>
        <v>0</v>
      </c>
      <c r="U2000" s="1" t="str">
        <f>IF(OR($G2000="",$H2000="Mahsup"),"",$G2000&amp;"|"&amp;COUNTIFS($G$7:$G2000,$G2000,$H$7:$H2000,"&lt;&gt;Mahsup"))</f>
        <v/>
      </c>
    </row>
    <row r="2001" spans="1:21" ht="18" customHeight="1" x14ac:dyDescent="0.3">
      <c r="A2001" s="2"/>
      <c r="B2001" s="65" t="str">
        <f>IF($D2001="","","T"&amp;TEXT(ROW()-6,"00000"))</f>
        <v/>
      </c>
      <c r="C2001" s="65" t="str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61"/>
      <c r="E2001" s="66"/>
      <c r="F2001" s="67"/>
      <c r="G2001" s="60"/>
      <c r="H2001" s="60"/>
      <c r="I2001" s="61"/>
      <c r="J2001" s="61"/>
      <c r="K2001" s="61"/>
      <c r="L2001" s="73" t="str">
        <f>IF($E2001="","",DATE(YEAR($E2001),MONTH($E2001),1))</f>
        <v/>
      </c>
      <c r="M2001" s="65" t="str">
        <f ca="1">IF($D2001="","",IF($C2001="TANIMSIZ MÜŞTERİ","HATA",IF(OR($E2001="",$F2001&lt;=0,$G2001=""),"EKSİK",IF($E2001&gt;TODAY(),"İLERİ TARİH",IF(COUNTIF($S$7:$S$2503,$S2001)&gt;1,"MÜKERRER?",IF($T2001&gt;0,"KAPALI DÖNEM","UYGUN"))))))</f>
        <v/>
      </c>
      <c r="N2001" s="74" t="str">
        <f>IF($C2001="","",IF($C2001="TANIMSIZ MÜŞTERİ","—",INDEX(MUSTERILER!$C$7:$C$156,MATCH($C2001,MUSTERILER!$B$7:$B$156,0))))</f>
        <v/>
      </c>
      <c r="O2001" s="2"/>
      <c r="P2001" s="2"/>
      <c r="Q2001" s="1" t="str">
        <f>IF($D2001="","",$C2001&amp;"|"&amp;COUNTIFS($C$7:$C2001,$C2001))</f>
        <v/>
      </c>
      <c r="R2001" s="1" t="str">
        <f t="shared" si="62"/>
        <v/>
      </c>
      <c r="S2001" s="1" t="str">
        <f t="shared" si="63"/>
        <v/>
      </c>
      <c r="T2001" s="1">
        <f>IF($E2001="",0,SUMPRODUCT((AY_SONU!$O$7:$O$42="Evet")*(AY_SONU!$B$7:$B$42=DATE(YEAR($E2001),MONTH($E2001),1))))</f>
        <v>0</v>
      </c>
      <c r="U2001" s="1" t="str">
        <f>IF(OR($G2001="",$H2001="Mahsup"),"",$G2001&amp;"|"&amp;COUNTIFS($G$7:$G2001,$G2001,$H$7:$H2001,"&lt;&gt;Mahsup"))</f>
        <v/>
      </c>
    </row>
    <row r="2002" spans="1:21" ht="18" customHeight="1" x14ac:dyDescent="0.3">
      <c r="A2002" s="2"/>
      <c r="B2002" s="65" t="str">
        <f>IF($D2002="","","T"&amp;TEXT(ROW()-6,"00000"))</f>
        <v/>
      </c>
      <c r="C2002" s="65" t="str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61"/>
      <c r="E2002" s="66"/>
      <c r="F2002" s="67"/>
      <c r="G2002" s="60"/>
      <c r="H2002" s="60"/>
      <c r="I2002" s="61"/>
      <c r="J2002" s="61"/>
      <c r="K2002" s="61"/>
      <c r="L2002" s="73" t="str">
        <f>IF($E2002="","",DATE(YEAR($E2002),MONTH($E2002),1))</f>
        <v/>
      </c>
      <c r="M2002" s="65" t="str">
        <f ca="1">IF($D2002="","",IF($C2002="TANIMSIZ MÜŞTERİ","HATA",IF(OR($E2002="",$F2002&lt;=0,$G2002=""),"EKSİK",IF($E2002&gt;TODAY(),"İLERİ TARİH",IF(COUNTIF($S$7:$S$2503,$S2002)&gt;1,"MÜKERRER?",IF($T2002&gt;0,"KAPALI DÖNEM","UYGUN"))))))</f>
        <v/>
      </c>
      <c r="N2002" s="74" t="str">
        <f>IF($C2002="","",IF($C2002="TANIMSIZ MÜŞTERİ","—",INDEX(MUSTERILER!$C$7:$C$156,MATCH($C2002,MUSTERILER!$B$7:$B$156,0))))</f>
        <v/>
      </c>
      <c r="O2002" s="2"/>
      <c r="P2002" s="2"/>
      <c r="Q2002" s="1" t="str">
        <f>IF($D2002="","",$C2002&amp;"|"&amp;COUNTIFS($C$7:$C2002,$C2002))</f>
        <v/>
      </c>
      <c r="R2002" s="1" t="str">
        <f t="shared" si="62"/>
        <v/>
      </c>
      <c r="S2002" s="1" t="str">
        <f t="shared" si="63"/>
        <v/>
      </c>
      <c r="T2002" s="1">
        <f>IF($E2002="",0,SUMPRODUCT((AY_SONU!$O$7:$O$42="Evet")*(AY_SONU!$B$7:$B$42=DATE(YEAR($E2002),MONTH($E2002),1))))</f>
        <v>0</v>
      </c>
      <c r="U2002" s="1" t="str">
        <f>IF(OR($G2002="",$H2002="Mahsup"),"",$G2002&amp;"|"&amp;COUNTIFS($G$7:$G2002,$G2002,$H$7:$H2002,"&lt;&gt;Mahsup"))</f>
        <v/>
      </c>
    </row>
    <row r="2003" spans="1:21" ht="18" customHeight="1" x14ac:dyDescent="0.3">
      <c r="A2003" s="2"/>
      <c r="B2003" s="65" t="str">
        <f>IF($D2003="","","T"&amp;TEXT(ROW()-6,"00000"))</f>
        <v/>
      </c>
      <c r="C2003" s="65" t="str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61"/>
      <c r="E2003" s="66"/>
      <c r="F2003" s="67"/>
      <c r="G2003" s="60"/>
      <c r="H2003" s="60"/>
      <c r="I2003" s="61"/>
      <c r="J2003" s="61"/>
      <c r="K2003" s="61"/>
      <c r="L2003" s="73" t="str">
        <f>IF($E2003="","",DATE(YEAR($E2003),MONTH($E2003),1))</f>
        <v/>
      </c>
      <c r="M2003" s="65" t="str">
        <f ca="1">IF($D2003="","",IF($C2003="TANIMSIZ MÜŞTERİ","HATA",IF(OR($E2003="",$F2003&lt;=0,$G2003=""),"EKSİK",IF($E2003&gt;TODAY(),"İLERİ TARİH",IF(COUNTIF($S$7:$S$2503,$S2003)&gt;1,"MÜKERRER?",IF($T2003&gt;0,"KAPALI DÖNEM","UYGUN"))))))</f>
        <v/>
      </c>
      <c r="N2003" s="74" t="str">
        <f>IF($C2003="","",IF($C2003="TANIMSIZ MÜŞTERİ","—",INDEX(MUSTERILER!$C$7:$C$156,MATCH($C2003,MUSTERILER!$B$7:$B$156,0))))</f>
        <v/>
      </c>
      <c r="O2003" s="2"/>
      <c r="P2003" s="2"/>
      <c r="Q2003" s="1" t="str">
        <f>IF($D2003="","",$C2003&amp;"|"&amp;COUNTIFS($C$7:$C2003,$C2003))</f>
        <v/>
      </c>
      <c r="R2003" s="1" t="str">
        <f t="shared" si="62"/>
        <v/>
      </c>
      <c r="S2003" s="1" t="str">
        <f t="shared" si="63"/>
        <v/>
      </c>
      <c r="T2003" s="1">
        <f>IF($E2003="",0,SUMPRODUCT((AY_SONU!$O$7:$O$42="Evet")*(AY_SONU!$B$7:$B$42=DATE(YEAR($E2003),MONTH($E2003),1))))</f>
        <v>0</v>
      </c>
      <c r="U2003" s="1" t="str">
        <f>IF(OR($G2003="",$H2003="Mahsup"),"",$G2003&amp;"|"&amp;COUNTIFS($G$7:$G2003,$G2003,$H$7:$H2003,"&lt;&gt;Mahsup"))</f>
        <v/>
      </c>
    </row>
    <row r="2004" spans="1:21" ht="18" customHeight="1" x14ac:dyDescent="0.3">
      <c r="A2004" s="2"/>
      <c r="B2004" s="65" t="str">
        <f>IF($D2004="","","T"&amp;TEXT(ROW()-6,"00000"))</f>
        <v/>
      </c>
      <c r="C2004" s="65" t="str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61"/>
      <c r="E2004" s="66"/>
      <c r="F2004" s="67"/>
      <c r="G2004" s="60"/>
      <c r="H2004" s="60"/>
      <c r="I2004" s="61"/>
      <c r="J2004" s="61"/>
      <c r="K2004" s="61"/>
      <c r="L2004" s="73" t="str">
        <f>IF($E2004="","",DATE(YEAR($E2004),MONTH($E2004),1))</f>
        <v/>
      </c>
      <c r="M2004" s="65" t="str">
        <f ca="1">IF($D2004="","",IF($C2004="TANIMSIZ MÜŞTERİ","HATA",IF(OR($E2004="",$F2004&lt;=0,$G2004=""),"EKSİK",IF($E2004&gt;TODAY(),"İLERİ TARİH",IF(COUNTIF($S$7:$S$2503,$S2004)&gt;1,"MÜKERRER?",IF($T2004&gt;0,"KAPALI DÖNEM","UYGUN"))))))</f>
        <v/>
      </c>
      <c r="N2004" s="74" t="str">
        <f>IF($C2004="","",IF($C2004="TANIMSIZ MÜŞTERİ","—",INDEX(MUSTERILER!$C$7:$C$156,MATCH($C2004,MUSTERILER!$B$7:$B$156,0))))</f>
        <v/>
      </c>
      <c r="O2004" s="2"/>
      <c r="P2004" s="2"/>
      <c r="Q2004" s="1" t="str">
        <f>IF($D2004="","",$C2004&amp;"|"&amp;COUNTIFS($C$7:$C2004,$C2004))</f>
        <v/>
      </c>
      <c r="R2004" s="1" t="str">
        <f t="shared" si="62"/>
        <v/>
      </c>
      <c r="S2004" s="1" t="str">
        <f t="shared" si="63"/>
        <v/>
      </c>
      <c r="T2004" s="1">
        <f>IF($E2004="",0,SUMPRODUCT((AY_SONU!$O$7:$O$42="Evet")*(AY_SONU!$B$7:$B$42=DATE(YEAR($E2004),MONTH($E2004),1))))</f>
        <v>0</v>
      </c>
      <c r="U2004" s="1" t="str">
        <f>IF(OR($G2004="",$H2004="Mahsup"),"",$G2004&amp;"|"&amp;COUNTIFS($G$7:$G2004,$G2004,$H$7:$H2004,"&lt;&gt;Mahsup"))</f>
        <v/>
      </c>
    </row>
    <row r="2005" spans="1:21" ht="18" customHeight="1" x14ac:dyDescent="0.3">
      <c r="A2005" s="2"/>
      <c r="B2005" s="65" t="str">
        <f>IF($D2005="","","T"&amp;TEXT(ROW()-6,"00000"))</f>
        <v/>
      </c>
      <c r="C2005" s="65" t="str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61"/>
      <c r="E2005" s="66"/>
      <c r="F2005" s="67"/>
      <c r="G2005" s="60"/>
      <c r="H2005" s="60"/>
      <c r="I2005" s="61"/>
      <c r="J2005" s="61"/>
      <c r="K2005" s="61"/>
      <c r="L2005" s="73" t="str">
        <f>IF($E2005="","",DATE(YEAR($E2005),MONTH($E2005),1))</f>
        <v/>
      </c>
      <c r="M2005" s="65" t="str">
        <f ca="1">IF($D2005="","",IF($C2005="TANIMSIZ MÜŞTERİ","HATA",IF(OR($E2005="",$F2005&lt;=0,$G2005=""),"EKSİK",IF($E2005&gt;TODAY(),"İLERİ TARİH",IF(COUNTIF($S$7:$S$2503,$S2005)&gt;1,"MÜKERRER?",IF($T2005&gt;0,"KAPALI DÖNEM","UYGUN"))))))</f>
        <v/>
      </c>
      <c r="N2005" s="74" t="str">
        <f>IF($C2005="","",IF($C2005="TANIMSIZ MÜŞTERİ","—",INDEX(MUSTERILER!$C$7:$C$156,MATCH($C2005,MUSTERILER!$B$7:$B$156,0))))</f>
        <v/>
      </c>
      <c r="O2005" s="2"/>
      <c r="P2005" s="2"/>
      <c r="Q2005" s="1" t="str">
        <f>IF($D2005="","",$C2005&amp;"|"&amp;COUNTIFS($C$7:$C2005,$C2005))</f>
        <v/>
      </c>
      <c r="R2005" s="1" t="str">
        <f t="shared" si="62"/>
        <v/>
      </c>
      <c r="S2005" s="1" t="str">
        <f t="shared" si="63"/>
        <v/>
      </c>
      <c r="T2005" s="1">
        <f>IF($E2005="",0,SUMPRODUCT((AY_SONU!$O$7:$O$42="Evet")*(AY_SONU!$B$7:$B$42=DATE(YEAR($E2005),MONTH($E2005),1))))</f>
        <v>0</v>
      </c>
      <c r="U2005" s="1" t="str">
        <f>IF(OR($G2005="",$H2005="Mahsup"),"",$G2005&amp;"|"&amp;COUNTIFS($G$7:$G2005,$G2005,$H$7:$H2005,"&lt;&gt;Mahsup"))</f>
        <v/>
      </c>
    </row>
    <row r="2006" spans="1:21" ht="18" customHeight="1" x14ac:dyDescent="0.3">
      <c r="A2006" s="2"/>
      <c r="B2006" s="65" t="str">
        <f>IF($D2006="","","T"&amp;TEXT(ROW()-6,"00000"))</f>
        <v/>
      </c>
      <c r="C2006" s="65" t="str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61"/>
      <c r="E2006" s="66"/>
      <c r="F2006" s="67"/>
      <c r="G2006" s="60"/>
      <c r="H2006" s="60"/>
      <c r="I2006" s="61"/>
      <c r="J2006" s="61"/>
      <c r="K2006" s="61"/>
      <c r="L2006" s="73" t="str">
        <f>IF($E2006="","",DATE(YEAR($E2006),MONTH($E2006),1))</f>
        <v/>
      </c>
      <c r="M2006" s="65" t="str">
        <f ca="1">IF($D2006="","",IF($C2006="TANIMSIZ MÜŞTERİ","HATA",IF(OR($E2006="",$F2006&lt;=0,$G2006=""),"EKSİK",IF($E2006&gt;TODAY(),"İLERİ TARİH",IF(COUNTIF($S$7:$S$2503,$S2006)&gt;1,"MÜKERRER?",IF($T2006&gt;0,"KAPALI DÖNEM","UYGUN"))))))</f>
        <v/>
      </c>
      <c r="N2006" s="74" t="str">
        <f>IF($C2006="","",IF($C2006="TANIMSIZ MÜŞTERİ","—",INDEX(MUSTERILER!$C$7:$C$156,MATCH($C2006,MUSTERILER!$B$7:$B$156,0))))</f>
        <v/>
      </c>
      <c r="O2006" s="2"/>
      <c r="P2006" s="2"/>
      <c r="Q2006" s="1" t="str">
        <f>IF($D2006="","",$C2006&amp;"|"&amp;COUNTIFS($C$7:$C2006,$C2006))</f>
        <v/>
      </c>
      <c r="R2006" s="1" t="str">
        <f t="shared" si="62"/>
        <v/>
      </c>
      <c r="S2006" s="1" t="str">
        <f t="shared" si="63"/>
        <v/>
      </c>
      <c r="T2006" s="1">
        <f>IF($E2006="",0,SUMPRODUCT((AY_SONU!$O$7:$O$42="Evet")*(AY_SONU!$B$7:$B$42=DATE(YEAR($E2006),MONTH($E2006),1))))</f>
        <v>0</v>
      </c>
      <c r="U2006" s="1" t="str">
        <f>IF(OR($G2006="",$H2006="Mahsup"),"",$G2006&amp;"|"&amp;COUNTIFS($G$7:$G2006,$G2006,$H$7:$H2006,"&lt;&gt;Mahsup"))</f>
        <v/>
      </c>
    </row>
    <row r="2007" spans="1:21" ht="18" customHeight="1" x14ac:dyDescent="0.3">
      <c r="A2007" s="2"/>
      <c r="B2007" s="65" t="str">
        <f>IF($D2007="","","T"&amp;TEXT(ROW()-6,"00000"))</f>
        <v/>
      </c>
      <c r="C2007" s="65" t="str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61"/>
      <c r="E2007" s="66"/>
      <c r="F2007" s="67"/>
      <c r="G2007" s="60"/>
      <c r="H2007" s="60"/>
      <c r="I2007" s="61"/>
      <c r="J2007" s="61"/>
      <c r="K2007" s="61"/>
      <c r="L2007" s="73" t="str">
        <f>IF($E2007="","",DATE(YEAR($E2007),MONTH($E2007),1))</f>
        <v/>
      </c>
      <c r="M2007" s="65" t="str">
        <f ca="1">IF($D2007="","",IF($C2007="TANIMSIZ MÜŞTERİ","HATA",IF(OR($E2007="",$F2007&lt;=0,$G2007=""),"EKSİK",IF($E2007&gt;TODAY(),"İLERİ TARİH",IF(COUNTIF($S$7:$S$2503,$S2007)&gt;1,"MÜKERRER?",IF($T2007&gt;0,"KAPALI DÖNEM","UYGUN"))))))</f>
        <v/>
      </c>
      <c r="N2007" s="74" t="str">
        <f>IF($C2007="","",IF($C2007="TANIMSIZ MÜŞTERİ","—",INDEX(MUSTERILER!$C$7:$C$156,MATCH($C2007,MUSTERILER!$B$7:$B$156,0))))</f>
        <v/>
      </c>
      <c r="O2007" s="2"/>
      <c r="P2007" s="2"/>
      <c r="Q2007" s="1" t="str">
        <f>IF($D2007="","",$C2007&amp;"|"&amp;COUNTIFS($C$7:$C2007,$C2007))</f>
        <v/>
      </c>
      <c r="R2007" s="1" t="str">
        <f t="shared" si="62"/>
        <v/>
      </c>
      <c r="S2007" s="1" t="str">
        <f t="shared" si="63"/>
        <v/>
      </c>
      <c r="T2007" s="1">
        <f>IF($E2007="",0,SUMPRODUCT((AY_SONU!$O$7:$O$42="Evet")*(AY_SONU!$B$7:$B$42=DATE(YEAR($E2007),MONTH($E2007),1))))</f>
        <v>0</v>
      </c>
      <c r="U2007" s="1" t="str">
        <f>IF(OR($G2007="",$H2007="Mahsup"),"",$G2007&amp;"|"&amp;COUNTIFS($G$7:$G2007,$G2007,$H$7:$H2007,"&lt;&gt;Mahsup"))</f>
        <v/>
      </c>
    </row>
    <row r="2008" spans="1:21" ht="18" customHeight="1" x14ac:dyDescent="0.3">
      <c r="A2008" s="2"/>
      <c r="B2008" s="65" t="str">
        <f>IF($D2008="","","T"&amp;TEXT(ROW()-6,"00000"))</f>
        <v/>
      </c>
      <c r="C2008" s="65" t="str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61"/>
      <c r="E2008" s="66"/>
      <c r="F2008" s="67"/>
      <c r="G2008" s="60"/>
      <c r="H2008" s="60"/>
      <c r="I2008" s="61"/>
      <c r="J2008" s="61"/>
      <c r="K2008" s="61"/>
      <c r="L2008" s="73" t="str">
        <f>IF($E2008="","",DATE(YEAR($E2008),MONTH($E2008),1))</f>
        <v/>
      </c>
      <c r="M2008" s="65" t="str">
        <f ca="1">IF($D2008="","",IF($C2008="TANIMSIZ MÜŞTERİ","HATA",IF(OR($E2008="",$F2008&lt;=0,$G2008=""),"EKSİK",IF($E2008&gt;TODAY(),"İLERİ TARİH",IF(COUNTIF($S$7:$S$2503,$S2008)&gt;1,"MÜKERRER?",IF($T2008&gt;0,"KAPALI DÖNEM","UYGUN"))))))</f>
        <v/>
      </c>
      <c r="N2008" s="74" t="str">
        <f>IF($C2008="","",IF($C2008="TANIMSIZ MÜŞTERİ","—",INDEX(MUSTERILER!$C$7:$C$156,MATCH($C2008,MUSTERILER!$B$7:$B$156,0))))</f>
        <v/>
      </c>
      <c r="O2008" s="2"/>
      <c r="P2008" s="2"/>
      <c r="Q2008" s="1" t="str">
        <f>IF($D2008="","",$C2008&amp;"|"&amp;COUNTIFS($C$7:$C2008,$C2008))</f>
        <v/>
      </c>
      <c r="R2008" s="1" t="str">
        <f t="shared" si="62"/>
        <v/>
      </c>
      <c r="S2008" s="1" t="str">
        <f t="shared" si="63"/>
        <v/>
      </c>
      <c r="T2008" s="1">
        <f>IF($E2008="",0,SUMPRODUCT((AY_SONU!$O$7:$O$42="Evet")*(AY_SONU!$B$7:$B$42=DATE(YEAR($E2008),MONTH($E2008),1))))</f>
        <v>0</v>
      </c>
      <c r="U2008" s="1" t="str">
        <f>IF(OR($G2008="",$H2008="Mahsup"),"",$G2008&amp;"|"&amp;COUNTIFS($G$7:$G2008,$G2008,$H$7:$H2008,"&lt;&gt;Mahsup"))</f>
        <v/>
      </c>
    </row>
    <row r="2009" spans="1:21" ht="18" customHeight="1" x14ac:dyDescent="0.3">
      <c r="A2009" s="2"/>
      <c r="B2009" s="65" t="str">
        <f>IF($D2009="","","T"&amp;TEXT(ROW()-6,"00000"))</f>
        <v/>
      </c>
      <c r="C2009" s="65" t="str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61"/>
      <c r="E2009" s="66"/>
      <c r="F2009" s="67"/>
      <c r="G2009" s="60"/>
      <c r="H2009" s="60"/>
      <c r="I2009" s="61"/>
      <c r="J2009" s="61"/>
      <c r="K2009" s="61"/>
      <c r="L2009" s="73" t="str">
        <f>IF($E2009="","",DATE(YEAR($E2009),MONTH($E2009),1))</f>
        <v/>
      </c>
      <c r="M2009" s="65" t="str">
        <f ca="1">IF($D2009="","",IF($C2009="TANIMSIZ MÜŞTERİ","HATA",IF(OR($E2009="",$F2009&lt;=0,$G2009=""),"EKSİK",IF($E2009&gt;TODAY(),"İLERİ TARİH",IF(COUNTIF($S$7:$S$2503,$S2009)&gt;1,"MÜKERRER?",IF($T2009&gt;0,"KAPALI DÖNEM","UYGUN"))))))</f>
        <v/>
      </c>
      <c r="N2009" s="74" t="str">
        <f>IF($C2009="","",IF($C2009="TANIMSIZ MÜŞTERİ","—",INDEX(MUSTERILER!$C$7:$C$156,MATCH($C2009,MUSTERILER!$B$7:$B$156,0))))</f>
        <v/>
      </c>
      <c r="O2009" s="2"/>
      <c r="P2009" s="2"/>
      <c r="Q2009" s="1" t="str">
        <f>IF($D2009="","",$C2009&amp;"|"&amp;COUNTIFS($C$7:$C2009,$C2009))</f>
        <v/>
      </c>
      <c r="R2009" s="1" t="str">
        <f t="shared" si="62"/>
        <v/>
      </c>
      <c r="S2009" s="1" t="str">
        <f t="shared" si="63"/>
        <v/>
      </c>
      <c r="T2009" s="1">
        <f>IF($E2009="",0,SUMPRODUCT((AY_SONU!$O$7:$O$42="Evet")*(AY_SONU!$B$7:$B$42=DATE(YEAR($E2009),MONTH($E2009),1))))</f>
        <v>0</v>
      </c>
      <c r="U2009" s="1" t="str">
        <f>IF(OR($G2009="",$H2009="Mahsup"),"",$G2009&amp;"|"&amp;COUNTIFS($G$7:$G2009,$G2009,$H$7:$H2009,"&lt;&gt;Mahsup"))</f>
        <v/>
      </c>
    </row>
    <row r="2010" spans="1:21" ht="18" customHeight="1" x14ac:dyDescent="0.3">
      <c r="A2010" s="2"/>
      <c r="B2010" s="65" t="str">
        <f>IF($D2010="","","T"&amp;TEXT(ROW()-6,"00000"))</f>
        <v/>
      </c>
      <c r="C2010" s="65" t="str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61"/>
      <c r="E2010" s="66"/>
      <c r="F2010" s="67"/>
      <c r="G2010" s="60"/>
      <c r="H2010" s="60"/>
      <c r="I2010" s="61"/>
      <c r="J2010" s="61"/>
      <c r="K2010" s="61"/>
      <c r="L2010" s="73" t="str">
        <f>IF($E2010="","",DATE(YEAR($E2010),MONTH($E2010),1))</f>
        <v/>
      </c>
      <c r="M2010" s="65" t="str">
        <f ca="1">IF($D2010="","",IF($C2010="TANIMSIZ MÜŞTERİ","HATA",IF(OR($E2010="",$F2010&lt;=0,$G2010=""),"EKSİK",IF($E2010&gt;TODAY(),"İLERİ TARİH",IF(COUNTIF($S$7:$S$2503,$S2010)&gt;1,"MÜKERRER?",IF($T2010&gt;0,"KAPALI DÖNEM","UYGUN"))))))</f>
        <v/>
      </c>
      <c r="N2010" s="74" t="str">
        <f>IF($C2010="","",IF($C2010="TANIMSIZ MÜŞTERİ","—",INDEX(MUSTERILER!$C$7:$C$156,MATCH($C2010,MUSTERILER!$B$7:$B$156,0))))</f>
        <v/>
      </c>
      <c r="O2010" s="2"/>
      <c r="P2010" s="2"/>
      <c r="Q2010" s="1" t="str">
        <f>IF($D2010="","",$C2010&amp;"|"&amp;COUNTIFS($C$7:$C2010,$C2010))</f>
        <v/>
      </c>
      <c r="R2010" s="1" t="str">
        <f t="shared" si="62"/>
        <v/>
      </c>
      <c r="S2010" s="1" t="str">
        <f t="shared" si="63"/>
        <v/>
      </c>
      <c r="T2010" s="1">
        <f>IF($E2010="",0,SUMPRODUCT((AY_SONU!$O$7:$O$42="Evet")*(AY_SONU!$B$7:$B$42=DATE(YEAR($E2010),MONTH($E2010),1))))</f>
        <v>0</v>
      </c>
      <c r="U2010" s="1" t="str">
        <f>IF(OR($G2010="",$H2010="Mahsup"),"",$G2010&amp;"|"&amp;COUNTIFS($G$7:$G2010,$G2010,$H$7:$H2010,"&lt;&gt;Mahsup"))</f>
        <v/>
      </c>
    </row>
    <row r="2011" spans="1:21" ht="18" customHeight="1" x14ac:dyDescent="0.3">
      <c r="A2011" s="2"/>
      <c r="B2011" s="65" t="str">
        <f>IF($D2011="","","T"&amp;TEXT(ROW()-6,"00000"))</f>
        <v/>
      </c>
      <c r="C2011" s="65" t="str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61"/>
      <c r="E2011" s="66"/>
      <c r="F2011" s="67"/>
      <c r="G2011" s="60"/>
      <c r="H2011" s="60"/>
      <c r="I2011" s="61"/>
      <c r="J2011" s="61"/>
      <c r="K2011" s="61"/>
      <c r="L2011" s="73" t="str">
        <f>IF($E2011="","",DATE(YEAR($E2011),MONTH($E2011),1))</f>
        <v/>
      </c>
      <c r="M2011" s="65" t="str">
        <f ca="1">IF($D2011="","",IF($C2011="TANIMSIZ MÜŞTERİ","HATA",IF(OR($E2011="",$F2011&lt;=0,$G2011=""),"EKSİK",IF($E2011&gt;TODAY(),"İLERİ TARİH",IF(COUNTIF($S$7:$S$2503,$S2011)&gt;1,"MÜKERRER?",IF($T2011&gt;0,"KAPALI DÖNEM","UYGUN"))))))</f>
        <v/>
      </c>
      <c r="N2011" s="74" t="str">
        <f>IF($C2011="","",IF($C2011="TANIMSIZ MÜŞTERİ","—",INDEX(MUSTERILER!$C$7:$C$156,MATCH($C2011,MUSTERILER!$B$7:$B$156,0))))</f>
        <v/>
      </c>
      <c r="O2011" s="2"/>
      <c r="P2011" s="2"/>
      <c r="Q2011" s="1" t="str">
        <f>IF($D2011="","",$C2011&amp;"|"&amp;COUNTIFS($C$7:$C2011,$C2011))</f>
        <v/>
      </c>
      <c r="R2011" s="1" t="str">
        <f t="shared" si="62"/>
        <v/>
      </c>
      <c r="S2011" s="1" t="str">
        <f t="shared" si="63"/>
        <v/>
      </c>
      <c r="T2011" s="1">
        <f>IF($E2011="",0,SUMPRODUCT((AY_SONU!$O$7:$O$42="Evet")*(AY_SONU!$B$7:$B$42=DATE(YEAR($E2011),MONTH($E2011),1))))</f>
        <v>0</v>
      </c>
      <c r="U2011" s="1" t="str">
        <f>IF(OR($G2011="",$H2011="Mahsup"),"",$G2011&amp;"|"&amp;COUNTIFS($G$7:$G2011,$G2011,$H$7:$H2011,"&lt;&gt;Mahsup"))</f>
        <v/>
      </c>
    </row>
    <row r="2012" spans="1:21" ht="18" customHeight="1" x14ac:dyDescent="0.3">
      <c r="A2012" s="2"/>
      <c r="B2012" s="65" t="str">
        <f>IF($D2012="","","T"&amp;TEXT(ROW()-6,"00000"))</f>
        <v/>
      </c>
      <c r="C2012" s="65" t="str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61"/>
      <c r="E2012" s="66"/>
      <c r="F2012" s="67"/>
      <c r="G2012" s="60"/>
      <c r="H2012" s="60"/>
      <c r="I2012" s="61"/>
      <c r="J2012" s="61"/>
      <c r="K2012" s="61"/>
      <c r="L2012" s="73" t="str">
        <f>IF($E2012="","",DATE(YEAR($E2012),MONTH($E2012),1))</f>
        <v/>
      </c>
      <c r="M2012" s="65" t="str">
        <f ca="1">IF($D2012="","",IF($C2012="TANIMSIZ MÜŞTERİ","HATA",IF(OR($E2012="",$F2012&lt;=0,$G2012=""),"EKSİK",IF($E2012&gt;TODAY(),"İLERİ TARİH",IF(COUNTIF($S$7:$S$2503,$S2012)&gt;1,"MÜKERRER?",IF($T2012&gt;0,"KAPALI DÖNEM","UYGUN"))))))</f>
        <v/>
      </c>
      <c r="N2012" s="74" t="str">
        <f>IF($C2012="","",IF($C2012="TANIMSIZ MÜŞTERİ","—",INDEX(MUSTERILER!$C$7:$C$156,MATCH($C2012,MUSTERILER!$B$7:$B$156,0))))</f>
        <v/>
      </c>
      <c r="O2012" s="2"/>
      <c r="P2012" s="2"/>
      <c r="Q2012" s="1" t="str">
        <f>IF($D2012="","",$C2012&amp;"|"&amp;COUNTIFS($C$7:$C2012,$C2012))</f>
        <v/>
      </c>
      <c r="R2012" s="1" t="str">
        <f t="shared" si="62"/>
        <v/>
      </c>
      <c r="S2012" s="1" t="str">
        <f t="shared" si="63"/>
        <v/>
      </c>
      <c r="T2012" s="1">
        <f>IF($E2012="",0,SUMPRODUCT((AY_SONU!$O$7:$O$42="Evet")*(AY_SONU!$B$7:$B$42=DATE(YEAR($E2012),MONTH($E2012),1))))</f>
        <v>0</v>
      </c>
      <c r="U2012" s="1" t="str">
        <f>IF(OR($G2012="",$H2012="Mahsup"),"",$G2012&amp;"|"&amp;COUNTIFS($G$7:$G2012,$G2012,$H$7:$H2012,"&lt;&gt;Mahsup"))</f>
        <v/>
      </c>
    </row>
    <row r="2013" spans="1:21" ht="18" customHeight="1" x14ac:dyDescent="0.3">
      <c r="A2013" s="2"/>
      <c r="B2013" s="65" t="str">
        <f>IF($D2013="","","T"&amp;TEXT(ROW()-6,"00000"))</f>
        <v/>
      </c>
      <c r="C2013" s="65" t="str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61"/>
      <c r="E2013" s="66"/>
      <c r="F2013" s="67"/>
      <c r="G2013" s="60"/>
      <c r="H2013" s="60"/>
      <c r="I2013" s="61"/>
      <c r="J2013" s="61"/>
      <c r="K2013" s="61"/>
      <c r="L2013" s="73" t="str">
        <f>IF($E2013="","",DATE(YEAR($E2013),MONTH($E2013),1))</f>
        <v/>
      </c>
      <c r="M2013" s="65" t="str">
        <f ca="1">IF($D2013="","",IF($C2013="TANIMSIZ MÜŞTERİ","HATA",IF(OR($E2013="",$F2013&lt;=0,$G2013=""),"EKSİK",IF($E2013&gt;TODAY(),"İLERİ TARİH",IF(COUNTIF($S$7:$S$2503,$S2013)&gt;1,"MÜKERRER?",IF($T2013&gt;0,"KAPALI DÖNEM","UYGUN"))))))</f>
        <v/>
      </c>
      <c r="N2013" s="74" t="str">
        <f>IF($C2013="","",IF($C2013="TANIMSIZ MÜŞTERİ","—",INDEX(MUSTERILER!$C$7:$C$156,MATCH($C2013,MUSTERILER!$B$7:$B$156,0))))</f>
        <v/>
      </c>
      <c r="O2013" s="2"/>
      <c r="P2013" s="2"/>
      <c r="Q2013" s="1" t="str">
        <f>IF($D2013="","",$C2013&amp;"|"&amp;COUNTIFS($C$7:$C2013,$C2013))</f>
        <v/>
      </c>
      <c r="R2013" s="1" t="str">
        <f t="shared" si="62"/>
        <v/>
      </c>
      <c r="S2013" s="1" t="str">
        <f t="shared" si="63"/>
        <v/>
      </c>
      <c r="T2013" s="1">
        <f>IF($E2013="",0,SUMPRODUCT((AY_SONU!$O$7:$O$42="Evet")*(AY_SONU!$B$7:$B$42=DATE(YEAR($E2013),MONTH($E2013),1))))</f>
        <v>0</v>
      </c>
      <c r="U2013" s="1" t="str">
        <f>IF(OR($G2013="",$H2013="Mahsup"),"",$G2013&amp;"|"&amp;COUNTIFS($G$7:$G2013,$G2013,$H$7:$H2013,"&lt;&gt;Mahsup"))</f>
        <v/>
      </c>
    </row>
    <row r="2014" spans="1:21" ht="18" customHeight="1" x14ac:dyDescent="0.3">
      <c r="A2014" s="2"/>
      <c r="B2014" s="65" t="str">
        <f>IF($D2014="","","T"&amp;TEXT(ROW()-6,"00000"))</f>
        <v/>
      </c>
      <c r="C2014" s="65" t="str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61"/>
      <c r="E2014" s="66"/>
      <c r="F2014" s="67"/>
      <c r="G2014" s="60"/>
      <c r="H2014" s="60"/>
      <c r="I2014" s="61"/>
      <c r="J2014" s="61"/>
      <c r="K2014" s="61"/>
      <c r="L2014" s="73" t="str">
        <f>IF($E2014="","",DATE(YEAR($E2014),MONTH($E2014),1))</f>
        <v/>
      </c>
      <c r="M2014" s="65" t="str">
        <f ca="1">IF($D2014="","",IF($C2014="TANIMSIZ MÜŞTERİ","HATA",IF(OR($E2014="",$F2014&lt;=0,$G2014=""),"EKSİK",IF($E2014&gt;TODAY(),"İLERİ TARİH",IF(COUNTIF($S$7:$S$2503,$S2014)&gt;1,"MÜKERRER?",IF($T2014&gt;0,"KAPALI DÖNEM","UYGUN"))))))</f>
        <v/>
      </c>
      <c r="N2014" s="74" t="str">
        <f>IF($C2014="","",IF($C2014="TANIMSIZ MÜŞTERİ","—",INDEX(MUSTERILER!$C$7:$C$156,MATCH($C2014,MUSTERILER!$B$7:$B$156,0))))</f>
        <v/>
      </c>
      <c r="O2014" s="2"/>
      <c r="P2014" s="2"/>
      <c r="Q2014" s="1" t="str">
        <f>IF($D2014="","",$C2014&amp;"|"&amp;COUNTIFS($C$7:$C2014,$C2014))</f>
        <v/>
      </c>
      <c r="R2014" s="1" t="str">
        <f t="shared" si="62"/>
        <v/>
      </c>
      <c r="S2014" s="1" t="str">
        <f t="shared" si="63"/>
        <v/>
      </c>
      <c r="T2014" s="1">
        <f>IF($E2014="",0,SUMPRODUCT((AY_SONU!$O$7:$O$42="Evet")*(AY_SONU!$B$7:$B$42=DATE(YEAR($E2014),MONTH($E2014),1))))</f>
        <v>0</v>
      </c>
      <c r="U2014" s="1" t="str">
        <f>IF(OR($G2014="",$H2014="Mahsup"),"",$G2014&amp;"|"&amp;COUNTIFS($G$7:$G2014,$G2014,$H$7:$H2014,"&lt;&gt;Mahsup"))</f>
        <v/>
      </c>
    </row>
    <row r="2015" spans="1:21" ht="18" customHeight="1" x14ac:dyDescent="0.3">
      <c r="A2015" s="2"/>
      <c r="B2015" s="65" t="str">
        <f>IF($D2015="","","T"&amp;TEXT(ROW()-6,"00000"))</f>
        <v/>
      </c>
      <c r="C2015" s="65" t="str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61"/>
      <c r="E2015" s="66"/>
      <c r="F2015" s="67"/>
      <c r="G2015" s="60"/>
      <c r="H2015" s="60"/>
      <c r="I2015" s="61"/>
      <c r="J2015" s="61"/>
      <c r="K2015" s="61"/>
      <c r="L2015" s="73" t="str">
        <f>IF($E2015="","",DATE(YEAR($E2015),MONTH($E2015),1))</f>
        <v/>
      </c>
      <c r="M2015" s="65" t="str">
        <f ca="1">IF($D2015="","",IF($C2015="TANIMSIZ MÜŞTERİ","HATA",IF(OR($E2015="",$F2015&lt;=0,$G2015=""),"EKSİK",IF($E2015&gt;TODAY(),"İLERİ TARİH",IF(COUNTIF($S$7:$S$2503,$S2015)&gt;1,"MÜKERRER?",IF($T2015&gt;0,"KAPALI DÖNEM","UYGUN"))))))</f>
        <v/>
      </c>
      <c r="N2015" s="74" t="str">
        <f>IF($C2015="","",IF($C2015="TANIMSIZ MÜŞTERİ","—",INDEX(MUSTERILER!$C$7:$C$156,MATCH($C2015,MUSTERILER!$B$7:$B$156,0))))</f>
        <v/>
      </c>
      <c r="O2015" s="2"/>
      <c r="P2015" s="2"/>
      <c r="Q2015" s="1" t="str">
        <f>IF($D2015="","",$C2015&amp;"|"&amp;COUNTIFS($C$7:$C2015,$C2015))</f>
        <v/>
      </c>
      <c r="R2015" s="1" t="str">
        <f t="shared" si="62"/>
        <v/>
      </c>
      <c r="S2015" s="1" t="str">
        <f t="shared" si="63"/>
        <v/>
      </c>
      <c r="T2015" s="1">
        <f>IF($E2015="",0,SUMPRODUCT((AY_SONU!$O$7:$O$42="Evet")*(AY_SONU!$B$7:$B$42=DATE(YEAR($E2015),MONTH($E2015),1))))</f>
        <v>0</v>
      </c>
      <c r="U2015" s="1" t="str">
        <f>IF(OR($G2015="",$H2015="Mahsup"),"",$G2015&amp;"|"&amp;COUNTIFS($G$7:$G2015,$G2015,$H$7:$H2015,"&lt;&gt;Mahsup"))</f>
        <v/>
      </c>
    </row>
    <row r="2016" spans="1:21" ht="18" customHeight="1" x14ac:dyDescent="0.3">
      <c r="A2016" s="2"/>
      <c r="B2016" s="65" t="str">
        <f>IF($D2016="","","T"&amp;TEXT(ROW()-6,"00000"))</f>
        <v/>
      </c>
      <c r="C2016" s="65" t="str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61"/>
      <c r="E2016" s="66"/>
      <c r="F2016" s="67"/>
      <c r="G2016" s="60"/>
      <c r="H2016" s="60"/>
      <c r="I2016" s="61"/>
      <c r="J2016" s="61"/>
      <c r="K2016" s="61"/>
      <c r="L2016" s="73" t="str">
        <f>IF($E2016="","",DATE(YEAR($E2016),MONTH($E2016),1))</f>
        <v/>
      </c>
      <c r="M2016" s="65" t="str">
        <f ca="1">IF($D2016="","",IF($C2016="TANIMSIZ MÜŞTERİ","HATA",IF(OR($E2016="",$F2016&lt;=0,$G2016=""),"EKSİK",IF($E2016&gt;TODAY(),"İLERİ TARİH",IF(COUNTIF($S$7:$S$2503,$S2016)&gt;1,"MÜKERRER?",IF($T2016&gt;0,"KAPALI DÖNEM","UYGUN"))))))</f>
        <v/>
      </c>
      <c r="N2016" s="74" t="str">
        <f>IF($C2016="","",IF($C2016="TANIMSIZ MÜŞTERİ","—",INDEX(MUSTERILER!$C$7:$C$156,MATCH($C2016,MUSTERILER!$B$7:$B$156,0))))</f>
        <v/>
      </c>
      <c r="O2016" s="2"/>
      <c r="P2016" s="2"/>
      <c r="Q2016" s="1" t="str">
        <f>IF($D2016="","",$C2016&amp;"|"&amp;COUNTIFS($C$7:$C2016,$C2016))</f>
        <v/>
      </c>
      <c r="R2016" s="1" t="str">
        <f t="shared" si="62"/>
        <v/>
      </c>
      <c r="S2016" s="1" t="str">
        <f t="shared" si="63"/>
        <v/>
      </c>
      <c r="T2016" s="1">
        <f>IF($E2016="",0,SUMPRODUCT((AY_SONU!$O$7:$O$42="Evet")*(AY_SONU!$B$7:$B$42=DATE(YEAR($E2016),MONTH($E2016),1))))</f>
        <v>0</v>
      </c>
      <c r="U2016" s="1" t="str">
        <f>IF(OR($G2016="",$H2016="Mahsup"),"",$G2016&amp;"|"&amp;COUNTIFS($G$7:$G2016,$G2016,$H$7:$H2016,"&lt;&gt;Mahsup"))</f>
        <v/>
      </c>
    </row>
    <row r="2017" spans="1:21" ht="18" customHeight="1" x14ac:dyDescent="0.3">
      <c r="A2017" s="2"/>
      <c r="B2017" s="65" t="str">
        <f>IF($D2017="","","T"&amp;TEXT(ROW()-6,"00000"))</f>
        <v/>
      </c>
      <c r="C2017" s="65" t="str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61"/>
      <c r="E2017" s="66"/>
      <c r="F2017" s="67"/>
      <c r="G2017" s="60"/>
      <c r="H2017" s="60"/>
      <c r="I2017" s="61"/>
      <c r="J2017" s="61"/>
      <c r="K2017" s="61"/>
      <c r="L2017" s="73" t="str">
        <f>IF($E2017="","",DATE(YEAR($E2017),MONTH($E2017),1))</f>
        <v/>
      </c>
      <c r="M2017" s="65" t="str">
        <f ca="1">IF($D2017="","",IF($C2017="TANIMSIZ MÜŞTERİ","HATA",IF(OR($E2017="",$F2017&lt;=0,$G2017=""),"EKSİK",IF($E2017&gt;TODAY(),"İLERİ TARİH",IF(COUNTIF($S$7:$S$2503,$S2017)&gt;1,"MÜKERRER?",IF($T2017&gt;0,"KAPALI DÖNEM","UYGUN"))))))</f>
        <v/>
      </c>
      <c r="N2017" s="74" t="str">
        <f>IF($C2017="","",IF($C2017="TANIMSIZ MÜŞTERİ","—",INDEX(MUSTERILER!$C$7:$C$156,MATCH($C2017,MUSTERILER!$B$7:$B$156,0))))</f>
        <v/>
      </c>
      <c r="O2017" s="2"/>
      <c r="P2017" s="2"/>
      <c r="Q2017" s="1" t="str">
        <f>IF($D2017="","",$C2017&amp;"|"&amp;COUNTIFS($C$7:$C2017,$C2017))</f>
        <v/>
      </c>
      <c r="R2017" s="1" t="str">
        <f t="shared" si="62"/>
        <v/>
      </c>
      <c r="S2017" s="1" t="str">
        <f t="shared" si="63"/>
        <v/>
      </c>
      <c r="T2017" s="1">
        <f>IF($E2017="",0,SUMPRODUCT((AY_SONU!$O$7:$O$42="Evet")*(AY_SONU!$B$7:$B$42=DATE(YEAR($E2017),MONTH($E2017),1))))</f>
        <v>0</v>
      </c>
      <c r="U2017" s="1" t="str">
        <f>IF(OR($G2017="",$H2017="Mahsup"),"",$G2017&amp;"|"&amp;COUNTIFS($G$7:$G2017,$G2017,$H$7:$H2017,"&lt;&gt;Mahsup"))</f>
        <v/>
      </c>
    </row>
    <row r="2018" spans="1:21" ht="18" customHeight="1" x14ac:dyDescent="0.3">
      <c r="A2018" s="2"/>
      <c r="B2018" s="65" t="str">
        <f>IF($D2018="","","T"&amp;TEXT(ROW()-6,"00000"))</f>
        <v/>
      </c>
      <c r="C2018" s="65" t="str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61"/>
      <c r="E2018" s="66"/>
      <c r="F2018" s="67"/>
      <c r="G2018" s="60"/>
      <c r="H2018" s="60"/>
      <c r="I2018" s="61"/>
      <c r="J2018" s="61"/>
      <c r="K2018" s="61"/>
      <c r="L2018" s="73" t="str">
        <f>IF($E2018="","",DATE(YEAR($E2018),MONTH($E2018),1))</f>
        <v/>
      </c>
      <c r="M2018" s="65" t="str">
        <f ca="1">IF($D2018="","",IF($C2018="TANIMSIZ MÜŞTERİ","HATA",IF(OR($E2018="",$F2018&lt;=0,$G2018=""),"EKSİK",IF($E2018&gt;TODAY(),"İLERİ TARİH",IF(COUNTIF($S$7:$S$2503,$S2018)&gt;1,"MÜKERRER?",IF($T2018&gt;0,"KAPALI DÖNEM","UYGUN"))))))</f>
        <v/>
      </c>
      <c r="N2018" s="74" t="str">
        <f>IF($C2018="","",IF($C2018="TANIMSIZ MÜŞTERİ","—",INDEX(MUSTERILER!$C$7:$C$156,MATCH($C2018,MUSTERILER!$B$7:$B$156,0))))</f>
        <v/>
      </c>
      <c r="O2018" s="2"/>
      <c r="P2018" s="2"/>
      <c r="Q2018" s="1" t="str">
        <f>IF($D2018="","",$C2018&amp;"|"&amp;COUNTIFS($C$7:$C2018,$C2018))</f>
        <v/>
      </c>
      <c r="R2018" s="1" t="str">
        <f t="shared" si="62"/>
        <v/>
      </c>
      <c r="S2018" s="1" t="str">
        <f t="shared" si="63"/>
        <v/>
      </c>
      <c r="T2018" s="1">
        <f>IF($E2018="",0,SUMPRODUCT((AY_SONU!$O$7:$O$42="Evet")*(AY_SONU!$B$7:$B$42=DATE(YEAR($E2018),MONTH($E2018),1))))</f>
        <v>0</v>
      </c>
      <c r="U2018" s="1" t="str">
        <f>IF(OR($G2018="",$H2018="Mahsup"),"",$G2018&amp;"|"&amp;COUNTIFS($G$7:$G2018,$G2018,$H$7:$H2018,"&lt;&gt;Mahsup"))</f>
        <v/>
      </c>
    </row>
    <row r="2019" spans="1:21" ht="18" customHeight="1" x14ac:dyDescent="0.3">
      <c r="A2019" s="2"/>
      <c r="B2019" s="65" t="str">
        <f>IF($D2019="","","T"&amp;TEXT(ROW()-6,"00000"))</f>
        <v/>
      </c>
      <c r="C2019" s="65" t="str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61"/>
      <c r="E2019" s="66"/>
      <c r="F2019" s="67"/>
      <c r="G2019" s="60"/>
      <c r="H2019" s="60"/>
      <c r="I2019" s="61"/>
      <c r="J2019" s="61"/>
      <c r="K2019" s="61"/>
      <c r="L2019" s="73" t="str">
        <f>IF($E2019="","",DATE(YEAR($E2019),MONTH($E2019),1))</f>
        <v/>
      </c>
      <c r="M2019" s="65" t="str">
        <f ca="1">IF($D2019="","",IF($C2019="TANIMSIZ MÜŞTERİ","HATA",IF(OR($E2019="",$F2019&lt;=0,$G2019=""),"EKSİK",IF($E2019&gt;TODAY(),"İLERİ TARİH",IF(COUNTIF($S$7:$S$2503,$S2019)&gt;1,"MÜKERRER?",IF($T2019&gt;0,"KAPALI DÖNEM","UYGUN"))))))</f>
        <v/>
      </c>
      <c r="N2019" s="74" t="str">
        <f>IF($C2019="","",IF($C2019="TANIMSIZ MÜŞTERİ","—",INDEX(MUSTERILER!$C$7:$C$156,MATCH($C2019,MUSTERILER!$B$7:$B$156,0))))</f>
        <v/>
      </c>
      <c r="O2019" s="2"/>
      <c r="P2019" s="2"/>
      <c r="Q2019" s="1" t="str">
        <f>IF($D2019="","",$C2019&amp;"|"&amp;COUNTIFS($C$7:$C2019,$C2019))</f>
        <v/>
      </c>
      <c r="R2019" s="1" t="str">
        <f t="shared" si="62"/>
        <v/>
      </c>
      <c r="S2019" s="1" t="str">
        <f t="shared" si="63"/>
        <v/>
      </c>
      <c r="T2019" s="1">
        <f>IF($E2019="",0,SUMPRODUCT((AY_SONU!$O$7:$O$42="Evet")*(AY_SONU!$B$7:$B$42=DATE(YEAR($E2019),MONTH($E2019),1))))</f>
        <v>0</v>
      </c>
      <c r="U2019" s="1" t="str">
        <f>IF(OR($G2019="",$H2019="Mahsup"),"",$G2019&amp;"|"&amp;COUNTIFS($G$7:$G2019,$G2019,$H$7:$H2019,"&lt;&gt;Mahsup"))</f>
        <v/>
      </c>
    </row>
    <row r="2020" spans="1:21" ht="18" customHeight="1" x14ac:dyDescent="0.3">
      <c r="A2020" s="2"/>
      <c r="B2020" s="65" t="str">
        <f>IF($D2020="","","T"&amp;TEXT(ROW()-6,"00000"))</f>
        <v/>
      </c>
      <c r="C2020" s="65" t="str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61"/>
      <c r="E2020" s="66"/>
      <c r="F2020" s="67"/>
      <c r="G2020" s="60"/>
      <c r="H2020" s="60"/>
      <c r="I2020" s="61"/>
      <c r="J2020" s="61"/>
      <c r="K2020" s="61"/>
      <c r="L2020" s="73" t="str">
        <f>IF($E2020="","",DATE(YEAR($E2020),MONTH($E2020),1))</f>
        <v/>
      </c>
      <c r="M2020" s="65" t="str">
        <f ca="1">IF($D2020="","",IF($C2020="TANIMSIZ MÜŞTERİ","HATA",IF(OR($E2020="",$F2020&lt;=0,$G2020=""),"EKSİK",IF($E2020&gt;TODAY(),"İLERİ TARİH",IF(COUNTIF($S$7:$S$2503,$S2020)&gt;1,"MÜKERRER?",IF($T2020&gt;0,"KAPALI DÖNEM","UYGUN"))))))</f>
        <v/>
      </c>
      <c r="N2020" s="74" t="str">
        <f>IF($C2020="","",IF($C2020="TANIMSIZ MÜŞTERİ","—",INDEX(MUSTERILER!$C$7:$C$156,MATCH($C2020,MUSTERILER!$B$7:$B$156,0))))</f>
        <v/>
      </c>
      <c r="O2020" s="2"/>
      <c r="P2020" s="2"/>
      <c r="Q2020" s="1" t="str">
        <f>IF($D2020="","",$C2020&amp;"|"&amp;COUNTIFS($C$7:$C2020,$C2020))</f>
        <v/>
      </c>
      <c r="R2020" s="1" t="str">
        <f t="shared" si="62"/>
        <v/>
      </c>
      <c r="S2020" s="1" t="str">
        <f t="shared" si="63"/>
        <v/>
      </c>
      <c r="T2020" s="1">
        <f>IF($E2020="",0,SUMPRODUCT((AY_SONU!$O$7:$O$42="Evet")*(AY_SONU!$B$7:$B$42=DATE(YEAR($E2020),MONTH($E2020),1))))</f>
        <v>0</v>
      </c>
      <c r="U2020" s="1" t="str">
        <f>IF(OR($G2020="",$H2020="Mahsup"),"",$G2020&amp;"|"&amp;COUNTIFS($G$7:$G2020,$G2020,$H$7:$H2020,"&lt;&gt;Mahsup"))</f>
        <v/>
      </c>
    </row>
    <row r="2021" spans="1:21" ht="18" customHeight="1" x14ac:dyDescent="0.3">
      <c r="A2021" s="2"/>
      <c r="B2021" s="65" t="str">
        <f>IF($D2021="","","T"&amp;TEXT(ROW()-6,"00000"))</f>
        <v/>
      </c>
      <c r="C2021" s="65" t="str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61"/>
      <c r="E2021" s="66"/>
      <c r="F2021" s="67"/>
      <c r="G2021" s="60"/>
      <c r="H2021" s="60"/>
      <c r="I2021" s="61"/>
      <c r="J2021" s="61"/>
      <c r="K2021" s="61"/>
      <c r="L2021" s="73" t="str">
        <f>IF($E2021="","",DATE(YEAR($E2021),MONTH($E2021),1))</f>
        <v/>
      </c>
      <c r="M2021" s="65" t="str">
        <f ca="1">IF($D2021="","",IF($C2021="TANIMSIZ MÜŞTERİ","HATA",IF(OR($E2021="",$F2021&lt;=0,$G2021=""),"EKSİK",IF($E2021&gt;TODAY(),"İLERİ TARİH",IF(COUNTIF($S$7:$S$2503,$S2021)&gt;1,"MÜKERRER?",IF($T2021&gt;0,"KAPALI DÖNEM","UYGUN"))))))</f>
        <v/>
      </c>
      <c r="N2021" s="74" t="str">
        <f>IF($C2021="","",IF($C2021="TANIMSIZ MÜŞTERİ","—",INDEX(MUSTERILER!$C$7:$C$156,MATCH($C2021,MUSTERILER!$B$7:$B$156,0))))</f>
        <v/>
      </c>
      <c r="O2021" s="2"/>
      <c r="P2021" s="2"/>
      <c r="Q2021" s="1" t="str">
        <f>IF($D2021="","",$C2021&amp;"|"&amp;COUNTIFS($C$7:$C2021,$C2021))</f>
        <v/>
      </c>
      <c r="R2021" s="1" t="str">
        <f t="shared" si="62"/>
        <v/>
      </c>
      <c r="S2021" s="1" t="str">
        <f t="shared" si="63"/>
        <v/>
      </c>
      <c r="T2021" s="1">
        <f>IF($E2021="",0,SUMPRODUCT((AY_SONU!$O$7:$O$42="Evet")*(AY_SONU!$B$7:$B$42=DATE(YEAR($E2021),MONTH($E2021),1))))</f>
        <v>0</v>
      </c>
      <c r="U2021" s="1" t="str">
        <f>IF(OR($G2021="",$H2021="Mahsup"),"",$G2021&amp;"|"&amp;COUNTIFS($G$7:$G2021,$G2021,$H$7:$H2021,"&lt;&gt;Mahsup"))</f>
        <v/>
      </c>
    </row>
    <row r="2022" spans="1:21" ht="18" customHeight="1" x14ac:dyDescent="0.3">
      <c r="A2022" s="2"/>
      <c r="B2022" s="65" t="str">
        <f>IF($D2022="","","T"&amp;TEXT(ROW()-6,"00000"))</f>
        <v/>
      </c>
      <c r="C2022" s="65" t="str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61"/>
      <c r="E2022" s="66"/>
      <c r="F2022" s="67"/>
      <c r="G2022" s="60"/>
      <c r="H2022" s="60"/>
      <c r="I2022" s="61"/>
      <c r="J2022" s="61"/>
      <c r="K2022" s="61"/>
      <c r="L2022" s="73" t="str">
        <f>IF($E2022="","",DATE(YEAR($E2022),MONTH($E2022),1))</f>
        <v/>
      </c>
      <c r="M2022" s="65" t="str">
        <f ca="1">IF($D2022="","",IF($C2022="TANIMSIZ MÜŞTERİ","HATA",IF(OR($E2022="",$F2022&lt;=0,$G2022=""),"EKSİK",IF($E2022&gt;TODAY(),"İLERİ TARİH",IF(COUNTIF($S$7:$S$2503,$S2022)&gt;1,"MÜKERRER?",IF($T2022&gt;0,"KAPALI DÖNEM","UYGUN"))))))</f>
        <v/>
      </c>
      <c r="N2022" s="74" t="str">
        <f>IF($C2022="","",IF($C2022="TANIMSIZ MÜŞTERİ","—",INDEX(MUSTERILER!$C$7:$C$156,MATCH($C2022,MUSTERILER!$B$7:$B$156,0))))</f>
        <v/>
      </c>
      <c r="O2022" s="2"/>
      <c r="P2022" s="2"/>
      <c r="Q2022" s="1" t="str">
        <f>IF($D2022="","",$C2022&amp;"|"&amp;COUNTIFS($C$7:$C2022,$C2022))</f>
        <v/>
      </c>
      <c r="R2022" s="1" t="str">
        <f t="shared" si="62"/>
        <v/>
      </c>
      <c r="S2022" s="1" t="str">
        <f t="shared" si="63"/>
        <v/>
      </c>
      <c r="T2022" s="1">
        <f>IF($E2022="",0,SUMPRODUCT((AY_SONU!$O$7:$O$42="Evet")*(AY_SONU!$B$7:$B$42=DATE(YEAR($E2022),MONTH($E2022),1))))</f>
        <v>0</v>
      </c>
      <c r="U2022" s="1" t="str">
        <f>IF(OR($G2022="",$H2022="Mahsup"),"",$G2022&amp;"|"&amp;COUNTIFS($G$7:$G2022,$G2022,$H$7:$H2022,"&lt;&gt;Mahsup"))</f>
        <v/>
      </c>
    </row>
    <row r="2023" spans="1:21" ht="18" customHeight="1" x14ac:dyDescent="0.3">
      <c r="A2023" s="2"/>
      <c r="B2023" s="65" t="str">
        <f>IF($D2023="","","T"&amp;TEXT(ROW()-6,"00000"))</f>
        <v/>
      </c>
      <c r="C2023" s="65" t="str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61"/>
      <c r="E2023" s="66"/>
      <c r="F2023" s="67"/>
      <c r="G2023" s="60"/>
      <c r="H2023" s="60"/>
      <c r="I2023" s="61"/>
      <c r="J2023" s="61"/>
      <c r="K2023" s="61"/>
      <c r="L2023" s="73" t="str">
        <f>IF($E2023="","",DATE(YEAR($E2023),MONTH($E2023),1))</f>
        <v/>
      </c>
      <c r="M2023" s="65" t="str">
        <f ca="1">IF($D2023="","",IF($C2023="TANIMSIZ MÜŞTERİ","HATA",IF(OR($E2023="",$F2023&lt;=0,$G2023=""),"EKSİK",IF($E2023&gt;TODAY(),"İLERİ TARİH",IF(COUNTIF($S$7:$S$2503,$S2023)&gt;1,"MÜKERRER?",IF($T2023&gt;0,"KAPALI DÖNEM","UYGUN"))))))</f>
        <v/>
      </c>
      <c r="N2023" s="74" t="str">
        <f>IF($C2023="","",IF($C2023="TANIMSIZ MÜŞTERİ","—",INDEX(MUSTERILER!$C$7:$C$156,MATCH($C2023,MUSTERILER!$B$7:$B$156,0))))</f>
        <v/>
      </c>
      <c r="O2023" s="2"/>
      <c r="P2023" s="2"/>
      <c r="Q2023" s="1" t="str">
        <f>IF($D2023="","",$C2023&amp;"|"&amp;COUNTIFS($C$7:$C2023,$C2023))</f>
        <v/>
      </c>
      <c r="R2023" s="1" t="str">
        <f t="shared" si="62"/>
        <v/>
      </c>
      <c r="S2023" s="1" t="str">
        <f t="shared" si="63"/>
        <v/>
      </c>
      <c r="T2023" s="1">
        <f>IF($E2023="",0,SUMPRODUCT((AY_SONU!$O$7:$O$42="Evet")*(AY_SONU!$B$7:$B$42=DATE(YEAR($E2023),MONTH($E2023),1))))</f>
        <v>0</v>
      </c>
      <c r="U2023" s="1" t="str">
        <f>IF(OR($G2023="",$H2023="Mahsup"),"",$G2023&amp;"|"&amp;COUNTIFS($G$7:$G2023,$G2023,$H$7:$H2023,"&lt;&gt;Mahsup"))</f>
        <v/>
      </c>
    </row>
    <row r="2024" spans="1:21" ht="18" customHeight="1" x14ac:dyDescent="0.3">
      <c r="A2024" s="2"/>
      <c r="B2024" s="65" t="str">
        <f>IF($D2024="","","T"&amp;TEXT(ROW()-6,"00000"))</f>
        <v/>
      </c>
      <c r="C2024" s="65" t="str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61"/>
      <c r="E2024" s="66"/>
      <c r="F2024" s="67"/>
      <c r="G2024" s="60"/>
      <c r="H2024" s="60"/>
      <c r="I2024" s="61"/>
      <c r="J2024" s="61"/>
      <c r="K2024" s="61"/>
      <c r="L2024" s="73" t="str">
        <f>IF($E2024="","",DATE(YEAR($E2024),MONTH($E2024),1))</f>
        <v/>
      </c>
      <c r="M2024" s="65" t="str">
        <f ca="1">IF($D2024="","",IF($C2024="TANIMSIZ MÜŞTERİ","HATA",IF(OR($E2024="",$F2024&lt;=0,$G2024=""),"EKSİK",IF($E2024&gt;TODAY(),"İLERİ TARİH",IF(COUNTIF($S$7:$S$2503,$S2024)&gt;1,"MÜKERRER?",IF($T2024&gt;0,"KAPALI DÖNEM","UYGUN"))))))</f>
        <v/>
      </c>
      <c r="N2024" s="74" t="str">
        <f>IF($C2024="","",IF($C2024="TANIMSIZ MÜŞTERİ","—",INDEX(MUSTERILER!$C$7:$C$156,MATCH($C2024,MUSTERILER!$B$7:$B$156,0))))</f>
        <v/>
      </c>
      <c r="O2024" s="2"/>
      <c r="P2024" s="2"/>
      <c r="Q2024" s="1" t="str">
        <f>IF($D2024="","",$C2024&amp;"|"&amp;COUNTIFS($C$7:$C2024,$C2024))</f>
        <v/>
      </c>
      <c r="R2024" s="1" t="str">
        <f t="shared" si="62"/>
        <v/>
      </c>
      <c r="S2024" s="1" t="str">
        <f t="shared" si="63"/>
        <v/>
      </c>
      <c r="T2024" s="1">
        <f>IF($E2024="",0,SUMPRODUCT((AY_SONU!$O$7:$O$42="Evet")*(AY_SONU!$B$7:$B$42=DATE(YEAR($E2024),MONTH($E2024),1))))</f>
        <v>0</v>
      </c>
      <c r="U2024" s="1" t="str">
        <f>IF(OR($G2024="",$H2024="Mahsup"),"",$G2024&amp;"|"&amp;COUNTIFS($G$7:$G2024,$G2024,$H$7:$H2024,"&lt;&gt;Mahsup"))</f>
        <v/>
      </c>
    </row>
    <row r="2025" spans="1:21" ht="18" customHeight="1" x14ac:dyDescent="0.3">
      <c r="A2025" s="2"/>
      <c r="B2025" s="65" t="str">
        <f>IF($D2025="","","T"&amp;TEXT(ROW()-6,"00000"))</f>
        <v/>
      </c>
      <c r="C2025" s="65" t="str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61"/>
      <c r="E2025" s="66"/>
      <c r="F2025" s="67"/>
      <c r="G2025" s="60"/>
      <c r="H2025" s="60"/>
      <c r="I2025" s="61"/>
      <c r="J2025" s="61"/>
      <c r="K2025" s="61"/>
      <c r="L2025" s="73" t="str">
        <f>IF($E2025="","",DATE(YEAR($E2025),MONTH($E2025),1))</f>
        <v/>
      </c>
      <c r="M2025" s="65" t="str">
        <f ca="1">IF($D2025="","",IF($C2025="TANIMSIZ MÜŞTERİ","HATA",IF(OR($E2025="",$F2025&lt;=0,$G2025=""),"EKSİK",IF($E2025&gt;TODAY(),"İLERİ TARİH",IF(COUNTIF($S$7:$S$2503,$S2025)&gt;1,"MÜKERRER?",IF($T2025&gt;0,"KAPALI DÖNEM","UYGUN"))))))</f>
        <v/>
      </c>
      <c r="N2025" s="74" t="str">
        <f>IF($C2025="","",IF($C2025="TANIMSIZ MÜŞTERİ","—",INDEX(MUSTERILER!$C$7:$C$156,MATCH($C2025,MUSTERILER!$B$7:$B$156,0))))</f>
        <v/>
      </c>
      <c r="O2025" s="2"/>
      <c r="P2025" s="2"/>
      <c r="Q2025" s="1" t="str">
        <f>IF($D2025="","",$C2025&amp;"|"&amp;COUNTIFS($C$7:$C2025,$C2025))</f>
        <v/>
      </c>
      <c r="R2025" s="1" t="str">
        <f t="shared" si="62"/>
        <v/>
      </c>
      <c r="S2025" s="1" t="str">
        <f t="shared" si="63"/>
        <v/>
      </c>
      <c r="T2025" s="1">
        <f>IF($E2025="",0,SUMPRODUCT((AY_SONU!$O$7:$O$42="Evet")*(AY_SONU!$B$7:$B$42=DATE(YEAR($E2025),MONTH($E2025),1))))</f>
        <v>0</v>
      </c>
      <c r="U2025" s="1" t="str">
        <f>IF(OR($G2025="",$H2025="Mahsup"),"",$G2025&amp;"|"&amp;COUNTIFS($G$7:$G2025,$G2025,$H$7:$H2025,"&lt;&gt;Mahsup"))</f>
        <v/>
      </c>
    </row>
    <row r="2026" spans="1:21" ht="18" customHeight="1" x14ac:dyDescent="0.3">
      <c r="A2026" s="2"/>
      <c r="B2026" s="65" t="str">
        <f>IF($D2026="","","T"&amp;TEXT(ROW()-6,"00000"))</f>
        <v/>
      </c>
      <c r="C2026" s="65" t="str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61"/>
      <c r="E2026" s="66"/>
      <c r="F2026" s="67"/>
      <c r="G2026" s="60"/>
      <c r="H2026" s="60"/>
      <c r="I2026" s="61"/>
      <c r="J2026" s="61"/>
      <c r="K2026" s="61"/>
      <c r="L2026" s="73" t="str">
        <f>IF($E2026="","",DATE(YEAR($E2026),MONTH($E2026),1))</f>
        <v/>
      </c>
      <c r="M2026" s="65" t="str">
        <f ca="1">IF($D2026="","",IF($C2026="TANIMSIZ MÜŞTERİ","HATA",IF(OR($E2026="",$F2026&lt;=0,$G2026=""),"EKSİK",IF($E2026&gt;TODAY(),"İLERİ TARİH",IF(COUNTIF($S$7:$S$2503,$S2026)&gt;1,"MÜKERRER?",IF($T2026&gt;0,"KAPALI DÖNEM","UYGUN"))))))</f>
        <v/>
      </c>
      <c r="N2026" s="74" t="str">
        <f>IF($C2026="","",IF($C2026="TANIMSIZ MÜŞTERİ","—",INDEX(MUSTERILER!$C$7:$C$156,MATCH($C2026,MUSTERILER!$B$7:$B$156,0))))</f>
        <v/>
      </c>
      <c r="O2026" s="2"/>
      <c r="P2026" s="2"/>
      <c r="Q2026" s="1" t="str">
        <f>IF($D2026="","",$C2026&amp;"|"&amp;COUNTIFS($C$7:$C2026,$C2026))</f>
        <v/>
      </c>
      <c r="R2026" s="1" t="str">
        <f t="shared" si="62"/>
        <v/>
      </c>
      <c r="S2026" s="1" t="str">
        <f t="shared" si="63"/>
        <v/>
      </c>
      <c r="T2026" s="1">
        <f>IF($E2026="",0,SUMPRODUCT((AY_SONU!$O$7:$O$42="Evet")*(AY_SONU!$B$7:$B$42=DATE(YEAR($E2026),MONTH($E2026),1))))</f>
        <v>0</v>
      </c>
      <c r="U2026" s="1" t="str">
        <f>IF(OR($G2026="",$H2026="Mahsup"),"",$G2026&amp;"|"&amp;COUNTIFS($G$7:$G2026,$G2026,$H$7:$H2026,"&lt;&gt;Mahsup"))</f>
        <v/>
      </c>
    </row>
    <row r="2027" spans="1:21" ht="18" customHeight="1" x14ac:dyDescent="0.3">
      <c r="A2027" s="2"/>
      <c r="B2027" s="65" t="str">
        <f>IF($D2027="","","T"&amp;TEXT(ROW()-6,"00000"))</f>
        <v/>
      </c>
      <c r="C2027" s="65" t="str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61"/>
      <c r="E2027" s="66"/>
      <c r="F2027" s="67"/>
      <c r="G2027" s="60"/>
      <c r="H2027" s="60"/>
      <c r="I2027" s="61"/>
      <c r="J2027" s="61"/>
      <c r="K2027" s="61"/>
      <c r="L2027" s="73" t="str">
        <f>IF($E2027="","",DATE(YEAR($E2027),MONTH($E2027),1))</f>
        <v/>
      </c>
      <c r="M2027" s="65" t="str">
        <f ca="1">IF($D2027="","",IF($C2027="TANIMSIZ MÜŞTERİ","HATA",IF(OR($E2027="",$F2027&lt;=0,$G2027=""),"EKSİK",IF($E2027&gt;TODAY(),"İLERİ TARİH",IF(COUNTIF($S$7:$S$2503,$S2027)&gt;1,"MÜKERRER?",IF($T2027&gt;0,"KAPALI DÖNEM","UYGUN"))))))</f>
        <v/>
      </c>
      <c r="N2027" s="74" t="str">
        <f>IF($C2027="","",IF($C2027="TANIMSIZ MÜŞTERİ","—",INDEX(MUSTERILER!$C$7:$C$156,MATCH($C2027,MUSTERILER!$B$7:$B$156,0))))</f>
        <v/>
      </c>
      <c r="O2027" s="2"/>
      <c r="P2027" s="2"/>
      <c r="Q2027" s="1" t="str">
        <f>IF($D2027="","",$C2027&amp;"|"&amp;COUNTIFS($C$7:$C2027,$C2027))</f>
        <v/>
      </c>
      <c r="R2027" s="1" t="str">
        <f t="shared" si="62"/>
        <v/>
      </c>
      <c r="S2027" s="1" t="str">
        <f t="shared" si="63"/>
        <v/>
      </c>
      <c r="T2027" s="1">
        <f>IF($E2027="",0,SUMPRODUCT((AY_SONU!$O$7:$O$42="Evet")*(AY_SONU!$B$7:$B$42=DATE(YEAR($E2027),MONTH($E2027),1))))</f>
        <v>0</v>
      </c>
      <c r="U2027" s="1" t="str">
        <f>IF(OR($G2027="",$H2027="Mahsup"),"",$G2027&amp;"|"&amp;COUNTIFS($G$7:$G2027,$G2027,$H$7:$H2027,"&lt;&gt;Mahsup"))</f>
        <v/>
      </c>
    </row>
    <row r="2028" spans="1:21" ht="18" customHeight="1" x14ac:dyDescent="0.3">
      <c r="A2028" s="2"/>
      <c r="B2028" s="65" t="str">
        <f>IF($D2028="","","T"&amp;TEXT(ROW()-6,"00000"))</f>
        <v/>
      </c>
      <c r="C2028" s="65" t="str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61"/>
      <c r="E2028" s="66"/>
      <c r="F2028" s="67"/>
      <c r="G2028" s="60"/>
      <c r="H2028" s="60"/>
      <c r="I2028" s="61"/>
      <c r="J2028" s="61"/>
      <c r="K2028" s="61"/>
      <c r="L2028" s="73" t="str">
        <f>IF($E2028="","",DATE(YEAR($E2028),MONTH($E2028),1))</f>
        <v/>
      </c>
      <c r="M2028" s="65" t="str">
        <f ca="1">IF($D2028="","",IF($C2028="TANIMSIZ MÜŞTERİ","HATA",IF(OR($E2028="",$F2028&lt;=0,$G2028=""),"EKSİK",IF($E2028&gt;TODAY(),"İLERİ TARİH",IF(COUNTIF($S$7:$S$2503,$S2028)&gt;1,"MÜKERRER?",IF($T2028&gt;0,"KAPALI DÖNEM","UYGUN"))))))</f>
        <v/>
      </c>
      <c r="N2028" s="74" t="str">
        <f>IF($C2028="","",IF($C2028="TANIMSIZ MÜŞTERİ","—",INDEX(MUSTERILER!$C$7:$C$156,MATCH($C2028,MUSTERILER!$B$7:$B$156,0))))</f>
        <v/>
      </c>
      <c r="O2028" s="2"/>
      <c r="P2028" s="2"/>
      <c r="Q2028" s="1" t="str">
        <f>IF($D2028="","",$C2028&amp;"|"&amp;COUNTIFS($C$7:$C2028,$C2028))</f>
        <v/>
      </c>
      <c r="R2028" s="1" t="str">
        <f t="shared" si="62"/>
        <v/>
      </c>
      <c r="S2028" s="1" t="str">
        <f t="shared" si="63"/>
        <v/>
      </c>
      <c r="T2028" s="1">
        <f>IF($E2028="",0,SUMPRODUCT((AY_SONU!$O$7:$O$42="Evet")*(AY_SONU!$B$7:$B$42=DATE(YEAR($E2028),MONTH($E2028),1))))</f>
        <v>0</v>
      </c>
      <c r="U2028" s="1" t="str">
        <f>IF(OR($G2028="",$H2028="Mahsup"),"",$G2028&amp;"|"&amp;COUNTIFS($G$7:$G2028,$G2028,$H$7:$H2028,"&lt;&gt;Mahsup"))</f>
        <v/>
      </c>
    </row>
    <row r="2029" spans="1:21" ht="18" customHeight="1" x14ac:dyDescent="0.3">
      <c r="A2029" s="2"/>
      <c r="B2029" s="65" t="str">
        <f>IF($D2029="","","T"&amp;TEXT(ROW()-6,"00000"))</f>
        <v/>
      </c>
      <c r="C2029" s="65" t="str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61"/>
      <c r="E2029" s="66"/>
      <c r="F2029" s="67"/>
      <c r="G2029" s="60"/>
      <c r="H2029" s="60"/>
      <c r="I2029" s="61"/>
      <c r="J2029" s="61"/>
      <c r="K2029" s="61"/>
      <c r="L2029" s="73" t="str">
        <f>IF($E2029="","",DATE(YEAR($E2029),MONTH($E2029),1))</f>
        <v/>
      </c>
      <c r="M2029" s="65" t="str">
        <f ca="1">IF($D2029="","",IF($C2029="TANIMSIZ MÜŞTERİ","HATA",IF(OR($E2029="",$F2029&lt;=0,$G2029=""),"EKSİK",IF($E2029&gt;TODAY(),"İLERİ TARİH",IF(COUNTIF($S$7:$S$2503,$S2029)&gt;1,"MÜKERRER?",IF($T2029&gt;0,"KAPALI DÖNEM","UYGUN"))))))</f>
        <v/>
      </c>
      <c r="N2029" s="74" t="str">
        <f>IF($C2029="","",IF($C2029="TANIMSIZ MÜŞTERİ","—",INDEX(MUSTERILER!$C$7:$C$156,MATCH($C2029,MUSTERILER!$B$7:$B$156,0))))</f>
        <v/>
      </c>
      <c r="O2029" s="2"/>
      <c r="P2029" s="2"/>
      <c r="Q2029" s="1" t="str">
        <f>IF($D2029="","",$C2029&amp;"|"&amp;COUNTIFS($C$7:$C2029,$C2029))</f>
        <v/>
      </c>
      <c r="R2029" s="1" t="str">
        <f t="shared" si="62"/>
        <v/>
      </c>
      <c r="S2029" s="1" t="str">
        <f t="shared" si="63"/>
        <v/>
      </c>
      <c r="T2029" s="1">
        <f>IF($E2029="",0,SUMPRODUCT((AY_SONU!$O$7:$O$42="Evet")*(AY_SONU!$B$7:$B$42=DATE(YEAR($E2029),MONTH($E2029),1))))</f>
        <v>0</v>
      </c>
      <c r="U2029" s="1" t="str">
        <f>IF(OR($G2029="",$H2029="Mahsup"),"",$G2029&amp;"|"&amp;COUNTIFS($G$7:$G2029,$G2029,$H$7:$H2029,"&lt;&gt;Mahsup"))</f>
        <v/>
      </c>
    </row>
    <row r="2030" spans="1:21" ht="18" customHeight="1" x14ac:dyDescent="0.3">
      <c r="A2030" s="2"/>
      <c r="B2030" s="65" t="str">
        <f>IF($D2030="","","T"&amp;TEXT(ROW()-6,"00000"))</f>
        <v/>
      </c>
      <c r="C2030" s="65" t="str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61"/>
      <c r="E2030" s="66"/>
      <c r="F2030" s="67"/>
      <c r="G2030" s="60"/>
      <c r="H2030" s="60"/>
      <c r="I2030" s="61"/>
      <c r="J2030" s="61"/>
      <c r="K2030" s="61"/>
      <c r="L2030" s="73" t="str">
        <f>IF($E2030="","",DATE(YEAR($E2030),MONTH($E2030),1))</f>
        <v/>
      </c>
      <c r="M2030" s="65" t="str">
        <f ca="1">IF($D2030="","",IF($C2030="TANIMSIZ MÜŞTERİ","HATA",IF(OR($E2030="",$F2030&lt;=0,$G2030=""),"EKSİK",IF($E2030&gt;TODAY(),"İLERİ TARİH",IF(COUNTIF($S$7:$S$2503,$S2030)&gt;1,"MÜKERRER?",IF($T2030&gt;0,"KAPALI DÖNEM","UYGUN"))))))</f>
        <v/>
      </c>
      <c r="N2030" s="74" t="str">
        <f>IF($C2030="","",IF($C2030="TANIMSIZ MÜŞTERİ","—",INDEX(MUSTERILER!$C$7:$C$156,MATCH($C2030,MUSTERILER!$B$7:$B$156,0))))</f>
        <v/>
      </c>
      <c r="O2030" s="2"/>
      <c r="P2030" s="2"/>
      <c r="Q2030" s="1" t="str">
        <f>IF($D2030="","",$C2030&amp;"|"&amp;COUNTIFS($C$7:$C2030,$C2030))</f>
        <v/>
      </c>
      <c r="R2030" s="1" t="str">
        <f t="shared" si="62"/>
        <v/>
      </c>
      <c r="S2030" s="1" t="str">
        <f t="shared" si="63"/>
        <v/>
      </c>
      <c r="T2030" s="1">
        <f>IF($E2030="",0,SUMPRODUCT((AY_SONU!$O$7:$O$42="Evet")*(AY_SONU!$B$7:$B$42=DATE(YEAR($E2030),MONTH($E2030),1))))</f>
        <v>0</v>
      </c>
      <c r="U2030" s="1" t="str">
        <f>IF(OR($G2030="",$H2030="Mahsup"),"",$G2030&amp;"|"&amp;COUNTIFS($G$7:$G2030,$G2030,$H$7:$H2030,"&lt;&gt;Mahsup"))</f>
        <v/>
      </c>
    </row>
    <row r="2031" spans="1:21" ht="18" customHeight="1" x14ac:dyDescent="0.3">
      <c r="A2031" s="2"/>
      <c r="B2031" s="65" t="str">
        <f>IF($D2031="","","T"&amp;TEXT(ROW()-6,"00000"))</f>
        <v/>
      </c>
      <c r="C2031" s="65" t="str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61"/>
      <c r="E2031" s="66"/>
      <c r="F2031" s="67"/>
      <c r="G2031" s="60"/>
      <c r="H2031" s="60"/>
      <c r="I2031" s="61"/>
      <c r="J2031" s="61"/>
      <c r="K2031" s="61"/>
      <c r="L2031" s="73" t="str">
        <f>IF($E2031="","",DATE(YEAR($E2031),MONTH($E2031),1))</f>
        <v/>
      </c>
      <c r="M2031" s="65" t="str">
        <f ca="1">IF($D2031="","",IF($C2031="TANIMSIZ MÜŞTERİ","HATA",IF(OR($E2031="",$F2031&lt;=0,$G2031=""),"EKSİK",IF($E2031&gt;TODAY(),"İLERİ TARİH",IF(COUNTIF($S$7:$S$2503,$S2031)&gt;1,"MÜKERRER?",IF($T2031&gt;0,"KAPALI DÖNEM","UYGUN"))))))</f>
        <v/>
      </c>
      <c r="N2031" s="74" t="str">
        <f>IF($C2031="","",IF($C2031="TANIMSIZ MÜŞTERİ","—",INDEX(MUSTERILER!$C$7:$C$156,MATCH($C2031,MUSTERILER!$B$7:$B$156,0))))</f>
        <v/>
      </c>
      <c r="O2031" s="2"/>
      <c r="P2031" s="2"/>
      <c r="Q2031" s="1" t="str">
        <f>IF($D2031="","",$C2031&amp;"|"&amp;COUNTIFS($C$7:$C2031,$C2031))</f>
        <v/>
      </c>
      <c r="R2031" s="1" t="str">
        <f t="shared" si="62"/>
        <v/>
      </c>
      <c r="S2031" s="1" t="str">
        <f t="shared" si="63"/>
        <v/>
      </c>
      <c r="T2031" s="1">
        <f>IF($E2031="",0,SUMPRODUCT((AY_SONU!$O$7:$O$42="Evet")*(AY_SONU!$B$7:$B$42=DATE(YEAR($E2031),MONTH($E2031),1))))</f>
        <v>0</v>
      </c>
      <c r="U2031" s="1" t="str">
        <f>IF(OR($G2031="",$H2031="Mahsup"),"",$G2031&amp;"|"&amp;COUNTIFS($G$7:$G2031,$G2031,$H$7:$H2031,"&lt;&gt;Mahsup"))</f>
        <v/>
      </c>
    </row>
    <row r="2032" spans="1:21" ht="18" customHeight="1" x14ac:dyDescent="0.3">
      <c r="A2032" s="2"/>
      <c r="B2032" s="65" t="str">
        <f>IF($D2032="","","T"&amp;TEXT(ROW()-6,"00000"))</f>
        <v/>
      </c>
      <c r="C2032" s="65" t="str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61"/>
      <c r="E2032" s="66"/>
      <c r="F2032" s="67"/>
      <c r="G2032" s="60"/>
      <c r="H2032" s="60"/>
      <c r="I2032" s="61"/>
      <c r="J2032" s="61"/>
      <c r="K2032" s="61"/>
      <c r="L2032" s="73" t="str">
        <f>IF($E2032="","",DATE(YEAR($E2032),MONTH($E2032),1))</f>
        <v/>
      </c>
      <c r="M2032" s="65" t="str">
        <f ca="1">IF($D2032="","",IF($C2032="TANIMSIZ MÜŞTERİ","HATA",IF(OR($E2032="",$F2032&lt;=0,$G2032=""),"EKSİK",IF($E2032&gt;TODAY(),"İLERİ TARİH",IF(COUNTIF($S$7:$S$2503,$S2032)&gt;1,"MÜKERRER?",IF($T2032&gt;0,"KAPALI DÖNEM","UYGUN"))))))</f>
        <v/>
      </c>
      <c r="N2032" s="74" t="str">
        <f>IF($C2032="","",IF($C2032="TANIMSIZ MÜŞTERİ","—",INDEX(MUSTERILER!$C$7:$C$156,MATCH($C2032,MUSTERILER!$B$7:$B$156,0))))</f>
        <v/>
      </c>
      <c r="O2032" s="2"/>
      <c r="P2032" s="2"/>
      <c r="Q2032" s="1" t="str">
        <f>IF($D2032="","",$C2032&amp;"|"&amp;COUNTIFS($C$7:$C2032,$C2032))</f>
        <v/>
      </c>
      <c r="R2032" s="1" t="str">
        <f t="shared" si="62"/>
        <v/>
      </c>
      <c r="S2032" s="1" t="str">
        <f t="shared" si="63"/>
        <v/>
      </c>
      <c r="T2032" s="1">
        <f>IF($E2032="",0,SUMPRODUCT((AY_SONU!$O$7:$O$42="Evet")*(AY_SONU!$B$7:$B$42=DATE(YEAR($E2032),MONTH($E2032),1))))</f>
        <v>0</v>
      </c>
      <c r="U2032" s="1" t="str">
        <f>IF(OR($G2032="",$H2032="Mahsup"),"",$G2032&amp;"|"&amp;COUNTIFS($G$7:$G2032,$G2032,$H$7:$H2032,"&lt;&gt;Mahsup"))</f>
        <v/>
      </c>
    </row>
    <row r="2033" spans="1:21" ht="18" customHeight="1" x14ac:dyDescent="0.3">
      <c r="A2033" s="2"/>
      <c r="B2033" s="65" t="str">
        <f>IF($D2033="","","T"&amp;TEXT(ROW()-6,"00000"))</f>
        <v/>
      </c>
      <c r="C2033" s="65" t="str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61"/>
      <c r="E2033" s="66"/>
      <c r="F2033" s="67"/>
      <c r="G2033" s="60"/>
      <c r="H2033" s="60"/>
      <c r="I2033" s="61"/>
      <c r="J2033" s="61"/>
      <c r="K2033" s="61"/>
      <c r="L2033" s="73" t="str">
        <f>IF($E2033="","",DATE(YEAR($E2033),MONTH($E2033),1))</f>
        <v/>
      </c>
      <c r="M2033" s="65" t="str">
        <f ca="1">IF($D2033="","",IF($C2033="TANIMSIZ MÜŞTERİ","HATA",IF(OR($E2033="",$F2033&lt;=0,$G2033=""),"EKSİK",IF($E2033&gt;TODAY(),"İLERİ TARİH",IF(COUNTIF($S$7:$S$2503,$S2033)&gt;1,"MÜKERRER?",IF($T2033&gt;0,"KAPALI DÖNEM","UYGUN"))))))</f>
        <v/>
      </c>
      <c r="N2033" s="74" t="str">
        <f>IF($C2033="","",IF($C2033="TANIMSIZ MÜŞTERİ","—",INDEX(MUSTERILER!$C$7:$C$156,MATCH($C2033,MUSTERILER!$B$7:$B$156,0))))</f>
        <v/>
      </c>
      <c r="O2033" s="2"/>
      <c r="P2033" s="2"/>
      <c r="Q2033" s="1" t="str">
        <f>IF($D2033="","",$C2033&amp;"|"&amp;COUNTIFS($C$7:$C2033,$C2033))</f>
        <v/>
      </c>
      <c r="R2033" s="1" t="str">
        <f t="shared" si="62"/>
        <v/>
      </c>
      <c r="S2033" s="1" t="str">
        <f t="shared" si="63"/>
        <v/>
      </c>
      <c r="T2033" s="1">
        <f>IF($E2033="",0,SUMPRODUCT((AY_SONU!$O$7:$O$42="Evet")*(AY_SONU!$B$7:$B$42=DATE(YEAR($E2033),MONTH($E2033),1))))</f>
        <v>0</v>
      </c>
      <c r="U2033" s="1" t="str">
        <f>IF(OR($G2033="",$H2033="Mahsup"),"",$G2033&amp;"|"&amp;COUNTIFS($G$7:$G2033,$G2033,$H$7:$H2033,"&lt;&gt;Mahsup"))</f>
        <v/>
      </c>
    </row>
    <row r="2034" spans="1:21" ht="18" customHeight="1" x14ac:dyDescent="0.3">
      <c r="A2034" s="2"/>
      <c r="B2034" s="65" t="str">
        <f>IF($D2034="","","T"&amp;TEXT(ROW()-6,"00000"))</f>
        <v/>
      </c>
      <c r="C2034" s="65" t="str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61"/>
      <c r="E2034" s="66"/>
      <c r="F2034" s="67"/>
      <c r="G2034" s="60"/>
      <c r="H2034" s="60"/>
      <c r="I2034" s="61"/>
      <c r="J2034" s="61"/>
      <c r="K2034" s="61"/>
      <c r="L2034" s="73" t="str">
        <f>IF($E2034="","",DATE(YEAR($E2034),MONTH($E2034),1))</f>
        <v/>
      </c>
      <c r="M2034" s="65" t="str">
        <f ca="1">IF($D2034="","",IF($C2034="TANIMSIZ MÜŞTERİ","HATA",IF(OR($E2034="",$F2034&lt;=0,$G2034=""),"EKSİK",IF($E2034&gt;TODAY(),"İLERİ TARİH",IF(COUNTIF($S$7:$S$2503,$S2034)&gt;1,"MÜKERRER?",IF($T2034&gt;0,"KAPALI DÖNEM","UYGUN"))))))</f>
        <v/>
      </c>
      <c r="N2034" s="74" t="str">
        <f>IF($C2034="","",IF($C2034="TANIMSIZ MÜŞTERİ","—",INDEX(MUSTERILER!$C$7:$C$156,MATCH($C2034,MUSTERILER!$B$7:$B$156,0))))</f>
        <v/>
      </c>
      <c r="O2034" s="2"/>
      <c r="P2034" s="2"/>
      <c r="Q2034" s="1" t="str">
        <f>IF($D2034="","",$C2034&amp;"|"&amp;COUNTIFS($C$7:$C2034,$C2034))</f>
        <v/>
      </c>
      <c r="R2034" s="1" t="str">
        <f t="shared" si="62"/>
        <v/>
      </c>
      <c r="S2034" s="1" t="str">
        <f t="shared" si="63"/>
        <v/>
      </c>
      <c r="T2034" s="1">
        <f>IF($E2034="",0,SUMPRODUCT((AY_SONU!$O$7:$O$42="Evet")*(AY_SONU!$B$7:$B$42=DATE(YEAR($E2034),MONTH($E2034),1))))</f>
        <v>0</v>
      </c>
      <c r="U2034" s="1" t="str">
        <f>IF(OR($G2034="",$H2034="Mahsup"),"",$G2034&amp;"|"&amp;COUNTIFS($G$7:$G2034,$G2034,$H$7:$H2034,"&lt;&gt;Mahsup"))</f>
        <v/>
      </c>
    </row>
    <row r="2035" spans="1:21" ht="18" customHeight="1" x14ac:dyDescent="0.3">
      <c r="A2035" s="2"/>
      <c r="B2035" s="65" t="str">
        <f>IF($D2035="","","T"&amp;TEXT(ROW()-6,"00000"))</f>
        <v/>
      </c>
      <c r="C2035" s="65" t="str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61"/>
      <c r="E2035" s="66"/>
      <c r="F2035" s="67"/>
      <c r="G2035" s="60"/>
      <c r="H2035" s="60"/>
      <c r="I2035" s="61"/>
      <c r="J2035" s="61"/>
      <c r="K2035" s="61"/>
      <c r="L2035" s="73" t="str">
        <f>IF($E2035="","",DATE(YEAR($E2035),MONTH($E2035),1))</f>
        <v/>
      </c>
      <c r="M2035" s="65" t="str">
        <f ca="1">IF($D2035="","",IF($C2035="TANIMSIZ MÜŞTERİ","HATA",IF(OR($E2035="",$F2035&lt;=0,$G2035=""),"EKSİK",IF($E2035&gt;TODAY(),"İLERİ TARİH",IF(COUNTIF($S$7:$S$2503,$S2035)&gt;1,"MÜKERRER?",IF($T2035&gt;0,"KAPALI DÖNEM","UYGUN"))))))</f>
        <v/>
      </c>
      <c r="N2035" s="74" t="str">
        <f>IF($C2035="","",IF($C2035="TANIMSIZ MÜŞTERİ","—",INDEX(MUSTERILER!$C$7:$C$156,MATCH($C2035,MUSTERILER!$B$7:$B$156,0))))</f>
        <v/>
      </c>
      <c r="O2035" s="2"/>
      <c r="P2035" s="2"/>
      <c r="Q2035" s="1" t="str">
        <f>IF($D2035="","",$C2035&amp;"|"&amp;COUNTIFS($C$7:$C2035,$C2035))</f>
        <v/>
      </c>
      <c r="R2035" s="1" t="str">
        <f t="shared" si="62"/>
        <v/>
      </c>
      <c r="S2035" s="1" t="str">
        <f t="shared" si="63"/>
        <v/>
      </c>
      <c r="T2035" s="1">
        <f>IF($E2035="",0,SUMPRODUCT((AY_SONU!$O$7:$O$42="Evet")*(AY_SONU!$B$7:$B$42=DATE(YEAR($E2035),MONTH($E2035),1))))</f>
        <v>0</v>
      </c>
      <c r="U2035" s="1" t="str">
        <f>IF(OR($G2035="",$H2035="Mahsup"),"",$G2035&amp;"|"&amp;COUNTIFS($G$7:$G2035,$G2035,$H$7:$H2035,"&lt;&gt;Mahsup"))</f>
        <v/>
      </c>
    </row>
    <row r="2036" spans="1:21" ht="18" customHeight="1" x14ac:dyDescent="0.3">
      <c r="A2036" s="2"/>
      <c r="B2036" s="65" t="str">
        <f>IF($D2036="","","T"&amp;TEXT(ROW()-6,"00000"))</f>
        <v/>
      </c>
      <c r="C2036" s="65" t="str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61"/>
      <c r="E2036" s="66"/>
      <c r="F2036" s="67"/>
      <c r="G2036" s="60"/>
      <c r="H2036" s="60"/>
      <c r="I2036" s="61"/>
      <c r="J2036" s="61"/>
      <c r="K2036" s="61"/>
      <c r="L2036" s="73" t="str">
        <f>IF($E2036="","",DATE(YEAR($E2036),MONTH($E2036),1))</f>
        <v/>
      </c>
      <c r="M2036" s="65" t="str">
        <f ca="1">IF($D2036="","",IF($C2036="TANIMSIZ MÜŞTERİ","HATA",IF(OR($E2036="",$F2036&lt;=0,$G2036=""),"EKSİK",IF($E2036&gt;TODAY(),"İLERİ TARİH",IF(COUNTIF($S$7:$S$2503,$S2036)&gt;1,"MÜKERRER?",IF($T2036&gt;0,"KAPALI DÖNEM","UYGUN"))))))</f>
        <v/>
      </c>
      <c r="N2036" s="74" t="str">
        <f>IF($C2036="","",IF($C2036="TANIMSIZ MÜŞTERİ","—",INDEX(MUSTERILER!$C$7:$C$156,MATCH($C2036,MUSTERILER!$B$7:$B$156,0))))</f>
        <v/>
      </c>
      <c r="O2036" s="2"/>
      <c r="P2036" s="2"/>
      <c r="Q2036" s="1" t="str">
        <f>IF($D2036="","",$C2036&amp;"|"&amp;COUNTIFS($C$7:$C2036,$C2036))</f>
        <v/>
      </c>
      <c r="R2036" s="1" t="str">
        <f t="shared" si="62"/>
        <v/>
      </c>
      <c r="S2036" s="1" t="str">
        <f t="shared" si="63"/>
        <v/>
      </c>
      <c r="T2036" s="1">
        <f>IF($E2036="",0,SUMPRODUCT((AY_SONU!$O$7:$O$42="Evet")*(AY_SONU!$B$7:$B$42=DATE(YEAR($E2036),MONTH($E2036),1))))</f>
        <v>0</v>
      </c>
      <c r="U2036" s="1" t="str">
        <f>IF(OR($G2036="",$H2036="Mahsup"),"",$G2036&amp;"|"&amp;COUNTIFS($G$7:$G2036,$G2036,$H$7:$H2036,"&lt;&gt;Mahsup"))</f>
        <v/>
      </c>
    </row>
    <row r="2037" spans="1:21" ht="18" customHeight="1" x14ac:dyDescent="0.3">
      <c r="A2037" s="2"/>
      <c r="B2037" s="65" t="str">
        <f>IF($D2037="","","T"&amp;TEXT(ROW()-6,"00000"))</f>
        <v/>
      </c>
      <c r="C2037" s="65" t="str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61"/>
      <c r="E2037" s="66"/>
      <c r="F2037" s="67"/>
      <c r="G2037" s="60"/>
      <c r="H2037" s="60"/>
      <c r="I2037" s="61"/>
      <c r="J2037" s="61"/>
      <c r="K2037" s="61"/>
      <c r="L2037" s="73" t="str">
        <f>IF($E2037="","",DATE(YEAR($E2037),MONTH($E2037),1))</f>
        <v/>
      </c>
      <c r="M2037" s="65" t="str">
        <f ca="1">IF($D2037="","",IF($C2037="TANIMSIZ MÜŞTERİ","HATA",IF(OR($E2037="",$F2037&lt;=0,$G2037=""),"EKSİK",IF($E2037&gt;TODAY(),"İLERİ TARİH",IF(COUNTIF($S$7:$S$2503,$S2037)&gt;1,"MÜKERRER?",IF($T2037&gt;0,"KAPALI DÖNEM","UYGUN"))))))</f>
        <v/>
      </c>
      <c r="N2037" s="74" t="str">
        <f>IF($C2037="","",IF($C2037="TANIMSIZ MÜŞTERİ","—",INDEX(MUSTERILER!$C$7:$C$156,MATCH($C2037,MUSTERILER!$B$7:$B$156,0))))</f>
        <v/>
      </c>
      <c r="O2037" s="2"/>
      <c r="P2037" s="2"/>
      <c r="Q2037" s="1" t="str">
        <f>IF($D2037="","",$C2037&amp;"|"&amp;COUNTIFS($C$7:$C2037,$C2037))</f>
        <v/>
      </c>
      <c r="R2037" s="1" t="str">
        <f t="shared" si="62"/>
        <v/>
      </c>
      <c r="S2037" s="1" t="str">
        <f t="shared" si="63"/>
        <v/>
      </c>
      <c r="T2037" s="1">
        <f>IF($E2037="",0,SUMPRODUCT((AY_SONU!$O$7:$O$42="Evet")*(AY_SONU!$B$7:$B$42=DATE(YEAR($E2037),MONTH($E2037),1))))</f>
        <v>0</v>
      </c>
      <c r="U2037" s="1" t="str">
        <f>IF(OR($G2037="",$H2037="Mahsup"),"",$G2037&amp;"|"&amp;COUNTIFS($G$7:$G2037,$G2037,$H$7:$H2037,"&lt;&gt;Mahsup"))</f>
        <v/>
      </c>
    </row>
    <row r="2038" spans="1:21" ht="18" customHeight="1" x14ac:dyDescent="0.3">
      <c r="A2038" s="2"/>
      <c r="B2038" s="65" t="str">
        <f>IF($D2038="","","T"&amp;TEXT(ROW()-6,"00000"))</f>
        <v/>
      </c>
      <c r="C2038" s="65" t="str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61"/>
      <c r="E2038" s="66"/>
      <c r="F2038" s="67"/>
      <c r="G2038" s="60"/>
      <c r="H2038" s="60"/>
      <c r="I2038" s="61"/>
      <c r="J2038" s="61"/>
      <c r="K2038" s="61"/>
      <c r="L2038" s="73" t="str">
        <f>IF($E2038="","",DATE(YEAR($E2038),MONTH($E2038),1))</f>
        <v/>
      </c>
      <c r="M2038" s="65" t="str">
        <f ca="1">IF($D2038="","",IF($C2038="TANIMSIZ MÜŞTERİ","HATA",IF(OR($E2038="",$F2038&lt;=0,$G2038=""),"EKSİK",IF($E2038&gt;TODAY(),"İLERİ TARİH",IF(COUNTIF($S$7:$S$2503,$S2038)&gt;1,"MÜKERRER?",IF($T2038&gt;0,"KAPALI DÖNEM","UYGUN"))))))</f>
        <v/>
      </c>
      <c r="N2038" s="74" t="str">
        <f>IF($C2038="","",IF($C2038="TANIMSIZ MÜŞTERİ","—",INDEX(MUSTERILER!$C$7:$C$156,MATCH($C2038,MUSTERILER!$B$7:$B$156,0))))</f>
        <v/>
      </c>
      <c r="O2038" s="2"/>
      <c r="P2038" s="2"/>
      <c r="Q2038" s="1" t="str">
        <f>IF($D2038="","",$C2038&amp;"|"&amp;COUNTIFS($C$7:$C2038,$C2038))</f>
        <v/>
      </c>
      <c r="R2038" s="1" t="str">
        <f t="shared" si="62"/>
        <v/>
      </c>
      <c r="S2038" s="1" t="str">
        <f t="shared" si="63"/>
        <v/>
      </c>
      <c r="T2038" s="1">
        <f>IF($E2038="",0,SUMPRODUCT((AY_SONU!$O$7:$O$42="Evet")*(AY_SONU!$B$7:$B$42=DATE(YEAR($E2038),MONTH($E2038),1))))</f>
        <v>0</v>
      </c>
      <c r="U2038" s="1" t="str">
        <f>IF(OR($G2038="",$H2038="Mahsup"),"",$G2038&amp;"|"&amp;COUNTIFS($G$7:$G2038,$G2038,$H$7:$H2038,"&lt;&gt;Mahsup"))</f>
        <v/>
      </c>
    </row>
    <row r="2039" spans="1:21" ht="18" customHeight="1" x14ac:dyDescent="0.3">
      <c r="A2039" s="2"/>
      <c r="B2039" s="65" t="str">
        <f>IF($D2039="","","T"&amp;TEXT(ROW()-6,"00000"))</f>
        <v/>
      </c>
      <c r="C2039" s="65" t="str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61"/>
      <c r="E2039" s="66"/>
      <c r="F2039" s="67"/>
      <c r="G2039" s="60"/>
      <c r="H2039" s="60"/>
      <c r="I2039" s="61"/>
      <c r="J2039" s="61"/>
      <c r="K2039" s="61"/>
      <c r="L2039" s="73" t="str">
        <f>IF($E2039="","",DATE(YEAR($E2039),MONTH($E2039),1))</f>
        <v/>
      </c>
      <c r="M2039" s="65" t="str">
        <f ca="1">IF($D2039="","",IF($C2039="TANIMSIZ MÜŞTERİ","HATA",IF(OR($E2039="",$F2039&lt;=0,$G2039=""),"EKSİK",IF($E2039&gt;TODAY(),"İLERİ TARİH",IF(COUNTIF($S$7:$S$2503,$S2039)&gt;1,"MÜKERRER?",IF($T2039&gt;0,"KAPALI DÖNEM","UYGUN"))))))</f>
        <v/>
      </c>
      <c r="N2039" s="74" t="str">
        <f>IF($C2039="","",IF($C2039="TANIMSIZ MÜŞTERİ","—",INDEX(MUSTERILER!$C$7:$C$156,MATCH($C2039,MUSTERILER!$B$7:$B$156,0))))</f>
        <v/>
      </c>
      <c r="O2039" s="2"/>
      <c r="P2039" s="2"/>
      <c r="Q2039" s="1" t="str">
        <f>IF($D2039="","",$C2039&amp;"|"&amp;COUNTIFS($C$7:$C2039,$C2039))</f>
        <v/>
      </c>
      <c r="R2039" s="1" t="str">
        <f t="shared" si="62"/>
        <v/>
      </c>
      <c r="S2039" s="1" t="str">
        <f t="shared" si="63"/>
        <v/>
      </c>
      <c r="T2039" s="1">
        <f>IF($E2039="",0,SUMPRODUCT((AY_SONU!$O$7:$O$42="Evet")*(AY_SONU!$B$7:$B$42=DATE(YEAR($E2039),MONTH($E2039),1))))</f>
        <v>0</v>
      </c>
      <c r="U2039" s="1" t="str">
        <f>IF(OR($G2039="",$H2039="Mahsup"),"",$G2039&amp;"|"&amp;COUNTIFS($G$7:$G2039,$G2039,$H$7:$H2039,"&lt;&gt;Mahsup"))</f>
        <v/>
      </c>
    </row>
    <row r="2040" spans="1:21" ht="18" customHeight="1" x14ac:dyDescent="0.3">
      <c r="A2040" s="2"/>
      <c r="B2040" s="65" t="str">
        <f>IF($D2040="","","T"&amp;TEXT(ROW()-6,"00000"))</f>
        <v/>
      </c>
      <c r="C2040" s="65" t="str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61"/>
      <c r="E2040" s="66"/>
      <c r="F2040" s="67"/>
      <c r="G2040" s="60"/>
      <c r="H2040" s="60"/>
      <c r="I2040" s="61"/>
      <c r="J2040" s="61"/>
      <c r="K2040" s="61"/>
      <c r="L2040" s="73" t="str">
        <f>IF($E2040="","",DATE(YEAR($E2040),MONTH($E2040),1))</f>
        <v/>
      </c>
      <c r="M2040" s="65" t="str">
        <f ca="1">IF($D2040="","",IF($C2040="TANIMSIZ MÜŞTERİ","HATA",IF(OR($E2040="",$F2040&lt;=0,$G2040=""),"EKSİK",IF($E2040&gt;TODAY(),"İLERİ TARİH",IF(COUNTIF($S$7:$S$2503,$S2040)&gt;1,"MÜKERRER?",IF($T2040&gt;0,"KAPALI DÖNEM","UYGUN"))))))</f>
        <v/>
      </c>
      <c r="N2040" s="74" t="str">
        <f>IF($C2040="","",IF($C2040="TANIMSIZ MÜŞTERİ","—",INDEX(MUSTERILER!$C$7:$C$156,MATCH($C2040,MUSTERILER!$B$7:$B$156,0))))</f>
        <v/>
      </c>
      <c r="O2040" s="2"/>
      <c r="P2040" s="2"/>
      <c r="Q2040" s="1" t="str">
        <f>IF($D2040="","",$C2040&amp;"|"&amp;COUNTIFS($C$7:$C2040,$C2040))</f>
        <v/>
      </c>
      <c r="R2040" s="1" t="str">
        <f t="shared" si="62"/>
        <v/>
      </c>
      <c r="S2040" s="1" t="str">
        <f t="shared" si="63"/>
        <v/>
      </c>
      <c r="T2040" s="1">
        <f>IF($E2040="",0,SUMPRODUCT((AY_SONU!$O$7:$O$42="Evet")*(AY_SONU!$B$7:$B$42=DATE(YEAR($E2040),MONTH($E2040),1))))</f>
        <v>0</v>
      </c>
      <c r="U2040" s="1" t="str">
        <f>IF(OR($G2040="",$H2040="Mahsup"),"",$G2040&amp;"|"&amp;COUNTIFS($G$7:$G2040,$G2040,$H$7:$H2040,"&lt;&gt;Mahsup"))</f>
        <v/>
      </c>
    </row>
    <row r="2041" spans="1:21" ht="18" customHeight="1" x14ac:dyDescent="0.3">
      <c r="A2041" s="2"/>
      <c r="B2041" s="65" t="str">
        <f>IF($D2041="","","T"&amp;TEXT(ROW()-6,"00000"))</f>
        <v/>
      </c>
      <c r="C2041" s="65" t="str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61"/>
      <c r="E2041" s="66"/>
      <c r="F2041" s="67"/>
      <c r="G2041" s="60"/>
      <c r="H2041" s="60"/>
      <c r="I2041" s="61"/>
      <c r="J2041" s="61"/>
      <c r="K2041" s="61"/>
      <c r="L2041" s="73" t="str">
        <f>IF($E2041="","",DATE(YEAR($E2041),MONTH($E2041),1))</f>
        <v/>
      </c>
      <c r="M2041" s="65" t="str">
        <f ca="1">IF($D2041="","",IF($C2041="TANIMSIZ MÜŞTERİ","HATA",IF(OR($E2041="",$F2041&lt;=0,$G2041=""),"EKSİK",IF($E2041&gt;TODAY(),"İLERİ TARİH",IF(COUNTIF($S$7:$S$2503,$S2041)&gt;1,"MÜKERRER?",IF($T2041&gt;0,"KAPALI DÖNEM","UYGUN"))))))</f>
        <v/>
      </c>
      <c r="N2041" s="74" t="str">
        <f>IF($C2041="","",IF($C2041="TANIMSIZ MÜŞTERİ","—",INDEX(MUSTERILER!$C$7:$C$156,MATCH($C2041,MUSTERILER!$B$7:$B$156,0))))</f>
        <v/>
      </c>
      <c r="O2041" s="2"/>
      <c r="P2041" s="2"/>
      <c r="Q2041" s="1" t="str">
        <f>IF($D2041="","",$C2041&amp;"|"&amp;COUNTIFS($C$7:$C2041,$C2041))</f>
        <v/>
      </c>
      <c r="R2041" s="1" t="str">
        <f t="shared" si="62"/>
        <v/>
      </c>
      <c r="S2041" s="1" t="str">
        <f t="shared" si="63"/>
        <v/>
      </c>
      <c r="T2041" s="1">
        <f>IF($E2041="",0,SUMPRODUCT((AY_SONU!$O$7:$O$42="Evet")*(AY_SONU!$B$7:$B$42=DATE(YEAR($E2041),MONTH($E2041),1))))</f>
        <v>0</v>
      </c>
      <c r="U2041" s="1" t="str">
        <f>IF(OR($G2041="",$H2041="Mahsup"),"",$G2041&amp;"|"&amp;COUNTIFS($G$7:$G2041,$G2041,$H$7:$H2041,"&lt;&gt;Mahsup"))</f>
        <v/>
      </c>
    </row>
    <row r="2042" spans="1:21" ht="18" customHeight="1" x14ac:dyDescent="0.3">
      <c r="A2042" s="2"/>
      <c r="B2042" s="65" t="str">
        <f>IF($D2042="","","T"&amp;TEXT(ROW()-6,"00000"))</f>
        <v/>
      </c>
      <c r="C2042" s="65" t="str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61"/>
      <c r="E2042" s="66"/>
      <c r="F2042" s="67"/>
      <c r="G2042" s="60"/>
      <c r="H2042" s="60"/>
      <c r="I2042" s="61"/>
      <c r="J2042" s="61"/>
      <c r="K2042" s="61"/>
      <c r="L2042" s="73" t="str">
        <f>IF($E2042="","",DATE(YEAR($E2042),MONTH($E2042),1))</f>
        <v/>
      </c>
      <c r="M2042" s="65" t="str">
        <f ca="1">IF($D2042="","",IF($C2042="TANIMSIZ MÜŞTERİ","HATA",IF(OR($E2042="",$F2042&lt;=0,$G2042=""),"EKSİK",IF($E2042&gt;TODAY(),"İLERİ TARİH",IF(COUNTIF($S$7:$S$2503,$S2042)&gt;1,"MÜKERRER?",IF($T2042&gt;0,"KAPALI DÖNEM","UYGUN"))))))</f>
        <v/>
      </c>
      <c r="N2042" s="74" t="str">
        <f>IF($C2042="","",IF($C2042="TANIMSIZ MÜŞTERİ","—",INDEX(MUSTERILER!$C$7:$C$156,MATCH($C2042,MUSTERILER!$B$7:$B$156,0))))</f>
        <v/>
      </c>
      <c r="O2042" s="2"/>
      <c r="P2042" s="2"/>
      <c r="Q2042" s="1" t="str">
        <f>IF($D2042="","",$C2042&amp;"|"&amp;COUNTIFS($C$7:$C2042,$C2042))</f>
        <v/>
      </c>
      <c r="R2042" s="1" t="str">
        <f t="shared" si="62"/>
        <v/>
      </c>
      <c r="S2042" s="1" t="str">
        <f t="shared" si="63"/>
        <v/>
      </c>
      <c r="T2042" s="1">
        <f>IF($E2042="",0,SUMPRODUCT((AY_SONU!$O$7:$O$42="Evet")*(AY_SONU!$B$7:$B$42=DATE(YEAR($E2042),MONTH($E2042),1))))</f>
        <v>0</v>
      </c>
      <c r="U2042" s="1" t="str">
        <f>IF(OR($G2042="",$H2042="Mahsup"),"",$G2042&amp;"|"&amp;COUNTIFS($G$7:$G2042,$G2042,$H$7:$H2042,"&lt;&gt;Mahsup"))</f>
        <v/>
      </c>
    </row>
    <row r="2043" spans="1:21" ht="18" customHeight="1" x14ac:dyDescent="0.3">
      <c r="A2043" s="2"/>
      <c r="B2043" s="65" t="str">
        <f>IF($D2043="","","T"&amp;TEXT(ROW()-6,"00000"))</f>
        <v/>
      </c>
      <c r="C2043" s="65" t="str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61"/>
      <c r="E2043" s="66"/>
      <c r="F2043" s="67"/>
      <c r="G2043" s="60"/>
      <c r="H2043" s="60"/>
      <c r="I2043" s="61"/>
      <c r="J2043" s="61"/>
      <c r="K2043" s="61"/>
      <c r="L2043" s="73" t="str">
        <f>IF($E2043="","",DATE(YEAR($E2043),MONTH($E2043),1))</f>
        <v/>
      </c>
      <c r="M2043" s="65" t="str">
        <f ca="1">IF($D2043="","",IF($C2043="TANIMSIZ MÜŞTERİ","HATA",IF(OR($E2043="",$F2043&lt;=0,$G2043=""),"EKSİK",IF($E2043&gt;TODAY(),"İLERİ TARİH",IF(COUNTIF($S$7:$S$2503,$S2043)&gt;1,"MÜKERRER?",IF($T2043&gt;0,"KAPALI DÖNEM","UYGUN"))))))</f>
        <v/>
      </c>
      <c r="N2043" s="74" t="str">
        <f>IF($C2043="","",IF($C2043="TANIMSIZ MÜŞTERİ","—",INDEX(MUSTERILER!$C$7:$C$156,MATCH($C2043,MUSTERILER!$B$7:$B$156,0))))</f>
        <v/>
      </c>
      <c r="O2043" s="2"/>
      <c r="P2043" s="2"/>
      <c r="Q2043" s="1" t="str">
        <f>IF($D2043="","",$C2043&amp;"|"&amp;COUNTIFS($C$7:$C2043,$C2043))</f>
        <v/>
      </c>
      <c r="R2043" s="1" t="str">
        <f t="shared" si="62"/>
        <v/>
      </c>
      <c r="S2043" s="1" t="str">
        <f t="shared" si="63"/>
        <v/>
      </c>
      <c r="T2043" s="1">
        <f>IF($E2043="",0,SUMPRODUCT((AY_SONU!$O$7:$O$42="Evet")*(AY_SONU!$B$7:$B$42=DATE(YEAR($E2043),MONTH($E2043),1))))</f>
        <v>0</v>
      </c>
      <c r="U2043" s="1" t="str">
        <f>IF(OR($G2043="",$H2043="Mahsup"),"",$G2043&amp;"|"&amp;COUNTIFS($G$7:$G2043,$G2043,$H$7:$H2043,"&lt;&gt;Mahsup"))</f>
        <v/>
      </c>
    </row>
    <row r="2044" spans="1:21" ht="18" customHeight="1" x14ac:dyDescent="0.3">
      <c r="A2044" s="2"/>
      <c r="B2044" s="65" t="str">
        <f>IF($D2044="","","T"&amp;TEXT(ROW()-6,"00000"))</f>
        <v/>
      </c>
      <c r="C2044" s="65" t="str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61"/>
      <c r="E2044" s="66"/>
      <c r="F2044" s="67"/>
      <c r="G2044" s="60"/>
      <c r="H2044" s="60"/>
      <c r="I2044" s="61"/>
      <c r="J2044" s="61"/>
      <c r="K2044" s="61"/>
      <c r="L2044" s="73" t="str">
        <f>IF($E2044="","",DATE(YEAR($E2044),MONTH($E2044),1))</f>
        <v/>
      </c>
      <c r="M2044" s="65" t="str">
        <f ca="1">IF($D2044="","",IF($C2044="TANIMSIZ MÜŞTERİ","HATA",IF(OR($E2044="",$F2044&lt;=0,$G2044=""),"EKSİK",IF($E2044&gt;TODAY(),"İLERİ TARİH",IF(COUNTIF($S$7:$S$2503,$S2044)&gt;1,"MÜKERRER?",IF($T2044&gt;0,"KAPALI DÖNEM","UYGUN"))))))</f>
        <v/>
      </c>
      <c r="N2044" s="74" t="str">
        <f>IF($C2044="","",IF($C2044="TANIMSIZ MÜŞTERİ","—",INDEX(MUSTERILER!$C$7:$C$156,MATCH($C2044,MUSTERILER!$B$7:$B$156,0))))</f>
        <v/>
      </c>
      <c r="O2044" s="2"/>
      <c r="P2044" s="2"/>
      <c r="Q2044" s="1" t="str">
        <f>IF($D2044="","",$C2044&amp;"|"&amp;COUNTIFS($C$7:$C2044,$C2044))</f>
        <v/>
      </c>
      <c r="R2044" s="1" t="str">
        <f t="shared" si="62"/>
        <v/>
      </c>
      <c r="S2044" s="1" t="str">
        <f t="shared" si="63"/>
        <v/>
      </c>
      <c r="T2044" s="1">
        <f>IF($E2044="",0,SUMPRODUCT((AY_SONU!$O$7:$O$42="Evet")*(AY_SONU!$B$7:$B$42=DATE(YEAR($E2044),MONTH($E2044),1))))</f>
        <v>0</v>
      </c>
      <c r="U2044" s="1" t="str">
        <f>IF(OR($G2044="",$H2044="Mahsup"),"",$G2044&amp;"|"&amp;COUNTIFS($G$7:$G2044,$G2044,$H$7:$H2044,"&lt;&gt;Mahsup"))</f>
        <v/>
      </c>
    </row>
    <row r="2045" spans="1:21" ht="18" customHeight="1" x14ac:dyDescent="0.3">
      <c r="A2045" s="2"/>
      <c r="B2045" s="65" t="str">
        <f>IF($D2045="","","T"&amp;TEXT(ROW()-6,"00000"))</f>
        <v/>
      </c>
      <c r="C2045" s="65" t="str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61"/>
      <c r="E2045" s="66"/>
      <c r="F2045" s="67"/>
      <c r="G2045" s="60"/>
      <c r="H2045" s="60"/>
      <c r="I2045" s="61"/>
      <c r="J2045" s="61"/>
      <c r="K2045" s="61"/>
      <c r="L2045" s="73" t="str">
        <f>IF($E2045="","",DATE(YEAR($E2045),MONTH($E2045),1))</f>
        <v/>
      </c>
      <c r="M2045" s="65" t="str">
        <f ca="1">IF($D2045="","",IF($C2045="TANIMSIZ MÜŞTERİ","HATA",IF(OR($E2045="",$F2045&lt;=0,$G2045=""),"EKSİK",IF($E2045&gt;TODAY(),"İLERİ TARİH",IF(COUNTIF($S$7:$S$2503,$S2045)&gt;1,"MÜKERRER?",IF($T2045&gt;0,"KAPALI DÖNEM","UYGUN"))))))</f>
        <v/>
      </c>
      <c r="N2045" s="74" t="str">
        <f>IF($C2045="","",IF($C2045="TANIMSIZ MÜŞTERİ","—",INDEX(MUSTERILER!$C$7:$C$156,MATCH($C2045,MUSTERILER!$B$7:$B$156,0))))</f>
        <v/>
      </c>
      <c r="O2045" s="2"/>
      <c r="P2045" s="2"/>
      <c r="Q2045" s="1" t="str">
        <f>IF($D2045="","",$C2045&amp;"|"&amp;COUNTIFS($C$7:$C2045,$C2045))</f>
        <v/>
      </c>
      <c r="R2045" s="1" t="str">
        <f t="shared" si="62"/>
        <v/>
      </c>
      <c r="S2045" s="1" t="str">
        <f t="shared" si="63"/>
        <v/>
      </c>
      <c r="T2045" s="1">
        <f>IF($E2045="",0,SUMPRODUCT((AY_SONU!$O$7:$O$42="Evet")*(AY_SONU!$B$7:$B$42=DATE(YEAR($E2045),MONTH($E2045),1))))</f>
        <v>0</v>
      </c>
      <c r="U2045" s="1" t="str">
        <f>IF(OR($G2045="",$H2045="Mahsup"),"",$G2045&amp;"|"&amp;COUNTIFS($G$7:$G2045,$G2045,$H$7:$H2045,"&lt;&gt;Mahsup"))</f>
        <v/>
      </c>
    </row>
    <row r="2046" spans="1:21" ht="18" customHeight="1" x14ac:dyDescent="0.3">
      <c r="A2046" s="2"/>
      <c r="B2046" s="65" t="str">
        <f>IF($D2046="","","T"&amp;TEXT(ROW()-6,"00000"))</f>
        <v/>
      </c>
      <c r="C2046" s="65" t="str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61"/>
      <c r="E2046" s="66"/>
      <c r="F2046" s="67"/>
      <c r="G2046" s="60"/>
      <c r="H2046" s="60"/>
      <c r="I2046" s="61"/>
      <c r="J2046" s="61"/>
      <c r="K2046" s="61"/>
      <c r="L2046" s="73" t="str">
        <f>IF($E2046="","",DATE(YEAR($E2046),MONTH($E2046),1))</f>
        <v/>
      </c>
      <c r="M2046" s="65" t="str">
        <f ca="1">IF($D2046="","",IF($C2046="TANIMSIZ MÜŞTERİ","HATA",IF(OR($E2046="",$F2046&lt;=0,$G2046=""),"EKSİK",IF($E2046&gt;TODAY(),"İLERİ TARİH",IF(COUNTIF($S$7:$S$2503,$S2046)&gt;1,"MÜKERRER?",IF($T2046&gt;0,"KAPALI DÖNEM","UYGUN"))))))</f>
        <v/>
      </c>
      <c r="N2046" s="74" t="str">
        <f>IF($C2046="","",IF($C2046="TANIMSIZ MÜŞTERİ","—",INDEX(MUSTERILER!$C$7:$C$156,MATCH($C2046,MUSTERILER!$B$7:$B$156,0))))</f>
        <v/>
      </c>
      <c r="O2046" s="2"/>
      <c r="P2046" s="2"/>
      <c r="Q2046" s="1" t="str">
        <f>IF($D2046="","",$C2046&amp;"|"&amp;COUNTIFS($C$7:$C2046,$C2046))</f>
        <v/>
      </c>
      <c r="R2046" s="1" t="str">
        <f t="shared" si="62"/>
        <v/>
      </c>
      <c r="S2046" s="1" t="str">
        <f t="shared" si="63"/>
        <v/>
      </c>
      <c r="T2046" s="1">
        <f>IF($E2046="",0,SUMPRODUCT((AY_SONU!$O$7:$O$42="Evet")*(AY_SONU!$B$7:$B$42=DATE(YEAR($E2046),MONTH($E2046),1))))</f>
        <v>0</v>
      </c>
      <c r="U2046" s="1" t="str">
        <f>IF(OR($G2046="",$H2046="Mahsup"),"",$G2046&amp;"|"&amp;COUNTIFS($G$7:$G2046,$G2046,$H$7:$H2046,"&lt;&gt;Mahsup"))</f>
        <v/>
      </c>
    </row>
    <row r="2047" spans="1:21" ht="18" customHeight="1" x14ac:dyDescent="0.3">
      <c r="A2047" s="2"/>
      <c r="B2047" s="65" t="str">
        <f>IF($D2047="","","T"&amp;TEXT(ROW()-6,"00000"))</f>
        <v/>
      </c>
      <c r="C2047" s="65" t="str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61"/>
      <c r="E2047" s="66"/>
      <c r="F2047" s="67"/>
      <c r="G2047" s="60"/>
      <c r="H2047" s="60"/>
      <c r="I2047" s="61"/>
      <c r="J2047" s="61"/>
      <c r="K2047" s="61"/>
      <c r="L2047" s="73" t="str">
        <f>IF($E2047="","",DATE(YEAR($E2047),MONTH($E2047),1))</f>
        <v/>
      </c>
      <c r="M2047" s="65" t="str">
        <f ca="1">IF($D2047="","",IF($C2047="TANIMSIZ MÜŞTERİ","HATA",IF(OR($E2047="",$F2047&lt;=0,$G2047=""),"EKSİK",IF($E2047&gt;TODAY(),"İLERİ TARİH",IF(COUNTIF($S$7:$S$2503,$S2047)&gt;1,"MÜKERRER?",IF($T2047&gt;0,"KAPALI DÖNEM","UYGUN"))))))</f>
        <v/>
      </c>
      <c r="N2047" s="74" t="str">
        <f>IF($C2047="","",IF($C2047="TANIMSIZ MÜŞTERİ","—",INDEX(MUSTERILER!$C$7:$C$156,MATCH($C2047,MUSTERILER!$B$7:$B$156,0))))</f>
        <v/>
      </c>
      <c r="O2047" s="2"/>
      <c r="P2047" s="2"/>
      <c r="Q2047" s="1" t="str">
        <f>IF($D2047="","",$C2047&amp;"|"&amp;COUNTIFS($C$7:$C2047,$C2047))</f>
        <v/>
      </c>
      <c r="R2047" s="1" t="str">
        <f t="shared" si="62"/>
        <v/>
      </c>
      <c r="S2047" s="1" t="str">
        <f t="shared" si="63"/>
        <v/>
      </c>
      <c r="T2047" s="1">
        <f>IF($E2047="",0,SUMPRODUCT((AY_SONU!$O$7:$O$42="Evet")*(AY_SONU!$B$7:$B$42=DATE(YEAR($E2047),MONTH($E2047),1))))</f>
        <v>0</v>
      </c>
      <c r="U2047" s="1" t="str">
        <f>IF(OR($G2047="",$H2047="Mahsup"),"",$G2047&amp;"|"&amp;COUNTIFS($G$7:$G2047,$G2047,$H$7:$H2047,"&lt;&gt;Mahsup"))</f>
        <v/>
      </c>
    </row>
    <row r="2048" spans="1:21" ht="18" customHeight="1" x14ac:dyDescent="0.3">
      <c r="A2048" s="2"/>
      <c r="B2048" s="65" t="str">
        <f>IF($D2048="","","T"&amp;TEXT(ROW()-6,"00000"))</f>
        <v/>
      </c>
      <c r="C2048" s="65" t="str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61"/>
      <c r="E2048" s="66"/>
      <c r="F2048" s="67"/>
      <c r="G2048" s="60"/>
      <c r="H2048" s="60"/>
      <c r="I2048" s="61"/>
      <c r="J2048" s="61"/>
      <c r="K2048" s="61"/>
      <c r="L2048" s="73" t="str">
        <f>IF($E2048="","",DATE(YEAR($E2048),MONTH($E2048),1))</f>
        <v/>
      </c>
      <c r="M2048" s="65" t="str">
        <f ca="1">IF($D2048="","",IF($C2048="TANIMSIZ MÜŞTERİ","HATA",IF(OR($E2048="",$F2048&lt;=0,$G2048=""),"EKSİK",IF($E2048&gt;TODAY(),"İLERİ TARİH",IF(COUNTIF($S$7:$S$2503,$S2048)&gt;1,"MÜKERRER?",IF($T2048&gt;0,"KAPALI DÖNEM","UYGUN"))))))</f>
        <v/>
      </c>
      <c r="N2048" s="74" t="str">
        <f>IF($C2048="","",IF($C2048="TANIMSIZ MÜŞTERİ","—",INDEX(MUSTERILER!$C$7:$C$156,MATCH($C2048,MUSTERILER!$B$7:$B$156,0))))</f>
        <v/>
      </c>
      <c r="O2048" s="2"/>
      <c r="P2048" s="2"/>
      <c r="Q2048" s="1" t="str">
        <f>IF($D2048="","",$C2048&amp;"|"&amp;COUNTIFS($C$7:$C2048,$C2048))</f>
        <v/>
      </c>
      <c r="R2048" s="1" t="str">
        <f t="shared" si="62"/>
        <v/>
      </c>
      <c r="S2048" s="1" t="str">
        <f t="shared" si="63"/>
        <v/>
      </c>
      <c r="T2048" s="1">
        <f>IF($E2048="",0,SUMPRODUCT((AY_SONU!$O$7:$O$42="Evet")*(AY_SONU!$B$7:$B$42=DATE(YEAR($E2048),MONTH($E2048),1))))</f>
        <v>0</v>
      </c>
      <c r="U2048" s="1" t="str">
        <f>IF(OR($G2048="",$H2048="Mahsup"),"",$G2048&amp;"|"&amp;COUNTIFS($G$7:$G2048,$G2048,$H$7:$H2048,"&lt;&gt;Mahsup"))</f>
        <v/>
      </c>
    </row>
    <row r="2049" spans="1:21" ht="18" customHeight="1" x14ac:dyDescent="0.3">
      <c r="A2049" s="2"/>
      <c r="B2049" s="65" t="str">
        <f>IF($D2049="","","T"&amp;TEXT(ROW()-6,"00000"))</f>
        <v/>
      </c>
      <c r="C2049" s="65" t="str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61"/>
      <c r="E2049" s="66"/>
      <c r="F2049" s="67"/>
      <c r="G2049" s="60"/>
      <c r="H2049" s="60"/>
      <c r="I2049" s="61"/>
      <c r="J2049" s="61"/>
      <c r="K2049" s="61"/>
      <c r="L2049" s="73" t="str">
        <f>IF($E2049="","",DATE(YEAR($E2049),MONTH($E2049),1))</f>
        <v/>
      </c>
      <c r="M2049" s="65" t="str">
        <f ca="1">IF($D2049="","",IF($C2049="TANIMSIZ MÜŞTERİ","HATA",IF(OR($E2049="",$F2049&lt;=0,$G2049=""),"EKSİK",IF($E2049&gt;TODAY(),"İLERİ TARİH",IF(COUNTIF($S$7:$S$2503,$S2049)&gt;1,"MÜKERRER?",IF($T2049&gt;0,"KAPALI DÖNEM","UYGUN"))))))</f>
        <v/>
      </c>
      <c r="N2049" s="74" t="str">
        <f>IF($C2049="","",IF($C2049="TANIMSIZ MÜŞTERİ","—",INDEX(MUSTERILER!$C$7:$C$156,MATCH($C2049,MUSTERILER!$B$7:$B$156,0))))</f>
        <v/>
      </c>
      <c r="O2049" s="2"/>
      <c r="P2049" s="2"/>
      <c r="Q2049" s="1" t="str">
        <f>IF($D2049="","",$C2049&amp;"|"&amp;COUNTIFS($C$7:$C2049,$C2049))</f>
        <v/>
      </c>
      <c r="R2049" s="1" t="str">
        <f t="shared" si="62"/>
        <v/>
      </c>
      <c r="S2049" s="1" t="str">
        <f t="shared" si="63"/>
        <v/>
      </c>
      <c r="T2049" s="1">
        <f>IF($E2049="",0,SUMPRODUCT((AY_SONU!$O$7:$O$42="Evet")*(AY_SONU!$B$7:$B$42=DATE(YEAR($E2049),MONTH($E2049),1))))</f>
        <v>0</v>
      </c>
      <c r="U2049" s="1" t="str">
        <f>IF(OR($G2049="",$H2049="Mahsup"),"",$G2049&amp;"|"&amp;COUNTIFS($G$7:$G2049,$G2049,$H$7:$H2049,"&lt;&gt;Mahsup"))</f>
        <v/>
      </c>
    </row>
    <row r="2050" spans="1:21" ht="18" customHeight="1" x14ac:dyDescent="0.3">
      <c r="A2050" s="2"/>
      <c r="B2050" s="65" t="str">
        <f>IF($D2050="","","T"&amp;TEXT(ROW()-6,"00000"))</f>
        <v/>
      </c>
      <c r="C2050" s="65" t="str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61"/>
      <c r="E2050" s="66"/>
      <c r="F2050" s="67"/>
      <c r="G2050" s="60"/>
      <c r="H2050" s="60"/>
      <c r="I2050" s="61"/>
      <c r="J2050" s="61"/>
      <c r="K2050" s="61"/>
      <c r="L2050" s="73" t="str">
        <f>IF($E2050="","",DATE(YEAR($E2050),MONTH($E2050),1))</f>
        <v/>
      </c>
      <c r="M2050" s="65" t="str">
        <f ca="1">IF($D2050="","",IF($C2050="TANIMSIZ MÜŞTERİ","HATA",IF(OR($E2050="",$F2050&lt;=0,$G2050=""),"EKSİK",IF($E2050&gt;TODAY(),"İLERİ TARİH",IF(COUNTIF($S$7:$S$2503,$S2050)&gt;1,"MÜKERRER?",IF($T2050&gt;0,"KAPALI DÖNEM","UYGUN"))))))</f>
        <v/>
      </c>
      <c r="N2050" s="74" t="str">
        <f>IF($C2050="","",IF($C2050="TANIMSIZ MÜŞTERİ","—",INDEX(MUSTERILER!$C$7:$C$156,MATCH($C2050,MUSTERILER!$B$7:$B$156,0))))</f>
        <v/>
      </c>
      <c r="O2050" s="2"/>
      <c r="P2050" s="2"/>
      <c r="Q2050" s="1" t="str">
        <f>IF($D2050="","",$C2050&amp;"|"&amp;COUNTIFS($C$7:$C2050,$C2050))</f>
        <v/>
      </c>
      <c r="R2050" s="1" t="str">
        <f t="shared" si="62"/>
        <v/>
      </c>
      <c r="S2050" s="1" t="str">
        <f t="shared" si="63"/>
        <v/>
      </c>
      <c r="T2050" s="1">
        <f>IF($E2050="",0,SUMPRODUCT((AY_SONU!$O$7:$O$42="Evet")*(AY_SONU!$B$7:$B$42=DATE(YEAR($E2050),MONTH($E2050),1))))</f>
        <v>0</v>
      </c>
      <c r="U2050" s="1" t="str">
        <f>IF(OR($G2050="",$H2050="Mahsup"),"",$G2050&amp;"|"&amp;COUNTIFS($G$7:$G2050,$G2050,$H$7:$H2050,"&lt;&gt;Mahsup"))</f>
        <v/>
      </c>
    </row>
    <row r="2051" spans="1:21" ht="18" customHeight="1" x14ac:dyDescent="0.3">
      <c r="A2051" s="2"/>
      <c r="B2051" s="65" t="str">
        <f>IF($D2051="","","T"&amp;TEXT(ROW()-6,"00000"))</f>
        <v/>
      </c>
      <c r="C2051" s="65" t="str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61"/>
      <c r="E2051" s="66"/>
      <c r="F2051" s="67"/>
      <c r="G2051" s="60"/>
      <c r="H2051" s="60"/>
      <c r="I2051" s="61"/>
      <c r="J2051" s="61"/>
      <c r="K2051" s="61"/>
      <c r="L2051" s="73" t="str">
        <f>IF($E2051="","",DATE(YEAR($E2051),MONTH($E2051),1))</f>
        <v/>
      </c>
      <c r="M2051" s="65" t="str">
        <f ca="1">IF($D2051="","",IF($C2051="TANIMSIZ MÜŞTERİ","HATA",IF(OR($E2051="",$F2051&lt;=0,$G2051=""),"EKSİK",IF($E2051&gt;TODAY(),"İLERİ TARİH",IF(COUNTIF($S$7:$S$2503,$S2051)&gt;1,"MÜKERRER?",IF($T2051&gt;0,"KAPALI DÖNEM","UYGUN"))))))</f>
        <v/>
      </c>
      <c r="N2051" s="74" t="str">
        <f>IF($C2051="","",IF($C2051="TANIMSIZ MÜŞTERİ","—",INDEX(MUSTERILER!$C$7:$C$156,MATCH($C2051,MUSTERILER!$B$7:$B$156,0))))</f>
        <v/>
      </c>
      <c r="O2051" s="2"/>
      <c r="P2051" s="2"/>
      <c r="Q2051" s="1" t="str">
        <f>IF($D2051="","",$C2051&amp;"|"&amp;COUNTIFS($C$7:$C2051,$C2051))</f>
        <v/>
      </c>
      <c r="R2051" s="1" t="str">
        <f t="shared" si="62"/>
        <v/>
      </c>
      <c r="S2051" s="1" t="str">
        <f t="shared" si="63"/>
        <v/>
      </c>
      <c r="T2051" s="1">
        <f>IF($E2051="",0,SUMPRODUCT((AY_SONU!$O$7:$O$42="Evet")*(AY_SONU!$B$7:$B$42=DATE(YEAR($E2051),MONTH($E2051),1))))</f>
        <v>0</v>
      </c>
      <c r="U2051" s="1" t="str">
        <f>IF(OR($G2051="",$H2051="Mahsup"),"",$G2051&amp;"|"&amp;COUNTIFS($G$7:$G2051,$G2051,$H$7:$H2051,"&lt;&gt;Mahsup"))</f>
        <v/>
      </c>
    </row>
    <row r="2052" spans="1:21" ht="18" customHeight="1" x14ac:dyDescent="0.3">
      <c r="A2052" s="2"/>
      <c r="B2052" s="65" t="str">
        <f>IF($D2052="","","T"&amp;TEXT(ROW()-6,"00000"))</f>
        <v/>
      </c>
      <c r="C2052" s="65" t="str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61"/>
      <c r="E2052" s="66"/>
      <c r="F2052" s="67"/>
      <c r="G2052" s="60"/>
      <c r="H2052" s="60"/>
      <c r="I2052" s="61"/>
      <c r="J2052" s="61"/>
      <c r="K2052" s="61"/>
      <c r="L2052" s="73" t="str">
        <f>IF($E2052="","",DATE(YEAR($E2052),MONTH($E2052),1))</f>
        <v/>
      </c>
      <c r="M2052" s="65" t="str">
        <f ca="1">IF($D2052="","",IF($C2052="TANIMSIZ MÜŞTERİ","HATA",IF(OR($E2052="",$F2052&lt;=0,$G2052=""),"EKSİK",IF($E2052&gt;TODAY(),"İLERİ TARİH",IF(COUNTIF($S$7:$S$2503,$S2052)&gt;1,"MÜKERRER?",IF($T2052&gt;0,"KAPALI DÖNEM","UYGUN"))))))</f>
        <v/>
      </c>
      <c r="N2052" s="74" t="str">
        <f>IF($C2052="","",IF($C2052="TANIMSIZ MÜŞTERİ","—",INDEX(MUSTERILER!$C$7:$C$156,MATCH($C2052,MUSTERILER!$B$7:$B$156,0))))</f>
        <v/>
      </c>
      <c r="O2052" s="2"/>
      <c r="P2052" s="2"/>
      <c r="Q2052" s="1" t="str">
        <f>IF($D2052="","",$C2052&amp;"|"&amp;COUNTIFS($C$7:$C2052,$C2052))</f>
        <v/>
      </c>
      <c r="R2052" s="1" t="str">
        <f t="shared" si="62"/>
        <v/>
      </c>
      <c r="S2052" s="1" t="str">
        <f t="shared" si="63"/>
        <v/>
      </c>
      <c r="T2052" s="1">
        <f>IF($E2052="",0,SUMPRODUCT((AY_SONU!$O$7:$O$42="Evet")*(AY_SONU!$B$7:$B$42=DATE(YEAR($E2052),MONTH($E2052),1))))</f>
        <v>0</v>
      </c>
      <c r="U2052" s="1" t="str">
        <f>IF(OR($G2052="",$H2052="Mahsup"),"",$G2052&amp;"|"&amp;COUNTIFS($G$7:$G2052,$G2052,$H$7:$H2052,"&lt;&gt;Mahsup"))</f>
        <v/>
      </c>
    </row>
    <row r="2053" spans="1:21" ht="18" customHeight="1" x14ac:dyDescent="0.3">
      <c r="A2053" s="2"/>
      <c r="B2053" s="65" t="str">
        <f>IF($D2053="","","T"&amp;TEXT(ROW()-6,"00000"))</f>
        <v/>
      </c>
      <c r="C2053" s="65" t="str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61"/>
      <c r="E2053" s="66"/>
      <c r="F2053" s="67"/>
      <c r="G2053" s="60"/>
      <c r="H2053" s="60"/>
      <c r="I2053" s="61"/>
      <c r="J2053" s="61"/>
      <c r="K2053" s="61"/>
      <c r="L2053" s="73" t="str">
        <f>IF($E2053="","",DATE(YEAR($E2053),MONTH($E2053),1))</f>
        <v/>
      </c>
      <c r="M2053" s="65" t="str">
        <f ca="1">IF($D2053="","",IF($C2053="TANIMSIZ MÜŞTERİ","HATA",IF(OR($E2053="",$F2053&lt;=0,$G2053=""),"EKSİK",IF($E2053&gt;TODAY(),"İLERİ TARİH",IF(COUNTIF($S$7:$S$2503,$S2053)&gt;1,"MÜKERRER?",IF($T2053&gt;0,"KAPALI DÖNEM","UYGUN"))))))</f>
        <v/>
      </c>
      <c r="N2053" s="74" t="str">
        <f>IF($C2053="","",IF($C2053="TANIMSIZ MÜŞTERİ","—",INDEX(MUSTERILER!$C$7:$C$156,MATCH($C2053,MUSTERILER!$B$7:$B$156,0))))</f>
        <v/>
      </c>
      <c r="O2053" s="2"/>
      <c r="P2053" s="2"/>
      <c r="Q2053" s="1" t="str">
        <f>IF($D2053="","",$C2053&amp;"|"&amp;COUNTIFS($C$7:$C2053,$C2053))</f>
        <v/>
      </c>
      <c r="R2053" s="1" t="str">
        <f t="shared" si="62"/>
        <v/>
      </c>
      <c r="S2053" s="1" t="str">
        <f t="shared" si="63"/>
        <v/>
      </c>
      <c r="T2053" s="1">
        <f>IF($E2053="",0,SUMPRODUCT((AY_SONU!$O$7:$O$42="Evet")*(AY_SONU!$B$7:$B$42=DATE(YEAR($E2053),MONTH($E2053),1))))</f>
        <v>0</v>
      </c>
      <c r="U2053" s="1" t="str">
        <f>IF(OR($G2053="",$H2053="Mahsup"),"",$G2053&amp;"|"&amp;COUNTIFS($G$7:$G2053,$G2053,$H$7:$H2053,"&lt;&gt;Mahsup"))</f>
        <v/>
      </c>
    </row>
    <row r="2054" spans="1:21" ht="18" customHeight="1" x14ac:dyDescent="0.3">
      <c r="A2054" s="2"/>
      <c r="B2054" s="65" t="str">
        <f>IF($D2054="","","T"&amp;TEXT(ROW()-6,"00000"))</f>
        <v/>
      </c>
      <c r="C2054" s="65" t="str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61"/>
      <c r="E2054" s="66"/>
      <c r="F2054" s="67"/>
      <c r="G2054" s="60"/>
      <c r="H2054" s="60"/>
      <c r="I2054" s="61"/>
      <c r="J2054" s="61"/>
      <c r="K2054" s="61"/>
      <c r="L2054" s="73" t="str">
        <f>IF($E2054="","",DATE(YEAR($E2054),MONTH($E2054),1))</f>
        <v/>
      </c>
      <c r="M2054" s="65" t="str">
        <f ca="1">IF($D2054="","",IF($C2054="TANIMSIZ MÜŞTERİ","HATA",IF(OR($E2054="",$F2054&lt;=0,$G2054=""),"EKSİK",IF($E2054&gt;TODAY(),"İLERİ TARİH",IF(COUNTIF($S$7:$S$2503,$S2054)&gt;1,"MÜKERRER?",IF($T2054&gt;0,"KAPALI DÖNEM","UYGUN"))))))</f>
        <v/>
      </c>
      <c r="N2054" s="74" t="str">
        <f>IF($C2054="","",IF($C2054="TANIMSIZ MÜŞTERİ","—",INDEX(MUSTERILER!$C$7:$C$156,MATCH($C2054,MUSTERILER!$B$7:$B$156,0))))</f>
        <v/>
      </c>
      <c r="O2054" s="2"/>
      <c r="P2054" s="2"/>
      <c r="Q2054" s="1" t="str">
        <f>IF($D2054="","",$C2054&amp;"|"&amp;COUNTIFS($C$7:$C2054,$C2054))</f>
        <v/>
      </c>
      <c r="R2054" s="1" t="str">
        <f t="shared" si="62"/>
        <v/>
      </c>
      <c r="S2054" s="1" t="str">
        <f t="shared" si="63"/>
        <v/>
      </c>
      <c r="T2054" s="1">
        <f>IF($E2054="",0,SUMPRODUCT((AY_SONU!$O$7:$O$42="Evet")*(AY_SONU!$B$7:$B$42=DATE(YEAR($E2054),MONTH($E2054),1))))</f>
        <v>0</v>
      </c>
      <c r="U2054" s="1" t="str">
        <f>IF(OR($G2054="",$H2054="Mahsup"),"",$G2054&amp;"|"&amp;COUNTIFS($G$7:$G2054,$G2054,$H$7:$H2054,"&lt;&gt;Mahsup"))</f>
        <v/>
      </c>
    </row>
    <row r="2055" spans="1:21" ht="18" customHeight="1" x14ac:dyDescent="0.3">
      <c r="A2055" s="2"/>
      <c r="B2055" s="65" t="str">
        <f>IF($D2055="","","T"&amp;TEXT(ROW()-6,"00000"))</f>
        <v/>
      </c>
      <c r="C2055" s="65" t="str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61"/>
      <c r="E2055" s="66"/>
      <c r="F2055" s="67"/>
      <c r="G2055" s="60"/>
      <c r="H2055" s="60"/>
      <c r="I2055" s="61"/>
      <c r="J2055" s="61"/>
      <c r="K2055" s="61"/>
      <c r="L2055" s="73" t="str">
        <f>IF($E2055="","",DATE(YEAR($E2055),MONTH($E2055),1))</f>
        <v/>
      </c>
      <c r="M2055" s="65" t="str">
        <f ca="1">IF($D2055="","",IF($C2055="TANIMSIZ MÜŞTERİ","HATA",IF(OR($E2055="",$F2055&lt;=0,$G2055=""),"EKSİK",IF($E2055&gt;TODAY(),"İLERİ TARİH",IF(COUNTIF($S$7:$S$2503,$S2055)&gt;1,"MÜKERRER?",IF($T2055&gt;0,"KAPALI DÖNEM","UYGUN"))))))</f>
        <v/>
      </c>
      <c r="N2055" s="74" t="str">
        <f>IF($C2055="","",IF($C2055="TANIMSIZ MÜŞTERİ","—",INDEX(MUSTERILER!$C$7:$C$156,MATCH($C2055,MUSTERILER!$B$7:$B$156,0))))</f>
        <v/>
      </c>
      <c r="O2055" s="2"/>
      <c r="P2055" s="2"/>
      <c r="Q2055" s="1" t="str">
        <f>IF($D2055="","",$C2055&amp;"|"&amp;COUNTIFS($C$7:$C2055,$C2055))</f>
        <v/>
      </c>
      <c r="R2055" s="1" t="str">
        <f t="shared" ref="R2055:R2118" si="64"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" t="str">
        <f t="shared" ref="S2055:S2118" si="65">IF($D2055="","",$C2055&amp;"|"&amp;TEXT($E2055,"0")&amp;"|"&amp;TEXT($F2055,"0")&amp;"|"&amp;$I2055)</f>
        <v/>
      </c>
      <c r="T2055" s="1">
        <f>IF($E2055="",0,SUMPRODUCT((AY_SONU!$O$7:$O$42="Evet")*(AY_SONU!$B$7:$B$42=DATE(YEAR($E2055),MONTH($E2055),1))))</f>
        <v>0</v>
      </c>
      <c r="U2055" s="1" t="str">
        <f>IF(OR($G2055="",$H2055="Mahsup"),"",$G2055&amp;"|"&amp;COUNTIFS($G$7:$G2055,$G2055,$H$7:$H2055,"&lt;&gt;Mahsup"))</f>
        <v/>
      </c>
    </row>
    <row r="2056" spans="1:21" ht="18" customHeight="1" x14ac:dyDescent="0.3">
      <c r="A2056" s="2"/>
      <c r="B2056" s="65" t="str">
        <f>IF($D2056="","","T"&amp;TEXT(ROW()-6,"00000"))</f>
        <v/>
      </c>
      <c r="C2056" s="65" t="str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61"/>
      <c r="E2056" s="66"/>
      <c r="F2056" s="67"/>
      <c r="G2056" s="60"/>
      <c r="H2056" s="60"/>
      <c r="I2056" s="61"/>
      <c r="J2056" s="61"/>
      <c r="K2056" s="61"/>
      <c r="L2056" s="73" t="str">
        <f>IF($E2056="","",DATE(YEAR($E2056),MONTH($E2056),1))</f>
        <v/>
      </c>
      <c r="M2056" s="65" t="str">
        <f ca="1">IF($D2056="","",IF($C2056="TANIMSIZ MÜŞTERİ","HATA",IF(OR($E2056="",$F2056&lt;=0,$G2056=""),"EKSİK",IF($E2056&gt;TODAY(),"İLERİ TARİH",IF(COUNTIF($S$7:$S$2503,$S2056)&gt;1,"MÜKERRER?",IF($T2056&gt;0,"KAPALI DÖNEM","UYGUN"))))))</f>
        <v/>
      </c>
      <c r="N2056" s="74" t="str">
        <f>IF($C2056="","",IF($C2056="TANIMSIZ MÜŞTERİ","—",INDEX(MUSTERILER!$C$7:$C$156,MATCH($C2056,MUSTERILER!$B$7:$B$156,0))))</f>
        <v/>
      </c>
      <c r="O2056" s="2"/>
      <c r="P2056" s="2"/>
      <c r="Q2056" s="1" t="str">
        <f>IF($D2056="","",$C2056&amp;"|"&amp;COUNTIFS($C$7:$C2056,$C2056))</f>
        <v/>
      </c>
      <c r="R2056" s="1" t="str">
        <f t="shared" si="64"/>
        <v/>
      </c>
      <c r="S2056" s="1" t="str">
        <f t="shared" si="65"/>
        <v/>
      </c>
      <c r="T2056" s="1">
        <f>IF($E2056="",0,SUMPRODUCT((AY_SONU!$O$7:$O$42="Evet")*(AY_SONU!$B$7:$B$42=DATE(YEAR($E2056),MONTH($E2056),1))))</f>
        <v>0</v>
      </c>
      <c r="U2056" s="1" t="str">
        <f>IF(OR($G2056="",$H2056="Mahsup"),"",$G2056&amp;"|"&amp;COUNTIFS($G$7:$G2056,$G2056,$H$7:$H2056,"&lt;&gt;Mahsup"))</f>
        <v/>
      </c>
    </row>
    <row r="2057" spans="1:21" ht="18" customHeight="1" x14ac:dyDescent="0.3">
      <c r="A2057" s="2"/>
      <c r="B2057" s="65" t="str">
        <f>IF($D2057="","","T"&amp;TEXT(ROW()-6,"00000"))</f>
        <v/>
      </c>
      <c r="C2057" s="65" t="str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61"/>
      <c r="E2057" s="66"/>
      <c r="F2057" s="67"/>
      <c r="G2057" s="60"/>
      <c r="H2057" s="60"/>
      <c r="I2057" s="61"/>
      <c r="J2057" s="61"/>
      <c r="K2057" s="61"/>
      <c r="L2057" s="73" t="str">
        <f>IF($E2057="","",DATE(YEAR($E2057),MONTH($E2057),1))</f>
        <v/>
      </c>
      <c r="M2057" s="65" t="str">
        <f ca="1">IF($D2057="","",IF($C2057="TANIMSIZ MÜŞTERİ","HATA",IF(OR($E2057="",$F2057&lt;=0,$G2057=""),"EKSİK",IF($E2057&gt;TODAY(),"İLERİ TARİH",IF(COUNTIF($S$7:$S$2503,$S2057)&gt;1,"MÜKERRER?",IF($T2057&gt;0,"KAPALI DÖNEM","UYGUN"))))))</f>
        <v/>
      </c>
      <c r="N2057" s="74" t="str">
        <f>IF($C2057="","",IF($C2057="TANIMSIZ MÜŞTERİ","—",INDEX(MUSTERILER!$C$7:$C$156,MATCH($C2057,MUSTERILER!$B$7:$B$156,0))))</f>
        <v/>
      </c>
      <c r="O2057" s="2"/>
      <c r="P2057" s="2"/>
      <c r="Q2057" s="1" t="str">
        <f>IF($D2057="","",$C2057&amp;"|"&amp;COUNTIFS($C$7:$C2057,$C2057))</f>
        <v/>
      </c>
      <c r="R2057" s="1" t="str">
        <f t="shared" si="64"/>
        <v/>
      </c>
      <c r="S2057" s="1" t="str">
        <f t="shared" si="65"/>
        <v/>
      </c>
      <c r="T2057" s="1">
        <f>IF($E2057="",0,SUMPRODUCT((AY_SONU!$O$7:$O$42="Evet")*(AY_SONU!$B$7:$B$42=DATE(YEAR($E2057),MONTH($E2057),1))))</f>
        <v>0</v>
      </c>
      <c r="U2057" s="1" t="str">
        <f>IF(OR($G2057="",$H2057="Mahsup"),"",$G2057&amp;"|"&amp;COUNTIFS($G$7:$G2057,$G2057,$H$7:$H2057,"&lt;&gt;Mahsup"))</f>
        <v/>
      </c>
    </row>
    <row r="2058" spans="1:21" ht="18" customHeight="1" x14ac:dyDescent="0.3">
      <c r="A2058" s="2"/>
      <c r="B2058" s="65" t="str">
        <f>IF($D2058="","","T"&amp;TEXT(ROW()-6,"00000"))</f>
        <v/>
      </c>
      <c r="C2058" s="65" t="str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61"/>
      <c r="E2058" s="66"/>
      <c r="F2058" s="67"/>
      <c r="G2058" s="60"/>
      <c r="H2058" s="60"/>
      <c r="I2058" s="61"/>
      <c r="J2058" s="61"/>
      <c r="K2058" s="61"/>
      <c r="L2058" s="73" t="str">
        <f>IF($E2058="","",DATE(YEAR($E2058),MONTH($E2058),1))</f>
        <v/>
      </c>
      <c r="M2058" s="65" t="str">
        <f ca="1">IF($D2058="","",IF($C2058="TANIMSIZ MÜŞTERİ","HATA",IF(OR($E2058="",$F2058&lt;=0,$G2058=""),"EKSİK",IF($E2058&gt;TODAY(),"İLERİ TARİH",IF(COUNTIF($S$7:$S$2503,$S2058)&gt;1,"MÜKERRER?",IF($T2058&gt;0,"KAPALI DÖNEM","UYGUN"))))))</f>
        <v/>
      </c>
      <c r="N2058" s="74" t="str">
        <f>IF($C2058="","",IF($C2058="TANIMSIZ MÜŞTERİ","—",INDEX(MUSTERILER!$C$7:$C$156,MATCH($C2058,MUSTERILER!$B$7:$B$156,0))))</f>
        <v/>
      </c>
      <c r="O2058" s="2"/>
      <c r="P2058" s="2"/>
      <c r="Q2058" s="1" t="str">
        <f>IF($D2058="","",$C2058&amp;"|"&amp;COUNTIFS($C$7:$C2058,$C2058))</f>
        <v/>
      </c>
      <c r="R2058" s="1" t="str">
        <f t="shared" si="64"/>
        <v/>
      </c>
      <c r="S2058" s="1" t="str">
        <f t="shared" si="65"/>
        <v/>
      </c>
      <c r="T2058" s="1">
        <f>IF($E2058="",0,SUMPRODUCT((AY_SONU!$O$7:$O$42="Evet")*(AY_SONU!$B$7:$B$42=DATE(YEAR($E2058),MONTH($E2058),1))))</f>
        <v>0</v>
      </c>
      <c r="U2058" s="1" t="str">
        <f>IF(OR($G2058="",$H2058="Mahsup"),"",$G2058&amp;"|"&amp;COUNTIFS($G$7:$G2058,$G2058,$H$7:$H2058,"&lt;&gt;Mahsup"))</f>
        <v/>
      </c>
    </row>
    <row r="2059" spans="1:21" ht="18" customHeight="1" x14ac:dyDescent="0.3">
      <c r="A2059" s="2"/>
      <c r="B2059" s="65" t="str">
        <f>IF($D2059="","","T"&amp;TEXT(ROW()-6,"00000"))</f>
        <v/>
      </c>
      <c r="C2059" s="65" t="str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61"/>
      <c r="E2059" s="66"/>
      <c r="F2059" s="67"/>
      <c r="G2059" s="60"/>
      <c r="H2059" s="60"/>
      <c r="I2059" s="61"/>
      <c r="J2059" s="61"/>
      <c r="K2059" s="61"/>
      <c r="L2059" s="73" t="str">
        <f>IF($E2059="","",DATE(YEAR($E2059),MONTH($E2059),1))</f>
        <v/>
      </c>
      <c r="M2059" s="65" t="str">
        <f ca="1">IF($D2059="","",IF($C2059="TANIMSIZ MÜŞTERİ","HATA",IF(OR($E2059="",$F2059&lt;=0,$G2059=""),"EKSİK",IF($E2059&gt;TODAY(),"İLERİ TARİH",IF(COUNTIF($S$7:$S$2503,$S2059)&gt;1,"MÜKERRER?",IF($T2059&gt;0,"KAPALI DÖNEM","UYGUN"))))))</f>
        <v/>
      </c>
      <c r="N2059" s="74" t="str">
        <f>IF($C2059="","",IF($C2059="TANIMSIZ MÜŞTERİ","—",INDEX(MUSTERILER!$C$7:$C$156,MATCH($C2059,MUSTERILER!$B$7:$B$156,0))))</f>
        <v/>
      </c>
      <c r="O2059" s="2"/>
      <c r="P2059" s="2"/>
      <c r="Q2059" s="1" t="str">
        <f>IF($D2059="","",$C2059&amp;"|"&amp;COUNTIFS($C$7:$C2059,$C2059))</f>
        <v/>
      </c>
      <c r="R2059" s="1" t="str">
        <f t="shared" si="64"/>
        <v/>
      </c>
      <c r="S2059" s="1" t="str">
        <f t="shared" si="65"/>
        <v/>
      </c>
      <c r="T2059" s="1">
        <f>IF($E2059="",0,SUMPRODUCT((AY_SONU!$O$7:$O$42="Evet")*(AY_SONU!$B$7:$B$42=DATE(YEAR($E2059),MONTH($E2059),1))))</f>
        <v>0</v>
      </c>
      <c r="U2059" s="1" t="str">
        <f>IF(OR($G2059="",$H2059="Mahsup"),"",$G2059&amp;"|"&amp;COUNTIFS($G$7:$G2059,$G2059,$H$7:$H2059,"&lt;&gt;Mahsup"))</f>
        <v/>
      </c>
    </row>
    <row r="2060" spans="1:21" ht="18" customHeight="1" x14ac:dyDescent="0.3">
      <c r="A2060" s="2"/>
      <c r="B2060" s="65" t="str">
        <f>IF($D2060="","","T"&amp;TEXT(ROW()-6,"00000"))</f>
        <v/>
      </c>
      <c r="C2060" s="65" t="str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61"/>
      <c r="E2060" s="66"/>
      <c r="F2060" s="67"/>
      <c r="G2060" s="60"/>
      <c r="H2060" s="60"/>
      <c r="I2060" s="61"/>
      <c r="J2060" s="61"/>
      <c r="K2060" s="61"/>
      <c r="L2060" s="73" t="str">
        <f>IF($E2060="","",DATE(YEAR($E2060),MONTH($E2060),1))</f>
        <v/>
      </c>
      <c r="M2060" s="65" t="str">
        <f ca="1">IF($D2060="","",IF($C2060="TANIMSIZ MÜŞTERİ","HATA",IF(OR($E2060="",$F2060&lt;=0,$G2060=""),"EKSİK",IF($E2060&gt;TODAY(),"İLERİ TARİH",IF(COUNTIF($S$7:$S$2503,$S2060)&gt;1,"MÜKERRER?",IF($T2060&gt;0,"KAPALI DÖNEM","UYGUN"))))))</f>
        <v/>
      </c>
      <c r="N2060" s="74" t="str">
        <f>IF($C2060="","",IF($C2060="TANIMSIZ MÜŞTERİ","—",INDEX(MUSTERILER!$C$7:$C$156,MATCH($C2060,MUSTERILER!$B$7:$B$156,0))))</f>
        <v/>
      </c>
      <c r="O2060" s="2"/>
      <c r="P2060" s="2"/>
      <c r="Q2060" s="1" t="str">
        <f>IF($D2060="","",$C2060&amp;"|"&amp;COUNTIFS($C$7:$C2060,$C2060))</f>
        <v/>
      </c>
      <c r="R2060" s="1" t="str">
        <f t="shared" si="64"/>
        <v/>
      </c>
      <c r="S2060" s="1" t="str">
        <f t="shared" si="65"/>
        <v/>
      </c>
      <c r="T2060" s="1">
        <f>IF($E2060="",0,SUMPRODUCT((AY_SONU!$O$7:$O$42="Evet")*(AY_SONU!$B$7:$B$42=DATE(YEAR($E2060),MONTH($E2060),1))))</f>
        <v>0</v>
      </c>
      <c r="U2060" s="1" t="str">
        <f>IF(OR($G2060="",$H2060="Mahsup"),"",$G2060&amp;"|"&amp;COUNTIFS($G$7:$G2060,$G2060,$H$7:$H2060,"&lt;&gt;Mahsup"))</f>
        <v/>
      </c>
    </row>
    <row r="2061" spans="1:21" ht="18" customHeight="1" x14ac:dyDescent="0.3">
      <c r="A2061" s="2"/>
      <c r="B2061" s="65" t="str">
        <f>IF($D2061="","","T"&amp;TEXT(ROW()-6,"00000"))</f>
        <v/>
      </c>
      <c r="C2061" s="65" t="str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61"/>
      <c r="E2061" s="66"/>
      <c r="F2061" s="67"/>
      <c r="G2061" s="60"/>
      <c r="H2061" s="60"/>
      <c r="I2061" s="61"/>
      <c r="J2061" s="61"/>
      <c r="K2061" s="61"/>
      <c r="L2061" s="73" t="str">
        <f>IF($E2061="","",DATE(YEAR($E2061),MONTH($E2061),1))</f>
        <v/>
      </c>
      <c r="M2061" s="65" t="str">
        <f ca="1">IF($D2061="","",IF($C2061="TANIMSIZ MÜŞTERİ","HATA",IF(OR($E2061="",$F2061&lt;=0,$G2061=""),"EKSİK",IF($E2061&gt;TODAY(),"İLERİ TARİH",IF(COUNTIF($S$7:$S$2503,$S2061)&gt;1,"MÜKERRER?",IF($T2061&gt;0,"KAPALI DÖNEM","UYGUN"))))))</f>
        <v/>
      </c>
      <c r="N2061" s="74" t="str">
        <f>IF($C2061="","",IF($C2061="TANIMSIZ MÜŞTERİ","—",INDEX(MUSTERILER!$C$7:$C$156,MATCH($C2061,MUSTERILER!$B$7:$B$156,0))))</f>
        <v/>
      </c>
      <c r="O2061" s="2"/>
      <c r="P2061" s="2"/>
      <c r="Q2061" s="1" t="str">
        <f>IF($D2061="","",$C2061&amp;"|"&amp;COUNTIFS($C$7:$C2061,$C2061))</f>
        <v/>
      </c>
      <c r="R2061" s="1" t="str">
        <f t="shared" si="64"/>
        <v/>
      </c>
      <c r="S2061" s="1" t="str">
        <f t="shared" si="65"/>
        <v/>
      </c>
      <c r="T2061" s="1">
        <f>IF($E2061="",0,SUMPRODUCT((AY_SONU!$O$7:$O$42="Evet")*(AY_SONU!$B$7:$B$42=DATE(YEAR($E2061),MONTH($E2061),1))))</f>
        <v>0</v>
      </c>
      <c r="U2061" s="1" t="str">
        <f>IF(OR($G2061="",$H2061="Mahsup"),"",$G2061&amp;"|"&amp;COUNTIFS($G$7:$G2061,$G2061,$H$7:$H2061,"&lt;&gt;Mahsup"))</f>
        <v/>
      </c>
    </row>
    <row r="2062" spans="1:21" ht="18" customHeight="1" x14ac:dyDescent="0.3">
      <c r="A2062" s="2"/>
      <c r="B2062" s="65" t="str">
        <f>IF($D2062="","","T"&amp;TEXT(ROW()-6,"00000"))</f>
        <v/>
      </c>
      <c r="C2062" s="65" t="str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61"/>
      <c r="E2062" s="66"/>
      <c r="F2062" s="67"/>
      <c r="G2062" s="60"/>
      <c r="H2062" s="60"/>
      <c r="I2062" s="61"/>
      <c r="J2062" s="61"/>
      <c r="K2062" s="61"/>
      <c r="L2062" s="73" t="str">
        <f>IF($E2062="","",DATE(YEAR($E2062),MONTH($E2062),1))</f>
        <v/>
      </c>
      <c r="M2062" s="65" t="str">
        <f ca="1">IF($D2062="","",IF($C2062="TANIMSIZ MÜŞTERİ","HATA",IF(OR($E2062="",$F2062&lt;=0,$G2062=""),"EKSİK",IF($E2062&gt;TODAY(),"İLERİ TARİH",IF(COUNTIF($S$7:$S$2503,$S2062)&gt;1,"MÜKERRER?",IF($T2062&gt;0,"KAPALI DÖNEM","UYGUN"))))))</f>
        <v/>
      </c>
      <c r="N2062" s="74" t="str">
        <f>IF($C2062="","",IF($C2062="TANIMSIZ MÜŞTERİ","—",INDEX(MUSTERILER!$C$7:$C$156,MATCH($C2062,MUSTERILER!$B$7:$B$156,0))))</f>
        <v/>
      </c>
      <c r="O2062" s="2"/>
      <c r="P2062" s="2"/>
      <c r="Q2062" s="1" t="str">
        <f>IF($D2062="","",$C2062&amp;"|"&amp;COUNTIFS($C$7:$C2062,$C2062))</f>
        <v/>
      </c>
      <c r="R2062" s="1" t="str">
        <f t="shared" si="64"/>
        <v/>
      </c>
      <c r="S2062" s="1" t="str">
        <f t="shared" si="65"/>
        <v/>
      </c>
      <c r="T2062" s="1">
        <f>IF($E2062="",0,SUMPRODUCT((AY_SONU!$O$7:$O$42="Evet")*(AY_SONU!$B$7:$B$42=DATE(YEAR($E2062),MONTH($E2062),1))))</f>
        <v>0</v>
      </c>
      <c r="U2062" s="1" t="str">
        <f>IF(OR($G2062="",$H2062="Mahsup"),"",$G2062&amp;"|"&amp;COUNTIFS($G$7:$G2062,$G2062,$H$7:$H2062,"&lt;&gt;Mahsup"))</f>
        <v/>
      </c>
    </row>
    <row r="2063" spans="1:21" ht="18" customHeight="1" x14ac:dyDescent="0.3">
      <c r="A2063" s="2"/>
      <c r="B2063" s="65" t="str">
        <f>IF($D2063="","","T"&amp;TEXT(ROW()-6,"00000"))</f>
        <v/>
      </c>
      <c r="C2063" s="65" t="str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61"/>
      <c r="E2063" s="66"/>
      <c r="F2063" s="67"/>
      <c r="G2063" s="60"/>
      <c r="H2063" s="60"/>
      <c r="I2063" s="61"/>
      <c r="J2063" s="61"/>
      <c r="K2063" s="61"/>
      <c r="L2063" s="73" t="str">
        <f>IF($E2063="","",DATE(YEAR($E2063),MONTH($E2063),1))</f>
        <v/>
      </c>
      <c r="M2063" s="65" t="str">
        <f ca="1">IF($D2063="","",IF($C2063="TANIMSIZ MÜŞTERİ","HATA",IF(OR($E2063="",$F2063&lt;=0,$G2063=""),"EKSİK",IF($E2063&gt;TODAY(),"İLERİ TARİH",IF(COUNTIF($S$7:$S$2503,$S2063)&gt;1,"MÜKERRER?",IF($T2063&gt;0,"KAPALI DÖNEM","UYGUN"))))))</f>
        <v/>
      </c>
      <c r="N2063" s="74" t="str">
        <f>IF($C2063="","",IF($C2063="TANIMSIZ MÜŞTERİ","—",INDEX(MUSTERILER!$C$7:$C$156,MATCH($C2063,MUSTERILER!$B$7:$B$156,0))))</f>
        <v/>
      </c>
      <c r="O2063" s="2"/>
      <c r="P2063" s="2"/>
      <c r="Q2063" s="1" t="str">
        <f>IF($D2063="","",$C2063&amp;"|"&amp;COUNTIFS($C$7:$C2063,$C2063))</f>
        <v/>
      </c>
      <c r="R2063" s="1" t="str">
        <f t="shared" si="64"/>
        <v/>
      </c>
      <c r="S2063" s="1" t="str">
        <f t="shared" si="65"/>
        <v/>
      </c>
      <c r="T2063" s="1">
        <f>IF($E2063="",0,SUMPRODUCT((AY_SONU!$O$7:$O$42="Evet")*(AY_SONU!$B$7:$B$42=DATE(YEAR($E2063),MONTH($E2063),1))))</f>
        <v>0</v>
      </c>
      <c r="U2063" s="1" t="str">
        <f>IF(OR($G2063="",$H2063="Mahsup"),"",$G2063&amp;"|"&amp;COUNTIFS($G$7:$G2063,$G2063,$H$7:$H2063,"&lt;&gt;Mahsup"))</f>
        <v/>
      </c>
    </row>
    <row r="2064" spans="1:21" ht="18" customHeight="1" x14ac:dyDescent="0.3">
      <c r="A2064" s="2"/>
      <c r="B2064" s="65" t="str">
        <f>IF($D2064="","","T"&amp;TEXT(ROW()-6,"00000"))</f>
        <v/>
      </c>
      <c r="C2064" s="65" t="str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61"/>
      <c r="E2064" s="66"/>
      <c r="F2064" s="67"/>
      <c r="G2064" s="60"/>
      <c r="H2064" s="60"/>
      <c r="I2064" s="61"/>
      <c r="J2064" s="61"/>
      <c r="K2064" s="61"/>
      <c r="L2064" s="73" t="str">
        <f>IF($E2064="","",DATE(YEAR($E2064),MONTH($E2064),1))</f>
        <v/>
      </c>
      <c r="M2064" s="65" t="str">
        <f ca="1">IF($D2064="","",IF($C2064="TANIMSIZ MÜŞTERİ","HATA",IF(OR($E2064="",$F2064&lt;=0,$G2064=""),"EKSİK",IF($E2064&gt;TODAY(),"İLERİ TARİH",IF(COUNTIF($S$7:$S$2503,$S2064)&gt;1,"MÜKERRER?",IF($T2064&gt;0,"KAPALI DÖNEM","UYGUN"))))))</f>
        <v/>
      </c>
      <c r="N2064" s="74" t="str">
        <f>IF($C2064="","",IF($C2064="TANIMSIZ MÜŞTERİ","—",INDEX(MUSTERILER!$C$7:$C$156,MATCH($C2064,MUSTERILER!$B$7:$B$156,0))))</f>
        <v/>
      </c>
      <c r="O2064" s="2"/>
      <c r="P2064" s="2"/>
      <c r="Q2064" s="1" t="str">
        <f>IF($D2064="","",$C2064&amp;"|"&amp;COUNTIFS($C$7:$C2064,$C2064))</f>
        <v/>
      </c>
      <c r="R2064" s="1" t="str">
        <f t="shared" si="64"/>
        <v/>
      </c>
      <c r="S2064" s="1" t="str">
        <f t="shared" si="65"/>
        <v/>
      </c>
      <c r="T2064" s="1">
        <f>IF($E2064="",0,SUMPRODUCT((AY_SONU!$O$7:$O$42="Evet")*(AY_SONU!$B$7:$B$42=DATE(YEAR($E2064),MONTH($E2064),1))))</f>
        <v>0</v>
      </c>
      <c r="U2064" s="1" t="str">
        <f>IF(OR($G2064="",$H2064="Mahsup"),"",$G2064&amp;"|"&amp;COUNTIFS($G$7:$G2064,$G2064,$H$7:$H2064,"&lt;&gt;Mahsup"))</f>
        <v/>
      </c>
    </row>
    <row r="2065" spans="1:21" ht="18" customHeight="1" x14ac:dyDescent="0.3">
      <c r="A2065" s="2"/>
      <c r="B2065" s="65" t="str">
        <f>IF($D2065="","","T"&amp;TEXT(ROW()-6,"00000"))</f>
        <v/>
      </c>
      <c r="C2065" s="65" t="str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61"/>
      <c r="E2065" s="66"/>
      <c r="F2065" s="67"/>
      <c r="G2065" s="60"/>
      <c r="H2065" s="60"/>
      <c r="I2065" s="61"/>
      <c r="J2065" s="61"/>
      <c r="K2065" s="61"/>
      <c r="L2065" s="73" t="str">
        <f>IF($E2065="","",DATE(YEAR($E2065),MONTH($E2065),1))</f>
        <v/>
      </c>
      <c r="M2065" s="65" t="str">
        <f ca="1">IF($D2065="","",IF($C2065="TANIMSIZ MÜŞTERİ","HATA",IF(OR($E2065="",$F2065&lt;=0,$G2065=""),"EKSİK",IF($E2065&gt;TODAY(),"İLERİ TARİH",IF(COUNTIF($S$7:$S$2503,$S2065)&gt;1,"MÜKERRER?",IF($T2065&gt;0,"KAPALI DÖNEM","UYGUN"))))))</f>
        <v/>
      </c>
      <c r="N2065" s="74" t="str">
        <f>IF($C2065="","",IF($C2065="TANIMSIZ MÜŞTERİ","—",INDEX(MUSTERILER!$C$7:$C$156,MATCH($C2065,MUSTERILER!$B$7:$B$156,0))))</f>
        <v/>
      </c>
      <c r="O2065" s="2"/>
      <c r="P2065" s="2"/>
      <c r="Q2065" s="1" t="str">
        <f>IF($D2065="","",$C2065&amp;"|"&amp;COUNTIFS($C$7:$C2065,$C2065))</f>
        <v/>
      </c>
      <c r="R2065" s="1" t="str">
        <f t="shared" si="64"/>
        <v/>
      </c>
      <c r="S2065" s="1" t="str">
        <f t="shared" si="65"/>
        <v/>
      </c>
      <c r="T2065" s="1">
        <f>IF($E2065="",0,SUMPRODUCT((AY_SONU!$O$7:$O$42="Evet")*(AY_SONU!$B$7:$B$42=DATE(YEAR($E2065),MONTH($E2065),1))))</f>
        <v>0</v>
      </c>
      <c r="U2065" s="1" t="str">
        <f>IF(OR($G2065="",$H2065="Mahsup"),"",$G2065&amp;"|"&amp;COUNTIFS($G$7:$G2065,$G2065,$H$7:$H2065,"&lt;&gt;Mahsup"))</f>
        <v/>
      </c>
    </row>
    <row r="2066" spans="1:21" ht="18" customHeight="1" x14ac:dyDescent="0.3">
      <c r="A2066" s="2"/>
      <c r="B2066" s="65" t="str">
        <f>IF($D2066="","","T"&amp;TEXT(ROW()-6,"00000"))</f>
        <v/>
      </c>
      <c r="C2066" s="65" t="str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61"/>
      <c r="E2066" s="66"/>
      <c r="F2066" s="67"/>
      <c r="G2066" s="60"/>
      <c r="H2066" s="60"/>
      <c r="I2066" s="61"/>
      <c r="J2066" s="61"/>
      <c r="K2066" s="61"/>
      <c r="L2066" s="73" t="str">
        <f>IF($E2066="","",DATE(YEAR($E2066),MONTH($E2066),1))</f>
        <v/>
      </c>
      <c r="M2066" s="65" t="str">
        <f ca="1">IF($D2066="","",IF($C2066="TANIMSIZ MÜŞTERİ","HATA",IF(OR($E2066="",$F2066&lt;=0,$G2066=""),"EKSİK",IF($E2066&gt;TODAY(),"İLERİ TARİH",IF(COUNTIF($S$7:$S$2503,$S2066)&gt;1,"MÜKERRER?",IF($T2066&gt;0,"KAPALI DÖNEM","UYGUN"))))))</f>
        <v/>
      </c>
      <c r="N2066" s="74" t="str">
        <f>IF($C2066="","",IF($C2066="TANIMSIZ MÜŞTERİ","—",INDEX(MUSTERILER!$C$7:$C$156,MATCH($C2066,MUSTERILER!$B$7:$B$156,0))))</f>
        <v/>
      </c>
      <c r="O2066" s="2"/>
      <c r="P2066" s="2"/>
      <c r="Q2066" s="1" t="str">
        <f>IF($D2066="","",$C2066&amp;"|"&amp;COUNTIFS($C$7:$C2066,$C2066))</f>
        <v/>
      </c>
      <c r="R2066" s="1" t="str">
        <f t="shared" si="64"/>
        <v/>
      </c>
      <c r="S2066" s="1" t="str">
        <f t="shared" si="65"/>
        <v/>
      </c>
      <c r="T2066" s="1">
        <f>IF($E2066="",0,SUMPRODUCT((AY_SONU!$O$7:$O$42="Evet")*(AY_SONU!$B$7:$B$42=DATE(YEAR($E2066),MONTH($E2066),1))))</f>
        <v>0</v>
      </c>
      <c r="U2066" s="1" t="str">
        <f>IF(OR($G2066="",$H2066="Mahsup"),"",$G2066&amp;"|"&amp;COUNTIFS($G$7:$G2066,$G2066,$H$7:$H2066,"&lt;&gt;Mahsup"))</f>
        <v/>
      </c>
    </row>
    <row r="2067" spans="1:21" ht="18" customHeight="1" x14ac:dyDescent="0.3">
      <c r="A2067" s="2"/>
      <c r="B2067" s="65" t="str">
        <f>IF($D2067="","","T"&amp;TEXT(ROW()-6,"00000"))</f>
        <v/>
      </c>
      <c r="C2067" s="65" t="str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61"/>
      <c r="E2067" s="66"/>
      <c r="F2067" s="67"/>
      <c r="G2067" s="60"/>
      <c r="H2067" s="60"/>
      <c r="I2067" s="61"/>
      <c r="J2067" s="61"/>
      <c r="K2067" s="61"/>
      <c r="L2067" s="73" t="str">
        <f>IF($E2067="","",DATE(YEAR($E2067),MONTH($E2067),1))</f>
        <v/>
      </c>
      <c r="M2067" s="65" t="str">
        <f ca="1">IF($D2067="","",IF($C2067="TANIMSIZ MÜŞTERİ","HATA",IF(OR($E2067="",$F2067&lt;=0,$G2067=""),"EKSİK",IF($E2067&gt;TODAY(),"İLERİ TARİH",IF(COUNTIF($S$7:$S$2503,$S2067)&gt;1,"MÜKERRER?",IF($T2067&gt;0,"KAPALI DÖNEM","UYGUN"))))))</f>
        <v/>
      </c>
      <c r="N2067" s="74" t="str">
        <f>IF($C2067="","",IF($C2067="TANIMSIZ MÜŞTERİ","—",INDEX(MUSTERILER!$C$7:$C$156,MATCH($C2067,MUSTERILER!$B$7:$B$156,0))))</f>
        <v/>
      </c>
      <c r="O2067" s="2"/>
      <c r="P2067" s="2"/>
      <c r="Q2067" s="1" t="str">
        <f>IF($D2067="","",$C2067&amp;"|"&amp;COUNTIFS($C$7:$C2067,$C2067))</f>
        <v/>
      </c>
      <c r="R2067" s="1" t="str">
        <f t="shared" si="64"/>
        <v/>
      </c>
      <c r="S2067" s="1" t="str">
        <f t="shared" si="65"/>
        <v/>
      </c>
      <c r="T2067" s="1">
        <f>IF($E2067="",0,SUMPRODUCT((AY_SONU!$O$7:$O$42="Evet")*(AY_SONU!$B$7:$B$42=DATE(YEAR($E2067),MONTH($E2067),1))))</f>
        <v>0</v>
      </c>
      <c r="U2067" s="1" t="str">
        <f>IF(OR($G2067="",$H2067="Mahsup"),"",$G2067&amp;"|"&amp;COUNTIFS($G$7:$G2067,$G2067,$H$7:$H2067,"&lt;&gt;Mahsup"))</f>
        <v/>
      </c>
    </row>
    <row r="2068" spans="1:21" ht="18" customHeight="1" x14ac:dyDescent="0.3">
      <c r="A2068" s="2"/>
      <c r="B2068" s="65" t="str">
        <f>IF($D2068="","","T"&amp;TEXT(ROW()-6,"00000"))</f>
        <v/>
      </c>
      <c r="C2068" s="65" t="str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61"/>
      <c r="E2068" s="66"/>
      <c r="F2068" s="67"/>
      <c r="G2068" s="60"/>
      <c r="H2068" s="60"/>
      <c r="I2068" s="61"/>
      <c r="J2068" s="61"/>
      <c r="K2068" s="61"/>
      <c r="L2068" s="73" t="str">
        <f>IF($E2068="","",DATE(YEAR($E2068),MONTH($E2068),1))</f>
        <v/>
      </c>
      <c r="M2068" s="65" t="str">
        <f ca="1">IF($D2068="","",IF($C2068="TANIMSIZ MÜŞTERİ","HATA",IF(OR($E2068="",$F2068&lt;=0,$G2068=""),"EKSİK",IF($E2068&gt;TODAY(),"İLERİ TARİH",IF(COUNTIF($S$7:$S$2503,$S2068)&gt;1,"MÜKERRER?",IF($T2068&gt;0,"KAPALI DÖNEM","UYGUN"))))))</f>
        <v/>
      </c>
      <c r="N2068" s="74" t="str">
        <f>IF($C2068="","",IF($C2068="TANIMSIZ MÜŞTERİ","—",INDEX(MUSTERILER!$C$7:$C$156,MATCH($C2068,MUSTERILER!$B$7:$B$156,0))))</f>
        <v/>
      </c>
      <c r="O2068" s="2"/>
      <c r="P2068" s="2"/>
      <c r="Q2068" s="1" t="str">
        <f>IF($D2068="","",$C2068&amp;"|"&amp;COUNTIFS($C$7:$C2068,$C2068))</f>
        <v/>
      </c>
      <c r="R2068" s="1" t="str">
        <f t="shared" si="64"/>
        <v/>
      </c>
      <c r="S2068" s="1" t="str">
        <f t="shared" si="65"/>
        <v/>
      </c>
      <c r="T2068" s="1">
        <f>IF($E2068="",0,SUMPRODUCT((AY_SONU!$O$7:$O$42="Evet")*(AY_SONU!$B$7:$B$42=DATE(YEAR($E2068),MONTH($E2068),1))))</f>
        <v>0</v>
      </c>
      <c r="U2068" s="1" t="str">
        <f>IF(OR($G2068="",$H2068="Mahsup"),"",$G2068&amp;"|"&amp;COUNTIFS($G$7:$G2068,$G2068,$H$7:$H2068,"&lt;&gt;Mahsup"))</f>
        <v/>
      </c>
    </row>
    <row r="2069" spans="1:21" ht="18" customHeight="1" x14ac:dyDescent="0.3">
      <c r="A2069" s="2"/>
      <c r="B2069" s="65" t="str">
        <f>IF($D2069="","","T"&amp;TEXT(ROW()-6,"00000"))</f>
        <v/>
      </c>
      <c r="C2069" s="65" t="str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61"/>
      <c r="E2069" s="66"/>
      <c r="F2069" s="67"/>
      <c r="G2069" s="60"/>
      <c r="H2069" s="60"/>
      <c r="I2069" s="61"/>
      <c r="J2069" s="61"/>
      <c r="K2069" s="61"/>
      <c r="L2069" s="73" t="str">
        <f>IF($E2069="","",DATE(YEAR($E2069),MONTH($E2069),1))</f>
        <v/>
      </c>
      <c r="M2069" s="65" t="str">
        <f ca="1">IF($D2069="","",IF($C2069="TANIMSIZ MÜŞTERİ","HATA",IF(OR($E2069="",$F2069&lt;=0,$G2069=""),"EKSİK",IF($E2069&gt;TODAY(),"İLERİ TARİH",IF(COUNTIF($S$7:$S$2503,$S2069)&gt;1,"MÜKERRER?",IF($T2069&gt;0,"KAPALI DÖNEM","UYGUN"))))))</f>
        <v/>
      </c>
      <c r="N2069" s="74" t="str">
        <f>IF($C2069="","",IF($C2069="TANIMSIZ MÜŞTERİ","—",INDEX(MUSTERILER!$C$7:$C$156,MATCH($C2069,MUSTERILER!$B$7:$B$156,0))))</f>
        <v/>
      </c>
      <c r="O2069" s="2"/>
      <c r="P2069" s="2"/>
      <c r="Q2069" s="1" t="str">
        <f>IF($D2069="","",$C2069&amp;"|"&amp;COUNTIFS($C$7:$C2069,$C2069))</f>
        <v/>
      </c>
      <c r="R2069" s="1" t="str">
        <f t="shared" si="64"/>
        <v/>
      </c>
      <c r="S2069" s="1" t="str">
        <f t="shared" si="65"/>
        <v/>
      </c>
      <c r="T2069" s="1">
        <f>IF($E2069="",0,SUMPRODUCT((AY_SONU!$O$7:$O$42="Evet")*(AY_SONU!$B$7:$B$42=DATE(YEAR($E2069),MONTH($E2069),1))))</f>
        <v>0</v>
      </c>
      <c r="U2069" s="1" t="str">
        <f>IF(OR($G2069="",$H2069="Mahsup"),"",$G2069&amp;"|"&amp;COUNTIFS($G$7:$G2069,$G2069,$H$7:$H2069,"&lt;&gt;Mahsup"))</f>
        <v/>
      </c>
    </row>
    <row r="2070" spans="1:21" ht="18" customHeight="1" x14ac:dyDescent="0.3">
      <c r="A2070" s="2"/>
      <c r="B2070" s="65" t="str">
        <f>IF($D2070="","","T"&amp;TEXT(ROW()-6,"00000"))</f>
        <v/>
      </c>
      <c r="C2070" s="65" t="str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61"/>
      <c r="E2070" s="66"/>
      <c r="F2070" s="67"/>
      <c r="G2070" s="60"/>
      <c r="H2070" s="60"/>
      <c r="I2070" s="61"/>
      <c r="J2070" s="61"/>
      <c r="K2070" s="61"/>
      <c r="L2070" s="73" t="str">
        <f>IF($E2070="","",DATE(YEAR($E2070),MONTH($E2070),1))</f>
        <v/>
      </c>
      <c r="M2070" s="65" t="str">
        <f ca="1">IF($D2070="","",IF($C2070="TANIMSIZ MÜŞTERİ","HATA",IF(OR($E2070="",$F2070&lt;=0,$G2070=""),"EKSİK",IF($E2070&gt;TODAY(),"İLERİ TARİH",IF(COUNTIF($S$7:$S$2503,$S2070)&gt;1,"MÜKERRER?",IF($T2070&gt;0,"KAPALI DÖNEM","UYGUN"))))))</f>
        <v/>
      </c>
      <c r="N2070" s="74" t="str">
        <f>IF($C2070="","",IF($C2070="TANIMSIZ MÜŞTERİ","—",INDEX(MUSTERILER!$C$7:$C$156,MATCH($C2070,MUSTERILER!$B$7:$B$156,0))))</f>
        <v/>
      </c>
      <c r="O2070" s="2"/>
      <c r="P2070" s="2"/>
      <c r="Q2070" s="1" t="str">
        <f>IF($D2070="","",$C2070&amp;"|"&amp;COUNTIFS($C$7:$C2070,$C2070))</f>
        <v/>
      </c>
      <c r="R2070" s="1" t="str">
        <f t="shared" si="64"/>
        <v/>
      </c>
      <c r="S2070" s="1" t="str">
        <f t="shared" si="65"/>
        <v/>
      </c>
      <c r="T2070" s="1">
        <f>IF($E2070="",0,SUMPRODUCT((AY_SONU!$O$7:$O$42="Evet")*(AY_SONU!$B$7:$B$42=DATE(YEAR($E2070),MONTH($E2070),1))))</f>
        <v>0</v>
      </c>
      <c r="U2070" s="1" t="str">
        <f>IF(OR($G2070="",$H2070="Mahsup"),"",$G2070&amp;"|"&amp;COUNTIFS($G$7:$G2070,$G2070,$H$7:$H2070,"&lt;&gt;Mahsup"))</f>
        <v/>
      </c>
    </row>
    <row r="2071" spans="1:21" ht="18" customHeight="1" x14ac:dyDescent="0.3">
      <c r="A2071" s="2"/>
      <c r="B2071" s="65" t="str">
        <f>IF($D2071="","","T"&amp;TEXT(ROW()-6,"00000"))</f>
        <v/>
      </c>
      <c r="C2071" s="65" t="str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61"/>
      <c r="E2071" s="66"/>
      <c r="F2071" s="67"/>
      <c r="G2071" s="60"/>
      <c r="H2071" s="60"/>
      <c r="I2071" s="61"/>
      <c r="J2071" s="61"/>
      <c r="K2071" s="61"/>
      <c r="L2071" s="73" t="str">
        <f>IF($E2071="","",DATE(YEAR($E2071),MONTH($E2071),1))</f>
        <v/>
      </c>
      <c r="M2071" s="65" t="str">
        <f ca="1">IF($D2071="","",IF($C2071="TANIMSIZ MÜŞTERİ","HATA",IF(OR($E2071="",$F2071&lt;=0,$G2071=""),"EKSİK",IF($E2071&gt;TODAY(),"İLERİ TARİH",IF(COUNTIF($S$7:$S$2503,$S2071)&gt;1,"MÜKERRER?",IF($T2071&gt;0,"KAPALI DÖNEM","UYGUN"))))))</f>
        <v/>
      </c>
      <c r="N2071" s="74" t="str">
        <f>IF($C2071="","",IF($C2071="TANIMSIZ MÜŞTERİ","—",INDEX(MUSTERILER!$C$7:$C$156,MATCH($C2071,MUSTERILER!$B$7:$B$156,0))))</f>
        <v/>
      </c>
      <c r="O2071" s="2"/>
      <c r="P2071" s="2"/>
      <c r="Q2071" s="1" t="str">
        <f>IF($D2071="","",$C2071&amp;"|"&amp;COUNTIFS($C$7:$C2071,$C2071))</f>
        <v/>
      </c>
      <c r="R2071" s="1" t="str">
        <f t="shared" si="64"/>
        <v/>
      </c>
      <c r="S2071" s="1" t="str">
        <f t="shared" si="65"/>
        <v/>
      </c>
      <c r="T2071" s="1">
        <f>IF($E2071="",0,SUMPRODUCT((AY_SONU!$O$7:$O$42="Evet")*(AY_SONU!$B$7:$B$42=DATE(YEAR($E2071),MONTH($E2071),1))))</f>
        <v>0</v>
      </c>
      <c r="U2071" s="1" t="str">
        <f>IF(OR($G2071="",$H2071="Mahsup"),"",$G2071&amp;"|"&amp;COUNTIFS($G$7:$G2071,$G2071,$H$7:$H2071,"&lt;&gt;Mahsup"))</f>
        <v/>
      </c>
    </row>
    <row r="2072" spans="1:21" ht="18" customHeight="1" x14ac:dyDescent="0.3">
      <c r="A2072" s="2"/>
      <c r="B2072" s="65" t="str">
        <f>IF($D2072="","","T"&amp;TEXT(ROW()-6,"00000"))</f>
        <v/>
      </c>
      <c r="C2072" s="65" t="str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61"/>
      <c r="E2072" s="66"/>
      <c r="F2072" s="67"/>
      <c r="G2072" s="60"/>
      <c r="H2072" s="60"/>
      <c r="I2072" s="61"/>
      <c r="J2072" s="61"/>
      <c r="K2072" s="61"/>
      <c r="L2072" s="73" t="str">
        <f>IF($E2072="","",DATE(YEAR($E2072),MONTH($E2072),1))</f>
        <v/>
      </c>
      <c r="M2072" s="65" t="str">
        <f ca="1">IF($D2072="","",IF($C2072="TANIMSIZ MÜŞTERİ","HATA",IF(OR($E2072="",$F2072&lt;=0,$G2072=""),"EKSİK",IF($E2072&gt;TODAY(),"İLERİ TARİH",IF(COUNTIF($S$7:$S$2503,$S2072)&gt;1,"MÜKERRER?",IF($T2072&gt;0,"KAPALI DÖNEM","UYGUN"))))))</f>
        <v/>
      </c>
      <c r="N2072" s="74" t="str">
        <f>IF($C2072="","",IF($C2072="TANIMSIZ MÜŞTERİ","—",INDEX(MUSTERILER!$C$7:$C$156,MATCH($C2072,MUSTERILER!$B$7:$B$156,0))))</f>
        <v/>
      </c>
      <c r="O2072" s="2"/>
      <c r="P2072" s="2"/>
      <c r="Q2072" s="1" t="str">
        <f>IF($D2072="","",$C2072&amp;"|"&amp;COUNTIFS($C$7:$C2072,$C2072))</f>
        <v/>
      </c>
      <c r="R2072" s="1" t="str">
        <f t="shared" si="64"/>
        <v/>
      </c>
      <c r="S2072" s="1" t="str">
        <f t="shared" si="65"/>
        <v/>
      </c>
      <c r="T2072" s="1">
        <f>IF($E2072="",0,SUMPRODUCT((AY_SONU!$O$7:$O$42="Evet")*(AY_SONU!$B$7:$B$42=DATE(YEAR($E2072),MONTH($E2072),1))))</f>
        <v>0</v>
      </c>
      <c r="U2072" s="1" t="str">
        <f>IF(OR($G2072="",$H2072="Mahsup"),"",$G2072&amp;"|"&amp;COUNTIFS($G$7:$G2072,$G2072,$H$7:$H2072,"&lt;&gt;Mahsup"))</f>
        <v/>
      </c>
    </row>
    <row r="2073" spans="1:21" ht="18" customHeight="1" x14ac:dyDescent="0.3">
      <c r="A2073" s="2"/>
      <c r="B2073" s="65" t="str">
        <f>IF($D2073="","","T"&amp;TEXT(ROW()-6,"00000"))</f>
        <v/>
      </c>
      <c r="C2073" s="65" t="str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61"/>
      <c r="E2073" s="66"/>
      <c r="F2073" s="67"/>
      <c r="G2073" s="60"/>
      <c r="H2073" s="60"/>
      <c r="I2073" s="61"/>
      <c r="J2073" s="61"/>
      <c r="K2073" s="61"/>
      <c r="L2073" s="73" t="str">
        <f>IF($E2073="","",DATE(YEAR($E2073),MONTH($E2073),1))</f>
        <v/>
      </c>
      <c r="M2073" s="65" t="str">
        <f ca="1">IF($D2073="","",IF($C2073="TANIMSIZ MÜŞTERİ","HATA",IF(OR($E2073="",$F2073&lt;=0,$G2073=""),"EKSİK",IF($E2073&gt;TODAY(),"İLERİ TARİH",IF(COUNTIF($S$7:$S$2503,$S2073)&gt;1,"MÜKERRER?",IF($T2073&gt;0,"KAPALI DÖNEM","UYGUN"))))))</f>
        <v/>
      </c>
      <c r="N2073" s="74" t="str">
        <f>IF($C2073="","",IF($C2073="TANIMSIZ MÜŞTERİ","—",INDEX(MUSTERILER!$C$7:$C$156,MATCH($C2073,MUSTERILER!$B$7:$B$156,0))))</f>
        <v/>
      </c>
      <c r="O2073" s="2"/>
      <c r="P2073" s="2"/>
      <c r="Q2073" s="1" t="str">
        <f>IF($D2073="","",$C2073&amp;"|"&amp;COUNTIFS($C$7:$C2073,$C2073))</f>
        <v/>
      </c>
      <c r="R2073" s="1" t="str">
        <f t="shared" si="64"/>
        <v/>
      </c>
      <c r="S2073" s="1" t="str">
        <f t="shared" si="65"/>
        <v/>
      </c>
      <c r="T2073" s="1">
        <f>IF($E2073="",0,SUMPRODUCT((AY_SONU!$O$7:$O$42="Evet")*(AY_SONU!$B$7:$B$42=DATE(YEAR($E2073),MONTH($E2073),1))))</f>
        <v>0</v>
      </c>
      <c r="U2073" s="1" t="str">
        <f>IF(OR($G2073="",$H2073="Mahsup"),"",$G2073&amp;"|"&amp;COUNTIFS($G$7:$G2073,$G2073,$H$7:$H2073,"&lt;&gt;Mahsup"))</f>
        <v/>
      </c>
    </row>
    <row r="2074" spans="1:21" ht="18" customHeight="1" x14ac:dyDescent="0.3">
      <c r="A2074" s="2"/>
      <c r="B2074" s="65" t="str">
        <f>IF($D2074="","","T"&amp;TEXT(ROW()-6,"00000"))</f>
        <v/>
      </c>
      <c r="C2074" s="65" t="str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61"/>
      <c r="E2074" s="66"/>
      <c r="F2074" s="67"/>
      <c r="G2074" s="60"/>
      <c r="H2074" s="60"/>
      <c r="I2074" s="61"/>
      <c r="J2074" s="61"/>
      <c r="K2074" s="61"/>
      <c r="L2074" s="73" t="str">
        <f>IF($E2074="","",DATE(YEAR($E2074),MONTH($E2074),1))</f>
        <v/>
      </c>
      <c r="M2074" s="65" t="str">
        <f ca="1">IF($D2074="","",IF($C2074="TANIMSIZ MÜŞTERİ","HATA",IF(OR($E2074="",$F2074&lt;=0,$G2074=""),"EKSİK",IF($E2074&gt;TODAY(),"İLERİ TARİH",IF(COUNTIF($S$7:$S$2503,$S2074)&gt;1,"MÜKERRER?",IF($T2074&gt;0,"KAPALI DÖNEM","UYGUN"))))))</f>
        <v/>
      </c>
      <c r="N2074" s="74" t="str">
        <f>IF($C2074="","",IF($C2074="TANIMSIZ MÜŞTERİ","—",INDEX(MUSTERILER!$C$7:$C$156,MATCH($C2074,MUSTERILER!$B$7:$B$156,0))))</f>
        <v/>
      </c>
      <c r="O2074" s="2"/>
      <c r="P2074" s="2"/>
      <c r="Q2074" s="1" t="str">
        <f>IF($D2074="","",$C2074&amp;"|"&amp;COUNTIFS($C$7:$C2074,$C2074))</f>
        <v/>
      </c>
      <c r="R2074" s="1" t="str">
        <f t="shared" si="64"/>
        <v/>
      </c>
      <c r="S2074" s="1" t="str">
        <f t="shared" si="65"/>
        <v/>
      </c>
      <c r="T2074" s="1">
        <f>IF($E2074="",0,SUMPRODUCT((AY_SONU!$O$7:$O$42="Evet")*(AY_SONU!$B$7:$B$42=DATE(YEAR($E2074),MONTH($E2074),1))))</f>
        <v>0</v>
      </c>
      <c r="U2074" s="1" t="str">
        <f>IF(OR($G2074="",$H2074="Mahsup"),"",$G2074&amp;"|"&amp;COUNTIFS($G$7:$G2074,$G2074,$H$7:$H2074,"&lt;&gt;Mahsup"))</f>
        <v/>
      </c>
    </row>
    <row r="2075" spans="1:21" ht="18" customHeight="1" x14ac:dyDescent="0.3">
      <c r="A2075" s="2"/>
      <c r="B2075" s="65" t="str">
        <f>IF($D2075="","","T"&amp;TEXT(ROW()-6,"00000"))</f>
        <v/>
      </c>
      <c r="C2075" s="65" t="str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61"/>
      <c r="E2075" s="66"/>
      <c r="F2075" s="67"/>
      <c r="G2075" s="60"/>
      <c r="H2075" s="60"/>
      <c r="I2075" s="61"/>
      <c r="J2075" s="61"/>
      <c r="K2075" s="61"/>
      <c r="L2075" s="73" t="str">
        <f>IF($E2075="","",DATE(YEAR($E2075),MONTH($E2075),1))</f>
        <v/>
      </c>
      <c r="M2075" s="65" t="str">
        <f ca="1">IF($D2075="","",IF($C2075="TANIMSIZ MÜŞTERİ","HATA",IF(OR($E2075="",$F2075&lt;=0,$G2075=""),"EKSİK",IF($E2075&gt;TODAY(),"İLERİ TARİH",IF(COUNTIF($S$7:$S$2503,$S2075)&gt;1,"MÜKERRER?",IF($T2075&gt;0,"KAPALI DÖNEM","UYGUN"))))))</f>
        <v/>
      </c>
      <c r="N2075" s="74" t="str">
        <f>IF($C2075="","",IF($C2075="TANIMSIZ MÜŞTERİ","—",INDEX(MUSTERILER!$C$7:$C$156,MATCH($C2075,MUSTERILER!$B$7:$B$156,0))))</f>
        <v/>
      </c>
      <c r="O2075" s="2"/>
      <c r="P2075" s="2"/>
      <c r="Q2075" s="1" t="str">
        <f>IF($D2075="","",$C2075&amp;"|"&amp;COUNTIFS($C$7:$C2075,$C2075))</f>
        <v/>
      </c>
      <c r="R2075" s="1" t="str">
        <f t="shared" si="64"/>
        <v/>
      </c>
      <c r="S2075" s="1" t="str">
        <f t="shared" si="65"/>
        <v/>
      </c>
      <c r="T2075" s="1">
        <f>IF($E2075="",0,SUMPRODUCT((AY_SONU!$O$7:$O$42="Evet")*(AY_SONU!$B$7:$B$42=DATE(YEAR($E2075),MONTH($E2075),1))))</f>
        <v>0</v>
      </c>
      <c r="U2075" s="1" t="str">
        <f>IF(OR($G2075="",$H2075="Mahsup"),"",$G2075&amp;"|"&amp;COUNTIFS($G$7:$G2075,$G2075,$H$7:$H2075,"&lt;&gt;Mahsup"))</f>
        <v/>
      </c>
    </row>
    <row r="2076" spans="1:21" ht="18" customHeight="1" x14ac:dyDescent="0.3">
      <c r="A2076" s="2"/>
      <c r="B2076" s="65" t="str">
        <f>IF($D2076="","","T"&amp;TEXT(ROW()-6,"00000"))</f>
        <v/>
      </c>
      <c r="C2076" s="65" t="str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61"/>
      <c r="E2076" s="66"/>
      <c r="F2076" s="67"/>
      <c r="G2076" s="60"/>
      <c r="H2076" s="60"/>
      <c r="I2076" s="61"/>
      <c r="J2076" s="61"/>
      <c r="K2076" s="61"/>
      <c r="L2076" s="73" t="str">
        <f>IF($E2076="","",DATE(YEAR($E2076),MONTH($E2076),1))</f>
        <v/>
      </c>
      <c r="M2076" s="65" t="str">
        <f ca="1">IF($D2076="","",IF($C2076="TANIMSIZ MÜŞTERİ","HATA",IF(OR($E2076="",$F2076&lt;=0,$G2076=""),"EKSİK",IF($E2076&gt;TODAY(),"İLERİ TARİH",IF(COUNTIF($S$7:$S$2503,$S2076)&gt;1,"MÜKERRER?",IF($T2076&gt;0,"KAPALI DÖNEM","UYGUN"))))))</f>
        <v/>
      </c>
      <c r="N2076" s="74" t="str">
        <f>IF($C2076="","",IF($C2076="TANIMSIZ MÜŞTERİ","—",INDEX(MUSTERILER!$C$7:$C$156,MATCH($C2076,MUSTERILER!$B$7:$B$156,0))))</f>
        <v/>
      </c>
      <c r="O2076" s="2"/>
      <c r="P2076" s="2"/>
      <c r="Q2076" s="1" t="str">
        <f>IF($D2076="","",$C2076&amp;"|"&amp;COUNTIFS($C$7:$C2076,$C2076))</f>
        <v/>
      </c>
      <c r="R2076" s="1" t="str">
        <f t="shared" si="64"/>
        <v/>
      </c>
      <c r="S2076" s="1" t="str">
        <f t="shared" si="65"/>
        <v/>
      </c>
      <c r="T2076" s="1">
        <f>IF($E2076="",0,SUMPRODUCT((AY_SONU!$O$7:$O$42="Evet")*(AY_SONU!$B$7:$B$42=DATE(YEAR($E2076),MONTH($E2076),1))))</f>
        <v>0</v>
      </c>
      <c r="U2076" s="1" t="str">
        <f>IF(OR($G2076="",$H2076="Mahsup"),"",$G2076&amp;"|"&amp;COUNTIFS($G$7:$G2076,$G2076,$H$7:$H2076,"&lt;&gt;Mahsup"))</f>
        <v/>
      </c>
    </row>
    <row r="2077" spans="1:21" ht="18" customHeight="1" x14ac:dyDescent="0.3">
      <c r="A2077" s="2"/>
      <c r="B2077" s="65" t="str">
        <f>IF($D2077="","","T"&amp;TEXT(ROW()-6,"00000"))</f>
        <v/>
      </c>
      <c r="C2077" s="65" t="str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61"/>
      <c r="E2077" s="66"/>
      <c r="F2077" s="67"/>
      <c r="G2077" s="60"/>
      <c r="H2077" s="60"/>
      <c r="I2077" s="61"/>
      <c r="J2077" s="61"/>
      <c r="K2077" s="61"/>
      <c r="L2077" s="73" t="str">
        <f>IF($E2077="","",DATE(YEAR($E2077),MONTH($E2077),1))</f>
        <v/>
      </c>
      <c r="M2077" s="65" t="str">
        <f ca="1">IF($D2077="","",IF($C2077="TANIMSIZ MÜŞTERİ","HATA",IF(OR($E2077="",$F2077&lt;=0,$G2077=""),"EKSİK",IF($E2077&gt;TODAY(),"İLERİ TARİH",IF(COUNTIF($S$7:$S$2503,$S2077)&gt;1,"MÜKERRER?",IF($T2077&gt;0,"KAPALI DÖNEM","UYGUN"))))))</f>
        <v/>
      </c>
      <c r="N2077" s="74" t="str">
        <f>IF($C2077="","",IF($C2077="TANIMSIZ MÜŞTERİ","—",INDEX(MUSTERILER!$C$7:$C$156,MATCH($C2077,MUSTERILER!$B$7:$B$156,0))))</f>
        <v/>
      </c>
      <c r="O2077" s="2"/>
      <c r="P2077" s="2"/>
      <c r="Q2077" s="1" t="str">
        <f>IF($D2077="","",$C2077&amp;"|"&amp;COUNTIFS($C$7:$C2077,$C2077))</f>
        <v/>
      </c>
      <c r="R2077" s="1" t="str">
        <f t="shared" si="64"/>
        <v/>
      </c>
      <c r="S2077" s="1" t="str">
        <f t="shared" si="65"/>
        <v/>
      </c>
      <c r="T2077" s="1">
        <f>IF($E2077="",0,SUMPRODUCT((AY_SONU!$O$7:$O$42="Evet")*(AY_SONU!$B$7:$B$42=DATE(YEAR($E2077),MONTH($E2077),1))))</f>
        <v>0</v>
      </c>
      <c r="U2077" s="1" t="str">
        <f>IF(OR($G2077="",$H2077="Mahsup"),"",$G2077&amp;"|"&amp;COUNTIFS($G$7:$G2077,$G2077,$H$7:$H2077,"&lt;&gt;Mahsup"))</f>
        <v/>
      </c>
    </row>
    <row r="2078" spans="1:21" ht="18" customHeight="1" x14ac:dyDescent="0.3">
      <c r="A2078" s="2"/>
      <c r="B2078" s="65" t="str">
        <f>IF($D2078="","","T"&amp;TEXT(ROW()-6,"00000"))</f>
        <v/>
      </c>
      <c r="C2078" s="65" t="str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61"/>
      <c r="E2078" s="66"/>
      <c r="F2078" s="67"/>
      <c r="G2078" s="60"/>
      <c r="H2078" s="60"/>
      <c r="I2078" s="61"/>
      <c r="J2078" s="61"/>
      <c r="K2078" s="61"/>
      <c r="L2078" s="73" t="str">
        <f>IF($E2078="","",DATE(YEAR($E2078),MONTH($E2078),1))</f>
        <v/>
      </c>
      <c r="M2078" s="65" t="str">
        <f ca="1">IF($D2078="","",IF($C2078="TANIMSIZ MÜŞTERİ","HATA",IF(OR($E2078="",$F2078&lt;=0,$G2078=""),"EKSİK",IF($E2078&gt;TODAY(),"İLERİ TARİH",IF(COUNTIF($S$7:$S$2503,$S2078)&gt;1,"MÜKERRER?",IF($T2078&gt;0,"KAPALI DÖNEM","UYGUN"))))))</f>
        <v/>
      </c>
      <c r="N2078" s="74" t="str">
        <f>IF($C2078="","",IF($C2078="TANIMSIZ MÜŞTERİ","—",INDEX(MUSTERILER!$C$7:$C$156,MATCH($C2078,MUSTERILER!$B$7:$B$156,0))))</f>
        <v/>
      </c>
      <c r="O2078" s="2"/>
      <c r="P2078" s="2"/>
      <c r="Q2078" s="1" t="str">
        <f>IF($D2078="","",$C2078&amp;"|"&amp;COUNTIFS($C$7:$C2078,$C2078))</f>
        <v/>
      </c>
      <c r="R2078" s="1" t="str">
        <f t="shared" si="64"/>
        <v/>
      </c>
      <c r="S2078" s="1" t="str">
        <f t="shared" si="65"/>
        <v/>
      </c>
      <c r="T2078" s="1">
        <f>IF($E2078="",0,SUMPRODUCT((AY_SONU!$O$7:$O$42="Evet")*(AY_SONU!$B$7:$B$42=DATE(YEAR($E2078),MONTH($E2078),1))))</f>
        <v>0</v>
      </c>
      <c r="U2078" s="1" t="str">
        <f>IF(OR($G2078="",$H2078="Mahsup"),"",$G2078&amp;"|"&amp;COUNTIFS($G$7:$G2078,$G2078,$H$7:$H2078,"&lt;&gt;Mahsup"))</f>
        <v/>
      </c>
    </row>
    <row r="2079" spans="1:21" ht="18" customHeight="1" x14ac:dyDescent="0.3">
      <c r="A2079" s="2"/>
      <c r="B2079" s="65" t="str">
        <f>IF($D2079="","","T"&amp;TEXT(ROW()-6,"00000"))</f>
        <v/>
      </c>
      <c r="C2079" s="65" t="str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61"/>
      <c r="E2079" s="66"/>
      <c r="F2079" s="67"/>
      <c r="G2079" s="60"/>
      <c r="H2079" s="60"/>
      <c r="I2079" s="61"/>
      <c r="J2079" s="61"/>
      <c r="K2079" s="61"/>
      <c r="L2079" s="73" t="str">
        <f>IF($E2079="","",DATE(YEAR($E2079),MONTH($E2079),1))</f>
        <v/>
      </c>
      <c r="M2079" s="65" t="str">
        <f ca="1">IF($D2079="","",IF($C2079="TANIMSIZ MÜŞTERİ","HATA",IF(OR($E2079="",$F2079&lt;=0,$G2079=""),"EKSİK",IF($E2079&gt;TODAY(),"İLERİ TARİH",IF(COUNTIF($S$7:$S$2503,$S2079)&gt;1,"MÜKERRER?",IF($T2079&gt;0,"KAPALI DÖNEM","UYGUN"))))))</f>
        <v/>
      </c>
      <c r="N2079" s="74" t="str">
        <f>IF($C2079="","",IF($C2079="TANIMSIZ MÜŞTERİ","—",INDEX(MUSTERILER!$C$7:$C$156,MATCH($C2079,MUSTERILER!$B$7:$B$156,0))))</f>
        <v/>
      </c>
      <c r="O2079" s="2"/>
      <c r="P2079" s="2"/>
      <c r="Q2079" s="1" t="str">
        <f>IF($D2079="","",$C2079&amp;"|"&amp;COUNTIFS($C$7:$C2079,$C2079))</f>
        <v/>
      </c>
      <c r="R2079" s="1" t="str">
        <f t="shared" si="64"/>
        <v/>
      </c>
      <c r="S2079" s="1" t="str">
        <f t="shared" si="65"/>
        <v/>
      </c>
      <c r="T2079" s="1">
        <f>IF($E2079="",0,SUMPRODUCT((AY_SONU!$O$7:$O$42="Evet")*(AY_SONU!$B$7:$B$42=DATE(YEAR($E2079),MONTH($E2079),1))))</f>
        <v>0</v>
      </c>
      <c r="U2079" s="1" t="str">
        <f>IF(OR($G2079="",$H2079="Mahsup"),"",$G2079&amp;"|"&amp;COUNTIFS($G$7:$G2079,$G2079,$H$7:$H2079,"&lt;&gt;Mahsup"))</f>
        <v/>
      </c>
    </row>
    <row r="2080" spans="1:21" ht="18" customHeight="1" x14ac:dyDescent="0.3">
      <c r="A2080" s="2"/>
      <c r="B2080" s="65" t="str">
        <f>IF($D2080="","","T"&amp;TEXT(ROW()-6,"00000"))</f>
        <v/>
      </c>
      <c r="C2080" s="65" t="str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61"/>
      <c r="E2080" s="66"/>
      <c r="F2080" s="67"/>
      <c r="G2080" s="60"/>
      <c r="H2080" s="60"/>
      <c r="I2080" s="61"/>
      <c r="J2080" s="61"/>
      <c r="K2080" s="61"/>
      <c r="L2080" s="73" t="str">
        <f>IF($E2080="","",DATE(YEAR($E2080),MONTH($E2080),1))</f>
        <v/>
      </c>
      <c r="M2080" s="65" t="str">
        <f ca="1">IF($D2080="","",IF($C2080="TANIMSIZ MÜŞTERİ","HATA",IF(OR($E2080="",$F2080&lt;=0,$G2080=""),"EKSİK",IF($E2080&gt;TODAY(),"İLERİ TARİH",IF(COUNTIF($S$7:$S$2503,$S2080)&gt;1,"MÜKERRER?",IF($T2080&gt;0,"KAPALI DÖNEM","UYGUN"))))))</f>
        <v/>
      </c>
      <c r="N2080" s="74" t="str">
        <f>IF($C2080="","",IF($C2080="TANIMSIZ MÜŞTERİ","—",INDEX(MUSTERILER!$C$7:$C$156,MATCH($C2080,MUSTERILER!$B$7:$B$156,0))))</f>
        <v/>
      </c>
      <c r="O2080" s="2"/>
      <c r="P2080" s="2"/>
      <c r="Q2080" s="1" t="str">
        <f>IF($D2080="","",$C2080&amp;"|"&amp;COUNTIFS($C$7:$C2080,$C2080))</f>
        <v/>
      </c>
      <c r="R2080" s="1" t="str">
        <f t="shared" si="64"/>
        <v/>
      </c>
      <c r="S2080" s="1" t="str">
        <f t="shared" si="65"/>
        <v/>
      </c>
      <c r="T2080" s="1">
        <f>IF($E2080="",0,SUMPRODUCT((AY_SONU!$O$7:$O$42="Evet")*(AY_SONU!$B$7:$B$42=DATE(YEAR($E2080),MONTH($E2080),1))))</f>
        <v>0</v>
      </c>
      <c r="U2080" s="1" t="str">
        <f>IF(OR($G2080="",$H2080="Mahsup"),"",$G2080&amp;"|"&amp;COUNTIFS($G$7:$G2080,$G2080,$H$7:$H2080,"&lt;&gt;Mahsup"))</f>
        <v/>
      </c>
    </row>
    <row r="2081" spans="1:21" ht="18" customHeight="1" x14ac:dyDescent="0.3">
      <c r="A2081" s="2"/>
      <c r="B2081" s="65" t="str">
        <f>IF($D2081="","","T"&amp;TEXT(ROW()-6,"00000"))</f>
        <v/>
      </c>
      <c r="C2081" s="65" t="str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61"/>
      <c r="E2081" s="66"/>
      <c r="F2081" s="67"/>
      <c r="G2081" s="60"/>
      <c r="H2081" s="60"/>
      <c r="I2081" s="61"/>
      <c r="J2081" s="61"/>
      <c r="K2081" s="61"/>
      <c r="L2081" s="73" t="str">
        <f>IF($E2081="","",DATE(YEAR($E2081),MONTH($E2081),1))</f>
        <v/>
      </c>
      <c r="M2081" s="65" t="str">
        <f ca="1">IF($D2081="","",IF($C2081="TANIMSIZ MÜŞTERİ","HATA",IF(OR($E2081="",$F2081&lt;=0,$G2081=""),"EKSİK",IF($E2081&gt;TODAY(),"İLERİ TARİH",IF(COUNTIF($S$7:$S$2503,$S2081)&gt;1,"MÜKERRER?",IF($T2081&gt;0,"KAPALI DÖNEM","UYGUN"))))))</f>
        <v/>
      </c>
      <c r="N2081" s="74" t="str">
        <f>IF($C2081="","",IF($C2081="TANIMSIZ MÜŞTERİ","—",INDEX(MUSTERILER!$C$7:$C$156,MATCH($C2081,MUSTERILER!$B$7:$B$156,0))))</f>
        <v/>
      </c>
      <c r="O2081" s="2"/>
      <c r="P2081" s="2"/>
      <c r="Q2081" s="1" t="str">
        <f>IF($D2081="","",$C2081&amp;"|"&amp;COUNTIFS($C$7:$C2081,$C2081))</f>
        <v/>
      </c>
      <c r="R2081" s="1" t="str">
        <f t="shared" si="64"/>
        <v/>
      </c>
      <c r="S2081" s="1" t="str">
        <f t="shared" si="65"/>
        <v/>
      </c>
      <c r="T2081" s="1">
        <f>IF($E2081="",0,SUMPRODUCT((AY_SONU!$O$7:$O$42="Evet")*(AY_SONU!$B$7:$B$42=DATE(YEAR($E2081),MONTH($E2081),1))))</f>
        <v>0</v>
      </c>
      <c r="U2081" s="1" t="str">
        <f>IF(OR($G2081="",$H2081="Mahsup"),"",$G2081&amp;"|"&amp;COUNTIFS($G$7:$G2081,$G2081,$H$7:$H2081,"&lt;&gt;Mahsup"))</f>
        <v/>
      </c>
    </row>
    <row r="2082" spans="1:21" ht="18" customHeight="1" x14ac:dyDescent="0.3">
      <c r="A2082" s="2"/>
      <c r="B2082" s="65" t="str">
        <f>IF($D2082="","","T"&amp;TEXT(ROW()-6,"00000"))</f>
        <v/>
      </c>
      <c r="C2082" s="65" t="str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61"/>
      <c r="E2082" s="66"/>
      <c r="F2082" s="67"/>
      <c r="G2082" s="60"/>
      <c r="H2082" s="60"/>
      <c r="I2082" s="61"/>
      <c r="J2082" s="61"/>
      <c r="K2082" s="61"/>
      <c r="L2082" s="73" t="str">
        <f>IF($E2082="","",DATE(YEAR($E2082),MONTH($E2082),1))</f>
        <v/>
      </c>
      <c r="M2082" s="65" t="str">
        <f ca="1">IF($D2082="","",IF($C2082="TANIMSIZ MÜŞTERİ","HATA",IF(OR($E2082="",$F2082&lt;=0,$G2082=""),"EKSİK",IF($E2082&gt;TODAY(),"İLERİ TARİH",IF(COUNTIF($S$7:$S$2503,$S2082)&gt;1,"MÜKERRER?",IF($T2082&gt;0,"KAPALI DÖNEM","UYGUN"))))))</f>
        <v/>
      </c>
      <c r="N2082" s="74" t="str">
        <f>IF($C2082="","",IF($C2082="TANIMSIZ MÜŞTERİ","—",INDEX(MUSTERILER!$C$7:$C$156,MATCH($C2082,MUSTERILER!$B$7:$B$156,0))))</f>
        <v/>
      </c>
      <c r="O2082" s="2"/>
      <c r="P2082" s="2"/>
      <c r="Q2082" s="1" t="str">
        <f>IF($D2082="","",$C2082&amp;"|"&amp;COUNTIFS($C$7:$C2082,$C2082))</f>
        <v/>
      </c>
      <c r="R2082" s="1" t="str">
        <f t="shared" si="64"/>
        <v/>
      </c>
      <c r="S2082" s="1" t="str">
        <f t="shared" si="65"/>
        <v/>
      </c>
      <c r="T2082" s="1">
        <f>IF($E2082="",0,SUMPRODUCT((AY_SONU!$O$7:$O$42="Evet")*(AY_SONU!$B$7:$B$42=DATE(YEAR($E2082),MONTH($E2082),1))))</f>
        <v>0</v>
      </c>
      <c r="U2082" s="1" t="str">
        <f>IF(OR($G2082="",$H2082="Mahsup"),"",$G2082&amp;"|"&amp;COUNTIFS($G$7:$G2082,$G2082,$H$7:$H2082,"&lt;&gt;Mahsup"))</f>
        <v/>
      </c>
    </row>
    <row r="2083" spans="1:21" ht="18" customHeight="1" x14ac:dyDescent="0.3">
      <c r="A2083" s="2"/>
      <c r="B2083" s="65" t="str">
        <f>IF($D2083="","","T"&amp;TEXT(ROW()-6,"00000"))</f>
        <v/>
      </c>
      <c r="C2083" s="65" t="str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61"/>
      <c r="E2083" s="66"/>
      <c r="F2083" s="67"/>
      <c r="G2083" s="60"/>
      <c r="H2083" s="60"/>
      <c r="I2083" s="61"/>
      <c r="J2083" s="61"/>
      <c r="K2083" s="61"/>
      <c r="L2083" s="73" t="str">
        <f>IF($E2083="","",DATE(YEAR($E2083),MONTH($E2083),1))</f>
        <v/>
      </c>
      <c r="M2083" s="65" t="str">
        <f ca="1">IF($D2083="","",IF($C2083="TANIMSIZ MÜŞTERİ","HATA",IF(OR($E2083="",$F2083&lt;=0,$G2083=""),"EKSİK",IF($E2083&gt;TODAY(),"İLERİ TARİH",IF(COUNTIF($S$7:$S$2503,$S2083)&gt;1,"MÜKERRER?",IF($T2083&gt;0,"KAPALI DÖNEM","UYGUN"))))))</f>
        <v/>
      </c>
      <c r="N2083" s="74" t="str">
        <f>IF($C2083="","",IF($C2083="TANIMSIZ MÜŞTERİ","—",INDEX(MUSTERILER!$C$7:$C$156,MATCH($C2083,MUSTERILER!$B$7:$B$156,0))))</f>
        <v/>
      </c>
      <c r="O2083" s="2"/>
      <c r="P2083" s="2"/>
      <c r="Q2083" s="1" t="str">
        <f>IF($D2083="","",$C2083&amp;"|"&amp;COUNTIFS($C$7:$C2083,$C2083))</f>
        <v/>
      </c>
      <c r="R2083" s="1" t="str">
        <f t="shared" si="64"/>
        <v/>
      </c>
      <c r="S2083" s="1" t="str">
        <f t="shared" si="65"/>
        <v/>
      </c>
      <c r="T2083" s="1">
        <f>IF($E2083="",0,SUMPRODUCT((AY_SONU!$O$7:$O$42="Evet")*(AY_SONU!$B$7:$B$42=DATE(YEAR($E2083),MONTH($E2083),1))))</f>
        <v>0</v>
      </c>
      <c r="U2083" s="1" t="str">
        <f>IF(OR($G2083="",$H2083="Mahsup"),"",$G2083&amp;"|"&amp;COUNTIFS($G$7:$G2083,$G2083,$H$7:$H2083,"&lt;&gt;Mahsup"))</f>
        <v/>
      </c>
    </row>
    <row r="2084" spans="1:21" ht="18" customHeight="1" x14ac:dyDescent="0.3">
      <c r="A2084" s="2"/>
      <c r="B2084" s="65" t="str">
        <f>IF($D2084="","","T"&amp;TEXT(ROW()-6,"00000"))</f>
        <v/>
      </c>
      <c r="C2084" s="65" t="str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61"/>
      <c r="E2084" s="66"/>
      <c r="F2084" s="67"/>
      <c r="G2084" s="60"/>
      <c r="H2084" s="60"/>
      <c r="I2084" s="61"/>
      <c r="J2084" s="61"/>
      <c r="K2084" s="61"/>
      <c r="L2084" s="73" t="str">
        <f>IF($E2084="","",DATE(YEAR($E2084),MONTH($E2084),1))</f>
        <v/>
      </c>
      <c r="M2084" s="65" t="str">
        <f ca="1">IF($D2084="","",IF($C2084="TANIMSIZ MÜŞTERİ","HATA",IF(OR($E2084="",$F2084&lt;=0,$G2084=""),"EKSİK",IF($E2084&gt;TODAY(),"İLERİ TARİH",IF(COUNTIF($S$7:$S$2503,$S2084)&gt;1,"MÜKERRER?",IF($T2084&gt;0,"KAPALI DÖNEM","UYGUN"))))))</f>
        <v/>
      </c>
      <c r="N2084" s="74" t="str">
        <f>IF($C2084="","",IF($C2084="TANIMSIZ MÜŞTERİ","—",INDEX(MUSTERILER!$C$7:$C$156,MATCH($C2084,MUSTERILER!$B$7:$B$156,0))))</f>
        <v/>
      </c>
      <c r="O2084" s="2"/>
      <c r="P2084" s="2"/>
      <c r="Q2084" s="1" t="str">
        <f>IF($D2084="","",$C2084&amp;"|"&amp;COUNTIFS($C$7:$C2084,$C2084))</f>
        <v/>
      </c>
      <c r="R2084" s="1" t="str">
        <f t="shared" si="64"/>
        <v/>
      </c>
      <c r="S2084" s="1" t="str">
        <f t="shared" si="65"/>
        <v/>
      </c>
      <c r="T2084" s="1">
        <f>IF($E2084="",0,SUMPRODUCT((AY_SONU!$O$7:$O$42="Evet")*(AY_SONU!$B$7:$B$42=DATE(YEAR($E2084),MONTH($E2084),1))))</f>
        <v>0</v>
      </c>
      <c r="U2084" s="1" t="str">
        <f>IF(OR($G2084="",$H2084="Mahsup"),"",$G2084&amp;"|"&amp;COUNTIFS($G$7:$G2084,$G2084,$H$7:$H2084,"&lt;&gt;Mahsup"))</f>
        <v/>
      </c>
    </row>
    <row r="2085" spans="1:21" ht="18" customHeight="1" x14ac:dyDescent="0.3">
      <c r="A2085" s="2"/>
      <c r="B2085" s="65" t="str">
        <f>IF($D2085="","","T"&amp;TEXT(ROW()-6,"00000"))</f>
        <v/>
      </c>
      <c r="C2085" s="65" t="str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61"/>
      <c r="E2085" s="66"/>
      <c r="F2085" s="67"/>
      <c r="G2085" s="60"/>
      <c r="H2085" s="60"/>
      <c r="I2085" s="61"/>
      <c r="J2085" s="61"/>
      <c r="K2085" s="61"/>
      <c r="L2085" s="73" t="str">
        <f>IF($E2085="","",DATE(YEAR($E2085),MONTH($E2085),1))</f>
        <v/>
      </c>
      <c r="M2085" s="65" t="str">
        <f ca="1">IF($D2085="","",IF($C2085="TANIMSIZ MÜŞTERİ","HATA",IF(OR($E2085="",$F2085&lt;=0,$G2085=""),"EKSİK",IF($E2085&gt;TODAY(),"İLERİ TARİH",IF(COUNTIF($S$7:$S$2503,$S2085)&gt;1,"MÜKERRER?",IF($T2085&gt;0,"KAPALI DÖNEM","UYGUN"))))))</f>
        <v/>
      </c>
      <c r="N2085" s="74" t="str">
        <f>IF($C2085="","",IF($C2085="TANIMSIZ MÜŞTERİ","—",INDEX(MUSTERILER!$C$7:$C$156,MATCH($C2085,MUSTERILER!$B$7:$B$156,0))))</f>
        <v/>
      </c>
      <c r="O2085" s="2"/>
      <c r="P2085" s="2"/>
      <c r="Q2085" s="1" t="str">
        <f>IF($D2085="","",$C2085&amp;"|"&amp;COUNTIFS($C$7:$C2085,$C2085))</f>
        <v/>
      </c>
      <c r="R2085" s="1" t="str">
        <f t="shared" si="64"/>
        <v/>
      </c>
      <c r="S2085" s="1" t="str">
        <f t="shared" si="65"/>
        <v/>
      </c>
      <c r="T2085" s="1">
        <f>IF($E2085="",0,SUMPRODUCT((AY_SONU!$O$7:$O$42="Evet")*(AY_SONU!$B$7:$B$42=DATE(YEAR($E2085),MONTH($E2085),1))))</f>
        <v>0</v>
      </c>
      <c r="U2085" s="1" t="str">
        <f>IF(OR($G2085="",$H2085="Mahsup"),"",$G2085&amp;"|"&amp;COUNTIFS($G$7:$G2085,$G2085,$H$7:$H2085,"&lt;&gt;Mahsup"))</f>
        <v/>
      </c>
    </row>
    <row r="2086" spans="1:21" ht="18" customHeight="1" x14ac:dyDescent="0.3">
      <c r="A2086" s="2"/>
      <c r="B2086" s="65" t="str">
        <f>IF($D2086="","","T"&amp;TEXT(ROW()-6,"00000"))</f>
        <v/>
      </c>
      <c r="C2086" s="65" t="str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61"/>
      <c r="E2086" s="66"/>
      <c r="F2086" s="67"/>
      <c r="G2086" s="60"/>
      <c r="H2086" s="60"/>
      <c r="I2086" s="61"/>
      <c r="J2086" s="61"/>
      <c r="K2086" s="61"/>
      <c r="L2086" s="73" t="str">
        <f>IF($E2086="","",DATE(YEAR($E2086),MONTH($E2086),1))</f>
        <v/>
      </c>
      <c r="M2086" s="65" t="str">
        <f ca="1">IF($D2086="","",IF($C2086="TANIMSIZ MÜŞTERİ","HATA",IF(OR($E2086="",$F2086&lt;=0,$G2086=""),"EKSİK",IF($E2086&gt;TODAY(),"İLERİ TARİH",IF(COUNTIF($S$7:$S$2503,$S2086)&gt;1,"MÜKERRER?",IF($T2086&gt;0,"KAPALI DÖNEM","UYGUN"))))))</f>
        <v/>
      </c>
      <c r="N2086" s="74" t="str">
        <f>IF($C2086="","",IF($C2086="TANIMSIZ MÜŞTERİ","—",INDEX(MUSTERILER!$C$7:$C$156,MATCH($C2086,MUSTERILER!$B$7:$B$156,0))))</f>
        <v/>
      </c>
      <c r="O2086" s="2"/>
      <c r="P2086" s="2"/>
      <c r="Q2086" s="1" t="str">
        <f>IF($D2086="","",$C2086&amp;"|"&amp;COUNTIFS($C$7:$C2086,$C2086))</f>
        <v/>
      </c>
      <c r="R2086" s="1" t="str">
        <f t="shared" si="64"/>
        <v/>
      </c>
      <c r="S2086" s="1" t="str">
        <f t="shared" si="65"/>
        <v/>
      </c>
      <c r="T2086" s="1">
        <f>IF($E2086="",0,SUMPRODUCT((AY_SONU!$O$7:$O$42="Evet")*(AY_SONU!$B$7:$B$42=DATE(YEAR($E2086),MONTH($E2086),1))))</f>
        <v>0</v>
      </c>
      <c r="U2086" s="1" t="str">
        <f>IF(OR($G2086="",$H2086="Mahsup"),"",$G2086&amp;"|"&amp;COUNTIFS($G$7:$G2086,$G2086,$H$7:$H2086,"&lt;&gt;Mahsup"))</f>
        <v/>
      </c>
    </row>
    <row r="2087" spans="1:21" ht="18" customHeight="1" x14ac:dyDescent="0.3">
      <c r="A2087" s="2"/>
      <c r="B2087" s="65" t="str">
        <f>IF($D2087="","","T"&amp;TEXT(ROW()-6,"00000"))</f>
        <v/>
      </c>
      <c r="C2087" s="65" t="str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61"/>
      <c r="E2087" s="66"/>
      <c r="F2087" s="67"/>
      <c r="G2087" s="60"/>
      <c r="H2087" s="60"/>
      <c r="I2087" s="61"/>
      <c r="J2087" s="61"/>
      <c r="K2087" s="61"/>
      <c r="L2087" s="73" t="str">
        <f>IF($E2087="","",DATE(YEAR($E2087),MONTH($E2087),1))</f>
        <v/>
      </c>
      <c r="M2087" s="65" t="str">
        <f ca="1">IF($D2087="","",IF($C2087="TANIMSIZ MÜŞTERİ","HATA",IF(OR($E2087="",$F2087&lt;=0,$G2087=""),"EKSİK",IF($E2087&gt;TODAY(),"İLERİ TARİH",IF(COUNTIF($S$7:$S$2503,$S2087)&gt;1,"MÜKERRER?",IF($T2087&gt;0,"KAPALI DÖNEM","UYGUN"))))))</f>
        <v/>
      </c>
      <c r="N2087" s="74" t="str">
        <f>IF($C2087="","",IF($C2087="TANIMSIZ MÜŞTERİ","—",INDEX(MUSTERILER!$C$7:$C$156,MATCH($C2087,MUSTERILER!$B$7:$B$156,0))))</f>
        <v/>
      </c>
      <c r="O2087" s="2"/>
      <c r="P2087" s="2"/>
      <c r="Q2087" s="1" t="str">
        <f>IF($D2087="","",$C2087&amp;"|"&amp;COUNTIFS($C$7:$C2087,$C2087))</f>
        <v/>
      </c>
      <c r="R2087" s="1" t="str">
        <f t="shared" si="64"/>
        <v/>
      </c>
      <c r="S2087" s="1" t="str">
        <f t="shared" si="65"/>
        <v/>
      </c>
      <c r="T2087" s="1">
        <f>IF($E2087="",0,SUMPRODUCT((AY_SONU!$O$7:$O$42="Evet")*(AY_SONU!$B$7:$B$42=DATE(YEAR($E2087),MONTH($E2087),1))))</f>
        <v>0</v>
      </c>
      <c r="U2087" s="1" t="str">
        <f>IF(OR($G2087="",$H2087="Mahsup"),"",$G2087&amp;"|"&amp;COUNTIFS($G$7:$G2087,$G2087,$H$7:$H2087,"&lt;&gt;Mahsup"))</f>
        <v/>
      </c>
    </row>
    <row r="2088" spans="1:21" ht="18" customHeight="1" x14ac:dyDescent="0.3">
      <c r="A2088" s="2"/>
      <c r="B2088" s="65" t="str">
        <f>IF($D2088="","","T"&amp;TEXT(ROW()-6,"00000"))</f>
        <v/>
      </c>
      <c r="C2088" s="65" t="str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61"/>
      <c r="E2088" s="66"/>
      <c r="F2088" s="67"/>
      <c r="G2088" s="60"/>
      <c r="H2088" s="60"/>
      <c r="I2088" s="61"/>
      <c r="J2088" s="61"/>
      <c r="K2088" s="61"/>
      <c r="L2088" s="73" t="str">
        <f>IF($E2088="","",DATE(YEAR($E2088),MONTH($E2088),1))</f>
        <v/>
      </c>
      <c r="M2088" s="65" t="str">
        <f ca="1">IF($D2088="","",IF($C2088="TANIMSIZ MÜŞTERİ","HATA",IF(OR($E2088="",$F2088&lt;=0,$G2088=""),"EKSİK",IF($E2088&gt;TODAY(),"İLERİ TARİH",IF(COUNTIF($S$7:$S$2503,$S2088)&gt;1,"MÜKERRER?",IF($T2088&gt;0,"KAPALI DÖNEM","UYGUN"))))))</f>
        <v/>
      </c>
      <c r="N2088" s="74" t="str">
        <f>IF($C2088="","",IF($C2088="TANIMSIZ MÜŞTERİ","—",INDEX(MUSTERILER!$C$7:$C$156,MATCH($C2088,MUSTERILER!$B$7:$B$156,0))))</f>
        <v/>
      </c>
      <c r="O2088" s="2"/>
      <c r="P2088" s="2"/>
      <c r="Q2088" s="1" t="str">
        <f>IF($D2088="","",$C2088&amp;"|"&amp;COUNTIFS($C$7:$C2088,$C2088))</f>
        <v/>
      </c>
      <c r="R2088" s="1" t="str">
        <f t="shared" si="64"/>
        <v/>
      </c>
      <c r="S2088" s="1" t="str">
        <f t="shared" si="65"/>
        <v/>
      </c>
      <c r="T2088" s="1">
        <f>IF($E2088="",0,SUMPRODUCT((AY_SONU!$O$7:$O$42="Evet")*(AY_SONU!$B$7:$B$42=DATE(YEAR($E2088),MONTH($E2088),1))))</f>
        <v>0</v>
      </c>
      <c r="U2088" s="1" t="str">
        <f>IF(OR($G2088="",$H2088="Mahsup"),"",$G2088&amp;"|"&amp;COUNTIFS($G$7:$G2088,$G2088,$H$7:$H2088,"&lt;&gt;Mahsup"))</f>
        <v/>
      </c>
    </row>
    <row r="2089" spans="1:21" ht="18" customHeight="1" x14ac:dyDescent="0.3">
      <c r="A2089" s="2"/>
      <c r="B2089" s="65" t="str">
        <f>IF($D2089="","","T"&amp;TEXT(ROW()-6,"00000"))</f>
        <v/>
      </c>
      <c r="C2089" s="65" t="str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61"/>
      <c r="E2089" s="66"/>
      <c r="F2089" s="67"/>
      <c r="G2089" s="60"/>
      <c r="H2089" s="60"/>
      <c r="I2089" s="61"/>
      <c r="J2089" s="61"/>
      <c r="K2089" s="61"/>
      <c r="L2089" s="73" t="str">
        <f>IF($E2089="","",DATE(YEAR($E2089),MONTH($E2089),1))</f>
        <v/>
      </c>
      <c r="M2089" s="65" t="str">
        <f ca="1">IF($D2089="","",IF($C2089="TANIMSIZ MÜŞTERİ","HATA",IF(OR($E2089="",$F2089&lt;=0,$G2089=""),"EKSİK",IF($E2089&gt;TODAY(),"İLERİ TARİH",IF(COUNTIF($S$7:$S$2503,$S2089)&gt;1,"MÜKERRER?",IF($T2089&gt;0,"KAPALI DÖNEM","UYGUN"))))))</f>
        <v/>
      </c>
      <c r="N2089" s="74" t="str">
        <f>IF($C2089="","",IF($C2089="TANIMSIZ MÜŞTERİ","—",INDEX(MUSTERILER!$C$7:$C$156,MATCH($C2089,MUSTERILER!$B$7:$B$156,0))))</f>
        <v/>
      </c>
      <c r="O2089" s="2"/>
      <c r="P2089" s="2"/>
      <c r="Q2089" s="1" t="str">
        <f>IF($D2089="","",$C2089&amp;"|"&amp;COUNTIFS($C$7:$C2089,$C2089))</f>
        <v/>
      </c>
      <c r="R2089" s="1" t="str">
        <f t="shared" si="64"/>
        <v/>
      </c>
      <c r="S2089" s="1" t="str">
        <f t="shared" si="65"/>
        <v/>
      </c>
      <c r="T2089" s="1">
        <f>IF($E2089="",0,SUMPRODUCT((AY_SONU!$O$7:$O$42="Evet")*(AY_SONU!$B$7:$B$42=DATE(YEAR($E2089),MONTH($E2089),1))))</f>
        <v>0</v>
      </c>
      <c r="U2089" s="1" t="str">
        <f>IF(OR($G2089="",$H2089="Mahsup"),"",$G2089&amp;"|"&amp;COUNTIFS($G$7:$G2089,$G2089,$H$7:$H2089,"&lt;&gt;Mahsup"))</f>
        <v/>
      </c>
    </row>
    <row r="2090" spans="1:21" ht="18" customHeight="1" x14ac:dyDescent="0.3">
      <c r="A2090" s="2"/>
      <c r="B2090" s="65" t="str">
        <f>IF($D2090="","","T"&amp;TEXT(ROW()-6,"00000"))</f>
        <v/>
      </c>
      <c r="C2090" s="65" t="str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61"/>
      <c r="E2090" s="66"/>
      <c r="F2090" s="67"/>
      <c r="G2090" s="60"/>
      <c r="H2090" s="60"/>
      <c r="I2090" s="61"/>
      <c r="J2090" s="61"/>
      <c r="K2090" s="61"/>
      <c r="L2090" s="73" t="str">
        <f>IF($E2090="","",DATE(YEAR($E2090),MONTH($E2090),1))</f>
        <v/>
      </c>
      <c r="M2090" s="65" t="str">
        <f ca="1">IF($D2090="","",IF($C2090="TANIMSIZ MÜŞTERİ","HATA",IF(OR($E2090="",$F2090&lt;=0,$G2090=""),"EKSİK",IF($E2090&gt;TODAY(),"İLERİ TARİH",IF(COUNTIF($S$7:$S$2503,$S2090)&gt;1,"MÜKERRER?",IF($T2090&gt;0,"KAPALI DÖNEM","UYGUN"))))))</f>
        <v/>
      </c>
      <c r="N2090" s="74" t="str">
        <f>IF($C2090="","",IF($C2090="TANIMSIZ MÜŞTERİ","—",INDEX(MUSTERILER!$C$7:$C$156,MATCH($C2090,MUSTERILER!$B$7:$B$156,0))))</f>
        <v/>
      </c>
      <c r="O2090" s="2"/>
      <c r="P2090" s="2"/>
      <c r="Q2090" s="1" t="str">
        <f>IF($D2090="","",$C2090&amp;"|"&amp;COUNTIFS($C$7:$C2090,$C2090))</f>
        <v/>
      </c>
      <c r="R2090" s="1" t="str">
        <f t="shared" si="64"/>
        <v/>
      </c>
      <c r="S2090" s="1" t="str">
        <f t="shared" si="65"/>
        <v/>
      </c>
      <c r="T2090" s="1">
        <f>IF($E2090="",0,SUMPRODUCT((AY_SONU!$O$7:$O$42="Evet")*(AY_SONU!$B$7:$B$42=DATE(YEAR($E2090),MONTH($E2090),1))))</f>
        <v>0</v>
      </c>
      <c r="U2090" s="1" t="str">
        <f>IF(OR($G2090="",$H2090="Mahsup"),"",$G2090&amp;"|"&amp;COUNTIFS($G$7:$G2090,$G2090,$H$7:$H2090,"&lt;&gt;Mahsup"))</f>
        <v/>
      </c>
    </row>
    <row r="2091" spans="1:21" ht="18" customHeight="1" x14ac:dyDescent="0.3">
      <c r="A2091" s="2"/>
      <c r="B2091" s="65" t="str">
        <f>IF($D2091="","","T"&amp;TEXT(ROW()-6,"00000"))</f>
        <v/>
      </c>
      <c r="C2091" s="65" t="str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61"/>
      <c r="E2091" s="66"/>
      <c r="F2091" s="67"/>
      <c r="G2091" s="60"/>
      <c r="H2091" s="60"/>
      <c r="I2091" s="61"/>
      <c r="J2091" s="61"/>
      <c r="K2091" s="61"/>
      <c r="L2091" s="73" t="str">
        <f>IF($E2091="","",DATE(YEAR($E2091),MONTH($E2091),1))</f>
        <v/>
      </c>
      <c r="M2091" s="65" t="str">
        <f ca="1">IF($D2091="","",IF($C2091="TANIMSIZ MÜŞTERİ","HATA",IF(OR($E2091="",$F2091&lt;=0,$G2091=""),"EKSİK",IF($E2091&gt;TODAY(),"İLERİ TARİH",IF(COUNTIF($S$7:$S$2503,$S2091)&gt;1,"MÜKERRER?",IF($T2091&gt;0,"KAPALI DÖNEM","UYGUN"))))))</f>
        <v/>
      </c>
      <c r="N2091" s="74" t="str">
        <f>IF($C2091="","",IF($C2091="TANIMSIZ MÜŞTERİ","—",INDEX(MUSTERILER!$C$7:$C$156,MATCH($C2091,MUSTERILER!$B$7:$B$156,0))))</f>
        <v/>
      </c>
      <c r="O2091" s="2"/>
      <c r="P2091" s="2"/>
      <c r="Q2091" s="1" t="str">
        <f>IF($D2091="","",$C2091&amp;"|"&amp;COUNTIFS($C$7:$C2091,$C2091))</f>
        <v/>
      </c>
      <c r="R2091" s="1" t="str">
        <f t="shared" si="64"/>
        <v/>
      </c>
      <c r="S2091" s="1" t="str">
        <f t="shared" si="65"/>
        <v/>
      </c>
      <c r="T2091" s="1">
        <f>IF($E2091="",0,SUMPRODUCT((AY_SONU!$O$7:$O$42="Evet")*(AY_SONU!$B$7:$B$42=DATE(YEAR($E2091),MONTH($E2091),1))))</f>
        <v>0</v>
      </c>
      <c r="U2091" s="1" t="str">
        <f>IF(OR($G2091="",$H2091="Mahsup"),"",$G2091&amp;"|"&amp;COUNTIFS($G$7:$G2091,$G2091,$H$7:$H2091,"&lt;&gt;Mahsup"))</f>
        <v/>
      </c>
    </row>
    <row r="2092" spans="1:21" ht="18" customHeight="1" x14ac:dyDescent="0.3">
      <c r="A2092" s="2"/>
      <c r="B2092" s="65" t="str">
        <f>IF($D2092="","","T"&amp;TEXT(ROW()-6,"00000"))</f>
        <v/>
      </c>
      <c r="C2092" s="65" t="str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61"/>
      <c r="E2092" s="66"/>
      <c r="F2092" s="67"/>
      <c r="G2092" s="60"/>
      <c r="H2092" s="60"/>
      <c r="I2092" s="61"/>
      <c r="J2092" s="61"/>
      <c r="K2092" s="61"/>
      <c r="L2092" s="73" t="str">
        <f>IF($E2092="","",DATE(YEAR($E2092),MONTH($E2092),1))</f>
        <v/>
      </c>
      <c r="M2092" s="65" t="str">
        <f ca="1">IF($D2092="","",IF($C2092="TANIMSIZ MÜŞTERİ","HATA",IF(OR($E2092="",$F2092&lt;=0,$G2092=""),"EKSİK",IF($E2092&gt;TODAY(),"İLERİ TARİH",IF(COUNTIF($S$7:$S$2503,$S2092)&gt;1,"MÜKERRER?",IF($T2092&gt;0,"KAPALI DÖNEM","UYGUN"))))))</f>
        <v/>
      </c>
      <c r="N2092" s="74" t="str">
        <f>IF($C2092="","",IF($C2092="TANIMSIZ MÜŞTERİ","—",INDEX(MUSTERILER!$C$7:$C$156,MATCH($C2092,MUSTERILER!$B$7:$B$156,0))))</f>
        <v/>
      </c>
      <c r="O2092" s="2"/>
      <c r="P2092" s="2"/>
      <c r="Q2092" s="1" t="str">
        <f>IF($D2092="","",$C2092&amp;"|"&amp;COUNTIFS($C$7:$C2092,$C2092))</f>
        <v/>
      </c>
      <c r="R2092" s="1" t="str">
        <f t="shared" si="64"/>
        <v/>
      </c>
      <c r="S2092" s="1" t="str">
        <f t="shared" si="65"/>
        <v/>
      </c>
      <c r="T2092" s="1">
        <f>IF($E2092="",0,SUMPRODUCT((AY_SONU!$O$7:$O$42="Evet")*(AY_SONU!$B$7:$B$42=DATE(YEAR($E2092),MONTH($E2092),1))))</f>
        <v>0</v>
      </c>
      <c r="U2092" s="1" t="str">
        <f>IF(OR($G2092="",$H2092="Mahsup"),"",$G2092&amp;"|"&amp;COUNTIFS($G$7:$G2092,$G2092,$H$7:$H2092,"&lt;&gt;Mahsup"))</f>
        <v/>
      </c>
    </row>
    <row r="2093" spans="1:21" ht="18" customHeight="1" x14ac:dyDescent="0.3">
      <c r="A2093" s="2"/>
      <c r="B2093" s="65" t="str">
        <f>IF($D2093="","","T"&amp;TEXT(ROW()-6,"00000"))</f>
        <v/>
      </c>
      <c r="C2093" s="65" t="str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61"/>
      <c r="E2093" s="66"/>
      <c r="F2093" s="67"/>
      <c r="G2093" s="60"/>
      <c r="H2093" s="60"/>
      <c r="I2093" s="61"/>
      <c r="J2093" s="61"/>
      <c r="K2093" s="61"/>
      <c r="L2093" s="73" t="str">
        <f>IF($E2093="","",DATE(YEAR($E2093),MONTH($E2093),1))</f>
        <v/>
      </c>
      <c r="M2093" s="65" t="str">
        <f ca="1">IF($D2093="","",IF($C2093="TANIMSIZ MÜŞTERİ","HATA",IF(OR($E2093="",$F2093&lt;=0,$G2093=""),"EKSİK",IF($E2093&gt;TODAY(),"İLERİ TARİH",IF(COUNTIF($S$7:$S$2503,$S2093)&gt;1,"MÜKERRER?",IF($T2093&gt;0,"KAPALI DÖNEM","UYGUN"))))))</f>
        <v/>
      </c>
      <c r="N2093" s="74" t="str">
        <f>IF($C2093="","",IF($C2093="TANIMSIZ MÜŞTERİ","—",INDEX(MUSTERILER!$C$7:$C$156,MATCH($C2093,MUSTERILER!$B$7:$B$156,0))))</f>
        <v/>
      </c>
      <c r="O2093" s="2"/>
      <c r="P2093" s="2"/>
      <c r="Q2093" s="1" t="str">
        <f>IF($D2093="","",$C2093&amp;"|"&amp;COUNTIFS($C$7:$C2093,$C2093))</f>
        <v/>
      </c>
      <c r="R2093" s="1" t="str">
        <f t="shared" si="64"/>
        <v/>
      </c>
      <c r="S2093" s="1" t="str">
        <f t="shared" si="65"/>
        <v/>
      </c>
      <c r="T2093" s="1">
        <f>IF($E2093="",0,SUMPRODUCT((AY_SONU!$O$7:$O$42="Evet")*(AY_SONU!$B$7:$B$42=DATE(YEAR($E2093),MONTH($E2093),1))))</f>
        <v>0</v>
      </c>
      <c r="U2093" s="1" t="str">
        <f>IF(OR($G2093="",$H2093="Mahsup"),"",$G2093&amp;"|"&amp;COUNTIFS($G$7:$G2093,$G2093,$H$7:$H2093,"&lt;&gt;Mahsup"))</f>
        <v/>
      </c>
    </row>
    <row r="2094" spans="1:21" ht="18" customHeight="1" x14ac:dyDescent="0.3">
      <c r="A2094" s="2"/>
      <c r="B2094" s="65" t="str">
        <f>IF($D2094="","","T"&amp;TEXT(ROW()-6,"00000"))</f>
        <v/>
      </c>
      <c r="C2094" s="65" t="str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61"/>
      <c r="E2094" s="66"/>
      <c r="F2094" s="67"/>
      <c r="G2094" s="60"/>
      <c r="H2094" s="60"/>
      <c r="I2094" s="61"/>
      <c r="J2094" s="61"/>
      <c r="K2094" s="61"/>
      <c r="L2094" s="73" t="str">
        <f>IF($E2094="","",DATE(YEAR($E2094),MONTH($E2094),1))</f>
        <v/>
      </c>
      <c r="M2094" s="65" t="str">
        <f ca="1">IF($D2094="","",IF($C2094="TANIMSIZ MÜŞTERİ","HATA",IF(OR($E2094="",$F2094&lt;=0,$G2094=""),"EKSİK",IF($E2094&gt;TODAY(),"İLERİ TARİH",IF(COUNTIF($S$7:$S$2503,$S2094)&gt;1,"MÜKERRER?",IF($T2094&gt;0,"KAPALI DÖNEM","UYGUN"))))))</f>
        <v/>
      </c>
      <c r="N2094" s="74" t="str">
        <f>IF($C2094="","",IF($C2094="TANIMSIZ MÜŞTERİ","—",INDEX(MUSTERILER!$C$7:$C$156,MATCH($C2094,MUSTERILER!$B$7:$B$156,0))))</f>
        <v/>
      </c>
      <c r="O2094" s="2"/>
      <c r="P2094" s="2"/>
      <c r="Q2094" s="1" t="str">
        <f>IF($D2094="","",$C2094&amp;"|"&amp;COUNTIFS($C$7:$C2094,$C2094))</f>
        <v/>
      </c>
      <c r="R2094" s="1" t="str">
        <f t="shared" si="64"/>
        <v/>
      </c>
      <c r="S2094" s="1" t="str">
        <f t="shared" si="65"/>
        <v/>
      </c>
      <c r="T2094" s="1">
        <f>IF($E2094="",0,SUMPRODUCT((AY_SONU!$O$7:$O$42="Evet")*(AY_SONU!$B$7:$B$42=DATE(YEAR($E2094),MONTH($E2094),1))))</f>
        <v>0</v>
      </c>
      <c r="U2094" s="1" t="str">
        <f>IF(OR($G2094="",$H2094="Mahsup"),"",$G2094&amp;"|"&amp;COUNTIFS($G$7:$G2094,$G2094,$H$7:$H2094,"&lt;&gt;Mahsup"))</f>
        <v/>
      </c>
    </row>
    <row r="2095" spans="1:21" ht="18" customHeight="1" x14ac:dyDescent="0.3">
      <c r="A2095" s="2"/>
      <c r="B2095" s="65" t="str">
        <f>IF($D2095="","","T"&amp;TEXT(ROW()-6,"00000"))</f>
        <v/>
      </c>
      <c r="C2095" s="65" t="str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61"/>
      <c r="E2095" s="66"/>
      <c r="F2095" s="67"/>
      <c r="G2095" s="60"/>
      <c r="H2095" s="60"/>
      <c r="I2095" s="61"/>
      <c r="J2095" s="61"/>
      <c r="K2095" s="61"/>
      <c r="L2095" s="73" t="str">
        <f>IF($E2095="","",DATE(YEAR($E2095),MONTH($E2095),1))</f>
        <v/>
      </c>
      <c r="M2095" s="65" t="str">
        <f ca="1">IF($D2095="","",IF($C2095="TANIMSIZ MÜŞTERİ","HATA",IF(OR($E2095="",$F2095&lt;=0,$G2095=""),"EKSİK",IF($E2095&gt;TODAY(),"İLERİ TARİH",IF(COUNTIF($S$7:$S$2503,$S2095)&gt;1,"MÜKERRER?",IF($T2095&gt;0,"KAPALI DÖNEM","UYGUN"))))))</f>
        <v/>
      </c>
      <c r="N2095" s="74" t="str">
        <f>IF($C2095="","",IF($C2095="TANIMSIZ MÜŞTERİ","—",INDEX(MUSTERILER!$C$7:$C$156,MATCH($C2095,MUSTERILER!$B$7:$B$156,0))))</f>
        <v/>
      </c>
      <c r="O2095" s="2"/>
      <c r="P2095" s="2"/>
      <c r="Q2095" s="1" t="str">
        <f>IF($D2095="","",$C2095&amp;"|"&amp;COUNTIFS($C$7:$C2095,$C2095))</f>
        <v/>
      </c>
      <c r="R2095" s="1" t="str">
        <f t="shared" si="64"/>
        <v/>
      </c>
      <c r="S2095" s="1" t="str">
        <f t="shared" si="65"/>
        <v/>
      </c>
      <c r="T2095" s="1">
        <f>IF($E2095="",0,SUMPRODUCT((AY_SONU!$O$7:$O$42="Evet")*(AY_SONU!$B$7:$B$42=DATE(YEAR($E2095),MONTH($E2095),1))))</f>
        <v>0</v>
      </c>
      <c r="U2095" s="1" t="str">
        <f>IF(OR($G2095="",$H2095="Mahsup"),"",$G2095&amp;"|"&amp;COUNTIFS($G$7:$G2095,$G2095,$H$7:$H2095,"&lt;&gt;Mahsup"))</f>
        <v/>
      </c>
    </row>
    <row r="2096" spans="1:21" ht="18" customHeight="1" x14ac:dyDescent="0.3">
      <c r="A2096" s="2"/>
      <c r="B2096" s="65" t="str">
        <f>IF($D2096="","","T"&amp;TEXT(ROW()-6,"00000"))</f>
        <v/>
      </c>
      <c r="C2096" s="65" t="str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61"/>
      <c r="E2096" s="66"/>
      <c r="F2096" s="67"/>
      <c r="G2096" s="60"/>
      <c r="H2096" s="60"/>
      <c r="I2096" s="61"/>
      <c r="J2096" s="61"/>
      <c r="K2096" s="61"/>
      <c r="L2096" s="73" t="str">
        <f>IF($E2096="","",DATE(YEAR($E2096),MONTH($E2096),1))</f>
        <v/>
      </c>
      <c r="M2096" s="65" t="str">
        <f ca="1">IF($D2096="","",IF($C2096="TANIMSIZ MÜŞTERİ","HATA",IF(OR($E2096="",$F2096&lt;=0,$G2096=""),"EKSİK",IF($E2096&gt;TODAY(),"İLERİ TARİH",IF(COUNTIF($S$7:$S$2503,$S2096)&gt;1,"MÜKERRER?",IF($T2096&gt;0,"KAPALI DÖNEM","UYGUN"))))))</f>
        <v/>
      </c>
      <c r="N2096" s="74" t="str">
        <f>IF($C2096="","",IF($C2096="TANIMSIZ MÜŞTERİ","—",INDEX(MUSTERILER!$C$7:$C$156,MATCH($C2096,MUSTERILER!$B$7:$B$156,0))))</f>
        <v/>
      </c>
      <c r="O2096" s="2"/>
      <c r="P2096" s="2"/>
      <c r="Q2096" s="1" t="str">
        <f>IF($D2096="","",$C2096&amp;"|"&amp;COUNTIFS($C$7:$C2096,$C2096))</f>
        <v/>
      </c>
      <c r="R2096" s="1" t="str">
        <f t="shared" si="64"/>
        <v/>
      </c>
      <c r="S2096" s="1" t="str">
        <f t="shared" si="65"/>
        <v/>
      </c>
      <c r="T2096" s="1">
        <f>IF($E2096="",0,SUMPRODUCT((AY_SONU!$O$7:$O$42="Evet")*(AY_SONU!$B$7:$B$42=DATE(YEAR($E2096),MONTH($E2096),1))))</f>
        <v>0</v>
      </c>
      <c r="U2096" s="1" t="str">
        <f>IF(OR($G2096="",$H2096="Mahsup"),"",$G2096&amp;"|"&amp;COUNTIFS($G$7:$G2096,$G2096,$H$7:$H2096,"&lt;&gt;Mahsup"))</f>
        <v/>
      </c>
    </row>
    <row r="2097" spans="1:21" ht="18" customHeight="1" x14ac:dyDescent="0.3">
      <c r="A2097" s="2"/>
      <c r="B2097" s="65" t="str">
        <f>IF($D2097="","","T"&amp;TEXT(ROW()-6,"00000"))</f>
        <v/>
      </c>
      <c r="C2097" s="65" t="str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61"/>
      <c r="E2097" s="66"/>
      <c r="F2097" s="67"/>
      <c r="G2097" s="60"/>
      <c r="H2097" s="60"/>
      <c r="I2097" s="61"/>
      <c r="J2097" s="61"/>
      <c r="K2097" s="61"/>
      <c r="L2097" s="73" t="str">
        <f>IF($E2097="","",DATE(YEAR($E2097),MONTH($E2097),1))</f>
        <v/>
      </c>
      <c r="M2097" s="65" t="str">
        <f ca="1">IF($D2097="","",IF($C2097="TANIMSIZ MÜŞTERİ","HATA",IF(OR($E2097="",$F2097&lt;=0,$G2097=""),"EKSİK",IF($E2097&gt;TODAY(),"İLERİ TARİH",IF(COUNTIF($S$7:$S$2503,$S2097)&gt;1,"MÜKERRER?",IF($T2097&gt;0,"KAPALI DÖNEM","UYGUN"))))))</f>
        <v/>
      </c>
      <c r="N2097" s="74" t="str">
        <f>IF($C2097="","",IF($C2097="TANIMSIZ MÜŞTERİ","—",INDEX(MUSTERILER!$C$7:$C$156,MATCH($C2097,MUSTERILER!$B$7:$B$156,0))))</f>
        <v/>
      </c>
      <c r="O2097" s="2"/>
      <c r="P2097" s="2"/>
      <c r="Q2097" s="1" t="str">
        <f>IF($D2097="","",$C2097&amp;"|"&amp;COUNTIFS($C$7:$C2097,$C2097))</f>
        <v/>
      </c>
      <c r="R2097" s="1" t="str">
        <f t="shared" si="64"/>
        <v/>
      </c>
      <c r="S2097" s="1" t="str">
        <f t="shared" si="65"/>
        <v/>
      </c>
      <c r="T2097" s="1">
        <f>IF($E2097="",0,SUMPRODUCT((AY_SONU!$O$7:$O$42="Evet")*(AY_SONU!$B$7:$B$42=DATE(YEAR($E2097),MONTH($E2097),1))))</f>
        <v>0</v>
      </c>
      <c r="U2097" s="1" t="str">
        <f>IF(OR($G2097="",$H2097="Mahsup"),"",$G2097&amp;"|"&amp;COUNTIFS($G$7:$G2097,$G2097,$H$7:$H2097,"&lt;&gt;Mahsup"))</f>
        <v/>
      </c>
    </row>
    <row r="2098" spans="1:21" ht="18" customHeight="1" x14ac:dyDescent="0.3">
      <c r="A2098" s="2"/>
      <c r="B2098" s="65" t="str">
        <f>IF($D2098="","","T"&amp;TEXT(ROW()-6,"00000"))</f>
        <v/>
      </c>
      <c r="C2098" s="65" t="str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61"/>
      <c r="E2098" s="66"/>
      <c r="F2098" s="67"/>
      <c r="G2098" s="60"/>
      <c r="H2098" s="60"/>
      <c r="I2098" s="61"/>
      <c r="J2098" s="61"/>
      <c r="K2098" s="61"/>
      <c r="L2098" s="73" t="str">
        <f>IF($E2098="","",DATE(YEAR($E2098),MONTH($E2098),1))</f>
        <v/>
      </c>
      <c r="M2098" s="65" t="str">
        <f ca="1">IF($D2098="","",IF($C2098="TANIMSIZ MÜŞTERİ","HATA",IF(OR($E2098="",$F2098&lt;=0,$G2098=""),"EKSİK",IF($E2098&gt;TODAY(),"İLERİ TARİH",IF(COUNTIF($S$7:$S$2503,$S2098)&gt;1,"MÜKERRER?",IF($T2098&gt;0,"KAPALI DÖNEM","UYGUN"))))))</f>
        <v/>
      </c>
      <c r="N2098" s="74" t="str">
        <f>IF($C2098="","",IF($C2098="TANIMSIZ MÜŞTERİ","—",INDEX(MUSTERILER!$C$7:$C$156,MATCH($C2098,MUSTERILER!$B$7:$B$156,0))))</f>
        <v/>
      </c>
      <c r="O2098" s="2"/>
      <c r="P2098" s="2"/>
      <c r="Q2098" s="1" t="str">
        <f>IF($D2098="","",$C2098&amp;"|"&amp;COUNTIFS($C$7:$C2098,$C2098))</f>
        <v/>
      </c>
      <c r="R2098" s="1" t="str">
        <f t="shared" si="64"/>
        <v/>
      </c>
      <c r="S2098" s="1" t="str">
        <f t="shared" si="65"/>
        <v/>
      </c>
      <c r="T2098" s="1">
        <f>IF($E2098="",0,SUMPRODUCT((AY_SONU!$O$7:$O$42="Evet")*(AY_SONU!$B$7:$B$42=DATE(YEAR($E2098),MONTH($E2098),1))))</f>
        <v>0</v>
      </c>
      <c r="U2098" s="1" t="str">
        <f>IF(OR($G2098="",$H2098="Mahsup"),"",$G2098&amp;"|"&amp;COUNTIFS($G$7:$G2098,$G2098,$H$7:$H2098,"&lt;&gt;Mahsup"))</f>
        <v/>
      </c>
    </row>
    <row r="2099" spans="1:21" ht="18" customHeight="1" x14ac:dyDescent="0.3">
      <c r="A2099" s="2"/>
      <c r="B2099" s="65" t="str">
        <f>IF($D2099="","","T"&amp;TEXT(ROW()-6,"00000"))</f>
        <v/>
      </c>
      <c r="C2099" s="65" t="str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61"/>
      <c r="E2099" s="66"/>
      <c r="F2099" s="67"/>
      <c r="G2099" s="60"/>
      <c r="H2099" s="60"/>
      <c r="I2099" s="61"/>
      <c r="J2099" s="61"/>
      <c r="K2099" s="61"/>
      <c r="L2099" s="73" t="str">
        <f>IF($E2099="","",DATE(YEAR($E2099),MONTH($E2099),1))</f>
        <v/>
      </c>
      <c r="M2099" s="65" t="str">
        <f ca="1">IF($D2099="","",IF($C2099="TANIMSIZ MÜŞTERİ","HATA",IF(OR($E2099="",$F2099&lt;=0,$G2099=""),"EKSİK",IF($E2099&gt;TODAY(),"İLERİ TARİH",IF(COUNTIF($S$7:$S$2503,$S2099)&gt;1,"MÜKERRER?",IF($T2099&gt;0,"KAPALI DÖNEM","UYGUN"))))))</f>
        <v/>
      </c>
      <c r="N2099" s="74" t="str">
        <f>IF($C2099="","",IF($C2099="TANIMSIZ MÜŞTERİ","—",INDEX(MUSTERILER!$C$7:$C$156,MATCH($C2099,MUSTERILER!$B$7:$B$156,0))))</f>
        <v/>
      </c>
      <c r="O2099" s="2"/>
      <c r="P2099" s="2"/>
      <c r="Q2099" s="1" t="str">
        <f>IF($D2099="","",$C2099&amp;"|"&amp;COUNTIFS($C$7:$C2099,$C2099))</f>
        <v/>
      </c>
      <c r="R2099" s="1" t="str">
        <f t="shared" si="64"/>
        <v/>
      </c>
      <c r="S2099" s="1" t="str">
        <f t="shared" si="65"/>
        <v/>
      </c>
      <c r="T2099" s="1">
        <f>IF($E2099="",0,SUMPRODUCT((AY_SONU!$O$7:$O$42="Evet")*(AY_SONU!$B$7:$B$42=DATE(YEAR($E2099),MONTH($E2099),1))))</f>
        <v>0</v>
      </c>
      <c r="U2099" s="1" t="str">
        <f>IF(OR($G2099="",$H2099="Mahsup"),"",$G2099&amp;"|"&amp;COUNTIFS($G$7:$G2099,$G2099,$H$7:$H2099,"&lt;&gt;Mahsup"))</f>
        <v/>
      </c>
    </row>
    <row r="2100" spans="1:21" ht="18" customHeight="1" x14ac:dyDescent="0.3">
      <c r="A2100" s="2"/>
      <c r="B2100" s="65" t="str">
        <f>IF($D2100="","","T"&amp;TEXT(ROW()-6,"00000"))</f>
        <v/>
      </c>
      <c r="C2100" s="65" t="str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61"/>
      <c r="E2100" s="66"/>
      <c r="F2100" s="67"/>
      <c r="G2100" s="60"/>
      <c r="H2100" s="60"/>
      <c r="I2100" s="61"/>
      <c r="J2100" s="61"/>
      <c r="K2100" s="61"/>
      <c r="L2100" s="73" t="str">
        <f>IF($E2100="","",DATE(YEAR($E2100),MONTH($E2100),1))</f>
        <v/>
      </c>
      <c r="M2100" s="65" t="str">
        <f ca="1">IF($D2100="","",IF($C2100="TANIMSIZ MÜŞTERİ","HATA",IF(OR($E2100="",$F2100&lt;=0,$G2100=""),"EKSİK",IF($E2100&gt;TODAY(),"İLERİ TARİH",IF(COUNTIF($S$7:$S$2503,$S2100)&gt;1,"MÜKERRER?",IF($T2100&gt;0,"KAPALI DÖNEM","UYGUN"))))))</f>
        <v/>
      </c>
      <c r="N2100" s="74" t="str">
        <f>IF($C2100="","",IF($C2100="TANIMSIZ MÜŞTERİ","—",INDEX(MUSTERILER!$C$7:$C$156,MATCH($C2100,MUSTERILER!$B$7:$B$156,0))))</f>
        <v/>
      </c>
      <c r="O2100" s="2"/>
      <c r="P2100" s="2"/>
      <c r="Q2100" s="1" t="str">
        <f>IF($D2100="","",$C2100&amp;"|"&amp;COUNTIFS($C$7:$C2100,$C2100))</f>
        <v/>
      </c>
      <c r="R2100" s="1" t="str">
        <f t="shared" si="64"/>
        <v/>
      </c>
      <c r="S2100" s="1" t="str">
        <f t="shared" si="65"/>
        <v/>
      </c>
      <c r="T2100" s="1">
        <f>IF($E2100="",0,SUMPRODUCT((AY_SONU!$O$7:$O$42="Evet")*(AY_SONU!$B$7:$B$42=DATE(YEAR($E2100),MONTH($E2100),1))))</f>
        <v>0</v>
      </c>
      <c r="U2100" s="1" t="str">
        <f>IF(OR($G2100="",$H2100="Mahsup"),"",$G2100&amp;"|"&amp;COUNTIFS($G$7:$G2100,$G2100,$H$7:$H2100,"&lt;&gt;Mahsup"))</f>
        <v/>
      </c>
    </row>
    <row r="2101" spans="1:21" ht="18" customHeight="1" x14ac:dyDescent="0.3">
      <c r="A2101" s="2"/>
      <c r="B2101" s="65" t="str">
        <f>IF($D2101="","","T"&amp;TEXT(ROW()-6,"00000"))</f>
        <v/>
      </c>
      <c r="C2101" s="65" t="str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61"/>
      <c r="E2101" s="66"/>
      <c r="F2101" s="67"/>
      <c r="G2101" s="60"/>
      <c r="H2101" s="60"/>
      <c r="I2101" s="61"/>
      <c r="J2101" s="61"/>
      <c r="K2101" s="61"/>
      <c r="L2101" s="73" t="str">
        <f>IF($E2101="","",DATE(YEAR($E2101),MONTH($E2101),1))</f>
        <v/>
      </c>
      <c r="M2101" s="65" t="str">
        <f ca="1">IF($D2101="","",IF($C2101="TANIMSIZ MÜŞTERİ","HATA",IF(OR($E2101="",$F2101&lt;=0,$G2101=""),"EKSİK",IF($E2101&gt;TODAY(),"İLERİ TARİH",IF(COUNTIF($S$7:$S$2503,$S2101)&gt;1,"MÜKERRER?",IF($T2101&gt;0,"KAPALI DÖNEM","UYGUN"))))))</f>
        <v/>
      </c>
      <c r="N2101" s="74" t="str">
        <f>IF($C2101="","",IF($C2101="TANIMSIZ MÜŞTERİ","—",INDEX(MUSTERILER!$C$7:$C$156,MATCH($C2101,MUSTERILER!$B$7:$B$156,0))))</f>
        <v/>
      </c>
      <c r="O2101" s="2"/>
      <c r="P2101" s="2"/>
      <c r="Q2101" s="1" t="str">
        <f>IF($D2101="","",$C2101&amp;"|"&amp;COUNTIFS($C$7:$C2101,$C2101))</f>
        <v/>
      </c>
      <c r="R2101" s="1" t="str">
        <f t="shared" si="64"/>
        <v/>
      </c>
      <c r="S2101" s="1" t="str">
        <f t="shared" si="65"/>
        <v/>
      </c>
      <c r="T2101" s="1">
        <f>IF($E2101="",0,SUMPRODUCT((AY_SONU!$O$7:$O$42="Evet")*(AY_SONU!$B$7:$B$42=DATE(YEAR($E2101),MONTH($E2101),1))))</f>
        <v>0</v>
      </c>
      <c r="U2101" s="1" t="str">
        <f>IF(OR($G2101="",$H2101="Mahsup"),"",$G2101&amp;"|"&amp;COUNTIFS($G$7:$G2101,$G2101,$H$7:$H2101,"&lt;&gt;Mahsup"))</f>
        <v/>
      </c>
    </row>
    <row r="2102" spans="1:21" ht="18" customHeight="1" x14ac:dyDescent="0.3">
      <c r="A2102" s="2"/>
      <c r="B2102" s="65" t="str">
        <f>IF($D2102="","","T"&amp;TEXT(ROW()-6,"00000"))</f>
        <v/>
      </c>
      <c r="C2102" s="65" t="str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61"/>
      <c r="E2102" s="66"/>
      <c r="F2102" s="67"/>
      <c r="G2102" s="60"/>
      <c r="H2102" s="60"/>
      <c r="I2102" s="61"/>
      <c r="J2102" s="61"/>
      <c r="K2102" s="61"/>
      <c r="L2102" s="73" t="str">
        <f>IF($E2102="","",DATE(YEAR($E2102),MONTH($E2102),1))</f>
        <v/>
      </c>
      <c r="M2102" s="65" t="str">
        <f ca="1">IF($D2102="","",IF($C2102="TANIMSIZ MÜŞTERİ","HATA",IF(OR($E2102="",$F2102&lt;=0,$G2102=""),"EKSİK",IF($E2102&gt;TODAY(),"İLERİ TARİH",IF(COUNTIF($S$7:$S$2503,$S2102)&gt;1,"MÜKERRER?",IF($T2102&gt;0,"KAPALI DÖNEM","UYGUN"))))))</f>
        <v/>
      </c>
      <c r="N2102" s="74" t="str">
        <f>IF($C2102="","",IF($C2102="TANIMSIZ MÜŞTERİ","—",INDEX(MUSTERILER!$C$7:$C$156,MATCH($C2102,MUSTERILER!$B$7:$B$156,0))))</f>
        <v/>
      </c>
      <c r="O2102" s="2"/>
      <c r="P2102" s="2"/>
      <c r="Q2102" s="1" t="str">
        <f>IF($D2102="","",$C2102&amp;"|"&amp;COUNTIFS($C$7:$C2102,$C2102))</f>
        <v/>
      </c>
      <c r="R2102" s="1" t="str">
        <f t="shared" si="64"/>
        <v/>
      </c>
      <c r="S2102" s="1" t="str">
        <f t="shared" si="65"/>
        <v/>
      </c>
      <c r="T2102" s="1">
        <f>IF($E2102="",0,SUMPRODUCT((AY_SONU!$O$7:$O$42="Evet")*(AY_SONU!$B$7:$B$42=DATE(YEAR($E2102),MONTH($E2102),1))))</f>
        <v>0</v>
      </c>
      <c r="U2102" s="1" t="str">
        <f>IF(OR($G2102="",$H2102="Mahsup"),"",$G2102&amp;"|"&amp;COUNTIFS($G$7:$G2102,$G2102,$H$7:$H2102,"&lt;&gt;Mahsup"))</f>
        <v/>
      </c>
    </row>
    <row r="2103" spans="1:21" ht="18" customHeight="1" x14ac:dyDescent="0.3">
      <c r="A2103" s="2"/>
      <c r="B2103" s="65" t="str">
        <f>IF($D2103="","","T"&amp;TEXT(ROW()-6,"00000"))</f>
        <v/>
      </c>
      <c r="C2103" s="65" t="str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61"/>
      <c r="E2103" s="66"/>
      <c r="F2103" s="67"/>
      <c r="G2103" s="60"/>
      <c r="H2103" s="60"/>
      <c r="I2103" s="61"/>
      <c r="J2103" s="61"/>
      <c r="K2103" s="61"/>
      <c r="L2103" s="73" t="str">
        <f>IF($E2103="","",DATE(YEAR($E2103),MONTH($E2103),1))</f>
        <v/>
      </c>
      <c r="M2103" s="65" t="str">
        <f ca="1">IF($D2103="","",IF($C2103="TANIMSIZ MÜŞTERİ","HATA",IF(OR($E2103="",$F2103&lt;=0,$G2103=""),"EKSİK",IF($E2103&gt;TODAY(),"İLERİ TARİH",IF(COUNTIF($S$7:$S$2503,$S2103)&gt;1,"MÜKERRER?",IF($T2103&gt;0,"KAPALI DÖNEM","UYGUN"))))))</f>
        <v/>
      </c>
      <c r="N2103" s="74" t="str">
        <f>IF($C2103="","",IF($C2103="TANIMSIZ MÜŞTERİ","—",INDEX(MUSTERILER!$C$7:$C$156,MATCH($C2103,MUSTERILER!$B$7:$B$156,0))))</f>
        <v/>
      </c>
      <c r="O2103" s="2"/>
      <c r="P2103" s="2"/>
      <c r="Q2103" s="1" t="str">
        <f>IF($D2103="","",$C2103&amp;"|"&amp;COUNTIFS($C$7:$C2103,$C2103))</f>
        <v/>
      </c>
      <c r="R2103" s="1" t="str">
        <f t="shared" si="64"/>
        <v/>
      </c>
      <c r="S2103" s="1" t="str">
        <f t="shared" si="65"/>
        <v/>
      </c>
      <c r="T2103" s="1">
        <f>IF($E2103="",0,SUMPRODUCT((AY_SONU!$O$7:$O$42="Evet")*(AY_SONU!$B$7:$B$42=DATE(YEAR($E2103),MONTH($E2103),1))))</f>
        <v>0</v>
      </c>
      <c r="U2103" s="1" t="str">
        <f>IF(OR($G2103="",$H2103="Mahsup"),"",$G2103&amp;"|"&amp;COUNTIFS($G$7:$G2103,$G2103,$H$7:$H2103,"&lt;&gt;Mahsup"))</f>
        <v/>
      </c>
    </row>
    <row r="2104" spans="1:21" ht="18" customHeight="1" x14ac:dyDescent="0.3">
      <c r="A2104" s="2"/>
      <c r="B2104" s="65" t="str">
        <f>IF($D2104="","","T"&amp;TEXT(ROW()-6,"00000"))</f>
        <v/>
      </c>
      <c r="C2104" s="65" t="str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61"/>
      <c r="E2104" s="66"/>
      <c r="F2104" s="67"/>
      <c r="G2104" s="60"/>
      <c r="H2104" s="60"/>
      <c r="I2104" s="61"/>
      <c r="J2104" s="61"/>
      <c r="K2104" s="61"/>
      <c r="L2104" s="73" t="str">
        <f>IF($E2104="","",DATE(YEAR($E2104),MONTH($E2104),1))</f>
        <v/>
      </c>
      <c r="M2104" s="65" t="str">
        <f ca="1">IF($D2104="","",IF($C2104="TANIMSIZ MÜŞTERİ","HATA",IF(OR($E2104="",$F2104&lt;=0,$G2104=""),"EKSİK",IF($E2104&gt;TODAY(),"İLERİ TARİH",IF(COUNTIF($S$7:$S$2503,$S2104)&gt;1,"MÜKERRER?",IF($T2104&gt;0,"KAPALI DÖNEM","UYGUN"))))))</f>
        <v/>
      </c>
      <c r="N2104" s="74" t="str">
        <f>IF($C2104="","",IF($C2104="TANIMSIZ MÜŞTERİ","—",INDEX(MUSTERILER!$C$7:$C$156,MATCH($C2104,MUSTERILER!$B$7:$B$156,0))))</f>
        <v/>
      </c>
      <c r="O2104" s="2"/>
      <c r="P2104" s="2"/>
      <c r="Q2104" s="1" t="str">
        <f>IF($D2104="","",$C2104&amp;"|"&amp;COUNTIFS($C$7:$C2104,$C2104))</f>
        <v/>
      </c>
      <c r="R2104" s="1" t="str">
        <f t="shared" si="64"/>
        <v/>
      </c>
      <c r="S2104" s="1" t="str">
        <f t="shared" si="65"/>
        <v/>
      </c>
      <c r="T2104" s="1">
        <f>IF($E2104="",0,SUMPRODUCT((AY_SONU!$O$7:$O$42="Evet")*(AY_SONU!$B$7:$B$42=DATE(YEAR($E2104),MONTH($E2104),1))))</f>
        <v>0</v>
      </c>
      <c r="U2104" s="1" t="str">
        <f>IF(OR($G2104="",$H2104="Mahsup"),"",$G2104&amp;"|"&amp;COUNTIFS($G$7:$G2104,$G2104,$H$7:$H2104,"&lt;&gt;Mahsup"))</f>
        <v/>
      </c>
    </row>
    <row r="2105" spans="1:21" ht="18" customHeight="1" x14ac:dyDescent="0.3">
      <c r="A2105" s="2"/>
      <c r="B2105" s="65" t="str">
        <f>IF($D2105="","","T"&amp;TEXT(ROW()-6,"00000"))</f>
        <v/>
      </c>
      <c r="C2105" s="65" t="str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61"/>
      <c r="E2105" s="66"/>
      <c r="F2105" s="67"/>
      <c r="G2105" s="60"/>
      <c r="H2105" s="60"/>
      <c r="I2105" s="61"/>
      <c r="J2105" s="61"/>
      <c r="K2105" s="61"/>
      <c r="L2105" s="73" t="str">
        <f>IF($E2105="","",DATE(YEAR($E2105),MONTH($E2105),1))</f>
        <v/>
      </c>
      <c r="M2105" s="65" t="str">
        <f ca="1">IF($D2105="","",IF($C2105="TANIMSIZ MÜŞTERİ","HATA",IF(OR($E2105="",$F2105&lt;=0,$G2105=""),"EKSİK",IF($E2105&gt;TODAY(),"İLERİ TARİH",IF(COUNTIF($S$7:$S$2503,$S2105)&gt;1,"MÜKERRER?",IF($T2105&gt;0,"KAPALI DÖNEM","UYGUN"))))))</f>
        <v/>
      </c>
      <c r="N2105" s="74" t="str">
        <f>IF($C2105="","",IF($C2105="TANIMSIZ MÜŞTERİ","—",INDEX(MUSTERILER!$C$7:$C$156,MATCH($C2105,MUSTERILER!$B$7:$B$156,0))))</f>
        <v/>
      </c>
      <c r="O2105" s="2"/>
      <c r="P2105" s="2"/>
      <c r="Q2105" s="1" t="str">
        <f>IF($D2105="","",$C2105&amp;"|"&amp;COUNTIFS($C$7:$C2105,$C2105))</f>
        <v/>
      </c>
      <c r="R2105" s="1" t="str">
        <f t="shared" si="64"/>
        <v/>
      </c>
      <c r="S2105" s="1" t="str">
        <f t="shared" si="65"/>
        <v/>
      </c>
      <c r="T2105" s="1">
        <f>IF($E2105="",0,SUMPRODUCT((AY_SONU!$O$7:$O$42="Evet")*(AY_SONU!$B$7:$B$42=DATE(YEAR($E2105),MONTH($E2105),1))))</f>
        <v>0</v>
      </c>
      <c r="U2105" s="1" t="str">
        <f>IF(OR($G2105="",$H2105="Mahsup"),"",$G2105&amp;"|"&amp;COUNTIFS($G$7:$G2105,$G2105,$H$7:$H2105,"&lt;&gt;Mahsup"))</f>
        <v/>
      </c>
    </row>
    <row r="2106" spans="1:21" ht="18" customHeight="1" x14ac:dyDescent="0.3">
      <c r="A2106" s="2"/>
      <c r="B2106" s="65" t="str">
        <f>IF($D2106="","","T"&amp;TEXT(ROW()-6,"00000"))</f>
        <v/>
      </c>
      <c r="C2106" s="65" t="str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61"/>
      <c r="E2106" s="66"/>
      <c r="F2106" s="67"/>
      <c r="G2106" s="60"/>
      <c r="H2106" s="60"/>
      <c r="I2106" s="61"/>
      <c r="J2106" s="61"/>
      <c r="K2106" s="61"/>
      <c r="L2106" s="73" t="str">
        <f>IF($E2106="","",DATE(YEAR($E2106),MONTH($E2106),1))</f>
        <v/>
      </c>
      <c r="M2106" s="65" t="str">
        <f ca="1">IF($D2106="","",IF($C2106="TANIMSIZ MÜŞTERİ","HATA",IF(OR($E2106="",$F2106&lt;=0,$G2106=""),"EKSİK",IF($E2106&gt;TODAY(),"İLERİ TARİH",IF(COUNTIF($S$7:$S$2503,$S2106)&gt;1,"MÜKERRER?",IF($T2106&gt;0,"KAPALI DÖNEM","UYGUN"))))))</f>
        <v/>
      </c>
      <c r="N2106" s="74" t="str">
        <f>IF($C2106="","",IF($C2106="TANIMSIZ MÜŞTERİ","—",INDEX(MUSTERILER!$C$7:$C$156,MATCH($C2106,MUSTERILER!$B$7:$B$156,0))))</f>
        <v/>
      </c>
      <c r="O2106" s="2"/>
      <c r="P2106" s="2"/>
      <c r="Q2106" s="1" t="str">
        <f>IF($D2106="","",$C2106&amp;"|"&amp;COUNTIFS($C$7:$C2106,$C2106))</f>
        <v/>
      </c>
      <c r="R2106" s="1" t="str">
        <f t="shared" si="64"/>
        <v/>
      </c>
      <c r="S2106" s="1" t="str">
        <f t="shared" si="65"/>
        <v/>
      </c>
      <c r="T2106" s="1">
        <f>IF($E2106="",0,SUMPRODUCT((AY_SONU!$O$7:$O$42="Evet")*(AY_SONU!$B$7:$B$42=DATE(YEAR($E2106),MONTH($E2106),1))))</f>
        <v>0</v>
      </c>
      <c r="U2106" s="1" t="str">
        <f>IF(OR($G2106="",$H2106="Mahsup"),"",$G2106&amp;"|"&amp;COUNTIFS($G$7:$G2106,$G2106,$H$7:$H2106,"&lt;&gt;Mahsup"))</f>
        <v/>
      </c>
    </row>
    <row r="2107" spans="1:21" ht="18" customHeight="1" x14ac:dyDescent="0.3">
      <c r="A2107" s="2"/>
      <c r="B2107" s="65" t="str">
        <f>IF($D2107="","","T"&amp;TEXT(ROW()-6,"00000"))</f>
        <v/>
      </c>
      <c r="C2107" s="65" t="str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61"/>
      <c r="E2107" s="66"/>
      <c r="F2107" s="67"/>
      <c r="G2107" s="60"/>
      <c r="H2107" s="60"/>
      <c r="I2107" s="61"/>
      <c r="J2107" s="61"/>
      <c r="K2107" s="61"/>
      <c r="L2107" s="73" t="str">
        <f>IF($E2107="","",DATE(YEAR($E2107),MONTH($E2107),1))</f>
        <v/>
      </c>
      <c r="M2107" s="65" t="str">
        <f ca="1">IF($D2107="","",IF($C2107="TANIMSIZ MÜŞTERİ","HATA",IF(OR($E2107="",$F2107&lt;=0,$G2107=""),"EKSİK",IF($E2107&gt;TODAY(),"İLERİ TARİH",IF(COUNTIF($S$7:$S$2503,$S2107)&gt;1,"MÜKERRER?",IF($T2107&gt;0,"KAPALI DÖNEM","UYGUN"))))))</f>
        <v/>
      </c>
      <c r="N2107" s="74" t="str">
        <f>IF($C2107="","",IF($C2107="TANIMSIZ MÜŞTERİ","—",INDEX(MUSTERILER!$C$7:$C$156,MATCH($C2107,MUSTERILER!$B$7:$B$156,0))))</f>
        <v/>
      </c>
      <c r="O2107" s="2"/>
      <c r="P2107" s="2"/>
      <c r="Q2107" s="1" t="str">
        <f>IF($D2107="","",$C2107&amp;"|"&amp;COUNTIFS($C$7:$C2107,$C2107))</f>
        <v/>
      </c>
      <c r="R2107" s="1" t="str">
        <f t="shared" si="64"/>
        <v/>
      </c>
      <c r="S2107" s="1" t="str">
        <f t="shared" si="65"/>
        <v/>
      </c>
      <c r="T2107" s="1">
        <f>IF($E2107="",0,SUMPRODUCT((AY_SONU!$O$7:$O$42="Evet")*(AY_SONU!$B$7:$B$42=DATE(YEAR($E2107),MONTH($E2107),1))))</f>
        <v>0</v>
      </c>
      <c r="U2107" s="1" t="str">
        <f>IF(OR($G2107="",$H2107="Mahsup"),"",$G2107&amp;"|"&amp;COUNTIFS($G$7:$G2107,$G2107,$H$7:$H2107,"&lt;&gt;Mahsup"))</f>
        <v/>
      </c>
    </row>
    <row r="2108" spans="1:21" ht="18" customHeight="1" x14ac:dyDescent="0.3">
      <c r="A2108" s="2"/>
      <c r="B2108" s="65" t="str">
        <f>IF($D2108="","","T"&amp;TEXT(ROW()-6,"00000"))</f>
        <v/>
      </c>
      <c r="C2108" s="65" t="str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61"/>
      <c r="E2108" s="66"/>
      <c r="F2108" s="67"/>
      <c r="G2108" s="60"/>
      <c r="H2108" s="60"/>
      <c r="I2108" s="61"/>
      <c r="J2108" s="61"/>
      <c r="K2108" s="61"/>
      <c r="L2108" s="73" t="str">
        <f>IF($E2108="","",DATE(YEAR($E2108),MONTH($E2108),1))</f>
        <v/>
      </c>
      <c r="M2108" s="65" t="str">
        <f ca="1">IF($D2108="","",IF($C2108="TANIMSIZ MÜŞTERİ","HATA",IF(OR($E2108="",$F2108&lt;=0,$G2108=""),"EKSİK",IF($E2108&gt;TODAY(),"İLERİ TARİH",IF(COUNTIF($S$7:$S$2503,$S2108)&gt;1,"MÜKERRER?",IF($T2108&gt;0,"KAPALI DÖNEM","UYGUN"))))))</f>
        <v/>
      </c>
      <c r="N2108" s="74" t="str">
        <f>IF($C2108="","",IF($C2108="TANIMSIZ MÜŞTERİ","—",INDEX(MUSTERILER!$C$7:$C$156,MATCH($C2108,MUSTERILER!$B$7:$B$156,0))))</f>
        <v/>
      </c>
      <c r="O2108" s="2"/>
      <c r="P2108" s="2"/>
      <c r="Q2108" s="1" t="str">
        <f>IF($D2108="","",$C2108&amp;"|"&amp;COUNTIFS($C$7:$C2108,$C2108))</f>
        <v/>
      </c>
      <c r="R2108" s="1" t="str">
        <f t="shared" si="64"/>
        <v/>
      </c>
      <c r="S2108" s="1" t="str">
        <f t="shared" si="65"/>
        <v/>
      </c>
      <c r="T2108" s="1">
        <f>IF($E2108="",0,SUMPRODUCT((AY_SONU!$O$7:$O$42="Evet")*(AY_SONU!$B$7:$B$42=DATE(YEAR($E2108),MONTH($E2108),1))))</f>
        <v>0</v>
      </c>
      <c r="U2108" s="1" t="str">
        <f>IF(OR($G2108="",$H2108="Mahsup"),"",$G2108&amp;"|"&amp;COUNTIFS($G$7:$G2108,$G2108,$H$7:$H2108,"&lt;&gt;Mahsup"))</f>
        <v/>
      </c>
    </row>
    <row r="2109" spans="1:21" ht="18" customHeight="1" x14ac:dyDescent="0.3">
      <c r="A2109" s="2"/>
      <c r="B2109" s="65" t="str">
        <f>IF($D2109="","","T"&amp;TEXT(ROW()-6,"00000"))</f>
        <v/>
      </c>
      <c r="C2109" s="65" t="str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61"/>
      <c r="E2109" s="66"/>
      <c r="F2109" s="67"/>
      <c r="G2109" s="60"/>
      <c r="H2109" s="60"/>
      <c r="I2109" s="61"/>
      <c r="J2109" s="61"/>
      <c r="K2109" s="61"/>
      <c r="L2109" s="73" t="str">
        <f>IF($E2109="","",DATE(YEAR($E2109),MONTH($E2109),1))</f>
        <v/>
      </c>
      <c r="M2109" s="65" t="str">
        <f ca="1">IF($D2109="","",IF($C2109="TANIMSIZ MÜŞTERİ","HATA",IF(OR($E2109="",$F2109&lt;=0,$G2109=""),"EKSİK",IF($E2109&gt;TODAY(),"İLERİ TARİH",IF(COUNTIF($S$7:$S$2503,$S2109)&gt;1,"MÜKERRER?",IF($T2109&gt;0,"KAPALI DÖNEM","UYGUN"))))))</f>
        <v/>
      </c>
      <c r="N2109" s="74" t="str">
        <f>IF($C2109="","",IF($C2109="TANIMSIZ MÜŞTERİ","—",INDEX(MUSTERILER!$C$7:$C$156,MATCH($C2109,MUSTERILER!$B$7:$B$156,0))))</f>
        <v/>
      </c>
      <c r="O2109" s="2"/>
      <c r="P2109" s="2"/>
      <c r="Q2109" s="1" t="str">
        <f>IF($D2109="","",$C2109&amp;"|"&amp;COUNTIFS($C$7:$C2109,$C2109))</f>
        <v/>
      </c>
      <c r="R2109" s="1" t="str">
        <f t="shared" si="64"/>
        <v/>
      </c>
      <c r="S2109" s="1" t="str">
        <f t="shared" si="65"/>
        <v/>
      </c>
      <c r="T2109" s="1">
        <f>IF($E2109="",0,SUMPRODUCT((AY_SONU!$O$7:$O$42="Evet")*(AY_SONU!$B$7:$B$42=DATE(YEAR($E2109),MONTH($E2109),1))))</f>
        <v>0</v>
      </c>
      <c r="U2109" s="1" t="str">
        <f>IF(OR($G2109="",$H2109="Mahsup"),"",$G2109&amp;"|"&amp;COUNTIFS($G$7:$G2109,$G2109,$H$7:$H2109,"&lt;&gt;Mahsup"))</f>
        <v/>
      </c>
    </row>
    <row r="2110" spans="1:21" ht="18" customHeight="1" x14ac:dyDescent="0.3">
      <c r="A2110" s="2"/>
      <c r="B2110" s="65" t="str">
        <f>IF($D2110="","","T"&amp;TEXT(ROW()-6,"00000"))</f>
        <v/>
      </c>
      <c r="C2110" s="65" t="str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61"/>
      <c r="E2110" s="66"/>
      <c r="F2110" s="67"/>
      <c r="G2110" s="60"/>
      <c r="H2110" s="60"/>
      <c r="I2110" s="61"/>
      <c r="J2110" s="61"/>
      <c r="K2110" s="61"/>
      <c r="L2110" s="73" t="str">
        <f>IF($E2110="","",DATE(YEAR($E2110),MONTH($E2110),1))</f>
        <v/>
      </c>
      <c r="M2110" s="65" t="str">
        <f ca="1">IF($D2110="","",IF($C2110="TANIMSIZ MÜŞTERİ","HATA",IF(OR($E2110="",$F2110&lt;=0,$G2110=""),"EKSİK",IF($E2110&gt;TODAY(),"İLERİ TARİH",IF(COUNTIF($S$7:$S$2503,$S2110)&gt;1,"MÜKERRER?",IF($T2110&gt;0,"KAPALI DÖNEM","UYGUN"))))))</f>
        <v/>
      </c>
      <c r="N2110" s="74" t="str">
        <f>IF($C2110="","",IF($C2110="TANIMSIZ MÜŞTERİ","—",INDEX(MUSTERILER!$C$7:$C$156,MATCH($C2110,MUSTERILER!$B$7:$B$156,0))))</f>
        <v/>
      </c>
      <c r="O2110" s="2"/>
      <c r="P2110" s="2"/>
      <c r="Q2110" s="1" t="str">
        <f>IF($D2110="","",$C2110&amp;"|"&amp;COUNTIFS($C$7:$C2110,$C2110))</f>
        <v/>
      </c>
      <c r="R2110" s="1" t="str">
        <f t="shared" si="64"/>
        <v/>
      </c>
      <c r="S2110" s="1" t="str">
        <f t="shared" si="65"/>
        <v/>
      </c>
      <c r="T2110" s="1">
        <f>IF($E2110="",0,SUMPRODUCT((AY_SONU!$O$7:$O$42="Evet")*(AY_SONU!$B$7:$B$42=DATE(YEAR($E2110),MONTH($E2110),1))))</f>
        <v>0</v>
      </c>
      <c r="U2110" s="1" t="str">
        <f>IF(OR($G2110="",$H2110="Mahsup"),"",$G2110&amp;"|"&amp;COUNTIFS($G$7:$G2110,$G2110,$H$7:$H2110,"&lt;&gt;Mahsup"))</f>
        <v/>
      </c>
    </row>
    <row r="2111" spans="1:21" ht="18" customHeight="1" x14ac:dyDescent="0.3">
      <c r="A2111" s="2"/>
      <c r="B2111" s="65" t="str">
        <f>IF($D2111="","","T"&amp;TEXT(ROW()-6,"00000"))</f>
        <v/>
      </c>
      <c r="C2111" s="65" t="str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61"/>
      <c r="E2111" s="66"/>
      <c r="F2111" s="67"/>
      <c r="G2111" s="60"/>
      <c r="H2111" s="60"/>
      <c r="I2111" s="61"/>
      <c r="J2111" s="61"/>
      <c r="K2111" s="61"/>
      <c r="L2111" s="73" t="str">
        <f>IF($E2111="","",DATE(YEAR($E2111),MONTH($E2111),1))</f>
        <v/>
      </c>
      <c r="M2111" s="65" t="str">
        <f ca="1">IF($D2111="","",IF($C2111="TANIMSIZ MÜŞTERİ","HATA",IF(OR($E2111="",$F2111&lt;=0,$G2111=""),"EKSİK",IF($E2111&gt;TODAY(),"İLERİ TARİH",IF(COUNTIF($S$7:$S$2503,$S2111)&gt;1,"MÜKERRER?",IF($T2111&gt;0,"KAPALI DÖNEM","UYGUN"))))))</f>
        <v/>
      </c>
      <c r="N2111" s="74" t="str">
        <f>IF($C2111="","",IF($C2111="TANIMSIZ MÜŞTERİ","—",INDEX(MUSTERILER!$C$7:$C$156,MATCH($C2111,MUSTERILER!$B$7:$B$156,0))))</f>
        <v/>
      </c>
      <c r="O2111" s="2"/>
      <c r="P2111" s="2"/>
      <c r="Q2111" s="1" t="str">
        <f>IF($D2111="","",$C2111&amp;"|"&amp;COUNTIFS($C$7:$C2111,$C2111))</f>
        <v/>
      </c>
      <c r="R2111" s="1" t="str">
        <f t="shared" si="64"/>
        <v/>
      </c>
      <c r="S2111" s="1" t="str">
        <f t="shared" si="65"/>
        <v/>
      </c>
      <c r="T2111" s="1">
        <f>IF($E2111="",0,SUMPRODUCT((AY_SONU!$O$7:$O$42="Evet")*(AY_SONU!$B$7:$B$42=DATE(YEAR($E2111),MONTH($E2111),1))))</f>
        <v>0</v>
      </c>
      <c r="U2111" s="1" t="str">
        <f>IF(OR($G2111="",$H2111="Mahsup"),"",$G2111&amp;"|"&amp;COUNTIFS($G$7:$G2111,$G2111,$H$7:$H2111,"&lt;&gt;Mahsup"))</f>
        <v/>
      </c>
    </row>
    <row r="2112" spans="1:21" ht="18" customHeight="1" x14ac:dyDescent="0.3">
      <c r="A2112" s="2"/>
      <c r="B2112" s="65" t="str">
        <f>IF($D2112="","","T"&amp;TEXT(ROW()-6,"00000"))</f>
        <v/>
      </c>
      <c r="C2112" s="65" t="str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61"/>
      <c r="E2112" s="66"/>
      <c r="F2112" s="67"/>
      <c r="G2112" s="60"/>
      <c r="H2112" s="60"/>
      <c r="I2112" s="61"/>
      <c r="J2112" s="61"/>
      <c r="K2112" s="61"/>
      <c r="L2112" s="73" t="str">
        <f>IF($E2112="","",DATE(YEAR($E2112),MONTH($E2112),1))</f>
        <v/>
      </c>
      <c r="M2112" s="65" t="str">
        <f ca="1">IF($D2112="","",IF($C2112="TANIMSIZ MÜŞTERİ","HATA",IF(OR($E2112="",$F2112&lt;=0,$G2112=""),"EKSİK",IF($E2112&gt;TODAY(),"İLERİ TARİH",IF(COUNTIF($S$7:$S$2503,$S2112)&gt;1,"MÜKERRER?",IF($T2112&gt;0,"KAPALI DÖNEM","UYGUN"))))))</f>
        <v/>
      </c>
      <c r="N2112" s="74" t="str">
        <f>IF($C2112="","",IF($C2112="TANIMSIZ MÜŞTERİ","—",INDEX(MUSTERILER!$C$7:$C$156,MATCH($C2112,MUSTERILER!$B$7:$B$156,0))))</f>
        <v/>
      </c>
      <c r="O2112" s="2"/>
      <c r="P2112" s="2"/>
      <c r="Q2112" s="1" t="str">
        <f>IF($D2112="","",$C2112&amp;"|"&amp;COUNTIFS($C$7:$C2112,$C2112))</f>
        <v/>
      </c>
      <c r="R2112" s="1" t="str">
        <f t="shared" si="64"/>
        <v/>
      </c>
      <c r="S2112" s="1" t="str">
        <f t="shared" si="65"/>
        <v/>
      </c>
      <c r="T2112" s="1">
        <f>IF($E2112="",0,SUMPRODUCT((AY_SONU!$O$7:$O$42="Evet")*(AY_SONU!$B$7:$B$42=DATE(YEAR($E2112),MONTH($E2112),1))))</f>
        <v>0</v>
      </c>
      <c r="U2112" s="1" t="str">
        <f>IF(OR($G2112="",$H2112="Mahsup"),"",$G2112&amp;"|"&amp;COUNTIFS($G$7:$G2112,$G2112,$H$7:$H2112,"&lt;&gt;Mahsup"))</f>
        <v/>
      </c>
    </row>
    <row r="2113" spans="1:21" ht="18" customHeight="1" x14ac:dyDescent="0.3">
      <c r="A2113" s="2"/>
      <c r="B2113" s="65" t="str">
        <f>IF($D2113="","","T"&amp;TEXT(ROW()-6,"00000"))</f>
        <v/>
      </c>
      <c r="C2113" s="65" t="str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61"/>
      <c r="E2113" s="66"/>
      <c r="F2113" s="67"/>
      <c r="G2113" s="60"/>
      <c r="H2113" s="60"/>
      <c r="I2113" s="61"/>
      <c r="J2113" s="61"/>
      <c r="K2113" s="61"/>
      <c r="L2113" s="73" t="str">
        <f>IF($E2113="","",DATE(YEAR($E2113),MONTH($E2113),1))</f>
        <v/>
      </c>
      <c r="M2113" s="65" t="str">
        <f ca="1">IF($D2113="","",IF($C2113="TANIMSIZ MÜŞTERİ","HATA",IF(OR($E2113="",$F2113&lt;=0,$G2113=""),"EKSİK",IF($E2113&gt;TODAY(),"İLERİ TARİH",IF(COUNTIF($S$7:$S$2503,$S2113)&gt;1,"MÜKERRER?",IF($T2113&gt;0,"KAPALI DÖNEM","UYGUN"))))))</f>
        <v/>
      </c>
      <c r="N2113" s="74" t="str">
        <f>IF($C2113="","",IF($C2113="TANIMSIZ MÜŞTERİ","—",INDEX(MUSTERILER!$C$7:$C$156,MATCH($C2113,MUSTERILER!$B$7:$B$156,0))))</f>
        <v/>
      </c>
      <c r="O2113" s="2"/>
      <c r="P2113" s="2"/>
      <c r="Q2113" s="1" t="str">
        <f>IF($D2113="","",$C2113&amp;"|"&amp;COUNTIFS($C$7:$C2113,$C2113))</f>
        <v/>
      </c>
      <c r="R2113" s="1" t="str">
        <f t="shared" si="64"/>
        <v/>
      </c>
      <c r="S2113" s="1" t="str">
        <f t="shared" si="65"/>
        <v/>
      </c>
      <c r="T2113" s="1">
        <f>IF($E2113="",0,SUMPRODUCT((AY_SONU!$O$7:$O$42="Evet")*(AY_SONU!$B$7:$B$42=DATE(YEAR($E2113),MONTH($E2113),1))))</f>
        <v>0</v>
      </c>
      <c r="U2113" s="1" t="str">
        <f>IF(OR($G2113="",$H2113="Mahsup"),"",$G2113&amp;"|"&amp;COUNTIFS($G$7:$G2113,$G2113,$H$7:$H2113,"&lt;&gt;Mahsup"))</f>
        <v/>
      </c>
    </row>
    <row r="2114" spans="1:21" ht="18" customHeight="1" x14ac:dyDescent="0.3">
      <c r="A2114" s="2"/>
      <c r="B2114" s="65" t="str">
        <f>IF($D2114="","","T"&amp;TEXT(ROW()-6,"00000"))</f>
        <v/>
      </c>
      <c r="C2114" s="65" t="str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61"/>
      <c r="E2114" s="66"/>
      <c r="F2114" s="67"/>
      <c r="G2114" s="60"/>
      <c r="H2114" s="60"/>
      <c r="I2114" s="61"/>
      <c r="J2114" s="61"/>
      <c r="K2114" s="61"/>
      <c r="L2114" s="73" t="str">
        <f>IF($E2114="","",DATE(YEAR($E2114),MONTH($E2114),1))</f>
        <v/>
      </c>
      <c r="M2114" s="65" t="str">
        <f ca="1">IF($D2114="","",IF($C2114="TANIMSIZ MÜŞTERİ","HATA",IF(OR($E2114="",$F2114&lt;=0,$G2114=""),"EKSİK",IF($E2114&gt;TODAY(),"İLERİ TARİH",IF(COUNTIF($S$7:$S$2503,$S2114)&gt;1,"MÜKERRER?",IF($T2114&gt;0,"KAPALI DÖNEM","UYGUN"))))))</f>
        <v/>
      </c>
      <c r="N2114" s="74" t="str">
        <f>IF($C2114="","",IF($C2114="TANIMSIZ MÜŞTERİ","—",INDEX(MUSTERILER!$C$7:$C$156,MATCH($C2114,MUSTERILER!$B$7:$B$156,0))))</f>
        <v/>
      </c>
      <c r="O2114" s="2"/>
      <c r="P2114" s="2"/>
      <c r="Q2114" s="1" t="str">
        <f>IF($D2114="","",$C2114&amp;"|"&amp;COUNTIFS($C$7:$C2114,$C2114))</f>
        <v/>
      </c>
      <c r="R2114" s="1" t="str">
        <f t="shared" si="64"/>
        <v/>
      </c>
      <c r="S2114" s="1" t="str">
        <f t="shared" si="65"/>
        <v/>
      </c>
      <c r="T2114" s="1">
        <f>IF($E2114="",0,SUMPRODUCT((AY_SONU!$O$7:$O$42="Evet")*(AY_SONU!$B$7:$B$42=DATE(YEAR($E2114),MONTH($E2114),1))))</f>
        <v>0</v>
      </c>
      <c r="U2114" s="1" t="str">
        <f>IF(OR($G2114="",$H2114="Mahsup"),"",$G2114&amp;"|"&amp;COUNTIFS($G$7:$G2114,$G2114,$H$7:$H2114,"&lt;&gt;Mahsup"))</f>
        <v/>
      </c>
    </row>
    <row r="2115" spans="1:21" ht="18" customHeight="1" x14ac:dyDescent="0.3">
      <c r="A2115" s="2"/>
      <c r="B2115" s="65" t="str">
        <f>IF($D2115="","","T"&amp;TEXT(ROW()-6,"00000"))</f>
        <v/>
      </c>
      <c r="C2115" s="65" t="str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61"/>
      <c r="E2115" s="66"/>
      <c r="F2115" s="67"/>
      <c r="G2115" s="60"/>
      <c r="H2115" s="60"/>
      <c r="I2115" s="61"/>
      <c r="J2115" s="61"/>
      <c r="K2115" s="61"/>
      <c r="L2115" s="73" t="str">
        <f>IF($E2115="","",DATE(YEAR($E2115),MONTH($E2115),1))</f>
        <v/>
      </c>
      <c r="M2115" s="65" t="str">
        <f ca="1">IF($D2115="","",IF($C2115="TANIMSIZ MÜŞTERİ","HATA",IF(OR($E2115="",$F2115&lt;=0,$G2115=""),"EKSİK",IF($E2115&gt;TODAY(),"İLERİ TARİH",IF(COUNTIF($S$7:$S$2503,$S2115)&gt;1,"MÜKERRER?",IF($T2115&gt;0,"KAPALI DÖNEM","UYGUN"))))))</f>
        <v/>
      </c>
      <c r="N2115" s="74" t="str">
        <f>IF($C2115="","",IF($C2115="TANIMSIZ MÜŞTERİ","—",INDEX(MUSTERILER!$C$7:$C$156,MATCH($C2115,MUSTERILER!$B$7:$B$156,0))))</f>
        <v/>
      </c>
      <c r="O2115" s="2"/>
      <c r="P2115" s="2"/>
      <c r="Q2115" s="1" t="str">
        <f>IF($D2115="","",$C2115&amp;"|"&amp;COUNTIFS($C$7:$C2115,$C2115))</f>
        <v/>
      </c>
      <c r="R2115" s="1" t="str">
        <f t="shared" si="64"/>
        <v/>
      </c>
      <c r="S2115" s="1" t="str">
        <f t="shared" si="65"/>
        <v/>
      </c>
      <c r="T2115" s="1">
        <f>IF($E2115="",0,SUMPRODUCT((AY_SONU!$O$7:$O$42="Evet")*(AY_SONU!$B$7:$B$42=DATE(YEAR($E2115),MONTH($E2115),1))))</f>
        <v>0</v>
      </c>
      <c r="U2115" s="1" t="str">
        <f>IF(OR($G2115="",$H2115="Mahsup"),"",$G2115&amp;"|"&amp;COUNTIFS($G$7:$G2115,$G2115,$H$7:$H2115,"&lt;&gt;Mahsup"))</f>
        <v/>
      </c>
    </row>
    <row r="2116" spans="1:21" ht="18" customHeight="1" x14ac:dyDescent="0.3">
      <c r="A2116" s="2"/>
      <c r="B2116" s="65" t="str">
        <f>IF($D2116="","","T"&amp;TEXT(ROW()-6,"00000"))</f>
        <v/>
      </c>
      <c r="C2116" s="65" t="str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61"/>
      <c r="E2116" s="66"/>
      <c r="F2116" s="67"/>
      <c r="G2116" s="60"/>
      <c r="H2116" s="60"/>
      <c r="I2116" s="61"/>
      <c r="J2116" s="61"/>
      <c r="K2116" s="61"/>
      <c r="L2116" s="73" t="str">
        <f>IF($E2116="","",DATE(YEAR($E2116),MONTH($E2116),1))</f>
        <v/>
      </c>
      <c r="M2116" s="65" t="str">
        <f ca="1">IF($D2116="","",IF($C2116="TANIMSIZ MÜŞTERİ","HATA",IF(OR($E2116="",$F2116&lt;=0,$G2116=""),"EKSİK",IF($E2116&gt;TODAY(),"İLERİ TARİH",IF(COUNTIF($S$7:$S$2503,$S2116)&gt;1,"MÜKERRER?",IF($T2116&gt;0,"KAPALI DÖNEM","UYGUN"))))))</f>
        <v/>
      </c>
      <c r="N2116" s="74" t="str">
        <f>IF($C2116="","",IF($C2116="TANIMSIZ MÜŞTERİ","—",INDEX(MUSTERILER!$C$7:$C$156,MATCH($C2116,MUSTERILER!$B$7:$B$156,0))))</f>
        <v/>
      </c>
      <c r="O2116" s="2"/>
      <c r="P2116" s="2"/>
      <c r="Q2116" s="1" t="str">
        <f>IF($D2116="","",$C2116&amp;"|"&amp;COUNTIFS($C$7:$C2116,$C2116))</f>
        <v/>
      </c>
      <c r="R2116" s="1" t="str">
        <f t="shared" si="64"/>
        <v/>
      </c>
      <c r="S2116" s="1" t="str">
        <f t="shared" si="65"/>
        <v/>
      </c>
      <c r="T2116" s="1">
        <f>IF($E2116="",0,SUMPRODUCT((AY_SONU!$O$7:$O$42="Evet")*(AY_SONU!$B$7:$B$42=DATE(YEAR($E2116),MONTH($E2116),1))))</f>
        <v>0</v>
      </c>
      <c r="U2116" s="1" t="str">
        <f>IF(OR($G2116="",$H2116="Mahsup"),"",$G2116&amp;"|"&amp;COUNTIFS($G$7:$G2116,$G2116,$H$7:$H2116,"&lt;&gt;Mahsup"))</f>
        <v/>
      </c>
    </row>
    <row r="2117" spans="1:21" ht="18" customHeight="1" x14ac:dyDescent="0.3">
      <c r="A2117" s="2"/>
      <c r="B2117" s="65" t="str">
        <f>IF($D2117="","","T"&amp;TEXT(ROW()-6,"00000"))</f>
        <v/>
      </c>
      <c r="C2117" s="65" t="str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61"/>
      <c r="E2117" s="66"/>
      <c r="F2117" s="67"/>
      <c r="G2117" s="60"/>
      <c r="H2117" s="60"/>
      <c r="I2117" s="61"/>
      <c r="J2117" s="61"/>
      <c r="K2117" s="61"/>
      <c r="L2117" s="73" t="str">
        <f>IF($E2117="","",DATE(YEAR($E2117),MONTH($E2117),1))</f>
        <v/>
      </c>
      <c r="M2117" s="65" t="str">
        <f ca="1">IF($D2117="","",IF($C2117="TANIMSIZ MÜŞTERİ","HATA",IF(OR($E2117="",$F2117&lt;=0,$G2117=""),"EKSİK",IF($E2117&gt;TODAY(),"İLERİ TARİH",IF(COUNTIF($S$7:$S$2503,$S2117)&gt;1,"MÜKERRER?",IF($T2117&gt;0,"KAPALI DÖNEM","UYGUN"))))))</f>
        <v/>
      </c>
      <c r="N2117" s="74" t="str">
        <f>IF($C2117="","",IF($C2117="TANIMSIZ MÜŞTERİ","—",INDEX(MUSTERILER!$C$7:$C$156,MATCH($C2117,MUSTERILER!$B$7:$B$156,0))))</f>
        <v/>
      </c>
      <c r="O2117" s="2"/>
      <c r="P2117" s="2"/>
      <c r="Q2117" s="1" t="str">
        <f>IF($D2117="","",$C2117&amp;"|"&amp;COUNTIFS($C$7:$C2117,$C2117))</f>
        <v/>
      </c>
      <c r="R2117" s="1" t="str">
        <f t="shared" si="64"/>
        <v/>
      </c>
      <c r="S2117" s="1" t="str">
        <f t="shared" si="65"/>
        <v/>
      </c>
      <c r="T2117" s="1">
        <f>IF($E2117="",0,SUMPRODUCT((AY_SONU!$O$7:$O$42="Evet")*(AY_SONU!$B$7:$B$42=DATE(YEAR($E2117),MONTH($E2117),1))))</f>
        <v>0</v>
      </c>
      <c r="U2117" s="1" t="str">
        <f>IF(OR($G2117="",$H2117="Mahsup"),"",$G2117&amp;"|"&amp;COUNTIFS($G$7:$G2117,$G2117,$H$7:$H2117,"&lt;&gt;Mahsup"))</f>
        <v/>
      </c>
    </row>
    <row r="2118" spans="1:21" ht="18" customHeight="1" x14ac:dyDescent="0.3">
      <c r="A2118" s="2"/>
      <c r="B2118" s="65" t="str">
        <f>IF($D2118="","","T"&amp;TEXT(ROW()-6,"00000"))</f>
        <v/>
      </c>
      <c r="C2118" s="65" t="str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61"/>
      <c r="E2118" s="66"/>
      <c r="F2118" s="67"/>
      <c r="G2118" s="60"/>
      <c r="H2118" s="60"/>
      <c r="I2118" s="61"/>
      <c r="J2118" s="61"/>
      <c r="K2118" s="61"/>
      <c r="L2118" s="73" t="str">
        <f>IF($E2118="","",DATE(YEAR($E2118),MONTH($E2118),1))</f>
        <v/>
      </c>
      <c r="M2118" s="65" t="str">
        <f ca="1">IF($D2118="","",IF($C2118="TANIMSIZ MÜŞTERİ","HATA",IF(OR($E2118="",$F2118&lt;=0,$G2118=""),"EKSİK",IF($E2118&gt;TODAY(),"İLERİ TARİH",IF(COUNTIF($S$7:$S$2503,$S2118)&gt;1,"MÜKERRER?",IF($T2118&gt;0,"KAPALI DÖNEM","UYGUN"))))))</f>
        <v/>
      </c>
      <c r="N2118" s="74" t="str">
        <f>IF($C2118="","",IF($C2118="TANIMSIZ MÜŞTERİ","—",INDEX(MUSTERILER!$C$7:$C$156,MATCH($C2118,MUSTERILER!$B$7:$B$156,0))))</f>
        <v/>
      </c>
      <c r="O2118" s="2"/>
      <c r="P2118" s="2"/>
      <c r="Q2118" s="1" t="str">
        <f>IF($D2118="","",$C2118&amp;"|"&amp;COUNTIFS($C$7:$C2118,$C2118))</f>
        <v/>
      </c>
      <c r="R2118" s="1" t="str">
        <f t="shared" si="64"/>
        <v/>
      </c>
      <c r="S2118" s="1" t="str">
        <f t="shared" si="65"/>
        <v/>
      </c>
      <c r="T2118" s="1">
        <f>IF($E2118="",0,SUMPRODUCT((AY_SONU!$O$7:$O$42="Evet")*(AY_SONU!$B$7:$B$42=DATE(YEAR($E2118),MONTH($E2118),1))))</f>
        <v>0</v>
      </c>
      <c r="U2118" s="1" t="str">
        <f>IF(OR($G2118="",$H2118="Mahsup"),"",$G2118&amp;"|"&amp;COUNTIFS($G$7:$G2118,$G2118,$H$7:$H2118,"&lt;&gt;Mahsup"))</f>
        <v/>
      </c>
    </row>
    <row r="2119" spans="1:21" ht="18" customHeight="1" x14ac:dyDescent="0.3">
      <c r="A2119" s="2"/>
      <c r="B2119" s="65" t="str">
        <f>IF($D2119="","","T"&amp;TEXT(ROW()-6,"00000"))</f>
        <v/>
      </c>
      <c r="C2119" s="65" t="str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61"/>
      <c r="E2119" s="66"/>
      <c r="F2119" s="67"/>
      <c r="G2119" s="60"/>
      <c r="H2119" s="60"/>
      <c r="I2119" s="61"/>
      <c r="J2119" s="61"/>
      <c r="K2119" s="61"/>
      <c r="L2119" s="73" t="str">
        <f>IF($E2119="","",DATE(YEAR($E2119),MONTH($E2119),1))</f>
        <v/>
      </c>
      <c r="M2119" s="65" t="str">
        <f ca="1">IF($D2119="","",IF($C2119="TANIMSIZ MÜŞTERİ","HATA",IF(OR($E2119="",$F2119&lt;=0,$G2119=""),"EKSİK",IF($E2119&gt;TODAY(),"İLERİ TARİH",IF(COUNTIF($S$7:$S$2503,$S2119)&gt;1,"MÜKERRER?",IF($T2119&gt;0,"KAPALI DÖNEM","UYGUN"))))))</f>
        <v/>
      </c>
      <c r="N2119" s="74" t="str">
        <f>IF($C2119="","",IF($C2119="TANIMSIZ MÜŞTERİ","—",INDEX(MUSTERILER!$C$7:$C$156,MATCH($C2119,MUSTERILER!$B$7:$B$156,0))))</f>
        <v/>
      </c>
      <c r="O2119" s="2"/>
      <c r="P2119" s="2"/>
      <c r="Q2119" s="1" t="str">
        <f>IF($D2119="","",$C2119&amp;"|"&amp;COUNTIFS($C$7:$C2119,$C2119))</f>
        <v/>
      </c>
      <c r="R2119" s="1" t="str">
        <f t="shared" ref="R2119:R2182" si="66"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" t="str">
        <f t="shared" ref="S2119:S2182" si="67">IF($D2119="","",$C2119&amp;"|"&amp;TEXT($E2119,"0")&amp;"|"&amp;TEXT($F2119,"0")&amp;"|"&amp;$I2119)</f>
        <v/>
      </c>
      <c r="T2119" s="1">
        <f>IF($E2119="",0,SUMPRODUCT((AY_SONU!$O$7:$O$42="Evet")*(AY_SONU!$B$7:$B$42=DATE(YEAR($E2119),MONTH($E2119),1))))</f>
        <v>0</v>
      </c>
      <c r="U2119" s="1" t="str">
        <f>IF(OR($G2119="",$H2119="Mahsup"),"",$G2119&amp;"|"&amp;COUNTIFS($G$7:$G2119,$G2119,$H$7:$H2119,"&lt;&gt;Mahsup"))</f>
        <v/>
      </c>
    </row>
    <row r="2120" spans="1:21" ht="18" customHeight="1" x14ac:dyDescent="0.3">
      <c r="A2120" s="2"/>
      <c r="B2120" s="65" t="str">
        <f>IF($D2120="","","T"&amp;TEXT(ROW()-6,"00000"))</f>
        <v/>
      </c>
      <c r="C2120" s="65" t="str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61"/>
      <c r="E2120" s="66"/>
      <c r="F2120" s="67"/>
      <c r="G2120" s="60"/>
      <c r="H2120" s="60"/>
      <c r="I2120" s="61"/>
      <c r="J2120" s="61"/>
      <c r="K2120" s="61"/>
      <c r="L2120" s="73" t="str">
        <f>IF($E2120="","",DATE(YEAR($E2120),MONTH($E2120),1))</f>
        <v/>
      </c>
      <c r="M2120" s="65" t="str">
        <f ca="1">IF($D2120="","",IF($C2120="TANIMSIZ MÜŞTERİ","HATA",IF(OR($E2120="",$F2120&lt;=0,$G2120=""),"EKSİK",IF($E2120&gt;TODAY(),"İLERİ TARİH",IF(COUNTIF($S$7:$S$2503,$S2120)&gt;1,"MÜKERRER?",IF($T2120&gt;0,"KAPALI DÖNEM","UYGUN"))))))</f>
        <v/>
      </c>
      <c r="N2120" s="74" t="str">
        <f>IF($C2120="","",IF($C2120="TANIMSIZ MÜŞTERİ","—",INDEX(MUSTERILER!$C$7:$C$156,MATCH($C2120,MUSTERILER!$B$7:$B$156,0))))</f>
        <v/>
      </c>
      <c r="O2120" s="2"/>
      <c r="P2120" s="2"/>
      <c r="Q2120" s="1" t="str">
        <f>IF($D2120="","",$C2120&amp;"|"&amp;COUNTIFS($C$7:$C2120,$C2120))</f>
        <v/>
      </c>
      <c r="R2120" s="1" t="str">
        <f t="shared" si="66"/>
        <v/>
      </c>
      <c r="S2120" s="1" t="str">
        <f t="shared" si="67"/>
        <v/>
      </c>
      <c r="T2120" s="1">
        <f>IF($E2120="",0,SUMPRODUCT((AY_SONU!$O$7:$O$42="Evet")*(AY_SONU!$B$7:$B$42=DATE(YEAR($E2120),MONTH($E2120),1))))</f>
        <v>0</v>
      </c>
      <c r="U2120" s="1" t="str">
        <f>IF(OR($G2120="",$H2120="Mahsup"),"",$G2120&amp;"|"&amp;COUNTIFS($G$7:$G2120,$G2120,$H$7:$H2120,"&lt;&gt;Mahsup"))</f>
        <v/>
      </c>
    </row>
    <row r="2121" spans="1:21" ht="18" customHeight="1" x14ac:dyDescent="0.3">
      <c r="A2121" s="2"/>
      <c r="B2121" s="65" t="str">
        <f>IF($D2121="","","T"&amp;TEXT(ROW()-6,"00000"))</f>
        <v/>
      </c>
      <c r="C2121" s="65" t="str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61"/>
      <c r="E2121" s="66"/>
      <c r="F2121" s="67"/>
      <c r="G2121" s="60"/>
      <c r="H2121" s="60"/>
      <c r="I2121" s="61"/>
      <c r="J2121" s="61"/>
      <c r="K2121" s="61"/>
      <c r="L2121" s="73" t="str">
        <f>IF($E2121="","",DATE(YEAR($E2121),MONTH($E2121),1))</f>
        <v/>
      </c>
      <c r="M2121" s="65" t="str">
        <f ca="1">IF($D2121="","",IF($C2121="TANIMSIZ MÜŞTERİ","HATA",IF(OR($E2121="",$F2121&lt;=0,$G2121=""),"EKSİK",IF($E2121&gt;TODAY(),"İLERİ TARİH",IF(COUNTIF($S$7:$S$2503,$S2121)&gt;1,"MÜKERRER?",IF($T2121&gt;0,"KAPALI DÖNEM","UYGUN"))))))</f>
        <v/>
      </c>
      <c r="N2121" s="74" t="str">
        <f>IF($C2121="","",IF($C2121="TANIMSIZ MÜŞTERİ","—",INDEX(MUSTERILER!$C$7:$C$156,MATCH($C2121,MUSTERILER!$B$7:$B$156,0))))</f>
        <v/>
      </c>
      <c r="O2121" s="2"/>
      <c r="P2121" s="2"/>
      <c r="Q2121" s="1" t="str">
        <f>IF($D2121="","",$C2121&amp;"|"&amp;COUNTIFS($C$7:$C2121,$C2121))</f>
        <v/>
      </c>
      <c r="R2121" s="1" t="str">
        <f t="shared" si="66"/>
        <v/>
      </c>
      <c r="S2121" s="1" t="str">
        <f t="shared" si="67"/>
        <v/>
      </c>
      <c r="T2121" s="1">
        <f>IF($E2121="",0,SUMPRODUCT((AY_SONU!$O$7:$O$42="Evet")*(AY_SONU!$B$7:$B$42=DATE(YEAR($E2121),MONTH($E2121),1))))</f>
        <v>0</v>
      </c>
      <c r="U2121" s="1" t="str">
        <f>IF(OR($G2121="",$H2121="Mahsup"),"",$G2121&amp;"|"&amp;COUNTIFS($G$7:$G2121,$G2121,$H$7:$H2121,"&lt;&gt;Mahsup"))</f>
        <v/>
      </c>
    </row>
    <row r="2122" spans="1:21" ht="18" customHeight="1" x14ac:dyDescent="0.3">
      <c r="A2122" s="2"/>
      <c r="B2122" s="65" t="str">
        <f>IF($D2122="","","T"&amp;TEXT(ROW()-6,"00000"))</f>
        <v/>
      </c>
      <c r="C2122" s="65" t="str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61"/>
      <c r="E2122" s="66"/>
      <c r="F2122" s="67"/>
      <c r="G2122" s="60"/>
      <c r="H2122" s="60"/>
      <c r="I2122" s="61"/>
      <c r="J2122" s="61"/>
      <c r="K2122" s="61"/>
      <c r="L2122" s="73" t="str">
        <f>IF($E2122="","",DATE(YEAR($E2122),MONTH($E2122),1))</f>
        <v/>
      </c>
      <c r="M2122" s="65" t="str">
        <f ca="1">IF($D2122="","",IF($C2122="TANIMSIZ MÜŞTERİ","HATA",IF(OR($E2122="",$F2122&lt;=0,$G2122=""),"EKSİK",IF($E2122&gt;TODAY(),"İLERİ TARİH",IF(COUNTIF($S$7:$S$2503,$S2122)&gt;1,"MÜKERRER?",IF($T2122&gt;0,"KAPALI DÖNEM","UYGUN"))))))</f>
        <v/>
      </c>
      <c r="N2122" s="74" t="str">
        <f>IF($C2122="","",IF($C2122="TANIMSIZ MÜŞTERİ","—",INDEX(MUSTERILER!$C$7:$C$156,MATCH($C2122,MUSTERILER!$B$7:$B$156,0))))</f>
        <v/>
      </c>
      <c r="O2122" s="2"/>
      <c r="P2122" s="2"/>
      <c r="Q2122" s="1" t="str">
        <f>IF($D2122="","",$C2122&amp;"|"&amp;COUNTIFS($C$7:$C2122,$C2122))</f>
        <v/>
      </c>
      <c r="R2122" s="1" t="str">
        <f t="shared" si="66"/>
        <v/>
      </c>
      <c r="S2122" s="1" t="str">
        <f t="shared" si="67"/>
        <v/>
      </c>
      <c r="T2122" s="1">
        <f>IF($E2122="",0,SUMPRODUCT((AY_SONU!$O$7:$O$42="Evet")*(AY_SONU!$B$7:$B$42=DATE(YEAR($E2122),MONTH($E2122),1))))</f>
        <v>0</v>
      </c>
      <c r="U2122" s="1" t="str">
        <f>IF(OR($G2122="",$H2122="Mahsup"),"",$G2122&amp;"|"&amp;COUNTIFS($G$7:$G2122,$G2122,$H$7:$H2122,"&lt;&gt;Mahsup"))</f>
        <v/>
      </c>
    </row>
    <row r="2123" spans="1:21" ht="18" customHeight="1" x14ac:dyDescent="0.3">
      <c r="A2123" s="2"/>
      <c r="B2123" s="65" t="str">
        <f>IF($D2123="","","T"&amp;TEXT(ROW()-6,"00000"))</f>
        <v/>
      </c>
      <c r="C2123" s="65" t="str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61"/>
      <c r="E2123" s="66"/>
      <c r="F2123" s="67"/>
      <c r="G2123" s="60"/>
      <c r="H2123" s="60"/>
      <c r="I2123" s="61"/>
      <c r="J2123" s="61"/>
      <c r="K2123" s="61"/>
      <c r="L2123" s="73" t="str">
        <f>IF($E2123="","",DATE(YEAR($E2123),MONTH($E2123),1))</f>
        <v/>
      </c>
      <c r="M2123" s="65" t="str">
        <f ca="1">IF($D2123="","",IF($C2123="TANIMSIZ MÜŞTERİ","HATA",IF(OR($E2123="",$F2123&lt;=0,$G2123=""),"EKSİK",IF($E2123&gt;TODAY(),"İLERİ TARİH",IF(COUNTIF($S$7:$S$2503,$S2123)&gt;1,"MÜKERRER?",IF($T2123&gt;0,"KAPALI DÖNEM","UYGUN"))))))</f>
        <v/>
      </c>
      <c r="N2123" s="74" t="str">
        <f>IF($C2123="","",IF($C2123="TANIMSIZ MÜŞTERİ","—",INDEX(MUSTERILER!$C$7:$C$156,MATCH($C2123,MUSTERILER!$B$7:$B$156,0))))</f>
        <v/>
      </c>
      <c r="O2123" s="2"/>
      <c r="P2123" s="2"/>
      <c r="Q2123" s="1" t="str">
        <f>IF($D2123="","",$C2123&amp;"|"&amp;COUNTIFS($C$7:$C2123,$C2123))</f>
        <v/>
      </c>
      <c r="R2123" s="1" t="str">
        <f t="shared" si="66"/>
        <v/>
      </c>
      <c r="S2123" s="1" t="str">
        <f t="shared" si="67"/>
        <v/>
      </c>
      <c r="T2123" s="1">
        <f>IF($E2123="",0,SUMPRODUCT((AY_SONU!$O$7:$O$42="Evet")*(AY_SONU!$B$7:$B$42=DATE(YEAR($E2123),MONTH($E2123),1))))</f>
        <v>0</v>
      </c>
      <c r="U2123" s="1" t="str">
        <f>IF(OR($G2123="",$H2123="Mahsup"),"",$G2123&amp;"|"&amp;COUNTIFS($G$7:$G2123,$G2123,$H$7:$H2123,"&lt;&gt;Mahsup"))</f>
        <v/>
      </c>
    </row>
    <row r="2124" spans="1:21" ht="18" customHeight="1" x14ac:dyDescent="0.3">
      <c r="A2124" s="2"/>
      <c r="B2124" s="65" t="str">
        <f>IF($D2124="","","T"&amp;TEXT(ROW()-6,"00000"))</f>
        <v/>
      </c>
      <c r="C2124" s="65" t="str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61"/>
      <c r="E2124" s="66"/>
      <c r="F2124" s="67"/>
      <c r="G2124" s="60"/>
      <c r="H2124" s="60"/>
      <c r="I2124" s="61"/>
      <c r="J2124" s="61"/>
      <c r="K2124" s="61"/>
      <c r="L2124" s="73" t="str">
        <f>IF($E2124="","",DATE(YEAR($E2124),MONTH($E2124),1))</f>
        <v/>
      </c>
      <c r="M2124" s="65" t="str">
        <f ca="1">IF($D2124="","",IF($C2124="TANIMSIZ MÜŞTERİ","HATA",IF(OR($E2124="",$F2124&lt;=0,$G2124=""),"EKSİK",IF($E2124&gt;TODAY(),"İLERİ TARİH",IF(COUNTIF($S$7:$S$2503,$S2124)&gt;1,"MÜKERRER?",IF($T2124&gt;0,"KAPALI DÖNEM","UYGUN"))))))</f>
        <v/>
      </c>
      <c r="N2124" s="74" t="str">
        <f>IF($C2124="","",IF($C2124="TANIMSIZ MÜŞTERİ","—",INDEX(MUSTERILER!$C$7:$C$156,MATCH($C2124,MUSTERILER!$B$7:$B$156,0))))</f>
        <v/>
      </c>
      <c r="O2124" s="2"/>
      <c r="P2124" s="2"/>
      <c r="Q2124" s="1" t="str">
        <f>IF($D2124="","",$C2124&amp;"|"&amp;COUNTIFS($C$7:$C2124,$C2124))</f>
        <v/>
      </c>
      <c r="R2124" s="1" t="str">
        <f t="shared" si="66"/>
        <v/>
      </c>
      <c r="S2124" s="1" t="str">
        <f t="shared" si="67"/>
        <v/>
      </c>
      <c r="T2124" s="1">
        <f>IF($E2124="",0,SUMPRODUCT((AY_SONU!$O$7:$O$42="Evet")*(AY_SONU!$B$7:$B$42=DATE(YEAR($E2124),MONTH($E2124),1))))</f>
        <v>0</v>
      </c>
      <c r="U2124" s="1" t="str">
        <f>IF(OR($G2124="",$H2124="Mahsup"),"",$G2124&amp;"|"&amp;COUNTIFS($G$7:$G2124,$G2124,$H$7:$H2124,"&lt;&gt;Mahsup"))</f>
        <v/>
      </c>
    </row>
    <row r="2125" spans="1:21" ht="18" customHeight="1" x14ac:dyDescent="0.3">
      <c r="A2125" s="2"/>
      <c r="B2125" s="65" t="str">
        <f>IF($D2125="","","T"&amp;TEXT(ROW()-6,"00000"))</f>
        <v/>
      </c>
      <c r="C2125" s="65" t="str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61"/>
      <c r="E2125" s="66"/>
      <c r="F2125" s="67"/>
      <c r="G2125" s="60"/>
      <c r="H2125" s="60"/>
      <c r="I2125" s="61"/>
      <c r="J2125" s="61"/>
      <c r="K2125" s="61"/>
      <c r="L2125" s="73" t="str">
        <f>IF($E2125="","",DATE(YEAR($E2125),MONTH($E2125),1))</f>
        <v/>
      </c>
      <c r="M2125" s="65" t="str">
        <f ca="1">IF($D2125="","",IF($C2125="TANIMSIZ MÜŞTERİ","HATA",IF(OR($E2125="",$F2125&lt;=0,$G2125=""),"EKSİK",IF($E2125&gt;TODAY(),"İLERİ TARİH",IF(COUNTIF($S$7:$S$2503,$S2125)&gt;1,"MÜKERRER?",IF($T2125&gt;0,"KAPALI DÖNEM","UYGUN"))))))</f>
        <v/>
      </c>
      <c r="N2125" s="74" t="str">
        <f>IF($C2125="","",IF($C2125="TANIMSIZ MÜŞTERİ","—",INDEX(MUSTERILER!$C$7:$C$156,MATCH($C2125,MUSTERILER!$B$7:$B$156,0))))</f>
        <v/>
      </c>
      <c r="O2125" s="2"/>
      <c r="P2125" s="2"/>
      <c r="Q2125" s="1" t="str">
        <f>IF($D2125="","",$C2125&amp;"|"&amp;COUNTIFS($C$7:$C2125,$C2125))</f>
        <v/>
      </c>
      <c r="R2125" s="1" t="str">
        <f t="shared" si="66"/>
        <v/>
      </c>
      <c r="S2125" s="1" t="str">
        <f t="shared" si="67"/>
        <v/>
      </c>
      <c r="T2125" s="1">
        <f>IF($E2125="",0,SUMPRODUCT((AY_SONU!$O$7:$O$42="Evet")*(AY_SONU!$B$7:$B$42=DATE(YEAR($E2125),MONTH($E2125),1))))</f>
        <v>0</v>
      </c>
      <c r="U2125" s="1" t="str">
        <f>IF(OR($G2125="",$H2125="Mahsup"),"",$G2125&amp;"|"&amp;COUNTIFS($G$7:$G2125,$G2125,$H$7:$H2125,"&lt;&gt;Mahsup"))</f>
        <v/>
      </c>
    </row>
    <row r="2126" spans="1:21" ht="18" customHeight="1" x14ac:dyDescent="0.3">
      <c r="A2126" s="2"/>
      <c r="B2126" s="65" t="str">
        <f>IF($D2126="","","T"&amp;TEXT(ROW()-6,"00000"))</f>
        <v/>
      </c>
      <c r="C2126" s="65" t="str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61"/>
      <c r="E2126" s="66"/>
      <c r="F2126" s="67"/>
      <c r="G2126" s="60"/>
      <c r="H2126" s="60"/>
      <c r="I2126" s="61"/>
      <c r="J2126" s="61"/>
      <c r="K2126" s="61"/>
      <c r="L2126" s="73" t="str">
        <f>IF($E2126="","",DATE(YEAR($E2126),MONTH($E2126),1))</f>
        <v/>
      </c>
      <c r="M2126" s="65" t="str">
        <f ca="1">IF($D2126="","",IF($C2126="TANIMSIZ MÜŞTERİ","HATA",IF(OR($E2126="",$F2126&lt;=0,$G2126=""),"EKSİK",IF($E2126&gt;TODAY(),"İLERİ TARİH",IF(COUNTIF($S$7:$S$2503,$S2126)&gt;1,"MÜKERRER?",IF($T2126&gt;0,"KAPALI DÖNEM","UYGUN"))))))</f>
        <v/>
      </c>
      <c r="N2126" s="74" t="str">
        <f>IF($C2126="","",IF($C2126="TANIMSIZ MÜŞTERİ","—",INDEX(MUSTERILER!$C$7:$C$156,MATCH($C2126,MUSTERILER!$B$7:$B$156,0))))</f>
        <v/>
      </c>
      <c r="O2126" s="2"/>
      <c r="P2126" s="2"/>
      <c r="Q2126" s="1" t="str">
        <f>IF($D2126="","",$C2126&amp;"|"&amp;COUNTIFS($C$7:$C2126,$C2126))</f>
        <v/>
      </c>
      <c r="R2126" s="1" t="str">
        <f t="shared" si="66"/>
        <v/>
      </c>
      <c r="S2126" s="1" t="str">
        <f t="shared" si="67"/>
        <v/>
      </c>
      <c r="T2126" s="1">
        <f>IF($E2126="",0,SUMPRODUCT((AY_SONU!$O$7:$O$42="Evet")*(AY_SONU!$B$7:$B$42=DATE(YEAR($E2126),MONTH($E2126),1))))</f>
        <v>0</v>
      </c>
      <c r="U2126" s="1" t="str">
        <f>IF(OR($G2126="",$H2126="Mahsup"),"",$G2126&amp;"|"&amp;COUNTIFS($G$7:$G2126,$G2126,$H$7:$H2126,"&lt;&gt;Mahsup"))</f>
        <v/>
      </c>
    </row>
    <row r="2127" spans="1:21" ht="18" customHeight="1" x14ac:dyDescent="0.3">
      <c r="A2127" s="2"/>
      <c r="B2127" s="65" t="str">
        <f>IF($D2127="","","T"&amp;TEXT(ROW()-6,"00000"))</f>
        <v/>
      </c>
      <c r="C2127" s="65" t="str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61"/>
      <c r="E2127" s="66"/>
      <c r="F2127" s="67"/>
      <c r="G2127" s="60"/>
      <c r="H2127" s="60"/>
      <c r="I2127" s="61"/>
      <c r="J2127" s="61"/>
      <c r="K2127" s="61"/>
      <c r="L2127" s="73" t="str">
        <f>IF($E2127="","",DATE(YEAR($E2127),MONTH($E2127),1))</f>
        <v/>
      </c>
      <c r="M2127" s="65" t="str">
        <f ca="1">IF($D2127="","",IF($C2127="TANIMSIZ MÜŞTERİ","HATA",IF(OR($E2127="",$F2127&lt;=0,$G2127=""),"EKSİK",IF($E2127&gt;TODAY(),"İLERİ TARİH",IF(COUNTIF($S$7:$S$2503,$S2127)&gt;1,"MÜKERRER?",IF($T2127&gt;0,"KAPALI DÖNEM","UYGUN"))))))</f>
        <v/>
      </c>
      <c r="N2127" s="74" t="str">
        <f>IF($C2127="","",IF($C2127="TANIMSIZ MÜŞTERİ","—",INDEX(MUSTERILER!$C$7:$C$156,MATCH($C2127,MUSTERILER!$B$7:$B$156,0))))</f>
        <v/>
      </c>
      <c r="O2127" s="2"/>
      <c r="P2127" s="2"/>
      <c r="Q2127" s="1" t="str">
        <f>IF($D2127="","",$C2127&amp;"|"&amp;COUNTIFS($C$7:$C2127,$C2127))</f>
        <v/>
      </c>
      <c r="R2127" s="1" t="str">
        <f t="shared" si="66"/>
        <v/>
      </c>
      <c r="S2127" s="1" t="str">
        <f t="shared" si="67"/>
        <v/>
      </c>
      <c r="T2127" s="1">
        <f>IF($E2127="",0,SUMPRODUCT((AY_SONU!$O$7:$O$42="Evet")*(AY_SONU!$B$7:$B$42=DATE(YEAR($E2127),MONTH($E2127),1))))</f>
        <v>0</v>
      </c>
      <c r="U2127" s="1" t="str">
        <f>IF(OR($G2127="",$H2127="Mahsup"),"",$G2127&amp;"|"&amp;COUNTIFS($G$7:$G2127,$G2127,$H$7:$H2127,"&lt;&gt;Mahsup"))</f>
        <v/>
      </c>
    </row>
    <row r="2128" spans="1:21" ht="18" customHeight="1" x14ac:dyDescent="0.3">
      <c r="A2128" s="2"/>
      <c r="B2128" s="65" t="str">
        <f>IF($D2128="","","T"&amp;TEXT(ROW()-6,"00000"))</f>
        <v/>
      </c>
      <c r="C2128" s="65" t="str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61"/>
      <c r="E2128" s="66"/>
      <c r="F2128" s="67"/>
      <c r="G2128" s="60"/>
      <c r="H2128" s="60"/>
      <c r="I2128" s="61"/>
      <c r="J2128" s="61"/>
      <c r="K2128" s="61"/>
      <c r="L2128" s="73" t="str">
        <f>IF($E2128="","",DATE(YEAR($E2128),MONTH($E2128),1))</f>
        <v/>
      </c>
      <c r="M2128" s="65" t="str">
        <f ca="1">IF($D2128="","",IF($C2128="TANIMSIZ MÜŞTERİ","HATA",IF(OR($E2128="",$F2128&lt;=0,$G2128=""),"EKSİK",IF($E2128&gt;TODAY(),"İLERİ TARİH",IF(COUNTIF($S$7:$S$2503,$S2128)&gt;1,"MÜKERRER?",IF($T2128&gt;0,"KAPALI DÖNEM","UYGUN"))))))</f>
        <v/>
      </c>
      <c r="N2128" s="74" t="str">
        <f>IF($C2128="","",IF($C2128="TANIMSIZ MÜŞTERİ","—",INDEX(MUSTERILER!$C$7:$C$156,MATCH($C2128,MUSTERILER!$B$7:$B$156,0))))</f>
        <v/>
      </c>
      <c r="O2128" s="2"/>
      <c r="P2128" s="2"/>
      <c r="Q2128" s="1" t="str">
        <f>IF($D2128="","",$C2128&amp;"|"&amp;COUNTIFS($C$7:$C2128,$C2128))</f>
        <v/>
      </c>
      <c r="R2128" s="1" t="str">
        <f t="shared" si="66"/>
        <v/>
      </c>
      <c r="S2128" s="1" t="str">
        <f t="shared" si="67"/>
        <v/>
      </c>
      <c r="T2128" s="1">
        <f>IF($E2128="",0,SUMPRODUCT((AY_SONU!$O$7:$O$42="Evet")*(AY_SONU!$B$7:$B$42=DATE(YEAR($E2128),MONTH($E2128),1))))</f>
        <v>0</v>
      </c>
      <c r="U2128" s="1" t="str">
        <f>IF(OR($G2128="",$H2128="Mahsup"),"",$G2128&amp;"|"&amp;COUNTIFS($G$7:$G2128,$G2128,$H$7:$H2128,"&lt;&gt;Mahsup"))</f>
        <v/>
      </c>
    </row>
    <row r="2129" spans="1:21" ht="18" customHeight="1" x14ac:dyDescent="0.3">
      <c r="A2129" s="2"/>
      <c r="B2129" s="65" t="str">
        <f>IF($D2129="","","T"&amp;TEXT(ROW()-6,"00000"))</f>
        <v/>
      </c>
      <c r="C2129" s="65" t="str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61"/>
      <c r="E2129" s="66"/>
      <c r="F2129" s="67"/>
      <c r="G2129" s="60"/>
      <c r="H2129" s="60"/>
      <c r="I2129" s="61"/>
      <c r="J2129" s="61"/>
      <c r="K2129" s="61"/>
      <c r="L2129" s="73" t="str">
        <f>IF($E2129="","",DATE(YEAR($E2129),MONTH($E2129),1))</f>
        <v/>
      </c>
      <c r="M2129" s="65" t="str">
        <f ca="1">IF($D2129="","",IF($C2129="TANIMSIZ MÜŞTERİ","HATA",IF(OR($E2129="",$F2129&lt;=0,$G2129=""),"EKSİK",IF($E2129&gt;TODAY(),"İLERİ TARİH",IF(COUNTIF($S$7:$S$2503,$S2129)&gt;1,"MÜKERRER?",IF($T2129&gt;0,"KAPALI DÖNEM","UYGUN"))))))</f>
        <v/>
      </c>
      <c r="N2129" s="74" t="str">
        <f>IF($C2129="","",IF($C2129="TANIMSIZ MÜŞTERİ","—",INDEX(MUSTERILER!$C$7:$C$156,MATCH($C2129,MUSTERILER!$B$7:$B$156,0))))</f>
        <v/>
      </c>
      <c r="O2129" s="2"/>
      <c r="P2129" s="2"/>
      <c r="Q2129" s="1" t="str">
        <f>IF($D2129="","",$C2129&amp;"|"&amp;COUNTIFS($C$7:$C2129,$C2129))</f>
        <v/>
      </c>
      <c r="R2129" s="1" t="str">
        <f t="shared" si="66"/>
        <v/>
      </c>
      <c r="S2129" s="1" t="str">
        <f t="shared" si="67"/>
        <v/>
      </c>
      <c r="T2129" s="1">
        <f>IF($E2129="",0,SUMPRODUCT((AY_SONU!$O$7:$O$42="Evet")*(AY_SONU!$B$7:$B$42=DATE(YEAR($E2129),MONTH($E2129),1))))</f>
        <v>0</v>
      </c>
      <c r="U2129" s="1" t="str">
        <f>IF(OR($G2129="",$H2129="Mahsup"),"",$G2129&amp;"|"&amp;COUNTIFS($G$7:$G2129,$G2129,$H$7:$H2129,"&lt;&gt;Mahsup"))</f>
        <v/>
      </c>
    </row>
    <row r="2130" spans="1:21" ht="18" customHeight="1" x14ac:dyDescent="0.3">
      <c r="A2130" s="2"/>
      <c r="B2130" s="65" t="str">
        <f>IF($D2130="","","T"&amp;TEXT(ROW()-6,"00000"))</f>
        <v/>
      </c>
      <c r="C2130" s="65" t="str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61"/>
      <c r="E2130" s="66"/>
      <c r="F2130" s="67"/>
      <c r="G2130" s="60"/>
      <c r="H2130" s="60"/>
      <c r="I2130" s="61"/>
      <c r="J2130" s="61"/>
      <c r="K2130" s="61"/>
      <c r="L2130" s="73" t="str">
        <f>IF($E2130="","",DATE(YEAR($E2130),MONTH($E2130),1))</f>
        <v/>
      </c>
      <c r="M2130" s="65" t="str">
        <f ca="1">IF($D2130="","",IF($C2130="TANIMSIZ MÜŞTERİ","HATA",IF(OR($E2130="",$F2130&lt;=0,$G2130=""),"EKSİK",IF($E2130&gt;TODAY(),"İLERİ TARİH",IF(COUNTIF($S$7:$S$2503,$S2130)&gt;1,"MÜKERRER?",IF($T2130&gt;0,"KAPALI DÖNEM","UYGUN"))))))</f>
        <v/>
      </c>
      <c r="N2130" s="74" t="str">
        <f>IF($C2130="","",IF($C2130="TANIMSIZ MÜŞTERİ","—",INDEX(MUSTERILER!$C$7:$C$156,MATCH($C2130,MUSTERILER!$B$7:$B$156,0))))</f>
        <v/>
      </c>
      <c r="O2130" s="2"/>
      <c r="P2130" s="2"/>
      <c r="Q2130" s="1" t="str">
        <f>IF($D2130="","",$C2130&amp;"|"&amp;COUNTIFS($C$7:$C2130,$C2130))</f>
        <v/>
      </c>
      <c r="R2130" s="1" t="str">
        <f t="shared" si="66"/>
        <v/>
      </c>
      <c r="S2130" s="1" t="str">
        <f t="shared" si="67"/>
        <v/>
      </c>
      <c r="T2130" s="1">
        <f>IF($E2130="",0,SUMPRODUCT((AY_SONU!$O$7:$O$42="Evet")*(AY_SONU!$B$7:$B$42=DATE(YEAR($E2130),MONTH($E2130),1))))</f>
        <v>0</v>
      </c>
      <c r="U2130" s="1" t="str">
        <f>IF(OR($G2130="",$H2130="Mahsup"),"",$G2130&amp;"|"&amp;COUNTIFS($G$7:$G2130,$G2130,$H$7:$H2130,"&lt;&gt;Mahsup"))</f>
        <v/>
      </c>
    </row>
    <row r="2131" spans="1:21" ht="18" customHeight="1" x14ac:dyDescent="0.3">
      <c r="A2131" s="2"/>
      <c r="B2131" s="65" t="str">
        <f>IF($D2131="","","T"&amp;TEXT(ROW()-6,"00000"))</f>
        <v/>
      </c>
      <c r="C2131" s="65" t="str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61"/>
      <c r="E2131" s="66"/>
      <c r="F2131" s="67"/>
      <c r="G2131" s="60"/>
      <c r="H2131" s="60"/>
      <c r="I2131" s="61"/>
      <c r="J2131" s="61"/>
      <c r="K2131" s="61"/>
      <c r="L2131" s="73" t="str">
        <f>IF($E2131="","",DATE(YEAR($E2131),MONTH($E2131),1))</f>
        <v/>
      </c>
      <c r="M2131" s="65" t="str">
        <f ca="1">IF($D2131="","",IF($C2131="TANIMSIZ MÜŞTERİ","HATA",IF(OR($E2131="",$F2131&lt;=0,$G2131=""),"EKSİK",IF($E2131&gt;TODAY(),"İLERİ TARİH",IF(COUNTIF($S$7:$S$2503,$S2131)&gt;1,"MÜKERRER?",IF($T2131&gt;0,"KAPALI DÖNEM","UYGUN"))))))</f>
        <v/>
      </c>
      <c r="N2131" s="74" t="str">
        <f>IF($C2131="","",IF($C2131="TANIMSIZ MÜŞTERİ","—",INDEX(MUSTERILER!$C$7:$C$156,MATCH($C2131,MUSTERILER!$B$7:$B$156,0))))</f>
        <v/>
      </c>
      <c r="O2131" s="2"/>
      <c r="P2131" s="2"/>
      <c r="Q2131" s="1" t="str">
        <f>IF($D2131="","",$C2131&amp;"|"&amp;COUNTIFS($C$7:$C2131,$C2131))</f>
        <v/>
      </c>
      <c r="R2131" s="1" t="str">
        <f t="shared" si="66"/>
        <v/>
      </c>
      <c r="S2131" s="1" t="str">
        <f t="shared" si="67"/>
        <v/>
      </c>
      <c r="T2131" s="1">
        <f>IF($E2131="",0,SUMPRODUCT((AY_SONU!$O$7:$O$42="Evet")*(AY_SONU!$B$7:$B$42=DATE(YEAR($E2131),MONTH($E2131),1))))</f>
        <v>0</v>
      </c>
      <c r="U2131" s="1" t="str">
        <f>IF(OR($G2131="",$H2131="Mahsup"),"",$G2131&amp;"|"&amp;COUNTIFS($G$7:$G2131,$G2131,$H$7:$H2131,"&lt;&gt;Mahsup"))</f>
        <v/>
      </c>
    </row>
    <row r="2132" spans="1:21" ht="18" customHeight="1" x14ac:dyDescent="0.3">
      <c r="A2132" s="2"/>
      <c r="B2132" s="65" t="str">
        <f>IF($D2132="","","T"&amp;TEXT(ROW()-6,"00000"))</f>
        <v/>
      </c>
      <c r="C2132" s="65" t="str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61"/>
      <c r="E2132" s="66"/>
      <c r="F2132" s="67"/>
      <c r="G2132" s="60"/>
      <c r="H2132" s="60"/>
      <c r="I2132" s="61"/>
      <c r="J2132" s="61"/>
      <c r="K2132" s="61"/>
      <c r="L2132" s="73" t="str">
        <f>IF($E2132="","",DATE(YEAR($E2132),MONTH($E2132),1))</f>
        <v/>
      </c>
      <c r="M2132" s="65" t="str">
        <f ca="1">IF($D2132="","",IF($C2132="TANIMSIZ MÜŞTERİ","HATA",IF(OR($E2132="",$F2132&lt;=0,$G2132=""),"EKSİK",IF($E2132&gt;TODAY(),"İLERİ TARİH",IF(COUNTIF($S$7:$S$2503,$S2132)&gt;1,"MÜKERRER?",IF($T2132&gt;0,"KAPALI DÖNEM","UYGUN"))))))</f>
        <v/>
      </c>
      <c r="N2132" s="74" t="str">
        <f>IF($C2132="","",IF($C2132="TANIMSIZ MÜŞTERİ","—",INDEX(MUSTERILER!$C$7:$C$156,MATCH($C2132,MUSTERILER!$B$7:$B$156,0))))</f>
        <v/>
      </c>
      <c r="O2132" s="2"/>
      <c r="P2132" s="2"/>
      <c r="Q2132" s="1" t="str">
        <f>IF($D2132="","",$C2132&amp;"|"&amp;COUNTIFS($C$7:$C2132,$C2132))</f>
        <v/>
      </c>
      <c r="R2132" s="1" t="str">
        <f t="shared" si="66"/>
        <v/>
      </c>
      <c r="S2132" s="1" t="str">
        <f t="shared" si="67"/>
        <v/>
      </c>
      <c r="T2132" s="1">
        <f>IF($E2132="",0,SUMPRODUCT((AY_SONU!$O$7:$O$42="Evet")*(AY_SONU!$B$7:$B$42=DATE(YEAR($E2132),MONTH($E2132),1))))</f>
        <v>0</v>
      </c>
      <c r="U2132" s="1" t="str">
        <f>IF(OR($G2132="",$H2132="Mahsup"),"",$G2132&amp;"|"&amp;COUNTIFS($G$7:$G2132,$G2132,$H$7:$H2132,"&lt;&gt;Mahsup"))</f>
        <v/>
      </c>
    </row>
    <row r="2133" spans="1:21" ht="18" customHeight="1" x14ac:dyDescent="0.3">
      <c r="A2133" s="2"/>
      <c r="B2133" s="65" t="str">
        <f>IF($D2133="","","T"&amp;TEXT(ROW()-6,"00000"))</f>
        <v/>
      </c>
      <c r="C2133" s="65" t="str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61"/>
      <c r="E2133" s="66"/>
      <c r="F2133" s="67"/>
      <c r="G2133" s="60"/>
      <c r="H2133" s="60"/>
      <c r="I2133" s="61"/>
      <c r="J2133" s="61"/>
      <c r="K2133" s="61"/>
      <c r="L2133" s="73" t="str">
        <f>IF($E2133="","",DATE(YEAR($E2133),MONTH($E2133),1))</f>
        <v/>
      </c>
      <c r="M2133" s="65" t="str">
        <f ca="1">IF($D2133="","",IF($C2133="TANIMSIZ MÜŞTERİ","HATA",IF(OR($E2133="",$F2133&lt;=0,$G2133=""),"EKSİK",IF($E2133&gt;TODAY(),"İLERİ TARİH",IF(COUNTIF($S$7:$S$2503,$S2133)&gt;1,"MÜKERRER?",IF($T2133&gt;0,"KAPALI DÖNEM","UYGUN"))))))</f>
        <v/>
      </c>
      <c r="N2133" s="74" t="str">
        <f>IF($C2133="","",IF($C2133="TANIMSIZ MÜŞTERİ","—",INDEX(MUSTERILER!$C$7:$C$156,MATCH($C2133,MUSTERILER!$B$7:$B$156,0))))</f>
        <v/>
      </c>
      <c r="O2133" s="2"/>
      <c r="P2133" s="2"/>
      <c r="Q2133" s="1" t="str">
        <f>IF($D2133="","",$C2133&amp;"|"&amp;COUNTIFS($C$7:$C2133,$C2133))</f>
        <v/>
      </c>
      <c r="R2133" s="1" t="str">
        <f t="shared" si="66"/>
        <v/>
      </c>
      <c r="S2133" s="1" t="str">
        <f t="shared" si="67"/>
        <v/>
      </c>
      <c r="T2133" s="1">
        <f>IF($E2133="",0,SUMPRODUCT((AY_SONU!$O$7:$O$42="Evet")*(AY_SONU!$B$7:$B$42=DATE(YEAR($E2133),MONTH($E2133),1))))</f>
        <v>0</v>
      </c>
      <c r="U2133" s="1" t="str">
        <f>IF(OR($G2133="",$H2133="Mahsup"),"",$G2133&amp;"|"&amp;COUNTIFS($G$7:$G2133,$G2133,$H$7:$H2133,"&lt;&gt;Mahsup"))</f>
        <v/>
      </c>
    </row>
    <row r="2134" spans="1:21" ht="18" customHeight="1" x14ac:dyDescent="0.3">
      <c r="A2134" s="2"/>
      <c r="B2134" s="65" t="str">
        <f>IF($D2134="","","T"&amp;TEXT(ROW()-6,"00000"))</f>
        <v/>
      </c>
      <c r="C2134" s="65" t="str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61"/>
      <c r="E2134" s="66"/>
      <c r="F2134" s="67"/>
      <c r="G2134" s="60"/>
      <c r="H2134" s="60"/>
      <c r="I2134" s="61"/>
      <c r="J2134" s="61"/>
      <c r="K2134" s="61"/>
      <c r="L2134" s="73" t="str">
        <f>IF($E2134="","",DATE(YEAR($E2134),MONTH($E2134),1))</f>
        <v/>
      </c>
      <c r="M2134" s="65" t="str">
        <f ca="1">IF($D2134="","",IF($C2134="TANIMSIZ MÜŞTERİ","HATA",IF(OR($E2134="",$F2134&lt;=0,$G2134=""),"EKSİK",IF($E2134&gt;TODAY(),"İLERİ TARİH",IF(COUNTIF($S$7:$S$2503,$S2134)&gt;1,"MÜKERRER?",IF($T2134&gt;0,"KAPALI DÖNEM","UYGUN"))))))</f>
        <v/>
      </c>
      <c r="N2134" s="74" t="str">
        <f>IF($C2134="","",IF($C2134="TANIMSIZ MÜŞTERİ","—",INDEX(MUSTERILER!$C$7:$C$156,MATCH($C2134,MUSTERILER!$B$7:$B$156,0))))</f>
        <v/>
      </c>
      <c r="O2134" s="2"/>
      <c r="P2134" s="2"/>
      <c r="Q2134" s="1" t="str">
        <f>IF($D2134="","",$C2134&amp;"|"&amp;COUNTIFS($C$7:$C2134,$C2134))</f>
        <v/>
      </c>
      <c r="R2134" s="1" t="str">
        <f t="shared" si="66"/>
        <v/>
      </c>
      <c r="S2134" s="1" t="str">
        <f t="shared" si="67"/>
        <v/>
      </c>
      <c r="T2134" s="1">
        <f>IF($E2134="",0,SUMPRODUCT((AY_SONU!$O$7:$O$42="Evet")*(AY_SONU!$B$7:$B$42=DATE(YEAR($E2134),MONTH($E2134),1))))</f>
        <v>0</v>
      </c>
      <c r="U2134" s="1" t="str">
        <f>IF(OR($G2134="",$H2134="Mahsup"),"",$G2134&amp;"|"&amp;COUNTIFS($G$7:$G2134,$G2134,$H$7:$H2134,"&lt;&gt;Mahsup"))</f>
        <v/>
      </c>
    </row>
    <row r="2135" spans="1:21" ht="18" customHeight="1" x14ac:dyDescent="0.3">
      <c r="A2135" s="2"/>
      <c r="B2135" s="65" t="str">
        <f>IF($D2135="","","T"&amp;TEXT(ROW()-6,"00000"))</f>
        <v/>
      </c>
      <c r="C2135" s="65" t="str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61"/>
      <c r="E2135" s="66"/>
      <c r="F2135" s="67"/>
      <c r="G2135" s="60"/>
      <c r="H2135" s="60"/>
      <c r="I2135" s="61"/>
      <c r="J2135" s="61"/>
      <c r="K2135" s="61"/>
      <c r="L2135" s="73" t="str">
        <f>IF($E2135="","",DATE(YEAR($E2135),MONTH($E2135),1))</f>
        <v/>
      </c>
      <c r="M2135" s="65" t="str">
        <f ca="1">IF($D2135="","",IF($C2135="TANIMSIZ MÜŞTERİ","HATA",IF(OR($E2135="",$F2135&lt;=0,$G2135=""),"EKSİK",IF($E2135&gt;TODAY(),"İLERİ TARİH",IF(COUNTIF($S$7:$S$2503,$S2135)&gt;1,"MÜKERRER?",IF($T2135&gt;0,"KAPALI DÖNEM","UYGUN"))))))</f>
        <v/>
      </c>
      <c r="N2135" s="74" t="str">
        <f>IF($C2135="","",IF($C2135="TANIMSIZ MÜŞTERİ","—",INDEX(MUSTERILER!$C$7:$C$156,MATCH($C2135,MUSTERILER!$B$7:$B$156,0))))</f>
        <v/>
      </c>
      <c r="O2135" s="2"/>
      <c r="P2135" s="2"/>
      <c r="Q2135" s="1" t="str">
        <f>IF($D2135="","",$C2135&amp;"|"&amp;COUNTIFS($C$7:$C2135,$C2135))</f>
        <v/>
      </c>
      <c r="R2135" s="1" t="str">
        <f t="shared" si="66"/>
        <v/>
      </c>
      <c r="S2135" s="1" t="str">
        <f t="shared" si="67"/>
        <v/>
      </c>
      <c r="T2135" s="1">
        <f>IF($E2135="",0,SUMPRODUCT((AY_SONU!$O$7:$O$42="Evet")*(AY_SONU!$B$7:$B$42=DATE(YEAR($E2135),MONTH($E2135),1))))</f>
        <v>0</v>
      </c>
      <c r="U2135" s="1" t="str">
        <f>IF(OR($G2135="",$H2135="Mahsup"),"",$G2135&amp;"|"&amp;COUNTIFS($G$7:$G2135,$G2135,$H$7:$H2135,"&lt;&gt;Mahsup"))</f>
        <v/>
      </c>
    </row>
    <row r="2136" spans="1:21" ht="18" customHeight="1" x14ac:dyDescent="0.3">
      <c r="A2136" s="2"/>
      <c r="B2136" s="65" t="str">
        <f>IF($D2136="","","T"&amp;TEXT(ROW()-6,"00000"))</f>
        <v/>
      </c>
      <c r="C2136" s="65" t="str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61"/>
      <c r="E2136" s="66"/>
      <c r="F2136" s="67"/>
      <c r="G2136" s="60"/>
      <c r="H2136" s="60"/>
      <c r="I2136" s="61"/>
      <c r="J2136" s="61"/>
      <c r="K2136" s="61"/>
      <c r="L2136" s="73" t="str">
        <f>IF($E2136="","",DATE(YEAR($E2136),MONTH($E2136),1))</f>
        <v/>
      </c>
      <c r="M2136" s="65" t="str">
        <f ca="1">IF($D2136="","",IF($C2136="TANIMSIZ MÜŞTERİ","HATA",IF(OR($E2136="",$F2136&lt;=0,$G2136=""),"EKSİK",IF($E2136&gt;TODAY(),"İLERİ TARİH",IF(COUNTIF($S$7:$S$2503,$S2136)&gt;1,"MÜKERRER?",IF($T2136&gt;0,"KAPALI DÖNEM","UYGUN"))))))</f>
        <v/>
      </c>
      <c r="N2136" s="74" t="str">
        <f>IF($C2136="","",IF($C2136="TANIMSIZ MÜŞTERİ","—",INDEX(MUSTERILER!$C$7:$C$156,MATCH($C2136,MUSTERILER!$B$7:$B$156,0))))</f>
        <v/>
      </c>
      <c r="O2136" s="2"/>
      <c r="P2136" s="2"/>
      <c r="Q2136" s="1" t="str">
        <f>IF($D2136="","",$C2136&amp;"|"&amp;COUNTIFS($C$7:$C2136,$C2136))</f>
        <v/>
      </c>
      <c r="R2136" s="1" t="str">
        <f t="shared" si="66"/>
        <v/>
      </c>
      <c r="S2136" s="1" t="str">
        <f t="shared" si="67"/>
        <v/>
      </c>
      <c r="T2136" s="1">
        <f>IF($E2136="",0,SUMPRODUCT((AY_SONU!$O$7:$O$42="Evet")*(AY_SONU!$B$7:$B$42=DATE(YEAR($E2136),MONTH($E2136),1))))</f>
        <v>0</v>
      </c>
      <c r="U2136" s="1" t="str">
        <f>IF(OR($G2136="",$H2136="Mahsup"),"",$G2136&amp;"|"&amp;COUNTIFS($G$7:$G2136,$G2136,$H$7:$H2136,"&lt;&gt;Mahsup"))</f>
        <v/>
      </c>
    </row>
    <row r="2137" spans="1:21" ht="18" customHeight="1" x14ac:dyDescent="0.3">
      <c r="A2137" s="2"/>
      <c r="B2137" s="65" t="str">
        <f>IF($D2137="","","T"&amp;TEXT(ROW()-6,"00000"))</f>
        <v/>
      </c>
      <c r="C2137" s="65" t="str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61"/>
      <c r="E2137" s="66"/>
      <c r="F2137" s="67"/>
      <c r="G2137" s="60"/>
      <c r="H2137" s="60"/>
      <c r="I2137" s="61"/>
      <c r="J2137" s="61"/>
      <c r="K2137" s="61"/>
      <c r="L2137" s="73" t="str">
        <f>IF($E2137="","",DATE(YEAR($E2137),MONTH($E2137),1))</f>
        <v/>
      </c>
      <c r="M2137" s="65" t="str">
        <f ca="1">IF($D2137="","",IF($C2137="TANIMSIZ MÜŞTERİ","HATA",IF(OR($E2137="",$F2137&lt;=0,$G2137=""),"EKSİK",IF($E2137&gt;TODAY(),"İLERİ TARİH",IF(COUNTIF($S$7:$S$2503,$S2137)&gt;1,"MÜKERRER?",IF($T2137&gt;0,"KAPALI DÖNEM","UYGUN"))))))</f>
        <v/>
      </c>
      <c r="N2137" s="74" t="str">
        <f>IF($C2137="","",IF($C2137="TANIMSIZ MÜŞTERİ","—",INDEX(MUSTERILER!$C$7:$C$156,MATCH($C2137,MUSTERILER!$B$7:$B$156,0))))</f>
        <v/>
      </c>
      <c r="O2137" s="2"/>
      <c r="P2137" s="2"/>
      <c r="Q2137" s="1" t="str">
        <f>IF($D2137="","",$C2137&amp;"|"&amp;COUNTIFS($C$7:$C2137,$C2137))</f>
        <v/>
      </c>
      <c r="R2137" s="1" t="str">
        <f t="shared" si="66"/>
        <v/>
      </c>
      <c r="S2137" s="1" t="str">
        <f t="shared" si="67"/>
        <v/>
      </c>
      <c r="T2137" s="1">
        <f>IF($E2137="",0,SUMPRODUCT((AY_SONU!$O$7:$O$42="Evet")*(AY_SONU!$B$7:$B$42=DATE(YEAR($E2137),MONTH($E2137),1))))</f>
        <v>0</v>
      </c>
      <c r="U2137" s="1" t="str">
        <f>IF(OR($G2137="",$H2137="Mahsup"),"",$G2137&amp;"|"&amp;COUNTIFS($G$7:$G2137,$G2137,$H$7:$H2137,"&lt;&gt;Mahsup"))</f>
        <v/>
      </c>
    </row>
    <row r="2138" spans="1:21" ht="18" customHeight="1" x14ac:dyDescent="0.3">
      <c r="A2138" s="2"/>
      <c r="B2138" s="65" t="str">
        <f>IF($D2138="","","T"&amp;TEXT(ROW()-6,"00000"))</f>
        <v/>
      </c>
      <c r="C2138" s="65" t="str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61"/>
      <c r="E2138" s="66"/>
      <c r="F2138" s="67"/>
      <c r="G2138" s="60"/>
      <c r="H2138" s="60"/>
      <c r="I2138" s="61"/>
      <c r="J2138" s="61"/>
      <c r="K2138" s="61"/>
      <c r="L2138" s="73" t="str">
        <f>IF($E2138="","",DATE(YEAR($E2138),MONTH($E2138),1))</f>
        <v/>
      </c>
      <c r="M2138" s="65" t="str">
        <f ca="1">IF($D2138="","",IF($C2138="TANIMSIZ MÜŞTERİ","HATA",IF(OR($E2138="",$F2138&lt;=0,$G2138=""),"EKSİK",IF($E2138&gt;TODAY(),"İLERİ TARİH",IF(COUNTIF($S$7:$S$2503,$S2138)&gt;1,"MÜKERRER?",IF($T2138&gt;0,"KAPALI DÖNEM","UYGUN"))))))</f>
        <v/>
      </c>
      <c r="N2138" s="74" t="str">
        <f>IF($C2138="","",IF($C2138="TANIMSIZ MÜŞTERİ","—",INDEX(MUSTERILER!$C$7:$C$156,MATCH($C2138,MUSTERILER!$B$7:$B$156,0))))</f>
        <v/>
      </c>
      <c r="O2138" s="2"/>
      <c r="P2138" s="2"/>
      <c r="Q2138" s="1" t="str">
        <f>IF($D2138="","",$C2138&amp;"|"&amp;COUNTIFS($C$7:$C2138,$C2138))</f>
        <v/>
      </c>
      <c r="R2138" s="1" t="str">
        <f t="shared" si="66"/>
        <v/>
      </c>
      <c r="S2138" s="1" t="str">
        <f t="shared" si="67"/>
        <v/>
      </c>
      <c r="T2138" s="1">
        <f>IF($E2138="",0,SUMPRODUCT((AY_SONU!$O$7:$O$42="Evet")*(AY_SONU!$B$7:$B$42=DATE(YEAR($E2138),MONTH($E2138),1))))</f>
        <v>0</v>
      </c>
      <c r="U2138" s="1" t="str">
        <f>IF(OR($G2138="",$H2138="Mahsup"),"",$G2138&amp;"|"&amp;COUNTIFS($G$7:$G2138,$G2138,$H$7:$H2138,"&lt;&gt;Mahsup"))</f>
        <v/>
      </c>
    </row>
    <row r="2139" spans="1:21" ht="18" customHeight="1" x14ac:dyDescent="0.3">
      <c r="A2139" s="2"/>
      <c r="B2139" s="65" t="str">
        <f>IF($D2139="","","T"&amp;TEXT(ROW()-6,"00000"))</f>
        <v/>
      </c>
      <c r="C2139" s="65" t="str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61"/>
      <c r="E2139" s="66"/>
      <c r="F2139" s="67"/>
      <c r="G2139" s="60"/>
      <c r="H2139" s="60"/>
      <c r="I2139" s="61"/>
      <c r="J2139" s="61"/>
      <c r="K2139" s="61"/>
      <c r="L2139" s="73" t="str">
        <f>IF($E2139="","",DATE(YEAR($E2139),MONTH($E2139),1))</f>
        <v/>
      </c>
      <c r="M2139" s="65" t="str">
        <f ca="1">IF($D2139="","",IF($C2139="TANIMSIZ MÜŞTERİ","HATA",IF(OR($E2139="",$F2139&lt;=0,$G2139=""),"EKSİK",IF($E2139&gt;TODAY(),"İLERİ TARİH",IF(COUNTIF($S$7:$S$2503,$S2139)&gt;1,"MÜKERRER?",IF($T2139&gt;0,"KAPALI DÖNEM","UYGUN"))))))</f>
        <v/>
      </c>
      <c r="N2139" s="74" t="str">
        <f>IF($C2139="","",IF($C2139="TANIMSIZ MÜŞTERİ","—",INDEX(MUSTERILER!$C$7:$C$156,MATCH($C2139,MUSTERILER!$B$7:$B$156,0))))</f>
        <v/>
      </c>
      <c r="O2139" s="2"/>
      <c r="P2139" s="2"/>
      <c r="Q2139" s="1" t="str">
        <f>IF($D2139="","",$C2139&amp;"|"&amp;COUNTIFS($C$7:$C2139,$C2139))</f>
        <v/>
      </c>
      <c r="R2139" s="1" t="str">
        <f t="shared" si="66"/>
        <v/>
      </c>
      <c r="S2139" s="1" t="str">
        <f t="shared" si="67"/>
        <v/>
      </c>
      <c r="T2139" s="1">
        <f>IF($E2139="",0,SUMPRODUCT((AY_SONU!$O$7:$O$42="Evet")*(AY_SONU!$B$7:$B$42=DATE(YEAR($E2139),MONTH($E2139),1))))</f>
        <v>0</v>
      </c>
      <c r="U2139" s="1" t="str">
        <f>IF(OR($G2139="",$H2139="Mahsup"),"",$G2139&amp;"|"&amp;COUNTIFS($G$7:$G2139,$G2139,$H$7:$H2139,"&lt;&gt;Mahsup"))</f>
        <v/>
      </c>
    </row>
    <row r="2140" spans="1:21" ht="18" customHeight="1" x14ac:dyDescent="0.3">
      <c r="A2140" s="2"/>
      <c r="B2140" s="65" t="str">
        <f>IF($D2140="","","T"&amp;TEXT(ROW()-6,"00000"))</f>
        <v/>
      </c>
      <c r="C2140" s="65" t="str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61"/>
      <c r="E2140" s="66"/>
      <c r="F2140" s="67"/>
      <c r="G2140" s="60"/>
      <c r="H2140" s="60"/>
      <c r="I2140" s="61"/>
      <c r="J2140" s="61"/>
      <c r="K2140" s="61"/>
      <c r="L2140" s="73" t="str">
        <f>IF($E2140="","",DATE(YEAR($E2140),MONTH($E2140),1))</f>
        <v/>
      </c>
      <c r="M2140" s="65" t="str">
        <f ca="1">IF($D2140="","",IF($C2140="TANIMSIZ MÜŞTERİ","HATA",IF(OR($E2140="",$F2140&lt;=0,$G2140=""),"EKSİK",IF($E2140&gt;TODAY(),"İLERİ TARİH",IF(COUNTIF($S$7:$S$2503,$S2140)&gt;1,"MÜKERRER?",IF($T2140&gt;0,"KAPALI DÖNEM","UYGUN"))))))</f>
        <v/>
      </c>
      <c r="N2140" s="74" t="str">
        <f>IF($C2140="","",IF($C2140="TANIMSIZ MÜŞTERİ","—",INDEX(MUSTERILER!$C$7:$C$156,MATCH($C2140,MUSTERILER!$B$7:$B$156,0))))</f>
        <v/>
      </c>
      <c r="O2140" s="2"/>
      <c r="P2140" s="2"/>
      <c r="Q2140" s="1" t="str">
        <f>IF($D2140="","",$C2140&amp;"|"&amp;COUNTIFS($C$7:$C2140,$C2140))</f>
        <v/>
      </c>
      <c r="R2140" s="1" t="str">
        <f t="shared" si="66"/>
        <v/>
      </c>
      <c r="S2140" s="1" t="str">
        <f t="shared" si="67"/>
        <v/>
      </c>
      <c r="T2140" s="1">
        <f>IF($E2140="",0,SUMPRODUCT((AY_SONU!$O$7:$O$42="Evet")*(AY_SONU!$B$7:$B$42=DATE(YEAR($E2140),MONTH($E2140),1))))</f>
        <v>0</v>
      </c>
      <c r="U2140" s="1" t="str">
        <f>IF(OR($G2140="",$H2140="Mahsup"),"",$G2140&amp;"|"&amp;COUNTIFS($G$7:$G2140,$G2140,$H$7:$H2140,"&lt;&gt;Mahsup"))</f>
        <v/>
      </c>
    </row>
    <row r="2141" spans="1:21" ht="18" customHeight="1" x14ac:dyDescent="0.3">
      <c r="A2141" s="2"/>
      <c r="B2141" s="65" t="str">
        <f>IF($D2141="","","T"&amp;TEXT(ROW()-6,"00000"))</f>
        <v/>
      </c>
      <c r="C2141" s="65" t="str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61"/>
      <c r="E2141" s="66"/>
      <c r="F2141" s="67"/>
      <c r="G2141" s="60"/>
      <c r="H2141" s="60"/>
      <c r="I2141" s="61"/>
      <c r="J2141" s="61"/>
      <c r="K2141" s="61"/>
      <c r="L2141" s="73" t="str">
        <f>IF($E2141="","",DATE(YEAR($E2141),MONTH($E2141),1))</f>
        <v/>
      </c>
      <c r="M2141" s="65" t="str">
        <f ca="1">IF($D2141="","",IF($C2141="TANIMSIZ MÜŞTERİ","HATA",IF(OR($E2141="",$F2141&lt;=0,$G2141=""),"EKSİK",IF($E2141&gt;TODAY(),"İLERİ TARİH",IF(COUNTIF($S$7:$S$2503,$S2141)&gt;1,"MÜKERRER?",IF($T2141&gt;0,"KAPALI DÖNEM","UYGUN"))))))</f>
        <v/>
      </c>
      <c r="N2141" s="74" t="str">
        <f>IF($C2141="","",IF($C2141="TANIMSIZ MÜŞTERİ","—",INDEX(MUSTERILER!$C$7:$C$156,MATCH($C2141,MUSTERILER!$B$7:$B$156,0))))</f>
        <v/>
      </c>
      <c r="O2141" s="2"/>
      <c r="P2141" s="2"/>
      <c r="Q2141" s="1" t="str">
        <f>IF($D2141="","",$C2141&amp;"|"&amp;COUNTIFS($C$7:$C2141,$C2141))</f>
        <v/>
      </c>
      <c r="R2141" s="1" t="str">
        <f t="shared" si="66"/>
        <v/>
      </c>
      <c r="S2141" s="1" t="str">
        <f t="shared" si="67"/>
        <v/>
      </c>
      <c r="T2141" s="1">
        <f>IF($E2141="",0,SUMPRODUCT((AY_SONU!$O$7:$O$42="Evet")*(AY_SONU!$B$7:$B$42=DATE(YEAR($E2141),MONTH($E2141),1))))</f>
        <v>0</v>
      </c>
      <c r="U2141" s="1" t="str">
        <f>IF(OR($G2141="",$H2141="Mahsup"),"",$G2141&amp;"|"&amp;COUNTIFS($G$7:$G2141,$G2141,$H$7:$H2141,"&lt;&gt;Mahsup"))</f>
        <v/>
      </c>
    </row>
    <row r="2142" spans="1:21" ht="18" customHeight="1" x14ac:dyDescent="0.3">
      <c r="A2142" s="2"/>
      <c r="B2142" s="65" t="str">
        <f>IF($D2142="","","T"&amp;TEXT(ROW()-6,"00000"))</f>
        <v/>
      </c>
      <c r="C2142" s="65" t="str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61"/>
      <c r="E2142" s="66"/>
      <c r="F2142" s="67"/>
      <c r="G2142" s="60"/>
      <c r="H2142" s="60"/>
      <c r="I2142" s="61"/>
      <c r="J2142" s="61"/>
      <c r="K2142" s="61"/>
      <c r="L2142" s="73" t="str">
        <f>IF($E2142="","",DATE(YEAR($E2142),MONTH($E2142),1))</f>
        <v/>
      </c>
      <c r="M2142" s="65" t="str">
        <f ca="1">IF($D2142="","",IF($C2142="TANIMSIZ MÜŞTERİ","HATA",IF(OR($E2142="",$F2142&lt;=0,$G2142=""),"EKSİK",IF($E2142&gt;TODAY(),"İLERİ TARİH",IF(COUNTIF($S$7:$S$2503,$S2142)&gt;1,"MÜKERRER?",IF($T2142&gt;0,"KAPALI DÖNEM","UYGUN"))))))</f>
        <v/>
      </c>
      <c r="N2142" s="74" t="str">
        <f>IF($C2142="","",IF($C2142="TANIMSIZ MÜŞTERİ","—",INDEX(MUSTERILER!$C$7:$C$156,MATCH($C2142,MUSTERILER!$B$7:$B$156,0))))</f>
        <v/>
      </c>
      <c r="O2142" s="2"/>
      <c r="P2142" s="2"/>
      <c r="Q2142" s="1" t="str">
        <f>IF($D2142="","",$C2142&amp;"|"&amp;COUNTIFS($C$7:$C2142,$C2142))</f>
        <v/>
      </c>
      <c r="R2142" s="1" t="str">
        <f t="shared" si="66"/>
        <v/>
      </c>
      <c r="S2142" s="1" t="str">
        <f t="shared" si="67"/>
        <v/>
      </c>
      <c r="T2142" s="1">
        <f>IF($E2142="",0,SUMPRODUCT((AY_SONU!$O$7:$O$42="Evet")*(AY_SONU!$B$7:$B$42=DATE(YEAR($E2142),MONTH($E2142),1))))</f>
        <v>0</v>
      </c>
      <c r="U2142" s="1" t="str">
        <f>IF(OR($G2142="",$H2142="Mahsup"),"",$G2142&amp;"|"&amp;COUNTIFS($G$7:$G2142,$G2142,$H$7:$H2142,"&lt;&gt;Mahsup"))</f>
        <v/>
      </c>
    </row>
    <row r="2143" spans="1:21" ht="18" customHeight="1" x14ac:dyDescent="0.3">
      <c r="A2143" s="2"/>
      <c r="B2143" s="65" t="str">
        <f>IF($D2143="","","T"&amp;TEXT(ROW()-6,"00000"))</f>
        <v/>
      </c>
      <c r="C2143" s="65" t="str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61"/>
      <c r="E2143" s="66"/>
      <c r="F2143" s="67"/>
      <c r="G2143" s="60"/>
      <c r="H2143" s="60"/>
      <c r="I2143" s="61"/>
      <c r="J2143" s="61"/>
      <c r="K2143" s="61"/>
      <c r="L2143" s="73" t="str">
        <f>IF($E2143="","",DATE(YEAR($E2143),MONTH($E2143),1))</f>
        <v/>
      </c>
      <c r="M2143" s="65" t="str">
        <f ca="1">IF($D2143="","",IF($C2143="TANIMSIZ MÜŞTERİ","HATA",IF(OR($E2143="",$F2143&lt;=0,$G2143=""),"EKSİK",IF($E2143&gt;TODAY(),"İLERİ TARİH",IF(COUNTIF($S$7:$S$2503,$S2143)&gt;1,"MÜKERRER?",IF($T2143&gt;0,"KAPALI DÖNEM","UYGUN"))))))</f>
        <v/>
      </c>
      <c r="N2143" s="74" t="str">
        <f>IF($C2143="","",IF($C2143="TANIMSIZ MÜŞTERİ","—",INDEX(MUSTERILER!$C$7:$C$156,MATCH($C2143,MUSTERILER!$B$7:$B$156,0))))</f>
        <v/>
      </c>
      <c r="O2143" s="2"/>
      <c r="P2143" s="2"/>
      <c r="Q2143" s="1" t="str">
        <f>IF($D2143="","",$C2143&amp;"|"&amp;COUNTIFS($C$7:$C2143,$C2143))</f>
        <v/>
      </c>
      <c r="R2143" s="1" t="str">
        <f t="shared" si="66"/>
        <v/>
      </c>
      <c r="S2143" s="1" t="str">
        <f t="shared" si="67"/>
        <v/>
      </c>
      <c r="T2143" s="1">
        <f>IF($E2143="",0,SUMPRODUCT((AY_SONU!$O$7:$O$42="Evet")*(AY_SONU!$B$7:$B$42=DATE(YEAR($E2143),MONTH($E2143),1))))</f>
        <v>0</v>
      </c>
      <c r="U2143" s="1" t="str">
        <f>IF(OR($G2143="",$H2143="Mahsup"),"",$G2143&amp;"|"&amp;COUNTIFS($G$7:$G2143,$G2143,$H$7:$H2143,"&lt;&gt;Mahsup"))</f>
        <v/>
      </c>
    </row>
    <row r="2144" spans="1:21" ht="18" customHeight="1" x14ac:dyDescent="0.3">
      <c r="A2144" s="2"/>
      <c r="B2144" s="65" t="str">
        <f>IF($D2144="","","T"&amp;TEXT(ROW()-6,"00000"))</f>
        <v/>
      </c>
      <c r="C2144" s="65" t="str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61"/>
      <c r="E2144" s="66"/>
      <c r="F2144" s="67"/>
      <c r="G2144" s="60"/>
      <c r="H2144" s="60"/>
      <c r="I2144" s="61"/>
      <c r="J2144" s="61"/>
      <c r="K2144" s="61"/>
      <c r="L2144" s="73" t="str">
        <f>IF($E2144="","",DATE(YEAR($E2144),MONTH($E2144),1))</f>
        <v/>
      </c>
      <c r="M2144" s="65" t="str">
        <f ca="1">IF($D2144="","",IF($C2144="TANIMSIZ MÜŞTERİ","HATA",IF(OR($E2144="",$F2144&lt;=0,$G2144=""),"EKSİK",IF($E2144&gt;TODAY(),"İLERİ TARİH",IF(COUNTIF($S$7:$S$2503,$S2144)&gt;1,"MÜKERRER?",IF($T2144&gt;0,"KAPALI DÖNEM","UYGUN"))))))</f>
        <v/>
      </c>
      <c r="N2144" s="74" t="str">
        <f>IF($C2144="","",IF($C2144="TANIMSIZ MÜŞTERİ","—",INDEX(MUSTERILER!$C$7:$C$156,MATCH($C2144,MUSTERILER!$B$7:$B$156,0))))</f>
        <v/>
      </c>
      <c r="O2144" s="2"/>
      <c r="P2144" s="2"/>
      <c r="Q2144" s="1" t="str">
        <f>IF($D2144="","",$C2144&amp;"|"&amp;COUNTIFS($C$7:$C2144,$C2144))</f>
        <v/>
      </c>
      <c r="R2144" s="1" t="str">
        <f t="shared" si="66"/>
        <v/>
      </c>
      <c r="S2144" s="1" t="str">
        <f t="shared" si="67"/>
        <v/>
      </c>
      <c r="T2144" s="1">
        <f>IF($E2144="",0,SUMPRODUCT((AY_SONU!$O$7:$O$42="Evet")*(AY_SONU!$B$7:$B$42=DATE(YEAR($E2144),MONTH($E2144),1))))</f>
        <v>0</v>
      </c>
      <c r="U2144" s="1" t="str">
        <f>IF(OR($G2144="",$H2144="Mahsup"),"",$G2144&amp;"|"&amp;COUNTIFS($G$7:$G2144,$G2144,$H$7:$H2144,"&lt;&gt;Mahsup"))</f>
        <v/>
      </c>
    </row>
    <row r="2145" spans="1:21" ht="18" customHeight="1" x14ac:dyDescent="0.3">
      <c r="A2145" s="2"/>
      <c r="B2145" s="65" t="str">
        <f>IF($D2145="","","T"&amp;TEXT(ROW()-6,"00000"))</f>
        <v/>
      </c>
      <c r="C2145" s="65" t="str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61"/>
      <c r="E2145" s="66"/>
      <c r="F2145" s="67"/>
      <c r="G2145" s="60"/>
      <c r="H2145" s="60"/>
      <c r="I2145" s="61"/>
      <c r="J2145" s="61"/>
      <c r="K2145" s="61"/>
      <c r="L2145" s="73" t="str">
        <f>IF($E2145="","",DATE(YEAR($E2145),MONTH($E2145),1))</f>
        <v/>
      </c>
      <c r="M2145" s="65" t="str">
        <f ca="1">IF($D2145="","",IF($C2145="TANIMSIZ MÜŞTERİ","HATA",IF(OR($E2145="",$F2145&lt;=0,$G2145=""),"EKSİK",IF($E2145&gt;TODAY(),"İLERİ TARİH",IF(COUNTIF($S$7:$S$2503,$S2145)&gt;1,"MÜKERRER?",IF($T2145&gt;0,"KAPALI DÖNEM","UYGUN"))))))</f>
        <v/>
      </c>
      <c r="N2145" s="74" t="str">
        <f>IF($C2145="","",IF($C2145="TANIMSIZ MÜŞTERİ","—",INDEX(MUSTERILER!$C$7:$C$156,MATCH($C2145,MUSTERILER!$B$7:$B$156,0))))</f>
        <v/>
      </c>
      <c r="O2145" s="2"/>
      <c r="P2145" s="2"/>
      <c r="Q2145" s="1" t="str">
        <f>IF($D2145="","",$C2145&amp;"|"&amp;COUNTIFS($C$7:$C2145,$C2145))</f>
        <v/>
      </c>
      <c r="R2145" s="1" t="str">
        <f t="shared" si="66"/>
        <v/>
      </c>
      <c r="S2145" s="1" t="str">
        <f t="shared" si="67"/>
        <v/>
      </c>
      <c r="T2145" s="1">
        <f>IF($E2145="",0,SUMPRODUCT((AY_SONU!$O$7:$O$42="Evet")*(AY_SONU!$B$7:$B$42=DATE(YEAR($E2145),MONTH($E2145),1))))</f>
        <v>0</v>
      </c>
      <c r="U2145" s="1" t="str">
        <f>IF(OR($G2145="",$H2145="Mahsup"),"",$G2145&amp;"|"&amp;COUNTIFS($G$7:$G2145,$G2145,$H$7:$H2145,"&lt;&gt;Mahsup"))</f>
        <v/>
      </c>
    </row>
    <row r="2146" spans="1:21" ht="18" customHeight="1" x14ac:dyDescent="0.3">
      <c r="A2146" s="2"/>
      <c r="B2146" s="65" t="str">
        <f>IF($D2146="","","T"&amp;TEXT(ROW()-6,"00000"))</f>
        <v/>
      </c>
      <c r="C2146" s="65" t="str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61"/>
      <c r="E2146" s="66"/>
      <c r="F2146" s="67"/>
      <c r="G2146" s="60"/>
      <c r="H2146" s="60"/>
      <c r="I2146" s="61"/>
      <c r="J2146" s="61"/>
      <c r="K2146" s="61"/>
      <c r="L2146" s="73" t="str">
        <f>IF($E2146="","",DATE(YEAR($E2146),MONTH($E2146),1))</f>
        <v/>
      </c>
      <c r="M2146" s="65" t="str">
        <f ca="1">IF($D2146="","",IF($C2146="TANIMSIZ MÜŞTERİ","HATA",IF(OR($E2146="",$F2146&lt;=0,$G2146=""),"EKSİK",IF($E2146&gt;TODAY(),"İLERİ TARİH",IF(COUNTIF($S$7:$S$2503,$S2146)&gt;1,"MÜKERRER?",IF($T2146&gt;0,"KAPALI DÖNEM","UYGUN"))))))</f>
        <v/>
      </c>
      <c r="N2146" s="74" t="str">
        <f>IF($C2146="","",IF($C2146="TANIMSIZ MÜŞTERİ","—",INDEX(MUSTERILER!$C$7:$C$156,MATCH($C2146,MUSTERILER!$B$7:$B$156,0))))</f>
        <v/>
      </c>
      <c r="O2146" s="2"/>
      <c r="P2146" s="2"/>
      <c r="Q2146" s="1" t="str">
        <f>IF($D2146="","",$C2146&amp;"|"&amp;COUNTIFS($C$7:$C2146,$C2146))</f>
        <v/>
      </c>
      <c r="R2146" s="1" t="str">
        <f t="shared" si="66"/>
        <v/>
      </c>
      <c r="S2146" s="1" t="str">
        <f t="shared" si="67"/>
        <v/>
      </c>
      <c r="T2146" s="1">
        <f>IF($E2146="",0,SUMPRODUCT((AY_SONU!$O$7:$O$42="Evet")*(AY_SONU!$B$7:$B$42=DATE(YEAR($E2146),MONTH($E2146),1))))</f>
        <v>0</v>
      </c>
      <c r="U2146" s="1" t="str">
        <f>IF(OR($G2146="",$H2146="Mahsup"),"",$G2146&amp;"|"&amp;COUNTIFS($G$7:$G2146,$G2146,$H$7:$H2146,"&lt;&gt;Mahsup"))</f>
        <v/>
      </c>
    </row>
    <row r="2147" spans="1:21" ht="18" customHeight="1" x14ac:dyDescent="0.3">
      <c r="A2147" s="2"/>
      <c r="B2147" s="65" t="str">
        <f>IF($D2147="","","T"&amp;TEXT(ROW()-6,"00000"))</f>
        <v/>
      </c>
      <c r="C2147" s="65" t="str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61"/>
      <c r="E2147" s="66"/>
      <c r="F2147" s="67"/>
      <c r="G2147" s="60"/>
      <c r="H2147" s="60"/>
      <c r="I2147" s="61"/>
      <c r="J2147" s="61"/>
      <c r="K2147" s="61"/>
      <c r="L2147" s="73" t="str">
        <f>IF($E2147="","",DATE(YEAR($E2147),MONTH($E2147),1))</f>
        <v/>
      </c>
      <c r="M2147" s="65" t="str">
        <f ca="1">IF($D2147="","",IF($C2147="TANIMSIZ MÜŞTERİ","HATA",IF(OR($E2147="",$F2147&lt;=0,$G2147=""),"EKSİK",IF($E2147&gt;TODAY(),"İLERİ TARİH",IF(COUNTIF($S$7:$S$2503,$S2147)&gt;1,"MÜKERRER?",IF($T2147&gt;0,"KAPALI DÖNEM","UYGUN"))))))</f>
        <v/>
      </c>
      <c r="N2147" s="74" t="str">
        <f>IF($C2147="","",IF($C2147="TANIMSIZ MÜŞTERİ","—",INDEX(MUSTERILER!$C$7:$C$156,MATCH($C2147,MUSTERILER!$B$7:$B$156,0))))</f>
        <v/>
      </c>
      <c r="O2147" s="2"/>
      <c r="P2147" s="2"/>
      <c r="Q2147" s="1" t="str">
        <f>IF($D2147="","",$C2147&amp;"|"&amp;COUNTIFS($C$7:$C2147,$C2147))</f>
        <v/>
      </c>
      <c r="R2147" s="1" t="str">
        <f t="shared" si="66"/>
        <v/>
      </c>
      <c r="S2147" s="1" t="str">
        <f t="shared" si="67"/>
        <v/>
      </c>
      <c r="T2147" s="1">
        <f>IF($E2147="",0,SUMPRODUCT((AY_SONU!$O$7:$O$42="Evet")*(AY_SONU!$B$7:$B$42=DATE(YEAR($E2147),MONTH($E2147),1))))</f>
        <v>0</v>
      </c>
      <c r="U2147" s="1" t="str">
        <f>IF(OR($G2147="",$H2147="Mahsup"),"",$G2147&amp;"|"&amp;COUNTIFS($G$7:$G2147,$G2147,$H$7:$H2147,"&lt;&gt;Mahsup"))</f>
        <v/>
      </c>
    </row>
    <row r="2148" spans="1:21" ht="18" customHeight="1" x14ac:dyDescent="0.3">
      <c r="A2148" s="2"/>
      <c r="B2148" s="65" t="str">
        <f>IF($D2148="","","T"&amp;TEXT(ROW()-6,"00000"))</f>
        <v/>
      </c>
      <c r="C2148" s="65" t="str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61"/>
      <c r="E2148" s="66"/>
      <c r="F2148" s="67"/>
      <c r="G2148" s="60"/>
      <c r="H2148" s="60"/>
      <c r="I2148" s="61"/>
      <c r="J2148" s="61"/>
      <c r="K2148" s="61"/>
      <c r="L2148" s="73" t="str">
        <f>IF($E2148="","",DATE(YEAR($E2148),MONTH($E2148),1))</f>
        <v/>
      </c>
      <c r="M2148" s="65" t="str">
        <f ca="1">IF($D2148="","",IF($C2148="TANIMSIZ MÜŞTERİ","HATA",IF(OR($E2148="",$F2148&lt;=0,$G2148=""),"EKSİK",IF($E2148&gt;TODAY(),"İLERİ TARİH",IF(COUNTIF($S$7:$S$2503,$S2148)&gt;1,"MÜKERRER?",IF($T2148&gt;0,"KAPALI DÖNEM","UYGUN"))))))</f>
        <v/>
      </c>
      <c r="N2148" s="74" t="str">
        <f>IF($C2148="","",IF($C2148="TANIMSIZ MÜŞTERİ","—",INDEX(MUSTERILER!$C$7:$C$156,MATCH($C2148,MUSTERILER!$B$7:$B$156,0))))</f>
        <v/>
      </c>
      <c r="O2148" s="2"/>
      <c r="P2148" s="2"/>
      <c r="Q2148" s="1" t="str">
        <f>IF($D2148="","",$C2148&amp;"|"&amp;COUNTIFS($C$7:$C2148,$C2148))</f>
        <v/>
      </c>
      <c r="R2148" s="1" t="str">
        <f t="shared" si="66"/>
        <v/>
      </c>
      <c r="S2148" s="1" t="str">
        <f t="shared" si="67"/>
        <v/>
      </c>
      <c r="T2148" s="1">
        <f>IF($E2148="",0,SUMPRODUCT((AY_SONU!$O$7:$O$42="Evet")*(AY_SONU!$B$7:$B$42=DATE(YEAR($E2148),MONTH($E2148),1))))</f>
        <v>0</v>
      </c>
      <c r="U2148" s="1" t="str">
        <f>IF(OR($G2148="",$H2148="Mahsup"),"",$G2148&amp;"|"&amp;COUNTIFS($G$7:$G2148,$G2148,$H$7:$H2148,"&lt;&gt;Mahsup"))</f>
        <v/>
      </c>
    </row>
    <row r="2149" spans="1:21" ht="18" customHeight="1" x14ac:dyDescent="0.3">
      <c r="A2149" s="2"/>
      <c r="B2149" s="65" t="str">
        <f>IF($D2149="","","T"&amp;TEXT(ROW()-6,"00000"))</f>
        <v/>
      </c>
      <c r="C2149" s="65" t="str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61"/>
      <c r="E2149" s="66"/>
      <c r="F2149" s="67"/>
      <c r="G2149" s="60"/>
      <c r="H2149" s="60"/>
      <c r="I2149" s="61"/>
      <c r="J2149" s="61"/>
      <c r="K2149" s="61"/>
      <c r="L2149" s="73" t="str">
        <f>IF($E2149="","",DATE(YEAR($E2149),MONTH($E2149),1))</f>
        <v/>
      </c>
      <c r="M2149" s="65" t="str">
        <f ca="1">IF($D2149="","",IF($C2149="TANIMSIZ MÜŞTERİ","HATA",IF(OR($E2149="",$F2149&lt;=0,$G2149=""),"EKSİK",IF($E2149&gt;TODAY(),"İLERİ TARİH",IF(COUNTIF($S$7:$S$2503,$S2149)&gt;1,"MÜKERRER?",IF($T2149&gt;0,"KAPALI DÖNEM","UYGUN"))))))</f>
        <v/>
      </c>
      <c r="N2149" s="74" t="str">
        <f>IF($C2149="","",IF($C2149="TANIMSIZ MÜŞTERİ","—",INDEX(MUSTERILER!$C$7:$C$156,MATCH($C2149,MUSTERILER!$B$7:$B$156,0))))</f>
        <v/>
      </c>
      <c r="O2149" s="2"/>
      <c r="P2149" s="2"/>
      <c r="Q2149" s="1" t="str">
        <f>IF($D2149="","",$C2149&amp;"|"&amp;COUNTIFS($C$7:$C2149,$C2149))</f>
        <v/>
      </c>
      <c r="R2149" s="1" t="str">
        <f t="shared" si="66"/>
        <v/>
      </c>
      <c r="S2149" s="1" t="str">
        <f t="shared" si="67"/>
        <v/>
      </c>
      <c r="T2149" s="1">
        <f>IF($E2149="",0,SUMPRODUCT((AY_SONU!$O$7:$O$42="Evet")*(AY_SONU!$B$7:$B$42=DATE(YEAR($E2149),MONTH($E2149),1))))</f>
        <v>0</v>
      </c>
      <c r="U2149" s="1" t="str">
        <f>IF(OR($G2149="",$H2149="Mahsup"),"",$G2149&amp;"|"&amp;COUNTIFS($G$7:$G2149,$G2149,$H$7:$H2149,"&lt;&gt;Mahsup"))</f>
        <v/>
      </c>
    </row>
    <row r="2150" spans="1:21" ht="18" customHeight="1" x14ac:dyDescent="0.3">
      <c r="A2150" s="2"/>
      <c r="B2150" s="65" t="str">
        <f>IF($D2150="","","T"&amp;TEXT(ROW()-6,"00000"))</f>
        <v/>
      </c>
      <c r="C2150" s="65" t="str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61"/>
      <c r="E2150" s="66"/>
      <c r="F2150" s="67"/>
      <c r="G2150" s="60"/>
      <c r="H2150" s="60"/>
      <c r="I2150" s="61"/>
      <c r="J2150" s="61"/>
      <c r="K2150" s="61"/>
      <c r="L2150" s="73" t="str">
        <f>IF($E2150="","",DATE(YEAR($E2150),MONTH($E2150),1))</f>
        <v/>
      </c>
      <c r="M2150" s="65" t="str">
        <f ca="1">IF($D2150="","",IF($C2150="TANIMSIZ MÜŞTERİ","HATA",IF(OR($E2150="",$F2150&lt;=0,$G2150=""),"EKSİK",IF($E2150&gt;TODAY(),"İLERİ TARİH",IF(COUNTIF($S$7:$S$2503,$S2150)&gt;1,"MÜKERRER?",IF($T2150&gt;0,"KAPALI DÖNEM","UYGUN"))))))</f>
        <v/>
      </c>
      <c r="N2150" s="74" t="str">
        <f>IF($C2150="","",IF($C2150="TANIMSIZ MÜŞTERİ","—",INDEX(MUSTERILER!$C$7:$C$156,MATCH($C2150,MUSTERILER!$B$7:$B$156,0))))</f>
        <v/>
      </c>
      <c r="O2150" s="2"/>
      <c r="P2150" s="2"/>
      <c r="Q2150" s="1" t="str">
        <f>IF($D2150="","",$C2150&amp;"|"&amp;COUNTIFS($C$7:$C2150,$C2150))</f>
        <v/>
      </c>
      <c r="R2150" s="1" t="str">
        <f t="shared" si="66"/>
        <v/>
      </c>
      <c r="S2150" s="1" t="str">
        <f t="shared" si="67"/>
        <v/>
      </c>
      <c r="T2150" s="1">
        <f>IF($E2150="",0,SUMPRODUCT((AY_SONU!$O$7:$O$42="Evet")*(AY_SONU!$B$7:$B$42=DATE(YEAR($E2150),MONTH($E2150),1))))</f>
        <v>0</v>
      </c>
      <c r="U2150" s="1" t="str">
        <f>IF(OR($G2150="",$H2150="Mahsup"),"",$G2150&amp;"|"&amp;COUNTIFS($G$7:$G2150,$G2150,$H$7:$H2150,"&lt;&gt;Mahsup"))</f>
        <v/>
      </c>
    </row>
    <row r="2151" spans="1:21" ht="18" customHeight="1" x14ac:dyDescent="0.3">
      <c r="A2151" s="2"/>
      <c r="B2151" s="65" t="str">
        <f>IF($D2151="","","T"&amp;TEXT(ROW()-6,"00000"))</f>
        <v/>
      </c>
      <c r="C2151" s="65" t="str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61"/>
      <c r="E2151" s="66"/>
      <c r="F2151" s="67"/>
      <c r="G2151" s="60"/>
      <c r="H2151" s="60"/>
      <c r="I2151" s="61"/>
      <c r="J2151" s="61"/>
      <c r="K2151" s="61"/>
      <c r="L2151" s="73" t="str">
        <f>IF($E2151="","",DATE(YEAR($E2151),MONTH($E2151),1))</f>
        <v/>
      </c>
      <c r="M2151" s="65" t="str">
        <f ca="1">IF($D2151="","",IF($C2151="TANIMSIZ MÜŞTERİ","HATA",IF(OR($E2151="",$F2151&lt;=0,$G2151=""),"EKSİK",IF($E2151&gt;TODAY(),"İLERİ TARİH",IF(COUNTIF($S$7:$S$2503,$S2151)&gt;1,"MÜKERRER?",IF($T2151&gt;0,"KAPALI DÖNEM","UYGUN"))))))</f>
        <v/>
      </c>
      <c r="N2151" s="74" t="str">
        <f>IF($C2151="","",IF($C2151="TANIMSIZ MÜŞTERİ","—",INDEX(MUSTERILER!$C$7:$C$156,MATCH($C2151,MUSTERILER!$B$7:$B$156,0))))</f>
        <v/>
      </c>
      <c r="O2151" s="2"/>
      <c r="P2151" s="2"/>
      <c r="Q2151" s="1" t="str">
        <f>IF($D2151="","",$C2151&amp;"|"&amp;COUNTIFS($C$7:$C2151,$C2151))</f>
        <v/>
      </c>
      <c r="R2151" s="1" t="str">
        <f t="shared" si="66"/>
        <v/>
      </c>
      <c r="S2151" s="1" t="str">
        <f t="shared" si="67"/>
        <v/>
      </c>
      <c r="T2151" s="1">
        <f>IF($E2151="",0,SUMPRODUCT((AY_SONU!$O$7:$O$42="Evet")*(AY_SONU!$B$7:$B$42=DATE(YEAR($E2151),MONTH($E2151),1))))</f>
        <v>0</v>
      </c>
      <c r="U2151" s="1" t="str">
        <f>IF(OR($G2151="",$H2151="Mahsup"),"",$G2151&amp;"|"&amp;COUNTIFS($G$7:$G2151,$G2151,$H$7:$H2151,"&lt;&gt;Mahsup"))</f>
        <v/>
      </c>
    </row>
    <row r="2152" spans="1:21" ht="18" customHeight="1" x14ac:dyDescent="0.3">
      <c r="A2152" s="2"/>
      <c r="B2152" s="65" t="str">
        <f>IF($D2152="","","T"&amp;TEXT(ROW()-6,"00000"))</f>
        <v/>
      </c>
      <c r="C2152" s="65" t="str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61"/>
      <c r="E2152" s="66"/>
      <c r="F2152" s="67"/>
      <c r="G2152" s="60"/>
      <c r="H2152" s="60"/>
      <c r="I2152" s="61"/>
      <c r="J2152" s="61"/>
      <c r="K2152" s="61"/>
      <c r="L2152" s="73" t="str">
        <f>IF($E2152="","",DATE(YEAR($E2152),MONTH($E2152),1))</f>
        <v/>
      </c>
      <c r="M2152" s="65" t="str">
        <f ca="1">IF($D2152="","",IF($C2152="TANIMSIZ MÜŞTERİ","HATA",IF(OR($E2152="",$F2152&lt;=0,$G2152=""),"EKSİK",IF($E2152&gt;TODAY(),"İLERİ TARİH",IF(COUNTIF($S$7:$S$2503,$S2152)&gt;1,"MÜKERRER?",IF($T2152&gt;0,"KAPALI DÖNEM","UYGUN"))))))</f>
        <v/>
      </c>
      <c r="N2152" s="74" t="str">
        <f>IF($C2152="","",IF($C2152="TANIMSIZ MÜŞTERİ","—",INDEX(MUSTERILER!$C$7:$C$156,MATCH($C2152,MUSTERILER!$B$7:$B$156,0))))</f>
        <v/>
      </c>
      <c r="O2152" s="2"/>
      <c r="P2152" s="2"/>
      <c r="Q2152" s="1" t="str">
        <f>IF($D2152="","",$C2152&amp;"|"&amp;COUNTIFS($C$7:$C2152,$C2152))</f>
        <v/>
      </c>
      <c r="R2152" s="1" t="str">
        <f t="shared" si="66"/>
        <v/>
      </c>
      <c r="S2152" s="1" t="str">
        <f t="shared" si="67"/>
        <v/>
      </c>
      <c r="T2152" s="1">
        <f>IF($E2152="",0,SUMPRODUCT((AY_SONU!$O$7:$O$42="Evet")*(AY_SONU!$B$7:$B$42=DATE(YEAR($E2152),MONTH($E2152),1))))</f>
        <v>0</v>
      </c>
      <c r="U2152" s="1" t="str">
        <f>IF(OR($G2152="",$H2152="Mahsup"),"",$G2152&amp;"|"&amp;COUNTIFS($G$7:$G2152,$G2152,$H$7:$H2152,"&lt;&gt;Mahsup"))</f>
        <v/>
      </c>
    </row>
    <row r="2153" spans="1:21" ht="18" customHeight="1" x14ac:dyDescent="0.3">
      <c r="A2153" s="2"/>
      <c r="B2153" s="65" t="str">
        <f>IF($D2153="","","T"&amp;TEXT(ROW()-6,"00000"))</f>
        <v/>
      </c>
      <c r="C2153" s="65" t="str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61"/>
      <c r="E2153" s="66"/>
      <c r="F2153" s="67"/>
      <c r="G2153" s="60"/>
      <c r="H2153" s="60"/>
      <c r="I2153" s="61"/>
      <c r="J2153" s="61"/>
      <c r="K2153" s="61"/>
      <c r="L2153" s="73" t="str">
        <f>IF($E2153="","",DATE(YEAR($E2153),MONTH($E2153),1))</f>
        <v/>
      </c>
      <c r="M2153" s="65" t="str">
        <f ca="1">IF($D2153="","",IF($C2153="TANIMSIZ MÜŞTERİ","HATA",IF(OR($E2153="",$F2153&lt;=0,$G2153=""),"EKSİK",IF($E2153&gt;TODAY(),"İLERİ TARİH",IF(COUNTIF($S$7:$S$2503,$S2153)&gt;1,"MÜKERRER?",IF($T2153&gt;0,"KAPALI DÖNEM","UYGUN"))))))</f>
        <v/>
      </c>
      <c r="N2153" s="74" t="str">
        <f>IF($C2153="","",IF($C2153="TANIMSIZ MÜŞTERİ","—",INDEX(MUSTERILER!$C$7:$C$156,MATCH($C2153,MUSTERILER!$B$7:$B$156,0))))</f>
        <v/>
      </c>
      <c r="O2153" s="2"/>
      <c r="P2153" s="2"/>
      <c r="Q2153" s="1" t="str">
        <f>IF($D2153="","",$C2153&amp;"|"&amp;COUNTIFS($C$7:$C2153,$C2153))</f>
        <v/>
      </c>
      <c r="R2153" s="1" t="str">
        <f t="shared" si="66"/>
        <v/>
      </c>
      <c r="S2153" s="1" t="str">
        <f t="shared" si="67"/>
        <v/>
      </c>
      <c r="T2153" s="1">
        <f>IF($E2153="",0,SUMPRODUCT((AY_SONU!$O$7:$O$42="Evet")*(AY_SONU!$B$7:$B$42=DATE(YEAR($E2153),MONTH($E2153),1))))</f>
        <v>0</v>
      </c>
      <c r="U2153" s="1" t="str">
        <f>IF(OR($G2153="",$H2153="Mahsup"),"",$G2153&amp;"|"&amp;COUNTIFS($G$7:$G2153,$G2153,$H$7:$H2153,"&lt;&gt;Mahsup"))</f>
        <v/>
      </c>
    </row>
    <row r="2154" spans="1:21" ht="18" customHeight="1" x14ac:dyDescent="0.3">
      <c r="A2154" s="2"/>
      <c r="B2154" s="65" t="str">
        <f>IF($D2154="","","T"&amp;TEXT(ROW()-6,"00000"))</f>
        <v/>
      </c>
      <c r="C2154" s="65" t="str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61"/>
      <c r="E2154" s="66"/>
      <c r="F2154" s="67"/>
      <c r="G2154" s="60"/>
      <c r="H2154" s="60"/>
      <c r="I2154" s="61"/>
      <c r="J2154" s="61"/>
      <c r="K2154" s="61"/>
      <c r="L2154" s="73" t="str">
        <f>IF($E2154="","",DATE(YEAR($E2154),MONTH($E2154),1))</f>
        <v/>
      </c>
      <c r="M2154" s="65" t="str">
        <f ca="1">IF($D2154="","",IF($C2154="TANIMSIZ MÜŞTERİ","HATA",IF(OR($E2154="",$F2154&lt;=0,$G2154=""),"EKSİK",IF($E2154&gt;TODAY(),"İLERİ TARİH",IF(COUNTIF($S$7:$S$2503,$S2154)&gt;1,"MÜKERRER?",IF($T2154&gt;0,"KAPALI DÖNEM","UYGUN"))))))</f>
        <v/>
      </c>
      <c r="N2154" s="74" t="str">
        <f>IF($C2154="","",IF($C2154="TANIMSIZ MÜŞTERİ","—",INDEX(MUSTERILER!$C$7:$C$156,MATCH($C2154,MUSTERILER!$B$7:$B$156,0))))</f>
        <v/>
      </c>
      <c r="O2154" s="2"/>
      <c r="P2154" s="2"/>
      <c r="Q2154" s="1" t="str">
        <f>IF($D2154="","",$C2154&amp;"|"&amp;COUNTIFS($C$7:$C2154,$C2154))</f>
        <v/>
      </c>
      <c r="R2154" s="1" t="str">
        <f t="shared" si="66"/>
        <v/>
      </c>
      <c r="S2154" s="1" t="str">
        <f t="shared" si="67"/>
        <v/>
      </c>
      <c r="T2154" s="1">
        <f>IF($E2154="",0,SUMPRODUCT((AY_SONU!$O$7:$O$42="Evet")*(AY_SONU!$B$7:$B$42=DATE(YEAR($E2154),MONTH($E2154),1))))</f>
        <v>0</v>
      </c>
      <c r="U2154" s="1" t="str">
        <f>IF(OR($G2154="",$H2154="Mahsup"),"",$G2154&amp;"|"&amp;COUNTIFS($G$7:$G2154,$G2154,$H$7:$H2154,"&lt;&gt;Mahsup"))</f>
        <v/>
      </c>
    </row>
    <row r="2155" spans="1:21" ht="18" customHeight="1" x14ac:dyDescent="0.3">
      <c r="A2155" s="2"/>
      <c r="B2155" s="65" t="str">
        <f>IF($D2155="","","T"&amp;TEXT(ROW()-6,"00000"))</f>
        <v/>
      </c>
      <c r="C2155" s="65" t="str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61"/>
      <c r="E2155" s="66"/>
      <c r="F2155" s="67"/>
      <c r="G2155" s="60"/>
      <c r="H2155" s="60"/>
      <c r="I2155" s="61"/>
      <c r="J2155" s="61"/>
      <c r="K2155" s="61"/>
      <c r="L2155" s="73" t="str">
        <f>IF($E2155="","",DATE(YEAR($E2155),MONTH($E2155),1))</f>
        <v/>
      </c>
      <c r="M2155" s="65" t="str">
        <f ca="1">IF($D2155="","",IF($C2155="TANIMSIZ MÜŞTERİ","HATA",IF(OR($E2155="",$F2155&lt;=0,$G2155=""),"EKSİK",IF($E2155&gt;TODAY(),"İLERİ TARİH",IF(COUNTIF($S$7:$S$2503,$S2155)&gt;1,"MÜKERRER?",IF($T2155&gt;0,"KAPALI DÖNEM","UYGUN"))))))</f>
        <v/>
      </c>
      <c r="N2155" s="74" t="str">
        <f>IF($C2155="","",IF($C2155="TANIMSIZ MÜŞTERİ","—",INDEX(MUSTERILER!$C$7:$C$156,MATCH($C2155,MUSTERILER!$B$7:$B$156,0))))</f>
        <v/>
      </c>
      <c r="O2155" s="2"/>
      <c r="P2155" s="2"/>
      <c r="Q2155" s="1" t="str">
        <f>IF($D2155="","",$C2155&amp;"|"&amp;COUNTIFS($C$7:$C2155,$C2155))</f>
        <v/>
      </c>
      <c r="R2155" s="1" t="str">
        <f t="shared" si="66"/>
        <v/>
      </c>
      <c r="S2155" s="1" t="str">
        <f t="shared" si="67"/>
        <v/>
      </c>
      <c r="T2155" s="1">
        <f>IF($E2155="",0,SUMPRODUCT((AY_SONU!$O$7:$O$42="Evet")*(AY_SONU!$B$7:$B$42=DATE(YEAR($E2155),MONTH($E2155),1))))</f>
        <v>0</v>
      </c>
      <c r="U2155" s="1" t="str">
        <f>IF(OR($G2155="",$H2155="Mahsup"),"",$G2155&amp;"|"&amp;COUNTIFS($G$7:$G2155,$G2155,$H$7:$H2155,"&lt;&gt;Mahsup"))</f>
        <v/>
      </c>
    </row>
    <row r="2156" spans="1:21" ht="18" customHeight="1" x14ac:dyDescent="0.3">
      <c r="A2156" s="2"/>
      <c r="B2156" s="65" t="str">
        <f>IF($D2156="","","T"&amp;TEXT(ROW()-6,"00000"))</f>
        <v/>
      </c>
      <c r="C2156" s="65" t="str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61"/>
      <c r="E2156" s="66"/>
      <c r="F2156" s="67"/>
      <c r="G2156" s="60"/>
      <c r="H2156" s="60"/>
      <c r="I2156" s="61"/>
      <c r="J2156" s="61"/>
      <c r="K2156" s="61"/>
      <c r="L2156" s="73" t="str">
        <f>IF($E2156="","",DATE(YEAR($E2156),MONTH($E2156),1))</f>
        <v/>
      </c>
      <c r="M2156" s="65" t="str">
        <f ca="1">IF($D2156="","",IF($C2156="TANIMSIZ MÜŞTERİ","HATA",IF(OR($E2156="",$F2156&lt;=0,$G2156=""),"EKSİK",IF($E2156&gt;TODAY(),"İLERİ TARİH",IF(COUNTIF($S$7:$S$2503,$S2156)&gt;1,"MÜKERRER?",IF($T2156&gt;0,"KAPALI DÖNEM","UYGUN"))))))</f>
        <v/>
      </c>
      <c r="N2156" s="74" t="str">
        <f>IF($C2156="","",IF($C2156="TANIMSIZ MÜŞTERİ","—",INDEX(MUSTERILER!$C$7:$C$156,MATCH($C2156,MUSTERILER!$B$7:$B$156,0))))</f>
        <v/>
      </c>
      <c r="O2156" s="2"/>
      <c r="P2156" s="2"/>
      <c r="Q2156" s="1" t="str">
        <f>IF($D2156="","",$C2156&amp;"|"&amp;COUNTIFS($C$7:$C2156,$C2156))</f>
        <v/>
      </c>
      <c r="R2156" s="1" t="str">
        <f t="shared" si="66"/>
        <v/>
      </c>
      <c r="S2156" s="1" t="str">
        <f t="shared" si="67"/>
        <v/>
      </c>
      <c r="T2156" s="1">
        <f>IF($E2156="",0,SUMPRODUCT((AY_SONU!$O$7:$O$42="Evet")*(AY_SONU!$B$7:$B$42=DATE(YEAR($E2156),MONTH($E2156),1))))</f>
        <v>0</v>
      </c>
      <c r="U2156" s="1" t="str">
        <f>IF(OR($G2156="",$H2156="Mahsup"),"",$G2156&amp;"|"&amp;COUNTIFS($G$7:$G2156,$G2156,$H$7:$H2156,"&lt;&gt;Mahsup"))</f>
        <v/>
      </c>
    </row>
    <row r="2157" spans="1:21" ht="18" customHeight="1" x14ac:dyDescent="0.3">
      <c r="A2157" s="2"/>
      <c r="B2157" s="65" t="str">
        <f>IF($D2157="","","T"&amp;TEXT(ROW()-6,"00000"))</f>
        <v/>
      </c>
      <c r="C2157" s="65" t="str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61"/>
      <c r="E2157" s="66"/>
      <c r="F2157" s="67"/>
      <c r="G2157" s="60"/>
      <c r="H2157" s="60"/>
      <c r="I2157" s="61"/>
      <c r="J2157" s="61"/>
      <c r="K2157" s="61"/>
      <c r="L2157" s="73" t="str">
        <f>IF($E2157="","",DATE(YEAR($E2157),MONTH($E2157),1))</f>
        <v/>
      </c>
      <c r="M2157" s="65" t="str">
        <f ca="1">IF($D2157="","",IF($C2157="TANIMSIZ MÜŞTERİ","HATA",IF(OR($E2157="",$F2157&lt;=0,$G2157=""),"EKSİK",IF($E2157&gt;TODAY(),"İLERİ TARİH",IF(COUNTIF($S$7:$S$2503,$S2157)&gt;1,"MÜKERRER?",IF($T2157&gt;0,"KAPALI DÖNEM","UYGUN"))))))</f>
        <v/>
      </c>
      <c r="N2157" s="74" t="str">
        <f>IF($C2157="","",IF($C2157="TANIMSIZ MÜŞTERİ","—",INDEX(MUSTERILER!$C$7:$C$156,MATCH($C2157,MUSTERILER!$B$7:$B$156,0))))</f>
        <v/>
      </c>
      <c r="O2157" s="2"/>
      <c r="P2157" s="2"/>
      <c r="Q2157" s="1" t="str">
        <f>IF($D2157="","",$C2157&amp;"|"&amp;COUNTIFS($C$7:$C2157,$C2157))</f>
        <v/>
      </c>
      <c r="R2157" s="1" t="str">
        <f t="shared" si="66"/>
        <v/>
      </c>
      <c r="S2157" s="1" t="str">
        <f t="shared" si="67"/>
        <v/>
      </c>
      <c r="T2157" s="1">
        <f>IF($E2157="",0,SUMPRODUCT((AY_SONU!$O$7:$O$42="Evet")*(AY_SONU!$B$7:$B$42=DATE(YEAR($E2157),MONTH($E2157),1))))</f>
        <v>0</v>
      </c>
      <c r="U2157" s="1" t="str">
        <f>IF(OR($G2157="",$H2157="Mahsup"),"",$G2157&amp;"|"&amp;COUNTIFS($G$7:$G2157,$G2157,$H$7:$H2157,"&lt;&gt;Mahsup"))</f>
        <v/>
      </c>
    </row>
    <row r="2158" spans="1:21" ht="18" customHeight="1" x14ac:dyDescent="0.3">
      <c r="A2158" s="2"/>
      <c r="B2158" s="65" t="str">
        <f>IF($D2158="","","T"&amp;TEXT(ROW()-6,"00000"))</f>
        <v/>
      </c>
      <c r="C2158" s="65" t="str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61"/>
      <c r="E2158" s="66"/>
      <c r="F2158" s="67"/>
      <c r="G2158" s="60"/>
      <c r="H2158" s="60"/>
      <c r="I2158" s="61"/>
      <c r="J2158" s="61"/>
      <c r="K2158" s="61"/>
      <c r="L2158" s="73" t="str">
        <f>IF($E2158="","",DATE(YEAR($E2158),MONTH($E2158),1))</f>
        <v/>
      </c>
      <c r="M2158" s="65" t="str">
        <f ca="1">IF($D2158="","",IF($C2158="TANIMSIZ MÜŞTERİ","HATA",IF(OR($E2158="",$F2158&lt;=0,$G2158=""),"EKSİK",IF($E2158&gt;TODAY(),"İLERİ TARİH",IF(COUNTIF($S$7:$S$2503,$S2158)&gt;1,"MÜKERRER?",IF($T2158&gt;0,"KAPALI DÖNEM","UYGUN"))))))</f>
        <v/>
      </c>
      <c r="N2158" s="74" t="str">
        <f>IF($C2158="","",IF($C2158="TANIMSIZ MÜŞTERİ","—",INDEX(MUSTERILER!$C$7:$C$156,MATCH($C2158,MUSTERILER!$B$7:$B$156,0))))</f>
        <v/>
      </c>
      <c r="O2158" s="2"/>
      <c r="P2158" s="2"/>
      <c r="Q2158" s="1" t="str">
        <f>IF($D2158="","",$C2158&amp;"|"&amp;COUNTIFS($C$7:$C2158,$C2158))</f>
        <v/>
      </c>
      <c r="R2158" s="1" t="str">
        <f t="shared" si="66"/>
        <v/>
      </c>
      <c r="S2158" s="1" t="str">
        <f t="shared" si="67"/>
        <v/>
      </c>
      <c r="T2158" s="1">
        <f>IF($E2158="",0,SUMPRODUCT((AY_SONU!$O$7:$O$42="Evet")*(AY_SONU!$B$7:$B$42=DATE(YEAR($E2158),MONTH($E2158),1))))</f>
        <v>0</v>
      </c>
      <c r="U2158" s="1" t="str">
        <f>IF(OR($G2158="",$H2158="Mahsup"),"",$G2158&amp;"|"&amp;COUNTIFS($G$7:$G2158,$G2158,$H$7:$H2158,"&lt;&gt;Mahsup"))</f>
        <v/>
      </c>
    </row>
    <row r="2159" spans="1:21" ht="18" customHeight="1" x14ac:dyDescent="0.3">
      <c r="A2159" s="2"/>
      <c r="B2159" s="65" t="str">
        <f>IF($D2159="","","T"&amp;TEXT(ROW()-6,"00000"))</f>
        <v/>
      </c>
      <c r="C2159" s="65" t="str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61"/>
      <c r="E2159" s="66"/>
      <c r="F2159" s="67"/>
      <c r="G2159" s="60"/>
      <c r="H2159" s="60"/>
      <c r="I2159" s="61"/>
      <c r="J2159" s="61"/>
      <c r="K2159" s="61"/>
      <c r="L2159" s="73" t="str">
        <f>IF($E2159="","",DATE(YEAR($E2159),MONTH($E2159),1))</f>
        <v/>
      </c>
      <c r="M2159" s="65" t="str">
        <f ca="1">IF($D2159="","",IF($C2159="TANIMSIZ MÜŞTERİ","HATA",IF(OR($E2159="",$F2159&lt;=0,$G2159=""),"EKSİK",IF($E2159&gt;TODAY(),"İLERİ TARİH",IF(COUNTIF($S$7:$S$2503,$S2159)&gt;1,"MÜKERRER?",IF($T2159&gt;0,"KAPALI DÖNEM","UYGUN"))))))</f>
        <v/>
      </c>
      <c r="N2159" s="74" t="str">
        <f>IF($C2159="","",IF($C2159="TANIMSIZ MÜŞTERİ","—",INDEX(MUSTERILER!$C$7:$C$156,MATCH($C2159,MUSTERILER!$B$7:$B$156,0))))</f>
        <v/>
      </c>
      <c r="O2159" s="2"/>
      <c r="P2159" s="2"/>
      <c r="Q2159" s="1" t="str">
        <f>IF($D2159="","",$C2159&amp;"|"&amp;COUNTIFS($C$7:$C2159,$C2159))</f>
        <v/>
      </c>
      <c r="R2159" s="1" t="str">
        <f t="shared" si="66"/>
        <v/>
      </c>
      <c r="S2159" s="1" t="str">
        <f t="shared" si="67"/>
        <v/>
      </c>
      <c r="T2159" s="1">
        <f>IF($E2159="",0,SUMPRODUCT((AY_SONU!$O$7:$O$42="Evet")*(AY_SONU!$B$7:$B$42=DATE(YEAR($E2159),MONTH($E2159),1))))</f>
        <v>0</v>
      </c>
      <c r="U2159" s="1" t="str">
        <f>IF(OR($G2159="",$H2159="Mahsup"),"",$G2159&amp;"|"&amp;COUNTIFS($G$7:$G2159,$G2159,$H$7:$H2159,"&lt;&gt;Mahsup"))</f>
        <v/>
      </c>
    </row>
    <row r="2160" spans="1:21" ht="18" customHeight="1" x14ac:dyDescent="0.3">
      <c r="A2160" s="2"/>
      <c r="B2160" s="65" t="str">
        <f>IF($D2160="","","T"&amp;TEXT(ROW()-6,"00000"))</f>
        <v/>
      </c>
      <c r="C2160" s="65" t="str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61"/>
      <c r="E2160" s="66"/>
      <c r="F2160" s="67"/>
      <c r="G2160" s="60"/>
      <c r="H2160" s="60"/>
      <c r="I2160" s="61"/>
      <c r="J2160" s="61"/>
      <c r="K2160" s="61"/>
      <c r="L2160" s="73" t="str">
        <f>IF($E2160="","",DATE(YEAR($E2160),MONTH($E2160),1))</f>
        <v/>
      </c>
      <c r="M2160" s="65" t="str">
        <f ca="1">IF($D2160="","",IF($C2160="TANIMSIZ MÜŞTERİ","HATA",IF(OR($E2160="",$F2160&lt;=0,$G2160=""),"EKSİK",IF($E2160&gt;TODAY(),"İLERİ TARİH",IF(COUNTIF($S$7:$S$2503,$S2160)&gt;1,"MÜKERRER?",IF($T2160&gt;0,"KAPALI DÖNEM","UYGUN"))))))</f>
        <v/>
      </c>
      <c r="N2160" s="74" t="str">
        <f>IF($C2160="","",IF($C2160="TANIMSIZ MÜŞTERİ","—",INDEX(MUSTERILER!$C$7:$C$156,MATCH($C2160,MUSTERILER!$B$7:$B$156,0))))</f>
        <v/>
      </c>
      <c r="O2160" s="2"/>
      <c r="P2160" s="2"/>
      <c r="Q2160" s="1" t="str">
        <f>IF($D2160="","",$C2160&amp;"|"&amp;COUNTIFS($C$7:$C2160,$C2160))</f>
        <v/>
      </c>
      <c r="R2160" s="1" t="str">
        <f t="shared" si="66"/>
        <v/>
      </c>
      <c r="S2160" s="1" t="str">
        <f t="shared" si="67"/>
        <v/>
      </c>
      <c r="T2160" s="1">
        <f>IF($E2160="",0,SUMPRODUCT((AY_SONU!$O$7:$O$42="Evet")*(AY_SONU!$B$7:$B$42=DATE(YEAR($E2160),MONTH($E2160),1))))</f>
        <v>0</v>
      </c>
      <c r="U2160" s="1" t="str">
        <f>IF(OR($G2160="",$H2160="Mahsup"),"",$G2160&amp;"|"&amp;COUNTIFS($G$7:$G2160,$G2160,$H$7:$H2160,"&lt;&gt;Mahsup"))</f>
        <v/>
      </c>
    </row>
    <row r="2161" spans="1:21" ht="18" customHeight="1" x14ac:dyDescent="0.3">
      <c r="A2161" s="2"/>
      <c r="B2161" s="65" t="str">
        <f>IF($D2161="","","T"&amp;TEXT(ROW()-6,"00000"))</f>
        <v/>
      </c>
      <c r="C2161" s="65" t="str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61"/>
      <c r="E2161" s="66"/>
      <c r="F2161" s="67"/>
      <c r="G2161" s="60"/>
      <c r="H2161" s="60"/>
      <c r="I2161" s="61"/>
      <c r="J2161" s="61"/>
      <c r="K2161" s="61"/>
      <c r="L2161" s="73" t="str">
        <f>IF($E2161="","",DATE(YEAR($E2161),MONTH($E2161),1))</f>
        <v/>
      </c>
      <c r="M2161" s="65" t="str">
        <f ca="1">IF($D2161="","",IF($C2161="TANIMSIZ MÜŞTERİ","HATA",IF(OR($E2161="",$F2161&lt;=0,$G2161=""),"EKSİK",IF($E2161&gt;TODAY(),"İLERİ TARİH",IF(COUNTIF($S$7:$S$2503,$S2161)&gt;1,"MÜKERRER?",IF($T2161&gt;0,"KAPALI DÖNEM","UYGUN"))))))</f>
        <v/>
      </c>
      <c r="N2161" s="74" t="str">
        <f>IF($C2161="","",IF($C2161="TANIMSIZ MÜŞTERİ","—",INDEX(MUSTERILER!$C$7:$C$156,MATCH($C2161,MUSTERILER!$B$7:$B$156,0))))</f>
        <v/>
      </c>
      <c r="O2161" s="2"/>
      <c r="P2161" s="2"/>
      <c r="Q2161" s="1" t="str">
        <f>IF($D2161="","",$C2161&amp;"|"&amp;COUNTIFS($C$7:$C2161,$C2161))</f>
        <v/>
      </c>
      <c r="R2161" s="1" t="str">
        <f t="shared" si="66"/>
        <v/>
      </c>
      <c r="S2161" s="1" t="str">
        <f t="shared" si="67"/>
        <v/>
      </c>
      <c r="T2161" s="1">
        <f>IF($E2161="",0,SUMPRODUCT((AY_SONU!$O$7:$O$42="Evet")*(AY_SONU!$B$7:$B$42=DATE(YEAR($E2161),MONTH($E2161),1))))</f>
        <v>0</v>
      </c>
      <c r="U2161" s="1" t="str">
        <f>IF(OR($G2161="",$H2161="Mahsup"),"",$G2161&amp;"|"&amp;COUNTIFS($G$7:$G2161,$G2161,$H$7:$H2161,"&lt;&gt;Mahsup"))</f>
        <v/>
      </c>
    </row>
    <row r="2162" spans="1:21" ht="18" customHeight="1" x14ac:dyDescent="0.3">
      <c r="A2162" s="2"/>
      <c r="B2162" s="65" t="str">
        <f>IF($D2162="","","T"&amp;TEXT(ROW()-6,"00000"))</f>
        <v/>
      </c>
      <c r="C2162" s="65" t="str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61"/>
      <c r="E2162" s="66"/>
      <c r="F2162" s="67"/>
      <c r="G2162" s="60"/>
      <c r="H2162" s="60"/>
      <c r="I2162" s="61"/>
      <c r="J2162" s="61"/>
      <c r="K2162" s="61"/>
      <c r="L2162" s="73" t="str">
        <f>IF($E2162="","",DATE(YEAR($E2162),MONTH($E2162),1))</f>
        <v/>
      </c>
      <c r="M2162" s="65" t="str">
        <f ca="1">IF($D2162="","",IF($C2162="TANIMSIZ MÜŞTERİ","HATA",IF(OR($E2162="",$F2162&lt;=0,$G2162=""),"EKSİK",IF($E2162&gt;TODAY(),"İLERİ TARİH",IF(COUNTIF($S$7:$S$2503,$S2162)&gt;1,"MÜKERRER?",IF($T2162&gt;0,"KAPALI DÖNEM","UYGUN"))))))</f>
        <v/>
      </c>
      <c r="N2162" s="74" t="str">
        <f>IF($C2162="","",IF($C2162="TANIMSIZ MÜŞTERİ","—",INDEX(MUSTERILER!$C$7:$C$156,MATCH($C2162,MUSTERILER!$B$7:$B$156,0))))</f>
        <v/>
      </c>
      <c r="O2162" s="2"/>
      <c r="P2162" s="2"/>
      <c r="Q2162" s="1" t="str">
        <f>IF($D2162="","",$C2162&amp;"|"&amp;COUNTIFS($C$7:$C2162,$C2162))</f>
        <v/>
      </c>
      <c r="R2162" s="1" t="str">
        <f t="shared" si="66"/>
        <v/>
      </c>
      <c r="S2162" s="1" t="str">
        <f t="shared" si="67"/>
        <v/>
      </c>
      <c r="T2162" s="1">
        <f>IF($E2162="",0,SUMPRODUCT((AY_SONU!$O$7:$O$42="Evet")*(AY_SONU!$B$7:$B$42=DATE(YEAR($E2162),MONTH($E2162),1))))</f>
        <v>0</v>
      </c>
      <c r="U2162" s="1" t="str">
        <f>IF(OR($G2162="",$H2162="Mahsup"),"",$G2162&amp;"|"&amp;COUNTIFS($G$7:$G2162,$G2162,$H$7:$H2162,"&lt;&gt;Mahsup"))</f>
        <v/>
      </c>
    </row>
    <row r="2163" spans="1:21" ht="18" customHeight="1" x14ac:dyDescent="0.3">
      <c r="A2163" s="2"/>
      <c r="B2163" s="65" t="str">
        <f>IF($D2163="","","T"&amp;TEXT(ROW()-6,"00000"))</f>
        <v/>
      </c>
      <c r="C2163" s="65" t="str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61"/>
      <c r="E2163" s="66"/>
      <c r="F2163" s="67"/>
      <c r="G2163" s="60"/>
      <c r="H2163" s="60"/>
      <c r="I2163" s="61"/>
      <c r="J2163" s="61"/>
      <c r="K2163" s="61"/>
      <c r="L2163" s="73" t="str">
        <f>IF($E2163="","",DATE(YEAR($E2163),MONTH($E2163),1))</f>
        <v/>
      </c>
      <c r="M2163" s="65" t="str">
        <f ca="1">IF($D2163="","",IF($C2163="TANIMSIZ MÜŞTERİ","HATA",IF(OR($E2163="",$F2163&lt;=0,$G2163=""),"EKSİK",IF($E2163&gt;TODAY(),"İLERİ TARİH",IF(COUNTIF($S$7:$S$2503,$S2163)&gt;1,"MÜKERRER?",IF($T2163&gt;0,"KAPALI DÖNEM","UYGUN"))))))</f>
        <v/>
      </c>
      <c r="N2163" s="74" t="str">
        <f>IF($C2163="","",IF($C2163="TANIMSIZ MÜŞTERİ","—",INDEX(MUSTERILER!$C$7:$C$156,MATCH($C2163,MUSTERILER!$B$7:$B$156,0))))</f>
        <v/>
      </c>
      <c r="O2163" s="2"/>
      <c r="P2163" s="2"/>
      <c r="Q2163" s="1" t="str">
        <f>IF($D2163="","",$C2163&amp;"|"&amp;COUNTIFS($C$7:$C2163,$C2163))</f>
        <v/>
      </c>
      <c r="R2163" s="1" t="str">
        <f t="shared" si="66"/>
        <v/>
      </c>
      <c r="S2163" s="1" t="str">
        <f t="shared" si="67"/>
        <v/>
      </c>
      <c r="T2163" s="1">
        <f>IF($E2163="",0,SUMPRODUCT((AY_SONU!$O$7:$O$42="Evet")*(AY_SONU!$B$7:$B$42=DATE(YEAR($E2163),MONTH($E2163),1))))</f>
        <v>0</v>
      </c>
      <c r="U2163" s="1" t="str">
        <f>IF(OR($G2163="",$H2163="Mahsup"),"",$G2163&amp;"|"&amp;COUNTIFS($G$7:$G2163,$G2163,$H$7:$H2163,"&lt;&gt;Mahsup"))</f>
        <v/>
      </c>
    </row>
    <row r="2164" spans="1:21" ht="18" customHeight="1" x14ac:dyDescent="0.3">
      <c r="A2164" s="2"/>
      <c r="B2164" s="65" t="str">
        <f>IF($D2164="","","T"&amp;TEXT(ROW()-6,"00000"))</f>
        <v/>
      </c>
      <c r="C2164" s="65" t="str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61"/>
      <c r="E2164" s="66"/>
      <c r="F2164" s="67"/>
      <c r="G2164" s="60"/>
      <c r="H2164" s="60"/>
      <c r="I2164" s="61"/>
      <c r="J2164" s="61"/>
      <c r="K2164" s="61"/>
      <c r="L2164" s="73" t="str">
        <f>IF($E2164="","",DATE(YEAR($E2164),MONTH($E2164),1))</f>
        <v/>
      </c>
      <c r="M2164" s="65" t="str">
        <f ca="1">IF($D2164="","",IF($C2164="TANIMSIZ MÜŞTERİ","HATA",IF(OR($E2164="",$F2164&lt;=0,$G2164=""),"EKSİK",IF($E2164&gt;TODAY(),"İLERİ TARİH",IF(COUNTIF($S$7:$S$2503,$S2164)&gt;1,"MÜKERRER?",IF($T2164&gt;0,"KAPALI DÖNEM","UYGUN"))))))</f>
        <v/>
      </c>
      <c r="N2164" s="74" t="str">
        <f>IF($C2164="","",IF($C2164="TANIMSIZ MÜŞTERİ","—",INDEX(MUSTERILER!$C$7:$C$156,MATCH($C2164,MUSTERILER!$B$7:$B$156,0))))</f>
        <v/>
      </c>
      <c r="O2164" s="2"/>
      <c r="P2164" s="2"/>
      <c r="Q2164" s="1" t="str">
        <f>IF($D2164="","",$C2164&amp;"|"&amp;COUNTIFS($C$7:$C2164,$C2164))</f>
        <v/>
      </c>
      <c r="R2164" s="1" t="str">
        <f t="shared" si="66"/>
        <v/>
      </c>
      <c r="S2164" s="1" t="str">
        <f t="shared" si="67"/>
        <v/>
      </c>
      <c r="T2164" s="1">
        <f>IF($E2164="",0,SUMPRODUCT((AY_SONU!$O$7:$O$42="Evet")*(AY_SONU!$B$7:$B$42=DATE(YEAR($E2164),MONTH($E2164),1))))</f>
        <v>0</v>
      </c>
      <c r="U2164" s="1" t="str">
        <f>IF(OR($G2164="",$H2164="Mahsup"),"",$G2164&amp;"|"&amp;COUNTIFS($G$7:$G2164,$G2164,$H$7:$H2164,"&lt;&gt;Mahsup"))</f>
        <v/>
      </c>
    </row>
    <row r="2165" spans="1:21" ht="18" customHeight="1" x14ac:dyDescent="0.3">
      <c r="A2165" s="2"/>
      <c r="B2165" s="65" t="str">
        <f>IF($D2165="","","T"&amp;TEXT(ROW()-6,"00000"))</f>
        <v/>
      </c>
      <c r="C2165" s="65" t="str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61"/>
      <c r="E2165" s="66"/>
      <c r="F2165" s="67"/>
      <c r="G2165" s="60"/>
      <c r="H2165" s="60"/>
      <c r="I2165" s="61"/>
      <c r="J2165" s="61"/>
      <c r="K2165" s="61"/>
      <c r="L2165" s="73" t="str">
        <f>IF($E2165="","",DATE(YEAR($E2165),MONTH($E2165),1))</f>
        <v/>
      </c>
      <c r="M2165" s="65" t="str">
        <f ca="1">IF($D2165="","",IF($C2165="TANIMSIZ MÜŞTERİ","HATA",IF(OR($E2165="",$F2165&lt;=0,$G2165=""),"EKSİK",IF($E2165&gt;TODAY(),"İLERİ TARİH",IF(COUNTIF($S$7:$S$2503,$S2165)&gt;1,"MÜKERRER?",IF($T2165&gt;0,"KAPALI DÖNEM","UYGUN"))))))</f>
        <v/>
      </c>
      <c r="N2165" s="74" t="str">
        <f>IF($C2165="","",IF($C2165="TANIMSIZ MÜŞTERİ","—",INDEX(MUSTERILER!$C$7:$C$156,MATCH($C2165,MUSTERILER!$B$7:$B$156,0))))</f>
        <v/>
      </c>
      <c r="O2165" s="2"/>
      <c r="P2165" s="2"/>
      <c r="Q2165" s="1" t="str">
        <f>IF($D2165="","",$C2165&amp;"|"&amp;COUNTIFS($C$7:$C2165,$C2165))</f>
        <v/>
      </c>
      <c r="R2165" s="1" t="str">
        <f t="shared" si="66"/>
        <v/>
      </c>
      <c r="S2165" s="1" t="str">
        <f t="shared" si="67"/>
        <v/>
      </c>
      <c r="T2165" s="1">
        <f>IF($E2165="",0,SUMPRODUCT((AY_SONU!$O$7:$O$42="Evet")*(AY_SONU!$B$7:$B$42=DATE(YEAR($E2165),MONTH($E2165),1))))</f>
        <v>0</v>
      </c>
      <c r="U2165" s="1" t="str">
        <f>IF(OR($G2165="",$H2165="Mahsup"),"",$G2165&amp;"|"&amp;COUNTIFS($G$7:$G2165,$G2165,$H$7:$H2165,"&lt;&gt;Mahsup"))</f>
        <v/>
      </c>
    </row>
    <row r="2166" spans="1:21" ht="18" customHeight="1" x14ac:dyDescent="0.3">
      <c r="A2166" s="2"/>
      <c r="B2166" s="65" t="str">
        <f>IF($D2166="","","T"&amp;TEXT(ROW()-6,"00000"))</f>
        <v/>
      </c>
      <c r="C2166" s="65" t="str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61"/>
      <c r="E2166" s="66"/>
      <c r="F2166" s="67"/>
      <c r="G2166" s="60"/>
      <c r="H2166" s="60"/>
      <c r="I2166" s="61"/>
      <c r="J2166" s="61"/>
      <c r="K2166" s="61"/>
      <c r="L2166" s="73" t="str">
        <f>IF($E2166="","",DATE(YEAR($E2166),MONTH($E2166),1))</f>
        <v/>
      </c>
      <c r="M2166" s="65" t="str">
        <f ca="1">IF($D2166="","",IF($C2166="TANIMSIZ MÜŞTERİ","HATA",IF(OR($E2166="",$F2166&lt;=0,$G2166=""),"EKSİK",IF($E2166&gt;TODAY(),"İLERİ TARİH",IF(COUNTIF($S$7:$S$2503,$S2166)&gt;1,"MÜKERRER?",IF($T2166&gt;0,"KAPALI DÖNEM","UYGUN"))))))</f>
        <v/>
      </c>
      <c r="N2166" s="74" t="str">
        <f>IF($C2166="","",IF($C2166="TANIMSIZ MÜŞTERİ","—",INDEX(MUSTERILER!$C$7:$C$156,MATCH($C2166,MUSTERILER!$B$7:$B$156,0))))</f>
        <v/>
      </c>
      <c r="O2166" s="2"/>
      <c r="P2166" s="2"/>
      <c r="Q2166" s="1" t="str">
        <f>IF($D2166="","",$C2166&amp;"|"&amp;COUNTIFS($C$7:$C2166,$C2166))</f>
        <v/>
      </c>
      <c r="R2166" s="1" t="str">
        <f t="shared" si="66"/>
        <v/>
      </c>
      <c r="S2166" s="1" t="str">
        <f t="shared" si="67"/>
        <v/>
      </c>
      <c r="T2166" s="1">
        <f>IF($E2166="",0,SUMPRODUCT((AY_SONU!$O$7:$O$42="Evet")*(AY_SONU!$B$7:$B$42=DATE(YEAR($E2166),MONTH($E2166),1))))</f>
        <v>0</v>
      </c>
      <c r="U2166" s="1" t="str">
        <f>IF(OR($G2166="",$H2166="Mahsup"),"",$G2166&amp;"|"&amp;COUNTIFS($G$7:$G2166,$G2166,$H$7:$H2166,"&lt;&gt;Mahsup"))</f>
        <v/>
      </c>
    </row>
    <row r="2167" spans="1:21" ht="18" customHeight="1" x14ac:dyDescent="0.3">
      <c r="A2167" s="2"/>
      <c r="B2167" s="65" t="str">
        <f>IF($D2167="","","T"&amp;TEXT(ROW()-6,"00000"))</f>
        <v/>
      </c>
      <c r="C2167" s="65" t="str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61"/>
      <c r="E2167" s="66"/>
      <c r="F2167" s="67"/>
      <c r="G2167" s="60"/>
      <c r="H2167" s="60"/>
      <c r="I2167" s="61"/>
      <c r="J2167" s="61"/>
      <c r="K2167" s="61"/>
      <c r="L2167" s="73" t="str">
        <f>IF($E2167="","",DATE(YEAR($E2167),MONTH($E2167),1))</f>
        <v/>
      </c>
      <c r="M2167" s="65" t="str">
        <f ca="1">IF($D2167="","",IF($C2167="TANIMSIZ MÜŞTERİ","HATA",IF(OR($E2167="",$F2167&lt;=0,$G2167=""),"EKSİK",IF($E2167&gt;TODAY(),"İLERİ TARİH",IF(COUNTIF($S$7:$S$2503,$S2167)&gt;1,"MÜKERRER?",IF($T2167&gt;0,"KAPALI DÖNEM","UYGUN"))))))</f>
        <v/>
      </c>
      <c r="N2167" s="74" t="str">
        <f>IF($C2167="","",IF($C2167="TANIMSIZ MÜŞTERİ","—",INDEX(MUSTERILER!$C$7:$C$156,MATCH($C2167,MUSTERILER!$B$7:$B$156,0))))</f>
        <v/>
      </c>
      <c r="O2167" s="2"/>
      <c r="P2167" s="2"/>
      <c r="Q2167" s="1" t="str">
        <f>IF($D2167="","",$C2167&amp;"|"&amp;COUNTIFS($C$7:$C2167,$C2167))</f>
        <v/>
      </c>
      <c r="R2167" s="1" t="str">
        <f t="shared" si="66"/>
        <v/>
      </c>
      <c r="S2167" s="1" t="str">
        <f t="shared" si="67"/>
        <v/>
      </c>
      <c r="T2167" s="1">
        <f>IF($E2167="",0,SUMPRODUCT((AY_SONU!$O$7:$O$42="Evet")*(AY_SONU!$B$7:$B$42=DATE(YEAR($E2167),MONTH($E2167),1))))</f>
        <v>0</v>
      </c>
      <c r="U2167" s="1" t="str">
        <f>IF(OR($G2167="",$H2167="Mahsup"),"",$G2167&amp;"|"&amp;COUNTIFS($G$7:$G2167,$G2167,$H$7:$H2167,"&lt;&gt;Mahsup"))</f>
        <v/>
      </c>
    </row>
    <row r="2168" spans="1:21" ht="18" customHeight="1" x14ac:dyDescent="0.3">
      <c r="A2168" s="2"/>
      <c r="B2168" s="65" t="str">
        <f>IF($D2168="","","T"&amp;TEXT(ROW()-6,"00000"))</f>
        <v/>
      </c>
      <c r="C2168" s="65" t="str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61"/>
      <c r="E2168" s="66"/>
      <c r="F2168" s="67"/>
      <c r="G2168" s="60"/>
      <c r="H2168" s="60"/>
      <c r="I2168" s="61"/>
      <c r="J2168" s="61"/>
      <c r="K2168" s="61"/>
      <c r="L2168" s="73" t="str">
        <f>IF($E2168="","",DATE(YEAR($E2168),MONTH($E2168),1))</f>
        <v/>
      </c>
      <c r="M2168" s="65" t="str">
        <f ca="1">IF($D2168="","",IF($C2168="TANIMSIZ MÜŞTERİ","HATA",IF(OR($E2168="",$F2168&lt;=0,$G2168=""),"EKSİK",IF($E2168&gt;TODAY(),"İLERİ TARİH",IF(COUNTIF($S$7:$S$2503,$S2168)&gt;1,"MÜKERRER?",IF($T2168&gt;0,"KAPALI DÖNEM","UYGUN"))))))</f>
        <v/>
      </c>
      <c r="N2168" s="74" t="str">
        <f>IF($C2168="","",IF($C2168="TANIMSIZ MÜŞTERİ","—",INDEX(MUSTERILER!$C$7:$C$156,MATCH($C2168,MUSTERILER!$B$7:$B$156,0))))</f>
        <v/>
      </c>
      <c r="O2168" s="2"/>
      <c r="P2168" s="2"/>
      <c r="Q2168" s="1" t="str">
        <f>IF($D2168="","",$C2168&amp;"|"&amp;COUNTIFS($C$7:$C2168,$C2168))</f>
        <v/>
      </c>
      <c r="R2168" s="1" t="str">
        <f t="shared" si="66"/>
        <v/>
      </c>
      <c r="S2168" s="1" t="str">
        <f t="shared" si="67"/>
        <v/>
      </c>
      <c r="T2168" s="1">
        <f>IF($E2168="",0,SUMPRODUCT((AY_SONU!$O$7:$O$42="Evet")*(AY_SONU!$B$7:$B$42=DATE(YEAR($E2168),MONTH($E2168),1))))</f>
        <v>0</v>
      </c>
      <c r="U2168" s="1" t="str">
        <f>IF(OR($G2168="",$H2168="Mahsup"),"",$G2168&amp;"|"&amp;COUNTIFS($G$7:$G2168,$G2168,$H$7:$H2168,"&lt;&gt;Mahsup"))</f>
        <v/>
      </c>
    </row>
    <row r="2169" spans="1:21" ht="18" customHeight="1" x14ac:dyDescent="0.3">
      <c r="A2169" s="2"/>
      <c r="B2169" s="65" t="str">
        <f>IF($D2169="","","T"&amp;TEXT(ROW()-6,"00000"))</f>
        <v/>
      </c>
      <c r="C2169" s="65" t="str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61"/>
      <c r="E2169" s="66"/>
      <c r="F2169" s="67"/>
      <c r="G2169" s="60"/>
      <c r="H2169" s="60"/>
      <c r="I2169" s="61"/>
      <c r="J2169" s="61"/>
      <c r="K2169" s="61"/>
      <c r="L2169" s="73" t="str">
        <f>IF($E2169="","",DATE(YEAR($E2169),MONTH($E2169),1))</f>
        <v/>
      </c>
      <c r="M2169" s="65" t="str">
        <f ca="1">IF($D2169="","",IF($C2169="TANIMSIZ MÜŞTERİ","HATA",IF(OR($E2169="",$F2169&lt;=0,$G2169=""),"EKSİK",IF($E2169&gt;TODAY(),"İLERİ TARİH",IF(COUNTIF($S$7:$S$2503,$S2169)&gt;1,"MÜKERRER?",IF($T2169&gt;0,"KAPALI DÖNEM","UYGUN"))))))</f>
        <v/>
      </c>
      <c r="N2169" s="74" t="str">
        <f>IF($C2169="","",IF($C2169="TANIMSIZ MÜŞTERİ","—",INDEX(MUSTERILER!$C$7:$C$156,MATCH($C2169,MUSTERILER!$B$7:$B$156,0))))</f>
        <v/>
      </c>
      <c r="O2169" s="2"/>
      <c r="P2169" s="2"/>
      <c r="Q2169" s="1" t="str">
        <f>IF($D2169="","",$C2169&amp;"|"&amp;COUNTIFS($C$7:$C2169,$C2169))</f>
        <v/>
      </c>
      <c r="R2169" s="1" t="str">
        <f t="shared" si="66"/>
        <v/>
      </c>
      <c r="S2169" s="1" t="str">
        <f t="shared" si="67"/>
        <v/>
      </c>
      <c r="T2169" s="1">
        <f>IF($E2169="",0,SUMPRODUCT((AY_SONU!$O$7:$O$42="Evet")*(AY_SONU!$B$7:$B$42=DATE(YEAR($E2169),MONTH($E2169),1))))</f>
        <v>0</v>
      </c>
      <c r="U2169" s="1" t="str">
        <f>IF(OR($G2169="",$H2169="Mahsup"),"",$G2169&amp;"|"&amp;COUNTIFS($G$7:$G2169,$G2169,$H$7:$H2169,"&lt;&gt;Mahsup"))</f>
        <v/>
      </c>
    </row>
    <row r="2170" spans="1:21" ht="18" customHeight="1" x14ac:dyDescent="0.3">
      <c r="A2170" s="2"/>
      <c r="B2170" s="65" t="str">
        <f>IF($D2170="","","T"&amp;TEXT(ROW()-6,"00000"))</f>
        <v/>
      </c>
      <c r="C2170" s="65" t="str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61"/>
      <c r="E2170" s="66"/>
      <c r="F2170" s="67"/>
      <c r="G2170" s="60"/>
      <c r="H2170" s="60"/>
      <c r="I2170" s="61"/>
      <c r="J2170" s="61"/>
      <c r="K2170" s="61"/>
      <c r="L2170" s="73" t="str">
        <f>IF($E2170="","",DATE(YEAR($E2170),MONTH($E2170),1))</f>
        <v/>
      </c>
      <c r="M2170" s="65" t="str">
        <f ca="1">IF($D2170="","",IF($C2170="TANIMSIZ MÜŞTERİ","HATA",IF(OR($E2170="",$F2170&lt;=0,$G2170=""),"EKSİK",IF($E2170&gt;TODAY(),"İLERİ TARİH",IF(COUNTIF($S$7:$S$2503,$S2170)&gt;1,"MÜKERRER?",IF($T2170&gt;0,"KAPALI DÖNEM","UYGUN"))))))</f>
        <v/>
      </c>
      <c r="N2170" s="74" t="str">
        <f>IF($C2170="","",IF($C2170="TANIMSIZ MÜŞTERİ","—",INDEX(MUSTERILER!$C$7:$C$156,MATCH($C2170,MUSTERILER!$B$7:$B$156,0))))</f>
        <v/>
      </c>
      <c r="O2170" s="2"/>
      <c r="P2170" s="2"/>
      <c r="Q2170" s="1" t="str">
        <f>IF($D2170="","",$C2170&amp;"|"&amp;COUNTIFS($C$7:$C2170,$C2170))</f>
        <v/>
      </c>
      <c r="R2170" s="1" t="str">
        <f t="shared" si="66"/>
        <v/>
      </c>
      <c r="S2170" s="1" t="str">
        <f t="shared" si="67"/>
        <v/>
      </c>
      <c r="T2170" s="1">
        <f>IF($E2170="",0,SUMPRODUCT((AY_SONU!$O$7:$O$42="Evet")*(AY_SONU!$B$7:$B$42=DATE(YEAR($E2170),MONTH($E2170),1))))</f>
        <v>0</v>
      </c>
      <c r="U2170" s="1" t="str">
        <f>IF(OR($G2170="",$H2170="Mahsup"),"",$G2170&amp;"|"&amp;COUNTIFS($G$7:$G2170,$G2170,$H$7:$H2170,"&lt;&gt;Mahsup"))</f>
        <v/>
      </c>
    </row>
    <row r="2171" spans="1:21" ht="18" customHeight="1" x14ac:dyDescent="0.3">
      <c r="A2171" s="2"/>
      <c r="B2171" s="65" t="str">
        <f>IF($D2171="","","T"&amp;TEXT(ROW()-6,"00000"))</f>
        <v/>
      </c>
      <c r="C2171" s="65" t="str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61"/>
      <c r="E2171" s="66"/>
      <c r="F2171" s="67"/>
      <c r="G2171" s="60"/>
      <c r="H2171" s="60"/>
      <c r="I2171" s="61"/>
      <c r="J2171" s="61"/>
      <c r="K2171" s="61"/>
      <c r="L2171" s="73" t="str">
        <f>IF($E2171="","",DATE(YEAR($E2171),MONTH($E2171),1))</f>
        <v/>
      </c>
      <c r="M2171" s="65" t="str">
        <f ca="1">IF($D2171="","",IF($C2171="TANIMSIZ MÜŞTERİ","HATA",IF(OR($E2171="",$F2171&lt;=0,$G2171=""),"EKSİK",IF($E2171&gt;TODAY(),"İLERİ TARİH",IF(COUNTIF($S$7:$S$2503,$S2171)&gt;1,"MÜKERRER?",IF($T2171&gt;0,"KAPALI DÖNEM","UYGUN"))))))</f>
        <v/>
      </c>
      <c r="N2171" s="74" t="str">
        <f>IF($C2171="","",IF($C2171="TANIMSIZ MÜŞTERİ","—",INDEX(MUSTERILER!$C$7:$C$156,MATCH($C2171,MUSTERILER!$B$7:$B$156,0))))</f>
        <v/>
      </c>
      <c r="O2171" s="2"/>
      <c r="P2171" s="2"/>
      <c r="Q2171" s="1" t="str">
        <f>IF($D2171="","",$C2171&amp;"|"&amp;COUNTIFS($C$7:$C2171,$C2171))</f>
        <v/>
      </c>
      <c r="R2171" s="1" t="str">
        <f t="shared" si="66"/>
        <v/>
      </c>
      <c r="S2171" s="1" t="str">
        <f t="shared" si="67"/>
        <v/>
      </c>
      <c r="T2171" s="1">
        <f>IF($E2171="",0,SUMPRODUCT((AY_SONU!$O$7:$O$42="Evet")*(AY_SONU!$B$7:$B$42=DATE(YEAR($E2171),MONTH($E2171),1))))</f>
        <v>0</v>
      </c>
      <c r="U2171" s="1" t="str">
        <f>IF(OR($G2171="",$H2171="Mahsup"),"",$G2171&amp;"|"&amp;COUNTIFS($G$7:$G2171,$G2171,$H$7:$H2171,"&lt;&gt;Mahsup"))</f>
        <v/>
      </c>
    </row>
    <row r="2172" spans="1:21" ht="18" customHeight="1" x14ac:dyDescent="0.3">
      <c r="A2172" s="2"/>
      <c r="B2172" s="65" t="str">
        <f>IF($D2172="","","T"&amp;TEXT(ROW()-6,"00000"))</f>
        <v/>
      </c>
      <c r="C2172" s="65" t="str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61"/>
      <c r="E2172" s="66"/>
      <c r="F2172" s="67"/>
      <c r="G2172" s="60"/>
      <c r="H2172" s="60"/>
      <c r="I2172" s="61"/>
      <c r="J2172" s="61"/>
      <c r="K2172" s="61"/>
      <c r="L2172" s="73" t="str">
        <f>IF($E2172="","",DATE(YEAR($E2172),MONTH($E2172),1))</f>
        <v/>
      </c>
      <c r="M2172" s="65" t="str">
        <f ca="1">IF($D2172="","",IF($C2172="TANIMSIZ MÜŞTERİ","HATA",IF(OR($E2172="",$F2172&lt;=0,$G2172=""),"EKSİK",IF($E2172&gt;TODAY(),"İLERİ TARİH",IF(COUNTIF($S$7:$S$2503,$S2172)&gt;1,"MÜKERRER?",IF($T2172&gt;0,"KAPALI DÖNEM","UYGUN"))))))</f>
        <v/>
      </c>
      <c r="N2172" s="74" t="str">
        <f>IF($C2172="","",IF($C2172="TANIMSIZ MÜŞTERİ","—",INDEX(MUSTERILER!$C$7:$C$156,MATCH($C2172,MUSTERILER!$B$7:$B$156,0))))</f>
        <v/>
      </c>
      <c r="O2172" s="2"/>
      <c r="P2172" s="2"/>
      <c r="Q2172" s="1" t="str">
        <f>IF($D2172="","",$C2172&amp;"|"&amp;COUNTIFS($C$7:$C2172,$C2172))</f>
        <v/>
      </c>
      <c r="R2172" s="1" t="str">
        <f t="shared" si="66"/>
        <v/>
      </c>
      <c r="S2172" s="1" t="str">
        <f t="shared" si="67"/>
        <v/>
      </c>
      <c r="T2172" s="1">
        <f>IF($E2172="",0,SUMPRODUCT((AY_SONU!$O$7:$O$42="Evet")*(AY_SONU!$B$7:$B$42=DATE(YEAR($E2172),MONTH($E2172),1))))</f>
        <v>0</v>
      </c>
      <c r="U2172" s="1" t="str">
        <f>IF(OR($G2172="",$H2172="Mahsup"),"",$G2172&amp;"|"&amp;COUNTIFS($G$7:$G2172,$G2172,$H$7:$H2172,"&lt;&gt;Mahsup"))</f>
        <v/>
      </c>
    </row>
    <row r="2173" spans="1:21" ht="18" customHeight="1" x14ac:dyDescent="0.3">
      <c r="A2173" s="2"/>
      <c r="B2173" s="65" t="str">
        <f>IF($D2173="","","T"&amp;TEXT(ROW()-6,"00000"))</f>
        <v/>
      </c>
      <c r="C2173" s="65" t="str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61"/>
      <c r="E2173" s="66"/>
      <c r="F2173" s="67"/>
      <c r="G2173" s="60"/>
      <c r="H2173" s="60"/>
      <c r="I2173" s="61"/>
      <c r="J2173" s="61"/>
      <c r="K2173" s="61"/>
      <c r="L2173" s="73" t="str">
        <f>IF($E2173="","",DATE(YEAR($E2173),MONTH($E2173),1))</f>
        <v/>
      </c>
      <c r="M2173" s="65" t="str">
        <f ca="1">IF($D2173="","",IF($C2173="TANIMSIZ MÜŞTERİ","HATA",IF(OR($E2173="",$F2173&lt;=0,$G2173=""),"EKSİK",IF($E2173&gt;TODAY(),"İLERİ TARİH",IF(COUNTIF($S$7:$S$2503,$S2173)&gt;1,"MÜKERRER?",IF($T2173&gt;0,"KAPALI DÖNEM","UYGUN"))))))</f>
        <v/>
      </c>
      <c r="N2173" s="74" t="str">
        <f>IF($C2173="","",IF($C2173="TANIMSIZ MÜŞTERİ","—",INDEX(MUSTERILER!$C$7:$C$156,MATCH($C2173,MUSTERILER!$B$7:$B$156,0))))</f>
        <v/>
      </c>
      <c r="O2173" s="2"/>
      <c r="P2173" s="2"/>
      <c r="Q2173" s="1" t="str">
        <f>IF($D2173="","",$C2173&amp;"|"&amp;COUNTIFS($C$7:$C2173,$C2173))</f>
        <v/>
      </c>
      <c r="R2173" s="1" t="str">
        <f t="shared" si="66"/>
        <v/>
      </c>
      <c r="S2173" s="1" t="str">
        <f t="shared" si="67"/>
        <v/>
      </c>
      <c r="T2173" s="1">
        <f>IF($E2173="",0,SUMPRODUCT((AY_SONU!$O$7:$O$42="Evet")*(AY_SONU!$B$7:$B$42=DATE(YEAR($E2173),MONTH($E2173),1))))</f>
        <v>0</v>
      </c>
      <c r="U2173" s="1" t="str">
        <f>IF(OR($G2173="",$H2173="Mahsup"),"",$G2173&amp;"|"&amp;COUNTIFS($G$7:$G2173,$G2173,$H$7:$H2173,"&lt;&gt;Mahsup"))</f>
        <v/>
      </c>
    </row>
    <row r="2174" spans="1:21" ht="18" customHeight="1" x14ac:dyDescent="0.3">
      <c r="A2174" s="2"/>
      <c r="B2174" s="65" t="str">
        <f>IF($D2174="","","T"&amp;TEXT(ROW()-6,"00000"))</f>
        <v/>
      </c>
      <c r="C2174" s="65" t="str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61"/>
      <c r="E2174" s="66"/>
      <c r="F2174" s="67"/>
      <c r="G2174" s="60"/>
      <c r="H2174" s="60"/>
      <c r="I2174" s="61"/>
      <c r="J2174" s="61"/>
      <c r="K2174" s="61"/>
      <c r="L2174" s="73" t="str">
        <f>IF($E2174="","",DATE(YEAR($E2174),MONTH($E2174),1))</f>
        <v/>
      </c>
      <c r="M2174" s="65" t="str">
        <f ca="1">IF($D2174="","",IF($C2174="TANIMSIZ MÜŞTERİ","HATA",IF(OR($E2174="",$F2174&lt;=0,$G2174=""),"EKSİK",IF($E2174&gt;TODAY(),"İLERİ TARİH",IF(COUNTIF($S$7:$S$2503,$S2174)&gt;1,"MÜKERRER?",IF($T2174&gt;0,"KAPALI DÖNEM","UYGUN"))))))</f>
        <v/>
      </c>
      <c r="N2174" s="74" t="str">
        <f>IF($C2174="","",IF($C2174="TANIMSIZ MÜŞTERİ","—",INDEX(MUSTERILER!$C$7:$C$156,MATCH($C2174,MUSTERILER!$B$7:$B$156,0))))</f>
        <v/>
      </c>
      <c r="O2174" s="2"/>
      <c r="P2174" s="2"/>
      <c r="Q2174" s="1" t="str">
        <f>IF($D2174="","",$C2174&amp;"|"&amp;COUNTIFS($C$7:$C2174,$C2174))</f>
        <v/>
      </c>
      <c r="R2174" s="1" t="str">
        <f t="shared" si="66"/>
        <v/>
      </c>
      <c r="S2174" s="1" t="str">
        <f t="shared" si="67"/>
        <v/>
      </c>
      <c r="T2174" s="1">
        <f>IF($E2174="",0,SUMPRODUCT((AY_SONU!$O$7:$O$42="Evet")*(AY_SONU!$B$7:$B$42=DATE(YEAR($E2174),MONTH($E2174),1))))</f>
        <v>0</v>
      </c>
      <c r="U2174" s="1" t="str">
        <f>IF(OR($G2174="",$H2174="Mahsup"),"",$G2174&amp;"|"&amp;COUNTIFS($G$7:$G2174,$G2174,$H$7:$H2174,"&lt;&gt;Mahsup"))</f>
        <v/>
      </c>
    </row>
    <row r="2175" spans="1:21" ht="18" customHeight="1" x14ac:dyDescent="0.3">
      <c r="A2175" s="2"/>
      <c r="B2175" s="65" t="str">
        <f>IF($D2175="","","T"&amp;TEXT(ROW()-6,"00000"))</f>
        <v/>
      </c>
      <c r="C2175" s="65" t="str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61"/>
      <c r="E2175" s="66"/>
      <c r="F2175" s="67"/>
      <c r="G2175" s="60"/>
      <c r="H2175" s="60"/>
      <c r="I2175" s="61"/>
      <c r="J2175" s="61"/>
      <c r="K2175" s="61"/>
      <c r="L2175" s="73" t="str">
        <f>IF($E2175="","",DATE(YEAR($E2175),MONTH($E2175),1))</f>
        <v/>
      </c>
      <c r="M2175" s="65" t="str">
        <f ca="1">IF($D2175="","",IF($C2175="TANIMSIZ MÜŞTERİ","HATA",IF(OR($E2175="",$F2175&lt;=0,$G2175=""),"EKSİK",IF($E2175&gt;TODAY(),"İLERİ TARİH",IF(COUNTIF($S$7:$S$2503,$S2175)&gt;1,"MÜKERRER?",IF($T2175&gt;0,"KAPALI DÖNEM","UYGUN"))))))</f>
        <v/>
      </c>
      <c r="N2175" s="74" t="str">
        <f>IF($C2175="","",IF($C2175="TANIMSIZ MÜŞTERİ","—",INDEX(MUSTERILER!$C$7:$C$156,MATCH($C2175,MUSTERILER!$B$7:$B$156,0))))</f>
        <v/>
      </c>
      <c r="O2175" s="2"/>
      <c r="P2175" s="2"/>
      <c r="Q2175" s="1" t="str">
        <f>IF($D2175="","",$C2175&amp;"|"&amp;COUNTIFS($C$7:$C2175,$C2175))</f>
        <v/>
      </c>
      <c r="R2175" s="1" t="str">
        <f t="shared" si="66"/>
        <v/>
      </c>
      <c r="S2175" s="1" t="str">
        <f t="shared" si="67"/>
        <v/>
      </c>
      <c r="T2175" s="1">
        <f>IF($E2175="",0,SUMPRODUCT((AY_SONU!$O$7:$O$42="Evet")*(AY_SONU!$B$7:$B$42=DATE(YEAR($E2175),MONTH($E2175),1))))</f>
        <v>0</v>
      </c>
      <c r="U2175" s="1" t="str">
        <f>IF(OR($G2175="",$H2175="Mahsup"),"",$G2175&amp;"|"&amp;COUNTIFS($G$7:$G2175,$G2175,$H$7:$H2175,"&lt;&gt;Mahsup"))</f>
        <v/>
      </c>
    </row>
    <row r="2176" spans="1:21" ht="18" customHeight="1" x14ac:dyDescent="0.3">
      <c r="A2176" s="2"/>
      <c r="B2176" s="65" t="str">
        <f>IF($D2176="","","T"&amp;TEXT(ROW()-6,"00000"))</f>
        <v/>
      </c>
      <c r="C2176" s="65" t="str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61"/>
      <c r="E2176" s="66"/>
      <c r="F2176" s="67"/>
      <c r="G2176" s="60"/>
      <c r="H2176" s="60"/>
      <c r="I2176" s="61"/>
      <c r="J2176" s="61"/>
      <c r="K2176" s="61"/>
      <c r="L2176" s="73" t="str">
        <f>IF($E2176="","",DATE(YEAR($E2176),MONTH($E2176),1))</f>
        <v/>
      </c>
      <c r="M2176" s="65" t="str">
        <f ca="1">IF($D2176="","",IF($C2176="TANIMSIZ MÜŞTERİ","HATA",IF(OR($E2176="",$F2176&lt;=0,$G2176=""),"EKSİK",IF($E2176&gt;TODAY(),"İLERİ TARİH",IF(COUNTIF($S$7:$S$2503,$S2176)&gt;1,"MÜKERRER?",IF($T2176&gt;0,"KAPALI DÖNEM","UYGUN"))))))</f>
        <v/>
      </c>
      <c r="N2176" s="74" t="str">
        <f>IF($C2176="","",IF($C2176="TANIMSIZ MÜŞTERİ","—",INDEX(MUSTERILER!$C$7:$C$156,MATCH($C2176,MUSTERILER!$B$7:$B$156,0))))</f>
        <v/>
      </c>
      <c r="O2176" s="2"/>
      <c r="P2176" s="2"/>
      <c r="Q2176" s="1" t="str">
        <f>IF($D2176="","",$C2176&amp;"|"&amp;COUNTIFS($C$7:$C2176,$C2176))</f>
        <v/>
      </c>
      <c r="R2176" s="1" t="str">
        <f t="shared" si="66"/>
        <v/>
      </c>
      <c r="S2176" s="1" t="str">
        <f t="shared" si="67"/>
        <v/>
      </c>
      <c r="T2176" s="1">
        <f>IF($E2176="",0,SUMPRODUCT((AY_SONU!$O$7:$O$42="Evet")*(AY_SONU!$B$7:$B$42=DATE(YEAR($E2176),MONTH($E2176),1))))</f>
        <v>0</v>
      </c>
      <c r="U2176" s="1" t="str">
        <f>IF(OR($G2176="",$H2176="Mahsup"),"",$G2176&amp;"|"&amp;COUNTIFS($G$7:$G2176,$G2176,$H$7:$H2176,"&lt;&gt;Mahsup"))</f>
        <v/>
      </c>
    </row>
    <row r="2177" spans="1:21" ht="18" customHeight="1" x14ac:dyDescent="0.3">
      <c r="A2177" s="2"/>
      <c r="B2177" s="65" t="str">
        <f>IF($D2177="","","T"&amp;TEXT(ROW()-6,"00000"))</f>
        <v/>
      </c>
      <c r="C2177" s="65" t="str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61"/>
      <c r="E2177" s="66"/>
      <c r="F2177" s="67"/>
      <c r="G2177" s="60"/>
      <c r="H2177" s="60"/>
      <c r="I2177" s="61"/>
      <c r="J2177" s="61"/>
      <c r="K2177" s="61"/>
      <c r="L2177" s="73" t="str">
        <f>IF($E2177="","",DATE(YEAR($E2177),MONTH($E2177),1))</f>
        <v/>
      </c>
      <c r="M2177" s="65" t="str">
        <f ca="1">IF($D2177="","",IF($C2177="TANIMSIZ MÜŞTERİ","HATA",IF(OR($E2177="",$F2177&lt;=0,$G2177=""),"EKSİK",IF($E2177&gt;TODAY(),"İLERİ TARİH",IF(COUNTIF($S$7:$S$2503,$S2177)&gt;1,"MÜKERRER?",IF($T2177&gt;0,"KAPALI DÖNEM","UYGUN"))))))</f>
        <v/>
      </c>
      <c r="N2177" s="74" t="str">
        <f>IF($C2177="","",IF($C2177="TANIMSIZ MÜŞTERİ","—",INDEX(MUSTERILER!$C$7:$C$156,MATCH($C2177,MUSTERILER!$B$7:$B$156,0))))</f>
        <v/>
      </c>
      <c r="O2177" s="2"/>
      <c r="P2177" s="2"/>
      <c r="Q2177" s="1" t="str">
        <f>IF($D2177="","",$C2177&amp;"|"&amp;COUNTIFS($C$7:$C2177,$C2177))</f>
        <v/>
      </c>
      <c r="R2177" s="1" t="str">
        <f t="shared" si="66"/>
        <v/>
      </c>
      <c r="S2177" s="1" t="str">
        <f t="shared" si="67"/>
        <v/>
      </c>
      <c r="T2177" s="1">
        <f>IF($E2177="",0,SUMPRODUCT((AY_SONU!$O$7:$O$42="Evet")*(AY_SONU!$B$7:$B$42=DATE(YEAR($E2177),MONTH($E2177),1))))</f>
        <v>0</v>
      </c>
      <c r="U2177" s="1" t="str">
        <f>IF(OR($G2177="",$H2177="Mahsup"),"",$G2177&amp;"|"&amp;COUNTIFS($G$7:$G2177,$G2177,$H$7:$H2177,"&lt;&gt;Mahsup"))</f>
        <v/>
      </c>
    </row>
    <row r="2178" spans="1:21" ht="18" customHeight="1" x14ac:dyDescent="0.3">
      <c r="A2178" s="2"/>
      <c r="B2178" s="65" t="str">
        <f>IF($D2178="","","T"&amp;TEXT(ROW()-6,"00000"))</f>
        <v/>
      </c>
      <c r="C2178" s="65" t="str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61"/>
      <c r="E2178" s="66"/>
      <c r="F2178" s="67"/>
      <c r="G2178" s="60"/>
      <c r="H2178" s="60"/>
      <c r="I2178" s="61"/>
      <c r="J2178" s="61"/>
      <c r="K2178" s="61"/>
      <c r="L2178" s="73" t="str">
        <f>IF($E2178="","",DATE(YEAR($E2178),MONTH($E2178),1))</f>
        <v/>
      </c>
      <c r="M2178" s="65" t="str">
        <f ca="1">IF($D2178="","",IF($C2178="TANIMSIZ MÜŞTERİ","HATA",IF(OR($E2178="",$F2178&lt;=0,$G2178=""),"EKSİK",IF($E2178&gt;TODAY(),"İLERİ TARİH",IF(COUNTIF($S$7:$S$2503,$S2178)&gt;1,"MÜKERRER?",IF($T2178&gt;0,"KAPALI DÖNEM","UYGUN"))))))</f>
        <v/>
      </c>
      <c r="N2178" s="74" t="str">
        <f>IF($C2178="","",IF($C2178="TANIMSIZ MÜŞTERİ","—",INDEX(MUSTERILER!$C$7:$C$156,MATCH($C2178,MUSTERILER!$B$7:$B$156,0))))</f>
        <v/>
      </c>
      <c r="O2178" s="2"/>
      <c r="P2178" s="2"/>
      <c r="Q2178" s="1" t="str">
        <f>IF($D2178="","",$C2178&amp;"|"&amp;COUNTIFS($C$7:$C2178,$C2178))</f>
        <v/>
      </c>
      <c r="R2178" s="1" t="str">
        <f t="shared" si="66"/>
        <v/>
      </c>
      <c r="S2178" s="1" t="str">
        <f t="shared" si="67"/>
        <v/>
      </c>
      <c r="T2178" s="1">
        <f>IF($E2178="",0,SUMPRODUCT((AY_SONU!$O$7:$O$42="Evet")*(AY_SONU!$B$7:$B$42=DATE(YEAR($E2178),MONTH($E2178),1))))</f>
        <v>0</v>
      </c>
      <c r="U2178" s="1" t="str">
        <f>IF(OR($G2178="",$H2178="Mahsup"),"",$G2178&amp;"|"&amp;COUNTIFS($G$7:$G2178,$G2178,$H$7:$H2178,"&lt;&gt;Mahsup"))</f>
        <v/>
      </c>
    </row>
    <row r="2179" spans="1:21" ht="18" customHeight="1" x14ac:dyDescent="0.3">
      <c r="A2179" s="2"/>
      <c r="B2179" s="65" t="str">
        <f>IF($D2179="","","T"&amp;TEXT(ROW()-6,"00000"))</f>
        <v/>
      </c>
      <c r="C2179" s="65" t="str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61"/>
      <c r="E2179" s="66"/>
      <c r="F2179" s="67"/>
      <c r="G2179" s="60"/>
      <c r="H2179" s="60"/>
      <c r="I2179" s="61"/>
      <c r="J2179" s="61"/>
      <c r="K2179" s="61"/>
      <c r="L2179" s="73" t="str">
        <f>IF($E2179="","",DATE(YEAR($E2179),MONTH($E2179),1))</f>
        <v/>
      </c>
      <c r="M2179" s="65" t="str">
        <f ca="1">IF($D2179="","",IF($C2179="TANIMSIZ MÜŞTERİ","HATA",IF(OR($E2179="",$F2179&lt;=0,$G2179=""),"EKSİK",IF($E2179&gt;TODAY(),"İLERİ TARİH",IF(COUNTIF($S$7:$S$2503,$S2179)&gt;1,"MÜKERRER?",IF($T2179&gt;0,"KAPALI DÖNEM","UYGUN"))))))</f>
        <v/>
      </c>
      <c r="N2179" s="74" t="str">
        <f>IF($C2179="","",IF($C2179="TANIMSIZ MÜŞTERİ","—",INDEX(MUSTERILER!$C$7:$C$156,MATCH($C2179,MUSTERILER!$B$7:$B$156,0))))</f>
        <v/>
      </c>
      <c r="O2179" s="2"/>
      <c r="P2179" s="2"/>
      <c r="Q2179" s="1" t="str">
        <f>IF($D2179="","",$C2179&amp;"|"&amp;COUNTIFS($C$7:$C2179,$C2179))</f>
        <v/>
      </c>
      <c r="R2179" s="1" t="str">
        <f t="shared" si="66"/>
        <v/>
      </c>
      <c r="S2179" s="1" t="str">
        <f t="shared" si="67"/>
        <v/>
      </c>
      <c r="T2179" s="1">
        <f>IF($E2179="",0,SUMPRODUCT((AY_SONU!$O$7:$O$42="Evet")*(AY_SONU!$B$7:$B$42=DATE(YEAR($E2179),MONTH($E2179),1))))</f>
        <v>0</v>
      </c>
      <c r="U2179" s="1" t="str">
        <f>IF(OR($G2179="",$H2179="Mahsup"),"",$G2179&amp;"|"&amp;COUNTIFS($G$7:$G2179,$G2179,$H$7:$H2179,"&lt;&gt;Mahsup"))</f>
        <v/>
      </c>
    </row>
    <row r="2180" spans="1:21" ht="18" customHeight="1" x14ac:dyDescent="0.3">
      <c r="A2180" s="2"/>
      <c r="B2180" s="65" t="str">
        <f>IF($D2180="","","T"&amp;TEXT(ROW()-6,"00000"))</f>
        <v/>
      </c>
      <c r="C2180" s="65" t="str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61"/>
      <c r="E2180" s="66"/>
      <c r="F2180" s="67"/>
      <c r="G2180" s="60"/>
      <c r="H2180" s="60"/>
      <c r="I2180" s="61"/>
      <c r="J2180" s="61"/>
      <c r="K2180" s="61"/>
      <c r="L2180" s="73" t="str">
        <f>IF($E2180="","",DATE(YEAR($E2180),MONTH($E2180),1))</f>
        <v/>
      </c>
      <c r="M2180" s="65" t="str">
        <f ca="1">IF($D2180="","",IF($C2180="TANIMSIZ MÜŞTERİ","HATA",IF(OR($E2180="",$F2180&lt;=0,$G2180=""),"EKSİK",IF($E2180&gt;TODAY(),"İLERİ TARİH",IF(COUNTIF($S$7:$S$2503,$S2180)&gt;1,"MÜKERRER?",IF($T2180&gt;0,"KAPALI DÖNEM","UYGUN"))))))</f>
        <v/>
      </c>
      <c r="N2180" s="74" t="str">
        <f>IF($C2180="","",IF($C2180="TANIMSIZ MÜŞTERİ","—",INDEX(MUSTERILER!$C$7:$C$156,MATCH($C2180,MUSTERILER!$B$7:$B$156,0))))</f>
        <v/>
      </c>
      <c r="O2180" s="2"/>
      <c r="P2180" s="2"/>
      <c r="Q2180" s="1" t="str">
        <f>IF($D2180="","",$C2180&amp;"|"&amp;COUNTIFS($C$7:$C2180,$C2180))</f>
        <v/>
      </c>
      <c r="R2180" s="1" t="str">
        <f t="shared" si="66"/>
        <v/>
      </c>
      <c r="S2180" s="1" t="str">
        <f t="shared" si="67"/>
        <v/>
      </c>
      <c r="T2180" s="1">
        <f>IF($E2180="",0,SUMPRODUCT((AY_SONU!$O$7:$O$42="Evet")*(AY_SONU!$B$7:$B$42=DATE(YEAR($E2180),MONTH($E2180),1))))</f>
        <v>0</v>
      </c>
      <c r="U2180" s="1" t="str">
        <f>IF(OR($G2180="",$H2180="Mahsup"),"",$G2180&amp;"|"&amp;COUNTIFS($G$7:$G2180,$G2180,$H$7:$H2180,"&lt;&gt;Mahsup"))</f>
        <v/>
      </c>
    </row>
    <row r="2181" spans="1:21" ht="18" customHeight="1" x14ac:dyDescent="0.3">
      <c r="A2181" s="2"/>
      <c r="B2181" s="65" t="str">
        <f>IF($D2181="","","T"&amp;TEXT(ROW()-6,"00000"))</f>
        <v/>
      </c>
      <c r="C2181" s="65" t="str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61"/>
      <c r="E2181" s="66"/>
      <c r="F2181" s="67"/>
      <c r="G2181" s="60"/>
      <c r="H2181" s="60"/>
      <c r="I2181" s="61"/>
      <c r="J2181" s="61"/>
      <c r="K2181" s="61"/>
      <c r="L2181" s="73" t="str">
        <f>IF($E2181="","",DATE(YEAR($E2181),MONTH($E2181),1))</f>
        <v/>
      </c>
      <c r="M2181" s="65" t="str">
        <f ca="1">IF($D2181="","",IF($C2181="TANIMSIZ MÜŞTERİ","HATA",IF(OR($E2181="",$F2181&lt;=0,$G2181=""),"EKSİK",IF($E2181&gt;TODAY(),"İLERİ TARİH",IF(COUNTIF($S$7:$S$2503,$S2181)&gt;1,"MÜKERRER?",IF($T2181&gt;0,"KAPALI DÖNEM","UYGUN"))))))</f>
        <v/>
      </c>
      <c r="N2181" s="74" t="str">
        <f>IF($C2181="","",IF($C2181="TANIMSIZ MÜŞTERİ","—",INDEX(MUSTERILER!$C$7:$C$156,MATCH($C2181,MUSTERILER!$B$7:$B$156,0))))</f>
        <v/>
      </c>
      <c r="O2181" s="2"/>
      <c r="P2181" s="2"/>
      <c r="Q2181" s="1" t="str">
        <f>IF($D2181="","",$C2181&amp;"|"&amp;COUNTIFS($C$7:$C2181,$C2181))</f>
        <v/>
      </c>
      <c r="R2181" s="1" t="str">
        <f t="shared" si="66"/>
        <v/>
      </c>
      <c r="S2181" s="1" t="str">
        <f t="shared" si="67"/>
        <v/>
      </c>
      <c r="T2181" s="1">
        <f>IF($E2181="",0,SUMPRODUCT((AY_SONU!$O$7:$O$42="Evet")*(AY_SONU!$B$7:$B$42=DATE(YEAR($E2181),MONTH($E2181),1))))</f>
        <v>0</v>
      </c>
      <c r="U2181" s="1" t="str">
        <f>IF(OR($G2181="",$H2181="Mahsup"),"",$G2181&amp;"|"&amp;COUNTIFS($G$7:$G2181,$G2181,$H$7:$H2181,"&lt;&gt;Mahsup"))</f>
        <v/>
      </c>
    </row>
    <row r="2182" spans="1:21" ht="18" customHeight="1" x14ac:dyDescent="0.3">
      <c r="A2182" s="2"/>
      <c r="B2182" s="65" t="str">
        <f>IF($D2182="","","T"&amp;TEXT(ROW()-6,"00000"))</f>
        <v/>
      </c>
      <c r="C2182" s="65" t="str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61"/>
      <c r="E2182" s="66"/>
      <c r="F2182" s="67"/>
      <c r="G2182" s="60"/>
      <c r="H2182" s="60"/>
      <c r="I2182" s="61"/>
      <c r="J2182" s="61"/>
      <c r="K2182" s="61"/>
      <c r="L2182" s="73" t="str">
        <f>IF($E2182="","",DATE(YEAR($E2182),MONTH($E2182),1))</f>
        <v/>
      </c>
      <c r="M2182" s="65" t="str">
        <f ca="1">IF($D2182="","",IF($C2182="TANIMSIZ MÜŞTERİ","HATA",IF(OR($E2182="",$F2182&lt;=0,$G2182=""),"EKSİK",IF($E2182&gt;TODAY(),"İLERİ TARİH",IF(COUNTIF($S$7:$S$2503,$S2182)&gt;1,"MÜKERRER?",IF($T2182&gt;0,"KAPALI DÖNEM","UYGUN"))))))</f>
        <v/>
      </c>
      <c r="N2182" s="74" t="str">
        <f>IF($C2182="","",IF($C2182="TANIMSIZ MÜŞTERİ","—",INDEX(MUSTERILER!$C$7:$C$156,MATCH($C2182,MUSTERILER!$B$7:$B$156,0))))</f>
        <v/>
      </c>
      <c r="O2182" s="2"/>
      <c r="P2182" s="2"/>
      <c r="Q2182" s="1" t="str">
        <f>IF($D2182="","",$C2182&amp;"|"&amp;COUNTIFS($C$7:$C2182,$C2182))</f>
        <v/>
      </c>
      <c r="R2182" s="1" t="str">
        <f t="shared" si="66"/>
        <v/>
      </c>
      <c r="S2182" s="1" t="str">
        <f t="shared" si="67"/>
        <v/>
      </c>
      <c r="T2182" s="1">
        <f>IF($E2182="",0,SUMPRODUCT((AY_SONU!$O$7:$O$42="Evet")*(AY_SONU!$B$7:$B$42=DATE(YEAR($E2182),MONTH($E2182),1))))</f>
        <v>0</v>
      </c>
      <c r="U2182" s="1" t="str">
        <f>IF(OR($G2182="",$H2182="Mahsup"),"",$G2182&amp;"|"&amp;COUNTIFS($G$7:$G2182,$G2182,$H$7:$H2182,"&lt;&gt;Mahsup"))</f>
        <v/>
      </c>
    </row>
    <row r="2183" spans="1:21" ht="18" customHeight="1" x14ac:dyDescent="0.3">
      <c r="A2183" s="2"/>
      <c r="B2183" s="65" t="str">
        <f>IF($D2183="","","T"&amp;TEXT(ROW()-6,"00000"))</f>
        <v/>
      </c>
      <c r="C2183" s="65" t="str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61"/>
      <c r="E2183" s="66"/>
      <c r="F2183" s="67"/>
      <c r="G2183" s="60"/>
      <c r="H2183" s="60"/>
      <c r="I2183" s="61"/>
      <c r="J2183" s="61"/>
      <c r="K2183" s="61"/>
      <c r="L2183" s="73" t="str">
        <f>IF($E2183="","",DATE(YEAR($E2183),MONTH($E2183),1))</f>
        <v/>
      </c>
      <c r="M2183" s="65" t="str">
        <f ca="1">IF($D2183="","",IF($C2183="TANIMSIZ MÜŞTERİ","HATA",IF(OR($E2183="",$F2183&lt;=0,$G2183=""),"EKSİK",IF($E2183&gt;TODAY(),"İLERİ TARİH",IF(COUNTIF($S$7:$S$2503,$S2183)&gt;1,"MÜKERRER?",IF($T2183&gt;0,"KAPALI DÖNEM","UYGUN"))))))</f>
        <v/>
      </c>
      <c r="N2183" s="74" t="str">
        <f>IF($C2183="","",IF($C2183="TANIMSIZ MÜŞTERİ","—",INDEX(MUSTERILER!$C$7:$C$156,MATCH($C2183,MUSTERILER!$B$7:$B$156,0))))</f>
        <v/>
      </c>
      <c r="O2183" s="2"/>
      <c r="P2183" s="2"/>
      <c r="Q2183" s="1" t="str">
        <f>IF($D2183="","",$C2183&amp;"|"&amp;COUNTIFS($C$7:$C2183,$C2183))</f>
        <v/>
      </c>
      <c r="R2183" s="1" t="str">
        <f t="shared" ref="R2183:R2246" si="68"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" t="str">
        <f t="shared" ref="S2183:S2246" si="69">IF($D2183="","",$C2183&amp;"|"&amp;TEXT($E2183,"0")&amp;"|"&amp;TEXT($F2183,"0")&amp;"|"&amp;$I2183)</f>
        <v/>
      </c>
      <c r="T2183" s="1">
        <f>IF($E2183="",0,SUMPRODUCT((AY_SONU!$O$7:$O$42="Evet")*(AY_SONU!$B$7:$B$42=DATE(YEAR($E2183),MONTH($E2183),1))))</f>
        <v>0</v>
      </c>
      <c r="U2183" s="1" t="str">
        <f>IF(OR($G2183="",$H2183="Mahsup"),"",$G2183&amp;"|"&amp;COUNTIFS($G$7:$G2183,$G2183,$H$7:$H2183,"&lt;&gt;Mahsup"))</f>
        <v/>
      </c>
    </row>
    <row r="2184" spans="1:21" ht="18" customHeight="1" x14ac:dyDescent="0.3">
      <c r="A2184" s="2"/>
      <c r="B2184" s="65" t="str">
        <f>IF($D2184="","","T"&amp;TEXT(ROW()-6,"00000"))</f>
        <v/>
      </c>
      <c r="C2184" s="65" t="str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61"/>
      <c r="E2184" s="66"/>
      <c r="F2184" s="67"/>
      <c r="G2184" s="60"/>
      <c r="H2184" s="60"/>
      <c r="I2184" s="61"/>
      <c r="J2184" s="61"/>
      <c r="K2184" s="61"/>
      <c r="L2184" s="73" t="str">
        <f>IF($E2184="","",DATE(YEAR($E2184),MONTH($E2184),1))</f>
        <v/>
      </c>
      <c r="M2184" s="65" t="str">
        <f ca="1">IF($D2184="","",IF($C2184="TANIMSIZ MÜŞTERİ","HATA",IF(OR($E2184="",$F2184&lt;=0,$G2184=""),"EKSİK",IF($E2184&gt;TODAY(),"İLERİ TARİH",IF(COUNTIF($S$7:$S$2503,$S2184)&gt;1,"MÜKERRER?",IF($T2184&gt;0,"KAPALI DÖNEM","UYGUN"))))))</f>
        <v/>
      </c>
      <c r="N2184" s="74" t="str">
        <f>IF($C2184="","",IF($C2184="TANIMSIZ MÜŞTERİ","—",INDEX(MUSTERILER!$C$7:$C$156,MATCH($C2184,MUSTERILER!$B$7:$B$156,0))))</f>
        <v/>
      </c>
      <c r="O2184" s="2"/>
      <c r="P2184" s="2"/>
      <c r="Q2184" s="1" t="str">
        <f>IF($D2184="","",$C2184&amp;"|"&amp;COUNTIFS($C$7:$C2184,$C2184))</f>
        <v/>
      </c>
      <c r="R2184" s="1" t="str">
        <f t="shared" si="68"/>
        <v/>
      </c>
      <c r="S2184" s="1" t="str">
        <f t="shared" si="69"/>
        <v/>
      </c>
      <c r="T2184" s="1">
        <f>IF($E2184="",0,SUMPRODUCT((AY_SONU!$O$7:$O$42="Evet")*(AY_SONU!$B$7:$B$42=DATE(YEAR($E2184),MONTH($E2184),1))))</f>
        <v>0</v>
      </c>
      <c r="U2184" s="1" t="str">
        <f>IF(OR($G2184="",$H2184="Mahsup"),"",$G2184&amp;"|"&amp;COUNTIFS($G$7:$G2184,$G2184,$H$7:$H2184,"&lt;&gt;Mahsup"))</f>
        <v/>
      </c>
    </row>
    <row r="2185" spans="1:21" ht="18" customHeight="1" x14ac:dyDescent="0.3">
      <c r="A2185" s="2"/>
      <c r="B2185" s="65" t="str">
        <f>IF($D2185="","","T"&amp;TEXT(ROW()-6,"00000"))</f>
        <v/>
      </c>
      <c r="C2185" s="65" t="str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61"/>
      <c r="E2185" s="66"/>
      <c r="F2185" s="67"/>
      <c r="G2185" s="60"/>
      <c r="H2185" s="60"/>
      <c r="I2185" s="61"/>
      <c r="J2185" s="61"/>
      <c r="K2185" s="61"/>
      <c r="L2185" s="73" t="str">
        <f>IF($E2185="","",DATE(YEAR($E2185),MONTH($E2185),1))</f>
        <v/>
      </c>
      <c r="M2185" s="65" t="str">
        <f ca="1">IF($D2185="","",IF($C2185="TANIMSIZ MÜŞTERİ","HATA",IF(OR($E2185="",$F2185&lt;=0,$G2185=""),"EKSİK",IF($E2185&gt;TODAY(),"İLERİ TARİH",IF(COUNTIF($S$7:$S$2503,$S2185)&gt;1,"MÜKERRER?",IF($T2185&gt;0,"KAPALI DÖNEM","UYGUN"))))))</f>
        <v/>
      </c>
      <c r="N2185" s="74" t="str">
        <f>IF($C2185="","",IF($C2185="TANIMSIZ MÜŞTERİ","—",INDEX(MUSTERILER!$C$7:$C$156,MATCH($C2185,MUSTERILER!$B$7:$B$156,0))))</f>
        <v/>
      </c>
      <c r="O2185" s="2"/>
      <c r="P2185" s="2"/>
      <c r="Q2185" s="1" t="str">
        <f>IF($D2185="","",$C2185&amp;"|"&amp;COUNTIFS($C$7:$C2185,$C2185))</f>
        <v/>
      </c>
      <c r="R2185" s="1" t="str">
        <f t="shared" si="68"/>
        <v/>
      </c>
      <c r="S2185" s="1" t="str">
        <f t="shared" si="69"/>
        <v/>
      </c>
      <c r="T2185" s="1">
        <f>IF($E2185="",0,SUMPRODUCT((AY_SONU!$O$7:$O$42="Evet")*(AY_SONU!$B$7:$B$42=DATE(YEAR($E2185),MONTH($E2185),1))))</f>
        <v>0</v>
      </c>
      <c r="U2185" s="1" t="str">
        <f>IF(OR($G2185="",$H2185="Mahsup"),"",$G2185&amp;"|"&amp;COUNTIFS($G$7:$G2185,$G2185,$H$7:$H2185,"&lt;&gt;Mahsup"))</f>
        <v/>
      </c>
    </row>
    <row r="2186" spans="1:21" ht="18" customHeight="1" x14ac:dyDescent="0.3">
      <c r="A2186" s="2"/>
      <c r="B2186" s="65" t="str">
        <f>IF($D2186="","","T"&amp;TEXT(ROW()-6,"00000"))</f>
        <v/>
      </c>
      <c r="C2186" s="65" t="str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61"/>
      <c r="E2186" s="66"/>
      <c r="F2186" s="67"/>
      <c r="G2186" s="60"/>
      <c r="H2186" s="60"/>
      <c r="I2186" s="61"/>
      <c r="J2186" s="61"/>
      <c r="K2186" s="61"/>
      <c r="L2186" s="73" t="str">
        <f>IF($E2186="","",DATE(YEAR($E2186),MONTH($E2186),1))</f>
        <v/>
      </c>
      <c r="M2186" s="65" t="str">
        <f ca="1">IF($D2186="","",IF($C2186="TANIMSIZ MÜŞTERİ","HATA",IF(OR($E2186="",$F2186&lt;=0,$G2186=""),"EKSİK",IF($E2186&gt;TODAY(),"İLERİ TARİH",IF(COUNTIF($S$7:$S$2503,$S2186)&gt;1,"MÜKERRER?",IF($T2186&gt;0,"KAPALI DÖNEM","UYGUN"))))))</f>
        <v/>
      </c>
      <c r="N2186" s="74" t="str">
        <f>IF($C2186="","",IF($C2186="TANIMSIZ MÜŞTERİ","—",INDEX(MUSTERILER!$C$7:$C$156,MATCH($C2186,MUSTERILER!$B$7:$B$156,0))))</f>
        <v/>
      </c>
      <c r="O2186" s="2"/>
      <c r="P2186" s="2"/>
      <c r="Q2186" s="1" t="str">
        <f>IF($D2186="","",$C2186&amp;"|"&amp;COUNTIFS($C$7:$C2186,$C2186))</f>
        <v/>
      </c>
      <c r="R2186" s="1" t="str">
        <f t="shared" si="68"/>
        <v/>
      </c>
      <c r="S2186" s="1" t="str">
        <f t="shared" si="69"/>
        <v/>
      </c>
      <c r="T2186" s="1">
        <f>IF($E2186="",0,SUMPRODUCT((AY_SONU!$O$7:$O$42="Evet")*(AY_SONU!$B$7:$B$42=DATE(YEAR($E2186),MONTH($E2186),1))))</f>
        <v>0</v>
      </c>
      <c r="U2186" s="1" t="str">
        <f>IF(OR($G2186="",$H2186="Mahsup"),"",$G2186&amp;"|"&amp;COUNTIFS($G$7:$G2186,$G2186,$H$7:$H2186,"&lt;&gt;Mahsup"))</f>
        <v/>
      </c>
    </row>
    <row r="2187" spans="1:21" ht="18" customHeight="1" x14ac:dyDescent="0.3">
      <c r="A2187" s="2"/>
      <c r="B2187" s="65" t="str">
        <f>IF($D2187="","","T"&amp;TEXT(ROW()-6,"00000"))</f>
        <v/>
      </c>
      <c r="C2187" s="65" t="str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61"/>
      <c r="E2187" s="66"/>
      <c r="F2187" s="67"/>
      <c r="G2187" s="60"/>
      <c r="H2187" s="60"/>
      <c r="I2187" s="61"/>
      <c r="J2187" s="61"/>
      <c r="K2187" s="61"/>
      <c r="L2187" s="73" t="str">
        <f>IF($E2187="","",DATE(YEAR($E2187),MONTH($E2187),1))</f>
        <v/>
      </c>
      <c r="M2187" s="65" t="str">
        <f ca="1">IF($D2187="","",IF($C2187="TANIMSIZ MÜŞTERİ","HATA",IF(OR($E2187="",$F2187&lt;=0,$G2187=""),"EKSİK",IF($E2187&gt;TODAY(),"İLERİ TARİH",IF(COUNTIF($S$7:$S$2503,$S2187)&gt;1,"MÜKERRER?",IF($T2187&gt;0,"KAPALI DÖNEM","UYGUN"))))))</f>
        <v/>
      </c>
      <c r="N2187" s="74" t="str">
        <f>IF($C2187="","",IF($C2187="TANIMSIZ MÜŞTERİ","—",INDEX(MUSTERILER!$C$7:$C$156,MATCH($C2187,MUSTERILER!$B$7:$B$156,0))))</f>
        <v/>
      </c>
      <c r="O2187" s="2"/>
      <c r="P2187" s="2"/>
      <c r="Q2187" s="1" t="str">
        <f>IF($D2187="","",$C2187&amp;"|"&amp;COUNTIFS($C$7:$C2187,$C2187))</f>
        <v/>
      </c>
      <c r="R2187" s="1" t="str">
        <f t="shared" si="68"/>
        <v/>
      </c>
      <c r="S2187" s="1" t="str">
        <f t="shared" si="69"/>
        <v/>
      </c>
      <c r="T2187" s="1">
        <f>IF($E2187="",0,SUMPRODUCT((AY_SONU!$O$7:$O$42="Evet")*(AY_SONU!$B$7:$B$42=DATE(YEAR($E2187),MONTH($E2187),1))))</f>
        <v>0</v>
      </c>
      <c r="U2187" s="1" t="str">
        <f>IF(OR($G2187="",$H2187="Mahsup"),"",$G2187&amp;"|"&amp;COUNTIFS($G$7:$G2187,$G2187,$H$7:$H2187,"&lt;&gt;Mahsup"))</f>
        <v/>
      </c>
    </row>
    <row r="2188" spans="1:21" ht="18" customHeight="1" x14ac:dyDescent="0.3">
      <c r="A2188" s="2"/>
      <c r="B2188" s="65" t="str">
        <f>IF($D2188="","","T"&amp;TEXT(ROW()-6,"00000"))</f>
        <v/>
      </c>
      <c r="C2188" s="65" t="str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61"/>
      <c r="E2188" s="66"/>
      <c r="F2188" s="67"/>
      <c r="G2188" s="60"/>
      <c r="H2188" s="60"/>
      <c r="I2188" s="61"/>
      <c r="J2188" s="61"/>
      <c r="K2188" s="61"/>
      <c r="L2188" s="73" t="str">
        <f>IF($E2188="","",DATE(YEAR($E2188),MONTH($E2188),1))</f>
        <v/>
      </c>
      <c r="M2188" s="65" t="str">
        <f ca="1">IF($D2188="","",IF($C2188="TANIMSIZ MÜŞTERİ","HATA",IF(OR($E2188="",$F2188&lt;=0,$G2188=""),"EKSİK",IF($E2188&gt;TODAY(),"İLERİ TARİH",IF(COUNTIF($S$7:$S$2503,$S2188)&gt;1,"MÜKERRER?",IF($T2188&gt;0,"KAPALI DÖNEM","UYGUN"))))))</f>
        <v/>
      </c>
      <c r="N2188" s="74" t="str">
        <f>IF($C2188="","",IF($C2188="TANIMSIZ MÜŞTERİ","—",INDEX(MUSTERILER!$C$7:$C$156,MATCH($C2188,MUSTERILER!$B$7:$B$156,0))))</f>
        <v/>
      </c>
      <c r="O2188" s="2"/>
      <c r="P2188" s="2"/>
      <c r="Q2188" s="1" t="str">
        <f>IF($D2188="","",$C2188&amp;"|"&amp;COUNTIFS($C$7:$C2188,$C2188))</f>
        <v/>
      </c>
      <c r="R2188" s="1" t="str">
        <f t="shared" si="68"/>
        <v/>
      </c>
      <c r="S2188" s="1" t="str">
        <f t="shared" si="69"/>
        <v/>
      </c>
      <c r="T2188" s="1">
        <f>IF($E2188="",0,SUMPRODUCT((AY_SONU!$O$7:$O$42="Evet")*(AY_SONU!$B$7:$B$42=DATE(YEAR($E2188),MONTH($E2188),1))))</f>
        <v>0</v>
      </c>
      <c r="U2188" s="1" t="str">
        <f>IF(OR($G2188="",$H2188="Mahsup"),"",$G2188&amp;"|"&amp;COUNTIFS($G$7:$G2188,$G2188,$H$7:$H2188,"&lt;&gt;Mahsup"))</f>
        <v/>
      </c>
    </row>
    <row r="2189" spans="1:21" ht="18" customHeight="1" x14ac:dyDescent="0.3">
      <c r="A2189" s="2"/>
      <c r="B2189" s="65" t="str">
        <f>IF($D2189="","","T"&amp;TEXT(ROW()-6,"00000"))</f>
        <v/>
      </c>
      <c r="C2189" s="65" t="str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61"/>
      <c r="E2189" s="66"/>
      <c r="F2189" s="67"/>
      <c r="G2189" s="60"/>
      <c r="H2189" s="60"/>
      <c r="I2189" s="61"/>
      <c r="J2189" s="61"/>
      <c r="K2189" s="61"/>
      <c r="L2189" s="73" t="str">
        <f>IF($E2189="","",DATE(YEAR($E2189),MONTH($E2189),1))</f>
        <v/>
      </c>
      <c r="M2189" s="65" t="str">
        <f ca="1">IF($D2189="","",IF($C2189="TANIMSIZ MÜŞTERİ","HATA",IF(OR($E2189="",$F2189&lt;=0,$G2189=""),"EKSİK",IF($E2189&gt;TODAY(),"İLERİ TARİH",IF(COUNTIF($S$7:$S$2503,$S2189)&gt;1,"MÜKERRER?",IF($T2189&gt;0,"KAPALI DÖNEM","UYGUN"))))))</f>
        <v/>
      </c>
      <c r="N2189" s="74" t="str">
        <f>IF($C2189="","",IF($C2189="TANIMSIZ MÜŞTERİ","—",INDEX(MUSTERILER!$C$7:$C$156,MATCH($C2189,MUSTERILER!$B$7:$B$156,0))))</f>
        <v/>
      </c>
      <c r="O2189" s="2"/>
      <c r="P2189" s="2"/>
      <c r="Q2189" s="1" t="str">
        <f>IF($D2189="","",$C2189&amp;"|"&amp;COUNTIFS($C$7:$C2189,$C2189))</f>
        <v/>
      </c>
      <c r="R2189" s="1" t="str">
        <f t="shared" si="68"/>
        <v/>
      </c>
      <c r="S2189" s="1" t="str">
        <f t="shared" si="69"/>
        <v/>
      </c>
      <c r="T2189" s="1">
        <f>IF($E2189="",0,SUMPRODUCT((AY_SONU!$O$7:$O$42="Evet")*(AY_SONU!$B$7:$B$42=DATE(YEAR($E2189),MONTH($E2189),1))))</f>
        <v>0</v>
      </c>
      <c r="U2189" s="1" t="str">
        <f>IF(OR($G2189="",$H2189="Mahsup"),"",$G2189&amp;"|"&amp;COUNTIFS($G$7:$G2189,$G2189,$H$7:$H2189,"&lt;&gt;Mahsup"))</f>
        <v/>
      </c>
    </row>
    <row r="2190" spans="1:21" ht="18" customHeight="1" x14ac:dyDescent="0.3">
      <c r="A2190" s="2"/>
      <c r="B2190" s="65" t="str">
        <f>IF($D2190="","","T"&amp;TEXT(ROW()-6,"00000"))</f>
        <v/>
      </c>
      <c r="C2190" s="65" t="str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61"/>
      <c r="E2190" s="66"/>
      <c r="F2190" s="67"/>
      <c r="G2190" s="60"/>
      <c r="H2190" s="60"/>
      <c r="I2190" s="61"/>
      <c r="J2190" s="61"/>
      <c r="K2190" s="61"/>
      <c r="L2190" s="73" t="str">
        <f>IF($E2190="","",DATE(YEAR($E2190),MONTH($E2190),1))</f>
        <v/>
      </c>
      <c r="M2190" s="65" t="str">
        <f ca="1">IF($D2190="","",IF($C2190="TANIMSIZ MÜŞTERİ","HATA",IF(OR($E2190="",$F2190&lt;=0,$G2190=""),"EKSİK",IF($E2190&gt;TODAY(),"İLERİ TARİH",IF(COUNTIF($S$7:$S$2503,$S2190)&gt;1,"MÜKERRER?",IF($T2190&gt;0,"KAPALI DÖNEM","UYGUN"))))))</f>
        <v/>
      </c>
      <c r="N2190" s="74" t="str">
        <f>IF($C2190="","",IF($C2190="TANIMSIZ MÜŞTERİ","—",INDEX(MUSTERILER!$C$7:$C$156,MATCH($C2190,MUSTERILER!$B$7:$B$156,0))))</f>
        <v/>
      </c>
      <c r="O2190" s="2"/>
      <c r="P2190" s="2"/>
      <c r="Q2190" s="1" t="str">
        <f>IF($D2190="","",$C2190&amp;"|"&amp;COUNTIFS($C$7:$C2190,$C2190))</f>
        <v/>
      </c>
      <c r="R2190" s="1" t="str">
        <f t="shared" si="68"/>
        <v/>
      </c>
      <c r="S2190" s="1" t="str">
        <f t="shared" si="69"/>
        <v/>
      </c>
      <c r="T2190" s="1">
        <f>IF($E2190="",0,SUMPRODUCT((AY_SONU!$O$7:$O$42="Evet")*(AY_SONU!$B$7:$B$42=DATE(YEAR($E2190),MONTH($E2190),1))))</f>
        <v>0</v>
      </c>
      <c r="U2190" s="1" t="str">
        <f>IF(OR($G2190="",$H2190="Mahsup"),"",$G2190&amp;"|"&amp;COUNTIFS($G$7:$G2190,$G2190,$H$7:$H2190,"&lt;&gt;Mahsup"))</f>
        <v/>
      </c>
    </row>
    <row r="2191" spans="1:21" ht="18" customHeight="1" x14ac:dyDescent="0.3">
      <c r="A2191" s="2"/>
      <c r="B2191" s="65" t="str">
        <f>IF($D2191="","","T"&amp;TEXT(ROW()-6,"00000"))</f>
        <v/>
      </c>
      <c r="C2191" s="65" t="str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61"/>
      <c r="E2191" s="66"/>
      <c r="F2191" s="67"/>
      <c r="G2191" s="60"/>
      <c r="H2191" s="60"/>
      <c r="I2191" s="61"/>
      <c r="J2191" s="61"/>
      <c r="K2191" s="61"/>
      <c r="L2191" s="73" t="str">
        <f>IF($E2191="","",DATE(YEAR($E2191),MONTH($E2191),1))</f>
        <v/>
      </c>
      <c r="M2191" s="65" t="str">
        <f ca="1">IF($D2191="","",IF($C2191="TANIMSIZ MÜŞTERİ","HATA",IF(OR($E2191="",$F2191&lt;=0,$G2191=""),"EKSİK",IF($E2191&gt;TODAY(),"İLERİ TARİH",IF(COUNTIF($S$7:$S$2503,$S2191)&gt;1,"MÜKERRER?",IF($T2191&gt;0,"KAPALI DÖNEM","UYGUN"))))))</f>
        <v/>
      </c>
      <c r="N2191" s="74" t="str">
        <f>IF($C2191="","",IF($C2191="TANIMSIZ MÜŞTERİ","—",INDEX(MUSTERILER!$C$7:$C$156,MATCH($C2191,MUSTERILER!$B$7:$B$156,0))))</f>
        <v/>
      </c>
      <c r="O2191" s="2"/>
      <c r="P2191" s="2"/>
      <c r="Q2191" s="1" t="str">
        <f>IF($D2191="","",$C2191&amp;"|"&amp;COUNTIFS($C$7:$C2191,$C2191))</f>
        <v/>
      </c>
      <c r="R2191" s="1" t="str">
        <f t="shared" si="68"/>
        <v/>
      </c>
      <c r="S2191" s="1" t="str">
        <f t="shared" si="69"/>
        <v/>
      </c>
      <c r="T2191" s="1">
        <f>IF($E2191="",0,SUMPRODUCT((AY_SONU!$O$7:$O$42="Evet")*(AY_SONU!$B$7:$B$42=DATE(YEAR($E2191),MONTH($E2191),1))))</f>
        <v>0</v>
      </c>
      <c r="U2191" s="1" t="str">
        <f>IF(OR($G2191="",$H2191="Mahsup"),"",$G2191&amp;"|"&amp;COUNTIFS($G$7:$G2191,$G2191,$H$7:$H2191,"&lt;&gt;Mahsup"))</f>
        <v/>
      </c>
    </row>
    <row r="2192" spans="1:21" ht="18" customHeight="1" x14ac:dyDescent="0.3">
      <c r="A2192" s="2"/>
      <c r="B2192" s="65" t="str">
        <f>IF($D2192="","","T"&amp;TEXT(ROW()-6,"00000"))</f>
        <v/>
      </c>
      <c r="C2192" s="65" t="str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61"/>
      <c r="E2192" s="66"/>
      <c r="F2192" s="67"/>
      <c r="G2192" s="60"/>
      <c r="H2192" s="60"/>
      <c r="I2192" s="61"/>
      <c r="J2192" s="61"/>
      <c r="K2192" s="61"/>
      <c r="L2192" s="73" t="str">
        <f>IF($E2192="","",DATE(YEAR($E2192),MONTH($E2192),1))</f>
        <v/>
      </c>
      <c r="M2192" s="65" t="str">
        <f ca="1">IF($D2192="","",IF($C2192="TANIMSIZ MÜŞTERİ","HATA",IF(OR($E2192="",$F2192&lt;=0,$G2192=""),"EKSİK",IF($E2192&gt;TODAY(),"İLERİ TARİH",IF(COUNTIF($S$7:$S$2503,$S2192)&gt;1,"MÜKERRER?",IF($T2192&gt;0,"KAPALI DÖNEM","UYGUN"))))))</f>
        <v/>
      </c>
      <c r="N2192" s="74" t="str">
        <f>IF($C2192="","",IF($C2192="TANIMSIZ MÜŞTERİ","—",INDEX(MUSTERILER!$C$7:$C$156,MATCH($C2192,MUSTERILER!$B$7:$B$156,0))))</f>
        <v/>
      </c>
      <c r="O2192" s="2"/>
      <c r="P2192" s="2"/>
      <c r="Q2192" s="1" t="str">
        <f>IF($D2192="","",$C2192&amp;"|"&amp;COUNTIFS($C$7:$C2192,$C2192))</f>
        <v/>
      </c>
      <c r="R2192" s="1" t="str">
        <f t="shared" si="68"/>
        <v/>
      </c>
      <c r="S2192" s="1" t="str">
        <f t="shared" si="69"/>
        <v/>
      </c>
      <c r="T2192" s="1">
        <f>IF($E2192="",0,SUMPRODUCT((AY_SONU!$O$7:$O$42="Evet")*(AY_SONU!$B$7:$B$42=DATE(YEAR($E2192),MONTH($E2192),1))))</f>
        <v>0</v>
      </c>
      <c r="U2192" s="1" t="str">
        <f>IF(OR($G2192="",$H2192="Mahsup"),"",$G2192&amp;"|"&amp;COUNTIFS($G$7:$G2192,$G2192,$H$7:$H2192,"&lt;&gt;Mahsup"))</f>
        <v/>
      </c>
    </row>
    <row r="2193" spans="1:21" ht="18" customHeight="1" x14ac:dyDescent="0.3">
      <c r="A2193" s="2"/>
      <c r="B2193" s="65" t="str">
        <f>IF($D2193="","","T"&amp;TEXT(ROW()-6,"00000"))</f>
        <v/>
      </c>
      <c r="C2193" s="65" t="str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61"/>
      <c r="E2193" s="66"/>
      <c r="F2193" s="67"/>
      <c r="G2193" s="60"/>
      <c r="H2193" s="60"/>
      <c r="I2193" s="61"/>
      <c r="J2193" s="61"/>
      <c r="K2193" s="61"/>
      <c r="L2193" s="73" t="str">
        <f>IF($E2193="","",DATE(YEAR($E2193),MONTH($E2193),1))</f>
        <v/>
      </c>
      <c r="M2193" s="65" t="str">
        <f ca="1">IF($D2193="","",IF($C2193="TANIMSIZ MÜŞTERİ","HATA",IF(OR($E2193="",$F2193&lt;=0,$G2193=""),"EKSİK",IF($E2193&gt;TODAY(),"İLERİ TARİH",IF(COUNTIF($S$7:$S$2503,$S2193)&gt;1,"MÜKERRER?",IF($T2193&gt;0,"KAPALI DÖNEM","UYGUN"))))))</f>
        <v/>
      </c>
      <c r="N2193" s="74" t="str">
        <f>IF($C2193="","",IF($C2193="TANIMSIZ MÜŞTERİ","—",INDEX(MUSTERILER!$C$7:$C$156,MATCH($C2193,MUSTERILER!$B$7:$B$156,0))))</f>
        <v/>
      </c>
      <c r="O2193" s="2"/>
      <c r="P2193" s="2"/>
      <c r="Q2193" s="1" t="str">
        <f>IF($D2193="","",$C2193&amp;"|"&amp;COUNTIFS($C$7:$C2193,$C2193))</f>
        <v/>
      </c>
      <c r="R2193" s="1" t="str">
        <f t="shared" si="68"/>
        <v/>
      </c>
      <c r="S2193" s="1" t="str">
        <f t="shared" si="69"/>
        <v/>
      </c>
      <c r="T2193" s="1">
        <f>IF($E2193="",0,SUMPRODUCT((AY_SONU!$O$7:$O$42="Evet")*(AY_SONU!$B$7:$B$42=DATE(YEAR($E2193),MONTH($E2193),1))))</f>
        <v>0</v>
      </c>
      <c r="U2193" s="1" t="str">
        <f>IF(OR($G2193="",$H2193="Mahsup"),"",$G2193&amp;"|"&amp;COUNTIFS($G$7:$G2193,$G2193,$H$7:$H2193,"&lt;&gt;Mahsup"))</f>
        <v/>
      </c>
    </row>
    <row r="2194" spans="1:21" ht="18" customHeight="1" x14ac:dyDescent="0.3">
      <c r="A2194" s="2"/>
      <c r="B2194" s="65" t="str">
        <f>IF($D2194="","","T"&amp;TEXT(ROW()-6,"00000"))</f>
        <v/>
      </c>
      <c r="C2194" s="65" t="str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61"/>
      <c r="E2194" s="66"/>
      <c r="F2194" s="67"/>
      <c r="G2194" s="60"/>
      <c r="H2194" s="60"/>
      <c r="I2194" s="61"/>
      <c r="J2194" s="61"/>
      <c r="K2194" s="61"/>
      <c r="L2194" s="73" t="str">
        <f>IF($E2194="","",DATE(YEAR($E2194),MONTH($E2194),1))</f>
        <v/>
      </c>
      <c r="M2194" s="65" t="str">
        <f ca="1">IF($D2194="","",IF($C2194="TANIMSIZ MÜŞTERİ","HATA",IF(OR($E2194="",$F2194&lt;=0,$G2194=""),"EKSİK",IF($E2194&gt;TODAY(),"İLERİ TARİH",IF(COUNTIF($S$7:$S$2503,$S2194)&gt;1,"MÜKERRER?",IF($T2194&gt;0,"KAPALI DÖNEM","UYGUN"))))))</f>
        <v/>
      </c>
      <c r="N2194" s="74" t="str">
        <f>IF($C2194="","",IF($C2194="TANIMSIZ MÜŞTERİ","—",INDEX(MUSTERILER!$C$7:$C$156,MATCH($C2194,MUSTERILER!$B$7:$B$156,0))))</f>
        <v/>
      </c>
      <c r="O2194" s="2"/>
      <c r="P2194" s="2"/>
      <c r="Q2194" s="1" t="str">
        <f>IF($D2194="","",$C2194&amp;"|"&amp;COUNTIFS($C$7:$C2194,$C2194))</f>
        <v/>
      </c>
      <c r="R2194" s="1" t="str">
        <f t="shared" si="68"/>
        <v/>
      </c>
      <c r="S2194" s="1" t="str">
        <f t="shared" si="69"/>
        <v/>
      </c>
      <c r="T2194" s="1">
        <f>IF($E2194="",0,SUMPRODUCT((AY_SONU!$O$7:$O$42="Evet")*(AY_SONU!$B$7:$B$42=DATE(YEAR($E2194),MONTH($E2194),1))))</f>
        <v>0</v>
      </c>
      <c r="U2194" s="1" t="str">
        <f>IF(OR($G2194="",$H2194="Mahsup"),"",$G2194&amp;"|"&amp;COUNTIFS($G$7:$G2194,$G2194,$H$7:$H2194,"&lt;&gt;Mahsup"))</f>
        <v/>
      </c>
    </row>
    <row r="2195" spans="1:21" ht="18" customHeight="1" x14ac:dyDescent="0.3">
      <c r="A2195" s="2"/>
      <c r="B2195" s="65" t="str">
        <f>IF($D2195="","","T"&amp;TEXT(ROW()-6,"00000"))</f>
        <v/>
      </c>
      <c r="C2195" s="65" t="str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61"/>
      <c r="E2195" s="66"/>
      <c r="F2195" s="67"/>
      <c r="G2195" s="60"/>
      <c r="H2195" s="60"/>
      <c r="I2195" s="61"/>
      <c r="J2195" s="61"/>
      <c r="K2195" s="61"/>
      <c r="L2195" s="73" t="str">
        <f>IF($E2195="","",DATE(YEAR($E2195),MONTH($E2195),1))</f>
        <v/>
      </c>
      <c r="M2195" s="65" t="str">
        <f ca="1">IF($D2195="","",IF($C2195="TANIMSIZ MÜŞTERİ","HATA",IF(OR($E2195="",$F2195&lt;=0,$G2195=""),"EKSİK",IF($E2195&gt;TODAY(),"İLERİ TARİH",IF(COUNTIF($S$7:$S$2503,$S2195)&gt;1,"MÜKERRER?",IF($T2195&gt;0,"KAPALI DÖNEM","UYGUN"))))))</f>
        <v/>
      </c>
      <c r="N2195" s="74" t="str">
        <f>IF($C2195="","",IF($C2195="TANIMSIZ MÜŞTERİ","—",INDEX(MUSTERILER!$C$7:$C$156,MATCH($C2195,MUSTERILER!$B$7:$B$156,0))))</f>
        <v/>
      </c>
      <c r="O2195" s="2"/>
      <c r="P2195" s="2"/>
      <c r="Q2195" s="1" t="str">
        <f>IF($D2195="","",$C2195&amp;"|"&amp;COUNTIFS($C$7:$C2195,$C2195))</f>
        <v/>
      </c>
      <c r="R2195" s="1" t="str">
        <f t="shared" si="68"/>
        <v/>
      </c>
      <c r="S2195" s="1" t="str">
        <f t="shared" si="69"/>
        <v/>
      </c>
      <c r="T2195" s="1">
        <f>IF($E2195="",0,SUMPRODUCT((AY_SONU!$O$7:$O$42="Evet")*(AY_SONU!$B$7:$B$42=DATE(YEAR($E2195),MONTH($E2195),1))))</f>
        <v>0</v>
      </c>
      <c r="U2195" s="1" t="str">
        <f>IF(OR($G2195="",$H2195="Mahsup"),"",$G2195&amp;"|"&amp;COUNTIFS($G$7:$G2195,$G2195,$H$7:$H2195,"&lt;&gt;Mahsup"))</f>
        <v/>
      </c>
    </row>
    <row r="2196" spans="1:21" ht="18" customHeight="1" x14ac:dyDescent="0.3">
      <c r="A2196" s="2"/>
      <c r="B2196" s="65" t="str">
        <f>IF($D2196="","","T"&amp;TEXT(ROW()-6,"00000"))</f>
        <v/>
      </c>
      <c r="C2196" s="65" t="str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61"/>
      <c r="E2196" s="66"/>
      <c r="F2196" s="67"/>
      <c r="G2196" s="60"/>
      <c r="H2196" s="60"/>
      <c r="I2196" s="61"/>
      <c r="J2196" s="61"/>
      <c r="K2196" s="61"/>
      <c r="L2196" s="73" t="str">
        <f>IF($E2196="","",DATE(YEAR($E2196),MONTH($E2196),1))</f>
        <v/>
      </c>
      <c r="M2196" s="65" t="str">
        <f ca="1">IF($D2196="","",IF($C2196="TANIMSIZ MÜŞTERİ","HATA",IF(OR($E2196="",$F2196&lt;=0,$G2196=""),"EKSİK",IF($E2196&gt;TODAY(),"İLERİ TARİH",IF(COUNTIF($S$7:$S$2503,$S2196)&gt;1,"MÜKERRER?",IF($T2196&gt;0,"KAPALI DÖNEM","UYGUN"))))))</f>
        <v/>
      </c>
      <c r="N2196" s="74" t="str">
        <f>IF($C2196="","",IF($C2196="TANIMSIZ MÜŞTERİ","—",INDEX(MUSTERILER!$C$7:$C$156,MATCH($C2196,MUSTERILER!$B$7:$B$156,0))))</f>
        <v/>
      </c>
      <c r="O2196" s="2"/>
      <c r="P2196" s="2"/>
      <c r="Q2196" s="1" t="str">
        <f>IF($D2196="","",$C2196&amp;"|"&amp;COUNTIFS($C$7:$C2196,$C2196))</f>
        <v/>
      </c>
      <c r="R2196" s="1" t="str">
        <f t="shared" si="68"/>
        <v/>
      </c>
      <c r="S2196" s="1" t="str">
        <f t="shared" si="69"/>
        <v/>
      </c>
      <c r="T2196" s="1">
        <f>IF($E2196="",0,SUMPRODUCT((AY_SONU!$O$7:$O$42="Evet")*(AY_SONU!$B$7:$B$42=DATE(YEAR($E2196),MONTH($E2196),1))))</f>
        <v>0</v>
      </c>
      <c r="U2196" s="1" t="str">
        <f>IF(OR($G2196="",$H2196="Mahsup"),"",$G2196&amp;"|"&amp;COUNTIFS($G$7:$G2196,$G2196,$H$7:$H2196,"&lt;&gt;Mahsup"))</f>
        <v/>
      </c>
    </row>
    <row r="2197" spans="1:21" ht="18" customHeight="1" x14ac:dyDescent="0.3">
      <c r="A2197" s="2"/>
      <c r="B2197" s="65" t="str">
        <f>IF($D2197="","","T"&amp;TEXT(ROW()-6,"00000"))</f>
        <v/>
      </c>
      <c r="C2197" s="65" t="str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61"/>
      <c r="E2197" s="66"/>
      <c r="F2197" s="67"/>
      <c r="G2197" s="60"/>
      <c r="H2197" s="60"/>
      <c r="I2197" s="61"/>
      <c r="J2197" s="61"/>
      <c r="K2197" s="61"/>
      <c r="L2197" s="73" t="str">
        <f>IF($E2197="","",DATE(YEAR($E2197),MONTH($E2197),1))</f>
        <v/>
      </c>
      <c r="M2197" s="65" t="str">
        <f ca="1">IF($D2197="","",IF($C2197="TANIMSIZ MÜŞTERİ","HATA",IF(OR($E2197="",$F2197&lt;=0,$G2197=""),"EKSİK",IF($E2197&gt;TODAY(),"İLERİ TARİH",IF(COUNTIF($S$7:$S$2503,$S2197)&gt;1,"MÜKERRER?",IF($T2197&gt;0,"KAPALI DÖNEM","UYGUN"))))))</f>
        <v/>
      </c>
      <c r="N2197" s="74" t="str">
        <f>IF($C2197="","",IF($C2197="TANIMSIZ MÜŞTERİ","—",INDEX(MUSTERILER!$C$7:$C$156,MATCH($C2197,MUSTERILER!$B$7:$B$156,0))))</f>
        <v/>
      </c>
      <c r="O2197" s="2"/>
      <c r="P2197" s="2"/>
      <c r="Q2197" s="1" t="str">
        <f>IF($D2197="","",$C2197&amp;"|"&amp;COUNTIFS($C$7:$C2197,$C2197))</f>
        <v/>
      </c>
      <c r="R2197" s="1" t="str">
        <f t="shared" si="68"/>
        <v/>
      </c>
      <c r="S2197" s="1" t="str">
        <f t="shared" si="69"/>
        <v/>
      </c>
      <c r="T2197" s="1">
        <f>IF($E2197="",0,SUMPRODUCT((AY_SONU!$O$7:$O$42="Evet")*(AY_SONU!$B$7:$B$42=DATE(YEAR($E2197),MONTH($E2197),1))))</f>
        <v>0</v>
      </c>
      <c r="U2197" s="1" t="str">
        <f>IF(OR($G2197="",$H2197="Mahsup"),"",$G2197&amp;"|"&amp;COUNTIFS($G$7:$G2197,$G2197,$H$7:$H2197,"&lt;&gt;Mahsup"))</f>
        <v/>
      </c>
    </row>
    <row r="2198" spans="1:21" ht="18" customHeight="1" x14ac:dyDescent="0.3">
      <c r="A2198" s="2"/>
      <c r="B2198" s="65" t="str">
        <f>IF($D2198="","","T"&amp;TEXT(ROW()-6,"00000"))</f>
        <v/>
      </c>
      <c r="C2198" s="65" t="str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61"/>
      <c r="E2198" s="66"/>
      <c r="F2198" s="67"/>
      <c r="G2198" s="60"/>
      <c r="H2198" s="60"/>
      <c r="I2198" s="61"/>
      <c r="J2198" s="61"/>
      <c r="K2198" s="61"/>
      <c r="L2198" s="73" t="str">
        <f>IF($E2198="","",DATE(YEAR($E2198),MONTH($E2198),1))</f>
        <v/>
      </c>
      <c r="M2198" s="65" t="str">
        <f ca="1">IF($D2198="","",IF($C2198="TANIMSIZ MÜŞTERİ","HATA",IF(OR($E2198="",$F2198&lt;=0,$G2198=""),"EKSİK",IF($E2198&gt;TODAY(),"İLERİ TARİH",IF(COUNTIF($S$7:$S$2503,$S2198)&gt;1,"MÜKERRER?",IF($T2198&gt;0,"KAPALI DÖNEM","UYGUN"))))))</f>
        <v/>
      </c>
      <c r="N2198" s="74" t="str">
        <f>IF($C2198="","",IF($C2198="TANIMSIZ MÜŞTERİ","—",INDEX(MUSTERILER!$C$7:$C$156,MATCH($C2198,MUSTERILER!$B$7:$B$156,0))))</f>
        <v/>
      </c>
      <c r="O2198" s="2"/>
      <c r="P2198" s="2"/>
      <c r="Q2198" s="1" t="str">
        <f>IF($D2198="","",$C2198&amp;"|"&amp;COUNTIFS($C$7:$C2198,$C2198))</f>
        <v/>
      </c>
      <c r="R2198" s="1" t="str">
        <f t="shared" si="68"/>
        <v/>
      </c>
      <c r="S2198" s="1" t="str">
        <f t="shared" si="69"/>
        <v/>
      </c>
      <c r="T2198" s="1">
        <f>IF($E2198="",0,SUMPRODUCT((AY_SONU!$O$7:$O$42="Evet")*(AY_SONU!$B$7:$B$42=DATE(YEAR($E2198),MONTH($E2198),1))))</f>
        <v>0</v>
      </c>
      <c r="U2198" s="1" t="str">
        <f>IF(OR($G2198="",$H2198="Mahsup"),"",$G2198&amp;"|"&amp;COUNTIFS($G$7:$G2198,$G2198,$H$7:$H2198,"&lt;&gt;Mahsup"))</f>
        <v/>
      </c>
    </row>
    <row r="2199" spans="1:21" ht="18" customHeight="1" x14ac:dyDescent="0.3">
      <c r="A2199" s="2"/>
      <c r="B2199" s="65" t="str">
        <f>IF($D2199="","","T"&amp;TEXT(ROW()-6,"00000"))</f>
        <v/>
      </c>
      <c r="C2199" s="65" t="str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61"/>
      <c r="E2199" s="66"/>
      <c r="F2199" s="67"/>
      <c r="G2199" s="60"/>
      <c r="H2199" s="60"/>
      <c r="I2199" s="61"/>
      <c r="J2199" s="61"/>
      <c r="K2199" s="61"/>
      <c r="L2199" s="73" t="str">
        <f>IF($E2199="","",DATE(YEAR($E2199),MONTH($E2199),1))</f>
        <v/>
      </c>
      <c r="M2199" s="65" t="str">
        <f ca="1">IF($D2199="","",IF($C2199="TANIMSIZ MÜŞTERİ","HATA",IF(OR($E2199="",$F2199&lt;=0,$G2199=""),"EKSİK",IF($E2199&gt;TODAY(),"İLERİ TARİH",IF(COUNTIF($S$7:$S$2503,$S2199)&gt;1,"MÜKERRER?",IF($T2199&gt;0,"KAPALI DÖNEM","UYGUN"))))))</f>
        <v/>
      </c>
      <c r="N2199" s="74" t="str">
        <f>IF($C2199="","",IF($C2199="TANIMSIZ MÜŞTERİ","—",INDEX(MUSTERILER!$C$7:$C$156,MATCH($C2199,MUSTERILER!$B$7:$B$156,0))))</f>
        <v/>
      </c>
      <c r="O2199" s="2"/>
      <c r="P2199" s="2"/>
      <c r="Q2199" s="1" t="str">
        <f>IF($D2199="","",$C2199&amp;"|"&amp;COUNTIFS($C$7:$C2199,$C2199))</f>
        <v/>
      </c>
      <c r="R2199" s="1" t="str">
        <f t="shared" si="68"/>
        <v/>
      </c>
      <c r="S2199" s="1" t="str">
        <f t="shared" si="69"/>
        <v/>
      </c>
      <c r="T2199" s="1">
        <f>IF($E2199="",0,SUMPRODUCT((AY_SONU!$O$7:$O$42="Evet")*(AY_SONU!$B$7:$B$42=DATE(YEAR($E2199),MONTH($E2199),1))))</f>
        <v>0</v>
      </c>
      <c r="U2199" s="1" t="str">
        <f>IF(OR($G2199="",$H2199="Mahsup"),"",$G2199&amp;"|"&amp;COUNTIFS($G$7:$G2199,$G2199,$H$7:$H2199,"&lt;&gt;Mahsup"))</f>
        <v/>
      </c>
    </row>
    <row r="2200" spans="1:21" ht="18" customHeight="1" x14ac:dyDescent="0.3">
      <c r="A2200" s="2"/>
      <c r="B2200" s="65" t="str">
        <f>IF($D2200="","","T"&amp;TEXT(ROW()-6,"00000"))</f>
        <v/>
      </c>
      <c r="C2200" s="65" t="str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61"/>
      <c r="E2200" s="66"/>
      <c r="F2200" s="67"/>
      <c r="G2200" s="60"/>
      <c r="H2200" s="60"/>
      <c r="I2200" s="61"/>
      <c r="J2200" s="61"/>
      <c r="K2200" s="61"/>
      <c r="L2200" s="73" t="str">
        <f>IF($E2200="","",DATE(YEAR($E2200),MONTH($E2200),1))</f>
        <v/>
      </c>
      <c r="M2200" s="65" t="str">
        <f ca="1">IF($D2200="","",IF($C2200="TANIMSIZ MÜŞTERİ","HATA",IF(OR($E2200="",$F2200&lt;=0,$G2200=""),"EKSİK",IF($E2200&gt;TODAY(),"İLERİ TARİH",IF(COUNTIF($S$7:$S$2503,$S2200)&gt;1,"MÜKERRER?",IF($T2200&gt;0,"KAPALI DÖNEM","UYGUN"))))))</f>
        <v/>
      </c>
      <c r="N2200" s="74" t="str">
        <f>IF($C2200="","",IF($C2200="TANIMSIZ MÜŞTERİ","—",INDEX(MUSTERILER!$C$7:$C$156,MATCH($C2200,MUSTERILER!$B$7:$B$156,0))))</f>
        <v/>
      </c>
      <c r="O2200" s="2"/>
      <c r="P2200" s="2"/>
      <c r="Q2200" s="1" t="str">
        <f>IF($D2200="","",$C2200&amp;"|"&amp;COUNTIFS($C$7:$C2200,$C2200))</f>
        <v/>
      </c>
      <c r="R2200" s="1" t="str">
        <f t="shared" si="68"/>
        <v/>
      </c>
      <c r="S2200" s="1" t="str">
        <f t="shared" si="69"/>
        <v/>
      </c>
      <c r="T2200" s="1">
        <f>IF($E2200="",0,SUMPRODUCT((AY_SONU!$O$7:$O$42="Evet")*(AY_SONU!$B$7:$B$42=DATE(YEAR($E2200),MONTH($E2200),1))))</f>
        <v>0</v>
      </c>
      <c r="U2200" s="1" t="str">
        <f>IF(OR($G2200="",$H2200="Mahsup"),"",$G2200&amp;"|"&amp;COUNTIFS($G$7:$G2200,$G2200,$H$7:$H2200,"&lt;&gt;Mahsup"))</f>
        <v/>
      </c>
    </row>
    <row r="2201" spans="1:21" ht="18" customHeight="1" x14ac:dyDescent="0.3">
      <c r="A2201" s="2"/>
      <c r="B2201" s="65" t="str">
        <f>IF($D2201="","","T"&amp;TEXT(ROW()-6,"00000"))</f>
        <v/>
      </c>
      <c r="C2201" s="65" t="str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61"/>
      <c r="E2201" s="66"/>
      <c r="F2201" s="67"/>
      <c r="G2201" s="60"/>
      <c r="H2201" s="60"/>
      <c r="I2201" s="61"/>
      <c r="J2201" s="61"/>
      <c r="K2201" s="61"/>
      <c r="L2201" s="73" t="str">
        <f>IF($E2201="","",DATE(YEAR($E2201),MONTH($E2201),1))</f>
        <v/>
      </c>
      <c r="M2201" s="65" t="str">
        <f ca="1">IF($D2201="","",IF($C2201="TANIMSIZ MÜŞTERİ","HATA",IF(OR($E2201="",$F2201&lt;=0,$G2201=""),"EKSİK",IF($E2201&gt;TODAY(),"İLERİ TARİH",IF(COUNTIF($S$7:$S$2503,$S2201)&gt;1,"MÜKERRER?",IF($T2201&gt;0,"KAPALI DÖNEM","UYGUN"))))))</f>
        <v/>
      </c>
      <c r="N2201" s="74" t="str">
        <f>IF($C2201="","",IF($C2201="TANIMSIZ MÜŞTERİ","—",INDEX(MUSTERILER!$C$7:$C$156,MATCH($C2201,MUSTERILER!$B$7:$B$156,0))))</f>
        <v/>
      </c>
      <c r="O2201" s="2"/>
      <c r="P2201" s="2"/>
      <c r="Q2201" s="1" t="str">
        <f>IF($D2201="","",$C2201&amp;"|"&amp;COUNTIFS($C$7:$C2201,$C2201))</f>
        <v/>
      </c>
      <c r="R2201" s="1" t="str">
        <f t="shared" si="68"/>
        <v/>
      </c>
      <c r="S2201" s="1" t="str">
        <f t="shared" si="69"/>
        <v/>
      </c>
      <c r="T2201" s="1">
        <f>IF($E2201="",0,SUMPRODUCT((AY_SONU!$O$7:$O$42="Evet")*(AY_SONU!$B$7:$B$42=DATE(YEAR($E2201),MONTH($E2201),1))))</f>
        <v>0</v>
      </c>
      <c r="U2201" s="1" t="str">
        <f>IF(OR($G2201="",$H2201="Mahsup"),"",$G2201&amp;"|"&amp;COUNTIFS($G$7:$G2201,$G2201,$H$7:$H2201,"&lt;&gt;Mahsup"))</f>
        <v/>
      </c>
    </row>
    <row r="2202" spans="1:21" ht="18" customHeight="1" x14ac:dyDescent="0.3">
      <c r="A2202" s="2"/>
      <c r="B2202" s="65" t="str">
        <f>IF($D2202="","","T"&amp;TEXT(ROW()-6,"00000"))</f>
        <v/>
      </c>
      <c r="C2202" s="65" t="str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61"/>
      <c r="E2202" s="66"/>
      <c r="F2202" s="67"/>
      <c r="G2202" s="60"/>
      <c r="H2202" s="60"/>
      <c r="I2202" s="61"/>
      <c r="J2202" s="61"/>
      <c r="K2202" s="61"/>
      <c r="L2202" s="73" t="str">
        <f>IF($E2202="","",DATE(YEAR($E2202),MONTH($E2202),1))</f>
        <v/>
      </c>
      <c r="M2202" s="65" t="str">
        <f ca="1">IF($D2202="","",IF($C2202="TANIMSIZ MÜŞTERİ","HATA",IF(OR($E2202="",$F2202&lt;=0,$G2202=""),"EKSİK",IF($E2202&gt;TODAY(),"İLERİ TARİH",IF(COUNTIF($S$7:$S$2503,$S2202)&gt;1,"MÜKERRER?",IF($T2202&gt;0,"KAPALI DÖNEM","UYGUN"))))))</f>
        <v/>
      </c>
      <c r="N2202" s="74" t="str">
        <f>IF($C2202="","",IF($C2202="TANIMSIZ MÜŞTERİ","—",INDEX(MUSTERILER!$C$7:$C$156,MATCH($C2202,MUSTERILER!$B$7:$B$156,0))))</f>
        <v/>
      </c>
      <c r="O2202" s="2"/>
      <c r="P2202" s="2"/>
      <c r="Q2202" s="1" t="str">
        <f>IF($D2202="","",$C2202&amp;"|"&amp;COUNTIFS($C$7:$C2202,$C2202))</f>
        <v/>
      </c>
      <c r="R2202" s="1" t="str">
        <f t="shared" si="68"/>
        <v/>
      </c>
      <c r="S2202" s="1" t="str">
        <f t="shared" si="69"/>
        <v/>
      </c>
      <c r="T2202" s="1">
        <f>IF($E2202="",0,SUMPRODUCT((AY_SONU!$O$7:$O$42="Evet")*(AY_SONU!$B$7:$B$42=DATE(YEAR($E2202),MONTH($E2202),1))))</f>
        <v>0</v>
      </c>
      <c r="U2202" s="1" t="str">
        <f>IF(OR($G2202="",$H2202="Mahsup"),"",$G2202&amp;"|"&amp;COUNTIFS($G$7:$G2202,$G2202,$H$7:$H2202,"&lt;&gt;Mahsup"))</f>
        <v/>
      </c>
    </row>
    <row r="2203" spans="1:21" ht="18" customHeight="1" x14ac:dyDescent="0.3">
      <c r="A2203" s="2"/>
      <c r="B2203" s="65" t="str">
        <f>IF($D2203="","","T"&amp;TEXT(ROW()-6,"00000"))</f>
        <v/>
      </c>
      <c r="C2203" s="65" t="str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61"/>
      <c r="E2203" s="66"/>
      <c r="F2203" s="67"/>
      <c r="G2203" s="60"/>
      <c r="H2203" s="60"/>
      <c r="I2203" s="61"/>
      <c r="J2203" s="61"/>
      <c r="K2203" s="61"/>
      <c r="L2203" s="73" t="str">
        <f>IF($E2203="","",DATE(YEAR($E2203),MONTH($E2203),1))</f>
        <v/>
      </c>
      <c r="M2203" s="65" t="str">
        <f ca="1">IF($D2203="","",IF($C2203="TANIMSIZ MÜŞTERİ","HATA",IF(OR($E2203="",$F2203&lt;=0,$G2203=""),"EKSİK",IF($E2203&gt;TODAY(),"İLERİ TARİH",IF(COUNTIF($S$7:$S$2503,$S2203)&gt;1,"MÜKERRER?",IF($T2203&gt;0,"KAPALI DÖNEM","UYGUN"))))))</f>
        <v/>
      </c>
      <c r="N2203" s="74" t="str">
        <f>IF($C2203="","",IF($C2203="TANIMSIZ MÜŞTERİ","—",INDEX(MUSTERILER!$C$7:$C$156,MATCH($C2203,MUSTERILER!$B$7:$B$156,0))))</f>
        <v/>
      </c>
      <c r="O2203" s="2"/>
      <c r="P2203" s="2"/>
      <c r="Q2203" s="1" t="str">
        <f>IF($D2203="","",$C2203&amp;"|"&amp;COUNTIFS($C$7:$C2203,$C2203))</f>
        <v/>
      </c>
      <c r="R2203" s="1" t="str">
        <f t="shared" si="68"/>
        <v/>
      </c>
      <c r="S2203" s="1" t="str">
        <f t="shared" si="69"/>
        <v/>
      </c>
      <c r="T2203" s="1">
        <f>IF($E2203="",0,SUMPRODUCT((AY_SONU!$O$7:$O$42="Evet")*(AY_SONU!$B$7:$B$42=DATE(YEAR($E2203),MONTH($E2203),1))))</f>
        <v>0</v>
      </c>
      <c r="U2203" s="1" t="str">
        <f>IF(OR($G2203="",$H2203="Mahsup"),"",$G2203&amp;"|"&amp;COUNTIFS($G$7:$G2203,$G2203,$H$7:$H2203,"&lt;&gt;Mahsup"))</f>
        <v/>
      </c>
    </row>
    <row r="2204" spans="1:21" ht="18" customHeight="1" x14ac:dyDescent="0.3">
      <c r="A2204" s="2"/>
      <c r="B2204" s="65" t="str">
        <f>IF($D2204="","","T"&amp;TEXT(ROW()-6,"00000"))</f>
        <v/>
      </c>
      <c r="C2204" s="65" t="str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61"/>
      <c r="E2204" s="66"/>
      <c r="F2204" s="67"/>
      <c r="G2204" s="60"/>
      <c r="H2204" s="60"/>
      <c r="I2204" s="61"/>
      <c r="J2204" s="61"/>
      <c r="K2204" s="61"/>
      <c r="L2204" s="73" t="str">
        <f>IF($E2204="","",DATE(YEAR($E2204),MONTH($E2204),1))</f>
        <v/>
      </c>
      <c r="M2204" s="65" t="str">
        <f ca="1">IF($D2204="","",IF($C2204="TANIMSIZ MÜŞTERİ","HATA",IF(OR($E2204="",$F2204&lt;=0,$G2204=""),"EKSİK",IF($E2204&gt;TODAY(),"İLERİ TARİH",IF(COUNTIF($S$7:$S$2503,$S2204)&gt;1,"MÜKERRER?",IF($T2204&gt;0,"KAPALI DÖNEM","UYGUN"))))))</f>
        <v/>
      </c>
      <c r="N2204" s="74" t="str">
        <f>IF($C2204="","",IF($C2204="TANIMSIZ MÜŞTERİ","—",INDEX(MUSTERILER!$C$7:$C$156,MATCH($C2204,MUSTERILER!$B$7:$B$156,0))))</f>
        <v/>
      </c>
      <c r="O2204" s="2"/>
      <c r="P2204" s="2"/>
      <c r="Q2204" s="1" t="str">
        <f>IF($D2204="","",$C2204&amp;"|"&amp;COUNTIFS($C$7:$C2204,$C2204))</f>
        <v/>
      </c>
      <c r="R2204" s="1" t="str">
        <f t="shared" si="68"/>
        <v/>
      </c>
      <c r="S2204" s="1" t="str">
        <f t="shared" si="69"/>
        <v/>
      </c>
      <c r="T2204" s="1">
        <f>IF($E2204="",0,SUMPRODUCT((AY_SONU!$O$7:$O$42="Evet")*(AY_SONU!$B$7:$B$42=DATE(YEAR($E2204),MONTH($E2204),1))))</f>
        <v>0</v>
      </c>
      <c r="U2204" s="1" t="str">
        <f>IF(OR($G2204="",$H2204="Mahsup"),"",$G2204&amp;"|"&amp;COUNTIFS($G$7:$G2204,$G2204,$H$7:$H2204,"&lt;&gt;Mahsup"))</f>
        <v/>
      </c>
    </row>
    <row r="2205" spans="1:21" ht="18" customHeight="1" x14ac:dyDescent="0.3">
      <c r="A2205" s="2"/>
      <c r="B2205" s="65" t="str">
        <f>IF($D2205="","","T"&amp;TEXT(ROW()-6,"00000"))</f>
        <v/>
      </c>
      <c r="C2205" s="65" t="str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61"/>
      <c r="E2205" s="66"/>
      <c r="F2205" s="67"/>
      <c r="G2205" s="60"/>
      <c r="H2205" s="60"/>
      <c r="I2205" s="61"/>
      <c r="J2205" s="61"/>
      <c r="K2205" s="61"/>
      <c r="L2205" s="73" t="str">
        <f>IF($E2205="","",DATE(YEAR($E2205),MONTH($E2205),1))</f>
        <v/>
      </c>
      <c r="M2205" s="65" t="str">
        <f ca="1">IF($D2205="","",IF($C2205="TANIMSIZ MÜŞTERİ","HATA",IF(OR($E2205="",$F2205&lt;=0,$G2205=""),"EKSİK",IF($E2205&gt;TODAY(),"İLERİ TARİH",IF(COUNTIF($S$7:$S$2503,$S2205)&gt;1,"MÜKERRER?",IF($T2205&gt;0,"KAPALI DÖNEM","UYGUN"))))))</f>
        <v/>
      </c>
      <c r="N2205" s="74" t="str">
        <f>IF($C2205="","",IF($C2205="TANIMSIZ MÜŞTERİ","—",INDEX(MUSTERILER!$C$7:$C$156,MATCH($C2205,MUSTERILER!$B$7:$B$156,0))))</f>
        <v/>
      </c>
      <c r="O2205" s="2"/>
      <c r="P2205" s="2"/>
      <c r="Q2205" s="1" t="str">
        <f>IF($D2205="","",$C2205&amp;"|"&amp;COUNTIFS($C$7:$C2205,$C2205))</f>
        <v/>
      </c>
      <c r="R2205" s="1" t="str">
        <f t="shared" si="68"/>
        <v/>
      </c>
      <c r="S2205" s="1" t="str">
        <f t="shared" si="69"/>
        <v/>
      </c>
      <c r="T2205" s="1">
        <f>IF($E2205="",0,SUMPRODUCT((AY_SONU!$O$7:$O$42="Evet")*(AY_SONU!$B$7:$B$42=DATE(YEAR($E2205),MONTH($E2205),1))))</f>
        <v>0</v>
      </c>
      <c r="U2205" s="1" t="str">
        <f>IF(OR($G2205="",$H2205="Mahsup"),"",$G2205&amp;"|"&amp;COUNTIFS($G$7:$G2205,$G2205,$H$7:$H2205,"&lt;&gt;Mahsup"))</f>
        <v/>
      </c>
    </row>
    <row r="2206" spans="1:21" ht="18" customHeight="1" x14ac:dyDescent="0.3">
      <c r="A2206" s="2"/>
      <c r="B2206" s="65" t="str">
        <f>IF($D2206="","","T"&amp;TEXT(ROW()-6,"00000"))</f>
        <v/>
      </c>
      <c r="C2206" s="65" t="str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61"/>
      <c r="E2206" s="66"/>
      <c r="F2206" s="67"/>
      <c r="G2206" s="60"/>
      <c r="H2206" s="60"/>
      <c r="I2206" s="61"/>
      <c r="J2206" s="61"/>
      <c r="K2206" s="61"/>
      <c r="L2206" s="73" t="str">
        <f>IF($E2206="","",DATE(YEAR($E2206),MONTH($E2206),1))</f>
        <v/>
      </c>
      <c r="M2206" s="65" t="str">
        <f ca="1">IF($D2206="","",IF($C2206="TANIMSIZ MÜŞTERİ","HATA",IF(OR($E2206="",$F2206&lt;=0,$G2206=""),"EKSİK",IF($E2206&gt;TODAY(),"İLERİ TARİH",IF(COUNTIF($S$7:$S$2503,$S2206)&gt;1,"MÜKERRER?",IF($T2206&gt;0,"KAPALI DÖNEM","UYGUN"))))))</f>
        <v/>
      </c>
      <c r="N2206" s="74" t="str">
        <f>IF($C2206="","",IF($C2206="TANIMSIZ MÜŞTERİ","—",INDEX(MUSTERILER!$C$7:$C$156,MATCH($C2206,MUSTERILER!$B$7:$B$156,0))))</f>
        <v/>
      </c>
      <c r="O2206" s="2"/>
      <c r="P2206" s="2"/>
      <c r="Q2206" s="1" t="str">
        <f>IF($D2206="","",$C2206&amp;"|"&amp;COUNTIFS($C$7:$C2206,$C2206))</f>
        <v/>
      </c>
      <c r="R2206" s="1" t="str">
        <f t="shared" si="68"/>
        <v/>
      </c>
      <c r="S2206" s="1" t="str">
        <f t="shared" si="69"/>
        <v/>
      </c>
      <c r="T2206" s="1">
        <f>IF($E2206="",0,SUMPRODUCT((AY_SONU!$O$7:$O$42="Evet")*(AY_SONU!$B$7:$B$42=DATE(YEAR($E2206),MONTH($E2206),1))))</f>
        <v>0</v>
      </c>
      <c r="U2206" s="1" t="str">
        <f>IF(OR($G2206="",$H2206="Mahsup"),"",$G2206&amp;"|"&amp;COUNTIFS($G$7:$G2206,$G2206,$H$7:$H2206,"&lt;&gt;Mahsup"))</f>
        <v/>
      </c>
    </row>
    <row r="2207" spans="1:21" ht="18" customHeight="1" x14ac:dyDescent="0.3">
      <c r="A2207" s="2"/>
      <c r="B2207" s="65" t="str">
        <f>IF($D2207="","","T"&amp;TEXT(ROW()-6,"00000"))</f>
        <v/>
      </c>
      <c r="C2207" s="65" t="str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61"/>
      <c r="E2207" s="66"/>
      <c r="F2207" s="67"/>
      <c r="G2207" s="60"/>
      <c r="H2207" s="60"/>
      <c r="I2207" s="61"/>
      <c r="J2207" s="61"/>
      <c r="K2207" s="61"/>
      <c r="L2207" s="73" t="str">
        <f>IF($E2207="","",DATE(YEAR($E2207),MONTH($E2207),1))</f>
        <v/>
      </c>
      <c r="M2207" s="65" t="str">
        <f ca="1">IF($D2207="","",IF($C2207="TANIMSIZ MÜŞTERİ","HATA",IF(OR($E2207="",$F2207&lt;=0,$G2207=""),"EKSİK",IF($E2207&gt;TODAY(),"İLERİ TARİH",IF(COUNTIF($S$7:$S$2503,$S2207)&gt;1,"MÜKERRER?",IF($T2207&gt;0,"KAPALI DÖNEM","UYGUN"))))))</f>
        <v/>
      </c>
      <c r="N2207" s="74" t="str">
        <f>IF($C2207="","",IF($C2207="TANIMSIZ MÜŞTERİ","—",INDEX(MUSTERILER!$C$7:$C$156,MATCH($C2207,MUSTERILER!$B$7:$B$156,0))))</f>
        <v/>
      </c>
      <c r="O2207" s="2"/>
      <c r="P2207" s="2"/>
      <c r="Q2207" s="1" t="str">
        <f>IF($D2207="","",$C2207&amp;"|"&amp;COUNTIFS($C$7:$C2207,$C2207))</f>
        <v/>
      </c>
      <c r="R2207" s="1" t="str">
        <f t="shared" si="68"/>
        <v/>
      </c>
      <c r="S2207" s="1" t="str">
        <f t="shared" si="69"/>
        <v/>
      </c>
      <c r="T2207" s="1">
        <f>IF($E2207="",0,SUMPRODUCT((AY_SONU!$O$7:$O$42="Evet")*(AY_SONU!$B$7:$B$42=DATE(YEAR($E2207),MONTH($E2207),1))))</f>
        <v>0</v>
      </c>
      <c r="U2207" s="1" t="str">
        <f>IF(OR($G2207="",$H2207="Mahsup"),"",$G2207&amp;"|"&amp;COUNTIFS($G$7:$G2207,$G2207,$H$7:$H2207,"&lt;&gt;Mahsup"))</f>
        <v/>
      </c>
    </row>
    <row r="2208" spans="1:21" ht="18" customHeight="1" x14ac:dyDescent="0.3">
      <c r="A2208" s="2"/>
      <c r="B2208" s="65" t="str">
        <f>IF($D2208="","","T"&amp;TEXT(ROW()-6,"00000"))</f>
        <v/>
      </c>
      <c r="C2208" s="65" t="str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61"/>
      <c r="E2208" s="66"/>
      <c r="F2208" s="67"/>
      <c r="G2208" s="60"/>
      <c r="H2208" s="60"/>
      <c r="I2208" s="61"/>
      <c r="J2208" s="61"/>
      <c r="K2208" s="61"/>
      <c r="L2208" s="73" t="str">
        <f>IF($E2208="","",DATE(YEAR($E2208),MONTH($E2208),1))</f>
        <v/>
      </c>
      <c r="M2208" s="65" t="str">
        <f ca="1">IF($D2208="","",IF($C2208="TANIMSIZ MÜŞTERİ","HATA",IF(OR($E2208="",$F2208&lt;=0,$G2208=""),"EKSİK",IF($E2208&gt;TODAY(),"İLERİ TARİH",IF(COUNTIF($S$7:$S$2503,$S2208)&gt;1,"MÜKERRER?",IF($T2208&gt;0,"KAPALI DÖNEM","UYGUN"))))))</f>
        <v/>
      </c>
      <c r="N2208" s="74" t="str">
        <f>IF($C2208="","",IF($C2208="TANIMSIZ MÜŞTERİ","—",INDEX(MUSTERILER!$C$7:$C$156,MATCH($C2208,MUSTERILER!$B$7:$B$156,0))))</f>
        <v/>
      </c>
      <c r="O2208" s="2"/>
      <c r="P2208" s="2"/>
      <c r="Q2208" s="1" t="str">
        <f>IF($D2208="","",$C2208&amp;"|"&amp;COUNTIFS($C$7:$C2208,$C2208))</f>
        <v/>
      </c>
      <c r="R2208" s="1" t="str">
        <f t="shared" si="68"/>
        <v/>
      </c>
      <c r="S2208" s="1" t="str">
        <f t="shared" si="69"/>
        <v/>
      </c>
      <c r="T2208" s="1">
        <f>IF($E2208="",0,SUMPRODUCT((AY_SONU!$O$7:$O$42="Evet")*(AY_SONU!$B$7:$B$42=DATE(YEAR($E2208),MONTH($E2208),1))))</f>
        <v>0</v>
      </c>
      <c r="U2208" s="1" t="str">
        <f>IF(OR($G2208="",$H2208="Mahsup"),"",$G2208&amp;"|"&amp;COUNTIFS($G$7:$G2208,$G2208,$H$7:$H2208,"&lt;&gt;Mahsup"))</f>
        <v/>
      </c>
    </row>
    <row r="2209" spans="1:21" ht="18" customHeight="1" x14ac:dyDescent="0.3">
      <c r="A2209" s="2"/>
      <c r="B2209" s="65" t="str">
        <f>IF($D2209="","","T"&amp;TEXT(ROW()-6,"00000"))</f>
        <v/>
      </c>
      <c r="C2209" s="65" t="str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61"/>
      <c r="E2209" s="66"/>
      <c r="F2209" s="67"/>
      <c r="G2209" s="60"/>
      <c r="H2209" s="60"/>
      <c r="I2209" s="61"/>
      <c r="J2209" s="61"/>
      <c r="K2209" s="61"/>
      <c r="L2209" s="73" t="str">
        <f>IF($E2209="","",DATE(YEAR($E2209),MONTH($E2209),1))</f>
        <v/>
      </c>
      <c r="M2209" s="65" t="str">
        <f ca="1">IF($D2209="","",IF($C2209="TANIMSIZ MÜŞTERİ","HATA",IF(OR($E2209="",$F2209&lt;=0,$G2209=""),"EKSİK",IF($E2209&gt;TODAY(),"İLERİ TARİH",IF(COUNTIF($S$7:$S$2503,$S2209)&gt;1,"MÜKERRER?",IF($T2209&gt;0,"KAPALI DÖNEM","UYGUN"))))))</f>
        <v/>
      </c>
      <c r="N2209" s="74" t="str">
        <f>IF($C2209="","",IF($C2209="TANIMSIZ MÜŞTERİ","—",INDEX(MUSTERILER!$C$7:$C$156,MATCH($C2209,MUSTERILER!$B$7:$B$156,0))))</f>
        <v/>
      </c>
      <c r="O2209" s="2"/>
      <c r="P2209" s="2"/>
      <c r="Q2209" s="1" t="str">
        <f>IF($D2209="","",$C2209&amp;"|"&amp;COUNTIFS($C$7:$C2209,$C2209))</f>
        <v/>
      </c>
      <c r="R2209" s="1" t="str">
        <f t="shared" si="68"/>
        <v/>
      </c>
      <c r="S2209" s="1" t="str">
        <f t="shared" si="69"/>
        <v/>
      </c>
      <c r="T2209" s="1">
        <f>IF($E2209="",0,SUMPRODUCT((AY_SONU!$O$7:$O$42="Evet")*(AY_SONU!$B$7:$B$42=DATE(YEAR($E2209),MONTH($E2209),1))))</f>
        <v>0</v>
      </c>
      <c r="U2209" s="1" t="str">
        <f>IF(OR($G2209="",$H2209="Mahsup"),"",$G2209&amp;"|"&amp;COUNTIFS($G$7:$G2209,$G2209,$H$7:$H2209,"&lt;&gt;Mahsup"))</f>
        <v/>
      </c>
    </row>
    <row r="2210" spans="1:21" ht="18" customHeight="1" x14ac:dyDescent="0.3">
      <c r="A2210" s="2"/>
      <c r="B2210" s="65" t="str">
        <f>IF($D2210="","","T"&amp;TEXT(ROW()-6,"00000"))</f>
        <v/>
      </c>
      <c r="C2210" s="65" t="str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61"/>
      <c r="E2210" s="66"/>
      <c r="F2210" s="67"/>
      <c r="G2210" s="60"/>
      <c r="H2210" s="60"/>
      <c r="I2210" s="61"/>
      <c r="J2210" s="61"/>
      <c r="K2210" s="61"/>
      <c r="L2210" s="73" t="str">
        <f>IF($E2210="","",DATE(YEAR($E2210),MONTH($E2210),1))</f>
        <v/>
      </c>
      <c r="M2210" s="65" t="str">
        <f ca="1">IF($D2210="","",IF($C2210="TANIMSIZ MÜŞTERİ","HATA",IF(OR($E2210="",$F2210&lt;=0,$G2210=""),"EKSİK",IF($E2210&gt;TODAY(),"İLERİ TARİH",IF(COUNTIF($S$7:$S$2503,$S2210)&gt;1,"MÜKERRER?",IF($T2210&gt;0,"KAPALI DÖNEM","UYGUN"))))))</f>
        <v/>
      </c>
      <c r="N2210" s="74" t="str">
        <f>IF($C2210="","",IF($C2210="TANIMSIZ MÜŞTERİ","—",INDEX(MUSTERILER!$C$7:$C$156,MATCH($C2210,MUSTERILER!$B$7:$B$156,0))))</f>
        <v/>
      </c>
      <c r="O2210" s="2"/>
      <c r="P2210" s="2"/>
      <c r="Q2210" s="1" t="str">
        <f>IF($D2210="","",$C2210&amp;"|"&amp;COUNTIFS($C$7:$C2210,$C2210))</f>
        <v/>
      </c>
      <c r="R2210" s="1" t="str">
        <f t="shared" si="68"/>
        <v/>
      </c>
      <c r="S2210" s="1" t="str">
        <f t="shared" si="69"/>
        <v/>
      </c>
      <c r="T2210" s="1">
        <f>IF($E2210="",0,SUMPRODUCT((AY_SONU!$O$7:$O$42="Evet")*(AY_SONU!$B$7:$B$42=DATE(YEAR($E2210),MONTH($E2210),1))))</f>
        <v>0</v>
      </c>
      <c r="U2210" s="1" t="str">
        <f>IF(OR($G2210="",$H2210="Mahsup"),"",$G2210&amp;"|"&amp;COUNTIFS($G$7:$G2210,$G2210,$H$7:$H2210,"&lt;&gt;Mahsup"))</f>
        <v/>
      </c>
    </row>
    <row r="2211" spans="1:21" ht="18" customHeight="1" x14ac:dyDescent="0.3">
      <c r="A2211" s="2"/>
      <c r="B2211" s="65" t="str">
        <f>IF($D2211="","","T"&amp;TEXT(ROW()-6,"00000"))</f>
        <v/>
      </c>
      <c r="C2211" s="65" t="str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61"/>
      <c r="E2211" s="66"/>
      <c r="F2211" s="67"/>
      <c r="G2211" s="60"/>
      <c r="H2211" s="60"/>
      <c r="I2211" s="61"/>
      <c r="J2211" s="61"/>
      <c r="K2211" s="61"/>
      <c r="L2211" s="73" t="str">
        <f>IF($E2211="","",DATE(YEAR($E2211),MONTH($E2211),1))</f>
        <v/>
      </c>
      <c r="M2211" s="65" t="str">
        <f ca="1">IF($D2211="","",IF($C2211="TANIMSIZ MÜŞTERİ","HATA",IF(OR($E2211="",$F2211&lt;=0,$G2211=""),"EKSİK",IF($E2211&gt;TODAY(),"İLERİ TARİH",IF(COUNTIF($S$7:$S$2503,$S2211)&gt;1,"MÜKERRER?",IF($T2211&gt;0,"KAPALI DÖNEM","UYGUN"))))))</f>
        <v/>
      </c>
      <c r="N2211" s="74" t="str">
        <f>IF($C2211="","",IF($C2211="TANIMSIZ MÜŞTERİ","—",INDEX(MUSTERILER!$C$7:$C$156,MATCH($C2211,MUSTERILER!$B$7:$B$156,0))))</f>
        <v/>
      </c>
      <c r="O2211" s="2"/>
      <c r="P2211" s="2"/>
      <c r="Q2211" s="1" t="str">
        <f>IF($D2211="","",$C2211&amp;"|"&amp;COUNTIFS($C$7:$C2211,$C2211))</f>
        <v/>
      </c>
      <c r="R2211" s="1" t="str">
        <f t="shared" si="68"/>
        <v/>
      </c>
      <c r="S2211" s="1" t="str">
        <f t="shared" si="69"/>
        <v/>
      </c>
      <c r="T2211" s="1">
        <f>IF($E2211="",0,SUMPRODUCT((AY_SONU!$O$7:$O$42="Evet")*(AY_SONU!$B$7:$B$42=DATE(YEAR($E2211),MONTH($E2211),1))))</f>
        <v>0</v>
      </c>
      <c r="U2211" s="1" t="str">
        <f>IF(OR($G2211="",$H2211="Mahsup"),"",$G2211&amp;"|"&amp;COUNTIFS($G$7:$G2211,$G2211,$H$7:$H2211,"&lt;&gt;Mahsup"))</f>
        <v/>
      </c>
    </row>
    <row r="2212" spans="1:21" ht="18" customHeight="1" x14ac:dyDescent="0.3">
      <c r="A2212" s="2"/>
      <c r="B2212" s="65" t="str">
        <f>IF($D2212="","","T"&amp;TEXT(ROW()-6,"00000"))</f>
        <v/>
      </c>
      <c r="C2212" s="65" t="str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61"/>
      <c r="E2212" s="66"/>
      <c r="F2212" s="67"/>
      <c r="G2212" s="60"/>
      <c r="H2212" s="60"/>
      <c r="I2212" s="61"/>
      <c r="J2212" s="61"/>
      <c r="K2212" s="61"/>
      <c r="L2212" s="73" t="str">
        <f>IF($E2212="","",DATE(YEAR($E2212),MONTH($E2212),1))</f>
        <v/>
      </c>
      <c r="M2212" s="65" t="str">
        <f ca="1">IF($D2212="","",IF($C2212="TANIMSIZ MÜŞTERİ","HATA",IF(OR($E2212="",$F2212&lt;=0,$G2212=""),"EKSİK",IF($E2212&gt;TODAY(),"İLERİ TARİH",IF(COUNTIF($S$7:$S$2503,$S2212)&gt;1,"MÜKERRER?",IF($T2212&gt;0,"KAPALI DÖNEM","UYGUN"))))))</f>
        <v/>
      </c>
      <c r="N2212" s="74" t="str">
        <f>IF($C2212="","",IF($C2212="TANIMSIZ MÜŞTERİ","—",INDEX(MUSTERILER!$C$7:$C$156,MATCH($C2212,MUSTERILER!$B$7:$B$156,0))))</f>
        <v/>
      </c>
      <c r="O2212" s="2"/>
      <c r="P2212" s="2"/>
      <c r="Q2212" s="1" t="str">
        <f>IF($D2212="","",$C2212&amp;"|"&amp;COUNTIFS($C$7:$C2212,$C2212))</f>
        <v/>
      </c>
      <c r="R2212" s="1" t="str">
        <f t="shared" si="68"/>
        <v/>
      </c>
      <c r="S2212" s="1" t="str">
        <f t="shared" si="69"/>
        <v/>
      </c>
      <c r="T2212" s="1">
        <f>IF($E2212="",0,SUMPRODUCT((AY_SONU!$O$7:$O$42="Evet")*(AY_SONU!$B$7:$B$42=DATE(YEAR($E2212),MONTH($E2212),1))))</f>
        <v>0</v>
      </c>
      <c r="U2212" s="1" t="str">
        <f>IF(OR($G2212="",$H2212="Mahsup"),"",$G2212&amp;"|"&amp;COUNTIFS($G$7:$G2212,$G2212,$H$7:$H2212,"&lt;&gt;Mahsup"))</f>
        <v/>
      </c>
    </row>
    <row r="2213" spans="1:21" ht="18" customHeight="1" x14ac:dyDescent="0.3">
      <c r="A2213" s="2"/>
      <c r="B2213" s="65" t="str">
        <f>IF($D2213="","","T"&amp;TEXT(ROW()-6,"00000"))</f>
        <v/>
      </c>
      <c r="C2213" s="65" t="str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61"/>
      <c r="E2213" s="66"/>
      <c r="F2213" s="67"/>
      <c r="G2213" s="60"/>
      <c r="H2213" s="60"/>
      <c r="I2213" s="61"/>
      <c r="J2213" s="61"/>
      <c r="K2213" s="61"/>
      <c r="L2213" s="73" t="str">
        <f>IF($E2213="","",DATE(YEAR($E2213),MONTH($E2213),1))</f>
        <v/>
      </c>
      <c r="M2213" s="65" t="str">
        <f ca="1">IF($D2213="","",IF($C2213="TANIMSIZ MÜŞTERİ","HATA",IF(OR($E2213="",$F2213&lt;=0,$G2213=""),"EKSİK",IF($E2213&gt;TODAY(),"İLERİ TARİH",IF(COUNTIF($S$7:$S$2503,$S2213)&gt;1,"MÜKERRER?",IF($T2213&gt;0,"KAPALI DÖNEM","UYGUN"))))))</f>
        <v/>
      </c>
      <c r="N2213" s="74" t="str">
        <f>IF($C2213="","",IF($C2213="TANIMSIZ MÜŞTERİ","—",INDEX(MUSTERILER!$C$7:$C$156,MATCH($C2213,MUSTERILER!$B$7:$B$156,0))))</f>
        <v/>
      </c>
      <c r="O2213" s="2"/>
      <c r="P2213" s="2"/>
      <c r="Q2213" s="1" t="str">
        <f>IF($D2213="","",$C2213&amp;"|"&amp;COUNTIFS($C$7:$C2213,$C2213))</f>
        <v/>
      </c>
      <c r="R2213" s="1" t="str">
        <f t="shared" si="68"/>
        <v/>
      </c>
      <c r="S2213" s="1" t="str">
        <f t="shared" si="69"/>
        <v/>
      </c>
      <c r="T2213" s="1">
        <f>IF($E2213="",0,SUMPRODUCT((AY_SONU!$O$7:$O$42="Evet")*(AY_SONU!$B$7:$B$42=DATE(YEAR($E2213),MONTH($E2213),1))))</f>
        <v>0</v>
      </c>
      <c r="U2213" s="1" t="str">
        <f>IF(OR($G2213="",$H2213="Mahsup"),"",$G2213&amp;"|"&amp;COUNTIFS($G$7:$G2213,$G2213,$H$7:$H2213,"&lt;&gt;Mahsup"))</f>
        <v/>
      </c>
    </row>
    <row r="2214" spans="1:21" ht="18" customHeight="1" x14ac:dyDescent="0.3">
      <c r="A2214" s="2"/>
      <c r="B2214" s="65" t="str">
        <f>IF($D2214="","","T"&amp;TEXT(ROW()-6,"00000"))</f>
        <v/>
      </c>
      <c r="C2214" s="65" t="str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61"/>
      <c r="E2214" s="66"/>
      <c r="F2214" s="67"/>
      <c r="G2214" s="60"/>
      <c r="H2214" s="60"/>
      <c r="I2214" s="61"/>
      <c r="J2214" s="61"/>
      <c r="K2214" s="61"/>
      <c r="L2214" s="73" t="str">
        <f>IF($E2214="","",DATE(YEAR($E2214),MONTH($E2214),1))</f>
        <v/>
      </c>
      <c r="M2214" s="65" t="str">
        <f ca="1">IF($D2214="","",IF($C2214="TANIMSIZ MÜŞTERİ","HATA",IF(OR($E2214="",$F2214&lt;=0,$G2214=""),"EKSİK",IF($E2214&gt;TODAY(),"İLERİ TARİH",IF(COUNTIF($S$7:$S$2503,$S2214)&gt;1,"MÜKERRER?",IF($T2214&gt;0,"KAPALI DÖNEM","UYGUN"))))))</f>
        <v/>
      </c>
      <c r="N2214" s="74" t="str">
        <f>IF($C2214="","",IF($C2214="TANIMSIZ MÜŞTERİ","—",INDEX(MUSTERILER!$C$7:$C$156,MATCH($C2214,MUSTERILER!$B$7:$B$156,0))))</f>
        <v/>
      </c>
      <c r="O2214" s="2"/>
      <c r="P2214" s="2"/>
      <c r="Q2214" s="1" t="str">
        <f>IF($D2214="","",$C2214&amp;"|"&amp;COUNTIFS($C$7:$C2214,$C2214))</f>
        <v/>
      </c>
      <c r="R2214" s="1" t="str">
        <f t="shared" si="68"/>
        <v/>
      </c>
      <c r="S2214" s="1" t="str">
        <f t="shared" si="69"/>
        <v/>
      </c>
      <c r="T2214" s="1">
        <f>IF($E2214="",0,SUMPRODUCT((AY_SONU!$O$7:$O$42="Evet")*(AY_SONU!$B$7:$B$42=DATE(YEAR($E2214),MONTH($E2214),1))))</f>
        <v>0</v>
      </c>
      <c r="U2214" s="1" t="str">
        <f>IF(OR($G2214="",$H2214="Mahsup"),"",$G2214&amp;"|"&amp;COUNTIFS($G$7:$G2214,$G2214,$H$7:$H2214,"&lt;&gt;Mahsup"))</f>
        <v/>
      </c>
    </row>
    <row r="2215" spans="1:21" ht="18" customHeight="1" x14ac:dyDescent="0.3">
      <c r="A2215" s="2"/>
      <c r="B2215" s="65" t="str">
        <f>IF($D2215="","","T"&amp;TEXT(ROW()-6,"00000"))</f>
        <v/>
      </c>
      <c r="C2215" s="65" t="str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61"/>
      <c r="E2215" s="66"/>
      <c r="F2215" s="67"/>
      <c r="G2215" s="60"/>
      <c r="H2215" s="60"/>
      <c r="I2215" s="61"/>
      <c r="J2215" s="61"/>
      <c r="K2215" s="61"/>
      <c r="L2215" s="73" t="str">
        <f>IF($E2215="","",DATE(YEAR($E2215),MONTH($E2215),1))</f>
        <v/>
      </c>
      <c r="M2215" s="65" t="str">
        <f ca="1">IF($D2215="","",IF($C2215="TANIMSIZ MÜŞTERİ","HATA",IF(OR($E2215="",$F2215&lt;=0,$G2215=""),"EKSİK",IF($E2215&gt;TODAY(),"İLERİ TARİH",IF(COUNTIF($S$7:$S$2503,$S2215)&gt;1,"MÜKERRER?",IF($T2215&gt;0,"KAPALI DÖNEM","UYGUN"))))))</f>
        <v/>
      </c>
      <c r="N2215" s="74" t="str">
        <f>IF($C2215="","",IF($C2215="TANIMSIZ MÜŞTERİ","—",INDEX(MUSTERILER!$C$7:$C$156,MATCH($C2215,MUSTERILER!$B$7:$B$156,0))))</f>
        <v/>
      </c>
      <c r="O2215" s="2"/>
      <c r="P2215" s="2"/>
      <c r="Q2215" s="1" t="str">
        <f>IF($D2215="","",$C2215&amp;"|"&amp;COUNTIFS($C$7:$C2215,$C2215))</f>
        <v/>
      </c>
      <c r="R2215" s="1" t="str">
        <f t="shared" si="68"/>
        <v/>
      </c>
      <c r="S2215" s="1" t="str">
        <f t="shared" si="69"/>
        <v/>
      </c>
      <c r="T2215" s="1">
        <f>IF($E2215="",0,SUMPRODUCT((AY_SONU!$O$7:$O$42="Evet")*(AY_SONU!$B$7:$B$42=DATE(YEAR($E2215),MONTH($E2215),1))))</f>
        <v>0</v>
      </c>
      <c r="U2215" s="1" t="str">
        <f>IF(OR($G2215="",$H2215="Mahsup"),"",$G2215&amp;"|"&amp;COUNTIFS($G$7:$G2215,$G2215,$H$7:$H2215,"&lt;&gt;Mahsup"))</f>
        <v/>
      </c>
    </row>
    <row r="2216" spans="1:21" ht="18" customHeight="1" x14ac:dyDescent="0.3">
      <c r="A2216" s="2"/>
      <c r="B2216" s="65" t="str">
        <f>IF($D2216="","","T"&amp;TEXT(ROW()-6,"00000"))</f>
        <v/>
      </c>
      <c r="C2216" s="65" t="str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61"/>
      <c r="E2216" s="66"/>
      <c r="F2216" s="67"/>
      <c r="G2216" s="60"/>
      <c r="H2216" s="60"/>
      <c r="I2216" s="61"/>
      <c r="J2216" s="61"/>
      <c r="K2216" s="61"/>
      <c r="L2216" s="73" t="str">
        <f>IF($E2216="","",DATE(YEAR($E2216),MONTH($E2216),1))</f>
        <v/>
      </c>
      <c r="M2216" s="65" t="str">
        <f ca="1">IF($D2216="","",IF($C2216="TANIMSIZ MÜŞTERİ","HATA",IF(OR($E2216="",$F2216&lt;=0,$G2216=""),"EKSİK",IF($E2216&gt;TODAY(),"İLERİ TARİH",IF(COUNTIF($S$7:$S$2503,$S2216)&gt;1,"MÜKERRER?",IF($T2216&gt;0,"KAPALI DÖNEM","UYGUN"))))))</f>
        <v/>
      </c>
      <c r="N2216" s="74" t="str">
        <f>IF($C2216="","",IF($C2216="TANIMSIZ MÜŞTERİ","—",INDEX(MUSTERILER!$C$7:$C$156,MATCH($C2216,MUSTERILER!$B$7:$B$156,0))))</f>
        <v/>
      </c>
      <c r="O2216" s="2"/>
      <c r="P2216" s="2"/>
      <c r="Q2216" s="1" t="str">
        <f>IF($D2216="","",$C2216&amp;"|"&amp;COUNTIFS($C$7:$C2216,$C2216))</f>
        <v/>
      </c>
      <c r="R2216" s="1" t="str">
        <f t="shared" si="68"/>
        <v/>
      </c>
      <c r="S2216" s="1" t="str">
        <f t="shared" si="69"/>
        <v/>
      </c>
      <c r="T2216" s="1">
        <f>IF($E2216="",0,SUMPRODUCT((AY_SONU!$O$7:$O$42="Evet")*(AY_SONU!$B$7:$B$42=DATE(YEAR($E2216),MONTH($E2216),1))))</f>
        <v>0</v>
      </c>
      <c r="U2216" s="1" t="str">
        <f>IF(OR($G2216="",$H2216="Mahsup"),"",$G2216&amp;"|"&amp;COUNTIFS($G$7:$G2216,$G2216,$H$7:$H2216,"&lt;&gt;Mahsup"))</f>
        <v/>
      </c>
    </row>
    <row r="2217" spans="1:21" ht="18" customHeight="1" x14ac:dyDescent="0.3">
      <c r="A2217" s="2"/>
      <c r="B2217" s="65" t="str">
        <f>IF($D2217="","","T"&amp;TEXT(ROW()-6,"00000"))</f>
        <v/>
      </c>
      <c r="C2217" s="65" t="str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61"/>
      <c r="E2217" s="66"/>
      <c r="F2217" s="67"/>
      <c r="G2217" s="60"/>
      <c r="H2217" s="60"/>
      <c r="I2217" s="61"/>
      <c r="J2217" s="61"/>
      <c r="K2217" s="61"/>
      <c r="L2217" s="73" t="str">
        <f>IF($E2217="","",DATE(YEAR($E2217),MONTH($E2217),1))</f>
        <v/>
      </c>
      <c r="M2217" s="65" t="str">
        <f ca="1">IF($D2217="","",IF($C2217="TANIMSIZ MÜŞTERİ","HATA",IF(OR($E2217="",$F2217&lt;=0,$G2217=""),"EKSİK",IF($E2217&gt;TODAY(),"İLERİ TARİH",IF(COUNTIF($S$7:$S$2503,$S2217)&gt;1,"MÜKERRER?",IF($T2217&gt;0,"KAPALI DÖNEM","UYGUN"))))))</f>
        <v/>
      </c>
      <c r="N2217" s="74" t="str">
        <f>IF($C2217="","",IF($C2217="TANIMSIZ MÜŞTERİ","—",INDEX(MUSTERILER!$C$7:$C$156,MATCH($C2217,MUSTERILER!$B$7:$B$156,0))))</f>
        <v/>
      </c>
      <c r="O2217" s="2"/>
      <c r="P2217" s="2"/>
      <c r="Q2217" s="1" t="str">
        <f>IF($D2217="","",$C2217&amp;"|"&amp;COUNTIFS($C$7:$C2217,$C2217))</f>
        <v/>
      </c>
      <c r="R2217" s="1" t="str">
        <f t="shared" si="68"/>
        <v/>
      </c>
      <c r="S2217" s="1" t="str">
        <f t="shared" si="69"/>
        <v/>
      </c>
      <c r="T2217" s="1">
        <f>IF($E2217="",0,SUMPRODUCT((AY_SONU!$O$7:$O$42="Evet")*(AY_SONU!$B$7:$B$42=DATE(YEAR($E2217),MONTH($E2217),1))))</f>
        <v>0</v>
      </c>
      <c r="U2217" s="1" t="str">
        <f>IF(OR($G2217="",$H2217="Mahsup"),"",$G2217&amp;"|"&amp;COUNTIFS($G$7:$G2217,$G2217,$H$7:$H2217,"&lt;&gt;Mahsup"))</f>
        <v/>
      </c>
    </row>
    <row r="2218" spans="1:21" ht="18" customHeight="1" x14ac:dyDescent="0.3">
      <c r="A2218" s="2"/>
      <c r="B2218" s="65" t="str">
        <f>IF($D2218="","","T"&amp;TEXT(ROW()-6,"00000"))</f>
        <v/>
      </c>
      <c r="C2218" s="65" t="str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61"/>
      <c r="E2218" s="66"/>
      <c r="F2218" s="67"/>
      <c r="G2218" s="60"/>
      <c r="H2218" s="60"/>
      <c r="I2218" s="61"/>
      <c r="J2218" s="61"/>
      <c r="K2218" s="61"/>
      <c r="L2218" s="73" t="str">
        <f>IF($E2218="","",DATE(YEAR($E2218),MONTH($E2218),1))</f>
        <v/>
      </c>
      <c r="M2218" s="65" t="str">
        <f ca="1">IF($D2218="","",IF($C2218="TANIMSIZ MÜŞTERİ","HATA",IF(OR($E2218="",$F2218&lt;=0,$G2218=""),"EKSİK",IF($E2218&gt;TODAY(),"İLERİ TARİH",IF(COUNTIF($S$7:$S$2503,$S2218)&gt;1,"MÜKERRER?",IF($T2218&gt;0,"KAPALI DÖNEM","UYGUN"))))))</f>
        <v/>
      </c>
      <c r="N2218" s="74" t="str">
        <f>IF($C2218="","",IF($C2218="TANIMSIZ MÜŞTERİ","—",INDEX(MUSTERILER!$C$7:$C$156,MATCH($C2218,MUSTERILER!$B$7:$B$156,0))))</f>
        <v/>
      </c>
      <c r="O2218" s="2"/>
      <c r="P2218" s="2"/>
      <c r="Q2218" s="1" t="str">
        <f>IF($D2218="","",$C2218&amp;"|"&amp;COUNTIFS($C$7:$C2218,$C2218))</f>
        <v/>
      </c>
      <c r="R2218" s="1" t="str">
        <f t="shared" si="68"/>
        <v/>
      </c>
      <c r="S2218" s="1" t="str">
        <f t="shared" si="69"/>
        <v/>
      </c>
      <c r="T2218" s="1">
        <f>IF($E2218="",0,SUMPRODUCT((AY_SONU!$O$7:$O$42="Evet")*(AY_SONU!$B$7:$B$42=DATE(YEAR($E2218),MONTH($E2218),1))))</f>
        <v>0</v>
      </c>
      <c r="U2218" s="1" t="str">
        <f>IF(OR($G2218="",$H2218="Mahsup"),"",$G2218&amp;"|"&amp;COUNTIFS($G$7:$G2218,$G2218,$H$7:$H2218,"&lt;&gt;Mahsup"))</f>
        <v/>
      </c>
    </row>
    <row r="2219" spans="1:21" ht="18" customHeight="1" x14ac:dyDescent="0.3">
      <c r="A2219" s="2"/>
      <c r="B2219" s="65" t="str">
        <f>IF($D2219="","","T"&amp;TEXT(ROW()-6,"00000"))</f>
        <v/>
      </c>
      <c r="C2219" s="65" t="str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61"/>
      <c r="E2219" s="66"/>
      <c r="F2219" s="67"/>
      <c r="G2219" s="60"/>
      <c r="H2219" s="60"/>
      <c r="I2219" s="61"/>
      <c r="J2219" s="61"/>
      <c r="K2219" s="61"/>
      <c r="L2219" s="73" t="str">
        <f>IF($E2219="","",DATE(YEAR($E2219),MONTH($E2219),1))</f>
        <v/>
      </c>
      <c r="M2219" s="65" t="str">
        <f ca="1">IF($D2219="","",IF($C2219="TANIMSIZ MÜŞTERİ","HATA",IF(OR($E2219="",$F2219&lt;=0,$G2219=""),"EKSİK",IF($E2219&gt;TODAY(),"İLERİ TARİH",IF(COUNTIF($S$7:$S$2503,$S2219)&gt;1,"MÜKERRER?",IF($T2219&gt;0,"KAPALI DÖNEM","UYGUN"))))))</f>
        <v/>
      </c>
      <c r="N2219" s="74" t="str">
        <f>IF($C2219="","",IF($C2219="TANIMSIZ MÜŞTERİ","—",INDEX(MUSTERILER!$C$7:$C$156,MATCH($C2219,MUSTERILER!$B$7:$B$156,0))))</f>
        <v/>
      </c>
      <c r="O2219" s="2"/>
      <c r="P2219" s="2"/>
      <c r="Q2219" s="1" t="str">
        <f>IF($D2219="","",$C2219&amp;"|"&amp;COUNTIFS($C$7:$C2219,$C2219))</f>
        <v/>
      </c>
      <c r="R2219" s="1" t="str">
        <f t="shared" si="68"/>
        <v/>
      </c>
      <c r="S2219" s="1" t="str">
        <f t="shared" si="69"/>
        <v/>
      </c>
      <c r="T2219" s="1">
        <f>IF($E2219="",0,SUMPRODUCT((AY_SONU!$O$7:$O$42="Evet")*(AY_SONU!$B$7:$B$42=DATE(YEAR($E2219),MONTH($E2219),1))))</f>
        <v>0</v>
      </c>
      <c r="U2219" s="1" t="str">
        <f>IF(OR($G2219="",$H2219="Mahsup"),"",$G2219&amp;"|"&amp;COUNTIFS($G$7:$G2219,$G2219,$H$7:$H2219,"&lt;&gt;Mahsup"))</f>
        <v/>
      </c>
    </row>
    <row r="2220" spans="1:21" ht="18" customHeight="1" x14ac:dyDescent="0.3">
      <c r="A2220" s="2"/>
      <c r="B2220" s="65" t="str">
        <f>IF($D2220="","","T"&amp;TEXT(ROW()-6,"00000"))</f>
        <v/>
      </c>
      <c r="C2220" s="65" t="str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61"/>
      <c r="E2220" s="66"/>
      <c r="F2220" s="67"/>
      <c r="G2220" s="60"/>
      <c r="H2220" s="60"/>
      <c r="I2220" s="61"/>
      <c r="J2220" s="61"/>
      <c r="K2220" s="61"/>
      <c r="L2220" s="73" t="str">
        <f>IF($E2220="","",DATE(YEAR($E2220),MONTH($E2220),1))</f>
        <v/>
      </c>
      <c r="M2220" s="65" t="str">
        <f ca="1">IF($D2220="","",IF($C2220="TANIMSIZ MÜŞTERİ","HATA",IF(OR($E2220="",$F2220&lt;=0,$G2220=""),"EKSİK",IF($E2220&gt;TODAY(),"İLERİ TARİH",IF(COUNTIF($S$7:$S$2503,$S2220)&gt;1,"MÜKERRER?",IF($T2220&gt;0,"KAPALI DÖNEM","UYGUN"))))))</f>
        <v/>
      </c>
      <c r="N2220" s="74" t="str">
        <f>IF($C2220="","",IF($C2220="TANIMSIZ MÜŞTERİ","—",INDEX(MUSTERILER!$C$7:$C$156,MATCH($C2220,MUSTERILER!$B$7:$B$156,0))))</f>
        <v/>
      </c>
      <c r="O2220" s="2"/>
      <c r="P2220" s="2"/>
      <c r="Q2220" s="1" t="str">
        <f>IF($D2220="","",$C2220&amp;"|"&amp;COUNTIFS($C$7:$C2220,$C2220))</f>
        <v/>
      </c>
      <c r="R2220" s="1" t="str">
        <f t="shared" si="68"/>
        <v/>
      </c>
      <c r="S2220" s="1" t="str">
        <f t="shared" si="69"/>
        <v/>
      </c>
      <c r="T2220" s="1">
        <f>IF($E2220="",0,SUMPRODUCT((AY_SONU!$O$7:$O$42="Evet")*(AY_SONU!$B$7:$B$42=DATE(YEAR($E2220),MONTH($E2220),1))))</f>
        <v>0</v>
      </c>
      <c r="U2220" s="1" t="str">
        <f>IF(OR($G2220="",$H2220="Mahsup"),"",$G2220&amp;"|"&amp;COUNTIFS($G$7:$G2220,$G2220,$H$7:$H2220,"&lt;&gt;Mahsup"))</f>
        <v/>
      </c>
    </row>
    <row r="2221" spans="1:21" ht="18" customHeight="1" x14ac:dyDescent="0.3">
      <c r="A2221" s="2"/>
      <c r="B2221" s="65" t="str">
        <f>IF($D2221="","","T"&amp;TEXT(ROW()-6,"00000"))</f>
        <v/>
      </c>
      <c r="C2221" s="65" t="str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61"/>
      <c r="E2221" s="66"/>
      <c r="F2221" s="67"/>
      <c r="G2221" s="60"/>
      <c r="H2221" s="60"/>
      <c r="I2221" s="61"/>
      <c r="J2221" s="61"/>
      <c r="K2221" s="61"/>
      <c r="L2221" s="73" t="str">
        <f>IF($E2221="","",DATE(YEAR($E2221),MONTH($E2221),1))</f>
        <v/>
      </c>
      <c r="M2221" s="65" t="str">
        <f ca="1">IF($D2221="","",IF($C2221="TANIMSIZ MÜŞTERİ","HATA",IF(OR($E2221="",$F2221&lt;=0,$G2221=""),"EKSİK",IF($E2221&gt;TODAY(),"İLERİ TARİH",IF(COUNTIF($S$7:$S$2503,$S2221)&gt;1,"MÜKERRER?",IF($T2221&gt;0,"KAPALI DÖNEM","UYGUN"))))))</f>
        <v/>
      </c>
      <c r="N2221" s="74" t="str">
        <f>IF($C2221="","",IF($C2221="TANIMSIZ MÜŞTERİ","—",INDEX(MUSTERILER!$C$7:$C$156,MATCH($C2221,MUSTERILER!$B$7:$B$156,0))))</f>
        <v/>
      </c>
      <c r="O2221" s="2"/>
      <c r="P2221" s="2"/>
      <c r="Q2221" s="1" t="str">
        <f>IF($D2221="","",$C2221&amp;"|"&amp;COUNTIFS($C$7:$C2221,$C2221))</f>
        <v/>
      </c>
      <c r="R2221" s="1" t="str">
        <f t="shared" si="68"/>
        <v/>
      </c>
      <c r="S2221" s="1" t="str">
        <f t="shared" si="69"/>
        <v/>
      </c>
      <c r="T2221" s="1">
        <f>IF($E2221="",0,SUMPRODUCT((AY_SONU!$O$7:$O$42="Evet")*(AY_SONU!$B$7:$B$42=DATE(YEAR($E2221),MONTH($E2221),1))))</f>
        <v>0</v>
      </c>
      <c r="U2221" s="1" t="str">
        <f>IF(OR($G2221="",$H2221="Mahsup"),"",$G2221&amp;"|"&amp;COUNTIFS($G$7:$G2221,$G2221,$H$7:$H2221,"&lt;&gt;Mahsup"))</f>
        <v/>
      </c>
    </row>
    <row r="2222" spans="1:21" ht="18" customHeight="1" x14ac:dyDescent="0.3">
      <c r="A2222" s="2"/>
      <c r="B2222" s="65" t="str">
        <f>IF($D2222="","","T"&amp;TEXT(ROW()-6,"00000"))</f>
        <v/>
      </c>
      <c r="C2222" s="65" t="str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61"/>
      <c r="E2222" s="66"/>
      <c r="F2222" s="67"/>
      <c r="G2222" s="60"/>
      <c r="H2222" s="60"/>
      <c r="I2222" s="61"/>
      <c r="J2222" s="61"/>
      <c r="K2222" s="61"/>
      <c r="L2222" s="73" t="str">
        <f>IF($E2222="","",DATE(YEAR($E2222),MONTH($E2222),1))</f>
        <v/>
      </c>
      <c r="M2222" s="65" t="str">
        <f ca="1">IF($D2222="","",IF($C2222="TANIMSIZ MÜŞTERİ","HATA",IF(OR($E2222="",$F2222&lt;=0,$G2222=""),"EKSİK",IF($E2222&gt;TODAY(),"İLERİ TARİH",IF(COUNTIF($S$7:$S$2503,$S2222)&gt;1,"MÜKERRER?",IF($T2222&gt;0,"KAPALI DÖNEM","UYGUN"))))))</f>
        <v/>
      </c>
      <c r="N2222" s="74" t="str">
        <f>IF($C2222="","",IF($C2222="TANIMSIZ MÜŞTERİ","—",INDEX(MUSTERILER!$C$7:$C$156,MATCH($C2222,MUSTERILER!$B$7:$B$156,0))))</f>
        <v/>
      </c>
      <c r="O2222" s="2"/>
      <c r="P2222" s="2"/>
      <c r="Q2222" s="1" t="str">
        <f>IF($D2222="","",$C2222&amp;"|"&amp;COUNTIFS($C$7:$C2222,$C2222))</f>
        <v/>
      </c>
      <c r="R2222" s="1" t="str">
        <f t="shared" si="68"/>
        <v/>
      </c>
      <c r="S2222" s="1" t="str">
        <f t="shared" si="69"/>
        <v/>
      </c>
      <c r="T2222" s="1">
        <f>IF($E2222="",0,SUMPRODUCT((AY_SONU!$O$7:$O$42="Evet")*(AY_SONU!$B$7:$B$42=DATE(YEAR($E2222),MONTH($E2222),1))))</f>
        <v>0</v>
      </c>
      <c r="U2222" s="1" t="str">
        <f>IF(OR($G2222="",$H2222="Mahsup"),"",$G2222&amp;"|"&amp;COUNTIFS($G$7:$G2222,$G2222,$H$7:$H2222,"&lt;&gt;Mahsup"))</f>
        <v/>
      </c>
    </row>
    <row r="2223" spans="1:21" ht="18" customHeight="1" x14ac:dyDescent="0.3">
      <c r="A2223" s="2"/>
      <c r="B2223" s="65" t="str">
        <f>IF($D2223="","","T"&amp;TEXT(ROW()-6,"00000"))</f>
        <v/>
      </c>
      <c r="C2223" s="65" t="str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61"/>
      <c r="E2223" s="66"/>
      <c r="F2223" s="67"/>
      <c r="G2223" s="60"/>
      <c r="H2223" s="60"/>
      <c r="I2223" s="61"/>
      <c r="J2223" s="61"/>
      <c r="K2223" s="61"/>
      <c r="L2223" s="73" t="str">
        <f>IF($E2223="","",DATE(YEAR($E2223),MONTH($E2223),1))</f>
        <v/>
      </c>
      <c r="M2223" s="65" t="str">
        <f ca="1">IF($D2223="","",IF($C2223="TANIMSIZ MÜŞTERİ","HATA",IF(OR($E2223="",$F2223&lt;=0,$G2223=""),"EKSİK",IF($E2223&gt;TODAY(),"İLERİ TARİH",IF(COUNTIF($S$7:$S$2503,$S2223)&gt;1,"MÜKERRER?",IF($T2223&gt;0,"KAPALI DÖNEM","UYGUN"))))))</f>
        <v/>
      </c>
      <c r="N2223" s="74" t="str">
        <f>IF($C2223="","",IF($C2223="TANIMSIZ MÜŞTERİ","—",INDEX(MUSTERILER!$C$7:$C$156,MATCH($C2223,MUSTERILER!$B$7:$B$156,0))))</f>
        <v/>
      </c>
      <c r="O2223" s="2"/>
      <c r="P2223" s="2"/>
      <c r="Q2223" s="1" t="str">
        <f>IF($D2223="","",$C2223&amp;"|"&amp;COUNTIFS($C$7:$C2223,$C2223))</f>
        <v/>
      </c>
      <c r="R2223" s="1" t="str">
        <f t="shared" si="68"/>
        <v/>
      </c>
      <c r="S2223" s="1" t="str">
        <f t="shared" si="69"/>
        <v/>
      </c>
      <c r="T2223" s="1">
        <f>IF($E2223="",0,SUMPRODUCT((AY_SONU!$O$7:$O$42="Evet")*(AY_SONU!$B$7:$B$42=DATE(YEAR($E2223),MONTH($E2223),1))))</f>
        <v>0</v>
      </c>
      <c r="U2223" s="1" t="str">
        <f>IF(OR($G2223="",$H2223="Mahsup"),"",$G2223&amp;"|"&amp;COUNTIFS($G$7:$G2223,$G2223,$H$7:$H2223,"&lt;&gt;Mahsup"))</f>
        <v/>
      </c>
    </row>
    <row r="2224" spans="1:21" ht="18" customHeight="1" x14ac:dyDescent="0.3">
      <c r="A2224" s="2"/>
      <c r="B2224" s="65" t="str">
        <f>IF($D2224="","","T"&amp;TEXT(ROW()-6,"00000"))</f>
        <v/>
      </c>
      <c r="C2224" s="65" t="str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61"/>
      <c r="E2224" s="66"/>
      <c r="F2224" s="67"/>
      <c r="G2224" s="60"/>
      <c r="H2224" s="60"/>
      <c r="I2224" s="61"/>
      <c r="J2224" s="61"/>
      <c r="K2224" s="61"/>
      <c r="L2224" s="73" t="str">
        <f>IF($E2224="","",DATE(YEAR($E2224),MONTH($E2224),1))</f>
        <v/>
      </c>
      <c r="M2224" s="65" t="str">
        <f ca="1">IF($D2224="","",IF($C2224="TANIMSIZ MÜŞTERİ","HATA",IF(OR($E2224="",$F2224&lt;=0,$G2224=""),"EKSİK",IF($E2224&gt;TODAY(),"İLERİ TARİH",IF(COUNTIF($S$7:$S$2503,$S2224)&gt;1,"MÜKERRER?",IF($T2224&gt;0,"KAPALI DÖNEM","UYGUN"))))))</f>
        <v/>
      </c>
      <c r="N2224" s="74" t="str">
        <f>IF($C2224="","",IF($C2224="TANIMSIZ MÜŞTERİ","—",INDEX(MUSTERILER!$C$7:$C$156,MATCH($C2224,MUSTERILER!$B$7:$B$156,0))))</f>
        <v/>
      </c>
      <c r="O2224" s="2"/>
      <c r="P2224" s="2"/>
      <c r="Q2224" s="1" t="str">
        <f>IF($D2224="","",$C2224&amp;"|"&amp;COUNTIFS($C$7:$C2224,$C2224))</f>
        <v/>
      </c>
      <c r="R2224" s="1" t="str">
        <f t="shared" si="68"/>
        <v/>
      </c>
      <c r="S2224" s="1" t="str">
        <f t="shared" si="69"/>
        <v/>
      </c>
      <c r="T2224" s="1">
        <f>IF($E2224="",0,SUMPRODUCT((AY_SONU!$O$7:$O$42="Evet")*(AY_SONU!$B$7:$B$42=DATE(YEAR($E2224),MONTH($E2224),1))))</f>
        <v>0</v>
      </c>
      <c r="U2224" s="1" t="str">
        <f>IF(OR($G2224="",$H2224="Mahsup"),"",$G2224&amp;"|"&amp;COUNTIFS($G$7:$G2224,$G2224,$H$7:$H2224,"&lt;&gt;Mahsup"))</f>
        <v/>
      </c>
    </row>
    <row r="2225" spans="1:21" ht="18" customHeight="1" x14ac:dyDescent="0.3">
      <c r="A2225" s="2"/>
      <c r="B2225" s="65" t="str">
        <f>IF($D2225="","","T"&amp;TEXT(ROW()-6,"00000"))</f>
        <v/>
      </c>
      <c r="C2225" s="65" t="str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61"/>
      <c r="E2225" s="66"/>
      <c r="F2225" s="67"/>
      <c r="G2225" s="60"/>
      <c r="H2225" s="60"/>
      <c r="I2225" s="61"/>
      <c r="J2225" s="61"/>
      <c r="K2225" s="61"/>
      <c r="L2225" s="73" t="str">
        <f>IF($E2225="","",DATE(YEAR($E2225),MONTH($E2225),1))</f>
        <v/>
      </c>
      <c r="M2225" s="65" t="str">
        <f ca="1">IF($D2225="","",IF($C2225="TANIMSIZ MÜŞTERİ","HATA",IF(OR($E2225="",$F2225&lt;=0,$G2225=""),"EKSİK",IF($E2225&gt;TODAY(),"İLERİ TARİH",IF(COUNTIF($S$7:$S$2503,$S2225)&gt;1,"MÜKERRER?",IF($T2225&gt;0,"KAPALI DÖNEM","UYGUN"))))))</f>
        <v/>
      </c>
      <c r="N2225" s="74" t="str">
        <f>IF($C2225="","",IF($C2225="TANIMSIZ MÜŞTERİ","—",INDEX(MUSTERILER!$C$7:$C$156,MATCH($C2225,MUSTERILER!$B$7:$B$156,0))))</f>
        <v/>
      </c>
      <c r="O2225" s="2"/>
      <c r="P2225" s="2"/>
      <c r="Q2225" s="1" t="str">
        <f>IF($D2225="","",$C2225&amp;"|"&amp;COUNTIFS($C$7:$C2225,$C2225))</f>
        <v/>
      </c>
      <c r="R2225" s="1" t="str">
        <f t="shared" si="68"/>
        <v/>
      </c>
      <c r="S2225" s="1" t="str">
        <f t="shared" si="69"/>
        <v/>
      </c>
      <c r="T2225" s="1">
        <f>IF($E2225="",0,SUMPRODUCT((AY_SONU!$O$7:$O$42="Evet")*(AY_SONU!$B$7:$B$42=DATE(YEAR($E2225),MONTH($E2225),1))))</f>
        <v>0</v>
      </c>
      <c r="U2225" s="1" t="str">
        <f>IF(OR($G2225="",$H2225="Mahsup"),"",$G2225&amp;"|"&amp;COUNTIFS($G$7:$G2225,$G2225,$H$7:$H2225,"&lt;&gt;Mahsup"))</f>
        <v/>
      </c>
    </row>
    <row r="2226" spans="1:21" ht="18" customHeight="1" x14ac:dyDescent="0.3">
      <c r="A2226" s="2"/>
      <c r="B2226" s="65" t="str">
        <f>IF($D2226="","","T"&amp;TEXT(ROW()-6,"00000"))</f>
        <v/>
      </c>
      <c r="C2226" s="65" t="str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61"/>
      <c r="E2226" s="66"/>
      <c r="F2226" s="67"/>
      <c r="G2226" s="60"/>
      <c r="H2226" s="60"/>
      <c r="I2226" s="61"/>
      <c r="J2226" s="61"/>
      <c r="K2226" s="61"/>
      <c r="L2226" s="73" t="str">
        <f>IF($E2226="","",DATE(YEAR($E2226),MONTH($E2226),1))</f>
        <v/>
      </c>
      <c r="M2226" s="65" t="str">
        <f ca="1">IF($D2226="","",IF($C2226="TANIMSIZ MÜŞTERİ","HATA",IF(OR($E2226="",$F2226&lt;=0,$G2226=""),"EKSİK",IF($E2226&gt;TODAY(),"İLERİ TARİH",IF(COUNTIF($S$7:$S$2503,$S2226)&gt;1,"MÜKERRER?",IF($T2226&gt;0,"KAPALI DÖNEM","UYGUN"))))))</f>
        <v/>
      </c>
      <c r="N2226" s="74" t="str">
        <f>IF($C2226="","",IF($C2226="TANIMSIZ MÜŞTERİ","—",INDEX(MUSTERILER!$C$7:$C$156,MATCH($C2226,MUSTERILER!$B$7:$B$156,0))))</f>
        <v/>
      </c>
      <c r="O2226" s="2"/>
      <c r="P2226" s="2"/>
      <c r="Q2226" s="1" t="str">
        <f>IF($D2226="","",$C2226&amp;"|"&amp;COUNTIFS($C$7:$C2226,$C2226))</f>
        <v/>
      </c>
      <c r="R2226" s="1" t="str">
        <f t="shared" si="68"/>
        <v/>
      </c>
      <c r="S2226" s="1" t="str">
        <f t="shared" si="69"/>
        <v/>
      </c>
      <c r="T2226" s="1">
        <f>IF($E2226="",0,SUMPRODUCT((AY_SONU!$O$7:$O$42="Evet")*(AY_SONU!$B$7:$B$42=DATE(YEAR($E2226),MONTH($E2226),1))))</f>
        <v>0</v>
      </c>
      <c r="U2226" s="1" t="str">
        <f>IF(OR($G2226="",$H2226="Mahsup"),"",$G2226&amp;"|"&amp;COUNTIFS($G$7:$G2226,$G2226,$H$7:$H2226,"&lt;&gt;Mahsup"))</f>
        <v/>
      </c>
    </row>
    <row r="2227" spans="1:21" ht="18" customHeight="1" x14ac:dyDescent="0.3">
      <c r="A2227" s="2"/>
      <c r="B2227" s="65" t="str">
        <f>IF($D2227="","","T"&amp;TEXT(ROW()-6,"00000"))</f>
        <v/>
      </c>
      <c r="C2227" s="65" t="str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61"/>
      <c r="E2227" s="66"/>
      <c r="F2227" s="67"/>
      <c r="G2227" s="60"/>
      <c r="H2227" s="60"/>
      <c r="I2227" s="61"/>
      <c r="J2227" s="61"/>
      <c r="K2227" s="61"/>
      <c r="L2227" s="73" t="str">
        <f>IF($E2227="","",DATE(YEAR($E2227),MONTH($E2227),1))</f>
        <v/>
      </c>
      <c r="M2227" s="65" t="str">
        <f ca="1">IF($D2227="","",IF($C2227="TANIMSIZ MÜŞTERİ","HATA",IF(OR($E2227="",$F2227&lt;=0,$G2227=""),"EKSİK",IF($E2227&gt;TODAY(),"İLERİ TARİH",IF(COUNTIF($S$7:$S$2503,$S2227)&gt;1,"MÜKERRER?",IF($T2227&gt;0,"KAPALI DÖNEM","UYGUN"))))))</f>
        <v/>
      </c>
      <c r="N2227" s="74" t="str">
        <f>IF($C2227="","",IF($C2227="TANIMSIZ MÜŞTERİ","—",INDEX(MUSTERILER!$C$7:$C$156,MATCH($C2227,MUSTERILER!$B$7:$B$156,0))))</f>
        <v/>
      </c>
      <c r="O2227" s="2"/>
      <c r="P2227" s="2"/>
      <c r="Q2227" s="1" t="str">
        <f>IF($D2227="","",$C2227&amp;"|"&amp;COUNTIFS($C$7:$C2227,$C2227))</f>
        <v/>
      </c>
      <c r="R2227" s="1" t="str">
        <f t="shared" si="68"/>
        <v/>
      </c>
      <c r="S2227" s="1" t="str">
        <f t="shared" si="69"/>
        <v/>
      </c>
      <c r="T2227" s="1">
        <f>IF($E2227="",0,SUMPRODUCT((AY_SONU!$O$7:$O$42="Evet")*(AY_SONU!$B$7:$B$42=DATE(YEAR($E2227),MONTH($E2227),1))))</f>
        <v>0</v>
      </c>
      <c r="U2227" s="1" t="str">
        <f>IF(OR($G2227="",$H2227="Mahsup"),"",$G2227&amp;"|"&amp;COUNTIFS($G$7:$G2227,$G2227,$H$7:$H2227,"&lt;&gt;Mahsup"))</f>
        <v/>
      </c>
    </row>
    <row r="2228" spans="1:21" ht="18" customHeight="1" x14ac:dyDescent="0.3">
      <c r="A2228" s="2"/>
      <c r="B2228" s="65" t="str">
        <f>IF($D2228="","","T"&amp;TEXT(ROW()-6,"00000"))</f>
        <v/>
      </c>
      <c r="C2228" s="65" t="str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61"/>
      <c r="E2228" s="66"/>
      <c r="F2228" s="67"/>
      <c r="G2228" s="60"/>
      <c r="H2228" s="60"/>
      <c r="I2228" s="61"/>
      <c r="J2228" s="61"/>
      <c r="K2228" s="61"/>
      <c r="L2228" s="73" t="str">
        <f>IF($E2228="","",DATE(YEAR($E2228),MONTH($E2228),1))</f>
        <v/>
      </c>
      <c r="M2228" s="65" t="str">
        <f ca="1">IF($D2228="","",IF($C2228="TANIMSIZ MÜŞTERİ","HATA",IF(OR($E2228="",$F2228&lt;=0,$G2228=""),"EKSİK",IF($E2228&gt;TODAY(),"İLERİ TARİH",IF(COUNTIF($S$7:$S$2503,$S2228)&gt;1,"MÜKERRER?",IF($T2228&gt;0,"KAPALI DÖNEM","UYGUN"))))))</f>
        <v/>
      </c>
      <c r="N2228" s="74" t="str">
        <f>IF($C2228="","",IF($C2228="TANIMSIZ MÜŞTERİ","—",INDEX(MUSTERILER!$C$7:$C$156,MATCH($C2228,MUSTERILER!$B$7:$B$156,0))))</f>
        <v/>
      </c>
      <c r="O2228" s="2"/>
      <c r="P2228" s="2"/>
      <c r="Q2228" s="1" t="str">
        <f>IF($D2228="","",$C2228&amp;"|"&amp;COUNTIFS($C$7:$C2228,$C2228))</f>
        <v/>
      </c>
      <c r="R2228" s="1" t="str">
        <f t="shared" si="68"/>
        <v/>
      </c>
      <c r="S2228" s="1" t="str">
        <f t="shared" si="69"/>
        <v/>
      </c>
      <c r="T2228" s="1">
        <f>IF($E2228="",0,SUMPRODUCT((AY_SONU!$O$7:$O$42="Evet")*(AY_SONU!$B$7:$B$42=DATE(YEAR($E2228),MONTH($E2228),1))))</f>
        <v>0</v>
      </c>
      <c r="U2228" s="1" t="str">
        <f>IF(OR($G2228="",$H2228="Mahsup"),"",$G2228&amp;"|"&amp;COUNTIFS($G$7:$G2228,$G2228,$H$7:$H2228,"&lt;&gt;Mahsup"))</f>
        <v/>
      </c>
    </row>
    <row r="2229" spans="1:21" ht="18" customHeight="1" x14ac:dyDescent="0.3">
      <c r="A2229" s="2"/>
      <c r="B2229" s="65" t="str">
        <f>IF($D2229="","","T"&amp;TEXT(ROW()-6,"00000"))</f>
        <v/>
      </c>
      <c r="C2229" s="65" t="str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61"/>
      <c r="E2229" s="66"/>
      <c r="F2229" s="67"/>
      <c r="G2229" s="60"/>
      <c r="H2229" s="60"/>
      <c r="I2229" s="61"/>
      <c r="J2229" s="61"/>
      <c r="K2229" s="61"/>
      <c r="L2229" s="73" t="str">
        <f>IF($E2229="","",DATE(YEAR($E2229),MONTH($E2229),1))</f>
        <v/>
      </c>
      <c r="M2229" s="65" t="str">
        <f ca="1">IF($D2229="","",IF($C2229="TANIMSIZ MÜŞTERİ","HATA",IF(OR($E2229="",$F2229&lt;=0,$G2229=""),"EKSİK",IF($E2229&gt;TODAY(),"İLERİ TARİH",IF(COUNTIF($S$7:$S$2503,$S2229)&gt;1,"MÜKERRER?",IF($T2229&gt;0,"KAPALI DÖNEM","UYGUN"))))))</f>
        <v/>
      </c>
      <c r="N2229" s="74" t="str">
        <f>IF($C2229="","",IF($C2229="TANIMSIZ MÜŞTERİ","—",INDEX(MUSTERILER!$C$7:$C$156,MATCH($C2229,MUSTERILER!$B$7:$B$156,0))))</f>
        <v/>
      </c>
      <c r="O2229" s="2"/>
      <c r="P2229" s="2"/>
      <c r="Q2229" s="1" t="str">
        <f>IF($D2229="","",$C2229&amp;"|"&amp;COUNTIFS($C$7:$C2229,$C2229))</f>
        <v/>
      </c>
      <c r="R2229" s="1" t="str">
        <f t="shared" si="68"/>
        <v/>
      </c>
      <c r="S2229" s="1" t="str">
        <f t="shared" si="69"/>
        <v/>
      </c>
      <c r="T2229" s="1">
        <f>IF($E2229="",0,SUMPRODUCT((AY_SONU!$O$7:$O$42="Evet")*(AY_SONU!$B$7:$B$42=DATE(YEAR($E2229),MONTH($E2229),1))))</f>
        <v>0</v>
      </c>
      <c r="U2229" s="1" t="str">
        <f>IF(OR($G2229="",$H2229="Mahsup"),"",$G2229&amp;"|"&amp;COUNTIFS($G$7:$G2229,$G2229,$H$7:$H2229,"&lt;&gt;Mahsup"))</f>
        <v/>
      </c>
    </row>
    <row r="2230" spans="1:21" ht="18" customHeight="1" x14ac:dyDescent="0.3">
      <c r="A2230" s="2"/>
      <c r="B2230" s="65" t="str">
        <f>IF($D2230="","","T"&amp;TEXT(ROW()-6,"00000"))</f>
        <v/>
      </c>
      <c r="C2230" s="65" t="str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61"/>
      <c r="E2230" s="66"/>
      <c r="F2230" s="67"/>
      <c r="G2230" s="60"/>
      <c r="H2230" s="60"/>
      <c r="I2230" s="61"/>
      <c r="J2230" s="61"/>
      <c r="K2230" s="61"/>
      <c r="L2230" s="73" t="str">
        <f>IF($E2230="","",DATE(YEAR($E2230),MONTH($E2230),1))</f>
        <v/>
      </c>
      <c r="M2230" s="65" t="str">
        <f ca="1">IF($D2230="","",IF($C2230="TANIMSIZ MÜŞTERİ","HATA",IF(OR($E2230="",$F2230&lt;=0,$G2230=""),"EKSİK",IF($E2230&gt;TODAY(),"İLERİ TARİH",IF(COUNTIF($S$7:$S$2503,$S2230)&gt;1,"MÜKERRER?",IF($T2230&gt;0,"KAPALI DÖNEM","UYGUN"))))))</f>
        <v/>
      </c>
      <c r="N2230" s="74" t="str">
        <f>IF($C2230="","",IF($C2230="TANIMSIZ MÜŞTERİ","—",INDEX(MUSTERILER!$C$7:$C$156,MATCH($C2230,MUSTERILER!$B$7:$B$156,0))))</f>
        <v/>
      </c>
      <c r="O2230" s="2"/>
      <c r="P2230" s="2"/>
      <c r="Q2230" s="1" t="str">
        <f>IF($D2230="","",$C2230&amp;"|"&amp;COUNTIFS($C$7:$C2230,$C2230))</f>
        <v/>
      </c>
      <c r="R2230" s="1" t="str">
        <f t="shared" si="68"/>
        <v/>
      </c>
      <c r="S2230" s="1" t="str">
        <f t="shared" si="69"/>
        <v/>
      </c>
      <c r="T2230" s="1">
        <f>IF($E2230="",0,SUMPRODUCT((AY_SONU!$O$7:$O$42="Evet")*(AY_SONU!$B$7:$B$42=DATE(YEAR($E2230),MONTH($E2230),1))))</f>
        <v>0</v>
      </c>
      <c r="U2230" s="1" t="str">
        <f>IF(OR($G2230="",$H2230="Mahsup"),"",$G2230&amp;"|"&amp;COUNTIFS($G$7:$G2230,$G2230,$H$7:$H2230,"&lt;&gt;Mahsup"))</f>
        <v/>
      </c>
    </row>
    <row r="2231" spans="1:21" ht="18" customHeight="1" x14ac:dyDescent="0.3">
      <c r="A2231" s="2"/>
      <c r="B2231" s="65" t="str">
        <f>IF($D2231="","","T"&amp;TEXT(ROW()-6,"00000"))</f>
        <v/>
      </c>
      <c r="C2231" s="65" t="str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61"/>
      <c r="E2231" s="66"/>
      <c r="F2231" s="67"/>
      <c r="G2231" s="60"/>
      <c r="H2231" s="60"/>
      <c r="I2231" s="61"/>
      <c r="J2231" s="61"/>
      <c r="K2231" s="61"/>
      <c r="L2231" s="73" t="str">
        <f>IF($E2231="","",DATE(YEAR($E2231),MONTH($E2231),1))</f>
        <v/>
      </c>
      <c r="M2231" s="65" t="str">
        <f ca="1">IF($D2231="","",IF($C2231="TANIMSIZ MÜŞTERİ","HATA",IF(OR($E2231="",$F2231&lt;=0,$G2231=""),"EKSİK",IF($E2231&gt;TODAY(),"İLERİ TARİH",IF(COUNTIF($S$7:$S$2503,$S2231)&gt;1,"MÜKERRER?",IF($T2231&gt;0,"KAPALI DÖNEM","UYGUN"))))))</f>
        <v/>
      </c>
      <c r="N2231" s="74" t="str">
        <f>IF($C2231="","",IF($C2231="TANIMSIZ MÜŞTERİ","—",INDEX(MUSTERILER!$C$7:$C$156,MATCH($C2231,MUSTERILER!$B$7:$B$156,0))))</f>
        <v/>
      </c>
      <c r="O2231" s="2"/>
      <c r="P2231" s="2"/>
      <c r="Q2231" s="1" t="str">
        <f>IF($D2231="","",$C2231&amp;"|"&amp;COUNTIFS($C$7:$C2231,$C2231))</f>
        <v/>
      </c>
      <c r="R2231" s="1" t="str">
        <f t="shared" si="68"/>
        <v/>
      </c>
      <c r="S2231" s="1" t="str">
        <f t="shared" si="69"/>
        <v/>
      </c>
      <c r="T2231" s="1">
        <f>IF($E2231="",0,SUMPRODUCT((AY_SONU!$O$7:$O$42="Evet")*(AY_SONU!$B$7:$B$42=DATE(YEAR($E2231),MONTH($E2231),1))))</f>
        <v>0</v>
      </c>
      <c r="U2231" s="1" t="str">
        <f>IF(OR($G2231="",$H2231="Mahsup"),"",$G2231&amp;"|"&amp;COUNTIFS($G$7:$G2231,$G2231,$H$7:$H2231,"&lt;&gt;Mahsup"))</f>
        <v/>
      </c>
    </row>
    <row r="2232" spans="1:21" ht="18" customHeight="1" x14ac:dyDescent="0.3">
      <c r="A2232" s="2"/>
      <c r="B2232" s="65" t="str">
        <f>IF($D2232="","","T"&amp;TEXT(ROW()-6,"00000"))</f>
        <v/>
      </c>
      <c r="C2232" s="65" t="str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61"/>
      <c r="E2232" s="66"/>
      <c r="F2232" s="67"/>
      <c r="G2232" s="60"/>
      <c r="H2232" s="60"/>
      <c r="I2232" s="61"/>
      <c r="J2232" s="61"/>
      <c r="K2232" s="61"/>
      <c r="L2232" s="73" t="str">
        <f>IF($E2232="","",DATE(YEAR($E2232),MONTH($E2232),1))</f>
        <v/>
      </c>
      <c r="M2232" s="65" t="str">
        <f ca="1">IF($D2232="","",IF($C2232="TANIMSIZ MÜŞTERİ","HATA",IF(OR($E2232="",$F2232&lt;=0,$G2232=""),"EKSİK",IF($E2232&gt;TODAY(),"İLERİ TARİH",IF(COUNTIF($S$7:$S$2503,$S2232)&gt;1,"MÜKERRER?",IF($T2232&gt;0,"KAPALI DÖNEM","UYGUN"))))))</f>
        <v/>
      </c>
      <c r="N2232" s="74" t="str">
        <f>IF($C2232="","",IF($C2232="TANIMSIZ MÜŞTERİ","—",INDEX(MUSTERILER!$C$7:$C$156,MATCH($C2232,MUSTERILER!$B$7:$B$156,0))))</f>
        <v/>
      </c>
      <c r="O2232" s="2"/>
      <c r="P2232" s="2"/>
      <c r="Q2232" s="1" t="str">
        <f>IF($D2232="","",$C2232&amp;"|"&amp;COUNTIFS($C$7:$C2232,$C2232))</f>
        <v/>
      </c>
      <c r="R2232" s="1" t="str">
        <f t="shared" si="68"/>
        <v/>
      </c>
      <c r="S2232" s="1" t="str">
        <f t="shared" si="69"/>
        <v/>
      </c>
      <c r="T2232" s="1">
        <f>IF($E2232="",0,SUMPRODUCT((AY_SONU!$O$7:$O$42="Evet")*(AY_SONU!$B$7:$B$42=DATE(YEAR($E2232),MONTH($E2232),1))))</f>
        <v>0</v>
      </c>
      <c r="U2232" s="1" t="str">
        <f>IF(OR($G2232="",$H2232="Mahsup"),"",$G2232&amp;"|"&amp;COUNTIFS($G$7:$G2232,$G2232,$H$7:$H2232,"&lt;&gt;Mahsup"))</f>
        <v/>
      </c>
    </row>
    <row r="2233" spans="1:21" ht="18" customHeight="1" x14ac:dyDescent="0.3">
      <c r="A2233" s="2"/>
      <c r="B2233" s="65" t="str">
        <f>IF($D2233="","","T"&amp;TEXT(ROW()-6,"00000"))</f>
        <v/>
      </c>
      <c r="C2233" s="65" t="str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61"/>
      <c r="E2233" s="66"/>
      <c r="F2233" s="67"/>
      <c r="G2233" s="60"/>
      <c r="H2233" s="60"/>
      <c r="I2233" s="61"/>
      <c r="J2233" s="61"/>
      <c r="K2233" s="61"/>
      <c r="L2233" s="73" t="str">
        <f>IF($E2233="","",DATE(YEAR($E2233),MONTH($E2233),1))</f>
        <v/>
      </c>
      <c r="M2233" s="65" t="str">
        <f ca="1">IF($D2233="","",IF($C2233="TANIMSIZ MÜŞTERİ","HATA",IF(OR($E2233="",$F2233&lt;=0,$G2233=""),"EKSİK",IF($E2233&gt;TODAY(),"İLERİ TARİH",IF(COUNTIF($S$7:$S$2503,$S2233)&gt;1,"MÜKERRER?",IF($T2233&gt;0,"KAPALI DÖNEM","UYGUN"))))))</f>
        <v/>
      </c>
      <c r="N2233" s="74" t="str">
        <f>IF($C2233="","",IF($C2233="TANIMSIZ MÜŞTERİ","—",INDEX(MUSTERILER!$C$7:$C$156,MATCH($C2233,MUSTERILER!$B$7:$B$156,0))))</f>
        <v/>
      </c>
      <c r="O2233" s="2"/>
      <c r="P2233" s="2"/>
      <c r="Q2233" s="1" t="str">
        <f>IF($D2233="","",$C2233&amp;"|"&amp;COUNTIFS($C$7:$C2233,$C2233))</f>
        <v/>
      </c>
      <c r="R2233" s="1" t="str">
        <f t="shared" si="68"/>
        <v/>
      </c>
      <c r="S2233" s="1" t="str">
        <f t="shared" si="69"/>
        <v/>
      </c>
      <c r="T2233" s="1">
        <f>IF($E2233="",0,SUMPRODUCT((AY_SONU!$O$7:$O$42="Evet")*(AY_SONU!$B$7:$B$42=DATE(YEAR($E2233),MONTH($E2233),1))))</f>
        <v>0</v>
      </c>
      <c r="U2233" s="1" t="str">
        <f>IF(OR($G2233="",$H2233="Mahsup"),"",$G2233&amp;"|"&amp;COUNTIFS($G$7:$G2233,$G2233,$H$7:$H2233,"&lt;&gt;Mahsup"))</f>
        <v/>
      </c>
    </row>
    <row r="2234" spans="1:21" ht="18" customHeight="1" x14ac:dyDescent="0.3">
      <c r="A2234" s="2"/>
      <c r="B2234" s="65" t="str">
        <f>IF($D2234="","","T"&amp;TEXT(ROW()-6,"00000"))</f>
        <v/>
      </c>
      <c r="C2234" s="65" t="str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61"/>
      <c r="E2234" s="66"/>
      <c r="F2234" s="67"/>
      <c r="G2234" s="60"/>
      <c r="H2234" s="60"/>
      <c r="I2234" s="61"/>
      <c r="J2234" s="61"/>
      <c r="K2234" s="61"/>
      <c r="L2234" s="73" t="str">
        <f>IF($E2234="","",DATE(YEAR($E2234),MONTH($E2234),1))</f>
        <v/>
      </c>
      <c r="M2234" s="65" t="str">
        <f ca="1">IF($D2234="","",IF($C2234="TANIMSIZ MÜŞTERİ","HATA",IF(OR($E2234="",$F2234&lt;=0,$G2234=""),"EKSİK",IF($E2234&gt;TODAY(),"İLERİ TARİH",IF(COUNTIF($S$7:$S$2503,$S2234)&gt;1,"MÜKERRER?",IF($T2234&gt;0,"KAPALI DÖNEM","UYGUN"))))))</f>
        <v/>
      </c>
      <c r="N2234" s="74" t="str">
        <f>IF($C2234="","",IF($C2234="TANIMSIZ MÜŞTERİ","—",INDEX(MUSTERILER!$C$7:$C$156,MATCH($C2234,MUSTERILER!$B$7:$B$156,0))))</f>
        <v/>
      </c>
      <c r="O2234" s="2"/>
      <c r="P2234" s="2"/>
      <c r="Q2234" s="1" t="str">
        <f>IF($D2234="","",$C2234&amp;"|"&amp;COUNTIFS($C$7:$C2234,$C2234))</f>
        <v/>
      </c>
      <c r="R2234" s="1" t="str">
        <f t="shared" si="68"/>
        <v/>
      </c>
      <c r="S2234" s="1" t="str">
        <f t="shared" si="69"/>
        <v/>
      </c>
      <c r="T2234" s="1">
        <f>IF($E2234="",0,SUMPRODUCT((AY_SONU!$O$7:$O$42="Evet")*(AY_SONU!$B$7:$B$42=DATE(YEAR($E2234),MONTH($E2234),1))))</f>
        <v>0</v>
      </c>
      <c r="U2234" s="1" t="str">
        <f>IF(OR($G2234="",$H2234="Mahsup"),"",$G2234&amp;"|"&amp;COUNTIFS($G$7:$G2234,$G2234,$H$7:$H2234,"&lt;&gt;Mahsup"))</f>
        <v/>
      </c>
    </row>
    <row r="2235" spans="1:21" ht="18" customHeight="1" x14ac:dyDescent="0.3">
      <c r="A2235" s="2"/>
      <c r="B2235" s="65" t="str">
        <f>IF($D2235="","","T"&amp;TEXT(ROW()-6,"00000"))</f>
        <v/>
      </c>
      <c r="C2235" s="65" t="str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61"/>
      <c r="E2235" s="66"/>
      <c r="F2235" s="67"/>
      <c r="G2235" s="60"/>
      <c r="H2235" s="60"/>
      <c r="I2235" s="61"/>
      <c r="J2235" s="61"/>
      <c r="K2235" s="61"/>
      <c r="L2235" s="73" t="str">
        <f>IF($E2235="","",DATE(YEAR($E2235),MONTH($E2235),1))</f>
        <v/>
      </c>
      <c r="M2235" s="65" t="str">
        <f ca="1">IF($D2235="","",IF($C2235="TANIMSIZ MÜŞTERİ","HATA",IF(OR($E2235="",$F2235&lt;=0,$G2235=""),"EKSİK",IF($E2235&gt;TODAY(),"İLERİ TARİH",IF(COUNTIF($S$7:$S$2503,$S2235)&gt;1,"MÜKERRER?",IF($T2235&gt;0,"KAPALI DÖNEM","UYGUN"))))))</f>
        <v/>
      </c>
      <c r="N2235" s="74" t="str">
        <f>IF($C2235="","",IF($C2235="TANIMSIZ MÜŞTERİ","—",INDEX(MUSTERILER!$C$7:$C$156,MATCH($C2235,MUSTERILER!$B$7:$B$156,0))))</f>
        <v/>
      </c>
      <c r="O2235" s="2"/>
      <c r="P2235" s="2"/>
      <c r="Q2235" s="1" t="str">
        <f>IF($D2235="","",$C2235&amp;"|"&amp;COUNTIFS($C$7:$C2235,$C2235))</f>
        <v/>
      </c>
      <c r="R2235" s="1" t="str">
        <f t="shared" si="68"/>
        <v/>
      </c>
      <c r="S2235" s="1" t="str">
        <f t="shared" si="69"/>
        <v/>
      </c>
      <c r="T2235" s="1">
        <f>IF($E2235="",0,SUMPRODUCT((AY_SONU!$O$7:$O$42="Evet")*(AY_SONU!$B$7:$B$42=DATE(YEAR($E2235),MONTH($E2235),1))))</f>
        <v>0</v>
      </c>
      <c r="U2235" s="1" t="str">
        <f>IF(OR($G2235="",$H2235="Mahsup"),"",$G2235&amp;"|"&amp;COUNTIFS($G$7:$G2235,$G2235,$H$7:$H2235,"&lt;&gt;Mahsup"))</f>
        <v/>
      </c>
    </row>
    <row r="2236" spans="1:21" ht="18" customHeight="1" x14ac:dyDescent="0.3">
      <c r="A2236" s="2"/>
      <c r="B2236" s="65" t="str">
        <f>IF($D2236="","","T"&amp;TEXT(ROW()-6,"00000"))</f>
        <v/>
      </c>
      <c r="C2236" s="65" t="str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61"/>
      <c r="E2236" s="66"/>
      <c r="F2236" s="67"/>
      <c r="G2236" s="60"/>
      <c r="H2236" s="60"/>
      <c r="I2236" s="61"/>
      <c r="J2236" s="61"/>
      <c r="K2236" s="61"/>
      <c r="L2236" s="73" t="str">
        <f>IF($E2236="","",DATE(YEAR($E2236),MONTH($E2236),1))</f>
        <v/>
      </c>
      <c r="M2236" s="65" t="str">
        <f ca="1">IF($D2236="","",IF($C2236="TANIMSIZ MÜŞTERİ","HATA",IF(OR($E2236="",$F2236&lt;=0,$G2236=""),"EKSİK",IF($E2236&gt;TODAY(),"İLERİ TARİH",IF(COUNTIF($S$7:$S$2503,$S2236)&gt;1,"MÜKERRER?",IF($T2236&gt;0,"KAPALI DÖNEM","UYGUN"))))))</f>
        <v/>
      </c>
      <c r="N2236" s="74" t="str">
        <f>IF($C2236="","",IF($C2236="TANIMSIZ MÜŞTERİ","—",INDEX(MUSTERILER!$C$7:$C$156,MATCH($C2236,MUSTERILER!$B$7:$B$156,0))))</f>
        <v/>
      </c>
      <c r="O2236" s="2"/>
      <c r="P2236" s="2"/>
      <c r="Q2236" s="1" t="str">
        <f>IF($D2236="","",$C2236&amp;"|"&amp;COUNTIFS($C$7:$C2236,$C2236))</f>
        <v/>
      </c>
      <c r="R2236" s="1" t="str">
        <f t="shared" si="68"/>
        <v/>
      </c>
      <c r="S2236" s="1" t="str">
        <f t="shared" si="69"/>
        <v/>
      </c>
      <c r="T2236" s="1">
        <f>IF($E2236="",0,SUMPRODUCT((AY_SONU!$O$7:$O$42="Evet")*(AY_SONU!$B$7:$B$42=DATE(YEAR($E2236),MONTH($E2236),1))))</f>
        <v>0</v>
      </c>
      <c r="U2236" s="1" t="str">
        <f>IF(OR($G2236="",$H2236="Mahsup"),"",$G2236&amp;"|"&amp;COUNTIFS($G$7:$G2236,$G2236,$H$7:$H2236,"&lt;&gt;Mahsup"))</f>
        <v/>
      </c>
    </row>
    <row r="2237" spans="1:21" ht="18" customHeight="1" x14ac:dyDescent="0.3">
      <c r="A2237" s="2"/>
      <c r="B2237" s="65" t="str">
        <f>IF($D2237="","","T"&amp;TEXT(ROW()-6,"00000"))</f>
        <v/>
      </c>
      <c r="C2237" s="65" t="str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61"/>
      <c r="E2237" s="66"/>
      <c r="F2237" s="67"/>
      <c r="G2237" s="60"/>
      <c r="H2237" s="60"/>
      <c r="I2237" s="61"/>
      <c r="J2237" s="61"/>
      <c r="K2237" s="61"/>
      <c r="L2237" s="73" t="str">
        <f>IF($E2237="","",DATE(YEAR($E2237),MONTH($E2237),1))</f>
        <v/>
      </c>
      <c r="M2237" s="65" t="str">
        <f ca="1">IF($D2237="","",IF($C2237="TANIMSIZ MÜŞTERİ","HATA",IF(OR($E2237="",$F2237&lt;=0,$G2237=""),"EKSİK",IF($E2237&gt;TODAY(),"İLERİ TARİH",IF(COUNTIF($S$7:$S$2503,$S2237)&gt;1,"MÜKERRER?",IF($T2237&gt;0,"KAPALI DÖNEM","UYGUN"))))))</f>
        <v/>
      </c>
      <c r="N2237" s="74" t="str">
        <f>IF($C2237="","",IF($C2237="TANIMSIZ MÜŞTERİ","—",INDEX(MUSTERILER!$C$7:$C$156,MATCH($C2237,MUSTERILER!$B$7:$B$156,0))))</f>
        <v/>
      </c>
      <c r="O2237" s="2"/>
      <c r="P2237" s="2"/>
      <c r="Q2237" s="1" t="str">
        <f>IF($D2237="","",$C2237&amp;"|"&amp;COUNTIFS($C$7:$C2237,$C2237))</f>
        <v/>
      </c>
      <c r="R2237" s="1" t="str">
        <f t="shared" si="68"/>
        <v/>
      </c>
      <c r="S2237" s="1" t="str">
        <f t="shared" si="69"/>
        <v/>
      </c>
      <c r="T2237" s="1">
        <f>IF($E2237="",0,SUMPRODUCT((AY_SONU!$O$7:$O$42="Evet")*(AY_SONU!$B$7:$B$42=DATE(YEAR($E2237),MONTH($E2237),1))))</f>
        <v>0</v>
      </c>
      <c r="U2237" s="1" t="str">
        <f>IF(OR($G2237="",$H2237="Mahsup"),"",$G2237&amp;"|"&amp;COUNTIFS($G$7:$G2237,$G2237,$H$7:$H2237,"&lt;&gt;Mahsup"))</f>
        <v/>
      </c>
    </row>
    <row r="2238" spans="1:21" ht="18" customHeight="1" x14ac:dyDescent="0.3">
      <c r="A2238" s="2"/>
      <c r="B2238" s="65" t="str">
        <f>IF($D2238="","","T"&amp;TEXT(ROW()-6,"00000"))</f>
        <v/>
      </c>
      <c r="C2238" s="65" t="str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61"/>
      <c r="E2238" s="66"/>
      <c r="F2238" s="67"/>
      <c r="G2238" s="60"/>
      <c r="H2238" s="60"/>
      <c r="I2238" s="61"/>
      <c r="J2238" s="61"/>
      <c r="K2238" s="61"/>
      <c r="L2238" s="73" t="str">
        <f>IF($E2238="","",DATE(YEAR($E2238),MONTH($E2238),1))</f>
        <v/>
      </c>
      <c r="M2238" s="65" t="str">
        <f ca="1">IF($D2238="","",IF($C2238="TANIMSIZ MÜŞTERİ","HATA",IF(OR($E2238="",$F2238&lt;=0,$G2238=""),"EKSİK",IF($E2238&gt;TODAY(),"İLERİ TARİH",IF(COUNTIF($S$7:$S$2503,$S2238)&gt;1,"MÜKERRER?",IF($T2238&gt;0,"KAPALI DÖNEM","UYGUN"))))))</f>
        <v/>
      </c>
      <c r="N2238" s="74" t="str">
        <f>IF($C2238="","",IF($C2238="TANIMSIZ MÜŞTERİ","—",INDEX(MUSTERILER!$C$7:$C$156,MATCH($C2238,MUSTERILER!$B$7:$B$156,0))))</f>
        <v/>
      </c>
      <c r="O2238" s="2"/>
      <c r="P2238" s="2"/>
      <c r="Q2238" s="1" t="str">
        <f>IF($D2238="","",$C2238&amp;"|"&amp;COUNTIFS($C$7:$C2238,$C2238))</f>
        <v/>
      </c>
      <c r="R2238" s="1" t="str">
        <f t="shared" si="68"/>
        <v/>
      </c>
      <c r="S2238" s="1" t="str">
        <f t="shared" si="69"/>
        <v/>
      </c>
      <c r="T2238" s="1">
        <f>IF($E2238="",0,SUMPRODUCT((AY_SONU!$O$7:$O$42="Evet")*(AY_SONU!$B$7:$B$42=DATE(YEAR($E2238),MONTH($E2238),1))))</f>
        <v>0</v>
      </c>
      <c r="U2238" s="1" t="str">
        <f>IF(OR($G2238="",$H2238="Mahsup"),"",$G2238&amp;"|"&amp;COUNTIFS($G$7:$G2238,$G2238,$H$7:$H2238,"&lt;&gt;Mahsup"))</f>
        <v/>
      </c>
    </row>
    <row r="2239" spans="1:21" ht="18" customHeight="1" x14ac:dyDescent="0.3">
      <c r="A2239" s="2"/>
      <c r="B2239" s="65" t="str">
        <f>IF($D2239="","","T"&amp;TEXT(ROW()-6,"00000"))</f>
        <v/>
      </c>
      <c r="C2239" s="65" t="str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61"/>
      <c r="E2239" s="66"/>
      <c r="F2239" s="67"/>
      <c r="G2239" s="60"/>
      <c r="H2239" s="60"/>
      <c r="I2239" s="61"/>
      <c r="J2239" s="61"/>
      <c r="K2239" s="61"/>
      <c r="L2239" s="73" t="str">
        <f>IF($E2239="","",DATE(YEAR($E2239),MONTH($E2239),1))</f>
        <v/>
      </c>
      <c r="M2239" s="65" t="str">
        <f ca="1">IF($D2239="","",IF($C2239="TANIMSIZ MÜŞTERİ","HATA",IF(OR($E2239="",$F2239&lt;=0,$G2239=""),"EKSİK",IF($E2239&gt;TODAY(),"İLERİ TARİH",IF(COUNTIF($S$7:$S$2503,$S2239)&gt;1,"MÜKERRER?",IF($T2239&gt;0,"KAPALI DÖNEM","UYGUN"))))))</f>
        <v/>
      </c>
      <c r="N2239" s="74" t="str">
        <f>IF($C2239="","",IF($C2239="TANIMSIZ MÜŞTERİ","—",INDEX(MUSTERILER!$C$7:$C$156,MATCH($C2239,MUSTERILER!$B$7:$B$156,0))))</f>
        <v/>
      </c>
      <c r="O2239" s="2"/>
      <c r="P2239" s="2"/>
      <c r="Q2239" s="1" t="str">
        <f>IF($D2239="","",$C2239&amp;"|"&amp;COUNTIFS($C$7:$C2239,$C2239))</f>
        <v/>
      </c>
      <c r="R2239" s="1" t="str">
        <f t="shared" si="68"/>
        <v/>
      </c>
      <c r="S2239" s="1" t="str">
        <f t="shared" si="69"/>
        <v/>
      </c>
      <c r="T2239" s="1">
        <f>IF($E2239="",0,SUMPRODUCT((AY_SONU!$O$7:$O$42="Evet")*(AY_SONU!$B$7:$B$42=DATE(YEAR($E2239),MONTH($E2239),1))))</f>
        <v>0</v>
      </c>
      <c r="U2239" s="1" t="str">
        <f>IF(OR($G2239="",$H2239="Mahsup"),"",$G2239&amp;"|"&amp;COUNTIFS($G$7:$G2239,$G2239,$H$7:$H2239,"&lt;&gt;Mahsup"))</f>
        <v/>
      </c>
    </row>
    <row r="2240" spans="1:21" ht="18" customHeight="1" x14ac:dyDescent="0.3">
      <c r="A2240" s="2"/>
      <c r="B2240" s="65" t="str">
        <f>IF($D2240="","","T"&amp;TEXT(ROW()-6,"00000"))</f>
        <v/>
      </c>
      <c r="C2240" s="65" t="str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61"/>
      <c r="E2240" s="66"/>
      <c r="F2240" s="67"/>
      <c r="G2240" s="60"/>
      <c r="H2240" s="60"/>
      <c r="I2240" s="61"/>
      <c r="J2240" s="61"/>
      <c r="K2240" s="61"/>
      <c r="L2240" s="73" t="str">
        <f>IF($E2240="","",DATE(YEAR($E2240),MONTH($E2240),1))</f>
        <v/>
      </c>
      <c r="M2240" s="65" t="str">
        <f ca="1">IF($D2240="","",IF($C2240="TANIMSIZ MÜŞTERİ","HATA",IF(OR($E2240="",$F2240&lt;=0,$G2240=""),"EKSİK",IF($E2240&gt;TODAY(),"İLERİ TARİH",IF(COUNTIF($S$7:$S$2503,$S2240)&gt;1,"MÜKERRER?",IF($T2240&gt;0,"KAPALI DÖNEM","UYGUN"))))))</f>
        <v/>
      </c>
      <c r="N2240" s="74" t="str">
        <f>IF($C2240="","",IF($C2240="TANIMSIZ MÜŞTERİ","—",INDEX(MUSTERILER!$C$7:$C$156,MATCH($C2240,MUSTERILER!$B$7:$B$156,0))))</f>
        <v/>
      </c>
      <c r="O2240" s="2"/>
      <c r="P2240" s="2"/>
      <c r="Q2240" s="1" t="str">
        <f>IF($D2240="","",$C2240&amp;"|"&amp;COUNTIFS($C$7:$C2240,$C2240))</f>
        <v/>
      </c>
      <c r="R2240" s="1" t="str">
        <f t="shared" si="68"/>
        <v/>
      </c>
      <c r="S2240" s="1" t="str">
        <f t="shared" si="69"/>
        <v/>
      </c>
      <c r="T2240" s="1">
        <f>IF($E2240="",0,SUMPRODUCT((AY_SONU!$O$7:$O$42="Evet")*(AY_SONU!$B$7:$B$42=DATE(YEAR($E2240),MONTH($E2240),1))))</f>
        <v>0</v>
      </c>
      <c r="U2240" s="1" t="str">
        <f>IF(OR($G2240="",$H2240="Mahsup"),"",$G2240&amp;"|"&amp;COUNTIFS($G$7:$G2240,$G2240,$H$7:$H2240,"&lt;&gt;Mahsup"))</f>
        <v/>
      </c>
    </row>
    <row r="2241" spans="1:21" ht="18" customHeight="1" x14ac:dyDescent="0.3">
      <c r="A2241" s="2"/>
      <c r="B2241" s="65" t="str">
        <f>IF($D2241="","","T"&amp;TEXT(ROW()-6,"00000"))</f>
        <v/>
      </c>
      <c r="C2241" s="65" t="str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61"/>
      <c r="E2241" s="66"/>
      <c r="F2241" s="67"/>
      <c r="G2241" s="60"/>
      <c r="H2241" s="60"/>
      <c r="I2241" s="61"/>
      <c r="J2241" s="61"/>
      <c r="K2241" s="61"/>
      <c r="L2241" s="73" t="str">
        <f>IF($E2241="","",DATE(YEAR($E2241),MONTH($E2241),1))</f>
        <v/>
      </c>
      <c r="M2241" s="65" t="str">
        <f ca="1">IF($D2241="","",IF($C2241="TANIMSIZ MÜŞTERİ","HATA",IF(OR($E2241="",$F2241&lt;=0,$G2241=""),"EKSİK",IF($E2241&gt;TODAY(),"İLERİ TARİH",IF(COUNTIF($S$7:$S$2503,$S2241)&gt;1,"MÜKERRER?",IF($T2241&gt;0,"KAPALI DÖNEM","UYGUN"))))))</f>
        <v/>
      </c>
      <c r="N2241" s="74" t="str">
        <f>IF($C2241="","",IF($C2241="TANIMSIZ MÜŞTERİ","—",INDEX(MUSTERILER!$C$7:$C$156,MATCH($C2241,MUSTERILER!$B$7:$B$156,0))))</f>
        <v/>
      </c>
      <c r="O2241" s="2"/>
      <c r="P2241" s="2"/>
      <c r="Q2241" s="1" t="str">
        <f>IF($D2241="","",$C2241&amp;"|"&amp;COUNTIFS($C$7:$C2241,$C2241))</f>
        <v/>
      </c>
      <c r="R2241" s="1" t="str">
        <f t="shared" si="68"/>
        <v/>
      </c>
      <c r="S2241" s="1" t="str">
        <f t="shared" si="69"/>
        <v/>
      </c>
      <c r="T2241" s="1">
        <f>IF($E2241="",0,SUMPRODUCT((AY_SONU!$O$7:$O$42="Evet")*(AY_SONU!$B$7:$B$42=DATE(YEAR($E2241),MONTH($E2241),1))))</f>
        <v>0</v>
      </c>
      <c r="U2241" s="1" t="str">
        <f>IF(OR($G2241="",$H2241="Mahsup"),"",$G2241&amp;"|"&amp;COUNTIFS($G$7:$G2241,$G2241,$H$7:$H2241,"&lt;&gt;Mahsup"))</f>
        <v/>
      </c>
    </row>
    <row r="2242" spans="1:21" ht="18" customHeight="1" x14ac:dyDescent="0.3">
      <c r="A2242" s="2"/>
      <c r="B2242" s="65" t="str">
        <f>IF($D2242="","","T"&amp;TEXT(ROW()-6,"00000"))</f>
        <v/>
      </c>
      <c r="C2242" s="65" t="str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61"/>
      <c r="E2242" s="66"/>
      <c r="F2242" s="67"/>
      <c r="G2242" s="60"/>
      <c r="H2242" s="60"/>
      <c r="I2242" s="61"/>
      <c r="J2242" s="61"/>
      <c r="K2242" s="61"/>
      <c r="L2242" s="73" t="str">
        <f>IF($E2242="","",DATE(YEAR($E2242),MONTH($E2242),1))</f>
        <v/>
      </c>
      <c r="M2242" s="65" t="str">
        <f ca="1">IF($D2242="","",IF($C2242="TANIMSIZ MÜŞTERİ","HATA",IF(OR($E2242="",$F2242&lt;=0,$G2242=""),"EKSİK",IF($E2242&gt;TODAY(),"İLERİ TARİH",IF(COUNTIF($S$7:$S$2503,$S2242)&gt;1,"MÜKERRER?",IF($T2242&gt;0,"KAPALI DÖNEM","UYGUN"))))))</f>
        <v/>
      </c>
      <c r="N2242" s="74" t="str">
        <f>IF($C2242="","",IF($C2242="TANIMSIZ MÜŞTERİ","—",INDEX(MUSTERILER!$C$7:$C$156,MATCH($C2242,MUSTERILER!$B$7:$B$156,0))))</f>
        <v/>
      </c>
      <c r="O2242" s="2"/>
      <c r="P2242" s="2"/>
      <c r="Q2242" s="1" t="str">
        <f>IF($D2242="","",$C2242&amp;"|"&amp;COUNTIFS($C$7:$C2242,$C2242))</f>
        <v/>
      </c>
      <c r="R2242" s="1" t="str">
        <f t="shared" si="68"/>
        <v/>
      </c>
      <c r="S2242" s="1" t="str">
        <f t="shared" si="69"/>
        <v/>
      </c>
      <c r="T2242" s="1">
        <f>IF($E2242="",0,SUMPRODUCT((AY_SONU!$O$7:$O$42="Evet")*(AY_SONU!$B$7:$B$42=DATE(YEAR($E2242),MONTH($E2242),1))))</f>
        <v>0</v>
      </c>
      <c r="U2242" s="1" t="str">
        <f>IF(OR($G2242="",$H2242="Mahsup"),"",$G2242&amp;"|"&amp;COUNTIFS($G$7:$G2242,$G2242,$H$7:$H2242,"&lt;&gt;Mahsup"))</f>
        <v/>
      </c>
    </row>
    <row r="2243" spans="1:21" ht="18" customHeight="1" x14ac:dyDescent="0.3">
      <c r="A2243" s="2"/>
      <c r="B2243" s="65" t="str">
        <f>IF($D2243="","","T"&amp;TEXT(ROW()-6,"00000"))</f>
        <v/>
      </c>
      <c r="C2243" s="65" t="str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61"/>
      <c r="E2243" s="66"/>
      <c r="F2243" s="67"/>
      <c r="G2243" s="60"/>
      <c r="H2243" s="60"/>
      <c r="I2243" s="61"/>
      <c r="J2243" s="61"/>
      <c r="K2243" s="61"/>
      <c r="L2243" s="73" t="str">
        <f>IF($E2243="","",DATE(YEAR($E2243),MONTH($E2243),1))</f>
        <v/>
      </c>
      <c r="M2243" s="65" t="str">
        <f ca="1">IF($D2243="","",IF($C2243="TANIMSIZ MÜŞTERİ","HATA",IF(OR($E2243="",$F2243&lt;=0,$G2243=""),"EKSİK",IF($E2243&gt;TODAY(),"İLERİ TARİH",IF(COUNTIF($S$7:$S$2503,$S2243)&gt;1,"MÜKERRER?",IF($T2243&gt;0,"KAPALI DÖNEM","UYGUN"))))))</f>
        <v/>
      </c>
      <c r="N2243" s="74" t="str">
        <f>IF($C2243="","",IF($C2243="TANIMSIZ MÜŞTERİ","—",INDEX(MUSTERILER!$C$7:$C$156,MATCH($C2243,MUSTERILER!$B$7:$B$156,0))))</f>
        <v/>
      </c>
      <c r="O2243" s="2"/>
      <c r="P2243" s="2"/>
      <c r="Q2243" s="1" t="str">
        <f>IF($D2243="","",$C2243&amp;"|"&amp;COUNTIFS($C$7:$C2243,$C2243))</f>
        <v/>
      </c>
      <c r="R2243" s="1" t="str">
        <f t="shared" si="68"/>
        <v/>
      </c>
      <c r="S2243" s="1" t="str">
        <f t="shared" si="69"/>
        <v/>
      </c>
      <c r="T2243" s="1">
        <f>IF($E2243="",0,SUMPRODUCT((AY_SONU!$O$7:$O$42="Evet")*(AY_SONU!$B$7:$B$42=DATE(YEAR($E2243),MONTH($E2243),1))))</f>
        <v>0</v>
      </c>
      <c r="U2243" s="1" t="str">
        <f>IF(OR($G2243="",$H2243="Mahsup"),"",$G2243&amp;"|"&amp;COUNTIFS($G$7:$G2243,$G2243,$H$7:$H2243,"&lt;&gt;Mahsup"))</f>
        <v/>
      </c>
    </row>
    <row r="2244" spans="1:21" ht="18" customHeight="1" x14ac:dyDescent="0.3">
      <c r="A2244" s="2"/>
      <c r="B2244" s="65" t="str">
        <f>IF($D2244="","","T"&amp;TEXT(ROW()-6,"00000"))</f>
        <v/>
      </c>
      <c r="C2244" s="65" t="str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61"/>
      <c r="E2244" s="66"/>
      <c r="F2244" s="67"/>
      <c r="G2244" s="60"/>
      <c r="H2244" s="60"/>
      <c r="I2244" s="61"/>
      <c r="J2244" s="61"/>
      <c r="K2244" s="61"/>
      <c r="L2244" s="73" t="str">
        <f>IF($E2244="","",DATE(YEAR($E2244),MONTH($E2244),1))</f>
        <v/>
      </c>
      <c r="M2244" s="65" t="str">
        <f ca="1">IF($D2244="","",IF($C2244="TANIMSIZ MÜŞTERİ","HATA",IF(OR($E2244="",$F2244&lt;=0,$G2244=""),"EKSİK",IF($E2244&gt;TODAY(),"İLERİ TARİH",IF(COUNTIF($S$7:$S$2503,$S2244)&gt;1,"MÜKERRER?",IF($T2244&gt;0,"KAPALI DÖNEM","UYGUN"))))))</f>
        <v/>
      </c>
      <c r="N2244" s="74" t="str">
        <f>IF($C2244="","",IF($C2244="TANIMSIZ MÜŞTERİ","—",INDEX(MUSTERILER!$C$7:$C$156,MATCH($C2244,MUSTERILER!$B$7:$B$156,0))))</f>
        <v/>
      </c>
      <c r="O2244" s="2"/>
      <c r="P2244" s="2"/>
      <c r="Q2244" s="1" t="str">
        <f>IF($D2244="","",$C2244&amp;"|"&amp;COUNTIFS($C$7:$C2244,$C2244))</f>
        <v/>
      </c>
      <c r="R2244" s="1" t="str">
        <f t="shared" si="68"/>
        <v/>
      </c>
      <c r="S2244" s="1" t="str">
        <f t="shared" si="69"/>
        <v/>
      </c>
      <c r="T2244" s="1">
        <f>IF($E2244="",0,SUMPRODUCT((AY_SONU!$O$7:$O$42="Evet")*(AY_SONU!$B$7:$B$42=DATE(YEAR($E2244),MONTH($E2244),1))))</f>
        <v>0</v>
      </c>
      <c r="U2244" s="1" t="str">
        <f>IF(OR($G2244="",$H2244="Mahsup"),"",$G2244&amp;"|"&amp;COUNTIFS($G$7:$G2244,$G2244,$H$7:$H2244,"&lt;&gt;Mahsup"))</f>
        <v/>
      </c>
    </row>
    <row r="2245" spans="1:21" ht="18" customHeight="1" x14ac:dyDescent="0.3">
      <c r="A2245" s="2"/>
      <c r="B2245" s="65" t="str">
        <f>IF($D2245="","","T"&amp;TEXT(ROW()-6,"00000"))</f>
        <v/>
      </c>
      <c r="C2245" s="65" t="str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61"/>
      <c r="E2245" s="66"/>
      <c r="F2245" s="67"/>
      <c r="G2245" s="60"/>
      <c r="H2245" s="60"/>
      <c r="I2245" s="61"/>
      <c r="J2245" s="61"/>
      <c r="K2245" s="61"/>
      <c r="L2245" s="73" t="str">
        <f>IF($E2245="","",DATE(YEAR($E2245),MONTH($E2245),1))</f>
        <v/>
      </c>
      <c r="M2245" s="65" t="str">
        <f ca="1">IF($D2245="","",IF($C2245="TANIMSIZ MÜŞTERİ","HATA",IF(OR($E2245="",$F2245&lt;=0,$G2245=""),"EKSİK",IF($E2245&gt;TODAY(),"İLERİ TARİH",IF(COUNTIF($S$7:$S$2503,$S2245)&gt;1,"MÜKERRER?",IF($T2245&gt;0,"KAPALI DÖNEM","UYGUN"))))))</f>
        <v/>
      </c>
      <c r="N2245" s="74" t="str">
        <f>IF($C2245="","",IF($C2245="TANIMSIZ MÜŞTERİ","—",INDEX(MUSTERILER!$C$7:$C$156,MATCH($C2245,MUSTERILER!$B$7:$B$156,0))))</f>
        <v/>
      </c>
      <c r="O2245" s="2"/>
      <c r="P2245" s="2"/>
      <c r="Q2245" s="1" t="str">
        <f>IF($D2245="","",$C2245&amp;"|"&amp;COUNTIFS($C$7:$C2245,$C2245))</f>
        <v/>
      </c>
      <c r="R2245" s="1" t="str">
        <f t="shared" si="68"/>
        <v/>
      </c>
      <c r="S2245" s="1" t="str">
        <f t="shared" si="69"/>
        <v/>
      </c>
      <c r="T2245" s="1">
        <f>IF($E2245="",0,SUMPRODUCT((AY_SONU!$O$7:$O$42="Evet")*(AY_SONU!$B$7:$B$42=DATE(YEAR($E2245),MONTH($E2245),1))))</f>
        <v>0</v>
      </c>
      <c r="U2245" s="1" t="str">
        <f>IF(OR($G2245="",$H2245="Mahsup"),"",$G2245&amp;"|"&amp;COUNTIFS($G$7:$G2245,$G2245,$H$7:$H2245,"&lt;&gt;Mahsup"))</f>
        <v/>
      </c>
    </row>
    <row r="2246" spans="1:21" ht="18" customHeight="1" x14ac:dyDescent="0.3">
      <c r="A2246" s="2"/>
      <c r="B2246" s="65" t="str">
        <f>IF($D2246="","","T"&amp;TEXT(ROW()-6,"00000"))</f>
        <v/>
      </c>
      <c r="C2246" s="65" t="str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61"/>
      <c r="E2246" s="66"/>
      <c r="F2246" s="67"/>
      <c r="G2246" s="60"/>
      <c r="H2246" s="60"/>
      <c r="I2246" s="61"/>
      <c r="J2246" s="61"/>
      <c r="K2246" s="61"/>
      <c r="L2246" s="73" t="str">
        <f>IF($E2246="","",DATE(YEAR($E2246),MONTH($E2246),1))</f>
        <v/>
      </c>
      <c r="M2246" s="65" t="str">
        <f ca="1">IF($D2246="","",IF($C2246="TANIMSIZ MÜŞTERİ","HATA",IF(OR($E2246="",$F2246&lt;=0,$G2246=""),"EKSİK",IF($E2246&gt;TODAY(),"İLERİ TARİH",IF(COUNTIF($S$7:$S$2503,$S2246)&gt;1,"MÜKERRER?",IF($T2246&gt;0,"KAPALI DÖNEM","UYGUN"))))))</f>
        <v/>
      </c>
      <c r="N2246" s="74" t="str">
        <f>IF($C2246="","",IF($C2246="TANIMSIZ MÜŞTERİ","—",INDEX(MUSTERILER!$C$7:$C$156,MATCH($C2246,MUSTERILER!$B$7:$B$156,0))))</f>
        <v/>
      </c>
      <c r="O2246" s="2"/>
      <c r="P2246" s="2"/>
      <c r="Q2246" s="1" t="str">
        <f>IF($D2246="","",$C2246&amp;"|"&amp;COUNTIFS($C$7:$C2246,$C2246))</f>
        <v/>
      </c>
      <c r="R2246" s="1" t="str">
        <f t="shared" si="68"/>
        <v/>
      </c>
      <c r="S2246" s="1" t="str">
        <f t="shared" si="69"/>
        <v/>
      </c>
      <c r="T2246" s="1">
        <f>IF($E2246="",0,SUMPRODUCT((AY_SONU!$O$7:$O$42="Evet")*(AY_SONU!$B$7:$B$42=DATE(YEAR($E2246),MONTH($E2246),1))))</f>
        <v>0</v>
      </c>
      <c r="U2246" s="1" t="str">
        <f>IF(OR($G2246="",$H2246="Mahsup"),"",$G2246&amp;"|"&amp;COUNTIFS($G$7:$G2246,$G2246,$H$7:$H2246,"&lt;&gt;Mahsup"))</f>
        <v/>
      </c>
    </row>
    <row r="2247" spans="1:21" ht="18" customHeight="1" x14ac:dyDescent="0.3">
      <c r="A2247" s="2"/>
      <c r="B2247" s="65" t="str">
        <f>IF($D2247="","","T"&amp;TEXT(ROW()-6,"00000"))</f>
        <v/>
      </c>
      <c r="C2247" s="65" t="str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61"/>
      <c r="E2247" s="66"/>
      <c r="F2247" s="67"/>
      <c r="G2247" s="60"/>
      <c r="H2247" s="60"/>
      <c r="I2247" s="61"/>
      <c r="J2247" s="61"/>
      <c r="K2247" s="61"/>
      <c r="L2247" s="73" t="str">
        <f>IF($E2247="","",DATE(YEAR($E2247),MONTH($E2247),1))</f>
        <v/>
      </c>
      <c r="M2247" s="65" t="str">
        <f ca="1">IF($D2247="","",IF($C2247="TANIMSIZ MÜŞTERİ","HATA",IF(OR($E2247="",$F2247&lt;=0,$G2247=""),"EKSİK",IF($E2247&gt;TODAY(),"İLERİ TARİH",IF(COUNTIF($S$7:$S$2503,$S2247)&gt;1,"MÜKERRER?",IF($T2247&gt;0,"KAPALI DÖNEM","UYGUN"))))))</f>
        <v/>
      </c>
      <c r="N2247" s="74" t="str">
        <f>IF($C2247="","",IF($C2247="TANIMSIZ MÜŞTERİ","—",INDEX(MUSTERILER!$C$7:$C$156,MATCH($C2247,MUSTERILER!$B$7:$B$156,0))))</f>
        <v/>
      </c>
      <c r="O2247" s="2"/>
      <c r="P2247" s="2"/>
      <c r="Q2247" s="1" t="str">
        <f>IF($D2247="","",$C2247&amp;"|"&amp;COUNTIFS($C$7:$C2247,$C2247))</f>
        <v/>
      </c>
      <c r="R2247" s="1" t="str">
        <f t="shared" ref="R2247:R2310" si="70"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" t="str">
        <f t="shared" ref="S2247:S2310" si="71">IF($D2247="","",$C2247&amp;"|"&amp;TEXT($E2247,"0")&amp;"|"&amp;TEXT($F2247,"0")&amp;"|"&amp;$I2247)</f>
        <v/>
      </c>
      <c r="T2247" s="1">
        <f>IF($E2247="",0,SUMPRODUCT((AY_SONU!$O$7:$O$42="Evet")*(AY_SONU!$B$7:$B$42=DATE(YEAR($E2247),MONTH($E2247),1))))</f>
        <v>0</v>
      </c>
      <c r="U2247" s="1" t="str">
        <f>IF(OR($G2247="",$H2247="Mahsup"),"",$G2247&amp;"|"&amp;COUNTIFS($G$7:$G2247,$G2247,$H$7:$H2247,"&lt;&gt;Mahsup"))</f>
        <v/>
      </c>
    </row>
    <row r="2248" spans="1:21" ht="18" customHeight="1" x14ac:dyDescent="0.3">
      <c r="A2248" s="2"/>
      <c r="B2248" s="65" t="str">
        <f>IF($D2248="","","T"&amp;TEXT(ROW()-6,"00000"))</f>
        <v/>
      </c>
      <c r="C2248" s="65" t="str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61"/>
      <c r="E2248" s="66"/>
      <c r="F2248" s="67"/>
      <c r="G2248" s="60"/>
      <c r="H2248" s="60"/>
      <c r="I2248" s="61"/>
      <c r="J2248" s="61"/>
      <c r="K2248" s="61"/>
      <c r="L2248" s="73" t="str">
        <f>IF($E2248="","",DATE(YEAR($E2248),MONTH($E2248),1))</f>
        <v/>
      </c>
      <c r="M2248" s="65" t="str">
        <f ca="1">IF($D2248="","",IF($C2248="TANIMSIZ MÜŞTERİ","HATA",IF(OR($E2248="",$F2248&lt;=0,$G2248=""),"EKSİK",IF($E2248&gt;TODAY(),"İLERİ TARİH",IF(COUNTIF($S$7:$S$2503,$S2248)&gt;1,"MÜKERRER?",IF($T2248&gt;0,"KAPALI DÖNEM","UYGUN"))))))</f>
        <v/>
      </c>
      <c r="N2248" s="74" t="str">
        <f>IF($C2248="","",IF($C2248="TANIMSIZ MÜŞTERİ","—",INDEX(MUSTERILER!$C$7:$C$156,MATCH($C2248,MUSTERILER!$B$7:$B$156,0))))</f>
        <v/>
      </c>
      <c r="O2248" s="2"/>
      <c r="P2248" s="2"/>
      <c r="Q2248" s="1" t="str">
        <f>IF($D2248="","",$C2248&amp;"|"&amp;COUNTIFS($C$7:$C2248,$C2248))</f>
        <v/>
      </c>
      <c r="R2248" s="1" t="str">
        <f t="shared" si="70"/>
        <v/>
      </c>
      <c r="S2248" s="1" t="str">
        <f t="shared" si="71"/>
        <v/>
      </c>
      <c r="T2248" s="1">
        <f>IF($E2248="",0,SUMPRODUCT((AY_SONU!$O$7:$O$42="Evet")*(AY_SONU!$B$7:$B$42=DATE(YEAR($E2248),MONTH($E2248),1))))</f>
        <v>0</v>
      </c>
      <c r="U2248" s="1" t="str">
        <f>IF(OR($G2248="",$H2248="Mahsup"),"",$G2248&amp;"|"&amp;COUNTIFS($G$7:$G2248,$G2248,$H$7:$H2248,"&lt;&gt;Mahsup"))</f>
        <v/>
      </c>
    </row>
    <row r="2249" spans="1:21" ht="18" customHeight="1" x14ac:dyDescent="0.3">
      <c r="A2249" s="2"/>
      <c r="B2249" s="65" t="str">
        <f>IF($D2249="","","T"&amp;TEXT(ROW()-6,"00000"))</f>
        <v/>
      </c>
      <c r="C2249" s="65" t="str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61"/>
      <c r="E2249" s="66"/>
      <c r="F2249" s="67"/>
      <c r="G2249" s="60"/>
      <c r="H2249" s="60"/>
      <c r="I2249" s="61"/>
      <c r="J2249" s="61"/>
      <c r="K2249" s="61"/>
      <c r="L2249" s="73" t="str">
        <f>IF($E2249="","",DATE(YEAR($E2249),MONTH($E2249),1))</f>
        <v/>
      </c>
      <c r="M2249" s="65" t="str">
        <f ca="1">IF($D2249="","",IF($C2249="TANIMSIZ MÜŞTERİ","HATA",IF(OR($E2249="",$F2249&lt;=0,$G2249=""),"EKSİK",IF($E2249&gt;TODAY(),"İLERİ TARİH",IF(COUNTIF($S$7:$S$2503,$S2249)&gt;1,"MÜKERRER?",IF($T2249&gt;0,"KAPALI DÖNEM","UYGUN"))))))</f>
        <v/>
      </c>
      <c r="N2249" s="74" t="str">
        <f>IF($C2249="","",IF($C2249="TANIMSIZ MÜŞTERİ","—",INDEX(MUSTERILER!$C$7:$C$156,MATCH($C2249,MUSTERILER!$B$7:$B$156,0))))</f>
        <v/>
      </c>
      <c r="O2249" s="2"/>
      <c r="P2249" s="2"/>
      <c r="Q2249" s="1" t="str">
        <f>IF($D2249="","",$C2249&amp;"|"&amp;COUNTIFS($C$7:$C2249,$C2249))</f>
        <v/>
      </c>
      <c r="R2249" s="1" t="str">
        <f t="shared" si="70"/>
        <v/>
      </c>
      <c r="S2249" s="1" t="str">
        <f t="shared" si="71"/>
        <v/>
      </c>
      <c r="T2249" s="1">
        <f>IF($E2249="",0,SUMPRODUCT((AY_SONU!$O$7:$O$42="Evet")*(AY_SONU!$B$7:$B$42=DATE(YEAR($E2249),MONTH($E2249),1))))</f>
        <v>0</v>
      </c>
      <c r="U2249" s="1" t="str">
        <f>IF(OR($G2249="",$H2249="Mahsup"),"",$G2249&amp;"|"&amp;COUNTIFS($G$7:$G2249,$G2249,$H$7:$H2249,"&lt;&gt;Mahsup"))</f>
        <v/>
      </c>
    </row>
    <row r="2250" spans="1:21" ht="18" customHeight="1" x14ac:dyDescent="0.3">
      <c r="A2250" s="2"/>
      <c r="B2250" s="65" t="str">
        <f>IF($D2250="","","T"&amp;TEXT(ROW()-6,"00000"))</f>
        <v/>
      </c>
      <c r="C2250" s="65" t="str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61"/>
      <c r="E2250" s="66"/>
      <c r="F2250" s="67"/>
      <c r="G2250" s="60"/>
      <c r="H2250" s="60"/>
      <c r="I2250" s="61"/>
      <c r="J2250" s="61"/>
      <c r="K2250" s="61"/>
      <c r="L2250" s="73" t="str">
        <f>IF($E2250="","",DATE(YEAR($E2250),MONTH($E2250),1))</f>
        <v/>
      </c>
      <c r="M2250" s="65" t="str">
        <f ca="1">IF($D2250="","",IF($C2250="TANIMSIZ MÜŞTERİ","HATA",IF(OR($E2250="",$F2250&lt;=0,$G2250=""),"EKSİK",IF($E2250&gt;TODAY(),"İLERİ TARİH",IF(COUNTIF($S$7:$S$2503,$S2250)&gt;1,"MÜKERRER?",IF($T2250&gt;0,"KAPALI DÖNEM","UYGUN"))))))</f>
        <v/>
      </c>
      <c r="N2250" s="74" t="str">
        <f>IF($C2250="","",IF($C2250="TANIMSIZ MÜŞTERİ","—",INDEX(MUSTERILER!$C$7:$C$156,MATCH($C2250,MUSTERILER!$B$7:$B$156,0))))</f>
        <v/>
      </c>
      <c r="O2250" s="2"/>
      <c r="P2250" s="2"/>
      <c r="Q2250" s="1" t="str">
        <f>IF($D2250="","",$C2250&amp;"|"&amp;COUNTIFS($C$7:$C2250,$C2250))</f>
        <v/>
      </c>
      <c r="R2250" s="1" t="str">
        <f t="shared" si="70"/>
        <v/>
      </c>
      <c r="S2250" s="1" t="str">
        <f t="shared" si="71"/>
        <v/>
      </c>
      <c r="T2250" s="1">
        <f>IF($E2250="",0,SUMPRODUCT((AY_SONU!$O$7:$O$42="Evet")*(AY_SONU!$B$7:$B$42=DATE(YEAR($E2250),MONTH($E2250),1))))</f>
        <v>0</v>
      </c>
      <c r="U2250" s="1" t="str">
        <f>IF(OR($G2250="",$H2250="Mahsup"),"",$G2250&amp;"|"&amp;COUNTIFS($G$7:$G2250,$G2250,$H$7:$H2250,"&lt;&gt;Mahsup"))</f>
        <v/>
      </c>
    </row>
    <row r="2251" spans="1:21" ht="18" customHeight="1" x14ac:dyDescent="0.3">
      <c r="A2251" s="2"/>
      <c r="B2251" s="65" t="str">
        <f>IF($D2251="","","T"&amp;TEXT(ROW()-6,"00000"))</f>
        <v/>
      </c>
      <c r="C2251" s="65" t="str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61"/>
      <c r="E2251" s="66"/>
      <c r="F2251" s="67"/>
      <c r="G2251" s="60"/>
      <c r="H2251" s="60"/>
      <c r="I2251" s="61"/>
      <c r="J2251" s="61"/>
      <c r="K2251" s="61"/>
      <c r="L2251" s="73" t="str">
        <f>IF($E2251="","",DATE(YEAR($E2251),MONTH($E2251),1))</f>
        <v/>
      </c>
      <c r="M2251" s="65" t="str">
        <f ca="1">IF($D2251="","",IF($C2251="TANIMSIZ MÜŞTERİ","HATA",IF(OR($E2251="",$F2251&lt;=0,$G2251=""),"EKSİK",IF($E2251&gt;TODAY(),"İLERİ TARİH",IF(COUNTIF($S$7:$S$2503,$S2251)&gt;1,"MÜKERRER?",IF($T2251&gt;0,"KAPALI DÖNEM","UYGUN"))))))</f>
        <v/>
      </c>
      <c r="N2251" s="74" t="str">
        <f>IF($C2251="","",IF($C2251="TANIMSIZ MÜŞTERİ","—",INDEX(MUSTERILER!$C$7:$C$156,MATCH($C2251,MUSTERILER!$B$7:$B$156,0))))</f>
        <v/>
      </c>
      <c r="O2251" s="2"/>
      <c r="P2251" s="2"/>
      <c r="Q2251" s="1" t="str">
        <f>IF($D2251="","",$C2251&amp;"|"&amp;COUNTIFS($C$7:$C2251,$C2251))</f>
        <v/>
      </c>
      <c r="R2251" s="1" t="str">
        <f t="shared" si="70"/>
        <v/>
      </c>
      <c r="S2251" s="1" t="str">
        <f t="shared" si="71"/>
        <v/>
      </c>
      <c r="T2251" s="1">
        <f>IF($E2251="",0,SUMPRODUCT((AY_SONU!$O$7:$O$42="Evet")*(AY_SONU!$B$7:$B$42=DATE(YEAR($E2251),MONTH($E2251),1))))</f>
        <v>0</v>
      </c>
      <c r="U2251" s="1" t="str">
        <f>IF(OR($G2251="",$H2251="Mahsup"),"",$G2251&amp;"|"&amp;COUNTIFS($G$7:$G2251,$G2251,$H$7:$H2251,"&lt;&gt;Mahsup"))</f>
        <v/>
      </c>
    </row>
    <row r="2252" spans="1:21" ht="18" customHeight="1" x14ac:dyDescent="0.3">
      <c r="A2252" s="2"/>
      <c r="B2252" s="65" t="str">
        <f>IF($D2252="","","T"&amp;TEXT(ROW()-6,"00000"))</f>
        <v/>
      </c>
      <c r="C2252" s="65" t="str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61"/>
      <c r="E2252" s="66"/>
      <c r="F2252" s="67"/>
      <c r="G2252" s="60"/>
      <c r="H2252" s="60"/>
      <c r="I2252" s="61"/>
      <c r="J2252" s="61"/>
      <c r="K2252" s="61"/>
      <c r="L2252" s="73" t="str">
        <f>IF($E2252="","",DATE(YEAR($E2252),MONTH($E2252),1))</f>
        <v/>
      </c>
      <c r="M2252" s="65" t="str">
        <f ca="1">IF($D2252="","",IF($C2252="TANIMSIZ MÜŞTERİ","HATA",IF(OR($E2252="",$F2252&lt;=0,$G2252=""),"EKSİK",IF($E2252&gt;TODAY(),"İLERİ TARİH",IF(COUNTIF($S$7:$S$2503,$S2252)&gt;1,"MÜKERRER?",IF($T2252&gt;0,"KAPALI DÖNEM","UYGUN"))))))</f>
        <v/>
      </c>
      <c r="N2252" s="74" t="str">
        <f>IF($C2252="","",IF($C2252="TANIMSIZ MÜŞTERİ","—",INDEX(MUSTERILER!$C$7:$C$156,MATCH($C2252,MUSTERILER!$B$7:$B$156,0))))</f>
        <v/>
      </c>
      <c r="O2252" s="2"/>
      <c r="P2252" s="2"/>
      <c r="Q2252" s="1" t="str">
        <f>IF($D2252="","",$C2252&amp;"|"&amp;COUNTIFS($C$7:$C2252,$C2252))</f>
        <v/>
      </c>
      <c r="R2252" s="1" t="str">
        <f t="shared" si="70"/>
        <v/>
      </c>
      <c r="S2252" s="1" t="str">
        <f t="shared" si="71"/>
        <v/>
      </c>
      <c r="T2252" s="1">
        <f>IF($E2252="",0,SUMPRODUCT((AY_SONU!$O$7:$O$42="Evet")*(AY_SONU!$B$7:$B$42=DATE(YEAR($E2252),MONTH($E2252),1))))</f>
        <v>0</v>
      </c>
      <c r="U2252" s="1" t="str">
        <f>IF(OR($G2252="",$H2252="Mahsup"),"",$G2252&amp;"|"&amp;COUNTIFS($G$7:$G2252,$G2252,$H$7:$H2252,"&lt;&gt;Mahsup"))</f>
        <v/>
      </c>
    </row>
    <row r="2253" spans="1:21" ht="18" customHeight="1" x14ac:dyDescent="0.3">
      <c r="A2253" s="2"/>
      <c r="B2253" s="65" t="str">
        <f>IF($D2253="","","T"&amp;TEXT(ROW()-6,"00000"))</f>
        <v/>
      </c>
      <c r="C2253" s="65" t="str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61"/>
      <c r="E2253" s="66"/>
      <c r="F2253" s="67"/>
      <c r="G2253" s="60"/>
      <c r="H2253" s="60"/>
      <c r="I2253" s="61"/>
      <c r="J2253" s="61"/>
      <c r="K2253" s="61"/>
      <c r="L2253" s="73" t="str">
        <f>IF($E2253="","",DATE(YEAR($E2253),MONTH($E2253),1))</f>
        <v/>
      </c>
      <c r="M2253" s="65" t="str">
        <f ca="1">IF($D2253="","",IF($C2253="TANIMSIZ MÜŞTERİ","HATA",IF(OR($E2253="",$F2253&lt;=0,$G2253=""),"EKSİK",IF($E2253&gt;TODAY(),"İLERİ TARİH",IF(COUNTIF($S$7:$S$2503,$S2253)&gt;1,"MÜKERRER?",IF($T2253&gt;0,"KAPALI DÖNEM","UYGUN"))))))</f>
        <v/>
      </c>
      <c r="N2253" s="74" t="str">
        <f>IF($C2253="","",IF($C2253="TANIMSIZ MÜŞTERİ","—",INDEX(MUSTERILER!$C$7:$C$156,MATCH($C2253,MUSTERILER!$B$7:$B$156,0))))</f>
        <v/>
      </c>
      <c r="O2253" s="2"/>
      <c r="P2253" s="2"/>
      <c r="Q2253" s="1" t="str">
        <f>IF($D2253="","",$C2253&amp;"|"&amp;COUNTIFS($C$7:$C2253,$C2253))</f>
        <v/>
      </c>
      <c r="R2253" s="1" t="str">
        <f t="shared" si="70"/>
        <v/>
      </c>
      <c r="S2253" s="1" t="str">
        <f t="shared" si="71"/>
        <v/>
      </c>
      <c r="T2253" s="1">
        <f>IF($E2253="",0,SUMPRODUCT((AY_SONU!$O$7:$O$42="Evet")*(AY_SONU!$B$7:$B$42=DATE(YEAR($E2253),MONTH($E2253),1))))</f>
        <v>0</v>
      </c>
      <c r="U2253" s="1" t="str">
        <f>IF(OR($G2253="",$H2253="Mahsup"),"",$G2253&amp;"|"&amp;COUNTIFS($G$7:$G2253,$G2253,$H$7:$H2253,"&lt;&gt;Mahsup"))</f>
        <v/>
      </c>
    </row>
    <row r="2254" spans="1:21" ht="18" customHeight="1" x14ac:dyDescent="0.3">
      <c r="A2254" s="2"/>
      <c r="B2254" s="65" t="str">
        <f>IF($D2254="","","T"&amp;TEXT(ROW()-6,"00000"))</f>
        <v/>
      </c>
      <c r="C2254" s="65" t="str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61"/>
      <c r="E2254" s="66"/>
      <c r="F2254" s="67"/>
      <c r="G2254" s="60"/>
      <c r="H2254" s="60"/>
      <c r="I2254" s="61"/>
      <c r="J2254" s="61"/>
      <c r="K2254" s="61"/>
      <c r="L2254" s="73" t="str">
        <f>IF($E2254="","",DATE(YEAR($E2254),MONTH($E2254),1))</f>
        <v/>
      </c>
      <c r="M2254" s="65" t="str">
        <f ca="1">IF($D2254="","",IF($C2254="TANIMSIZ MÜŞTERİ","HATA",IF(OR($E2254="",$F2254&lt;=0,$G2254=""),"EKSİK",IF($E2254&gt;TODAY(),"İLERİ TARİH",IF(COUNTIF($S$7:$S$2503,$S2254)&gt;1,"MÜKERRER?",IF($T2254&gt;0,"KAPALI DÖNEM","UYGUN"))))))</f>
        <v/>
      </c>
      <c r="N2254" s="74" t="str">
        <f>IF($C2254="","",IF($C2254="TANIMSIZ MÜŞTERİ","—",INDEX(MUSTERILER!$C$7:$C$156,MATCH($C2254,MUSTERILER!$B$7:$B$156,0))))</f>
        <v/>
      </c>
      <c r="O2254" s="2"/>
      <c r="P2254" s="2"/>
      <c r="Q2254" s="1" t="str">
        <f>IF($D2254="","",$C2254&amp;"|"&amp;COUNTIFS($C$7:$C2254,$C2254))</f>
        <v/>
      </c>
      <c r="R2254" s="1" t="str">
        <f t="shared" si="70"/>
        <v/>
      </c>
      <c r="S2254" s="1" t="str">
        <f t="shared" si="71"/>
        <v/>
      </c>
      <c r="T2254" s="1">
        <f>IF($E2254="",0,SUMPRODUCT((AY_SONU!$O$7:$O$42="Evet")*(AY_SONU!$B$7:$B$42=DATE(YEAR($E2254),MONTH($E2254),1))))</f>
        <v>0</v>
      </c>
      <c r="U2254" s="1" t="str">
        <f>IF(OR($G2254="",$H2254="Mahsup"),"",$G2254&amp;"|"&amp;COUNTIFS($G$7:$G2254,$G2254,$H$7:$H2254,"&lt;&gt;Mahsup"))</f>
        <v/>
      </c>
    </row>
    <row r="2255" spans="1:21" ht="18" customHeight="1" x14ac:dyDescent="0.3">
      <c r="A2255" s="2"/>
      <c r="B2255" s="65" t="str">
        <f>IF($D2255="","","T"&amp;TEXT(ROW()-6,"00000"))</f>
        <v/>
      </c>
      <c r="C2255" s="65" t="str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61"/>
      <c r="E2255" s="66"/>
      <c r="F2255" s="67"/>
      <c r="G2255" s="60"/>
      <c r="H2255" s="60"/>
      <c r="I2255" s="61"/>
      <c r="J2255" s="61"/>
      <c r="K2255" s="61"/>
      <c r="L2255" s="73" t="str">
        <f>IF($E2255="","",DATE(YEAR($E2255),MONTH($E2255),1))</f>
        <v/>
      </c>
      <c r="M2255" s="65" t="str">
        <f ca="1">IF($D2255="","",IF($C2255="TANIMSIZ MÜŞTERİ","HATA",IF(OR($E2255="",$F2255&lt;=0,$G2255=""),"EKSİK",IF($E2255&gt;TODAY(),"İLERİ TARİH",IF(COUNTIF($S$7:$S$2503,$S2255)&gt;1,"MÜKERRER?",IF($T2255&gt;0,"KAPALI DÖNEM","UYGUN"))))))</f>
        <v/>
      </c>
      <c r="N2255" s="74" t="str">
        <f>IF($C2255="","",IF($C2255="TANIMSIZ MÜŞTERİ","—",INDEX(MUSTERILER!$C$7:$C$156,MATCH($C2255,MUSTERILER!$B$7:$B$156,0))))</f>
        <v/>
      </c>
      <c r="O2255" s="2"/>
      <c r="P2255" s="2"/>
      <c r="Q2255" s="1" t="str">
        <f>IF($D2255="","",$C2255&amp;"|"&amp;COUNTIFS($C$7:$C2255,$C2255))</f>
        <v/>
      </c>
      <c r="R2255" s="1" t="str">
        <f t="shared" si="70"/>
        <v/>
      </c>
      <c r="S2255" s="1" t="str">
        <f t="shared" si="71"/>
        <v/>
      </c>
      <c r="T2255" s="1">
        <f>IF($E2255="",0,SUMPRODUCT((AY_SONU!$O$7:$O$42="Evet")*(AY_SONU!$B$7:$B$42=DATE(YEAR($E2255),MONTH($E2255),1))))</f>
        <v>0</v>
      </c>
      <c r="U2255" s="1" t="str">
        <f>IF(OR($G2255="",$H2255="Mahsup"),"",$G2255&amp;"|"&amp;COUNTIFS($G$7:$G2255,$G2255,$H$7:$H2255,"&lt;&gt;Mahsup"))</f>
        <v/>
      </c>
    </row>
    <row r="2256" spans="1:21" ht="18" customHeight="1" x14ac:dyDescent="0.3">
      <c r="A2256" s="2"/>
      <c r="B2256" s="65" t="str">
        <f>IF($D2256="","","T"&amp;TEXT(ROW()-6,"00000"))</f>
        <v/>
      </c>
      <c r="C2256" s="65" t="str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61"/>
      <c r="E2256" s="66"/>
      <c r="F2256" s="67"/>
      <c r="G2256" s="60"/>
      <c r="H2256" s="60"/>
      <c r="I2256" s="61"/>
      <c r="J2256" s="61"/>
      <c r="K2256" s="61"/>
      <c r="L2256" s="73" t="str">
        <f>IF($E2256="","",DATE(YEAR($E2256),MONTH($E2256),1))</f>
        <v/>
      </c>
      <c r="M2256" s="65" t="str">
        <f ca="1">IF($D2256="","",IF($C2256="TANIMSIZ MÜŞTERİ","HATA",IF(OR($E2256="",$F2256&lt;=0,$G2256=""),"EKSİK",IF($E2256&gt;TODAY(),"İLERİ TARİH",IF(COUNTIF($S$7:$S$2503,$S2256)&gt;1,"MÜKERRER?",IF($T2256&gt;0,"KAPALI DÖNEM","UYGUN"))))))</f>
        <v/>
      </c>
      <c r="N2256" s="74" t="str">
        <f>IF($C2256="","",IF($C2256="TANIMSIZ MÜŞTERİ","—",INDEX(MUSTERILER!$C$7:$C$156,MATCH($C2256,MUSTERILER!$B$7:$B$156,0))))</f>
        <v/>
      </c>
      <c r="O2256" s="2"/>
      <c r="P2256" s="2"/>
      <c r="Q2256" s="1" t="str">
        <f>IF($D2256="","",$C2256&amp;"|"&amp;COUNTIFS($C$7:$C2256,$C2256))</f>
        <v/>
      </c>
      <c r="R2256" s="1" t="str">
        <f t="shared" si="70"/>
        <v/>
      </c>
      <c r="S2256" s="1" t="str">
        <f t="shared" si="71"/>
        <v/>
      </c>
      <c r="T2256" s="1">
        <f>IF($E2256="",0,SUMPRODUCT((AY_SONU!$O$7:$O$42="Evet")*(AY_SONU!$B$7:$B$42=DATE(YEAR($E2256),MONTH($E2256),1))))</f>
        <v>0</v>
      </c>
      <c r="U2256" s="1" t="str">
        <f>IF(OR($G2256="",$H2256="Mahsup"),"",$G2256&amp;"|"&amp;COUNTIFS($G$7:$G2256,$G2256,$H$7:$H2256,"&lt;&gt;Mahsup"))</f>
        <v/>
      </c>
    </row>
    <row r="2257" spans="1:21" ht="18" customHeight="1" x14ac:dyDescent="0.3">
      <c r="A2257" s="2"/>
      <c r="B2257" s="65" t="str">
        <f>IF($D2257="","","T"&amp;TEXT(ROW()-6,"00000"))</f>
        <v/>
      </c>
      <c r="C2257" s="65" t="str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61"/>
      <c r="E2257" s="66"/>
      <c r="F2257" s="67"/>
      <c r="G2257" s="60"/>
      <c r="H2257" s="60"/>
      <c r="I2257" s="61"/>
      <c r="J2257" s="61"/>
      <c r="K2257" s="61"/>
      <c r="L2257" s="73" t="str">
        <f>IF($E2257="","",DATE(YEAR($E2257),MONTH($E2257),1))</f>
        <v/>
      </c>
      <c r="M2257" s="65" t="str">
        <f ca="1">IF($D2257="","",IF($C2257="TANIMSIZ MÜŞTERİ","HATA",IF(OR($E2257="",$F2257&lt;=0,$G2257=""),"EKSİK",IF($E2257&gt;TODAY(),"İLERİ TARİH",IF(COUNTIF($S$7:$S$2503,$S2257)&gt;1,"MÜKERRER?",IF($T2257&gt;0,"KAPALI DÖNEM","UYGUN"))))))</f>
        <v/>
      </c>
      <c r="N2257" s="74" t="str">
        <f>IF($C2257="","",IF($C2257="TANIMSIZ MÜŞTERİ","—",INDEX(MUSTERILER!$C$7:$C$156,MATCH($C2257,MUSTERILER!$B$7:$B$156,0))))</f>
        <v/>
      </c>
      <c r="O2257" s="2"/>
      <c r="P2257" s="2"/>
      <c r="Q2257" s="1" t="str">
        <f>IF($D2257="","",$C2257&amp;"|"&amp;COUNTIFS($C$7:$C2257,$C2257))</f>
        <v/>
      </c>
      <c r="R2257" s="1" t="str">
        <f t="shared" si="70"/>
        <v/>
      </c>
      <c r="S2257" s="1" t="str">
        <f t="shared" si="71"/>
        <v/>
      </c>
      <c r="T2257" s="1">
        <f>IF($E2257="",0,SUMPRODUCT((AY_SONU!$O$7:$O$42="Evet")*(AY_SONU!$B$7:$B$42=DATE(YEAR($E2257),MONTH($E2257),1))))</f>
        <v>0</v>
      </c>
      <c r="U2257" s="1" t="str">
        <f>IF(OR($G2257="",$H2257="Mahsup"),"",$G2257&amp;"|"&amp;COUNTIFS($G$7:$G2257,$G2257,$H$7:$H2257,"&lt;&gt;Mahsup"))</f>
        <v/>
      </c>
    </row>
    <row r="2258" spans="1:21" ht="18" customHeight="1" x14ac:dyDescent="0.3">
      <c r="A2258" s="2"/>
      <c r="B2258" s="65" t="str">
        <f>IF($D2258="","","T"&amp;TEXT(ROW()-6,"00000"))</f>
        <v/>
      </c>
      <c r="C2258" s="65" t="str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61"/>
      <c r="E2258" s="66"/>
      <c r="F2258" s="67"/>
      <c r="G2258" s="60"/>
      <c r="H2258" s="60"/>
      <c r="I2258" s="61"/>
      <c r="J2258" s="61"/>
      <c r="K2258" s="61"/>
      <c r="L2258" s="73" t="str">
        <f>IF($E2258="","",DATE(YEAR($E2258),MONTH($E2258),1))</f>
        <v/>
      </c>
      <c r="M2258" s="65" t="str">
        <f ca="1">IF($D2258="","",IF($C2258="TANIMSIZ MÜŞTERİ","HATA",IF(OR($E2258="",$F2258&lt;=0,$G2258=""),"EKSİK",IF($E2258&gt;TODAY(),"İLERİ TARİH",IF(COUNTIF($S$7:$S$2503,$S2258)&gt;1,"MÜKERRER?",IF($T2258&gt;0,"KAPALI DÖNEM","UYGUN"))))))</f>
        <v/>
      </c>
      <c r="N2258" s="74" t="str">
        <f>IF($C2258="","",IF($C2258="TANIMSIZ MÜŞTERİ","—",INDEX(MUSTERILER!$C$7:$C$156,MATCH($C2258,MUSTERILER!$B$7:$B$156,0))))</f>
        <v/>
      </c>
      <c r="O2258" s="2"/>
      <c r="P2258" s="2"/>
      <c r="Q2258" s="1" t="str">
        <f>IF($D2258="","",$C2258&amp;"|"&amp;COUNTIFS($C$7:$C2258,$C2258))</f>
        <v/>
      </c>
      <c r="R2258" s="1" t="str">
        <f t="shared" si="70"/>
        <v/>
      </c>
      <c r="S2258" s="1" t="str">
        <f t="shared" si="71"/>
        <v/>
      </c>
      <c r="T2258" s="1">
        <f>IF($E2258="",0,SUMPRODUCT((AY_SONU!$O$7:$O$42="Evet")*(AY_SONU!$B$7:$B$42=DATE(YEAR($E2258),MONTH($E2258),1))))</f>
        <v>0</v>
      </c>
      <c r="U2258" s="1" t="str">
        <f>IF(OR($G2258="",$H2258="Mahsup"),"",$G2258&amp;"|"&amp;COUNTIFS($G$7:$G2258,$G2258,$H$7:$H2258,"&lt;&gt;Mahsup"))</f>
        <v/>
      </c>
    </row>
    <row r="2259" spans="1:21" ht="18" customHeight="1" x14ac:dyDescent="0.3">
      <c r="A2259" s="2"/>
      <c r="B2259" s="65" t="str">
        <f>IF($D2259="","","T"&amp;TEXT(ROW()-6,"00000"))</f>
        <v/>
      </c>
      <c r="C2259" s="65" t="str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61"/>
      <c r="E2259" s="66"/>
      <c r="F2259" s="67"/>
      <c r="G2259" s="60"/>
      <c r="H2259" s="60"/>
      <c r="I2259" s="61"/>
      <c r="J2259" s="61"/>
      <c r="K2259" s="61"/>
      <c r="L2259" s="73" t="str">
        <f>IF($E2259="","",DATE(YEAR($E2259),MONTH($E2259),1))</f>
        <v/>
      </c>
      <c r="M2259" s="65" t="str">
        <f ca="1">IF($D2259="","",IF($C2259="TANIMSIZ MÜŞTERİ","HATA",IF(OR($E2259="",$F2259&lt;=0,$G2259=""),"EKSİK",IF($E2259&gt;TODAY(),"İLERİ TARİH",IF(COUNTIF($S$7:$S$2503,$S2259)&gt;1,"MÜKERRER?",IF($T2259&gt;0,"KAPALI DÖNEM","UYGUN"))))))</f>
        <v/>
      </c>
      <c r="N2259" s="74" t="str">
        <f>IF($C2259="","",IF($C2259="TANIMSIZ MÜŞTERİ","—",INDEX(MUSTERILER!$C$7:$C$156,MATCH($C2259,MUSTERILER!$B$7:$B$156,0))))</f>
        <v/>
      </c>
      <c r="O2259" s="2"/>
      <c r="P2259" s="2"/>
      <c r="Q2259" s="1" t="str">
        <f>IF($D2259="","",$C2259&amp;"|"&amp;COUNTIFS($C$7:$C2259,$C2259))</f>
        <v/>
      </c>
      <c r="R2259" s="1" t="str">
        <f t="shared" si="70"/>
        <v/>
      </c>
      <c r="S2259" s="1" t="str">
        <f t="shared" si="71"/>
        <v/>
      </c>
      <c r="T2259" s="1">
        <f>IF($E2259="",0,SUMPRODUCT((AY_SONU!$O$7:$O$42="Evet")*(AY_SONU!$B$7:$B$42=DATE(YEAR($E2259),MONTH($E2259),1))))</f>
        <v>0</v>
      </c>
      <c r="U2259" s="1" t="str">
        <f>IF(OR($G2259="",$H2259="Mahsup"),"",$G2259&amp;"|"&amp;COUNTIFS($G$7:$G2259,$G2259,$H$7:$H2259,"&lt;&gt;Mahsup"))</f>
        <v/>
      </c>
    </row>
    <row r="2260" spans="1:21" ht="18" customHeight="1" x14ac:dyDescent="0.3">
      <c r="A2260" s="2"/>
      <c r="B2260" s="65" t="str">
        <f>IF($D2260="","","T"&amp;TEXT(ROW()-6,"00000"))</f>
        <v/>
      </c>
      <c r="C2260" s="65" t="str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61"/>
      <c r="E2260" s="66"/>
      <c r="F2260" s="67"/>
      <c r="G2260" s="60"/>
      <c r="H2260" s="60"/>
      <c r="I2260" s="61"/>
      <c r="J2260" s="61"/>
      <c r="K2260" s="61"/>
      <c r="L2260" s="73" t="str">
        <f>IF($E2260="","",DATE(YEAR($E2260),MONTH($E2260),1))</f>
        <v/>
      </c>
      <c r="M2260" s="65" t="str">
        <f ca="1">IF($D2260="","",IF($C2260="TANIMSIZ MÜŞTERİ","HATA",IF(OR($E2260="",$F2260&lt;=0,$G2260=""),"EKSİK",IF($E2260&gt;TODAY(),"İLERİ TARİH",IF(COUNTIF($S$7:$S$2503,$S2260)&gt;1,"MÜKERRER?",IF($T2260&gt;0,"KAPALI DÖNEM","UYGUN"))))))</f>
        <v/>
      </c>
      <c r="N2260" s="74" t="str">
        <f>IF($C2260="","",IF($C2260="TANIMSIZ MÜŞTERİ","—",INDEX(MUSTERILER!$C$7:$C$156,MATCH($C2260,MUSTERILER!$B$7:$B$156,0))))</f>
        <v/>
      </c>
      <c r="O2260" s="2"/>
      <c r="P2260" s="2"/>
      <c r="Q2260" s="1" t="str">
        <f>IF($D2260="","",$C2260&amp;"|"&amp;COUNTIFS($C$7:$C2260,$C2260))</f>
        <v/>
      </c>
      <c r="R2260" s="1" t="str">
        <f t="shared" si="70"/>
        <v/>
      </c>
      <c r="S2260" s="1" t="str">
        <f t="shared" si="71"/>
        <v/>
      </c>
      <c r="T2260" s="1">
        <f>IF($E2260="",0,SUMPRODUCT((AY_SONU!$O$7:$O$42="Evet")*(AY_SONU!$B$7:$B$42=DATE(YEAR($E2260),MONTH($E2260),1))))</f>
        <v>0</v>
      </c>
      <c r="U2260" s="1" t="str">
        <f>IF(OR($G2260="",$H2260="Mahsup"),"",$G2260&amp;"|"&amp;COUNTIFS($G$7:$G2260,$G2260,$H$7:$H2260,"&lt;&gt;Mahsup"))</f>
        <v/>
      </c>
    </row>
    <row r="2261" spans="1:21" ht="18" customHeight="1" x14ac:dyDescent="0.3">
      <c r="A2261" s="2"/>
      <c r="B2261" s="65" t="str">
        <f>IF($D2261="","","T"&amp;TEXT(ROW()-6,"00000"))</f>
        <v/>
      </c>
      <c r="C2261" s="65" t="str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61"/>
      <c r="E2261" s="66"/>
      <c r="F2261" s="67"/>
      <c r="G2261" s="60"/>
      <c r="H2261" s="60"/>
      <c r="I2261" s="61"/>
      <c r="J2261" s="61"/>
      <c r="K2261" s="61"/>
      <c r="L2261" s="73" t="str">
        <f>IF($E2261="","",DATE(YEAR($E2261),MONTH($E2261),1))</f>
        <v/>
      </c>
      <c r="M2261" s="65" t="str">
        <f ca="1">IF($D2261="","",IF($C2261="TANIMSIZ MÜŞTERİ","HATA",IF(OR($E2261="",$F2261&lt;=0,$G2261=""),"EKSİK",IF($E2261&gt;TODAY(),"İLERİ TARİH",IF(COUNTIF($S$7:$S$2503,$S2261)&gt;1,"MÜKERRER?",IF($T2261&gt;0,"KAPALI DÖNEM","UYGUN"))))))</f>
        <v/>
      </c>
      <c r="N2261" s="74" t="str">
        <f>IF($C2261="","",IF($C2261="TANIMSIZ MÜŞTERİ","—",INDEX(MUSTERILER!$C$7:$C$156,MATCH($C2261,MUSTERILER!$B$7:$B$156,0))))</f>
        <v/>
      </c>
      <c r="O2261" s="2"/>
      <c r="P2261" s="2"/>
      <c r="Q2261" s="1" t="str">
        <f>IF($D2261="","",$C2261&amp;"|"&amp;COUNTIFS($C$7:$C2261,$C2261))</f>
        <v/>
      </c>
      <c r="R2261" s="1" t="str">
        <f t="shared" si="70"/>
        <v/>
      </c>
      <c r="S2261" s="1" t="str">
        <f t="shared" si="71"/>
        <v/>
      </c>
      <c r="T2261" s="1">
        <f>IF($E2261="",0,SUMPRODUCT((AY_SONU!$O$7:$O$42="Evet")*(AY_SONU!$B$7:$B$42=DATE(YEAR($E2261),MONTH($E2261),1))))</f>
        <v>0</v>
      </c>
      <c r="U2261" s="1" t="str">
        <f>IF(OR($G2261="",$H2261="Mahsup"),"",$G2261&amp;"|"&amp;COUNTIFS($G$7:$G2261,$G2261,$H$7:$H2261,"&lt;&gt;Mahsup"))</f>
        <v/>
      </c>
    </row>
    <row r="2262" spans="1:21" ht="18" customHeight="1" x14ac:dyDescent="0.3">
      <c r="A2262" s="2"/>
      <c r="B2262" s="65" t="str">
        <f>IF($D2262="","","T"&amp;TEXT(ROW()-6,"00000"))</f>
        <v/>
      </c>
      <c r="C2262" s="65" t="str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61"/>
      <c r="E2262" s="66"/>
      <c r="F2262" s="67"/>
      <c r="G2262" s="60"/>
      <c r="H2262" s="60"/>
      <c r="I2262" s="61"/>
      <c r="J2262" s="61"/>
      <c r="K2262" s="61"/>
      <c r="L2262" s="73" t="str">
        <f>IF($E2262="","",DATE(YEAR($E2262),MONTH($E2262),1))</f>
        <v/>
      </c>
      <c r="M2262" s="65" t="str">
        <f ca="1">IF($D2262="","",IF($C2262="TANIMSIZ MÜŞTERİ","HATA",IF(OR($E2262="",$F2262&lt;=0,$G2262=""),"EKSİK",IF($E2262&gt;TODAY(),"İLERİ TARİH",IF(COUNTIF($S$7:$S$2503,$S2262)&gt;1,"MÜKERRER?",IF($T2262&gt;0,"KAPALI DÖNEM","UYGUN"))))))</f>
        <v/>
      </c>
      <c r="N2262" s="74" t="str">
        <f>IF($C2262="","",IF($C2262="TANIMSIZ MÜŞTERİ","—",INDEX(MUSTERILER!$C$7:$C$156,MATCH($C2262,MUSTERILER!$B$7:$B$156,0))))</f>
        <v/>
      </c>
      <c r="O2262" s="2"/>
      <c r="P2262" s="2"/>
      <c r="Q2262" s="1" t="str">
        <f>IF($D2262="","",$C2262&amp;"|"&amp;COUNTIFS($C$7:$C2262,$C2262))</f>
        <v/>
      </c>
      <c r="R2262" s="1" t="str">
        <f t="shared" si="70"/>
        <v/>
      </c>
      <c r="S2262" s="1" t="str">
        <f t="shared" si="71"/>
        <v/>
      </c>
      <c r="T2262" s="1">
        <f>IF($E2262="",0,SUMPRODUCT((AY_SONU!$O$7:$O$42="Evet")*(AY_SONU!$B$7:$B$42=DATE(YEAR($E2262),MONTH($E2262),1))))</f>
        <v>0</v>
      </c>
      <c r="U2262" s="1" t="str">
        <f>IF(OR($G2262="",$H2262="Mahsup"),"",$G2262&amp;"|"&amp;COUNTIFS($G$7:$G2262,$G2262,$H$7:$H2262,"&lt;&gt;Mahsup"))</f>
        <v/>
      </c>
    </row>
    <row r="2263" spans="1:21" ht="18" customHeight="1" x14ac:dyDescent="0.3">
      <c r="A2263" s="2"/>
      <c r="B2263" s="65" t="str">
        <f>IF($D2263="","","T"&amp;TEXT(ROW()-6,"00000"))</f>
        <v/>
      </c>
      <c r="C2263" s="65" t="str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61"/>
      <c r="E2263" s="66"/>
      <c r="F2263" s="67"/>
      <c r="G2263" s="60"/>
      <c r="H2263" s="60"/>
      <c r="I2263" s="61"/>
      <c r="J2263" s="61"/>
      <c r="K2263" s="61"/>
      <c r="L2263" s="73" t="str">
        <f>IF($E2263="","",DATE(YEAR($E2263),MONTH($E2263),1))</f>
        <v/>
      </c>
      <c r="M2263" s="65" t="str">
        <f ca="1">IF($D2263="","",IF($C2263="TANIMSIZ MÜŞTERİ","HATA",IF(OR($E2263="",$F2263&lt;=0,$G2263=""),"EKSİK",IF($E2263&gt;TODAY(),"İLERİ TARİH",IF(COUNTIF($S$7:$S$2503,$S2263)&gt;1,"MÜKERRER?",IF($T2263&gt;0,"KAPALI DÖNEM","UYGUN"))))))</f>
        <v/>
      </c>
      <c r="N2263" s="74" t="str">
        <f>IF($C2263="","",IF($C2263="TANIMSIZ MÜŞTERİ","—",INDEX(MUSTERILER!$C$7:$C$156,MATCH($C2263,MUSTERILER!$B$7:$B$156,0))))</f>
        <v/>
      </c>
      <c r="O2263" s="2"/>
      <c r="P2263" s="2"/>
      <c r="Q2263" s="1" t="str">
        <f>IF($D2263="","",$C2263&amp;"|"&amp;COUNTIFS($C$7:$C2263,$C2263))</f>
        <v/>
      </c>
      <c r="R2263" s="1" t="str">
        <f t="shared" si="70"/>
        <v/>
      </c>
      <c r="S2263" s="1" t="str">
        <f t="shared" si="71"/>
        <v/>
      </c>
      <c r="T2263" s="1">
        <f>IF($E2263="",0,SUMPRODUCT((AY_SONU!$O$7:$O$42="Evet")*(AY_SONU!$B$7:$B$42=DATE(YEAR($E2263),MONTH($E2263),1))))</f>
        <v>0</v>
      </c>
      <c r="U2263" s="1" t="str">
        <f>IF(OR($G2263="",$H2263="Mahsup"),"",$G2263&amp;"|"&amp;COUNTIFS($G$7:$G2263,$G2263,$H$7:$H2263,"&lt;&gt;Mahsup"))</f>
        <v/>
      </c>
    </row>
    <row r="2264" spans="1:21" ht="18" customHeight="1" x14ac:dyDescent="0.3">
      <c r="A2264" s="2"/>
      <c r="B2264" s="65" t="str">
        <f>IF($D2264="","","T"&amp;TEXT(ROW()-6,"00000"))</f>
        <v/>
      </c>
      <c r="C2264" s="65" t="str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61"/>
      <c r="E2264" s="66"/>
      <c r="F2264" s="67"/>
      <c r="G2264" s="60"/>
      <c r="H2264" s="60"/>
      <c r="I2264" s="61"/>
      <c r="J2264" s="61"/>
      <c r="K2264" s="61"/>
      <c r="L2264" s="73" t="str">
        <f>IF($E2264="","",DATE(YEAR($E2264),MONTH($E2264),1))</f>
        <v/>
      </c>
      <c r="M2264" s="65" t="str">
        <f ca="1">IF($D2264="","",IF($C2264="TANIMSIZ MÜŞTERİ","HATA",IF(OR($E2264="",$F2264&lt;=0,$G2264=""),"EKSİK",IF($E2264&gt;TODAY(),"İLERİ TARİH",IF(COUNTIF($S$7:$S$2503,$S2264)&gt;1,"MÜKERRER?",IF($T2264&gt;0,"KAPALI DÖNEM","UYGUN"))))))</f>
        <v/>
      </c>
      <c r="N2264" s="74" t="str">
        <f>IF($C2264="","",IF($C2264="TANIMSIZ MÜŞTERİ","—",INDEX(MUSTERILER!$C$7:$C$156,MATCH($C2264,MUSTERILER!$B$7:$B$156,0))))</f>
        <v/>
      </c>
      <c r="O2264" s="2"/>
      <c r="P2264" s="2"/>
      <c r="Q2264" s="1" t="str">
        <f>IF($D2264="","",$C2264&amp;"|"&amp;COUNTIFS($C$7:$C2264,$C2264))</f>
        <v/>
      </c>
      <c r="R2264" s="1" t="str">
        <f t="shared" si="70"/>
        <v/>
      </c>
      <c r="S2264" s="1" t="str">
        <f t="shared" si="71"/>
        <v/>
      </c>
      <c r="T2264" s="1">
        <f>IF($E2264="",0,SUMPRODUCT((AY_SONU!$O$7:$O$42="Evet")*(AY_SONU!$B$7:$B$42=DATE(YEAR($E2264),MONTH($E2264),1))))</f>
        <v>0</v>
      </c>
      <c r="U2264" s="1" t="str">
        <f>IF(OR($G2264="",$H2264="Mahsup"),"",$G2264&amp;"|"&amp;COUNTIFS($G$7:$G2264,$G2264,$H$7:$H2264,"&lt;&gt;Mahsup"))</f>
        <v/>
      </c>
    </row>
    <row r="2265" spans="1:21" ht="18" customHeight="1" x14ac:dyDescent="0.3">
      <c r="A2265" s="2"/>
      <c r="B2265" s="65" t="str">
        <f>IF($D2265="","","T"&amp;TEXT(ROW()-6,"00000"))</f>
        <v/>
      </c>
      <c r="C2265" s="65" t="str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61"/>
      <c r="E2265" s="66"/>
      <c r="F2265" s="67"/>
      <c r="G2265" s="60"/>
      <c r="H2265" s="60"/>
      <c r="I2265" s="61"/>
      <c r="J2265" s="61"/>
      <c r="K2265" s="61"/>
      <c r="L2265" s="73" t="str">
        <f>IF($E2265="","",DATE(YEAR($E2265),MONTH($E2265),1))</f>
        <v/>
      </c>
      <c r="M2265" s="65" t="str">
        <f ca="1">IF($D2265="","",IF($C2265="TANIMSIZ MÜŞTERİ","HATA",IF(OR($E2265="",$F2265&lt;=0,$G2265=""),"EKSİK",IF($E2265&gt;TODAY(),"İLERİ TARİH",IF(COUNTIF($S$7:$S$2503,$S2265)&gt;1,"MÜKERRER?",IF($T2265&gt;0,"KAPALI DÖNEM","UYGUN"))))))</f>
        <v/>
      </c>
      <c r="N2265" s="74" t="str">
        <f>IF($C2265="","",IF($C2265="TANIMSIZ MÜŞTERİ","—",INDEX(MUSTERILER!$C$7:$C$156,MATCH($C2265,MUSTERILER!$B$7:$B$156,0))))</f>
        <v/>
      </c>
      <c r="O2265" s="2"/>
      <c r="P2265" s="2"/>
      <c r="Q2265" s="1" t="str">
        <f>IF($D2265="","",$C2265&amp;"|"&amp;COUNTIFS($C$7:$C2265,$C2265))</f>
        <v/>
      </c>
      <c r="R2265" s="1" t="str">
        <f t="shared" si="70"/>
        <v/>
      </c>
      <c r="S2265" s="1" t="str">
        <f t="shared" si="71"/>
        <v/>
      </c>
      <c r="T2265" s="1">
        <f>IF($E2265="",0,SUMPRODUCT((AY_SONU!$O$7:$O$42="Evet")*(AY_SONU!$B$7:$B$42=DATE(YEAR($E2265),MONTH($E2265),1))))</f>
        <v>0</v>
      </c>
      <c r="U2265" s="1" t="str">
        <f>IF(OR($G2265="",$H2265="Mahsup"),"",$G2265&amp;"|"&amp;COUNTIFS($G$7:$G2265,$G2265,$H$7:$H2265,"&lt;&gt;Mahsup"))</f>
        <v/>
      </c>
    </row>
    <row r="2266" spans="1:21" ht="18" customHeight="1" x14ac:dyDescent="0.3">
      <c r="A2266" s="2"/>
      <c r="B2266" s="65" t="str">
        <f>IF($D2266="","","T"&amp;TEXT(ROW()-6,"00000"))</f>
        <v/>
      </c>
      <c r="C2266" s="65" t="str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61"/>
      <c r="E2266" s="66"/>
      <c r="F2266" s="67"/>
      <c r="G2266" s="60"/>
      <c r="H2266" s="60"/>
      <c r="I2266" s="61"/>
      <c r="J2266" s="61"/>
      <c r="K2266" s="61"/>
      <c r="L2266" s="73" t="str">
        <f>IF($E2266="","",DATE(YEAR($E2266),MONTH($E2266),1))</f>
        <v/>
      </c>
      <c r="M2266" s="65" t="str">
        <f ca="1">IF($D2266="","",IF($C2266="TANIMSIZ MÜŞTERİ","HATA",IF(OR($E2266="",$F2266&lt;=0,$G2266=""),"EKSİK",IF($E2266&gt;TODAY(),"İLERİ TARİH",IF(COUNTIF($S$7:$S$2503,$S2266)&gt;1,"MÜKERRER?",IF($T2266&gt;0,"KAPALI DÖNEM","UYGUN"))))))</f>
        <v/>
      </c>
      <c r="N2266" s="74" t="str">
        <f>IF($C2266="","",IF($C2266="TANIMSIZ MÜŞTERİ","—",INDEX(MUSTERILER!$C$7:$C$156,MATCH($C2266,MUSTERILER!$B$7:$B$156,0))))</f>
        <v/>
      </c>
      <c r="O2266" s="2"/>
      <c r="P2266" s="2"/>
      <c r="Q2266" s="1" t="str">
        <f>IF($D2266="","",$C2266&amp;"|"&amp;COUNTIFS($C$7:$C2266,$C2266))</f>
        <v/>
      </c>
      <c r="R2266" s="1" t="str">
        <f t="shared" si="70"/>
        <v/>
      </c>
      <c r="S2266" s="1" t="str">
        <f t="shared" si="71"/>
        <v/>
      </c>
      <c r="T2266" s="1">
        <f>IF($E2266="",0,SUMPRODUCT((AY_SONU!$O$7:$O$42="Evet")*(AY_SONU!$B$7:$B$42=DATE(YEAR($E2266),MONTH($E2266),1))))</f>
        <v>0</v>
      </c>
      <c r="U2266" s="1" t="str">
        <f>IF(OR($G2266="",$H2266="Mahsup"),"",$G2266&amp;"|"&amp;COUNTIFS($G$7:$G2266,$G2266,$H$7:$H2266,"&lt;&gt;Mahsup"))</f>
        <v/>
      </c>
    </row>
    <row r="2267" spans="1:21" ht="18" customHeight="1" x14ac:dyDescent="0.3">
      <c r="A2267" s="2"/>
      <c r="B2267" s="65" t="str">
        <f>IF($D2267="","","T"&amp;TEXT(ROW()-6,"00000"))</f>
        <v/>
      </c>
      <c r="C2267" s="65" t="str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61"/>
      <c r="E2267" s="66"/>
      <c r="F2267" s="67"/>
      <c r="G2267" s="60"/>
      <c r="H2267" s="60"/>
      <c r="I2267" s="61"/>
      <c r="J2267" s="61"/>
      <c r="K2267" s="61"/>
      <c r="L2267" s="73" t="str">
        <f>IF($E2267="","",DATE(YEAR($E2267),MONTH($E2267),1))</f>
        <v/>
      </c>
      <c r="M2267" s="65" t="str">
        <f ca="1">IF($D2267="","",IF($C2267="TANIMSIZ MÜŞTERİ","HATA",IF(OR($E2267="",$F2267&lt;=0,$G2267=""),"EKSİK",IF($E2267&gt;TODAY(),"İLERİ TARİH",IF(COUNTIF($S$7:$S$2503,$S2267)&gt;1,"MÜKERRER?",IF($T2267&gt;0,"KAPALI DÖNEM","UYGUN"))))))</f>
        <v/>
      </c>
      <c r="N2267" s="74" t="str">
        <f>IF($C2267="","",IF($C2267="TANIMSIZ MÜŞTERİ","—",INDEX(MUSTERILER!$C$7:$C$156,MATCH($C2267,MUSTERILER!$B$7:$B$156,0))))</f>
        <v/>
      </c>
      <c r="O2267" s="2"/>
      <c r="P2267" s="2"/>
      <c r="Q2267" s="1" t="str">
        <f>IF($D2267="","",$C2267&amp;"|"&amp;COUNTIFS($C$7:$C2267,$C2267))</f>
        <v/>
      </c>
      <c r="R2267" s="1" t="str">
        <f t="shared" si="70"/>
        <v/>
      </c>
      <c r="S2267" s="1" t="str">
        <f t="shared" si="71"/>
        <v/>
      </c>
      <c r="T2267" s="1">
        <f>IF($E2267="",0,SUMPRODUCT((AY_SONU!$O$7:$O$42="Evet")*(AY_SONU!$B$7:$B$42=DATE(YEAR($E2267),MONTH($E2267),1))))</f>
        <v>0</v>
      </c>
      <c r="U2267" s="1" t="str">
        <f>IF(OR($G2267="",$H2267="Mahsup"),"",$G2267&amp;"|"&amp;COUNTIFS($G$7:$G2267,$G2267,$H$7:$H2267,"&lt;&gt;Mahsup"))</f>
        <v/>
      </c>
    </row>
    <row r="2268" spans="1:21" ht="18" customHeight="1" x14ac:dyDescent="0.3">
      <c r="A2268" s="2"/>
      <c r="B2268" s="65" t="str">
        <f>IF($D2268="","","T"&amp;TEXT(ROW()-6,"00000"))</f>
        <v/>
      </c>
      <c r="C2268" s="65" t="str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61"/>
      <c r="E2268" s="66"/>
      <c r="F2268" s="67"/>
      <c r="G2268" s="60"/>
      <c r="H2268" s="60"/>
      <c r="I2268" s="61"/>
      <c r="J2268" s="61"/>
      <c r="K2268" s="61"/>
      <c r="L2268" s="73" t="str">
        <f>IF($E2268="","",DATE(YEAR($E2268),MONTH($E2268),1))</f>
        <v/>
      </c>
      <c r="M2268" s="65" t="str">
        <f ca="1">IF($D2268="","",IF($C2268="TANIMSIZ MÜŞTERİ","HATA",IF(OR($E2268="",$F2268&lt;=0,$G2268=""),"EKSİK",IF($E2268&gt;TODAY(),"İLERİ TARİH",IF(COUNTIF($S$7:$S$2503,$S2268)&gt;1,"MÜKERRER?",IF($T2268&gt;0,"KAPALI DÖNEM","UYGUN"))))))</f>
        <v/>
      </c>
      <c r="N2268" s="74" t="str">
        <f>IF($C2268="","",IF($C2268="TANIMSIZ MÜŞTERİ","—",INDEX(MUSTERILER!$C$7:$C$156,MATCH($C2268,MUSTERILER!$B$7:$B$156,0))))</f>
        <v/>
      </c>
      <c r="O2268" s="2"/>
      <c r="P2268" s="2"/>
      <c r="Q2268" s="1" t="str">
        <f>IF($D2268="","",$C2268&amp;"|"&amp;COUNTIFS($C$7:$C2268,$C2268))</f>
        <v/>
      </c>
      <c r="R2268" s="1" t="str">
        <f t="shared" si="70"/>
        <v/>
      </c>
      <c r="S2268" s="1" t="str">
        <f t="shared" si="71"/>
        <v/>
      </c>
      <c r="T2268" s="1">
        <f>IF($E2268="",0,SUMPRODUCT((AY_SONU!$O$7:$O$42="Evet")*(AY_SONU!$B$7:$B$42=DATE(YEAR($E2268),MONTH($E2268),1))))</f>
        <v>0</v>
      </c>
      <c r="U2268" s="1" t="str">
        <f>IF(OR($G2268="",$H2268="Mahsup"),"",$G2268&amp;"|"&amp;COUNTIFS($G$7:$G2268,$G2268,$H$7:$H2268,"&lt;&gt;Mahsup"))</f>
        <v/>
      </c>
    </row>
    <row r="2269" spans="1:21" ht="18" customHeight="1" x14ac:dyDescent="0.3">
      <c r="A2269" s="2"/>
      <c r="B2269" s="65" t="str">
        <f>IF($D2269="","","T"&amp;TEXT(ROW()-6,"00000"))</f>
        <v/>
      </c>
      <c r="C2269" s="65" t="str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61"/>
      <c r="E2269" s="66"/>
      <c r="F2269" s="67"/>
      <c r="G2269" s="60"/>
      <c r="H2269" s="60"/>
      <c r="I2269" s="61"/>
      <c r="J2269" s="61"/>
      <c r="K2269" s="61"/>
      <c r="L2269" s="73" t="str">
        <f>IF($E2269="","",DATE(YEAR($E2269),MONTH($E2269),1))</f>
        <v/>
      </c>
      <c r="M2269" s="65" t="str">
        <f ca="1">IF($D2269="","",IF($C2269="TANIMSIZ MÜŞTERİ","HATA",IF(OR($E2269="",$F2269&lt;=0,$G2269=""),"EKSİK",IF($E2269&gt;TODAY(),"İLERİ TARİH",IF(COUNTIF($S$7:$S$2503,$S2269)&gt;1,"MÜKERRER?",IF($T2269&gt;0,"KAPALI DÖNEM","UYGUN"))))))</f>
        <v/>
      </c>
      <c r="N2269" s="74" t="str">
        <f>IF($C2269="","",IF($C2269="TANIMSIZ MÜŞTERİ","—",INDEX(MUSTERILER!$C$7:$C$156,MATCH($C2269,MUSTERILER!$B$7:$B$156,0))))</f>
        <v/>
      </c>
      <c r="O2269" s="2"/>
      <c r="P2269" s="2"/>
      <c r="Q2269" s="1" t="str">
        <f>IF($D2269="","",$C2269&amp;"|"&amp;COUNTIFS($C$7:$C2269,$C2269))</f>
        <v/>
      </c>
      <c r="R2269" s="1" t="str">
        <f t="shared" si="70"/>
        <v/>
      </c>
      <c r="S2269" s="1" t="str">
        <f t="shared" si="71"/>
        <v/>
      </c>
      <c r="T2269" s="1">
        <f>IF($E2269="",0,SUMPRODUCT((AY_SONU!$O$7:$O$42="Evet")*(AY_SONU!$B$7:$B$42=DATE(YEAR($E2269),MONTH($E2269),1))))</f>
        <v>0</v>
      </c>
      <c r="U2269" s="1" t="str">
        <f>IF(OR($G2269="",$H2269="Mahsup"),"",$G2269&amp;"|"&amp;COUNTIFS($G$7:$G2269,$G2269,$H$7:$H2269,"&lt;&gt;Mahsup"))</f>
        <v/>
      </c>
    </row>
    <row r="2270" spans="1:21" ht="18" customHeight="1" x14ac:dyDescent="0.3">
      <c r="A2270" s="2"/>
      <c r="B2270" s="65" t="str">
        <f>IF($D2270="","","T"&amp;TEXT(ROW()-6,"00000"))</f>
        <v/>
      </c>
      <c r="C2270" s="65" t="str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61"/>
      <c r="E2270" s="66"/>
      <c r="F2270" s="67"/>
      <c r="G2270" s="60"/>
      <c r="H2270" s="60"/>
      <c r="I2270" s="61"/>
      <c r="J2270" s="61"/>
      <c r="K2270" s="61"/>
      <c r="L2270" s="73" t="str">
        <f>IF($E2270="","",DATE(YEAR($E2270),MONTH($E2270),1))</f>
        <v/>
      </c>
      <c r="M2270" s="65" t="str">
        <f ca="1">IF($D2270="","",IF($C2270="TANIMSIZ MÜŞTERİ","HATA",IF(OR($E2270="",$F2270&lt;=0,$G2270=""),"EKSİK",IF($E2270&gt;TODAY(),"İLERİ TARİH",IF(COUNTIF($S$7:$S$2503,$S2270)&gt;1,"MÜKERRER?",IF($T2270&gt;0,"KAPALI DÖNEM","UYGUN"))))))</f>
        <v/>
      </c>
      <c r="N2270" s="74" t="str">
        <f>IF($C2270="","",IF($C2270="TANIMSIZ MÜŞTERİ","—",INDEX(MUSTERILER!$C$7:$C$156,MATCH($C2270,MUSTERILER!$B$7:$B$156,0))))</f>
        <v/>
      </c>
      <c r="O2270" s="2"/>
      <c r="P2270" s="2"/>
      <c r="Q2270" s="1" t="str">
        <f>IF($D2270="","",$C2270&amp;"|"&amp;COUNTIFS($C$7:$C2270,$C2270))</f>
        <v/>
      </c>
      <c r="R2270" s="1" t="str">
        <f t="shared" si="70"/>
        <v/>
      </c>
      <c r="S2270" s="1" t="str">
        <f t="shared" si="71"/>
        <v/>
      </c>
      <c r="T2270" s="1">
        <f>IF($E2270="",0,SUMPRODUCT((AY_SONU!$O$7:$O$42="Evet")*(AY_SONU!$B$7:$B$42=DATE(YEAR($E2270),MONTH($E2270),1))))</f>
        <v>0</v>
      </c>
      <c r="U2270" s="1" t="str">
        <f>IF(OR($G2270="",$H2270="Mahsup"),"",$G2270&amp;"|"&amp;COUNTIFS($G$7:$G2270,$G2270,$H$7:$H2270,"&lt;&gt;Mahsup"))</f>
        <v/>
      </c>
    </row>
    <row r="2271" spans="1:21" ht="18" customHeight="1" x14ac:dyDescent="0.3">
      <c r="A2271" s="2"/>
      <c r="B2271" s="65" t="str">
        <f>IF($D2271="","","T"&amp;TEXT(ROW()-6,"00000"))</f>
        <v/>
      </c>
      <c r="C2271" s="65" t="str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61"/>
      <c r="E2271" s="66"/>
      <c r="F2271" s="67"/>
      <c r="G2271" s="60"/>
      <c r="H2271" s="60"/>
      <c r="I2271" s="61"/>
      <c r="J2271" s="61"/>
      <c r="K2271" s="61"/>
      <c r="L2271" s="73" t="str">
        <f>IF($E2271="","",DATE(YEAR($E2271),MONTH($E2271),1))</f>
        <v/>
      </c>
      <c r="M2271" s="65" t="str">
        <f ca="1">IF($D2271="","",IF($C2271="TANIMSIZ MÜŞTERİ","HATA",IF(OR($E2271="",$F2271&lt;=0,$G2271=""),"EKSİK",IF($E2271&gt;TODAY(),"İLERİ TARİH",IF(COUNTIF($S$7:$S$2503,$S2271)&gt;1,"MÜKERRER?",IF($T2271&gt;0,"KAPALI DÖNEM","UYGUN"))))))</f>
        <v/>
      </c>
      <c r="N2271" s="74" t="str">
        <f>IF($C2271="","",IF($C2271="TANIMSIZ MÜŞTERİ","—",INDEX(MUSTERILER!$C$7:$C$156,MATCH($C2271,MUSTERILER!$B$7:$B$156,0))))</f>
        <v/>
      </c>
      <c r="O2271" s="2"/>
      <c r="P2271" s="2"/>
      <c r="Q2271" s="1" t="str">
        <f>IF($D2271="","",$C2271&amp;"|"&amp;COUNTIFS($C$7:$C2271,$C2271))</f>
        <v/>
      </c>
      <c r="R2271" s="1" t="str">
        <f t="shared" si="70"/>
        <v/>
      </c>
      <c r="S2271" s="1" t="str">
        <f t="shared" si="71"/>
        <v/>
      </c>
      <c r="T2271" s="1">
        <f>IF($E2271="",0,SUMPRODUCT((AY_SONU!$O$7:$O$42="Evet")*(AY_SONU!$B$7:$B$42=DATE(YEAR($E2271),MONTH($E2271),1))))</f>
        <v>0</v>
      </c>
      <c r="U2271" s="1" t="str">
        <f>IF(OR($G2271="",$H2271="Mahsup"),"",$G2271&amp;"|"&amp;COUNTIFS($G$7:$G2271,$G2271,$H$7:$H2271,"&lt;&gt;Mahsup"))</f>
        <v/>
      </c>
    </row>
    <row r="2272" spans="1:21" ht="18" customHeight="1" x14ac:dyDescent="0.3">
      <c r="A2272" s="2"/>
      <c r="B2272" s="65" t="str">
        <f>IF($D2272="","","T"&amp;TEXT(ROW()-6,"00000"))</f>
        <v/>
      </c>
      <c r="C2272" s="65" t="str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61"/>
      <c r="E2272" s="66"/>
      <c r="F2272" s="67"/>
      <c r="G2272" s="60"/>
      <c r="H2272" s="60"/>
      <c r="I2272" s="61"/>
      <c r="J2272" s="61"/>
      <c r="K2272" s="61"/>
      <c r="L2272" s="73" t="str">
        <f>IF($E2272="","",DATE(YEAR($E2272),MONTH($E2272),1))</f>
        <v/>
      </c>
      <c r="M2272" s="65" t="str">
        <f ca="1">IF($D2272="","",IF($C2272="TANIMSIZ MÜŞTERİ","HATA",IF(OR($E2272="",$F2272&lt;=0,$G2272=""),"EKSİK",IF($E2272&gt;TODAY(),"İLERİ TARİH",IF(COUNTIF($S$7:$S$2503,$S2272)&gt;1,"MÜKERRER?",IF($T2272&gt;0,"KAPALI DÖNEM","UYGUN"))))))</f>
        <v/>
      </c>
      <c r="N2272" s="74" t="str">
        <f>IF($C2272="","",IF($C2272="TANIMSIZ MÜŞTERİ","—",INDEX(MUSTERILER!$C$7:$C$156,MATCH($C2272,MUSTERILER!$B$7:$B$156,0))))</f>
        <v/>
      </c>
      <c r="O2272" s="2"/>
      <c r="P2272" s="2"/>
      <c r="Q2272" s="1" t="str">
        <f>IF($D2272="","",$C2272&amp;"|"&amp;COUNTIFS($C$7:$C2272,$C2272))</f>
        <v/>
      </c>
      <c r="R2272" s="1" t="str">
        <f t="shared" si="70"/>
        <v/>
      </c>
      <c r="S2272" s="1" t="str">
        <f t="shared" si="71"/>
        <v/>
      </c>
      <c r="T2272" s="1">
        <f>IF($E2272="",0,SUMPRODUCT((AY_SONU!$O$7:$O$42="Evet")*(AY_SONU!$B$7:$B$42=DATE(YEAR($E2272),MONTH($E2272),1))))</f>
        <v>0</v>
      </c>
      <c r="U2272" s="1" t="str">
        <f>IF(OR($G2272="",$H2272="Mahsup"),"",$G2272&amp;"|"&amp;COUNTIFS($G$7:$G2272,$G2272,$H$7:$H2272,"&lt;&gt;Mahsup"))</f>
        <v/>
      </c>
    </row>
    <row r="2273" spans="1:21" ht="18" customHeight="1" x14ac:dyDescent="0.3">
      <c r="A2273" s="2"/>
      <c r="B2273" s="65" t="str">
        <f>IF($D2273="","","T"&amp;TEXT(ROW()-6,"00000"))</f>
        <v/>
      </c>
      <c r="C2273" s="65" t="str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61"/>
      <c r="E2273" s="66"/>
      <c r="F2273" s="67"/>
      <c r="G2273" s="60"/>
      <c r="H2273" s="60"/>
      <c r="I2273" s="61"/>
      <c r="J2273" s="61"/>
      <c r="K2273" s="61"/>
      <c r="L2273" s="73" t="str">
        <f>IF($E2273="","",DATE(YEAR($E2273),MONTH($E2273),1))</f>
        <v/>
      </c>
      <c r="M2273" s="65" t="str">
        <f ca="1">IF($D2273="","",IF($C2273="TANIMSIZ MÜŞTERİ","HATA",IF(OR($E2273="",$F2273&lt;=0,$G2273=""),"EKSİK",IF($E2273&gt;TODAY(),"İLERİ TARİH",IF(COUNTIF($S$7:$S$2503,$S2273)&gt;1,"MÜKERRER?",IF($T2273&gt;0,"KAPALI DÖNEM","UYGUN"))))))</f>
        <v/>
      </c>
      <c r="N2273" s="74" t="str">
        <f>IF($C2273="","",IF($C2273="TANIMSIZ MÜŞTERİ","—",INDEX(MUSTERILER!$C$7:$C$156,MATCH($C2273,MUSTERILER!$B$7:$B$156,0))))</f>
        <v/>
      </c>
      <c r="O2273" s="2"/>
      <c r="P2273" s="2"/>
      <c r="Q2273" s="1" t="str">
        <f>IF($D2273="","",$C2273&amp;"|"&amp;COUNTIFS($C$7:$C2273,$C2273))</f>
        <v/>
      </c>
      <c r="R2273" s="1" t="str">
        <f t="shared" si="70"/>
        <v/>
      </c>
      <c r="S2273" s="1" t="str">
        <f t="shared" si="71"/>
        <v/>
      </c>
      <c r="T2273" s="1">
        <f>IF($E2273="",0,SUMPRODUCT((AY_SONU!$O$7:$O$42="Evet")*(AY_SONU!$B$7:$B$42=DATE(YEAR($E2273),MONTH($E2273),1))))</f>
        <v>0</v>
      </c>
      <c r="U2273" s="1" t="str">
        <f>IF(OR($G2273="",$H2273="Mahsup"),"",$G2273&amp;"|"&amp;COUNTIFS($G$7:$G2273,$G2273,$H$7:$H2273,"&lt;&gt;Mahsup"))</f>
        <v/>
      </c>
    </row>
    <row r="2274" spans="1:21" ht="18" customHeight="1" x14ac:dyDescent="0.3">
      <c r="A2274" s="2"/>
      <c r="B2274" s="65" t="str">
        <f>IF($D2274="","","T"&amp;TEXT(ROW()-6,"00000"))</f>
        <v/>
      </c>
      <c r="C2274" s="65" t="str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61"/>
      <c r="E2274" s="66"/>
      <c r="F2274" s="67"/>
      <c r="G2274" s="60"/>
      <c r="H2274" s="60"/>
      <c r="I2274" s="61"/>
      <c r="J2274" s="61"/>
      <c r="K2274" s="61"/>
      <c r="L2274" s="73" t="str">
        <f>IF($E2274="","",DATE(YEAR($E2274),MONTH($E2274),1))</f>
        <v/>
      </c>
      <c r="M2274" s="65" t="str">
        <f ca="1">IF($D2274="","",IF($C2274="TANIMSIZ MÜŞTERİ","HATA",IF(OR($E2274="",$F2274&lt;=0,$G2274=""),"EKSİK",IF($E2274&gt;TODAY(),"İLERİ TARİH",IF(COUNTIF($S$7:$S$2503,$S2274)&gt;1,"MÜKERRER?",IF($T2274&gt;0,"KAPALI DÖNEM","UYGUN"))))))</f>
        <v/>
      </c>
      <c r="N2274" s="74" t="str">
        <f>IF($C2274="","",IF($C2274="TANIMSIZ MÜŞTERİ","—",INDEX(MUSTERILER!$C$7:$C$156,MATCH($C2274,MUSTERILER!$B$7:$B$156,0))))</f>
        <v/>
      </c>
      <c r="O2274" s="2"/>
      <c r="P2274" s="2"/>
      <c r="Q2274" s="1" t="str">
        <f>IF($D2274="","",$C2274&amp;"|"&amp;COUNTIFS($C$7:$C2274,$C2274))</f>
        <v/>
      </c>
      <c r="R2274" s="1" t="str">
        <f t="shared" si="70"/>
        <v/>
      </c>
      <c r="S2274" s="1" t="str">
        <f t="shared" si="71"/>
        <v/>
      </c>
      <c r="T2274" s="1">
        <f>IF($E2274="",0,SUMPRODUCT((AY_SONU!$O$7:$O$42="Evet")*(AY_SONU!$B$7:$B$42=DATE(YEAR($E2274),MONTH($E2274),1))))</f>
        <v>0</v>
      </c>
      <c r="U2274" s="1" t="str">
        <f>IF(OR($G2274="",$H2274="Mahsup"),"",$G2274&amp;"|"&amp;COUNTIFS($G$7:$G2274,$G2274,$H$7:$H2274,"&lt;&gt;Mahsup"))</f>
        <v/>
      </c>
    </row>
    <row r="2275" spans="1:21" ht="18" customHeight="1" x14ac:dyDescent="0.3">
      <c r="A2275" s="2"/>
      <c r="B2275" s="65" t="str">
        <f>IF($D2275="","","T"&amp;TEXT(ROW()-6,"00000"))</f>
        <v/>
      </c>
      <c r="C2275" s="65" t="str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61"/>
      <c r="E2275" s="66"/>
      <c r="F2275" s="67"/>
      <c r="G2275" s="60"/>
      <c r="H2275" s="60"/>
      <c r="I2275" s="61"/>
      <c r="J2275" s="61"/>
      <c r="K2275" s="61"/>
      <c r="L2275" s="73" t="str">
        <f>IF($E2275="","",DATE(YEAR($E2275),MONTH($E2275),1))</f>
        <v/>
      </c>
      <c r="M2275" s="65" t="str">
        <f ca="1">IF($D2275="","",IF($C2275="TANIMSIZ MÜŞTERİ","HATA",IF(OR($E2275="",$F2275&lt;=0,$G2275=""),"EKSİK",IF($E2275&gt;TODAY(),"İLERİ TARİH",IF(COUNTIF($S$7:$S$2503,$S2275)&gt;1,"MÜKERRER?",IF($T2275&gt;0,"KAPALI DÖNEM","UYGUN"))))))</f>
        <v/>
      </c>
      <c r="N2275" s="74" t="str">
        <f>IF($C2275="","",IF($C2275="TANIMSIZ MÜŞTERİ","—",INDEX(MUSTERILER!$C$7:$C$156,MATCH($C2275,MUSTERILER!$B$7:$B$156,0))))</f>
        <v/>
      </c>
      <c r="O2275" s="2"/>
      <c r="P2275" s="2"/>
      <c r="Q2275" s="1" t="str">
        <f>IF($D2275="","",$C2275&amp;"|"&amp;COUNTIFS($C$7:$C2275,$C2275))</f>
        <v/>
      </c>
      <c r="R2275" s="1" t="str">
        <f t="shared" si="70"/>
        <v/>
      </c>
      <c r="S2275" s="1" t="str">
        <f t="shared" si="71"/>
        <v/>
      </c>
      <c r="T2275" s="1">
        <f>IF($E2275="",0,SUMPRODUCT((AY_SONU!$O$7:$O$42="Evet")*(AY_SONU!$B$7:$B$42=DATE(YEAR($E2275),MONTH($E2275),1))))</f>
        <v>0</v>
      </c>
      <c r="U2275" s="1" t="str">
        <f>IF(OR($G2275="",$H2275="Mahsup"),"",$G2275&amp;"|"&amp;COUNTIFS($G$7:$G2275,$G2275,$H$7:$H2275,"&lt;&gt;Mahsup"))</f>
        <v/>
      </c>
    </row>
    <row r="2276" spans="1:21" ht="18" customHeight="1" x14ac:dyDescent="0.3">
      <c r="A2276" s="2"/>
      <c r="B2276" s="65" t="str">
        <f>IF($D2276="","","T"&amp;TEXT(ROW()-6,"00000"))</f>
        <v/>
      </c>
      <c r="C2276" s="65" t="str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61"/>
      <c r="E2276" s="66"/>
      <c r="F2276" s="67"/>
      <c r="G2276" s="60"/>
      <c r="H2276" s="60"/>
      <c r="I2276" s="61"/>
      <c r="J2276" s="61"/>
      <c r="K2276" s="61"/>
      <c r="L2276" s="73" t="str">
        <f>IF($E2276="","",DATE(YEAR($E2276),MONTH($E2276),1))</f>
        <v/>
      </c>
      <c r="M2276" s="65" t="str">
        <f ca="1">IF($D2276="","",IF($C2276="TANIMSIZ MÜŞTERİ","HATA",IF(OR($E2276="",$F2276&lt;=0,$G2276=""),"EKSİK",IF($E2276&gt;TODAY(),"İLERİ TARİH",IF(COUNTIF($S$7:$S$2503,$S2276)&gt;1,"MÜKERRER?",IF($T2276&gt;0,"KAPALI DÖNEM","UYGUN"))))))</f>
        <v/>
      </c>
      <c r="N2276" s="74" t="str">
        <f>IF($C2276="","",IF($C2276="TANIMSIZ MÜŞTERİ","—",INDEX(MUSTERILER!$C$7:$C$156,MATCH($C2276,MUSTERILER!$B$7:$B$156,0))))</f>
        <v/>
      </c>
      <c r="O2276" s="2"/>
      <c r="P2276" s="2"/>
      <c r="Q2276" s="1" t="str">
        <f>IF($D2276="","",$C2276&amp;"|"&amp;COUNTIFS($C$7:$C2276,$C2276))</f>
        <v/>
      </c>
      <c r="R2276" s="1" t="str">
        <f t="shared" si="70"/>
        <v/>
      </c>
      <c r="S2276" s="1" t="str">
        <f t="shared" si="71"/>
        <v/>
      </c>
      <c r="T2276" s="1">
        <f>IF($E2276="",0,SUMPRODUCT((AY_SONU!$O$7:$O$42="Evet")*(AY_SONU!$B$7:$B$42=DATE(YEAR($E2276),MONTH($E2276),1))))</f>
        <v>0</v>
      </c>
      <c r="U2276" s="1" t="str">
        <f>IF(OR($G2276="",$H2276="Mahsup"),"",$G2276&amp;"|"&amp;COUNTIFS($G$7:$G2276,$G2276,$H$7:$H2276,"&lt;&gt;Mahsup"))</f>
        <v/>
      </c>
    </row>
    <row r="2277" spans="1:21" ht="18" customHeight="1" x14ac:dyDescent="0.3">
      <c r="A2277" s="2"/>
      <c r="B2277" s="65" t="str">
        <f>IF($D2277="","","T"&amp;TEXT(ROW()-6,"00000"))</f>
        <v/>
      </c>
      <c r="C2277" s="65" t="str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61"/>
      <c r="E2277" s="66"/>
      <c r="F2277" s="67"/>
      <c r="G2277" s="60"/>
      <c r="H2277" s="60"/>
      <c r="I2277" s="61"/>
      <c r="J2277" s="61"/>
      <c r="K2277" s="61"/>
      <c r="L2277" s="73" t="str">
        <f>IF($E2277="","",DATE(YEAR($E2277),MONTH($E2277),1))</f>
        <v/>
      </c>
      <c r="M2277" s="65" t="str">
        <f ca="1">IF($D2277="","",IF($C2277="TANIMSIZ MÜŞTERİ","HATA",IF(OR($E2277="",$F2277&lt;=0,$G2277=""),"EKSİK",IF($E2277&gt;TODAY(),"İLERİ TARİH",IF(COUNTIF($S$7:$S$2503,$S2277)&gt;1,"MÜKERRER?",IF($T2277&gt;0,"KAPALI DÖNEM","UYGUN"))))))</f>
        <v/>
      </c>
      <c r="N2277" s="74" t="str">
        <f>IF($C2277="","",IF($C2277="TANIMSIZ MÜŞTERİ","—",INDEX(MUSTERILER!$C$7:$C$156,MATCH($C2277,MUSTERILER!$B$7:$B$156,0))))</f>
        <v/>
      </c>
      <c r="O2277" s="2"/>
      <c r="P2277" s="2"/>
      <c r="Q2277" s="1" t="str">
        <f>IF($D2277="","",$C2277&amp;"|"&amp;COUNTIFS($C$7:$C2277,$C2277))</f>
        <v/>
      </c>
      <c r="R2277" s="1" t="str">
        <f t="shared" si="70"/>
        <v/>
      </c>
      <c r="S2277" s="1" t="str">
        <f t="shared" si="71"/>
        <v/>
      </c>
      <c r="T2277" s="1">
        <f>IF($E2277="",0,SUMPRODUCT((AY_SONU!$O$7:$O$42="Evet")*(AY_SONU!$B$7:$B$42=DATE(YEAR($E2277),MONTH($E2277),1))))</f>
        <v>0</v>
      </c>
      <c r="U2277" s="1" t="str">
        <f>IF(OR($G2277="",$H2277="Mahsup"),"",$G2277&amp;"|"&amp;COUNTIFS($G$7:$G2277,$G2277,$H$7:$H2277,"&lt;&gt;Mahsup"))</f>
        <v/>
      </c>
    </row>
    <row r="2278" spans="1:21" ht="18" customHeight="1" x14ac:dyDescent="0.3">
      <c r="A2278" s="2"/>
      <c r="B2278" s="65" t="str">
        <f>IF($D2278="","","T"&amp;TEXT(ROW()-6,"00000"))</f>
        <v/>
      </c>
      <c r="C2278" s="65" t="str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61"/>
      <c r="E2278" s="66"/>
      <c r="F2278" s="67"/>
      <c r="G2278" s="60"/>
      <c r="H2278" s="60"/>
      <c r="I2278" s="61"/>
      <c r="J2278" s="61"/>
      <c r="K2278" s="61"/>
      <c r="L2278" s="73" t="str">
        <f>IF($E2278="","",DATE(YEAR($E2278),MONTH($E2278),1))</f>
        <v/>
      </c>
      <c r="M2278" s="65" t="str">
        <f ca="1">IF($D2278="","",IF($C2278="TANIMSIZ MÜŞTERİ","HATA",IF(OR($E2278="",$F2278&lt;=0,$G2278=""),"EKSİK",IF($E2278&gt;TODAY(),"İLERİ TARİH",IF(COUNTIF($S$7:$S$2503,$S2278)&gt;1,"MÜKERRER?",IF($T2278&gt;0,"KAPALI DÖNEM","UYGUN"))))))</f>
        <v/>
      </c>
      <c r="N2278" s="74" t="str">
        <f>IF($C2278="","",IF($C2278="TANIMSIZ MÜŞTERİ","—",INDEX(MUSTERILER!$C$7:$C$156,MATCH($C2278,MUSTERILER!$B$7:$B$156,0))))</f>
        <v/>
      </c>
      <c r="O2278" s="2"/>
      <c r="P2278" s="2"/>
      <c r="Q2278" s="1" t="str">
        <f>IF($D2278="","",$C2278&amp;"|"&amp;COUNTIFS($C$7:$C2278,$C2278))</f>
        <v/>
      </c>
      <c r="R2278" s="1" t="str">
        <f t="shared" si="70"/>
        <v/>
      </c>
      <c r="S2278" s="1" t="str">
        <f t="shared" si="71"/>
        <v/>
      </c>
      <c r="T2278" s="1">
        <f>IF($E2278="",0,SUMPRODUCT((AY_SONU!$O$7:$O$42="Evet")*(AY_SONU!$B$7:$B$42=DATE(YEAR($E2278),MONTH($E2278),1))))</f>
        <v>0</v>
      </c>
      <c r="U2278" s="1" t="str">
        <f>IF(OR($G2278="",$H2278="Mahsup"),"",$G2278&amp;"|"&amp;COUNTIFS($G$7:$G2278,$G2278,$H$7:$H2278,"&lt;&gt;Mahsup"))</f>
        <v/>
      </c>
    </row>
    <row r="2279" spans="1:21" ht="18" customHeight="1" x14ac:dyDescent="0.3">
      <c r="A2279" s="2"/>
      <c r="B2279" s="65" t="str">
        <f>IF($D2279="","","T"&amp;TEXT(ROW()-6,"00000"))</f>
        <v/>
      </c>
      <c r="C2279" s="65" t="str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61"/>
      <c r="E2279" s="66"/>
      <c r="F2279" s="67"/>
      <c r="G2279" s="60"/>
      <c r="H2279" s="60"/>
      <c r="I2279" s="61"/>
      <c r="J2279" s="61"/>
      <c r="K2279" s="61"/>
      <c r="L2279" s="73" t="str">
        <f>IF($E2279="","",DATE(YEAR($E2279),MONTH($E2279),1))</f>
        <v/>
      </c>
      <c r="M2279" s="65" t="str">
        <f ca="1">IF($D2279="","",IF($C2279="TANIMSIZ MÜŞTERİ","HATA",IF(OR($E2279="",$F2279&lt;=0,$G2279=""),"EKSİK",IF($E2279&gt;TODAY(),"İLERİ TARİH",IF(COUNTIF($S$7:$S$2503,$S2279)&gt;1,"MÜKERRER?",IF($T2279&gt;0,"KAPALI DÖNEM","UYGUN"))))))</f>
        <v/>
      </c>
      <c r="N2279" s="74" t="str">
        <f>IF($C2279="","",IF($C2279="TANIMSIZ MÜŞTERİ","—",INDEX(MUSTERILER!$C$7:$C$156,MATCH($C2279,MUSTERILER!$B$7:$B$156,0))))</f>
        <v/>
      </c>
      <c r="O2279" s="2"/>
      <c r="P2279" s="2"/>
      <c r="Q2279" s="1" t="str">
        <f>IF($D2279="","",$C2279&amp;"|"&amp;COUNTIFS($C$7:$C2279,$C2279))</f>
        <v/>
      </c>
      <c r="R2279" s="1" t="str">
        <f t="shared" si="70"/>
        <v/>
      </c>
      <c r="S2279" s="1" t="str">
        <f t="shared" si="71"/>
        <v/>
      </c>
      <c r="T2279" s="1">
        <f>IF($E2279="",0,SUMPRODUCT((AY_SONU!$O$7:$O$42="Evet")*(AY_SONU!$B$7:$B$42=DATE(YEAR($E2279),MONTH($E2279),1))))</f>
        <v>0</v>
      </c>
      <c r="U2279" s="1" t="str">
        <f>IF(OR($G2279="",$H2279="Mahsup"),"",$G2279&amp;"|"&amp;COUNTIFS($G$7:$G2279,$G2279,$H$7:$H2279,"&lt;&gt;Mahsup"))</f>
        <v/>
      </c>
    </row>
    <row r="2280" spans="1:21" ht="18" customHeight="1" x14ac:dyDescent="0.3">
      <c r="A2280" s="2"/>
      <c r="B2280" s="65" t="str">
        <f>IF($D2280="","","T"&amp;TEXT(ROW()-6,"00000"))</f>
        <v/>
      </c>
      <c r="C2280" s="65" t="str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61"/>
      <c r="E2280" s="66"/>
      <c r="F2280" s="67"/>
      <c r="G2280" s="60"/>
      <c r="H2280" s="60"/>
      <c r="I2280" s="61"/>
      <c r="J2280" s="61"/>
      <c r="K2280" s="61"/>
      <c r="L2280" s="73" t="str">
        <f>IF($E2280="","",DATE(YEAR($E2280),MONTH($E2280),1))</f>
        <v/>
      </c>
      <c r="M2280" s="65" t="str">
        <f ca="1">IF($D2280="","",IF($C2280="TANIMSIZ MÜŞTERİ","HATA",IF(OR($E2280="",$F2280&lt;=0,$G2280=""),"EKSİK",IF($E2280&gt;TODAY(),"İLERİ TARİH",IF(COUNTIF($S$7:$S$2503,$S2280)&gt;1,"MÜKERRER?",IF($T2280&gt;0,"KAPALI DÖNEM","UYGUN"))))))</f>
        <v/>
      </c>
      <c r="N2280" s="74" t="str">
        <f>IF($C2280="","",IF($C2280="TANIMSIZ MÜŞTERİ","—",INDEX(MUSTERILER!$C$7:$C$156,MATCH($C2280,MUSTERILER!$B$7:$B$156,0))))</f>
        <v/>
      </c>
      <c r="O2280" s="2"/>
      <c r="P2280" s="2"/>
      <c r="Q2280" s="1" t="str">
        <f>IF($D2280="","",$C2280&amp;"|"&amp;COUNTIFS($C$7:$C2280,$C2280))</f>
        <v/>
      </c>
      <c r="R2280" s="1" t="str">
        <f t="shared" si="70"/>
        <v/>
      </c>
      <c r="S2280" s="1" t="str">
        <f t="shared" si="71"/>
        <v/>
      </c>
      <c r="T2280" s="1">
        <f>IF($E2280="",0,SUMPRODUCT((AY_SONU!$O$7:$O$42="Evet")*(AY_SONU!$B$7:$B$42=DATE(YEAR($E2280),MONTH($E2280),1))))</f>
        <v>0</v>
      </c>
      <c r="U2280" s="1" t="str">
        <f>IF(OR($G2280="",$H2280="Mahsup"),"",$G2280&amp;"|"&amp;COUNTIFS($G$7:$G2280,$G2280,$H$7:$H2280,"&lt;&gt;Mahsup"))</f>
        <v/>
      </c>
    </row>
    <row r="2281" spans="1:21" ht="18" customHeight="1" x14ac:dyDescent="0.3">
      <c r="A2281" s="2"/>
      <c r="B2281" s="65" t="str">
        <f>IF($D2281="","","T"&amp;TEXT(ROW()-6,"00000"))</f>
        <v/>
      </c>
      <c r="C2281" s="65" t="str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61"/>
      <c r="E2281" s="66"/>
      <c r="F2281" s="67"/>
      <c r="G2281" s="60"/>
      <c r="H2281" s="60"/>
      <c r="I2281" s="61"/>
      <c r="J2281" s="61"/>
      <c r="K2281" s="61"/>
      <c r="L2281" s="73" t="str">
        <f>IF($E2281="","",DATE(YEAR($E2281),MONTH($E2281),1))</f>
        <v/>
      </c>
      <c r="M2281" s="65" t="str">
        <f ca="1">IF($D2281="","",IF($C2281="TANIMSIZ MÜŞTERİ","HATA",IF(OR($E2281="",$F2281&lt;=0,$G2281=""),"EKSİK",IF($E2281&gt;TODAY(),"İLERİ TARİH",IF(COUNTIF($S$7:$S$2503,$S2281)&gt;1,"MÜKERRER?",IF($T2281&gt;0,"KAPALI DÖNEM","UYGUN"))))))</f>
        <v/>
      </c>
      <c r="N2281" s="74" t="str">
        <f>IF($C2281="","",IF($C2281="TANIMSIZ MÜŞTERİ","—",INDEX(MUSTERILER!$C$7:$C$156,MATCH($C2281,MUSTERILER!$B$7:$B$156,0))))</f>
        <v/>
      </c>
      <c r="O2281" s="2"/>
      <c r="P2281" s="2"/>
      <c r="Q2281" s="1" t="str">
        <f>IF($D2281="","",$C2281&amp;"|"&amp;COUNTIFS($C$7:$C2281,$C2281))</f>
        <v/>
      </c>
      <c r="R2281" s="1" t="str">
        <f t="shared" si="70"/>
        <v/>
      </c>
      <c r="S2281" s="1" t="str">
        <f t="shared" si="71"/>
        <v/>
      </c>
      <c r="T2281" s="1">
        <f>IF($E2281="",0,SUMPRODUCT((AY_SONU!$O$7:$O$42="Evet")*(AY_SONU!$B$7:$B$42=DATE(YEAR($E2281),MONTH($E2281),1))))</f>
        <v>0</v>
      </c>
      <c r="U2281" s="1" t="str">
        <f>IF(OR($G2281="",$H2281="Mahsup"),"",$G2281&amp;"|"&amp;COUNTIFS($G$7:$G2281,$G2281,$H$7:$H2281,"&lt;&gt;Mahsup"))</f>
        <v/>
      </c>
    </row>
    <row r="2282" spans="1:21" ht="18" customHeight="1" x14ac:dyDescent="0.3">
      <c r="A2282" s="2"/>
      <c r="B2282" s="65" t="str">
        <f>IF($D2282="","","T"&amp;TEXT(ROW()-6,"00000"))</f>
        <v/>
      </c>
      <c r="C2282" s="65" t="str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61"/>
      <c r="E2282" s="66"/>
      <c r="F2282" s="67"/>
      <c r="G2282" s="60"/>
      <c r="H2282" s="60"/>
      <c r="I2282" s="61"/>
      <c r="J2282" s="61"/>
      <c r="K2282" s="61"/>
      <c r="L2282" s="73" t="str">
        <f>IF($E2282="","",DATE(YEAR($E2282),MONTH($E2282),1))</f>
        <v/>
      </c>
      <c r="M2282" s="65" t="str">
        <f ca="1">IF($D2282="","",IF($C2282="TANIMSIZ MÜŞTERİ","HATA",IF(OR($E2282="",$F2282&lt;=0,$G2282=""),"EKSİK",IF($E2282&gt;TODAY(),"İLERİ TARİH",IF(COUNTIF($S$7:$S$2503,$S2282)&gt;1,"MÜKERRER?",IF($T2282&gt;0,"KAPALI DÖNEM","UYGUN"))))))</f>
        <v/>
      </c>
      <c r="N2282" s="74" t="str">
        <f>IF($C2282="","",IF($C2282="TANIMSIZ MÜŞTERİ","—",INDEX(MUSTERILER!$C$7:$C$156,MATCH($C2282,MUSTERILER!$B$7:$B$156,0))))</f>
        <v/>
      </c>
      <c r="O2282" s="2"/>
      <c r="P2282" s="2"/>
      <c r="Q2282" s="1" t="str">
        <f>IF($D2282="","",$C2282&amp;"|"&amp;COUNTIFS($C$7:$C2282,$C2282))</f>
        <v/>
      </c>
      <c r="R2282" s="1" t="str">
        <f t="shared" si="70"/>
        <v/>
      </c>
      <c r="S2282" s="1" t="str">
        <f t="shared" si="71"/>
        <v/>
      </c>
      <c r="T2282" s="1">
        <f>IF($E2282="",0,SUMPRODUCT((AY_SONU!$O$7:$O$42="Evet")*(AY_SONU!$B$7:$B$42=DATE(YEAR($E2282),MONTH($E2282),1))))</f>
        <v>0</v>
      </c>
      <c r="U2282" s="1" t="str">
        <f>IF(OR($G2282="",$H2282="Mahsup"),"",$G2282&amp;"|"&amp;COUNTIFS($G$7:$G2282,$G2282,$H$7:$H2282,"&lt;&gt;Mahsup"))</f>
        <v/>
      </c>
    </row>
    <row r="2283" spans="1:21" ht="18" customHeight="1" x14ac:dyDescent="0.3">
      <c r="A2283" s="2"/>
      <c r="B2283" s="65" t="str">
        <f>IF($D2283="","","T"&amp;TEXT(ROW()-6,"00000"))</f>
        <v/>
      </c>
      <c r="C2283" s="65" t="str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61"/>
      <c r="E2283" s="66"/>
      <c r="F2283" s="67"/>
      <c r="G2283" s="60"/>
      <c r="H2283" s="60"/>
      <c r="I2283" s="61"/>
      <c r="J2283" s="61"/>
      <c r="K2283" s="61"/>
      <c r="L2283" s="73" t="str">
        <f>IF($E2283="","",DATE(YEAR($E2283),MONTH($E2283),1))</f>
        <v/>
      </c>
      <c r="M2283" s="65" t="str">
        <f ca="1">IF($D2283="","",IF($C2283="TANIMSIZ MÜŞTERİ","HATA",IF(OR($E2283="",$F2283&lt;=0,$G2283=""),"EKSİK",IF($E2283&gt;TODAY(),"İLERİ TARİH",IF(COUNTIF($S$7:$S$2503,$S2283)&gt;1,"MÜKERRER?",IF($T2283&gt;0,"KAPALI DÖNEM","UYGUN"))))))</f>
        <v/>
      </c>
      <c r="N2283" s="74" t="str">
        <f>IF($C2283="","",IF($C2283="TANIMSIZ MÜŞTERİ","—",INDEX(MUSTERILER!$C$7:$C$156,MATCH($C2283,MUSTERILER!$B$7:$B$156,0))))</f>
        <v/>
      </c>
      <c r="O2283" s="2"/>
      <c r="P2283" s="2"/>
      <c r="Q2283" s="1" t="str">
        <f>IF($D2283="","",$C2283&amp;"|"&amp;COUNTIFS($C$7:$C2283,$C2283))</f>
        <v/>
      </c>
      <c r="R2283" s="1" t="str">
        <f t="shared" si="70"/>
        <v/>
      </c>
      <c r="S2283" s="1" t="str">
        <f t="shared" si="71"/>
        <v/>
      </c>
      <c r="T2283" s="1">
        <f>IF($E2283="",0,SUMPRODUCT((AY_SONU!$O$7:$O$42="Evet")*(AY_SONU!$B$7:$B$42=DATE(YEAR($E2283),MONTH($E2283),1))))</f>
        <v>0</v>
      </c>
      <c r="U2283" s="1" t="str">
        <f>IF(OR($G2283="",$H2283="Mahsup"),"",$G2283&amp;"|"&amp;COUNTIFS($G$7:$G2283,$G2283,$H$7:$H2283,"&lt;&gt;Mahsup"))</f>
        <v/>
      </c>
    </row>
    <row r="2284" spans="1:21" ht="18" customHeight="1" x14ac:dyDescent="0.3">
      <c r="A2284" s="2"/>
      <c r="B2284" s="65" t="str">
        <f>IF($D2284="","","T"&amp;TEXT(ROW()-6,"00000"))</f>
        <v/>
      </c>
      <c r="C2284" s="65" t="str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61"/>
      <c r="E2284" s="66"/>
      <c r="F2284" s="67"/>
      <c r="G2284" s="60"/>
      <c r="H2284" s="60"/>
      <c r="I2284" s="61"/>
      <c r="J2284" s="61"/>
      <c r="K2284" s="61"/>
      <c r="L2284" s="73" t="str">
        <f>IF($E2284="","",DATE(YEAR($E2284),MONTH($E2284),1))</f>
        <v/>
      </c>
      <c r="M2284" s="65" t="str">
        <f ca="1">IF($D2284="","",IF($C2284="TANIMSIZ MÜŞTERİ","HATA",IF(OR($E2284="",$F2284&lt;=0,$G2284=""),"EKSİK",IF($E2284&gt;TODAY(),"İLERİ TARİH",IF(COUNTIF($S$7:$S$2503,$S2284)&gt;1,"MÜKERRER?",IF($T2284&gt;0,"KAPALI DÖNEM","UYGUN"))))))</f>
        <v/>
      </c>
      <c r="N2284" s="74" t="str">
        <f>IF($C2284="","",IF($C2284="TANIMSIZ MÜŞTERİ","—",INDEX(MUSTERILER!$C$7:$C$156,MATCH($C2284,MUSTERILER!$B$7:$B$156,0))))</f>
        <v/>
      </c>
      <c r="O2284" s="2"/>
      <c r="P2284" s="2"/>
      <c r="Q2284" s="1" t="str">
        <f>IF($D2284="","",$C2284&amp;"|"&amp;COUNTIFS($C$7:$C2284,$C2284))</f>
        <v/>
      </c>
      <c r="R2284" s="1" t="str">
        <f t="shared" si="70"/>
        <v/>
      </c>
      <c r="S2284" s="1" t="str">
        <f t="shared" si="71"/>
        <v/>
      </c>
      <c r="T2284" s="1">
        <f>IF($E2284="",0,SUMPRODUCT((AY_SONU!$O$7:$O$42="Evet")*(AY_SONU!$B$7:$B$42=DATE(YEAR($E2284),MONTH($E2284),1))))</f>
        <v>0</v>
      </c>
      <c r="U2284" s="1" t="str">
        <f>IF(OR($G2284="",$H2284="Mahsup"),"",$G2284&amp;"|"&amp;COUNTIFS($G$7:$G2284,$G2284,$H$7:$H2284,"&lt;&gt;Mahsup"))</f>
        <v/>
      </c>
    </row>
    <row r="2285" spans="1:21" ht="18" customHeight="1" x14ac:dyDescent="0.3">
      <c r="A2285" s="2"/>
      <c r="B2285" s="65" t="str">
        <f>IF($D2285="","","T"&amp;TEXT(ROW()-6,"00000"))</f>
        <v/>
      </c>
      <c r="C2285" s="65" t="str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61"/>
      <c r="E2285" s="66"/>
      <c r="F2285" s="67"/>
      <c r="G2285" s="60"/>
      <c r="H2285" s="60"/>
      <c r="I2285" s="61"/>
      <c r="J2285" s="61"/>
      <c r="K2285" s="61"/>
      <c r="L2285" s="73" t="str">
        <f>IF($E2285="","",DATE(YEAR($E2285),MONTH($E2285),1))</f>
        <v/>
      </c>
      <c r="M2285" s="65" t="str">
        <f ca="1">IF($D2285="","",IF($C2285="TANIMSIZ MÜŞTERİ","HATA",IF(OR($E2285="",$F2285&lt;=0,$G2285=""),"EKSİK",IF($E2285&gt;TODAY(),"İLERİ TARİH",IF(COUNTIF($S$7:$S$2503,$S2285)&gt;1,"MÜKERRER?",IF($T2285&gt;0,"KAPALI DÖNEM","UYGUN"))))))</f>
        <v/>
      </c>
      <c r="N2285" s="74" t="str">
        <f>IF($C2285="","",IF($C2285="TANIMSIZ MÜŞTERİ","—",INDEX(MUSTERILER!$C$7:$C$156,MATCH($C2285,MUSTERILER!$B$7:$B$156,0))))</f>
        <v/>
      </c>
      <c r="O2285" s="2"/>
      <c r="P2285" s="2"/>
      <c r="Q2285" s="1" t="str">
        <f>IF($D2285="","",$C2285&amp;"|"&amp;COUNTIFS($C$7:$C2285,$C2285))</f>
        <v/>
      </c>
      <c r="R2285" s="1" t="str">
        <f t="shared" si="70"/>
        <v/>
      </c>
      <c r="S2285" s="1" t="str">
        <f t="shared" si="71"/>
        <v/>
      </c>
      <c r="T2285" s="1">
        <f>IF($E2285="",0,SUMPRODUCT((AY_SONU!$O$7:$O$42="Evet")*(AY_SONU!$B$7:$B$42=DATE(YEAR($E2285),MONTH($E2285),1))))</f>
        <v>0</v>
      </c>
      <c r="U2285" s="1" t="str">
        <f>IF(OR($G2285="",$H2285="Mahsup"),"",$G2285&amp;"|"&amp;COUNTIFS($G$7:$G2285,$G2285,$H$7:$H2285,"&lt;&gt;Mahsup"))</f>
        <v/>
      </c>
    </row>
    <row r="2286" spans="1:21" ht="18" customHeight="1" x14ac:dyDescent="0.3">
      <c r="A2286" s="2"/>
      <c r="B2286" s="65" t="str">
        <f>IF($D2286="","","T"&amp;TEXT(ROW()-6,"00000"))</f>
        <v/>
      </c>
      <c r="C2286" s="65" t="str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61"/>
      <c r="E2286" s="66"/>
      <c r="F2286" s="67"/>
      <c r="G2286" s="60"/>
      <c r="H2286" s="60"/>
      <c r="I2286" s="61"/>
      <c r="J2286" s="61"/>
      <c r="K2286" s="61"/>
      <c r="L2286" s="73" t="str">
        <f>IF($E2286="","",DATE(YEAR($E2286),MONTH($E2286),1))</f>
        <v/>
      </c>
      <c r="M2286" s="65" t="str">
        <f ca="1">IF($D2286="","",IF($C2286="TANIMSIZ MÜŞTERİ","HATA",IF(OR($E2286="",$F2286&lt;=0,$G2286=""),"EKSİK",IF($E2286&gt;TODAY(),"İLERİ TARİH",IF(COUNTIF($S$7:$S$2503,$S2286)&gt;1,"MÜKERRER?",IF($T2286&gt;0,"KAPALI DÖNEM","UYGUN"))))))</f>
        <v/>
      </c>
      <c r="N2286" s="74" t="str">
        <f>IF($C2286="","",IF($C2286="TANIMSIZ MÜŞTERİ","—",INDEX(MUSTERILER!$C$7:$C$156,MATCH($C2286,MUSTERILER!$B$7:$B$156,0))))</f>
        <v/>
      </c>
      <c r="O2286" s="2"/>
      <c r="P2286" s="2"/>
      <c r="Q2286" s="1" t="str">
        <f>IF($D2286="","",$C2286&amp;"|"&amp;COUNTIFS($C$7:$C2286,$C2286))</f>
        <v/>
      </c>
      <c r="R2286" s="1" t="str">
        <f t="shared" si="70"/>
        <v/>
      </c>
      <c r="S2286" s="1" t="str">
        <f t="shared" si="71"/>
        <v/>
      </c>
      <c r="T2286" s="1">
        <f>IF($E2286="",0,SUMPRODUCT((AY_SONU!$O$7:$O$42="Evet")*(AY_SONU!$B$7:$B$42=DATE(YEAR($E2286),MONTH($E2286),1))))</f>
        <v>0</v>
      </c>
      <c r="U2286" s="1" t="str">
        <f>IF(OR($G2286="",$H2286="Mahsup"),"",$G2286&amp;"|"&amp;COUNTIFS($G$7:$G2286,$G2286,$H$7:$H2286,"&lt;&gt;Mahsup"))</f>
        <v/>
      </c>
    </row>
    <row r="2287" spans="1:21" ht="18" customHeight="1" x14ac:dyDescent="0.3">
      <c r="A2287" s="2"/>
      <c r="B2287" s="65" t="str">
        <f>IF($D2287="","","T"&amp;TEXT(ROW()-6,"00000"))</f>
        <v/>
      </c>
      <c r="C2287" s="65" t="str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61"/>
      <c r="E2287" s="66"/>
      <c r="F2287" s="67"/>
      <c r="G2287" s="60"/>
      <c r="H2287" s="60"/>
      <c r="I2287" s="61"/>
      <c r="J2287" s="61"/>
      <c r="K2287" s="61"/>
      <c r="L2287" s="73" t="str">
        <f>IF($E2287="","",DATE(YEAR($E2287),MONTH($E2287),1))</f>
        <v/>
      </c>
      <c r="M2287" s="65" t="str">
        <f ca="1">IF($D2287="","",IF($C2287="TANIMSIZ MÜŞTERİ","HATA",IF(OR($E2287="",$F2287&lt;=0,$G2287=""),"EKSİK",IF($E2287&gt;TODAY(),"İLERİ TARİH",IF(COUNTIF($S$7:$S$2503,$S2287)&gt;1,"MÜKERRER?",IF($T2287&gt;0,"KAPALI DÖNEM","UYGUN"))))))</f>
        <v/>
      </c>
      <c r="N2287" s="74" t="str">
        <f>IF($C2287="","",IF($C2287="TANIMSIZ MÜŞTERİ","—",INDEX(MUSTERILER!$C$7:$C$156,MATCH($C2287,MUSTERILER!$B$7:$B$156,0))))</f>
        <v/>
      </c>
      <c r="O2287" s="2"/>
      <c r="P2287" s="2"/>
      <c r="Q2287" s="1" t="str">
        <f>IF($D2287="","",$C2287&amp;"|"&amp;COUNTIFS($C$7:$C2287,$C2287))</f>
        <v/>
      </c>
      <c r="R2287" s="1" t="str">
        <f t="shared" si="70"/>
        <v/>
      </c>
      <c r="S2287" s="1" t="str">
        <f t="shared" si="71"/>
        <v/>
      </c>
      <c r="T2287" s="1">
        <f>IF($E2287="",0,SUMPRODUCT((AY_SONU!$O$7:$O$42="Evet")*(AY_SONU!$B$7:$B$42=DATE(YEAR($E2287),MONTH($E2287),1))))</f>
        <v>0</v>
      </c>
      <c r="U2287" s="1" t="str">
        <f>IF(OR($G2287="",$H2287="Mahsup"),"",$G2287&amp;"|"&amp;COUNTIFS($G$7:$G2287,$G2287,$H$7:$H2287,"&lt;&gt;Mahsup"))</f>
        <v/>
      </c>
    </row>
    <row r="2288" spans="1:21" ht="18" customHeight="1" x14ac:dyDescent="0.3">
      <c r="A2288" s="2"/>
      <c r="B2288" s="65" t="str">
        <f>IF($D2288="","","T"&amp;TEXT(ROW()-6,"00000"))</f>
        <v/>
      </c>
      <c r="C2288" s="65" t="str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61"/>
      <c r="E2288" s="66"/>
      <c r="F2288" s="67"/>
      <c r="G2288" s="60"/>
      <c r="H2288" s="60"/>
      <c r="I2288" s="61"/>
      <c r="J2288" s="61"/>
      <c r="K2288" s="61"/>
      <c r="L2288" s="73" t="str">
        <f>IF($E2288="","",DATE(YEAR($E2288),MONTH($E2288),1))</f>
        <v/>
      </c>
      <c r="M2288" s="65" t="str">
        <f ca="1">IF($D2288="","",IF($C2288="TANIMSIZ MÜŞTERİ","HATA",IF(OR($E2288="",$F2288&lt;=0,$G2288=""),"EKSİK",IF($E2288&gt;TODAY(),"İLERİ TARİH",IF(COUNTIF($S$7:$S$2503,$S2288)&gt;1,"MÜKERRER?",IF($T2288&gt;0,"KAPALI DÖNEM","UYGUN"))))))</f>
        <v/>
      </c>
      <c r="N2288" s="74" t="str">
        <f>IF($C2288="","",IF($C2288="TANIMSIZ MÜŞTERİ","—",INDEX(MUSTERILER!$C$7:$C$156,MATCH($C2288,MUSTERILER!$B$7:$B$156,0))))</f>
        <v/>
      </c>
      <c r="O2288" s="2"/>
      <c r="P2288" s="2"/>
      <c r="Q2288" s="1" t="str">
        <f>IF($D2288="","",$C2288&amp;"|"&amp;COUNTIFS($C$7:$C2288,$C2288))</f>
        <v/>
      </c>
      <c r="R2288" s="1" t="str">
        <f t="shared" si="70"/>
        <v/>
      </c>
      <c r="S2288" s="1" t="str">
        <f t="shared" si="71"/>
        <v/>
      </c>
      <c r="T2288" s="1">
        <f>IF($E2288="",0,SUMPRODUCT((AY_SONU!$O$7:$O$42="Evet")*(AY_SONU!$B$7:$B$42=DATE(YEAR($E2288),MONTH($E2288),1))))</f>
        <v>0</v>
      </c>
      <c r="U2288" s="1" t="str">
        <f>IF(OR($G2288="",$H2288="Mahsup"),"",$G2288&amp;"|"&amp;COUNTIFS($G$7:$G2288,$G2288,$H$7:$H2288,"&lt;&gt;Mahsup"))</f>
        <v/>
      </c>
    </row>
    <row r="2289" spans="1:21" ht="18" customHeight="1" x14ac:dyDescent="0.3">
      <c r="A2289" s="2"/>
      <c r="B2289" s="65" t="str">
        <f>IF($D2289="","","T"&amp;TEXT(ROW()-6,"00000"))</f>
        <v/>
      </c>
      <c r="C2289" s="65" t="str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61"/>
      <c r="E2289" s="66"/>
      <c r="F2289" s="67"/>
      <c r="G2289" s="60"/>
      <c r="H2289" s="60"/>
      <c r="I2289" s="61"/>
      <c r="J2289" s="61"/>
      <c r="K2289" s="61"/>
      <c r="L2289" s="73" t="str">
        <f>IF($E2289="","",DATE(YEAR($E2289),MONTH($E2289),1))</f>
        <v/>
      </c>
      <c r="M2289" s="65" t="str">
        <f ca="1">IF($D2289="","",IF($C2289="TANIMSIZ MÜŞTERİ","HATA",IF(OR($E2289="",$F2289&lt;=0,$G2289=""),"EKSİK",IF($E2289&gt;TODAY(),"İLERİ TARİH",IF(COUNTIF($S$7:$S$2503,$S2289)&gt;1,"MÜKERRER?",IF($T2289&gt;0,"KAPALI DÖNEM","UYGUN"))))))</f>
        <v/>
      </c>
      <c r="N2289" s="74" t="str">
        <f>IF($C2289="","",IF($C2289="TANIMSIZ MÜŞTERİ","—",INDEX(MUSTERILER!$C$7:$C$156,MATCH($C2289,MUSTERILER!$B$7:$B$156,0))))</f>
        <v/>
      </c>
      <c r="O2289" s="2"/>
      <c r="P2289" s="2"/>
      <c r="Q2289" s="1" t="str">
        <f>IF($D2289="","",$C2289&amp;"|"&amp;COUNTIFS($C$7:$C2289,$C2289))</f>
        <v/>
      </c>
      <c r="R2289" s="1" t="str">
        <f t="shared" si="70"/>
        <v/>
      </c>
      <c r="S2289" s="1" t="str">
        <f t="shared" si="71"/>
        <v/>
      </c>
      <c r="T2289" s="1">
        <f>IF($E2289="",0,SUMPRODUCT((AY_SONU!$O$7:$O$42="Evet")*(AY_SONU!$B$7:$B$42=DATE(YEAR($E2289),MONTH($E2289),1))))</f>
        <v>0</v>
      </c>
      <c r="U2289" s="1" t="str">
        <f>IF(OR($G2289="",$H2289="Mahsup"),"",$G2289&amp;"|"&amp;COUNTIFS($G$7:$G2289,$G2289,$H$7:$H2289,"&lt;&gt;Mahsup"))</f>
        <v/>
      </c>
    </row>
    <row r="2290" spans="1:21" ht="18" customHeight="1" x14ac:dyDescent="0.3">
      <c r="A2290" s="2"/>
      <c r="B2290" s="65" t="str">
        <f>IF($D2290="","","T"&amp;TEXT(ROW()-6,"00000"))</f>
        <v/>
      </c>
      <c r="C2290" s="65" t="str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61"/>
      <c r="E2290" s="66"/>
      <c r="F2290" s="67"/>
      <c r="G2290" s="60"/>
      <c r="H2290" s="60"/>
      <c r="I2290" s="61"/>
      <c r="J2290" s="61"/>
      <c r="K2290" s="61"/>
      <c r="L2290" s="73" t="str">
        <f>IF($E2290="","",DATE(YEAR($E2290),MONTH($E2290),1))</f>
        <v/>
      </c>
      <c r="M2290" s="65" t="str">
        <f ca="1">IF($D2290="","",IF($C2290="TANIMSIZ MÜŞTERİ","HATA",IF(OR($E2290="",$F2290&lt;=0,$G2290=""),"EKSİK",IF($E2290&gt;TODAY(),"İLERİ TARİH",IF(COUNTIF($S$7:$S$2503,$S2290)&gt;1,"MÜKERRER?",IF($T2290&gt;0,"KAPALI DÖNEM","UYGUN"))))))</f>
        <v/>
      </c>
      <c r="N2290" s="74" t="str">
        <f>IF($C2290="","",IF($C2290="TANIMSIZ MÜŞTERİ","—",INDEX(MUSTERILER!$C$7:$C$156,MATCH($C2290,MUSTERILER!$B$7:$B$156,0))))</f>
        <v/>
      </c>
      <c r="O2290" s="2"/>
      <c r="P2290" s="2"/>
      <c r="Q2290" s="1" t="str">
        <f>IF($D2290="","",$C2290&amp;"|"&amp;COUNTIFS($C$7:$C2290,$C2290))</f>
        <v/>
      </c>
      <c r="R2290" s="1" t="str">
        <f t="shared" si="70"/>
        <v/>
      </c>
      <c r="S2290" s="1" t="str">
        <f t="shared" si="71"/>
        <v/>
      </c>
      <c r="T2290" s="1">
        <f>IF($E2290="",0,SUMPRODUCT((AY_SONU!$O$7:$O$42="Evet")*(AY_SONU!$B$7:$B$42=DATE(YEAR($E2290),MONTH($E2290),1))))</f>
        <v>0</v>
      </c>
      <c r="U2290" s="1" t="str">
        <f>IF(OR($G2290="",$H2290="Mahsup"),"",$G2290&amp;"|"&amp;COUNTIFS($G$7:$G2290,$G2290,$H$7:$H2290,"&lt;&gt;Mahsup"))</f>
        <v/>
      </c>
    </row>
    <row r="2291" spans="1:21" ht="18" customHeight="1" x14ac:dyDescent="0.3">
      <c r="A2291" s="2"/>
      <c r="B2291" s="65" t="str">
        <f>IF($D2291="","","T"&amp;TEXT(ROW()-6,"00000"))</f>
        <v/>
      </c>
      <c r="C2291" s="65" t="str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61"/>
      <c r="E2291" s="66"/>
      <c r="F2291" s="67"/>
      <c r="G2291" s="60"/>
      <c r="H2291" s="60"/>
      <c r="I2291" s="61"/>
      <c r="J2291" s="61"/>
      <c r="K2291" s="61"/>
      <c r="L2291" s="73" t="str">
        <f>IF($E2291="","",DATE(YEAR($E2291),MONTH($E2291),1))</f>
        <v/>
      </c>
      <c r="M2291" s="65" t="str">
        <f ca="1">IF($D2291="","",IF($C2291="TANIMSIZ MÜŞTERİ","HATA",IF(OR($E2291="",$F2291&lt;=0,$G2291=""),"EKSİK",IF($E2291&gt;TODAY(),"İLERİ TARİH",IF(COUNTIF($S$7:$S$2503,$S2291)&gt;1,"MÜKERRER?",IF($T2291&gt;0,"KAPALI DÖNEM","UYGUN"))))))</f>
        <v/>
      </c>
      <c r="N2291" s="74" t="str">
        <f>IF($C2291="","",IF($C2291="TANIMSIZ MÜŞTERİ","—",INDEX(MUSTERILER!$C$7:$C$156,MATCH($C2291,MUSTERILER!$B$7:$B$156,0))))</f>
        <v/>
      </c>
      <c r="O2291" s="2"/>
      <c r="P2291" s="2"/>
      <c r="Q2291" s="1" t="str">
        <f>IF($D2291="","",$C2291&amp;"|"&amp;COUNTIFS($C$7:$C2291,$C2291))</f>
        <v/>
      </c>
      <c r="R2291" s="1" t="str">
        <f t="shared" si="70"/>
        <v/>
      </c>
      <c r="S2291" s="1" t="str">
        <f t="shared" si="71"/>
        <v/>
      </c>
      <c r="T2291" s="1">
        <f>IF($E2291="",0,SUMPRODUCT((AY_SONU!$O$7:$O$42="Evet")*(AY_SONU!$B$7:$B$42=DATE(YEAR($E2291),MONTH($E2291),1))))</f>
        <v>0</v>
      </c>
      <c r="U2291" s="1" t="str">
        <f>IF(OR($G2291="",$H2291="Mahsup"),"",$G2291&amp;"|"&amp;COUNTIFS($G$7:$G2291,$G2291,$H$7:$H2291,"&lt;&gt;Mahsup"))</f>
        <v/>
      </c>
    </row>
    <row r="2292" spans="1:21" ht="18" customHeight="1" x14ac:dyDescent="0.3">
      <c r="A2292" s="2"/>
      <c r="B2292" s="65" t="str">
        <f>IF($D2292="","","T"&amp;TEXT(ROW()-6,"00000"))</f>
        <v/>
      </c>
      <c r="C2292" s="65" t="str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61"/>
      <c r="E2292" s="66"/>
      <c r="F2292" s="67"/>
      <c r="G2292" s="60"/>
      <c r="H2292" s="60"/>
      <c r="I2292" s="61"/>
      <c r="J2292" s="61"/>
      <c r="K2292" s="61"/>
      <c r="L2292" s="73" t="str">
        <f>IF($E2292="","",DATE(YEAR($E2292),MONTH($E2292),1))</f>
        <v/>
      </c>
      <c r="M2292" s="65" t="str">
        <f ca="1">IF($D2292="","",IF($C2292="TANIMSIZ MÜŞTERİ","HATA",IF(OR($E2292="",$F2292&lt;=0,$G2292=""),"EKSİK",IF($E2292&gt;TODAY(),"İLERİ TARİH",IF(COUNTIF($S$7:$S$2503,$S2292)&gt;1,"MÜKERRER?",IF($T2292&gt;0,"KAPALI DÖNEM","UYGUN"))))))</f>
        <v/>
      </c>
      <c r="N2292" s="74" t="str">
        <f>IF($C2292="","",IF($C2292="TANIMSIZ MÜŞTERİ","—",INDEX(MUSTERILER!$C$7:$C$156,MATCH($C2292,MUSTERILER!$B$7:$B$156,0))))</f>
        <v/>
      </c>
      <c r="O2292" s="2"/>
      <c r="P2292" s="2"/>
      <c r="Q2292" s="1" t="str">
        <f>IF($D2292="","",$C2292&amp;"|"&amp;COUNTIFS($C$7:$C2292,$C2292))</f>
        <v/>
      </c>
      <c r="R2292" s="1" t="str">
        <f t="shared" si="70"/>
        <v/>
      </c>
      <c r="S2292" s="1" t="str">
        <f t="shared" si="71"/>
        <v/>
      </c>
      <c r="T2292" s="1">
        <f>IF($E2292="",0,SUMPRODUCT((AY_SONU!$O$7:$O$42="Evet")*(AY_SONU!$B$7:$B$42=DATE(YEAR($E2292),MONTH($E2292),1))))</f>
        <v>0</v>
      </c>
      <c r="U2292" s="1" t="str">
        <f>IF(OR($G2292="",$H2292="Mahsup"),"",$G2292&amp;"|"&amp;COUNTIFS($G$7:$G2292,$G2292,$H$7:$H2292,"&lt;&gt;Mahsup"))</f>
        <v/>
      </c>
    </row>
    <row r="2293" spans="1:21" ht="18" customHeight="1" x14ac:dyDescent="0.3">
      <c r="A2293" s="2"/>
      <c r="B2293" s="65" t="str">
        <f>IF($D2293="","","T"&amp;TEXT(ROW()-6,"00000"))</f>
        <v/>
      </c>
      <c r="C2293" s="65" t="str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61"/>
      <c r="E2293" s="66"/>
      <c r="F2293" s="67"/>
      <c r="G2293" s="60"/>
      <c r="H2293" s="60"/>
      <c r="I2293" s="61"/>
      <c r="J2293" s="61"/>
      <c r="K2293" s="61"/>
      <c r="L2293" s="73" t="str">
        <f>IF($E2293="","",DATE(YEAR($E2293),MONTH($E2293),1))</f>
        <v/>
      </c>
      <c r="M2293" s="65" t="str">
        <f ca="1">IF($D2293="","",IF($C2293="TANIMSIZ MÜŞTERİ","HATA",IF(OR($E2293="",$F2293&lt;=0,$G2293=""),"EKSİK",IF($E2293&gt;TODAY(),"İLERİ TARİH",IF(COUNTIF($S$7:$S$2503,$S2293)&gt;1,"MÜKERRER?",IF($T2293&gt;0,"KAPALI DÖNEM","UYGUN"))))))</f>
        <v/>
      </c>
      <c r="N2293" s="74" t="str">
        <f>IF($C2293="","",IF($C2293="TANIMSIZ MÜŞTERİ","—",INDEX(MUSTERILER!$C$7:$C$156,MATCH($C2293,MUSTERILER!$B$7:$B$156,0))))</f>
        <v/>
      </c>
      <c r="O2293" s="2"/>
      <c r="P2293" s="2"/>
      <c r="Q2293" s="1" t="str">
        <f>IF($D2293="","",$C2293&amp;"|"&amp;COUNTIFS($C$7:$C2293,$C2293))</f>
        <v/>
      </c>
      <c r="R2293" s="1" t="str">
        <f t="shared" si="70"/>
        <v/>
      </c>
      <c r="S2293" s="1" t="str">
        <f t="shared" si="71"/>
        <v/>
      </c>
      <c r="T2293" s="1">
        <f>IF($E2293="",0,SUMPRODUCT((AY_SONU!$O$7:$O$42="Evet")*(AY_SONU!$B$7:$B$42=DATE(YEAR($E2293),MONTH($E2293),1))))</f>
        <v>0</v>
      </c>
      <c r="U2293" s="1" t="str">
        <f>IF(OR($G2293="",$H2293="Mahsup"),"",$G2293&amp;"|"&amp;COUNTIFS($G$7:$G2293,$G2293,$H$7:$H2293,"&lt;&gt;Mahsup"))</f>
        <v/>
      </c>
    </row>
    <row r="2294" spans="1:21" ht="18" customHeight="1" x14ac:dyDescent="0.3">
      <c r="A2294" s="2"/>
      <c r="B2294" s="65" t="str">
        <f>IF($D2294="","","T"&amp;TEXT(ROW()-6,"00000"))</f>
        <v/>
      </c>
      <c r="C2294" s="65" t="str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61"/>
      <c r="E2294" s="66"/>
      <c r="F2294" s="67"/>
      <c r="G2294" s="60"/>
      <c r="H2294" s="60"/>
      <c r="I2294" s="61"/>
      <c r="J2294" s="61"/>
      <c r="K2294" s="61"/>
      <c r="L2294" s="73" t="str">
        <f>IF($E2294="","",DATE(YEAR($E2294),MONTH($E2294),1))</f>
        <v/>
      </c>
      <c r="M2294" s="65" t="str">
        <f ca="1">IF($D2294="","",IF($C2294="TANIMSIZ MÜŞTERİ","HATA",IF(OR($E2294="",$F2294&lt;=0,$G2294=""),"EKSİK",IF($E2294&gt;TODAY(),"İLERİ TARİH",IF(COUNTIF($S$7:$S$2503,$S2294)&gt;1,"MÜKERRER?",IF($T2294&gt;0,"KAPALI DÖNEM","UYGUN"))))))</f>
        <v/>
      </c>
      <c r="N2294" s="74" t="str">
        <f>IF($C2294="","",IF($C2294="TANIMSIZ MÜŞTERİ","—",INDEX(MUSTERILER!$C$7:$C$156,MATCH($C2294,MUSTERILER!$B$7:$B$156,0))))</f>
        <v/>
      </c>
      <c r="O2294" s="2"/>
      <c r="P2294" s="2"/>
      <c r="Q2294" s="1" t="str">
        <f>IF($D2294="","",$C2294&amp;"|"&amp;COUNTIFS($C$7:$C2294,$C2294))</f>
        <v/>
      </c>
      <c r="R2294" s="1" t="str">
        <f t="shared" si="70"/>
        <v/>
      </c>
      <c r="S2294" s="1" t="str">
        <f t="shared" si="71"/>
        <v/>
      </c>
      <c r="T2294" s="1">
        <f>IF($E2294="",0,SUMPRODUCT((AY_SONU!$O$7:$O$42="Evet")*(AY_SONU!$B$7:$B$42=DATE(YEAR($E2294),MONTH($E2294),1))))</f>
        <v>0</v>
      </c>
      <c r="U2294" s="1" t="str">
        <f>IF(OR($G2294="",$H2294="Mahsup"),"",$G2294&amp;"|"&amp;COUNTIFS($G$7:$G2294,$G2294,$H$7:$H2294,"&lt;&gt;Mahsup"))</f>
        <v/>
      </c>
    </row>
    <row r="2295" spans="1:21" ht="18" customHeight="1" x14ac:dyDescent="0.3">
      <c r="A2295" s="2"/>
      <c r="B2295" s="65" t="str">
        <f>IF($D2295="","","T"&amp;TEXT(ROW()-6,"00000"))</f>
        <v/>
      </c>
      <c r="C2295" s="65" t="str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61"/>
      <c r="E2295" s="66"/>
      <c r="F2295" s="67"/>
      <c r="G2295" s="60"/>
      <c r="H2295" s="60"/>
      <c r="I2295" s="61"/>
      <c r="J2295" s="61"/>
      <c r="K2295" s="61"/>
      <c r="L2295" s="73" t="str">
        <f>IF($E2295="","",DATE(YEAR($E2295),MONTH($E2295),1))</f>
        <v/>
      </c>
      <c r="M2295" s="65" t="str">
        <f ca="1">IF($D2295="","",IF($C2295="TANIMSIZ MÜŞTERİ","HATA",IF(OR($E2295="",$F2295&lt;=0,$G2295=""),"EKSİK",IF($E2295&gt;TODAY(),"İLERİ TARİH",IF(COUNTIF($S$7:$S$2503,$S2295)&gt;1,"MÜKERRER?",IF($T2295&gt;0,"KAPALI DÖNEM","UYGUN"))))))</f>
        <v/>
      </c>
      <c r="N2295" s="74" t="str">
        <f>IF($C2295="","",IF($C2295="TANIMSIZ MÜŞTERİ","—",INDEX(MUSTERILER!$C$7:$C$156,MATCH($C2295,MUSTERILER!$B$7:$B$156,0))))</f>
        <v/>
      </c>
      <c r="O2295" s="2"/>
      <c r="P2295" s="2"/>
      <c r="Q2295" s="1" t="str">
        <f>IF($D2295="","",$C2295&amp;"|"&amp;COUNTIFS($C$7:$C2295,$C2295))</f>
        <v/>
      </c>
      <c r="R2295" s="1" t="str">
        <f t="shared" si="70"/>
        <v/>
      </c>
      <c r="S2295" s="1" t="str">
        <f t="shared" si="71"/>
        <v/>
      </c>
      <c r="T2295" s="1">
        <f>IF($E2295="",0,SUMPRODUCT((AY_SONU!$O$7:$O$42="Evet")*(AY_SONU!$B$7:$B$42=DATE(YEAR($E2295),MONTH($E2295),1))))</f>
        <v>0</v>
      </c>
      <c r="U2295" s="1" t="str">
        <f>IF(OR($G2295="",$H2295="Mahsup"),"",$G2295&amp;"|"&amp;COUNTIFS($G$7:$G2295,$G2295,$H$7:$H2295,"&lt;&gt;Mahsup"))</f>
        <v/>
      </c>
    </row>
    <row r="2296" spans="1:21" ht="18" customHeight="1" x14ac:dyDescent="0.3">
      <c r="A2296" s="2"/>
      <c r="B2296" s="65" t="str">
        <f>IF($D2296="","","T"&amp;TEXT(ROW()-6,"00000"))</f>
        <v/>
      </c>
      <c r="C2296" s="65" t="str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61"/>
      <c r="E2296" s="66"/>
      <c r="F2296" s="67"/>
      <c r="G2296" s="60"/>
      <c r="H2296" s="60"/>
      <c r="I2296" s="61"/>
      <c r="J2296" s="61"/>
      <c r="K2296" s="61"/>
      <c r="L2296" s="73" t="str">
        <f>IF($E2296="","",DATE(YEAR($E2296),MONTH($E2296),1))</f>
        <v/>
      </c>
      <c r="M2296" s="65" t="str">
        <f ca="1">IF($D2296="","",IF($C2296="TANIMSIZ MÜŞTERİ","HATA",IF(OR($E2296="",$F2296&lt;=0,$G2296=""),"EKSİK",IF($E2296&gt;TODAY(),"İLERİ TARİH",IF(COUNTIF($S$7:$S$2503,$S2296)&gt;1,"MÜKERRER?",IF($T2296&gt;0,"KAPALI DÖNEM","UYGUN"))))))</f>
        <v/>
      </c>
      <c r="N2296" s="74" t="str">
        <f>IF($C2296="","",IF($C2296="TANIMSIZ MÜŞTERİ","—",INDEX(MUSTERILER!$C$7:$C$156,MATCH($C2296,MUSTERILER!$B$7:$B$156,0))))</f>
        <v/>
      </c>
      <c r="O2296" s="2"/>
      <c r="P2296" s="2"/>
      <c r="Q2296" s="1" t="str">
        <f>IF($D2296="","",$C2296&amp;"|"&amp;COUNTIFS($C$7:$C2296,$C2296))</f>
        <v/>
      </c>
      <c r="R2296" s="1" t="str">
        <f t="shared" si="70"/>
        <v/>
      </c>
      <c r="S2296" s="1" t="str">
        <f t="shared" si="71"/>
        <v/>
      </c>
      <c r="T2296" s="1">
        <f>IF($E2296="",0,SUMPRODUCT((AY_SONU!$O$7:$O$42="Evet")*(AY_SONU!$B$7:$B$42=DATE(YEAR($E2296),MONTH($E2296),1))))</f>
        <v>0</v>
      </c>
      <c r="U2296" s="1" t="str">
        <f>IF(OR($G2296="",$H2296="Mahsup"),"",$G2296&amp;"|"&amp;COUNTIFS($G$7:$G2296,$G2296,$H$7:$H2296,"&lt;&gt;Mahsup"))</f>
        <v/>
      </c>
    </row>
    <row r="2297" spans="1:21" ht="18" customHeight="1" x14ac:dyDescent="0.3">
      <c r="A2297" s="2"/>
      <c r="B2297" s="65" t="str">
        <f>IF($D2297="","","T"&amp;TEXT(ROW()-6,"00000"))</f>
        <v/>
      </c>
      <c r="C2297" s="65" t="str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61"/>
      <c r="E2297" s="66"/>
      <c r="F2297" s="67"/>
      <c r="G2297" s="60"/>
      <c r="H2297" s="60"/>
      <c r="I2297" s="61"/>
      <c r="J2297" s="61"/>
      <c r="K2297" s="61"/>
      <c r="L2297" s="73" t="str">
        <f>IF($E2297="","",DATE(YEAR($E2297),MONTH($E2297),1))</f>
        <v/>
      </c>
      <c r="M2297" s="65" t="str">
        <f ca="1">IF($D2297="","",IF($C2297="TANIMSIZ MÜŞTERİ","HATA",IF(OR($E2297="",$F2297&lt;=0,$G2297=""),"EKSİK",IF($E2297&gt;TODAY(),"İLERİ TARİH",IF(COUNTIF($S$7:$S$2503,$S2297)&gt;1,"MÜKERRER?",IF($T2297&gt;0,"KAPALI DÖNEM","UYGUN"))))))</f>
        <v/>
      </c>
      <c r="N2297" s="74" t="str">
        <f>IF($C2297="","",IF($C2297="TANIMSIZ MÜŞTERİ","—",INDEX(MUSTERILER!$C$7:$C$156,MATCH($C2297,MUSTERILER!$B$7:$B$156,0))))</f>
        <v/>
      </c>
      <c r="O2297" s="2"/>
      <c r="P2297" s="2"/>
      <c r="Q2297" s="1" t="str">
        <f>IF($D2297="","",$C2297&amp;"|"&amp;COUNTIFS($C$7:$C2297,$C2297))</f>
        <v/>
      </c>
      <c r="R2297" s="1" t="str">
        <f t="shared" si="70"/>
        <v/>
      </c>
      <c r="S2297" s="1" t="str">
        <f t="shared" si="71"/>
        <v/>
      </c>
      <c r="T2297" s="1">
        <f>IF($E2297="",0,SUMPRODUCT((AY_SONU!$O$7:$O$42="Evet")*(AY_SONU!$B$7:$B$42=DATE(YEAR($E2297),MONTH($E2297),1))))</f>
        <v>0</v>
      </c>
      <c r="U2297" s="1" t="str">
        <f>IF(OR($G2297="",$H2297="Mahsup"),"",$G2297&amp;"|"&amp;COUNTIFS($G$7:$G2297,$G2297,$H$7:$H2297,"&lt;&gt;Mahsup"))</f>
        <v/>
      </c>
    </row>
    <row r="2298" spans="1:21" ht="18" customHeight="1" x14ac:dyDescent="0.3">
      <c r="A2298" s="2"/>
      <c r="B2298" s="65" t="str">
        <f>IF($D2298="","","T"&amp;TEXT(ROW()-6,"00000"))</f>
        <v/>
      </c>
      <c r="C2298" s="65" t="str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61"/>
      <c r="E2298" s="66"/>
      <c r="F2298" s="67"/>
      <c r="G2298" s="60"/>
      <c r="H2298" s="60"/>
      <c r="I2298" s="61"/>
      <c r="J2298" s="61"/>
      <c r="K2298" s="61"/>
      <c r="L2298" s="73" t="str">
        <f>IF($E2298="","",DATE(YEAR($E2298),MONTH($E2298),1))</f>
        <v/>
      </c>
      <c r="M2298" s="65" t="str">
        <f ca="1">IF($D2298="","",IF($C2298="TANIMSIZ MÜŞTERİ","HATA",IF(OR($E2298="",$F2298&lt;=0,$G2298=""),"EKSİK",IF($E2298&gt;TODAY(),"İLERİ TARİH",IF(COUNTIF($S$7:$S$2503,$S2298)&gt;1,"MÜKERRER?",IF($T2298&gt;0,"KAPALI DÖNEM","UYGUN"))))))</f>
        <v/>
      </c>
      <c r="N2298" s="74" t="str">
        <f>IF($C2298="","",IF($C2298="TANIMSIZ MÜŞTERİ","—",INDEX(MUSTERILER!$C$7:$C$156,MATCH($C2298,MUSTERILER!$B$7:$B$156,0))))</f>
        <v/>
      </c>
      <c r="O2298" s="2"/>
      <c r="P2298" s="2"/>
      <c r="Q2298" s="1" t="str">
        <f>IF($D2298="","",$C2298&amp;"|"&amp;COUNTIFS($C$7:$C2298,$C2298))</f>
        <v/>
      </c>
      <c r="R2298" s="1" t="str">
        <f t="shared" si="70"/>
        <v/>
      </c>
      <c r="S2298" s="1" t="str">
        <f t="shared" si="71"/>
        <v/>
      </c>
      <c r="T2298" s="1">
        <f>IF($E2298="",0,SUMPRODUCT((AY_SONU!$O$7:$O$42="Evet")*(AY_SONU!$B$7:$B$42=DATE(YEAR($E2298),MONTH($E2298),1))))</f>
        <v>0</v>
      </c>
      <c r="U2298" s="1" t="str">
        <f>IF(OR($G2298="",$H2298="Mahsup"),"",$G2298&amp;"|"&amp;COUNTIFS($G$7:$G2298,$G2298,$H$7:$H2298,"&lt;&gt;Mahsup"))</f>
        <v/>
      </c>
    </row>
    <row r="2299" spans="1:21" ht="18" customHeight="1" x14ac:dyDescent="0.3">
      <c r="A2299" s="2"/>
      <c r="B2299" s="65" t="str">
        <f>IF($D2299="","","T"&amp;TEXT(ROW()-6,"00000"))</f>
        <v/>
      </c>
      <c r="C2299" s="65" t="str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61"/>
      <c r="E2299" s="66"/>
      <c r="F2299" s="67"/>
      <c r="G2299" s="60"/>
      <c r="H2299" s="60"/>
      <c r="I2299" s="61"/>
      <c r="J2299" s="61"/>
      <c r="K2299" s="61"/>
      <c r="L2299" s="73" t="str">
        <f>IF($E2299="","",DATE(YEAR($E2299),MONTH($E2299),1))</f>
        <v/>
      </c>
      <c r="M2299" s="65" t="str">
        <f ca="1">IF($D2299="","",IF($C2299="TANIMSIZ MÜŞTERİ","HATA",IF(OR($E2299="",$F2299&lt;=0,$G2299=""),"EKSİK",IF($E2299&gt;TODAY(),"İLERİ TARİH",IF(COUNTIF($S$7:$S$2503,$S2299)&gt;1,"MÜKERRER?",IF($T2299&gt;0,"KAPALI DÖNEM","UYGUN"))))))</f>
        <v/>
      </c>
      <c r="N2299" s="74" t="str">
        <f>IF($C2299="","",IF($C2299="TANIMSIZ MÜŞTERİ","—",INDEX(MUSTERILER!$C$7:$C$156,MATCH($C2299,MUSTERILER!$B$7:$B$156,0))))</f>
        <v/>
      </c>
      <c r="O2299" s="2"/>
      <c r="P2299" s="2"/>
      <c r="Q2299" s="1" t="str">
        <f>IF($D2299="","",$C2299&amp;"|"&amp;COUNTIFS($C$7:$C2299,$C2299))</f>
        <v/>
      </c>
      <c r="R2299" s="1" t="str">
        <f t="shared" si="70"/>
        <v/>
      </c>
      <c r="S2299" s="1" t="str">
        <f t="shared" si="71"/>
        <v/>
      </c>
      <c r="T2299" s="1">
        <f>IF($E2299="",0,SUMPRODUCT((AY_SONU!$O$7:$O$42="Evet")*(AY_SONU!$B$7:$B$42=DATE(YEAR($E2299),MONTH($E2299),1))))</f>
        <v>0</v>
      </c>
      <c r="U2299" s="1" t="str">
        <f>IF(OR($G2299="",$H2299="Mahsup"),"",$G2299&amp;"|"&amp;COUNTIFS($G$7:$G2299,$G2299,$H$7:$H2299,"&lt;&gt;Mahsup"))</f>
        <v/>
      </c>
    </row>
    <row r="2300" spans="1:21" ht="18" customHeight="1" x14ac:dyDescent="0.3">
      <c r="A2300" s="2"/>
      <c r="B2300" s="65" t="str">
        <f>IF($D2300="","","T"&amp;TEXT(ROW()-6,"00000"))</f>
        <v/>
      </c>
      <c r="C2300" s="65" t="str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61"/>
      <c r="E2300" s="66"/>
      <c r="F2300" s="67"/>
      <c r="G2300" s="60"/>
      <c r="H2300" s="60"/>
      <c r="I2300" s="61"/>
      <c r="J2300" s="61"/>
      <c r="K2300" s="61"/>
      <c r="L2300" s="73" t="str">
        <f>IF($E2300="","",DATE(YEAR($E2300),MONTH($E2300),1))</f>
        <v/>
      </c>
      <c r="M2300" s="65" t="str">
        <f ca="1">IF($D2300="","",IF($C2300="TANIMSIZ MÜŞTERİ","HATA",IF(OR($E2300="",$F2300&lt;=0,$G2300=""),"EKSİK",IF($E2300&gt;TODAY(),"İLERİ TARİH",IF(COUNTIF($S$7:$S$2503,$S2300)&gt;1,"MÜKERRER?",IF($T2300&gt;0,"KAPALI DÖNEM","UYGUN"))))))</f>
        <v/>
      </c>
      <c r="N2300" s="74" t="str">
        <f>IF($C2300="","",IF($C2300="TANIMSIZ MÜŞTERİ","—",INDEX(MUSTERILER!$C$7:$C$156,MATCH($C2300,MUSTERILER!$B$7:$B$156,0))))</f>
        <v/>
      </c>
      <c r="O2300" s="2"/>
      <c r="P2300" s="2"/>
      <c r="Q2300" s="1" t="str">
        <f>IF($D2300="","",$C2300&amp;"|"&amp;COUNTIFS($C$7:$C2300,$C2300))</f>
        <v/>
      </c>
      <c r="R2300" s="1" t="str">
        <f t="shared" si="70"/>
        <v/>
      </c>
      <c r="S2300" s="1" t="str">
        <f t="shared" si="71"/>
        <v/>
      </c>
      <c r="T2300" s="1">
        <f>IF($E2300="",0,SUMPRODUCT((AY_SONU!$O$7:$O$42="Evet")*(AY_SONU!$B$7:$B$42=DATE(YEAR($E2300),MONTH($E2300),1))))</f>
        <v>0</v>
      </c>
      <c r="U2300" s="1" t="str">
        <f>IF(OR($G2300="",$H2300="Mahsup"),"",$G2300&amp;"|"&amp;COUNTIFS($G$7:$G2300,$G2300,$H$7:$H2300,"&lt;&gt;Mahsup"))</f>
        <v/>
      </c>
    </row>
    <row r="2301" spans="1:21" ht="18" customHeight="1" x14ac:dyDescent="0.3">
      <c r="A2301" s="2"/>
      <c r="B2301" s="65" t="str">
        <f>IF($D2301="","","T"&amp;TEXT(ROW()-6,"00000"))</f>
        <v/>
      </c>
      <c r="C2301" s="65" t="str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61"/>
      <c r="E2301" s="66"/>
      <c r="F2301" s="67"/>
      <c r="G2301" s="60"/>
      <c r="H2301" s="60"/>
      <c r="I2301" s="61"/>
      <c r="J2301" s="61"/>
      <c r="K2301" s="61"/>
      <c r="L2301" s="73" t="str">
        <f>IF($E2301="","",DATE(YEAR($E2301),MONTH($E2301),1))</f>
        <v/>
      </c>
      <c r="M2301" s="65" t="str">
        <f ca="1">IF($D2301="","",IF($C2301="TANIMSIZ MÜŞTERİ","HATA",IF(OR($E2301="",$F2301&lt;=0,$G2301=""),"EKSİK",IF($E2301&gt;TODAY(),"İLERİ TARİH",IF(COUNTIF($S$7:$S$2503,$S2301)&gt;1,"MÜKERRER?",IF($T2301&gt;0,"KAPALI DÖNEM","UYGUN"))))))</f>
        <v/>
      </c>
      <c r="N2301" s="74" t="str">
        <f>IF($C2301="","",IF($C2301="TANIMSIZ MÜŞTERİ","—",INDEX(MUSTERILER!$C$7:$C$156,MATCH($C2301,MUSTERILER!$B$7:$B$156,0))))</f>
        <v/>
      </c>
      <c r="O2301" s="2"/>
      <c r="P2301" s="2"/>
      <c r="Q2301" s="1" t="str">
        <f>IF($D2301="","",$C2301&amp;"|"&amp;COUNTIFS($C$7:$C2301,$C2301))</f>
        <v/>
      </c>
      <c r="R2301" s="1" t="str">
        <f t="shared" si="70"/>
        <v/>
      </c>
      <c r="S2301" s="1" t="str">
        <f t="shared" si="71"/>
        <v/>
      </c>
      <c r="T2301" s="1">
        <f>IF($E2301="",0,SUMPRODUCT((AY_SONU!$O$7:$O$42="Evet")*(AY_SONU!$B$7:$B$42=DATE(YEAR($E2301),MONTH($E2301),1))))</f>
        <v>0</v>
      </c>
      <c r="U2301" s="1" t="str">
        <f>IF(OR($G2301="",$H2301="Mahsup"),"",$G2301&amp;"|"&amp;COUNTIFS($G$7:$G2301,$G2301,$H$7:$H2301,"&lt;&gt;Mahsup"))</f>
        <v/>
      </c>
    </row>
    <row r="2302" spans="1:21" ht="18" customHeight="1" x14ac:dyDescent="0.3">
      <c r="A2302" s="2"/>
      <c r="B2302" s="65" t="str">
        <f>IF($D2302="","","T"&amp;TEXT(ROW()-6,"00000"))</f>
        <v/>
      </c>
      <c r="C2302" s="65" t="str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61"/>
      <c r="E2302" s="66"/>
      <c r="F2302" s="67"/>
      <c r="G2302" s="60"/>
      <c r="H2302" s="60"/>
      <c r="I2302" s="61"/>
      <c r="J2302" s="61"/>
      <c r="K2302" s="61"/>
      <c r="L2302" s="73" t="str">
        <f>IF($E2302="","",DATE(YEAR($E2302),MONTH($E2302),1))</f>
        <v/>
      </c>
      <c r="M2302" s="65" t="str">
        <f ca="1">IF($D2302="","",IF($C2302="TANIMSIZ MÜŞTERİ","HATA",IF(OR($E2302="",$F2302&lt;=0,$G2302=""),"EKSİK",IF($E2302&gt;TODAY(),"İLERİ TARİH",IF(COUNTIF($S$7:$S$2503,$S2302)&gt;1,"MÜKERRER?",IF($T2302&gt;0,"KAPALI DÖNEM","UYGUN"))))))</f>
        <v/>
      </c>
      <c r="N2302" s="74" t="str">
        <f>IF($C2302="","",IF($C2302="TANIMSIZ MÜŞTERİ","—",INDEX(MUSTERILER!$C$7:$C$156,MATCH($C2302,MUSTERILER!$B$7:$B$156,0))))</f>
        <v/>
      </c>
      <c r="O2302" s="2"/>
      <c r="P2302" s="2"/>
      <c r="Q2302" s="1" t="str">
        <f>IF($D2302="","",$C2302&amp;"|"&amp;COUNTIFS($C$7:$C2302,$C2302))</f>
        <v/>
      </c>
      <c r="R2302" s="1" t="str">
        <f t="shared" si="70"/>
        <v/>
      </c>
      <c r="S2302" s="1" t="str">
        <f t="shared" si="71"/>
        <v/>
      </c>
      <c r="T2302" s="1">
        <f>IF($E2302="",0,SUMPRODUCT((AY_SONU!$O$7:$O$42="Evet")*(AY_SONU!$B$7:$B$42=DATE(YEAR($E2302),MONTH($E2302),1))))</f>
        <v>0</v>
      </c>
      <c r="U2302" s="1" t="str">
        <f>IF(OR($G2302="",$H2302="Mahsup"),"",$G2302&amp;"|"&amp;COUNTIFS($G$7:$G2302,$G2302,$H$7:$H2302,"&lt;&gt;Mahsup"))</f>
        <v/>
      </c>
    </row>
    <row r="2303" spans="1:21" ht="18" customHeight="1" x14ac:dyDescent="0.3">
      <c r="A2303" s="2"/>
      <c r="B2303" s="65" t="str">
        <f>IF($D2303="","","T"&amp;TEXT(ROW()-6,"00000"))</f>
        <v/>
      </c>
      <c r="C2303" s="65" t="str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61"/>
      <c r="E2303" s="66"/>
      <c r="F2303" s="67"/>
      <c r="G2303" s="60"/>
      <c r="H2303" s="60"/>
      <c r="I2303" s="61"/>
      <c r="J2303" s="61"/>
      <c r="K2303" s="61"/>
      <c r="L2303" s="73" t="str">
        <f>IF($E2303="","",DATE(YEAR($E2303),MONTH($E2303),1))</f>
        <v/>
      </c>
      <c r="M2303" s="65" t="str">
        <f ca="1">IF($D2303="","",IF($C2303="TANIMSIZ MÜŞTERİ","HATA",IF(OR($E2303="",$F2303&lt;=0,$G2303=""),"EKSİK",IF($E2303&gt;TODAY(),"İLERİ TARİH",IF(COUNTIF($S$7:$S$2503,$S2303)&gt;1,"MÜKERRER?",IF($T2303&gt;0,"KAPALI DÖNEM","UYGUN"))))))</f>
        <v/>
      </c>
      <c r="N2303" s="74" t="str">
        <f>IF($C2303="","",IF($C2303="TANIMSIZ MÜŞTERİ","—",INDEX(MUSTERILER!$C$7:$C$156,MATCH($C2303,MUSTERILER!$B$7:$B$156,0))))</f>
        <v/>
      </c>
      <c r="O2303" s="2"/>
      <c r="P2303" s="2"/>
      <c r="Q2303" s="1" t="str">
        <f>IF($D2303="","",$C2303&amp;"|"&amp;COUNTIFS($C$7:$C2303,$C2303))</f>
        <v/>
      </c>
      <c r="R2303" s="1" t="str">
        <f t="shared" si="70"/>
        <v/>
      </c>
      <c r="S2303" s="1" t="str">
        <f t="shared" si="71"/>
        <v/>
      </c>
      <c r="T2303" s="1">
        <f>IF($E2303="",0,SUMPRODUCT((AY_SONU!$O$7:$O$42="Evet")*(AY_SONU!$B$7:$B$42=DATE(YEAR($E2303),MONTH($E2303),1))))</f>
        <v>0</v>
      </c>
      <c r="U2303" s="1" t="str">
        <f>IF(OR($G2303="",$H2303="Mahsup"),"",$G2303&amp;"|"&amp;COUNTIFS($G$7:$G2303,$G2303,$H$7:$H2303,"&lt;&gt;Mahsup"))</f>
        <v/>
      </c>
    </row>
    <row r="2304" spans="1:21" ht="18" customHeight="1" x14ac:dyDescent="0.3">
      <c r="A2304" s="2"/>
      <c r="B2304" s="65" t="str">
        <f>IF($D2304="","","T"&amp;TEXT(ROW()-6,"00000"))</f>
        <v/>
      </c>
      <c r="C2304" s="65" t="str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61"/>
      <c r="E2304" s="66"/>
      <c r="F2304" s="67"/>
      <c r="G2304" s="60"/>
      <c r="H2304" s="60"/>
      <c r="I2304" s="61"/>
      <c r="J2304" s="61"/>
      <c r="K2304" s="61"/>
      <c r="L2304" s="73" t="str">
        <f>IF($E2304="","",DATE(YEAR($E2304),MONTH($E2304),1))</f>
        <v/>
      </c>
      <c r="M2304" s="65" t="str">
        <f ca="1">IF($D2304="","",IF($C2304="TANIMSIZ MÜŞTERİ","HATA",IF(OR($E2304="",$F2304&lt;=0,$G2304=""),"EKSİK",IF($E2304&gt;TODAY(),"İLERİ TARİH",IF(COUNTIF($S$7:$S$2503,$S2304)&gt;1,"MÜKERRER?",IF($T2304&gt;0,"KAPALI DÖNEM","UYGUN"))))))</f>
        <v/>
      </c>
      <c r="N2304" s="74" t="str">
        <f>IF($C2304="","",IF($C2304="TANIMSIZ MÜŞTERİ","—",INDEX(MUSTERILER!$C$7:$C$156,MATCH($C2304,MUSTERILER!$B$7:$B$156,0))))</f>
        <v/>
      </c>
      <c r="O2304" s="2"/>
      <c r="P2304" s="2"/>
      <c r="Q2304" s="1" t="str">
        <f>IF($D2304="","",$C2304&amp;"|"&amp;COUNTIFS($C$7:$C2304,$C2304))</f>
        <v/>
      </c>
      <c r="R2304" s="1" t="str">
        <f t="shared" si="70"/>
        <v/>
      </c>
      <c r="S2304" s="1" t="str">
        <f t="shared" si="71"/>
        <v/>
      </c>
      <c r="T2304" s="1">
        <f>IF($E2304="",0,SUMPRODUCT((AY_SONU!$O$7:$O$42="Evet")*(AY_SONU!$B$7:$B$42=DATE(YEAR($E2304),MONTH($E2304),1))))</f>
        <v>0</v>
      </c>
      <c r="U2304" s="1" t="str">
        <f>IF(OR($G2304="",$H2304="Mahsup"),"",$G2304&amp;"|"&amp;COUNTIFS($G$7:$G2304,$G2304,$H$7:$H2304,"&lt;&gt;Mahsup"))</f>
        <v/>
      </c>
    </row>
    <row r="2305" spans="1:21" ht="18" customHeight="1" x14ac:dyDescent="0.3">
      <c r="A2305" s="2"/>
      <c r="B2305" s="65" t="str">
        <f>IF($D2305="","","T"&amp;TEXT(ROW()-6,"00000"))</f>
        <v/>
      </c>
      <c r="C2305" s="65" t="str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61"/>
      <c r="E2305" s="66"/>
      <c r="F2305" s="67"/>
      <c r="G2305" s="60"/>
      <c r="H2305" s="60"/>
      <c r="I2305" s="61"/>
      <c r="J2305" s="61"/>
      <c r="K2305" s="61"/>
      <c r="L2305" s="73" t="str">
        <f>IF($E2305="","",DATE(YEAR($E2305),MONTH($E2305),1))</f>
        <v/>
      </c>
      <c r="M2305" s="65" t="str">
        <f ca="1">IF($D2305="","",IF($C2305="TANIMSIZ MÜŞTERİ","HATA",IF(OR($E2305="",$F2305&lt;=0,$G2305=""),"EKSİK",IF($E2305&gt;TODAY(),"İLERİ TARİH",IF(COUNTIF($S$7:$S$2503,$S2305)&gt;1,"MÜKERRER?",IF($T2305&gt;0,"KAPALI DÖNEM","UYGUN"))))))</f>
        <v/>
      </c>
      <c r="N2305" s="74" t="str">
        <f>IF($C2305="","",IF($C2305="TANIMSIZ MÜŞTERİ","—",INDEX(MUSTERILER!$C$7:$C$156,MATCH($C2305,MUSTERILER!$B$7:$B$156,0))))</f>
        <v/>
      </c>
      <c r="O2305" s="2"/>
      <c r="P2305" s="2"/>
      <c r="Q2305" s="1" t="str">
        <f>IF($D2305="","",$C2305&amp;"|"&amp;COUNTIFS($C$7:$C2305,$C2305))</f>
        <v/>
      </c>
      <c r="R2305" s="1" t="str">
        <f t="shared" si="70"/>
        <v/>
      </c>
      <c r="S2305" s="1" t="str">
        <f t="shared" si="71"/>
        <v/>
      </c>
      <c r="T2305" s="1">
        <f>IF($E2305="",0,SUMPRODUCT((AY_SONU!$O$7:$O$42="Evet")*(AY_SONU!$B$7:$B$42=DATE(YEAR($E2305),MONTH($E2305),1))))</f>
        <v>0</v>
      </c>
      <c r="U2305" s="1" t="str">
        <f>IF(OR($G2305="",$H2305="Mahsup"),"",$G2305&amp;"|"&amp;COUNTIFS($G$7:$G2305,$G2305,$H$7:$H2305,"&lt;&gt;Mahsup"))</f>
        <v/>
      </c>
    </row>
    <row r="2306" spans="1:21" ht="18" customHeight="1" x14ac:dyDescent="0.3">
      <c r="A2306" s="2"/>
      <c r="B2306" s="65" t="str">
        <f>IF($D2306="","","T"&amp;TEXT(ROW()-6,"00000"))</f>
        <v/>
      </c>
      <c r="C2306" s="65" t="str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61"/>
      <c r="E2306" s="66"/>
      <c r="F2306" s="67"/>
      <c r="G2306" s="60"/>
      <c r="H2306" s="60"/>
      <c r="I2306" s="61"/>
      <c r="J2306" s="61"/>
      <c r="K2306" s="61"/>
      <c r="L2306" s="73" t="str">
        <f>IF($E2306="","",DATE(YEAR($E2306),MONTH($E2306),1))</f>
        <v/>
      </c>
      <c r="M2306" s="65" t="str">
        <f ca="1">IF($D2306="","",IF($C2306="TANIMSIZ MÜŞTERİ","HATA",IF(OR($E2306="",$F2306&lt;=0,$G2306=""),"EKSİK",IF($E2306&gt;TODAY(),"İLERİ TARİH",IF(COUNTIF($S$7:$S$2503,$S2306)&gt;1,"MÜKERRER?",IF($T2306&gt;0,"KAPALI DÖNEM","UYGUN"))))))</f>
        <v/>
      </c>
      <c r="N2306" s="74" t="str">
        <f>IF($C2306="","",IF($C2306="TANIMSIZ MÜŞTERİ","—",INDEX(MUSTERILER!$C$7:$C$156,MATCH($C2306,MUSTERILER!$B$7:$B$156,0))))</f>
        <v/>
      </c>
      <c r="O2306" s="2"/>
      <c r="P2306" s="2"/>
      <c r="Q2306" s="1" t="str">
        <f>IF($D2306="","",$C2306&amp;"|"&amp;COUNTIFS($C$7:$C2306,$C2306))</f>
        <v/>
      </c>
      <c r="R2306" s="1" t="str">
        <f t="shared" si="70"/>
        <v/>
      </c>
      <c r="S2306" s="1" t="str">
        <f t="shared" si="71"/>
        <v/>
      </c>
      <c r="T2306" s="1">
        <f>IF($E2306="",0,SUMPRODUCT((AY_SONU!$O$7:$O$42="Evet")*(AY_SONU!$B$7:$B$42=DATE(YEAR($E2306),MONTH($E2306),1))))</f>
        <v>0</v>
      </c>
      <c r="U2306" s="1" t="str">
        <f>IF(OR($G2306="",$H2306="Mahsup"),"",$G2306&amp;"|"&amp;COUNTIFS($G$7:$G2306,$G2306,$H$7:$H2306,"&lt;&gt;Mahsup"))</f>
        <v/>
      </c>
    </row>
    <row r="2307" spans="1:21" ht="18" customHeight="1" x14ac:dyDescent="0.3">
      <c r="A2307" s="2"/>
      <c r="B2307" s="65" t="str">
        <f>IF($D2307="","","T"&amp;TEXT(ROW()-6,"00000"))</f>
        <v/>
      </c>
      <c r="C2307" s="65" t="str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61"/>
      <c r="E2307" s="66"/>
      <c r="F2307" s="67"/>
      <c r="G2307" s="60"/>
      <c r="H2307" s="60"/>
      <c r="I2307" s="61"/>
      <c r="J2307" s="61"/>
      <c r="K2307" s="61"/>
      <c r="L2307" s="73" t="str">
        <f>IF($E2307="","",DATE(YEAR($E2307),MONTH($E2307),1))</f>
        <v/>
      </c>
      <c r="M2307" s="65" t="str">
        <f ca="1">IF($D2307="","",IF($C2307="TANIMSIZ MÜŞTERİ","HATA",IF(OR($E2307="",$F2307&lt;=0,$G2307=""),"EKSİK",IF($E2307&gt;TODAY(),"İLERİ TARİH",IF(COUNTIF($S$7:$S$2503,$S2307)&gt;1,"MÜKERRER?",IF($T2307&gt;0,"KAPALI DÖNEM","UYGUN"))))))</f>
        <v/>
      </c>
      <c r="N2307" s="74" t="str">
        <f>IF($C2307="","",IF($C2307="TANIMSIZ MÜŞTERİ","—",INDEX(MUSTERILER!$C$7:$C$156,MATCH($C2307,MUSTERILER!$B$7:$B$156,0))))</f>
        <v/>
      </c>
      <c r="O2307" s="2"/>
      <c r="P2307" s="2"/>
      <c r="Q2307" s="1" t="str">
        <f>IF($D2307="","",$C2307&amp;"|"&amp;COUNTIFS($C$7:$C2307,$C2307))</f>
        <v/>
      </c>
      <c r="R2307" s="1" t="str">
        <f t="shared" si="70"/>
        <v/>
      </c>
      <c r="S2307" s="1" t="str">
        <f t="shared" si="71"/>
        <v/>
      </c>
      <c r="T2307" s="1">
        <f>IF($E2307="",0,SUMPRODUCT((AY_SONU!$O$7:$O$42="Evet")*(AY_SONU!$B$7:$B$42=DATE(YEAR($E2307),MONTH($E2307),1))))</f>
        <v>0</v>
      </c>
      <c r="U2307" s="1" t="str">
        <f>IF(OR($G2307="",$H2307="Mahsup"),"",$G2307&amp;"|"&amp;COUNTIFS($G$7:$G2307,$G2307,$H$7:$H2307,"&lt;&gt;Mahsup"))</f>
        <v/>
      </c>
    </row>
    <row r="2308" spans="1:21" ht="18" customHeight="1" x14ac:dyDescent="0.3">
      <c r="A2308" s="2"/>
      <c r="B2308" s="65" t="str">
        <f>IF($D2308="","","T"&amp;TEXT(ROW()-6,"00000"))</f>
        <v/>
      </c>
      <c r="C2308" s="65" t="str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61"/>
      <c r="E2308" s="66"/>
      <c r="F2308" s="67"/>
      <c r="G2308" s="60"/>
      <c r="H2308" s="60"/>
      <c r="I2308" s="61"/>
      <c r="J2308" s="61"/>
      <c r="K2308" s="61"/>
      <c r="L2308" s="73" t="str">
        <f>IF($E2308="","",DATE(YEAR($E2308),MONTH($E2308),1))</f>
        <v/>
      </c>
      <c r="M2308" s="65" t="str">
        <f ca="1">IF($D2308="","",IF($C2308="TANIMSIZ MÜŞTERİ","HATA",IF(OR($E2308="",$F2308&lt;=0,$G2308=""),"EKSİK",IF($E2308&gt;TODAY(),"İLERİ TARİH",IF(COUNTIF($S$7:$S$2503,$S2308)&gt;1,"MÜKERRER?",IF($T2308&gt;0,"KAPALI DÖNEM","UYGUN"))))))</f>
        <v/>
      </c>
      <c r="N2308" s="74" t="str">
        <f>IF($C2308="","",IF($C2308="TANIMSIZ MÜŞTERİ","—",INDEX(MUSTERILER!$C$7:$C$156,MATCH($C2308,MUSTERILER!$B$7:$B$156,0))))</f>
        <v/>
      </c>
      <c r="O2308" s="2"/>
      <c r="P2308" s="2"/>
      <c r="Q2308" s="1" t="str">
        <f>IF($D2308="","",$C2308&amp;"|"&amp;COUNTIFS($C$7:$C2308,$C2308))</f>
        <v/>
      </c>
      <c r="R2308" s="1" t="str">
        <f t="shared" si="70"/>
        <v/>
      </c>
      <c r="S2308" s="1" t="str">
        <f t="shared" si="71"/>
        <v/>
      </c>
      <c r="T2308" s="1">
        <f>IF($E2308="",0,SUMPRODUCT((AY_SONU!$O$7:$O$42="Evet")*(AY_SONU!$B$7:$B$42=DATE(YEAR($E2308),MONTH($E2308),1))))</f>
        <v>0</v>
      </c>
      <c r="U2308" s="1" t="str">
        <f>IF(OR($G2308="",$H2308="Mahsup"),"",$G2308&amp;"|"&amp;COUNTIFS($G$7:$G2308,$G2308,$H$7:$H2308,"&lt;&gt;Mahsup"))</f>
        <v/>
      </c>
    </row>
    <row r="2309" spans="1:21" ht="18" customHeight="1" x14ac:dyDescent="0.3">
      <c r="A2309" s="2"/>
      <c r="B2309" s="65" t="str">
        <f>IF($D2309="","","T"&amp;TEXT(ROW()-6,"00000"))</f>
        <v/>
      </c>
      <c r="C2309" s="65" t="str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61"/>
      <c r="E2309" s="66"/>
      <c r="F2309" s="67"/>
      <c r="G2309" s="60"/>
      <c r="H2309" s="60"/>
      <c r="I2309" s="61"/>
      <c r="J2309" s="61"/>
      <c r="K2309" s="61"/>
      <c r="L2309" s="73" t="str">
        <f>IF($E2309="","",DATE(YEAR($E2309),MONTH($E2309),1))</f>
        <v/>
      </c>
      <c r="M2309" s="65" t="str">
        <f ca="1">IF($D2309="","",IF($C2309="TANIMSIZ MÜŞTERİ","HATA",IF(OR($E2309="",$F2309&lt;=0,$G2309=""),"EKSİK",IF($E2309&gt;TODAY(),"İLERİ TARİH",IF(COUNTIF($S$7:$S$2503,$S2309)&gt;1,"MÜKERRER?",IF($T2309&gt;0,"KAPALI DÖNEM","UYGUN"))))))</f>
        <v/>
      </c>
      <c r="N2309" s="74" t="str">
        <f>IF($C2309="","",IF($C2309="TANIMSIZ MÜŞTERİ","—",INDEX(MUSTERILER!$C$7:$C$156,MATCH($C2309,MUSTERILER!$B$7:$B$156,0))))</f>
        <v/>
      </c>
      <c r="O2309" s="2"/>
      <c r="P2309" s="2"/>
      <c r="Q2309" s="1" t="str">
        <f>IF($D2309="","",$C2309&amp;"|"&amp;COUNTIFS($C$7:$C2309,$C2309))</f>
        <v/>
      </c>
      <c r="R2309" s="1" t="str">
        <f t="shared" si="70"/>
        <v/>
      </c>
      <c r="S2309" s="1" t="str">
        <f t="shared" si="71"/>
        <v/>
      </c>
      <c r="T2309" s="1">
        <f>IF($E2309="",0,SUMPRODUCT((AY_SONU!$O$7:$O$42="Evet")*(AY_SONU!$B$7:$B$42=DATE(YEAR($E2309),MONTH($E2309),1))))</f>
        <v>0</v>
      </c>
      <c r="U2309" s="1" t="str">
        <f>IF(OR($G2309="",$H2309="Mahsup"),"",$G2309&amp;"|"&amp;COUNTIFS($G$7:$G2309,$G2309,$H$7:$H2309,"&lt;&gt;Mahsup"))</f>
        <v/>
      </c>
    </row>
    <row r="2310" spans="1:21" ht="18" customHeight="1" x14ac:dyDescent="0.3">
      <c r="A2310" s="2"/>
      <c r="B2310" s="65" t="str">
        <f>IF($D2310="","","T"&amp;TEXT(ROW()-6,"00000"))</f>
        <v/>
      </c>
      <c r="C2310" s="65" t="str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61"/>
      <c r="E2310" s="66"/>
      <c r="F2310" s="67"/>
      <c r="G2310" s="60"/>
      <c r="H2310" s="60"/>
      <c r="I2310" s="61"/>
      <c r="J2310" s="61"/>
      <c r="K2310" s="61"/>
      <c r="L2310" s="73" t="str">
        <f>IF($E2310="","",DATE(YEAR($E2310),MONTH($E2310),1))</f>
        <v/>
      </c>
      <c r="M2310" s="65" t="str">
        <f ca="1">IF($D2310="","",IF($C2310="TANIMSIZ MÜŞTERİ","HATA",IF(OR($E2310="",$F2310&lt;=0,$G2310=""),"EKSİK",IF($E2310&gt;TODAY(),"İLERİ TARİH",IF(COUNTIF($S$7:$S$2503,$S2310)&gt;1,"MÜKERRER?",IF($T2310&gt;0,"KAPALI DÖNEM","UYGUN"))))))</f>
        <v/>
      </c>
      <c r="N2310" s="74" t="str">
        <f>IF($C2310="","",IF($C2310="TANIMSIZ MÜŞTERİ","—",INDEX(MUSTERILER!$C$7:$C$156,MATCH($C2310,MUSTERILER!$B$7:$B$156,0))))</f>
        <v/>
      </c>
      <c r="O2310" s="2"/>
      <c r="P2310" s="2"/>
      <c r="Q2310" s="1" t="str">
        <f>IF($D2310="","",$C2310&amp;"|"&amp;COUNTIFS($C$7:$C2310,$C2310))</f>
        <v/>
      </c>
      <c r="R2310" s="1" t="str">
        <f t="shared" si="70"/>
        <v/>
      </c>
      <c r="S2310" s="1" t="str">
        <f t="shared" si="71"/>
        <v/>
      </c>
      <c r="T2310" s="1">
        <f>IF($E2310="",0,SUMPRODUCT((AY_SONU!$O$7:$O$42="Evet")*(AY_SONU!$B$7:$B$42=DATE(YEAR($E2310),MONTH($E2310),1))))</f>
        <v>0</v>
      </c>
      <c r="U2310" s="1" t="str">
        <f>IF(OR($G2310="",$H2310="Mahsup"),"",$G2310&amp;"|"&amp;COUNTIFS($G$7:$G2310,$G2310,$H$7:$H2310,"&lt;&gt;Mahsup"))</f>
        <v/>
      </c>
    </row>
    <row r="2311" spans="1:21" ht="18" customHeight="1" x14ac:dyDescent="0.3">
      <c r="A2311" s="2"/>
      <c r="B2311" s="65" t="str">
        <f>IF($D2311="","","T"&amp;TEXT(ROW()-6,"00000"))</f>
        <v/>
      </c>
      <c r="C2311" s="65" t="str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61"/>
      <c r="E2311" s="66"/>
      <c r="F2311" s="67"/>
      <c r="G2311" s="60"/>
      <c r="H2311" s="60"/>
      <c r="I2311" s="61"/>
      <c r="J2311" s="61"/>
      <c r="K2311" s="61"/>
      <c r="L2311" s="73" t="str">
        <f>IF($E2311="","",DATE(YEAR($E2311),MONTH($E2311),1))</f>
        <v/>
      </c>
      <c r="M2311" s="65" t="str">
        <f ca="1">IF($D2311="","",IF($C2311="TANIMSIZ MÜŞTERİ","HATA",IF(OR($E2311="",$F2311&lt;=0,$G2311=""),"EKSİK",IF($E2311&gt;TODAY(),"İLERİ TARİH",IF(COUNTIF($S$7:$S$2503,$S2311)&gt;1,"MÜKERRER?",IF($T2311&gt;0,"KAPALI DÖNEM","UYGUN"))))))</f>
        <v/>
      </c>
      <c r="N2311" s="74" t="str">
        <f>IF($C2311="","",IF($C2311="TANIMSIZ MÜŞTERİ","—",INDEX(MUSTERILER!$C$7:$C$156,MATCH($C2311,MUSTERILER!$B$7:$B$156,0))))</f>
        <v/>
      </c>
      <c r="O2311" s="2"/>
      <c r="P2311" s="2"/>
      <c r="Q2311" s="1" t="str">
        <f>IF($D2311="","",$C2311&amp;"|"&amp;COUNTIFS($C$7:$C2311,$C2311))</f>
        <v/>
      </c>
      <c r="R2311" s="1" t="str">
        <f t="shared" ref="R2311:R2374" si="72"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" t="str">
        <f t="shared" ref="S2311:S2374" si="73">IF($D2311="","",$C2311&amp;"|"&amp;TEXT($E2311,"0")&amp;"|"&amp;TEXT($F2311,"0")&amp;"|"&amp;$I2311)</f>
        <v/>
      </c>
      <c r="T2311" s="1">
        <f>IF($E2311="",0,SUMPRODUCT((AY_SONU!$O$7:$O$42="Evet")*(AY_SONU!$B$7:$B$42=DATE(YEAR($E2311),MONTH($E2311),1))))</f>
        <v>0</v>
      </c>
      <c r="U2311" s="1" t="str">
        <f>IF(OR($G2311="",$H2311="Mahsup"),"",$G2311&amp;"|"&amp;COUNTIFS($G$7:$G2311,$G2311,$H$7:$H2311,"&lt;&gt;Mahsup"))</f>
        <v/>
      </c>
    </row>
    <row r="2312" spans="1:21" ht="18" customHeight="1" x14ac:dyDescent="0.3">
      <c r="A2312" s="2"/>
      <c r="B2312" s="65" t="str">
        <f>IF($D2312="","","T"&amp;TEXT(ROW()-6,"00000"))</f>
        <v/>
      </c>
      <c r="C2312" s="65" t="str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61"/>
      <c r="E2312" s="66"/>
      <c r="F2312" s="67"/>
      <c r="G2312" s="60"/>
      <c r="H2312" s="60"/>
      <c r="I2312" s="61"/>
      <c r="J2312" s="61"/>
      <c r="K2312" s="61"/>
      <c r="L2312" s="73" t="str">
        <f>IF($E2312="","",DATE(YEAR($E2312),MONTH($E2312),1))</f>
        <v/>
      </c>
      <c r="M2312" s="65" t="str">
        <f ca="1">IF($D2312="","",IF($C2312="TANIMSIZ MÜŞTERİ","HATA",IF(OR($E2312="",$F2312&lt;=0,$G2312=""),"EKSİK",IF($E2312&gt;TODAY(),"İLERİ TARİH",IF(COUNTIF($S$7:$S$2503,$S2312)&gt;1,"MÜKERRER?",IF($T2312&gt;0,"KAPALI DÖNEM","UYGUN"))))))</f>
        <v/>
      </c>
      <c r="N2312" s="74" t="str">
        <f>IF($C2312="","",IF($C2312="TANIMSIZ MÜŞTERİ","—",INDEX(MUSTERILER!$C$7:$C$156,MATCH($C2312,MUSTERILER!$B$7:$B$156,0))))</f>
        <v/>
      </c>
      <c r="O2312" s="2"/>
      <c r="P2312" s="2"/>
      <c r="Q2312" s="1" t="str">
        <f>IF($D2312="","",$C2312&amp;"|"&amp;COUNTIFS($C$7:$C2312,$C2312))</f>
        <v/>
      </c>
      <c r="R2312" s="1" t="str">
        <f t="shared" si="72"/>
        <v/>
      </c>
      <c r="S2312" s="1" t="str">
        <f t="shared" si="73"/>
        <v/>
      </c>
      <c r="T2312" s="1">
        <f>IF($E2312="",0,SUMPRODUCT((AY_SONU!$O$7:$O$42="Evet")*(AY_SONU!$B$7:$B$42=DATE(YEAR($E2312),MONTH($E2312),1))))</f>
        <v>0</v>
      </c>
      <c r="U2312" s="1" t="str">
        <f>IF(OR($G2312="",$H2312="Mahsup"),"",$G2312&amp;"|"&amp;COUNTIFS($G$7:$G2312,$G2312,$H$7:$H2312,"&lt;&gt;Mahsup"))</f>
        <v/>
      </c>
    </row>
    <row r="2313" spans="1:21" ht="18" customHeight="1" x14ac:dyDescent="0.3">
      <c r="A2313" s="2"/>
      <c r="B2313" s="65" t="str">
        <f>IF($D2313="","","T"&amp;TEXT(ROW()-6,"00000"))</f>
        <v/>
      </c>
      <c r="C2313" s="65" t="str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61"/>
      <c r="E2313" s="66"/>
      <c r="F2313" s="67"/>
      <c r="G2313" s="60"/>
      <c r="H2313" s="60"/>
      <c r="I2313" s="61"/>
      <c r="J2313" s="61"/>
      <c r="K2313" s="61"/>
      <c r="L2313" s="73" t="str">
        <f>IF($E2313="","",DATE(YEAR($E2313),MONTH($E2313),1))</f>
        <v/>
      </c>
      <c r="M2313" s="65" t="str">
        <f ca="1">IF($D2313="","",IF($C2313="TANIMSIZ MÜŞTERİ","HATA",IF(OR($E2313="",$F2313&lt;=0,$G2313=""),"EKSİK",IF($E2313&gt;TODAY(),"İLERİ TARİH",IF(COUNTIF($S$7:$S$2503,$S2313)&gt;1,"MÜKERRER?",IF($T2313&gt;0,"KAPALI DÖNEM","UYGUN"))))))</f>
        <v/>
      </c>
      <c r="N2313" s="74" t="str">
        <f>IF($C2313="","",IF($C2313="TANIMSIZ MÜŞTERİ","—",INDEX(MUSTERILER!$C$7:$C$156,MATCH($C2313,MUSTERILER!$B$7:$B$156,0))))</f>
        <v/>
      </c>
      <c r="O2313" s="2"/>
      <c r="P2313" s="2"/>
      <c r="Q2313" s="1" t="str">
        <f>IF($D2313="","",$C2313&amp;"|"&amp;COUNTIFS($C$7:$C2313,$C2313))</f>
        <v/>
      </c>
      <c r="R2313" s="1" t="str">
        <f t="shared" si="72"/>
        <v/>
      </c>
      <c r="S2313" s="1" t="str">
        <f t="shared" si="73"/>
        <v/>
      </c>
      <c r="T2313" s="1">
        <f>IF($E2313="",0,SUMPRODUCT((AY_SONU!$O$7:$O$42="Evet")*(AY_SONU!$B$7:$B$42=DATE(YEAR($E2313),MONTH($E2313),1))))</f>
        <v>0</v>
      </c>
      <c r="U2313" s="1" t="str">
        <f>IF(OR($G2313="",$H2313="Mahsup"),"",$G2313&amp;"|"&amp;COUNTIFS($G$7:$G2313,$G2313,$H$7:$H2313,"&lt;&gt;Mahsup"))</f>
        <v/>
      </c>
    </row>
    <row r="2314" spans="1:21" ht="18" customHeight="1" x14ac:dyDescent="0.3">
      <c r="A2314" s="2"/>
      <c r="B2314" s="65" t="str">
        <f>IF($D2314="","","T"&amp;TEXT(ROW()-6,"00000"))</f>
        <v/>
      </c>
      <c r="C2314" s="65" t="str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61"/>
      <c r="E2314" s="66"/>
      <c r="F2314" s="67"/>
      <c r="G2314" s="60"/>
      <c r="H2314" s="60"/>
      <c r="I2314" s="61"/>
      <c r="J2314" s="61"/>
      <c r="K2314" s="61"/>
      <c r="L2314" s="73" t="str">
        <f>IF($E2314="","",DATE(YEAR($E2314),MONTH($E2314),1))</f>
        <v/>
      </c>
      <c r="M2314" s="65" t="str">
        <f ca="1">IF($D2314="","",IF($C2314="TANIMSIZ MÜŞTERİ","HATA",IF(OR($E2314="",$F2314&lt;=0,$G2314=""),"EKSİK",IF($E2314&gt;TODAY(),"İLERİ TARİH",IF(COUNTIF($S$7:$S$2503,$S2314)&gt;1,"MÜKERRER?",IF($T2314&gt;0,"KAPALI DÖNEM","UYGUN"))))))</f>
        <v/>
      </c>
      <c r="N2314" s="74" t="str">
        <f>IF($C2314="","",IF($C2314="TANIMSIZ MÜŞTERİ","—",INDEX(MUSTERILER!$C$7:$C$156,MATCH($C2314,MUSTERILER!$B$7:$B$156,0))))</f>
        <v/>
      </c>
      <c r="O2314" s="2"/>
      <c r="P2314" s="2"/>
      <c r="Q2314" s="1" t="str">
        <f>IF($D2314="","",$C2314&amp;"|"&amp;COUNTIFS($C$7:$C2314,$C2314))</f>
        <v/>
      </c>
      <c r="R2314" s="1" t="str">
        <f t="shared" si="72"/>
        <v/>
      </c>
      <c r="S2314" s="1" t="str">
        <f t="shared" si="73"/>
        <v/>
      </c>
      <c r="T2314" s="1">
        <f>IF($E2314="",0,SUMPRODUCT((AY_SONU!$O$7:$O$42="Evet")*(AY_SONU!$B$7:$B$42=DATE(YEAR($E2314),MONTH($E2314),1))))</f>
        <v>0</v>
      </c>
      <c r="U2314" s="1" t="str">
        <f>IF(OR($G2314="",$H2314="Mahsup"),"",$G2314&amp;"|"&amp;COUNTIFS($G$7:$G2314,$G2314,$H$7:$H2314,"&lt;&gt;Mahsup"))</f>
        <v/>
      </c>
    </row>
    <row r="2315" spans="1:21" ht="18" customHeight="1" x14ac:dyDescent="0.3">
      <c r="A2315" s="2"/>
      <c r="B2315" s="65" t="str">
        <f>IF($D2315="","","T"&amp;TEXT(ROW()-6,"00000"))</f>
        <v/>
      </c>
      <c r="C2315" s="65" t="str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61"/>
      <c r="E2315" s="66"/>
      <c r="F2315" s="67"/>
      <c r="G2315" s="60"/>
      <c r="H2315" s="60"/>
      <c r="I2315" s="61"/>
      <c r="J2315" s="61"/>
      <c r="K2315" s="61"/>
      <c r="L2315" s="73" t="str">
        <f>IF($E2315="","",DATE(YEAR($E2315),MONTH($E2315),1))</f>
        <v/>
      </c>
      <c r="M2315" s="65" t="str">
        <f ca="1">IF($D2315="","",IF($C2315="TANIMSIZ MÜŞTERİ","HATA",IF(OR($E2315="",$F2315&lt;=0,$G2315=""),"EKSİK",IF($E2315&gt;TODAY(),"İLERİ TARİH",IF(COUNTIF($S$7:$S$2503,$S2315)&gt;1,"MÜKERRER?",IF($T2315&gt;0,"KAPALI DÖNEM","UYGUN"))))))</f>
        <v/>
      </c>
      <c r="N2315" s="74" t="str">
        <f>IF($C2315="","",IF($C2315="TANIMSIZ MÜŞTERİ","—",INDEX(MUSTERILER!$C$7:$C$156,MATCH($C2315,MUSTERILER!$B$7:$B$156,0))))</f>
        <v/>
      </c>
      <c r="O2315" s="2"/>
      <c r="P2315" s="2"/>
      <c r="Q2315" s="1" t="str">
        <f>IF($D2315="","",$C2315&amp;"|"&amp;COUNTIFS($C$7:$C2315,$C2315))</f>
        <v/>
      </c>
      <c r="R2315" s="1" t="str">
        <f t="shared" si="72"/>
        <v/>
      </c>
      <c r="S2315" s="1" t="str">
        <f t="shared" si="73"/>
        <v/>
      </c>
      <c r="T2315" s="1">
        <f>IF($E2315="",0,SUMPRODUCT((AY_SONU!$O$7:$O$42="Evet")*(AY_SONU!$B$7:$B$42=DATE(YEAR($E2315),MONTH($E2315),1))))</f>
        <v>0</v>
      </c>
      <c r="U2315" s="1" t="str">
        <f>IF(OR($G2315="",$H2315="Mahsup"),"",$G2315&amp;"|"&amp;COUNTIFS($G$7:$G2315,$G2315,$H$7:$H2315,"&lt;&gt;Mahsup"))</f>
        <v/>
      </c>
    </row>
    <row r="2316" spans="1:21" ht="18" customHeight="1" x14ac:dyDescent="0.3">
      <c r="A2316" s="2"/>
      <c r="B2316" s="65" t="str">
        <f>IF($D2316="","","T"&amp;TEXT(ROW()-6,"00000"))</f>
        <v/>
      </c>
      <c r="C2316" s="65" t="str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61"/>
      <c r="E2316" s="66"/>
      <c r="F2316" s="67"/>
      <c r="G2316" s="60"/>
      <c r="H2316" s="60"/>
      <c r="I2316" s="61"/>
      <c r="J2316" s="61"/>
      <c r="K2316" s="61"/>
      <c r="L2316" s="73" t="str">
        <f>IF($E2316="","",DATE(YEAR($E2316),MONTH($E2316),1))</f>
        <v/>
      </c>
      <c r="M2316" s="65" t="str">
        <f ca="1">IF($D2316="","",IF($C2316="TANIMSIZ MÜŞTERİ","HATA",IF(OR($E2316="",$F2316&lt;=0,$G2316=""),"EKSİK",IF($E2316&gt;TODAY(),"İLERİ TARİH",IF(COUNTIF($S$7:$S$2503,$S2316)&gt;1,"MÜKERRER?",IF($T2316&gt;0,"KAPALI DÖNEM","UYGUN"))))))</f>
        <v/>
      </c>
      <c r="N2316" s="74" t="str">
        <f>IF($C2316="","",IF($C2316="TANIMSIZ MÜŞTERİ","—",INDEX(MUSTERILER!$C$7:$C$156,MATCH($C2316,MUSTERILER!$B$7:$B$156,0))))</f>
        <v/>
      </c>
      <c r="O2316" s="2"/>
      <c r="P2316" s="2"/>
      <c r="Q2316" s="1" t="str">
        <f>IF($D2316="","",$C2316&amp;"|"&amp;COUNTIFS($C$7:$C2316,$C2316))</f>
        <v/>
      </c>
      <c r="R2316" s="1" t="str">
        <f t="shared" si="72"/>
        <v/>
      </c>
      <c r="S2316" s="1" t="str">
        <f t="shared" si="73"/>
        <v/>
      </c>
      <c r="T2316" s="1">
        <f>IF($E2316="",0,SUMPRODUCT((AY_SONU!$O$7:$O$42="Evet")*(AY_SONU!$B$7:$B$42=DATE(YEAR($E2316),MONTH($E2316),1))))</f>
        <v>0</v>
      </c>
      <c r="U2316" s="1" t="str">
        <f>IF(OR($G2316="",$H2316="Mahsup"),"",$G2316&amp;"|"&amp;COUNTIFS($G$7:$G2316,$G2316,$H$7:$H2316,"&lt;&gt;Mahsup"))</f>
        <v/>
      </c>
    </row>
    <row r="2317" spans="1:21" ht="18" customHeight="1" x14ac:dyDescent="0.3">
      <c r="A2317" s="2"/>
      <c r="B2317" s="65" t="str">
        <f>IF($D2317="","","T"&amp;TEXT(ROW()-6,"00000"))</f>
        <v/>
      </c>
      <c r="C2317" s="65" t="str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61"/>
      <c r="E2317" s="66"/>
      <c r="F2317" s="67"/>
      <c r="G2317" s="60"/>
      <c r="H2317" s="60"/>
      <c r="I2317" s="61"/>
      <c r="J2317" s="61"/>
      <c r="K2317" s="61"/>
      <c r="L2317" s="73" t="str">
        <f>IF($E2317="","",DATE(YEAR($E2317),MONTH($E2317),1))</f>
        <v/>
      </c>
      <c r="M2317" s="65" t="str">
        <f ca="1">IF($D2317="","",IF($C2317="TANIMSIZ MÜŞTERİ","HATA",IF(OR($E2317="",$F2317&lt;=0,$G2317=""),"EKSİK",IF($E2317&gt;TODAY(),"İLERİ TARİH",IF(COUNTIF($S$7:$S$2503,$S2317)&gt;1,"MÜKERRER?",IF($T2317&gt;0,"KAPALI DÖNEM","UYGUN"))))))</f>
        <v/>
      </c>
      <c r="N2317" s="74" t="str">
        <f>IF($C2317="","",IF($C2317="TANIMSIZ MÜŞTERİ","—",INDEX(MUSTERILER!$C$7:$C$156,MATCH($C2317,MUSTERILER!$B$7:$B$156,0))))</f>
        <v/>
      </c>
      <c r="O2317" s="2"/>
      <c r="P2317" s="2"/>
      <c r="Q2317" s="1" t="str">
        <f>IF($D2317="","",$C2317&amp;"|"&amp;COUNTIFS($C$7:$C2317,$C2317))</f>
        <v/>
      </c>
      <c r="R2317" s="1" t="str">
        <f t="shared" si="72"/>
        <v/>
      </c>
      <c r="S2317" s="1" t="str">
        <f t="shared" si="73"/>
        <v/>
      </c>
      <c r="T2317" s="1">
        <f>IF($E2317="",0,SUMPRODUCT((AY_SONU!$O$7:$O$42="Evet")*(AY_SONU!$B$7:$B$42=DATE(YEAR($E2317),MONTH($E2317),1))))</f>
        <v>0</v>
      </c>
      <c r="U2317" s="1" t="str">
        <f>IF(OR($G2317="",$H2317="Mahsup"),"",$G2317&amp;"|"&amp;COUNTIFS($G$7:$G2317,$G2317,$H$7:$H2317,"&lt;&gt;Mahsup"))</f>
        <v/>
      </c>
    </row>
    <row r="2318" spans="1:21" ht="18" customHeight="1" x14ac:dyDescent="0.3">
      <c r="A2318" s="2"/>
      <c r="B2318" s="65" t="str">
        <f>IF($D2318="","","T"&amp;TEXT(ROW()-6,"00000"))</f>
        <v/>
      </c>
      <c r="C2318" s="65" t="str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61"/>
      <c r="E2318" s="66"/>
      <c r="F2318" s="67"/>
      <c r="G2318" s="60"/>
      <c r="H2318" s="60"/>
      <c r="I2318" s="61"/>
      <c r="J2318" s="61"/>
      <c r="K2318" s="61"/>
      <c r="L2318" s="73" t="str">
        <f>IF($E2318="","",DATE(YEAR($E2318),MONTH($E2318),1))</f>
        <v/>
      </c>
      <c r="M2318" s="65" t="str">
        <f ca="1">IF($D2318="","",IF($C2318="TANIMSIZ MÜŞTERİ","HATA",IF(OR($E2318="",$F2318&lt;=0,$G2318=""),"EKSİK",IF($E2318&gt;TODAY(),"İLERİ TARİH",IF(COUNTIF($S$7:$S$2503,$S2318)&gt;1,"MÜKERRER?",IF($T2318&gt;0,"KAPALI DÖNEM","UYGUN"))))))</f>
        <v/>
      </c>
      <c r="N2318" s="74" t="str">
        <f>IF($C2318="","",IF($C2318="TANIMSIZ MÜŞTERİ","—",INDEX(MUSTERILER!$C$7:$C$156,MATCH($C2318,MUSTERILER!$B$7:$B$156,0))))</f>
        <v/>
      </c>
      <c r="O2318" s="2"/>
      <c r="P2318" s="2"/>
      <c r="Q2318" s="1" t="str">
        <f>IF($D2318="","",$C2318&amp;"|"&amp;COUNTIFS($C$7:$C2318,$C2318))</f>
        <v/>
      </c>
      <c r="R2318" s="1" t="str">
        <f t="shared" si="72"/>
        <v/>
      </c>
      <c r="S2318" s="1" t="str">
        <f t="shared" si="73"/>
        <v/>
      </c>
      <c r="T2318" s="1">
        <f>IF($E2318="",0,SUMPRODUCT((AY_SONU!$O$7:$O$42="Evet")*(AY_SONU!$B$7:$B$42=DATE(YEAR($E2318),MONTH($E2318),1))))</f>
        <v>0</v>
      </c>
      <c r="U2318" s="1" t="str">
        <f>IF(OR($G2318="",$H2318="Mahsup"),"",$G2318&amp;"|"&amp;COUNTIFS($G$7:$G2318,$G2318,$H$7:$H2318,"&lt;&gt;Mahsup"))</f>
        <v/>
      </c>
    </row>
    <row r="2319" spans="1:21" ht="18" customHeight="1" x14ac:dyDescent="0.3">
      <c r="A2319" s="2"/>
      <c r="B2319" s="65" t="str">
        <f>IF($D2319="","","T"&amp;TEXT(ROW()-6,"00000"))</f>
        <v/>
      </c>
      <c r="C2319" s="65" t="str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61"/>
      <c r="E2319" s="66"/>
      <c r="F2319" s="67"/>
      <c r="G2319" s="60"/>
      <c r="H2319" s="60"/>
      <c r="I2319" s="61"/>
      <c r="J2319" s="61"/>
      <c r="K2319" s="61"/>
      <c r="L2319" s="73" t="str">
        <f>IF($E2319="","",DATE(YEAR($E2319),MONTH($E2319),1))</f>
        <v/>
      </c>
      <c r="M2319" s="65" t="str">
        <f ca="1">IF($D2319="","",IF($C2319="TANIMSIZ MÜŞTERİ","HATA",IF(OR($E2319="",$F2319&lt;=0,$G2319=""),"EKSİK",IF($E2319&gt;TODAY(),"İLERİ TARİH",IF(COUNTIF($S$7:$S$2503,$S2319)&gt;1,"MÜKERRER?",IF($T2319&gt;0,"KAPALI DÖNEM","UYGUN"))))))</f>
        <v/>
      </c>
      <c r="N2319" s="74" t="str">
        <f>IF($C2319="","",IF($C2319="TANIMSIZ MÜŞTERİ","—",INDEX(MUSTERILER!$C$7:$C$156,MATCH($C2319,MUSTERILER!$B$7:$B$156,0))))</f>
        <v/>
      </c>
      <c r="O2319" s="2"/>
      <c r="P2319" s="2"/>
      <c r="Q2319" s="1" t="str">
        <f>IF($D2319="","",$C2319&amp;"|"&amp;COUNTIFS($C$7:$C2319,$C2319))</f>
        <v/>
      </c>
      <c r="R2319" s="1" t="str">
        <f t="shared" si="72"/>
        <v/>
      </c>
      <c r="S2319" s="1" t="str">
        <f t="shared" si="73"/>
        <v/>
      </c>
      <c r="T2319" s="1">
        <f>IF($E2319="",0,SUMPRODUCT((AY_SONU!$O$7:$O$42="Evet")*(AY_SONU!$B$7:$B$42=DATE(YEAR($E2319),MONTH($E2319),1))))</f>
        <v>0</v>
      </c>
      <c r="U2319" s="1" t="str">
        <f>IF(OR($G2319="",$H2319="Mahsup"),"",$G2319&amp;"|"&amp;COUNTIFS($G$7:$G2319,$G2319,$H$7:$H2319,"&lt;&gt;Mahsup"))</f>
        <v/>
      </c>
    </row>
    <row r="2320" spans="1:21" ht="18" customHeight="1" x14ac:dyDescent="0.3">
      <c r="A2320" s="2"/>
      <c r="B2320" s="65" t="str">
        <f>IF($D2320="","","T"&amp;TEXT(ROW()-6,"00000"))</f>
        <v/>
      </c>
      <c r="C2320" s="65" t="str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61"/>
      <c r="E2320" s="66"/>
      <c r="F2320" s="67"/>
      <c r="G2320" s="60"/>
      <c r="H2320" s="60"/>
      <c r="I2320" s="61"/>
      <c r="J2320" s="61"/>
      <c r="K2320" s="61"/>
      <c r="L2320" s="73" t="str">
        <f>IF($E2320="","",DATE(YEAR($E2320),MONTH($E2320),1))</f>
        <v/>
      </c>
      <c r="M2320" s="65" t="str">
        <f ca="1">IF($D2320="","",IF($C2320="TANIMSIZ MÜŞTERİ","HATA",IF(OR($E2320="",$F2320&lt;=0,$G2320=""),"EKSİK",IF($E2320&gt;TODAY(),"İLERİ TARİH",IF(COUNTIF($S$7:$S$2503,$S2320)&gt;1,"MÜKERRER?",IF($T2320&gt;0,"KAPALI DÖNEM","UYGUN"))))))</f>
        <v/>
      </c>
      <c r="N2320" s="74" t="str">
        <f>IF($C2320="","",IF($C2320="TANIMSIZ MÜŞTERİ","—",INDEX(MUSTERILER!$C$7:$C$156,MATCH($C2320,MUSTERILER!$B$7:$B$156,0))))</f>
        <v/>
      </c>
      <c r="O2320" s="2"/>
      <c r="P2320" s="2"/>
      <c r="Q2320" s="1" t="str">
        <f>IF($D2320="","",$C2320&amp;"|"&amp;COUNTIFS($C$7:$C2320,$C2320))</f>
        <v/>
      </c>
      <c r="R2320" s="1" t="str">
        <f t="shared" si="72"/>
        <v/>
      </c>
      <c r="S2320" s="1" t="str">
        <f t="shared" si="73"/>
        <v/>
      </c>
      <c r="T2320" s="1">
        <f>IF($E2320="",0,SUMPRODUCT((AY_SONU!$O$7:$O$42="Evet")*(AY_SONU!$B$7:$B$42=DATE(YEAR($E2320),MONTH($E2320),1))))</f>
        <v>0</v>
      </c>
      <c r="U2320" s="1" t="str">
        <f>IF(OR($G2320="",$H2320="Mahsup"),"",$G2320&amp;"|"&amp;COUNTIFS($G$7:$G2320,$G2320,$H$7:$H2320,"&lt;&gt;Mahsup"))</f>
        <v/>
      </c>
    </row>
    <row r="2321" spans="1:21" ht="18" customHeight="1" x14ac:dyDescent="0.3">
      <c r="A2321" s="2"/>
      <c r="B2321" s="65" t="str">
        <f>IF($D2321="","","T"&amp;TEXT(ROW()-6,"00000"))</f>
        <v/>
      </c>
      <c r="C2321" s="65" t="str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61"/>
      <c r="E2321" s="66"/>
      <c r="F2321" s="67"/>
      <c r="G2321" s="60"/>
      <c r="H2321" s="60"/>
      <c r="I2321" s="61"/>
      <c r="J2321" s="61"/>
      <c r="K2321" s="61"/>
      <c r="L2321" s="73" t="str">
        <f>IF($E2321="","",DATE(YEAR($E2321),MONTH($E2321),1))</f>
        <v/>
      </c>
      <c r="M2321" s="65" t="str">
        <f ca="1">IF($D2321="","",IF($C2321="TANIMSIZ MÜŞTERİ","HATA",IF(OR($E2321="",$F2321&lt;=0,$G2321=""),"EKSİK",IF($E2321&gt;TODAY(),"İLERİ TARİH",IF(COUNTIF($S$7:$S$2503,$S2321)&gt;1,"MÜKERRER?",IF($T2321&gt;0,"KAPALI DÖNEM","UYGUN"))))))</f>
        <v/>
      </c>
      <c r="N2321" s="74" t="str">
        <f>IF($C2321="","",IF($C2321="TANIMSIZ MÜŞTERİ","—",INDEX(MUSTERILER!$C$7:$C$156,MATCH($C2321,MUSTERILER!$B$7:$B$156,0))))</f>
        <v/>
      </c>
      <c r="O2321" s="2"/>
      <c r="P2321" s="2"/>
      <c r="Q2321" s="1" t="str">
        <f>IF($D2321="","",$C2321&amp;"|"&amp;COUNTIFS($C$7:$C2321,$C2321))</f>
        <v/>
      </c>
      <c r="R2321" s="1" t="str">
        <f t="shared" si="72"/>
        <v/>
      </c>
      <c r="S2321" s="1" t="str">
        <f t="shared" si="73"/>
        <v/>
      </c>
      <c r="T2321" s="1">
        <f>IF($E2321="",0,SUMPRODUCT((AY_SONU!$O$7:$O$42="Evet")*(AY_SONU!$B$7:$B$42=DATE(YEAR($E2321),MONTH($E2321),1))))</f>
        <v>0</v>
      </c>
      <c r="U2321" s="1" t="str">
        <f>IF(OR($G2321="",$H2321="Mahsup"),"",$G2321&amp;"|"&amp;COUNTIFS($G$7:$G2321,$G2321,$H$7:$H2321,"&lt;&gt;Mahsup"))</f>
        <v/>
      </c>
    </row>
    <row r="2322" spans="1:21" ht="18" customHeight="1" x14ac:dyDescent="0.3">
      <c r="A2322" s="2"/>
      <c r="B2322" s="65" t="str">
        <f>IF($D2322="","","T"&amp;TEXT(ROW()-6,"00000"))</f>
        <v/>
      </c>
      <c r="C2322" s="65" t="str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61"/>
      <c r="E2322" s="66"/>
      <c r="F2322" s="67"/>
      <c r="G2322" s="60"/>
      <c r="H2322" s="60"/>
      <c r="I2322" s="61"/>
      <c r="J2322" s="61"/>
      <c r="K2322" s="61"/>
      <c r="L2322" s="73" t="str">
        <f>IF($E2322="","",DATE(YEAR($E2322),MONTH($E2322),1))</f>
        <v/>
      </c>
      <c r="M2322" s="65" t="str">
        <f ca="1">IF($D2322="","",IF($C2322="TANIMSIZ MÜŞTERİ","HATA",IF(OR($E2322="",$F2322&lt;=0,$G2322=""),"EKSİK",IF($E2322&gt;TODAY(),"İLERİ TARİH",IF(COUNTIF($S$7:$S$2503,$S2322)&gt;1,"MÜKERRER?",IF($T2322&gt;0,"KAPALI DÖNEM","UYGUN"))))))</f>
        <v/>
      </c>
      <c r="N2322" s="74" t="str">
        <f>IF($C2322="","",IF($C2322="TANIMSIZ MÜŞTERİ","—",INDEX(MUSTERILER!$C$7:$C$156,MATCH($C2322,MUSTERILER!$B$7:$B$156,0))))</f>
        <v/>
      </c>
      <c r="O2322" s="2"/>
      <c r="P2322" s="2"/>
      <c r="Q2322" s="1" t="str">
        <f>IF($D2322="","",$C2322&amp;"|"&amp;COUNTIFS($C$7:$C2322,$C2322))</f>
        <v/>
      </c>
      <c r="R2322" s="1" t="str">
        <f t="shared" si="72"/>
        <v/>
      </c>
      <c r="S2322" s="1" t="str">
        <f t="shared" si="73"/>
        <v/>
      </c>
      <c r="T2322" s="1">
        <f>IF($E2322="",0,SUMPRODUCT((AY_SONU!$O$7:$O$42="Evet")*(AY_SONU!$B$7:$B$42=DATE(YEAR($E2322),MONTH($E2322),1))))</f>
        <v>0</v>
      </c>
      <c r="U2322" s="1" t="str">
        <f>IF(OR($G2322="",$H2322="Mahsup"),"",$G2322&amp;"|"&amp;COUNTIFS($G$7:$G2322,$G2322,$H$7:$H2322,"&lt;&gt;Mahsup"))</f>
        <v/>
      </c>
    </row>
    <row r="2323" spans="1:21" ht="18" customHeight="1" x14ac:dyDescent="0.3">
      <c r="A2323" s="2"/>
      <c r="B2323" s="65" t="str">
        <f>IF($D2323="","","T"&amp;TEXT(ROW()-6,"00000"))</f>
        <v/>
      </c>
      <c r="C2323" s="65" t="str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61"/>
      <c r="E2323" s="66"/>
      <c r="F2323" s="67"/>
      <c r="G2323" s="60"/>
      <c r="H2323" s="60"/>
      <c r="I2323" s="61"/>
      <c r="J2323" s="61"/>
      <c r="K2323" s="61"/>
      <c r="L2323" s="73" t="str">
        <f>IF($E2323="","",DATE(YEAR($E2323),MONTH($E2323),1))</f>
        <v/>
      </c>
      <c r="M2323" s="65" t="str">
        <f ca="1">IF($D2323="","",IF($C2323="TANIMSIZ MÜŞTERİ","HATA",IF(OR($E2323="",$F2323&lt;=0,$G2323=""),"EKSİK",IF($E2323&gt;TODAY(),"İLERİ TARİH",IF(COUNTIF($S$7:$S$2503,$S2323)&gt;1,"MÜKERRER?",IF($T2323&gt;0,"KAPALI DÖNEM","UYGUN"))))))</f>
        <v/>
      </c>
      <c r="N2323" s="74" t="str">
        <f>IF($C2323="","",IF($C2323="TANIMSIZ MÜŞTERİ","—",INDEX(MUSTERILER!$C$7:$C$156,MATCH($C2323,MUSTERILER!$B$7:$B$156,0))))</f>
        <v/>
      </c>
      <c r="O2323" s="2"/>
      <c r="P2323" s="2"/>
      <c r="Q2323" s="1" t="str">
        <f>IF($D2323="","",$C2323&amp;"|"&amp;COUNTIFS($C$7:$C2323,$C2323))</f>
        <v/>
      </c>
      <c r="R2323" s="1" t="str">
        <f t="shared" si="72"/>
        <v/>
      </c>
      <c r="S2323" s="1" t="str">
        <f t="shared" si="73"/>
        <v/>
      </c>
      <c r="T2323" s="1">
        <f>IF($E2323="",0,SUMPRODUCT((AY_SONU!$O$7:$O$42="Evet")*(AY_SONU!$B$7:$B$42=DATE(YEAR($E2323),MONTH($E2323),1))))</f>
        <v>0</v>
      </c>
      <c r="U2323" s="1" t="str">
        <f>IF(OR($G2323="",$H2323="Mahsup"),"",$G2323&amp;"|"&amp;COUNTIFS($G$7:$G2323,$G2323,$H$7:$H2323,"&lt;&gt;Mahsup"))</f>
        <v/>
      </c>
    </row>
    <row r="2324" spans="1:21" ht="18" customHeight="1" x14ac:dyDescent="0.3">
      <c r="A2324" s="2"/>
      <c r="B2324" s="65" t="str">
        <f>IF($D2324="","","T"&amp;TEXT(ROW()-6,"00000"))</f>
        <v/>
      </c>
      <c r="C2324" s="65" t="str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61"/>
      <c r="E2324" s="66"/>
      <c r="F2324" s="67"/>
      <c r="G2324" s="60"/>
      <c r="H2324" s="60"/>
      <c r="I2324" s="61"/>
      <c r="J2324" s="61"/>
      <c r="K2324" s="61"/>
      <c r="L2324" s="73" t="str">
        <f>IF($E2324="","",DATE(YEAR($E2324),MONTH($E2324),1))</f>
        <v/>
      </c>
      <c r="M2324" s="65" t="str">
        <f ca="1">IF($D2324="","",IF($C2324="TANIMSIZ MÜŞTERİ","HATA",IF(OR($E2324="",$F2324&lt;=0,$G2324=""),"EKSİK",IF($E2324&gt;TODAY(),"İLERİ TARİH",IF(COUNTIF($S$7:$S$2503,$S2324)&gt;1,"MÜKERRER?",IF($T2324&gt;0,"KAPALI DÖNEM","UYGUN"))))))</f>
        <v/>
      </c>
      <c r="N2324" s="74" t="str">
        <f>IF($C2324="","",IF($C2324="TANIMSIZ MÜŞTERİ","—",INDEX(MUSTERILER!$C$7:$C$156,MATCH($C2324,MUSTERILER!$B$7:$B$156,0))))</f>
        <v/>
      </c>
      <c r="O2324" s="2"/>
      <c r="P2324" s="2"/>
      <c r="Q2324" s="1" t="str">
        <f>IF($D2324="","",$C2324&amp;"|"&amp;COUNTIFS($C$7:$C2324,$C2324))</f>
        <v/>
      </c>
      <c r="R2324" s="1" t="str">
        <f t="shared" si="72"/>
        <v/>
      </c>
      <c r="S2324" s="1" t="str">
        <f t="shared" si="73"/>
        <v/>
      </c>
      <c r="T2324" s="1">
        <f>IF($E2324="",0,SUMPRODUCT((AY_SONU!$O$7:$O$42="Evet")*(AY_SONU!$B$7:$B$42=DATE(YEAR($E2324),MONTH($E2324),1))))</f>
        <v>0</v>
      </c>
      <c r="U2324" s="1" t="str">
        <f>IF(OR($G2324="",$H2324="Mahsup"),"",$G2324&amp;"|"&amp;COUNTIFS($G$7:$G2324,$G2324,$H$7:$H2324,"&lt;&gt;Mahsup"))</f>
        <v/>
      </c>
    </row>
    <row r="2325" spans="1:21" ht="18" customHeight="1" x14ac:dyDescent="0.3">
      <c r="A2325" s="2"/>
      <c r="B2325" s="65" t="str">
        <f>IF($D2325="","","T"&amp;TEXT(ROW()-6,"00000"))</f>
        <v/>
      </c>
      <c r="C2325" s="65" t="str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61"/>
      <c r="E2325" s="66"/>
      <c r="F2325" s="67"/>
      <c r="G2325" s="60"/>
      <c r="H2325" s="60"/>
      <c r="I2325" s="61"/>
      <c r="J2325" s="61"/>
      <c r="K2325" s="61"/>
      <c r="L2325" s="73" t="str">
        <f>IF($E2325="","",DATE(YEAR($E2325),MONTH($E2325),1))</f>
        <v/>
      </c>
      <c r="M2325" s="65" t="str">
        <f ca="1">IF($D2325="","",IF($C2325="TANIMSIZ MÜŞTERİ","HATA",IF(OR($E2325="",$F2325&lt;=0,$G2325=""),"EKSİK",IF($E2325&gt;TODAY(),"İLERİ TARİH",IF(COUNTIF($S$7:$S$2503,$S2325)&gt;1,"MÜKERRER?",IF($T2325&gt;0,"KAPALI DÖNEM","UYGUN"))))))</f>
        <v/>
      </c>
      <c r="N2325" s="74" t="str">
        <f>IF($C2325="","",IF($C2325="TANIMSIZ MÜŞTERİ","—",INDEX(MUSTERILER!$C$7:$C$156,MATCH($C2325,MUSTERILER!$B$7:$B$156,0))))</f>
        <v/>
      </c>
      <c r="O2325" s="2"/>
      <c r="P2325" s="2"/>
      <c r="Q2325" s="1" t="str">
        <f>IF($D2325="","",$C2325&amp;"|"&amp;COUNTIFS($C$7:$C2325,$C2325))</f>
        <v/>
      </c>
      <c r="R2325" s="1" t="str">
        <f t="shared" si="72"/>
        <v/>
      </c>
      <c r="S2325" s="1" t="str">
        <f t="shared" si="73"/>
        <v/>
      </c>
      <c r="T2325" s="1">
        <f>IF($E2325="",0,SUMPRODUCT((AY_SONU!$O$7:$O$42="Evet")*(AY_SONU!$B$7:$B$42=DATE(YEAR($E2325),MONTH($E2325),1))))</f>
        <v>0</v>
      </c>
      <c r="U2325" s="1" t="str">
        <f>IF(OR($G2325="",$H2325="Mahsup"),"",$G2325&amp;"|"&amp;COUNTIFS($G$7:$G2325,$G2325,$H$7:$H2325,"&lt;&gt;Mahsup"))</f>
        <v/>
      </c>
    </row>
    <row r="2326" spans="1:21" ht="18" customHeight="1" x14ac:dyDescent="0.3">
      <c r="A2326" s="2"/>
      <c r="B2326" s="65" t="str">
        <f>IF($D2326="","","T"&amp;TEXT(ROW()-6,"00000"))</f>
        <v/>
      </c>
      <c r="C2326" s="65" t="str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61"/>
      <c r="E2326" s="66"/>
      <c r="F2326" s="67"/>
      <c r="G2326" s="60"/>
      <c r="H2326" s="60"/>
      <c r="I2326" s="61"/>
      <c r="J2326" s="61"/>
      <c r="K2326" s="61"/>
      <c r="L2326" s="73" t="str">
        <f>IF($E2326="","",DATE(YEAR($E2326),MONTH($E2326),1))</f>
        <v/>
      </c>
      <c r="M2326" s="65" t="str">
        <f ca="1">IF($D2326="","",IF($C2326="TANIMSIZ MÜŞTERİ","HATA",IF(OR($E2326="",$F2326&lt;=0,$G2326=""),"EKSİK",IF($E2326&gt;TODAY(),"İLERİ TARİH",IF(COUNTIF($S$7:$S$2503,$S2326)&gt;1,"MÜKERRER?",IF($T2326&gt;0,"KAPALI DÖNEM","UYGUN"))))))</f>
        <v/>
      </c>
      <c r="N2326" s="74" t="str">
        <f>IF($C2326="","",IF($C2326="TANIMSIZ MÜŞTERİ","—",INDEX(MUSTERILER!$C$7:$C$156,MATCH($C2326,MUSTERILER!$B$7:$B$156,0))))</f>
        <v/>
      </c>
      <c r="O2326" s="2"/>
      <c r="P2326" s="2"/>
      <c r="Q2326" s="1" t="str">
        <f>IF($D2326="","",$C2326&amp;"|"&amp;COUNTIFS($C$7:$C2326,$C2326))</f>
        <v/>
      </c>
      <c r="R2326" s="1" t="str">
        <f t="shared" si="72"/>
        <v/>
      </c>
      <c r="S2326" s="1" t="str">
        <f t="shared" si="73"/>
        <v/>
      </c>
      <c r="T2326" s="1">
        <f>IF($E2326="",0,SUMPRODUCT((AY_SONU!$O$7:$O$42="Evet")*(AY_SONU!$B$7:$B$42=DATE(YEAR($E2326),MONTH($E2326),1))))</f>
        <v>0</v>
      </c>
      <c r="U2326" s="1" t="str">
        <f>IF(OR($G2326="",$H2326="Mahsup"),"",$G2326&amp;"|"&amp;COUNTIFS($G$7:$G2326,$G2326,$H$7:$H2326,"&lt;&gt;Mahsup"))</f>
        <v/>
      </c>
    </row>
    <row r="2327" spans="1:21" ht="18" customHeight="1" x14ac:dyDescent="0.3">
      <c r="A2327" s="2"/>
      <c r="B2327" s="65" t="str">
        <f>IF($D2327="","","T"&amp;TEXT(ROW()-6,"00000"))</f>
        <v/>
      </c>
      <c r="C2327" s="65" t="str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61"/>
      <c r="E2327" s="66"/>
      <c r="F2327" s="67"/>
      <c r="G2327" s="60"/>
      <c r="H2327" s="60"/>
      <c r="I2327" s="61"/>
      <c r="J2327" s="61"/>
      <c r="K2327" s="61"/>
      <c r="L2327" s="73" t="str">
        <f>IF($E2327="","",DATE(YEAR($E2327),MONTH($E2327),1))</f>
        <v/>
      </c>
      <c r="M2327" s="65" t="str">
        <f ca="1">IF($D2327="","",IF($C2327="TANIMSIZ MÜŞTERİ","HATA",IF(OR($E2327="",$F2327&lt;=0,$G2327=""),"EKSİK",IF($E2327&gt;TODAY(),"İLERİ TARİH",IF(COUNTIF($S$7:$S$2503,$S2327)&gt;1,"MÜKERRER?",IF($T2327&gt;0,"KAPALI DÖNEM","UYGUN"))))))</f>
        <v/>
      </c>
      <c r="N2327" s="74" t="str">
        <f>IF($C2327="","",IF($C2327="TANIMSIZ MÜŞTERİ","—",INDEX(MUSTERILER!$C$7:$C$156,MATCH($C2327,MUSTERILER!$B$7:$B$156,0))))</f>
        <v/>
      </c>
      <c r="O2327" s="2"/>
      <c r="P2327" s="2"/>
      <c r="Q2327" s="1" t="str">
        <f>IF($D2327="","",$C2327&amp;"|"&amp;COUNTIFS($C$7:$C2327,$C2327))</f>
        <v/>
      </c>
      <c r="R2327" s="1" t="str">
        <f t="shared" si="72"/>
        <v/>
      </c>
      <c r="S2327" s="1" t="str">
        <f t="shared" si="73"/>
        <v/>
      </c>
      <c r="T2327" s="1">
        <f>IF($E2327="",0,SUMPRODUCT((AY_SONU!$O$7:$O$42="Evet")*(AY_SONU!$B$7:$B$42=DATE(YEAR($E2327),MONTH($E2327),1))))</f>
        <v>0</v>
      </c>
      <c r="U2327" s="1" t="str">
        <f>IF(OR($G2327="",$H2327="Mahsup"),"",$G2327&amp;"|"&amp;COUNTIFS($G$7:$G2327,$G2327,$H$7:$H2327,"&lt;&gt;Mahsup"))</f>
        <v/>
      </c>
    </row>
    <row r="2328" spans="1:21" ht="18" customHeight="1" x14ac:dyDescent="0.3">
      <c r="A2328" s="2"/>
      <c r="B2328" s="65" t="str">
        <f>IF($D2328="","","T"&amp;TEXT(ROW()-6,"00000"))</f>
        <v/>
      </c>
      <c r="C2328" s="65" t="str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61"/>
      <c r="E2328" s="66"/>
      <c r="F2328" s="67"/>
      <c r="G2328" s="60"/>
      <c r="H2328" s="60"/>
      <c r="I2328" s="61"/>
      <c r="J2328" s="61"/>
      <c r="K2328" s="61"/>
      <c r="L2328" s="73" t="str">
        <f>IF($E2328="","",DATE(YEAR($E2328),MONTH($E2328),1))</f>
        <v/>
      </c>
      <c r="M2328" s="65" t="str">
        <f ca="1">IF($D2328="","",IF($C2328="TANIMSIZ MÜŞTERİ","HATA",IF(OR($E2328="",$F2328&lt;=0,$G2328=""),"EKSİK",IF($E2328&gt;TODAY(),"İLERİ TARİH",IF(COUNTIF($S$7:$S$2503,$S2328)&gt;1,"MÜKERRER?",IF($T2328&gt;0,"KAPALI DÖNEM","UYGUN"))))))</f>
        <v/>
      </c>
      <c r="N2328" s="74" t="str">
        <f>IF($C2328="","",IF($C2328="TANIMSIZ MÜŞTERİ","—",INDEX(MUSTERILER!$C$7:$C$156,MATCH($C2328,MUSTERILER!$B$7:$B$156,0))))</f>
        <v/>
      </c>
      <c r="O2328" s="2"/>
      <c r="P2328" s="2"/>
      <c r="Q2328" s="1" t="str">
        <f>IF($D2328="","",$C2328&amp;"|"&amp;COUNTIFS($C$7:$C2328,$C2328))</f>
        <v/>
      </c>
      <c r="R2328" s="1" t="str">
        <f t="shared" si="72"/>
        <v/>
      </c>
      <c r="S2328" s="1" t="str">
        <f t="shared" si="73"/>
        <v/>
      </c>
      <c r="T2328" s="1">
        <f>IF($E2328="",0,SUMPRODUCT((AY_SONU!$O$7:$O$42="Evet")*(AY_SONU!$B$7:$B$42=DATE(YEAR($E2328),MONTH($E2328),1))))</f>
        <v>0</v>
      </c>
      <c r="U2328" s="1" t="str">
        <f>IF(OR($G2328="",$H2328="Mahsup"),"",$G2328&amp;"|"&amp;COUNTIFS($G$7:$G2328,$G2328,$H$7:$H2328,"&lt;&gt;Mahsup"))</f>
        <v/>
      </c>
    </row>
    <row r="2329" spans="1:21" ht="18" customHeight="1" x14ac:dyDescent="0.3">
      <c r="A2329" s="2"/>
      <c r="B2329" s="65" t="str">
        <f>IF($D2329="","","T"&amp;TEXT(ROW()-6,"00000"))</f>
        <v/>
      </c>
      <c r="C2329" s="65" t="str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61"/>
      <c r="E2329" s="66"/>
      <c r="F2329" s="67"/>
      <c r="G2329" s="60"/>
      <c r="H2329" s="60"/>
      <c r="I2329" s="61"/>
      <c r="J2329" s="61"/>
      <c r="K2329" s="61"/>
      <c r="L2329" s="73" t="str">
        <f>IF($E2329="","",DATE(YEAR($E2329),MONTH($E2329),1))</f>
        <v/>
      </c>
      <c r="M2329" s="65" t="str">
        <f ca="1">IF($D2329="","",IF($C2329="TANIMSIZ MÜŞTERİ","HATA",IF(OR($E2329="",$F2329&lt;=0,$G2329=""),"EKSİK",IF($E2329&gt;TODAY(),"İLERİ TARİH",IF(COUNTIF($S$7:$S$2503,$S2329)&gt;1,"MÜKERRER?",IF($T2329&gt;0,"KAPALI DÖNEM","UYGUN"))))))</f>
        <v/>
      </c>
      <c r="N2329" s="74" t="str">
        <f>IF($C2329="","",IF($C2329="TANIMSIZ MÜŞTERİ","—",INDEX(MUSTERILER!$C$7:$C$156,MATCH($C2329,MUSTERILER!$B$7:$B$156,0))))</f>
        <v/>
      </c>
      <c r="O2329" s="2"/>
      <c r="P2329" s="2"/>
      <c r="Q2329" s="1" t="str">
        <f>IF($D2329="","",$C2329&amp;"|"&amp;COUNTIFS($C$7:$C2329,$C2329))</f>
        <v/>
      </c>
      <c r="R2329" s="1" t="str">
        <f t="shared" si="72"/>
        <v/>
      </c>
      <c r="S2329" s="1" t="str">
        <f t="shared" si="73"/>
        <v/>
      </c>
      <c r="T2329" s="1">
        <f>IF($E2329="",0,SUMPRODUCT((AY_SONU!$O$7:$O$42="Evet")*(AY_SONU!$B$7:$B$42=DATE(YEAR($E2329),MONTH($E2329),1))))</f>
        <v>0</v>
      </c>
      <c r="U2329" s="1" t="str">
        <f>IF(OR($G2329="",$H2329="Mahsup"),"",$G2329&amp;"|"&amp;COUNTIFS($G$7:$G2329,$G2329,$H$7:$H2329,"&lt;&gt;Mahsup"))</f>
        <v/>
      </c>
    </row>
    <row r="2330" spans="1:21" ht="18" customHeight="1" x14ac:dyDescent="0.3">
      <c r="A2330" s="2"/>
      <c r="B2330" s="65" t="str">
        <f>IF($D2330="","","T"&amp;TEXT(ROW()-6,"00000"))</f>
        <v/>
      </c>
      <c r="C2330" s="65" t="str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61"/>
      <c r="E2330" s="66"/>
      <c r="F2330" s="67"/>
      <c r="G2330" s="60"/>
      <c r="H2330" s="60"/>
      <c r="I2330" s="61"/>
      <c r="J2330" s="61"/>
      <c r="K2330" s="61"/>
      <c r="L2330" s="73" t="str">
        <f>IF($E2330="","",DATE(YEAR($E2330),MONTH($E2330),1))</f>
        <v/>
      </c>
      <c r="M2330" s="65" t="str">
        <f ca="1">IF($D2330="","",IF($C2330="TANIMSIZ MÜŞTERİ","HATA",IF(OR($E2330="",$F2330&lt;=0,$G2330=""),"EKSİK",IF($E2330&gt;TODAY(),"İLERİ TARİH",IF(COUNTIF($S$7:$S$2503,$S2330)&gt;1,"MÜKERRER?",IF($T2330&gt;0,"KAPALI DÖNEM","UYGUN"))))))</f>
        <v/>
      </c>
      <c r="N2330" s="74" t="str">
        <f>IF($C2330="","",IF($C2330="TANIMSIZ MÜŞTERİ","—",INDEX(MUSTERILER!$C$7:$C$156,MATCH($C2330,MUSTERILER!$B$7:$B$156,0))))</f>
        <v/>
      </c>
      <c r="O2330" s="2"/>
      <c r="P2330" s="2"/>
      <c r="Q2330" s="1" t="str">
        <f>IF($D2330="","",$C2330&amp;"|"&amp;COUNTIFS($C$7:$C2330,$C2330))</f>
        <v/>
      </c>
      <c r="R2330" s="1" t="str">
        <f t="shared" si="72"/>
        <v/>
      </c>
      <c r="S2330" s="1" t="str">
        <f t="shared" si="73"/>
        <v/>
      </c>
      <c r="T2330" s="1">
        <f>IF($E2330="",0,SUMPRODUCT((AY_SONU!$O$7:$O$42="Evet")*(AY_SONU!$B$7:$B$42=DATE(YEAR($E2330),MONTH($E2330),1))))</f>
        <v>0</v>
      </c>
      <c r="U2330" s="1" t="str">
        <f>IF(OR($G2330="",$H2330="Mahsup"),"",$G2330&amp;"|"&amp;COUNTIFS($G$7:$G2330,$G2330,$H$7:$H2330,"&lt;&gt;Mahsup"))</f>
        <v/>
      </c>
    </row>
    <row r="2331" spans="1:21" ht="18" customHeight="1" x14ac:dyDescent="0.3">
      <c r="A2331" s="2"/>
      <c r="B2331" s="65" t="str">
        <f>IF($D2331="","","T"&amp;TEXT(ROW()-6,"00000"))</f>
        <v/>
      </c>
      <c r="C2331" s="65" t="str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61"/>
      <c r="E2331" s="66"/>
      <c r="F2331" s="67"/>
      <c r="G2331" s="60"/>
      <c r="H2331" s="60"/>
      <c r="I2331" s="61"/>
      <c r="J2331" s="61"/>
      <c r="K2331" s="61"/>
      <c r="L2331" s="73" t="str">
        <f>IF($E2331="","",DATE(YEAR($E2331),MONTH($E2331),1))</f>
        <v/>
      </c>
      <c r="M2331" s="65" t="str">
        <f ca="1">IF($D2331="","",IF($C2331="TANIMSIZ MÜŞTERİ","HATA",IF(OR($E2331="",$F2331&lt;=0,$G2331=""),"EKSİK",IF($E2331&gt;TODAY(),"İLERİ TARİH",IF(COUNTIF($S$7:$S$2503,$S2331)&gt;1,"MÜKERRER?",IF($T2331&gt;0,"KAPALI DÖNEM","UYGUN"))))))</f>
        <v/>
      </c>
      <c r="N2331" s="74" t="str">
        <f>IF($C2331="","",IF($C2331="TANIMSIZ MÜŞTERİ","—",INDEX(MUSTERILER!$C$7:$C$156,MATCH($C2331,MUSTERILER!$B$7:$B$156,0))))</f>
        <v/>
      </c>
      <c r="O2331" s="2"/>
      <c r="P2331" s="2"/>
      <c r="Q2331" s="1" t="str">
        <f>IF($D2331="","",$C2331&amp;"|"&amp;COUNTIFS($C$7:$C2331,$C2331))</f>
        <v/>
      </c>
      <c r="R2331" s="1" t="str">
        <f t="shared" si="72"/>
        <v/>
      </c>
      <c r="S2331" s="1" t="str">
        <f t="shared" si="73"/>
        <v/>
      </c>
      <c r="T2331" s="1">
        <f>IF($E2331="",0,SUMPRODUCT((AY_SONU!$O$7:$O$42="Evet")*(AY_SONU!$B$7:$B$42=DATE(YEAR($E2331),MONTH($E2331),1))))</f>
        <v>0</v>
      </c>
      <c r="U2331" s="1" t="str">
        <f>IF(OR($G2331="",$H2331="Mahsup"),"",$G2331&amp;"|"&amp;COUNTIFS($G$7:$G2331,$G2331,$H$7:$H2331,"&lt;&gt;Mahsup"))</f>
        <v/>
      </c>
    </row>
    <row r="2332" spans="1:21" ht="18" customHeight="1" x14ac:dyDescent="0.3">
      <c r="A2332" s="2"/>
      <c r="B2332" s="65" t="str">
        <f>IF($D2332="","","T"&amp;TEXT(ROW()-6,"00000"))</f>
        <v/>
      </c>
      <c r="C2332" s="65" t="str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61"/>
      <c r="E2332" s="66"/>
      <c r="F2332" s="67"/>
      <c r="G2332" s="60"/>
      <c r="H2332" s="60"/>
      <c r="I2332" s="61"/>
      <c r="J2332" s="61"/>
      <c r="K2332" s="61"/>
      <c r="L2332" s="73" t="str">
        <f>IF($E2332="","",DATE(YEAR($E2332),MONTH($E2332),1))</f>
        <v/>
      </c>
      <c r="M2332" s="65" t="str">
        <f ca="1">IF($D2332="","",IF($C2332="TANIMSIZ MÜŞTERİ","HATA",IF(OR($E2332="",$F2332&lt;=0,$G2332=""),"EKSİK",IF($E2332&gt;TODAY(),"İLERİ TARİH",IF(COUNTIF($S$7:$S$2503,$S2332)&gt;1,"MÜKERRER?",IF($T2332&gt;0,"KAPALI DÖNEM","UYGUN"))))))</f>
        <v/>
      </c>
      <c r="N2332" s="74" t="str">
        <f>IF($C2332="","",IF($C2332="TANIMSIZ MÜŞTERİ","—",INDEX(MUSTERILER!$C$7:$C$156,MATCH($C2332,MUSTERILER!$B$7:$B$156,0))))</f>
        <v/>
      </c>
      <c r="O2332" s="2"/>
      <c r="P2332" s="2"/>
      <c r="Q2332" s="1" t="str">
        <f>IF($D2332="","",$C2332&amp;"|"&amp;COUNTIFS($C$7:$C2332,$C2332))</f>
        <v/>
      </c>
      <c r="R2332" s="1" t="str">
        <f t="shared" si="72"/>
        <v/>
      </c>
      <c r="S2332" s="1" t="str">
        <f t="shared" si="73"/>
        <v/>
      </c>
      <c r="T2332" s="1">
        <f>IF($E2332="",0,SUMPRODUCT((AY_SONU!$O$7:$O$42="Evet")*(AY_SONU!$B$7:$B$42=DATE(YEAR($E2332),MONTH($E2332),1))))</f>
        <v>0</v>
      </c>
      <c r="U2332" s="1" t="str">
        <f>IF(OR($G2332="",$H2332="Mahsup"),"",$G2332&amp;"|"&amp;COUNTIFS($G$7:$G2332,$G2332,$H$7:$H2332,"&lt;&gt;Mahsup"))</f>
        <v/>
      </c>
    </row>
    <row r="2333" spans="1:21" ht="18" customHeight="1" x14ac:dyDescent="0.3">
      <c r="A2333" s="2"/>
      <c r="B2333" s="65" t="str">
        <f>IF($D2333="","","T"&amp;TEXT(ROW()-6,"00000"))</f>
        <v/>
      </c>
      <c r="C2333" s="65" t="str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61"/>
      <c r="E2333" s="66"/>
      <c r="F2333" s="67"/>
      <c r="G2333" s="60"/>
      <c r="H2333" s="60"/>
      <c r="I2333" s="61"/>
      <c r="J2333" s="61"/>
      <c r="K2333" s="61"/>
      <c r="L2333" s="73" t="str">
        <f>IF($E2333="","",DATE(YEAR($E2333),MONTH($E2333),1))</f>
        <v/>
      </c>
      <c r="M2333" s="65" t="str">
        <f ca="1">IF($D2333="","",IF($C2333="TANIMSIZ MÜŞTERİ","HATA",IF(OR($E2333="",$F2333&lt;=0,$G2333=""),"EKSİK",IF($E2333&gt;TODAY(),"İLERİ TARİH",IF(COUNTIF($S$7:$S$2503,$S2333)&gt;1,"MÜKERRER?",IF($T2333&gt;0,"KAPALI DÖNEM","UYGUN"))))))</f>
        <v/>
      </c>
      <c r="N2333" s="74" t="str">
        <f>IF($C2333="","",IF($C2333="TANIMSIZ MÜŞTERİ","—",INDEX(MUSTERILER!$C$7:$C$156,MATCH($C2333,MUSTERILER!$B$7:$B$156,0))))</f>
        <v/>
      </c>
      <c r="O2333" s="2"/>
      <c r="P2333" s="2"/>
      <c r="Q2333" s="1" t="str">
        <f>IF($D2333="","",$C2333&amp;"|"&amp;COUNTIFS($C$7:$C2333,$C2333))</f>
        <v/>
      </c>
      <c r="R2333" s="1" t="str">
        <f t="shared" si="72"/>
        <v/>
      </c>
      <c r="S2333" s="1" t="str">
        <f t="shared" si="73"/>
        <v/>
      </c>
      <c r="T2333" s="1">
        <f>IF($E2333="",0,SUMPRODUCT((AY_SONU!$O$7:$O$42="Evet")*(AY_SONU!$B$7:$B$42=DATE(YEAR($E2333),MONTH($E2333),1))))</f>
        <v>0</v>
      </c>
      <c r="U2333" s="1" t="str">
        <f>IF(OR($G2333="",$H2333="Mahsup"),"",$G2333&amp;"|"&amp;COUNTIFS($G$7:$G2333,$G2333,$H$7:$H2333,"&lt;&gt;Mahsup"))</f>
        <v/>
      </c>
    </row>
    <row r="2334" spans="1:21" ht="18" customHeight="1" x14ac:dyDescent="0.3">
      <c r="A2334" s="2"/>
      <c r="B2334" s="65" t="str">
        <f>IF($D2334="","","T"&amp;TEXT(ROW()-6,"00000"))</f>
        <v/>
      </c>
      <c r="C2334" s="65" t="str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61"/>
      <c r="E2334" s="66"/>
      <c r="F2334" s="67"/>
      <c r="G2334" s="60"/>
      <c r="H2334" s="60"/>
      <c r="I2334" s="61"/>
      <c r="J2334" s="61"/>
      <c r="K2334" s="61"/>
      <c r="L2334" s="73" t="str">
        <f>IF($E2334="","",DATE(YEAR($E2334),MONTH($E2334),1))</f>
        <v/>
      </c>
      <c r="M2334" s="65" t="str">
        <f ca="1">IF($D2334="","",IF($C2334="TANIMSIZ MÜŞTERİ","HATA",IF(OR($E2334="",$F2334&lt;=0,$G2334=""),"EKSİK",IF($E2334&gt;TODAY(),"İLERİ TARİH",IF(COUNTIF($S$7:$S$2503,$S2334)&gt;1,"MÜKERRER?",IF($T2334&gt;0,"KAPALI DÖNEM","UYGUN"))))))</f>
        <v/>
      </c>
      <c r="N2334" s="74" t="str">
        <f>IF($C2334="","",IF($C2334="TANIMSIZ MÜŞTERİ","—",INDEX(MUSTERILER!$C$7:$C$156,MATCH($C2334,MUSTERILER!$B$7:$B$156,0))))</f>
        <v/>
      </c>
      <c r="O2334" s="2"/>
      <c r="P2334" s="2"/>
      <c r="Q2334" s="1" t="str">
        <f>IF($D2334="","",$C2334&amp;"|"&amp;COUNTIFS($C$7:$C2334,$C2334))</f>
        <v/>
      </c>
      <c r="R2334" s="1" t="str">
        <f t="shared" si="72"/>
        <v/>
      </c>
      <c r="S2334" s="1" t="str">
        <f t="shared" si="73"/>
        <v/>
      </c>
      <c r="T2334" s="1">
        <f>IF($E2334="",0,SUMPRODUCT((AY_SONU!$O$7:$O$42="Evet")*(AY_SONU!$B$7:$B$42=DATE(YEAR($E2334),MONTH($E2334),1))))</f>
        <v>0</v>
      </c>
      <c r="U2334" s="1" t="str">
        <f>IF(OR($G2334="",$H2334="Mahsup"),"",$G2334&amp;"|"&amp;COUNTIFS($G$7:$G2334,$G2334,$H$7:$H2334,"&lt;&gt;Mahsup"))</f>
        <v/>
      </c>
    </row>
    <row r="2335" spans="1:21" ht="18" customHeight="1" x14ac:dyDescent="0.3">
      <c r="A2335" s="2"/>
      <c r="B2335" s="65" t="str">
        <f>IF($D2335="","","T"&amp;TEXT(ROW()-6,"00000"))</f>
        <v/>
      </c>
      <c r="C2335" s="65" t="str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61"/>
      <c r="E2335" s="66"/>
      <c r="F2335" s="67"/>
      <c r="G2335" s="60"/>
      <c r="H2335" s="60"/>
      <c r="I2335" s="61"/>
      <c r="J2335" s="61"/>
      <c r="K2335" s="61"/>
      <c r="L2335" s="73" t="str">
        <f>IF($E2335="","",DATE(YEAR($E2335),MONTH($E2335),1))</f>
        <v/>
      </c>
      <c r="M2335" s="65" t="str">
        <f ca="1">IF($D2335="","",IF($C2335="TANIMSIZ MÜŞTERİ","HATA",IF(OR($E2335="",$F2335&lt;=0,$G2335=""),"EKSİK",IF($E2335&gt;TODAY(),"İLERİ TARİH",IF(COUNTIF($S$7:$S$2503,$S2335)&gt;1,"MÜKERRER?",IF($T2335&gt;0,"KAPALI DÖNEM","UYGUN"))))))</f>
        <v/>
      </c>
      <c r="N2335" s="74" t="str">
        <f>IF($C2335="","",IF($C2335="TANIMSIZ MÜŞTERİ","—",INDEX(MUSTERILER!$C$7:$C$156,MATCH($C2335,MUSTERILER!$B$7:$B$156,0))))</f>
        <v/>
      </c>
      <c r="O2335" s="2"/>
      <c r="P2335" s="2"/>
      <c r="Q2335" s="1" t="str">
        <f>IF($D2335="","",$C2335&amp;"|"&amp;COUNTIFS($C$7:$C2335,$C2335))</f>
        <v/>
      </c>
      <c r="R2335" s="1" t="str">
        <f t="shared" si="72"/>
        <v/>
      </c>
      <c r="S2335" s="1" t="str">
        <f t="shared" si="73"/>
        <v/>
      </c>
      <c r="T2335" s="1">
        <f>IF($E2335="",0,SUMPRODUCT((AY_SONU!$O$7:$O$42="Evet")*(AY_SONU!$B$7:$B$42=DATE(YEAR($E2335),MONTH($E2335),1))))</f>
        <v>0</v>
      </c>
      <c r="U2335" s="1" t="str">
        <f>IF(OR($G2335="",$H2335="Mahsup"),"",$G2335&amp;"|"&amp;COUNTIFS($G$7:$G2335,$G2335,$H$7:$H2335,"&lt;&gt;Mahsup"))</f>
        <v/>
      </c>
    </row>
    <row r="2336" spans="1:21" ht="18" customHeight="1" x14ac:dyDescent="0.3">
      <c r="A2336" s="2"/>
      <c r="B2336" s="65" t="str">
        <f>IF($D2336="","","T"&amp;TEXT(ROW()-6,"00000"))</f>
        <v/>
      </c>
      <c r="C2336" s="65" t="str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61"/>
      <c r="E2336" s="66"/>
      <c r="F2336" s="67"/>
      <c r="G2336" s="60"/>
      <c r="H2336" s="60"/>
      <c r="I2336" s="61"/>
      <c r="J2336" s="61"/>
      <c r="K2336" s="61"/>
      <c r="L2336" s="73" t="str">
        <f>IF($E2336="","",DATE(YEAR($E2336),MONTH($E2336),1))</f>
        <v/>
      </c>
      <c r="M2336" s="65" t="str">
        <f ca="1">IF($D2336="","",IF($C2336="TANIMSIZ MÜŞTERİ","HATA",IF(OR($E2336="",$F2336&lt;=0,$G2336=""),"EKSİK",IF($E2336&gt;TODAY(),"İLERİ TARİH",IF(COUNTIF($S$7:$S$2503,$S2336)&gt;1,"MÜKERRER?",IF($T2336&gt;0,"KAPALI DÖNEM","UYGUN"))))))</f>
        <v/>
      </c>
      <c r="N2336" s="74" t="str">
        <f>IF($C2336="","",IF($C2336="TANIMSIZ MÜŞTERİ","—",INDEX(MUSTERILER!$C$7:$C$156,MATCH($C2336,MUSTERILER!$B$7:$B$156,0))))</f>
        <v/>
      </c>
      <c r="O2336" s="2"/>
      <c r="P2336" s="2"/>
      <c r="Q2336" s="1" t="str">
        <f>IF($D2336="","",$C2336&amp;"|"&amp;COUNTIFS($C$7:$C2336,$C2336))</f>
        <v/>
      </c>
      <c r="R2336" s="1" t="str">
        <f t="shared" si="72"/>
        <v/>
      </c>
      <c r="S2336" s="1" t="str">
        <f t="shared" si="73"/>
        <v/>
      </c>
      <c r="T2336" s="1">
        <f>IF($E2336="",0,SUMPRODUCT((AY_SONU!$O$7:$O$42="Evet")*(AY_SONU!$B$7:$B$42=DATE(YEAR($E2336),MONTH($E2336),1))))</f>
        <v>0</v>
      </c>
      <c r="U2336" s="1" t="str">
        <f>IF(OR($G2336="",$H2336="Mahsup"),"",$G2336&amp;"|"&amp;COUNTIFS($G$7:$G2336,$G2336,$H$7:$H2336,"&lt;&gt;Mahsup"))</f>
        <v/>
      </c>
    </row>
    <row r="2337" spans="1:21" ht="18" customHeight="1" x14ac:dyDescent="0.3">
      <c r="A2337" s="2"/>
      <c r="B2337" s="65" t="str">
        <f>IF($D2337="","","T"&amp;TEXT(ROW()-6,"00000"))</f>
        <v/>
      </c>
      <c r="C2337" s="65" t="str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61"/>
      <c r="E2337" s="66"/>
      <c r="F2337" s="67"/>
      <c r="G2337" s="60"/>
      <c r="H2337" s="60"/>
      <c r="I2337" s="61"/>
      <c r="J2337" s="61"/>
      <c r="K2337" s="61"/>
      <c r="L2337" s="73" t="str">
        <f>IF($E2337="","",DATE(YEAR($E2337),MONTH($E2337),1))</f>
        <v/>
      </c>
      <c r="M2337" s="65" t="str">
        <f ca="1">IF($D2337="","",IF($C2337="TANIMSIZ MÜŞTERİ","HATA",IF(OR($E2337="",$F2337&lt;=0,$G2337=""),"EKSİK",IF($E2337&gt;TODAY(),"İLERİ TARİH",IF(COUNTIF($S$7:$S$2503,$S2337)&gt;1,"MÜKERRER?",IF($T2337&gt;0,"KAPALI DÖNEM","UYGUN"))))))</f>
        <v/>
      </c>
      <c r="N2337" s="74" t="str">
        <f>IF($C2337="","",IF($C2337="TANIMSIZ MÜŞTERİ","—",INDEX(MUSTERILER!$C$7:$C$156,MATCH($C2337,MUSTERILER!$B$7:$B$156,0))))</f>
        <v/>
      </c>
      <c r="O2337" s="2"/>
      <c r="P2337" s="2"/>
      <c r="Q2337" s="1" t="str">
        <f>IF($D2337="","",$C2337&amp;"|"&amp;COUNTIFS($C$7:$C2337,$C2337))</f>
        <v/>
      </c>
      <c r="R2337" s="1" t="str">
        <f t="shared" si="72"/>
        <v/>
      </c>
      <c r="S2337" s="1" t="str">
        <f t="shared" si="73"/>
        <v/>
      </c>
      <c r="T2337" s="1">
        <f>IF($E2337="",0,SUMPRODUCT((AY_SONU!$O$7:$O$42="Evet")*(AY_SONU!$B$7:$B$42=DATE(YEAR($E2337),MONTH($E2337),1))))</f>
        <v>0</v>
      </c>
      <c r="U2337" s="1" t="str">
        <f>IF(OR($G2337="",$H2337="Mahsup"),"",$G2337&amp;"|"&amp;COUNTIFS($G$7:$G2337,$G2337,$H$7:$H2337,"&lt;&gt;Mahsup"))</f>
        <v/>
      </c>
    </row>
    <row r="2338" spans="1:21" ht="18" customHeight="1" x14ac:dyDescent="0.3">
      <c r="A2338" s="2"/>
      <c r="B2338" s="65" t="str">
        <f>IF($D2338="","","T"&amp;TEXT(ROW()-6,"00000"))</f>
        <v/>
      </c>
      <c r="C2338" s="65" t="str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61"/>
      <c r="E2338" s="66"/>
      <c r="F2338" s="67"/>
      <c r="G2338" s="60"/>
      <c r="H2338" s="60"/>
      <c r="I2338" s="61"/>
      <c r="J2338" s="61"/>
      <c r="K2338" s="61"/>
      <c r="L2338" s="73" t="str">
        <f>IF($E2338="","",DATE(YEAR($E2338),MONTH($E2338),1))</f>
        <v/>
      </c>
      <c r="M2338" s="65" t="str">
        <f ca="1">IF($D2338="","",IF($C2338="TANIMSIZ MÜŞTERİ","HATA",IF(OR($E2338="",$F2338&lt;=0,$G2338=""),"EKSİK",IF($E2338&gt;TODAY(),"İLERİ TARİH",IF(COUNTIF($S$7:$S$2503,$S2338)&gt;1,"MÜKERRER?",IF($T2338&gt;0,"KAPALI DÖNEM","UYGUN"))))))</f>
        <v/>
      </c>
      <c r="N2338" s="74" t="str">
        <f>IF($C2338="","",IF($C2338="TANIMSIZ MÜŞTERİ","—",INDEX(MUSTERILER!$C$7:$C$156,MATCH($C2338,MUSTERILER!$B$7:$B$156,0))))</f>
        <v/>
      </c>
      <c r="O2338" s="2"/>
      <c r="P2338" s="2"/>
      <c r="Q2338" s="1" t="str">
        <f>IF($D2338="","",$C2338&amp;"|"&amp;COUNTIFS($C$7:$C2338,$C2338))</f>
        <v/>
      </c>
      <c r="R2338" s="1" t="str">
        <f t="shared" si="72"/>
        <v/>
      </c>
      <c r="S2338" s="1" t="str">
        <f t="shared" si="73"/>
        <v/>
      </c>
      <c r="T2338" s="1">
        <f>IF($E2338="",0,SUMPRODUCT((AY_SONU!$O$7:$O$42="Evet")*(AY_SONU!$B$7:$B$42=DATE(YEAR($E2338),MONTH($E2338),1))))</f>
        <v>0</v>
      </c>
      <c r="U2338" s="1" t="str">
        <f>IF(OR($G2338="",$H2338="Mahsup"),"",$G2338&amp;"|"&amp;COUNTIFS($G$7:$G2338,$G2338,$H$7:$H2338,"&lt;&gt;Mahsup"))</f>
        <v/>
      </c>
    </row>
    <row r="2339" spans="1:21" ht="18" customHeight="1" x14ac:dyDescent="0.3">
      <c r="A2339" s="2"/>
      <c r="B2339" s="65" t="str">
        <f>IF($D2339="","","T"&amp;TEXT(ROW()-6,"00000"))</f>
        <v/>
      </c>
      <c r="C2339" s="65" t="str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61"/>
      <c r="E2339" s="66"/>
      <c r="F2339" s="67"/>
      <c r="G2339" s="60"/>
      <c r="H2339" s="60"/>
      <c r="I2339" s="61"/>
      <c r="J2339" s="61"/>
      <c r="K2339" s="61"/>
      <c r="L2339" s="73" t="str">
        <f>IF($E2339="","",DATE(YEAR($E2339),MONTH($E2339),1))</f>
        <v/>
      </c>
      <c r="M2339" s="65" t="str">
        <f ca="1">IF($D2339="","",IF($C2339="TANIMSIZ MÜŞTERİ","HATA",IF(OR($E2339="",$F2339&lt;=0,$G2339=""),"EKSİK",IF($E2339&gt;TODAY(),"İLERİ TARİH",IF(COUNTIF($S$7:$S$2503,$S2339)&gt;1,"MÜKERRER?",IF($T2339&gt;0,"KAPALI DÖNEM","UYGUN"))))))</f>
        <v/>
      </c>
      <c r="N2339" s="74" t="str">
        <f>IF($C2339="","",IF($C2339="TANIMSIZ MÜŞTERİ","—",INDEX(MUSTERILER!$C$7:$C$156,MATCH($C2339,MUSTERILER!$B$7:$B$156,0))))</f>
        <v/>
      </c>
      <c r="O2339" s="2"/>
      <c r="P2339" s="2"/>
      <c r="Q2339" s="1" t="str">
        <f>IF($D2339="","",$C2339&amp;"|"&amp;COUNTIFS($C$7:$C2339,$C2339))</f>
        <v/>
      </c>
      <c r="R2339" s="1" t="str">
        <f t="shared" si="72"/>
        <v/>
      </c>
      <c r="S2339" s="1" t="str">
        <f t="shared" si="73"/>
        <v/>
      </c>
      <c r="T2339" s="1">
        <f>IF($E2339="",0,SUMPRODUCT((AY_SONU!$O$7:$O$42="Evet")*(AY_SONU!$B$7:$B$42=DATE(YEAR($E2339),MONTH($E2339),1))))</f>
        <v>0</v>
      </c>
      <c r="U2339" s="1" t="str">
        <f>IF(OR($G2339="",$H2339="Mahsup"),"",$G2339&amp;"|"&amp;COUNTIFS($G$7:$G2339,$G2339,$H$7:$H2339,"&lt;&gt;Mahsup"))</f>
        <v/>
      </c>
    </row>
    <row r="2340" spans="1:21" ht="18" customHeight="1" x14ac:dyDescent="0.3">
      <c r="A2340" s="2"/>
      <c r="B2340" s="65" t="str">
        <f>IF($D2340="","","T"&amp;TEXT(ROW()-6,"00000"))</f>
        <v/>
      </c>
      <c r="C2340" s="65" t="str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61"/>
      <c r="E2340" s="66"/>
      <c r="F2340" s="67"/>
      <c r="G2340" s="60"/>
      <c r="H2340" s="60"/>
      <c r="I2340" s="61"/>
      <c r="J2340" s="61"/>
      <c r="K2340" s="61"/>
      <c r="L2340" s="73" t="str">
        <f>IF($E2340="","",DATE(YEAR($E2340),MONTH($E2340),1))</f>
        <v/>
      </c>
      <c r="M2340" s="65" t="str">
        <f ca="1">IF($D2340="","",IF($C2340="TANIMSIZ MÜŞTERİ","HATA",IF(OR($E2340="",$F2340&lt;=0,$G2340=""),"EKSİK",IF($E2340&gt;TODAY(),"İLERİ TARİH",IF(COUNTIF($S$7:$S$2503,$S2340)&gt;1,"MÜKERRER?",IF($T2340&gt;0,"KAPALI DÖNEM","UYGUN"))))))</f>
        <v/>
      </c>
      <c r="N2340" s="74" t="str">
        <f>IF($C2340="","",IF($C2340="TANIMSIZ MÜŞTERİ","—",INDEX(MUSTERILER!$C$7:$C$156,MATCH($C2340,MUSTERILER!$B$7:$B$156,0))))</f>
        <v/>
      </c>
      <c r="O2340" s="2"/>
      <c r="P2340" s="2"/>
      <c r="Q2340" s="1" t="str">
        <f>IF($D2340="","",$C2340&amp;"|"&amp;COUNTIFS($C$7:$C2340,$C2340))</f>
        <v/>
      </c>
      <c r="R2340" s="1" t="str">
        <f t="shared" si="72"/>
        <v/>
      </c>
      <c r="S2340" s="1" t="str">
        <f t="shared" si="73"/>
        <v/>
      </c>
      <c r="T2340" s="1">
        <f>IF($E2340="",0,SUMPRODUCT((AY_SONU!$O$7:$O$42="Evet")*(AY_SONU!$B$7:$B$42=DATE(YEAR($E2340),MONTH($E2340),1))))</f>
        <v>0</v>
      </c>
      <c r="U2340" s="1" t="str">
        <f>IF(OR($G2340="",$H2340="Mahsup"),"",$G2340&amp;"|"&amp;COUNTIFS($G$7:$G2340,$G2340,$H$7:$H2340,"&lt;&gt;Mahsup"))</f>
        <v/>
      </c>
    </row>
    <row r="2341" spans="1:21" ht="18" customHeight="1" x14ac:dyDescent="0.3">
      <c r="A2341" s="2"/>
      <c r="B2341" s="65" t="str">
        <f>IF($D2341="","","T"&amp;TEXT(ROW()-6,"00000"))</f>
        <v/>
      </c>
      <c r="C2341" s="65" t="str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61"/>
      <c r="E2341" s="66"/>
      <c r="F2341" s="67"/>
      <c r="G2341" s="60"/>
      <c r="H2341" s="60"/>
      <c r="I2341" s="61"/>
      <c r="J2341" s="61"/>
      <c r="K2341" s="61"/>
      <c r="L2341" s="73" t="str">
        <f>IF($E2341="","",DATE(YEAR($E2341),MONTH($E2341),1))</f>
        <v/>
      </c>
      <c r="M2341" s="65" t="str">
        <f ca="1">IF($D2341="","",IF($C2341="TANIMSIZ MÜŞTERİ","HATA",IF(OR($E2341="",$F2341&lt;=0,$G2341=""),"EKSİK",IF($E2341&gt;TODAY(),"İLERİ TARİH",IF(COUNTIF($S$7:$S$2503,$S2341)&gt;1,"MÜKERRER?",IF($T2341&gt;0,"KAPALI DÖNEM","UYGUN"))))))</f>
        <v/>
      </c>
      <c r="N2341" s="74" t="str">
        <f>IF($C2341="","",IF($C2341="TANIMSIZ MÜŞTERİ","—",INDEX(MUSTERILER!$C$7:$C$156,MATCH($C2341,MUSTERILER!$B$7:$B$156,0))))</f>
        <v/>
      </c>
      <c r="O2341" s="2"/>
      <c r="P2341" s="2"/>
      <c r="Q2341" s="1" t="str">
        <f>IF($D2341="","",$C2341&amp;"|"&amp;COUNTIFS($C$7:$C2341,$C2341))</f>
        <v/>
      </c>
      <c r="R2341" s="1" t="str">
        <f t="shared" si="72"/>
        <v/>
      </c>
      <c r="S2341" s="1" t="str">
        <f t="shared" si="73"/>
        <v/>
      </c>
      <c r="T2341" s="1">
        <f>IF($E2341="",0,SUMPRODUCT((AY_SONU!$O$7:$O$42="Evet")*(AY_SONU!$B$7:$B$42=DATE(YEAR($E2341),MONTH($E2341),1))))</f>
        <v>0</v>
      </c>
      <c r="U2341" s="1" t="str">
        <f>IF(OR($G2341="",$H2341="Mahsup"),"",$G2341&amp;"|"&amp;COUNTIFS($G$7:$G2341,$G2341,$H$7:$H2341,"&lt;&gt;Mahsup"))</f>
        <v/>
      </c>
    </row>
    <row r="2342" spans="1:21" ht="18" customHeight="1" x14ac:dyDescent="0.3">
      <c r="A2342" s="2"/>
      <c r="B2342" s="65" t="str">
        <f>IF($D2342="","","T"&amp;TEXT(ROW()-6,"00000"))</f>
        <v/>
      </c>
      <c r="C2342" s="65" t="str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61"/>
      <c r="E2342" s="66"/>
      <c r="F2342" s="67"/>
      <c r="G2342" s="60"/>
      <c r="H2342" s="60"/>
      <c r="I2342" s="61"/>
      <c r="J2342" s="61"/>
      <c r="K2342" s="61"/>
      <c r="L2342" s="73" t="str">
        <f>IF($E2342="","",DATE(YEAR($E2342),MONTH($E2342),1))</f>
        <v/>
      </c>
      <c r="M2342" s="65" t="str">
        <f ca="1">IF($D2342="","",IF($C2342="TANIMSIZ MÜŞTERİ","HATA",IF(OR($E2342="",$F2342&lt;=0,$G2342=""),"EKSİK",IF($E2342&gt;TODAY(),"İLERİ TARİH",IF(COUNTIF($S$7:$S$2503,$S2342)&gt;1,"MÜKERRER?",IF($T2342&gt;0,"KAPALI DÖNEM","UYGUN"))))))</f>
        <v/>
      </c>
      <c r="N2342" s="74" t="str">
        <f>IF($C2342="","",IF($C2342="TANIMSIZ MÜŞTERİ","—",INDEX(MUSTERILER!$C$7:$C$156,MATCH($C2342,MUSTERILER!$B$7:$B$156,0))))</f>
        <v/>
      </c>
      <c r="O2342" s="2"/>
      <c r="P2342" s="2"/>
      <c r="Q2342" s="1" t="str">
        <f>IF($D2342="","",$C2342&amp;"|"&amp;COUNTIFS($C$7:$C2342,$C2342))</f>
        <v/>
      </c>
      <c r="R2342" s="1" t="str">
        <f t="shared" si="72"/>
        <v/>
      </c>
      <c r="S2342" s="1" t="str">
        <f t="shared" si="73"/>
        <v/>
      </c>
      <c r="T2342" s="1">
        <f>IF($E2342="",0,SUMPRODUCT((AY_SONU!$O$7:$O$42="Evet")*(AY_SONU!$B$7:$B$42=DATE(YEAR($E2342),MONTH($E2342),1))))</f>
        <v>0</v>
      </c>
      <c r="U2342" s="1" t="str">
        <f>IF(OR($G2342="",$H2342="Mahsup"),"",$G2342&amp;"|"&amp;COUNTIFS($G$7:$G2342,$G2342,$H$7:$H2342,"&lt;&gt;Mahsup"))</f>
        <v/>
      </c>
    </row>
    <row r="2343" spans="1:21" ht="18" customHeight="1" x14ac:dyDescent="0.3">
      <c r="A2343" s="2"/>
      <c r="B2343" s="65" t="str">
        <f>IF($D2343="","","T"&amp;TEXT(ROW()-6,"00000"))</f>
        <v/>
      </c>
      <c r="C2343" s="65" t="str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61"/>
      <c r="E2343" s="66"/>
      <c r="F2343" s="67"/>
      <c r="G2343" s="60"/>
      <c r="H2343" s="60"/>
      <c r="I2343" s="61"/>
      <c r="J2343" s="61"/>
      <c r="K2343" s="61"/>
      <c r="L2343" s="73" t="str">
        <f>IF($E2343="","",DATE(YEAR($E2343),MONTH($E2343),1))</f>
        <v/>
      </c>
      <c r="M2343" s="65" t="str">
        <f ca="1">IF($D2343="","",IF($C2343="TANIMSIZ MÜŞTERİ","HATA",IF(OR($E2343="",$F2343&lt;=0,$G2343=""),"EKSİK",IF($E2343&gt;TODAY(),"İLERİ TARİH",IF(COUNTIF($S$7:$S$2503,$S2343)&gt;1,"MÜKERRER?",IF($T2343&gt;0,"KAPALI DÖNEM","UYGUN"))))))</f>
        <v/>
      </c>
      <c r="N2343" s="74" t="str">
        <f>IF($C2343="","",IF($C2343="TANIMSIZ MÜŞTERİ","—",INDEX(MUSTERILER!$C$7:$C$156,MATCH($C2343,MUSTERILER!$B$7:$B$156,0))))</f>
        <v/>
      </c>
      <c r="O2343" s="2"/>
      <c r="P2343" s="2"/>
      <c r="Q2343" s="1" t="str">
        <f>IF($D2343="","",$C2343&amp;"|"&amp;COUNTIFS($C$7:$C2343,$C2343))</f>
        <v/>
      </c>
      <c r="R2343" s="1" t="str">
        <f t="shared" si="72"/>
        <v/>
      </c>
      <c r="S2343" s="1" t="str">
        <f t="shared" si="73"/>
        <v/>
      </c>
      <c r="T2343" s="1">
        <f>IF($E2343="",0,SUMPRODUCT((AY_SONU!$O$7:$O$42="Evet")*(AY_SONU!$B$7:$B$42=DATE(YEAR($E2343),MONTH($E2343),1))))</f>
        <v>0</v>
      </c>
      <c r="U2343" s="1" t="str">
        <f>IF(OR($G2343="",$H2343="Mahsup"),"",$G2343&amp;"|"&amp;COUNTIFS($G$7:$G2343,$G2343,$H$7:$H2343,"&lt;&gt;Mahsup"))</f>
        <v/>
      </c>
    </row>
    <row r="2344" spans="1:21" ht="18" customHeight="1" x14ac:dyDescent="0.3">
      <c r="A2344" s="2"/>
      <c r="B2344" s="65" t="str">
        <f>IF($D2344="","","T"&amp;TEXT(ROW()-6,"00000"))</f>
        <v/>
      </c>
      <c r="C2344" s="65" t="str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61"/>
      <c r="E2344" s="66"/>
      <c r="F2344" s="67"/>
      <c r="G2344" s="60"/>
      <c r="H2344" s="60"/>
      <c r="I2344" s="61"/>
      <c r="J2344" s="61"/>
      <c r="K2344" s="61"/>
      <c r="L2344" s="73" t="str">
        <f>IF($E2344="","",DATE(YEAR($E2344),MONTH($E2344),1))</f>
        <v/>
      </c>
      <c r="M2344" s="65" t="str">
        <f ca="1">IF($D2344="","",IF($C2344="TANIMSIZ MÜŞTERİ","HATA",IF(OR($E2344="",$F2344&lt;=0,$G2344=""),"EKSİK",IF($E2344&gt;TODAY(),"İLERİ TARİH",IF(COUNTIF($S$7:$S$2503,$S2344)&gt;1,"MÜKERRER?",IF($T2344&gt;0,"KAPALI DÖNEM","UYGUN"))))))</f>
        <v/>
      </c>
      <c r="N2344" s="74" t="str">
        <f>IF($C2344="","",IF($C2344="TANIMSIZ MÜŞTERİ","—",INDEX(MUSTERILER!$C$7:$C$156,MATCH($C2344,MUSTERILER!$B$7:$B$156,0))))</f>
        <v/>
      </c>
      <c r="O2344" s="2"/>
      <c r="P2344" s="2"/>
      <c r="Q2344" s="1" t="str">
        <f>IF($D2344="","",$C2344&amp;"|"&amp;COUNTIFS($C$7:$C2344,$C2344))</f>
        <v/>
      </c>
      <c r="R2344" s="1" t="str">
        <f t="shared" si="72"/>
        <v/>
      </c>
      <c r="S2344" s="1" t="str">
        <f t="shared" si="73"/>
        <v/>
      </c>
      <c r="T2344" s="1">
        <f>IF($E2344="",0,SUMPRODUCT((AY_SONU!$O$7:$O$42="Evet")*(AY_SONU!$B$7:$B$42=DATE(YEAR($E2344),MONTH($E2344),1))))</f>
        <v>0</v>
      </c>
      <c r="U2344" s="1" t="str">
        <f>IF(OR($G2344="",$H2344="Mahsup"),"",$G2344&amp;"|"&amp;COUNTIFS($G$7:$G2344,$G2344,$H$7:$H2344,"&lt;&gt;Mahsup"))</f>
        <v/>
      </c>
    </row>
    <row r="2345" spans="1:21" ht="18" customHeight="1" x14ac:dyDescent="0.3">
      <c r="A2345" s="2"/>
      <c r="B2345" s="65" t="str">
        <f>IF($D2345="","","T"&amp;TEXT(ROW()-6,"00000"))</f>
        <v/>
      </c>
      <c r="C2345" s="65" t="str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61"/>
      <c r="E2345" s="66"/>
      <c r="F2345" s="67"/>
      <c r="G2345" s="60"/>
      <c r="H2345" s="60"/>
      <c r="I2345" s="61"/>
      <c r="J2345" s="61"/>
      <c r="K2345" s="61"/>
      <c r="L2345" s="73" t="str">
        <f>IF($E2345="","",DATE(YEAR($E2345),MONTH($E2345),1))</f>
        <v/>
      </c>
      <c r="M2345" s="65" t="str">
        <f ca="1">IF($D2345="","",IF($C2345="TANIMSIZ MÜŞTERİ","HATA",IF(OR($E2345="",$F2345&lt;=0,$G2345=""),"EKSİK",IF($E2345&gt;TODAY(),"İLERİ TARİH",IF(COUNTIF($S$7:$S$2503,$S2345)&gt;1,"MÜKERRER?",IF($T2345&gt;0,"KAPALI DÖNEM","UYGUN"))))))</f>
        <v/>
      </c>
      <c r="N2345" s="74" t="str">
        <f>IF($C2345="","",IF($C2345="TANIMSIZ MÜŞTERİ","—",INDEX(MUSTERILER!$C$7:$C$156,MATCH($C2345,MUSTERILER!$B$7:$B$156,0))))</f>
        <v/>
      </c>
      <c r="O2345" s="2"/>
      <c r="P2345" s="2"/>
      <c r="Q2345" s="1" t="str">
        <f>IF($D2345="","",$C2345&amp;"|"&amp;COUNTIFS($C$7:$C2345,$C2345))</f>
        <v/>
      </c>
      <c r="R2345" s="1" t="str">
        <f t="shared" si="72"/>
        <v/>
      </c>
      <c r="S2345" s="1" t="str">
        <f t="shared" si="73"/>
        <v/>
      </c>
      <c r="T2345" s="1">
        <f>IF($E2345="",0,SUMPRODUCT((AY_SONU!$O$7:$O$42="Evet")*(AY_SONU!$B$7:$B$42=DATE(YEAR($E2345),MONTH($E2345),1))))</f>
        <v>0</v>
      </c>
      <c r="U2345" s="1" t="str">
        <f>IF(OR($G2345="",$H2345="Mahsup"),"",$G2345&amp;"|"&amp;COUNTIFS($G$7:$G2345,$G2345,$H$7:$H2345,"&lt;&gt;Mahsup"))</f>
        <v/>
      </c>
    </row>
    <row r="2346" spans="1:21" ht="18" customHeight="1" x14ac:dyDescent="0.3">
      <c r="A2346" s="2"/>
      <c r="B2346" s="65" t="str">
        <f>IF($D2346="","","T"&amp;TEXT(ROW()-6,"00000"))</f>
        <v/>
      </c>
      <c r="C2346" s="65" t="str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61"/>
      <c r="E2346" s="66"/>
      <c r="F2346" s="67"/>
      <c r="G2346" s="60"/>
      <c r="H2346" s="60"/>
      <c r="I2346" s="61"/>
      <c r="J2346" s="61"/>
      <c r="K2346" s="61"/>
      <c r="L2346" s="73" t="str">
        <f>IF($E2346="","",DATE(YEAR($E2346),MONTH($E2346),1))</f>
        <v/>
      </c>
      <c r="M2346" s="65" t="str">
        <f ca="1">IF($D2346="","",IF($C2346="TANIMSIZ MÜŞTERİ","HATA",IF(OR($E2346="",$F2346&lt;=0,$G2346=""),"EKSİK",IF($E2346&gt;TODAY(),"İLERİ TARİH",IF(COUNTIF($S$7:$S$2503,$S2346)&gt;1,"MÜKERRER?",IF($T2346&gt;0,"KAPALI DÖNEM","UYGUN"))))))</f>
        <v/>
      </c>
      <c r="N2346" s="74" t="str">
        <f>IF($C2346="","",IF($C2346="TANIMSIZ MÜŞTERİ","—",INDEX(MUSTERILER!$C$7:$C$156,MATCH($C2346,MUSTERILER!$B$7:$B$156,0))))</f>
        <v/>
      </c>
      <c r="O2346" s="2"/>
      <c r="P2346" s="2"/>
      <c r="Q2346" s="1" t="str">
        <f>IF($D2346="","",$C2346&amp;"|"&amp;COUNTIFS($C$7:$C2346,$C2346))</f>
        <v/>
      </c>
      <c r="R2346" s="1" t="str">
        <f t="shared" si="72"/>
        <v/>
      </c>
      <c r="S2346" s="1" t="str">
        <f t="shared" si="73"/>
        <v/>
      </c>
      <c r="T2346" s="1">
        <f>IF($E2346="",0,SUMPRODUCT((AY_SONU!$O$7:$O$42="Evet")*(AY_SONU!$B$7:$B$42=DATE(YEAR($E2346),MONTH($E2346),1))))</f>
        <v>0</v>
      </c>
      <c r="U2346" s="1" t="str">
        <f>IF(OR($G2346="",$H2346="Mahsup"),"",$G2346&amp;"|"&amp;COUNTIFS($G$7:$G2346,$G2346,$H$7:$H2346,"&lt;&gt;Mahsup"))</f>
        <v/>
      </c>
    </row>
    <row r="2347" spans="1:21" ht="18" customHeight="1" x14ac:dyDescent="0.3">
      <c r="A2347" s="2"/>
      <c r="B2347" s="65" t="str">
        <f>IF($D2347="","","T"&amp;TEXT(ROW()-6,"00000"))</f>
        <v/>
      </c>
      <c r="C2347" s="65" t="str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61"/>
      <c r="E2347" s="66"/>
      <c r="F2347" s="67"/>
      <c r="G2347" s="60"/>
      <c r="H2347" s="60"/>
      <c r="I2347" s="61"/>
      <c r="J2347" s="61"/>
      <c r="K2347" s="61"/>
      <c r="L2347" s="73" t="str">
        <f>IF($E2347="","",DATE(YEAR($E2347),MONTH($E2347),1))</f>
        <v/>
      </c>
      <c r="M2347" s="65" t="str">
        <f ca="1">IF($D2347="","",IF($C2347="TANIMSIZ MÜŞTERİ","HATA",IF(OR($E2347="",$F2347&lt;=0,$G2347=""),"EKSİK",IF($E2347&gt;TODAY(),"İLERİ TARİH",IF(COUNTIF($S$7:$S$2503,$S2347)&gt;1,"MÜKERRER?",IF($T2347&gt;0,"KAPALI DÖNEM","UYGUN"))))))</f>
        <v/>
      </c>
      <c r="N2347" s="74" t="str">
        <f>IF($C2347="","",IF($C2347="TANIMSIZ MÜŞTERİ","—",INDEX(MUSTERILER!$C$7:$C$156,MATCH($C2347,MUSTERILER!$B$7:$B$156,0))))</f>
        <v/>
      </c>
      <c r="O2347" s="2"/>
      <c r="P2347" s="2"/>
      <c r="Q2347" s="1" t="str">
        <f>IF($D2347="","",$C2347&amp;"|"&amp;COUNTIFS($C$7:$C2347,$C2347))</f>
        <v/>
      </c>
      <c r="R2347" s="1" t="str">
        <f t="shared" si="72"/>
        <v/>
      </c>
      <c r="S2347" s="1" t="str">
        <f t="shared" si="73"/>
        <v/>
      </c>
      <c r="T2347" s="1">
        <f>IF($E2347="",0,SUMPRODUCT((AY_SONU!$O$7:$O$42="Evet")*(AY_SONU!$B$7:$B$42=DATE(YEAR($E2347),MONTH($E2347),1))))</f>
        <v>0</v>
      </c>
      <c r="U2347" s="1" t="str">
        <f>IF(OR($G2347="",$H2347="Mahsup"),"",$G2347&amp;"|"&amp;COUNTIFS($G$7:$G2347,$G2347,$H$7:$H2347,"&lt;&gt;Mahsup"))</f>
        <v/>
      </c>
    </row>
    <row r="2348" spans="1:21" ht="18" customHeight="1" x14ac:dyDescent="0.3">
      <c r="A2348" s="2"/>
      <c r="B2348" s="65" t="str">
        <f>IF($D2348="","","T"&amp;TEXT(ROW()-6,"00000"))</f>
        <v/>
      </c>
      <c r="C2348" s="65" t="str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61"/>
      <c r="E2348" s="66"/>
      <c r="F2348" s="67"/>
      <c r="G2348" s="60"/>
      <c r="H2348" s="60"/>
      <c r="I2348" s="61"/>
      <c r="J2348" s="61"/>
      <c r="K2348" s="61"/>
      <c r="L2348" s="73" t="str">
        <f>IF($E2348="","",DATE(YEAR($E2348),MONTH($E2348),1))</f>
        <v/>
      </c>
      <c r="M2348" s="65" t="str">
        <f ca="1">IF($D2348="","",IF($C2348="TANIMSIZ MÜŞTERİ","HATA",IF(OR($E2348="",$F2348&lt;=0,$G2348=""),"EKSİK",IF($E2348&gt;TODAY(),"İLERİ TARİH",IF(COUNTIF($S$7:$S$2503,$S2348)&gt;1,"MÜKERRER?",IF($T2348&gt;0,"KAPALI DÖNEM","UYGUN"))))))</f>
        <v/>
      </c>
      <c r="N2348" s="74" t="str">
        <f>IF($C2348="","",IF($C2348="TANIMSIZ MÜŞTERİ","—",INDEX(MUSTERILER!$C$7:$C$156,MATCH($C2348,MUSTERILER!$B$7:$B$156,0))))</f>
        <v/>
      </c>
      <c r="O2348" s="2"/>
      <c r="P2348" s="2"/>
      <c r="Q2348" s="1" t="str">
        <f>IF($D2348="","",$C2348&amp;"|"&amp;COUNTIFS($C$7:$C2348,$C2348))</f>
        <v/>
      </c>
      <c r="R2348" s="1" t="str">
        <f t="shared" si="72"/>
        <v/>
      </c>
      <c r="S2348" s="1" t="str">
        <f t="shared" si="73"/>
        <v/>
      </c>
      <c r="T2348" s="1">
        <f>IF($E2348="",0,SUMPRODUCT((AY_SONU!$O$7:$O$42="Evet")*(AY_SONU!$B$7:$B$42=DATE(YEAR($E2348),MONTH($E2348),1))))</f>
        <v>0</v>
      </c>
      <c r="U2348" s="1" t="str">
        <f>IF(OR($G2348="",$H2348="Mahsup"),"",$G2348&amp;"|"&amp;COUNTIFS($G$7:$G2348,$G2348,$H$7:$H2348,"&lt;&gt;Mahsup"))</f>
        <v/>
      </c>
    </row>
    <row r="2349" spans="1:21" ht="18" customHeight="1" x14ac:dyDescent="0.3">
      <c r="A2349" s="2"/>
      <c r="B2349" s="65" t="str">
        <f>IF($D2349="","","T"&amp;TEXT(ROW()-6,"00000"))</f>
        <v/>
      </c>
      <c r="C2349" s="65" t="str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61"/>
      <c r="E2349" s="66"/>
      <c r="F2349" s="67"/>
      <c r="G2349" s="60"/>
      <c r="H2349" s="60"/>
      <c r="I2349" s="61"/>
      <c r="J2349" s="61"/>
      <c r="K2349" s="61"/>
      <c r="L2349" s="73" t="str">
        <f>IF($E2349="","",DATE(YEAR($E2349),MONTH($E2349),1))</f>
        <v/>
      </c>
      <c r="M2349" s="65" t="str">
        <f ca="1">IF($D2349="","",IF($C2349="TANIMSIZ MÜŞTERİ","HATA",IF(OR($E2349="",$F2349&lt;=0,$G2349=""),"EKSİK",IF($E2349&gt;TODAY(),"İLERİ TARİH",IF(COUNTIF($S$7:$S$2503,$S2349)&gt;1,"MÜKERRER?",IF($T2349&gt;0,"KAPALI DÖNEM","UYGUN"))))))</f>
        <v/>
      </c>
      <c r="N2349" s="74" t="str">
        <f>IF($C2349="","",IF($C2349="TANIMSIZ MÜŞTERİ","—",INDEX(MUSTERILER!$C$7:$C$156,MATCH($C2349,MUSTERILER!$B$7:$B$156,0))))</f>
        <v/>
      </c>
      <c r="O2349" s="2"/>
      <c r="P2349" s="2"/>
      <c r="Q2349" s="1" t="str">
        <f>IF($D2349="","",$C2349&amp;"|"&amp;COUNTIFS($C$7:$C2349,$C2349))</f>
        <v/>
      </c>
      <c r="R2349" s="1" t="str">
        <f t="shared" si="72"/>
        <v/>
      </c>
      <c r="S2349" s="1" t="str">
        <f t="shared" si="73"/>
        <v/>
      </c>
      <c r="T2349" s="1">
        <f>IF($E2349="",0,SUMPRODUCT((AY_SONU!$O$7:$O$42="Evet")*(AY_SONU!$B$7:$B$42=DATE(YEAR($E2349),MONTH($E2349),1))))</f>
        <v>0</v>
      </c>
      <c r="U2349" s="1" t="str">
        <f>IF(OR($G2349="",$H2349="Mahsup"),"",$G2349&amp;"|"&amp;COUNTIFS($G$7:$G2349,$G2349,$H$7:$H2349,"&lt;&gt;Mahsup"))</f>
        <v/>
      </c>
    </row>
    <row r="2350" spans="1:21" ht="18" customHeight="1" x14ac:dyDescent="0.3">
      <c r="A2350" s="2"/>
      <c r="B2350" s="65" t="str">
        <f>IF($D2350="","","T"&amp;TEXT(ROW()-6,"00000"))</f>
        <v/>
      </c>
      <c r="C2350" s="65" t="str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61"/>
      <c r="E2350" s="66"/>
      <c r="F2350" s="67"/>
      <c r="G2350" s="60"/>
      <c r="H2350" s="60"/>
      <c r="I2350" s="61"/>
      <c r="J2350" s="61"/>
      <c r="K2350" s="61"/>
      <c r="L2350" s="73" t="str">
        <f>IF($E2350="","",DATE(YEAR($E2350),MONTH($E2350),1))</f>
        <v/>
      </c>
      <c r="M2350" s="65" t="str">
        <f ca="1">IF($D2350="","",IF($C2350="TANIMSIZ MÜŞTERİ","HATA",IF(OR($E2350="",$F2350&lt;=0,$G2350=""),"EKSİK",IF($E2350&gt;TODAY(),"İLERİ TARİH",IF(COUNTIF($S$7:$S$2503,$S2350)&gt;1,"MÜKERRER?",IF($T2350&gt;0,"KAPALI DÖNEM","UYGUN"))))))</f>
        <v/>
      </c>
      <c r="N2350" s="74" t="str">
        <f>IF($C2350="","",IF($C2350="TANIMSIZ MÜŞTERİ","—",INDEX(MUSTERILER!$C$7:$C$156,MATCH($C2350,MUSTERILER!$B$7:$B$156,0))))</f>
        <v/>
      </c>
      <c r="O2350" s="2"/>
      <c r="P2350" s="2"/>
      <c r="Q2350" s="1" t="str">
        <f>IF($D2350="","",$C2350&amp;"|"&amp;COUNTIFS($C$7:$C2350,$C2350))</f>
        <v/>
      </c>
      <c r="R2350" s="1" t="str">
        <f t="shared" si="72"/>
        <v/>
      </c>
      <c r="S2350" s="1" t="str">
        <f t="shared" si="73"/>
        <v/>
      </c>
      <c r="T2350" s="1">
        <f>IF($E2350="",0,SUMPRODUCT((AY_SONU!$O$7:$O$42="Evet")*(AY_SONU!$B$7:$B$42=DATE(YEAR($E2350),MONTH($E2350),1))))</f>
        <v>0</v>
      </c>
      <c r="U2350" s="1" t="str">
        <f>IF(OR($G2350="",$H2350="Mahsup"),"",$G2350&amp;"|"&amp;COUNTIFS($G$7:$G2350,$G2350,$H$7:$H2350,"&lt;&gt;Mahsup"))</f>
        <v/>
      </c>
    </row>
    <row r="2351" spans="1:21" ht="18" customHeight="1" x14ac:dyDescent="0.3">
      <c r="A2351" s="2"/>
      <c r="B2351" s="65" t="str">
        <f>IF($D2351="","","T"&amp;TEXT(ROW()-6,"00000"))</f>
        <v/>
      </c>
      <c r="C2351" s="65" t="str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61"/>
      <c r="E2351" s="66"/>
      <c r="F2351" s="67"/>
      <c r="G2351" s="60"/>
      <c r="H2351" s="60"/>
      <c r="I2351" s="61"/>
      <c r="J2351" s="61"/>
      <c r="K2351" s="61"/>
      <c r="L2351" s="73" t="str">
        <f>IF($E2351="","",DATE(YEAR($E2351),MONTH($E2351),1))</f>
        <v/>
      </c>
      <c r="M2351" s="65" t="str">
        <f ca="1">IF($D2351="","",IF($C2351="TANIMSIZ MÜŞTERİ","HATA",IF(OR($E2351="",$F2351&lt;=0,$G2351=""),"EKSİK",IF($E2351&gt;TODAY(),"İLERİ TARİH",IF(COUNTIF($S$7:$S$2503,$S2351)&gt;1,"MÜKERRER?",IF($T2351&gt;0,"KAPALI DÖNEM","UYGUN"))))))</f>
        <v/>
      </c>
      <c r="N2351" s="74" t="str">
        <f>IF($C2351="","",IF($C2351="TANIMSIZ MÜŞTERİ","—",INDEX(MUSTERILER!$C$7:$C$156,MATCH($C2351,MUSTERILER!$B$7:$B$156,0))))</f>
        <v/>
      </c>
      <c r="O2351" s="2"/>
      <c r="P2351" s="2"/>
      <c r="Q2351" s="1" t="str">
        <f>IF($D2351="","",$C2351&amp;"|"&amp;COUNTIFS($C$7:$C2351,$C2351))</f>
        <v/>
      </c>
      <c r="R2351" s="1" t="str">
        <f t="shared" si="72"/>
        <v/>
      </c>
      <c r="S2351" s="1" t="str">
        <f t="shared" si="73"/>
        <v/>
      </c>
      <c r="T2351" s="1">
        <f>IF($E2351="",0,SUMPRODUCT((AY_SONU!$O$7:$O$42="Evet")*(AY_SONU!$B$7:$B$42=DATE(YEAR($E2351),MONTH($E2351),1))))</f>
        <v>0</v>
      </c>
      <c r="U2351" s="1" t="str">
        <f>IF(OR($G2351="",$H2351="Mahsup"),"",$G2351&amp;"|"&amp;COUNTIFS($G$7:$G2351,$G2351,$H$7:$H2351,"&lt;&gt;Mahsup"))</f>
        <v/>
      </c>
    </row>
    <row r="2352" spans="1:21" ht="18" customHeight="1" x14ac:dyDescent="0.3">
      <c r="A2352" s="2"/>
      <c r="B2352" s="65" t="str">
        <f>IF($D2352="","","T"&amp;TEXT(ROW()-6,"00000"))</f>
        <v/>
      </c>
      <c r="C2352" s="65" t="str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61"/>
      <c r="E2352" s="66"/>
      <c r="F2352" s="67"/>
      <c r="G2352" s="60"/>
      <c r="H2352" s="60"/>
      <c r="I2352" s="61"/>
      <c r="J2352" s="61"/>
      <c r="K2352" s="61"/>
      <c r="L2352" s="73" t="str">
        <f>IF($E2352="","",DATE(YEAR($E2352),MONTH($E2352),1))</f>
        <v/>
      </c>
      <c r="M2352" s="65" t="str">
        <f ca="1">IF($D2352="","",IF($C2352="TANIMSIZ MÜŞTERİ","HATA",IF(OR($E2352="",$F2352&lt;=0,$G2352=""),"EKSİK",IF($E2352&gt;TODAY(),"İLERİ TARİH",IF(COUNTIF($S$7:$S$2503,$S2352)&gt;1,"MÜKERRER?",IF($T2352&gt;0,"KAPALI DÖNEM","UYGUN"))))))</f>
        <v/>
      </c>
      <c r="N2352" s="74" t="str">
        <f>IF($C2352="","",IF($C2352="TANIMSIZ MÜŞTERİ","—",INDEX(MUSTERILER!$C$7:$C$156,MATCH($C2352,MUSTERILER!$B$7:$B$156,0))))</f>
        <v/>
      </c>
      <c r="O2352" s="2"/>
      <c r="P2352" s="2"/>
      <c r="Q2352" s="1" t="str">
        <f>IF($D2352="","",$C2352&amp;"|"&amp;COUNTIFS($C$7:$C2352,$C2352))</f>
        <v/>
      </c>
      <c r="R2352" s="1" t="str">
        <f t="shared" si="72"/>
        <v/>
      </c>
      <c r="S2352" s="1" t="str">
        <f t="shared" si="73"/>
        <v/>
      </c>
      <c r="T2352" s="1">
        <f>IF($E2352="",0,SUMPRODUCT((AY_SONU!$O$7:$O$42="Evet")*(AY_SONU!$B$7:$B$42=DATE(YEAR($E2352),MONTH($E2352),1))))</f>
        <v>0</v>
      </c>
      <c r="U2352" s="1" t="str">
        <f>IF(OR($G2352="",$H2352="Mahsup"),"",$G2352&amp;"|"&amp;COUNTIFS($G$7:$G2352,$G2352,$H$7:$H2352,"&lt;&gt;Mahsup"))</f>
        <v/>
      </c>
    </row>
    <row r="2353" spans="1:21" ht="18" customHeight="1" x14ac:dyDescent="0.3">
      <c r="A2353" s="2"/>
      <c r="B2353" s="65" t="str">
        <f>IF($D2353="","","T"&amp;TEXT(ROW()-6,"00000"))</f>
        <v/>
      </c>
      <c r="C2353" s="65" t="str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61"/>
      <c r="E2353" s="66"/>
      <c r="F2353" s="67"/>
      <c r="G2353" s="60"/>
      <c r="H2353" s="60"/>
      <c r="I2353" s="61"/>
      <c r="J2353" s="61"/>
      <c r="K2353" s="61"/>
      <c r="L2353" s="73" t="str">
        <f>IF($E2353="","",DATE(YEAR($E2353),MONTH($E2353),1))</f>
        <v/>
      </c>
      <c r="M2353" s="65" t="str">
        <f ca="1">IF($D2353="","",IF($C2353="TANIMSIZ MÜŞTERİ","HATA",IF(OR($E2353="",$F2353&lt;=0,$G2353=""),"EKSİK",IF($E2353&gt;TODAY(),"İLERİ TARİH",IF(COUNTIF($S$7:$S$2503,$S2353)&gt;1,"MÜKERRER?",IF($T2353&gt;0,"KAPALI DÖNEM","UYGUN"))))))</f>
        <v/>
      </c>
      <c r="N2353" s="74" t="str">
        <f>IF($C2353="","",IF($C2353="TANIMSIZ MÜŞTERİ","—",INDEX(MUSTERILER!$C$7:$C$156,MATCH($C2353,MUSTERILER!$B$7:$B$156,0))))</f>
        <v/>
      </c>
      <c r="O2353" s="2"/>
      <c r="P2353" s="2"/>
      <c r="Q2353" s="1" t="str">
        <f>IF($D2353="","",$C2353&amp;"|"&amp;COUNTIFS($C$7:$C2353,$C2353))</f>
        <v/>
      </c>
      <c r="R2353" s="1" t="str">
        <f t="shared" si="72"/>
        <v/>
      </c>
      <c r="S2353" s="1" t="str">
        <f t="shared" si="73"/>
        <v/>
      </c>
      <c r="T2353" s="1">
        <f>IF($E2353="",0,SUMPRODUCT((AY_SONU!$O$7:$O$42="Evet")*(AY_SONU!$B$7:$B$42=DATE(YEAR($E2353),MONTH($E2353),1))))</f>
        <v>0</v>
      </c>
      <c r="U2353" s="1" t="str">
        <f>IF(OR($G2353="",$H2353="Mahsup"),"",$G2353&amp;"|"&amp;COUNTIFS($G$7:$G2353,$G2353,$H$7:$H2353,"&lt;&gt;Mahsup"))</f>
        <v/>
      </c>
    </row>
    <row r="2354" spans="1:21" ht="18" customHeight="1" x14ac:dyDescent="0.3">
      <c r="A2354" s="2"/>
      <c r="B2354" s="65" t="str">
        <f>IF($D2354="","","T"&amp;TEXT(ROW()-6,"00000"))</f>
        <v/>
      </c>
      <c r="C2354" s="65" t="str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61"/>
      <c r="E2354" s="66"/>
      <c r="F2354" s="67"/>
      <c r="G2354" s="60"/>
      <c r="H2354" s="60"/>
      <c r="I2354" s="61"/>
      <c r="J2354" s="61"/>
      <c r="K2354" s="61"/>
      <c r="L2354" s="73" t="str">
        <f>IF($E2354="","",DATE(YEAR($E2354),MONTH($E2354),1))</f>
        <v/>
      </c>
      <c r="M2354" s="65" t="str">
        <f ca="1">IF($D2354="","",IF($C2354="TANIMSIZ MÜŞTERİ","HATA",IF(OR($E2354="",$F2354&lt;=0,$G2354=""),"EKSİK",IF($E2354&gt;TODAY(),"İLERİ TARİH",IF(COUNTIF($S$7:$S$2503,$S2354)&gt;1,"MÜKERRER?",IF($T2354&gt;0,"KAPALI DÖNEM","UYGUN"))))))</f>
        <v/>
      </c>
      <c r="N2354" s="74" t="str">
        <f>IF($C2354="","",IF($C2354="TANIMSIZ MÜŞTERİ","—",INDEX(MUSTERILER!$C$7:$C$156,MATCH($C2354,MUSTERILER!$B$7:$B$156,0))))</f>
        <v/>
      </c>
      <c r="O2354" s="2"/>
      <c r="P2354" s="2"/>
      <c r="Q2354" s="1" t="str">
        <f>IF($D2354="","",$C2354&amp;"|"&amp;COUNTIFS($C$7:$C2354,$C2354))</f>
        <v/>
      </c>
      <c r="R2354" s="1" t="str">
        <f t="shared" si="72"/>
        <v/>
      </c>
      <c r="S2354" s="1" t="str">
        <f t="shared" si="73"/>
        <v/>
      </c>
      <c r="T2354" s="1">
        <f>IF($E2354="",0,SUMPRODUCT((AY_SONU!$O$7:$O$42="Evet")*(AY_SONU!$B$7:$B$42=DATE(YEAR($E2354),MONTH($E2354),1))))</f>
        <v>0</v>
      </c>
      <c r="U2354" s="1" t="str">
        <f>IF(OR($G2354="",$H2354="Mahsup"),"",$G2354&amp;"|"&amp;COUNTIFS($G$7:$G2354,$G2354,$H$7:$H2354,"&lt;&gt;Mahsup"))</f>
        <v/>
      </c>
    </row>
    <row r="2355" spans="1:21" ht="18" customHeight="1" x14ac:dyDescent="0.3">
      <c r="A2355" s="2"/>
      <c r="B2355" s="65" t="str">
        <f>IF($D2355="","","T"&amp;TEXT(ROW()-6,"00000"))</f>
        <v/>
      </c>
      <c r="C2355" s="65" t="str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61"/>
      <c r="E2355" s="66"/>
      <c r="F2355" s="67"/>
      <c r="G2355" s="60"/>
      <c r="H2355" s="60"/>
      <c r="I2355" s="61"/>
      <c r="J2355" s="61"/>
      <c r="K2355" s="61"/>
      <c r="L2355" s="73" t="str">
        <f>IF($E2355="","",DATE(YEAR($E2355),MONTH($E2355),1))</f>
        <v/>
      </c>
      <c r="M2355" s="65" t="str">
        <f ca="1">IF($D2355="","",IF($C2355="TANIMSIZ MÜŞTERİ","HATA",IF(OR($E2355="",$F2355&lt;=0,$G2355=""),"EKSİK",IF($E2355&gt;TODAY(),"İLERİ TARİH",IF(COUNTIF($S$7:$S$2503,$S2355)&gt;1,"MÜKERRER?",IF($T2355&gt;0,"KAPALI DÖNEM","UYGUN"))))))</f>
        <v/>
      </c>
      <c r="N2355" s="74" t="str">
        <f>IF($C2355="","",IF($C2355="TANIMSIZ MÜŞTERİ","—",INDEX(MUSTERILER!$C$7:$C$156,MATCH($C2355,MUSTERILER!$B$7:$B$156,0))))</f>
        <v/>
      </c>
      <c r="O2355" s="2"/>
      <c r="P2355" s="2"/>
      <c r="Q2355" s="1" t="str">
        <f>IF($D2355="","",$C2355&amp;"|"&amp;COUNTIFS($C$7:$C2355,$C2355))</f>
        <v/>
      </c>
      <c r="R2355" s="1" t="str">
        <f t="shared" si="72"/>
        <v/>
      </c>
      <c r="S2355" s="1" t="str">
        <f t="shared" si="73"/>
        <v/>
      </c>
      <c r="T2355" s="1">
        <f>IF($E2355="",0,SUMPRODUCT((AY_SONU!$O$7:$O$42="Evet")*(AY_SONU!$B$7:$B$42=DATE(YEAR($E2355),MONTH($E2355),1))))</f>
        <v>0</v>
      </c>
      <c r="U2355" s="1" t="str">
        <f>IF(OR($G2355="",$H2355="Mahsup"),"",$G2355&amp;"|"&amp;COUNTIFS($G$7:$G2355,$G2355,$H$7:$H2355,"&lt;&gt;Mahsup"))</f>
        <v/>
      </c>
    </row>
    <row r="2356" spans="1:21" ht="18" customHeight="1" x14ac:dyDescent="0.3">
      <c r="A2356" s="2"/>
      <c r="B2356" s="65" t="str">
        <f>IF($D2356="","","T"&amp;TEXT(ROW()-6,"00000"))</f>
        <v/>
      </c>
      <c r="C2356" s="65" t="str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61"/>
      <c r="E2356" s="66"/>
      <c r="F2356" s="67"/>
      <c r="G2356" s="60"/>
      <c r="H2356" s="60"/>
      <c r="I2356" s="61"/>
      <c r="J2356" s="61"/>
      <c r="K2356" s="61"/>
      <c r="L2356" s="73" t="str">
        <f>IF($E2356="","",DATE(YEAR($E2356),MONTH($E2356),1))</f>
        <v/>
      </c>
      <c r="M2356" s="65" t="str">
        <f ca="1">IF($D2356="","",IF($C2356="TANIMSIZ MÜŞTERİ","HATA",IF(OR($E2356="",$F2356&lt;=0,$G2356=""),"EKSİK",IF($E2356&gt;TODAY(),"İLERİ TARİH",IF(COUNTIF($S$7:$S$2503,$S2356)&gt;1,"MÜKERRER?",IF($T2356&gt;0,"KAPALI DÖNEM","UYGUN"))))))</f>
        <v/>
      </c>
      <c r="N2356" s="74" t="str">
        <f>IF($C2356="","",IF($C2356="TANIMSIZ MÜŞTERİ","—",INDEX(MUSTERILER!$C$7:$C$156,MATCH($C2356,MUSTERILER!$B$7:$B$156,0))))</f>
        <v/>
      </c>
      <c r="O2356" s="2"/>
      <c r="P2356" s="2"/>
      <c r="Q2356" s="1" t="str">
        <f>IF($D2356="","",$C2356&amp;"|"&amp;COUNTIFS($C$7:$C2356,$C2356))</f>
        <v/>
      </c>
      <c r="R2356" s="1" t="str">
        <f t="shared" si="72"/>
        <v/>
      </c>
      <c r="S2356" s="1" t="str">
        <f t="shared" si="73"/>
        <v/>
      </c>
      <c r="T2356" s="1">
        <f>IF($E2356="",0,SUMPRODUCT((AY_SONU!$O$7:$O$42="Evet")*(AY_SONU!$B$7:$B$42=DATE(YEAR($E2356),MONTH($E2356),1))))</f>
        <v>0</v>
      </c>
      <c r="U2356" s="1" t="str">
        <f>IF(OR($G2356="",$H2356="Mahsup"),"",$G2356&amp;"|"&amp;COUNTIFS($G$7:$G2356,$G2356,$H$7:$H2356,"&lt;&gt;Mahsup"))</f>
        <v/>
      </c>
    </row>
    <row r="2357" spans="1:21" ht="18" customHeight="1" x14ac:dyDescent="0.3">
      <c r="A2357" s="2"/>
      <c r="B2357" s="65" t="str">
        <f>IF($D2357="","","T"&amp;TEXT(ROW()-6,"00000"))</f>
        <v/>
      </c>
      <c r="C2357" s="65" t="str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61"/>
      <c r="E2357" s="66"/>
      <c r="F2357" s="67"/>
      <c r="G2357" s="60"/>
      <c r="H2357" s="60"/>
      <c r="I2357" s="61"/>
      <c r="J2357" s="61"/>
      <c r="K2357" s="61"/>
      <c r="L2357" s="73" t="str">
        <f>IF($E2357="","",DATE(YEAR($E2357),MONTH($E2357),1))</f>
        <v/>
      </c>
      <c r="M2357" s="65" t="str">
        <f ca="1">IF($D2357="","",IF($C2357="TANIMSIZ MÜŞTERİ","HATA",IF(OR($E2357="",$F2357&lt;=0,$G2357=""),"EKSİK",IF($E2357&gt;TODAY(),"İLERİ TARİH",IF(COUNTIF($S$7:$S$2503,$S2357)&gt;1,"MÜKERRER?",IF($T2357&gt;0,"KAPALI DÖNEM","UYGUN"))))))</f>
        <v/>
      </c>
      <c r="N2357" s="74" t="str">
        <f>IF($C2357="","",IF($C2357="TANIMSIZ MÜŞTERİ","—",INDEX(MUSTERILER!$C$7:$C$156,MATCH($C2357,MUSTERILER!$B$7:$B$156,0))))</f>
        <v/>
      </c>
      <c r="O2357" s="2"/>
      <c r="P2357" s="2"/>
      <c r="Q2357" s="1" t="str">
        <f>IF($D2357="","",$C2357&amp;"|"&amp;COUNTIFS($C$7:$C2357,$C2357))</f>
        <v/>
      </c>
      <c r="R2357" s="1" t="str">
        <f t="shared" si="72"/>
        <v/>
      </c>
      <c r="S2357" s="1" t="str">
        <f t="shared" si="73"/>
        <v/>
      </c>
      <c r="T2357" s="1">
        <f>IF($E2357="",0,SUMPRODUCT((AY_SONU!$O$7:$O$42="Evet")*(AY_SONU!$B$7:$B$42=DATE(YEAR($E2357),MONTH($E2357),1))))</f>
        <v>0</v>
      </c>
      <c r="U2357" s="1" t="str">
        <f>IF(OR($G2357="",$H2357="Mahsup"),"",$G2357&amp;"|"&amp;COUNTIFS($G$7:$G2357,$G2357,$H$7:$H2357,"&lt;&gt;Mahsup"))</f>
        <v/>
      </c>
    </row>
    <row r="2358" spans="1:21" ht="18" customHeight="1" x14ac:dyDescent="0.3">
      <c r="A2358" s="2"/>
      <c r="B2358" s="65" t="str">
        <f>IF($D2358="","","T"&amp;TEXT(ROW()-6,"00000"))</f>
        <v/>
      </c>
      <c r="C2358" s="65" t="str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61"/>
      <c r="E2358" s="66"/>
      <c r="F2358" s="67"/>
      <c r="G2358" s="60"/>
      <c r="H2358" s="60"/>
      <c r="I2358" s="61"/>
      <c r="J2358" s="61"/>
      <c r="K2358" s="61"/>
      <c r="L2358" s="73" t="str">
        <f>IF($E2358="","",DATE(YEAR($E2358),MONTH($E2358),1))</f>
        <v/>
      </c>
      <c r="M2358" s="65" t="str">
        <f ca="1">IF($D2358="","",IF($C2358="TANIMSIZ MÜŞTERİ","HATA",IF(OR($E2358="",$F2358&lt;=0,$G2358=""),"EKSİK",IF($E2358&gt;TODAY(),"İLERİ TARİH",IF(COUNTIF($S$7:$S$2503,$S2358)&gt;1,"MÜKERRER?",IF($T2358&gt;0,"KAPALI DÖNEM","UYGUN"))))))</f>
        <v/>
      </c>
      <c r="N2358" s="74" t="str">
        <f>IF($C2358="","",IF($C2358="TANIMSIZ MÜŞTERİ","—",INDEX(MUSTERILER!$C$7:$C$156,MATCH($C2358,MUSTERILER!$B$7:$B$156,0))))</f>
        <v/>
      </c>
      <c r="O2358" s="2"/>
      <c r="P2358" s="2"/>
      <c r="Q2358" s="1" t="str">
        <f>IF($D2358="","",$C2358&amp;"|"&amp;COUNTIFS($C$7:$C2358,$C2358))</f>
        <v/>
      </c>
      <c r="R2358" s="1" t="str">
        <f t="shared" si="72"/>
        <v/>
      </c>
      <c r="S2358" s="1" t="str">
        <f t="shared" si="73"/>
        <v/>
      </c>
      <c r="T2358" s="1">
        <f>IF($E2358="",0,SUMPRODUCT((AY_SONU!$O$7:$O$42="Evet")*(AY_SONU!$B$7:$B$42=DATE(YEAR($E2358),MONTH($E2358),1))))</f>
        <v>0</v>
      </c>
      <c r="U2358" s="1" t="str">
        <f>IF(OR($G2358="",$H2358="Mahsup"),"",$G2358&amp;"|"&amp;COUNTIFS($G$7:$G2358,$G2358,$H$7:$H2358,"&lt;&gt;Mahsup"))</f>
        <v/>
      </c>
    </row>
    <row r="2359" spans="1:21" ht="18" customHeight="1" x14ac:dyDescent="0.3">
      <c r="A2359" s="2"/>
      <c r="B2359" s="65" t="str">
        <f>IF($D2359="","","T"&amp;TEXT(ROW()-6,"00000"))</f>
        <v/>
      </c>
      <c r="C2359" s="65" t="str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61"/>
      <c r="E2359" s="66"/>
      <c r="F2359" s="67"/>
      <c r="G2359" s="60"/>
      <c r="H2359" s="60"/>
      <c r="I2359" s="61"/>
      <c r="J2359" s="61"/>
      <c r="K2359" s="61"/>
      <c r="L2359" s="73" t="str">
        <f>IF($E2359="","",DATE(YEAR($E2359),MONTH($E2359),1))</f>
        <v/>
      </c>
      <c r="M2359" s="65" t="str">
        <f ca="1">IF($D2359="","",IF($C2359="TANIMSIZ MÜŞTERİ","HATA",IF(OR($E2359="",$F2359&lt;=0,$G2359=""),"EKSİK",IF($E2359&gt;TODAY(),"İLERİ TARİH",IF(COUNTIF($S$7:$S$2503,$S2359)&gt;1,"MÜKERRER?",IF($T2359&gt;0,"KAPALI DÖNEM","UYGUN"))))))</f>
        <v/>
      </c>
      <c r="N2359" s="74" t="str">
        <f>IF($C2359="","",IF($C2359="TANIMSIZ MÜŞTERİ","—",INDEX(MUSTERILER!$C$7:$C$156,MATCH($C2359,MUSTERILER!$B$7:$B$156,0))))</f>
        <v/>
      </c>
      <c r="O2359" s="2"/>
      <c r="P2359" s="2"/>
      <c r="Q2359" s="1" t="str">
        <f>IF($D2359="","",$C2359&amp;"|"&amp;COUNTIFS($C$7:$C2359,$C2359))</f>
        <v/>
      </c>
      <c r="R2359" s="1" t="str">
        <f t="shared" si="72"/>
        <v/>
      </c>
      <c r="S2359" s="1" t="str">
        <f t="shared" si="73"/>
        <v/>
      </c>
      <c r="T2359" s="1">
        <f>IF($E2359="",0,SUMPRODUCT((AY_SONU!$O$7:$O$42="Evet")*(AY_SONU!$B$7:$B$42=DATE(YEAR($E2359),MONTH($E2359),1))))</f>
        <v>0</v>
      </c>
      <c r="U2359" s="1" t="str">
        <f>IF(OR($G2359="",$H2359="Mahsup"),"",$G2359&amp;"|"&amp;COUNTIFS($G$7:$G2359,$G2359,$H$7:$H2359,"&lt;&gt;Mahsup"))</f>
        <v/>
      </c>
    </row>
    <row r="2360" spans="1:21" ht="18" customHeight="1" x14ac:dyDescent="0.3">
      <c r="A2360" s="2"/>
      <c r="B2360" s="65" t="str">
        <f>IF($D2360="","","T"&amp;TEXT(ROW()-6,"00000"))</f>
        <v/>
      </c>
      <c r="C2360" s="65" t="str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61"/>
      <c r="E2360" s="66"/>
      <c r="F2360" s="67"/>
      <c r="G2360" s="60"/>
      <c r="H2360" s="60"/>
      <c r="I2360" s="61"/>
      <c r="J2360" s="61"/>
      <c r="K2360" s="61"/>
      <c r="L2360" s="73" t="str">
        <f>IF($E2360="","",DATE(YEAR($E2360),MONTH($E2360),1))</f>
        <v/>
      </c>
      <c r="M2360" s="65" t="str">
        <f ca="1">IF($D2360="","",IF($C2360="TANIMSIZ MÜŞTERİ","HATA",IF(OR($E2360="",$F2360&lt;=0,$G2360=""),"EKSİK",IF($E2360&gt;TODAY(),"İLERİ TARİH",IF(COUNTIF($S$7:$S$2503,$S2360)&gt;1,"MÜKERRER?",IF($T2360&gt;0,"KAPALI DÖNEM","UYGUN"))))))</f>
        <v/>
      </c>
      <c r="N2360" s="74" t="str">
        <f>IF($C2360="","",IF($C2360="TANIMSIZ MÜŞTERİ","—",INDEX(MUSTERILER!$C$7:$C$156,MATCH($C2360,MUSTERILER!$B$7:$B$156,0))))</f>
        <v/>
      </c>
      <c r="O2360" s="2"/>
      <c r="P2360" s="2"/>
      <c r="Q2360" s="1" t="str">
        <f>IF($D2360="","",$C2360&amp;"|"&amp;COUNTIFS($C$7:$C2360,$C2360))</f>
        <v/>
      </c>
      <c r="R2360" s="1" t="str">
        <f t="shared" si="72"/>
        <v/>
      </c>
      <c r="S2360" s="1" t="str">
        <f t="shared" si="73"/>
        <v/>
      </c>
      <c r="T2360" s="1">
        <f>IF($E2360="",0,SUMPRODUCT((AY_SONU!$O$7:$O$42="Evet")*(AY_SONU!$B$7:$B$42=DATE(YEAR($E2360),MONTH($E2360),1))))</f>
        <v>0</v>
      </c>
      <c r="U2360" s="1" t="str">
        <f>IF(OR($G2360="",$H2360="Mahsup"),"",$G2360&amp;"|"&amp;COUNTIFS($G$7:$G2360,$G2360,$H$7:$H2360,"&lt;&gt;Mahsup"))</f>
        <v/>
      </c>
    </row>
    <row r="2361" spans="1:21" ht="18" customHeight="1" x14ac:dyDescent="0.3">
      <c r="A2361" s="2"/>
      <c r="B2361" s="65" t="str">
        <f>IF($D2361="","","T"&amp;TEXT(ROW()-6,"00000"))</f>
        <v/>
      </c>
      <c r="C2361" s="65" t="str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61"/>
      <c r="E2361" s="66"/>
      <c r="F2361" s="67"/>
      <c r="G2361" s="60"/>
      <c r="H2361" s="60"/>
      <c r="I2361" s="61"/>
      <c r="J2361" s="61"/>
      <c r="K2361" s="61"/>
      <c r="L2361" s="73" t="str">
        <f>IF($E2361="","",DATE(YEAR($E2361),MONTH($E2361),1))</f>
        <v/>
      </c>
      <c r="M2361" s="65" t="str">
        <f ca="1">IF($D2361="","",IF($C2361="TANIMSIZ MÜŞTERİ","HATA",IF(OR($E2361="",$F2361&lt;=0,$G2361=""),"EKSİK",IF($E2361&gt;TODAY(),"İLERİ TARİH",IF(COUNTIF($S$7:$S$2503,$S2361)&gt;1,"MÜKERRER?",IF($T2361&gt;0,"KAPALI DÖNEM","UYGUN"))))))</f>
        <v/>
      </c>
      <c r="N2361" s="74" t="str">
        <f>IF($C2361="","",IF($C2361="TANIMSIZ MÜŞTERİ","—",INDEX(MUSTERILER!$C$7:$C$156,MATCH($C2361,MUSTERILER!$B$7:$B$156,0))))</f>
        <v/>
      </c>
      <c r="O2361" s="2"/>
      <c r="P2361" s="2"/>
      <c r="Q2361" s="1" t="str">
        <f>IF($D2361="","",$C2361&amp;"|"&amp;COUNTIFS($C$7:$C2361,$C2361))</f>
        <v/>
      </c>
      <c r="R2361" s="1" t="str">
        <f t="shared" si="72"/>
        <v/>
      </c>
      <c r="S2361" s="1" t="str">
        <f t="shared" si="73"/>
        <v/>
      </c>
      <c r="T2361" s="1">
        <f>IF($E2361="",0,SUMPRODUCT((AY_SONU!$O$7:$O$42="Evet")*(AY_SONU!$B$7:$B$42=DATE(YEAR($E2361),MONTH($E2361),1))))</f>
        <v>0</v>
      </c>
      <c r="U2361" s="1" t="str">
        <f>IF(OR($G2361="",$H2361="Mahsup"),"",$G2361&amp;"|"&amp;COUNTIFS($G$7:$G2361,$G2361,$H$7:$H2361,"&lt;&gt;Mahsup"))</f>
        <v/>
      </c>
    </row>
    <row r="2362" spans="1:21" ht="18" customHeight="1" x14ac:dyDescent="0.3">
      <c r="A2362" s="2"/>
      <c r="B2362" s="65" t="str">
        <f>IF($D2362="","","T"&amp;TEXT(ROW()-6,"00000"))</f>
        <v/>
      </c>
      <c r="C2362" s="65" t="str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61"/>
      <c r="E2362" s="66"/>
      <c r="F2362" s="67"/>
      <c r="G2362" s="60"/>
      <c r="H2362" s="60"/>
      <c r="I2362" s="61"/>
      <c r="J2362" s="61"/>
      <c r="K2362" s="61"/>
      <c r="L2362" s="73" t="str">
        <f>IF($E2362="","",DATE(YEAR($E2362),MONTH($E2362),1))</f>
        <v/>
      </c>
      <c r="M2362" s="65" t="str">
        <f ca="1">IF($D2362="","",IF($C2362="TANIMSIZ MÜŞTERİ","HATA",IF(OR($E2362="",$F2362&lt;=0,$G2362=""),"EKSİK",IF($E2362&gt;TODAY(),"İLERİ TARİH",IF(COUNTIF($S$7:$S$2503,$S2362)&gt;1,"MÜKERRER?",IF($T2362&gt;0,"KAPALI DÖNEM","UYGUN"))))))</f>
        <v/>
      </c>
      <c r="N2362" s="74" t="str">
        <f>IF($C2362="","",IF($C2362="TANIMSIZ MÜŞTERİ","—",INDEX(MUSTERILER!$C$7:$C$156,MATCH($C2362,MUSTERILER!$B$7:$B$156,0))))</f>
        <v/>
      </c>
      <c r="O2362" s="2"/>
      <c r="P2362" s="2"/>
      <c r="Q2362" s="1" t="str">
        <f>IF($D2362="","",$C2362&amp;"|"&amp;COUNTIFS($C$7:$C2362,$C2362))</f>
        <v/>
      </c>
      <c r="R2362" s="1" t="str">
        <f t="shared" si="72"/>
        <v/>
      </c>
      <c r="S2362" s="1" t="str">
        <f t="shared" si="73"/>
        <v/>
      </c>
      <c r="T2362" s="1">
        <f>IF($E2362="",0,SUMPRODUCT((AY_SONU!$O$7:$O$42="Evet")*(AY_SONU!$B$7:$B$42=DATE(YEAR($E2362),MONTH($E2362),1))))</f>
        <v>0</v>
      </c>
      <c r="U2362" s="1" t="str">
        <f>IF(OR($G2362="",$H2362="Mahsup"),"",$G2362&amp;"|"&amp;COUNTIFS($G$7:$G2362,$G2362,$H$7:$H2362,"&lt;&gt;Mahsup"))</f>
        <v/>
      </c>
    </row>
    <row r="2363" spans="1:21" ht="18" customHeight="1" x14ac:dyDescent="0.3">
      <c r="A2363" s="2"/>
      <c r="B2363" s="65" t="str">
        <f>IF($D2363="","","T"&amp;TEXT(ROW()-6,"00000"))</f>
        <v/>
      </c>
      <c r="C2363" s="65" t="str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61"/>
      <c r="E2363" s="66"/>
      <c r="F2363" s="67"/>
      <c r="G2363" s="60"/>
      <c r="H2363" s="60"/>
      <c r="I2363" s="61"/>
      <c r="J2363" s="61"/>
      <c r="K2363" s="61"/>
      <c r="L2363" s="73" t="str">
        <f>IF($E2363="","",DATE(YEAR($E2363),MONTH($E2363),1))</f>
        <v/>
      </c>
      <c r="M2363" s="65" t="str">
        <f ca="1">IF($D2363="","",IF($C2363="TANIMSIZ MÜŞTERİ","HATA",IF(OR($E2363="",$F2363&lt;=0,$G2363=""),"EKSİK",IF($E2363&gt;TODAY(),"İLERİ TARİH",IF(COUNTIF($S$7:$S$2503,$S2363)&gt;1,"MÜKERRER?",IF($T2363&gt;0,"KAPALI DÖNEM","UYGUN"))))))</f>
        <v/>
      </c>
      <c r="N2363" s="74" t="str">
        <f>IF($C2363="","",IF($C2363="TANIMSIZ MÜŞTERİ","—",INDEX(MUSTERILER!$C$7:$C$156,MATCH($C2363,MUSTERILER!$B$7:$B$156,0))))</f>
        <v/>
      </c>
      <c r="O2363" s="2"/>
      <c r="P2363" s="2"/>
      <c r="Q2363" s="1" t="str">
        <f>IF($D2363="","",$C2363&amp;"|"&amp;COUNTIFS($C$7:$C2363,$C2363))</f>
        <v/>
      </c>
      <c r="R2363" s="1" t="str">
        <f t="shared" si="72"/>
        <v/>
      </c>
      <c r="S2363" s="1" t="str">
        <f t="shared" si="73"/>
        <v/>
      </c>
      <c r="T2363" s="1">
        <f>IF($E2363="",0,SUMPRODUCT((AY_SONU!$O$7:$O$42="Evet")*(AY_SONU!$B$7:$B$42=DATE(YEAR($E2363),MONTH($E2363),1))))</f>
        <v>0</v>
      </c>
      <c r="U2363" s="1" t="str">
        <f>IF(OR($G2363="",$H2363="Mahsup"),"",$G2363&amp;"|"&amp;COUNTIFS($G$7:$G2363,$G2363,$H$7:$H2363,"&lt;&gt;Mahsup"))</f>
        <v/>
      </c>
    </row>
    <row r="2364" spans="1:21" ht="18" customHeight="1" x14ac:dyDescent="0.3">
      <c r="A2364" s="2"/>
      <c r="B2364" s="65" t="str">
        <f>IF($D2364="","","T"&amp;TEXT(ROW()-6,"00000"))</f>
        <v/>
      </c>
      <c r="C2364" s="65" t="str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61"/>
      <c r="E2364" s="66"/>
      <c r="F2364" s="67"/>
      <c r="G2364" s="60"/>
      <c r="H2364" s="60"/>
      <c r="I2364" s="61"/>
      <c r="J2364" s="61"/>
      <c r="K2364" s="61"/>
      <c r="L2364" s="73" t="str">
        <f>IF($E2364="","",DATE(YEAR($E2364),MONTH($E2364),1))</f>
        <v/>
      </c>
      <c r="M2364" s="65" t="str">
        <f ca="1">IF($D2364="","",IF($C2364="TANIMSIZ MÜŞTERİ","HATA",IF(OR($E2364="",$F2364&lt;=0,$G2364=""),"EKSİK",IF($E2364&gt;TODAY(),"İLERİ TARİH",IF(COUNTIF($S$7:$S$2503,$S2364)&gt;1,"MÜKERRER?",IF($T2364&gt;0,"KAPALI DÖNEM","UYGUN"))))))</f>
        <v/>
      </c>
      <c r="N2364" s="74" t="str">
        <f>IF($C2364="","",IF($C2364="TANIMSIZ MÜŞTERİ","—",INDEX(MUSTERILER!$C$7:$C$156,MATCH($C2364,MUSTERILER!$B$7:$B$156,0))))</f>
        <v/>
      </c>
      <c r="O2364" s="2"/>
      <c r="P2364" s="2"/>
      <c r="Q2364" s="1" t="str">
        <f>IF($D2364="","",$C2364&amp;"|"&amp;COUNTIFS($C$7:$C2364,$C2364))</f>
        <v/>
      </c>
      <c r="R2364" s="1" t="str">
        <f t="shared" si="72"/>
        <v/>
      </c>
      <c r="S2364" s="1" t="str">
        <f t="shared" si="73"/>
        <v/>
      </c>
      <c r="T2364" s="1">
        <f>IF($E2364="",0,SUMPRODUCT((AY_SONU!$O$7:$O$42="Evet")*(AY_SONU!$B$7:$B$42=DATE(YEAR($E2364),MONTH($E2364),1))))</f>
        <v>0</v>
      </c>
      <c r="U2364" s="1" t="str">
        <f>IF(OR($G2364="",$H2364="Mahsup"),"",$G2364&amp;"|"&amp;COUNTIFS($G$7:$G2364,$G2364,$H$7:$H2364,"&lt;&gt;Mahsup"))</f>
        <v/>
      </c>
    </row>
    <row r="2365" spans="1:21" ht="18" customHeight="1" x14ac:dyDescent="0.3">
      <c r="A2365" s="2"/>
      <c r="B2365" s="65" t="str">
        <f>IF($D2365="","","T"&amp;TEXT(ROW()-6,"00000"))</f>
        <v/>
      </c>
      <c r="C2365" s="65" t="str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61"/>
      <c r="E2365" s="66"/>
      <c r="F2365" s="67"/>
      <c r="G2365" s="60"/>
      <c r="H2365" s="60"/>
      <c r="I2365" s="61"/>
      <c r="J2365" s="61"/>
      <c r="K2365" s="61"/>
      <c r="L2365" s="73" t="str">
        <f>IF($E2365="","",DATE(YEAR($E2365),MONTH($E2365),1))</f>
        <v/>
      </c>
      <c r="M2365" s="65" t="str">
        <f ca="1">IF($D2365="","",IF($C2365="TANIMSIZ MÜŞTERİ","HATA",IF(OR($E2365="",$F2365&lt;=0,$G2365=""),"EKSİK",IF($E2365&gt;TODAY(),"İLERİ TARİH",IF(COUNTIF($S$7:$S$2503,$S2365)&gt;1,"MÜKERRER?",IF($T2365&gt;0,"KAPALI DÖNEM","UYGUN"))))))</f>
        <v/>
      </c>
      <c r="N2365" s="74" t="str">
        <f>IF($C2365="","",IF($C2365="TANIMSIZ MÜŞTERİ","—",INDEX(MUSTERILER!$C$7:$C$156,MATCH($C2365,MUSTERILER!$B$7:$B$156,0))))</f>
        <v/>
      </c>
      <c r="O2365" s="2"/>
      <c r="P2365" s="2"/>
      <c r="Q2365" s="1" t="str">
        <f>IF($D2365="","",$C2365&amp;"|"&amp;COUNTIFS($C$7:$C2365,$C2365))</f>
        <v/>
      </c>
      <c r="R2365" s="1" t="str">
        <f t="shared" si="72"/>
        <v/>
      </c>
      <c r="S2365" s="1" t="str">
        <f t="shared" si="73"/>
        <v/>
      </c>
      <c r="T2365" s="1">
        <f>IF($E2365="",0,SUMPRODUCT((AY_SONU!$O$7:$O$42="Evet")*(AY_SONU!$B$7:$B$42=DATE(YEAR($E2365),MONTH($E2365),1))))</f>
        <v>0</v>
      </c>
      <c r="U2365" s="1" t="str">
        <f>IF(OR($G2365="",$H2365="Mahsup"),"",$G2365&amp;"|"&amp;COUNTIFS($G$7:$G2365,$G2365,$H$7:$H2365,"&lt;&gt;Mahsup"))</f>
        <v/>
      </c>
    </row>
    <row r="2366" spans="1:21" ht="18" customHeight="1" x14ac:dyDescent="0.3">
      <c r="A2366" s="2"/>
      <c r="B2366" s="65" t="str">
        <f>IF($D2366="","","T"&amp;TEXT(ROW()-6,"00000"))</f>
        <v/>
      </c>
      <c r="C2366" s="65" t="str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61"/>
      <c r="E2366" s="66"/>
      <c r="F2366" s="67"/>
      <c r="G2366" s="60"/>
      <c r="H2366" s="60"/>
      <c r="I2366" s="61"/>
      <c r="J2366" s="61"/>
      <c r="K2366" s="61"/>
      <c r="L2366" s="73" t="str">
        <f>IF($E2366="","",DATE(YEAR($E2366),MONTH($E2366),1))</f>
        <v/>
      </c>
      <c r="M2366" s="65" t="str">
        <f ca="1">IF($D2366="","",IF($C2366="TANIMSIZ MÜŞTERİ","HATA",IF(OR($E2366="",$F2366&lt;=0,$G2366=""),"EKSİK",IF($E2366&gt;TODAY(),"İLERİ TARİH",IF(COUNTIF($S$7:$S$2503,$S2366)&gt;1,"MÜKERRER?",IF($T2366&gt;0,"KAPALI DÖNEM","UYGUN"))))))</f>
        <v/>
      </c>
      <c r="N2366" s="74" t="str">
        <f>IF($C2366="","",IF($C2366="TANIMSIZ MÜŞTERİ","—",INDEX(MUSTERILER!$C$7:$C$156,MATCH($C2366,MUSTERILER!$B$7:$B$156,0))))</f>
        <v/>
      </c>
      <c r="O2366" s="2"/>
      <c r="P2366" s="2"/>
      <c r="Q2366" s="1" t="str">
        <f>IF($D2366="","",$C2366&amp;"|"&amp;COUNTIFS($C$7:$C2366,$C2366))</f>
        <v/>
      </c>
      <c r="R2366" s="1" t="str">
        <f t="shared" si="72"/>
        <v/>
      </c>
      <c r="S2366" s="1" t="str">
        <f t="shared" si="73"/>
        <v/>
      </c>
      <c r="T2366" s="1">
        <f>IF($E2366="",0,SUMPRODUCT((AY_SONU!$O$7:$O$42="Evet")*(AY_SONU!$B$7:$B$42=DATE(YEAR($E2366),MONTH($E2366),1))))</f>
        <v>0</v>
      </c>
      <c r="U2366" s="1" t="str">
        <f>IF(OR($G2366="",$H2366="Mahsup"),"",$G2366&amp;"|"&amp;COUNTIFS($G$7:$G2366,$G2366,$H$7:$H2366,"&lt;&gt;Mahsup"))</f>
        <v/>
      </c>
    </row>
    <row r="2367" spans="1:21" ht="18" customHeight="1" x14ac:dyDescent="0.3">
      <c r="A2367" s="2"/>
      <c r="B2367" s="65" t="str">
        <f>IF($D2367="","","T"&amp;TEXT(ROW()-6,"00000"))</f>
        <v/>
      </c>
      <c r="C2367" s="65" t="str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61"/>
      <c r="E2367" s="66"/>
      <c r="F2367" s="67"/>
      <c r="G2367" s="60"/>
      <c r="H2367" s="60"/>
      <c r="I2367" s="61"/>
      <c r="J2367" s="61"/>
      <c r="K2367" s="61"/>
      <c r="L2367" s="73" t="str">
        <f>IF($E2367="","",DATE(YEAR($E2367),MONTH($E2367),1))</f>
        <v/>
      </c>
      <c r="M2367" s="65" t="str">
        <f ca="1">IF($D2367="","",IF($C2367="TANIMSIZ MÜŞTERİ","HATA",IF(OR($E2367="",$F2367&lt;=0,$G2367=""),"EKSİK",IF($E2367&gt;TODAY(),"İLERİ TARİH",IF(COUNTIF($S$7:$S$2503,$S2367)&gt;1,"MÜKERRER?",IF($T2367&gt;0,"KAPALI DÖNEM","UYGUN"))))))</f>
        <v/>
      </c>
      <c r="N2367" s="74" t="str">
        <f>IF($C2367="","",IF($C2367="TANIMSIZ MÜŞTERİ","—",INDEX(MUSTERILER!$C$7:$C$156,MATCH($C2367,MUSTERILER!$B$7:$B$156,0))))</f>
        <v/>
      </c>
      <c r="O2367" s="2"/>
      <c r="P2367" s="2"/>
      <c r="Q2367" s="1" t="str">
        <f>IF($D2367="","",$C2367&amp;"|"&amp;COUNTIFS($C$7:$C2367,$C2367))</f>
        <v/>
      </c>
      <c r="R2367" s="1" t="str">
        <f t="shared" si="72"/>
        <v/>
      </c>
      <c r="S2367" s="1" t="str">
        <f t="shared" si="73"/>
        <v/>
      </c>
      <c r="T2367" s="1">
        <f>IF($E2367="",0,SUMPRODUCT((AY_SONU!$O$7:$O$42="Evet")*(AY_SONU!$B$7:$B$42=DATE(YEAR($E2367),MONTH($E2367),1))))</f>
        <v>0</v>
      </c>
      <c r="U2367" s="1" t="str">
        <f>IF(OR($G2367="",$H2367="Mahsup"),"",$G2367&amp;"|"&amp;COUNTIFS($G$7:$G2367,$G2367,$H$7:$H2367,"&lt;&gt;Mahsup"))</f>
        <v/>
      </c>
    </row>
    <row r="2368" spans="1:21" ht="18" customHeight="1" x14ac:dyDescent="0.3">
      <c r="A2368" s="2"/>
      <c r="B2368" s="65" t="str">
        <f>IF($D2368="","","T"&amp;TEXT(ROW()-6,"00000"))</f>
        <v/>
      </c>
      <c r="C2368" s="65" t="str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61"/>
      <c r="E2368" s="66"/>
      <c r="F2368" s="67"/>
      <c r="G2368" s="60"/>
      <c r="H2368" s="60"/>
      <c r="I2368" s="61"/>
      <c r="J2368" s="61"/>
      <c r="K2368" s="61"/>
      <c r="L2368" s="73" t="str">
        <f>IF($E2368="","",DATE(YEAR($E2368),MONTH($E2368),1))</f>
        <v/>
      </c>
      <c r="M2368" s="65" t="str">
        <f ca="1">IF($D2368="","",IF($C2368="TANIMSIZ MÜŞTERİ","HATA",IF(OR($E2368="",$F2368&lt;=0,$G2368=""),"EKSİK",IF($E2368&gt;TODAY(),"İLERİ TARİH",IF(COUNTIF($S$7:$S$2503,$S2368)&gt;1,"MÜKERRER?",IF($T2368&gt;0,"KAPALI DÖNEM","UYGUN"))))))</f>
        <v/>
      </c>
      <c r="N2368" s="74" t="str">
        <f>IF($C2368="","",IF($C2368="TANIMSIZ MÜŞTERİ","—",INDEX(MUSTERILER!$C$7:$C$156,MATCH($C2368,MUSTERILER!$B$7:$B$156,0))))</f>
        <v/>
      </c>
      <c r="O2368" s="2"/>
      <c r="P2368" s="2"/>
      <c r="Q2368" s="1" t="str">
        <f>IF($D2368="","",$C2368&amp;"|"&amp;COUNTIFS($C$7:$C2368,$C2368))</f>
        <v/>
      </c>
      <c r="R2368" s="1" t="str">
        <f t="shared" si="72"/>
        <v/>
      </c>
      <c r="S2368" s="1" t="str">
        <f t="shared" si="73"/>
        <v/>
      </c>
      <c r="T2368" s="1">
        <f>IF($E2368="",0,SUMPRODUCT((AY_SONU!$O$7:$O$42="Evet")*(AY_SONU!$B$7:$B$42=DATE(YEAR($E2368),MONTH($E2368),1))))</f>
        <v>0</v>
      </c>
      <c r="U2368" s="1" t="str">
        <f>IF(OR($G2368="",$H2368="Mahsup"),"",$G2368&amp;"|"&amp;COUNTIFS($G$7:$G2368,$G2368,$H$7:$H2368,"&lt;&gt;Mahsup"))</f>
        <v/>
      </c>
    </row>
    <row r="2369" spans="1:21" ht="18" customHeight="1" x14ac:dyDescent="0.3">
      <c r="A2369" s="2"/>
      <c r="B2369" s="65" t="str">
        <f>IF($D2369="","","T"&amp;TEXT(ROW()-6,"00000"))</f>
        <v/>
      </c>
      <c r="C2369" s="65" t="str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61"/>
      <c r="E2369" s="66"/>
      <c r="F2369" s="67"/>
      <c r="G2369" s="60"/>
      <c r="H2369" s="60"/>
      <c r="I2369" s="61"/>
      <c r="J2369" s="61"/>
      <c r="K2369" s="61"/>
      <c r="L2369" s="73" t="str">
        <f>IF($E2369="","",DATE(YEAR($E2369),MONTH($E2369),1))</f>
        <v/>
      </c>
      <c r="M2369" s="65" t="str">
        <f ca="1">IF($D2369="","",IF($C2369="TANIMSIZ MÜŞTERİ","HATA",IF(OR($E2369="",$F2369&lt;=0,$G2369=""),"EKSİK",IF($E2369&gt;TODAY(),"İLERİ TARİH",IF(COUNTIF($S$7:$S$2503,$S2369)&gt;1,"MÜKERRER?",IF($T2369&gt;0,"KAPALI DÖNEM","UYGUN"))))))</f>
        <v/>
      </c>
      <c r="N2369" s="74" t="str">
        <f>IF($C2369="","",IF($C2369="TANIMSIZ MÜŞTERİ","—",INDEX(MUSTERILER!$C$7:$C$156,MATCH($C2369,MUSTERILER!$B$7:$B$156,0))))</f>
        <v/>
      </c>
      <c r="O2369" s="2"/>
      <c r="P2369" s="2"/>
      <c r="Q2369" s="1" t="str">
        <f>IF($D2369="","",$C2369&amp;"|"&amp;COUNTIFS($C$7:$C2369,$C2369))</f>
        <v/>
      </c>
      <c r="R2369" s="1" t="str">
        <f t="shared" si="72"/>
        <v/>
      </c>
      <c r="S2369" s="1" t="str">
        <f t="shared" si="73"/>
        <v/>
      </c>
      <c r="T2369" s="1">
        <f>IF($E2369="",0,SUMPRODUCT((AY_SONU!$O$7:$O$42="Evet")*(AY_SONU!$B$7:$B$42=DATE(YEAR($E2369),MONTH($E2369),1))))</f>
        <v>0</v>
      </c>
      <c r="U2369" s="1" t="str">
        <f>IF(OR($G2369="",$H2369="Mahsup"),"",$G2369&amp;"|"&amp;COUNTIFS($G$7:$G2369,$G2369,$H$7:$H2369,"&lt;&gt;Mahsup"))</f>
        <v/>
      </c>
    </row>
    <row r="2370" spans="1:21" ht="18" customHeight="1" x14ac:dyDescent="0.3">
      <c r="A2370" s="2"/>
      <c r="B2370" s="65" t="str">
        <f>IF($D2370="","","T"&amp;TEXT(ROW()-6,"00000"))</f>
        <v/>
      </c>
      <c r="C2370" s="65" t="str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61"/>
      <c r="E2370" s="66"/>
      <c r="F2370" s="67"/>
      <c r="G2370" s="60"/>
      <c r="H2370" s="60"/>
      <c r="I2370" s="61"/>
      <c r="J2370" s="61"/>
      <c r="K2370" s="61"/>
      <c r="L2370" s="73" t="str">
        <f>IF($E2370="","",DATE(YEAR($E2370),MONTH($E2370),1))</f>
        <v/>
      </c>
      <c r="M2370" s="65" t="str">
        <f ca="1">IF($D2370="","",IF($C2370="TANIMSIZ MÜŞTERİ","HATA",IF(OR($E2370="",$F2370&lt;=0,$G2370=""),"EKSİK",IF($E2370&gt;TODAY(),"İLERİ TARİH",IF(COUNTIF($S$7:$S$2503,$S2370)&gt;1,"MÜKERRER?",IF($T2370&gt;0,"KAPALI DÖNEM","UYGUN"))))))</f>
        <v/>
      </c>
      <c r="N2370" s="74" t="str">
        <f>IF($C2370="","",IF($C2370="TANIMSIZ MÜŞTERİ","—",INDEX(MUSTERILER!$C$7:$C$156,MATCH($C2370,MUSTERILER!$B$7:$B$156,0))))</f>
        <v/>
      </c>
      <c r="O2370" s="2"/>
      <c r="P2370" s="2"/>
      <c r="Q2370" s="1" t="str">
        <f>IF($D2370="","",$C2370&amp;"|"&amp;COUNTIFS($C$7:$C2370,$C2370))</f>
        <v/>
      </c>
      <c r="R2370" s="1" t="str">
        <f t="shared" si="72"/>
        <v/>
      </c>
      <c r="S2370" s="1" t="str">
        <f t="shared" si="73"/>
        <v/>
      </c>
      <c r="T2370" s="1">
        <f>IF($E2370="",0,SUMPRODUCT((AY_SONU!$O$7:$O$42="Evet")*(AY_SONU!$B$7:$B$42=DATE(YEAR($E2370),MONTH($E2370),1))))</f>
        <v>0</v>
      </c>
      <c r="U2370" s="1" t="str">
        <f>IF(OR($G2370="",$H2370="Mahsup"),"",$G2370&amp;"|"&amp;COUNTIFS($G$7:$G2370,$G2370,$H$7:$H2370,"&lt;&gt;Mahsup"))</f>
        <v/>
      </c>
    </row>
    <row r="2371" spans="1:21" ht="18" customHeight="1" x14ac:dyDescent="0.3">
      <c r="A2371" s="2"/>
      <c r="B2371" s="65" t="str">
        <f>IF($D2371="","","T"&amp;TEXT(ROW()-6,"00000"))</f>
        <v/>
      </c>
      <c r="C2371" s="65" t="str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61"/>
      <c r="E2371" s="66"/>
      <c r="F2371" s="67"/>
      <c r="G2371" s="60"/>
      <c r="H2371" s="60"/>
      <c r="I2371" s="61"/>
      <c r="J2371" s="61"/>
      <c r="K2371" s="61"/>
      <c r="L2371" s="73" t="str">
        <f>IF($E2371="","",DATE(YEAR($E2371),MONTH($E2371),1))</f>
        <v/>
      </c>
      <c r="M2371" s="65" t="str">
        <f ca="1">IF($D2371="","",IF($C2371="TANIMSIZ MÜŞTERİ","HATA",IF(OR($E2371="",$F2371&lt;=0,$G2371=""),"EKSİK",IF($E2371&gt;TODAY(),"İLERİ TARİH",IF(COUNTIF($S$7:$S$2503,$S2371)&gt;1,"MÜKERRER?",IF($T2371&gt;0,"KAPALI DÖNEM","UYGUN"))))))</f>
        <v/>
      </c>
      <c r="N2371" s="74" t="str">
        <f>IF($C2371="","",IF($C2371="TANIMSIZ MÜŞTERİ","—",INDEX(MUSTERILER!$C$7:$C$156,MATCH($C2371,MUSTERILER!$B$7:$B$156,0))))</f>
        <v/>
      </c>
      <c r="O2371" s="2"/>
      <c r="P2371" s="2"/>
      <c r="Q2371" s="1" t="str">
        <f>IF($D2371="","",$C2371&amp;"|"&amp;COUNTIFS($C$7:$C2371,$C2371))</f>
        <v/>
      </c>
      <c r="R2371" s="1" t="str">
        <f t="shared" si="72"/>
        <v/>
      </c>
      <c r="S2371" s="1" t="str">
        <f t="shared" si="73"/>
        <v/>
      </c>
      <c r="T2371" s="1">
        <f>IF($E2371="",0,SUMPRODUCT((AY_SONU!$O$7:$O$42="Evet")*(AY_SONU!$B$7:$B$42=DATE(YEAR($E2371),MONTH($E2371),1))))</f>
        <v>0</v>
      </c>
      <c r="U2371" s="1" t="str">
        <f>IF(OR($G2371="",$H2371="Mahsup"),"",$G2371&amp;"|"&amp;COUNTIFS($G$7:$G2371,$G2371,$H$7:$H2371,"&lt;&gt;Mahsup"))</f>
        <v/>
      </c>
    </row>
    <row r="2372" spans="1:21" ht="18" customHeight="1" x14ac:dyDescent="0.3">
      <c r="A2372" s="2"/>
      <c r="B2372" s="65" t="str">
        <f>IF($D2372="","","T"&amp;TEXT(ROW()-6,"00000"))</f>
        <v/>
      </c>
      <c r="C2372" s="65" t="str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61"/>
      <c r="E2372" s="66"/>
      <c r="F2372" s="67"/>
      <c r="G2372" s="60"/>
      <c r="H2372" s="60"/>
      <c r="I2372" s="61"/>
      <c r="J2372" s="61"/>
      <c r="K2372" s="61"/>
      <c r="L2372" s="73" t="str">
        <f>IF($E2372="","",DATE(YEAR($E2372),MONTH($E2372),1))</f>
        <v/>
      </c>
      <c r="M2372" s="65" t="str">
        <f ca="1">IF($D2372="","",IF($C2372="TANIMSIZ MÜŞTERİ","HATA",IF(OR($E2372="",$F2372&lt;=0,$G2372=""),"EKSİK",IF($E2372&gt;TODAY(),"İLERİ TARİH",IF(COUNTIF($S$7:$S$2503,$S2372)&gt;1,"MÜKERRER?",IF($T2372&gt;0,"KAPALI DÖNEM","UYGUN"))))))</f>
        <v/>
      </c>
      <c r="N2372" s="74" t="str">
        <f>IF($C2372="","",IF($C2372="TANIMSIZ MÜŞTERİ","—",INDEX(MUSTERILER!$C$7:$C$156,MATCH($C2372,MUSTERILER!$B$7:$B$156,0))))</f>
        <v/>
      </c>
      <c r="O2372" s="2"/>
      <c r="P2372" s="2"/>
      <c r="Q2372" s="1" t="str">
        <f>IF($D2372="","",$C2372&amp;"|"&amp;COUNTIFS($C$7:$C2372,$C2372))</f>
        <v/>
      </c>
      <c r="R2372" s="1" t="str">
        <f t="shared" si="72"/>
        <v/>
      </c>
      <c r="S2372" s="1" t="str">
        <f t="shared" si="73"/>
        <v/>
      </c>
      <c r="T2372" s="1">
        <f>IF($E2372="",0,SUMPRODUCT((AY_SONU!$O$7:$O$42="Evet")*(AY_SONU!$B$7:$B$42=DATE(YEAR($E2372),MONTH($E2372),1))))</f>
        <v>0</v>
      </c>
      <c r="U2372" s="1" t="str">
        <f>IF(OR($G2372="",$H2372="Mahsup"),"",$G2372&amp;"|"&amp;COUNTIFS($G$7:$G2372,$G2372,$H$7:$H2372,"&lt;&gt;Mahsup"))</f>
        <v/>
      </c>
    </row>
    <row r="2373" spans="1:21" ht="18" customHeight="1" x14ac:dyDescent="0.3">
      <c r="A2373" s="2"/>
      <c r="B2373" s="65" t="str">
        <f>IF($D2373="","","T"&amp;TEXT(ROW()-6,"00000"))</f>
        <v/>
      </c>
      <c r="C2373" s="65" t="str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61"/>
      <c r="E2373" s="66"/>
      <c r="F2373" s="67"/>
      <c r="G2373" s="60"/>
      <c r="H2373" s="60"/>
      <c r="I2373" s="61"/>
      <c r="J2373" s="61"/>
      <c r="K2373" s="61"/>
      <c r="L2373" s="73" t="str">
        <f>IF($E2373="","",DATE(YEAR($E2373),MONTH($E2373),1))</f>
        <v/>
      </c>
      <c r="M2373" s="65" t="str">
        <f ca="1">IF($D2373="","",IF($C2373="TANIMSIZ MÜŞTERİ","HATA",IF(OR($E2373="",$F2373&lt;=0,$G2373=""),"EKSİK",IF($E2373&gt;TODAY(),"İLERİ TARİH",IF(COUNTIF($S$7:$S$2503,$S2373)&gt;1,"MÜKERRER?",IF($T2373&gt;0,"KAPALI DÖNEM","UYGUN"))))))</f>
        <v/>
      </c>
      <c r="N2373" s="74" t="str">
        <f>IF($C2373="","",IF($C2373="TANIMSIZ MÜŞTERİ","—",INDEX(MUSTERILER!$C$7:$C$156,MATCH($C2373,MUSTERILER!$B$7:$B$156,0))))</f>
        <v/>
      </c>
      <c r="O2373" s="2"/>
      <c r="P2373" s="2"/>
      <c r="Q2373" s="1" t="str">
        <f>IF($D2373="","",$C2373&amp;"|"&amp;COUNTIFS($C$7:$C2373,$C2373))</f>
        <v/>
      </c>
      <c r="R2373" s="1" t="str">
        <f t="shared" si="72"/>
        <v/>
      </c>
      <c r="S2373" s="1" t="str">
        <f t="shared" si="73"/>
        <v/>
      </c>
      <c r="T2373" s="1">
        <f>IF($E2373="",0,SUMPRODUCT((AY_SONU!$O$7:$O$42="Evet")*(AY_SONU!$B$7:$B$42=DATE(YEAR($E2373),MONTH($E2373),1))))</f>
        <v>0</v>
      </c>
      <c r="U2373" s="1" t="str">
        <f>IF(OR($G2373="",$H2373="Mahsup"),"",$G2373&amp;"|"&amp;COUNTIFS($G$7:$G2373,$G2373,$H$7:$H2373,"&lt;&gt;Mahsup"))</f>
        <v/>
      </c>
    </row>
    <row r="2374" spans="1:21" ht="18" customHeight="1" x14ac:dyDescent="0.3">
      <c r="A2374" s="2"/>
      <c r="B2374" s="65" t="str">
        <f>IF($D2374="","","T"&amp;TEXT(ROW()-6,"00000"))</f>
        <v/>
      </c>
      <c r="C2374" s="65" t="str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61"/>
      <c r="E2374" s="66"/>
      <c r="F2374" s="67"/>
      <c r="G2374" s="60"/>
      <c r="H2374" s="60"/>
      <c r="I2374" s="61"/>
      <c r="J2374" s="61"/>
      <c r="K2374" s="61"/>
      <c r="L2374" s="73" t="str">
        <f>IF($E2374="","",DATE(YEAR($E2374),MONTH($E2374),1))</f>
        <v/>
      </c>
      <c r="M2374" s="65" t="str">
        <f ca="1">IF($D2374="","",IF($C2374="TANIMSIZ MÜŞTERİ","HATA",IF(OR($E2374="",$F2374&lt;=0,$G2374=""),"EKSİK",IF($E2374&gt;TODAY(),"İLERİ TARİH",IF(COUNTIF($S$7:$S$2503,$S2374)&gt;1,"MÜKERRER?",IF($T2374&gt;0,"KAPALI DÖNEM","UYGUN"))))))</f>
        <v/>
      </c>
      <c r="N2374" s="74" t="str">
        <f>IF($C2374="","",IF($C2374="TANIMSIZ MÜŞTERİ","—",INDEX(MUSTERILER!$C$7:$C$156,MATCH($C2374,MUSTERILER!$B$7:$B$156,0))))</f>
        <v/>
      </c>
      <c r="O2374" s="2"/>
      <c r="P2374" s="2"/>
      <c r="Q2374" s="1" t="str">
        <f>IF($D2374="","",$C2374&amp;"|"&amp;COUNTIFS($C$7:$C2374,$C2374))</f>
        <v/>
      </c>
      <c r="R2374" s="1" t="str">
        <f t="shared" si="72"/>
        <v/>
      </c>
      <c r="S2374" s="1" t="str">
        <f t="shared" si="73"/>
        <v/>
      </c>
      <c r="T2374" s="1">
        <f>IF($E2374="",0,SUMPRODUCT((AY_SONU!$O$7:$O$42="Evet")*(AY_SONU!$B$7:$B$42=DATE(YEAR($E2374),MONTH($E2374),1))))</f>
        <v>0</v>
      </c>
      <c r="U2374" s="1" t="str">
        <f>IF(OR($G2374="",$H2374="Mahsup"),"",$G2374&amp;"|"&amp;COUNTIFS($G$7:$G2374,$G2374,$H$7:$H2374,"&lt;&gt;Mahsup"))</f>
        <v/>
      </c>
    </row>
    <row r="2375" spans="1:21" ht="18" customHeight="1" x14ac:dyDescent="0.3">
      <c r="A2375" s="2"/>
      <c r="B2375" s="65" t="str">
        <f>IF($D2375="","","T"&amp;TEXT(ROW()-6,"00000"))</f>
        <v/>
      </c>
      <c r="C2375" s="65" t="str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61"/>
      <c r="E2375" s="66"/>
      <c r="F2375" s="67"/>
      <c r="G2375" s="60"/>
      <c r="H2375" s="60"/>
      <c r="I2375" s="61"/>
      <c r="J2375" s="61"/>
      <c r="K2375" s="61"/>
      <c r="L2375" s="73" t="str">
        <f>IF($E2375="","",DATE(YEAR($E2375),MONTH($E2375),1))</f>
        <v/>
      </c>
      <c r="M2375" s="65" t="str">
        <f ca="1">IF($D2375="","",IF($C2375="TANIMSIZ MÜŞTERİ","HATA",IF(OR($E2375="",$F2375&lt;=0,$G2375=""),"EKSİK",IF($E2375&gt;TODAY(),"İLERİ TARİH",IF(COUNTIF($S$7:$S$2503,$S2375)&gt;1,"MÜKERRER?",IF($T2375&gt;0,"KAPALI DÖNEM","UYGUN"))))))</f>
        <v/>
      </c>
      <c r="N2375" s="74" t="str">
        <f>IF($C2375="","",IF($C2375="TANIMSIZ MÜŞTERİ","—",INDEX(MUSTERILER!$C$7:$C$156,MATCH($C2375,MUSTERILER!$B$7:$B$156,0))))</f>
        <v/>
      </c>
      <c r="O2375" s="2"/>
      <c r="P2375" s="2"/>
      <c r="Q2375" s="1" t="str">
        <f>IF($D2375="","",$C2375&amp;"|"&amp;COUNTIFS($C$7:$C2375,$C2375))</f>
        <v/>
      </c>
      <c r="R2375" s="1" t="str">
        <f t="shared" ref="R2375:R2438" si="74"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" t="str">
        <f t="shared" ref="S2375:S2438" si="75">IF($D2375="","",$C2375&amp;"|"&amp;TEXT($E2375,"0")&amp;"|"&amp;TEXT($F2375,"0")&amp;"|"&amp;$I2375)</f>
        <v/>
      </c>
      <c r="T2375" s="1">
        <f>IF($E2375="",0,SUMPRODUCT((AY_SONU!$O$7:$O$42="Evet")*(AY_SONU!$B$7:$B$42=DATE(YEAR($E2375),MONTH($E2375),1))))</f>
        <v>0</v>
      </c>
      <c r="U2375" s="1" t="str">
        <f>IF(OR($G2375="",$H2375="Mahsup"),"",$G2375&amp;"|"&amp;COUNTIFS($G$7:$G2375,$G2375,$H$7:$H2375,"&lt;&gt;Mahsup"))</f>
        <v/>
      </c>
    </row>
    <row r="2376" spans="1:21" ht="18" customHeight="1" x14ac:dyDescent="0.3">
      <c r="A2376" s="2"/>
      <c r="B2376" s="65" t="str">
        <f>IF($D2376="","","T"&amp;TEXT(ROW()-6,"00000"))</f>
        <v/>
      </c>
      <c r="C2376" s="65" t="str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61"/>
      <c r="E2376" s="66"/>
      <c r="F2376" s="67"/>
      <c r="G2376" s="60"/>
      <c r="H2376" s="60"/>
      <c r="I2376" s="61"/>
      <c r="J2376" s="61"/>
      <c r="K2376" s="61"/>
      <c r="L2376" s="73" t="str">
        <f>IF($E2376="","",DATE(YEAR($E2376),MONTH($E2376),1))</f>
        <v/>
      </c>
      <c r="M2376" s="65" t="str">
        <f ca="1">IF($D2376="","",IF($C2376="TANIMSIZ MÜŞTERİ","HATA",IF(OR($E2376="",$F2376&lt;=0,$G2376=""),"EKSİK",IF($E2376&gt;TODAY(),"İLERİ TARİH",IF(COUNTIF($S$7:$S$2503,$S2376)&gt;1,"MÜKERRER?",IF($T2376&gt;0,"KAPALI DÖNEM","UYGUN"))))))</f>
        <v/>
      </c>
      <c r="N2376" s="74" t="str">
        <f>IF($C2376="","",IF($C2376="TANIMSIZ MÜŞTERİ","—",INDEX(MUSTERILER!$C$7:$C$156,MATCH($C2376,MUSTERILER!$B$7:$B$156,0))))</f>
        <v/>
      </c>
      <c r="O2376" s="2"/>
      <c r="P2376" s="2"/>
      <c r="Q2376" s="1" t="str">
        <f>IF($D2376="","",$C2376&amp;"|"&amp;COUNTIFS($C$7:$C2376,$C2376))</f>
        <v/>
      </c>
      <c r="R2376" s="1" t="str">
        <f t="shared" si="74"/>
        <v/>
      </c>
      <c r="S2376" s="1" t="str">
        <f t="shared" si="75"/>
        <v/>
      </c>
      <c r="T2376" s="1">
        <f>IF($E2376="",0,SUMPRODUCT((AY_SONU!$O$7:$O$42="Evet")*(AY_SONU!$B$7:$B$42=DATE(YEAR($E2376),MONTH($E2376),1))))</f>
        <v>0</v>
      </c>
      <c r="U2376" s="1" t="str">
        <f>IF(OR($G2376="",$H2376="Mahsup"),"",$G2376&amp;"|"&amp;COUNTIFS($G$7:$G2376,$G2376,$H$7:$H2376,"&lt;&gt;Mahsup"))</f>
        <v/>
      </c>
    </row>
    <row r="2377" spans="1:21" ht="18" customHeight="1" x14ac:dyDescent="0.3">
      <c r="A2377" s="2"/>
      <c r="B2377" s="65" t="str">
        <f>IF($D2377="","","T"&amp;TEXT(ROW()-6,"00000"))</f>
        <v/>
      </c>
      <c r="C2377" s="65" t="str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61"/>
      <c r="E2377" s="66"/>
      <c r="F2377" s="67"/>
      <c r="G2377" s="60"/>
      <c r="H2377" s="60"/>
      <c r="I2377" s="61"/>
      <c r="J2377" s="61"/>
      <c r="K2377" s="61"/>
      <c r="L2377" s="73" t="str">
        <f>IF($E2377="","",DATE(YEAR($E2377),MONTH($E2377),1))</f>
        <v/>
      </c>
      <c r="M2377" s="65" t="str">
        <f ca="1">IF($D2377="","",IF($C2377="TANIMSIZ MÜŞTERİ","HATA",IF(OR($E2377="",$F2377&lt;=0,$G2377=""),"EKSİK",IF($E2377&gt;TODAY(),"İLERİ TARİH",IF(COUNTIF($S$7:$S$2503,$S2377)&gt;1,"MÜKERRER?",IF($T2377&gt;0,"KAPALI DÖNEM","UYGUN"))))))</f>
        <v/>
      </c>
      <c r="N2377" s="74" t="str">
        <f>IF($C2377="","",IF($C2377="TANIMSIZ MÜŞTERİ","—",INDEX(MUSTERILER!$C$7:$C$156,MATCH($C2377,MUSTERILER!$B$7:$B$156,0))))</f>
        <v/>
      </c>
      <c r="O2377" s="2"/>
      <c r="P2377" s="2"/>
      <c r="Q2377" s="1" t="str">
        <f>IF($D2377="","",$C2377&amp;"|"&amp;COUNTIFS($C$7:$C2377,$C2377))</f>
        <v/>
      </c>
      <c r="R2377" s="1" t="str">
        <f t="shared" si="74"/>
        <v/>
      </c>
      <c r="S2377" s="1" t="str">
        <f t="shared" si="75"/>
        <v/>
      </c>
      <c r="T2377" s="1">
        <f>IF($E2377="",0,SUMPRODUCT((AY_SONU!$O$7:$O$42="Evet")*(AY_SONU!$B$7:$B$42=DATE(YEAR($E2377),MONTH($E2377),1))))</f>
        <v>0</v>
      </c>
      <c r="U2377" s="1" t="str">
        <f>IF(OR($G2377="",$H2377="Mahsup"),"",$G2377&amp;"|"&amp;COUNTIFS($G$7:$G2377,$G2377,$H$7:$H2377,"&lt;&gt;Mahsup"))</f>
        <v/>
      </c>
    </row>
    <row r="2378" spans="1:21" ht="18" customHeight="1" x14ac:dyDescent="0.3">
      <c r="A2378" s="2"/>
      <c r="B2378" s="65" t="str">
        <f>IF($D2378="","","T"&amp;TEXT(ROW()-6,"00000"))</f>
        <v/>
      </c>
      <c r="C2378" s="65" t="str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61"/>
      <c r="E2378" s="66"/>
      <c r="F2378" s="67"/>
      <c r="G2378" s="60"/>
      <c r="H2378" s="60"/>
      <c r="I2378" s="61"/>
      <c r="J2378" s="61"/>
      <c r="K2378" s="61"/>
      <c r="L2378" s="73" t="str">
        <f>IF($E2378="","",DATE(YEAR($E2378),MONTH($E2378),1))</f>
        <v/>
      </c>
      <c r="M2378" s="65" t="str">
        <f ca="1">IF($D2378="","",IF($C2378="TANIMSIZ MÜŞTERİ","HATA",IF(OR($E2378="",$F2378&lt;=0,$G2378=""),"EKSİK",IF($E2378&gt;TODAY(),"İLERİ TARİH",IF(COUNTIF($S$7:$S$2503,$S2378)&gt;1,"MÜKERRER?",IF($T2378&gt;0,"KAPALI DÖNEM","UYGUN"))))))</f>
        <v/>
      </c>
      <c r="N2378" s="74" t="str">
        <f>IF($C2378="","",IF($C2378="TANIMSIZ MÜŞTERİ","—",INDEX(MUSTERILER!$C$7:$C$156,MATCH($C2378,MUSTERILER!$B$7:$B$156,0))))</f>
        <v/>
      </c>
      <c r="O2378" s="2"/>
      <c r="P2378" s="2"/>
      <c r="Q2378" s="1" t="str">
        <f>IF($D2378="","",$C2378&amp;"|"&amp;COUNTIFS($C$7:$C2378,$C2378))</f>
        <v/>
      </c>
      <c r="R2378" s="1" t="str">
        <f t="shared" si="74"/>
        <v/>
      </c>
      <c r="S2378" s="1" t="str">
        <f t="shared" si="75"/>
        <v/>
      </c>
      <c r="T2378" s="1">
        <f>IF($E2378="",0,SUMPRODUCT((AY_SONU!$O$7:$O$42="Evet")*(AY_SONU!$B$7:$B$42=DATE(YEAR($E2378),MONTH($E2378),1))))</f>
        <v>0</v>
      </c>
      <c r="U2378" s="1" t="str">
        <f>IF(OR($G2378="",$H2378="Mahsup"),"",$G2378&amp;"|"&amp;COUNTIFS($G$7:$G2378,$G2378,$H$7:$H2378,"&lt;&gt;Mahsup"))</f>
        <v/>
      </c>
    </row>
    <row r="2379" spans="1:21" ht="18" customHeight="1" x14ac:dyDescent="0.3">
      <c r="A2379" s="2"/>
      <c r="B2379" s="65" t="str">
        <f>IF($D2379="","","T"&amp;TEXT(ROW()-6,"00000"))</f>
        <v/>
      </c>
      <c r="C2379" s="65" t="str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61"/>
      <c r="E2379" s="66"/>
      <c r="F2379" s="67"/>
      <c r="G2379" s="60"/>
      <c r="H2379" s="60"/>
      <c r="I2379" s="61"/>
      <c r="J2379" s="61"/>
      <c r="K2379" s="61"/>
      <c r="L2379" s="73" t="str">
        <f>IF($E2379="","",DATE(YEAR($E2379),MONTH($E2379),1))</f>
        <v/>
      </c>
      <c r="M2379" s="65" t="str">
        <f ca="1">IF($D2379="","",IF($C2379="TANIMSIZ MÜŞTERİ","HATA",IF(OR($E2379="",$F2379&lt;=0,$G2379=""),"EKSİK",IF($E2379&gt;TODAY(),"İLERİ TARİH",IF(COUNTIF($S$7:$S$2503,$S2379)&gt;1,"MÜKERRER?",IF($T2379&gt;0,"KAPALI DÖNEM","UYGUN"))))))</f>
        <v/>
      </c>
      <c r="N2379" s="74" t="str">
        <f>IF($C2379="","",IF($C2379="TANIMSIZ MÜŞTERİ","—",INDEX(MUSTERILER!$C$7:$C$156,MATCH($C2379,MUSTERILER!$B$7:$B$156,0))))</f>
        <v/>
      </c>
      <c r="O2379" s="2"/>
      <c r="P2379" s="2"/>
      <c r="Q2379" s="1" t="str">
        <f>IF($D2379="","",$C2379&amp;"|"&amp;COUNTIFS($C$7:$C2379,$C2379))</f>
        <v/>
      </c>
      <c r="R2379" s="1" t="str">
        <f t="shared" si="74"/>
        <v/>
      </c>
      <c r="S2379" s="1" t="str">
        <f t="shared" si="75"/>
        <v/>
      </c>
      <c r="T2379" s="1">
        <f>IF($E2379="",0,SUMPRODUCT((AY_SONU!$O$7:$O$42="Evet")*(AY_SONU!$B$7:$B$42=DATE(YEAR($E2379),MONTH($E2379),1))))</f>
        <v>0</v>
      </c>
      <c r="U2379" s="1" t="str">
        <f>IF(OR($G2379="",$H2379="Mahsup"),"",$G2379&amp;"|"&amp;COUNTIFS($G$7:$G2379,$G2379,$H$7:$H2379,"&lt;&gt;Mahsup"))</f>
        <v/>
      </c>
    </row>
    <row r="2380" spans="1:21" ht="18" customHeight="1" x14ac:dyDescent="0.3">
      <c r="A2380" s="2"/>
      <c r="B2380" s="65" t="str">
        <f>IF($D2380="","","T"&amp;TEXT(ROW()-6,"00000"))</f>
        <v/>
      </c>
      <c r="C2380" s="65" t="str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61"/>
      <c r="E2380" s="66"/>
      <c r="F2380" s="67"/>
      <c r="G2380" s="60"/>
      <c r="H2380" s="60"/>
      <c r="I2380" s="61"/>
      <c r="J2380" s="61"/>
      <c r="K2380" s="61"/>
      <c r="L2380" s="73" t="str">
        <f>IF($E2380="","",DATE(YEAR($E2380),MONTH($E2380),1))</f>
        <v/>
      </c>
      <c r="M2380" s="65" t="str">
        <f ca="1">IF($D2380="","",IF($C2380="TANIMSIZ MÜŞTERİ","HATA",IF(OR($E2380="",$F2380&lt;=0,$G2380=""),"EKSİK",IF($E2380&gt;TODAY(),"İLERİ TARİH",IF(COUNTIF($S$7:$S$2503,$S2380)&gt;1,"MÜKERRER?",IF($T2380&gt;0,"KAPALI DÖNEM","UYGUN"))))))</f>
        <v/>
      </c>
      <c r="N2380" s="74" t="str">
        <f>IF($C2380="","",IF($C2380="TANIMSIZ MÜŞTERİ","—",INDEX(MUSTERILER!$C$7:$C$156,MATCH($C2380,MUSTERILER!$B$7:$B$156,0))))</f>
        <v/>
      </c>
      <c r="O2380" s="2"/>
      <c r="P2380" s="2"/>
      <c r="Q2380" s="1" t="str">
        <f>IF($D2380="","",$C2380&amp;"|"&amp;COUNTIFS($C$7:$C2380,$C2380))</f>
        <v/>
      </c>
      <c r="R2380" s="1" t="str">
        <f t="shared" si="74"/>
        <v/>
      </c>
      <c r="S2380" s="1" t="str">
        <f t="shared" si="75"/>
        <v/>
      </c>
      <c r="T2380" s="1">
        <f>IF($E2380="",0,SUMPRODUCT((AY_SONU!$O$7:$O$42="Evet")*(AY_SONU!$B$7:$B$42=DATE(YEAR($E2380),MONTH($E2380),1))))</f>
        <v>0</v>
      </c>
      <c r="U2380" s="1" t="str">
        <f>IF(OR($G2380="",$H2380="Mahsup"),"",$G2380&amp;"|"&amp;COUNTIFS($G$7:$G2380,$G2380,$H$7:$H2380,"&lt;&gt;Mahsup"))</f>
        <v/>
      </c>
    </row>
    <row r="2381" spans="1:21" ht="18" customHeight="1" x14ac:dyDescent="0.3">
      <c r="A2381" s="2"/>
      <c r="B2381" s="65" t="str">
        <f>IF($D2381="","","T"&amp;TEXT(ROW()-6,"00000"))</f>
        <v/>
      </c>
      <c r="C2381" s="65" t="str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61"/>
      <c r="E2381" s="66"/>
      <c r="F2381" s="67"/>
      <c r="G2381" s="60"/>
      <c r="H2381" s="60"/>
      <c r="I2381" s="61"/>
      <c r="J2381" s="61"/>
      <c r="K2381" s="61"/>
      <c r="L2381" s="73" t="str">
        <f>IF($E2381="","",DATE(YEAR($E2381),MONTH($E2381),1))</f>
        <v/>
      </c>
      <c r="M2381" s="65" t="str">
        <f ca="1">IF($D2381="","",IF($C2381="TANIMSIZ MÜŞTERİ","HATA",IF(OR($E2381="",$F2381&lt;=0,$G2381=""),"EKSİK",IF($E2381&gt;TODAY(),"İLERİ TARİH",IF(COUNTIF($S$7:$S$2503,$S2381)&gt;1,"MÜKERRER?",IF($T2381&gt;0,"KAPALI DÖNEM","UYGUN"))))))</f>
        <v/>
      </c>
      <c r="N2381" s="74" t="str">
        <f>IF($C2381="","",IF($C2381="TANIMSIZ MÜŞTERİ","—",INDEX(MUSTERILER!$C$7:$C$156,MATCH($C2381,MUSTERILER!$B$7:$B$156,0))))</f>
        <v/>
      </c>
      <c r="O2381" s="2"/>
      <c r="P2381" s="2"/>
      <c r="Q2381" s="1" t="str">
        <f>IF($D2381="","",$C2381&amp;"|"&amp;COUNTIFS($C$7:$C2381,$C2381))</f>
        <v/>
      </c>
      <c r="R2381" s="1" t="str">
        <f t="shared" si="74"/>
        <v/>
      </c>
      <c r="S2381" s="1" t="str">
        <f t="shared" si="75"/>
        <v/>
      </c>
      <c r="T2381" s="1">
        <f>IF($E2381="",0,SUMPRODUCT((AY_SONU!$O$7:$O$42="Evet")*(AY_SONU!$B$7:$B$42=DATE(YEAR($E2381),MONTH($E2381),1))))</f>
        <v>0</v>
      </c>
      <c r="U2381" s="1" t="str">
        <f>IF(OR($G2381="",$H2381="Mahsup"),"",$G2381&amp;"|"&amp;COUNTIFS($G$7:$G2381,$G2381,$H$7:$H2381,"&lt;&gt;Mahsup"))</f>
        <v/>
      </c>
    </row>
    <row r="2382" spans="1:21" ht="18" customHeight="1" x14ac:dyDescent="0.3">
      <c r="A2382" s="2"/>
      <c r="B2382" s="65" t="str">
        <f>IF($D2382="","","T"&amp;TEXT(ROW()-6,"00000"))</f>
        <v/>
      </c>
      <c r="C2382" s="65" t="str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61"/>
      <c r="E2382" s="66"/>
      <c r="F2382" s="67"/>
      <c r="G2382" s="60"/>
      <c r="H2382" s="60"/>
      <c r="I2382" s="61"/>
      <c r="J2382" s="61"/>
      <c r="K2382" s="61"/>
      <c r="L2382" s="73" t="str">
        <f>IF($E2382="","",DATE(YEAR($E2382),MONTH($E2382),1))</f>
        <v/>
      </c>
      <c r="M2382" s="65" t="str">
        <f ca="1">IF($D2382="","",IF($C2382="TANIMSIZ MÜŞTERİ","HATA",IF(OR($E2382="",$F2382&lt;=0,$G2382=""),"EKSİK",IF($E2382&gt;TODAY(),"İLERİ TARİH",IF(COUNTIF($S$7:$S$2503,$S2382)&gt;1,"MÜKERRER?",IF($T2382&gt;0,"KAPALI DÖNEM","UYGUN"))))))</f>
        <v/>
      </c>
      <c r="N2382" s="74" t="str">
        <f>IF($C2382="","",IF($C2382="TANIMSIZ MÜŞTERİ","—",INDEX(MUSTERILER!$C$7:$C$156,MATCH($C2382,MUSTERILER!$B$7:$B$156,0))))</f>
        <v/>
      </c>
      <c r="O2382" s="2"/>
      <c r="P2382" s="2"/>
      <c r="Q2382" s="1" t="str">
        <f>IF($D2382="","",$C2382&amp;"|"&amp;COUNTIFS($C$7:$C2382,$C2382))</f>
        <v/>
      </c>
      <c r="R2382" s="1" t="str">
        <f t="shared" si="74"/>
        <v/>
      </c>
      <c r="S2382" s="1" t="str">
        <f t="shared" si="75"/>
        <v/>
      </c>
      <c r="T2382" s="1">
        <f>IF($E2382="",0,SUMPRODUCT((AY_SONU!$O$7:$O$42="Evet")*(AY_SONU!$B$7:$B$42=DATE(YEAR($E2382),MONTH($E2382),1))))</f>
        <v>0</v>
      </c>
      <c r="U2382" s="1" t="str">
        <f>IF(OR($G2382="",$H2382="Mahsup"),"",$G2382&amp;"|"&amp;COUNTIFS($G$7:$G2382,$G2382,$H$7:$H2382,"&lt;&gt;Mahsup"))</f>
        <v/>
      </c>
    </row>
    <row r="2383" spans="1:21" ht="18" customHeight="1" x14ac:dyDescent="0.3">
      <c r="A2383" s="2"/>
      <c r="B2383" s="65" t="str">
        <f>IF($D2383="","","T"&amp;TEXT(ROW()-6,"00000"))</f>
        <v/>
      </c>
      <c r="C2383" s="65" t="str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61"/>
      <c r="E2383" s="66"/>
      <c r="F2383" s="67"/>
      <c r="G2383" s="60"/>
      <c r="H2383" s="60"/>
      <c r="I2383" s="61"/>
      <c r="J2383" s="61"/>
      <c r="K2383" s="61"/>
      <c r="L2383" s="73" t="str">
        <f>IF($E2383="","",DATE(YEAR($E2383),MONTH($E2383),1))</f>
        <v/>
      </c>
      <c r="M2383" s="65" t="str">
        <f ca="1">IF($D2383="","",IF($C2383="TANIMSIZ MÜŞTERİ","HATA",IF(OR($E2383="",$F2383&lt;=0,$G2383=""),"EKSİK",IF($E2383&gt;TODAY(),"İLERİ TARİH",IF(COUNTIF($S$7:$S$2503,$S2383)&gt;1,"MÜKERRER?",IF($T2383&gt;0,"KAPALI DÖNEM","UYGUN"))))))</f>
        <v/>
      </c>
      <c r="N2383" s="74" t="str">
        <f>IF($C2383="","",IF($C2383="TANIMSIZ MÜŞTERİ","—",INDEX(MUSTERILER!$C$7:$C$156,MATCH($C2383,MUSTERILER!$B$7:$B$156,0))))</f>
        <v/>
      </c>
      <c r="O2383" s="2"/>
      <c r="P2383" s="2"/>
      <c r="Q2383" s="1" t="str">
        <f>IF($D2383="","",$C2383&amp;"|"&amp;COUNTIFS($C$7:$C2383,$C2383))</f>
        <v/>
      </c>
      <c r="R2383" s="1" t="str">
        <f t="shared" si="74"/>
        <v/>
      </c>
      <c r="S2383" s="1" t="str">
        <f t="shared" si="75"/>
        <v/>
      </c>
      <c r="T2383" s="1">
        <f>IF($E2383="",0,SUMPRODUCT((AY_SONU!$O$7:$O$42="Evet")*(AY_SONU!$B$7:$B$42=DATE(YEAR($E2383),MONTH($E2383),1))))</f>
        <v>0</v>
      </c>
      <c r="U2383" s="1" t="str">
        <f>IF(OR($G2383="",$H2383="Mahsup"),"",$G2383&amp;"|"&amp;COUNTIFS($G$7:$G2383,$G2383,$H$7:$H2383,"&lt;&gt;Mahsup"))</f>
        <v/>
      </c>
    </row>
    <row r="2384" spans="1:21" ht="18" customHeight="1" x14ac:dyDescent="0.3">
      <c r="A2384" s="2"/>
      <c r="B2384" s="65" t="str">
        <f>IF($D2384="","","T"&amp;TEXT(ROW()-6,"00000"))</f>
        <v/>
      </c>
      <c r="C2384" s="65" t="str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61"/>
      <c r="E2384" s="66"/>
      <c r="F2384" s="67"/>
      <c r="G2384" s="60"/>
      <c r="H2384" s="60"/>
      <c r="I2384" s="61"/>
      <c r="J2384" s="61"/>
      <c r="K2384" s="61"/>
      <c r="L2384" s="73" t="str">
        <f>IF($E2384="","",DATE(YEAR($E2384),MONTH($E2384),1))</f>
        <v/>
      </c>
      <c r="M2384" s="65" t="str">
        <f ca="1">IF($D2384="","",IF($C2384="TANIMSIZ MÜŞTERİ","HATA",IF(OR($E2384="",$F2384&lt;=0,$G2384=""),"EKSİK",IF($E2384&gt;TODAY(),"İLERİ TARİH",IF(COUNTIF($S$7:$S$2503,$S2384)&gt;1,"MÜKERRER?",IF($T2384&gt;0,"KAPALI DÖNEM","UYGUN"))))))</f>
        <v/>
      </c>
      <c r="N2384" s="74" t="str">
        <f>IF($C2384="","",IF($C2384="TANIMSIZ MÜŞTERİ","—",INDEX(MUSTERILER!$C$7:$C$156,MATCH($C2384,MUSTERILER!$B$7:$B$156,0))))</f>
        <v/>
      </c>
      <c r="O2384" s="2"/>
      <c r="P2384" s="2"/>
      <c r="Q2384" s="1" t="str">
        <f>IF($D2384="","",$C2384&amp;"|"&amp;COUNTIFS($C$7:$C2384,$C2384))</f>
        <v/>
      </c>
      <c r="R2384" s="1" t="str">
        <f t="shared" si="74"/>
        <v/>
      </c>
      <c r="S2384" s="1" t="str">
        <f t="shared" si="75"/>
        <v/>
      </c>
      <c r="T2384" s="1">
        <f>IF($E2384="",0,SUMPRODUCT((AY_SONU!$O$7:$O$42="Evet")*(AY_SONU!$B$7:$B$42=DATE(YEAR($E2384),MONTH($E2384),1))))</f>
        <v>0</v>
      </c>
      <c r="U2384" s="1" t="str">
        <f>IF(OR($G2384="",$H2384="Mahsup"),"",$G2384&amp;"|"&amp;COUNTIFS($G$7:$G2384,$G2384,$H$7:$H2384,"&lt;&gt;Mahsup"))</f>
        <v/>
      </c>
    </row>
    <row r="2385" spans="1:21" ht="18" customHeight="1" x14ac:dyDescent="0.3">
      <c r="A2385" s="2"/>
      <c r="B2385" s="65" t="str">
        <f>IF($D2385="","","T"&amp;TEXT(ROW()-6,"00000"))</f>
        <v/>
      </c>
      <c r="C2385" s="65" t="str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61"/>
      <c r="E2385" s="66"/>
      <c r="F2385" s="67"/>
      <c r="G2385" s="60"/>
      <c r="H2385" s="60"/>
      <c r="I2385" s="61"/>
      <c r="J2385" s="61"/>
      <c r="K2385" s="61"/>
      <c r="L2385" s="73" t="str">
        <f>IF($E2385="","",DATE(YEAR($E2385),MONTH($E2385),1))</f>
        <v/>
      </c>
      <c r="M2385" s="65" t="str">
        <f ca="1">IF($D2385="","",IF($C2385="TANIMSIZ MÜŞTERİ","HATA",IF(OR($E2385="",$F2385&lt;=0,$G2385=""),"EKSİK",IF($E2385&gt;TODAY(),"İLERİ TARİH",IF(COUNTIF($S$7:$S$2503,$S2385)&gt;1,"MÜKERRER?",IF($T2385&gt;0,"KAPALI DÖNEM","UYGUN"))))))</f>
        <v/>
      </c>
      <c r="N2385" s="74" t="str">
        <f>IF($C2385="","",IF($C2385="TANIMSIZ MÜŞTERİ","—",INDEX(MUSTERILER!$C$7:$C$156,MATCH($C2385,MUSTERILER!$B$7:$B$156,0))))</f>
        <v/>
      </c>
      <c r="O2385" s="2"/>
      <c r="P2385" s="2"/>
      <c r="Q2385" s="1" t="str">
        <f>IF($D2385="","",$C2385&amp;"|"&amp;COUNTIFS($C$7:$C2385,$C2385))</f>
        <v/>
      </c>
      <c r="R2385" s="1" t="str">
        <f t="shared" si="74"/>
        <v/>
      </c>
      <c r="S2385" s="1" t="str">
        <f t="shared" si="75"/>
        <v/>
      </c>
      <c r="T2385" s="1">
        <f>IF($E2385="",0,SUMPRODUCT((AY_SONU!$O$7:$O$42="Evet")*(AY_SONU!$B$7:$B$42=DATE(YEAR($E2385),MONTH($E2385),1))))</f>
        <v>0</v>
      </c>
      <c r="U2385" s="1" t="str">
        <f>IF(OR($G2385="",$H2385="Mahsup"),"",$G2385&amp;"|"&amp;COUNTIFS($G$7:$G2385,$G2385,$H$7:$H2385,"&lt;&gt;Mahsup"))</f>
        <v/>
      </c>
    </row>
    <row r="2386" spans="1:21" ht="18" customHeight="1" x14ac:dyDescent="0.3">
      <c r="A2386" s="2"/>
      <c r="B2386" s="65" t="str">
        <f>IF($D2386="","","T"&amp;TEXT(ROW()-6,"00000"))</f>
        <v/>
      </c>
      <c r="C2386" s="65" t="str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61"/>
      <c r="E2386" s="66"/>
      <c r="F2386" s="67"/>
      <c r="G2386" s="60"/>
      <c r="H2386" s="60"/>
      <c r="I2386" s="61"/>
      <c r="J2386" s="61"/>
      <c r="K2386" s="61"/>
      <c r="L2386" s="73" t="str">
        <f>IF($E2386="","",DATE(YEAR($E2386),MONTH($E2386),1))</f>
        <v/>
      </c>
      <c r="M2386" s="65" t="str">
        <f ca="1">IF($D2386="","",IF($C2386="TANIMSIZ MÜŞTERİ","HATA",IF(OR($E2386="",$F2386&lt;=0,$G2386=""),"EKSİK",IF($E2386&gt;TODAY(),"İLERİ TARİH",IF(COUNTIF($S$7:$S$2503,$S2386)&gt;1,"MÜKERRER?",IF($T2386&gt;0,"KAPALI DÖNEM","UYGUN"))))))</f>
        <v/>
      </c>
      <c r="N2386" s="74" t="str">
        <f>IF($C2386="","",IF($C2386="TANIMSIZ MÜŞTERİ","—",INDEX(MUSTERILER!$C$7:$C$156,MATCH($C2386,MUSTERILER!$B$7:$B$156,0))))</f>
        <v/>
      </c>
      <c r="O2386" s="2"/>
      <c r="P2386" s="2"/>
      <c r="Q2386" s="1" t="str">
        <f>IF($D2386="","",$C2386&amp;"|"&amp;COUNTIFS($C$7:$C2386,$C2386))</f>
        <v/>
      </c>
      <c r="R2386" s="1" t="str">
        <f t="shared" si="74"/>
        <v/>
      </c>
      <c r="S2386" s="1" t="str">
        <f t="shared" si="75"/>
        <v/>
      </c>
      <c r="T2386" s="1">
        <f>IF($E2386="",0,SUMPRODUCT((AY_SONU!$O$7:$O$42="Evet")*(AY_SONU!$B$7:$B$42=DATE(YEAR($E2386),MONTH($E2386),1))))</f>
        <v>0</v>
      </c>
      <c r="U2386" s="1" t="str">
        <f>IF(OR($G2386="",$H2386="Mahsup"),"",$G2386&amp;"|"&amp;COUNTIFS($G$7:$G2386,$G2386,$H$7:$H2386,"&lt;&gt;Mahsup"))</f>
        <v/>
      </c>
    </row>
    <row r="2387" spans="1:21" ht="18" customHeight="1" x14ac:dyDescent="0.3">
      <c r="A2387" s="2"/>
      <c r="B2387" s="65" t="str">
        <f>IF($D2387="","","T"&amp;TEXT(ROW()-6,"00000"))</f>
        <v/>
      </c>
      <c r="C2387" s="65" t="str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61"/>
      <c r="E2387" s="66"/>
      <c r="F2387" s="67"/>
      <c r="G2387" s="60"/>
      <c r="H2387" s="60"/>
      <c r="I2387" s="61"/>
      <c r="J2387" s="61"/>
      <c r="K2387" s="61"/>
      <c r="L2387" s="73" t="str">
        <f>IF($E2387="","",DATE(YEAR($E2387),MONTH($E2387),1))</f>
        <v/>
      </c>
      <c r="M2387" s="65" t="str">
        <f ca="1">IF($D2387="","",IF($C2387="TANIMSIZ MÜŞTERİ","HATA",IF(OR($E2387="",$F2387&lt;=0,$G2387=""),"EKSİK",IF($E2387&gt;TODAY(),"İLERİ TARİH",IF(COUNTIF($S$7:$S$2503,$S2387)&gt;1,"MÜKERRER?",IF($T2387&gt;0,"KAPALI DÖNEM","UYGUN"))))))</f>
        <v/>
      </c>
      <c r="N2387" s="74" t="str">
        <f>IF($C2387="","",IF($C2387="TANIMSIZ MÜŞTERİ","—",INDEX(MUSTERILER!$C$7:$C$156,MATCH($C2387,MUSTERILER!$B$7:$B$156,0))))</f>
        <v/>
      </c>
      <c r="O2387" s="2"/>
      <c r="P2387" s="2"/>
      <c r="Q2387" s="1" t="str">
        <f>IF($D2387="","",$C2387&amp;"|"&amp;COUNTIFS($C$7:$C2387,$C2387))</f>
        <v/>
      </c>
      <c r="R2387" s="1" t="str">
        <f t="shared" si="74"/>
        <v/>
      </c>
      <c r="S2387" s="1" t="str">
        <f t="shared" si="75"/>
        <v/>
      </c>
      <c r="T2387" s="1">
        <f>IF($E2387="",0,SUMPRODUCT((AY_SONU!$O$7:$O$42="Evet")*(AY_SONU!$B$7:$B$42=DATE(YEAR($E2387),MONTH($E2387),1))))</f>
        <v>0</v>
      </c>
      <c r="U2387" s="1" t="str">
        <f>IF(OR($G2387="",$H2387="Mahsup"),"",$G2387&amp;"|"&amp;COUNTIFS($G$7:$G2387,$G2387,$H$7:$H2387,"&lt;&gt;Mahsup"))</f>
        <v/>
      </c>
    </row>
    <row r="2388" spans="1:21" ht="18" customHeight="1" x14ac:dyDescent="0.3">
      <c r="A2388" s="2"/>
      <c r="B2388" s="65" t="str">
        <f>IF($D2388="","","T"&amp;TEXT(ROW()-6,"00000"))</f>
        <v/>
      </c>
      <c r="C2388" s="65" t="str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61"/>
      <c r="E2388" s="66"/>
      <c r="F2388" s="67"/>
      <c r="G2388" s="60"/>
      <c r="H2388" s="60"/>
      <c r="I2388" s="61"/>
      <c r="J2388" s="61"/>
      <c r="K2388" s="61"/>
      <c r="L2388" s="73" t="str">
        <f>IF($E2388="","",DATE(YEAR($E2388),MONTH($E2388),1))</f>
        <v/>
      </c>
      <c r="M2388" s="65" t="str">
        <f ca="1">IF($D2388="","",IF($C2388="TANIMSIZ MÜŞTERİ","HATA",IF(OR($E2388="",$F2388&lt;=0,$G2388=""),"EKSİK",IF($E2388&gt;TODAY(),"İLERİ TARİH",IF(COUNTIF($S$7:$S$2503,$S2388)&gt;1,"MÜKERRER?",IF($T2388&gt;0,"KAPALI DÖNEM","UYGUN"))))))</f>
        <v/>
      </c>
      <c r="N2388" s="74" t="str">
        <f>IF($C2388="","",IF($C2388="TANIMSIZ MÜŞTERİ","—",INDEX(MUSTERILER!$C$7:$C$156,MATCH($C2388,MUSTERILER!$B$7:$B$156,0))))</f>
        <v/>
      </c>
      <c r="O2388" s="2"/>
      <c r="P2388" s="2"/>
      <c r="Q2388" s="1" t="str">
        <f>IF($D2388="","",$C2388&amp;"|"&amp;COUNTIFS($C$7:$C2388,$C2388))</f>
        <v/>
      </c>
      <c r="R2388" s="1" t="str">
        <f t="shared" si="74"/>
        <v/>
      </c>
      <c r="S2388" s="1" t="str">
        <f t="shared" si="75"/>
        <v/>
      </c>
      <c r="T2388" s="1">
        <f>IF($E2388="",0,SUMPRODUCT((AY_SONU!$O$7:$O$42="Evet")*(AY_SONU!$B$7:$B$42=DATE(YEAR($E2388),MONTH($E2388),1))))</f>
        <v>0</v>
      </c>
      <c r="U2388" s="1" t="str">
        <f>IF(OR($G2388="",$H2388="Mahsup"),"",$G2388&amp;"|"&amp;COUNTIFS($G$7:$G2388,$G2388,$H$7:$H2388,"&lt;&gt;Mahsup"))</f>
        <v/>
      </c>
    </row>
    <row r="2389" spans="1:21" ht="18" customHeight="1" x14ac:dyDescent="0.3">
      <c r="A2389" s="2"/>
      <c r="B2389" s="65" t="str">
        <f>IF($D2389="","","T"&amp;TEXT(ROW()-6,"00000"))</f>
        <v/>
      </c>
      <c r="C2389" s="65" t="str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61"/>
      <c r="E2389" s="66"/>
      <c r="F2389" s="67"/>
      <c r="G2389" s="60"/>
      <c r="H2389" s="60"/>
      <c r="I2389" s="61"/>
      <c r="J2389" s="61"/>
      <c r="K2389" s="61"/>
      <c r="L2389" s="73" t="str">
        <f>IF($E2389="","",DATE(YEAR($E2389),MONTH($E2389),1))</f>
        <v/>
      </c>
      <c r="M2389" s="65" t="str">
        <f ca="1">IF($D2389="","",IF($C2389="TANIMSIZ MÜŞTERİ","HATA",IF(OR($E2389="",$F2389&lt;=0,$G2389=""),"EKSİK",IF($E2389&gt;TODAY(),"İLERİ TARİH",IF(COUNTIF($S$7:$S$2503,$S2389)&gt;1,"MÜKERRER?",IF($T2389&gt;0,"KAPALI DÖNEM","UYGUN"))))))</f>
        <v/>
      </c>
      <c r="N2389" s="74" t="str">
        <f>IF($C2389="","",IF($C2389="TANIMSIZ MÜŞTERİ","—",INDEX(MUSTERILER!$C$7:$C$156,MATCH($C2389,MUSTERILER!$B$7:$B$156,0))))</f>
        <v/>
      </c>
      <c r="O2389" s="2"/>
      <c r="P2389" s="2"/>
      <c r="Q2389" s="1" t="str">
        <f>IF($D2389="","",$C2389&amp;"|"&amp;COUNTIFS($C$7:$C2389,$C2389))</f>
        <v/>
      </c>
      <c r="R2389" s="1" t="str">
        <f t="shared" si="74"/>
        <v/>
      </c>
      <c r="S2389" s="1" t="str">
        <f t="shared" si="75"/>
        <v/>
      </c>
      <c r="T2389" s="1">
        <f>IF($E2389="",0,SUMPRODUCT((AY_SONU!$O$7:$O$42="Evet")*(AY_SONU!$B$7:$B$42=DATE(YEAR($E2389),MONTH($E2389),1))))</f>
        <v>0</v>
      </c>
      <c r="U2389" s="1" t="str">
        <f>IF(OR($G2389="",$H2389="Mahsup"),"",$G2389&amp;"|"&amp;COUNTIFS($G$7:$G2389,$G2389,$H$7:$H2389,"&lt;&gt;Mahsup"))</f>
        <v/>
      </c>
    </row>
    <row r="2390" spans="1:21" ht="18" customHeight="1" x14ac:dyDescent="0.3">
      <c r="A2390" s="2"/>
      <c r="B2390" s="65" t="str">
        <f>IF($D2390="","","T"&amp;TEXT(ROW()-6,"00000"))</f>
        <v/>
      </c>
      <c r="C2390" s="65" t="str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61"/>
      <c r="E2390" s="66"/>
      <c r="F2390" s="67"/>
      <c r="G2390" s="60"/>
      <c r="H2390" s="60"/>
      <c r="I2390" s="61"/>
      <c r="J2390" s="61"/>
      <c r="K2390" s="61"/>
      <c r="L2390" s="73" t="str">
        <f>IF($E2390="","",DATE(YEAR($E2390),MONTH($E2390),1))</f>
        <v/>
      </c>
      <c r="M2390" s="65" t="str">
        <f ca="1">IF($D2390="","",IF($C2390="TANIMSIZ MÜŞTERİ","HATA",IF(OR($E2390="",$F2390&lt;=0,$G2390=""),"EKSİK",IF($E2390&gt;TODAY(),"İLERİ TARİH",IF(COUNTIF($S$7:$S$2503,$S2390)&gt;1,"MÜKERRER?",IF($T2390&gt;0,"KAPALI DÖNEM","UYGUN"))))))</f>
        <v/>
      </c>
      <c r="N2390" s="74" t="str">
        <f>IF($C2390="","",IF($C2390="TANIMSIZ MÜŞTERİ","—",INDEX(MUSTERILER!$C$7:$C$156,MATCH($C2390,MUSTERILER!$B$7:$B$156,0))))</f>
        <v/>
      </c>
      <c r="O2390" s="2"/>
      <c r="P2390" s="2"/>
      <c r="Q2390" s="1" t="str">
        <f>IF($D2390="","",$C2390&amp;"|"&amp;COUNTIFS($C$7:$C2390,$C2390))</f>
        <v/>
      </c>
      <c r="R2390" s="1" t="str">
        <f t="shared" si="74"/>
        <v/>
      </c>
      <c r="S2390" s="1" t="str">
        <f t="shared" si="75"/>
        <v/>
      </c>
      <c r="T2390" s="1">
        <f>IF($E2390="",0,SUMPRODUCT((AY_SONU!$O$7:$O$42="Evet")*(AY_SONU!$B$7:$B$42=DATE(YEAR($E2390),MONTH($E2390),1))))</f>
        <v>0</v>
      </c>
      <c r="U2390" s="1" t="str">
        <f>IF(OR($G2390="",$H2390="Mahsup"),"",$G2390&amp;"|"&amp;COUNTIFS($G$7:$G2390,$G2390,$H$7:$H2390,"&lt;&gt;Mahsup"))</f>
        <v/>
      </c>
    </row>
    <row r="2391" spans="1:21" ht="18" customHeight="1" x14ac:dyDescent="0.3">
      <c r="A2391" s="2"/>
      <c r="B2391" s="65" t="str">
        <f>IF($D2391="","","T"&amp;TEXT(ROW()-6,"00000"))</f>
        <v/>
      </c>
      <c r="C2391" s="65" t="str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61"/>
      <c r="E2391" s="66"/>
      <c r="F2391" s="67"/>
      <c r="G2391" s="60"/>
      <c r="H2391" s="60"/>
      <c r="I2391" s="61"/>
      <c r="J2391" s="61"/>
      <c r="K2391" s="61"/>
      <c r="L2391" s="73" t="str">
        <f>IF($E2391="","",DATE(YEAR($E2391),MONTH($E2391),1))</f>
        <v/>
      </c>
      <c r="M2391" s="65" t="str">
        <f ca="1">IF($D2391="","",IF($C2391="TANIMSIZ MÜŞTERİ","HATA",IF(OR($E2391="",$F2391&lt;=0,$G2391=""),"EKSİK",IF($E2391&gt;TODAY(),"İLERİ TARİH",IF(COUNTIF($S$7:$S$2503,$S2391)&gt;1,"MÜKERRER?",IF($T2391&gt;0,"KAPALI DÖNEM","UYGUN"))))))</f>
        <v/>
      </c>
      <c r="N2391" s="74" t="str">
        <f>IF($C2391="","",IF($C2391="TANIMSIZ MÜŞTERİ","—",INDEX(MUSTERILER!$C$7:$C$156,MATCH($C2391,MUSTERILER!$B$7:$B$156,0))))</f>
        <v/>
      </c>
      <c r="O2391" s="2"/>
      <c r="P2391" s="2"/>
      <c r="Q2391" s="1" t="str">
        <f>IF($D2391="","",$C2391&amp;"|"&amp;COUNTIFS($C$7:$C2391,$C2391))</f>
        <v/>
      </c>
      <c r="R2391" s="1" t="str">
        <f t="shared" si="74"/>
        <v/>
      </c>
      <c r="S2391" s="1" t="str">
        <f t="shared" si="75"/>
        <v/>
      </c>
      <c r="T2391" s="1">
        <f>IF($E2391="",0,SUMPRODUCT((AY_SONU!$O$7:$O$42="Evet")*(AY_SONU!$B$7:$B$42=DATE(YEAR($E2391),MONTH($E2391),1))))</f>
        <v>0</v>
      </c>
      <c r="U2391" s="1" t="str">
        <f>IF(OR($G2391="",$H2391="Mahsup"),"",$G2391&amp;"|"&amp;COUNTIFS($G$7:$G2391,$G2391,$H$7:$H2391,"&lt;&gt;Mahsup"))</f>
        <v/>
      </c>
    </row>
    <row r="2392" spans="1:21" ht="18" customHeight="1" x14ac:dyDescent="0.3">
      <c r="A2392" s="2"/>
      <c r="B2392" s="65" t="str">
        <f>IF($D2392="","","T"&amp;TEXT(ROW()-6,"00000"))</f>
        <v/>
      </c>
      <c r="C2392" s="65" t="str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61"/>
      <c r="E2392" s="66"/>
      <c r="F2392" s="67"/>
      <c r="G2392" s="60"/>
      <c r="H2392" s="60"/>
      <c r="I2392" s="61"/>
      <c r="J2392" s="61"/>
      <c r="K2392" s="61"/>
      <c r="L2392" s="73" t="str">
        <f>IF($E2392="","",DATE(YEAR($E2392),MONTH($E2392),1))</f>
        <v/>
      </c>
      <c r="M2392" s="65" t="str">
        <f ca="1">IF($D2392="","",IF($C2392="TANIMSIZ MÜŞTERİ","HATA",IF(OR($E2392="",$F2392&lt;=0,$G2392=""),"EKSİK",IF($E2392&gt;TODAY(),"İLERİ TARİH",IF(COUNTIF($S$7:$S$2503,$S2392)&gt;1,"MÜKERRER?",IF($T2392&gt;0,"KAPALI DÖNEM","UYGUN"))))))</f>
        <v/>
      </c>
      <c r="N2392" s="74" t="str">
        <f>IF($C2392="","",IF($C2392="TANIMSIZ MÜŞTERİ","—",INDEX(MUSTERILER!$C$7:$C$156,MATCH($C2392,MUSTERILER!$B$7:$B$156,0))))</f>
        <v/>
      </c>
      <c r="O2392" s="2"/>
      <c r="P2392" s="2"/>
      <c r="Q2392" s="1" t="str">
        <f>IF($D2392="","",$C2392&amp;"|"&amp;COUNTIFS($C$7:$C2392,$C2392))</f>
        <v/>
      </c>
      <c r="R2392" s="1" t="str">
        <f t="shared" si="74"/>
        <v/>
      </c>
      <c r="S2392" s="1" t="str">
        <f t="shared" si="75"/>
        <v/>
      </c>
      <c r="T2392" s="1">
        <f>IF($E2392="",0,SUMPRODUCT((AY_SONU!$O$7:$O$42="Evet")*(AY_SONU!$B$7:$B$42=DATE(YEAR($E2392),MONTH($E2392),1))))</f>
        <v>0</v>
      </c>
      <c r="U2392" s="1" t="str">
        <f>IF(OR($G2392="",$H2392="Mahsup"),"",$G2392&amp;"|"&amp;COUNTIFS($G$7:$G2392,$G2392,$H$7:$H2392,"&lt;&gt;Mahsup"))</f>
        <v/>
      </c>
    </row>
    <row r="2393" spans="1:21" ht="18" customHeight="1" x14ac:dyDescent="0.3">
      <c r="A2393" s="2"/>
      <c r="B2393" s="65" t="str">
        <f>IF($D2393="","","T"&amp;TEXT(ROW()-6,"00000"))</f>
        <v/>
      </c>
      <c r="C2393" s="65" t="str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61"/>
      <c r="E2393" s="66"/>
      <c r="F2393" s="67"/>
      <c r="G2393" s="60"/>
      <c r="H2393" s="60"/>
      <c r="I2393" s="61"/>
      <c r="J2393" s="61"/>
      <c r="K2393" s="61"/>
      <c r="L2393" s="73" t="str">
        <f>IF($E2393="","",DATE(YEAR($E2393),MONTH($E2393),1))</f>
        <v/>
      </c>
      <c r="M2393" s="65" t="str">
        <f ca="1">IF($D2393="","",IF($C2393="TANIMSIZ MÜŞTERİ","HATA",IF(OR($E2393="",$F2393&lt;=0,$G2393=""),"EKSİK",IF($E2393&gt;TODAY(),"İLERİ TARİH",IF(COUNTIF($S$7:$S$2503,$S2393)&gt;1,"MÜKERRER?",IF($T2393&gt;0,"KAPALI DÖNEM","UYGUN"))))))</f>
        <v/>
      </c>
      <c r="N2393" s="74" t="str">
        <f>IF($C2393="","",IF($C2393="TANIMSIZ MÜŞTERİ","—",INDEX(MUSTERILER!$C$7:$C$156,MATCH($C2393,MUSTERILER!$B$7:$B$156,0))))</f>
        <v/>
      </c>
      <c r="O2393" s="2"/>
      <c r="P2393" s="2"/>
      <c r="Q2393" s="1" t="str">
        <f>IF($D2393="","",$C2393&amp;"|"&amp;COUNTIFS($C$7:$C2393,$C2393))</f>
        <v/>
      </c>
      <c r="R2393" s="1" t="str">
        <f t="shared" si="74"/>
        <v/>
      </c>
      <c r="S2393" s="1" t="str">
        <f t="shared" si="75"/>
        <v/>
      </c>
      <c r="T2393" s="1">
        <f>IF($E2393="",0,SUMPRODUCT((AY_SONU!$O$7:$O$42="Evet")*(AY_SONU!$B$7:$B$42=DATE(YEAR($E2393),MONTH($E2393),1))))</f>
        <v>0</v>
      </c>
      <c r="U2393" s="1" t="str">
        <f>IF(OR($G2393="",$H2393="Mahsup"),"",$G2393&amp;"|"&amp;COUNTIFS($G$7:$G2393,$G2393,$H$7:$H2393,"&lt;&gt;Mahsup"))</f>
        <v/>
      </c>
    </row>
    <row r="2394" spans="1:21" ht="18" customHeight="1" x14ac:dyDescent="0.3">
      <c r="A2394" s="2"/>
      <c r="B2394" s="65" t="str">
        <f>IF($D2394="","","T"&amp;TEXT(ROW()-6,"00000"))</f>
        <v/>
      </c>
      <c r="C2394" s="65" t="str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61"/>
      <c r="E2394" s="66"/>
      <c r="F2394" s="67"/>
      <c r="G2394" s="60"/>
      <c r="H2394" s="60"/>
      <c r="I2394" s="61"/>
      <c r="J2394" s="61"/>
      <c r="K2394" s="61"/>
      <c r="L2394" s="73" t="str">
        <f>IF($E2394="","",DATE(YEAR($E2394),MONTH($E2394),1))</f>
        <v/>
      </c>
      <c r="M2394" s="65" t="str">
        <f ca="1">IF($D2394="","",IF($C2394="TANIMSIZ MÜŞTERİ","HATA",IF(OR($E2394="",$F2394&lt;=0,$G2394=""),"EKSİK",IF($E2394&gt;TODAY(),"İLERİ TARİH",IF(COUNTIF($S$7:$S$2503,$S2394)&gt;1,"MÜKERRER?",IF($T2394&gt;0,"KAPALI DÖNEM","UYGUN"))))))</f>
        <v/>
      </c>
      <c r="N2394" s="74" t="str">
        <f>IF($C2394="","",IF($C2394="TANIMSIZ MÜŞTERİ","—",INDEX(MUSTERILER!$C$7:$C$156,MATCH($C2394,MUSTERILER!$B$7:$B$156,0))))</f>
        <v/>
      </c>
      <c r="O2394" s="2"/>
      <c r="P2394" s="2"/>
      <c r="Q2394" s="1" t="str">
        <f>IF($D2394="","",$C2394&amp;"|"&amp;COUNTIFS($C$7:$C2394,$C2394))</f>
        <v/>
      </c>
      <c r="R2394" s="1" t="str">
        <f t="shared" si="74"/>
        <v/>
      </c>
      <c r="S2394" s="1" t="str">
        <f t="shared" si="75"/>
        <v/>
      </c>
      <c r="T2394" s="1">
        <f>IF($E2394="",0,SUMPRODUCT((AY_SONU!$O$7:$O$42="Evet")*(AY_SONU!$B$7:$B$42=DATE(YEAR($E2394),MONTH($E2394),1))))</f>
        <v>0</v>
      </c>
      <c r="U2394" s="1" t="str">
        <f>IF(OR($G2394="",$H2394="Mahsup"),"",$G2394&amp;"|"&amp;COUNTIFS($G$7:$G2394,$G2394,$H$7:$H2394,"&lt;&gt;Mahsup"))</f>
        <v/>
      </c>
    </row>
    <row r="2395" spans="1:21" ht="18" customHeight="1" x14ac:dyDescent="0.3">
      <c r="A2395" s="2"/>
      <c r="B2395" s="65" t="str">
        <f>IF($D2395="","","T"&amp;TEXT(ROW()-6,"00000"))</f>
        <v/>
      </c>
      <c r="C2395" s="65" t="str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61"/>
      <c r="E2395" s="66"/>
      <c r="F2395" s="67"/>
      <c r="G2395" s="60"/>
      <c r="H2395" s="60"/>
      <c r="I2395" s="61"/>
      <c r="J2395" s="61"/>
      <c r="K2395" s="61"/>
      <c r="L2395" s="73" t="str">
        <f>IF($E2395="","",DATE(YEAR($E2395),MONTH($E2395),1))</f>
        <v/>
      </c>
      <c r="M2395" s="65" t="str">
        <f ca="1">IF($D2395="","",IF($C2395="TANIMSIZ MÜŞTERİ","HATA",IF(OR($E2395="",$F2395&lt;=0,$G2395=""),"EKSİK",IF($E2395&gt;TODAY(),"İLERİ TARİH",IF(COUNTIF($S$7:$S$2503,$S2395)&gt;1,"MÜKERRER?",IF($T2395&gt;0,"KAPALI DÖNEM","UYGUN"))))))</f>
        <v/>
      </c>
      <c r="N2395" s="74" t="str">
        <f>IF($C2395="","",IF($C2395="TANIMSIZ MÜŞTERİ","—",INDEX(MUSTERILER!$C$7:$C$156,MATCH($C2395,MUSTERILER!$B$7:$B$156,0))))</f>
        <v/>
      </c>
      <c r="O2395" s="2"/>
      <c r="P2395" s="2"/>
      <c r="Q2395" s="1" t="str">
        <f>IF($D2395="","",$C2395&amp;"|"&amp;COUNTIFS($C$7:$C2395,$C2395))</f>
        <v/>
      </c>
      <c r="R2395" s="1" t="str">
        <f t="shared" si="74"/>
        <v/>
      </c>
      <c r="S2395" s="1" t="str">
        <f t="shared" si="75"/>
        <v/>
      </c>
      <c r="T2395" s="1">
        <f>IF($E2395="",0,SUMPRODUCT((AY_SONU!$O$7:$O$42="Evet")*(AY_SONU!$B$7:$B$42=DATE(YEAR($E2395),MONTH($E2395),1))))</f>
        <v>0</v>
      </c>
      <c r="U2395" s="1" t="str">
        <f>IF(OR($G2395="",$H2395="Mahsup"),"",$G2395&amp;"|"&amp;COUNTIFS($G$7:$G2395,$G2395,$H$7:$H2395,"&lt;&gt;Mahsup"))</f>
        <v/>
      </c>
    </row>
    <row r="2396" spans="1:21" ht="18" customHeight="1" x14ac:dyDescent="0.3">
      <c r="A2396" s="2"/>
      <c r="B2396" s="65" t="str">
        <f>IF($D2396="","","T"&amp;TEXT(ROW()-6,"00000"))</f>
        <v/>
      </c>
      <c r="C2396" s="65" t="str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61"/>
      <c r="E2396" s="66"/>
      <c r="F2396" s="67"/>
      <c r="G2396" s="60"/>
      <c r="H2396" s="60"/>
      <c r="I2396" s="61"/>
      <c r="J2396" s="61"/>
      <c r="K2396" s="61"/>
      <c r="L2396" s="73" t="str">
        <f>IF($E2396="","",DATE(YEAR($E2396),MONTH($E2396),1))</f>
        <v/>
      </c>
      <c r="M2396" s="65" t="str">
        <f ca="1">IF($D2396="","",IF($C2396="TANIMSIZ MÜŞTERİ","HATA",IF(OR($E2396="",$F2396&lt;=0,$G2396=""),"EKSİK",IF($E2396&gt;TODAY(),"İLERİ TARİH",IF(COUNTIF($S$7:$S$2503,$S2396)&gt;1,"MÜKERRER?",IF($T2396&gt;0,"KAPALI DÖNEM","UYGUN"))))))</f>
        <v/>
      </c>
      <c r="N2396" s="74" t="str">
        <f>IF($C2396="","",IF($C2396="TANIMSIZ MÜŞTERİ","—",INDEX(MUSTERILER!$C$7:$C$156,MATCH($C2396,MUSTERILER!$B$7:$B$156,0))))</f>
        <v/>
      </c>
      <c r="O2396" s="2"/>
      <c r="P2396" s="2"/>
      <c r="Q2396" s="1" t="str">
        <f>IF($D2396="","",$C2396&amp;"|"&amp;COUNTIFS($C$7:$C2396,$C2396))</f>
        <v/>
      </c>
      <c r="R2396" s="1" t="str">
        <f t="shared" si="74"/>
        <v/>
      </c>
      <c r="S2396" s="1" t="str">
        <f t="shared" si="75"/>
        <v/>
      </c>
      <c r="T2396" s="1">
        <f>IF($E2396="",0,SUMPRODUCT((AY_SONU!$O$7:$O$42="Evet")*(AY_SONU!$B$7:$B$42=DATE(YEAR($E2396),MONTH($E2396),1))))</f>
        <v>0</v>
      </c>
      <c r="U2396" s="1" t="str">
        <f>IF(OR($G2396="",$H2396="Mahsup"),"",$G2396&amp;"|"&amp;COUNTIFS($G$7:$G2396,$G2396,$H$7:$H2396,"&lt;&gt;Mahsup"))</f>
        <v/>
      </c>
    </row>
    <row r="2397" spans="1:21" ht="18" customHeight="1" x14ac:dyDescent="0.3">
      <c r="A2397" s="2"/>
      <c r="B2397" s="65" t="str">
        <f>IF($D2397="","","T"&amp;TEXT(ROW()-6,"00000"))</f>
        <v/>
      </c>
      <c r="C2397" s="65" t="str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61"/>
      <c r="E2397" s="66"/>
      <c r="F2397" s="67"/>
      <c r="G2397" s="60"/>
      <c r="H2397" s="60"/>
      <c r="I2397" s="61"/>
      <c r="J2397" s="61"/>
      <c r="K2397" s="61"/>
      <c r="L2397" s="73" t="str">
        <f>IF($E2397="","",DATE(YEAR($E2397),MONTH($E2397),1))</f>
        <v/>
      </c>
      <c r="M2397" s="65" t="str">
        <f ca="1">IF($D2397="","",IF($C2397="TANIMSIZ MÜŞTERİ","HATA",IF(OR($E2397="",$F2397&lt;=0,$G2397=""),"EKSİK",IF($E2397&gt;TODAY(),"İLERİ TARİH",IF(COUNTIF($S$7:$S$2503,$S2397)&gt;1,"MÜKERRER?",IF($T2397&gt;0,"KAPALI DÖNEM","UYGUN"))))))</f>
        <v/>
      </c>
      <c r="N2397" s="74" t="str">
        <f>IF($C2397="","",IF($C2397="TANIMSIZ MÜŞTERİ","—",INDEX(MUSTERILER!$C$7:$C$156,MATCH($C2397,MUSTERILER!$B$7:$B$156,0))))</f>
        <v/>
      </c>
      <c r="O2397" s="2"/>
      <c r="P2397" s="2"/>
      <c r="Q2397" s="1" t="str">
        <f>IF($D2397="","",$C2397&amp;"|"&amp;COUNTIFS($C$7:$C2397,$C2397))</f>
        <v/>
      </c>
      <c r="R2397" s="1" t="str">
        <f t="shared" si="74"/>
        <v/>
      </c>
      <c r="S2397" s="1" t="str">
        <f t="shared" si="75"/>
        <v/>
      </c>
      <c r="T2397" s="1">
        <f>IF($E2397="",0,SUMPRODUCT((AY_SONU!$O$7:$O$42="Evet")*(AY_SONU!$B$7:$B$42=DATE(YEAR($E2397),MONTH($E2397),1))))</f>
        <v>0</v>
      </c>
      <c r="U2397" s="1" t="str">
        <f>IF(OR($G2397="",$H2397="Mahsup"),"",$G2397&amp;"|"&amp;COUNTIFS($G$7:$G2397,$G2397,$H$7:$H2397,"&lt;&gt;Mahsup"))</f>
        <v/>
      </c>
    </row>
    <row r="2398" spans="1:21" ht="18" customHeight="1" x14ac:dyDescent="0.3">
      <c r="A2398" s="2"/>
      <c r="B2398" s="65" t="str">
        <f>IF($D2398="","","T"&amp;TEXT(ROW()-6,"00000"))</f>
        <v/>
      </c>
      <c r="C2398" s="65" t="str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61"/>
      <c r="E2398" s="66"/>
      <c r="F2398" s="67"/>
      <c r="G2398" s="60"/>
      <c r="H2398" s="60"/>
      <c r="I2398" s="61"/>
      <c r="J2398" s="61"/>
      <c r="K2398" s="61"/>
      <c r="L2398" s="73" t="str">
        <f>IF($E2398="","",DATE(YEAR($E2398),MONTH($E2398),1))</f>
        <v/>
      </c>
      <c r="M2398" s="65" t="str">
        <f ca="1">IF($D2398="","",IF($C2398="TANIMSIZ MÜŞTERİ","HATA",IF(OR($E2398="",$F2398&lt;=0,$G2398=""),"EKSİK",IF($E2398&gt;TODAY(),"İLERİ TARİH",IF(COUNTIF($S$7:$S$2503,$S2398)&gt;1,"MÜKERRER?",IF($T2398&gt;0,"KAPALI DÖNEM","UYGUN"))))))</f>
        <v/>
      </c>
      <c r="N2398" s="74" t="str">
        <f>IF($C2398="","",IF($C2398="TANIMSIZ MÜŞTERİ","—",INDEX(MUSTERILER!$C$7:$C$156,MATCH($C2398,MUSTERILER!$B$7:$B$156,0))))</f>
        <v/>
      </c>
      <c r="O2398" s="2"/>
      <c r="P2398" s="2"/>
      <c r="Q2398" s="1" t="str">
        <f>IF($D2398="","",$C2398&amp;"|"&amp;COUNTIFS($C$7:$C2398,$C2398))</f>
        <v/>
      </c>
      <c r="R2398" s="1" t="str">
        <f t="shared" si="74"/>
        <v/>
      </c>
      <c r="S2398" s="1" t="str">
        <f t="shared" si="75"/>
        <v/>
      </c>
      <c r="T2398" s="1">
        <f>IF($E2398="",0,SUMPRODUCT((AY_SONU!$O$7:$O$42="Evet")*(AY_SONU!$B$7:$B$42=DATE(YEAR($E2398),MONTH($E2398),1))))</f>
        <v>0</v>
      </c>
      <c r="U2398" s="1" t="str">
        <f>IF(OR($G2398="",$H2398="Mahsup"),"",$G2398&amp;"|"&amp;COUNTIFS($G$7:$G2398,$G2398,$H$7:$H2398,"&lt;&gt;Mahsup"))</f>
        <v/>
      </c>
    </row>
    <row r="2399" spans="1:21" ht="18" customHeight="1" x14ac:dyDescent="0.3">
      <c r="A2399" s="2"/>
      <c r="B2399" s="65" t="str">
        <f>IF($D2399="","","T"&amp;TEXT(ROW()-6,"00000"))</f>
        <v/>
      </c>
      <c r="C2399" s="65" t="str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61"/>
      <c r="E2399" s="66"/>
      <c r="F2399" s="67"/>
      <c r="G2399" s="60"/>
      <c r="H2399" s="60"/>
      <c r="I2399" s="61"/>
      <c r="J2399" s="61"/>
      <c r="K2399" s="61"/>
      <c r="L2399" s="73" t="str">
        <f>IF($E2399="","",DATE(YEAR($E2399),MONTH($E2399),1))</f>
        <v/>
      </c>
      <c r="M2399" s="65" t="str">
        <f ca="1">IF($D2399="","",IF($C2399="TANIMSIZ MÜŞTERİ","HATA",IF(OR($E2399="",$F2399&lt;=0,$G2399=""),"EKSİK",IF($E2399&gt;TODAY(),"İLERİ TARİH",IF(COUNTIF($S$7:$S$2503,$S2399)&gt;1,"MÜKERRER?",IF($T2399&gt;0,"KAPALI DÖNEM","UYGUN"))))))</f>
        <v/>
      </c>
      <c r="N2399" s="74" t="str">
        <f>IF($C2399="","",IF($C2399="TANIMSIZ MÜŞTERİ","—",INDEX(MUSTERILER!$C$7:$C$156,MATCH($C2399,MUSTERILER!$B$7:$B$156,0))))</f>
        <v/>
      </c>
      <c r="O2399" s="2"/>
      <c r="P2399" s="2"/>
      <c r="Q2399" s="1" t="str">
        <f>IF($D2399="","",$C2399&amp;"|"&amp;COUNTIFS($C$7:$C2399,$C2399))</f>
        <v/>
      </c>
      <c r="R2399" s="1" t="str">
        <f t="shared" si="74"/>
        <v/>
      </c>
      <c r="S2399" s="1" t="str">
        <f t="shared" si="75"/>
        <v/>
      </c>
      <c r="T2399" s="1">
        <f>IF($E2399="",0,SUMPRODUCT((AY_SONU!$O$7:$O$42="Evet")*(AY_SONU!$B$7:$B$42=DATE(YEAR($E2399),MONTH($E2399),1))))</f>
        <v>0</v>
      </c>
      <c r="U2399" s="1" t="str">
        <f>IF(OR($G2399="",$H2399="Mahsup"),"",$G2399&amp;"|"&amp;COUNTIFS($G$7:$G2399,$G2399,$H$7:$H2399,"&lt;&gt;Mahsup"))</f>
        <v/>
      </c>
    </row>
    <row r="2400" spans="1:21" ht="18" customHeight="1" x14ac:dyDescent="0.3">
      <c r="A2400" s="2"/>
      <c r="B2400" s="65" t="str">
        <f>IF($D2400="","","T"&amp;TEXT(ROW()-6,"00000"))</f>
        <v/>
      </c>
      <c r="C2400" s="65" t="str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61"/>
      <c r="E2400" s="66"/>
      <c r="F2400" s="67"/>
      <c r="G2400" s="60"/>
      <c r="H2400" s="60"/>
      <c r="I2400" s="61"/>
      <c r="J2400" s="61"/>
      <c r="K2400" s="61"/>
      <c r="L2400" s="73" t="str">
        <f>IF($E2400="","",DATE(YEAR($E2400),MONTH($E2400),1))</f>
        <v/>
      </c>
      <c r="M2400" s="65" t="str">
        <f ca="1">IF($D2400="","",IF($C2400="TANIMSIZ MÜŞTERİ","HATA",IF(OR($E2400="",$F2400&lt;=0,$G2400=""),"EKSİK",IF($E2400&gt;TODAY(),"İLERİ TARİH",IF(COUNTIF($S$7:$S$2503,$S2400)&gt;1,"MÜKERRER?",IF($T2400&gt;0,"KAPALI DÖNEM","UYGUN"))))))</f>
        <v/>
      </c>
      <c r="N2400" s="74" t="str">
        <f>IF($C2400="","",IF($C2400="TANIMSIZ MÜŞTERİ","—",INDEX(MUSTERILER!$C$7:$C$156,MATCH($C2400,MUSTERILER!$B$7:$B$156,0))))</f>
        <v/>
      </c>
      <c r="O2400" s="2"/>
      <c r="P2400" s="2"/>
      <c r="Q2400" s="1" t="str">
        <f>IF($D2400="","",$C2400&amp;"|"&amp;COUNTIFS($C$7:$C2400,$C2400))</f>
        <v/>
      </c>
      <c r="R2400" s="1" t="str">
        <f t="shared" si="74"/>
        <v/>
      </c>
      <c r="S2400" s="1" t="str">
        <f t="shared" si="75"/>
        <v/>
      </c>
      <c r="T2400" s="1">
        <f>IF($E2400="",0,SUMPRODUCT((AY_SONU!$O$7:$O$42="Evet")*(AY_SONU!$B$7:$B$42=DATE(YEAR($E2400),MONTH($E2400),1))))</f>
        <v>0</v>
      </c>
      <c r="U2400" s="1" t="str">
        <f>IF(OR($G2400="",$H2400="Mahsup"),"",$G2400&amp;"|"&amp;COUNTIFS($G$7:$G2400,$G2400,$H$7:$H2400,"&lt;&gt;Mahsup"))</f>
        <v/>
      </c>
    </row>
    <row r="2401" spans="1:21" ht="18" customHeight="1" x14ac:dyDescent="0.3">
      <c r="A2401" s="2"/>
      <c r="B2401" s="65" t="str">
        <f>IF($D2401="","","T"&amp;TEXT(ROW()-6,"00000"))</f>
        <v/>
      </c>
      <c r="C2401" s="65" t="str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61"/>
      <c r="E2401" s="66"/>
      <c r="F2401" s="67"/>
      <c r="G2401" s="60"/>
      <c r="H2401" s="60"/>
      <c r="I2401" s="61"/>
      <c r="J2401" s="61"/>
      <c r="K2401" s="61"/>
      <c r="L2401" s="73" t="str">
        <f>IF($E2401="","",DATE(YEAR($E2401),MONTH($E2401),1))</f>
        <v/>
      </c>
      <c r="M2401" s="65" t="str">
        <f ca="1">IF($D2401="","",IF($C2401="TANIMSIZ MÜŞTERİ","HATA",IF(OR($E2401="",$F2401&lt;=0,$G2401=""),"EKSİK",IF($E2401&gt;TODAY(),"İLERİ TARİH",IF(COUNTIF($S$7:$S$2503,$S2401)&gt;1,"MÜKERRER?",IF($T2401&gt;0,"KAPALI DÖNEM","UYGUN"))))))</f>
        <v/>
      </c>
      <c r="N2401" s="74" t="str">
        <f>IF($C2401="","",IF($C2401="TANIMSIZ MÜŞTERİ","—",INDEX(MUSTERILER!$C$7:$C$156,MATCH($C2401,MUSTERILER!$B$7:$B$156,0))))</f>
        <v/>
      </c>
      <c r="O2401" s="2"/>
      <c r="P2401" s="2"/>
      <c r="Q2401" s="1" t="str">
        <f>IF($D2401="","",$C2401&amp;"|"&amp;COUNTIFS($C$7:$C2401,$C2401))</f>
        <v/>
      </c>
      <c r="R2401" s="1" t="str">
        <f t="shared" si="74"/>
        <v/>
      </c>
      <c r="S2401" s="1" t="str">
        <f t="shared" si="75"/>
        <v/>
      </c>
      <c r="T2401" s="1">
        <f>IF($E2401="",0,SUMPRODUCT((AY_SONU!$O$7:$O$42="Evet")*(AY_SONU!$B$7:$B$42=DATE(YEAR($E2401),MONTH($E2401),1))))</f>
        <v>0</v>
      </c>
      <c r="U2401" s="1" t="str">
        <f>IF(OR($G2401="",$H2401="Mahsup"),"",$G2401&amp;"|"&amp;COUNTIFS($G$7:$G2401,$G2401,$H$7:$H2401,"&lt;&gt;Mahsup"))</f>
        <v/>
      </c>
    </row>
    <row r="2402" spans="1:21" ht="18" customHeight="1" x14ac:dyDescent="0.3">
      <c r="A2402" s="2"/>
      <c r="B2402" s="65" t="str">
        <f>IF($D2402="","","T"&amp;TEXT(ROW()-6,"00000"))</f>
        <v/>
      </c>
      <c r="C2402" s="65" t="str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61"/>
      <c r="E2402" s="66"/>
      <c r="F2402" s="67"/>
      <c r="G2402" s="60"/>
      <c r="H2402" s="60"/>
      <c r="I2402" s="61"/>
      <c r="J2402" s="61"/>
      <c r="K2402" s="61"/>
      <c r="L2402" s="73" t="str">
        <f>IF($E2402="","",DATE(YEAR($E2402),MONTH($E2402),1))</f>
        <v/>
      </c>
      <c r="M2402" s="65" t="str">
        <f ca="1">IF($D2402="","",IF($C2402="TANIMSIZ MÜŞTERİ","HATA",IF(OR($E2402="",$F2402&lt;=0,$G2402=""),"EKSİK",IF($E2402&gt;TODAY(),"İLERİ TARİH",IF(COUNTIF($S$7:$S$2503,$S2402)&gt;1,"MÜKERRER?",IF($T2402&gt;0,"KAPALI DÖNEM","UYGUN"))))))</f>
        <v/>
      </c>
      <c r="N2402" s="74" t="str">
        <f>IF($C2402="","",IF($C2402="TANIMSIZ MÜŞTERİ","—",INDEX(MUSTERILER!$C$7:$C$156,MATCH($C2402,MUSTERILER!$B$7:$B$156,0))))</f>
        <v/>
      </c>
      <c r="O2402" s="2"/>
      <c r="P2402" s="2"/>
      <c r="Q2402" s="1" t="str">
        <f>IF($D2402="","",$C2402&amp;"|"&amp;COUNTIFS($C$7:$C2402,$C2402))</f>
        <v/>
      </c>
      <c r="R2402" s="1" t="str">
        <f t="shared" si="74"/>
        <v/>
      </c>
      <c r="S2402" s="1" t="str">
        <f t="shared" si="75"/>
        <v/>
      </c>
      <c r="T2402" s="1">
        <f>IF($E2402="",0,SUMPRODUCT((AY_SONU!$O$7:$O$42="Evet")*(AY_SONU!$B$7:$B$42=DATE(YEAR($E2402),MONTH($E2402),1))))</f>
        <v>0</v>
      </c>
      <c r="U2402" s="1" t="str">
        <f>IF(OR($G2402="",$H2402="Mahsup"),"",$G2402&amp;"|"&amp;COUNTIFS($G$7:$G2402,$G2402,$H$7:$H2402,"&lt;&gt;Mahsup"))</f>
        <v/>
      </c>
    </row>
    <row r="2403" spans="1:21" ht="18" customHeight="1" x14ac:dyDescent="0.3">
      <c r="A2403" s="2"/>
      <c r="B2403" s="65" t="str">
        <f>IF($D2403="","","T"&amp;TEXT(ROW()-6,"00000"))</f>
        <v/>
      </c>
      <c r="C2403" s="65" t="str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61"/>
      <c r="E2403" s="66"/>
      <c r="F2403" s="67"/>
      <c r="G2403" s="60"/>
      <c r="H2403" s="60"/>
      <c r="I2403" s="61"/>
      <c r="J2403" s="61"/>
      <c r="K2403" s="61"/>
      <c r="L2403" s="73" t="str">
        <f>IF($E2403="","",DATE(YEAR($E2403),MONTH($E2403),1))</f>
        <v/>
      </c>
      <c r="M2403" s="65" t="str">
        <f ca="1">IF($D2403="","",IF($C2403="TANIMSIZ MÜŞTERİ","HATA",IF(OR($E2403="",$F2403&lt;=0,$G2403=""),"EKSİK",IF($E2403&gt;TODAY(),"İLERİ TARİH",IF(COUNTIF($S$7:$S$2503,$S2403)&gt;1,"MÜKERRER?",IF($T2403&gt;0,"KAPALI DÖNEM","UYGUN"))))))</f>
        <v/>
      </c>
      <c r="N2403" s="74" t="str">
        <f>IF($C2403="","",IF($C2403="TANIMSIZ MÜŞTERİ","—",INDEX(MUSTERILER!$C$7:$C$156,MATCH($C2403,MUSTERILER!$B$7:$B$156,0))))</f>
        <v/>
      </c>
      <c r="O2403" s="2"/>
      <c r="P2403" s="2"/>
      <c r="Q2403" s="1" t="str">
        <f>IF($D2403="","",$C2403&amp;"|"&amp;COUNTIFS($C$7:$C2403,$C2403))</f>
        <v/>
      </c>
      <c r="R2403" s="1" t="str">
        <f t="shared" si="74"/>
        <v/>
      </c>
      <c r="S2403" s="1" t="str">
        <f t="shared" si="75"/>
        <v/>
      </c>
      <c r="T2403" s="1">
        <f>IF($E2403="",0,SUMPRODUCT((AY_SONU!$O$7:$O$42="Evet")*(AY_SONU!$B$7:$B$42=DATE(YEAR($E2403),MONTH($E2403),1))))</f>
        <v>0</v>
      </c>
      <c r="U2403" s="1" t="str">
        <f>IF(OR($G2403="",$H2403="Mahsup"),"",$G2403&amp;"|"&amp;COUNTIFS($G$7:$G2403,$G2403,$H$7:$H2403,"&lt;&gt;Mahsup"))</f>
        <v/>
      </c>
    </row>
    <row r="2404" spans="1:21" ht="18" customHeight="1" x14ac:dyDescent="0.3">
      <c r="A2404" s="2"/>
      <c r="B2404" s="65" t="str">
        <f>IF($D2404="","","T"&amp;TEXT(ROW()-6,"00000"))</f>
        <v/>
      </c>
      <c r="C2404" s="65" t="str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61"/>
      <c r="E2404" s="66"/>
      <c r="F2404" s="67"/>
      <c r="G2404" s="60"/>
      <c r="H2404" s="60"/>
      <c r="I2404" s="61"/>
      <c r="J2404" s="61"/>
      <c r="K2404" s="61"/>
      <c r="L2404" s="73" t="str">
        <f>IF($E2404="","",DATE(YEAR($E2404),MONTH($E2404),1))</f>
        <v/>
      </c>
      <c r="M2404" s="65" t="str">
        <f ca="1">IF($D2404="","",IF($C2404="TANIMSIZ MÜŞTERİ","HATA",IF(OR($E2404="",$F2404&lt;=0,$G2404=""),"EKSİK",IF($E2404&gt;TODAY(),"İLERİ TARİH",IF(COUNTIF($S$7:$S$2503,$S2404)&gt;1,"MÜKERRER?",IF($T2404&gt;0,"KAPALI DÖNEM","UYGUN"))))))</f>
        <v/>
      </c>
      <c r="N2404" s="74" t="str">
        <f>IF($C2404="","",IF($C2404="TANIMSIZ MÜŞTERİ","—",INDEX(MUSTERILER!$C$7:$C$156,MATCH($C2404,MUSTERILER!$B$7:$B$156,0))))</f>
        <v/>
      </c>
      <c r="O2404" s="2"/>
      <c r="P2404" s="2"/>
      <c r="Q2404" s="1" t="str">
        <f>IF($D2404="","",$C2404&amp;"|"&amp;COUNTIFS($C$7:$C2404,$C2404))</f>
        <v/>
      </c>
      <c r="R2404" s="1" t="str">
        <f t="shared" si="74"/>
        <v/>
      </c>
      <c r="S2404" s="1" t="str">
        <f t="shared" si="75"/>
        <v/>
      </c>
      <c r="T2404" s="1">
        <f>IF($E2404="",0,SUMPRODUCT((AY_SONU!$O$7:$O$42="Evet")*(AY_SONU!$B$7:$B$42=DATE(YEAR($E2404),MONTH($E2404),1))))</f>
        <v>0</v>
      </c>
      <c r="U2404" s="1" t="str">
        <f>IF(OR($G2404="",$H2404="Mahsup"),"",$G2404&amp;"|"&amp;COUNTIFS($G$7:$G2404,$G2404,$H$7:$H2404,"&lt;&gt;Mahsup"))</f>
        <v/>
      </c>
    </row>
    <row r="2405" spans="1:21" ht="18" customHeight="1" x14ac:dyDescent="0.3">
      <c r="A2405" s="2"/>
      <c r="B2405" s="65" t="str">
        <f>IF($D2405="","","T"&amp;TEXT(ROW()-6,"00000"))</f>
        <v/>
      </c>
      <c r="C2405" s="65" t="str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61"/>
      <c r="E2405" s="66"/>
      <c r="F2405" s="67"/>
      <c r="G2405" s="60"/>
      <c r="H2405" s="60"/>
      <c r="I2405" s="61"/>
      <c r="J2405" s="61"/>
      <c r="K2405" s="61"/>
      <c r="L2405" s="73" t="str">
        <f>IF($E2405="","",DATE(YEAR($E2405),MONTH($E2405),1))</f>
        <v/>
      </c>
      <c r="M2405" s="65" t="str">
        <f ca="1">IF($D2405="","",IF($C2405="TANIMSIZ MÜŞTERİ","HATA",IF(OR($E2405="",$F2405&lt;=0,$G2405=""),"EKSİK",IF($E2405&gt;TODAY(),"İLERİ TARİH",IF(COUNTIF($S$7:$S$2503,$S2405)&gt;1,"MÜKERRER?",IF($T2405&gt;0,"KAPALI DÖNEM","UYGUN"))))))</f>
        <v/>
      </c>
      <c r="N2405" s="74" t="str">
        <f>IF($C2405="","",IF($C2405="TANIMSIZ MÜŞTERİ","—",INDEX(MUSTERILER!$C$7:$C$156,MATCH($C2405,MUSTERILER!$B$7:$B$156,0))))</f>
        <v/>
      </c>
      <c r="O2405" s="2"/>
      <c r="P2405" s="2"/>
      <c r="Q2405" s="1" t="str">
        <f>IF($D2405="","",$C2405&amp;"|"&amp;COUNTIFS($C$7:$C2405,$C2405))</f>
        <v/>
      </c>
      <c r="R2405" s="1" t="str">
        <f t="shared" si="74"/>
        <v/>
      </c>
      <c r="S2405" s="1" t="str">
        <f t="shared" si="75"/>
        <v/>
      </c>
      <c r="T2405" s="1">
        <f>IF($E2405="",0,SUMPRODUCT((AY_SONU!$O$7:$O$42="Evet")*(AY_SONU!$B$7:$B$42=DATE(YEAR($E2405),MONTH($E2405),1))))</f>
        <v>0</v>
      </c>
      <c r="U2405" s="1" t="str">
        <f>IF(OR($G2405="",$H2405="Mahsup"),"",$G2405&amp;"|"&amp;COUNTIFS($G$7:$G2405,$G2405,$H$7:$H2405,"&lt;&gt;Mahsup"))</f>
        <v/>
      </c>
    </row>
    <row r="2406" spans="1:21" ht="18" customHeight="1" x14ac:dyDescent="0.3">
      <c r="A2406" s="2"/>
      <c r="B2406" s="65" t="str">
        <f>IF($D2406="","","T"&amp;TEXT(ROW()-6,"00000"))</f>
        <v/>
      </c>
      <c r="C2406" s="65" t="str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61"/>
      <c r="E2406" s="66"/>
      <c r="F2406" s="67"/>
      <c r="G2406" s="60"/>
      <c r="H2406" s="60"/>
      <c r="I2406" s="61"/>
      <c r="J2406" s="61"/>
      <c r="K2406" s="61"/>
      <c r="L2406" s="73" t="str">
        <f>IF($E2406="","",DATE(YEAR($E2406),MONTH($E2406),1))</f>
        <v/>
      </c>
      <c r="M2406" s="65" t="str">
        <f ca="1">IF($D2406="","",IF($C2406="TANIMSIZ MÜŞTERİ","HATA",IF(OR($E2406="",$F2406&lt;=0,$G2406=""),"EKSİK",IF($E2406&gt;TODAY(),"İLERİ TARİH",IF(COUNTIF($S$7:$S$2503,$S2406)&gt;1,"MÜKERRER?",IF($T2406&gt;0,"KAPALI DÖNEM","UYGUN"))))))</f>
        <v/>
      </c>
      <c r="N2406" s="74" t="str">
        <f>IF($C2406="","",IF($C2406="TANIMSIZ MÜŞTERİ","—",INDEX(MUSTERILER!$C$7:$C$156,MATCH($C2406,MUSTERILER!$B$7:$B$156,0))))</f>
        <v/>
      </c>
      <c r="O2406" s="2"/>
      <c r="P2406" s="2"/>
      <c r="Q2406" s="1" t="str">
        <f>IF($D2406="","",$C2406&amp;"|"&amp;COUNTIFS($C$7:$C2406,$C2406))</f>
        <v/>
      </c>
      <c r="R2406" s="1" t="str">
        <f t="shared" si="74"/>
        <v/>
      </c>
      <c r="S2406" s="1" t="str">
        <f t="shared" si="75"/>
        <v/>
      </c>
      <c r="T2406" s="1">
        <f>IF($E2406="",0,SUMPRODUCT((AY_SONU!$O$7:$O$42="Evet")*(AY_SONU!$B$7:$B$42=DATE(YEAR($E2406),MONTH($E2406),1))))</f>
        <v>0</v>
      </c>
      <c r="U2406" s="1" t="str">
        <f>IF(OR($G2406="",$H2406="Mahsup"),"",$G2406&amp;"|"&amp;COUNTIFS($G$7:$G2406,$G2406,$H$7:$H2406,"&lt;&gt;Mahsup"))</f>
        <v/>
      </c>
    </row>
    <row r="2407" spans="1:21" ht="18" customHeight="1" x14ac:dyDescent="0.3">
      <c r="A2407" s="2"/>
      <c r="B2407" s="65" t="str">
        <f>IF($D2407="","","T"&amp;TEXT(ROW()-6,"00000"))</f>
        <v/>
      </c>
      <c r="C2407" s="65" t="str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61"/>
      <c r="E2407" s="66"/>
      <c r="F2407" s="67"/>
      <c r="G2407" s="60"/>
      <c r="H2407" s="60"/>
      <c r="I2407" s="61"/>
      <c r="J2407" s="61"/>
      <c r="K2407" s="61"/>
      <c r="L2407" s="73" t="str">
        <f>IF($E2407="","",DATE(YEAR($E2407),MONTH($E2407),1))</f>
        <v/>
      </c>
      <c r="M2407" s="65" t="str">
        <f ca="1">IF($D2407="","",IF($C2407="TANIMSIZ MÜŞTERİ","HATA",IF(OR($E2407="",$F2407&lt;=0,$G2407=""),"EKSİK",IF($E2407&gt;TODAY(),"İLERİ TARİH",IF(COUNTIF($S$7:$S$2503,$S2407)&gt;1,"MÜKERRER?",IF($T2407&gt;0,"KAPALI DÖNEM","UYGUN"))))))</f>
        <v/>
      </c>
      <c r="N2407" s="74" t="str">
        <f>IF($C2407="","",IF($C2407="TANIMSIZ MÜŞTERİ","—",INDEX(MUSTERILER!$C$7:$C$156,MATCH($C2407,MUSTERILER!$B$7:$B$156,0))))</f>
        <v/>
      </c>
      <c r="O2407" s="2"/>
      <c r="P2407" s="2"/>
      <c r="Q2407" s="1" t="str">
        <f>IF($D2407="","",$C2407&amp;"|"&amp;COUNTIFS($C$7:$C2407,$C2407))</f>
        <v/>
      </c>
      <c r="R2407" s="1" t="str">
        <f t="shared" si="74"/>
        <v/>
      </c>
      <c r="S2407" s="1" t="str">
        <f t="shared" si="75"/>
        <v/>
      </c>
      <c r="T2407" s="1">
        <f>IF($E2407="",0,SUMPRODUCT((AY_SONU!$O$7:$O$42="Evet")*(AY_SONU!$B$7:$B$42=DATE(YEAR($E2407),MONTH($E2407),1))))</f>
        <v>0</v>
      </c>
      <c r="U2407" s="1" t="str">
        <f>IF(OR($G2407="",$H2407="Mahsup"),"",$G2407&amp;"|"&amp;COUNTIFS($G$7:$G2407,$G2407,$H$7:$H2407,"&lt;&gt;Mahsup"))</f>
        <v/>
      </c>
    </row>
    <row r="2408" spans="1:21" ht="18" customHeight="1" x14ac:dyDescent="0.3">
      <c r="A2408" s="2"/>
      <c r="B2408" s="65" t="str">
        <f>IF($D2408="","","T"&amp;TEXT(ROW()-6,"00000"))</f>
        <v/>
      </c>
      <c r="C2408" s="65" t="str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61"/>
      <c r="E2408" s="66"/>
      <c r="F2408" s="67"/>
      <c r="G2408" s="60"/>
      <c r="H2408" s="60"/>
      <c r="I2408" s="61"/>
      <c r="J2408" s="61"/>
      <c r="K2408" s="61"/>
      <c r="L2408" s="73" t="str">
        <f>IF($E2408="","",DATE(YEAR($E2408),MONTH($E2408),1))</f>
        <v/>
      </c>
      <c r="M2408" s="65" t="str">
        <f ca="1">IF($D2408="","",IF($C2408="TANIMSIZ MÜŞTERİ","HATA",IF(OR($E2408="",$F2408&lt;=0,$G2408=""),"EKSİK",IF($E2408&gt;TODAY(),"İLERİ TARİH",IF(COUNTIF($S$7:$S$2503,$S2408)&gt;1,"MÜKERRER?",IF($T2408&gt;0,"KAPALI DÖNEM","UYGUN"))))))</f>
        <v/>
      </c>
      <c r="N2408" s="74" t="str">
        <f>IF($C2408="","",IF($C2408="TANIMSIZ MÜŞTERİ","—",INDEX(MUSTERILER!$C$7:$C$156,MATCH($C2408,MUSTERILER!$B$7:$B$156,0))))</f>
        <v/>
      </c>
      <c r="O2408" s="2"/>
      <c r="P2408" s="2"/>
      <c r="Q2408" s="1" t="str">
        <f>IF($D2408="","",$C2408&amp;"|"&amp;COUNTIFS($C$7:$C2408,$C2408))</f>
        <v/>
      </c>
      <c r="R2408" s="1" t="str">
        <f t="shared" si="74"/>
        <v/>
      </c>
      <c r="S2408" s="1" t="str">
        <f t="shared" si="75"/>
        <v/>
      </c>
      <c r="T2408" s="1">
        <f>IF($E2408="",0,SUMPRODUCT((AY_SONU!$O$7:$O$42="Evet")*(AY_SONU!$B$7:$B$42=DATE(YEAR($E2408),MONTH($E2408),1))))</f>
        <v>0</v>
      </c>
      <c r="U2408" s="1" t="str">
        <f>IF(OR($G2408="",$H2408="Mahsup"),"",$G2408&amp;"|"&amp;COUNTIFS($G$7:$G2408,$G2408,$H$7:$H2408,"&lt;&gt;Mahsup"))</f>
        <v/>
      </c>
    </row>
    <row r="2409" spans="1:21" ht="18" customHeight="1" x14ac:dyDescent="0.3">
      <c r="A2409" s="2"/>
      <c r="B2409" s="65" t="str">
        <f>IF($D2409="","","T"&amp;TEXT(ROW()-6,"00000"))</f>
        <v/>
      </c>
      <c r="C2409" s="65" t="str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61"/>
      <c r="E2409" s="66"/>
      <c r="F2409" s="67"/>
      <c r="G2409" s="60"/>
      <c r="H2409" s="60"/>
      <c r="I2409" s="61"/>
      <c r="J2409" s="61"/>
      <c r="K2409" s="61"/>
      <c r="L2409" s="73" t="str">
        <f>IF($E2409="","",DATE(YEAR($E2409),MONTH($E2409),1))</f>
        <v/>
      </c>
      <c r="M2409" s="65" t="str">
        <f ca="1">IF($D2409="","",IF($C2409="TANIMSIZ MÜŞTERİ","HATA",IF(OR($E2409="",$F2409&lt;=0,$G2409=""),"EKSİK",IF($E2409&gt;TODAY(),"İLERİ TARİH",IF(COUNTIF($S$7:$S$2503,$S2409)&gt;1,"MÜKERRER?",IF($T2409&gt;0,"KAPALI DÖNEM","UYGUN"))))))</f>
        <v/>
      </c>
      <c r="N2409" s="74" t="str">
        <f>IF($C2409="","",IF($C2409="TANIMSIZ MÜŞTERİ","—",INDEX(MUSTERILER!$C$7:$C$156,MATCH($C2409,MUSTERILER!$B$7:$B$156,0))))</f>
        <v/>
      </c>
      <c r="O2409" s="2"/>
      <c r="P2409" s="2"/>
      <c r="Q2409" s="1" t="str">
        <f>IF($D2409="","",$C2409&amp;"|"&amp;COUNTIFS($C$7:$C2409,$C2409))</f>
        <v/>
      </c>
      <c r="R2409" s="1" t="str">
        <f t="shared" si="74"/>
        <v/>
      </c>
      <c r="S2409" s="1" t="str">
        <f t="shared" si="75"/>
        <v/>
      </c>
      <c r="T2409" s="1">
        <f>IF($E2409="",0,SUMPRODUCT((AY_SONU!$O$7:$O$42="Evet")*(AY_SONU!$B$7:$B$42=DATE(YEAR($E2409),MONTH($E2409),1))))</f>
        <v>0</v>
      </c>
      <c r="U2409" s="1" t="str">
        <f>IF(OR($G2409="",$H2409="Mahsup"),"",$G2409&amp;"|"&amp;COUNTIFS($G$7:$G2409,$G2409,$H$7:$H2409,"&lt;&gt;Mahsup"))</f>
        <v/>
      </c>
    </row>
    <row r="2410" spans="1:21" ht="18" customHeight="1" x14ac:dyDescent="0.3">
      <c r="A2410" s="2"/>
      <c r="B2410" s="65" t="str">
        <f>IF($D2410="","","T"&amp;TEXT(ROW()-6,"00000"))</f>
        <v/>
      </c>
      <c r="C2410" s="65" t="str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61"/>
      <c r="E2410" s="66"/>
      <c r="F2410" s="67"/>
      <c r="G2410" s="60"/>
      <c r="H2410" s="60"/>
      <c r="I2410" s="61"/>
      <c r="J2410" s="61"/>
      <c r="K2410" s="61"/>
      <c r="L2410" s="73" t="str">
        <f>IF($E2410="","",DATE(YEAR($E2410),MONTH($E2410),1))</f>
        <v/>
      </c>
      <c r="M2410" s="65" t="str">
        <f ca="1">IF($D2410="","",IF($C2410="TANIMSIZ MÜŞTERİ","HATA",IF(OR($E2410="",$F2410&lt;=0,$G2410=""),"EKSİK",IF($E2410&gt;TODAY(),"İLERİ TARİH",IF(COUNTIF($S$7:$S$2503,$S2410)&gt;1,"MÜKERRER?",IF($T2410&gt;0,"KAPALI DÖNEM","UYGUN"))))))</f>
        <v/>
      </c>
      <c r="N2410" s="74" t="str">
        <f>IF($C2410="","",IF($C2410="TANIMSIZ MÜŞTERİ","—",INDEX(MUSTERILER!$C$7:$C$156,MATCH($C2410,MUSTERILER!$B$7:$B$156,0))))</f>
        <v/>
      </c>
      <c r="O2410" s="2"/>
      <c r="P2410" s="2"/>
      <c r="Q2410" s="1" t="str">
        <f>IF($D2410="","",$C2410&amp;"|"&amp;COUNTIFS($C$7:$C2410,$C2410))</f>
        <v/>
      </c>
      <c r="R2410" s="1" t="str">
        <f t="shared" si="74"/>
        <v/>
      </c>
      <c r="S2410" s="1" t="str">
        <f t="shared" si="75"/>
        <v/>
      </c>
      <c r="T2410" s="1">
        <f>IF($E2410="",0,SUMPRODUCT((AY_SONU!$O$7:$O$42="Evet")*(AY_SONU!$B$7:$B$42=DATE(YEAR($E2410),MONTH($E2410),1))))</f>
        <v>0</v>
      </c>
      <c r="U2410" s="1" t="str">
        <f>IF(OR($G2410="",$H2410="Mahsup"),"",$G2410&amp;"|"&amp;COUNTIFS($G$7:$G2410,$G2410,$H$7:$H2410,"&lt;&gt;Mahsup"))</f>
        <v/>
      </c>
    </row>
    <row r="2411" spans="1:21" ht="18" customHeight="1" x14ac:dyDescent="0.3">
      <c r="A2411" s="2"/>
      <c r="B2411" s="65" t="str">
        <f>IF($D2411="","","T"&amp;TEXT(ROW()-6,"00000"))</f>
        <v/>
      </c>
      <c r="C2411" s="65" t="str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61"/>
      <c r="E2411" s="66"/>
      <c r="F2411" s="67"/>
      <c r="G2411" s="60"/>
      <c r="H2411" s="60"/>
      <c r="I2411" s="61"/>
      <c r="J2411" s="61"/>
      <c r="K2411" s="61"/>
      <c r="L2411" s="73" t="str">
        <f>IF($E2411="","",DATE(YEAR($E2411),MONTH($E2411),1))</f>
        <v/>
      </c>
      <c r="M2411" s="65" t="str">
        <f ca="1">IF($D2411="","",IF($C2411="TANIMSIZ MÜŞTERİ","HATA",IF(OR($E2411="",$F2411&lt;=0,$G2411=""),"EKSİK",IF($E2411&gt;TODAY(),"İLERİ TARİH",IF(COUNTIF($S$7:$S$2503,$S2411)&gt;1,"MÜKERRER?",IF($T2411&gt;0,"KAPALI DÖNEM","UYGUN"))))))</f>
        <v/>
      </c>
      <c r="N2411" s="74" t="str">
        <f>IF($C2411="","",IF($C2411="TANIMSIZ MÜŞTERİ","—",INDEX(MUSTERILER!$C$7:$C$156,MATCH($C2411,MUSTERILER!$B$7:$B$156,0))))</f>
        <v/>
      </c>
      <c r="O2411" s="2"/>
      <c r="P2411" s="2"/>
      <c r="Q2411" s="1" t="str">
        <f>IF($D2411="","",$C2411&amp;"|"&amp;COUNTIFS($C$7:$C2411,$C2411))</f>
        <v/>
      </c>
      <c r="R2411" s="1" t="str">
        <f t="shared" si="74"/>
        <v/>
      </c>
      <c r="S2411" s="1" t="str">
        <f t="shared" si="75"/>
        <v/>
      </c>
      <c r="T2411" s="1">
        <f>IF($E2411="",0,SUMPRODUCT((AY_SONU!$O$7:$O$42="Evet")*(AY_SONU!$B$7:$B$42=DATE(YEAR($E2411),MONTH($E2411),1))))</f>
        <v>0</v>
      </c>
      <c r="U2411" s="1" t="str">
        <f>IF(OR($G2411="",$H2411="Mahsup"),"",$G2411&amp;"|"&amp;COUNTIFS($G$7:$G2411,$G2411,$H$7:$H2411,"&lt;&gt;Mahsup"))</f>
        <v/>
      </c>
    </row>
    <row r="2412" spans="1:21" ht="18" customHeight="1" x14ac:dyDescent="0.3">
      <c r="A2412" s="2"/>
      <c r="B2412" s="65" t="str">
        <f>IF($D2412="","","T"&amp;TEXT(ROW()-6,"00000"))</f>
        <v/>
      </c>
      <c r="C2412" s="65" t="str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61"/>
      <c r="E2412" s="66"/>
      <c r="F2412" s="67"/>
      <c r="G2412" s="60"/>
      <c r="H2412" s="60"/>
      <c r="I2412" s="61"/>
      <c r="J2412" s="61"/>
      <c r="K2412" s="61"/>
      <c r="L2412" s="73" t="str">
        <f>IF($E2412="","",DATE(YEAR($E2412),MONTH($E2412),1))</f>
        <v/>
      </c>
      <c r="M2412" s="65" t="str">
        <f ca="1">IF($D2412="","",IF($C2412="TANIMSIZ MÜŞTERİ","HATA",IF(OR($E2412="",$F2412&lt;=0,$G2412=""),"EKSİK",IF($E2412&gt;TODAY(),"İLERİ TARİH",IF(COUNTIF($S$7:$S$2503,$S2412)&gt;1,"MÜKERRER?",IF($T2412&gt;0,"KAPALI DÖNEM","UYGUN"))))))</f>
        <v/>
      </c>
      <c r="N2412" s="74" t="str">
        <f>IF($C2412="","",IF($C2412="TANIMSIZ MÜŞTERİ","—",INDEX(MUSTERILER!$C$7:$C$156,MATCH($C2412,MUSTERILER!$B$7:$B$156,0))))</f>
        <v/>
      </c>
      <c r="O2412" s="2"/>
      <c r="P2412" s="2"/>
      <c r="Q2412" s="1" t="str">
        <f>IF($D2412="","",$C2412&amp;"|"&amp;COUNTIFS($C$7:$C2412,$C2412))</f>
        <v/>
      </c>
      <c r="R2412" s="1" t="str">
        <f t="shared" si="74"/>
        <v/>
      </c>
      <c r="S2412" s="1" t="str">
        <f t="shared" si="75"/>
        <v/>
      </c>
      <c r="T2412" s="1">
        <f>IF($E2412="",0,SUMPRODUCT((AY_SONU!$O$7:$O$42="Evet")*(AY_SONU!$B$7:$B$42=DATE(YEAR($E2412),MONTH($E2412),1))))</f>
        <v>0</v>
      </c>
      <c r="U2412" s="1" t="str">
        <f>IF(OR($G2412="",$H2412="Mahsup"),"",$G2412&amp;"|"&amp;COUNTIFS($G$7:$G2412,$G2412,$H$7:$H2412,"&lt;&gt;Mahsup"))</f>
        <v/>
      </c>
    </row>
    <row r="2413" spans="1:21" ht="18" customHeight="1" x14ac:dyDescent="0.3">
      <c r="A2413" s="2"/>
      <c r="B2413" s="65" t="str">
        <f>IF($D2413="","","T"&amp;TEXT(ROW()-6,"00000"))</f>
        <v/>
      </c>
      <c r="C2413" s="65" t="str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61"/>
      <c r="E2413" s="66"/>
      <c r="F2413" s="67"/>
      <c r="G2413" s="60"/>
      <c r="H2413" s="60"/>
      <c r="I2413" s="61"/>
      <c r="J2413" s="61"/>
      <c r="K2413" s="61"/>
      <c r="L2413" s="73" t="str">
        <f>IF($E2413="","",DATE(YEAR($E2413),MONTH($E2413),1))</f>
        <v/>
      </c>
      <c r="M2413" s="65" t="str">
        <f ca="1">IF($D2413="","",IF($C2413="TANIMSIZ MÜŞTERİ","HATA",IF(OR($E2413="",$F2413&lt;=0,$G2413=""),"EKSİK",IF($E2413&gt;TODAY(),"İLERİ TARİH",IF(COUNTIF($S$7:$S$2503,$S2413)&gt;1,"MÜKERRER?",IF($T2413&gt;0,"KAPALI DÖNEM","UYGUN"))))))</f>
        <v/>
      </c>
      <c r="N2413" s="74" t="str">
        <f>IF($C2413="","",IF($C2413="TANIMSIZ MÜŞTERİ","—",INDEX(MUSTERILER!$C$7:$C$156,MATCH($C2413,MUSTERILER!$B$7:$B$156,0))))</f>
        <v/>
      </c>
      <c r="O2413" s="2"/>
      <c r="P2413" s="2"/>
      <c r="Q2413" s="1" t="str">
        <f>IF($D2413="","",$C2413&amp;"|"&amp;COUNTIFS($C$7:$C2413,$C2413))</f>
        <v/>
      </c>
      <c r="R2413" s="1" t="str">
        <f t="shared" si="74"/>
        <v/>
      </c>
      <c r="S2413" s="1" t="str">
        <f t="shared" si="75"/>
        <v/>
      </c>
      <c r="T2413" s="1">
        <f>IF($E2413="",0,SUMPRODUCT((AY_SONU!$O$7:$O$42="Evet")*(AY_SONU!$B$7:$B$42=DATE(YEAR($E2413),MONTH($E2413),1))))</f>
        <v>0</v>
      </c>
      <c r="U2413" s="1" t="str">
        <f>IF(OR($G2413="",$H2413="Mahsup"),"",$G2413&amp;"|"&amp;COUNTIFS($G$7:$G2413,$G2413,$H$7:$H2413,"&lt;&gt;Mahsup"))</f>
        <v/>
      </c>
    </row>
    <row r="2414" spans="1:21" ht="18" customHeight="1" x14ac:dyDescent="0.3">
      <c r="A2414" s="2"/>
      <c r="B2414" s="65" t="str">
        <f>IF($D2414="","","T"&amp;TEXT(ROW()-6,"00000"))</f>
        <v/>
      </c>
      <c r="C2414" s="65" t="str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61"/>
      <c r="E2414" s="66"/>
      <c r="F2414" s="67"/>
      <c r="G2414" s="60"/>
      <c r="H2414" s="60"/>
      <c r="I2414" s="61"/>
      <c r="J2414" s="61"/>
      <c r="K2414" s="61"/>
      <c r="L2414" s="73" t="str">
        <f>IF($E2414="","",DATE(YEAR($E2414),MONTH($E2414),1))</f>
        <v/>
      </c>
      <c r="M2414" s="65" t="str">
        <f ca="1">IF($D2414="","",IF($C2414="TANIMSIZ MÜŞTERİ","HATA",IF(OR($E2414="",$F2414&lt;=0,$G2414=""),"EKSİK",IF($E2414&gt;TODAY(),"İLERİ TARİH",IF(COUNTIF($S$7:$S$2503,$S2414)&gt;1,"MÜKERRER?",IF($T2414&gt;0,"KAPALI DÖNEM","UYGUN"))))))</f>
        <v/>
      </c>
      <c r="N2414" s="74" t="str">
        <f>IF($C2414="","",IF($C2414="TANIMSIZ MÜŞTERİ","—",INDEX(MUSTERILER!$C$7:$C$156,MATCH($C2414,MUSTERILER!$B$7:$B$156,0))))</f>
        <v/>
      </c>
      <c r="O2414" s="2"/>
      <c r="P2414" s="2"/>
      <c r="Q2414" s="1" t="str">
        <f>IF($D2414="","",$C2414&amp;"|"&amp;COUNTIFS($C$7:$C2414,$C2414))</f>
        <v/>
      </c>
      <c r="R2414" s="1" t="str">
        <f t="shared" si="74"/>
        <v/>
      </c>
      <c r="S2414" s="1" t="str">
        <f t="shared" si="75"/>
        <v/>
      </c>
      <c r="T2414" s="1">
        <f>IF($E2414="",0,SUMPRODUCT((AY_SONU!$O$7:$O$42="Evet")*(AY_SONU!$B$7:$B$42=DATE(YEAR($E2414),MONTH($E2414),1))))</f>
        <v>0</v>
      </c>
      <c r="U2414" s="1" t="str">
        <f>IF(OR($G2414="",$H2414="Mahsup"),"",$G2414&amp;"|"&amp;COUNTIFS($G$7:$G2414,$G2414,$H$7:$H2414,"&lt;&gt;Mahsup"))</f>
        <v/>
      </c>
    </row>
    <row r="2415" spans="1:21" ht="18" customHeight="1" x14ac:dyDescent="0.3">
      <c r="A2415" s="2"/>
      <c r="B2415" s="65" t="str">
        <f>IF($D2415="","","T"&amp;TEXT(ROW()-6,"00000"))</f>
        <v/>
      </c>
      <c r="C2415" s="65" t="str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61"/>
      <c r="E2415" s="66"/>
      <c r="F2415" s="67"/>
      <c r="G2415" s="60"/>
      <c r="H2415" s="60"/>
      <c r="I2415" s="61"/>
      <c r="J2415" s="61"/>
      <c r="K2415" s="61"/>
      <c r="L2415" s="73" t="str">
        <f>IF($E2415="","",DATE(YEAR($E2415),MONTH($E2415),1))</f>
        <v/>
      </c>
      <c r="M2415" s="65" t="str">
        <f ca="1">IF($D2415="","",IF($C2415="TANIMSIZ MÜŞTERİ","HATA",IF(OR($E2415="",$F2415&lt;=0,$G2415=""),"EKSİK",IF($E2415&gt;TODAY(),"İLERİ TARİH",IF(COUNTIF($S$7:$S$2503,$S2415)&gt;1,"MÜKERRER?",IF($T2415&gt;0,"KAPALI DÖNEM","UYGUN"))))))</f>
        <v/>
      </c>
      <c r="N2415" s="74" t="str">
        <f>IF($C2415="","",IF($C2415="TANIMSIZ MÜŞTERİ","—",INDEX(MUSTERILER!$C$7:$C$156,MATCH($C2415,MUSTERILER!$B$7:$B$156,0))))</f>
        <v/>
      </c>
      <c r="O2415" s="2"/>
      <c r="P2415" s="2"/>
      <c r="Q2415" s="1" t="str">
        <f>IF($D2415="","",$C2415&amp;"|"&amp;COUNTIFS($C$7:$C2415,$C2415))</f>
        <v/>
      </c>
      <c r="R2415" s="1" t="str">
        <f t="shared" si="74"/>
        <v/>
      </c>
      <c r="S2415" s="1" t="str">
        <f t="shared" si="75"/>
        <v/>
      </c>
      <c r="T2415" s="1">
        <f>IF($E2415="",0,SUMPRODUCT((AY_SONU!$O$7:$O$42="Evet")*(AY_SONU!$B$7:$B$42=DATE(YEAR($E2415),MONTH($E2415),1))))</f>
        <v>0</v>
      </c>
      <c r="U2415" s="1" t="str">
        <f>IF(OR($G2415="",$H2415="Mahsup"),"",$G2415&amp;"|"&amp;COUNTIFS($G$7:$G2415,$G2415,$H$7:$H2415,"&lt;&gt;Mahsup"))</f>
        <v/>
      </c>
    </row>
    <row r="2416" spans="1:21" ht="18" customHeight="1" x14ac:dyDescent="0.3">
      <c r="A2416" s="2"/>
      <c r="B2416" s="65" t="str">
        <f>IF($D2416="","","T"&amp;TEXT(ROW()-6,"00000"))</f>
        <v/>
      </c>
      <c r="C2416" s="65" t="str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61"/>
      <c r="E2416" s="66"/>
      <c r="F2416" s="67"/>
      <c r="G2416" s="60"/>
      <c r="H2416" s="60"/>
      <c r="I2416" s="61"/>
      <c r="J2416" s="61"/>
      <c r="K2416" s="61"/>
      <c r="L2416" s="73" t="str">
        <f>IF($E2416="","",DATE(YEAR($E2416),MONTH($E2416),1))</f>
        <v/>
      </c>
      <c r="M2416" s="65" t="str">
        <f ca="1">IF($D2416="","",IF($C2416="TANIMSIZ MÜŞTERİ","HATA",IF(OR($E2416="",$F2416&lt;=0,$G2416=""),"EKSİK",IF($E2416&gt;TODAY(),"İLERİ TARİH",IF(COUNTIF($S$7:$S$2503,$S2416)&gt;1,"MÜKERRER?",IF($T2416&gt;0,"KAPALI DÖNEM","UYGUN"))))))</f>
        <v/>
      </c>
      <c r="N2416" s="74" t="str">
        <f>IF($C2416="","",IF($C2416="TANIMSIZ MÜŞTERİ","—",INDEX(MUSTERILER!$C$7:$C$156,MATCH($C2416,MUSTERILER!$B$7:$B$156,0))))</f>
        <v/>
      </c>
      <c r="O2416" s="2"/>
      <c r="P2416" s="2"/>
      <c r="Q2416" s="1" t="str">
        <f>IF($D2416="","",$C2416&amp;"|"&amp;COUNTIFS($C$7:$C2416,$C2416))</f>
        <v/>
      </c>
      <c r="R2416" s="1" t="str">
        <f t="shared" si="74"/>
        <v/>
      </c>
      <c r="S2416" s="1" t="str">
        <f t="shared" si="75"/>
        <v/>
      </c>
      <c r="T2416" s="1">
        <f>IF($E2416="",0,SUMPRODUCT((AY_SONU!$O$7:$O$42="Evet")*(AY_SONU!$B$7:$B$42=DATE(YEAR($E2416),MONTH($E2416),1))))</f>
        <v>0</v>
      </c>
      <c r="U2416" s="1" t="str">
        <f>IF(OR($G2416="",$H2416="Mahsup"),"",$G2416&amp;"|"&amp;COUNTIFS($G$7:$G2416,$G2416,$H$7:$H2416,"&lt;&gt;Mahsup"))</f>
        <v/>
      </c>
    </row>
    <row r="2417" spans="1:21" ht="18" customHeight="1" x14ac:dyDescent="0.3">
      <c r="A2417" s="2"/>
      <c r="B2417" s="65" t="str">
        <f>IF($D2417="","","T"&amp;TEXT(ROW()-6,"00000"))</f>
        <v/>
      </c>
      <c r="C2417" s="65" t="str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61"/>
      <c r="E2417" s="66"/>
      <c r="F2417" s="67"/>
      <c r="G2417" s="60"/>
      <c r="H2417" s="60"/>
      <c r="I2417" s="61"/>
      <c r="J2417" s="61"/>
      <c r="K2417" s="61"/>
      <c r="L2417" s="73" t="str">
        <f>IF($E2417="","",DATE(YEAR($E2417),MONTH($E2417),1))</f>
        <v/>
      </c>
      <c r="M2417" s="65" t="str">
        <f ca="1">IF($D2417="","",IF($C2417="TANIMSIZ MÜŞTERİ","HATA",IF(OR($E2417="",$F2417&lt;=0,$G2417=""),"EKSİK",IF($E2417&gt;TODAY(),"İLERİ TARİH",IF(COUNTIF($S$7:$S$2503,$S2417)&gt;1,"MÜKERRER?",IF($T2417&gt;0,"KAPALI DÖNEM","UYGUN"))))))</f>
        <v/>
      </c>
      <c r="N2417" s="74" t="str">
        <f>IF($C2417="","",IF($C2417="TANIMSIZ MÜŞTERİ","—",INDEX(MUSTERILER!$C$7:$C$156,MATCH($C2417,MUSTERILER!$B$7:$B$156,0))))</f>
        <v/>
      </c>
      <c r="O2417" s="2"/>
      <c r="P2417" s="2"/>
      <c r="Q2417" s="1" t="str">
        <f>IF($D2417="","",$C2417&amp;"|"&amp;COUNTIFS($C$7:$C2417,$C2417))</f>
        <v/>
      </c>
      <c r="R2417" s="1" t="str">
        <f t="shared" si="74"/>
        <v/>
      </c>
      <c r="S2417" s="1" t="str">
        <f t="shared" si="75"/>
        <v/>
      </c>
      <c r="T2417" s="1">
        <f>IF($E2417="",0,SUMPRODUCT((AY_SONU!$O$7:$O$42="Evet")*(AY_SONU!$B$7:$B$42=DATE(YEAR($E2417),MONTH($E2417),1))))</f>
        <v>0</v>
      </c>
      <c r="U2417" s="1" t="str">
        <f>IF(OR($G2417="",$H2417="Mahsup"),"",$G2417&amp;"|"&amp;COUNTIFS($G$7:$G2417,$G2417,$H$7:$H2417,"&lt;&gt;Mahsup"))</f>
        <v/>
      </c>
    </row>
    <row r="2418" spans="1:21" ht="18" customHeight="1" x14ac:dyDescent="0.3">
      <c r="A2418" s="2"/>
      <c r="B2418" s="65" t="str">
        <f>IF($D2418="","","T"&amp;TEXT(ROW()-6,"00000"))</f>
        <v/>
      </c>
      <c r="C2418" s="65" t="str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61"/>
      <c r="E2418" s="66"/>
      <c r="F2418" s="67"/>
      <c r="G2418" s="60"/>
      <c r="H2418" s="60"/>
      <c r="I2418" s="61"/>
      <c r="J2418" s="61"/>
      <c r="K2418" s="61"/>
      <c r="L2418" s="73" t="str">
        <f>IF($E2418="","",DATE(YEAR($E2418),MONTH($E2418),1))</f>
        <v/>
      </c>
      <c r="M2418" s="65" t="str">
        <f ca="1">IF($D2418="","",IF($C2418="TANIMSIZ MÜŞTERİ","HATA",IF(OR($E2418="",$F2418&lt;=0,$G2418=""),"EKSİK",IF($E2418&gt;TODAY(),"İLERİ TARİH",IF(COUNTIF($S$7:$S$2503,$S2418)&gt;1,"MÜKERRER?",IF($T2418&gt;0,"KAPALI DÖNEM","UYGUN"))))))</f>
        <v/>
      </c>
      <c r="N2418" s="74" t="str">
        <f>IF($C2418="","",IF($C2418="TANIMSIZ MÜŞTERİ","—",INDEX(MUSTERILER!$C$7:$C$156,MATCH($C2418,MUSTERILER!$B$7:$B$156,0))))</f>
        <v/>
      </c>
      <c r="O2418" s="2"/>
      <c r="P2418" s="2"/>
      <c r="Q2418" s="1" t="str">
        <f>IF($D2418="","",$C2418&amp;"|"&amp;COUNTIFS($C$7:$C2418,$C2418))</f>
        <v/>
      </c>
      <c r="R2418" s="1" t="str">
        <f t="shared" si="74"/>
        <v/>
      </c>
      <c r="S2418" s="1" t="str">
        <f t="shared" si="75"/>
        <v/>
      </c>
      <c r="T2418" s="1">
        <f>IF($E2418="",0,SUMPRODUCT((AY_SONU!$O$7:$O$42="Evet")*(AY_SONU!$B$7:$B$42=DATE(YEAR($E2418),MONTH($E2418),1))))</f>
        <v>0</v>
      </c>
      <c r="U2418" s="1" t="str">
        <f>IF(OR($G2418="",$H2418="Mahsup"),"",$G2418&amp;"|"&amp;COUNTIFS($G$7:$G2418,$G2418,$H$7:$H2418,"&lt;&gt;Mahsup"))</f>
        <v/>
      </c>
    </row>
    <row r="2419" spans="1:21" ht="18" customHeight="1" x14ac:dyDescent="0.3">
      <c r="A2419" s="2"/>
      <c r="B2419" s="65" t="str">
        <f>IF($D2419="","","T"&amp;TEXT(ROW()-6,"00000"))</f>
        <v/>
      </c>
      <c r="C2419" s="65" t="str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61"/>
      <c r="E2419" s="66"/>
      <c r="F2419" s="67"/>
      <c r="G2419" s="60"/>
      <c r="H2419" s="60"/>
      <c r="I2419" s="61"/>
      <c r="J2419" s="61"/>
      <c r="K2419" s="61"/>
      <c r="L2419" s="73" t="str">
        <f>IF($E2419="","",DATE(YEAR($E2419),MONTH($E2419),1))</f>
        <v/>
      </c>
      <c r="M2419" s="65" t="str">
        <f ca="1">IF($D2419="","",IF($C2419="TANIMSIZ MÜŞTERİ","HATA",IF(OR($E2419="",$F2419&lt;=0,$G2419=""),"EKSİK",IF($E2419&gt;TODAY(),"İLERİ TARİH",IF(COUNTIF($S$7:$S$2503,$S2419)&gt;1,"MÜKERRER?",IF($T2419&gt;0,"KAPALI DÖNEM","UYGUN"))))))</f>
        <v/>
      </c>
      <c r="N2419" s="74" t="str">
        <f>IF($C2419="","",IF($C2419="TANIMSIZ MÜŞTERİ","—",INDEX(MUSTERILER!$C$7:$C$156,MATCH($C2419,MUSTERILER!$B$7:$B$156,0))))</f>
        <v/>
      </c>
      <c r="O2419" s="2"/>
      <c r="P2419" s="2"/>
      <c r="Q2419" s="1" t="str">
        <f>IF($D2419="","",$C2419&amp;"|"&amp;COUNTIFS($C$7:$C2419,$C2419))</f>
        <v/>
      </c>
      <c r="R2419" s="1" t="str">
        <f t="shared" si="74"/>
        <v/>
      </c>
      <c r="S2419" s="1" t="str">
        <f t="shared" si="75"/>
        <v/>
      </c>
      <c r="T2419" s="1">
        <f>IF($E2419="",0,SUMPRODUCT((AY_SONU!$O$7:$O$42="Evet")*(AY_SONU!$B$7:$B$42=DATE(YEAR($E2419),MONTH($E2419),1))))</f>
        <v>0</v>
      </c>
      <c r="U2419" s="1" t="str">
        <f>IF(OR($G2419="",$H2419="Mahsup"),"",$G2419&amp;"|"&amp;COUNTIFS($G$7:$G2419,$G2419,$H$7:$H2419,"&lt;&gt;Mahsup"))</f>
        <v/>
      </c>
    </row>
    <row r="2420" spans="1:21" ht="18" customHeight="1" x14ac:dyDescent="0.3">
      <c r="A2420" s="2"/>
      <c r="B2420" s="65" t="str">
        <f>IF($D2420="","","T"&amp;TEXT(ROW()-6,"00000"))</f>
        <v/>
      </c>
      <c r="C2420" s="65" t="str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61"/>
      <c r="E2420" s="66"/>
      <c r="F2420" s="67"/>
      <c r="G2420" s="60"/>
      <c r="H2420" s="60"/>
      <c r="I2420" s="61"/>
      <c r="J2420" s="61"/>
      <c r="K2420" s="61"/>
      <c r="L2420" s="73" t="str">
        <f>IF($E2420="","",DATE(YEAR($E2420),MONTH($E2420),1))</f>
        <v/>
      </c>
      <c r="M2420" s="65" t="str">
        <f ca="1">IF($D2420="","",IF($C2420="TANIMSIZ MÜŞTERİ","HATA",IF(OR($E2420="",$F2420&lt;=0,$G2420=""),"EKSİK",IF($E2420&gt;TODAY(),"İLERİ TARİH",IF(COUNTIF($S$7:$S$2503,$S2420)&gt;1,"MÜKERRER?",IF($T2420&gt;0,"KAPALI DÖNEM","UYGUN"))))))</f>
        <v/>
      </c>
      <c r="N2420" s="74" t="str">
        <f>IF($C2420="","",IF($C2420="TANIMSIZ MÜŞTERİ","—",INDEX(MUSTERILER!$C$7:$C$156,MATCH($C2420,MUSTERILER!$B$7:$B$156,0))))</f>
        <v/>
      </c>
      <c r="O2420" s="2"/>
      <c r="P2420" s="2"/>
      <c r="Q2420" s="1" t="str">
        <f>IF($D2420="","",$C2420&amp;"|"&amp;COUNTIFS($C$7:$C2420,$C2420))</f>
        <v/>
      </c>
      <c r="R2420" s="1" t="str">
        <f t="shared" si="74"/>
        <v/>
      </c>
      <c r="S2420" s="1" t="str">
        <f t="shared" si="75"/>
        <v/>
      </c>
      <c r="T2420" s="1">
        <f>IF($E2420="",0,SUMPRODUCT((AY_SONU!$O$7:$O$42="Evet")*(AY_SONU!$B$7:$B$42=DATE(YEAR($E2420),MONTH($E2420),1))))</f>
        <v>0</v>
      </c>
      <c r="U2420" s="1" t="str">
        <f>IF(OR($G2420="",$H2420="Mahsup"),"",$G2420&amp;"|"&amp;COUNTIFS($G$7:$G2420,$G2420,$H$7:$H2420,"&lt;&gt;Mahsup"))</f>
        <v/>
      </c>
    </row>
    <row r="2421" spans="1:21" ht="18" customHeight="1" x14ac:dyDescent="0.3">
      <c r="A2421" s="2"/>
      <c r="B2421" s="65" t="str">
        <f>IF($D2421="","","T"&amp;TEXT(ROW()-6,"00000"))</f>
        <v/>
      </c>
      <c r="C2421" s="65" t="str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61"/>
      <c r="E2421" s="66"/>
      <c r="F2421" s="67"/>
      <c r="G2421" s="60"/>
      <c r="H2421" s="60"/>
      <c r="I2421" s="61"/>
      <c r="J2421" s="61"/>
      <c r="K2421" s="61"/>
      <c r="L2421" s="73" t="str">
        <f>IF($E2421="","",DATE(YEAR($E2421),MONTH($E2421),1))</f>
        <v/>
      </c>
      <c r="M2421" s="65" t="str">
        <f ca="1">IF($D2421="","",IF($C2421="TANIMSIZ MÜŞTERİ","HATA",IF(OR($E2421="",$F2421&lt;=0,$G2421=""),"EKSİK",IF($E2421&gt;TODAY(),"İLERİ TARİH",IF(COUNTIF($S$7:$S$2503,$S2421)&gt;1,"MÜKERRER?",IF($T2421&gt;0,"KAPALI DÖNEM","UYGUN"))))))</f>
        <v/>
      </c>
      <c r="N2421" s="74" t="str">
        <f>IF($C2421="","",IF($C2421="TANIMSIZ MÜŞTERİ","—",INDEX(MUSTERILER!$C$7:$C$156,MATCH($C2421,MUSTERILER!$B$7:$B$156,0))))</f>
        <v/>
      </c>
      <c r="O2421" s="2"/>
      <c r="P2421" s="2"/>
      <c r="Q2421" s="1" t="str">
        <f>IF($D2421="","",$C2421&amp;"|"&amp;COUNTIFS($C$7:$C2421,$C2421))</f>
        <v/>
      </c>
      <c r="R2421" s="1" t="str">
        <f t="shared" si="74"/>
        <v/>
      </c>
      <c r="S2421" s="1" t="str">
        <f t="shared" si="75"/>
        <v/>
      </c>
      <c r="T2421" s="1">
        <f>IF($E2421="",0,SUMPRODUCT((AY_SONU!$O$7:$O$42="Evet")*(AY_SONU!$B$7:$B$42=DATE(YEAR($E2421),MONTH($E2421),1))))</f>
        <v>0</v>
      </c>
      <c r="U2421" s="1" t="str">
        <f>IF(OR($G2421="",$H2421="Mahsup"),"",$G2421&amp;"|"&amp;COUNTIFS($G$7:$G2421,$G2421,$H$7:$H2421,"&lt;&gt;Mahsup"))</f>
        <v/>
      </c>
    </row>
    <row r="2422" spans="1:21" ht="18" customHeight="1" x14ac:dyDescent="0.3">
      <c r="A2422" s="2"/>
      <c r="B2422" s="65" t="str">
        <f>IF($D2422="","","T"&amp;TEXT(ROW()-6,"00000"))</f>
        <v/>
      </c>
      <c r="C2422" s="65" t="str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61"/>
      <c r="E2422" s="66"/>
      <c r="F2422" s="67"/>
      <c r="G2422" s="60"/>
      <c r="H2422" s="60"/>
      <c r="I2422" s="61"/>
      <c r="J2422" s="61"/>
      <c r="K2422" s="61"/>
      <c r="L2422" s="73" t="str">
        <f>IF($E2422="","",DATE(YEAR($E2422),MONTH($E2422),1))</f>
        <v/>
      </c>
      <c r="M2422" s="65" t="str">
        <f ca="1">IF($D2422="","",IF($C2422="TANIMSIZ MÜŞTERİ","HATA",IF(OR($E2422="",$F2422&lt;=0,$G2422=""),"EKSİK",IF($E2422&gt;TODAY(),"İLERİ TARİH",IF(COUNTIF($S$7:$S$2503,$S2422)&gt;1,"MÜKERRER?",IF($T2422&gt;0,"KAPALI DÖNEM","UYGUN"))))))</f>
        <v/>
      </c>
      <c r="N2422" s="74" t="str">
        <f>IF($C2422="","",IF($C2422="TANIMSIZ MÜŞTERİ","—",INDEX(MUSTERILER!$C$7:$C$156,MATCH($C2422,MUSTERILER!$B$7:$B$156,0))))</f>
        <v/>
      </c>
      <c r="O2422" s="2"/>
      <c r="P2422" s="2"/>
      <c r="Q2422" s="1" t="str">
        <f>IF($D2422="","",$C2422&amp;"|"&amp;COUNTIFS($C$7:$C2422,$C2422))</f>
        <v/>
      </c>
      <c r="R2422" s="1" t="str">
        <f t="shared" si="74"/>
        <v/>
      </c>
      <c r="S2422" s="1" t="str">
        <f t="shared" si="75"/>
        <v/>
      </c>
      <c r="T2422" s="1">
        <f>IF($E2422="",0,SUMPRODUCT((AY_SONU!$O$7:$O$42="Evet")*(AY_SONU!$B$7:$B$42=DATE(YEAR($E2422),MONTH($E2422),1))))</f>
        <v>0</v>
      </c>
      <c r="U2422" s="1" t="str">
        <f>IF(OR($G2422="",$H2422="Mahsup"),"",$G2422&amp;"|"&amp;COUNTIFS($G$7:$G2422,$G2422,$H$7:$H2422,"&lt;&gt;Mahsup"))</f>
        <v/>
      </c>
    </row>
    <row r="2423" spans="1:21" ht="18" customHeight="1" x14ac:dyDescent="0.3">
      <c r="A2423" s="2"/>
      <c r="B2423" s="65" t="str">
        <f>IF($D2423="","","T"&amp;TEXT(ROW()-6,"00000"))</f>
        <v/>
      </c>
      <c r="C2423" s="65" t="str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61"/>
      <c r="E2423" s="66"/>
      <c r="F2423" s="67"/>
      <c r="G2423" s="60"/>
      <c r="H2423" s="60"/>
      <c r="I2423" s="61"/>
      <c r="J2423" s="61"/>
      <c r="K2423" s="61"/>
      <c r="L2423" s="73" t="str">
        <f>IF($E2423="","",DATE(YEAR($E2423),MONTH($E2423),1))</f>
        <v/>
      </c>
      <c r="M2423" s="65" t="str">
        <f ca="1">IF($D2423="","",IF($C2423="TANIMSIZ MÜŞTERİ","HATA",IF(OR($E2423="",$F2423&lt;=0,$G2423=""),"EKSİK",IF($E2423&gt;TODAY(),"İLERİ TARİH",IF(COUNTIF($S$7:$S$2503,$S2423)&gt;1,"MÜKERRER?",IF($T2423&gt;0,"KAPALI DÖNEM","UYGUN"))))))</f>
        <v/>
      </c>
      <c r="N2423" s="74" t="str">
        <f>IF($C2423="","",IF($C2423="TANIMSIZ MÜŞTERİ","—",INDEX(MUSTERILER!$C$7:$C$156,MATCH($C2423,MUSTERILER!$B$7:$B$156,0))))</f>
        <v/>
      </c>
      <c r="O2423" s="2"/>
      <c r="P2423" s="2"/>
      <c r="Q2423" s="1" t="str">
        <f>IF($D2423="","",$C2423&amp;"|"&amp;COUNTIFS($C$7:$C2423,$C2423))</f>
        <v/>
      </c>
      <c r="R2423" s="1" t="str">
        <f t="shared" si="74"/>
        <v/>
      </c>
      <c r="S2423" s="1" t="str">
        <f t="shared" si="75"/>
        <v/>
      </c>
      <c r="T2423" s="1">
        <f>IF($E2423="",0,SUMPRODUCT((AY_SONU!$O$7:$O$42="Evet")*(AY_SONU!$B$7:$B$42=DATE(YEAR($E2423),MONTH($E2423),1))))</f>
        <v>0</v>
      </c>
      <c r="U2423" s="1" t="str">
        <f>IF(OR($G2423="",$H2423="Mahsup"),"",$G2423&amp;"|"&amp;COUNTIFS($G$7:$G2423,$G2423,$H$7:$H2423,"&lt;&gt;Mahsup"))</f>
        <v/>
      </c>
    </row>
    <row r="2424" spans="1:21" ht="18" customHeight="1" x14ac:dyDescent="0.3">
      <c r="A2424" s="2"/>
      <c r="B2424" s="65" t="str">
        <f>IF($D2424="","","T"&amp;TEXT(ROW()-6,"00000"))</f>
        <v/>
      </c>
      <c r="C2424" s="65" t="str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61"/>
      <c r="E2424" s="66"/>
      <c r="F2424" s="67"/>
      <c r="G2424" s="60"/>
      <c r="H2424" s="60"/>
      <c r="I2424" s="61"/>
      <c r="J2424" s="61"/>
      <c r="K2424" s="61"/>
      <c r="L2424" s="73" t="str">
        <f>IF($E2424="","",DATE(YEAR($E2424),MONTH($E2424),1))</f>
        <v/>
      </c>
      <c r="M2424" s="65" t="str">
        <f ca="1">IF($D2424="","",IF($C2424="TANIMSIZ MÜŞTERİ","HATA",IF(OR($E2424="",$F2424&lt;=0,$G2424=""),"EKSİK",IF($E2424&gt;TODAY(),"İLERİ TARİH",IF(COUNTIF($S$7:$S$2503,$S2424)&gt;1,"MÜKERRER?",IF($T2424&gt;0,"KAPALI DÖNEM","UYGUN"))))))</f>
        <v/>
      </c>
      <c r="N2424" s="74" t="str">
        <f>IF($C2424="","",IF($C2424="TANIMSIZ MÜŞTERİ","—",INDEX(MUSTERILER!$C$7:$C$156,MATCH($C2424,MUSTERILER!$B$7:$B$156,0))))</f>
        <v/>
      </c>
      <c r="O2424" s="2"/>
      <c r="P2424" s="2"/>
      <c r="Q2424" s="1" t="str">
        <f>IF($D2424="","",$C2424&amp;"|"&amp;COUNTIFS($C$7:$C2424,$C2424))</f>
        <v/>
      </c>
      <c r="R2424" s="1" t="str">
        <f t="shared" si="74"/>
        <v/>
      </c>
      <c r="S2424" s="1" t="str">
        <f t="shared" si="75"/>
        <v/>
      </c>
      <c r="T2424" s="1">
        <f>IF($E2424="",0,SUMPRODUCT((AY_SONU!$O$7:$O$42="Evet")*(AY_SONU!$B$7:$B$42=DATE(YEAR($E2424),MONTH($E2424),1))))</f>
        <v>0</v>
      </c>
      <c r="U2424" s="1" t="str">
        <f>IF(OR($G2424="",$H2424="Mahsup"),"",$G2424&amp;"|"&amp;COUNTIFS($G$7:$G2424,$G2424,$H$7:$H2424,"&lt;&gt;Mahsup"))</f>
        <v/>
      </c>
    </row>
    <row r="2425" spans="1:21" ht="18" customHeight="1" x14ac:dyDescent="0.3">
      <c r="A2425" s="2"/>
      <c r="B2425" s="65" t="str">
        <f>IF($D2425="","","T"&amp;TEXT(ROW()-6,"00000"))</f>
        <v/>
      </c>
      <c r="C2425" s="65" t="str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61"/>
      <c r="E2425" s="66"/>
      <c r="F2425" s="67"/>
      <c r="G2425" s="60"/>
      <c r="H2425" s="60"/>
      <c r="I2425" s="61"/>
      <c r="J2425" s="61"/>
      <c r="K2425" s="61"/>
      <c r="L2425" s="73" t="str">
        <f>IF($E2425="","",DATE(YEAR($E2425),MONTH($E2425),1))</f>
        <v/>
      </c>
      <c r="M2425" s="65" t="str">
        <f ca="1">IF($D2425="","",IF($C2425="TANIMSIZ MÜŞTERİ","HATA",IF(OR($E2425="",$F2425&lt;=0,$G2425=""),"EKSİK",IF($E2425&gt;TODAY(),"İLERİ TARİH",IF(COUNTIF($S$7:$S$2503,$S2425)&gt;1,"MÜKERRER?",IF($T2425&gt;0,"KAPALI DÖNEM","UYGUN"))))))</f>
        <v/>
      </c>
      <c r="N2425" s="74" t="str">
        <f>IF($C2425="","",IF($C2425="TANIMSIZ MÜŞTERİ","—",INDEX(MUSTERILER!$C$7:$C$156,MATCH($C2425,MUSTERILER!$B$7:$B$156,0))))</f>
        <v/>
      </c>
      <c r="O2425" s="2"/>
      <c r="P2425" s="2"/>
      <c r="Q2425" s="1" t="str">
        <f>IF($D2425="","",$C2425&amp;"|"&amp;COUNTIFS($C$7:$C2425,$C2425))</f>
        <v/>
      </c>
      <c r="R2425" s="1" t="str">
        <f t="shared" si="74"/>
        <v/>
      </c>
      <c r="S2425" s="1" t="str">
        <f t="shared" si="75"/>
        <v/>
      </c>
      <c r="T2425" s="1">
        <f>IF($E2425="",0,SUMPRODUCT((AY_SONU!$O$7:$O$42="Evet")*(AY_SONU!$B$7:$B$42=DATE(YEAR($E2425),MONTH($E2425),1))))</f>
        <v>0</v>
      </c>
      <c r="U2425" s="1" t="str">
        <f>IF(OR($G2425="",$H2425="Mahsup"),"",$G2425&amp;"|"&amp;COUNTIFS($G$7:$G2425,$G2425,$H$7:$H2425,"&lt;&gt;Mahsup"))</f>
        <v/>
      </c>
    </row>
    <row r="2426" spans="1:21" ht="18" customHeight="1" x14ac:dyDescent="0.3">
      <c r="A2426" s="2"/>
      <c r="B2426" s="65" t="str">
        <f>IF($D2426="","","T"&amp;TEXT(ROW()-6,"00000"))</f>
        <v/>
      </c>
      <c r="C2426" s="65" t="str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61"/>
      <c r="E2426" s="66"/>
      <c r="F2426" s="67"/>
      <c r="G2426" s="60"/>
      <c r="H2426" s="60"/>
      <c r="I2426" s="61"/>
      <c r="J2426" s="61"/>
      <c r="K2426" s="61"/>
      <c r="L2426" s="73" t="str">
        <f>IF($E2426="","",DATE(YEAR($E2426),MONTH($E2426),1))</f>
        <v/>
      </c>
      <c r="M2426" s="65" t="str">
        <f ca="1">IF($D2426="","",IF($C2426="TANIMSIZ MÜŞTERİ","HATA",IF(OR($E2426="",$F2426&lt;=0,$G2426=""),"EKSİK",IF($E2426&gt;TODAY(),"İLERİ TARİH",IF(COUNTIF($S$7:$S$2503,$S2426)&gt;1,"MÜKERRER?",IF($T2426&gt;0,"KAPALI DÖNEM","UYGUN"))))))</f>
        <v/>
      </c>
      <c r="N2426" s="74" t="str">
        <f>IF($C2426="","",IF($C2426="TANIMSIZ MÜŞTERİ","—",INDEX(MUSTERILER!$C$7:$C$156,MATCH($C2426,MUSTERILER!$B$7:$B$156,0))))</f>
        <v/>
      </c>
      <c r="O2426" s="2"/>
      <c r="P2426" s="2"/>
      <c r="Q2426" s="1" t="str">
        <f>IF($D2426="","",$C2426&amp;"|"&amp;COUNTIFS($C$7:$C2426,$C2426))</f>
        <v/>
      </c>
      <c r="R2426" s="1" t="str">
        <f t="shared" si="74"/>
        <v/>
      </c>
      <c r="S2426" s="1" t="str">
        <f t="shared" si="75"/>
        <v/>
      </c>
      <c r="T2426" s="1">
        <f>IF($E2426="",0,SUMPRODUCT((AY_SONU!$O$7:$O$42="Evet")*(AY_SONU!$B$7:$B$42=DATE(YEAR($E2426),MONTH($E2426),1))))</f>
        <v>0</v>
      </c>
      <c r="U2426" s="1" t="str">
        <f>IF(OR($G2426="",$H2426="Mahsup"),"",$G2426&amp;"|"&amp;COUNTIFS($G$7:$G2426,$G2426,$H$7:$H2426,"&lt;&gt;Mahsup"))</f>
        <v/>
      </c>
    </row>
    <row r="2427" spans="1:21" ht="18" customHeight="1" x14ac:dyDescent="0.3">
      <c r="A2427" s="2"/>
      <c r="B2427" s="65" t="str">
        <f>IF($D2427="","","T"&amp;TEXT(ROW()-6,"00000"))</f>
        <v/>
      </c>
      <c r="C2427" s="65" t="str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61"/>
      <c r="E2427" s="66"/>
      <c r="F2427" s="67"/>
      <c r="G2427" s="60"/>
      <c r="H2427" s="60"/>
      <c r="I2427" s="61"/>
      <c r="J2427" s="61"/>
      <c r="K2427" s="61"/>
      <c r="L2427" s="73" t="str">
        <f>IF($E2427="","",DATE(YEAR($E2427),MONTH($E2427),1))</f>
        <v/>
      </c>
      <c r="M2427" s="65" t="str">
        <f ca="1">IF($D2427="","",IF($C2427="TANIMSIZ MÜŞTERİ","HATA",IF(OR($E2427="",$F2427&lt;=0,$G2427=""),"EKSİK",IF($E2427&gt;TODAY(),"İLERİ TARİH",IF(COUNTIF($S$7:$S$2503,$S2427)&gt;1,"MÜKERRER?",IF($T2427&gt;0,"KAPALI DÖNEM","UYGUN"))))))</f>
        <v/>
      </c>
      <c r="N2427" s="74" t="str">
        <f>IF($C2427="","",IF($C2427="TANIMSIZ MÜŞTERİ","—",INDEX(MUSTERILER!$C$7:$C$156,MATCH($C2427,MUSTERILER!$B$7:$B$156,0))))</f>
        <v/>
      </c>
      <c r="O2427" s="2"/>
      <c r="P2427" s="2"/>
      <c r="Q2427" s="1" t="str">
        <f>IF($D2427="","",$C2427&amp;"|"&amp;COUNTIFS($C$7:$C2427,$C2427))</f>
        <v/>
      </c>
      <c r="R2427" s="1" t="str">
        <f t="shared" si="74"/>
        <v/>
      </c>
      <c r="S2427" s="1" t="str">
        <f t="shared" si="75"/>
        <v/>
      </c>
      <c r="T2427" s="1">
        <f>IF($E2427="",0,SUMPRODUCT((AY_SONU!$O$7:$O$42="Evet")*(AY_SONU!$B$7:$B$42=DATE(YEAR($E2427),MONTH($E2427),1))))</f>
        <v>0</v>
      </c>
      <c r="U2427" s="1" t="str">
        <f>IF(OR($G2427="",$H2427="Mahsup"),"",$G2427&amp;"|"&amp;COUNTIFS($G$7:$G2427,$G2427,$H$7:$H2427,"&lt;&gt;Mahsup"))</f>
        <v/>
      </c>
    </row>
    <row r="2428" spans="1:21" ht="18" customHeight="1" x14ac:dyDescent="0.3">
      <c r="A2428" s="2"/>
      <c r="B2428" s="65" t="str">
        <f>IF($D2428="","","T"&amp;TEXT(ROW()-6,"00000"))</f>
        <v/>
      </c>
      <c r="C2428" s="65" t="str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61"/>
      <c r="E2428" s="66"/>
      <c r="F2428" s="67"/>
      <c r="G2428" s="60"/>
      <c r="H2428" s="60"/>
      <c r="I2428" s="61"/>
      <c r="J2428" s="61"/>
      <c r="K2428" s="61"/>
      <c r="L2428" s="73" t="str">
        <f>IF($E2428="","",DATE(YEAR($E2428),MONTH($E2428),1))</f>
        <v/>
      </c>
      <c r="M2428" s="65" t="str">
        <f ca="1">IF($D2428="","",IF($C2428="TANIMSIZ MÜŞTERİ","HATA",IF(OR($E2428="",$F2428&lt;=0,$G2428=""),"EKSİK",IF($E2428&gt;TODAY(),"İLERİ TARİH",IF(COUNTIF($S$7:$S$2503,$S2428)&gt;1,"MÜKERRER?",IF($T2428&gt;0,"KAPALI DÖNEM","UYGUN"))))))</f>
        <v/>
      </c>
      <c r="N2428" s="74" t="str">
        <f>IF($C2428="","",IF($C2428="TANIMSIZ MÜŞTERİ","—",INDEX(MUSTERILER!$C$7:$C$156,MATCH($C2428,MUSTERILER!$B$7:$B$156,0))))</f>
        <v/>
      </c>
      <c r="O2428" s="2"/>
      <c r="P2428" s="2"/>
      <c r="Q2428" s="1" t="str">
        <f>IF($D2428="","",$C2428&amp;"|"&amp;COUNTIFS($C$7:$C2428,$C2428))</f>
        <v/>
      </c>
      <c r="R2428" s="1" t="str">
        <f t="shared" si="74"/>
        <v/>
      </c>
      <c r="S2428" s="1" t="str">
        <f t="shared" si="75"/>
        <v/>
      </c>
      <c r="T2428" s="1">
        <f>IF($E2428="",0,SUMPRODUCT((AY_SONU!$O$7:$O$42="Evet")*(AY_SONU!$B$7:$B$42=DATE(YEAR($E2428),MONTH($E2428),1))))</f>
        <v>0</v>
      </c>
      <c r="U2428" s="1" t="str">
        <f>IF(OR($G2428="",$H2428="Mahsup"),"",$G2428&amp;"|"&amp;COUNTIFS($G$7:$G2428,$G2428,$H$7:$H2428,"&lt;&gt;Mahsup"))</f>
        <v/>
      </c>
    </row>
    <row r="2429" spans="1:21" ht="18" customHeight="1" x14ac:dyDescent="0.3">
      <c r="A2429" s="2"/>
      <c r="B2429" s="65" t="str">
        <f>IF($D2429="","","T"&amp;TEXT(ROW()-6,"00000"))</f>
        <v/>
      </c>
      <c r="C2429" s="65" t="str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61"/>
      <c r="E2429" s="66"/>
      <c r="F2429" s="67"/>
      <c r="G2429" s="60"/>
      <c r="H2429" s="60"/>
      <c r="I2429" s="61"/>
      <c r="J2429" s="61"/>
      <c r="K2429" s="61"/>
      <c r="L2429" s="73" t="str">
        <f>IF($E2429="","",DATE(YEAR($E2429),MONTH($E2429),1))</f>
        <v/>
      </c>
      <c r="M2429" s="65" t="str">
        <f ca="1">IF($D2429="","",IF($C2429="TANIMSIZ MÜŞTERİ","HATA",IF(OR($E2429="",$F2429&lt;=0,$G2429=""),"EKSİK",IF($E2429&gt;TODAY(),"İLERİ TARİH",IF(COUNTIF($S$7:$S$2503,$S2429)&gt;1,"MÜKERRER?",IF($T2429&gt;0,"KAPALI DÖNEM","UYGUN"))))))</f>
        <v/>
      </c>
      <c r="N2429" s="74" t="str">
        <f>IF($C2429="","",IF($C2429="TANIMSIZ MÜŞTERİ","—",INDEX(MUSTERILER!$C$7:$C$156,MATCH($C2429,MUSTERILER!$B$7:$B$156,0))))</f>
        <v/>
      </c>
      <c r="O2429" s="2"/>
      <c r="P2429" s="2"/>
      <c r="Q2429" s="1" t="str">
        <f>IF($D2429="","",$C2429&amp;"|"&amp;COUNTIFS($C$7:$C2429,$C2429))</f>
        <v/>
      </c>
      <c r="R2429" s="1" t="str">
        <f t="shared" si="74"/>
        <v/>
      </c>
      <c r="S2429" s="1" t="str">
        <f t="shared" si="75"/>
        <v/>
      </c>
      <c r="T2429" s="1">
        <f>IF($E2429="",0,SUMPRODUCT((AY_SONU!$O$7:$O$42="Evet")*(AY_SONU!$B$7:$B$42=DATE(YEAR($E2429),MONTH($E2429),1))))</f>
        <v>0</v>
      </c>
      <c r="U2429" s="1" t="str">
        <f>IF(OR($G2429="",$H2429="Mahsup"),"",$G2429&amp;"|"&amp;COUNTIFS($G$7:$G2429,$G2429,$H$7:$H2429,"&lt;&gt;Mahsup"))</f>
        <v/>
      </c>
    </row>
    <row r="2430" spans="1:21" ht="18" customHeight="1" x14ac:dyDescent="0.3">
      <c r="A2430" s="2"/>
      <c r="B2430" s="65" t="str">
        <f>IF($D2430="","","T"&amp;TEXT(ROW()-6,"00000"))</f>
        <v/>
      </c>
      <c r="C2430" s="65" t="str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61"/>
      <c r="E2430" s="66"/>
      <c r="F2430" s="67"/>
      <c r="G2430" s="60"/>
      <c r="H2430" s="60"/>
      <c r="I2430" s="61"/>
      <c r="J2430" s="61"/>
      <c r="K2430" s="61"/>
      <c r="L2430" s="73" t="str">
        <f>IF($E2430="","",DATE(YEAR($E2430),MONTH($E2430),1))</f>
        <v/>
      </c>
      <c r="M2430" s="65" t="str">
        <f ca="1">IF($D2430="","",IF($C2430="TANIMSIZ MÜŞTERİ","HATA",IF(OR($E2430="",$F2430&lt;=0,$G2430=""),"EKSİK",IF($E2430&gt;TODAY(),"İLERİ TARİH",IF(COUNTIF($S$7:$S$2503,$S2430)&gt;1,"MÜKERRER?",IF($T2430&gt;0,"KAPALI DÖNEM","UYGUN"))))))</f>
        <v/>
      </c>
      <c r="N2430" s="74" t="str">
        <f>IF($C2430="","",IF($C2430="TANIMSIZ MÜŞTERİ","—",INDEX(MUSTERILER!$C$7:$C$156,MATCH($C2430,MUSTERILER!$B$7:$B$156,0))))</f>
        <v/>
      </c>
      <c r="O2430" s="2"/>
      <c r="P2430" s="2"/>
      <c r="Q2430" s="1" t="str">
        <f>IF($D2430="","",$C2430&amp;"|"&amp;COUNTIFS($C$7:$C2430,$C2430))</f>
        <v/>
      </c>
      <c r="R2430" s="1" t="str">
        <f t="shared" si="74"/>
        <v/>
      </c>
      <c r="S2430" s="1" t="str">
        <f t="shared" si="75"/>
        <v/>
      </c>
      <c r="T2430" s="1">
        <f>IF($E2430="",0,SUMPRODUCT((AY_SONU!$O$7:$O$42="Evet")*(AY_SONU!$B$7:$B$42=DATE(YEAR($E2430),MONTH($E2430),1))))</f>
        <v>0</v>
      </c>
      <c r="U2430" s="1" t="str">
        <f>IF(OR($G2430="",$H2430="Mahsup"),"",$G2430&amp;"|"&amp;COUNTIFS($G$7:$G2430,$G2430,$H$7:$H2430,"&lt;&gt;Mahsup"))</f>
        <v/>
      </c>
    </row>
    <row r="2431" spans="1:21" ht="18" customHeight="1" x14ac:dyDescent="0.3">
      <c r="A2431" s="2"/>
      <c r="B2431" s="65" t="str">
        <f>IF($D2431="","","T"&amp;TEXT(ROW()-6,"00000"))</f>
        <v/>
      </c>
      <c r="C2431" s="65" t="str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61"/>
      <c r="E2431" s="66"/>
      <c r="F2431" s="67"/>
      <c r="G2431" s="60"/>
      <c r="H2431" s="60"/>
      <c r="I2431" s="61"/>
      <c r="J2431" s="61"/>
      <c r="K2431" s="61"/>
      <c r="L2431" s="73" t="str">
        <f>IF($E2431="","",DATE(YEAR($E2431),MONTH($E2431),1))</f>
        <v/>
      </c>
      <c r="M2431" s="65" t="str">
        <f ca="1">IF($D2431="","",IF($C2431="TANIMSIZ MÜŞTERİ","HATA",IF(OR($E2431="",$F2431&lt;=0,$G2431=""),"EKSİK",IF($E2431&gt;TODAY(),"İLERİ TARİH",IF(COUNTIF($S$7:$S$2503,$S2431)&gt;1,"MÜKERRER?",IF($T2431&gt;0,"KAPALI DÖNEM","UYGUN"))))))</f>
        <v/>
      </c>
      <c r="N2431" s="74" t="str">
        <f>IF($C2431="","",IF($C2431="TANIMSIZ MÜŞTERİ","—",INDEX(MUSTERILER!$C$7:$C$156,MATCH($C2431,MUSTERILER!$B$7:$B$156,0))))</f>
        <v/>
      </c>
      <c r="O2431" s="2"/>
      <c r="P2431" s="2"/>
      <c r="Q2431" s="1" t="str">
        <f>IF($D2431="","",$C2431&amp;"|"&amp;COUNTIFS($C$7:$C2431,$C2431))</f>
        <v/>
      </c>
      <c r="R2431" s="1" t="str">
        <f t="shared" si="74"/>
        <v/>
      </c>
      <c r="S2431" s="1" t="str">
        <f t="shared" si="75"/>
        <v/>
      </c>
      <c r="T2431" s="1">
        <f>IF($E2431="",0,SUMPRODUCT((AY_SONU!$O$7:$O$42="Evet")*(AY_SONU!$B$7:$B$42=DATE(YEAR($E2431),MONTH($E2431),1))))</f>
        <v>0</v>
      </c>
      <c r="U2431" s="1" t="str">
        <f>IF(OR($G2431="",$H2431="Mahsup"),"",$G2431&amp;"|"&amp;COUNTIFS($G$7:$G2431,$G2431,$H$7:$H2431,"&lt;&gt;Mahsup"))</f>
        <v/>
      </c>
    </row>
    <row r="2432" spans="1:21" ht="18" customHeight="1" x14ac:dyDescent="0.3">
      <c r="A2432" s="2"/>
      <c r="B2432" s="65" t="str">
        <f>IF($D2432="","","T"&amp;TEXT(ROW()-6,"00000"))</f>
        <v/>
      </c>
      <c r="C2432" s="65" t="str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61"/>
      <c r="E2432" s="66"/>
      <c r="F2432" s="67"/>
      <c r="G2432" s="60"/>
      <c r="H2432" s="60"/>
      <c r="I2432" s="61"/>
      <c r="J2432" s="61"/>
      <c r="K2432" s="61"/>
      <c r="L2432" s="73" t="str">
        <f>IF($E2432="","",DATE(YEAR($E2432),MONTH($E2432),1))</f>
        <v/>
      </c>
      <c r="M2432" s="65" t="str">
        <f ca="1">IF($D2432="","",IF($C2432="TANIMSIZ MÜŞTERİ","HATA",IF(OR($E2432="",$F2432&lt;=0,$G2432=""),"EKSİK",IF($E2432&gt;TODAY(),"İLERİ TARİH",IF(COUNTIF($S$7:$S$2503,$S2432)&gt;1,"MÜKERRER?",IF($T2432&gt;0,"KAPALI DÖNEM","UYGUN"))))))</f>
        <v/>
      </c>
      <c r="N2432" s="74" t="str">
        <f>IF($C2432="","",IF($C2432="TANIMSIZ MÜŞTERİ","—",INDEX(MUSTERILER!$C$7:$C$156,MATCH($C2432,MUSTERILER!$B$7:$B$156,0))))</f>
        <v/>
      </c>
      <c r="O2432" s="2"/>
      <c r="P2432" s="2"/>
      <c r="Q2432" s="1" t="str">
        <f>IF($D2432="","",$C2432&amp;"|"&amp;COUNTIFS($C$7:$C2432,$C2432))</f>
        <v/>
      </c>
      <c r="R2432" s="1" t="str">
        <f t="shared" si="74"/>
        <v/>
      </c>
      <c r="S2432" s="1" t="str">
        <f t="shared" si="75"/>
        <v/>
      </c>
      <c r="T2432" s="1">
        <f>IF($E2432="",0,SUMPRODUCT((AY_SONU!$O$7:$O$42="Evet")*(AY_SONU!$B$7:$B$42=DATE(YEAR($E2432),MONTH($E2432),1))))</f>
        <v>0</v>
      </c>
      <c r="U2432" s="1" t="str">
        <f>IF(OR($G2432="",$H2432="Mahsup"),"",$G2432&amp;"|"&amp;COUNTIFS($G$7:$G2432,$G2432,$H$7:$H2432,"&lt;&gt;Mahsup"))</f>
        <v/>
      </c>
    </row>
    <row r="2433" spans="1:21" ht="18" customHeight="1" x14ac:dyDescent="0.3">
      <c r="A2433" s="2"/>
      <c r="B2433" s="65" t="str">
        <f>IF($D2433="","","T"&amp;TEXT(ROW()-6,"00000"))</f>
        <v/>
      </c>
      <c r="C2433" s="65" t="str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61"/>
      <c r="E2433" s="66"/>
      <c r="F2433" s="67"/>
      <c r="G2433" s="60"/>
      <c r="H2433" s="60"/>
      <c r="I2433" s="61"/>
      <c r="J2433" s="61"/>
      <c r="K2433" s="61"/>
      <c r="L2433" s="73" t="str">
        <f>IF($E2433="","",DATE(YEAR($E2433),MONTH($E2433),1))</f>
        <v/>
      </c>
      <c r="M2433" s="65" t="str">
        <f ca="1">IF($D2433="","",IF($C2433="TANIMSIZ MÜŞTERİ","HATA",IF(OR($E2433="",$F2433&lt;=0,$G2433=""),"EKSİK",IF($E2433&gt;TODAY(),"İLERİ TARİH",IF(COUNTIF($S$7:$S$2503,$S2433)&gt;1,"MÜKERRER?",IF($T2433&gt;0,"KAPALI DÖNEM","UYGUN"))))))</f>
        <v/>
      </c>
      <c r="N2433" s="74" t="str">
        <f>IF($C2433="","",IF($C2433="TANIMSIZ MÜŞTERİ","—",INDEX(MUSTERILER!$C$7:$C$156,MATCH($C2433,MUSTERILER!$B$7:$B$156,0))))</f>
        <v/>
      </c>
      <c r="O2433" s="2"/>
      <c r="P2433" s="2"/>
      <c r="Q2433" s="1" t="str">
        <f>IF($D2433="","",$C2433&amp;"|"&amp;COUNTIFS($C$7:$C2433,$C2433))</f>
        <v/>
      </c>
      <c r="R2433" s="1" t="str">
        <f t="shared" si="74"/>
        <v/>
      </c>
      <c r="S2433" s="1" t="str">
        <f t="shared" si="75"/>
        <v/>
      </c>
      <c r="T2433" s="1">
        <f>IF($E2433="",0,SUMPRODUCT((AY_SONU!$O$7:$O$42="Evet")*(AY_SONU!$B$7:$B$42=DATE(YEAR($E2433),MONTH($E2433),1))))</f>
        <v>0</v>
      </c>
      <c r="U2433" s="1" t="str">
        <f>IF(OR($G2433="",$H2433="Mahsup"),"",$G2433&amp;"|"&amp;COUNTIFS($G$7:$G2433,$G2433,$H$7:$H2433,"&lt;&gt;Mahsup"))</f>
        <v/>
      </c>
    </row>
    <row r="2434" spans="1:21" ht="18" customHeight="1" x14ac:dyDescent="0.3">
      <c r="A2434" s="2"/>
      <c r="B2434" s="65" t="str">
        <f>IF($D2434="","","T"&amp;TEXT(ROW()-6,"00000"))</f>
        <v/>
      </c>
      <c r="C2434" s="65" t="str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61"/>
      <c r="E2434" s="66"/>
      <c r="F2434" s="67"/>
      <c r="G2434" s="60"/>
      <c r="H2434" s="60"/>
      <c r="I2434" s="61"/>
      <c r="J2434" s="61"/>
      <c r="K2434" s="61"/>
      <c r="L2434" s="73" t="str">
        <f>IF($E2434="","",DATE(YEAR($E2434),MONTH($E2434),1))</f>
        <v/>
      </c>
      <c r="M2434" s="65" t="str">
        <f ca="1">IF($D2434="","",IF($C2434="TANIMSIZ MÜŞTERİ","HATA",IF(OR($E2434="",$F2434&lt;=0,$G2434=""),"EKSİK",IF($E2434&gt;TODAY(),"İLERİ TARİH",IF(COUNTIF($S$7:$S$2503,$S2434)&gt;1,"MÜKERRER?",IF($T2434&gt;0,"KAPALI DÖNEM","UYGUN"))))))</f>
        <v/>
      </c>
      <c r="N2434" s="74" t="str">
        <f>IF($C2434="","",IF($C2434="TANIMSIZ MÜŞTERİ","—",INDEX(MUSTERILER!$C$7:$C$156,MATCH($C2434,MUSTERILER!$B$7:$B$156,0))))</f>
        <v/>
      </c>
      <c r="O2434" s="2"/>
      <c r="P2434" s="2"/>
      <c r="Q2434" s="1" t="str">
        <f>IF($D2434="","",$C2434&amp;"|"&amp;COUNTIFS($C$7:$C2434,$C2434))</f>
        <v/>
      </c>
      <c r="R2434" s="1" t="str">
        <f t="shared" si="74"/>
        <v/>
      </c>
      <c r="S2434" s="1" t="str">
        <f t="shared" si="75"/>
        <v/>
      </c>
      <c r="T2434" s="1">
        <f>IF($E2434="",0,SUMPRODUCT((AY_SONU!$O$7:$O$42="Evet")*(AY_SONU!$B$7:$B$42=DATE(YEAR($E2434),MONTH($E2434),1))))</f>
        <v>0</v>
      </c>
      <c r="U2434" s="1" t="str">
        <f>IF(OR($G2434="",$H2434="Mahsup"),"",$G2434&amp;"|"&amp;COUNTIFS($G$7:$G2434,$G2434,$H$7:$H2434,"&lt;&gt;Mahsup"))</f>
        <v/>
      </c>
    </row>
    <row r="2435" spans="1:21" ht="18" customHeight="1" x14ac:dyDescent="0.3">
      <c r="A2435" s="2"/>
      <c r="B2435" s="65" t="str">
        <f>IF($D2435="","","T"&amp;TEXT(ROW()-6,"00000"))</f>
        <v/>
      </c>
      <c r="C2435" s="65" t="str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61"/>
      <c r="E2435" s="66"/>
      <c r="F2435" s="67"/>
      <c r="G2435" s="60"/>
      <c r="H2435" s="60"/>
      <c r="I2435" s="61"/>
      <c r="J2435" s="61"/>
      <c r="K2435" s="61"/>
      <c r="L2435" s="73" t="str">
        <f>IF($E2435="","",DATE(YEAR($E2435),MONTH($E2435),1))</f>
        <v/>
      </c>
      <c r="M2435" s="65" t="str">
        <f ca="1">IF($D2435="","",IF($C2435="TANIMSIZ MÜŞTERİ","HATA",IF(OR($E2435="",$F2435&lt;=0,$G2435=""),"EKSİK",IF($E2435&gt;TODAY(),"İLERİ TARİH",IF(COUNTIF($S$7:$S$2503,$S2435)&gt;1,"MÜKERRER?",IF($T2435&gt;0,"KAPALI DÖNEM","UYGUN"))))))</f>
        <v/>
      </c>
      <c r="N2435" s="74" t="str">
        <f>IF($C2435="","",IF($C2435="TANIMSIZ MÜŞTERİ","—",INDEX(MUSTERILER!$C$7:$C$156,MATCH($C2435,MUSTERILER!$B$7:$B$156,0))))</f>
        <v/>
      </c>
      <c r="O2435" s="2"/>
      <c r="P2435" s="2"/>
      <c r="Q2435" s="1" t="str">
        <f>IF($D2435="","",$C2435&amp;"|"&amp;COUNTIFS($C$7:$C2435,$C2435))</f>
        <v/>
      </c>
      <c r="R2435" s="1" t="str">
        <f t="shared" si="74"/>
        <v/>
      </c>
      <c r="S2435" s="1" t="str">
        <f t="shared" si="75"/>
        <v/>
      </c>
      <c r="T2435" s="1">
        <f>IF($E2435="",0,SUMPRODUCT((AY_SONU!$O$7:$O$42="Evet")*(AY_SONU!$B$7:$B$42=DATE(YEAR($E2435),MONTH($E2435),1))))</f>
        <v>0</v>
      </c>
      <c r="U2435" s="1" t="str">
        <f>IF(OR($G2435="",$H2435="Mahsup"),"",$G2435&amp;"|"&amp;COUNTIFS($G$7:$G2435,$G2435,$H$7:$H2435,"&lt;&gt;Mahsup"))</f>
        <v/>
      </c>
    </row>
    <row r="2436" spans="1:21" ht="18" customHeight="1" x14ac:dyDescent="0.3">
      <c r="A2436" s="2"/>
      <c r="B2436" s="65" t="str">
        <f>IF($D2436="","","T"&amp;TEXT(ROW()-6,"00000"))</f>
        <v/>
      </c>
      <c r="C2436" s="65" t="str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61"/>
      <c r="E2436" s="66"/>
      <c r="F2436" s="67"/>
      <c r="G2436" s="60"/>
      <c r="H2436" s="60"/>
      <c r="I2436" s="61"/>
      <c r="J2436" s="61"/>
      <c r="K2436" s="61"/>
      <c r="L2436" s="73" t="str">
        <f>IF($E2436="","",DATE(YEAR($E2436),MONTH($E2436),1))</f>
        <v/>
      </c>
      <c r="M2436" s="65" t="str">
        <f ca="1">IF($D2436="","",IF($C2436="TANIMSIZ MÜŞTERİ","HATA",IF(OR($E2436="",$F2436&lt;=0,$G2436=""),"EKSİK",IF($E2436&gt;TODAY(),"İLERİ TARİH",IF(COUNTIF($S$7:$S$2503,$S2436)&gt;1,"MÜKERRER?",IF($T2436&gt;0,"KAPALI DÖNEM","UYGUN"))))))</f>
        <v/>
      </c>
      <c r="N2436" s="74" t="str">
        <f>IF($C2436="","",IF($C2436="TANIMSIZ MÜŞTERİ","—",INDEX(MUSTERILER!$C$7:$C$156,MATCH($C2436,MUSTERILER!$B$7:$B$156,0))))</f>
        <v/>
      </c>
      <c r="O2436" s="2"/>
      <c r="P2436" s="2"/>
      <c r="Q2436" s="1" t="str">
        <f>IF($D2436="","",$C2436&amp;"|"&amp;COUNTIFS($C$7:$C2436,$C2436))</f>
        <v/>
      </c>
      <c r="R2436" s="1" t="str">
        <f t="shared" si="74"/>
        <v/>
      </c>
      <c r="S2436" s="1" t="str">
        <f t="shared" si="75"/>
        <v/>
      </c>
      <c r="T2436" s="1">
        <f>IF($E2436="",0,SUMPRODUCT((AY_SONU!$O$7:$O$42="Evet")*(AY_SONU!$B$7:$B$42=DATE(YEAR($E2436),MONTH($E2436),1))))</f>
        <v>0</v>
      </c>
      <c r="U2436" s="1" t="str">
        <f>IF(OR($G2436="",$H2436="Mahsup"),"",$G2436&amp;"|"&amp;COUNTIFS($G$7:$G2436,$G2436,$H$7:$H2436,"&lt;&gt;Mahsup"))</f>
        <v/>
      </c>
    </row>
    <row r="2437" spans="1:21" ht="18" customHeight="1" x14ac:dyDescent="0.3">
      <c r="A2437" s="2"/>
      <c r="B2437" s="65" t="str">
        <f>IF($D2437="","","T"&amp;TEXT(ROW()-6,"00000"))</f>
        <v/>
      </c>
      <c r="C2437" s="65" t="str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61"/>
      <c r="E2437" s="66"/>
      <c r="F2437" s="67"/>
      <c r="G2437" s="60"/>
      <c r="H2437" s="60"/>
      <c r="I2437" s="61"/>
      <c r="J2437" s="61"/>
      <c r="K2437" s="61"/>
      <c r="L2437" s="73" t="str">
        <f>IF($E2437="","",DATE(YEAR($E2437),MONTH($E2437),1))</f>
        <v/>
      </c>
      <c r="M2437" s="65" t="str">
        <f ca="1">IF($D2437="","",IF($C2437="TANIMSIZ MÜŞTERİ","HATA",IF(OR($E2437="",$F2437&lt;=0,$G2437=""),"EKSİK",IF($E2437&gt;TODAY(),"İLERİ TARİH",IF(COUNTIF($S$7:$S$2503,$S2437)&gt;1,"MÜKERRER?",IF($T2437&gt;0,"KAPALI DÖNEM","UYGUN"))))))</f>
        <v/>
      </c>
      <c r="N2437" s="74" t="str">
        <f>IF($C2437="","",IF($C2437="TANIMSIZ MÜŞTERİ","—",INDEX(MUSTERILER!$C$7:$C$156,MATCH($C2437,MUSTERILER!$B$7:$B$156,0))))</f>
        <v/>
      </c>
      <c r="O2437" s="2"/>
      <c r="P2437" s="2"/>
      <c r="Q2437" s="1" t="str">
        <f>IF($D2437="","",$C2437&amp;"|"&amp;COUNTIFS($C$7:$C2437,$C2437))</f>
        <v/>
      </c>
      <c r="R2437" s="1" t="str">
        <f t="shared" si="74"/>
        <v/>
      </c>
      <c r="S2437" s="1" t="str">
        <f t="shared" si="75"/>
        <v/>
      </c>
      <c r="T2437" s="1">
        <f>IF($E2437="",0,SUMPRODUCT((AY_SONU!$O$7:$O$42="Evet")*(AY_SONU!$B$7:$B$42=DATE(YEAR($E2437),MONTH($E2437),1))))</f>
        <v>0</v>
      </c>
      <c r="U2437" s="1" t="str">
        <f>IF(OR($G2437="",$H2437="Mahsup"),"",$G2437&amp;"|"&amp;COUNTIFS($G$7:$G2437,$G2437,$H$7:$H2437,"&lt;&gt;Mahsup"))</f>
        <v/>
      </c>
    </row>
    <row r="2438" spans="1:21" ht="18" customHeight="1" x14ac:dyDescent="0.3">
      <c r="A2438" s="2"/>
      <c r="B2438" s="65" t="str">
        <f>IF($D2438="","","T"&amp;TEXT(ROW()-6,"00000"))</f>
        <v/>
      </c>
      <c r="C2438" s="65" t="str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61"/>
      <c r="E2438" s="66"/>
      <c r="F2438" s="67"/>
      <c r="G2438" s="60"/>
      <c r="H2438" s="60"/>
      <c r="I2438" s="61"/>
      <c r="J2438" s="61"/>
      <c r="K2438" s="61"/>
      <c r="L2438" s="73" t="str">
        <f>IF($E2438="","",DATE(YEAR($E2438),MONTH($E2438),1))</f>
        <v/>
      </c>
      <c r="M2438" s="65" t="str">
        <f ca="1">IF($D2438="","",IF($C2438="TANIMSIZ MÜŞTERİ","HATA",IF(OR($E2438="",$F2438&lt;=0,$G2438=""),"EKSİK",IF($E2438&gt;TODAY(),"İLERİ TARİH",IF(COUNTIF($S$7:$S$2503,$S2438)&gt;1,"MÜKERRER?",IF($T2438&gt;0,"KAPALI DÖNEM","UYGUN"))))))</f>
        <v/>
      </c>
      <c r="N2438" s="74" t="str">
        <f>IF($C2438="","",IF($C2438="TANIMSIZ MÜŞTERİ","—",INDEX(MUSTERILER!$C$7:$C$156,MATCH($C2438,MUSTERILER!$B$7:$B$156,0))))</f>
        <v/>
      </c>
      <c r="O2438" s="2"/>
      <c r="P2438" s="2"/>
      <c r="Q2438" s="1" t="str">
        <f>IF($D2438="","",$C2438&amp;"|"&amp;COUNTIFS($C$7:$C2438,$C2438))</f>
        <v/>
      </c>
      <c r="R2438" s="1" t="str">
        <f t="shared" si="74"/>
        <v/>
      </c>
      <c r="S2438" s="1" t="str">
        <f t="shared" si="75"/>
        <v/>
      </c>
      <c r="T2438" s="1">
        <f>IF($E2438="",0,SUMPRODUCT((AY_SONU!$O$7:$O$42="Evet")*(AY_SONU!$B$7:$B$42=DATE(YEAR($E2438),MONTH($E2438),1))))</f>
        <v>0</v>
      </c>
      <c r="U2438" s="1" t="str">
        <f>IF(OR($G2438="",$H2438="Mahsup"),"",$G2438&amp;"|"&amp;COUNTIFS($G$7:$G2438,$G2438,$H$7:$H2438,"&lt;&gt;Mahsup"))</f>
        <v/>
      </c>
    </row>
    <row r="2439" spans="1:21" ht="18" customHeight="1" x14ac:dyDescent="0.3">
      <c r="A2439" s="2"/>
      <c r="B2439" s="65" t="str">
        <f>IF($D2439="","","T"&amp;TEXT(ROW()-6,"00000"))</f>
        <v/>
      </c>
      <c r="C2439" s="65" t="str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61"/>
      <c r="E2439" s="66"/>
      <c r="F2439" s="67"/>
      <c r="G2439" s="60"/>
      <c r="H2439" s="60"/>
      <c r="I2439" s="61"/>
      <c r="J2439" s="61"/>
      <c r="K2439" s="61"/>
      <c r="L2439" s="73" t="str">
        <f>IF($E2439="","",DATE(YEAR($E2439),MONTH($E2439),1))</f>
        <v/>
      </c>
      <c r="M2439" s="65" t="str">
        <f ca="1">IF($D2439="","",IF($C2439="TANIMSIZ MÜŞTERİ","HATA",IF(OR($E2439="",$F2439&lt;=0,$G2439=""),"EKSİK",IF($E2439&gt;TODAY(),"İLERİ TARİH",IF(COUNTIF($S$7:$S$2503,$S2439)&gt;1,"MÜKERRER?",IF($T2439&gt;0,"KAPALI DÖNEM","UYGUN"))))))</f>
        <v/>
      </c>
      <c r="N2439" s="74" t="str">
        <f>IF($C2439="","",IF($C2439="TANIMSIZ MÜŞTERİ","—",INDEX(MUSTERILER!$C$7:$C$156,MATCH($C2439,MUSTERILER!$B$7:$B$156,0))))</f>
        <v/>
      </c>
      <c r="O2439" s="2"/>
      <c r="P2439" s="2"/>
      <c r="Q2439" s="1" t="str">
        <f>IF($D2439="","",$C2439&amp;"|"&amp;COUNTIFS($C$7:$C2439,$C2439))</f>
        <v/>
      </c>
      <c r="R2439" s="1" t="str">
        <f t="shared" ref="R2439:R2503" si="76"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" t="str">
        <f t="shared" ref="S2439:S2503" si="77">IF($D2439="","",$C2439&amp;"|"&amp;TEXT($E2439,"0")&amp;"|"&amp;TEXT($F2439,"0")&amp;"|"&amp;$I2439)</f>
        <v/>
      </c>
      <c r="T2439" s="1">
        <f>IF($E2439="",0,SUMPRODUCT((AY_SONU!$O$7:$O$42="Evet")*(AY_SONU!$B$7:$B$42=DATE(YEAR($E2439),MONTH($E2439),1))))</f>
        <v>0</v>
      </c>
      <c r="U2439" s="1" t="str">
        <f>IF(OR($G2439="",$H2439="Mahsup"),"",$G2439&amp;"|"&amp;COUNTIFS($G$7:$G2439,$G2439,$H$7:$H2439,"&lt;&gt;Mahsup"))</f>
        <v/>
      </c>
    </row>
    <row r="2440" spans="1:21" ht="18" customHeight="1" x14ac:dyDescent="0.3">
      <c r="A2440" s="2"/>
      <c r="B2440" s="65" t="str">
        <f>IF($D2440="","","T"&amp;TEXT(ROW()-6,"00000"))</f>
        <v/>
      </c>
      <c r="C2440" s="65" t="str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61"/>
      <c r="E2440" s="66"/>
      <c r="F2440" s="67"/>
      <c r="G2440" s="60"/>
      <c r="H2440" s="60"/>
      <c r="I2440" s="61"/>
      <c r="J2440" s="61"/>
      <c r="K2440" s="61"/>
      <c r="L2440" s="73" t="str">
        <f>IF($E2440="","",DATE(YEAR($E2440),MONTH($E2440),1))</f>
        <v/>
      </c>
      <c r="M2440" s="65" t="str">
        <f ca="1">IF($D2440="","",IF($C2440="TANIMSIZ MÜŞTERİ","HATA",IF(OR($E2440="",$F2440&lt;=0,$G2440=""),"EKSİK",IF($E2440&gt;TODAY(),"İLERİ TARİH",IF(COUNTIF($S$7:$S$2503,$S2440)&gt;1,"MÜKERRER?",IF($T2440&gt;0,"KAPALI DÖNEM","UYGUN"))))))</f>
        <v/>
      </c>
      <c r="N2440" s="74" t="str">
        <f>IF($C2440="","",IF($C2440="TANIMSIZ MÜŞTERİ","—",INDEX(MUSTERILER!$C$7:$C$156,MATCH($C2440,MUSTERILER!$B$7:$B$156,0))))</f>
        <v/>
      </c>
      <c r="O2440" s="2"/>
      <c r="P2440" s="2"/>
      <c r="Q2440" s="1" t="str">
        <f>IF($D2440="","",$C2440&amp;"|"&amp;COUNTIFS($C$7:$C2440,$C2440))</f>
        <v/>
      </c>
      <c r="R2440" s="1" t="str">
        <f t="shared" si="76"/>
        <v/>
      </c>
      <c r="S2440" s="1" t="str">
        <f t="shared" si="77"/>
        <v/>
      </c>
      <c r="T2440" s="1">
        <f>IF($E2440="",0,SUMPRODUCT((AY_SONU!$O$7:$O$42="Evet")*(AY_SONU!$B$7:$B$42=DATE(YEAR($E2440),MONTH($E2440),1))))</f>
        <v>0</v>
      </c>
      <c r="U2440" s="1" t="str">
        <f>IF(OR($G2440="",$H2440="Mahsup"),"",$G2440&amp;"|"&amp;COUNTIFS($G$7:$G2440,$G2440,$H$7:$H2440,"&lt;&gt;Mahsup"))</f>
        <v/>
      </c>
    </row>
    <row r="2441" spans="1:21" ht="18" customHeight="1" x14ac:dyDescent="0.3">
      <c r="A2441" s="2"/>
      <c r="B2441" s="65" t="str">
        <f>IF($D2441="","","T"&amp;TEXT(ROW()-6,"00000"))</f>
        <v/>
      </c>
      <c r="C2441" s="65" t="str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61"/>
      <c r="E2441" s="66"/>
      <c r="F2441" s="67"/>
      <c r="G2441" s="60"/>
      <c r="H2441" s="60"/>
      <c r="I2441" s="61"/>
      <c r="J2441" s="61"/>
      <c r="K2441" s="61"/>
      <c r="L2441" s="73" t="str">
        <f>IF($E2441="","",DATE(YEAR($E2441),MONTH($E2441),1))</f>
        <v/>
      </c>
      <c r="M2441" s="65" t="str">
        <f ca="1">IF($D2441="","",IF($C2441="TANIMSIZ MÜŞTERİ","HATA",IF(OR($E2441="",$F2441&lt;=0,$G2441=""),"EKSİK",IF($E2441&gt;TODAY(),"İLERİ TARİH",IF(COUNTIF($S$7:$S$2503,$S2441)&gt;1,"MÜKERRER?",IF($T2441&gt;0,"KAPALI DÖNEM","UYGUN"))))))</f>
        <v/>
      </c>
      <c r="N2441" s="74" t="str">
        <f>IF($C2441="","",IF($C2441="TANIMSIZ MÜŞTERİ","—",INDEX(MUSTERILER!$C$7:$C$156,MATCH($C2441,MUSTERILER!$B$7:$B$156,0))))</f>
        <v/>
      </c>
      <c r="O2441" s="2"/>
      <c r="P2441" s="2"/>
      <c r="Q2441" s="1" t="str">
        <f>IF($D2441="","",$C2441&amp;"|"&amp;COUNTIFS($C$7:$C2441,$C2441))</f>
        <v/>
      </c>
      <c r="R2441" s="1" t="str">
        <f t="shared" si="76"/>
        <v/>
      </c>
      <c r="S2441" s="1" t="str">
        <f t="shared" si="77"/>
        <v/>
      </c>
      <c r="T2441" s="1">
        <f>IF($E2441="",0,SUMPRODUCT((AY_SONU!$O$7:$O$42="Evet")*(AY_SONU!$B$7:$B$42=DATE(YEAR($E2441),MONTH($E2441),1))))</f>
        <v>0</v>
      </c>
      <c r="U2441" s="1" t="str">
        <f>IF(OR($G2441="",$H2441="Mahsup"),"",$G2441&amp;"|"&amp;COUNTIFS($G$7:$G2441,$G2441,$H$7:$H2441,"&lt;&gt;Mahsup"))</f>
        <v/>
      </c>
    </row>
    <row r="2442" spans="1:21" ht="18" customHeight="1" x14ac:dyDescent="0.3">
      <c r="A2442" s="2"/>
      <c r="B2442" s="65" t="str">
        <f>IF($D2442="","","T"&amp;TEXT(ROW()-6,"00000"))</f>
        <v/>
      </c>
      <c r="C2442" s="65" t="str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61"/>
      <c r="E2442" s="66"/>
      <c r="F2442" s="67"/>
      <c r="G2442" s="60"/>
      <c r="H2442" s="60"/>
      <c r="I2442" s="61"/>
      <c r="J2442" s="61"/>
      <c r="K2442" s="61"/>
      <c r="L2442" s="73" t="str">
        <f>IF($E2442="","",DATE(YEAR($E2442),MONTH($E2442),1))</f>
        <v/>
      </c>
      <c r="M2442" s="65" t="str">
        <f ca="1">IF($D2442="","",IF($C2442="TANIMSIZ MÜŞTERİ","HATA",IF(OR($E2442="",$F2442&lt;=0,$G2442=""),"EKSİK",IF($E2442&gt;TODAY(),"İLERİ TARİH",IF(COUNTIF($S$7:$S$2503,$S2442)&gt;1,"MÜKERRER?",IF($T2442&gt;0,"KAPALI DÖNEM","UYGUN"))))))</f>
        <v/>
      </c>
      <c r="N2442" s="74" t="str">
        <f>IF($C2442="","",IF($C2442="TANIMSIZ MÜŞTERİ","—",INDEX(MUSTERILER!$C$7:$C$156,MATCH($C2442,MUSTERILER!$B$7:$B$156,0))))</f>
        <v/>
      </c>
      <c r="O2442" s="2"/>
      <c r="P2442" s="2"/>
      <c r="Q2442" s="1" t="str">
        <f>IF($D2442="","",$C2442&amp;"|"&amp;COUNTIFS($C$7:$C2442,$C2442))</f>
        <v/>
      </c>
      <c r="R2442" s="1" t="str">
        <f t="shared" si="76"/>
        <v/>
      </c>
      <c r="S2442" s="1" t="str">
        <f t="shared" si="77"/>
        <v/>
      </c>
      <c r="T2442" s="1">
        <f>IF($E2442="",0,SUMPRODUCT((AY_SONU!$O$7:$O$42="Evet")*(AY_SONU!$B$7:$B$42=DATE(YEAR($E2442),MONTH($E2442),1))))</f>
        <v>0</v>
      </c>
      <c r="U2442" s="1" t="str">
        <f>IF(OR($G2442="",$H2442="Mahsup"),"",$G2442&amp;"|"&amp;COUNTIFS($G$7:$G2442,$G2442,$H$7:$H2442,"&lt;&gt;Mahsup"))</f>
        <v/>
      </c>
    </row>
    <row r="2443" spans="1:21" ht="18" customHeight="1" x14ac:dyDescent="0.3">
      <c r="A2443" s="2"/>
      <c r="B2443" s="65" t="str">
        <f>IF($D2443="","","T"&amp;TEXT(ROW()-6,"00000"))</f>
        <v/>
      </c>
      <c r="C2443" s="65" t="str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61"/>
      <c r="E2443" s="66"/>
      <c r="F2443" s="67"/>
      <c r="G2443" s="60"/>
      <c r="H2443" s="60"/>
      <c r="I2443" s="61"/>
      <c r="J2443" s="61"/>
      <c r="K2443" s="61"/>
      <c r="L2443" s="73" t="str">
        <f>IF($E2443="","",DATE(YEAR($E2443),MONTH($E2443),1))</f>
        <v/>
      </c>
      <c r="M2443" s="65" t="str">
        <f ca="1">IF($D2443="","",IF($C2443="TANIMSIZ MÜŞTERİ","HATA",IF(OR($E2443="",$F2443&lt;=0,$G2443=""),"EKSİK",IF($E2443&gt;TODAY(),"İLERİ TARİH",IF(COUNTIF($S$7:$S$2503,$S2443)&gt;1,"MÜKERRER?",IF($T2443&gt;0,"KAPALI DÖNEM","UYGUN"))))))</f>
        <v/>
      </c>
      <c r="N2443" s="74" t="str">
        <f>IF($C2443="","",IF($C2443="TANIMSIZ MÜŞTERİ","—",INDEX(MUSTERILER!$C$7:$C$156,MATCH($C2443,MUSTERILER!$B$7:$B$156,0))))</f>
        <v/>
      </c>
      <c r="O2443" s="2"/>
      <c r="P2443" s="2"/>
      <c r="Q2443" s="1" t="str">
        <f>IF($D2443="","",$C2443&amp;"|"&amp;COUNTIFS($C$7:$C2443,$C2443))</f>
        <v/>
      </c>
      <c r="R2443" s="1" t="str">
        <f t="shared" si="76"/>
        <v/>
      </c>
      <c r="S2443" s="1" t="str">
        <f t="shared" si="77"/>
        <v/>
      </c>
      <c r="T2443" s="1">
        <f>IF($E2443="",0,SUMPRODUCT((AY_SONU!$O$7:$O$42="Evet")*(AY_SONU!$B$7:$B$42=DATE(YEAR($E2443),MONTH($E2443),1))))</f>
        <v>0</v>
      </c>
      <c r="U2443" s="1" t="str">
        <f>IF(OR($G2443="",$H2443="Mahsup"),"",$G2443&amp;"|"&amp;COUNTIFS($G$7:$G2443,$G2443,$H$7:$H2443,"&lt;&gt;Mahsup"))</f>
        <v/>
      </c>
    </row>
    <row r="2444" spans="1:21" ht="18" customHeight="1" x14ac:dyDescent="0.3">
      <c r="A2444" s="2"/>
      <c r="B2444" s="65" t="str">
        <f>IF($D2444="","","T"&amp;TEXT(ROW()-6,"00000"))</f>
        <v/>
      </c>
      <c r="C2444" s="65" t="str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61"/>
      <c r="E2444" s="66"/>
      <c r="F2444" s="67"/>
      <c r="G2444" s="60"/>
      <c r="H2444" s="60"/>
      <c r="I2444" s="61"/>
      <c r="J2444" s="61"/>
      <c r="K2444" s="61"/>
      <c r="L2444" s="73" t="str">
        <f>IF($E2444="","",DATE(YEAR($E2444),MONTH($E2444),1))</f>
        <v/>
      </c>
      <c r="M2444" s="65" t="str">
        <f ca="1">IF($D2444="","",IF($C2444="TANIMSIZ MÜŞTERİ","HATA",IF(OR($E2444="",$F2444&lt;=0,$G2444=""),"EKSİK",IF($E2444&gt;TODAY(),"İLERİ TARİH",IF(COUNTIF($S$7:$S$2503,$S2444)&gt;1,"MÜKERRER?",IF($T2444&gt;0,"KAPALI DÖNEM","UYGUN"))))))</f>
        <v/>
      </c>
      <c r="N2444" s="74" t="str">
        <f>IF($C2444="","",IF($C2444="TANIMSIZ MÜŞTERİ","—",INDEX(MUSTERILER!$C$7:$C$156,MATCH($C2444,MUSTERILER!$B$7:$B$156,0))))</f>
        <v/>
      </c>
      <c r="O2444" s="2"/>
      <c r="P2444" s="2"/>
      <c r="Q2444" s="1" t="str">
        <f>IF($D2444="","",$C2444&amp;"|"&amp;COUNTIFS($C$7:$C2444,$C2444))</f>
        <v/>
      </c>
      <c r="R2444" s="1" t="str">
        <f t="shared" si="76"/>
        <v/>
      </c>
      <c r="S2444" s="1" t="str">
        <f t="shared" si="77"/>
        <v/>
      </c>
      <c r="T2444" s="1">
        <f>IF($E2444="",0,SUMPRODUCT((AY_SONU!$O$7:$O$42="Evet")*(AY_SONU!$B$7:$B$42=DATE(YEAR($E2444),MONTH($E2444),1))))</f>
        <v>0</v>
      </c>
      <c r="U2444" s="1" t="str">
        <f>IF(OR($G2444="",$H2444="Mahsup"),"",$G2444&amp;"|"&amp;COUNTIFS($G$7:$G2444,$G2444,$H$7:$H2444,"&lt;&gt;Mahsup"))</f>
        <v/>
      </c>
    </row>
    <row r="2445" spans="1:21" ht="18" customHeight="1" x14ac:dyDescent="0.3">
      <c r="A2445" s="2"/>
      <c r="B2445" s="65" t="str">
        <f>IF($D2445="","","T"&amp;TEXT(ROW()-6,"00000"))</f>
        <v/>
      </c>
      <c r="C2445" s="65" t="str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61"/>
      <c r="E2445" s="66"/>
      <c r="F2445" s="67"/>
      <c r="G2445" s="60"/>
      <c r="H2445" s="60"/>
      <c r="I2445" s="61"/>
      <c r="J2445" s="61"/>
      <c r="K2445" s="61"/>
      <c r="L2445" s="73" t="str">
        <f>IF($E2445="","",DATE(YEAR($E2445),MONTH($E2445),1))</f>
        <v/>
      </c>
      <c r="M2445" s="65" t="str">
        <f ca="1">IF($D2445="","",IF($C2445="TANIMSIZ MÜŞTERİ","HATA",IF(OR($E2445="",$F2445&lt;=0,$G2445=""),"EKSİK",IF($E2445&gt;TODAY(),"İLERİ TARİH",IF(COUNTIF($S$7:$S$2503,$S2445)&gt;1,"MÜKERRER?",IF($T2445&gt;0,"KAPALI DÖNEM","UYGUN"))))))</f>
        <v/>
      </c>
      <c r="N2445" s="74" t="str">
        <f>IF($C2445="","",IF($C2445="TANIMSIZ MÜŞTERİ","—",INDEX(MUSTERILER!$C$7:$C$156,MATCH($C2445,MUSTERILER!$B$7:$B$156,0))))</f>
        <v/>
      </c>
      <c r="O2445" s="2"/>
      <c r="P2445" s="2"/>
      <c r="Q2445" s="1" t="str">
        <f>IF($D2445="","",$C2445&amp;"|"&amp;COUNTIFS($C$7:$C2445,$C2445))</f>
        <v/>
      </c>
      <c r="R2445" s="1" t="str">
        <f t="shared" si="76"/>
        <v/>
      </c>
      <c r="S2445" s="1" t="str">
        <f t="shared" si="77"/>
        <v/>
      </c>
      <c r="T2445" s="1">
        <f>IF($E2445="",0,SUMPRODUCT((AY_SONU!$O$7:$O$42="Evet")*(AY_SONU!$B$7:$B$42=DATE(YEAR($E2445),MONTH($E2445),1))))</f>
        <v>0</v>
      </c>
      <c r="U2445" s="1" t="str">
        <f>IF(OR($G2445="",$H2445="Mahsup"),"",$G2445&amp;"|"&amp;COUNTIFS($G$7:$G2445,$G2445,$H$7:$H2445,"&lt;&gt;Mahsup"))</f>
        <v/>
      </c>
    </row>
    <row r="2446" spans="1:21" ht="18" customHeight="1" x14ac:dyDescent="0.3">
      <c r="A2446" s="2"/>
      <c r="B2446" s="65" t="str">
        <f>IF($D2446="","","T"&amp;TEXT(ROW()-6,"00000"))</f>
        <v/>
      </c>
      <c r="C2446" s="65" t="str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61"/>
      <c r="E2446" s="66"/>
      <c r="F2446" s="67"/>
      <c r="G2446" s="60"/>
      <c r="H2446" s="60"/>
      <c r="I2446" s="61"/>
      <c r="J2446" s="61"/>
      <c r="K2446" s="61"/>
      <c r="L2446" s="73" t="str">
        <f>IF($E2446="","",DATE(YEAR($E2446),MONTH($E2446),1))</f>
        <v/>
      </c>
      <c r="M2446" s="65" t="str">
        <f ca="1">IF($D2446="","",IF($C2446="TANIMSIZ MÜŞTERİ","HATA",IF(OR($E2446="",$F2446&lt;=0,$G2446=""),"EKSİK",IF($E2446&gt;TODAY(),"İLERİ TARİH",IF(COUNTIF($S$7:$S$2503,$S2446)&gt;1,"MÜKERRER?",IF($T2446&gt;0,"KAPALI DÖNEM","UYGUN"))))))</f>
        <v/>
      </c>
      <c r="N2446" s="74" t="str">
        <f>IF($C2446="","",IF($C2446="TANIMSIZ MÜŞTERİ","—",INDEX(MUSTERILER!$C$7:$C$156,MATCH($C2446,MUSTERILER!$B$7:$B$156,0))))</f>
        <v/>
      </c>
      <c r="O2446" s="2"/>
      <c r="P2446" s="2"/>
      <c r="Q2446" s="1" t="str">
        <f>IF($D2446="","",$C2446&amp;"|"&amp;COUNTIFS($C$7:$C2446,$C2446))</f>
        <v/>
      </c>
      <c r="R2446" s="1" t="str">
        <f t="shared" si="76"/>
        <v/>
      </c>
      <c r="S2446" s="1" t="str">
        <f t="shared" si="77"/>
        <v/>
      </c>
      <c r="T2446" s="1">
        <f>IF($E2446="",0,SUMPRODUCT((AY_SONU!$O$7:$O$42="Evet")*(AY_SONU!$B$7:$B$42=DATE(YEAR($E2446),MONTH($E2446),1))))</f>
        <v>0</v>
      </c>
      <c r="U2446" s="1" t="str">
        <f>IF(OR($G2446="",$H2446="Mahsup"),"",$G2446&amp;"|"&amp;COUNTIFS($G$7:$G2446,$G2446,$H$7:$H2446,"&lt;&gt;Mahsup"))</f>
        <v/>
      </c>
    </row>
    <row r="2447" spans="1:21" ht="18" customHeight="1" x14ac:dyDescent="0.3">
      <c r="A2447" s="2"/>
      <c r="B2447" s="65" t="str">
        <f>IF($D2447="","","T"&amp;TEXT(ROW()-6,"00000"))</f>
        <v/>
      </c>
      <c r="C2447" s="65" t="str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61"/>
      <c r="E2447" s="66"/>
      <c r="F2447" s="67"/>
      <c r="G2447" s="60"/>
      <c r="H2447" s="60"/>
      <c r="I2447" s="61"/>
      <c r="J2447" s="61"/>
      <c r="K2447" s="61"/>
      <c r="L2447" s="73" t="str">
        <f>IF($E2447="","",DATE(YEAR($E2447),MONTH($E2447),1))</f>
        <v/>
      </c>
      <c r="M2447" s="65" t="str">
        <f ca="1">IF($D2447="","",IF($C2447="TANIMSIZ MÜŞTERİ","HATA",IF(OR($E2447="",$F2447&lt;=0,$G2447=""),"EKSİK",IF($E2447&gt;TODAY(),"İLERİ TARİH",IF(COUNTIF($S$7:$S$2503,$S2447)&gt;1,"MÜKERRER?",IF($T2447&gt;0,"KAPALI DÖNEM","UYGUN"))))))</f>
        <v/>
      </c>
      <c r="N2447" s="74" t="str">
        <f>IF($C2447="","",IF($C2447="TANIMSIZ MÜŞTERİ","—",INDEX(MUSTERILER!$C$7:$C$156,MATCH($C2447,MUSTERILER!$B$7:$B$156,0))))</f>
        <v/>
      </c>
      <c r="O2447" s="2"/>
      <c r="P2447" s="2"/>
      <c r="Q2447" s="1" t="str">
        <f>IF($D2447="","",$C2447&amp;"|"&amp;COUNTIFS($C$7:$C2447,$C2447))</f>
        <v/>
      </c>
      <c r="R2447" s="1" t="str">
        <f t="shared" si="76"/>
        <v/>
      </c>
      <c r="S2447" s="1" t="str">
        <f t="shared" si="77"/>
        <v/>
      </c>
      <c r="T2447" s="1">
        <f>IF($E2447="",0,SUMPRODUCT((AY_SONU!$O$7:$O$42="Evet")*(AY_SONU!$B$7:$B$42=DATE(YEAR($E2447),MONTH($E2447),1))))</f>
        <v>0</v>
      </c>
      <c r="U2447" s="1" t="str">
        <f>IF(OR($G2447="",$H2447="Mahsup"),"",$G2447&amp;"|"&amp;COUNTIFS($G$7:$G2447,$G2447,$H$7:$H2447,"&lt;&gt;Mahsup"))</f>
        <v/>
      </c>
    </row>
    <row r="2448" spans="1:21" ht="18" customHeight="1" x14ac:dyDescent="0.3">
      <c r="A2448" s="2"/>
      <c r="B2448" s="65" t="str">
        <f>IF($D2448="","","T"&amp;TEXT(ROW()-6,"00000"))</f>
        <v/>
      </c>
      <c r="C2448" s="65" t="str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61"/>
      <c r="E2448" s="66"/>
      <c r="F2448" s="67"/>
      <c r="G2448" s="60"/>
      <c r="H2448" s="60"/>
      <c r="I2448" s="61"/>
      <c r="J2448" s="61"/>
      <c r="K2448" s="61"/>
      <c r="L2448" s="73" t="str">
        <f>IF($E2448="","",DATE(YEAR($E2448),MONTH($E2448),1))</f>
        <v/>
      </c>
      <c r="M2448" s="65" t="str">
        <f ca="1">IF($D2448="","",IF($C2448="TANIMSIZ MÜŞTERİ","HATA",IF(OR($E2448="",$F2448&lt;=0,$G2448=""),"EKSİK",IF($E2448&gt;TODAY(),"İLERİ TARİH",IF(COUNTIF($S$7:$S$2503,$S2448)&gt;1,"MÜKERRER?",IF($T2448&gt;0,"KAPALI DÖNEM","UYGUN"))))))</f>
        <v/>
      </c>
      <c r="N2448" s="74" t="str">
        <f>IF($C2448="","",IF($C2448="TANIMSIZ MÜŞTERİ","—",INDEX(MUSTERILER!$C$7:$C$156,MATCH($C2448,MUSTERILER!$B$7:$B$156,0))))</f>
        <v/>
      </c>
      <c r="O2448" s="2"/>
      <c r="P2448" s="2"/>
      <c r="Q2448" s="1" t="str">
        <f>IF($D2448="","",$C2448&amp;"|"&amp;COUNTIFS($C$7:$C2448,$C2448))</f>
        <v/>
      </c>
      <c r="R2448" s="1" t="str">
        <f t="shared" si="76"/>
        <v/>
      </c>
      <c r="S2448" s="1" t="str">
        <f t="shared" si="77"/>
        <v/>
      </c>
      <c r="T2448" s="1">
        <f>IF($E2448="",0,SUMPRODUCT((AY_SONU!$O$7:$O$42="Evet")*(AY_SONU!$B$7:$B$42=DATE(YEAR($E2448),MONTH($E2448),1))))</f>
        <v>0</v>
      </c>
      <c r="U2448" s="1" t="str">
        <f>IF(OR($G2448="",$H2448="Mahsup"),"",$G2448&amp;"|"&amp;COUNTIFS($G$7:$G2448,$G2448,$H$7:$H2448,"&lt;&gt;Mahsup"))</f>
        <v/>
      </c>
    </row>
    <row r="2449" spans="1:21" ht="18" customHeight="1" x14ac:dyDescent="0.3">
      <c r="A2449" s="2"/>
      <c r="B2449" s="65" t="str">
        <f>IF($D2449="","","T"&amp;TEXT(ROW()-6,"00000"))</f>
        <v/>
      </c>
      <c r="C2449" s="65" t="str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61"/>
      <c r="E2449" s="66"/>
      <c r="F2449" s="67"/>
      <c r="G2449" s="60"/>
      <c r="H2449" s="60"/>
      <c r="I2449" s="61"/>
      <c r="J2449" s="61"/>
      <c r="K2449" s="61"/>
      <c r="L2449" s="73" t="str">
        <f>IF($E2449="","",DATE(YEAR($E2449),MONTH($E2449),1))</f>
        <v/>
      </c>
      <c r="M2449" s="65" t="str">
        <f ca="1">IF($D2449="","",IF($C2449="TANIMSIZ MÜŞTERİ","HATA",IF(OR($E2449="",$F2449&lt;=0,$G2449=""),"EKSİK",IF($E2449&gt;TODAY(),"İLERİ TARİH",IF(COUNTIF($S$7:$S$2503,$S2449)&gt;1,"MÜKERRER?",IF($T2449&gt;0,"KAPALI DÖNEM","UYGUN"))))))</f>
        <v/>
      </c>
      <c r="N2449" s="74" t="str">
        <f>IF($C2449="","",IF($C2449="TANIMSIZ MÜŞTERİ","—",INDEX(MUSTERILER!$C$7:$C$156,MATCH($C2449,MUSTERILER!$B$7:$B$156,0))))</f>
        <v/>
      </c>
      <c r="O2449" s="2"/>
      <c r="P2449" s="2"/>
      <c r="Q2449" s="1" t="str">
        <f>IF($D2449="","",$C2449&amp;"|"&amp;COUNTIFS($C$7:$C2449,$C2449))</f>
        <v/>
      </c>
      <c r="R2449" s="1" t="str">
        <f t="shared" si="76"/>
        <v/>
      </c>
      <c r="S2449" s="1" t="str">
        <f t="shared" si="77"/>
        <v/>
      </c>
      <c r="T2449" s="1">
        <f>IF($E2449="",0,SUMPRODUCT((AY_SONU!$O$7:$O$42="Evet")*(AY_SONU!$B$7:$B$42=DATE(YEAR($E2449),MONTH($E2449),1))))</f>
        <v>0</v>
      </c>
      <c r="U2449" s="1" t="str">
        <f>IF(OR($G2449="",$H2449="Mahsup"),"",$G2449&amp;"|"&amp;COUNTIFS($G$7:$G2449,$G2449,$H$7:$H2449,"&lt;&gt;Mahsup"))</f>
        <v/>
      </c>
    </row>
    <row r="2450" spans="1:21" ht="18" customHeight="1" x14ac:dyDescent="0.3">
      <c r="A2450" s="2"/>
      <c r="B2450" s="65" t="str">
        <f>IF($D2450="","","T"&amp;TEXT(ROW()-6,"00000"))</f>
        <v/>
      </c>
      <c r="C2450" s="65" t="str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61"/>
      <c r="E2450" s="66"/>
      <c r="F2450" s="67"/>
      <c r="G2450" s="60"/>
      <c r="H2450" s="60"/>
      <c r="I2450" s="61"/>
      <c r="J2450" s="61"/>
      <c r="K2450" s="61"/>
      <c r="L2450" s="73" t="str">
        <f>IF($E2450="","",DATE(YEAR($E2450),MONTH($E2450),1))</f>
        <v/>
      </c>
      <c r="M2450" s="65" t="str">
        <f ca="1">IF($D2450="","",IF($C2450="TANIMSIZ MÜŞTERİ","HATA",IF(OR($E2450="",$F2450&lt;=0,$G2450=""),"EKSİK",IF($E2450&gt;TODAY(),"İLERİ TARİH",IF(COUNTIF($S$7:$S$2503,$S2450)&gt;1,"MÜKERRER?",IF($T2450&gt;0,"KAPALI DÖNEM","UYGUN"))))))</f>
        <v/>
      </c>
      <c r="N2450" s="74" t="str">
        <f>IF($C2450="","",IF($C2450="TANIMSIZ MÜŞTERİ","—",INDEX(MUSTERILER!$C$7:$C$156,MATCH($C2450,MUSTERILER!$B$7:$B$156,0))))</f>
        <v/>
      </c>
      <c r="O2450" s="2"/>
      <c r="P2450" s="2"/>
      <c r="Q2450" s="1" t="str">
        <f>IF($D2450="","",$C2450&amp;"|"&amp;COUNTIFS($C$7:$C2450,$C2450))</f>
        <v/>
      </c>
      <c r="R2450" s="1" t="str">
        <f t="shared" si="76"/>
        <v/>
      </c>
      <c r="S2450" s="1" t="str">
        <f t="shared" si="77"/>
        <v/>
      </c>
      <c r="T2450" s="1">
        <f>IF($E2450="",0,SUMPRODUCT((AY_SONU!$O$7:$O$42="Evet")*(AY_SONU!$B$7:$B$42=DATE(YEAR($E2450),MONTH($E2450),1))))</f>
        <v>0</v>
      </c>
      <c r="U2450" s="1" t="str">
        <f>IF(OR($G2450="",$H2450="Mahsup"),"",$G2450&amp;"|"&amp;COUNTIFS($G$7:$G2450,$G2450,$H$7:$H2450,"&lt;&gt;Mahsup"))</f>
        <v/>
      </c>
    </row>
    <row r="2451" spans="1:21" ht="18" customHeight="1" x14ac:dyDescent="0.3">
      <c r="A2451" s="2"/>
      <c r="B2451" s="65" t="str">
        <f>IF($D2451="","","T"&amp;TEXT(ROW()-6,"00000"))</f>
        <v/>
      </c>
      <c r="C2451" s="65" t="str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61"/>
      <c r="E2451" s="66"/>
      <c r="F2451" s="67"/>
      <c r="G2451" s="60"/>
      <c r="H2451" s="60"/>
      <c r="I2451" s="61"/>
      <c r="J2451" s="61"/>
      <c r="K2451" s="61"/>
      <c r="L2451" s="73" t="str">
        <f>IF($E2451="","",DATE(YEAR($E2451),MONTH($E2451),1))</f>
        <v/>
      </c>
      <c r="M2451" s="65" t="str">
        <f ca="1">IF($D2451="","",IF($C2451="TANIMSIZ MÜŞTERİ","HATA",IF(OR($E2451="",$F2451&lt;=0,$G2451=""),"EKSİK",IF($E2451&gt;TODAY(),"İLERİ TARİH",IF(COUNTIF($S$7:$S$2503,$S2451)&gt;1,"MÜKERRER?",IF($T2451&gt;0,"KAPALI DÖNEM","UYGUN"))))))</f>
        <v/>
      </c>
      <c r="N2451" s="74" t="str">
        <f>IF($C2451="","",IF($C2451="TANIMSIZ MÜŞTERİ","—",INDEX(MUSTERILER!$C$7:$C$156,MATCH($C2451,MUSTERILER!$B$7:$B$156,0))))</f>
        <v/>
      </c>
      <c r="O2451" s="2"/>
      <c r="P2451" s="2"/>
      <c r="Q2451" s="1" t="str">
        <f>IF($D2451="","",$C2451&amp;"|"&amp;COUNTIFS($C$7:$C2451,$C2451))</f>
        <v/>
      </c>
      <c r="R2451" s="1" t="str">
        <f t="shared" si="76"/>
        <v/>
      </c>
      <c r="S2451" s="1" t="str">
        <f t="shared" si="77"/>
        <v/>
      </c>
      <c r="T2451" s="1">
        <f>IF($E2451="",0,SUMPRODUCT((AY_SONU!$O$7:$O$42="Evet")*(AY_SONU!$B$7:$B$42=DATE(YEAR($E2451),MONTH($E2451),1))))</f>
        <v>0</v>
      </c>
      <c r="U2451" s="1" t="str">
        <f>IF(OR($G2451="",$H2451="Mahsup"),"",$G2451&amp;"|"&amp;COUNTIFS($G$7:$G2451,$G2451,$H$7:$H2451,"&lt;&gt;Mahsup"))</f>
        <v/>
      </c>
    </row>
    <row r="2452" spans="1:21" ht="18" customHeight="1" x14ac:dyDescent="0.3">
      <c r="A2452" s="2"/>
      <c r="B2452" s="65" t="str">
        <f>IF($D2452="","","T"&amp;TEXT(ROW()-6,"00000"))</f>
        <v/>
      </c>
      <c r="C2452" s="65" t="str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61"/>
      <c r="E2452" s="66"/>
      <c r="F2452" s="67"/>
      <c r="G2452" s="60"/>
      <c r="H2452" s="60"/>
      <c r="I2452" s="61"/>
      <c r="J2452" s="61"/>
      <c r="K2452" s="61"/>
      <c r="L2452" s="73" t="str">
        <f>IF($E2452="","",DATE(YEAR($E2452),MONTH($E2452),1))</f>
        <v/>
      </c>
      <c r="M2452" s="65" t="str">
        <f ca="1">IF($D2452="","",IF($C2452="TANIMSIZ MÜŞTERİ","HATA",IF(OR($E2452="",$F2452&lt;=0,$G2452=""),"EKSİK",IF($E2452&gt;TODAY(),"İLERİ TARİH",IF(COUNTIF($S$7:$S$2503,$S2452)&gt;1,"MÜKERRER?",IF($T2452&gt;0,"KAPALI DÖNEM","UYGUN"))))))</f>
        <v/>
      </c>
      <c r="N2452" s="74" t="str">
        <f>IF($C2452="","",IF($C2452="TANIMSIZ MÜŞTERİ","—",INDEX(MUSTERILER!$C$7:$C$156,MATCH($C2452,MUSTERILER!$B$7:$B$156,0))))</f>
        <v/>
      </c>
      <c r="O2452" s="2"/>
      <c r="P2452" s="2"/>
      <c r="Q2452" s="1" t="str">
        <f>IF($D2452="","",$C2452&amp;"|"&amp;COUNTIFS($C$7:$C2452,$C2452))</f>
        <v/>
      </c>
      <c r="R2452" s="1" t="str">
        <f t="shared" si="76"/>
        <v/>
      </c>
      <c r="S2452" s="1" t="str">
        <f t="shared" si="77"/>
        <v/>
      </c>
      <c r="T2452" s="1">
        <f>IF($E2452="",0,SUMPRODUCT((AY_SONU!$O$7:$O$42="Evet")*(AY_SONU!$B$7:$B$42=DATE(YEAR($E2452),MONTH($E2452),1))))</f>
        <v>0</v>
      </c>
      <c r="U2452" s="1" t="str">
        <f>IF(OR($G2452="",$H2452="Mahsup"),"",$G2452&amp;"|"&amp;COUNTIFS($G$7:$G2452,$G2452,$H$7:$H2452,"&lt;&gt;Mahsup"))</f>
        <v/>
      </c>
    </row>
    <row r="2453" spans="1:21" ht="18" customHeight="1" x14ac:dyDescent="0.3">
      <c r="A2453" s="2"/>
      <c r="B2453" s="65" t="str">
        <f>IF($D2453="","","T"&amp;TEXT(ROW()-6,"00000"))</f>
        <v/>
      </c>
      <c r="C2453" s="65" t="str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61"/>
      <c r="E2453" s="66"/>
      <c r="F2453" s="67"/>
      <c r="G2453" s="60"/>
      <c r="H2453" s="60"/>
      <c r="I2453" s="61"/>
      <c r="J2453" s="61"/>
      <c r="K2453" s="61"/>
      <c r="L2453" s="73" t="str">
        <f>IF($E2453="","",DATE(YEAR($E2453),MONTH($E2453),1))</f>
        <v/>
      </c>
      <c r="M2453" s="65" t="str">
        <f ca="1">IF($D2453="","",IF($C2453="TANIMSIZ MÜŞTERİ","HATA",IF(OR($E2453="",$F2453&lt;=0,$G2453=""),"EKSİK",IF($E2453&gt;TODAY(),"İLERİ TARİH",IF(COUNTIF($S$7:$S$2503,$S2453)&gt;1,"MÜKERRER?",IF($T2453&gt;0,"KAPALI DÖNEM","UYGUN"))))))</f>
        <v/>
      </c>
      <c r="N2453" s="74" t="str">
        <f>IF($C2453="","",IF($C2453="TANIMSIZ MÜŞTERİ","—",INDEX(MUSTERILER!$C$7:$C$156,MATCH($C2453,MUSTERILER!$B$7:$B$156,0))))</f>
        <v/>
      </c>
      <c r="O2453" s="2"/>
      <c r="P2453" s="2"/>
      <c r="Q2453" s="1" t="str">
        <f>IF($D2453="","",$C2453&amp;"|"&amp;COUNTIFS($C$7:$C2453,$C2453))</f>
        <v/>
      </c>
      <c r="R2453" s="1" t="str">
        <f t="shared" si="76"/>
        <v/>
      </c>
      <c r="S2453" s="1" t="str">
        <f t="shared" si="77"/>
        <v/>
      </c>
      <c r="T2453" s="1">
        <f>IF($E2453="",0,SUMPRODUCT((AY_SONU!$O$7:$O$42="Evet")*(AY_SONU!$B$7:$B$42=DATE(YEAR($E2453),MONTH($E2453),1))))</f>
        <v>0</v>
      </c>
      <c r="U2453" s="1" t="str">
        <f>IF(OR($G2453="",$H2453="Mahsup"),"",$G2453&amp;"|"&amp;COUNTIFS($G$7:$G2453,$G2453,$H$7:$H2453,"&lt;&gt;Mahsup"))</f>
        <v/>
      </c>
    </row>
    <row r="2454" spans="1:21" ht="18" customHeight="1" x14ac:dyDescent="0.3">
      <c r="A2454" s="2"/>
      <c r="B2454" s="65" t="str">
        <f>IF($D2454="","","T"&amp;TEXT(ROW()-6,"00000"))</f>
        <v/>
      </c>
      <c r="C2454" s="65" t="str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61"/>
      <c r="E2454" s="66"/>
      <c r="F2454" s="67"/>
      <c r="G2454" s="60"/>
      <c r="H2454" s="60"/>
      <c r="I2454" s="61"/>
      <c r="J2454" s="61"/>
      <c r="K2454" s="61"/>
      <c r="L2454" s="73" t="str">
        <f>IF($E2454="","",DATE(YEAR($E2454),MONTH($E2454),1))</f>
        <v/>
      </c>
      <c r="M2454" s="65" t="str">
        <f ca="1">IF($D2454="","",IF($C2454="TANIMSIZ MÜŞTERİ","HATA",IF(OR($E2454="",$F2454&lt;=0,$G2454=""),"EKSİK",IF($E2454&gt;TODAY(),"İLERİ TARİH",IF(COUNTIF($S$7:$S$2503,$S2454)&gt;1,"MÜKERRER?",IF($T2454&gt;0,"KAPALI DÖNEM","UYGUN"))))))</f>
        <v/>
      </c>
      <c r="N2454" s="74" t="str">
        <f>IF($C2454="","",IF($C2454="TANIMSIZ MÜŞTERİ","—",INDEX(MUSTERILER!$C$7:$C$156,MATCH($C2454,MUSTERILER!$B$7:$B$156,0))))</f>
        <v/>
      </c>
      <c r="O2454" s="2"/>
      <c r="P2454" s="2"/>
      <c r="Q2454" s="1" t="str">
        <f>IF($D2454="","",$C2454&amp;"|"&amp;COUNTIFS($C$7:$C2454,$C2454))</f>
        <v/>
      </c>
      <c r="R2454" s="1" t="str">
        <f t="shared" si="76"/>
        <v/>
      </c>
      <c r="S2454" s="1" t="str">
        <f t="shared" si="77"/>
        <v/>
      </c>
      <c r="T2454" s="1">
        <f>IF($E2454="",0,SUMPRODUCT((AY_SONU!$O$7:$O$42="Evet")*(AY_SONU!$B$7:$B$42=DATE(YEAR($E2454),MONTH($E2454),1))))</f>
        <v>0</v>
      </c>
      <c r="U2454" s="1" t="str">
        <f>IF(OR($G2454="",$H2454="Mahsup"),"",$G2454&amp;"|"&amp;COUNTIFS($G$7:$G2454,$G2454,$H$7:$H2454,"&lt;&gt;Mahsup"))</f>
        <v/>
      </c>
    </row>
    <row r="2455" spans="1:21" ht="18" customHeight="1" x14ac:dyDescent="0.3">
      <c r="A2455" s="2"/>
      <c r="B2455" s="65" t="str">
        <f>IF($D2455="","","T"&amp;TEXT(ROW()-6,"00000"))</f>
        <v/>
      </c>
      <c r="C2455" s="65" t="str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61"/>
      <c r="E2455" s="66"/>
      <c r="F2455" s="67"/>
      <c r="G2455" s="60"/>
      <c r="H2455" s="60"/>
      <c r="I2455" s="61"/>
      <c r="J2455" s="61"/>
      <c r="K2455" s="61"/>
      <c r="L2455" s="73" t="str">
        <f>IF($E2455="","",DATE(YEAR($E2455),MONTH($E2455),1))</f>
        <v/>
      </c>
      <c r="M2455" s="65" t="str">
        <f ca="1">IF($D2455="","",IF($C2455="TANIMSIZ MÜŞTERİ","HATA",IF(OR($E2455="",$F2455&lt;=0,$G2455=""),"EKSİK",IF($E2455&gt;TODAY(),"İLERİ TARİH",IF(COUNTIF($S$7:$S$2503,$S2455)&gt;1,"MÜKERRER?",IF($T2455&gt;0,"KAPALI DÖNEM","UYGUN"))))))</f>
        <v/>
      </c>
      <c r="N2455" s="74" t="str">
        <f>IF($C2455="","",IF($C2455="TANIMSIZ MÜŞTERİ","—",INDEX(MUSTERILER!$C$7:$C$156,MATCH($C2455,MUSTERILER!$B$7:$B$156,0))))</f>
        <v/>
      </c>
      <c r="O2455" s="2"/>
      <c r="P2455" s="2"/>
      <c r="Q2455" s="1" t="str">
        <f>IF($D2455="","",$C2455&amp;"|"&amp;COUNTIFS($C$7:$C2455,$C2455))</f>
        <v/>
      </c>
      <c r="R2455" s="1" t="str">
        <f t="shared" si="76"/>
        <v/>
      </c>
      <c r="S2455" s="1" t="str">
        <f t="shared" si="77"/>
        <v/>
      </c>
      <c r="T2455" s="1">
        <f>IF($E2455="",0,SUMPRODUCT((AY_SONU!$O$7:$O$42="Evet")*(AY_SONU!$B$7:$B$42=DATE(YEAR($E2455),MONTH($E2455),1))))</f>
        <v>0</v>
      </c>
      <c r="U2455" s="1" t="str">
        <f>IF(OR($G2455="",$H2455="Mahsup"),"",$G2455&amp;"|"&amp;COUNTIFS($G$7:$G2455,$G2455,$H$7:$H2455,"&lt;&gt;Mahsup"))</f>
        <v/>
      </c>
    </row>
    <row r="2456" spans="1:21" ht="18" customHeight="1" x14ac:dyDescent="0.3">
      <c r="A2456" s="2"/>
      <c r="B2456" s="65" t="str">
        <f>IF($D2456="","","T"&amp;TEXT(ROW()-6,"00000"))</f>
        <v/>
      </c>
      <c r="C2456" s="65" t="str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61"/>
      <c r="E2456" s="66"/>
      <c r="F2456" s="67"/>
      <c r="G2456" s="60"/>
      <c r="H2456" s="60"/>
      <c r="I2456" s="61"/>
      <c r="J2456" s="61"/>
      <c r="K2456" s="61"/>
      <c r="L2456" s="73" t="str">
        <f>IF($E2456="","",DATE(YEAR($E2456),MONTH($E2456),1))</f>
        <v/>
      </c>
      <c r="M2456" s="65" t="str">
        <f ca="1">IF($D2456="","",IF($C2456="TANIMSIZ MÜŞTERİ","HATA",IF(OR($E2456="",$F2456&lt;=0,$G2456=""),"EKSİK",IF($E2456&gt;TODAY(),"İLERİ TARİH",IF(COUNTIF($S$7:$S$2503,$S2456)&gt;1,"MÜKERRER?",IF($T2456&gt;0,"KAPALI DÖNEM","UYGUN"))))))</f>
        <v/>
      </c>
      <c r="N2456" s="74" t="str">
        <f>IF($C2456="","",IF($C2456="TANIMSIZ MÜŞTERİ","—",INDEX(MUSTERILER!$C$7:$C$156,MATCH($C2456,MUSTERILER!$B$7:$B$156,0))))</f>
        <v/>
      </c>
      <c r="O2456" s="2"/>
      <c r="P2456" s="2"/>
      <c r="Q2456" s="1" t="str">
        <f>IF($D2456="","",$C2456&amp;"|"&amp;COUNTIFS($C$7:$C2456,$C2456))</f>
        <v/>
      </c>
      <c r="R2456" s="1" t="str">
        <f t="shared" si="76"/>
        <v/>
      </c>
      <c r="S2456" s="1" t="str">
        <f t="shared" si="77"/>
        <v/>
      </c>
      <c r="T2456" s="1">
        <f>IF($E2456="",0,SUMPRODUCT((AY_SONU!$O$7:$O$42="Evet")*(AY_SONU!$B$7:$B$42=DATE(YEAR($E2456),MONTH($E2456),1))))</f>
        <v>0</v>
      </c>
      <c r="U2456" s="1" t="str">
        <f>IF(OR($G2456="",$H2456="Mahsup"),"",$G2456&amp;"|"&amp;COUNTIFS($G$7:$G2456,$G2456,$H$7:$H2456,"&lt;&gt;Mahsup"))</f>
        <v/>
      </c>
    </row>
    <row r="2457" spans="1:21" ht="18" customHeight="1" x14ac:dyDescent="0.3">
      <c r="A2457" s="2"/>
      <c r="B2457" s="65" t="str">
        <f>IF($D2457="","","T"&amp;TEXT(ROW()-6,"00000"))</f>
        <v/>
      </c>
      <c r="C2457" s="65" t="str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61"/>
      <c r="E2457" s="66"/>
      <c r="F2457" s="67"/>
      <c r="G2457" s="60"/>
      <c r="H2457" s="60"/>
      <c r="I2457" s="61"/>
      <c r="J2457" s="61"/>
      <c r="K2457" s="61"/>
      <c r="L2457" s="73" t="str">
        <f>IF($E2457="","",DATE(YEAR($E2457),MONTH($E2457),1))</f>
        <v/>
      </c>
      <c r="M2457" s="65" t="str">
        <f ca="1">IF($D2457="","",IF($C2457="TANIMSIZ MÜŞTERİ","HATA",IF(OR($E2457="",$F2457&lt;=0,$G2457=""),"EKSİK",IF($E2457&gt;TODAY(),"İLERİ TARİH",IF(COUNTIF($S$7:$S$2503,$S2457)&gt;1,"MÜKERRER?",IF($T2457&gt;0,"KAPALI DÖNEM","UYGUN"))))))</f>
        <v/>
      </c>
      <c r="N2457" s="74" t="str">
        <f>IF($C2457="","",IF($C2457="TANIMSIZ MÜŞTERİ","—",INDEX(MUSTERILER!$C$7:$C$156,MATCH($C2457,MUSTERILER!$B$7:$B$156,0))))</f>
        <v/>
      </c>
      <c r="O2457" s="2"/>
      <c r="P2457" s="2"/>
      <c r="Q2457" s="1" t="str">
        <f>IF($D2457="","",$C2457&amp;"|"&amp;COUNTIFS($C$7:$C2457,$C2457))</f>
        <v/>
      </c>
      <c r="R2457" s="1" t="str">
        <f t="shared" si="76"/>
        <v/>
      </c>
      <c r="S2457" s="1" t="str">
        <f t="shared" si="77"/>
        <v/>
      </c>
      <c r="T2457" s="1">
        <f>IF($E2457="",0,SUMPRODUCT((AY_SONU!$O$7:$O$42="Evet")*(AY_SONU!$B$7:$B$42=DATE(YEAR($E2457),MONTH($E2457),1))))</f>
        <v>0</v>
      </c>
      <c r="U2457" s="1" t="str">
        <f>IF(OR($G2457="",$H2457="Mahsup"),"",$G2457&amp;"|"&amp;COUNTIFS($G$7:$G2457,$G2457,$H$7:$H2457,"&lt;&gt;Mahsup"))</f>
        <v/>
      </c>
    </row>
    <row r="2458" spans="1:21" ht="18" customHeight="1" x14ac:dyDescent="0.3">
      <c r="A2458" s="2"/>
      <c r="B2458" s="65" t="str">
        <f>IF($D2458="","","T"&amp;TEXT(ROW()-6,"00000"))</f>
        <v/>
      </c>
      <c r="C2458" s="65" t="str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61"/>
      <c r="E2458" s="66"/>
      <c r="F2458" s="67"/>
      <c r="G2458" s="60"/>
      <c r="H2458" s="60"/>
      <c r="I2458" s="61"/>
      <c r="J2458" s="61"/>
      <c r="K2458" s="61"/>
      <c r="L2458" s="73" t="str">
        <f>IF($E2458="","",DATE(YEAR($E2458),MONTH($E2458),1))</f>
        <v/>
      </c>
      <c r="M2458" s="65" t="str">
        <f ca="1">IF($D2458="","",IF($C2458="TANIMSIZ MÜŞTERİ","HATA",IF(OR($E2458="",$F2458&lt;=0,$G2458=""),"EKSİK",IF($E2458&gt;TODAY(),"İLERİ TARİH",IF(COUNTIF($S$7:$S$2503,$S2458)&gt;1,"MÜKERRER?",IF($T2458&gt;0,"KAPALI DÖNEM","UYGUN"))))))</f>
        <v/>
      </c>
      <c r="N2458" s="74" t="str">
        <f>IF($C2458="","",IF($C2458="TANIMSIZ MÜŞTERİ","—",INDEX(MUSTERILER!$C$7:$C$156,MATCH($C2458,MUSTERILER!$B$7:$B$156,0))))</f>
        <v/>
      </c>
      <c r="O2458" s="2"/>
      <c r="P2458" s="2"/>
      <c r="Q2458" s="1" t="str">
        <f>IF($D2458="","",$C2458&amp;"|"&amp;COUNTIFS($C$7:$C2458,$C2458))</f>
        <v/>
      </c>
      <c r="R2458" s="1" t="str">
        <f t="shared" si="76"/>
        <v/>
      </c>
      <c r="S2458" s="1" t="str">
        <f t="shared" si="77"/>
        <v/>
      </c>
      <c r="T2458" s="1">
        <f>IF($E2458="",0,SUMPRODUCT((AY_SONU!$O$7:$O$42="Evet")*(AY_SONU!$B$7:$B$42=DATE(YEAR($E2458),MONTH($E2458),1))))</f>
        <v>0</v>
      </c>
      <c r="U2458" s="1" t="str">
        <f>IF(OR($G2458="",$H2458="Mahsup"),"",$G2458&amp;"|"&amp;COUNTIFS($G$7:$G2458,$G2458,$H$7:$H2458,"&lt;&gt;Mahsup"))</f>
        <v/>
      </c>
    </row>
    <row r="2459" spans="1:21" ht="18" customHeight="1" x14ac:dyDescent="0.3">
      <c r="A2459" s="2"/>
      <c r="B2459" s="65" t="str">
        <f>IF($D2459="","","T"&amp;TEXT(ROW()-6,"00000"))</f>
        <v/>
      </c>
      <c r="C2459" s="65" t="str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61"/>
      <c r="E2459" s="66"/>
      <c r="F2459" s="67"/>
      <c r="G2459" s="60"/>
      <c r="H2459" s="60"/>
      <c r="I2459" s="61"/>
      <c r="J2459" s="61"/>
      <c r="K2459" s="61"/>
      <c r="L2459" s="73" t="str">
        <f>IF($E2459="","",DATE(YEAR($E2459),MONTH($E2459),1))</f>
        <v/>
      </c>
      <c r="M2459" s="65" t="str">
        <f ca="1">IF($D2459="","",IF($C2459="TANIMSIZ MÜŞTERİ","HATA",IF(OR($E2459="",$F2459&lt;=0,$G2459=""),"EKSİK",IF($E2459&gt;TODAY(),"İLERİ TARİH",IF(COUNTIF($S$7:$S$2503,$S2459)&gt;1,"MÜKERRER?",IF($T2459&gt;0,"KAPALI DÖNEM","UYGUN"))))))</f>
        <v/>
      </c>
      <c r="N2459" s="74" t="str">
        <f>IF($C2459="","",IF($C2459="TANIMSIZ MÜŞTERİ","—",INDEX(MUSTERILER!$C$7:$C$156,MATCH($C2459,MUSTERILER!$B$7:$B$156,0))))</f>
        <v/>
      </c>
      <c r="O2459" s="2"/>
      <c r="P2459" s="2"/>
      <c r="Q2459" s="1" t="str">
        <f>IF($D2459="","",$C2459&amp;"|"&amp;COUNTIFS($C$7:$C2459,$C2459))</f>
        <v/>
      </c>
      <c r="R2459" s="1" t="str">
        <f t="shared" si="76"/>
        <v/>
      </c>
      <c r="S2459" s="1" t="str">
        <f t="shared" si="77"/>
        <v/>
      </c>
      <c r="T2459" s="1">
        <f>IF($E2459="",0,SUMPRODUCT((AY_SONU!$O$7:$O$42="Evet")*(AY_SONU!$B$7:$B$42=DATE(YEAR($E2459),MONTH($E2459),1))))</f>
        <v>0</v>
      </c>
      <c r="U2459" s="1" t="str">
        <f>IF(OR($G2459="",$H2459="Mahsup"),"",$G2459&amp;"|"&amp;COUNTIFS($G$7:$G2459,$G2459,$H$7:$H2459,"&lt;&gt;Mahsup"))</f>
        <v/>
      </c>
    </row>
    <row r="2460" spans="1:21" ht="18" customHeight="1" x14ac:dyDescent="0.3">
      <c r="A2460" s="2"/>
      <c r="B2460" s="65" t="str">
        <f>IF($D2460="","","T"&amp;TEXT(ROW()-6,"00000"))</f>
        <v/>
      </c>
      <c r="C2460" s="65" t="str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61"/>
      <c r="E2460" s="66"/>
      <c r="F2460" s="67"/>
      <c r="G2460" s="60"/>
      <c r="H2460" s="60"/>
      <c r="I2460" s="61"/>
      <c r="J2460" s="61"/>
      <c r="K2460" s="61"/>
      <c r="L2460" s="73" t="str">
        <f>IF($E2460="","",DATE(YEAR($E2460),MONTH($E2460),1))</f>
        <v/>
      </c>
      <c r="M2460" s="65" t="str">
        <f ca="1">IF($D2460="","",IF($C2460="TANIMSIZ MÜŞTERİ","HATA",IF(OR($E2460="",$F2460&lt;=0,$G2460=""),"EKSİK",IF($E2460&gt;TODAY(),"İLERİ TARİH",IF(COUNTIF($S$7:$S$2503,$S2460)&gt;1,"MÜKERRER?",IF($T2460&gt;0,"KAPALI DÖNEM","UYGUN"))))))</f>
        <v/>
      </c>
      <c r="N2460" s="74" t="str">
        <f>IF($C2460="","",IF($C2460="TANIMSIZ MÜŞTERİ","—",INDEX(MUSTERILER!$C$7:$C$156,MATCH($C2460,MUSTERILER!$B$7:$B$156,0))))</f>
        <v/>
      </c>
      <c r="O2460" s="2"/>
      <c r="P2460" s="2"/>
      <c r="Q2460" s="1" t="str">
        <f>IF($D2460="","",$C2460&amp;"|"&amp;COUNTIFS($C$7:$C2460,$C2460))</f>
        <v/>
      </c>
      <c r="R2460" s="1" t="str">
        <f t="shared" si="76"/>
        <v/>
      </c>
      <c r="S2460" s="1" t="str">
        <f t="shared" si="77"/>
        <v/>
      </c>
      <c r="T2460" s="1">
        <f>IF($E2460="",0,SUMPRODUCT((AY_SONU!$O$7:$O$42="Evet")*(AY_SONU!$B$7:$B$42=DATE(YEAR($E2460),MONTH($E2460),1))))</f>
        <v>0</v>
      </c>
      <c r="U2460" s="1" t="str">
        <f>IF(OR($G2460="",$H2460="Mahsup"),"",$G2460&amp;"|"&amp;COUNTIFS($G$7:$G2460,$G2460,$H$7:$H2460,"&lt;&gt;Mahsup"))</f>
        <v/>
      </c>
    </row>
    <row r="2461" spans="1:21" ht="18" customHeight="1" x14ac:dyDescent="0.3">
      <c r="A2461" s="2"/>
      <c r="B2461" s="65" t="str">
        <f>IF($D2461="","","T"&amp;TEXT(ROW()-6,"00000"))</f>
        <v/>
      </c>
      <c r="C2461" s="65" t="str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61"/>
      <c r="E2461" s="66"/>
      <c r="F2461" s="67"/>
      <c r="G2461" s="60"/>
      <c r="H2461" s="60"/>
      <c r="I2461" s="61"/>
      <c r="J2461" s="61"/>
      <c r="K2461" s="61"/>
      <c r="L2461" s="73" t="str">
        <f>IF($E2461="","",DATE(YEAR($E2461),MONTH($E2461),1))</f>
        <v/>
      </c>
      <c r="M2461" s="65" t="str">
        <f ca="1">IF($D2461="","",IF($C2461="TANIMSIZ MÜŞTERİ","HATA",IF(OR($E2461="",$F2461&lt;=0,$G2461=""),"EKSİK",IF($E2461&gt;TODAY(),"İLERİ TARİH",IF(COUNTIF($S$7:$S$2503,$S2461)&gt;1,"MÜKERRER?",IF($T2461&gt;0,"KAPALI DÖNEM","UYGUN"))))))</f>
        <v/>
      </c>
      <c r="N2461" s="74" t="str">
        <f>IF($C2461="","",IF($C2461="TANIMSIZ MÜŞTERİ","—",INDEX(MUSTERILER!$C$7:$C$156,MATCH($C2461,MUSTERILER!$B$7:$B$156,0))))</f>
        <v/>
      </c>
      <c r="O2461" s="2"/>
      <c r="P2461" s="2"/>
      <c r="Q2461" s="1" t="str">
        <f>IF($D2461="","",$C2461&amp;"|"&amp;COUNTIFS($C$7:$C2461,$C2461))</f>
        <v/>
      </c>
      <c r="R2461" s="1" t="str">
        <f t="shared" si="76"/>
        <v/>
      </c>
      <c r="S2461" s="1" t="str">
        <f t="shared" si="77"/>
        <v/>
      </c>
      <c r="T2461" s="1">
        <f>IF($E2461="",0,SUMPRODUCT((AY_SONU!$O$7:$O$42="Evet")*(AY_SONU!$B$7:$B$42=DATE(YEAR($E2461),MONTH($E2461),1))))</f>
        <v>0</v>
      </c>
      <c r="U2461" s="1" t="str">
        <f>IF(OR($G2461="",$H2461="Mahsup"),"",$G2461&amp;"|"&amp;COUNTIFS($G$7:$G2461,$G2461,$H$7:$H2461,"&lt;&gt;Mahsup"))</f>
        <v/>
      </c>
    </row>
    <row r="2462" spans="1:21" ht="18" customHeight="1" x14ac:dyDescent="0.3">
      <c r="A2462" s="2"/>
      <c r="B2462" s="65" t="str">
        <f>IF($D2462="","","T"&amp;TEXT(ROW()-6,"00000"))</f>
        <v/>
      </c>
      <c r="C2462" s="65" t="str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61"/>
      <c r="E2462" s="66"/>
      <c r="F2462" s="67"/>
      <c r="G2462" s="60"/>
      <c r="H2462" s="60"/>
      <c r="I2462" s="61"/>
      <c r="J2462" s="61"/>
      <c r="K2462" s="61"/>
      <c r="L2462" s="73" t="str">
        <f>IF($E2462="","",DATE(YEAR($E2462),MONTH($E2462),1))</f>
        <v/>
      </c>
      <c r="M2462" s="65" t="str">
        <f ca="1">IF($D2462="","",IF($C2462="TANIMSIZ MÜŞTERİ","HATA",IF(OR($E2462="",$F2462&lt;=0,$G2462=""),"EKSİK",IF($E2462&gt;TODAY(),"İLERİ TARİH",IF(COUNTIF($S$7:$S$2503,$S2462)&gt;1,"MÜKERRER?",IF($T2462&gt;0,"KAPALI DÖNEM","UYGUN"))))))</f>
        <v/>
      </c>
      <c r="N2462" s="74" t="str">
        <f>IF($C2462="","",IF($C2462="TANIMSIZ MÜŞTERİ","—",INDEX(MUSTERILER!$C$7:$C$156,MATCH($C2462,MUSTERILER!$B$7:$B$156,0))))</f>
        <v/>
      </c>
      <c r="O2462" s="2"/>
      <c r="P2462" s="2"/>
      <c r="Q2462" s="1" t="str">
        <f>IF($D2462="","",$C2462&amp;"|"&amp;COUNTIFS($C$7:$C2462,$C2462))</f>
        <v/>
      </c>
      <c r="R2462" s="1" t="str">
        <f t="shared" si="76"/>
        <v/>
      </c>
      <c r="S2462" s="1" t="str">
        <f t="shared" si="77"/>
        <v/>
      </c>
      <c r="T2462" s="1">
        <f>IF($E2462="",0,SUMPRODUCT((AY_SONU!$O$7:$O$42="Evet")*(AY_SONU!$B$7:$B$42=DATE(YEAR($E2462),MONTH($E2462),1))))</f>
        <v>0</v>
      </c>
      <c r="U2462" s="1" t="str">
        <f>IF(OR($G2462="",$H2462="Mahsup"),"",$G2462&amp;"|"&amp;COUNTIFS($G$7:$G2462,$G2462,$H$7:$H2462,"&lt;&gt;Mahsup"))</f>
        <v/>
      </c>
    </row>
    <row r="2463" spans="1:21" ht="18" customHeight="1" x14ac:dyDescent="0.3">
      <c r="A2463" s="2"/>
      <c r="B2463" s="65" t="str">
        <f>IF($D2463="","","T"&amp;TEXT(ROW()-6,"00000"))</f>
        <v/>
      </c>
      <c r="C2463" s="65" t="str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61"/>
      <c r="E2463" s="66"/>
      <c r="F2463" s="67"/>
      <c r="G2463" s="60"/>
      <c r="H2463" s="60"/>
      <c r="I2463" s="61"/>
      <c r="J2463" s="61"/>
      <c r="K2463" s="61"/>
      <c r="L2463" s="73" t="str">
        <f>IF($E2463="","",DATE(YEAR($E2463),MONTH($E2463),1))</f>
        <v/>
      </c>
      <c r="M2463" s="65" t="str">
        <f ca="1">IF($D2463="","",IF($C2463="TANIMSIZ MÜŞTERİ","HATA",IF(OR($E2463="",$F2463&lt;=0,$G2463=""),"EKSİK",IF($E2463&gt;TODAY(),"İLERİ TARİH",IF(COUNTIF($S$7:$S$2503,$S2463)&gt;1,"MÜKERRER?",IF($T2463&gt;0,"KAPALI DÖNEM","UYGUN"))))))</f>
        <v/>
      </c>
      <c r="N2463" s="74" t="str">
        <f>IF($C2463="","",IF($C2463="TANIMSIZ MÜŞTERİ","—",INDEX(MUSTERILER!$C$7:$C$156,MATCH($C2463,MUSTERILER!$B$7:$B$156,0))))</f>
        <v/>
      </c>
      <c r="O2463" s="2"/>
      <c r="P2463" s="2"/>
      <c r="Q2463" s="1" t="str">
        <f>IF($D2463="","",$C2463&amp;"|"&amp;COUNTIFS($C$7:$C2463,$C2463))</f>
        <v/>
      </c>
      <c r="R2463" s="1" t="str">
        <f t="shared" si="76"/>
        <v/>
      </c>
      <c r="S2463" s="1" t="str">
        <f t="shared" si="77"/>
        <v/>
      </c>
      <c r="T2463" s="1">
        <f>IF($E2463="",0,SUMPRODUCT((AY_SONU!$O$7:$O$42="Evet")*(AY_SONU!$B$7:$B$42=DATE(YEAR($E2463),MONTH($E2463),1))))</f>
        <v>0</v>
      </c>
      <c r="U2463" s="1" t="str">
        <f>IF(OR($G2463="",$H2463="Mahsup"),"",$G2463&amp;"|"&amp;COUNTIFS($G$7:$G2463,$G2463,$H$7:$H2463,"&lt;&gt;Mahsup"))</f>
        <v/>
      </c>
    </row>
    <row r="2464" spans="1:21" ht="18" customHeight="1" x14ac:dyDescent="0.3">
      <c r="A2464" s="2"/>
      <c r="B2464" s="65" t="str">
        <f>IF($D2464="","","T"&amp;TEXT(ROW()-6,"00000"))</f>
        <v/>
      </c>
      <c r="C2464" s="65" t="str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61"/>
      <c r="E2464" s="66"/>
      <c r="F2464" s="67"/>
      <c r="G2464" s="60"/>
      <c r="H2464" s="60"/>
      <c r="I2464" s="61"/>
      <c r="J2464" s="61"/>
      <c r="K2464" s="61"/>
      <c r="L2464" s="73" t="str">
        <f>IF($E2464="","",DATE(YEAR($E2464),MONTH($E2464),1))</f>
        <v/>
      </c>
      <c r="M2464" s="65" t="str">
        <f ca="1">IF($D2464="","",IF($C2464="TANIMSIZ MÜŞTERİ","HATA",IF(OR($E2464="",$F2464&lt;=0,$G2464=""),"EKSİK",IF($E2464&gt;TODAY(),"İLERİ TARİH",IF(COUNTIF($S$7:$S$2503,$S2464)&gt;1,"MÜKERRER?",IF($T2464&gt;0,"KAPALI DÖNEM","UYGUN"))))))</f>
        <v/>
      </c>
      <c r="N2464" s="74" t="str">
        <f>IF($C2464="","",IF($C2464="TANIMSIZ MÜŞTERİ","—",INDEX(MUSTERILER!$C$7:$C$156,MATCH($C2464,MUSTERILER!$B$7:$B$156,0))))</f>
        <v/>
      </c>
      <c r="O2464" s="2"/>
      <c r="P2464" s="2"/>
      <c r="Q2464" s="1" t="str">
        <f>IF($D2464="","",$C2464&amp;"|"&amp;COUNTIFS($C$7:$C2464,$C2464))</f>
        <v/>
      </c>
      <c r="R2464" s="1" t="str">
        <f t="shared" si="76"/>
        <v/>
      </c>
      <c r="S2464" s="1" t="str">
        <f t="shared" si="77"/>
        <v/>
      </c>
      <c r="T2464" s="1">
        <f>IF($E2464="",0,SUMPRODUCT((AY_SONU!$O$7:$O$42="Evet")*(AY_SONU!$B$7:$B$42=DATE(YEAR($E2464),MONTH($E2464),1))))</f>
        <v>0</v>
      </c>
      <c r="U2464" s="1" t="str">
        <f>IF(OR($G2464="",$H2464="Mahsup"),"",$G2464&amp;"|"&amp;COUNTIFS($G$7:$G2464,$G2464,$H$7:$H2464,"&lt;&gt;Mahsup"))</f>
        <v/>
      </c>
    </row>
    <row r="2465" spans="1:21" ht="18" customHeight="1" x14ac:dyDescent="0.3">
      <c r="A2465" s="2"/>
      <c r="B2465" s="65" t="str">
        <f>IF($D2465="","","T"&amp;TEXT(ROW()-6,"00000"))</f>
        <v/>
      </c>
      <c r="C2465" s="65" t="str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61"/>
      <c r="E2465" s="66"/>
      <c r="F2465" s="67"/>
      <c r="G2465" s="60"/>
      <c r="H2465" s="60"/>
      <c r="I2465" s="61"/>
      <c r="J2465" s="61"/>
      <c r="K2465" s="61"/>
      <c r="L2465" s="73" t="str">
        <f>IF($E2465="","",DATE(YEAR($E2465),MONTH($E2465),1))</f>
        <v/>
      </c>
      <c r="M2465" s="65" t="str">
        <f ca="1">IF($D2465="","",IF($C2465="TANIMSIZ MÜŞTERİ","HATA",IF(OR($E2465="",$F2465&lt;=0,$G2465=""),"EKSİK",IF($E2465&gt;TODAY(),"İLERİ TARİH",IF(COUNTIF($S$7:$S$2503,$S2465)&gt;1,"MÜKERRER?",IF($T2465&gt;0,"KAPALI DÖNEM","UYGUN"))))))</f>
        <v/>
      </c>
      <c r="N2465" s="74" t="str">
        <f>IF($C2465="","",IF($C2465="TANIMSIZ MÜŞTERİ","—",INDEX(MUSTERILER!$C$7:$C$156,MATCH($C2465,MUSTERILER!$B$7:$B$156,0))))</f>
        <v/>
      </c>
      <c r="O2465" s="2"/>
      <c r="P2465" s="2"/>
      <c r="Q2465" s="1" t="str">
        <f>IF($D2465="","",$C2465&amp;"|"&amp;COUNTIFS($C$7:$C2465,$C2465))</f>
        <v/>
      </c>
      <c r="R2465" s="1" t="str">
        <f t="shared" si="76"/>
        <v/>
      </c>
      <c r="S2465" s="1" t="str">
        <f t="shared" si="77"/>
        <v/>
      </c>
      <c r="T2465" s="1">
        <f>IF($E2465="",0,SUMPRODUCT((AY_SONU!$O$7:$O$42="Evet")*(AY_SONU!$B$7:$B$42=DATE(YEAR($E2465),MONTH($E2465),1))))</f>
        <v>0</v>
      </c>
      <c r="U2465" s="1" t="str">
        <f>IF(OR($G2465="",$H2465="Mahsup"),"",$G2465&amp;"|"&amp;COUNTIFS($G$7:$G2465,$G2465,$H$7:$H2465,"&lt;&gt;Mahsup"))</f>
        <v/>
      </c>
    </row>
    <row r="2466" spans="1:21" ht="18" customHeight="1" x14ac:dyDescent="0.3">
      <c r="A2466" s="2"/>
      <c r="B2466" s="65" t="str">
        <f>IF($D2466="","","T"&amp;TEXT(ROW()-6,"00000"))</f>
        <v/>
      </c>
      <c r="C2466" s="65" t="str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61"/>
      <c r="E2466" s="66"/>
      <c r="F2466" s="67"/>
      <c r="G2466" s="60"/>
      <c r="H2466" s="60"/>
      <c r="I2466" s="61"/>
      <c r="J2466" s="61"/>
      <c r="K2466" s="61"/>
      <c r="L2466" s="73" t="str">
        <f>IF($E2466="","",DATE(YEAR($E2466),MONTH($E2466),1))</f>
        <v/>
      </c>
      <c r="M2466" s="65" t="str">
        <f ca="1">IF($D2466="","",IF($C2466="TANIMSIZ MÜŞTERİ","HATA",IF(OR($E2466="",$F2466&lt;=0,$G2466=""),"EKSİK",IF($E2466&gt;TODAY(),"İLERİ TARİH",IF(COUNTIF($S$7:$S$2503,$S2466)&gt;1,"MÜKERRER?",IF($T2466&gt;0,"KAPALI DÖNEM","UYGUN"))))))</f>
        <v/>
      </c>
      <c r="N2466" s="74" t="str">
        <f>IF($C2466="","",IF($C2466="TANIMSIZ MÜŞTERİ","—",INDEX(MUSTERILER!$C$7:$C$156,MATCH($C2466,MUSTERILER!$B$7:$B$156,0))))</f>
        <v/>
      </c>
      <c r="O2466" s="2"/>
      <c r="P2466" s="2"/>
      <c r="Q2466" s="1" t="str">
        <f>IF($D2466="","",$C2466&amp;"|"&amp;COUNTIFS($C$7:$C2466,$C2466))</f>
        <v/>
      </c>
      <c r="R2466" s="1" t="str">
        <f t="shared" si="76"/>
        <v/>
      </c>
      <c r="S2466" s="1" t="str">
        <f t="shared" si="77"/>
        <v/>
      </c>
      <c r="T2466" s="1">
        <f>IF($E2466="",0,SUMPRODUCT((AY_SONU!$O$7:$O$42="Evet")*(AY_SONU!$B$7:$B$42=DATE(YEAR($E2466),MONTH($E2466),1))))</f>
        <v>0</v>
      </c>
      <c r="U2466" s="1" t="str">
        <f>IF(OR($G2466="",$H2466="Mahsup"),"",$G2466&amp;"|"&amp;COUNTIFS($G$7:$G2466,$G2466,$H$7:$H2466,"&lt;&gt;Mahsup"))</f>
        <v/>
      </c>
    </row>
    <row r="2467" spans="1:21" ht="18" customHeight="1" x14ac:dyDescent="0.3">
      <c r="A2467" s="2"/>
      <c r="B2467" s="65" t="str">
        <f>IF($D2467="","","T"&amp;TEXT(ROW()-6,"00000"))</f>
        <v/>
      </c>
      <c r="C2467" s="65" t="str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61"/>
      <c r="E2467" s="66"/>
      <c r="F2467" s="67"/>
      <c r="G2467" s="60"/>
      <c r="H2467" s="60"/>
      <c r="I2467" s="61"/>
      <c r="J2467" s="61"/>
      <c r="K2467" s="61"/>
      <c r="L2467" s="73" t="str">
        <f>IF($E2467="","",DATE(YEAR($E2467),MONTH($E2467),1))</f>
        <v/>
      </c>
      <c r="M2467" s="65" t="str">
        <f ca="1">IF($D2467="","",IF($C2467="TANIMSIZ MÜŞTERİ","HATA",IF(OR($E2467="",$F2467&lt;=0,$G2467=""),"EKSİK",IF($E2467&gt;TODAY(),"İLERİ TARİH",IF(COUNTIF($S$7:$S$2503,$S2467)&gt;1,"MÜKERRER?",IF($T2467&gt;0,"KAPALI DÖNEM","UYGUN"))))))</f>
        <v/>
      </c>
      <c r="N2467" s="74" t="str">
        <f>IF($C2467="","",IF($C2467="TANIMSIZ MÜŞTERİ","—",INDEX(MUSTERILER!$C$7:$C$156,MATCH($C2467,MUSTERILER!$B$7:$B$156,0))))</f>
        <v/>
      </c>
      <c r="O2467" s="2"/>
      <c r="P2467" s="2"/>
      <c r="Q2467" s="1" t="str">
        <f>IF($D2467="","",$C2467&amp;"|"&amp;COUNTIFS($C$7:$C2467,$C2467))</f>
        <v/>
      </c>
      <c r="R2467" s="1" t="str">
        <f t="shared" si="76"/>
        <v/>
      </c>
      <c r="S2467" s="1" t="str">
        <f t="shared" si="77"/>
        <v/>
      </c>
      <c r="T2467" s="1">
        <f>IF($E2467="",0,SUMPRODUCT((AY_SONU!$O$7:$O$42="Evet")*(AY_SONU!$B$7:$B$42=DATE(YEAR($E2467),MONTH($E2467),1))))</f>
        <v>0</v>
      </c>
      <c r="U2467" s="1" t="str">
        <f>IF(OR($G2467="",$H2467="Mahsup"),"",$G2467&amp;"|"&amp;COUNTIFS($G$7:$G2467,$G2467,$H$7:$H2467,"&lt;&gt;Mahsup"))</f>
        <v/>
      </c>
    </row>
    <row r="2468" spans="1:21" ht="18" customHeight="1" x14ac:dyDescent="0.3">
      <c r="A2468" s="2"/>
      <c r="B2468" s="65" t="str">
        <f>IF($D2468="","","T"&amp;TEXT(ROW()-6,"00000"))</f>
        <v/>
      </c>
      <c r="C2468" s="65" t="str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61"/>
      <c r="E2468" s="66"/>
      <c r="F2468" s="67"/>
      <c r="G2468" s="60"/>
      <c r="H2468" s="60"/>
      <c r="I2468" s="61"/>
      <c r="J2468" s="61"/>
      <c r="K2468" s="61"/>
      <c r="L2468" s="73" t="str">
        <f>IF($E2468="","",DATE(YEAR($E2468),MONTH($E2468),1))</f>
        <v/>
      </c>
      <c r="M2468" s="65" t="str">
        <f ca="1">IF($D2468="","",IF($C2468="TANIMSIZ MÜŞTERİ","HATA",IF(OR($E2468="",$F2468&lt;=0,$G2468=""),"EKSİK",IF($E2468&gt;TODAY(),"İLERİ TARİH",IF(COUNTIF($S$7:$S$2503,$S2468)&gt;1,"MÜKERRER?",IF($T2468&gt;0,"KAPALI DÖNEM","UYGUN"))))))</f>
        <v/>
      </c>
      <c r="N2468" s="74" t="str">
        <f>IF($C2468="","",IF($C2468="TANIMSIZ MÜŞTERİ","—",INDEX(MUSTERILER!$C$7:$C$156,MATCH($C2468,MUSTERILER!$B$7:$B$156,0))))</f>
        <v/>
      </c>
      <c r="O2468" s="2"/>
      <c r="P2468" s="2"/>
      <c r="Q2468" s="1" t="str">
        <f>IF($D2468="","",$C2468&amp;"|"&amp;COUNTIFS($C$7:$C2468,$C2468))</f>
        <v/>
      </c>
      <c r="R2468" s="1" t="str">
        <f t="shared" si="76"/>
        <v/>
      </c>
      <c r="S2468" s="1" t="str">
        <f t="shared" si="77"/>
        <v/>
      </c>
      <c r="T2468" s="1">
        <f>IF($E2468="",0,SUMPRODUCT((AY_SONU!$O$7:$O$42="Evet")*(AY_SONU!$B$7:$B$42=DATE(YEAR($E2468),MONTH($E2468),1))))</f>
        <v>0</v>
      </c>
      <c r="U2468" s="1" t="str">
        <f>IF(OR($G2468="",$H2468="Mahsup"),"",$G2468&amp;"|"&amp;COUNTIFS($G$7:$G2468,$G2468,$H$7:$H2468,"&lt;&gt;Mahsup"))</f>
        <v/>
      </c>
    </row>
    <row r="2469" spans="1:21" ht="18" customHeight="1" x14ac:dyDescent="0.3">
      <c r="A2469" s="2"/>
      <c r="B2469" s="65" t="str">
        <f>IF($D2469="","","T"&amp;TEXT(ROW()-6,"00000"))</f>
        <v/>
      </c>
      <c r="C2469" s="65" t="str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61"/>
      <c r="E2469" s="66"/>
      <c r="F2469" s="67"/>
      <c r="G2469" s="60"/>
      <c r="H2469" s="60"/>
      <c r="I2469" s="61"/>
      <c r="J2469" s="61"/>
      <c r="K2469" s="61"/>
      <c r="L2469" s="73" t="str">
        <f>IF($E2469="","",DATE(YEAR($E2469),MONTH($E2469),1))</f>
        <v/>
      </c>
      <c r="M2469" s="65" t="str">
        <f ca="1">IF($D2469="","",IF($C2469="TANIMSIZ MÜŞTERİ","HATA",IF(OR($E2469="",$F2469&lt;=0,$G2469=""),"EKSİK",IF($E2469&gt;TODAY(),"İLERİ TARİH",IF(COUNTIF($S$7:$S$2503,$S2469)&gt;1,"MÜKERRER?",IF($T2469&gt;0,"KAPALI DÖNEM","UYGUN"))))))</f>
        <v/>
      </c>
      <c r="N2469" s="74" t="str">
        <f>IF($C2469="","",IF($C2469="TANIMSIZ MÜŞTERİ","—",INDEX(MUSTERILER!$C$7:$C$156,MATCH($C2469,MUSTERILER!$B$7:$B$156,0))))</f>
        <v/>
      </c>
      <c r="O2469" s="2"/>
      <c r="P2469" s="2"/>
      <c r="Q2469" s="1" t="str">
        <f>IF($D2469="","",$C2469&amp;"|"&amp;COUNTIFS($C$7:$C2469,$C2469))</f>
        <v/>
      </c>
      <c r="R2469" s="1" t="str">
        <f t="shared" si="76"/>
        <v/>
      </c>
      <c r="S2469" s="1" t="str">
        <f t="shared" si="77"/>
        <v/>
      </c>
      <c r="T2469" s="1">
        <f>IF($E2469="",0,SUMPRODUCT((AY_SONU!$O$7:$O$42="Evet")*(AY_SONU!$B$7:$B$42=DATE(YEAR($E2469),MONTH($E2469),1))))</f>
        <v>0</v>
      </c>
      <c r="U2469" s="1" t="str">
        <f>IF(OR($G2469="",$H2469="Mahsup"),"",$G2469&amp;"|"&amp;COUNTIFS($G$7:$G2469,$G2469,$H$7:$H2469,"&lt;&gt;Mahsup"))</f>
        <v/>
      </c>
    </row>
    <row r="2470" spans="1:21" ht="18" customHeight="1" x14ac:dyDescent="0.3">
      <c r="A2470" s="2"/>
      <c r="B2470" s="65" t="str">
        <f>IF($D2470="","","T"&amp;TEXT(ROW()-6,"00000"))</f>
        <v/>
      </c>
      <c r="C2470" s="65" t="str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61"/>
      <c r="E2470" s="66"/>
      <c r="F2470" s="67"/>
      <c r="G2470" s="60"/>
      <c r="H2470" s="60"/>
      <c r="I2470" s="61"/>
      <c r="J2470" s="61"/>
      <c r="K2470" s="61"/>
      <c r="L2470" s="73" t="str">
        <f>IF($E2470="","",DATE(YEAR($E2470),MONTH($E2470),1))</f>
        <v/>
      </c>
      <c r="M2470" s="65" t="str">
        <f ca="1">IF($D2470="","",IF($C2470="TANIMSIZ MÜŞTERİ","HATA",IF(OR($E2470="",$F2470&lt;=0,$G2470=""),"EKSİK",IF($E2470&gt;TODAY(),"İLERİ TARİH",IF(COUNTIF($S$7:$S$2503,$S2470)&gt;1,"MÜKERRER?",IF($T2470&gt;0,"KAPALI DÖNEM","UYGUN"))))))</f>
        <v/>
      </c>
      <c r="N2470" s="74" t="str">
        <f>IF($C2470="","",IF($C2470="TANIMSIZ MÜŞTERİ","—",INDEX(MUSTERILER!$C$7:$C$156,MATCH($C2470,MUSTERILER!$B$7:$B$156,0))))</f>
        <v/>
      </c>
      <c r="O2470" s="2"/>
      <c r="P2470" s="2"/>
      <c r="Q2470" s="1" t="str">
        <f>IF($D2470="","",$C2470&amp;"|"&amp;COUNTIFS($C$7:$C2470,$C2470))</f>
        <v/>
      </c>
      <c r="R2470" s="1" t="str">
        <f t="shared" si="76"/>
        <v/>
      </c>
      <c r="S2470" s="1" t="str">
        <f t="shared" si="77"/>
        <v/>
      </c>
      <c r="T2470" s="1">
        <f>IF($E2470="",0,SUMPRODUCT((AY_SONU!$O$7:$O$42="Evet")*(AY_SONU!$B$7:$B$42=DATE(YEAR($E2470),MONTH($E2470),1))))</f>
        <v>0</v>
      </c>
      <c r="U2470" s="1" t="str">
        <f>IF(OR($G2470="",$H2470="Mahsup"),"",$G2470&amp;"|"&amp;COUNTIFS($G$7:$G2470,$G2470,$H$7:$H2470,"&lt;&gt;Mahsup"))</f>
        <v/>
      </c>
    </row>
    <row r="2471" spans="1:21" ht="18" customHeight="1" x14ac:dyDescent="0.3">
      <c r="A2471" s="2"/>
      <c r="B2471" s="65" t="str">
        <f>IF($D2471="","","T"&amp;TEXT(ROW()-6,"00000"))</f>
        <v/>
      </c>
      <c r="C2471" s="65" t="str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61"/>
      <c r="E2471" s="66"/>
      <c r="F2471" s="67"/>
      <c r="G2471" s="60"/>
      <c r="H2471" s="60"/>
      <c r="I2471" s="61"/>
      <c r="J2471" s="61"/>
      <c r="K2471" s="61"/>
      <c r="L2471" s="73" t="str">
        <f>IF($E2471="","",DATE(YEAR($E2471),MONTH($E2471),1))</f>
        <v/>
      </c>
      <c r="M2471" s="65" t="str">
        <f ca="1">IF($D2471="","",IF($C2471="TANIMSIZ MÜŞTERİ","HATA",IF(OR($E2471="",$F2471&lt;=0,$G2471=""),"EKSİK",IF($E2471&gt;TODAY(),"İLERİ TARİH",IF(COUNTIF($S$7:$S$2503,$S2471)&gt;1,"MÜKERRER?",IF($T2471&gt;0,"KAPALI DÖNEM","UYGUN"))))))</f>
        <v/>
      </c>
      <c r="N2471" s="74" t="str">
        <f>IF($C2471="","",IF($C2471="TANIMSIZ MÜŞTERİ","—",INDEX(MUSTERILER!$C$7:$C$156,MATCH($C2471,MUSTERILER!$B$7:$B$156,0))))</f>
        <v/>
      </c>
      <c r="O2471" s="2"/>
      <c r="P2471" s="2"/>
      <c r="Q2471" s="1" t="str">
        <f>IF($D2471="","",$C2471&amp;"|"&amp;COUNTIFS($C$7:$C2471,$C2471))</f>
        <v/>
      </c>
      <c r="R2471" s="1" t="str">
        <f t="shared" si="76"/>
        <v/>
      </c>
      <c r="S2471" s="1" t="str">
        <f t="shared" si="77"/>
        <v/>
      </c>
      <c r="T2471" s="1">
        <f>IF($E2471="",0,SUMPRODUCT((AY_SONU!$O$7:$O$42="Evet")*(AY_SONU!$B$7:$B$42=DATE(YEAR($E2471),MONTH($E2471),1))))</f>
        <v>0</v>
      </c>
      <c r="U2471" s="1" t="str">
        <f>IF(OR($G2471="",$H2471="Mahsup"),"",$G2471&amp;"|"&amp;COUNTIFS($G$7:$G2471,$G2471,$H$7:$H2471,"&lt;&gt;Mahsup"))</f>
        <v/>
      </c>
    </row>
    <row r="2472" spans="1:21" ht="18" customHeight="1" x14ac:dyDescent="0.3">
      <c r="A2472" s="2"/>
      <c r="B2472" s="65" t="str">
        <f>IF($D2472="","","T"&amp;TEXT(ROW()-6,"00000"))</f>
        <v/>
      </c>
      <c r="C2472" s="65" t="str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61"/>
      <c r="E2472" s="66"/>
      <c r="F2472" s="67"/>
      <c r="G2472" s="60"/>
      <c r="H2472" s="60"/>
      <c r="I2472" s="61"/>
      <c r="J2472" s="61"/>
      <c r="K2472" s="61"/>
      <c r="L2472" s="73" t="str">
        <f>IF($E2472="","",DATE(YEAR($E2472),MONTH($E2472),1))</f>
        <v/>
      </c>
      <c r="M2472" s="65" t="str">
        <f ca="1">IF($D2472="","",IF($C2472="TANIMSIZ MÜŞTERİ","HATA",IF(OR($E2472="",$F2472&lt;=0,$G2472=""),"EKSİK",IF($E2472&gt;TODAY(),"İLERİ TARİH",IF(COUNTIF($S$7:$S$2503,$S2472)&gt;1,"MÜKERRER?",IF($T2472&gt;0,"KAPALI DÖNEM","UYGUN"))))))</f>
        <v/>
      </c>
      <c r="N2472" s="74" t="str">
        <f>IF($C2472="","",IF($C2472="TANIMSIZ MÜŞTERİ","—",INDEX(MUSTERILER!$C$7:$C$156,MATCH($C2472,MUSTERILER!$B$7:$B$156,0))))</f>
        <v/>
      </c>
      <c r="O2472" s="2"/>
      <c r="P2472" s="2"/>
      <c r="Q2472" s="1" t="str">
        <f>IF($D2472="","",$C2472&amp;"|"&amp;COUNTIFS($C$7:$C2472,$C2472))</f>
        <v/>
      </c>
      <c r="R2472" s="1" t="str">
        <f t="shared" si="76"/>
        <v/>
      </c>
      <c r="S2472" s="1" t="str">
        <f t="shared" si="77"/>
        <v/>
      </c>
      <c r="T2472" s="1">
        <f>IF($E2472="",0,SUMPRODUCT((AY_SONU!$O$7:$O$42="Evet")*(AY_SONU!$B$7:$B$42=DATE(YEAR($E2472),MONTH($E2472),1))))</f>
        <v>0</v>
      </c>
      <c r="U2472" s="1" t="str">
        <f>IF(OR($G2472="",$H2472="Mahsup"),"",$G2472&amp;"|"&amp;COUNTIFS($G$7:$G2472,$G2472,$H$7:$H2472,"&lt;&gt;Mahsup"))</f>
        <v/>
      </c>
    </row>
    <row r="2473" spans="1:21" ht="18" customHeight="1" x14ac:dyDescent="0.3">
      <c r="A2473" s="2"/>
      <c r="B2473" s="65" t="str">
        <f>IF($D2473="","","T"&amp;TEXT(ROW()-6,"00000"))</f>
        <v/>
      </c>
      <c r="C2473" s="65" t="str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61"/>
      <c r="E2473" s="66"/>
      <c r="F2473" s="67"/>
      <c r="G2473" s="60"/>
      <c r="H2473" s="60"/>
      <c r="I2473" s="61"/>
      <c r="J2473" s="61"/>
      <c r="K2473" s="61"/>
      <c r="L2473" s="73" t="str">
        <f>IF($E2473="","",DATE(YEAR($E2473),MONTH($E2473),1))</f>
        <v/>
      </c>
      <c r="M2473" s="65" t="str">
        <f ca="1">IF($D2473="","",IF($C2473="TANIMSIZ MÜŞTERİ","HATA",IF(OR($E2473="",$F2473&lt;=0,$G2473=""),"EKSİK",IF($E2473&gt;TODAY(),"İLERİ TARİH",IF(COUNTIF($S$7:$S$2503,$S2473)&gt;1,"MÜKERRER?",IF($T2473&gt;0,"KAPALI DÖNEM","UYGUN"))))))</f>
        <v/>
      </c>
      <c r="N2473" s="74" t="str">
        <f>IF($C2473="","",IF($C2473="TANIMSIZ MÜŞTERİ","—",INDEX(MUSTERILER!$C$7:$C$156,MATCH($C2473,MUSTERILER!$B$7:$B$156,0))))</f>
        <v/>
      </c>
      <c r="O2473" s="2"/>
      <c r="P2473" s="2"/>
      <c r="Q2473" s="1" t="str">
        <f>IF($D2473="","",$C2473&amp;"|"&amp;COUNTIFS($C$7:$C2473,$C2473))</f>
        <v/>
      </c>
      <c r="R2473" s="1" t="str">
        <f t="shared" si="76"/>
        <v/>
      </c>
      <c r="S2473" s="1" t="str">
        <f t="shared" si="77"/>
        <v/>
      </c>
      <c r="T2473" s="1">
        <f>IF($E2473="",0,SUMPRODUCT((AY_SONU!$O$7:$O$42="Evet")*(AY_SONU!$B$7:$B$42=DATE(YEAR($E2473),MONTH($E2473),1))))</f>
        <v>0</v>
      </c>
      <c r="U2473" s="1" t="str">
        <f>IF(OR($G2473="",$H2473="Mahsup"),"",$G2473&amp;"|"&amp;COUNTIFS($G$7:$G2473,$G2473,$H$7:$H2473,"&lt;&gt;Mahsup"))</f>
        <v/>
      </c>
    </row>
    <row r="2474" spans="1:21" ht="18" customHeight="1" x14ac:dyDescent="0.3">
      <c r="A2474" s="2"/>
      <c r="B2474" s="65" t="str">
        <f>IF($D2474="","","T"&amp;TEXT(ROW()-6,"00000"))</f>
        <v/>
      </c>
      <c r="C2474" s="65" t="str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61"/>
      <c r="E2474" s="66"/>
      <c r="F2474" s="67"/>
      <c r="G2474" s="60"/>
      <c r="H2474" s="60"/>
      <c r="I2474" s="61"/>
      <c r="J2474" s="61"/>
      <c r="K2474" s="61"/>
      <c r="L2474" s="73" t="str">
        <f>IF($E2474="","",DATE(YEAR($E2474),MONTH($E2474),1))</f>
        <v/>
      </c>
      <c r="M2474" s="65" t="str">
        <f ca="1">IF($D2474="","",IF($C2474="TANIMSIZ MÜŞTERİ","HATA",IF(OR($E2474="",$F2474&lt;=0,$G2474=""),"EKSİK",IF($E2474&gt;TODAY(),"İLERİ TARİH",IF(COUNTIF($S$7:$S$2503,$S2474)&gt;1,"MÜKERRER?",IF($T2474&gt;0,"KAPALI DÖNEM","UYGUN"))))))</f>
        <v/>
      </c>
      <c r="N2474" s="74" t="str">
        <f>IF($C2474="","",IF($C2474="TANIMSIZ MÜŞTERİ","—",INDEX(MUSTERILER!$C$7:$C$156,MATCH($C2474,MUSTERILER!$B$7:$B$156,0))))</f>
        <v/>
      </c>
      <c r="O2474" s="2"/>
      <c r="P2474" s="2"/>
      <c r="Q2474" s="1" t="str">
        <f>IF($D2474="","",$C2474&amp;"|"&amp;COUNTIFS($C$7:$C2474,$C2474))</f>
        <v/>
      </c>
      <c r="R2474" s="1" t="str">
        <f t="shared" si="76"/>
        <v/>
      </c>
      <c r="S2474" s="1" t="str">
        <f t="shared" si="77"/>
        <v/>
      </c>
      <c r="T2474" s="1">
        <f>IF($E2474="",0,SUMPRODUCT((AY_SONU!$O$7:$O$42="Evet")*(AY_SONU!$B$7:$B$42=DATE(YEAR($E2474),MONTH($E2474),1))))</f>
        <v>0</v>
      </c>
      <c r="U2474" s="1" t="str">
        <f>IF(OR($G2474="",$H2474="Mahsup"),"",$G2474&amp;"|"&amp;COUNTIFS($G$7:$G2474,$G2474,$H$7:$H2474,"&lt;&gt;Mahsup"))</f>
        <v/>
      </c>
    </row>
    <row r="2475" spans="1:21" ht="18" customHeight="1" x14ac:dyDescent="0.3">
      <c r="A2475" s="2"/>
      <c r="B2475" s="65" t="str">
        <f>IF($D2475="","","T"&amp;TEXT(ROW()-6,"00000"))</f>
        <v/>
      </c>
      <c r="C2475" s="65" t="str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61"/>
      <c r="E2475" s="66"/>
      <c r="F2475" s="67"/>
      <c r="G2475" s="60"/>
      <c r="H2475" s="60"/>
      <c r="I2475" s="61"/>
      <c r="J2475" s="61"/>
      <c r="K2475" s="61"/>
      <c r="L2475" s="73" t="str">
        <f>IF($E2475="","",DATE(YEAR($E2475),MONTH($E2475),1))</f>
        <v/>
      </c>
      <c r="M2475" s="65" t="str">
        <f ca="1">IF($D2475="","",IF($C2475="TANIMSIZ MÜŞTERİ","HATA",IF(OR($E2475="",$F2475&lt;=0,$G2475=""),"EKSİK",IF($E2475&gt;TODAY(),"İLERİ TARİH",IF(COUNTIF($S$7:$S$2503,$S2475)&gt;1,"MÜKERRER?",IF($T2475&gt;0,"KAPALI DÖNEM","UYGUN"))))))</f>
        <v/>
      </c>
      <c r="N2475" s="74" t="str">
        <f>IF($C2475="","",IF($C2475="TANIMSIZ MÜŞTERİ","—",INDEX(MUSTERILER!$C$7:$C$156,MATCH($C2475,MUSTERILER!$B$7:$B$156,0))))</f>
        <v/>
      </c>
      <c r="O2475" s="2"/>
      <c r="P2475" s="2"/>
      <c r="Q2475" s="1" t="str">
        <f>IF($D2475="","",$C2475&amp;"|"&amp;COUNTIFS($C$7:$C2475,$C2475))</f>
        <v/>
      </c>
      <c r="R2475" s="1" t="str">
        <f t="shared" si="76"/>
        <v/>
      </c>
      <c r="S2475" s="1" t="str">
        <f t="shared" si="77"/>
        <v/>
      </c>
      <c r="T2475" s="1">
        <f>IF($E2475="",0,SUMPRODUCT((AY_SONU!$O$7:$O$42="Evet")*(AY_SONU!$B$7:$B$42=DATE(YEAR($E2475),MONTH($E2475),1))))</f>
        <v>0</v>
      </c>
      <c r="U2475" s="1" t="str">
        <f>IF(OR($G2475="",$H2475="Mahsup"),"",$G2475&amp;"|"&amp;COUNTIFS($G$7:$G2475,$G2475,$H$7:$H2475,"&lt;&gt;Mahsup"))</f>
        <v/>
      </c>
    </row>
    <row r="2476" spans="1:21" ht="18" customHeight="1" x14ac:dyDescent="0.3">
      <c r="A2476" s="2"/>
      <c r="B2476" s="65" t="str">
        <f>IF($D2476="","","T"&amp;TEXT(ROW()-6,"00000"))</f>
        <v/>
      </c>
      <c r="C2476" s="65" t="str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61"/>
      <c r="E2476" s="66"/>
      <c r="F2476" s="67"/>
      <c r="G2476" s="60"/>
      <c r="H2476" s="60"/>
      <c r="I2476" s="61"/>
      <c r="J2476" s="61"/>
      <c r="K2476" s="61"/>
      <c r="L2476" s="73" t="str">
        <f>IF($E2476="","",DATE(YEAR($E2476),MONTH($E2476),1))</f>
        <v/>
      </c>
      <c r="M2476" s="65" t="str">
        <f ca="1">IF($D2476="","",IF($C2476="TANIMSIZ MÜŞTERİ","HATA",IF(OR($E2476="",$F2476&lt;=0,$G2476=""),"EKSİK",IF($E2476&gt;TODAY(),"İLERİ TARİH",IF(COUNTIF($S$7:$S$2503,$S2476)&gt;1,"MÜKERRER?",IF($T2476&gt;0,"KAPALI DÖNEM","UYGUN"))))))</f>
        <v/>
      </c>
      <c r="N2476" s="74" t="str">
        <f>IF($C2476="","",IF($C2476="TANIMSIZ MÜŞTERİ","—",INDEX(MUSTERILER!$C$7:$C$156,MATCH($C2476,MUSTERILER!$B$7:$B$156,0))))</f>
        <v/>
      </c>
      <c r="O2476" s="2"/>
      <c r="P2476" s="2"/>
      <c r="Q2476" s="1" t="str">
        <f>IF($D2476="","",$C2476&amp;"|"&amp;COUNTIFS($C$7:$C2476,$C2476))</f>
        <v/>
      </c>
      <c r="R2476" s="1" t="str">
        <f t="shared" si="76"/>
        <v/>
      </c>
      <c r="S2476" s="1" t="str">
        <f t="shared" si="77"/>
        <v/>
      </c>
      <c r="T2476" s="1">
        <f>IF($E2476="",0,SUMPRODUCT((AY_SONU!$O$7:$O$42="Evet")*(AY_SONU!$B$7:$B$42=DATE(YEAR($E2476),MONTH($E2476),1))))</f>
        <v>0</v>
      </c>
      <c r="U2476" s="1" t="str">
        <f>IF(OR($G2476="",$H2476="Mahsup"),"",$G2476&amp;"|"&amp;COUNTIFS($G$7:$G2476,$G2476,$H$7:$H2476,"&lt;&gt;Mahsup"))</f>
        <v/>
      </c>
    </row>
    <row r="2477" spans="1:21" ht="18" customHeight="1" x14ac:dyDescent="0.3">
      <c r="A2477" s="2"/>
      <c r="B2477" s="65" t="str">
        <f>IF($D2477="","","T"&amp;TEXT(ROW()-6,"00000"))</f>
        <v/>
      </c>
      <c r="C2477" s="65" t="str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61"/>
      <c r="E2477" s="66"/>
      <c r="F2477" s="67"/>
      <c r="G2477" s="60"/>
      <c r="H2477" s="60"/>
      <c r="I2477" s="61"/>
      <c r="J2477" s="61"/>
      <c r="K2477" s="61"/>
      <c r="L2477" s="73" t="str">
        <f>IF($E2477="","",DATE(YEAR($E2477),MONTH($E2477),1))</f>
        <v/>
      </c>
      <c r="M2477" s="65" t="str">
        <f ca="1">IF($D2477="","",IF($C2477="TANIMSIZ MÜŞTERİ","HATA",IF(OR($E2477="",$F2477&lt;=0,$G2477=""),"EKSİK",IF($E2477&gt;TODAY(),"İLERİ TARİH",IF(COUNTIF($S$7:$S$2503,$S2477)&gt;1,"MÜKERRER?",IF($T2477&gt;0,"KAPALI DÖNEM","UYGUN"))))))</f>
        <v/>
      </c>
      <c r="N2477" s="74" t="str">
        <f>IF($C2477="","",IF($C2477="TANIMSIZ MÜŞTERİ","—",INDEX(MUSTERILER!$C$7:$C$156,MATCH($C2477,MUSTERILER!$B$7:$B$156,0))))</f>
        <v/>
      </c>
      <c r="O2477" s="2"/>
      <c r="P2477" s="2"/>
      <c r="Q2477" s="1" t="str">
        <f>IF($D2477="","",$C2477&amp;"|"&amp;COUNTIFS($C$7:$C2477,$C2477))</f>
        <v/>
      </c>
      <c r="R2477" s="1" t="str">
        <f t="shared" si="76"/>
        <v/>
      </c>
      <c r="S2477" s="1" t="str">
        <f t="shared" si="77"/>
        <v/>
      </c>
      <c r="T2477" s="1">
        <f>IF($E2477="",0,SUMPRODUCT((AY_SONU!$O$7:$O$42="Evet")*(AY_SONU!$B$7:$B$42=DATE(YEAR($E2477),MONTH($E2477),1))))</f>
        <v>0</v>
      </c>
      <c r="U2477" s="1" t="str">
        <f>IF(OR($G2477="",$H2477="Mahsup"),"",$G2477&amp;"|"&amp;COUNTIFS($G$7:$G2477,$G2477,$H$7:$H2477,"&lt;&gt;Mahsup"))</f>
        <v/>
      </c>
    </row>
    <row r="2478" spans="1:21" ht="18" customHeight="1" x14ac:dyDescent="0.3">
      <c r="A2478" s="2"/>
      <c r="B2478" s="65" t="str">
        <f>IF($D2478="","","T"&amp;TEXT(ROW()-6,"00000"))</f>
        <v/>
      </c>
      <c r="C2478" s="65" t="str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61"/>
      <c r="E2478" s="66"/>
      <c r="F2478" s="67"/>
      <c r="G2478" s="60"/>
      <c r="H2478" s="60"/>
      <c r="I2478" s="61"/>
      <c r="J2478" s="61"/>
      <c r="K2478" s="61"/>
      <c r="L2478" s="73" t="str">
        <f>IF($E2478="","",DATE(YEAR($E2478),MONTH($E2478),1))</f>
        <v/>
      </c>
      <c r="M2478" s="65" t="str">
        <f ca="1">IF($D2478="","",IF($C2478="TANIMSIZ MÜŞTERİ","HATA",IF(OR($E2478="",$F2478&lt;=0,$G2478=""),"EKSİK",IF($E2478&gt;TODAY(),"İLERİ TARİH",IF(COUNTIF($S$7:$S$2503,$S2478)&gt;1,"MÜKERRER?",IF($T2478&gt;0,"KAPALI DÖNEM","UYGUN"))))))</f>
        <v/>
      </c>
      <c r="N2478" s="74" t="str">
        <f>IF($C2478="","",IF($C2478="TANIMSIZ MÜŞTERİ","—",INDEX(MUSTERILER!$C$7:$C$156,MATCH($C2478,MUSTERILER!$B$7:$B$156,0))))</f>
        <v/>
      </c>
      <c r="O2478" s="2"/>
      <c r="P2478" s="2"/>
      <c r="Q2478" s="1" t="str">
        <f>IF($D2478="","",$C2478&amp;"|"&amp;COUNTIFS($C$7:$C2478,$C2478))</f>
        <v/>
      </c>
      <c r="R2478" s="1" t="str">
        <f t="shared" si="76"/>
        <v/>
      </c>
      <c r="S2478" s="1" t="str">
        <f t="shared" si="77"/>
        <v/>
      </c>
      <c r="T2478" s="1">
        <f>IF($E2478="",0,SUMPRODUCT((AY_SONU!$O$7:$O$42="Evet")*(AY_SONU!$B$7:$B$42=DATE(YEAR($E2478),MONTH($E2478),1))))</f>
        <v>0</v>
      </c>
      <c r="U2478" s="1" t="str">
        <f>IF(OR($G2478="",$H2478="Mahsup"),"",$G2478&amp;"|"&amp;COUNTIFS($G$7:$G2478,$G2478,$H$7:$H2478,"&lt;&gt;Mahsup"))</f>
        <v/>
      </c>
    </row>
    <row r="2479" spans="1:21" ht="18" customHeight="1" x14ac:dyDescent="0.3">
      <c r="A2479" s="2"/>
      <c r="B2479" s="65" t="str">
        <f>IF($D2479="","","T"&amp;TEXT(ROW()-6,"00000"))</f>
        <v/>
      </c>
      <c r="C2479" s="65" t="str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61"/>
      <c r="E2479" s="66"/>
      <c r="F2479" s="67"/>
      <c r="G2479" s="60"/>
      <c r="H2479" s="60"/>
      <c r="I2479" s="61"/>
      <c r="J2479" s="61"/>
      <c r="K2479" s="61"/>
      <c r="L2479" s="73" t="str">
        <f>IF($E2479="","",DATE(YEAR($E2479),MONTH($E2479),1))</f>
        <v/>
      </c>
      <c r="M2479" s="65" t="str">
        <f ca="1">IF($D2479="","",IF($C2479="TANIMSIZ MÜŞTERİ","HATA",IF(OR($E2479="",$F2479&lt;=0,$G2479=""),"EKSİK",IF($E2479&gt;TODAY(),"İLERİ TARİH",IF(COUNTIF($S$7:$S$2503,$S2479)&gt;1,"MÜKERRER?",IF($T2479&gt;0,"KAPALI DÖNEM","UYGUN"))))))</f>
        <v/>
      </c>
      <c r="N2479" s="74" t="str">
        <f>IF($C2479="","",IF($C2479="TANIMSIZ MÜŞTERİ","—",INDEX(MUSTERILER!$C$7:$C$156,MATCH($C2479,MUSTERILER!$B$7:$B$156,0))))</f>
        <v/>
      </c>
      <c r="O2479" s="2"/>
      <c r="P2479" s="2"/>
      <c r="Q2479" s="1" t="str">
        <f>IF($D2479="","",$C2479&amp;"|"&amp;COUNTIFS($C$7:$C2479,$C2479))</f>
        <v/>
      </c>
      <c r="R2479" s="1" t="str">
        <f t="shared" si="76"/>
        <v/>
      </c>
      <c r="S2479" s="1" t="str">
        <f t="shared" si="77"/>
        <v/>
      </c>
      <c r="T2479" s="1">
        <f>IF($E2479="",0,SUMPRODUCT((AY_SONU!$O$7:$O$42="Evet")*(AY_SONU!$B$7:$B$42=DATE(YEAR($E2479),MONTH($E2479),1))))</f>
        <v>0</v>
      </c>
      <c r="U2479" s="1" t="str">
        <f>IF(OR($G2479="",$H2479="Mahsup"),"",$G2479&amp;"|"&amp;COUNTIFS($G$7:$G2479,$G2479,$H$7:$H2479,"&lt;&gt;Mahsup"))</f>
        <v/>
      </c>
    </row>
    <row r="2480" spans="1:21" ht="18" customHeight="1" x14ac:dyDescent="0.3">
      <c r="A2480" s="2"/>
      <c r="B2480" s="65" t="str">
        <f>IF($D2480="","","T"&amp;TEXT(ROW()-6,"00000"))</f>
        <v/>
      </c>
      <c r="C2480" s="65" t="str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61"/>
      <c r="E2480" s="66"/>
      <c r="F2480" s="67"/>
      <c r="G2480" s="60"/>
      <c r="H2480" s="60"/>
      <c r="I2480" s="61"/>
      <c r="J2480" s="61"/>
      <c r="K2480" s="61"/>
      <c r="L2480" s="73" t="str">
        <f>IF($E2480="","",DATE(YEAR($E2480),MONTH($E2480),1))</f>
        <v/>
      </c>
      <c r="M2480" s="65" t="str">
        <f ca="1">IF($D2480="","",IF($C2480="TANIMSIZ MÜŞTERİ","HATA",IF(OR($E2480="",$F2480&lt;=0,$G2480=""),"EKSİK",IF($E2480&gt;TODAY(),"İLERİ TARİH",IF(COUNTIF($S$7:$S$2503,$S2480)&gt;1,"MÜKERRER?",IF($T2480&gt;0,"KAPALI DÖNEM","UYGUN"))))))</f>
        <v/>
      </c>
      <c r="N2480" s="74" t="str">
        <f>IF($C2480="","",IF($C2480="TANIMSIZ MÜŞTERİ","—",INDEX(MUSTERILER!$C$7:$C$156,MATCH($C2480,MUSTERILER!$B$7:$B$156,0))))</f>
        <v/>
      </c>
      <c r="O2480" s="2"/>
      <c r="P2480" s="2"/>
      <c r="Q2480" s="1" t="str">
        <f>IF($D2480="","",$C2480&amp;"|"&amp;COUNTIFS($C$7:$C2480,$C2480))</f>
        <v/>
      </c>
      <c r="R2480" s="1" t="str">
        <f t="shared" si="76"/>
        <v/>
      </c>
      <c r="S2480" s="1" t="str">
        <f t="shared" si="77"/>
        <v/>
      </c>
      <c r="T2480" s="1">
        <f>IF($E2480="",0,SUMPRODUCT((AY_SONU!$O$7:$O$42="Evet")*(AY_SONU!$B$7:$B$42=DATE(YEAR($E2480),MONTH($E2480),1))))</f>
        <v>0</v>
      </c>
      <c r="U2480" s="1" t="str">
        <f>IF(OR($G2480="",$H2480="Mahsup"),"",$G2480&amp;"|"&amp;COUNTIFS($G$7:$G2480,$G2480,$H$7:$H2480,"&lt;&gt;Mahsup"))</f>
        <v/>
      </c>
    </row>
    <row r="2481" spans="1:21" ht="18" customHeight="1" x14ac:dyDescent="0.3">
      <c r="A2481" s="2"/>
      <c r="B2481" s="65" t="str">
        <f>IF($D2481="","","T"&amp;TEXT(ROW()-6,"00000"))</f>
        <v/>
      </c>
      <c r="C2481" s="65" t="str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61"/>
      <c r="E2481" s="66"/>
      <c r="F2481" s="67"/>
      <c r="G2481" s="60"/>
      <c r="H2481" s="60"/>
      <c r="I2481" s="61"/>
      <c r="J2481" s="61"/>
      <c r="K2481" s="61"/>
      <c r="L2481" s="73" t="str">
        <f>IF($E2481="","",DATE(YEAR($E2481),MONTH($E2481),1))</f>
        <v/>
      </c>
      <c r="M2481" s="65" t="str">
        <f ca="1">IF($D2481="","",IF($C2481="TANIMSIZ MÜŞTERİ","HATA",IF(OR($E2481="",$F2481&lt;=0,$G2481=""),"EKSİK",IF($E2481&gt;TODAY(),"İLERİ TARİH",IF(COUNTIF($S$7:$S$2503,$S2481)&gt;1,"MÜKERRER?",IF($T2481&gt;0,"KAPALI DÖNEM","UYGUN"))))))</f>
        <v/>
      </c>
      <c r="N2481" s="74" t="str">
        <f>IF($C2481="","",IF($C2481="TANIMSIZ MÜŞTERİ","—",INDEX(MUSTERILER!$C$7:$C$156,MATCH($C2481,MUSTERILER!$B$7:$B$156,0))))</f>
        <v/>
      </c>
      <c r="O2481" s="2"/>
      <c r="P2481" s="2"/>
      <c r="Q2481" s="1" t="str">
        <f>IF($D2481="","",$C2481&amp;"|"&amp;COUNTIFS($C$7:$C2481,$C2481))</f>
        <v/>
      </c>
      <c r="R2481" s="1" t="str">
        <f t="shared" si="76"/>
        <v/>
      </c>
      <c r="S2481" s="1" t="str">
        <f t="shared" si="77"/>
        <v/>
      </c>
      <c r="T2481" s="1">
        <f>IF($E2481="",0,SUMPRODUCT((AY_SONU!$O$7:$O$42="Evet")*(AY_SONU!$B$7:$B$42=DATE(YEAR($E2481),MONTH($E2481),1))))</f>
        <v>0</v>
      </c>
      <c r="U2481" s="1" t="str">
        <f>IF(OR($G2481="",$H2481="Mahsup"),"",$G2481&amp;"|"&amp;COUNTIFS($G$7:$G2481,$G2481,$H$7:$H2481,"&lt;&gt;Mahsup"))</f>
        <v/>
      </c>
    </row>
    <row r="2482" spans="1:21" ht="18" customHeight="1" x14ac:dyDescent="0.3">
      <c r="A2482" s="2"/>
      <c r="B2482" s="65" t="str">
        <f>IF($D2482="","","T"&amp;TEXT(ROW()-6,"00000"))</f>
        <v/>
      </c>
      <c r="C2482" s="65" t="str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61"/>
      <c r="E2482" s="66"/>
      <c r="F2482" s="67"/>
      <c r="G2482" s="60"/>
      <c r="H2482" s="60"/>
      <c r="I2482" s="61"/>
      <c r="J2482" s="61"/>
      <c r="K2482" s="61"/>
      <c r="L2482" s="73" t="str">
        <f>IF($E2482="","",DATE(YEAR($E2482),MONTH($E2482),1))</f>
        <v/>
      </c>
      <c r="M2482" s="65" t="str">
        <f ca="1">IF($D2482="","",IF($C2482="TANIMSIZ MÜŞTERİ","HATA",IF(OR($E2482="",$F2482&lt;=0,$G2482=""),"EKSİK",IF($E2482&gt;TODAY(),"İLERİ TARİH",IF(COUNTIF($S$7:$S$2503,$S2482)&gt;1,"MÜKERRER?",IF($T2482&gt;0,"KAPALI DÖNEM","UYGUN"))))))</f>
        <v/>
      </c>
      <c r="N2482" s="74" t="str">
        <f>IF($C2482="","",IF($C2482="TANIMSIZ MÜŞTERİ","—",INDEX(MUSTERILER!$C$7:$C$156,MATCH($C2482,MUSTERILER!$B$7:$B$156,0))))</f>
        <v/>
      </c>
      <c r="O2482" s="2"/>
      <c r="P2482" s="2"/>
      <c r="Q2482" s="1" t="str">
        <f>IF($D2482="","",$C2482&amp;"|"&amp;COUNTIFS($C$7:$C2482,$C2482))</f>
        <v/>
      </c>
      <c r="R2482" s="1" t="str">
        <f t="shared" si="76"/>
        <v/>
      </c>
      <c r="S2482" s="1" t="str">
        <f t="shared" si="77"/>
        <v/>
      </c>
      <c r="T2482" s="1">
        <f>IF($E2482="",0,SUMPRODUCT((AY_SONU!$O$7:$O$42="Evet")*(AY_SONU!$B$7:$B$42=DATE(YEAR($E2482),MONTH($E2482),1))))</f>
        <v>0</v>
      </c>
      <c r="U2482" s="1" t="str">
        <f>IF(OR($G2482="",$H2482="Mahsup"),"",$G2482&amp;"|"&amp;COUNTIFS($G$7:$G2482,$G2482,$H$7:$H2482,"&lt;&gt;Mahsup"))</f>
        <v/>
      </c>
    </row>
    <row r="2483" spans="1:21" ht="18" customHeight="1" x14ac:dyDescent="0.3">
      <c r="A2483" s="2"/>
      <c r="B2483" s="65" t="str">
        <f>IF($D2483="","","T"&amp;TEXT(ROW()-6,"00000"))</f>
        <v/>
      </c>
      <c r="C2483" s="65" t="str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61"/>
      <c r="E2483" s="66"/>
      <c r="F2483" s="67"/>
      <c r="G2483" s="60"/>
      <c r="H2483" s="60"/>
      <c r="I2483" s="61"/>
      <c r="J2483" s="61"/>
      <c r="K2483" s="61"/>
      <c r="L2483" s="73" t="str">
        <f>IF($E2483="","",DATE(YEAR($E2483),MONTH($E2483),1))</f>
        <v/>
      </c>
      <c r="M2483" s="65" t="str">
        <f ca="1">IF($D2483="","",IF($C2483="TANIMSIZ MÜŞTERİ","HATA",IF(OR($E2483="",$F2483&lt;=0,$G2483=""),"EKSİK",IF($E2483&gt;TODAY(),"İLERİ TARİH",IF(COUNTIF($S$7:$S$2503,$S2483)&gt;1,"MÜKERRER?",IF($T2483&gt;0,"KAPALI DÖNEM","UYGUN"))))))</f>
        <v/>
      </c>
      <c r="N2483" s="74" t="str">
        <f>IF($C2483="","",IF($C2483="TANIMSIZ MÜŞTERİ","—",INDEX(MUSTERILER!$C$7:$C$156,MATCH($C2483,MUSTERILER!$B$7:$B$156,0))))</f>
        <v/>
      </c>
      <c r="O2483" s="2"/>
      <c r="P2483" s="2"/>
      <c r="Q2483" s="1" t="str">
        <f>IF($D2483="","",$C2483&amp;"|"&amp;COUNTIFS($C$7:$C2483,$C2483))</f>
        <v/>
      </c>
      <c r="R2483" s="1" t="str">
        <f t="shared" si="76"/>
        <v/>
      </c>
      <c r="S2483" s="1" t="str">
        <f t="shared" si="77"/>
        <v/>
      </c>
      <c r="T2483" s="1">
        <f>IF($E2483="",0,SUMPRODUCT((AY_SONU!$O$7:$O$42="Evet")*(AY_SONU!$B$7:$B$42=DATE(YEAR($E2483),MONTH($E2483),1))))</f>
        <v>0</v>
      </c>
      <c r="U2483" s="1" t="str">
        <f>IF(OR($G2483="",$H2483="Mahsup"),"",$G2483&amp;"|"&amp;COUNTIFS($G$7:$G2483,$G2483,$H$7:$H2483,"&lt;&gt;Mahsup"))</f>
        <v/>
      </c>
    </row>
    <row r="2484" spans="1:21" ht="18" customHeight="1" x14ac:dyDescent="0.3">
      <c r="A2484" s="2"/>
      <c r="B2484" s="65" t="str">
        <f>IF($D2484="","","T"&amp;TEXT(ROW()-6,"00000"))</f>
        <v/>
      </c>
      <c r="C2484" s="65" t="str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61"/>
      <c r="E2484" s="66"/>
      <c r="F2484" s="67"/>
      <c r="G2484" s="60"/>
      <c r="H2484" s="60"/>
      <c r="I2484" s="61"/>
      <c r="J2484" s="61"/>
      <c r="K2484" s="61"/>
      <c r="L2484" s="73" t="str">
        <f>IF($E2484="","",DATE(YEAR($E2484),MONTH($E2484),1))</f>
        <v/>
      </c>
      <c r="M2484" s="65" t="str">
        <f ca="1">IF($D2484="","",IF($C2484="TANIMSIZ MÜŞTERİ","HATA",IF(OR($E2484="",$F2484&lt;=0,$G2484=""),"EKSİK",IF($E2484&gt;TODAY(),"İLERİ TARİH",IF(COUNTIF($S$7:$S$2503,$S2484)&gt;1,"MÜKERRER?",IF($T2484&gt;0,"KAPALI DÖNEM","UYGUN"))))))</f>
        <v/>
      </c>
      <c r="N2484" s="74" t="str">
        <f>IF($C2484="","",IF($C2484="TANIMSIZ MÜŞTERİ","—",INDEX(MUSTERILER!$C$7:$C$156,MATCH($C2484,MUSTERILER!$B$7:$B$156,0))))</f>
        <v/>
      </c>
      <c r="O2484" s="2"/>
      <c r="P2484" s="2"/>
      <c r="Q2484" s="1" t="str">
        <f>IF($D2484="","",$C2484&amp;"|"&amp;COUNTIFS($C$7:$C2484,$C2484))</f>
        <v/>
      </c>
      <c r="R2484" s="1" t="str">
        <f t="shared" si="76"/>
        <v/>
      </c>
      <c r="S2484" s="1" t="str">
        <f t="shared" si="77"/>
        <v/>
      </c>
      <c r="T2484" s="1">
        <f>IF($E2484="",0,SUMPRODUCT((AY_SONU!$O$7:$O$42="Evet")*(AY_SONU!$B$7:$B$42=DATE(YEAR($E2484),MONTH($E2484),1))))</f>
        <v>0</v>
      </c>
      <c r="U2484" s="1" t="str">
        <f>IF(OR($G2484="",$H2484="Mahsup"),"",$G2484&amp;"|"&amp;COUNTIFS($G$7:$G2484,$G2484,$H$7:$H2484,"&lt;&gt;Mahsup"))</f>
        <v/>
      </c>
    </row>
    <row r="2485" spans="1:21" ht="18" customHeight="1" x14ac:dyDescent="0.3">
      <c r="A2485" s="2"/>
      <c r="B2485" s="65" t="str">
        <f>IF($D2485="","","T"&amp;TEXT(ROW()-6,"00000"))</f>
        <v/>
      </c>
      <c r="C2485" s="65" t="str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61"/>
      <c r="E2485" s="66"/>
      <c r="F2485" s="67"/>
      <c r="G2485" s="60"/>
      <c r="H2485" s="60"/>
      <c r="I2485" s="61"/>
      <c r="J2485" s="61"/>
      <c r="K2485" s="61"/>
      <c r="L2485" s="73" t="str">
        <f>IF($E2485="","",DATE(YEAR($E2485),MONTH($E2485),1))</f>
        <v/>
      </c>
      <c r="M2485" s="65" t="str">
        <f ca="1">IF($D2485="","",IF($C2485="TANIMSIZ MÜŞTERİ","HATA",IF(OR($E2485="",$F2485&lt;=0,$G2485=""),"EKSİK",IF($E2485&gt;TODAY(),"İLERİ TARİH",IF(COUNTIF($S$7:$S$2503,$S2485)&gt;1,"MÜKERRER?",IF($T2485&gt;0,"KAPALI DÖNEM","UYGUN"))))))</f>
        <v/>
      </c>
      <c r="N2485" s="74" t="str">
        <f>IF($C2485="","",IF($C2485="TANIMSIZ MÜŞTERİ","—",INDEX(MUSTERILER!$C$7:$C$156,MATCH($C2485,MUSTERILER!$B$7:$B$156,0))))</f>
        <v/>
      </c>
      <c r="O2485" s="2"/>
      <c r="P2485" s="2"/>
      <c r="Q2485" s="1" t="str">
        <f>IF($D2485="","",$C2485&amp;"|"&amp;COUNTIFS($C$7:$C2485,$C2485))</f>
        <v/>
      </c>
      <c r="R2485" s="1" t="str">
        <f t="shared" si="76"/>
        <v/>
      </c>
      <c r="S2485" s="1" t="str">
        <f t="shared" si="77"/>
        <v/>
      </c>
      <c r="T2485" s="1">
        <f>IF($E2485="",0,SUMPRODUCT((AY_SONU!$O$7:$O$42="Evet")*(AY_SONU!$B$7:$B$42=DATE(YEAR($E2485),MONTH($E2485),1))))</f>
        <v>0</v>
      </c>
      <c r="U2485" s="1" t="str">
        <f>IF(OR($G2485="",$H2485="Mahsup"),"",$G2485&amp;"|"&amp;COUNTIFS($G$7:$G2485,$G2485,$H$7:$H2485,"&lt;&gt;Mahsup"))</f>
        <v/>
      </c>
    </row>
    <row r="2486" spans="1:21" ht="18" customHeight="1" x14ac:dyDescent="0.3">
      <c r="A2486" s="2"/>
      <c r="B2486" s="65" t="str">
        <f>IF($D2486="","","T"&amp;TEXT(ROW()-6,"00000"))</f>
        <v/>
      </c>
      <c r="C2486" s="65" t="str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61"/>
      <c r="E2486" s="66"/>
      <c r="F2486" s="67"/>
      <c r="G2486" s="60"/>
      <c r="H2486" s="60"/>
      <c r="I2486" s="61"/>
      <c r="J2486" s="61"/>
      <c r="K2486" s="61"/>
      <c r="L2486" s="73" t="str">
        <f>IF($E2486="","",DATE(YEAR($E2486),MONTH($E2486),1))</f>
        <v/>
      </c>
      <c r="M2486" s="65" t="str">
        <f ca="1">IF($D2486="","",IF($C2486="TANIMSIZ MÜŞTERİ","HATA",IF(OR($E2486="",$F2486&lt;=0,$G2486=""),"EKSİK",IF($E2486&gt;TODAY(),"İLERİ TARİH",IF(COUNTIF($S$7:$S$2503,$S2486)&gt;1,"MÜKERRER?",IF($T2486&gt;0,"KAPALI DÖNEM","UYGUN"))))))</f>
        <v/>
      </c>
      <c r="N2486" s="74" t="str">
        <f>IF($C2486="","",IF($C2486="TANIMSIZ MÜŞTERİ","—",INDEX(MUSTERILER!$C$7:$C$156,MATCH($C2486,MUSTERILER!$B$7:$B$156,0))))</f>
        <v/>
      </c>
      <c r="O2486" s="2"/>
      <c r="P2486" s="2"/>
      <c r="Q2486" s="1" t="str">
        <f>IF($D2486="","",$C2486&amp;"|"&amp;COUNTIFS($C$7:$C2486,$C2486))</f>
        <v/>
      </c>
      <c r="R2486" s="1" t="str">
        <f t="shared" si="76"/>
        <v/>
      </c>
      <c r="S2486" s="1" t="str">
        <f t="shared" si="77"/>
        <v/>
      </c>
      <c r="T2486" s="1">
        <f>IF($E2486="",0,SUMPRODUCT((AY_SONU!$O$7:$O$42="Evet")*(AY_SONU!$B$7:$B$42=DATE(YEAR($E2486),MONTH($E2486),1))))</f>
        <v>0</v>
      </c>
      <c r="U2486" s="1" t="str">
        <f>IF(OR($G2486="",$H2486="Mahsup"),"",$G2486&amp;"|"&amp;COUNTIFS($G$7:$G2486,$G2486,$H$7:$H2486,"&lt;&gt;Mahsup"))</f>
        <v/>
      </c>
    </row>
    <row r="2487" spans="1:21" ht="18" customHeight="1" x14ac:dyDescent="0.3">
      <c r="A2487" s="2"/>
      <c r="B2487" s="65" t="str">
        <f>IF($D2487="","","T"&amp;TEXT(ROW()-6,"00000"))</f>
        <v/>
      </c>
      <c r="C2487" s="65" t="str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61"/>
      <c r="E2487" s="66"/>
      <c r="F2487" s="67"/>
      <c r="G2487" s="60"/>
      <c r="H2487" s="60"/>
      <c r="I2487" s="61"/>
      <c r="J2487" s="61"/>
      <c r="K2487" s="61"/>
      <c r="L2487" s="73" t="str">
        <f>IF($E2487="","",DATE(YEAR($E2487),MONTH($E2487),1))</f>
        <v/>
      </c>
      <c r="M2487" s="65" t="str">
        <f ca="1">IF($D2487="","",IF($C2487="TANIMSIZ MÜŞTERİ","HATA",IF(OR($E2487="",$F2487&lt;=0,$G2487=""),"EKSİK",IF($E2487&gt;TODAY(),"İLERİ TARİH",IF(COUNTIF($S$7:$S$2503,$S2487)&gt;1,"MÜKERRER?",IF($T2487&gt;0,"KAPALI DÖNEM","UYGUN"))))))</f>
        <v/>
      </c>
      <c r="N2487" s="74" t="str">
        <f>IF($C2487="","",IF($C2487="TANIMSIZ MÜŞTERİ","—",INDEX(MUSTERILER!$C$7:$C$156,MATCH($C2487,MUSTERILER!$B$7:$B$156,0))))</f>
        <v/>
      </c>
      <c r="O2487" s="2"/>
      <c r="P2487" s="2"/>
      <c r="Q2487" s="1" t="str">
        <f>IF($D2487="","",$C2487&amp;"|"&amp;COUNTIFS($C$7:$C2487,$C2487))</f>
        <v/>
      </c>
      <c r="R2487" s="1" t="str">
        <f t="shared" si="76"/>
        <v/>
      </c>
      <c r="S2487" s="1" t="str">
        <f t="shared" si="77"/>
        <v/>
      </c>
      <c r="T2487" s="1">
        <f>IF($E2487="",0,SUMPRODUCT((AY_SONU!$O$7:$O$42="Evet")*(AY_SONU!$B$7:$B$42=DATE(YEAR($E2487),MONTH($E2487),1))))</f>
        <v>0</v>
      </c>
      <c r="U2487" s="1" t="str">
        <f>IF(OR($G2487="",$H2487="Mahsup"),"",$G2487&amp;"|"&amp;COUNTIFS($G$7:$G2487,$G2487,$H$7:$H2487,"&lt;&gt;Mahsup"))</f>
        <v/>
      </c>
    </row>
    <row r="2488" spans="1:21" ht="18" customHeight="1" x14ac:dyDescent="0.3">
      <c r="A2488" s="2"/>
      <c r="B2488" s="65" t="str">
        <f>IF($D2488="","","T"&amp;TEXT(ROW()-6,"00000"))</f>
        <v/>
      </c>
      <c r="C2488" s="65" t="str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61"/>
      <c r="E2488" s="66"/>
      <c r="F2488" s="67"/>
      <c r="G2488" s="60"/>
      <c r="H2488" s="60"/>
      <c r="I2488" s="61"/>
      <c r="J2488" s="61"/>
      <c r="K2488" s="61"/>
      <c r="L2488" s="73" t="str">
        <f>IF($E2488="","",DATE(YEAR($E2488),MONTH($E2488),1))</f>
        <v/>
      </c>
      <c r="M2488" s="65" t="str">
        <f ca="1">IF($D2488="","",IF($C2488="TANIMSIZ MÜŞTERİ","HATA",IF(OR($E2488="",$F2488&lt;=0,$G2488=""),"EKSİK",IF($E2488&gt;TODAY(),"İLERİ TARİH",IF(COUNTIF($S$7:$S$2503,$S2488)&gt;1,"MÜKERRER?",IF($T2488&gt;0,"KAPALI DÖNEM","UYGUN"))))))</f>
        <v/>
      </c>
      <c r="N2488" s="74" t="str">
        <f>IF($C2488="","",IF($C2488="TANIMSIZ MÜŞTERİ","—",INDEX(MUSTERILER!$C$7:$C$156,MATCH($C2488,MUSTERILER!$B$7:$B$156,0))))</f>
        <v/>
      </c>
      <c r="O2488" s="2"/>
      <c r="P2488" s="2"/>
      <c r="Q2488" s="1" t="str">
        <f>IF($D2488="","",$C2488&amp;"|"&amp;COUNTIFS($C$7:$C2488,$C2488))</f>
        <v/>
      </c>
      <c r="R2488" s="1" t="str">
        <f t="shared" si="76"/>
        <v/>
      </c>
      <c r="S2488" s="1" t="str">
        <f t="shared" si="77"/>
        <v/>
      </c>
      <c r="T2488" s="1">
        <f>IF($E2488="",0,SUMPRODUCT((AY_SONU!$O$7:$O$42="Evet")*(AY_SONU!$B$7:$B$42=DATE(YEAR($E2488),MONTH($E2488),1))))</f>
        <v>0</v>
      </c>
      <c r="U2488" s="1" t="str">
        <f>IF(OR($G2488="",$H2488="Mahsup"),"",$G2488&amp;"|"&amp;COUNTIFS($G$7:$G2488,$G2488,$H$7:$H2488,"&lt;&gt;Mahsup"))</f>
        <v/>
      </c>
    </row>
    <row r="2489" spans="1:21" ht="18" customHeight="1" x14ac:dyDescent="0.3">
      <c r="A2489" s="2"/>
      <c r="B2489" s="65" t="str">
        <f>IF($D2489="","","T"&amp;TEXT(ROW()-6,"00000"))</f>
        <v/>
      </c>
      <c r="C2489" s="65" t="str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61"/>
      <c r="E2489" s="66"/>
      <c r="F2489" s="67"/>
      <c r="G2489" s="60"/>
      <c r="H2489" s="60"/>
      <c r="I2489" s="61"/>
      <c r="J2489" s="61"/>
      <c r="K2489" s="61"/>
      <c r="L2489" s="73" t="str">
        <f>IF($E2489="","",DATE(YEAR($E2489),MONTH($E2489),1))</f>
        <v/>
      </c>
      <c r="M2489" s="65" t="str">
        <f ca="1">IF($D2489="","",IF($C2489="TANIMSIZ MÜŞTERİ","HATA",IF(OR($E2489="",$F2489&lt;=0,$G2489=""),"EKSİK",IF($E2489&gt;TODAY(),"İLERİ TARİH",IF(COUNTIF($S$7:$S$2503,$S2489)&gt;1,"MÜKERRER?",IF($T2489&gt;0,"KAPALI DÖNEM","UYGUN"))))))</f>
        <v/>
      </c>
      <c r="N2489" s="74" t="str">
        <f>IF($C2489="","",IF($C2489="TANIMSIZ MÜŞTERİ","—",INDEX(MUSTERILER!$C$7:$C$156,MATCH($C2489,MUSTERILER!$B$7:$B$156,0))))</f>
        <v/>
      </c>
      <c r="O2489" s="2"/>
      <c r="P2489" s="2"/>
      <c r="Q2489" s="1" t="str">
        <f>IF($D2489="","",$C2489&amp;"|"&amp;COUNTIFS($C$7:$C2489,$C2489))</f>
        <v/>
      </c>
      <c r="R2489" s="1" t="str">
        <f t="shared" si="76"/>
        <v/>
      </c>
      <c r="S2489" s="1" t="str">
        <f t="shared" si="77"/>
        <v/>
      </c>
      <c r="T2489" s="1">
        <f>IF($E2489="",0,SUMPRODUCT((AY_SONU!$O$7:$O$42="Evet")*(AY_SONU!$B$7:$B$42=DATE(YEAR($E2489),MONTH($E2489),1))))</f>
        <v>0</v>
      </c>
      <c r="U2489" s="1" t="str">
        <f>IF(OR($G2489="",$H2489="Mahsup"),"",$G2489&amp;"|"&amp;COUNTIFS($G$7:$G2489,$G2489,$H$7:$H2489,"&lt;&gt;Mahsup"))</f>
        <v/>
      </c>
    </row>
    <row r="2490" spans="1:21" ht="18" customHeight="1" x14ac:dyDescent="0.3">
      <c r="A2490" s="2"/>
      <c r="B2490" s="65" t="str">
        <f>IF($D2490="","","T"&amp;TEXT(ROW()-6,"00000"))</f>
        <v/>
      </c>
      <c r="C2490" s="65" t="str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61"/>
      <c r="E2490" s="66"/>
      <c r="F2490" s="67"/>
      <c r="G2490" s="60"/>
      <c r="H2490" s="60"/>
      <c r="I2490" s="61"/>
      <c r="J2490" s="61"/>
      <c r="K2490" s="61"/>
      <c r="L2490" s="73" t="str">
        <f>IF($E2490="","",DATE(YEAR($E2490),MONTH($E2490),1))</f>
        <v/>
      </c>
      <c r="M2490" s="65" t="str">
        <f ca="1">IF($D2490="","",IF($C2490="TANIMSIZ MÜŞTERİ","HATA",IF(OR($E2490="",$F2490&lt;=0,$G2490=""),"EKSİK",IF($E2490&gt;TODAY(),"İLERİ TARİH",IF(COUNTIF($S$7:$S$2503,$S2490)&gt;1,"MÜKERRER?",IF($T2490&gt;0,"KAPALI DÖNEM","UYGUN"))))))</f>
        <v/>
      </c>
      <c r="N2490" s="74" t="str">
        <f>IF($C2490="","",IF($C2490="TANIMSIZ MÜŞTERİ","—",INDEX(MUSTERILER!$C$7:$C$156,MATCH($C2490,MUSTERILER!$B$7:$B$156,0))))</f>
        <v/>
      </c>
      <c r="O2490" s="2"/>
      <c r="P2490" s="2"/>
      <c r="Q2490" s="1" t="str">
        <f>IF($D2490="","",$C2490&amp;"|"&amp;COUNTIFS($C$7:$C2490,$C2490))</f>
        <v/>
      </c>
      <c r="R2490" s="1" t="str">
        <f t="shared" si="76"/>
        <v/>
      </c>
      <c r="S2490" s="1" t="str">
        <f t="shared" si="77"/>
        <v/>
      </c>
      <c r="T2490" s="1">
        <f>IF($E2490="",0,SUMPRODUCT((AY_SONU!$O$7:$O$42="Evet")*(AY_SONU!$B$7:$B$42=DATE(YEAR($E2490),MONTH($E2490),1))))</f>
        <v>0</v>
      </c>
      <c r="U2490" s="1" t="str">
        <f>IF(OR($G2490="",$H2490="Mahsup"),"",$G2490&amp;"|"&amp;COUNTIFS($G$7:$G2490,$G2490,$H$7:$H2490,"&lt;&gt;Mahsup"))</f>
        <v/>
      </c>
    </row>
    <row r="2491" spans="1:21" ht="18" customHeight="1" x14ac:dyDescent="0.3">
      <c r="A2491" s="2"/>
      <c r="B2491" s="65" t="str">
        <f>IF($D2491="","","T"&amp;TEXT(ROW()-6,"00000"))</f>
        <v/>
      </c>
      <c r="C2491" s="65" t="str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61"/>
      <c r="E2491" s="66"/>
      <c r="F2491" s="67"/>
      <c r="G2491" s="60"/>
      <c r="H2491" s="60"/>
      <c r="I2491" s="61"/>
      <c r="J2491" s="61"/>
      <c r="K2491" s="61"/>
      <c r="L2491" s="73" t="str">
        <f>IF($E2491="","",DATE(YEAR($E2491),MONTH($E2491),1))</f>
        <v/>
      </c>
      <c r="M2491" s="65" t="str">
        <f ca="1">IF($D2491="","",IF($C2491="TANIMSIZ MÜŞTERİ","HATA",IF(OR($E2491="",$F2491&lt;=0,$G2491=""),"EKSİK",IF($E2491&gt;TODAY(),"İLERİ TARİH",IF(COUNTIF($S$7:$S$2503,$S2491)&gt;1,"MÜKERRER?",IF($T2491&gt;0,"KAPALI DÖNEM","UYGUN"))))))</f>
        <v/>
      </c>
      <c r="N2491" s="74" t="str">
        <f>IF($C2491="","",IF($C2491="TANIMSIZ MÜŞTERİ","—",INDEX(MUSTERILER!$C$7:$C$156,MATCH($C2491,MUSTERILER!$B$7:$B$156,0))))</f>
        <v/>
      </c>
      <c r="O2491" s="2"/>
      <c r="P2491" s="2"/>
      <c r="Q2491" s="1" t="str">
        <f>IF($D2491="","",$C2491&amp;"|"&amp;COUNTIFS($C$7:$C2491,$C2491))</f>
        <v/>
      </c>
      <c r="R2491" s="1" t="str">
        <f t="shared" si="76"/>
        <v/>
      </c>
      <c r="S2491" s="1" t="str">
        <f t="shared" si="77"/>
        <v/>
      </c>
      <c r="T2491" s="1">
        <f>IF($E2491="",0,SUMPRODUCT((AY_SONU!$O$7:$O$42="Evet")*(AY_SONU!$B$7:$B$42=DATE(YEAR($E2491),MONTH($E2491),1))))</f>
        <v>0</v>
      </c>
      <c r="U2491" s="1" t="str">
        <f>IF(OR($G2491="",$H2491="Mahsup"),"",$G2491&amp;"|"&amp;COUNTIFS($G$7:$G2491,$G2491,$H$7:$H2491,"&lt;&gt;Mahsup"))</f>
        <v/>
      </c>
    </row>
    <row r="2492" spans="1:21" ht="18" customHeight="1" x14ac:dyDescent="0.3">
      <c r="A2492" s="2"/>
      <c r="B2492" s="65" t="str">
        <f>IF($D2492="","","T"&amp;TEXT(ROW()-6,"00000"))</f>
        <v/>
      </c>
      <c r="C2492" s="65" t="str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61"/>
      <c r="E2492" s="66"/>
      <c r="F2492" s="67"/>
      <c r="G2492" s="60"/>
      <c r="H2492" s="60"/>
      <c r="I2492" s="61"/>
      <c r="J2492" s="61"/>
      <c r="K2492" s="61"/>
      <c r="L2492" s="73" t="str">
        <f>IF($E2492="","",DATE(YEAR($E2492),MONTH($E2492),1))</f>
        <v/>
      </c>
      <c r="M2492" s="65" t="str">
        <f ca="1">IF($D2492="","",IF($C2492="TANIMSIZ MÜŞTERİ","HATA",IF(OR($E2492="",$F2492&lt;=0,$G2492=""),"EKSİK",IF($E2492&gt;TODAY(),"İLERİ TARİH",IF(COUNTIF($S$7:$S$2503,$S2492)&gt;1,"MÜKERRER?",IF($T2492&gt;0,"KAPALI DÖNEM","UYGUN"))))))</f>
        <v/>
      </c>
      <c r="N2492" s="74" t="str">
        <f>IF($C2492="","",IF($C2492="TANIMSIZ MÜŞTERİ","—",INDEX(MUSTERILER!$C$7:$C$156,MATCH($C2492,MUSTERILER!$B$7:$B$156,0))))</f>
        <v/>
      </c>
      <c r="O2492" s="2"/>
      <c r="P2492" s="2"/>
      <c r="Q2492" s="1" t="str">
        <f>IF($D2492="","",$C2492&amp;"|"&amp;COUNTIFS($C$7:$C2492,$C2492))</f>
        <v/>
      </c>
      <c r="R2492" s="1" t="str">
        <f t="shared" si="76"/>
        <v/>
      </c>
      <c r="S2492" s="1" t="str">
        <f t="shared" si="77"/>
        <v/>
      </c>
      <c r="T2492" s="1">
        <f>IF($E2492="",0,SUMPRODUCT((AY_SONU!$O$7:$O$42="Evet")*(AY_SONU!$B$7:$B$42=DATE(YEAR($E2492),MONTH($E2492),1))))</f>
        <v>0</v>
      </c>
      <c r="U2492" s="1" t="str">
        <f>IF(OR($G2492="",$H2492="Mahsup"),"",$G2492&amp;"|"&amp;COUNTIFS($G$7:$G2492,$G2492,$H$7:$H2492,"&lt;&gt;Mahsup"))</f>
        <v/>
      </c>
    </row>
    <row r="2493" spans="1:21" ht="18" customHeight="1" x14ac:dyDescent="0.3">
      <c r="A2493" s="2"/>
      <c r="B2493" s="65" t="str">
        <f>IF($D2493="","","T"&amp;TEXT(ROW()-6,"00000"))</f>
        <v/>
      </c>
      <c r="C2493" s="65" t="str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61"/>
      <c r="E2493" s="66"/>
      <c r="F2493" s="67"/>
      <c r="G2493" s="60"/>
      <c r="H2493" s="60"/>
      <c r="I2493" s="61"/>
      <c r="J2493" s="61"/>
      <c r="K2493" s="61"/>
      <c r="L2493" s="73" t="str">
        <f>IF($E2493="","",DATE(YEAR($E2493),MONTH($E2493),1))</f>
        <v/>
      </c>
      <c r="M2493" s="65" t="str">
        <f ca="1">IF($D2493="","",IF($C2493="TANIMSIZ MÜŞTERİ","HATA",IF(OR($E2493="",$F2493&lt;=0,$G2493=""),"EKSİK",IF($E2493&gt;TODAY(),"İLERİ TARİH",IF(COUNTIF($S$7:$S$2503,$S2493)&gt;1,"MÜKERRER?",IF($T2493&gt;0,"KAPALI DÖNEM","UYGUN"))))))</f>
        <v/>
      </c>
      <c r="N2493" s="74" t="str">
        <f>IF($C2493="","",IF($C2493="TANIMSIZ MÜŞTERİ","—",INDEX(MUSTERILER!$C$7:$C$156,MATCH($C2493,MUSTERILER!$B$7:$B$156,0))))</f>
        <v/>
      </c>
      <c r="O2493" s="2"/>
      <c r="P2493" s="2"/>
      <c r="Q2493" s="1" t="str">
        <f>IF($D2493="","",$C2493&amp;"|"&amp;COUNTIFS($C$7:$C2493,$C2493))</f>
        <v/>
      </c>
      <c r="R2493" s="1" t="str">
        <f t="shared" si="76"/>
        <v/>
      </c>
      <c r="S2493" s="1" t="str">
        <f t="shared" si="77"/>
        <v/>
      </c>
      <c r="T2493" s="1">
        <f>IF($E2493="",0,SUMPRODUCT((AY_SONU!$O$7:$O$42="Evet")*(AY_SONU!$B$7:$B$42=DATE(YEAR($E2493),MONTH($E2493),1))))</f>
        <v>0</v>
      </c>
      <c r="U2493" s="1" t="str">
        <f>IF(OR($G2493="",$H2493="Mahsup"),"",$G2493&amp;"|"&amp;COUNTIFS($G$7:$G2493,$G2493,$H$7:$H2493,"&lt;&gt;Mahsup"))</f>
        <v/>
      </c>
    </row>
    <row r="2494" spans="1:21" ht="18" customHeight="1" x14ac:dyDescent="0.3">
      <c r="A2494" s="2"/>
      <c r="B2494" s="65" t="str">
        <f>IF($D2494="","","T"&amp;TEXT(ROW()-6,"00000"))</f>
        <v/>
      </c>
      <c r="C2494" s="65" t="str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61"/>
      <c r="E2494" s="66"/>
      <c r="F2494" s="67"/>
      <c r="G2494" s="60"/>
      <c r="H2494" s="60"/>
      <c r="I2494" s="61"/>
      <c r="J2494" s="61"/>
      <c r="K2494" s="61"/>
      <c r="L2494" s="73" t="str">
        <f>IF($E2494="","",DATE(YEAR($E2494),MONTH($E2494),1))</f>
        <v/>
      </c>
      <c r="M2494" s="65" t="str">
        <f ca="1">IF($D2494="","",IF($C2494="TANIMSIZ MÜŞTERİ","HATA",IF(OR($E2494="",$F2494&lt;=0,$G2494=""),"EKSİK",IF($E2494&gt;TODAY(),"İLERİ TARİH",IF(COUNTIF($S$7:$S$2503,$S2494)&gt;1,"MÜKERRER?",IF($T2494&gt;0,"KAPALI DÖNEM","UYGUN"))))))</f>
        <v/>
      </c>
      <c r="N2494" s="74" t="str">
        <f>IF($C2494="","",IF($C2494="TANIMSIZ MÜŞTERİ","—",INDEX(MUSTERILER!$C$7:$C$156,MATCH($C2494,MUSTERILER!$B$7:$B$156,0))))</f>
        <v/>
      </c>
      <c r="O2494" s="2"/>
      <c r="P2494" s="2"/>
      <c r="Q2494" s="1" t="str">
        <f>IF($D2494="","",$C2494&amp;"|"&amp;COUNTIFS($C$7:$C2494,$C2494))</f>
        <v/>
      </c>
      <c r="R2494" s="1" t="str">
        <f t="shared" si="76"/>
        <v/>
      </c>
      <c r="S2494" s="1" t="str">
        <f t="shared" si="77"/>
        <v/>
      </c>
      <c r="T2494" s="1">
        <f>IF($E2494="",0,SUMPRODUCT((AY_SONU!$O$7:$O$42="Evet")*(AY_SONU!$B$7:$B$42=DATE(YEAR($E2494),MONTH($E2494),1))))</f>
        <v>0</v>
      </c>
      <c r="U2494" s="1" t="str">
        <f>IF(OR($G2494="",$H2494="Mahsup"),"",$G2494&amp;"|"&amp;COUNTIFS($G$7:$G2494,$G2494,$H$7:$H2494,"&lt;&gt;Mahsup"))</f>
        <v/>
      </c>
    </row>
    <row r="2495" spans="1:21" ht="18" customHeight="1" x14ac:dyDescent="0.3">
      <c r="A2495" s="2"/>
      <c r="B2495" s="65" t="str">
        <f>IF($D2495="","","T"&amp;TEXT(ROW()-6,"00000"))</f>
        <v/>
      </c>
      <c r="C2495" s="65" t="str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61"/>
      <c r="E2495" s="66"/>
      <c r="F2495" s="67"/>
      <c r="G2495" s="60"/>
      <c r="H2495" s="60"/>
      <c r="I2495" s="61"/>
      <c r="J2495" s="61"/>
      <c r="K2495" s="61"/>
      <c r="L2495" s="73" t="str">
        <f>IF($E2495="","",DATE(YEAR($E2495),MONTH($E2495),1))</f>
        <v/>
      </c>
      <c r="M2495" s="65" t="str">
        <f ca="1">IF($D2495="","",IF($C2495="TANIMSIZ MÜŞTERİ","HATA",IF(OR($E2495="",$F2495&lt;=0,$G2495=""),"EKSİK",IF($E2495&gt;TODAY(),"İLERİ TARİH",IF(COUNTIF($S$7:$S$2503,$S2495)&gt;1,"MÜKERRER?",IF($T2495&gt;0,"KAPALI DÖNEM","UYGUN"))))))</f>
        <v/>
      </c>
      <c r="N2495" s="74" t="str">
        <f>IF($C2495="","",IF($C2495="TANIMSIZ MÜŞTERİ","—",INDEX(MUSTERILER!$C$7:$C$156,MATCH($C2495,MUSTERILER!$B$7:$B$156,0))))</f>
        <v/>
      </c>
      <c r="O2495" s="2"/>
      <c r="P2495" s="2"/>
      <c r="Q2495" s="1" t="str">
        <f>IF($D2495="","",$C2495&amp;"|"&amp;COUNTIFS($C$7:$C2495,$C2495))</f>
        <v/>
      </c>
      <c r="R2495" s="1" t="str">
        <f t="shared" si="76"/>
        <v/>
      </c>
      <c r="S2495" s="1" t="str">
        <f t="shared" si="77"/>
        <v/>
      </c>
      <c r="T2495" s="1">
        <f>IF($E2495="",0,SUMPRODUCT((AY_SONU!$O$7:$O$42="Evet")*(AY_SONU!$B$7:$B$42=DATE(YEAR($E2495),MONTH($E2495),1))))</f>
        <v>0</v>
      </c>
      <c r="U2495" s="1" t="str">
        <f>IF(OR($G2495="",$H2495="Mahsup"),"",$G2495&amp;"|"&amp;COUNTIFS($G$7:$G2495,$G2495,$H$7:$H2495,"&lt;&gt;Mahsup"))</f>
        <v/>
      </c>
    </row>
    <row r="2496" spans="1:21" ht="18" customHeight="1" x14ac:dyDescent="0.3">
      <c r="A2496" s="2"/>
      <c r="B2496" s="65" t="str">
        <f>IF($D2496="","","T"&amp;TEXT(ROW()-6,"00000"))</f>
        <v/>
      </c>
      <c r="C2496" s="65" t="str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61"/>
      <c r="E2496" s="66"/>
      <c r="F2496" s="67"/>
      <c r="G2496" s="60"/>
      <c r="H2496" s="60"/>
      <c r="I2496" s="61"/>
      <c r="J2496" s="61"/>
      <c r="K2496" s="61"/>
      <c r="L2496" s="73" t="str">
        <f>IF($E2496="","",DATE(YEAR($E2496),MONTH($E2496),1))</f>
        <v/>
      </c>
      <c r="M2496" s="65" t="str">
        <f ca="1">IF($D2496="","",IF($C2496="TANIMSIZ MÜŞTERİ","HATA",IF(OR($E2496="",$F2496&lt;=0,$G2496=""),"EKSİK",IF($E2496&gt;TODAY(),"İLERİ TARİH",IF(COUNTIF($S$7:$S$2503,$S2496)&gt;1,"MÜKERRER?",IF($T2496&gt;0,"KAPALI DÖNEM","UYGUN"))))))</f>
        <v/>
      </c>
      <c r="N2496" s="74" t="str">
        <f>IF($C2496="","",IF($C2496="TANIMSIZ MÜŞTERİ","—",INDEX(MUSTERILER!$C$7:$C$156,MATCH($C2496,MUSTERILER!$B$7:$B$156,0))))</f>
        <v/>
      </c>
      <c r="O2496" s="2"/>
      <c r="P2496" s="2"/>
      <c r="Q2496" s="1" t="str">
        <f>IF($D2496="","",$C2496&amp;"|"&amp;COUNTIFS($C$7:$C2496,$C2496))</f>
        <v/>
      </c>
      <c r="R2496" s="1" t="str">
        <f t="shared" si="76"/>
        <v/>
      </c>
      <c r="S2496" s="1" t="str">
        <f t="shared" si="77"/>
        <v/>
      </c>
      <c r="T2496" s="1">
        <f>IF($E2496="",0,SUMPRODUCT((AY_SONU!$O$7:$O$42="Evet")*(AY_SONU!$B$7:$B$42=DATE(YEAR($E2496),MONTH($E2496),1))))</f>
        <v>0</v>
      </c>
      <c r="U2496" s="1" t="str">
        <f>IF(OR($G2496="",$H2496="Mahsup"),"",$G2496&amp;"|"&amp;COUNTIFS($G$7:$G2496,$G2496,$H$7:$H2496,"&lt;&gt;Mahsup"))</f>
        <v/>
      </c>
    </row>
    <row r="2497" spans="1:21" ht="18" customHeight="1" x14ac:dyDescent="0.3">
      <c r="A2497" s="2"/>
      <c r="B2497" s="65" t="str">
        <f>IF($D2497="","","T"&amp;TEXT(ROW()-6,"00000"))</f>
        <v/>
      </c>
      <c r="C2497" s="65" t="str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61"/>
      <c r="E2497" s="66"/>
      <c r="F2497" s="67"/>
      <c r="G2497" s="60"/>
      <c r="H2497" s="60"/>
      <c r="I2497" s="61"/>
      <c r="J2497" s="61"/>
      <c r="K2497" s="61"/>
      <c r="L2497" s="73" t="str">
        <f>IF($E2497="","",DATE(YEAR($E2497),MONTH($E2497),1))</f>
        <v/>
      </c>
      <c r="M2497" s="65" t="str">
        <f ca="1">IF($D2497="","",IF($C2497="TANIMSIZ MÜŞTERİ","HATA",IF(OR($E2497="",$F2497&lt;=0,$G2497=""),"EKSİK",IF($E2497&gt;TODAY(),"İLERİ TARİH",IF(COUNTIF($S$7:$S$2503,$S2497)&gt;1,"MÜKERRER?",IF($T2497&gt;0,"KAPALI DÖNEM","UYGUN"))))))</f>
        <v/>
      </c>
      <c r="N2497" s="74" t="str">
        <f>IF($C2497="","",IF($C2497="TANIMSIZ MÜŞTERİ","—",INDEX(MUSTERILER!$C$7:$C$156,MATCH($C2497,MUSTERILER!$B$7:$B$156,0))))</f>
        <v/>
      </c>
      <c r="O2497" s="2"/>
      <c r="P2497" s="2"/>
      <c r="Q2497" s="1" t="str">
        <f>IF($D2497="","",$C2497&amp;"|"&amp;COUNTIFS($C$7:$C2497,$C2497))</f>
        <v/>
      </c>
      <c r="R2497" s="1" t="str">
        <f t="shared" si="76"/>
        <v/>
      </c>
      <c r="S2497" s="1" t="str">
        <f t="shared" si="77"/>
        <v/>
      </c>
      <c r="T2497" s="1">
        <f>IF($E2497="",0,SUMPRODUCT((AY_SONU!$O$7:$O$42="Evet")*(AY_SONU!$B$7:$B$42=DATE(YEAR($E2497),MONTH($E2497),1))))</f>
        <v>0</v>
      </c>
      <c r="U2497" s="1" t="str">
        <f>IF(OR($G2497="",$H2497="Mahsup"),"",$G2497&amp;"|"&amp;COUNTIFS($G$7:$G2497,$G2497,$H$7:$H2497,"&lt;&gt;Mahsup"))</f>
        <v/>
      </c>
    </row>
    <row r="2498" spans="1:21" ht="18" customHeight="1" x14ac:dyDescent="0.3">
      <c r="A2498" s="2"/>
      <c r="B2498" s="65" t="str">
        <f>IF($D2498="","","T"&amp;TEXT(ROW()-6,"00000"))</f>
        <v/>
      </c>
      <c r="C2498" s="65" t="str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61"/>
      <c r="E2498" s="66"/>
      <c r="F2498" s="67"/>
      <c r="G2498" s="60"/>
      <c r="H2498" s="60"/>
      <c r="I2498" s="61"/>
      <c r="J2498" s="61"/>
      <c r="K2498" s="61"/>
      <c r="L2498" s="73" t="str">
        <f>IF($E2498="","",DATE(YEAR($E2498),MONTH($E2498),1))</f>
        <v/>
      </c>
      <c r="M2498" s="65" t="str">
        <f ca="1">IF($D2498="","",IF($C2498="TANIMSIZ MÜŞTERİ","HATA",IF(OR($E2498="",$F2498&lt;=0,$G2498=""),"EKSİK",IF($E2498&gt;TODAY(),"İLERİ TARİH",IF(COUNTIF($S$7:$S$2503,$S2498)&gt;1,"MÜKERRER?",IF($T2498&gt;0,"KAPALI DÖNEM","UYGUN"))))))</f>
        <v/>
      </c>
      <c r="N2498" s="74" t="str">
        <f>IF($C2498="","",IF($C2498="TANIMSIZ MÜŞTERİ","—",INDEX(MUSTERILER!$C$7:$C$156,MATCH($C2498,MUSTERILER!$B$7:$B$156,0))))</f>
        <v/>
      </c>
      <c r="O2498" s="2"/>
      <c r="P2498" s="2"/>
      <c r="Q2498" s="1" t="str">
        <f>IF($D2498="","",$C2498&amp;"|"&amp;COUNTIFS($C$7:$C2498,$C2498))</f>
        <v/>
      </c>
      <c r="R2498" s="1" t="str">
        <f t="shared" si="76"/>
        <v/>
      </c>
      <c r="S2498" s="1" t="str">
        <f t="shared" si="77"/>
        <v/>
      </c>
      <c r="T2498" s="1">
        <f>IF($E2498="",0,SUMPRODUCT((AY_SONU!$O$7:$O$42="Evet")*(AY_SONU!$B$7:$B$42=DATE(YEAR($E2498),MONTH($E2498),1))))</f>
        <v>0</v>
      </c>
      <c r="U2498" s="1" t="str">
        <f>IF(OR($G2498="",$H2498="Mahsup"),"",$G2498&amp;"|"&amp;COUNTIFS($G$7:$G2498,$G2498,$H$7:$H2498,"&lt;&gt;Mahsup"))</f>
        <v/>
      </c>
    </row>
    <row r="2499" spans="1:21" ht="18" customHeight="1" x14ac:dyDescent="0.3">
      <c r="A2499" s="2"/>
      <c r="B2499" s="65" t="str">
        <f>IF($D2499="","","T"&amp;TEXT(ROW()-6,"00000"))</f>
        <v/>
      </c>
      <c r="C2499" s="65" t="str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61"/>
      <c r="E2499" s="66"/>
      <c r="F2499" s="67"/>
      <c r="G2499" s="60"/>
      <c r="H2499" s="60"/>
      <c r="I2499" s="61"/>
      <c r="J2499" s="61"/>
      <c r="K2499" s="61"/>
      <c r="L2499" s="73" t="str">
        <f>IF($E2499="","",DATE(YEAR($E2499),MONTH($E2499),1))</f>
        <v/>
      </c>
      <c r="M2499" s="65" t="str">
        <f ca="1">IF($D2499="","",IF($C2499="TANIMSIZ MÜŞTERİ","HATA",IF(OR($E2499="",$F2499&lt;=0,$G2499=""),"EKSİK",IF($E2499&gt;TODAY(),"İLERİ TARİH",IF(COUNTIF($S$7:$S$2503,$S2499)&gt;1,"MÜKERRER?",IF($T2499&gt;0,"KAPALI DÖNEM","UYGUN"))))))</f>
        <v/>
      </c>
      <c r="N2499" s="74" t="str">
        <f>IF($C2499="","",IF($C2499="TANIMSIZ MÜŞTERİ","—",INDEX(MUSTERILER!$C$7:$C$156,MATCH($C2499,MUSTERILER!$B$7:$B$156,0))))</f>
        <v/>
      </c>
      <c r="O2499" s="2"/>
      <c r="P2499" s="2"/>
      <c r="Q2499" s="1" t="str">
        <f>IF($D2499="","",$C2499&amp;"|"&amp;COUNTIFS($C$7:$C2499,$C2499))</f>
        <v/>
      </c>
      <c r="R2499" s="1" t="str">
        <f t="shared" si="76"/>
        <v/>
      </c>
      <c r="S2499" s="1" t="str">
        <f t="shared" si="77"/>
        <v/>
      </c>
      <c r="T2499" s="1">
        <f>IF($E2499="",0,SUMPRODUCT((AY_SONU!$O$7:$O$42="Evet")*(AY_SONU!$B$7:$B$42=DATE(YEAR($E2499),MONTH($E2499),1))))</f>
        <v>0</v>
      </c>
      <c r="U2499" s="1" t="str">
        <f>IF(OR($G2499="",$H2499="Mahsup"),"",$G2499&amp;"|"&amp;COUNTIFS($G$7:$G2499,$G2499,$H$7:$H2499,"&lt;&gt;Mahsup"))</f>
        <v/>
      </c>
    </row>
    <row r="2500" spans="1:21" ht="18" customHeight="1" x14ac:dyDescent="0.3">
      <c r="A2500" s="2"/>
      <c r="B2500" s="65" t="str">
        <f>IF($D2500="","","T"&amp;TEXT(ROW()-6,"00000"))</f>
        <v/>
      </c>
      <c r="C2500" s="65" t="str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61"/>
      <c r="E2500" s="66"/>
      <c r="F2500" s="67"/>
      <c r="G2500" s="60"/>
      <c r="H2500" s="60"/>
      <c r="I2500" s="61"/>
      <c r="J2500" s="61"/>
      <c r="K2500" s="61"/>
      <c r="L2500" s="73" t="str">
        <f>IF($E2500="","",DATE(YEAR($E2500),MONTH($E2500),1))</f>
        <v/>
      </c>
      <c r="M2500" s="65" t="str">
        <f ca="1">IF($D2500="","",IF($C2500="TANIMSIZ MÜŞTERİ","HATA",IF(OR($E2500="",$F2500&lt;=0,$G2500=""),"EKSİK",IF($E2500&gt;TODAY(),"İLERİ TARİH",IF(COUNTIF($S$7:$S$2503,$S2500)&gt;1,"MÜKERRER?",IF($T2500&gt;0,"KAPALI DÖNEM","UYGUN"))))))</f>
        <v/>
      </c>
      <c r="N2500" s="74" t="str">
        <f>IF($C2500="","",IF($C2500="TANIMSIZ MÜŞTERİ","—",INDEX(MUSTERILER!$C$7:$C$156,MATCH($C2500,MUSTERILER!$B$7:$B$156,0))))</f>
        <v/>
      </c>
      <c r="O2500" s="2"/>
      <c r="P2500" s="2"/>
      <c r="Q2500" s="1" t="str">
        <f>IF($D2500="","",$C2500&amp;"|"&amp;COUNTIFS($C$7:$C2500,$C2500))</f>
        <v/>
      </c>
      <c r="R2500" s="1" t="str">
        <f t="shared" si="76"/>
        <v/>
      </c>
      <c r="S2500" s="1" t="str">
        <f t="shared" si="77"/>
        <v/>
      </c>
      <c r="T2500" s="1">
        <f>IF($E2500="",0,SUMPRODUCT((AY_SONU!$O$7:$O$42="Evet")*(AY_SONU!$B$7:$B$42=DATE(YEAR($E2500),MONTH($E2500),1))))</f>
        <v>0</v>
      </c>
      <c r="U2500" s="1" t="str">
        <f>IF(OR($G2500="",$H2500="Mahsup"),"",$G2500&amp;"|"&amp;COUNTIFS($G$7:$G2500,$G2500,$H$7:$H2500,"&lt;&gt;Mahsup"))</f>
        <v/>
      </c>
    </row>
    <row r="2501" spans="1:21" ht="18" customHeight="1" x14ac:dyDescent="0.3">
      <c r="A2501" s="2"/>
      <c r="B2501" s="65" t="str">
        <f>IF($D2501="","","T"&amp;TEXT(ROW()-6,"00000"))</f>
        <v/>
      </c>
      <c r="C2501" s="65" t="str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61"/>
      <c r="E2501" s="66"/>
      <c r="F2501" s="67"/>
      <c r="G2501" s="60"/>
      <c r="H2501" s="60"/>
      <c r="I2501" s="61"/>
      <c r="J2501" s="61"/>
      <c r="K2501" s="61"/>
      <c r="L2501" s="73" t="str">
        <f>IF($E2501="","",DATE(YEAR($E2501),MONTH($E2501),1))</f>
        <v/>
      </c>
      <c r="M2501" s="65" t="str">
        <f ca="1">IF($D2501="","",IF($C2501="TANIMSIZ MÜŞTERİ","HATA",IF(OR($E2501="",$F2501&lt;=0,$G2501=""),"EKSİK",IF($E2501&gt;TODAY(),"İLERİ TARİH",IF(COUNTIF($S$7:$S$2503,$S2501)&gt;1,"MÜKERRER?",IF($T2501&gt;0,"KAPALI DÖNEM","UYGUN"))))))</f>
        <v/>
      </c>
      <c r="N2501" s="74" t="str">
        <f>IF($C2501="","",IF($C2501="TANIMSIZ MÜŞTERİ","—",INDEX(MUSTERILER!$C$7:$C$156,MATCH($C2501,MUSTERILER!$B$7:$B$156,0))))</f>
        <v/>
      </c>
      <c r="O2501" s="2"/>
      <c r="P2501" s="2"/>
      <c r="Q2501" s="1" t="str">
        <f>IF($D2501="","",$C2501&amp;"|"&amp;COUNTIFS($C$7:$C2501,$C2501))</f>
        <v/>
      </c>
      <c r="R2501" s="1" t="str">
        <f t="shared" si="76"/>
        <v/>
      </c>
      <c r="S2501" s="1" t="str">
        <f t="shared" si="77"/>
        <v/>
      </c>
      <c r="T2501" s="1">
        <f>IF($E2501="",0,SUMPRODUCT((AY_SONU!$O$7:$O$42="Evet")*(AY_SONU!$B$7:$B$42=DATE(YEAR($E2501),MONTH($E2501),1))))</f>
        <v>0</v>
      </c>
      <c r="U2501" s="1" t="str">
        <f>IF(OR($G2501="",$H2501="Mahsup"),"",$G2501&amp;"|"&amp;COUNTIFS($G$7:$G2501,$G2501,$H$7:$H2501,"&lt;&gt;Mahsup"))</f>
        <v/>
      </c>
    </row>
    <row r="2502" spans="1:21" ht="18" customHeight="1" x14ac:dyDescent="0.3">
      <c r="A2502" s="2"/>
      <c r="B2502" s="65" t="str">
        <f>IF($D2502="","","T"&amp;TEXT(ROW()-6,"00000"))</f>
        <v/>
      </c>
      <c r="C2502" s="65" t="str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61"/>
      <c r="E2502" s="66"/>
      <c r="F2502" s="67"/>
      <c r="G2502" s="60"/>
      <c r="H2502" s="60"/>
      <c r="I2502" s="61"/>
      <c r="J2502" s="61"/>
      <c r="K2502" s="61"/>
      <c r="L2502" s="73" t="str">
        <f>IF($E2502="","",DATE(YEAR($E2502),MONTH($E2502),1))</f>
        <v/>
      </c>
      <c r="M2502" s="65" t="str">
        <f ca="1">IF($D2502="","",IF($C2502="TANIMSIZ MÜŞTERİ","HATA",IF(OR($E2502="",$F2502&lt;=0,$G2502=""),"EKSİK",IF($E2502&gt;TODAY(),"İLERİ TARİH",IF(COUNTIF($S$7:$S$2503,$S2502)&gt;1,"MÜKERRER?",IF($T2502&gt;0,"KAPALI DÖNEM","UYGUN"))))))</f>
        <v/>
      </c>
      <c r="N2502" s="74" t="str">
        <f>IF($C2502="","",IF($C2502="TANIMSIZ MÜŞTERİ","—",INDEX(MUSTERILER!$C$7:$C$156,MATCH($C2502,MUSTERILER!$B$7:$B$156,0))))</f>
        <v/>
      </c>
      <c r="O2502" s="2"/>
      <c r="P2502" s="2"/>
      <c r="Q2502" s="1" t="str">
        <f>IF($D2502="","",$C2502&amp;"|"&amp;COUNTIFS($C$7:$C2502,$C2502))</f>
        <v/>
      </c>
      <c r="R2502" s="1" t="str">
        <f t="shared" si="76"/>
        <v/>
      </c>
      <c r="S2502" s="1" t="str">
        <f t="shared" si="77"/>
        <v/>
      </c>
      <c r="T2502" s="1">
        <f>IF($E2502="",0,SUMPRODUCT((AY_SONU!$O$7:$O$42="Evet")*(AY_SONU!$B$7:$B$42=DATE(YEAR($E2502),MONTH($E2502),1))))</f>
        <v>0</v>
      </c>
      <c r="U2502" s="1" t="str">
        <f>IF(OR($G2502="",$H2502="Mahsup"),"",$G2502&amp;"|"&amp;COUNTIFS($G$7:$G2502,$G2502,$H$7:$H2502,"&lt;&gt;Mahsup"))</f>
        <v/>
      </c>
    </row>
    <row r="2503" spans="1:21" ht="18" customHeight="1" x14ac:dyDescent="0.3">
      <c r="A2503" s="2"/>
      <c r="B2503" s="65" t="str">
        <f>IF($D2503="","","T"&amp;TEXT(ROW()-6,"00000"))</f>
        <v/>
      </c>
      <c r="C2503" s="65" t="str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61"/>
      <c r="E2503" s="66"/>
      <c r="F2503" s="67"/>
      <c r="G2503" s="60"/>
      <c r="H2503" s="60"/>
      <c r="I2503" s="61"/>
      <c r="J2503" s="61"/>
      <c r="K2503" s="61"/>
      <c r="L2503" s="73" t="str">
        <f>IF($E2503="","",DATE(YEAR($E2503),MONTH($E2503),1))</f>
        <v/>
      </c>
      <c r="M2503" s="65" t="str">
        <f ca="1">IF($D2503="","",IF($C2503="TANIMSIZ MÜŞTERİ","HATA",IF(OR($E2503="",$F2503&lt;=0,$G2503=""),"EKSİK",IF($E2503&gt;TODAY(),"İLERİ TARİH",IF(COUNTIF($S$7:$S$2503,$S2503)&gt;1,"MÜKERRER?",IF($T2503&gt;0,"KAPALI DÖNEM","UYGUN"))))))</f>
        <v/>
      </c>
      <c r="N2503" s="74" t="str">
        <f>IF($C2503="","",IF($C2503="TANIMSIZ MÜŞTERİ","—",INDEX(MUSTERILER!$C$7:$C$156,MATCH($C2503,MUSTERILER!$B$7:$B$156,0))))</f>
        <v/>
      </c>
      <c r="O2503" s="2"/>
      <c r="P2503" s="2"/>
      <c r="Q2503" s="1" t="str">
        <f>IF($D2503="","",$C2503&amp;"|"&amp;COUNTIFS($C$7:$C2503,$C2503))</f>
        <v/>
      </c>
      <c r="R2503" s="1" t="str">
        <f t="shared" si="76"/>
        <v/>
      </c>
      <c r="S2503" s="1" t="str">
        <f t="shared" si="77"/>
        <v/>
      </c>
      <c r="T2503" s="1">
        <f>IF($E2503="",0,SUMPRODUCT((AY_SONU!$O$7:$O$42="Evet")*(AY_SONU!$B$7:$B$42=DATE(YEAR($E2503),MONTH($E2503),1))))</f>
        <v>0</v>
      </c>
      <c r="U2503" s="1" t="str">
        <f>IF(OR($G2503="",$H2503="Mahsup"),"",$G2503&amp;"|"&amp;COUNTIFS($G$7:$G2503,$G2503,$H$7:$H2503,"&lt;&gt;Mahsup"))</f>
        <v/>
      </c>
    </row>
    <row r="2504" spans="1:21" ht="18" customHeight="1" x14ac:dyDescent="0.3">
      <c r="A2504" s="2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2"/>
      <c r="P2504" s="2"/>
      <c r="Q2504" s="1"/>
      <c r="R2504" s="1"/>
      <c r="S2504" s="1"/>
      <c r="T2504" s="1"/>
    </row>
    <row r="2505" spans="1:21" ht="18" customHeight="1" x14ac:dyDescent="0.3">
      <c r="A2505" s="2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2"/>
      <c r="P2505" s="2"/>
      <c r="Q2505" s="1"/>
      <c r="R2505" s="1"/>
      <c r="S2505" s="1"/>
      <c r="T2505" s="1"/>
    </row>
  </sheetData>
  <sheetProtection formatCells="0" formatColumns="0" formatRows="0" sort="0" autoFilter="0"/>
  <autoFilter ref="B6:N2503" xr:uid="{00000000-0009-0000-0000-000004000000}">
    <sortState ref="B7:N2503">
      <sortCondition ref="E6:E2503"/>
    </sortState>
  </autoFilter>
  <mergeCells count="3">
    <mergeCell ref="A1:E1"/>
    <mergeCell ref="A2:O2"/>
    <mergeCell ref="F1:O1"/>
  </mergeCells>
  <conditionalFormatting sqref="M7:M2503">
    <cfRule type="expression" dxfId="69" priority="2">
      <formula>EXACT($M7,"UYGUN")</formula>
    </cfRule>
    <cfRule type="expression" dxfId="68" priority="3">
      <formula>EXACT($M7,"EKSİK")</formula>
    </cfRule>
    <cfRule type="expression" dxfId="67" priority="4">
      <formula>EXACT($M7,"HATA")</formula>
    </cfRule>
    <cfRule type="expression" dxfId="66" priority="5">
      <formula>EXACT($M7,"İLERİ TARİH")</formula>
    </cfRule>
    <cfRule type="expression" dxfId="65" priority="6">
      <formula>EXACT($M7,"MÜKERRER?")</formula>
    </cfRule>
    <cfRule type="expression" dxfId="64" priority="7">
      <formula>EXACT($M7,"KAPALI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D7:D2503" xr:uid="{00000000-0002-0000-0400-000000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G7:G2503" xr:uid="{00000000-0002-0000-0400-000001000000}">
      <formula1>LST_HESAP</formula1>
      <formula2>0</formula2>
    </dataValidation>
    <dataValidation type="list" allowBlank="1" showErrorMessage="1" errorTitle="Geçersiz ödeme türü" error="Listeden seçin." promptTitle="Geçersiz ödeme türü" prompt="Listeden seçin." sqref="H7:H2503" xr:uid="{00000000-0002-0000-0400-000002000000}">
      <formula1>"Nakit,Havale/EFT,Kredi Kartı,Çek,Mahsup"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500-000000000000}">
  <sheetPr>
    <tabColor rgb="FFE07C00"/>
    <pageSetUpPr fitToPage="1"/>
  </sheetPr>
  <dimension ref="A1:AE3003"/>
  <sheetViews>
    <sheetView showGridLines="0" zoomScaleNormal="100" workbookViewId="0">
      <pane xSplit="3" ySplit="6" topLeftCell="D199" activePane="bottomRight" state="frozen"/>
      <selection pane="topRight" activeCell="D1" sqref="D1"/>
      <selection pane="bottomLeft" activeCell="A193" sqref="A193"/>
      <selection pane="bottomRight" activeCell="F209" sqref="F209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12" customWidth="1"/>
    <col min="4" max="4" width="11.140625" customWidth="1"/>
    <col min="5" max="5" width="27.85546875" customWidth="1"/>
    <col min="6" max="6" width="51" customWidth="1"/>
    <col min="7" max="7" width="16.140625" customWidth="1"/>
    <col min="8" max="8" width="16.7109375" customWidth="1"/>
    <col min="9" max="9" width="12" customWidth="1"/>
    <col min="10" max="10" width="13" customWidth="1"/>
    <col min="11" max="11" width="13.85546875" customWidth="1"/>
    <col min="12" max="12" width="27.85546875" customWidth="1"/>
    <col min="13" max="14" width="24.140625" customWidth="1"/>
    <col min="15" max="15" width="13" customWidth="1"/>
    <col min="16" max="16" width="15.7109375" customWidth="1"/>
    <col min="17" max="18" width="2.28515625" customWidth="1"/>
    <col min="19" max="23" width="12" hidden="1" customWidth="1"/>
    <col min="24" max="24" width="13.85546875" customWidth="1"/>
    <col min="25" max="25" width="24.140625" customWidth="1"/>
    <col min="26" max="26" width="26" customWidth="1"/>
    <col min="27" max="28" width="14.85546875" customWidth="1"/>
    <col min="29" max="29" width="15.7109375" customWidth="1"/>
    <col min="30" max="31" width="12" hidden="1" customWidth="1"/>
  </cols>
  <sheetData>
    <row r="1" spans="1:31" ht="37.5" customHeight="1" x14ac:dyDescent="0.3">
      <c r="A1" s="209" t="s">
        <v>548</v>
      </c>
      <c r="B1" s="150"/>
      <c r="C1" s="150"/>
      <c r="D1" s="150"/>
      <c r="E1" s="150"/>
      <c r="F1" s="208" t="s">
        <v>752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3"/>
      <c r="R1" s="1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 x14ac:dyDescent="0.3">
      <c r="A2" s="210" t="s">
        <v>753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"/>
      <c r="R2" s="14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9.5" customHeight="1" x14ac:dyDescent="0.3">
      <c r="A3" s="2"/>
      <c r="B3" s="50" t="s">
        <v>754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HYPERLINK("#VIRMAN!A1","Virman")</f>
        <v>Virman</v>
      </c>
      <c r="E4" s="2"/>
      <c r="F4" s="51" t="str">
        <f>HYPERLINK("#AY_SONU!A1","Ay Sonu")</f>
        <v>Ay Sonu</v>
      </c>
      <c r="G4" s="2"/>
      <c r="H4" s="52" t="s">
        <v>755</v>
      </c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5.5" customHeight="1" x14ac:dyDescent="0.3">
      <c r="A5" s="2"/>
      <c r="B5" s="53"/>
      <c r="C5" s="54" t="s">
        <v>756</v>
      </c>
      <c r="D5" s="53"/>
      <c r="E5" s="53"/>
      <c r="F5" s="53"/>
      <c r="G5" s="56">
        <f>SUMIFS($G$7:$G$3001,$D$7:$D$3001,"Gelir",$I$7:$I$3001,"Evet")-SUMIFS($G$7:$G$3001,$D$7:$D$3001,"Gider",$I$7:$I$3001,"Evet")</f>
        <v>-752437.98</v>
      </c>
      <c r="H5" s="53"/>
      <c r="I5" s="53"/>
      <c r="J5" s="53"/>
      <c r="K5" s="53"/>
      <c r="L5" s="56">
        <f>SUMIFS($G$7:$G$3001,$V$7:$V$3001,1)</f>
        <v>0</v>
      </c>
      <c r="M5" s="53"/>
      <c r="N5" s="56">
        <f>SUMIFS($G$7:$G$3001,$D$7:$D$3001,"Gider",$I$7:$I$3001,"Hayır")</f>
        <v>0</v>
      </c>
      <c r="O5" s="53"/>
      <c r="P5" s="53"/>
      <c r="Q5" s="2"/>
      <c r="R5" s="2"/>
      <c r="S5" s="1"/>
      <c r="T5" s="1"/>
      <c r="U5" s="1"/>
      <c r="V5" s="1"/>
      <c r="W5" s="1"/>
      <c r="X5" s="211" t="s">
        <v>757</v>
      </c>
      <c r="Y5" s="142"/>
      <c r="Z5" s="142"/>
      <c r="AA5" s="142"/>
      <c r="AB5" s="142"/>
      <c r="AC5" s="142"/>
      <c r="AD5" s="1"/>
      <c r="AE5" s="1"/>
    </row>
    <row r="6" spans="1:31" ht="39.75" customHeight="1" x14ac:dyDescent="0.3">
      <c r="A6" s="2"/>
      <c r="B6" s="57" t="s">
        <v>758</v>
      </c>
      <c r="C6" s="57" t="s">
        <v>709</v>
      </c>
      <c r="D6" s="57" t="s">
        <v>759</v>
      </c>
      <c r="E6" s="58" t="s">
        <v>760</v>
      </c>
      <c r="F6" s="58" t="s">
        <v>54</v>
      </c>
      <c r="G6" s="59" t="s">
        <v>710</v>
      </c>
      <c r="H6" s="57" t="s">
        <v>711</v>
      </c>
      <c r="I6" s="57" t="s">
        <v>761</v>
      </c>
      <c r="J6" s="58" t="s">
        <v>713</v>
      </c>
      <c r="K6" s="58" t="s">
        <v>762</v>
      </c>
      <c r="L6" s="57" t="s">
        <v>763</v>
      </c>
      <c r="M6" s="58" t="s">
        <v>764</v>
      </c>
      <c r="N6" s="58" t="s">
        <v>765</v>
      </c>
      <c r="O6" s="57" t="s">
        <v>715</v>
      </c>
      <c r="P6" s="57" t="s">
        <v>566</v>
      </c>
      <c r="Q6" s="2"/>
      <c r="R6" s="2"/>
      <c r="S6" s="1"/>
      <c r="T6" s="1"/>
      <c r="U6" s="1"/>
      <c r="V6" s="1"/>
      <c r="W6" s="1"/>
      <c r="X6" s="75" t="s">
        <v>715</v>
      </c>
      <c r="Y6" s="75" t="s">
        <v>764</v>
      </c>
      <c r="Z6" s="75" t="s">
        <v>765</v>
      </c>
      <c r="AA6" s="75" t="s">
        <v>766</v>
      </c>
      <c r="AB6" s="75" t="s">
        <v>767</v>
      </c>
      <c r="AC6" s="75" t="s">
        <v>768</v>
      </c>
      <c r="AD6" s="1"/>
      <c r="AE6" s="1"/>
    </row>
    <row r="7" spans="1:31" ht="18" customHeight="1" x14ac:dyDescent="0.3">
      <c r="A7" s="2"/>
      <c r="B7" s="65" t="str">
        <f>IF($C7="","","GG"&amp;TEXT(ROW()-6,"00000"))</f>
        <v>GG00001</v>
      </c>
      <c r="C7" s="66">
        <v>46023</v>
      </c>
      <c r="D7" s="60" t="s">
        <v>769</v>
      </c>
      <c r="E7" s="61" t="s">
        <v>770</v>
      </c>
      <c r="F7" s="61" t="s">
        <v>771</v>
      </c>
      <c r="G7" s="67">
        <v>27000</v>
      </c>
      <c r="H7" s="60" t="s">
        <v>772</v>
      </c>
      <c r="I7" s="60" t="s">
        <v>773</v>
      </c>
      <c r="J7" s="61"/>
      <c r="K7" s="61"/>
      <c r="L7" s="60"/>
      <c r="M7" s="74" t="str">
        <f>IF($C7="","",IF($D7="Gider",$E7,IF($L7&lt;&gt;"",$L7,$H7)))</f>
        <v>Diğer Gider</v>
      </c>
      <c r="N7" s="74" t="str">
        <f>IF($C7="","",IF($D7="Gider",$H7,$E7))</f>
        <v>Merkez Kasa</v>
      </c>
      <c r="O7" s="73">
        <f>IF($C7="","",DATE(YEAR($C7),MONTH($C7),1))</f>
        <v>46023</v>
      </c>
      <c r="P7" s="65" t="str">
        <f ca="1"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TARİH",IF(COUNTIF($W$7:$W$3001,$W7)&gt;1,"MÜKERRER?",IF($AD7&gt;0,"KAPALI DÖNEM",IF($I7="Hayır","ÖDENECEK","UYGUN")))),"EKSİK"))))</f>
        <v>UYGUN</v>
      </c>
      <c r="Q7" s="2"/>
      <c r="R7" s="2"/>
      <c r="S7" s="1" t="str">
        <f t="shared" ref="S7:S70" si="0"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" t="str">
        <f>IF(OR($C7="",$D7&lt;&gt;"Gelir",$L7=""),"",IFERROR(INDEX(MUSTERILER!$B$7:$B$156,MATCH($S7,MUSTERILER!$T$7:$T$156,0)),""))</f>
        <v/>
      </c>
      <c r="U7" s="1" t="str">
        <f>IF($T7="","",$T7&amp;"|"&amp;COUNTIFS($T$7:$T7,$T7))</f>
        <v/>
      </c>
      <c r="V7" s="1">
        <f t="shared" ref="V7:V70" si="1">IF($T7="",0,1)</f>
        <v>0</v>
      </c>
      <c r="W7" s="1" t="str">
        <f t="shared" ref="W7:W70" si="2">IF($C7="","",$D7&amp;"|"&amp;$E7&amp;"|"&amp;TEXT($C7,"0")&amp;"|"&amp;TEXT($G7,"0")&amp;"|"&amp;$F7&amp;"|"&amp;$J7)</f>
        <v>Gider|Diğer Gider|46023|27000|Palaoğulları Kapalı Kaldığı Dönem Haftalık Zarar|</v>
      </c>
      <c r="X7" s="73">
        <f>AY_SONU!$B7</f>
        <v>46023</v>
      </c>
      <c r="Y7" s="74" t="str">
        <f t="shared" ref="Y7:Y40" si="3">"Müşteri Carisi  (MÜŞTERİ 360)"</f>
        <v>Müşteri Carisi  (MÜŞTERİ 360)</v>
      </c>
      <c r="Z7" s="74" t="str">
        <f t="shared" ref="Z7:Z40" si="4">"600 Muhasebe Hizmet Geliri  (sözleşme)"</f>
        <v>600 Muhasebe Hizmet Geliri  (sözleşme)</v>
      </c>
      <c r="AA7" s="68">
        <f>AY_SONU!$C7</f>
        <v>447251</v>
      </c>
      <c r="AB7" s="68">
        <f>AY_SONU!$D7</f>
        <v>364900</v>
      </c>
      <c r="AC7" s="68">
        <f>AY_SONU!$C7-AY_SONU!$D7</f>
        <v>82351</v>
      </c>
      <c r="AD7" s="1">
        <f>IF($C7="",0,SUMPRODUCT((AY_SONU!$O$7:$O$42="Evet")*(AY_SONU!$B$7:$B$42=DATE(YEAR($C7),MONTH($C7),1))))</f>
        <v>0</v>
      </c>
      <c r="AE7" s="1" t="str">
        <f>IF($E7="","",$E7&amp;"|"&amp;COUNTIFS($E$7:$E7,$E7))</f>
        <v>Diğer Gider|1</v>
      </c>
    </row>
    <row r="8" spans="1:31" ht="18" customHeight="1" x14ac:dyDescent="0.3">
      <c r="A8" s="2"/>
      <c r="B8" s="65" t="str">
        <f>IF($C8="","","GG"&amp;TEXT(ROW()-6,"00000"))</f>
        <v>GG00002</v>
      </c>
      <c r="C8" s="66">
        <v>46023</v>
      </c>
      <c r="D8" s="60" t="s">
        <v>769</v>
      </c>
      <c r="E8" s="61" t="s">
        <v>770</v>
      </c>
      <c r="F8" s="61" t="s">
        <v>774</v>
      </c>
      <c r="G8" s="67">
        <v>5000</v>
      </c>
      <c r="H8" s="60" t="s">
        <v>772</v>
      </c>
      <c r="I8" s="60" t="s">
        <v>773</v>
      </c>
      <c r="J8" s="61"/>
      <c r="K8" s="61"/>
      <c r="L8" s="60"/>
      <c r="M8" s="74" t="str">
        <f>IF($C8="","",IF($D8="Gider",$E8,IF($L8&lt;&gt;"",$L8,$H8)))</f>
        <v>Diğer Gider</v>
      </c>
      <c r="N8" s="74" t="str">
        <f>IF($C8="","",IF($D8="Gider",$H8,$E8))</f>
        <v>Merkez Kasa</v>
      </c>
      <c r="O8" s="73">
        <f>IF($C8="","",DATE(YEAR($C8),MONTH($C8),1))</f>
        <v>46023</v>
      </c>
      <c r="P8" s="65" t="str">
        <f ca="1">IF($C8="","",IF(AND($D8="Gelir",$L8&lt;&gt;"",$T8=""),"TANIMSIZ BORÇLU",IF($T8&lt;&gt;"",IF(OR($E8="",$G8&lt;=0),"EKSİK",IF($I8="Evet","TAHAKKUK NAKİT OLAMAZ",IF($C8&gt;TODAY(),"İLERİ TARİH","TAHAKKUK"))),IF(AND($D8&lt;&gt;"",$E8&lt;&gt;"",$G8&gt;0,$H8&lt;&gt;"",$I8&lt;&gt;""),IF($C8&gt;TODAY(),"İLERİ TARİH",IF(COUNTIF($W$7:$W$3001,$W8)&gt;1,"MÜKERRER?",IF($AD8&gt;0,"KAPALI DÖNEM",IF($I8="Hayır","ÖDENECEK","UYGUN")))),"EKSİK"))))</f>
        <v>UYGUN</v>
      </c>
      <c r="Q8" s="2"/>
      <c r="R8" s="2"/>
      <c r="S8" s="1" t="str">
        <f t="shared" si="0"/>
        <v/>
      </c>
      <c r="T8" s="1" t="str">
        <f>IF(OR($C8="",$D8&lt;&gt;"Gelir",$L8=""),"",IFERROR(INDEX(MUSTERILER!$B$7:$B$156,MATCH($S8,MUSTERILER!$T$7:$T$156,0)),""))</f>
        <v/>
      </c>
      <c r="U8" s="1" t="str">
        <f>IF($T8="","",$T8&amp;"|"&amp;COUNTIFS($T$7:$T8,$T8))</f>
        <v/>
      </c>
      <c r="V8" s="1">
        <f t="shared" si="1"/>
        <v>0</v>
      </c>
      <c r="W8" s="1" t="str">
        <f t="shared" si="2"/>
        <v>Gider|Diğer Gider|46023|5000|Çayıralan Ltd.Şti. Cari Hesap Bakiye Tashihi|</v>
      </c>
      <c r="X8" s="73">
        <f>AY_SONU!$B9</f>
        <v>46082</v>
      </c>
      <c r="Y8" s="74" t="str">
        <f t="shared" si="3"/>
        <v>Müşteri Carisi  (MÜŞTERİ 360)</v>
      </c>
      <c r="Z8" s="74" t="str">
        <f t="shared" si="4"/>
        <v>600 Muhasebe Hizmet Geliri  (sözleşme)</v>
      </c>
      <c r="AA8" s="68">
        <f>AY_SONU!$C9</f>
        <v>393501</v>
      </c>
      <c r="AB8" s="68">
        <f>AY_SONU!$D9</f>
        <v>263250</v>
      </c>
      <c r="AC8" s="68">
        <f>AY_SONU!$C9-AY_SONU!$D9</f>
        <v>130251</v>
      </c>
      <c r="AD8" s="1">
        <f>IF($C8="",0,SUMPRODUCT((AY_SONU!$O$7:$O$42="Evet")*(AY_SONU!$B$7:$B$42=DATE(YEAR($C8),MONTH($C8),1))))</f>
        <v>0</v>
      </c>
      <c r="AE8" s="1" t="str">
        <f>IF($E8="","",$E8&amp;"|"&amp;COUNTIFS($E$7:$E8,$E8))</f>
        <v>Diğer Gider|2</v>
      </c>
    </row>
    <row r="9" spans="1:31" ht="18" customHeight="1" x14ac:dyDescent="0.3">
      <c r="A9" s="2"/>
      <c r="B9" s="65" t="str">
        <f>IF($C9="","","GG"&amp;TEXT(ROW()-6,"00000"))</f>
        <v>GG00003</v>
      </c>
      <c r="C9" s="66">
        <v>46023</v>
      </c>
      <c r="D9" s="60" t="s">
        <v>769</v>
      </c>
      <c r="E9" s="61" t="s">
        <v>770</v>
      </c>
      <c r="F9" s="61" t="s">
        <v>775</v>
      </c>
      <c r="G9" s="67">
        <v>3000</v>
      </c>
      <c r="H9" s="60" t="s">
        <v>772</v>
      </c>
      <c r="I9" s="60" t="s">
        <v>773</v>
      </c>
      <c r="J9" s="61"/>
      <c r="K9" s="61"/>
      <c r="L9" s="60"/>
      <c r="M9" s="74" t="str">
        <f>IF($C9="","",IF($D9="Gider",$E9,IF($L9&lt;&gt;"",$L9,$H9)))</f>
        <v>Diğer Gider</v>
      </c>
      <c r="N9" s="74" t="str">
        <f>IF($C9="","",IF($D9="Gider",$H9,$E9))</f>
        <v>Merkez Kasa</v>
      </c>
      <c r="O9" s="73">
        <f>IF($C9="","",DATE(YEAR($C9),MONTH($C9),1))</f>
        <v>46023</v>
      </c>
      <c r="P9" s="65" t="str">
        <f ca="1">IF($C9="","",IF(AND($D9="Gelir",$L9&lt;&gt;"",$T9=""),"TANIMSIZ BORÇLU",IF($T9&lt;&gt;"",IF(OR($E9="",$G9&lt;=0),"EKSİK",IF($I9="Evet","TAHAKKUK NAKİT OLAMAZ",IF($C9&gt;TODAY(),"İLERİ TARİH","TAHAKKUK"))),IF(AND($D9&lt;&gt;"",$E9&lt;&gt;"",$G9&gt;0,$H9&lt;&gt;"",$I9&lt;&gt;""),IF($C9&gt;TODAY(),"İLERİ TARİH",IF(COUNTIF($W$7:$W$3001,$W9)&gt;1,"MÜKERRER?",IF($AD9&gt;0,"KAPALI DÖNEM",IF($I9="Hayır","ÖDENECEK","UYGUN")))),"EKSİK"))))</f>
        <v>UYGUN</v>
      </c>
      <c r="Q9" s="2"/>
      <c r="R9" s="2"/>
      <c r="S9" s="1" t="str">
        <f t="shared" si="0"/>
        <v/>
      </c>
      <c r="T9" s="1" t="str">
        <f>IF(OR($C9="",$D9&lt;&gt;"Gelir",$L9=""),"",IFERROR(INDEX(MUSTERILER!$B$7:$B$156,MATCH($S9,MUSTERILER!$T$7:$T$156,0)),""))</f>
        <v/>
      </c>
      <c r="U9" s="1" t="str">
        <f>IF($T9="","",$T9&amp;"|"&amp;COUNTIFS($T$7:$T9,$T9))</f>
        <v/>
      </c>
      <c r="V9" s="1">
        <f t="shared" si="1"/>
        <v>0</v>
      </c>
      <c r="W9" s="1" t="str">
        <f t="shared" si="2"/>
        <v>Gider|Diğer Gider|46023|3000|Asım Açıkgöz Cari Hesap Bakiye Tashihi|</v>
      </c>
      <c r="X9" s="73">
        <f>AY_SONU!$B11</f>
        <v>46143</v>
      </c>
      <c r="Y9" s="74" t="str">
        <f t="shared" si="3"/>
        <v>Müşteri Carisi  (MÜŞTERİ 360)</v>
      </c>
      <c r="Z9" s="74" t="str">
        <f t="shared" si="4"/>
        <v>600 Muhasebe Hizmet Geliri  (sözleşme)</v>
      </c>
      <c r="AA9" s="68">
        <f>AY_SONU!$C11</f>
        <v>494251</v>
      </c>
      <c r="AB9" s="68">
        <f>AY_SONU!$D11</f>
        <v>350150</v>
      </c>
      <c r="AC9" s="68">
        <f>AY_SONU!$C11-AY_SONU!$D11</f>
        <v>144101</v>
      </c>
      <c r="AD9" s="1">
        <f>IF($C9="",0,SUMPRODUCT((AY_SONU!$O$7:$O$42="Evet")*(AY_SONU!$B$7:$B$42=DATE(YEAR($C9),MONTH($C9),1))))</f>
        <v>0</v>
      </c>
      <c r="AE9" s="1" t="str">
        <f>IF($E9="","",$E9&amp;"|"&amp;COUNTIFS($E$7:$E9,$E9))</f>
        <v>Diğer Gider|3</v>
      </c>
    </row>
    <row r="10" spans="1:31" ht="18" customHeight="1" x14ac:dyDescent="0.3">
      <c r="A10" s="2"/>
      <c r="B10" s="65" t="str">
        <f>IF($C10="","","GG"&amp;TEXT(ROW()-6,"00000"))</f>
        <v>GG00004</v>
      </c>
      <c r="C10" s="66">
        <v>46023</v>
      </c>
      <c r="D10" s="60" t="s">
        <v>769</v>
      </c>
      <c r="E10" s="61" t="s">
        <v>770</v>
      </c>
      <c r="F10" s="61" t="s">
        <v>776</v>
      </c>
      <c r="G10" s="67">
        <v>10000</v>
      </c>
      <c r="H10" s="60" t="s">
        <v>772</v>
      </c>
      <c r="I10" s="60" t="s">
        <v>773</v>
      </c>
      <c r="J10" s="61"/>
      <c r="K10" s="61"/>
      <c r="L10" s="60"/>
      <c r="M10" s="74" t="str">
        <f>IF($C10="","",IF($D10="Gider",$E10,IF($L10&lt;&gt;"",$L10,$H10)))</f>
        <v>Diğer Gider</v>
      </c>
      <c r="N10" s="74" t="str">
        <f>IF($C10="","",IF($D10="Gider",$H10,$E10))</f>
        <v>Merkez Kasa</v>
      </c>
      <c r="O10" s="73">
        <f>IF($C10="","",DATE(YEAR($C10),MONTH($C10),1))</f>
        <v>46023</v>
      </c>
      <c r="P10" s="65" t="str">
        <f ca="1">IF($C10="","",IF(AND($D10="Gelir",$L10&lt;&gt;"",$T10=""),"TANIMSIZ BORÇLU",IF($T10&lt;&gt;"",IF(OR($E10="",$G10&lt;=0),"EKSİK",IF($I10="Evet","TAHAKKUK NAKİT OLAMAZ",IF($C10&gt;TODAY(),"İLERİ TARİH","TAHAKKUK"))),IF(AND($D10&lt;&gt;"",$E10&lt;&gt;"",$G10&gt;0,$H10&lt;&gt;"",$I10&lt;&gt;""),IF($C10&gt;TODAY(),"İLERİ TARİH",IF(COUNTIF($W$7:$W$3001,$W10)&gt;1,"MÜKERRER?",IF($AD10&gt;0,"KAPALI DÖNEM",IF($I10="Hayır","ÖDENECEK","UYGUN")))),"EKSİK"))))</f>
        <v>UYGUN</v>
      </c>
      <c r="Q10" s="2"/>
      <c r="R10" s="2"/>
      <c r="S10" s="1" t="str">
        <f t="shared" si="0"/>
        <v/>
      </c>
      <c r="T10" s="1" t="str">
        <f>IF(OR($C10="",$D10&lt;&gt;"Gelir",$L10=""),"",IFERROR(INDEX(MUSTERILER!$B$7:$B$156,MATCH($S10,MUSTERILER!$T$7:$T$156,0)),""))</f>
        <v/>
      </c>
      <c r="U10" s="1" t="str">
        <f>IF($T10="","",$T10&amp;"|"&amp;COUNTIFS($T$7:$T10,$T10))</f>
        <v/>
      </c>
      <c r="V10" s="1">
        <f t="shared" si="1"/>
        <v>0</v>
      </c>
      <c r="W10" s="1" t="str">
        <f t="shared" si="2"/>
        <v>Gider|Diğer Gider|46023|10000|ASM Eğlence Ltd.Şti. Cari Hesap Bakiye Tashihi|</v>
      </c>
      <c r="X10" s="73">
        <f>AY_SONU!$B12</f>
        <v>46174</v>
      </c>
      <c r="Y10" s="74" t="str">
        <f t="shared" si="3"/>
        <v>Müşteri Carisi  (MÜŞTERİ 360)</v>
      </c>
      <c r="Z10" s="74" t="str">
        <f t="shared" si="4"/>
        <v>600 Muhasebe Hizmet Geliri  (sözleşme)</v>
      </c>
      <c r="AA10" s="68">
        <f>AY_SONU!$C12</f>
        <v>428001</v>
      </c>
      <c r="AB10" s="68">
        <f>AY_SONU!$D12</f>
        <v>290850</v>
      </c>
      <c r="AC10" s="68">
        <f>AY_SONU!$C12-AY_SONU!$D12</f>
        <v>137151</v>
      </c>
      <c r="AD10" s="1">
        <f>IF($C10="",0,SUMPRODUCT((AY_SONU!$O$7:$O$42="Evet")*(AY_SONU!$B$7:$B$42=DATE(YEAR($C10),MONTH($C10),1))))</f>
        <v>0</v>
      </c>
      <c r="AE10" s="1" t="str">
        <f>IF($E10="","",$E10&amp;"|"&amp;COUNTIFS($E$7:$E10,$E10))</f>
        <v>Diğer Gider|4</v>
      </c>
    </row>
    <row r="11" spans="1:31" ht="18" customHeight="1" x14ac:dyDescent="0.3">
      <c r="A11" s="2"/>
      <c r="B11" s="65" t="str">
        <f>IF($C11="","","GG"&amp;TEXT(ROW()-6,"00000"))</f>
        <v>GG00005</v>
      </c>
      <c r="C11" s="66">
        <v>46023</v>
      </c>
      <c r="D11" s="60" t="s">
        <v>769</v>
      </c>
      <c r="E11" s="61" t="s">
        <v>770</v>
      </c>
      <c r="F11" s="61" t="s">
        <v>777</v>
      </c>
      <c r="G11" s="67">
        <v>4500</v>
      </c>
      <c r="H11" s="60" t="s">
        <v>772</v>
      </c>
      <c r="I11" s="60" t="s">
        <v>773</v>
      </c>
      <c r="J11" s="61"/>
      <c r="K11" s="61"/>
      <c r="L11" s="60"/>
      <c r="M11" s="74" t="str">
        <f>IF($C11="","",IF($D11="Gider",$E11,IF($L11&lt;&gt;"",$L11,$H11)))</f>
        <v>Diğer Gider</v>
      </c>
      <c r="N11" s="74" t="str">
        <f>IF($C11="","",IF($D11="Gider",$H11,$E11))</f>
        <v>Merkez Kasa</v>
      </c>
      <c r="O11" s="73">
        <f>IF($C11="","",DATE(YEAR($C11),MONTH($C11),1))</f>
        <v>46023</v>
      </c>
      <c r="P11" s="65" t="str">
        <f ca="1">IF($C11="","",IF(AND($D11="Gelir",$L11&lt;&gt;"",$T11=""),"TANIMSIZ BORÇLU",IF($T11&lt;&gt;"",IF(OR($E11="",$G11&lt;=0),"EKSİK",IF($I11="Evet","TAHAKKUK NAKİT OLAMAZ",IF($C11&gt;TODAY(),"İLERİ TARİH","TAHAKKUK"))),IF(AND($D11&lt;&gt;"",$E11&lt;&gt;"",$G11&gt;0,$H11&lt;&gt;"",$I11&lt;&gt;""),IF($C11&gt;TODAY(),"İLERİ TARİH",IF(COUNTIF($W$7:$W$3001,$W11)&gt;1,"MÜKERRER?",IF($AD11&gt;0,"KAPALI DÖNEM",IF($I11="Hayır","ÖDENECEK","UYGUN")))),"EKSİK"))))</f>
        <v>UYGUN</v>
      </c>
      <c r="Q11" s="2"/>
      <c r="R11" s="2"/>
      <c r="S11" s="1" t="str">
        <f t="shared" si="0"/>
        <v/>
      </c>
      <c r="T11" s="1" t="str">
        <f>IF(OR($C11="",$D11&lt;&gt;"Gelir",$L11=""),"",IFERROR(INDEX(MUSTERILER!$B$7:$B$156,MATCH($S11,MUSTERILER!$T$7:$T$156,0)),""))</f>
        <v/>
      </c>
      <c r="U11" s="1" t="str">
        <f>IF($T11="","",$T11&amp;"|"&amp;COUNTIFS($T$7:$T11,$T11))</f>
        <v/>
      </c>
      <c r="V11" s="1">
        <f t="shared" si="1"/>
        <v>0</v>
      </c>
      <c r="W11" s="1" t="str">
        <f t="shared" si="2"/>
        <v>Gider|Diğer Gider|46023|4500|Çınarhan Ltd.Şti. Cari Hesap Bakiye Tashihi|</v>
      </c>
      <c r="X11" s="73">
        <f>AY_SONU!$B13</f>
        <v>46204</v>
      </c>
      <c r="Y11" s="74" t="str">
        <f t="shared" si="3"/>
        <v>Müşteri Carisi  (MÜŞTERİ 360)</v>
      </c>
      <c r="Z11" s="74" t="str">
        <f t="shared" si="4"/>
        <v>600 Muhasebe Hizmet Geliri  (sözleşme)</v>
      </c>
      <c r="AA11" s="68">
        <f>AY_SONU!$C13</f>
        <v>422001</v>
      </c>
      <c r="AB11" s="68">
        <f>AY_SONU!$D13</f>
        <v>206750</v>
      </c>
      <c r="AC11" s="68">
        <f>AY_SONU!$C13-AY_SONU!$D13</f>
        <v>215251</v>
      </c>
      <c r="AD11" s="1">
        <f>IF($C11="",0,SUMPRODUCT((AY_SONU!$O$7:$O$42="Evet")*(AY_SONU!$B$7:$B$42=DATE(YEAR($C11),MONTH($C11),1))))</f>
        <v>0</v>
      </c>
      <c r="AE11" s="1" t="str">
        <f>IF($E11="","",$E11&amp;"|"&amp;COUNTIFS($E$7:$E11,$E11))</f>
        <v>Diğer Gider|5</v>
      </c>
    </row>
    <row r="12" spans="1:31" ht="18" customHeight="1" x14ac:dyDescent="0.3">
      <c r="A12" s="2"/>
      <c r="B12" s="65" t="str">
        <f>IF($C12="","","GG"&amp;TEXT(ROW()-6,"00000"))</f>
        <v>GG00006</v>
      </c>
      <c r="C12" s="66">
        <v>46023</v>
      </c>
      <c r="D12" s="60" t="s">
        <v>769</v>
      </c>
      <c r="E12" s="61" t="s">
        <v>770</v>
      </c>
      <c r="F12" s="61" t="s">
        <v>778</v>
      </c>
      <c r="G12" s="67">
        <v>15750</v>
      </c>
      <c r="H12" s="60" t="s">
        <v>772</v>
      </c>
      <c r="I12" s="60" t="s">
        <v>773</v>
      </c>
      <c r="J12" s="61"/>
      <c r="K12" s="61"/>
      <c r="L12" s="60"/>
      <c r="M12" s="74" t="str">
        <f>IF($C12="","",IF($D12="Gider",$E12,IF($L12&lt;&gt;"",$L12,$H12)))</f>
        <v>Diğer Gider</v>
      </c>
      <c r="N12" s="74" t="str">
        <f>IF($C12="","",IF($D12="Gider",$H12,$E12))</f>
        <v>Merkez Kasa</v>
      </c>
      <c r="O12" s="73">
        <f>IF($C12="","",DATE(YEAR($C12),MONTH($C12),1))</f>
        <v>46023</v>
      </c>
      <c r="P12" s="65" t="str">
        <f ca="1">IF($C12="","",IF(AND($D12="Gelir",$L12&lt;&gt;"",$T12=""),"TANIMSIZ BORÇLU",IF($T12&lt;&gt;"",IF(OR($E12="",$G12&lt;=0),"EKSİK",IF($I12="Evet","TAHAKKUK NAKİT OLAMAZ",IF($C12&gt;TODAY(),"İLERİ TARİH","TAHAKKUK"))),IF(AND($D12&lt;&gt;"",$E12&lt;&gt;"",$G12&gt;0,$H12&lt;&gt;"",$I12&lt;&gt;""),IF($C12&gt;TODAY(),"İLERİ TARİH",IF(COUNTIF($W$7:$W$3001,$W12)&gt;1,"MÜKERRER?",IF($AD12&gt;0,"KAPALI DÖNEM",IF($I12="Hayır","ÖDENECEK","UYGUN")))),"EKSİK"))))</f>
        <v>UYGUN</v>
      </c>
      <c r="Q12" s="2"/>
      <c r="R12" s="2"/>
      <c r="S12" s="1" t="str">
        <f t="shared" si="0"/>
        <v/>
      </c>
      <c r="T12" s="1" t="str">
        <f>IF(OR($C12="",$D12&lt;&gt;"Gelir",$L12=""),"",IFERROR(INDEX(MUSTERILER!$B$7:$B$156,MATCH($S12,MUSTERILER!$T$7:$T$156,0)),""))</f>
        <v/>
      </c>
      <c r="U12" s="1" t="str">
        <f>IF($T12="","",$T12&amp;"|"&amp;COUNTIFS($T$7:$T12,$T12))</f>
        <v/>
      </c>
      <c r="V12" s="1">
        <f t="shared" si="1"/>
        <v>0</v>
      </c>
      <c r="W12" s="1" t="str">
        <f t="shared" si="2"/>
        <v>Gider|Diğer Gider|46023|15750|Zümrüt Grup Ltd.Şti. Cari Hesap Bakiye Tashihi|</v>
      </c>
      <c r="X12" s="73">
        <f>AY_SONU!$B14</f>
        <v>46235</v>
      </c>
      <c r="Y12" s="74" t="str">
        <f t="shared" si="3"/>
        <v>Müşteri Carisi  (MÜŞTERİ 360)</v>
      </c>
      <c r="Z12" s="74" t="str">
        <f t="shared" si="4"/>
        <v>600 Muhasebe Hizmet Geliri  (sözleşme)</v>
      </c>
      <c r="AA12" s="68">
        <f>AY_SONU!$C14</f>
        <v>516751</v>
      </c>
      <c r="AB12" s="68">
        <f>AY_SONU!$D14</f>
        <v>334400</v>
      </c>
      <c r="AC12" s="68">
        <f>AY_SONU!$C14-AY_SONU!$D14</f>
        <v>182351</v>
      </c>
      <c r="AD12" s="1">
        <f>IF($C12="",0,SUMPRODUCT((AY_SONU!$O$7:$O$42="Evet")*(AY_SONU!$B$7:$B$42=DATE(YEAR($C12),MONTH($C12),1))))</f>
        <v>0</v>
      </c>
      <c r="AE12" s="1" t="str">
        <f>IF($E12="","",$E12&amp;"|"&amp;COUNTIFS($E$7:$E12,$E12))</f>
        <v>Diğer Gider|6</v>
      </c>
    </row>
    <row r="13" spans="1:31" ht="18" customHeight="1" x14ac:dyDescent="0.3">
      <c r="A13" s="2"/>
      <c r="B13" s="65" t="str">
        <f>IF($C13="","","GG"&amp;TEXT(ROW()-6,"00000"))</f>
        <v>GG00007</v>
      </c>
      <c r="C13" s="66">
        <v>46035</v>
      </c>
      <c r="D13" s="60" t="s">
        <v>769</v>
      </c>
      <c r="E13" s="61" t="s">
        <v>779</v>
      </c>
      <c r="F13" s="61" t="s">
        <v>780</v>
      </c>
      <c r="G13" s="67">
        <v>1060</v>
      </c>
      <c r="H13" s="60" t="s">
        <v>772</v>
      </c>
      <c r="I13" s="60" t="s">
        <v>773</v>
      </c>
      <c r="J13" s="61"/>
      <c r="K13" s="61"/>
      <c r="L13" s="60"/>
      <c r="M13" s="74" t="str">
        <f>IF($C13="","",IF($D13="Gider",$E13,IF($L13&lt;&gt;"",$L13,$H13)))</f>
        <v>Kırtasiye</v>
      </c>
      <c r="N13" s="74" t="str">
        <f>IF($C13="","",IF($D13="Gider",$H13,$E13))</f>
        <v>Merkez Kasa</v>
      </c>
      <c r="O13" s="73">
        <f>IF($C13="","",DATE(YEAR($C13),MONTH($C13),1))</f>
        <v>46023</v>
      </c>
      <c r="P13" s="65" t="str">
        <f ca="1">IF($C13="","",IF(AND($D13="Gelir",$L13&lt;&gt;"",$T13=""),"TANIMSIZ BORÇLU",IF($T13&lt;&gt;"",IF(OR($E13="",$G13&lt;=0),"EKSİK",IF($I13="Evet","TAHAKKUK NAKİT OLAMAZ",IF($C13&gt;TODAY(),"İLERİ TARİH","TAHAKKUK"))),IF(AND($D13&lt;&gt;"",$E13&lt;&gt;"",$G13&gt;0,$H13&lt;&gt;"",$I13&lt;&gt;""),IF($C13&gt;TODAY(),"İLERİ TARİH",IF(COUNTIF($W$7:$W$3001,$W13)&gt;1,"MÜKERRER?",IF($AD13&gt;0,"KAPALI DÖNEM",IF($I13="Hayır","ÖDENECEK","UYGUN")))),"EKSİK"))))</f>
        <v>UYGUN</v>
      </c>
      <c r="Q13" s="2"/>
      <c r="R13" s="2"/>
      <c r="S13" s="1" t="str">
        <f t="shared" si="0"/>
        <v/>
      </c>
      <c r="T13" s="1" t="str">
        <f>IF(OR($C13="",$D13&lt;&gt;"Gelir",$L13=""),"",IFERROR(INDEX(MUSTERILER!$B$7:$B$156,MATCH($S13,MUSTERILER!$T$7:$T$156,0)),""))</f>
        <v/>
      </c>
      <c r="U13" s="1" t="str">
        <f>IF($T13="","",$T13&amp;"|"&amp;COUNTIFS($T$7:$T13,$T13))</f>
        <v/>
      </c>
      <c r="V13" s="1">
        <f t="shared" si="1"/>
        <v>0</v>
      </c>
      <c r="W13" s="1" t="str">
        <f t="shared" si="2"/>
        <v>Gider|Kırtasiye|46035|1060|Merdiven İki Basamaklı |</v>
      </c>
      <c r="X13" s="73">
        <f>AY_SONU!$B15</f>
        <v>46266</v>
      </c>
      <c r="Y13" s="74" t="str">
        <f t="shared" si="3"/>
        <v>Müşteri Carisi  (MÜŞTERİ 360)</v>
      </c>
      <c r="Z13" s="74" t="str">
        <f t="shared" si="4"/>
        <v>600 Muhasebe Hizmet Geliri  (sözleşme)</v>
      </c>
      <c r="AA13" s="68">
        <f>AY_SONU!$C15</f>
        <v>450001</v>
      </c>
      <c r="AB13" s="68">
        <f>AY_SONU!$D15</f>
        <v>0</v>
      </c>
      <c r="AC13" s="68">
        <f>AY_SONU!$C15-AY_SONU!$D15</f>
        <v>450001</v>
      </c>
      <c r="AD13" s="1">
        <f>IF($C13="",0,SUMPRODUCT((AY_SONU!$O$7:$O$42="Evet")*(AY_SONU!$B$7:$B$42=DATE(YEAR($C13),MONTH($C13),1))))</f>
        <v>0</v>
      </c>
      <c r="AE13" s="1" t="str">
        <f>IF($E13="","",$E13&amp;"|"&amp;COUNTIFS($E$7:$E13,$E13))</f>
        <v>Kırtasiye|1</v>
      </c>
    </row>
    <row r="14" spans="1:31" ht="18" customHeight="1" x14ac:dyDescent="0.3">
      <c r="A14" s="2"/>
      <c r="B14" s="65" t="str">
        <f>IF($C14="","","GG"&amp;TEXT(ROW()-6,"00000"))</f>
        <v>GG00008</v>
      </c>
      <c r="C14" s="66">
        <v>46036</v>
      </c>
      <c r="D14" s="60" t="s">
        <v>769</v>
      </c>
      <c r="E14" s="61" t="s">
        <v>781</v>
      </c>
      <c r="F14" s="61" t="s">
        <v>782</v>
      </c>
      <c r="G14" s="67">
        <v>800</v>
      </c>
      <c r="H14" s="60" t="s">
        <v>772</v>
      </c>
      <c r="I14" s="60" t="s">
        <v>773</v>
      </c>
      <c r="J14" s="61"/>
      <c r="K14" s="61"/>
      <c r="L14" s="60"/>
      <c r="M14" s="74" t="str">
        <f>IF($C14="","",IF($D14="Gider",$E14,IF($L14&lt;&gt;"",$L14,$H14)))</f>
        <v>Telefon / İnternet</v>
      </c>
      <c r="N14" s="74" t="str">
        <f>IF($C14="","",IF($D14="Gider",$H14,$E14))</f>
        <v>Merkez Kasa</v>
      </c>
      <c r="O14" s="73">
        <f>IF($C14="","",DATE(YEAR($C14),MONTH($C14),1))</f>
        <v>46023</v>
      </c>
      <c r="P14" s="65" t="str">
        <f ca="1">IF($C14="","",IF(AND($D14="Gelir",$L14&lt;&gt;"",$T14=""),"TANIMSIZ BORÇLU",IF($T14&lt;&gt;"",IF(OR($E14="",$G14&lt;=0),"EKSİK",IF($I14="Evet","TAHAKKUK NAKİT OLAMAZ",IF($C14&gt;TODAY(),"İLERİ TARİH","TAHAKKUK"))),IF(AND($D14&lt;&gt;"",$E14&lt;&gt;"",$G14&gt;0,$H14&lt;&gt;"",$I14&lt;&gt;""),IF($C14&gt;TODAY(),"İLERİ TARİH",IF(COUNTIF($W$7:$W$3001,$W14)&gt;1,"MÜKERRER?",IF($AD14&gt;0,"KAPALI DÖNEM",IF($I14="Hayır","ÖDENECEK","UYGUN")))),"EKSİK"))))</f>
        <v>UYGUN</v>
      </c>
      <c r="Q14" s="2"/>
      <c r="R14" s="2"/>
      <c r="S14" s="1" t="str">
        <f t="shared" si="0"/>
        <v/>
      </c>
      <c r="T14" s="1" t="str">
        <f>IF(OR($C14="",$D14&lt;&gt;"Gelir",$L14=""),"",IFERROR(INDEX(MUSTERILER!$B$7:$B$156,MATCH($S14,MUSTERILER!$T$7:$T$156,0)),""))</f>
        <v/>
      </c>
      <c r="U14" s="1" t="str">
        <f>IF($T14="","",$T14&amp;"|"&amp;COUNTIFS($T$7:$T14,$T14))</f>
        <v/>
      </c>
      <c r="V14" s="1">
        <f t="shared" si="1"/>
        <v>0</v>
      </c>
      <c r="W14" s="1" t="str">
        <f t="shared" si="2"/>
        <v>Gider|Telefon / İnternet|46036|800|Ofis Whatsapp Hattı Ocak |</v>
      </c>
      <c r="X14" s="73">
        <f>AY_SONU!$B16</f>
        <v>46296</v>
      </c>
      <c r="Y14" s="74" t="str">
        <f t="shared" si="3"/>
        <v>Müşteri Carisi  (MÜŞTERİ 360)</v>
      </c>
      <c r="Z14" s="74" t="str">
        <f t="shared" si="4"/>
        <v>600 Muhasebe Hizmet Geliri  (sözleşme)</v>
      </c>
      <c r="AA14" s="68">
        <f>AY_SONU!$C16</f>
        <v>529751</v>
      </c>
      <c r="AB14" s="68">
        <f>AY_SONU!$D16</f>
        <v>0</v>
      </c>
      <c r="AC14" s="68">
        <f>AY_SONU!$C16-AY_SONU!$D16</f>
        <v>529751</v>
      </c>
      <c r="AD14" s="1">
        <f>IF($C14="",0,SUMPRODUCT((AY_SONU!$O$7:$O$42="Evet")*(AY_SONU!$B$7:$B$42=DATE(YEAR($C14),MONTH($C14),1))))</f>
        <v>0</v>
      </c>
      <c r="AE14" s="1" t="str">
        <f>IF($E14="","",$E14&amp;"|"&amp;COUNTIFS($E$7:$E14,$E14))</f>
        <v>Telefon / İnternet|1</v>
      </c>
    </row>
    <row r="15" spans="1:31" ht="18" customHeight="1" x14ac:dyDescent="0.3">
      <c r="A15" s="2"/>
      <c r="B15" s="65" t="str">
        <f>IF($C15="","","GG"&amp;TEXT(ROW()-6,"00000"))</f>
        <v>GG00009</v>
      </c>
      <c r="C15" s="66">
        <v>46044</v>
      </c>
      <c r="D15" s="60" t="s">
        <v>769</v>
      </c>
      <c r="E15" s="61" t="s">
        <v>770</v>
      </c>
      <c r="F15" s="61" t="s">
        <v>783</v>
      </c>
      <c r="G15" s="67">
        <v>3000</v>
      </c>
      <c r="H15" s="60" t="s">
        <v>772</v>
      </c>
      <c r="I15" s="60" t="s">
        <v>773</v>
      </c>
      <c r="J15" s="61"/>
      <c r="K15" s="61"/>
      <c r="L15" s="60"/>
      <c r="M15" s="74" t="str">
        <f>IF($C15="","",IF($D15="Gider",$E15,IF($L15&lt;&gt;"",$L15,$H15)))</f>
        <v>Diğer Gider</v>
      </c>
      <c r="N15" s="74" t="str">
        <f>IF($C15="","",IF($D15="Gider",$H15,$E15))</f>
        <v>Merkez Kasa</v>
      </c>
      <c r="O15" s="73">
        <f>IF($C15="","",DATE(YEAR($C15),MONTH($C15),1))</f>
        <v>46023</v>
      </c>
      <c r="P15" s="65" t="str">
        <f ca="1">IF($C15="","",IF(AND($D15="Gelir",$L15&lt;&gt;"",$T15=""),"TANIMSIZ BORÇLU",IF($T15&lt;&gt;"",IF(OR($E15="",$G15&lt;=0),"EKSİK",IF($I15="Evet","TAHAKKUK NAKİT OLAMAZ",IF($C15&gt;TODAY(),"İLERİ TARİH","TAHAKKUK"))),IF(AND($D15&lt;&gt;"",$E15&lt;&gt;"",$G15&gt;0,$H15&lt;&gt;"",$I15&lt;&gt;""),IF($C15&gt;TODAY(),"İLERİ TARİH",IF(COUNTIF($W$7:$W$3001,$W15)&gt;1,"MÜKERRER?",IF($AD15&gt;0,"KAPALI DÖNEM",IF($I15="Hayır","ÖDENECEK","UYGUN")))),"EKSİK"))))</f>
        <v>UYGUN</v>
      </c>
      <c r="Q15" s="2"/>
      <c r="R15" s="2"/>
      <c r="S15" s="1" t="str">
        <f t="shared" si="0"/>
        <v/>
      </c>
      <c r="T15" s="1" t="str">
        <f>IF(OR($C15="",$D15&lt;&gt;"Gelir",$L15=""),"",IFERROR(INDEX(MUSTERILER!$B$7:$B$156,MATCH($S15,MUSTERILER!$T$7:$T$156,0)),""))</f>
        <v/>
      </c>
      <c r="U15" s="1" t="str">
        <f>IF($T15="","",$T15&amp;"|"&amp;COUNTIFS($T$7:$T15,$T15))</f>
        <v/>
      </c>
      <c r="V15" s="1">
        <f t="shared" si="1"/>
        <v>0</v>
      </c>
      <c r="W15" s="1" t="str">
        <f t="shared" si="2"/>
        <v>Gider|Diğer Gider|46044|3000|Ofis Lavabo Su Tesisatı Tamirat ve Malzeme|</v>
      </c>
      <c r="X15" s="73">
        <f>AY_SONU!$B17</f>
        <v>46327</v>
      </c>
      <c r="Y15" s="74" t="str">
        <f t="shared" si="3"/>
        <v>Müşteri Carisi  (MÜŞTERİ 360)</v>
      </c>
      <c r="Z15" s="74" t="str">
        <f t="shared" si="4"/>
        <v>600 Muhasebe Hizmet Geliri  (sözleşme)</v>
      </c>
      <c r="AA15" s="68">
        <f>AY_SONU!$C17</f>
        <v>450001</v>
      </c>
      <c r="AB15" s="68">
        <f>AY_SONU!$D17</f>
        <v>0</v>
      </c>
      <c r="AC15" s="68">
        <f>AY_SONU!$C17-AY_SONU!$D17</f>
        <v>450001</v>
      </c>
      <c r="AD15" s="1">
        <f>IF($C15="",0,SUMPRODUCT((AY_SONU!$O$7:$O$42="Evet")*(AY_SONU!$B$7:$B$42=DATE(YEAR($C15),MONTH($C15),1))))</f>
        <v>0</v>
      </c>
      <c r="AE15" s="1" t="str">
        <f>IF($E15="","",$E15&amp;"|"&amp;COUNTIFS($E$7:$E15,$E15))</f>
        <v>Diğer Gider|7</v>
      </c>
    </row>
    <row r="16" spans="1:31" ht="18" customHeight="1" x14ac:dyDescent="0.3">
      <c r="A16" s="2"/>
      <c r="B16" s="65" t="str">
        <f>IF($C16="","","GG"&amp;TEXT(ROW()-6,"00000"))</f>
        <v>GG00010</v>
      </c>
      <c r="C16" s="66">
        <v>46049</v>
      </c>
      <c r="D16" s="60" t="s">
        <v>769</v>
      </c>
      <c r="E16" s="61" t="s">
        <v>784</v>
      </c>
      <c r="F16" s="61" t="s">
        <v>785</v>
      </c>
      <c r="G16" s="67">
        <v>1035</v>
      </c>
      <c r="H16" s="60" t="s">
        <v>772</v>
      </c>
      <c r="I16" s="60" t="s">
        <v>773</v>
      </c>
      <c r="J16" s="61"/>
      <c r="K16" s="61"/>
      <c r="L16" s="60"/>
      <c r="M16" s="74" t="str">
        <f>IF($C16="","",IF($D16="Gider",$E16,IF($L16&lt;&gt;"",$L16,$H16)))</f>
        <v>Elektrik / Su / Doğalgaz</v>
      </c>
      <c r="N16" s="74" t="str">
        <f>IF($C16="","",IF($D16="Gider",$H16,$E16))</f>
        <v>Merkez Kasa</v>
      </c>
      <c r="O16" s="73">
        <f>IF($C16="","",DATE(YEAR($C16),MONTH($C16),1))</f>
        <v>46023</v>
      </c>
      <c r="P16" s="65" t="str">
        <f ca="1">IF($C16="","",IF(AND($D16="Gelir",$L16&lt;&gt;"",$T16=""),"TANIMSIZ BORÇLU",IF($T16&lt;&gt;"",IF(OR($E16="",$G16&lt;=0),"EKSİK",IF($I16="Evet","TAHAKKUK NAKİT OLAMAZ",IF($C16&gt;TODAY(),"İLERİ TARİH","TAHAKKUK"))),IF(AND($D16&lt;&gt;"",$E16&lt;&gt;"",$G16&gt;0,$H16&lt;&gt;"",$I16&lt;&gt;""),IF($C16&gt;TODAY(),"İLERİ TARİH",IF(COUNTIF($W$7:$W$3001,$W16)&gt;1,"MÜKERRER?",IF($AD16&gt;0,"KAPALI DÖNEM",IF($I16="Hayır","ÖDENECEK","UYGUN")))),"EKSİK"))))</f>
        <v>UYGUN</v>
      </c>
      <c r="Q16" s="2"/>
      <c r="R16" s="2"/>
      <c r="S16" s="1" t="str">
        <f t="shared" si="0"/>
        <v/>
      </c>
      <c r="T16" s="1" t="str">
        <f>IF(OR($C16="",$D16&lt;&gt;"Gelir",$L16=""),"",IFERROR(INDEX(MUSTERILER!$B$7:$B$156,MATCH($S16,MUSTERILER!$T$7:$T$156,0)),""))</f>
        <v/>
      </c>
      <c r="U16" s="1" t="str">
        <f>IF($T16="","",$T16&amp;"|"&amp;COUNTIFS($T$7:$T16,$T16))</f>
        <v/>
      </c>
      <c r="V16" s="1">
        <f t="shared" si="1"/>
        <v>0</v>
      </c>
      <c r="W16" s="1" t="str">
        <f t="shared" si="2"/>
        <v>Gider|Elektrik / Su / Doğalgaz|46049|1035|Elektrik Ödemesi |</v>
      </c>
      <c r="X16" s="73">
        <f>AY_SONU!$B18</f>
        <v>46357</v>
      </c>
      <c r="Y16" s="74" t="str">
        <f t="shared" si="3"/>
        <v>Müşteri Carisi  (MÜŞTERİ 360)</v>
      </c>
      <c r="Z16" s="74" t="str">
        <f t="shared" si="4"/>
        <v>600 Muhasebe Hizmet Geliri  (sözleşme)</v>
      </c>
      <c r="AA16" s="68">
        <f>AY_SONU!$C18</f>
        <v>450001</v>
      </c>
      <c r="AB16" s="68">
        <f>AY_SONU!$D18</f>
        <v>0</v>
      </c>
      <c r="AC16" s="68">
        <f>AY_SONU!$C18-AY_SONU!$D18</f>
        <v>450001</v>
      </c>
      <c r="AD16" s="1">
        <f>IF($C16="",0,SUMPRODUCT((AY_SONU!$O$7:$O$42="Evet")*(AY_SONU!$B$7:$B$42=DATE(YEAR($C16),MONTH($C16),1))))</f>
        <v>0</v>
      </c>
      <c r="AE16" s="1" t="str">
        <f>IF($E16="","",$E16&amp;"|"&amp;COUNTIFS($E$7:$E16,$E16))</f>
        <v>Elektrik / Su / Doğalgaz|1</v>
      </c>
    </row>
    <row r="17" spans="1:31" ht="18" customHeight="1" x14ac:dyDescent="0.3">
      <c r="A17" s="2"/>
      <c r="B17" s="65" t="str">
        <f>IF($C17="","","GG"&amp;TEXT(ROW()-6,"00000"))</f>
        <v>GG00011</v>
      </c>
      <c r="C17" s="66">
        <v>46049</v>
      </c>
      <c r="D17" s="60" t="s">
        <v>769</v>
      </c>
      <c r="E17" s="61" t="s">
        <v>784</v>
      </c>
      <c r="F17" s="61" t="s">
        <v>785</v>
      </c>
      <c r="G17" s="67">
        <v>949.97</v>
      </c>
      <c r="H17" s="60" t="s">
        <v>772</v>
      </c>
      <c r="I17" s="60" t="s">
        <v>773</v>
      </c>
      <c r="J17" s="61"/>
      <c r="K17" s="61"/>
      <c r="L17" s="60"/>
      <c r="M17" s="74" t="str">
        <f>IF($C17="","",IF($D17="Gider",$E17,IF($L17&lt;&gt;"",$L17,$H17)))</f>
        <v>Elektrik / Su / Doğalgaz</v>
      </c>
      <c r="N17" s="74" t="str">
        <f>IF($C17="","",IF($D17="Gider",$H17,$E17))</f>
        <v>Merkez Kasa</v>
      </c>
      <c r="O17" s="73">
        <f>IF($C17="","",DATE(YEAR($C17),MONTH($C17),1))</f>
        <v>46023</v>
      </c>
      <c r="P17" s="65" t="str">
        <f ca="1">IF($C17="","",IF(AND($D17="Gelir",$L17&lt;&gt;"",$T17=""),"TANIMSIZ BORÇLU",IF($T17&lt;&gt;"",IF(OR($E17="",$G17&lt;=0),"EKSİK",IF($I17="Evet","TAHAKKUK NAKİT OLAMAZ",IF($C17&gt;TODAY(),"İLERİ TARİH","TAHAKKUK"))),IF(AND($D17&lt;&gt;"",$E17&lt;&gt;"",$G17&gt;0,$H17&lt;&gt;"",$I17&lt;&gt;""),IF($C17&gt;TODAY(),"İLERİ TARİH",IF(COUNTIF($W$7:$W$3001,$W17)&gt;1,"MÜKERRER?",IF($AD17&gt;0,"KAPALI DÖNEM",IF($I17="Hayır","ÖDENECEK","UYGUN")))),"EKSİK"))))</f>
        <v>UYGUN</v>
      </c>
      <c r="Q17" s="2"/>
      <c r="R17" s="2"/>
      <c r="S17" s="1" t="str">
        <f t="shared" si="0"/>
        <v/>
      </c>
      <c r="T17" s="1" t="str">
        <f>IF(OR($C17="",$D17&lt;&gt;"Gelir",$L17=""),"",IFERROR(INDEX(MUSTERILER!$B$7:$B$156,MATCH($S17,MUSTERILER!$T$7:$T$156,0)),""))</f>
        <v/>
      </c>
      <c r="U17" s="1" t="str">
        <f>IF($T17="","",$T17&amp;"|"&amp;COUNTIFS($T$7:$T17,$T17))</f>
        <v/>
      </c>
      <c r="V17" s="1">
        <f t="shared" si="1"/>
        <v>0</v>
      </c>
      <c r="W17" s="1" t="str">
        <f t="shared" si="2"/>
        <v>Gider|Elektrik / Su / Doğalgaz|46049|950|Elektrik Ödemesi |</v>
      </c>
      <c r="X17" s="73">
        <f>AY_SONU!$B19</f>
        <v>46388</v>
      </c>
      <c r="Y17" s="74" t="str">
        <f t="shared" si="3"/>
        <v>Müşteri Carisi  (MÜŞTERİ 360)</v>
      </c>
      <c r="Z17" s="74" t="str">
        <f t="shared" si="4"/>
        <v>600 Muhasebe Hizmet Geliri  (sözleşme)</v>
      </c>
      <c r="AA17" s="68">
        <f>AY_SONU!$C19</f>
        <v>529751</v>
      </c>
      <c r="AB17" s="68">
        <f>AY_SONU!$D19</f>
        <v>0</v>
      </c>
      <c r="AC17" s="68">
        <f>AY_SONU!$C19-AY_SONU!$D19</f>
        <v>529751</v>
      </c>
      <c r="AD17" s="1">
        <f>IF($C17="",0,SUMPRODUCT((AY_SONU!$O$7:$O$42="Evet")*(AY_SONU!$B$7:$B$42=DATE(YEAR($C17),MONTH($C17),1))))</f>
        <v>0</v>
      </c>
      <c r="AE17" s="1" t="str">
        <f>IF($E17="","",$E17&amp;"|"&amp;COUNTIFS($E$7:$E17,$E17))</f>
        <v>Elektrik / Su / Doğalgaz|2</v>
      </c>
    </row>
    <row r="18" spans="1:31" ht="18" customHeight="1" x14ac:dyDescent="0.3">
      <c r="A18" s="2"/>
      <c r="B18" s="65" t="str">
        <f>IF($C18="","","GG"&amp;TEXT(ROW()-6,"00000"))</f>
        <v>GG00012</v>
      </c>
      <c r="C18" s="66">
        <v>46049</v>
      </c>
      <c r="D18" s="60" t="s">
        <v>769</v>
      </c>
      <c r="E18" s="61" t="s">
        <v>784</v>
      </c>
      <c r="F18" s="61" t="s">
        <v>786</v>
      </c>
      <c r="G18" s="67">
        <v>469.9</v>
      </c>
      <c r="H18" s="60" t="s">
        <v>772</v>
      </c>
      <c r="I18" s="60" t="s">
        <v>773</v>
      </c>
      <c r="J18" s="61"/>
      <c r="K18" s="61"/>
      <c r="L18" s="60"/>
      <c r="M18" s="74" t="str">
        <f>IF($C18="","",IF($D18="Gider",$E18,IF($L18&lt;&gt;"",$L18,$H18)))</f>
        <v>Elektrik / Su / Doğalgaz</v>
      </c>
      <c r="N18" s="74" t="str">
        <f>IF($C18="","",IF($D18="Gider",$H18,$E18))</f>
        <v>Merkez Kasa</v>
      </c>
      <c r="O18" s="73">
        <f>IF($C18="","",DATE(YEAR($C18),MONTH($C18),1))</f>
        <v>46023</v>
      </c>
      <c r="P18" s="65" t="str">
        <f ca="1">IF($C18="","",IF(AND($D18="Gelir",$L18&lt;&gt;"",$T18=""),"TANIMSIZ BORÇLU",IF($T18&lt;&gt;"",IF(OR($E18="",$G18&lt;=0),"EKSİK",IF($I18="Evet","TAHAKKUK NAKİT OLAMAZ",IF($C18&gt;TODAY(),"İLERİ TARİH","TAHAKKUK"))),IF(AND($D18&lt;&gt;"",$E18&lt;&gt;"",$G18&gt;0,$H18&lt;&gt;"",$I18&lt;&gt;""),IF($C18&gt;TODAY(),"İLERİ TARİH",IF(COUNTIF($W$7:$W$3001,$W18)&gt;1,"MÜKERRER?",IF($AD18&gt;0,"KAPALI DÖNEM",IF($I18="Hayır","ÖDENECEK","UYGUN")))),"EKSİK"))))</f>
        <v>UYGUN</v>
      </c>
      <c r="Q18" s="2"/>
      <c r="R18" s="2"/>
      <c r="S18" s="1" t="str">
        <f t="shared" si="0"/>
        <v/>
      </c>
      <c r="T18" s="1" t="str">
        <f>IF(OR($C18="",$D18&lt;&gt;"Gelir",$L18=""),"",IFERROR(INDEX(MUSTERILER!$B$7:$B$156,MATCH($S18,MUSTERILER!$T$7:$T$156,0)),""))</f>
        <v/>
      </c>
      <c r="U18" s="1" t="str">
        <f>IF($T18="","",$T18&amp;"|"&amp;COUNTIFS($T$7:$T18,$T18))</f>
        <v/>
      </c>
      <c r="V18" s="1">
        <f t="shared" si="1"/>
        <v>0</v>
      </c>
      <c r="W18" s="1" t="str">
        <f t="shared" si="2"/>
        <v>Gider|Elektrik / Su / Doğalgaz|46049|470|Su Ödemesi|</v>
      </c>
      <c r="X18" s="73">
        <f>AY_SONU!$B20</f>
        <v>46419</v>
      </c>
      <c r="Y18" s="74" t="str">
        <f t="shared" si="3"/>
        <v>Müşteri Carisi  (MÜŞTERİ 360)</v>
      </c>
      <c r="Z18" s="74" t="str">
        <f t="shared" si="4"/>
        <v>600 Muhasebe Hizmet Geliri  (sözleşme)</v>
      </c>
      <c r="AA18" s="68">
        <f>AY_SONU!$C20</f>
        <v>450001</v>
      </c>
      <c r="AB18" s="68">
        <f>AY_SONU!$D20</f>
        <v>0</v>
      </c>
      <c r="AC18" s="68">
        <f>AY_SONU!$C20-AY_SONU!$D20</f>
        <v>450001</v>
      </c>
      <c r="AD18" s="1">
        <f>IF($C18="",0,SUMPRODUCT((AY_SONU!$O$7:$O$42="Evet")*(AY_SONU!$B$7:$B$42=DATE(YEAR($C18),MONTH($C18),1))))</f>
        <v>0</v>
      </c>
      <c r="AE18" s="1" t="str">
        <f>IF($E18="","",$E18&amp;"|"&amp;COUNTIFS($E$7:$E18,$E18))</f>
        <v>Elektrik / Su / Doğalgaz|3</v>
      </c>
    </row>
    <row r="19" spans="1:31" ht="18" customHeight="1" x14ac:dyDescent="0.3">
      <c r="A19" s="2"/>
      <c r="B19" s="65" t="str">
        <f>IF($C19="","","GG"&amp;TEXT(ROW()-6,"00000"))</f>
        <v>GG00013</v>
      </c>
      <c r="C19" s="66">
        <v>46049</v>
      </c>
      <c r="D19" s="60" t="s">
        <v>769</v>
      </c>
      <c r="E19" s="61" t="s">
        <v>784</v>
      </c>
      <c r="F19" s="61" t="s">
        <v>786</v>
      </c>
      <c r="G19" s="67">
        <v>249.5</v>
      </c>
      <c r="H19" s="60" t="s">
        <v>772</v>
      </c>
      <c r="I19" s="60" t="s">
        <v>773</v>
      </c>
      <c r="J19" s="61"/>
      <c r="K19" s="61"/>
      <c r="L19" s="60"/>
      <c r="M19" s="74" t="str">
        <f>IF($C19="","",IF($D19="Gider",$E19,IF($L19&lt;&gt;"",$L19,$H19)))</f>
        <v>Elektrik / Su / Doğalgaz</v>
      </c>
      <c r="N19" s="74" t="str">
        <f>IF($C19="","",IF($D19="Gider",$H19,$E19))</f>
        <v>Merkez Kasa</v>
      </c>
      <c r="O19" s="73">
        <f>IF($C19="","",DATE(YEAR($C19),MONTH($C19),1))</f>
        <v>46023</v>
      </c>
      <c r="P19" s="65" t="str">
        <f ca="1">IF($C19="","",IF(AND($D19="Gelir",$L19&lt;&gt;"",$T19=""),"TANIMSIZ BORÇLU",IF($T19&lt;&gt;"",IF(OR($E19="",$G19&lt;=0),"EKSİK",IF($I19="Evet","TAHAKKUK NAKİT OLAMAZ",IF($C19&gt;TODAY(),"İLERİ TARİH","TAHAKKUK"))),IF(AND($D19&lt;&gt;"",$E19&lt;&gt;"",$G19&gt;0,$H19&lt;&gt;"",$I19&lt;&gt;""),IF($C19&gt;TODAY(),"İLERİ TARİH",IF(COUNTIF($W$7:$W$3001,$W19)&gt;1,"MÜKERRER?",IF($AD19&gt;0,"KAPALI DÖNEM",IF($I19="Hayır","ÖDENECEK","UYGUN")))),"EKSİK"))))</f>
        <v>UYGUN</v>
      </c>
      <c r="Q19" s="2"/>
      <c r="R19" s="2"/>
      <c r="S19" s="1" t="str">
        <f t="shared" si="0"/>
        <v/>
      </c>
      <c r="T19" s="1" t="str">
        <f>IF(OR($C19="",$D19&lt;&gt;"Gelir",$L19=""),"",IFERROR(INDEX(MUSTERILER!$B$7:$B$156,MATCH($S19,MUSTERILER!$T$7:$T$156,0)),""))</f>
        <v/>
      </c>
      <c r="U19" s="1" t="str">
        <f>IF($T19="","",$T19&amp;"|"&amp;COUNTIFS($T$7:$T19,$T19))</f>
        <v/>
      </c>
      <c r="V19" s="1">
        <f t="shared" si="1"/>
        <v>0</v>
      </c>
      <c r="W19" s="1" t="str">
        <f t="shared" si="2"/>
        <v>Gider|Elektrik / Su / Doğalgaz|46049|250|Su Ödemesi|</v>
      </c>
      <c r="X19" s="73">
        <f>AY_SONU!$B21</f>
        <v>46447</v>
      </c>
      <c r="Y19" s="74" t="str">
        <f t="shared" si="3"/>
        <v>Müşteri Carisi  (MÜŞTERİ 360)</v>
      </c>
      <c r="Z19" s="74" t="str">
        <f t="shared" si="4"/>
        <v>600 Muhasebe Hizmet Geliri  (sözleşme)</v>
      </c>
      <c r="AA19" s="68">
        <f>AY_SONU!$C21</f>
        <v>450001</v>
      </c>
      <c r="AB19" s="68">
        <f>AY_SONU!$D21</f>
        <v>0</v>
      </c>
      <c r="AC19" s="68">
        <f>AY_SONU!$C21-AY_SONU!$D21</f>
        <v>450001</v>
      </c>
      <c r="AD19" s="1">
        <f>IF($C19="",0,SUMPRODUCT((AY_SONU!$O$7:$O$42="Evet")*(AY_SONU!$B$7:$B$42=DATE(YEAR($C19),MONTH($C19),1))))</f>
        <v>0</v>
      </c>
      <c r="AE19" s="1" t="str">
        <f>IF($E19="","",$E19&amp;"|"&amp;COUNTIFS($E$7:$E19,$E19))</f>
        <v>Elektrik / Su / Doğalgaz|4</v>
      </c>
    </row>
    <row r="20" spans="1:31" ht="18" customHeight="1" x14ac:dyDescent="0.3">
      <c r="A20" s="2"/>
      <c r="B20" s="65" t="str">
        <f>IF($C20="","","GG"&amp;TEXT(ROW()-6,"00000"))</f>
        <v>GG00014</v>
      </c>
      <c r="C20" s="66">
        <v>46049</v>
      </c>
      <c r="D20" s="60" t="s">
        <v>769</v>
      </c>
      <c r="E20" s="61" t="s">
        <v>784</v>
      </c>
      <c r="F20" s="61" t="s">
        <v>786</v>
      </c>
      <c r="G20" s="67">
        <v>167.45</v>
      </c>
      <c r="H20" s="60" t="s">
        <v>772</v>
      </c>
      <c r="I20" s="60" t="s">
        <v>773</v>
      </c>
      <c r="J20" s="61"/>
      <c r="K20" s="61"/>
      <c r="L20" s="60"/>
      <c r="M20" s="74" t="str">
        <f>IF($C20="","",IF($D20="Gider",$E20,IF($L20&lt;&gt;"",$L20,$H20)))</f>
        <v>Elektrik / Su / Doğalgaz</v>
      </c>
      <c r="N20" s="74" t="str">
        <f>IF($C20="","",IF($D20="Gider",$H20,$E20))</f>
        <v>Merkez Kasa</v>
      </c>
      <c r="O20" s="73">
        <f>IF($C20="","",DATE(YEAR($C20),MONTH($C20),1))</f>
        <v>46023</v>
      </c>
      <c r="P20" s="65" t="str">
        <f ca="1">IF($C20="","",IF(AND($D20="Gelir",$L20&lt;&gt;"",$T20=""),"TANIMSIZ BORÇLU",IF($T20&lt;&gt;"",IF(OR($E20="",$G20&lt;=0),"EKSİK",IF($I20="Evet","TAHAKKUK NAKİT OLAMAZ",IF($C20&gt;TODAY(),"İLERİ TARİH","TAHAKKUK"))),IF(AND($D20&lt;&gt;"",$E20&lt;&gt;"",$G20&gt;0,$H20&lt;&gt;"",$I20&lt;&gt;""),IF($C20&gt;TODAY(),"İLERİ TARİH",IF(COUNTIF($W$7:$W$3001,$W20)&gt;1,"MÜKERRER?",IF($AD20&gt;0,"KAPALI DÖNEM",IF($I20="Hayır","ÖDENECEK","UYGUN")))),"EKSİK"))))</f>
        <v>UYGUN</v>
      </c>
      <c r="Q20" s="2"/>
      <c r="R20" s="2"/>
      <c r="S20" s="1" t="str">
        <f t="shared" si="0"/>
        <v/>
      </c>
      <c r="T20" s="1" t="str">
        <f>IF(OR($C20="",$D20&lt;&gt;"Gelir",$L20=""),"",IFERROR(INDEX(MUSTERILER!$B$7:$B$156,MATCH($S20,MUSTERILER!$T$7:$T$156,0)),""))</f>
        <v/>
      </c>
      <c r="U20" s="1" t="str">
        <f>IF($T20="","",$T20&amp;"|"&amp;COUNTIFS($T$7:$T20,$T20))</f>
        <v/>
      </c>
      <c r="V20" s="1">
        <f t="shared" si="1"/>
        <v>0</v>
      </c>
      <c r="W20" s="1" t="str">
        <f t="shared" si="2"/>
        <v>Gider|Elektrik / Su / Doğalgaz|46049|167|Su Ödemesi|</v>
      </c>
      <c r="X20" s="73">
        <f>AY_SONU!$B22</f>
        <v>46478</v>
      </c>
      <c r="Y20" s="74" t="str">
        <f t="shared" si="3"/>
        <v>Müşteri Carisi  (MÜŞTERİ 360)</v>
      </c>
      <c r="Z20" s="74" t="str">
        <f t="shared" si="4"/>
        <v>600 Muhasebe Hizmet Geliri  (sözleşme)</v>
      </c>
      <c r="AA20" s="68">
        <f>AY_SONU!$C22</f>
        <v>450001</v>
      </c>
      <c r="AB20" s="68">
        <f>AY_SONU!$D22</f>
        <v>0</v>
      </c>
      <c r="AC20" s="68">
        <f>AY_SONU!$C22-AY_SONU!$D22</f>
        <v>450001</v>
      </c>
      <c r="AD20" s="1">
        <f>IF($C20="",0,SUMPRODUCT((AY_SONU!$O$7:$O$42="Evet")*(AY_SONU!$B$7:$B$42=DATE(YEAR($C20),MONTH($C20),1))))</f>
        <v>0</v>
      </c>
      <c r="AE20" s="1" t="str">
        <f>IF($E20="","",$E20&amp;"|"&amp;COUNTIFS($E$7:$E20,$E20))</f>
        <v>Elektrik / Su / Doğalgaz|5</v>
      </c>
    </row>
    <row r="21" spans="1:31" ht="18" customHeight="1" x14ac:dyDescent="0.3">
      <c r="A21" s="2"/>
      <c r="B21" s="65" t="str">
        <f>IF($C21="","","GG"&amp;TEXT(ROW()-6,"00000"))</f>
        <v>GG00015</v>
      </c>
      <c r="C21" s="66">
        <v>46049</v>
      </c>
      <c r="D21" s="60" t="s">
        <v>769</v>
      </c>
      <c r="E21" s="61" t="s">
        <v>781</v>
      </c>
      <c r="F21" s="61" t="s">
        <v>787</v>
      </c>
      <c r="G21" s="67">
        <v>602</v>
      </c>
      <c r="H21" s="60" t="s">
        <v>772</v>
      </c>
      <c r="I21" s="60" t="s">
        <v>773</v>
      </c>
      <c r="J21" s="61"/>
      <c r="K21" s="61"/>
      <c r="L21" s="60"/>
      <c r="M21" s="74" t="str">
        <f>IF($C21="","",IF($D21="Gider",$E21,IF($L21&lt;&gt;"",$L21,$H21)))</f>
        <v>Telefon / İnternet</v>
      </c>
      <c r="N21" s="74" t="str">
        <f>IF($C21="","",IF($D21="Gider",$H21,$E21))</f>
        <v>Merkez Kasa</v>
      </c>
      <c r="O21" s="73">
        <f>IF($C21="","",DATE(YEAR($C21),MONTH($C21),1))</f>
        <v>46023</v>
      </c>
      <c r="P21" s="65" t="str">
        <f ca="1">IF($C21="","",IF(AND($D21="Gelir",$L21&lt;&gt;"",$T21=""),"TANIMSIZ BORÇLU",IF($T21&lt;&gt;"",IF(OR($E21="",$G21&lt;=0),"EKSİK",IF($I21="Evet","TAHAKKUK NAKİT OLAMAZ",IF($C21&gt;TODAY(),"İLERİ TARİH","TAHAKKUK"))),IF(AND($D21&lt;&gt;"",$E21&lt;&gt;"",$G21&gt;0,$H21&lt;&gt;"",$I21&lt;&gt;""),IF($C21&gt;TODAY(),"İLERİ TARİH",IF(COUNTIF($W$7:$W$3001,$W21)&gt;1,"MÜKERRER?",IF($AD21&gt;0,"KAPALI DÖNEM",IF($I21="Hayır","ÖDENECEK","UYGUN")))),"EKSİK"))))</f>
        <v>UYGUN</v>
      </c>
      <c r="Q21" s="2"/>
      <c r="R21" s="2"/>
      <c r="S21" s="1" t="str">
        <f t="shared" si="0"/>
        <v/>
      </c>
      <c r="T21" s="1" t="str">
        <f>IF(OR($C21="",$D21&lt;&gt;"Gelir",$L21=""),"",IFERROR(INDEX(MUSTERILER!$B$7:$B$156,MATCH($S21,MUSTERILER!$T$7:$T$156,0)),""))</f>
        <v/>
      </c>
      <c r="U21" s="1" t="str">
        <f>IF($T21="","",$T21&amp;"|"&amp;COUNTIFS($T$7:$T21,$T21))</f>
        <v/>
      </c>
      <c r="V21" s="1">
        <f t="shared" si="1"/>
        <v>0</v>
      </c>
      <c r="W21" s="1" t="str">
        <f t="shared" si="2"/>
        <v>Gider|Telefon / İnternet|46049|602|İnternet Ödemesi|</v>
      </c>
      <c r="X21" s="73">
        <f>AY_SONU!$B23</f>
        <v>46508</v>
      </c>
      <c r="Y21" s="74" t="str">
        <f t="shared" si="3"/>
        <v>Müşteri Carisi  (MÜŞTERİ 360)</v>
      </c>
      <c r="Z21" s="74" t="str">
        <f t="shared" si="4"/>
        <v>600 Muhasebe Hizmet Geliri  (sözleşme)</v>
      </c>
      <c r="AA21" s="68">
        <f>AY_SONU!$C23</f>
        <v>529751</v>
      </c>
      <c r="AB21" s="68">
        <f>AY_SONU!$D23</f>
        <v>0</v>
      </c>
      <c r="AC21" s="68">
        <f>AY_SONU!$C23-AY_SONU!$D23</f>
        <v>529751</v>
      </c>
      <c r="AD21" s="1">
        <f>IF($C21="",0,SUMPRODUCT((AY_SONU!$O$7:$O$42="Evet")*(AY_SONU!$B$7:$B$42=DATE(YEAR($C21),MONTH($C21),1))))</f>
        <v>0</v>
      </c>
      <c r="AE21" s="1" t="str">
        <f>IF($E21="","",$E21&amp;"|"&amp;COUNTIFS($E$7:$E21,$E21))</f>
        <v>Telefon / İnternet|2</v>
      </c>
    </row>
    <row r="22" spans="1:31" ht="18" customHeight="1" x14ac:dyDescent="0.3">
      <c r="A22" s="2"/>
      <c r="B22" s="65" t="str">
        <f>IF($C22="","","GG"&amp;TEXT(ROW()-6,"00000"))</f>
        <v>GG00016</v>
      </c>
      <c r="C22" s="66">
        <v>46053</v>
      </c>
      <c r="D22" s="60" t="s">
        <v>769</v>
      </c>
      <c r="E22" s="61" t="s">
        <v>788</v>
      </c>
      <c r="F22" s="61" t="s">
        <v>789</v>
      </c>
      <c r="G22" s="67">
        <v>1750</v>
      </c>
      <c r="H22" s="60" t="s">
        <v>772</v>
      </c>
      <c r="I22" s="60" t="s">
        <v>773</v>
      </c>
      <c r="J22" s="61"/>
      <c r="K22" s="61"/>
      <c r="L22" s="60"/>
      <c r="M22" s="74" t="str">
        <f>IF($C22="","",IF($D22="Gider",$E22,IF($L22&lt;&gt;"",$L22,$H22)))</f>
        <v>Ulaşım</v>
      </c>
      <c r="N22" s="74" t="str">
        <f>IF($C22="","",IF($D22="Gider",$H22,$E22))</f>
        <v>Merkez Kasa</v>
      </c>
      <c r="O22" s="73">
        <f>IF($C22="","",DATE(YEAR($C22),MONTH($C22),1))</f>
        <v>46023</v>
      </c>
      <c r="P22" s="65" t="str">
        <f ca="1">IF($C22="","",IF(AND($D22="Gelir",$L22&lt;&gt;"",$T22=""),"TANIMSIZ BORÇLU",IF($T22&lt;&gt;"",IF(OR($E22="",$G22&lt;=0),"EKSİK",IF($I22="Evet","TAHAKKUK NAKİT OLAMAZ",IF($C22&gt;TODAY(),"İLERİ TARİH","TAHAKKUK"))),IF(AND($D22&lt;&gt;"",$E22&lt;&gt;"",$G22&gt;0,$H22&lt;&gt;"",$I22&lt;&gt;""),IF($C22&gt;TODAY(),"İLERİ TARİH",IF(COUNTIF($W$7:$W$3001,$W22)&gt;1,"MÜKERRER?",IF($AD22&gt;0,"KAPALI DÖNEM",IF($I22="Hayır","ÖDENECEK","UYGUN")))),"EKSİK"))))</f>
        <v>UYGUN</v>
      </c>
      <c r="Q22" s="2"/>
      <c r="R22" s="2"/>
      <c r="S22" s="1" t="str">
        <f t="shared" si="0"/>
        <v/>
      </c>
      <c r="T22" s="1" t="str">
        <f>IF(OR($C22="",$D22&lt;&gt;"Gelir",$L22=""),"",IFERROR(INDEX(MUSTERILER!$B$7:$B$156,MATCH($S22,MUSTERILER!$T$7:$T$156,0)),""))</f>
        <v/>
      </c>
      <c r="U22" s="1" t="str">
        <f>IF($T22="","",$T22&amp;"|"&amp;COUNTIFS($T$7:$T22,$T22))</f>
        <v/>
      </c>
      <c r="V22" s="1">
        <f t="shared" si="1"/>
        <v>0</v>
      </c>
      <c r="W22" s="1" t="str">
        <f t="shared" si="2"/>
        <v>Gider|Ulaşım|46053|1750|Araç Yakıt Alımı|</v>
      </c>
      <c r="X22" s="73">
        <f>AY_SONU!$B24</f>
        <v>46539</v>
      </c>
      <c r="Y22" s="74" t="str">
        <f t="shared" si="3"/>
        <v>Müşteri Carisi  (MÜŞTERİ 360)</v>
      </c>
      <c r="Z22" s="74" t="str">
        <f t="shared" si="4"/>
        <v>600 Muhasebe Hizmet Geliri  (sözleşme)</v>
      </c>
      <c r="AA22" s="68">
        <f>AY_SONU!$C24</f>
        <v>450001</v>
      </c>
      <c r="AB22" s="68">
        <f>AY_SONU!$D24</f>
        <v>0</v>
      </c>
      <c r="AC22" s="68">
        <f>AY_SONU!$C24-AY_SONU!$D24</f>
        <v>450001</v>
      </c>
      <c r="AD22" s="1">
        <f>IF($C22="",0,SUMPRODUCT((AY_SONU!$O$7:$O$42="Evet")*(AY_SONU!$B$7:$B$42=DATE(YEAR($C22),MONTH($C22),1))))</f>
        <v>0</v>
      </c>
      <c r="AE22" s="1" t="str">
        <f>IF($E22="","",$E22&amp;"|"&amp;COUNTIFS($E$7:$E22,$E22))</f>
        <v>Ulaşım|1</v>
      </c>
    </row>
    <row r="23" spans="1:31" ht="18" customHeight="1" x14ac:dyDescent="0.3">
      <c r="A23" s="2"/>
      <c r="B23" s="65" t="str">
        <f>IF($C23="","","GG"&amp;TEXT(ROW()-6,"00000"))</f>
        <v>GG00017</v>
      </c>
      <c r="C23" s="66">
        <v>46053</v>
      </c>
      <c r="D23" s="60" t="s">
        <v>769</v>
      </c>
      <c r="E23" s="61" t="s">
        <v>790</v>
      </c>
      <c r="F23" s="61" t="s">
        <v>791</v>
      </c>
      <c r="G23" s="67">
        <v>2000</v>
      </c>
      <c r="H23" s="60" t="s">
        <v>772</v>
      </c>
      <c r="I23" s="60" t="s">
        <v>773</v>
      </c>
      <c r="J23" s="61"/>
      <c r="K23" s="61"/>
      <c r="L23" s="60"/>
      <c r="M23" s="74" t="str">
        <f>IF($C23="","",IF($D23="Gider",$E23,IF($L23&lt;&gt;"",$L23,$H23)))</f>
        <v>Temsil / Ağırlama</v>
      </c>
      <c r="N23" s="74" t="str">
        <f>IF($C23="","",IF($D23="Gider",$H23,$E23))</f>
        <v>Merkez Kasa</v>
      </c>
      <c r="O23" s="73">
        <f>IF($C23="","",DATE(YEAR($C23),MONTH($C23),1))</f>
        <v>46023</v>
      </c>
      <c r="P23" s="65" t="str">
        <f ca="1">IF($C23="","",IF(AND($D23="Gelir",$L23&lt;&gt;"",$T23=""),"TANIMSIZ BORÇLU",IF($T23&lt;&gt;"",IF(OR($E23="",$G23&lt;=0),"EKSİK",IF($I23="Evet","TAHAKKUK NAKİT OLAMAZ",IF($C23&gt;TODAY(),"İLERİ TARİH","TAHAKKUK"))),IF(AND($D23&lt;&gt;"",$E23&lt;&gt;"",$G23&gt;0,$H23&lt;&gt;"",$I23&lt;&gt;""),IF($C23&gt;TODAY(),"İLERİ TARİH",IF(COUNTIF($W$7:$W$3001,$W23)&gt;1,"MÜKERRER?",IF($AD23&gt;0,"KAPALI DÖNEM",IF($I23="Hayır","ÖDENECEK","UYGUN")))),"EKSİK"))))</f>
        <v>UYGUN</v>
      </c>
      <c r="Q23" s="2"/>
      <c r="R23" s="2"/>
      <c r="S23" s="1" t="str">
        <f t="shared" si="0"/>
        <v/>
      </c>
      <c r="T23" s="1" t="str">
        <f>IF(OR($C23="",$D23&lt;&gt;"Gelir",$L23=""),"",IFERROR(INDEX(MUSTERILER!$B$7:$B$156,MATCH($S23,MUSTERILER!$T$7:$T$156,0)),""))</f>
        <v/>
      </c>
      <c r="U23" s="1" t="str">
        <f>IF($T23="","",$T23&amp;"|"&amp;COUNTIFS($T$7:$T23,$T23))</f>
        <v/>
      </c>
      <c r="V23" s="1">
        <f t="shared" si="1"/>
        <v>0</v>
      </c>
      <c r="W23" s="1" t="str">
        <f t="shared" si="2"/>
        <v>Gider|Temsil / Ağırlama|46053|2000|Ofis Çay Kahve ve Temizlik Alışverişi|</v>
      </c>
      <c r="X23" s="73">
        <f>AY_SONU!$B25</f>
        <v>46569</v>
      </c>
      <c r="Y23" s="74" t="str">
        <f t="shared" si="3"/>
        <v>Müşteri Carisi  (MÜŞTERİ 360)</v>
      </c>
      <c r="Z23" s="74" t="str">
        <f t="shared" si="4"/>
        <v>600 Muhasebe Hizmet Geliri  (sözleşme)</v>
      </c>
      <c r="AA23" s="68">
        <f>AY_SONU!$C25</f>
        <v>529751</v>
      </c>
      <c r="AB23" s="68">
        <f>AY_SONU!$D25</f>
        <v>0</v>
      </c>
      <c r="AC23" s="68">
        <f>AY_SONU!$C25-AY_SONU!$D25</f>
        <v>529751</v>
      </c>
      <c r="AD23" s="1">
        <f>IF($C23="",0,SUMPRODUCT((AY_SONU!$O$7:$O$42="Evet")*(AY_SONU!$B$7:$B$42=DATE(YEAR($C23),MONTH($C23),1))))</f>
        <v>0</v>
      </c>
      <c r="AE23" s="1" t="str">
        <f>IF($E23="","",$E23&amp;"|"&amp;COUNTIFS($E$7:$E23,$E23))</f>
        <v>Temsil / Ağırlama|1</v>
      </c>
    </row>
    <row r="24" spans="1:31" ht="18" customHeight="1" x14ac:dyDescent="0.3">
      <c r="A24" s="2"/>
      <c r="B24" s="65" t="str">
        <f>IF($C24="","","GG"&amp;TEXT(ROW()-6,"00000"))</f>
        <v>GG00018</v>
      </c>
      <c r="C24" s="66">
        <v>46053</v>
      </c>
      <c r="D24" s="60" t="s">
        <v>769</v>
      </c>
      <c r="E24" s="61" t="s">
        <v>770</v>
      </c>
      <c r="F24" s="61" t="s">
        <v>792</v>
      </c>
      <c r="G24" s="67">
        <v>31000</v>
      </c>
      <c r="H24" s="60" t="s">
        <v>772</v>
      </c>
      <c r="I24" s="60" t="s">
        <v>773</v>
      </c>
      <c r="J24" s="61"/>
      <c r="K24" s="61"/>
      <c r="L24" s="60"/>
      <c r="M24" s="74" t="str">
        <f>IF($C24="","",IF($D24="Gider",$E24,IF($L24&lt;&gt;"",$L24,$H24)))</f>
        <v>Diğer Gider</v>
      </c>
      <c r="N24" s="74" t="str">
        <f>IF($C24="","",IF($D24="Gider",$H24,$E24))</f>
        <v>Merkez Kasa</v>
      </c>
      <c r="O24" s="73">
        <f>IF($C24="","",DATE(YEAR($C24),MONTH($C24),1))</f>
        <v>46023</v>
      </c>
      <c r="P24" s="65" t="str">
        <f ca="1">IF($C24="","",IF(AND($D24="Gelir",$L24&lt;&gt;"",$T24=""),"TANIMSIZ BORÇLU",IF($T24&lt;&gt;"",IF(OR($E24="",$G24&lt;=0),"EKSİK",IF($I24="Evet","TAHAKKUK NAKİT OLAMAZ",IF($C24&gt;TODAY(),"İLERİ TARİH","TAHAKKUK"))),IF(AND($D24&lt;&gt;"",$E24&lt;&gt;"",$G24&gt;0,$H24&lt;&gt;"",$I24&lt;&gt;""),IF($C24&gt;TODAY(),"İLERİ TARİH",IF(COUNTIF($W$7:$W$3001,$W24)&gt;1,"MÜKERRER?",IF($AD24&gt;0,"KAPALI DÖNEM",IF($I24="Hayır","ÖDENECEK","UYGUN")))),"EKSİK"))))</f>
        <v>UYGUN</v>
      </c>
      <c r="Q24" s="2"/>
      <c r="R24" s="2"/>
      <c r="S24" s="1" t="str">
        <f t="shared" si="0"/>
        <v/>
      </c>
      <c r="T24" s="1" t="str">
        <f>IF(OR($C24="",$D24&lt;&gt;"Gelir",$L24=""),"",IFERROR(INDEX(MUSTERILER!$B$7:$B$156,MATCH($S24,MUSTERILER!$T$7:$T$156,0)),""))</f>
        <v/>
      </c>
      <c r="U24" s="1" t="str">
        <f>IF($T24="","",$T24&amp;"|"&amp;COUNTIFS($T$7:$T24,$T24))</f>
        <v/>
      </c>
      <c r="V24" s="1">
        <f t="shared" si="1"/>
        <v>0</v>
      </c>
      <c r="W24" s="1" t="str">
        <f t="shared" si="2"/>
        <v>Gider|Diğer Gider|46053|31000|Pakyıldız Cari Hesap Tashihi|</v>
      </c>
      <c r="X24" s="73">
        <f>AY_SONU!$B26</f>
        <v>46600</v>
      </c>
      <c r="Y24" s="74" t="str">
        <f t="shared" si="3"/>
        <v>Müşteri Carisi  (MÜŞTERİ 360)</v>
      </c>
      <c r="Z24" s="74" t="str">
        <f t="shared" si="4"/>
        <v>600 Muhasebe Hizmet Geliri  (sözleşme)</v>
      </c>
      <c r="AA24" s="68">
        <f>AY_SONU!$C26</f>
        <v>450001</v>
      </c>
      <c r="AB24" s="68">
        <f>AY_SONU!$D26</f>
        <v>0</v>
      </c>
      <c r="AC24" s="68">
        <f>AY_SONU!$C26-AY_SONU!$D26</f>
        <v>450001</v>
      </c>
      <c r="AD24" s="1">
        <f>IF($C24="",0,SUMPRODUCT((AY_SONU!$O$7:$O$42="Evet")*(AY_SONU!$B$7:$B$42=DATE(YEAR($C24),MONTH($C24),1))))</f>
        <v>0</v>
      </c>
      <c r="AE24" s="1" t="str">
        <f>IF($E24="","",$E24&amp;"|"&amp;COUNTIFS($E$7:$E24,$E24))</f>
        <v>Diğer Gider|8</v>
      </c>
    </row>
    <row r="25" spans="1:31" ht="18" customHeight="1" x14ac:dyDescent="0.3">
      <c r="A25" s="2"/>
      <c r="B25" s="65" t="str">
        <f>IF($C25="","","GG"&amp;TEXT(ROW()-6,"00000"))</f>
        <v>GG00019</v>
      </c>
      <c r="C25" s="66">
        <v>46053</v>
      </c>
      <c r="D25" s="60" t="s">
        <v>769</v>
      </c>
      <c r="E25" s="61" t="s">
        <v>793</v>
      </c>
      <c r="F25" s="61" t="s">
        <v>794</v>
      </c>
      <c r="G25" s="67">
        <v>1000</v>
      </c>
      <c r="H25" s="60" t="s">
        <v>772</v>
      </c>
      <c r="I25" s="60" t="s">
        <v>773</v>
      </c>
      <c r="J25" s="61"/>
      <c r="K25" s="61"/>
      <c r="L25" s="60"/>
      <c r="M25" s="74" t="str">
        <f>IF($C25="","",IF($D25="Gider",$E25,IF($L25&lt;&gt;"",$L25,$H25)))</f>
        <v>Mehmet Ali Kartal</v>
      </c>
      <c r="N25" s="74" t="str">
        <f>IF($C25="","",IF($D25="Gider",$H25,$E25))</f>
        <v>Merkez Kasa</v>
      </c>
      <c r="O25" s="73">
        <f>IF($C25="","",DATE(YEAR($C25),MONTH($C25),1))</f>
        <v>46023</v>
      </c>
      <c r="P25" s="65" t="str">
        <f ca="1">IF($C25="","",IF(AND($D25="Gelir",$L25&lt;&gt;"",$T25=""),"TANIMSIZ BORÇLU",IF($T25&lt;&gt;"",IF(OR($E25="",$G25&lt;=0),"EKSİK",IF($I25="Evet","TAHAKKUK NAKİT OLAMAZ",IF($C25&gt;TODAY(),"İLERİ TARİH","TAHAKKUK"))),IF(AND($D25&lt;&gt;"",$E25&lt;&gt;"",$G25&gt;0,$H25&lt;&gt;"",$I25&lt;&gt;""),IF($C25&gt;TODAY(),"İLERİ TARİH",IF(COUNTIF($W$7:$W$3001,$W25)&gt;1,"MÜKERRER?",IF($AD25&gt;0,"KAPALI DÖNEM",IF($I25="Hayır","ÖDENECEK","UYGUN")))),"EKSİK"))))</f>
        <v>UYGUN</v>
      </c>
      <c r="Q25" s="2"/>
      <c r="R25" s="2"/>
      <c r="S25" s="1" t="str">
        <f t="shared" si="0"/>
        <v/>
      </c>
      <c r="T25" s="1" t="str">
        <f>IF(OR($C25="",$D25&lt;&gt;"Gelir",$L25=""),"",IFERROR(INDEX(MUSTERILER!$B$7:$B$156,MATCH($S25,MUSTERILER!$T$7:$T$156,0)),""))</f>
        <v/>
      </c>
      <c r="U25" s="1" t="str">
        <f>IF($T25="","",$T25&amp;"|"&amp;COUNTIFS($T$7:$T25,$T25))</f>
        <v/>
      </c>
      <c r="V25" s="1">
        <f t="shared" si="1"/>
        <v>0</v>
      </c>
      <c r="W25" s="1" t="str">
        <f t="shared" si="2"/>
        <v>Gider|Mehmet Ali Kartal|46053|1000|Volkan Açık Kahve 1 Haftalık Tahsilat|</v>
      </c>
      <c r="X25" s="73">
        <f>AY_SONU!$B27</f>
        <v>46631</v>
      </c>
      <c r="Y25" s="74" t="str">
        <f t="shared" si="3"/>
        <v>Müşteri Carisi  (MÜŞTERİ 360)</v>
      </c>
      <c r="Z25" s="74" t="str">
        <f t="shared" si="4"/>
        <v>600 Muhasebe Hizmet Geliri  (sözleşme)</v>
      </c>
      <c r="AA25" s="68">
        <f>AY_SONU!$C27</f>
        <v>450001</v>
      </c>
      <c r="AB25" s="68">
        <f>AY_SONU!$D27</f>
        <v>0</v>
      </c>
      <c r="AC25" s="68">
        <f>AY_SONU!$C27-AY_SONU!$D27</f>
        <v>450001</v>
      </c>
      <c r="AD25" s="1">
        <f>IF($C25="",0,SUMPRODUCT((AY_SONU!$O$7:$O$42="Evet")*(AY_SONU!$B$7:$B$42=DATE(YEAR($C25),MONTH($C25),1))))</f>
        <v>0</v>
      </c>
      <c r="AE25" s="1" t="str">
        <f>IF($E25="","",$E25&amp;"|"&amp;COUNTIFS($E$7:$E25,$E25))</f>
        <v>Mehmet Ali Kartal|1</v>
      </c>
    </row>
    <row r="26" spans="1:31" ht="18" customHeight="1" x14ac:dyDescent="0.3">
      <c r="A26" s="2"/>
      <c r="B26" s="65" t="str">
        <f>IF($C26="","","GG"&amp;TEXT(ROW()-6,"00000"))</f>
        <v>GG00020</v>
      </c>
      <c r="C26" s="66">
        <v>46054</v>
      </c>
      <c r="D26" s="60" t="s">
        <v>795</v>
      </c>
      <c r="E26" s="61" t="s">
        <v>796</v>
      </c>
      <c r="F26" s="61" t="s">
        <v>797</v>
      </c>
      <c r="G26" s="67">
        <v>30000</v>
      </c>
      <c r="H26" s="60" t="s">
        <v>723</v>
      </c>
      <c r="I26" s="60" t="s">
        <v>773</v>
      </c>
      <c r="J26" s="61"/>
      <c r="K26" s="61"/>
      <c r="L26" s="60"/>
      <c r="M26" s="74" t="str">
        <f>IF($C26="","",IF($D26="Gider",$E26,IF($L26&lt;&gt;"",$L26,$H26)))</f>
        <v>ÖMER KARTAL</v>
      </c>
      <c r="N26" s="74" t="str">
        <f>IF($C26="","",IF($D26="Gider",$H26,$E26))</f>
        <v>Diğer Gelirler</v>
      </c>
      <c r="O26" s="73">
        <f>IF($C26="","",DATE(YEAR($C26),MONTH($C26),1))</f>
        <v>46054</v>
      </c>
      <c r="P26" s="65" t="str">
        <f ca="1">IF($C26="","",IF(AND($D26="Gelir",$L26&lt;&gt;"",$T26=""),"TANIMSIZ BORÇLU",IF($T26&lt;&gt;"",IF(OR($E26="",$G26&lt;=0),"EKSİK",IF($I26="Evet","TAHAKKUK NAKİT OLAMAZ",IF($C26&gt;TODAY(),"İLERİ TARİH","TAHAKKUK"))),IF(AND($D26&lt;&gt;"",$E26&lt;&gt;"",$G26&gt;0,$H26&lt;&gt;"",$I26&lt;&gt;""),IF($C26&gt;TODAY(),"İLERİ TARİH",IF(COUNTIF($W$7:$W$3001,$W26)&gt;1,"MÜKERRER?",IF($AD26&gt;0,"KAPALI DÖNEM",IF($I26="Hayır","ÖDENECEK","UYGUN")))),"EKSİK"))))</f>
        <v>UYGUN</v>
      </c>
      <c r="Q26" s="2"/>
      <c r="R26" s="2"/>
      <c r="S26" s="1" t="str">
        <f t="shared" si="0"/>
        <v/>
      </c>
      <c r="T26" s="1" t="str">
        <f>IF(OR($C26="",$D26&lt;&gt;"Gelir",$L26=""),"",IFERROR(INDEX(MUSTERILER!$B$7:$B$156,MATCH($S26,MUSTERILER!$T$7:$T$156,0)),""))</f>
        <v/>
      </c>
      <c r="U26" s="1" t="str">
        <f>IF($T26="","",$T26&amp;"|"&amp;COUNTIFS($T$7:$T26,$T26))</f>
        <v/>
      </c>
      <c r="V26" s="1">
        <f t="shared" si="1"/>
        <v>0</v>
      </c>
      <c r="W26" s="1" t="str">
        <f t="shared" si="2"/>
        <v>Gelir|Diğer Gelirler|46054|30000|YEDİYİRMİDÖRT LTD.ŞTİ. GEÇMİŞ KAYIT DÜZELTMELERİ|</v>
      </c>
      <c r="X26" s="73">
        <f>AY_SONU!$B28</f>
        <v>46661</v>
      </c>
      <c r="Y26" s="74" t="str">
        <f t="shared" si="3"/>
        <v>Müşteri Carisi  (MÜŞTERİ 360)</v>
      </c>
      <c r="Z26" s="74" t="str">
        <f t="shared" si="4"/>
        <v>600 Muhasebe Hizmet Geliri  (sözleşme)</v>
      </c>
      <c r="AA26" s="68">
        <f>AY_SONU!$C28</f>
        <v>529751</v>
      </c>
      <c r="AB26" s="68">
        <f>AY_SONU!$D28</f>
        <v>0</v>
      </c>
      <c r="AC26" s="68">
        <f>AY_SONU!$C28-AY_SONU!$D28</f>
        <v>529751</v>
      </c>
      <c r="AD26" s="1">
        <f>IF($C26="",0,SUMPRODUCT((AY_SONU!$O$7:$O$42="Evet")*(AY_SONU!$B$7:$B$42=DATE(YEAR($C26),MONTH($C26),1))))</f>
        <v>0</v>
      </c>
      <c r="AE26" s="1" t="str">
        <f>IF($E26="","",$E26&amp;"|"&amp;COUNTIFS($E$7:$E26,$E26))</f>
        <v>Diğer Gelirler|1</v>
      </c>
    </row>
    <row r="27" spans="1:31" ht="18" customHeight="1" x14ac:dyDescent="0.3">
      <c r="A27" s="2"/>
      <c r="B27" s="65" t="str">
        <f>IF($C27="","","GG"&amp;TEXT(ROW()-6,"00000"))</f>
        <v>GG00021</v>
      </c>
      <c r="C27" s="66">
        <v>46056</v>
      </c>
      <c r="D27" s="60" t="s">
        <v>769</v>
      </c>
      <c r="E27" s="61" t="s">
        <v>798</v>
      </c>
      <c r="F27" s="61" t="s">
        <v>799</v>
      </c>
      <c r="G27" s="67">
        <v>40000</v>
      </c>
      <c r="H27" s="60" t="s">
        <v>772</v>
      </c>
      <c r="I27" s="60" t="s">
        <v>773</v>
      </c>
      <c r="J27" s="61"/>
      <c r="K27" s="61"/>
      <c r="L27" s="60"/>
      <c r="M27" s="74" t="str">
        <f>IF($C27="","",IF($D27="Gider",$E27,IF($L27&lt;&gt;"",$L27,$H27)))</f>
        <v>Personel</v>
      </c>
      <c r="N27" s="74" t="str">
        <f>IF($C27="","",IF($D27="Gider",$H27,$E27))</f>
        <v>Merkez Kasa</v>
      </c>
      <c r="O27" s="73">
        <f>IF($C27="","",DATE(YEAR($C27),MONTH($C27),1))</f>
        <v>46054</v>
      </c>
      <c r="P27" s="65" t="str">
        <f ca="1">IF($C27="","",IF(AND($D27="Gelir",$L27&lt;&gt;"",$T27=""),"TANIMSIZ BORÇLU",IF($T27&lt;&gt;"",IF(OR($E27="",$G27&lt;=0),"EKSİK",IF($I27="Evet","TAHAKKUK NAKİT OLAMAZ",IF($C27&gt;TODAY(),"İLERİ TARİH","TAHAKKUK"))),IF(AND($D27&lt;&gt;"",$E27&lt;&gt;"",$G27&gt;0,$H27&lt;&gt;"",$I27&lt;&gt;""),IF($C27&gt;TODAY(),"İLERİ TARİH",IF(COUNTIF($W$7:$W$3001,$W27)&gt;1,"MÜKERRER?",IF($AD27&gt;0,"KAPALI DÖNEM",IF($I27="Hayır","ÖDENECEK","UYGUN")))),"EKSİK"))))</f>
        <v>UYGUN</v>
      </c>
      <c r="Q27" s="2"/>
      <c r="R27" s="2"/>
      <c r="S27" s="1" t="str">
        <f t="shared" si="0"/>
        <v/>
      </c>
      <c r="T27" s="1" t="str">
        <f>IF(OR($C27="",$D27&lt;&gt;"Gelir",$L27=""),"",IFERROR(INDEX(MUSTERILER!$B$7:$B$156,MATCH($S27,MUSTERILER!$T$7:$T$156,0)),""))</f>
        <v/>
      </c>
      <c r="U27" s="1" t="str">
        <f>IF($T27="","",$T27&amp;"|"&amp;COUNTIFS($T$7:$T27,$T27))</f>
        <v/>
      </c>
      <c r="V27" s="1">
        <f t="shared" si="1"/>
        <v>0</v>
      </c>
      <c r="W27" s="1" t="str">
        <f t="shared" si="2"/>
        <v>Gider|Personel|46056|40000|Zeynep Hanım Maaş|</v>
      </c>
      <c r="X27" s="73">
        <f>AY_SONU!$B29</f>
        <v>46692</v>
      </c>
      <c r="Y27" s="74" t="str">
        <f t="shared" si="3"/>
        <v>Müşteri Carisi  (MÜŞTERİ 360)</v>
      </c>
      <c r="Z27" s="74" t="str">
        <f t="shared" si="4"/>
        <v>600 Muhasebe Hizmet Geliri  (sözleşme)</v>
      </c>
      <c r="AA27" s="68">
        <f>AY_SONU!$C29</f>
        <v>450001</v>
      </c>
      <c r="AB27" s="68">
        <f>AY_SONU!$D29</f>
        <v>0</v>
      </c>
      <c r="AC27" s="68">
        <f>AY_SONU!$C29-AY_SONU!$D29</f>
        <v>450001</v>
      </c>
      <c r="AD27" s="1">
        <f>IF($C27="",0,SUMPRODUCT((AY_SONU!$O$7:$O$42="Evet")*(AY_SONU!$B$7:$B$42=DATE(YEAR($C27),MONTH($C27),1))))</f>
        <v>0</v>
      </c>
      <c r="AE27" s="1" t="str">
        <f>IF($E27="","",$E27&amp;"|"&amp;COUNTIFS($E$7:$E27,$E27))</f>
        <v>Personel|1</v>
      </c>
    </row>
    <row r="28" spans="1:31" ht="18" customHeight="1" x14ac:dyDescent="0.3">
      <c r="A28" s="2"/>
      <c r="B28" s="65" t="str">
        <f>IF($C28="","","GG"&amp;TEXT(ROW()-6,"00000"))</f>
        <v>GG00022</v>
      </c>
      <c r="C28" s="66">
        <v>46056</v>
      </c>
      <c r="D28" s="60" t="s">
        <v>769</v>
      </c>
      <c r="E28" s="61" t="s">
        <v>798</v>
      </c>
      <c r="F28" s="61" t="s">
        <v>800</v>
      </c>
      <c r="G28" s="67">
        <v>5000</v>
      </c>
      <c r="H28" s="60" t="s">
        <v>772</v>
      </c>
      <c r="I28" s="60" t="s">
        <v>773</v>
      </c>
      <c r="J28" s="61"/>
      <c r="K28" s="61"/>
      <c r="L28" s="60"/>
      <c r="M28" s="74" t="str">
        <f>IF($C28="","",IF($D28="Gider",$E28,IF($L28&lt;&gt;"",$L28,$H28)))</f>
        <v>Personel</v>
      </c>
      <c r="N28" s="74" t="str">
        <f>IF($C28="","",IF($D28="Gider",$H28,$E28))</f>
        <v>Merkez Kasa</v>
      </c>
      <c r="O28" s="73">
        <f>IF($C28="","",DATE(YEAR($C28),MONTH($C28),1))</f>
        <v>46054</v>
      </c>
      <c r="P28" s="65" t="str">
        <f ca="1">IF($C28="","",IF(AND($D28="Gelir",$L28&lt;&gt;"",$T28=""),"TANIMSIZ BORÇLU",IF($T28&lt;&gt;"",IF(OR($E28="",$G28&lt;=0),"EKSİK",IF($I28="Evet","TAHAKKUK NAKİT OLAMAZ",IF($C28&gt;TODAY(),"İLERİ TARİH","TAHAKKUK"))),IF(AND($D28&lt;&gt;"",$E28&lt;&gt;"",$G28&gt;0,$H28&lt;&gt;"",$I28&lt;&gt;""),IF($C28&gt;TODAY(),"İLERİ TARİH",IF(COUNTIF($W$7:$W$3001,$W28)&gt;1,"MÜKERRER?",IF($AD28&gt;0,"KAPALI DÖNEM",IF($I28="Hayır","ÖDENECEK","UYGUN")))),"EKSİK"))))</f>
        <v>UYGUN</v>
      </c>
      <c r="Q28" s="2"/>
      <c r="R28" s="2"/>
      <c r="S28" s="1" t="str">
        <f t="shared" si="0"/>
        <v/>
      </c>
      <c r="T28" s="1" t="str">
        <f>IF(OR($C28="",$D28&lt;&gt;"Gelir",$L28=""),"",IFERROR(INDEX(MUSTERILER!$B$7:$B$156,MATCH($S28,MUSTERILER!$T$7:$T$156,0)),""))</f>
        <v/>
      </c>
      <c r="U28" s="1" t="str">
        <f>IF($T28="","",$T28&amp;"|"&amp;COUNTIFS($T$7:$T28,$T28))</f>
        <v/>
      </c>
      <c r="V28" s="1">
        <f t="shared" si="1"/>
        <v>0</v>
      </c>
      <c r="W28" s="1" t="str">
        <f t="shared" si="2"/>
        <v>Gider|Personel|46056|5000|Zeynep Hanım Yemek|</v>
      </c>
      <c r="X28" s="73">
        <f>AY_SONU!$B30</f>
        <v>46722</v>
      </c>
      <c r="Y28" s="74" t="str">
        <f t="shared" si="3"/>
        <v>Müşteri Carisi  (MÜŞTERİ 360)</v>
      </c>
      <c r="Z28" s="74" t="str">
        <f t="shared" si="4"/>
        <v>600 Muhasebe Hizmet Geliri  (sözleşme)</v>
      </c>
      <c r="AA28" s="68">
        <f>AY_SONU!$C30</f>
        <v>450001</v>
      </c>
      <c r="AB28" s="68">
        <f>AY_SONU!$D30</f>
        <v>0</v>
      </c>
      <c r="AC28" s="68">
        <f>AY_SONU!$C30-AY_SONU!$D30</f>
        <v>450001</v>
      </c>
      <c r="AD28" s="1">
        <f>IF($C28="",0,SUMPRODUCT((AY_SONU!$O$7:$O$42="Evet")*(AY_SONU!$B$7:$B$42=DATE(YEAR($C28),MONTH($C28),1))))</f>
        <v>0</v>
      </c>
      <c r="AE28" s="1" t="str">
        <f>IF($E28="","",$E28&amp;"|"&amp;COUNTIFS($E$7:$E28,$E28))</f>
        <v>Personel|2</v>
      </c>
    </row>
    <row r="29" spans="1:31" ht="18" customHeight="1" x14ac:dyDescent="0.3">
      <c r="A29" s="2"/>
      <c r="B29" s="65" t="str">
        <f>IF($C29="","","GG"&amp;TEXT(ROW()-6,"00000"))</f>
        <v>GG00023</v>
      </c>
      <c r="C29" s="66">
        <v>46056</v>
      </c>
      <c r="D29" s="60" t="s">
        <v>769</v>
      </c>
      <c r="E29" s="61" t="s">
        <v>801</v>
      </c>
      <c r="F29" s="61" t="s">
        <v>802</v>
      </c>
      <c r="G29" s="67">
        <v>9000</v>
      </c>
      <c r="H29" s="60" t="s">
        <v>772</v>
      </c>
      <c r="I29" s="60" t="s">
        <v>773</v>
      </c>
      <c r="J29" s="61"/>
      <c r="K29" s="61"/>
      <c r="L29" s="60"/>
      <c r="M29" s="74" t="str">
        <f>IF($C29="","",IF($D29="Gider",$E29,IF($L29&lt;&gt;"",$L29,$H29)))</f>
        <v>Vergi / Harç</v>
      </c>
      <c r="N29" s="74" t="str">
        <f>IF($C29="","",IF($D29="Gider",$H29,$E29))</f>
        <v>Merkez Kasa</v>
      </c>
      <c r="O29" s="73">
        <f>IF($C29="","",DATE(YEAR($C29),MONTH($C29),1))</f>
        <v>46054</v>
      </c>
      <c r="P29" s="65" t="str">
        <f ca="1">IF($C29="","",IF(AND($D29="Gelir",$L29&lt;&gt;"",$T29=""),"TANIMSIZ BORÇLU",IF($T29&lt;&gt;"",IF(OR($E29="",$G29&lt;=0),"EKSİK",IF($I29="Evet","TAHAKKUK NAKİT OLAMAZ",IF($C29&gt;TODAY(),"İLERİ TARİH","TAHAKKUK"))),IF(AND($D29&lt;&gt;"",$E29&lt;&gt;"",$G29&gt;0,$H29&lt;&gt;"",$I29&lt;&gt;""),IF($C29&gt;TODAY(),"İLERİ TARİH",IF(COUNTIF($W$7:$W$3001,$W29)&gt;1,"MÜKERRER?",IF($AD29&gt;0,"KAPALI DÖNEM",IF($I29="Hayır","ÖDENECEK","UYGUN")))),"EKSİK"))))</f>
        <v>UYGUN</v>
      </c>
      <c r="Q29" s="2"/>
      <c r="R29" s="2"/>
      <c r="S29" s="1" t="str">
        <f t="shared" si="0"/>
        <v/>
      </c>
      <c r="T29" s="1" t="str">
        <f>IF(OR($C29="",$D29&lt;&gt;"Gelir",$L29=""),"",IFERROR(INDEX(MUSTERILER!$B$7:$B$156,MATCH($S29,MUSTERILER!$T$7:$T$156,0)),""))</f>
        <v/>
      </c>
      <c r="U29" s="1" t="str">
        <f>IF($T29="","",$T29&amp;"|"&amp;COUNTIFS($T$7:$T29,$T29))</f>
        <v/>
      </c>
      <c r="V29" s="1">
        <f t="shared" si="1"/>
        <v>0</v>
      </c>
      <c r="W29" s="1" t="str">
        <f t="shared" si="2"/>
        <v>Gider|Vergi / Harç|46056|9000|Alı Aralık Bağkur|</v>
      </c>
      <c r="X29" s="73">
        <f>AY_SONU!$B31</f>
        <v>46753</v>
      </c>
      <c r="Y29" s="74" t="str">
        <f t="shared" si="3"/>
        <v>Müşteri Carisi  (MÜŞTERİ 360)</v>
      </c>
      <c r="Z29" s="74" t="str">
        <f t="shared" si="4"/>
        <v>600 Muhasebe Hizmet Geliri  (sözleşme)</v>
      </c>
      <c r="AA29" s="68">
        <f>AY_SONU!$C31</f>
        <v>529751</v>
      </c>
      <c r="AB29" s="68">
        <f>AY_SONU!$D31</f>
        <v>0</v>
      </c>
      <c r="AC29" s="68">
        <f>AY_SONU!$C31-AY_SONU!$D31</f>
        <v>529751</v>
      </c>
      <c r="AD29" s="1">
        <f>IF($C29="",0,SUMPRODUCT((AY_SONU!$O$7:$O$42="Evet")*(AY_SONU!$B$7:$B$42=DATE(YEAR($C29),MONTH($C29),1))))</f>
        <v>0</v>
      </c>
      <c r="AE29" s="1" t="str">
        <f>IF($E29="","",$E29&amp;"|"&amp;COUNTIFS($E$7:$E29,$E29))</f>
        <v>Vergi / Harç|1</v>
      </c>
    </row>
    <row r="30" spans="1:31" ht="18" customHeight="1" x14ac:dyDescent="0.3">
      <c r="A30" s="2"/>
      <c r="B30" s="65" t="str">
        <f>IF($C30="","","GG"&amp;TEXT(ROW()-6,"00000"))</f>
        <v>GG00024</v>
      </c>
      <c r="C30" s="66">
        <v>46056</v>
      </c>
      <c r="D30" s="60" t="s">
        <v>769</v>
      </c>
      <c r="E30" s="61" t="s">
        <v>801</v>
      </c>
      <c r="F30" s="61" t="s">
        <v>803</v>
      </c>
      <c r="G30" s="67">
        <v>11810</v>
      </c>
      <c r="H30" s="60" t="s">
        <v>772</v>
      </c>
      <c r="I30" s="60" t="s">
        <v>773</v>
      </c>
      <c r="J30" s="61"/>
      <c r="K30" s="61"/>
      <c r="L30" s="60"/>
      <c r="M30" s="74" t="str">
        <f>IF($C30="","",IF($D30="Gider",$E30,IF($L30&lt;&gt;"",$L30,$H30)))</f>
        <v>Vergi / Harç</v>
      </c>
      <c r="N30" s="74" t="str">
        <f>IF($C30="","",IF($D30="Gider",$H30,$E30))</f>
        <v>Merkez Kasa</v>
      </c>
      <c r="O30" s="73">
        <f>IF($C30="","",DATE(YEAR($C30),MONTH($C30),1))</f>
        <v>46054</v>
      </c>
      <c r="P30" s="65" t="str">
        <f ca="1">IF($C30="","",IF(AND($D30="Gelir",$L30&lt;&gt;"",$T30=""),"TANIMSIZ BORÇLU",IF($T30&lt;&gt;"",IF(OR($E30="",$G30&lt;=0),"EKSİK",IF($I30="Evet","TAHAKKUK NAKİT OLAMAZ",IF($C30&gt;TODAY(),"İLERİ TARİH","TAHAKKUK"))),IF(AND($D30&lt;&gt;"",$E30&lt;&gt;"",$G30&gt;0,$H30&lt;&gt;"",$I30&lt;&gt;""),IF($C30&gt;TODAY(),"İLERİ TARİH",IF(COUNTIF($W$7:$W$3001,$W30)&gt;1,"MÜKERRER?",IF($AD30&gt;0,"KAPALI DÖNEM",IF($I30="Hayır","ÖDENECEK","UYGUN")))),"EKSİK"))))</f>
        <v>UYGUN</v>
      </c>
      <c r="Q30" s="2"/>
      <c r="R30" s="2"/>
      <c r="S30" s="1" t="str">
        <f t="shared" si="0"/>
        <v/>
      </c>
      <c r="T30" s="1" t="str">
        <f>IF(OR($C30="",$D30&lt;&gt;"Gelir",$L30=""),"",IFERROR(INDEX(MUSTERILER!$B$7:$B$156,MATCH($S30,MUSTERILER!$T$7:$T$156,0)),""))</f>
        <v/>
      </c>
      <c r="U30" s="1" t="str">
        <f>IF($T30="","",$T30&amp;"|"&amp;COUNTIFS($T$7:$T30,$T30))</f>
        <v/>
      </c>
      <c r="V30" s="1">
        <f t="shared" si="1"/>
        <v>0</v>
      </c>
      <c r="W30" s="1" t="str">
        <f t="shared" si="2"/>
        <v>Gider|Vergi / Harç|46056|11810|Ali Ocak Bağkur|</v>
      </c>
      <c r="X30" s="73">
        <f>AY_SONU!$B32</f>
        <v>46784</v>
      </c>
      <c r="Y30" s="74" t="str">
        <f t="shared" si="3"/>
        <v>Müşteri Carisi  (MÜŞTERİ 360)</v>
      </c>
      <c r="Z30" s="74" t="str">
        <f t="shared" si="4"/>
        <v>600 Muhasebe Hizmet Geliri  (sözleşme)</v>
      </c>
      <c r="AA30" s="68">
        <f>AY_SONU!$C32</f>
        <v>450001</v>
      </c>
      <c r="AB30" s="68">
        <f>AY_SONU!$D32</f>
        <v>0</v>
      </c>
      <c r="AC30" s="68">
        <f>AY_SONU!$C32-AY_SONU!$D32</f>
        <v>450001</v>
      </c>
      <c r="AD30" s="1">
        <f>IF($C30="",0,SUMPRODUCT((AY_SONU!$O$7:$O$42="Evet")*(AY_SONU!$B$7:$B$42=DATE(YEAR($C30),MONTH($C30),1))))</f>
        <v>0</v>
      </c>
      <c r="AE30" s="1" t="str">
        <f>IF($E30="","",$E30&amp;"|"&amp;COUNTIFS($E$7:$E30,$E30))</f>
        <v>Vergi / Harç|2</v>
      </c>
    </row>
    <row r="31" spans="1:31" ht="18" customHeight="1" x14ac:dyDescent="0.3">
      <c r="A31" s="2"/>
      <c r="B31" s="65" t="str">
        <f>IF($C31="","","GG"&amp;TEXT(ROW()-6,"00000"))</f>
        <v>GG00025</v>
      </c>
      <c r="C31" s="66">
        <v>46056</v>
      </c>
      <c r="D31" s="60" t="s">
        <v>769</v>
      </c>
      <c r="E31" s="61" t="s">
        <v>801</v>
      </c>
      <c r="F31" s="61" t="s">
        <v>804</v>
      </c>
      <c r="G31" s="67">
        <v>6011</v>
      </c>
      <c r="H31" s="60" t="s">
        <v>772</v>
      </c>
      <c r="I31" s="60" t="s">
        <v>773</v>
      </c>
      <c r="J31" s="61"/>
      <c r="K31" s="61"/>
      <c r="L31" s="60"/>
      <c r="M31" s="74" t="str">
        <f>IF($C31="","",IF($D31="Gider",$E31,IF($L31&lt;&gt;"",$L31,$H31)))</f>
        <v>Vergi / Harç</v>
      </c>
      <c r="N31" s="74" t="str">
        <f>IF($C31="","",IF($D31="Gider",$H31,$E31))</f>
        <v>Merkez Kasa</v>
      </c>
      <c r="O31" s="73">
        <f>IF($C31="","",DATE(YEAR($C31),MONTH($C31),1))</f>
        <v>46054</v>
      </c>
      <c r="P31" s="65" t="str">
        <f ca="1">IF($C31="","",IF(AND($D31="Gelir",$L31&lt;&gt;"",$T31=""),"TANIMSIZ BORÇLU",IF($T31&lt;&gt;"",IF(OR($E31="",$G31&lt;=0),"EKSİK",IF($I31="Evet","TAHAKKUK NAKİT OLAMAZ",IF($C31&gt;TODAY(),"İLERİ TARİH","TAHAKKUK"))),IF(AND($D31&lt;&gt;"",$E31&lt;&gt;"",$G31&gt;0,$H31&lt;&gt;"",$I31&lt;&gt;""),IF($C31&gt;TODAY(),"İLERİ TARİH",IF(COUNTIF($W$7:$W$3001,$W31)&gt;1,"MÜKERRER?",IF($AD31&gt;0,"KAPALI DÖNEM",IF($I31="Hayır","ÖDENECEK","UYGUN")))),"EKSİK"))))</f>
        <v>UYGUN</v>
      </c>
      <c r="Q31" s="2"/>
      <c r="R31" s="2"/>
      <c r="S31" s="1" t="str">
        <f t="shared" si="0"/>
        <v/>
      </c>
      <c r="T31" s="1" t="str">
        <f>IF(OR($C31="",$D31&lt;&gt;"Gelir",$L31=""),"",IFERROR(INDEX(MUSTERILER!$B$7:$B$156,MATCH($S31,MUSTERILER!$T$7:$T$156,0)),""))</f>
        <v/>
      </c>
      <c r="U31" s="1" t="str">
        <f>IF($T31="","",$T31&amp;"|"&amp;COUNTIFS($T$7:$T31,$T31))</f>
        <v/>
      </c>
      <c r="V31" s="1">
        <f t="shared" si="1"/>
        <v>0</v>
      </c>
      <c r="W31" s="1" t="str">
        <f t="shared" si="2"/>
        <v>Gider|Vergi / Harç|46056|6011|ASMMO Aidat Ödemesi|</v>
      </c>
      <c r="X31" s="73">
        <f>AY_SONU!$B33</f>
        <v>46813</v>
      </c>
      <c r="Y31" s="74" t="str">
        <f t="shared" si="3"/>
        <v>Müşteri Carisi  (MÜŞTERİ 360)</v>
      </c>
      <c r="Z31" s="74" t="str">
        <f t="shared" si="4"/>
        <v>600 Muhasebe Hizmet Geliri  (sözleşme)</v>
      </c>
      <c r="AA31" s="68">
        <f>AY_SONU!$C33</f>
        <v>450001</v>
      </c>
      <c r="AB31" s="68">
        <f>AY_SONU!$D33</f>
        <v>0</v>
      </c>
      <c r="AC31" s="68">
        <f>AY_SONU!$C33-AY_SONU!$D33</f>
        <v>450001</v>
      </c>
      <c r="AD31" s="1">
        <f>IF($C31="",0,SUMPRODUCT((AY_SONU!$O$7:$O$42="Evet")*(AY_SONU!$B$7:$B$42=DATE(YEAR($C31),MONTH($C31),1))))</f>
        <v>0</v>
      </c>
      <c r="AE31" s="1" t="str">
        <f>IF($E31="","",$E31&amp;"|"&amp;COUNTIFS($E$7:$E31,$E31))</f>
        <v>Vergi / Harç|3</v>
      </c>
    </row>
    <row r="32" spans="1:31" ht="18" customHeight="1" x14ac:dyDescent="0.3">
      <c r="A32" s="2"/>
      <c r="B32" s="65" t="str">
        <f>IF($C32="","","GG"&amp;TEXT(ROW()-6,"00000"))</f>
        <v>GG00026</v>
      </c>
      <c r="C32" s="66">
        <v>46056</v>
      </c>
      <c r="D32" s="60" t="s">
        <v>769</v>
      </c>
      <c r="E32" s="61" t="s">
        <v>805</v>
      </c>
      <c r="F32" s="61" t="s">
        <v>806</v>
      </c>
      <c r="G32" s="67">
        <v>14000</v>
      </c>
      <c r="H32" s="60" t="s">
        <v>772</v>
      </c>
      <c r="I32" s="60" t="s">
        <v>773</v>
      </c>
      <c r="J32" s="61"/>
      <c r="K32" s="61"/>
      <c r="L32" s="60"/>
      <c r="M32" s="74" t="str">
        <f>IF($C32="","",IF($D32="Gider",$E32,IF($L32&lt;&gt;"",$L32,$H32)))</f>
        <v>Ofis Kirası</v>
      </c>
      <c r="N32" s="74" t="str">
        <f>IF($C32="","",IF($D32="Gider",$H32,$E32))</f>
        <v>Merkez Kasa</v>
      </c>
      <c r="O32" s="73">
        <f>IF($C32="","",DATE(YEAR($C32),MONTH($C32),1))</f>
        <v>46054</v>
      </c>
      <c r="P32" s="65" t="str">
        <f ca="1">IF($C32="","",IF(AND($D32="Gelir",$L32&lt;&gt;"",$T32=""),"TANIMSIZ BORÇLU",IF($T32&lt;&gt;"",IF(OR($E32="",$G32&lt;=0),"EKSİK",IF($I32="Evet","TAHAKKUK NAKİT OLAMAZ",IF($C32&gt;TODAY(),"İLERİ TARİH","TAHAKKUK"))),IF(AND($D32&lt;&gt;"",$E32&lt;&gt;"",$G32&gt;0,$H32&lt;&gt;"",$I32&lt;&gt;""),IF($C32&gt;TODAY(),"İLERİ TARİH",IF(COUNTIF($W$7:$W$3001,$W32)&gt;1,"MÜKERRER?",IF($AD32&gt;0,"KAPALI DÖNEM",IF($I32="Hayır","ÖDENECEK","UYGUN")))),"EKSİK"))))</f>
        <v>UYGUN</v>
      </c>
      <c r="Q32" s="2"/>
      <c r="R32" s="2"/>
      <c r="S32" s="1" t="str">
        <f t="shared" si="0"/>
        <v/>
      </c>
      <c r="T32" s="1" t="str">
        <f>IF(OR($C32="",$D32&lt;&gt;"Gelir",$L32=""),"",IFERROR(INDEX(MUSTERILER!$B$7:$B$156,MATCH($S32,MUSTERILER!$T$7:$T$156,0)),""))</f>
        <v/>
      </c>
      <c r="U32" s="1" t="str">
        <f>IF($T32="","",$T32&amp;"|"&amp;COUNTIFS($T$7:$T32,$T32))</f>
        <v/>
      </c>
      <c r="V32" s="1">
        <f t="shared" si="1"/>
        <v>0</v>
      </c>
      <c r="W32" s="1" t="str">
        <f t="shared" si="2"/>
        <v>Gider|Ofis Kirası|46056|14000|Ocak Ayı Ofis Kira Ödemesi|</v>
      </c>
      <c r="X32" s="73">
        <f>AY_SONU!$B34</f>
        <v>46844</v>
      </c>
      <c r="Y32" s="74" t="str">
        <f t="shared" si="3"/>
        <v>Müşteri Carisi  (MÜŞTERİ 360)</v>
      </c>
      <c r="Z32" s="74" t="str">
        <f t="shared" si="4"/>
        <v>600 Muhasebe Hizmet Geliri  (sözleşme)</v>
      </c>
      <c r="AA32" s="68">
        <f>AY_SONU!$C34</f>
        <v>529751</v>
      </c>
      <c r="AB32" s="68">
        <f>AY_SONU!$D34</f>
        <v>0</v>
      </c>
      <c r="AC32" s="68">
        <f>AY_SONU!$C34-AY_SONU!$D34</f>
        <v>529751</v>
      </c>
      <c r="AD32" s="1">
        <f>IF($C32="",0,SUMPRODUCT((AY_SONU!$O$7:$O$42="Evet")*(AY_SONU!$B$7:$B$42=DATE(YEAR($C32),MONTH($C32),1))))</f>
        <v>0</v>
      </c>
      <c r="AE32" s="1" t="str">
        <f>IF($E32="","",$E32&amp;"|"&amp;COUNTIFS($E$7:$E32,$E32))</f>
        <v>Ofis Kirası|1</v>
      </c>
    </row>
    <row r="33" spans="1:31" ht="18" customHeight="1" x14ac:dyDescent="0.3">
      <c r="A33" s="2"/>
      <c r="B33" s="65" t="str">
        <f>IF($C33="","","GG"&amp;TEXT(ROW()-6,"00000"))</f>
        <v>GG00027</v>
      </c>
      <c r="C33" s="66">
        <v>46056</v>
      </c>
      <c r="D33" s="60" t="s">
        <v>769</v>
      </c>
      <c r="E33" s="61" t="s">
        <v>801</v>
      </c>
      <c r="F33" s="61" t="s">
        <v>807</v>
      </c>
      <c r="G33" s="67">
        <v>10260.16</v>
      </c>
      <c r="H33" s="60" t="s">
        <v>772</v>
      </c>
      <c r="I33" s="60" t="s">
        <v>773</v>
      </c>
      <c r="J33" s="61"/>
      <c r="K33" s="61"/>
      <c r="L33" s="60"/>
      <c r="M33" s="74" t="str">
        <f>IF($C33="","",IF($D33="Gider",$E33,IF($L33&lt;&gt;"",$L33,$H33)))</f>
        <v>Vergi / Harç</v>
      </c>
      <c r="N33" s="74" t="str">
        <f>IF($C33="","",IF($D33="Gider",$H33,$E33))</f>
        <v>Merkez Kasa</v>
      </c>
      <c r="O33" s="73">
        <f>IF($C33="","",DATE(YEAR($C33),MONTH($C33),1))</f>
        <v>46054</v>
      </c>
      <c r="P33" s="65" t="str">
        <f ca="1">IF($C33="","",IF(AND($D33="Gelir",$L33&lt;&gt;"",$T33=""),"TANIMSIZ BORÇLU",IF($T33&lt;&gt;"",IF(OR($E33="",$G33&lt;=0),"EKSİK",IF($I33="Evet","TAHAKKUK NAKİT OLAMAZ",IF($C33&gt;TODAY(),"İLERİ TARİH","TAHAKKUK"))),IF(AND($D33&lt;&gt;"",$E33&lt;&gt;"",$G33&gt;0,$H33&lt;&gt;"",$I33&lt;&gt;""),IF($C33&gt;TODAY(),"İLERİ TARİH",IF(COUNTIF($W$7:$W$3001,$W33)&gt;1,"MÜKERRER?",IF($AD33&gt;0,"KAPALI DÖNEM",IF($I33="Hayır","ÖDENECEK","UYGUN")))),"EKSİK"))))</f>
        <v>UYGUN</v>
      </c>
      <c r="Q33" s="2"/>
      <c r="R33" s="2"/>
      <c r="S33" s="1" t="str">
        <f t="shared" si="0"/>
        <v/>
      </c>
      <c r="T33" s="1" t="str">
        <f>IF(OR($C33="",$D33&lt;&gt;"Gelir",$L33=""),"",IFERROR(INDEX(MUSTERILER!$B$7:$B$156,MATCH($S33,MUSTERILER!$T$7:$T$156,0)),""))</f>
        <v/>
      </c>
      <c r="U33" s="1" t="str">
        <f>IF($T33="","",$T33&amp;"|"&amp;COUNTIFS($T$7:$T33,$T33))</f>
        <v/>
      </c>
      <c r="V33" s="1">
        <f t="shared" si="1"/>
        <v>0</v>
      </c>
      <c r="W33" s="1" t="str">
        <f t="shared" si="2"/>
        <v>Gider|Vergi / Harç|46056|10260|Ofis Vergi Ödemeleri|</v>
      </c>
      <c r="X33" s="73">
        <f>AY_SONU!$B35</f>
        <v>46874</v>
      </c>
      <c r="Y33" s="74" t="str">
        <f t="shared" si="3"/>
        <v>Müşteri Carisi  (MÜŞTERİ 360)</v>
      </c>
      <c r="Z33" s="74" t="str">
        <f t="shared" si="4"/>
        <v>600 Muhasebe Hizmet Geliri  (sözleşme)</v>
      </c>
      <c r="AA33" s="68">
        <f>AY_SONU!$C35</f>
        <v>450001</v>
      </c>
      <c r="AB33" s="68">
        <f>AY_SONU!$D35</f>
        <v>0</v>
      </c>
      <c r="AC33" s="68">
        <f>AY_SONU!$C35-AY_SONU!$D35</f>
        <v>450001</v>
      </c>
      <c r="AD33" s="1">
        <f>IF($C33="",0,SUMPRODUCT((AY_SONU!$O$7:$O$42="Evet")*(AY_SONU!$B$7:$B$42=DATE(YEAR($C33),MONTH($C33),1))))</f>
        <v>0</v>
      </c>
      <c r="AE33" s="1" t="str">
        <f>IF($E33="","",$E33&amp;"|"&amp;COUNTIFS($E$7:$E33,$E33))</f>
        <v>Vergi / Harç|4</v>
      </c>
    </row>
    <row r="34" spans="1:31" ht="18" customHeight="1" x14ac:dyDescent="0.3">
      <c r="A34" s="2"/>
      <c r="B34" s="65" t="str">
        <f>IF($C34="","","GG"&amp;TEXT(ROW()-6,"00000"))</f>
        <v>GG00028</v>
      </c>
      <c r="C34" s="66">
        <v>46056</v>
      </c>
      <c r="D34" s="60" t="s">
        <v>769</v>
      </c>
      <c r="E34" s="61" t="s">
        <v>805</v>
      </c>
      <c r="F34" s="61" t="s">
        <v>808</v>
      </c>
      <c r="G34" s="67">
        <v>2000</v>
      </c>
      <c r="H34" s="60" t="s">
        <v>772</v>
      </c>
      <c r="I34" s="60" t="s">
        <v>773</v>
      </c>
      <c r="J34" s="61"/>
      <c r="K34" s="61"/>
      <c r="L34" s="60"/>
      <c r="M34" s="74" t="str">
        <f>IF($C34="","",IF($D34="Gider",$E34,IF($L34&lt;&gt;"",$L34,$H34)))</f>
        <v>Ofis Kirası</v>
      </c>
      <c r="N34" s="74" t="str">
        <f>IF($C34="","",IF($D34="Gider",$H34,$E34))</f>
        <v>Merkez Kasa</v>
      </c>
      <c r="O34" s="73">
        <f>IF($C34="","",DATE(YEAR($C34),MONTH($C34),1))</f>
        <v>46054</v>
      </c>
      <c r="P34" s="65" t="str">
        <f ca="1">IF($C34="","",IF(AND($D34="Gelir",$L34&lt;&gt;"",$T34=""),"TANIMSIZ BORÇLU",IF($T34&lt;&gt;"",IF(OR($E34="",$G34&lt;=0),"EKSİK",IF($I34="Evet","TAHAKKUK NAKİT OLAMAZ",IF($C34&gt;TODAY(),"İLERİ TARİH","TAHAKKUK"))),IF(AND($D34&lt;&gt;"",$E34&lt;&gt;"",$G34&gt;0,$H34&lt;&gt;"",$I34&lt;&gt;""),IF($C34&gt;TODAY(),"İLERİ TARİH",IF(COUNTIF($W$7:$W$3001,$W34)&gt;1,"MÜKERRER?",IF($AD34&gt;0,"KAPALI DÖNEM",IF($I34="Hayır","ÖDENECEK","UYGUN")))),"EKSİK"))))</f>
        <v>UYGUN</v>
      </c>
      <c r="Q34" s="2"/>
      <c r="R34" s="2"/>
      <c r="S34" s="1" t="str">
        <f t="shared" si="0"/>
        <v/>
      </c>
      <c r="T34" s="1" t="str">
        <f>IF(OR($C34="",$D34&lt;&gt;"Gelir",$L34=""),"",IFERROR(INDEX(MUSTERILER!$B$7:$B$156,MATCH($S34,MUSTERILER!$T$7:$T$156,0)),""))</f>
        <v/>
      </c>
      <c r="U34" s="1" t="str">
        <f>IF($T34="","",$T34&amp;"|"&amp;COUNTIFS($T$7:$T34,$T34))</f>
        <v/>
      </c>
      <c r="V34" s="1">
        <f t="shared" si="1"/>
        <v>0</v>
      </c>
      <c r="W34" s="1" t="str">
        <f t="shared" si="2"/>
        <v>Gider|Ofis Kirası|46056|2000|Ocak Ayı Ofis Aidatı Ödemesi|</v>
      </c>
      <c r="X34" s="73">
        <f>AY_SONU!$B36</f>
        <v>46905</v>
      </c>
      <c r="Y34" s="74" t="str">
        <f t="shared" si="3"/>
        <v>Müşteri Carisi  (MÜŞTERİ 360)</v>
      </c>
      <c r="Z34" s="74" t="str">
        <f t="shared" si="4"/>
        <v>600 Muhasebe Hizmet Geliri  (sözleşme)</v>
      </c>
      <c r="AA34" s="68">
        <f>AY_SONU!$C36</f>
        <v>450001</v>
      </c>
      <c r="AB34" s="68">
        <f>AY_SONU!$D36</f>
        <v>0</v>
      </c>
      <c r="AC34" s="68">
        <f>AY_SONU!$C36-AY_SONU!$D36</f>
        <v>450001</v>
      </c>
      <c r="AD34" s="1">
        <f>IF($C34="",0,SUMPRODUCT((AY_SONU!$O$7:$O$42="Evet")*(AY_SONU!$B$7:$B$42=DATE(YEAR($C34),MONTH($C34),1))))</f>
        <v>0</v>
      </c>
      <c r="AE34" s="1" t="str">
        <f>IF($E34="","",$E34&amp;"|"&amp;COUNTIFS($E$7:$E34,$E34))</f>
        <v>Ofis Kirası|2</v>
      </c>
    </row>
    <row r="35" spans="1:31" ht="18" customHeight="1" x14ac:dyDescent="0.3">
      <c r="A35" s="2"/>
      <c r="B35" s="65" t="str">
        <f>IF($C35="","","GG"&amp;TEXT(ROW()-6,"00000"))</f>
        <v>GG00029</v>
      </c>
      <c r="C35" s="66">
        <v>46056</v>
      </c>
      <c r="D35" s="60" t="s">
        <v>769</v>
      </c>
      <c r="E35" s="61" t="s">
        <v>798</v>
      </c>
      <c r="F35" s="61" t="s">
        <v>809</v>
      </c>
      <c r="G35" s="67">
        <v>4000</v>
      </c>
      <c r="H35" s="60" t="s">
        <v>772</v>
      </c>
      <c r="I35" s="60" t="s">
        <v>773</v>
      </c>
      <c r="J35" s="61"/>
      <c r="K35" s="61"/>
      <c r="L35" s="60"/>
      <c r="M35" s="74" t="str">
        <f>IF($C35="","",IF($D35="Gider",$E35,IF($L35&lt;&gt;"",$L35,$H35)))</f>
        <v>Personel</v>
      </c>
      <c r="N35" s="74" t="str">
        <f>IF($C35="","",IF($D35="Gider",$H35,$E35))</f>
        <v>Merkez Kasa</v>
      </c>
      <c r="O35" s="73">
        <f>IF($C35="","",DATE(YEAR($C35),MONTH($C35),1))</f>
        <v>46054</v>
      </c>
      <c r="P35" s="65" t="str">
        <f ca="1">IF($C35="","",IF(AND($D35="Gelir",$L35&lt;&gt;"",$T35=""),"TANIMSIZ BORÇLU",IF($T35&lt;&gt;"",IF(OR($E35="",$G35&lt;=0),"EKSİK",IF($I35="Evet","TAHAKKUK NAKİT OLAMAZ",IF($C35&gt;TODAY(),"İLERİ TARİH","TAHAKKUK"))),IF(AND($D35&lt;&gt;"",$E35&lt;&gt;"",$G35&gt;0,$H35&lt;&gt;"",$I35&lt;&gt;""),IF($C35&gt;TODAY(),"İLERİ TARİH",IF(COUNTIF($W$7:$W$3001,$W35)&gt;1,"MÜKERRER?",IF($AD35&gt;0,"KAPALI DÖNEM",IF($I35="Hayır","ÖDENECEK","UYGUN")))),"EKSİK"))))</f>
        <v>UYGUN</v>
      </c>
      <c r="Q35" s="2"/>
      <c r="R35" s="2"/>
      <c r="S35" s="1" t="str">
        <f t="shared" si="0"/>
        <v/>
      </c>
      <c r="T35" s="1" t="str">
        <f>IF(OR($C35="",$D35&lt;&gt;"Gelir",$L35=""),"",IFERROR(INDEX(MUSTERILER!$B$7:$B$156,MATCH($S35,MUSTERILER!$T$7:$T$156,0)),""))</f>
        <v/>
      </c>
      <c r="U35" s="1" t="str">
        <f>IF($T35="","",$T35&amp;"|"&amp;COUNTIFS($T$7:$T35,$T35))</f>
        <v/>
      </c>
      <c r="V35" s="1">
        <f t="shared" si="1"/>
        <v>0</v>
      </c>
      <c r="W35" s="1" t="str">
        <f t="shared" si="2"/>
        <v>Gider|Personel|46056|4000|İsmail Harçlık|</v>
      </c>
      <c r="X35" s="73">
        <f>AY_SONU!$B37</f>
        <v>46935</v>
      </c>
      <c r="Y35" s="74" t="str">
        <f t="shared" si="3"/>
        <v>Müşteri Carisi  (MÜŞTERİ 360)</v>
      </c>
      <c r="Z35" s="74" t="str">
        <f t="shared" si="4"/>
        <v>600 Muhasebe Hizmet Geliri  (sözleşme)</v>
      </c>
      <c r="AA35" s="68">
        <f>AY_SONU!$C37</f>
        <v>529751</v>
      </c>
      <c r="AB35" s="68">
        <f>AY_SONU!$D37</f>
        <v>0</v>
      </c>
      <c r="AC35" s="68">
        <f>AY_SONU!$C37-AY_SONU!$D37</f>
        <v>529751</v>
      </c>
      <c r="AD35" s="1">
        <f>IF($C35="",0,SUMPRODUCT((AY_SONU!$O$7:$O$42="Evet")*(AY_SONU!$B$7:$B$42=DATE(YEAR($C35),MONTH($C35),1))))</f>
        <v>0</v>
      </c>
      <c r="AE35" s="1" t="str">
        <f>IF($E35="","",$E35&amp;"|"&amp;COUNTIFS($E$7:$E35,$E35))</f>
        <v>Personel|3</v>
      </c>
    </row>
    <row r="36" spans="1:31" ht="18" customHeight="1" x14ac:dyDescent="0.3">
      <c r="A36" s="2"/>
      <c r="B36" s="65" t="str">
        <f>IF($C36="","","GG"&amp;TEXT(ROW()-6,"00000"))</f>
        <v>GG00030</v>
      </c>
      <c r="C36" s="66">
        <v>46057</v>
      </c>
      <c r="D36" s="60" t="s">
        <v>769</v>
      </c>
      <c r="E36" s="61" t="s">
        <v>805</v>
      </c>
      <c r="F36" s="61" t="s">
        <v>810</v>
      </c>
      <c r="G36" s="67">
        <v>14000</v>
      </c>
      <c r="H36" s="60" t="s">
        <v>772</v>
      </c>
      <c r="I36" s="60" t="s">
        <v>773</v>
      </c>
      <c r="J36" s="61"/>
      <c r="K36" s="61"/>
      <c r="L36" s="60"/>
      <c r="M36" s="74" t="str">
        <f>IF($C36="","",IF($D36="Gider",$E36,IF($L36&lt;&gt;"",$L36,$H36)))</f>
        <v>Ofis Kirası</v>
      </c>
      <c r="N36" s="74" t="str">
        <f>IF($C36="","",IF($D36="Gider",$H36,$E36))</f>
        <v>Merkez Kasa</v>
      </c>
      <c r="O36" s="73">
        <f>IF($C36="","",DATE(YEAR($C36),MONTH($C36),1))</f>
        <v>46054</v>
      </c>
      <c r="P36" s="65" t="str">
        <f ca="1">IF($C36="","",IF(AND($D36="Gelir",$L36&lt;&gt;"",$T36=""),"TANIMSIZ BORÇLU",IF($T36&lt;&gt;"",IF(OR($E36="",$G36&lt;=0),"EKSİK",IF($I36="Evet","TAHAKKUK NAKİT OLAMAZ",IF($C36&gt;TODAY(),"İLERİ TARİH","TAHAKKUK"))),IF(AND($D36&lt;&gt;"",$E36&lt;&gt;"",$G36&gt;0,$H36&lt;&gt;"",$I36&lt;&gt;""),IF($C36&gt;TODAY(),"İLERİ TARİH",IF(COUNTIF($W$7:$W$3001,$W36)&gt;1,"MÜKERRER?",IF($AD36&gt;0,"KAPALI DÖNEM",IF($I36="Hayır","ÖDENECEK","UYGUN")))),"EKSİK"))))</f>
        <v>UYGUN</v>
      </c>
      <c r="Q36" s="2"/>
      <c r="R36" s="2"/>
      <c r="S36" s="1" t="str">
        <f t="shared" si="0"/>
        <v/>
      </c>
      <c r="T36" s="1" t="str">
        <f>IF(OR($C36="",$D36&lt;&gt;"Gelir",$L36=""),"",IFERROR(INDEX(MUSTERILER!$B$7:$B$156,MATCH($S36,MUSTERILER!$T$7:$T$156,0)),""))</f>
        <v/>
      </c>
      <c r="U36" s="1" t="str">
        <f>IF($T36="","",$T36&amp;"|"&amp;COUNTIFS($T$7:$T36,$T36))</f>
        <v/>
      </c>
      <c r="V36" s="1">
        <f t="shared" si="1"/>
        <v>0</v>
      </c>
      <c r="W36" s="1" t="str">
        <f t="shared" si="2"/>
        <v>Gider|Ofis Kirası|46057|14000|Şubat Ayı Ofis Kira Ödemesi|</v>
      </c>
      <c r="X36" s="73">
        <f>AY_SONU!$B38</f>
        <v>46966</v>
      </c>
      <c r="Y36" s="74" t="str">
        <f t="shared" si="3"/>
        <v>Müşteri Carisi  (MÜŞTERİ 360)</v>
      </c>
      <c r="Z36" s="74" t="str">
        <f t="shared" si="4"/>
        <v>600 Muhasebe Hizmet Geliri  (sözleşme)</v>
      </c>
      <c r="AA36" s="68">
        <f>AY_SONU!$C38</f>
        <v>450001</v>
      </c>
      <c r="AB36" s="68">
        <f>AY_SONU!$D38</f>
        <v>0</v>
      </c>
      <c r="AC36" s="68">
        <f>AY_SONU!$C38-AY_SONU!$D38</f>
        <v>450001</v>
      </c>
      <c r="AD36" s="1">
        <f>IF($C36="",0,SUMPRODUCT((AY_SONU!$O$7:$O$42="Evet")*(AY_SONU!$B$7:$B$42=DATE(YEAR($C36),MONTH($C36),1))))</f>
        <v>0</v>
      </c>
      <c r="AE36" s="1" t="str">
        <f>IF($E36="","",$E36&amp;"|"&amp;COUNTIFS($E$7:$E36,$E36))</f>
        <v>Ofis Kirası|3</v>
      </c>
    </row>
    <row r="37" spans="1:31" ht="18" customHeight="1" x14ac:dyDescent="0.3">
      <c r="A37" s="2"/>
      <c r="B37" s="65" t="str">
        <f>IF($C37="","","GG"&amp;TEXT(ROW()-6,"00000"))</f>
        <v>GG00031</v>
      </c>
      <c r="C37" s="66">
        <v>46057</v>
      </c>
      <c r="D37" s="60" t="s">
        <v>769</v>
      </c>
      <c r="E37" s="61" t="s">
        <v>805</v>
      </c>
      <c r="F37" s="61" t="s">
        <v>811</v>
      </c>
      <c r="G37" s="67">
        <v>2000</v>
      </c>
      <c r="H37" s="60" t="s">
        <v>772</v>
      </c>
      <c r="I37" s="60" t="s">
        <v>773</v>
      </c>
      <c r="J37" s="61"/>
      <c r="K37" s="61"/>
      <c r="L37" s="60"/>
      <c r="M37" s="74" t="str">
        <f>IF($C37="","",IF($D37="Gider",$E37,IF($L37&lt;&gt;"",$L37,$H37)))</f>
        <v>Ofis Kirası</v>
      </c>
      <c r="N37" s="74" t="str">
        <f>IF($C37="","",IF($D37="Gider",$H37,$E37))</f>
        <v>Merkez Kasa</v>
      </c>
      <c r="O37" s="73">
        <f>IF($C37="","",DATE(YEAR($C37),MONTH($C37),1))</f>
        <v>46054</v>
      </c>
      <c r="P37" s="65" t="str">
        <f ca="1">IF($C37="","",IF(AND($D37="Gelir",$L37&lt;&gt;"",$T37=""),"TANIMSIZ BORÇLU",IF($T37&lt;&gt;"",IF(OR($E37="",$G37&lt;=0),"EKSİK",IF($I37="Evet","TAHAKKUK NAKİT OLAMAZ",IF($C37&gt;TODAY(),"İLERİ TARİH","TAHAKKUK"))),IF(AND($D37&lt;&gt;"",$E37&lt;&gt;"",$G37&gt;0,$H37&lt;&gt;"",$I37&lt;&gt;""),IF($C37&gt;TODAY(),"İLERİ TARİH",IF(COUNTIF($W$7:$W$3001,$W37)&gt;1,"MÜKERRER?",IF($AD37&gt;0,"KAPALI DÖNEM",IF($I37="Hayır","ÖDENECEK","UYGUN")))),"EKSİK"))))</f>
        <v>UYGUN</v>
      </c>
      <c r="Q37" s="2"/>
      <c r="R37" s="2"/>
      <c r="S37" s="1" t="str">
        <f t="shared" si="0"/>
        <v/>
      </c>
      <c r="T37" s="1" t="str">
        <f>IF(OR($C37="",$D37&lt;&gt;"Gelir",$L37=""),"",IFERROR(INDEX(MUSTERILER!$B$7:$B$156,MATCH($S37,MUSTERILER!$T$7:$T$156,0)),""))</f>
        <v/>
      </c>
      <c r="U37" s="1" t="str">
        <f>IF($T37="","",$T37&amp;"|"&amp;COUNTIFS($T$7:$T37,$T37))</f>
        <v/>
      </c>
      <c r="V37" s="1">
        <f t="shared" si="1"/>
        <v>0</v>
      </c>
      <c r="W37" s="1" t="str">
        <f t="shared" si="2"/>
        <v>Gider|Ofis Kirası|46057|2000|Şubat Ayı Ofis Aidatı Ödemesi|</v>
      </c>
      <c r="X37" s="73">
        <f>AY_SONU!$B39</f>
        <v>46997</v>
      </c>
      <c r="Y37" s="74" t="str">
        <f t="shared" si="3"/>
        <v>Müşteri Carisi  (MÜŞTERİ 360)</v>
      </c>
      <c r="Z37" s="74" t="str">
        <f t="shared" si="4"/>
        <v>600 Muhasebe Hizmet Geliri  (sözleşme)</v>
      </c>
      <c r="AA37" s="68">
        <f>AY_SONU!$C39</f>
        <v>529751</v>
      </c>
      <c r="AB37" s="68">
        <f>AY_SONU!$D39</f>
        <v>0</v>
      </c>
      <c r="AC37" s="68">
        <f>AY_SONU!$C39-AY_SONU!$D39</f>
        <v>529751</v>
      </c>
      <c r="AD37" s="1">
        <f>IF($C37="",0,SUMPRODUCT((AY_SONU!$O$7:$O$42="Evet")*(AY_SONU!$B$7:$B$42=DATE(YEAR($C37),MONTH($C37),1))))</f>
        <v>0</v>
      </c>
      <c r="AE37" s="1" t="str">
        <f>IF($E37="","",$E37&amp;"|"&amp;COUNTIFS($E$7:$E37,$E37))</f>
        <v>Ofis Kirası|4</v>
      </c>
    </row>
    <row r="38" spans="1:31" ht="18" customHeight="1" x14ac:dyDescent="0.3">
      <c r="A38" s="2"/>
      <c r="B38" s="65" t="str">
        <f>IF($C38="","","GG"&amp;TEXT(ROW()-6,"00000"))</f>
        <v>GG00032</v>
      </c>
      <c r="C38" s="66">
        <v>46060</v>
      </c>
      <c r="D38" s="60" t="s">
        <v>769</v>
      </c>
      <c r="E38" s="61" t="s">
        <v>788</v>
      </c>
      <c r="F38" s="61" t="s">
        <v>789</v>
      </c>
      <c r="G38" s="67">
        <v>2400</v>
      </c>
      <c r="H38" s="60" t="s">
        <v>772</v>
      </c>
      <c r="I38" s="60" t="s">
        <v>773</v>
      </c>
      <c r="J38" s="61"/>
      <c r="K38" s="61"/>
      <c r="L38" s="60"/>
      <c r="M38" s="74" t="str">
        <f>IF($C38="","",IF($D38="Gider",$E38,IF($L38&lt;&gt;"",$L38,$H38)))</f>
        <v>Ulaşım</v>
      </c>
      <c r="N38" s="74" t="str">
        <f>IF($C38="","",IF($D38="Gider",$H38,$E38))</f>
        <v>Merkez Kasa</v>
      </c>
      <c r="O38" s="73">
        <f>IF($C38="","",DATE(YEAR($C38),MONTH($C38),1))</f>
        <v>46054</v>
      </c>
      <c r="P38" s="65" t="str">
        <f ca="1">IF($C38="","",IF(AND($D38="Gelir",$L38&lt;&gt;"",$T38=""),"TANIMSIZ BORÇLU",IF($T38&lt;&gt;"",IF(OR($E38="",$G38&lt;=0),"EKSİK",IF($I38="Evet","TAHAKKUK NAKİT OLAMAZ",IF($C38&gt;TODAY(),"İLERİ TARİH","TAHAKKUK"))),IF(AND($D38&lt;&gt;"",$E38&lt;&gt;"",$G38&gt;0,$H38&lt;&gt;"",$I38&lt;&gt;""),IF($C38&gt;TODAY(),"İLERİ TARİH",IF(COUNTIF($W$7:$W$3001,$W38)&gt;1,"MÜKERRER?",IF($AD38&gt;0,"KAPALI DÖNEM",IF($I38="Hayır","ÖDENECEK","UYGUN")))),"EKSİK"))))</f>
        <v>UYGUN</v>
      </c>
      <c r="Q38" s="2"/>
      <c r="R38" s="2"/>
      <c r="S38" s="1" t="str">
        <f t="shared" si="0"/>
        <v/>
      </c>
      <c r="T38" s="1" t="str">
        <f>IF(OR($C38="",$D38&lt;&gt;"Gelir",$L38=""),"",IFERROR(INDEX(MUSTERILER!$B$7:$B$156,MATCH($S38,MUSTERILER!$T$7:$T$156,0)),""))</f>
        <v/>
      </c>
      <c r="U38" s="1" t="str">
        <f>IF($T38="","",$T38&amp;"|"&amp;COUNTIFS($T$7:$T38,$T38))</f>
        <v/>
      </c>
      <c r="V38" s="1">
        <f t="shared" si="1"/>
        <v>0</v>
      </c>
      <c r="W38" s="1" t="str">
        <f t="shared" si="2"/>
        <v>Gider|Ulaşım|46060|2400|Araç Yakıt Alımı|</v>
      </c>
      <c r="X38" s="73">
        <f>AY_SONU!$B40</f>
        <v>47027</v>
      </c>
      <c r="Y38" s="74" t="str">
        <f t="shared" si="3"/>
        <v>Müşteri Carisi  (MÜŞTERİ 360)</v>
      </c>
      <c r="Z38" s="74" t="str">
        <f t="shared" si="4"/>
        <v>600 Muhasebe Hizmet Geliri  (sözleşme)</v>
      </c>
      <c r="AA38" s="68">
        <f>AY_SONU!$C40</f>
        <v>450001</v>
      </c>
      <c r="AB38" s="68">
        <f>AY_SONU!$D40</f>
        <v>0</v>
      </c>
      <c r="AC38" s="68">
        <f>AY_SONU!$C40-AY_SONU!$D40</f>
        <v>450001</v>
      </c>
      <c r="AD38" s="1">
        <f>IF($C38="",0,SUMPRODUCT((AY_SONU!$O$7:$O$42="Evet")*(AY_SONU!$B$7:$B$42=DATE(YEAR($C38),MONTH($C38),1))))</f>
        <v>0</v>
      </c>
      <c r="AE38" s="1" t="str">
        <f>IF($E38="","",$E38&amp;"|"&amp;COUNTIFS($E$7:$E38,$E38))</f>
        <v>Ulaşım|2</v>
      </c>
    </row>
    <row r="39" spans="1:31" ht="18" customHeight="1" x14ac:dyDescent="0.3">
      <c r="A39" s="2"/>
      <c r="B39" s="65" t="str">
        <f>IF($C39="","","GG"&amp;TEXT(ROW()-6,"00000"))</f>
        <v>GG00033</v>
      </c>
      <c r="C39" s="66">
        <v>46060</v>
      </c>
      <c r="D39" s="60" t="s">
        <v>795</v>
      </c>
      <c r="E39" s="61" t="s">
        <v>812</v>
      </c>
      <c r="F39" s="61" t="s">
        <v>813</v>
      </c>
      <c r="G39" s="67">
        <v>4200</v>
      </c>
      <c r="H39" s="60" t="s">
        <v>772</v>
      </c>
      <c r="I39" s="60" t="s">
        <v>773</v>
      </c>
      <c r="J39" s="61"/>
      <c r="K39" s="61"/>
      <c r="L39" s="60"/>
      <c r="M39" s="74" t="str">
        <f>IF($C39="","",IF($D39="Gider",$E39,IF($L39&lt;&gt;"",$L39,$H39)))</f>
        <v>Merkez Kasa</v>
      </c>
      <c r="N39" s="74" t="str">
        <f>IF($C39="","",IF($D39="Gider",$H39,$E39))</f>
        <v>Geçici Vergi Damga</v>
      </c>
      <c r="O39" s="73">
        <f>IF($C39="","",DATE(YEAR($C39),MONTH($C39),1))</f>
        <v>46054</v>
      </c>
      <c r="P39" s="65" t="str">
        <f ca="1">IF($C39="","",IF(AND($D39="Gelir",$L39&lt;&gt;"",$T39=""),"TANIMSIZ BORÇLU",IF($T39&lt;&gt;"",IF(OR($E39="",$G39&lt;=0),"EKSİK",IF($I39="Evet","TAHAKKUK NAKİT OLAMAZ",IF($C39&gt;TODAY(),"İLERİ TARİH","TAHAKKUK"))),IF(AND($D39&lt;&gt;"",$E39&lt;&gt;"",$G39&gt;0,$H39&lt;&gt;"",$I39&lt;&gt;""),IF($C39&gt;TODAY(),"İLERİ TARİH",IF(COUNTIF($W$7:$W$3001,$W39)&gt;1,"MÜKERRER?",IF($AD39&gt;0,"KAPALI DÖNEM",IF($I39="Hayır","ÖDENECEK","UYGUN")))),"EKSİK"))))</f>
        <v>UYGUN</v>
      </c>
      <c r="Q39" s="2"/>
      <c r="R39" s="2"/>
      <c r="S39" s="1" t="str">
        <f t="shared" si="0"/>
        <v/>
      </c>
      <c r="T39" s="1" t="str">
        <f>IF(OR($C39="",$D39&lt;&gt;"Gelir",$L39=""),"",IFERROR(INDEX(MUSTERILER!$B$7:$B$156,MATCH($S39,MUSTERILER!$T$7:$T$156,0)),""))</f>
        <v/>
      </c>
      <c r="U39" s="1" t="str">
        <f>IF($T39="","",$T39&amp;"|"&amp;COUNTIFS($T$7:$T39,$T39))</f>
        <v/>
      </c>
      <c r="V39" s="1">
        <f t="shared" si="1"/>
        <v>0</v>
      </c>
      <c r="W39" s="1" t="str">
        <f t="shared" si="2"/>
        <v>Gelir|Geçici Vergi Damga|46060|4200|RİX LTD.ŞTİ. 2025 / 04  DÖNEM GEÇİCİ DAMGA|</v>
      </c>
      <c r="X39" s="73">
        <f>AY_SONU!$B41</f>
        <v>47058</v>
      </c>
      <c r="Y39" s="74" t="str">
        <f t="shared" si="3"/>
        <v>Müşteri Carisi  (MÜŞTERİ 360)</v>
      </c>
      <c r="Z39" s="74" t="str">
        <f t="shared" si="4"/>
        <v>600 Muhasebe Hizmet Geliri  (sözleşme)</v>
      </c>
      <c r="AA39" s="68">
        <f>AY_SONU!$C41</f>
        <v>450001</v>
      </c>
      <c r="AB39" s="68">
        <f>AY_SONU!$D41</f>
        <v>0</v>
      </c>
      <c r="AC39" s="68">
        <f>AY_SONU!$C41-AY_SONU!$D41</f>
        <v>450001</v>
      </c>
      <c r="AD39" s="1">
        <f>IF($C39="",0,SUMPRODUCT((AY_SONU!$O$7:$O$42="Evet")*(AY_SONU!$B$7:$B$42=DATE(YEAR($C39),MONTH($C39),1))))</f>
        <v>0</v>
      </c>
      <c r="AE39" s="1" t="str">
        <f>IF($E39="","",$E39&amp;"|"&amp;COUNTIFS($E$7:$E39,$E39))</f>
        <v>Geçici Vergi Damga|1</v>
      </c>
    </row>
    <row r="40" spans="1:31" ht="18" customHeight="1" x14ac:dyDescent="0.3">
      <c r="A40" s="2"/>
      <c r="B40" s="65" t="str">
        <f>IF($C40="","","GG"&amp;TEXT(ROW()-6,"00000"))</f>
        <v>GG00034</v>
      </c>
      <c r="C40" s="66">
        <v>46060</v>
      </c>
      <c r="D40" s="60" t="s">
        <v>795</v>
      </c>
      <c r="E40" s="61" t="s">
        <v>812</v>
      </c>
      <c r="F40" s="61" t="s">
        <v>814</v>
      </c>
      <c r="G40" s="67">
        <v>4200</v>
      </c>
      <c r="H40" s="60" t="s">
        <v>772</v>
      </c>
      <c r="I40" s="60" t="s">
        <v>773</v>
      </c>
      <c r="J40" s="61"/>
      <c r="K40" s="61"/>
      <c r="L40" s="60"/>
      <c r="M40" s="74" t="str">
        <f>IF($C40="","",IF($D40="Gider",$E40,IF($L40&lt;&gt;"",$L40,$H40)))</f>
        <v>Merkez Kasa</v>
      </c>
      <c r="N40" s="74" t="str">
        <f>IF($C40="","",IF($D40="Gider",$H40,$E40))</f>
        <v>Geçici Vergi Damga</v>
      </c>
      <c r="O40" s="73">
        <f>IF($C40="","",DATE(YEAR($C40),MONTH($C40),1))</f>
        <v>46054</v>
      </c>
      <c r="P40" s="65" t="str">
        <f ca="1">IF($C40="","",IF(AND($D40="Gelir",$L40&lt;&gt;"",$T40=""),"TANIMSIZ BORÇLU",IF($T40&lt;&gt;"",IF(OR($E40="",$G40&lt;=0),"EKSİK",IF($I40="Evet","TAHAKKUK NAKİT OLAMAZ",IF($C40&gt;TODAY(),"İLERİ TARİH","TAHAKKUK"))),IF(AND($D40&lt;&gt;"",$E40&lt;&gt;"",$G40&gt;0,$H40&lt;&gt;"",$I40&lt;&gt;""),IF($C40&gt;TODAY(),"İLERİ TARİH",IF(COUNTIF($W$7:$W$3001,$W40)&gt;1,"MÜKERRER?",IF($AD40&gt;0,"KAPALI DÖNEM",IF($I40="Hayır","ÖDENECEK","UYGUN")))),"EKSİK"))))</f>
        <v>UYGUN</v>
      </c>
      <c r="Q40" s="2"/>
      <c r="R40" s="2"/>
      <c r="S40" s="1" t="str">
        <f t="shared" si="0"/>
        <v/>
      </c>
      <c r="T40" s="1" t="str">
        <f>IF(OR($C40="",$D40&lt;&gt;"Gelir",$L40=""),"",IFERROR(INDEX(MUSTERILER!$B$7:$B$156,MATCH($S40,MUSTERILER!$T$7:$T$156,0)),""))</f>
        <v/>
      </c>
      <c r="U40" s="1" t="str">
        <f>IF($T40="","",$T40&amp;"|"&amp;COUNTIFS($T$7:$T40,$T40))</f>
        <v/>
      </c>
      <c r="V40" s="1">
        <f t="shared" si="1"/>
        <v>0</v>
      </c>
      <c r="W40" s="1" t="str">
        <f t="shared" si="2"/>
        <v>Gelir|Geçici Vergi Damga|46060|4200|İLDEŞ LTD.ŞTİ. 2025 / 04  DÖNEM GEÇİCİ DAMGA|</v>
      </c>
      <c r="X40" s="73">
        <f>AY_SONU!$B42</f>
        <v>47088</v>
      </c>
      <c r="Y40" s="74" t="str">
        <f t="shared" si="3"/>
        <v>Müşteri Carisi  (MÜŞTERİ 360)</v>
      </c>
      <c r="Z40" s="74" t="str">
        <f t="shared" si="4"/>
        <v>600 Muhasebe Hizmet Geliri  (sözleşme)</v>
      </c>
      <c r="AA40" s="68">
        <f>AY_SONU!$C42</f>
        <v>529751</v>
      </c>
      <c r="AB40" s="68">
        <f>AY_SONU!$D42</f>
        <v>0</v>
      </c>
      <c r="AC40" s="68">
        <f>AY_SONU!$C42-AY_SONU!$D42</f>
        <v>529751</v>
      </c>
      <c r="AD40" s="1">
        <f>IF($C40="",0,SUMPRODUCT((AY_SONU!$O$7:$O$42="Evet")*(AY_SONU!$B$7:$B$42=DATE(YEAR($C40),MONTH($C40),1))))</f>
        <v>0</v>
      </c>
      <c r="AE40" s="1" t="str">
        <f>IF($E40="","",$E40&amp;"|"&amp;COUNTIFS($E$7:$E40,$E40))</f>
        <v>Geçici Vergi Damga|2</v>
      </c>
    </row>
    <row r="41" spans="1:31" ht="18" customHeight="1" x14ac:dyDescent="0.3">
      <c r="A41" s="2"/>
      <c r="B41" s="65" t="str">
        <f>IF($C41="","","GG"&amp;TEXT(ROW()-6,"00000"))</f>
        <v>GG00035</v>
      </c>
      <c r="C41" s="66">
        <v>46060</v>
      </c>
      <c r="D41" s="60" t="s">
        <v>795</v>
      </c>
      <c r="E41" s="61" t="s">
        <v>812</v>
      </c>
      <c r="F41" s="61" t="s">
        <v>815</v>
      </c>
      <c r="G41" s="67">
        <v>4200</v>
      </c>
      <c r="H41" s="60" t="s">
        <v>772</v>
      </c>
      <c r="I41" s="60" t="s">
        <v>773</v>
      </c>
      <c r="J41" s="61"/>
      <c r="K41" s="61"/>
      <c r="L41" s="60"/>
      <c r="M41" s="74" t="str">
        <f>IF($C41="","",IF($D41="Gider",$E41,IF($L41&lt;&gt;"",$L41,$H41)))</f>
        <v>Merkez Kasa</v>
      </c>
      <c r="N41" s="74" t="str">
        <f>IF($C41="","",IF($D41="Gider",$H41,$E41))</f>
        <v>Geçici Vergi Damga</v>
      </c>
      <c r="O41" s="73">
        <f>IF($C41="","",DATE(YEAR($C41),MONTH($C41),1))</f>
        <v>46054</v>
      </c>
      <c r="P41" s="65" t="str">
        <f ca="1">IF($C41="","",IF(AND($D41="Gelir",$L41&lt;&gt;"",$T41=""),"TANIMSIZ BORÇLU",IF($T41&lt;&gt;"",IF(OR($E41="",$G41&lt;=0),"EKSİK",IF($I41="Evet","TAHAKKUK NAKİT OLAMAZ",IF($C41&gt;TODAY(),"İLERİ TARİH","TAHAKKUK"))),IF(AND($D41&lt;&gt;"",$E41&lt;&gt;"",$G41&gt;0,$H41&lt;&gt;"",$I41&lt;&gt;""),IF($C41&gt;TODAY(),"İLERİ TARİH",IF(COUNTIF($W$7:$W$3001,$W41)&gt;1,"MÜKERRER?",IF($AD41&gt;0,"KAPALI DÖNEM",IF($I41="Hayır","ÖDENECEK","UYGUN")))),"EKSİK"))))</f>
        <v>UYGUN</v>
      </c>
      <c r="Q41" s="2"/>
      <c r="R41" s="2"/>
      <c r="S41" s="1" t="str">
        <f t="shared" si="0"/>
        <v/>
      </c>
      <c r="T41" s="1" t="str">
        <f>IF(OR($C41="",$D41&lt;&gt;"Gelir",$L41=""),"",IFERROR(INDEX(MUSTERILER!$B$7:$B$156,MATCH($S41,MUSTERILER!$T$7:$T$156,0)),""))</f>
        <v/>
      </c>
      <c r="U41" s="1" t="str">
        <f>IF($T41="","",$T41&amp;"|"&amp;COUNTIFS($T$7:$T41,$T41))</f>
        <v/>
      </c>
      <c r="V41" s="1">
        <f t="shared" si="1"/>
        <v>0</v>
      </c>
      <c r="W41" s="1" t="str">
        <f t="shared" si="2"/>
        <v>Gelir|Geçici Vergi Damga|46060|4200|KRİSTAL LTD.ŞTİ. 2025 / 04  DÖNEM GEÇİCİ DAMGA|</v>
      </c>
      <c r="X41" s="1"/>
      <c r="Y41" s="1"/>
      <c r="Z41" s="1"/>
      <c r="AA41" s="1"/>
      <c r="AB41" s="1"/>
      <c r="AC41" s="1"/>
      <c r="AD41" s="1">
        <f>IF($C41="",0,SUMPRODUCT((AY_SONU!$O$7:$O$42="Evet")*(AY_SONU!$B$7:$B$42=DATE(YEAR($C41),MONTH($C41),1))))</f>
        <v>0</v>
      </c>
      <c r="AE41" s="1" t="str">
        <f>IF($E41="","",$E41&amp;"|"&amp;COUNTIFS($E$7:$E41,$E41))</f>
        <v>Geçici Vergi Damga|3</v>
      </c>
    </row>
    <row r="42" spans="1:31" ht="18" customHeight="1" x14ac:dyDescent="0.3">
      <c r="A42" s="2"/>
      <c r="B42" s="65" t="str">
        <f>IF($C42="","","GG"&amp;TEXT(ROW()-6,"00000"))</f>
        <v>GG00036</v>
      </c>
      <c r="C42" s="66">
        <v>46060</v>
      </c>
      <c r="D42" s="60" t="s">
        <v>795</v>
      </c>
      <c r="E42" s="61" t="s">
        <v>812</v>
      </c>
      <c r="F42" s="61" t="s">
        <v>816</v>
      </c>
      <c r="G42" s="67">
        <v>4200</v>
      </c>
      <c r="H42" s="60" t="s">
        <v>772</v>
      </c>
      <c r="I42" s="60" t="s">
        <v>773</v>
      </c>
      <c r="J42" s="61"/>
      <c r="K42" s="61"/>
      <c r="L42" s="60"/>
      <c r="M42" s="74" t="str">
        <f>IF($C42="","",IF($D42="Gider",$E42,IF($L42&lt;&gt;"",$L42,$H42)))</f>
        <v>Merkez Kasa</v>
      </c>
      <c r="N42" s="74" t="str">
        <f>IF($C42="","",IF($D42="Gider",$H42,$E42))</f>
        <v>Geçici Vergi Damga</v>
      </c>
      <c r="O42" s="73">
        <f>IF($C42="","",DATE(YEAR($C42),MONTH($C42),1))</f>
        <v>46054</v>
      </c>
      <c r="P42" s="65" t="str">
        <f ca="1">IF($C42="","",IF(AND($D42="Gelir",$L42&lt;&gt;"",$T42=""),"TANIMSIZ BORÇLU",IF($T42&lt;&gt;"",IF(OR($E42="",$G42&lt;=0),"EKSİK",IF($I42="Evet","TAHAKKUK NAKİT OLAMAZ",IF($C42&gt;TODAY(),"İLERİ TARİH","TAHAKKUK"))),IF(AND($D42&lt;&gt;"",$E42&lt;&gt;"",$G42&gt;0,$H42&lt;&gt;"",$I42&lt;&gt;""),IF($C42&gt;TODAY(),"İLERİ TARİH",IF(COUNTIF($W$7:$W$3001,$W42)&gt;1,"MÜKERRER?",IF($AD42&gt;0,"KAPALI DÖNEM",IF($I42="Hayır","ÖDENECEK","UYGUN")))),"EKSİK"))))</f>
        <v>UYGUN</v>
      </c>
      <c r="Q42" s="2"/>
      <c r="R42" s="2"/>
      <c r="S42" s="1" t="str">
        <f t="shared" si="0"/>
        <v/>
      </c>
      <c r="T42" s="1" t="str">
        <f>IF(OR($C42="",$D42&lt;&gt;"Gelir",$L42=""),"",IFERROR(INDEX(MUSTERILER!$B$7:$B$156,MATCH($S42,MUSTERILER!$T$7:$T$156,0)),""))</f>
        <v/>
      </c>
      <c r="U42" s="1" t="str">
        <f>IF($T42="","",$T42&amp;"|"&amp;COUNTIFS($T$7:$T42,$T42))</f>
        <v/>
      </c>
      <c r="V42" s="1">
        <f t="shared" si="1"/>
        <v>0</v>
      </c>
      <c r="W42" s="1" t="str">
        <f t="shared" si="2"/>
        <v>Gelir|Geçici Vergi Damga|46060|4200|FİNAL LTD.ŞTİ. 2025 / 04  DÖNEM GEÇİCİ DAMGA|</v>
      </c>
      <c r="X42" s="1"/>
      <c r="Y42" s="1"/>
      <c r="Z42" s="1"/>
      <c r="AA42" s="1"/>
      <c r="AB42" s="1"/>
      <c r="AC42" s="1"/>
      <c r="AD42" s="1">
        <f>IF($C42="",0,SUMPRODUCT((AY_SONU!$O$7:$O$42="Evet")*(AY_SONU!$B$7:$B$42=DATE(YEAR($C42),MONTH($C42),1))))</f>
        <v>0</v>
      </c>
      <c r="AE42" s="1" t="str">
        <f>IF($E42="","",$E42&amp;"|"&amp;COUNTIFS($E$7:$E42,$E42))</f>
        <v>Geçici Vergi Damga|4</v>
      </c>
    </row>
    <row r="43" spans="1:31" ht="18" customHeight="1" x14ac:dyDescent="0.3">
      <c r="A43" s="2"/>
      <c r="B43" s="65" t="str">
        <f>IF($C43="","","GG"&amp;TEXT(ROW()-6,"00000"))</f>
        <v>GG00037</v>
      </c>
      <c r="C43" s="66">
        <v>46060</v>
      </c>
      <c r="D43" s="60" t="s">
        <v>795</v>
      </c>
      <c r="E43" s="61" t="s">
        <v>812</v>
      </c>
      <c r="F43" s="61" t="s">
        <v>817</v>
      </c>
      <c r="G43" s="67">
        <v>4200</v>
      </c>
      <c r="H43" s="60" t="s">
        <v>772</v>
      </c>
      <c r="I43" s="60" t="s">
        <v>773</v>
      </c>
      <c r="J43" s="61"/>
      <c r="K43" s="61"/>
      <c r="L43" s="60"/>
      <c r="M43" s="74" t="str">
        <f>IF($C43="","",IF($D43="Gider",$E43,IF($L43&lt;&gt;"",$L43,$H43)))</f>
        <v>Merkez Kasa</v>
      </c>
      <c r="N43" s="74" t="str">
        <f>IF($C43="","",IF($D43="Gider",$H43,$E43))</f>
        <v>Geçici Vergi Damga</v>
      </c>
      <c r="O43" s="73">
        <f>IF($C43="","",DATE(YEAR($C43),MONTH($C43),1))</f>
        <v>46054</v>
      </c>
      <c r="P43" s="65" t="str">
        <f ca="1">IF($C43="","",IF(AND($D43="Gelir",$L43&lt;&gt;"",$T43=""),"TANIMSIZ BORÇLU",IF($T43&lt;&gt;"",IF(OR($E43="",$G43&lt;=0),"EKSİK",IF($I43="Evet","TAHAKKUK NAKİT OLAMAZ",IF($C43&gt;TODAY(),"İLERİ TARİH","TAHAKKUK"))),IF(AND($D43&lt;&gt;"",$E43&lt;&gt;"",$G43&gt;0,$H43&lt;&gt;"",$I43&lt;&gt;""),IF($C43&gt;TODAY(),"İLERİ TARİH",IF(COUNTIF($W$7:$W$3001,$W43)&gt;1,"MÜKERRER?",IF($AD43&gt;0,"KAPALI DÖNEM",IF($I43="Hayır","ÖDENECEK","UYGUN")))),"EKSİK"))))</f>
        <v>UYGUN</v>
      </c>
      <c r="Q43" s="2"/>
      <c r="R43" s="2"/>
      <c r="S43" s="1" t="str">
        <f t="shared" si="0"/>
        <v/>
      </c>
      <c r="T43" s="1" t="str">
        <f>IF(OR($C43="",$D43&lt;&gt;"Gelir",$L43=""),"",IFERROR(INDEX(MUSTERILER!$B$7:$B$156,MATCH($S43,MUSTERILER!$T$7:$T$156,0)),""))</f>
        <v/>
      </c>
      <c r="U43" s="1" t="str">
        <f>IF($T43="","",$T43&amp;"|"&amp;COUNTIFS($T$7:$T43,$T43))</f>
        <v/>
      </c>
      <c r="V43" s="1">
        <f t="shared" si="1"/>
        <v>0</v>
      </c>
      <c r="W43" s="1" t="str">
        <f t="shared" si="2"/>
        <v>Gelir|Geçici Vergi Damga|46060|4200|ZÜMRÜT GRUP LTD.ŞTİ. 2025 / 04  DÖNEM GEÇİCİ DAMGA|</v>
      </c>
      <c r="X43" s="1"/>
      <c r="Y43" s="1"/>
      <c r="Z43" s="1"/>
      <c r="AA43" s="1"/>
      <c r="AB43" s="1"/>
      <c r="AC43" s="1"/>
      <c r="AD43" s="1">
        <f>IF($C43="",0,SUMPRODUCT((AY_SONU!$O$7:$O$42="Evet")*(AY_SONU!$B$7:$B$42=DATE(YEAR($C43),MONTH($C43),1))))</f>
        <v>0</v>
      </c>
      <c r="AE43" s="1" t="str">
        <f>IF($E43="","",$E43&amp;"|"&amp;COUNTIFS($E$7:$E43,$E43))</f>
        <v>Geçici Vergi Damga|5</v>
      </c>
    </row>
    <row r="44" spans="1:31" ht="18" customHeight="1" x14ac:dyDescent="0.3">
      <c r="A44" s="2"/>
      <c r="B44" s="65" t="str">
        <f>IF($C44="","","GG"&amp;TEXT(ROW()-6,"00000"))</f>
        <v>GG00038</v>
      </c>
      <c r="C44" s="66">
        <v>46060</v>
      </c>
      <c r="D44" s="60" t="s">
        <v>795</v>
      </c>
      <c r="E44" s="61" t="s">
        <v>812</v>
      </c>
      <c r="F44" s="61" t="s">
        <v>818</v>
      </c>
      <c r="G44" s="67">
        <v>4200</v>
      </c>
      <c r="H44" s="60" t="s">
        <v>772</v>
      </c>
      <c r="I44" s="60" t="s">
        <v>773</v>
      </c>
      <c r="J44" s="61"/>
      <c r="K44" s="61"/>
      <c r="L44" s="60"/>
      <c r="M44" s="74" t="str">
        <f>IF($C44="","",IF($D44="Gider",$E44,IF($L44&lt;&gt;"",$L44,$H44)))</f>
        <v>Merkez Kasa</v>
      </c>
      <c r="N44" s="74" t="str">
        <f>IF($C44="","",IF($D44="Gider",$H44,$E44))</f>
        <v>Geçici Vergi Damga</v>
      </c>
      <c r="O44" s="73">
        <f>IF($C44="","",DATE(YEAR($C44),MONTH($C44),1))</f>
        <v>46054</v>
      </c>
      <c r="P44" s="65" t="str">
        <f ca="1">IF($C44="","",IF(AND($D44="Gelir",$L44&lt;&gt;"",$T44=""),"TANIMSIZ BORÇLU",IF($T44&lt;&gt;"",IF(OR($E44="",$G44&lt;=0),"EKSİK",IF($I44="Evet","TAHAKKUK NAKİT OLAMAZ",IF($C44&gt;TODAY(),"İLERİ TARİH","TAHAKKUK"))),IF(AND($D44&lt;&gt;"",$E44&lt;&gt;"",$G44&gt;0,$H44&lt;&gt;"",$I44&lt;&gt;""),IF($C44&gt;TODAY(),"İLERİ TARİH",IF(COUNTIF($W$7:$W$3001,$W44)&gt;1,"MÜKERRER?",IF($AD44&gt;0,"KAPALI DÖNEM",IF($I44="Hayır","ÖDENECEK","UYGUN")))),"EKSİK"))))</f>
        <v>UYGUN</v>
      </c>
      <c r="Q44" s="2"/>
      <c r="R44" s="2"/>
      <c r="S44" s="1" t="str">
        <f t="shared" si="0"/>
        <v/>
      </c>
      <c r="T44" s="1" t="str">
        <f>IF(OR($C44="",$D44&lt;&gt;"Gelir",$L44=""),"",IFERROR(INDEX(MUSTERILER!$B$7:$B$156,MATCH($S44,MUSTERILER!$T$7:$T$156,0)),""))</f>
        <v/>
      </c>
      <c r="U44" s="1" t="str">
        <f>IF($T44="","",$T44&amp;"|"&amp;COUNTIFS($T$7:$T44,$T44))</f>
        <v/>
      </c>
      <c r="V44" s="1">
        <f t="shared" si="1"/>
        <v>0</v>
      </c>
      <c r="W44" s="1" t="str">
        <f t="shared" si="2"/>
        <v>Gelir|Geçici Vergi Damga|46060|4200|ANKARA HAVANA LTD.ŞTİ. 2025 / 04  DÖNEM GEÇİCİ DAMGA|</v>
      </c>
      <c r="X44" s="1"/>
      <c r="Y44" s="1"/>
      <c r="Z44" s="1"/>
      <c r="AA44" s="1"/>
      <c r="AB44" s="1"/>
      <c r="AC44" s="1"/>
      <c r="AD44" s="1">
        <f>IF($C44="",0,SUMPRODUCT((AY_SONU!$O$7:$O$42="Evet")*(AY_SONU!$B$7:$B$42=DATE(YEAR($C44),MONTH($C44),1))))</f>
        <v>0</v>
      </c>
      <c r="AE44" s="1" t="str">
        <f>IF($E44="","",$E44&amp;"|"&amp;COUNTIFS($E$7:$E44,$E44))</f>
        <v>Geçici Vergi Damga|6</v>
      </c>
    </row>
    <row r="45" spans="1:31" ht="18" customHeight="1" x14ac:dyDescent="0.3">
      <c r="A45" s="2"/>
      <c r="B45" s="65" t="str">
        <f>IF($C45="","","GG"&amp;TEXT(ROW()-6,"00000"))</f>
        <v>GG00039</v>
      </c>
      <c r="C45" s="66">
        <v>46060</v>
      </c>
      <c r="D45" s="60" t="s">
        <v>795</v>
      </c>
      <c r="E45" s="61" t="s">
        <v>812</v>
      </c>
      <c r="F45" s="61" t="s">
        <v>819</v>
      </c>
      <c r="G45" s="67">
        <v>4200</v>
      </c>
      <c r="H45" s="60" t="s">
        <v>772</v>
      </c>
      <c r="I45" s="60" t="s">
        <v>773</v>
      </c>
      <c r="J45" s="61"/>
      <c r="K45" s="61"/>
      <c r="L45" s="60"/>
      <c r="M45" s="74" t="str">
        <f>IF($C45="","",IF($D45="Gider",$E45,IF($L45&lt;&gt;"",$L45,$H45)))</f>
        <v>Merkez Kasa</v>
      </c>
      <c r="N45" s="74" t="str">
        <f>IF($C45="","",IF($D45="Gider",$H45,$E45))</f>
        <v>Geçici Vergi Damga</v>
      </c>
      <c r="O45" s="73">
        <f>IF($C45="","",DATE(YEAR($C45),MONTH($C45),1))</f>
        <v>46054</v>
      </c>
      <c r="P45" s="65" t="str">
        <f ca="1">IF($C45="","",IF(AND($D45="Gelir",$L45&lt;&gt;"",$T45=""),"TANIMSIZ BORÇLU",IF($T45&lt;&gt;"",IF(OR($E45="",$G45&lt;=0),"EKSİK",IF($I45="Evet","TAHAKKUK NAKİT OLAMAZ",IF($C45&gt;TODAY(),"İLERİ TARİH","TAHAKKUK"))),IF(AND($D45&lt;&gt;"",$E45&lt;&gt;"",$G45&gt;0,$H45&lt;&gt;"",$I45&lt;&gt;""),IF($C45&gt;TODAY(),"İLERİ TARİH",IF(COUNTIF($W$7:$W$3001,$W45)&gt;1,"MÜKERRER?",IF($AD45&gt;0,"KAPALI DÖNEM",IF($I45="Hayır","ÖDENECEK","UYGUN")))),"EKSİK"))))</f>
        <v>UYGUN</v>
      </c>
      <c r="Q45" s="2"/>
      <c r="R45" s="2"/>
      <c r="S45" s="1" t="str">
        <f t="shared" si="0"/>
        <v/>
      </c>
      <c r="T45" s="1" t="str">
        <f>IF(OR($C45="",$D45&lt;&gt;"Gelir",$L45=""),"",IFERROR(INDEX(MUSTERILER!$B$7:$B$156,MATCH($S45,MUSTERILER!$T$7:$T$156,0)),""))</f>
        <v/>
      </c>
      <c r="U45" s="1" t="str">
        <f>IF($T45="","",$T45&amp;"|"&amp;COUNTIFS($T$7:$T45,$T45))</f>
        <v/>
      </c>
      <c r="V45" s="1">
        <f t="shared" si="1"/>
        <v>0</v>
      </c>
      <c r="W45" s="1" t="str">
        <f t="shared" si="2"/>
        <v>Gelir|Geçici Vergi Damga|46060|4200|ASM LTD.ŞTİ. 2025 / 04  DÖNEM GEÇİCİ DAMGA|</v>
      </c>
      <c r="X45" s="1"/>
      <c r="Y45" s="1"/>
      <c r="Z45" s="1"/>
      <c r="AA45" s="1"/>
      <c r="AB45" s="1"/>
      <c r="AC45" s="1"/>
      <c r="AD45" s="1">
        <f>IF($C45="",0,SUMPRODUCT((AY_SONU!$O$7:$O$42="Evet")*(AY_SONU!$B$7:$B$42=DATE(YEAR($C45),MONTH($C45),1))))</f>
        <v>0</v>
      </c>
      <c r="AE45" s="1" t="str">
        <f>IF($E45="","",$E45&amp;"|"&amp;COUNTIFS($E$7:$E45,$E45))</f>
        <v>Geçici Vergi Damga|7</v>
      </c>
    </row>
    <row r="46" spans="1:31" ht="18" customHeight="1" x14ac:dyDescent="0.3">
      <c r="A46" s="2"/>
      <c r="B46" s="65" t="str">
        <f>IF($C46="","","GG"&amp;TEXT(ROW()-6,"00000"))</f>
        <v>GG00040</v>
      </c>
      <c r="C46" s="66">
        <v>46060</v>
      </c>
      <c r="D46" s="60" t="s">
        <v>795</v>
      </c>
      <c r="E46" s="61" t="s">
        <v>812</v>
      </c>
      <c r="F46" s="61" t="s">
        <v>820</v>
      </c>
      <c r="G46" s="67">
        <v>4200</v>
      </c>
      <c r="H46" s="60" t="s">
        <v>772</v>
      </c>
      <c r="I46" s="60" t="s">
        <v>773</v>
      </c>
      <c r="J46" s="61"/>
      <c r="K46" s="61"/>
      <c r="L46" s="60"/>
      <c r="M46" s="74" t="str">
        <f>IF($C46="","",IF($D46="Gider",$E46,IF($L46&lt;&gt;"",$L46,$H46)))</f>
        <v>Merkez Kasa</v>
      </c>
      <c r="N46" s="74" t="str">
        <f>IF($C46="","",IF($D46="Gider",$H46,$E46))</f>
        <v>Geçici Vergi Damga</v>
      </c>
      <c r="O46" s="73">
        <f>IF($C46="","",DATE(YEAR($C46),MONTH($C46),1))</f>
        <v>46054</v>
      </c>
      <c r="P46" s="65" t="str">
        <f ca="1">IF($C46="","",IF(AND($D46="Gelir",$L46&lt;&gt;"",$T46=""),"TANIMSIZ BORÇLU",IF($T46&lt;&gt;"",IF(OR($E46="",$G46&lt;=0),"EKSİK",IF($I46="Evet","TAHAKKUK NAKİT OLAMAZ",IF($C46&gt;TODAY(),"İLERİ TARİH","TAHAKKUK"))),IF(AND($D46&lt;&gt;"",$E46&lt;&gt;"",$G46&gt;0,$H46&lt;&gt;"",$I46&lt;&gt;""),IF($C46&gt;TODAY(),"İLERİ TARİH",IF(COUNTIF($W$7:$W$3001,$W46)&gt;1,"MÜKERRER?",IF($AD46&gt;0,"KAPALI DÖNEM",IF($I46="Hayır","ÖDENECEK","UYGUN")))),"EKSİK"))))</f>
        <v>UYGUN</v>
      </c>
      <c r="Q46" s="2"/>
      <c r="R46" s="2"/>
      <c r="S46" s="1" t="str">
        <f t="shared" si="0"/>
        <v/>
      </c>
      <c r="T46" s="1" t="str">
        <f>IF(OR($C46="",$D46&lt;&gt;"Gelir",$L46=""),"",IFERROR(INDEX(MUSTERILER!$B$7:$B$156,MATCH($S46,MUSTERILER!$T$7:$T$156,0)),""))</f>
        <v/>
      </c>
      <c r="U46" s="1" t="str">
        <f>IF($T46="","",$T46&amp;"|"&amp;COUNTIFS($T$7:$T46,$T46))</f>
        <v/>
      </c>
      <c r="V46" s="1">
        <f t="shared" si="1"/>
        <v>0</v>
      </c>
      <c r="W46" s="1" t="str">
        <f t="shared" si="2"/>
        <v>Gelir|Geçici Vergi Damga|46060|4200|MONAMOUR LTD.ŞTİ. 2025 / 04  DÖNEM GEÇİCİ DAMGA|</v>
      </c>
      <c r="X46" s="1"/>
      <c r="Y46" s="1"/>
      <c r="Z46" s="1"/>
      <c r="AA46" s="1"/>
      <c r="AB46" s="1"/>
      <c r="AC46" s="1"/>
      <c r="AD46" s="1">
        <f>IF($C46="",0,SUMPRODUCT((AY_SONU!$O$7:$O$42="Evet")*(AY_SONU!$B$7:$B$42=DATE(YEAR($C46),MONTH($C46),1))))</f>
        <v>0</v>
      </c>
      <c r="AE46" s="1" t="str">
        <f>IF($E46="","",$E46&amp;"|"&amp;COUNTIFS($E$7:$E46,$E46))</f>
        <v>Geçici Vergi Damga|8</v>
      </c>
    </row>
    <row r="47" spans="1:31" ht="18" customHeight="1" x14ac:dyDescent="0.3">
      <c r="A47" s="2"/>
      <c r="B47" s="65" t="str">
        <f>IF($C47="","","GG"&amp;TEXT(ROW()-6,"00000"))</f>
        <v>GG00041</v>
      </c>
      <c r="C47" s="66">
        <v>46060</v>
      </c>
      <c r="D47" s="60" t="s">
        <v>795</v>
      </c>
      <c r="E47" s="61" t="s">
        <v>812</v>
      </c>
      <c r="F47" s="61" t="s">
        <v>821</v>
      </c>
      <c r="G47" s="67">
        <v>4200</v>
      </c>
      <c r="H47" s="60" t="s">
        <v>772</v>
      </c>
      <c r="I47" s="60" t="s">
        <v>773</v>
      </c>
      <c r="J47" s="61"/>
      <c r="K47" s="61"/>
      <c r="L47" s="60"/>
      <c r="M47" s="74" t="str">
        <f>IF($C47="","",IF($D47="Gider",$E47,IF($L47&lt;&gt;"",$L47,$H47)))</f>
        <v>Merkez Kasa</v>
      </c>
      <c r="N47" s="74" t="str">
        <f>IF($C47="","",IF($D47="Gider",$H47,$E47))</f>
        <v>Geçici Vergi Damga</v>
      </c>
      <c r="O47" s="73">
        <f>IF($C47="","",DATE(YEAR($C47),MONTH($C47),1))</f>
        <v>46054</v>
      </c>
      <c r="P47" s="65" t="str">
        <f ca="1">IF($C47="","",IF(AND($D47="Gelir",$L47&lt;&gt;"",$T47=""),"TANIMSIZ BORÇLU",IF($T47&lt;&gt;"",IF(OR($E47="",$G47&lt;=0),"EKSİK",IF($I47="Evet","TAHAKKUK NAKİT OLAMAZ",IF($C47&gt;TODAY(),"İLERİ TARİH","TAHAKKUK"))),IF(AND($D47&lt;&gt;"",$E47&lt;&gt;"",$G47&gt;0,$H47&lt;&gt;"",$I47&lt;&gt;""),IF($C47&gt;TODAY(),"İLERİ TARİH",IF(COUNTIF($W$7:$W$3001,$W47)&gt;1,"MÜKERRER?",IF($AD47&gt;0,"KAPALI DÖNEM",IF($I47="Hayır","ÖDENECEK","UYGUN")))),"EKSİK"))))</f>
        <v>UYGUN</v>
      </c>
      <c r="Q47" s="2"/>
      <c r="R47" s="2"/>
      <c r="S47" s="1" t="str">
        <f t="shared" si="0"/>
        <v/>
      </c>
      <c r="T47" s="1" t="str">
        <f>IF(OR($C47="",$D47&lt;&gt;"Gelir",$L47=""),"",IFERROR(INDEX(MUSTERILER!$B$7:$B$156,MATCH($S47,MUSTERILER!$T$7:$T$156,0)),""))</f>
        <v/>
      </c>
      <c r="U47" s="1" t="str">
        <f>IF($T47="","",$T47&amp;"|"&amp;COUNTIFS($T$7:$T47,$T47))</f>
        <v/>
      </c>
      <c r="V47" s="1">
        <f t="shared" si="1"/>
        <v>0</v>
      </c>
      <c r="W47" s="1" t="str">
        <f t="shared" si="2"/>
        <v>Gelir|Geçici Vergi Damga|46060|4200|NAZ 1 LTD.ŞTİ. 2025 / 04  DÖNEM GEÇİCİ DAMGA|</v>
      </c>
      <c r="X47" s="1"/>
      <c r="Y47" s="1"/>
      <c r="Z47" s="1"/>
      <c r="AA47" s="1"/>
      <c r="AB47" s="1"/>
      <c r="AC47" s="1"/>
      <c r="AD47" s="1">
        <f>IF($C47="",0,SUMPRODUCT((AY_SONU!$O$7:$O$42="Evet")*(AY_SONU!$B$7:$B$42=DATE(YEAR($C47),MONTH($C47),1))))</f>
        <v>0</v>
      </c>
      <c r="AE47" s="1" t="str">
        <f>IF($E47="","",$E47&amp;"|"&amp;COUNTIFS($E$7:$E47,$E47))</f>
        <v>Geçici Vergi Damga|9</v>
      </c>
    </row>
    <row r="48" spans="1:31" ht="18" customHeight="1" x14ac:dyDescent="0.3">
      <c r="A48" s="2"/>
      <c r="B48" s="65" t="str">
        <f>IF($C48="","","GG"&amp;TEXT(ROW()-6,"00000"))</f>
        <v>GG00042</v>
      </c>
      <c r="C48" s="66">
        <v>46060</v>
      </c>
      <c r="D48" s="60" t="s">
        <v>795</v>
      </c>
      <c r="E48" s="61" t="s">
        <v>812</v>
      </c>
      <c r="F48" s="61" t="s">
        <v>822</v>
      </c>
      <c r="G48" s="67">
        <v>4200</v>
      </c>
      <c r="H48" s="60" t="s">
        <v>772</v>
      </c>
      <c r="I48" s="60" t="s">
        <v>773</v>
      </c>
      <c r="J48" s="61"/>
      <c r="K48" s="61"/>
      <c r="L48" s="60"/>
      <c r="M48" s="74" t="str">
        <f>IF($C48="","",IF($D48="Gider",$E48,IF($L48&lt;&gt;"",$L48,$H48)))</f>
        <v>Merkez Kasa</v>
      </c>
      <c r="N48" s="74" t="str">
        <f>IF($C48="","",IF($D48="Gider",$H48,$E48))</f>
        <v>Geçici Vergi Damga</v>
      </c>
      <c r="O48" s="73">
        <f>IF($C48="","",DATE(YEAR($C48),MONTH($C48),1))</f>
        <v>46054</v>
      </c>
      <c r="P48" s="65" t="str">
        <f ca="1">IF($C48="","",IF(AND($D48="Gelir",$L48&lt;&gt;"",$T48=""),"TANIMSIZ BORÇLU",IF($T48&lt;&gt;"",IF(OR($E48="",$G48&lt;=0),"EKSİK",IF($I48="Evet","TAHAKKUK NAKİT OLAMAZ",IF($C48&gt;TODAY(),"İLERİ TARİH","TAHAKKUK"))),IF(AND($D48&lt;&gt;"",$E48&lt;&gt;"",$G48&gt;0,$H48&lt;&gt;"",$I48&lt;&gt;""),IF($C48&gt;TODAY(),"İLERİ TARİH",IF(COUNTIF($W$7:$W$3001,$W48)&gt;1,"MÜKERRER?",IF($AD48&gt;0,"KAPALI DÖNEM",IF($I48="Hayır","ÖDENECEK","UYGUN")))),"EKSİK"))))</f>
        <v>UYGUN</v>
      </c>
      <c r="Q48" s="2"/>
      <c r="R48" s="2"/>
      <c r="S48" s="1" t="str">
        <f t="shared" si="0"/>
        <v/>
      </c>
      <c r="T48" s="1" t="str">
        <f>IF(OR($C48="",$D48&lt;&gt;"Gelir",$L48=""),"",IFERROR(INDEX(MUSTERILER!$B$7:$B$156,MATCH($S48,MUSTERILER!$T$7:$T$156,0)),""))</f>
        <v/>
      </c>
      <c r="U48" s="1" t="str">
        <f>IF($T48="","",$T48&amp;"|"&amp;COUNTIFS($T$7:$T48,$T48))</f>
        <v/>
      </c>
      <c r="V48" s="1">
        <f t="shared" si="1"/>
        <v>0</v>
      </c>
      <c r="W48" s="1" t="str">
        <f t="shared" si="2"/>
        <v>Gelir|Geçici Vergi Damga|46060|4200|ÇINARHAN LTD.ŞTİ. 2025 / 04  DÖNEM GEÇİCİ DAMGA|</v>
      </c>
      <c r="X48" s="1"/>
      <c r="Y48" s="1"/>
      <c r="Z48" s="1"/>
      <c r="AA48" s="1"/>
      <c r="AB48" s="1"/>
      <c r="AC48" s="1"/>
      <c r="AD48" s="1">
        <f>IF($C48="",0,SUMPRODUCT((AY_SONU!$O$7:$O$42="Evet")*(AY_SONU!$B$7:$B$42=DATE(YEAR($C48),MONTH($C48),1))))</f>
        <v>0</v>
      </c>
      <c r="AE48" s="1" t="str">
        <f>IF($E48="","",$E48&amp;"|"&amp;COUNTIFS($E$7:$E48,$E48))</f>
        <v>Geçici Vergi Damga|10</v>
      </c>
    </row>
    <row r="49" spans="1:31" ht="18" customHeight="1" x14ac:dyDescent="0.3">
      <c r="A49" s="2"/>
      <c r="B49" s="65" t="str">
        <f>IF($C49="","","GG"&amp;TEXT(ROW()-6,"00000"))</f>
        <v>GG00043</v>
      </c>
      <c r="C49" s="66">
        <v>46060</v>
      </c>
      <c r="D49" s="60" t="s">
        <v>795</v>
      </c>
      <c r="E49" s="61" t="s">
        <v>812</v>
      </c>
      <c r="F49" s="61" t="s">
        <v>823</v>
      </c>
      <c r="G49" s="67">
        <v>4200</v>
      </c>
      <c r="H49" s="60" t="s">
        <v>717</v>
      </c>
      <c r="I49" s="60" t="s">
        <v>773</v>
      </c>
      <c r="J49" s="61"/>
      <c r="K49" s="61"/>
      <c r="L49" s="60"/>
      <c r="M49" s="74" t="str">
        <f>IF($C49="","",IF($D49="Gider",$E49,IF($L49&lt;&gt;"",$L49,$H49)))</f>
        <v>MERKEZ KASA</v>
      </c>
      <c r="N49" s="74" t="str">
        <f>IF($C49="","",IF($D49="Gider",$H49,$E49))</f>
        <v>Geçici Vergi Damga</v>
      </c>
      <c r="O49" s="73">
        <f>IF($C49="","",DATE(YEAR($C49),MONTH($C49),1))</f>
        <v>46054</v>
      </c>
      <c r="P49" s="65" t="str">
        <f ca="1">IF($C49="","",IF(AND($D49="Gelir",$L49&lt;&gt;"",$T49=""),"TANIMSIZ BORÇLU",IF($T49&lt;&gt;"",IF(OR($E49="",$G49&lt;=0),"EKSİK",IF($I49="Evet","TAHAKKUK NAKİT OLAMAZ",IF($C49&gt;TODAY(),"İLERİ TARİH","TAHAKKUK"))),IF(AND($D49&lt;&gt;"",$E49&lt;&gt;"",$G49&gt;0,$H49&lt;&gt;"",$I49&lt;&gt;""),IF($C49&gt;TODAY(),"İLERİ TARİH",IF(COUNTIF($W$7:$W$3001,$W49)&gt;1,"MÜKERRER?",IF($AD49&gt;0,"KAPALI DÖNEM",IF($I49="Hayır","ÖDENECEK","UYGUN")))),"EKSİK"))))</f>
        <v>UYGUN</v>
      </c>
      <c r="Q49" s="2"/>
      <c r="R49" s="2"/>
      <c r="S49" s="1" t="str">
        <f t="shared" si="0"/>
        <v/>
      </c>
      <c r="T49" s="1" t="str">
        <f>IF(OR($C49="",$D49&lt;&gt;"Gelir",$L49=""),"",IFERROR(INDEX(MUSTERILER!$B$7:$B$156,MATCH($S49,MUSTERILER!$T$7:$T$156,0)),""))</f>
        <v/>
      </c>
      <c r="U49" s="1" t="str">
        <f>IF($T49="","",$T49&amp;"|"&amp;COUNTIFS($T$7:$T49,$T49))</f>
        <v/>
      </c>
      <c r="V49" s="1">
        <f t="shared" si="1"/>
        <v>0</v>
      </c>
      <c r="W49" s="1" t="str">
        <f t="shared" si="2"/>
        <v>Gelir|Geçici Vergi Damga|46060|4200|YALKENT LTD.ŞTİ. 2025 / 4 GEÇİCİ DAMGA|</v>
      </c>
      <c r="X49" s="1"/>
      <c r="Y49" s="1"/>
      <c r="Z49" s="1"/>
      <c r="AA49" s="1"/>
      <c r="AB49" s="1"/>
      <c r="AC49" s="1"/>
      <c r="AD49" s="1">
        <f>IF($C49="",0,SUMPRODUCT((AY_SONU!$O$7:$O$42="Evet")*(AY_SONU!$B$7:$B$42=DATE(YEAR($C49),MONTH($C49),1))))</f>
        <v>0</v>
      </c>
      <c r="AE49" s="1" t="str">
        <f>IF($E49="","",$E49&amp;"|"&amp;COUNTIFS($E$7:$E49,$E49))</f>
        <v>Geçici Vergi Damga|11</v>
      </c>
    </row>
    <row r="50" spans="1:31" ht="18" customHeight="1" x14ac:dyDescent="0.3">
      <c r="A50" s="2"/>
      <c r="B50" s="65" t="str">
        <f>IF($C50="","","GG"&amp;TEXT(ROW()-6,"00000"))</f>
        <v>GG00044</v>
      </c>
      <c r="C50" s="66">
        <v>46062</v>
      </c>
      <c r="D50" s="60" t="s">
        <v>769</v>
      </c>
      <c r="E50" s="61" t="s">
        <v>790</v>
      </c>
      <c r="F50" s="61" t="s">
        <v>824</v>
      </c>
      <c r="G50" s="67">
        <v>499.3</v>
      </c>
      <c r="H50" s="60" t="s">
        <v>772</v>
      </c>
      <c r="I50" s="60" t="s">
        <v>773</v>
      </c>
      <c r="J50" s="61"/>
      <c r="K50" s="61"/>
      <c r="L50" s="60"/>
      <c r="M50" s="74" t="str">
        <f>IF($C50="","",IF($D50="Gider",$E50,IF($L50&lt;&gt;"",$L50,$H50)))</f>
        <v>Temsil / Ağırlama</v>
      </c>
      <c r="N50" s="74" t="str">
        <f>IF($C50="","",IF($D50="Gider",$H50,$E50))</f>
        <v>Merkez Kasa</v>
      </c>
      <c r="O50" s="73">
        <f>IF($C50="","",DATE(YEAR($C50),MONTH($C50),1))</f>
        <v>46054</v>
      </c>
      <c r="P50" s="65" t="str">
        <f ca="1">IF($C50="","",IF(AND($D50="Gelir",$L50&lt;&gt;"",$T50=""),"TANIMSIZ BORÇLU",IF($T50&lt;&gt;"",IF(OR($E50="",$G50&lt;=0),"EKSİK",IF($I50="Evet","TAHAKKUK NAKİT OLAMAZ",IF($C50&gt;TODAY(),"İLERİ TARİH","TAHAKKUK"))),IF(AND($D50&lt;&gt;"",$E50&lt;&gt;"",$G50&gt;0,$H50&lt;&gt;"",$I50&lt;&gt;""),IF($C50&gt;TODAY(),"İLERİ TARİH",IF(COUNTIF($W$7:$W$3001,$W50)&gt;1,"MÜKERRER?",IF($AD50&gt;0,"KAPALI DÖNEM",IF($I50="Hayır","ÖDENECEK","UYGUN")))),"EKSİK"))))</f>
        <v>UYGUN</v>
      </c>
      <c r="Q50" s="2"/>
      <c r="R50" s="2"/>
      <c r="S50" s="1" t="str">
        <f t="shared" si="0"/>
        <v/>
      </c>
      <c r="T50" s="1" t="str">
        <f>IF(OR($C50="",$D50&lt;&gt;"Gelir",$L50=""),"",IFERROR(INDEX(MUSTERILER!$B$7:$B$156,MATCH($S50,MUSTERILER!$T$7:$T$156,0)),""))</f>
        <v/>
      </c>
      <c r="U50" s="1" t="str">
        <f>IF($T50="","",$T50&amp;"|"&amp;COUNTIFS($T$7:$T50,$T50))</f>
        <v/>
      </c>
      <c r="V50" s="1">
        <f t="shared" si="1"/>
        <v>0</v>
      </c>
      <c r="W50" s="1" t="str">
        <f t="shared" si="2"/>
        <v>Gider|Temsil / Ağırlama|46062|499|Ofis Temizlik Alışverişi|</v>
      </c>
      <c r="X50" s="1"/>
      <c r="Y50" s="1"/>
      <c r="Z50" s="1"/>
      <c r="AA50" s="1"/>
      <c r="AB50" s="1"/>
      <c r="AC50" s="1"/>
      <c r="AD50" s="1">
        <f>IF($C50="",0,SUMPRODUCT((AY_SONU!$O$7:$O$42="Evet")*(AY_SONU!$B$7:$B$42=DATE(YEAR($C50),MONTH($C50),1))))</f>
        <v>0</v>
      </c>
      <c r="AE50" s="1" t="str">
        <f>IF($E50="","",$E50&amp;"|"&amp;COUNTIFS($E$7:$E50,$E50))</f>
        <v>Temsil / Ağırlama|2</v>
      </c>
    </row>
    <row r="51" spans="1:31" ht="18" customHeight="1" x14ac:dyDescent="0.3">
      <c r="A51" s="2"/>
      <c r="B51" s="65" t="str">
        <f>IF($C51="","","GG"&amp;TEXT(ROW()-6,"00000"))</f>
        <v>GG00045</v>
      </c>
      <c r="C51" s="66">
        <v>46062</v>
      </c>
      <c r="D51" s="60" t="s">
        <v>795</v>
      </c>
      <c r="E51" s="61" t="s">
        <v>825</v>
      </c>
      <c r="F51" s="61" t="s">
        <v>825</v>
      </c>
      <c r="G51" s="67">
        <v>7500</v>
      </c>
      <c r="H51" s="60" t="s">
        <v>772</v>
      </c>
      <c r="I51" s="60" t="s">
        <v>773</v>
      </c>
      <c r="J51" s="61"/>
      <c r="K51" s="61"/>
      <c r="L51" s="60"/>
      <c r="M51" s="74" t="str">
        <f>IF($C51="","",IF($D51="Gider",$E51,IF($L51&lt;&gt;"",$L51,$H51)))</f>
        <v>Merkez Kasa</v>
      </c>
      <c r="N51" s="74" t="str">
        <f>IF($C51="","",IF($D51="Gider",$H51,$E51))</f>
        <v>Kuruluş Ücreti</v>
      </c>
      <c r="O51" s="73">
        <f>IF($C51="","",DATE(YEAR($C51),MONTH($C51),1))</f>
        <v>46054</v>
      </c>
      <c r="P51" s="65" t="str">
        <f ca="1">IF($C51="","",IF(AND($D51="Gelir",$L51&lt;&gt;"",$T51=""),"TANIMSIZ BORÇLU",IF($T51&lt;&gt;"",IF(OR($E51="",$G51&lt;=0),"EKSİK",IF($I51="Evet","TAHAKKUK NAKİT OLAMAZ",IF($C51&gt;TODAY(),"İLERİ TARİH","TAHAKKUK"))),IF(AND($D51&lt;&gt;"",$E51&lt;&gt;"",$G51&gt;0,$H51&lt;&gt;"",$I51&lt;&gt;""),IF($C51&gt;TODAY(),"İLERİ TARİH",IF(COUNTIF($W$7:$W$3001,$W51)&gt;1,"MÜKERRER?",IF($AD51&gt;0,"KAPALI DÖNEM",IF($I51="Hayır","ÖDENECEK","UYGUN")))),"EKSİK"))))</f>
        <v>UYGUN</v>
      </c>
      <c r="Q51" s="2"/>
      <c r="R51" s="2"/>
      <c r="S51" s="1" t="str">
        <f t="shared" si="0"/>
        <v/>
      </c>
      <c r="T51" s="1" t="str">
        <f>IF(OR($C51="",$D51&lt;&gt;"Gelir",$L51=""),"",IFERROR(INDEX(MUSTERILER!$B$7:$B$156,MATCH($S51,MUSTERILER!$T$7:$T$156,0)),""))</f>
        <v/>
      </c>
      <c r="U51" s="1" t="str">
        <f>IF($T51="","",$T51&amp;"|"&amp;COUNTIFS($T$7:$T51,$T51))</f>
        <v/>
      </c>
      <c r="V51" s="1">
        <f t="shared" si="1"/>
        <v>0</v>
      </c>
      <c r="W51" s="1" t="str">
        <f t="shared" si="2"/>
        <v>Gelir|Kuruluş Ücreti|46062|7500|Kuruluş Ücreti|</v>
      </c>
      <c r="X51" s="1"/>
      <c r="Y51" s="1"/>
      <c r="Z51" s="1"/>
      <c r="AA51" s="1"/>
      <c r="AB51" s="1"/>
      <c r="AC51" s="1"/>
      <c r="AD51" s="1">
        <f>IF($C51="",0,SUMPRODUCT((AY_SONU!$O$7:$O$42="Evet")*(AY_SONU!$B$7:$B$42=DATE(YEAR($C51),MONTH($C51),1))))</f>
        <v>0</v>
      </c>
      <c r="AE51" s="1" t="str">
        <f>IF($E51="","",$E51&amp;"|"&amp;COUNTIFS($E$7:$E51,$E51))</f>
        <v>Kuruluş Ücreti|1</v>
      </c>
    </row>
    <row r="52" spans="1:31" ht="18" customHeight="1" x14ac:dyDescent="0.3">
      <c r="A52" s="2"/>
      <c r="B52" s="65" t="str">
        <f>IF($C52="","","GG"&amp;TEXT(ROW()-6,"00000"))</f>
        <v>GG00046</v>
      </c>
      <c r="C52" s="66">
        <v>46064</v>
      </c>
      <c r="D52" s="60" t="s">
        <v>769</v>
      </c>
      <c r="E52" s="61" t="s">
        <v>790</v>
      </c>
      <c r="F52" s="61" t="s">
        <v>826</v>
      </c>
      <c r="G52" s="67">
        <v>300</v>
      </c>
      <c r="H52" s="60" t="s">
        <v>772</v>
      </c>
      <c r="I52" s="60" t="s">
        <v>773</v>
      </c>
      <c r="J52" s="61"/>
      <c r="K52" s="61"/>
      <c r="L52" s="60"/>
      <c r="M52" s="74" t="str">
        <f>IF($C52="","",IF($D52="Gider",$E52,IF($L52&lt;&gt;"",$L52,$H52)))</f>
        <v>Temsil / Ağırlama</v>
      </c>
      <c r="N52" s="74" t="str">
        <f>IF($C52="","",IF($D52="Gider",$H52,$E52))</f>
        <v>Merkez Kasa</v>
      </c>
      <c r="O52" s="73">
        <f>IF($C52="","",DATE(YEAR($C52),MONTH($C52),1))</f>
        <v>46054</v>
      </c>
      <c r="P52" s="65" t="str">
        <f ca="1">IF($C52="","",IF(AND($D52="Gelir",$L52&lt;&gt;"",$T52=""),"TANIMSIZ BORÇLU",IF($T52&lt;&gt;"",IF(OR($E52="",$G52&lt;=0),"EKSİK",IF($I52="Evet","TAHAKKUK NAKİT OLAMAZ",IF($C52&gt;TODAY(),"İLERİ TARİH","TAHAKKUK"))),IF(AND($D52&lt;&gt;"",$E52&lt;&gt;"",$G52&gt;0,$H52&lt;&gt;"",$I52&lt;&gt;""),IF($C52&gt;TODAY(),"İLERİ TARİH",IF(COUNTIF($W$7:$W$3001,$W52)&gt;1,"MÜKERRER?",IF($AD52&gt;0,"KAPALI DÖNEM",IF($I52="Hayır","ÖDENECEK","UYGUN")))),"EKSİK"))))</f>
        <v>UYGUN</v>
      </c>
      <c r="Q52" s="2"/>
      <c r="R52" s="2"/>
      <c r="S52" s="1" t="str">
        <f t="shared" si="0"/>
        <v/>
      </c>
      <c r="T52" s="1" t="str">
        <f>IF(OR($C52="",$D52&lt;&gt;"Gelir",$L52=""),"",IFERROR(INDEX(MUSTERILER!$B$7:$B$156,MATCH($S52,MUSTERILER!$T$7:$T$156,0)),""))</f>
        <v/>
      </c>
      <c r="U52" s="1" t="str">
        <f>IF($T52="","",$T52&amp;"|"&amp;COUNTIFS($T$7:$T52,$T52))</f>
        <v/>
      </c>
      <c r="V52" s="1">
        <f t="shared" si="1"/>
        <v>0</v>
      </c>
      <c r="W52" s="1" t="str">
        <f t="shared" si="2"/>
        <v>Gider|Temsil / Ağırlama|46064|300|İsmail Yemek|</v>
      </c>
      <c r="X52" s="1"/>
      <c r="Y52" s="1"/>
      <c r="Z52" s="1"/>
      <c r="AA52" s="1"/>
      <c r="AB52" s="1"/>
      <c r="AC52" s="1"/>
      <c r="AD52" s="1">
        <f>IF($C52="",0,SUMPRODUCT((AY_SONU!$O$7:$O$42="Evet")*(AY_SONU!$B$7:$B$42=DATE(YEAR($C52),MONTH($C52),1))))</f>
        <v>0</v>
      </c>
      <c r="AE52" s="1" t="str">
        <f>IF($E52="","",$E52&amp;"|"&amp;COUNTIFS($E$7:$E52,$E52))</f>
        <v>Temsil / Ağırlama|3</v>
      </c>
    </row>
    <row r="53" spans="1:31" ht="18" customHeight="1" x14ac:dyDescent="0.3">
      <c r="A53" s="2"/>
      <c r="B53" s="65" t="str">
        <f>IF($C53="","","GG"&amp;TEXT(ROW()-6,"00000"))</f>
        <v>GG00047</v>
      </c>
      <c r="C53" s="66">
        <v>46064</v>
      </c>
      <c r="D53" s="60" t="s">
        <v>769</v>
      </c>
      <c r="E53" s="61" t="s">
        <v>790</v>
      </c>
      <c r="F53" s="61" t="s">
        <v>827</v>
      </c>
      <c r="G53" s="67">
        <v>1530</v>
      </c>
      <c r="H53" s="60" t="s">
        <v>772</v>
      </c>
      <c r="I53" s="60" t="s">
        <v>773</v>
      </c>
      <c r="J53" s="61"/>
      <c r="K53" s="61"/>
      <c r="L53" s="60"/>
      <c r="M53" s="74" t="str">
        <f>IF($C53="","",IF($D53="Gider",$E53,IF($L53&lt;&gt;"",$L53,$H53)))</f>
        <v>Temsil / Ağırlama</v>
      </c>
      <c r="N53" s="74" t="str">
        <f>IF($C53="","",IF($D53="Gider",$H53,$E53))</f>
        <v>Merkez Kasa</v>
      </c>
      <c r="O53" s="73">
        <f>IF($C53="","",DATE(YEAR($C53),MONTH($C53),1))</f>
        <v>46054</v>
      </c>
      <c r="P53" s="65" t="str">
        <f ca="1">IF($C53="","",IF(AND($D53="Gelir",$L53&lt;&gt;"",$T53=""),"TANIMSIZ BORÇLU",IF($T53&lt;&gt;"",IF(OR($E53="",$G53&lt;=0),"EKSİK",IF($I53="Evet","TAHAKKUK NAKİT OLAMAZ",IF($C53&gt;TODAY(),"İLERİ TARİH","TAHAKKUK"))),IF(AND($D53&lt;&gt;"",$E53&lt;&gt;"",$G53&gt;0,$H53&lt;&gt;"",$I53&lt;&gt;""),IF($C53&gt;TODAY(),"İLERİ TARİH",IF(COUNTIF($W$7:$W$3001,$W53)&gt;1,"MÜKERRER?",IF($AD53&gt;0,"KAPALI DÖNEM",IF($I53="Hayır","ÖDENECEK","UYGUN")))),"EKSİK"))))</f>
        <v>UYGUN</v>
      </c>
      <c r="Q53" s="2"/>
      <c r="R53" s="2"/>
      <c r="S53" s="1" t="str">
        <f t="shared" si="0"/>
        <v/>
      </c>
      <c r="T53" s="1" t="str">
        <f>IF(OR($C53="",$D53&lt;&gt;"Gelir",$L53=""),"",IFERROR(INDEX(MUSTERILER!$B$7:$B$156,MATCH($S53,MUSTERILER!$T$7:$T$156,0)),""))</f>
        <v/>
      </c>
      <c r="U53" s="1" t="str">
        <f>IF($T53="","",$T53&amp;"|"&amp;COUNTIFS($T$7:$T53,$T53))</f>
        <v/>
      </c>
      <c r="V53" s="1">
        <f t="shared" si="1"/>
        <v>0</v>
      </c>
      <c r="W53" s="1" t="str">
        <f t="shared" si="2"/>
        <v>Gider|Temsil / Ağırlama|46064|1530|Baklavacı Hacıbaba |</v>
      </c>
      <c r="X53" s="1"/>
      <c r="Y53" s="1"/>
      <c r="Z53" s="1"/>
      <c r="AA53" s="1"/>
      <c r="AB53" s="1"/>
      <c r="AC53" s="1"/>
      <c r="AD53" s="1">
        <f>IF($C53="",0,SUMPRODUCT((AY_SONU!$O$7:$O$42="Evet")*(AY_SONU!$B$7:$B$42=DATE(YEAR($C53),MONTH($C53),1))))</f>
        <v>0</v>
      </c>
      <c r="AE53" s="1" t="str">
        <f>IF($E53="","",$E53&amp;"|"&amp;COUNTIFS($E$7:$E53,$E53))</f>
        <v>Temsil / Ağırlama|4</v>
      </c>
    </row>
    <row r="54" spans="1:31" ht="18" customHeight="1" x14ac:dyDescent="0.3">
      <c r="A54" s="2"/>
      <c r="B54" s="65" t="str">
        <f>IF($C54="","","GG"&amp;TEXT(ROW()-6,"00000"))</f>
        <v>GG00048</v>
      </c>
      <c r="C54" s="66">
        <v>46067</v>
      </c>
      <c r="D54" s="60" t="s">
        <v>769</v>
      </c>
      <c r="E54" s="61" t="s">
        <v>790</v>
      </c>
      <c r="F54" s="61" t="s">
        <v>828</v>
      </c>
      <c r="G54" s="67">
        <v>930</v>
      </c>
      <c r="H54" s="60" t="s">
        <v>772</v>
      </c>
      <c r="I54" s="60" t="s">
        <v>773</v>
      </c>
      <c r="J54" s="61"/>
      <c r="K54" s="61"/>
      <c r="L54" s="60"/>
      <c r="M54" s="74" t="str">
        <f>IF($C54="","",IF($D54="Gider",$E54,IF($L54&lt;&gt;"",$L54,$H54)))</f>
        <v>Temsil / Ağırlama</v>
      </c>
      <c r="N54" s="74" t="str">
        <f>IF($C54="","",IF($D54="Gider",$H54,$E54))</f>
        <v>Merkez Kasa</v>
      </c>
      <c r="O54" s="73">
        <f>IF($C54="","",DATE(YEAR($C54),MONTH($C54),1))</f>
        <v>46054</v>
      </c>
      <c r="P54" s="65" t="str">
        <f ca="1">IF($C54="","",IF(AND($D54="Gelir",$L54&lt;&gt;"",$T54=""),"TANIMSIZ BORÇLU",IF($T54&lt;&gt;"",IF(OR($E54="",$G54&lt;=0),"EKSİK",IF($I54="Evet","TAHAKKUK NAKİT OLAMAZ",IF($C54&gt;TODAY(),"İLERİ TARİH","TAHAKKUK"))),IF(AND($D54&lt;&gt;"",$E54&lt;&gt;"",$G54&gt;0,$H54&lt;&gt;"",$I54&lt;&gt;""),IF($C54&gt;TODAY(),"İLERİ TARİH",IF(COUNTIF($W$7:$W$3001,$W54)&gt;1,"MÜKERRER?",IF($AD54&gt;0,"KAPALI DÖNEM",IF($I54="Hayır","ÖDENECEK","UYGUN")))),"EKSİK"))))</f>
        <v>UYGUN</v>
      </c>
      <c r="Q54" s="2"/>
      <c r="R54" s="2"/>
      <c r="S54" s="1" t="str">
        <f t="shared" si="0"/>
        <v/>
      </c>
      <c r="T54" s="1" t="str">
        <f>IF(OR($C54="",$D54&lt;&gt;"Gelir",$L54=""),"",IFERROR(INDEX(MUSTERILER!$B$7:$B$156,MATCH($S54,MUSTERILER!$T$7:$T$156,0)),""))</f>
        <v/>
      </c>
      <c r="U54" s="1" t="str">
        <f>IF($T54="","",$T54&amp;"|"&amp;COUNTIFS($T$7:$T54,$T54))</f>
        <v/>
      </c>
      <c r="V54" s="1">
        <f t="shared" si="1"/>
        <v>0</v>
      </c>
      <c r="W54" s="1" t="str">
        <f t="shared" si="2"/>
        <v>Gider|Temsil / Ağırlama|46067|930|Yemek Ömer Ali |</v>
      </c>
      <c r="X54" s="1"/>
      <c r="Y54" s="1"/>
      <c r="Z54" s="1"/>
      <c r="AA54" s="1"/>
      <c r="AB54" s="1"/>
      <c r="AC54" s="1"/>
      <c r="AD54" s="1">
        <f>IF($C54="",0,SUMPRODUCT((AY_SONU!$O$7:$O$42="Evet")*(AY_SONU!$B$7:$B$42=DATE(YEAR($C54),MONTH($C54),1))))</f>
        <v>0</v>
      </c>
      <c r="AE54" s="1" t="str">
        <f>IF($E54="","",$E54&amp;"|"&amp;COUNTIFS($E$7:$E54,$E54))</f>
        <v>Temsil / Ağırlama|5</v>
      </c>
    </row>
    <row r="55" spans="1:31" ht="18" customHeight="1" x14ac:dyDescent="0.3">
      <c r="A55" s="2"/>
      <c r="B55" s="65" t="str">
        <f>IF($C55="","","GG"&amp;TEXT(ROW()-6,"00000"))</f>
        <v>GG00049</v>
      </c>
      <c r="C55" s="66">
        <v>46067</v>
      </c>
      <c r="D55" s="60" t="s">
        <v>769</v>
      </c>
      <c r="E55" s="61" t="s">
        <v>788</v>
      </c>
      <c r="F55" s="61" t="s">
        <v>829</v>
      </c>
      <c r="G55" s="67">
        <v>800</v>
      </c>
      <c r="H55" s="60" t="s">
        <v>772</v>
      </c>
      <c r="I55" s="60" t="s">
        <v>773</v>
      </c>
      <c r="J55" s="61"/>
      <c r="K55" s="61"/>
      <c r="L55" s="60"/>
      <c r="M55" s="74" t="str">
        <f>IF($C55="","",IF($D55="Gider",$E55,IF($L55&lt;&gt;"",$L55,$H55)))</f>
        <v>Ulaşım</v>
      </c>
      <c r="N55" s="74" t="str">
        <f>IF($C55="","",IF($D55="Gider",$H55,$E55))</f>
        <v>Merkez Kasa</v>
      </c>
      <c r="O55" s="73">
        <f>IF($C55="","",DATE(YEAR($C55),MONTH($C55),1))</f>
        <v>46054</v>
      </c>
      <c r="P55" s="65" t="str">
        <f ca="1">IF($C55="","",IF(AND($D55="Gelir",$L55&lt;&gt;"",$T55=""),"TANIMSIZ BORÇLU",IF($T55&lt;&gt;"",IF(OR($E55="",$G55&lt;=0),"EKSİK",IF($I55="Evet","TAHAKKUK NAKİT OLAMAZ",IF($C55&gt;TODAY(),"İLERİ TARİH","TAHAKKUK"))),IF(AND($D55&lt;&gt;"",$E55&lt;&gt;"",$G55&gt;0,$H55&lt;&gt;"",$I55&lt;&gt;""),IF($C55&gt;TODAY(),"İLERİ TARİH",IF(COUNTIF($W$7:$W$3001,$W55)&gt;1,"MÜKERRER?",IF($AD55&gt;0,"KAPALI DÖNEM",IF($I55="Hayır","ÖDENECEK","UYGUN")))),"EKSİK"))))</f>
        <v>UYGUN</v>
      </c>
      <c r="Q55" s="2"/>
      <c r="R55" s="2"/>
      <c r="S55" s="1" t="str">
        <f t="shared" si="0"/>
        <v/>
      </c>
      <c r="T55" s="1" t="str">
        <f>IF(OR($C55="",$D55&lt;&gt;"Gelir",$L55=""),"",IFERROR(INDEX(MUSTERILER!$B$7:$B$156,MATCH($S55,MUSTERILER!$T$7:$T$156,0)),""))</f>
        <v/>
      </c>
      <c r="U55" s="1" t="str">
        <f>IF($T55="","",$T55&amp;"|"&amp;COUNTIFS($T$7:$T55,$T55))</f>
        <v/>
      </c>
      <c r="V55" s="1">
        <f t="shared" si="1"/>
        <v>0</v>
      </c>
      <c r="W55" s="1" t="str">
        <f t="shared" si="2"/>
        <v>Gider|Ulaşım|46067|800|Taksi |</v>
      </c>
      <c r="X55" s="1"/>
      <c r="Y55" s="1"/>
      <c r="Z55" s="1"/>
      <c r="AA55" s="1"/>
      <c r="AB55" s="1"/>
      <c r="AC55" s="1"/>
      <c r="AD55" s="1">
        <f>IF($C55="",0,SUMPRODUCT((AY_SONU!$O$7:$O$42="Evet")*(AY_SONU!$B$7:$B$42=DATE(YEAR($C55),MONTH($C55),1))))</f>
        <v>0</v>
      </c>
      <c r="AE55" s="1" t="str">
        <f>IF($E55="","",$E55&amp;"|"&amp;COUNTIFS($E$7:$E55,$E55))</f>
        <v>Ulaşım|3</v>
      </c>
    </row>
    <row r="56" spans="1:31" ht="18" customHeight="1" x14ac:dyDescent="0.3">
      <c r="A56" s="2"/>
      <c r="B56" s="65" t="str">
        <f>IF($C56="","","GG"&amp;TEXT(ROW()-6,"00000"))</f>
        <v>GG00050</v>
      </c>
      <c r="C56" s="66">
        <v>46069</v>
      </c>
      <c r="D56" s="60" t="s">
        <v>769</v>
      </c>
      <c r="E56" s="61" t="s">
        <v>781</v>
      </c>
      <c r="F56" s="61" t="s">
        <v>830</v>
      </c>
      <c r="G56" s="67">
        <v>800</v>
      </c>
      <c r="H56" s="60" t="s">
        <v>772</v>
      </c>
      <c r="I56" s="60" t="s">
        <v>773</v>
      </c>
      <c r="J56" s="61"/>
      <c r="K56" s="61"/>
      <c r="L56" s="60"/>
      <c r="M56" s="74" t="str">
        <f>IF($C56="","",IF($D56="Gider",$E56,IF($L56&lt;&gt;"",$L56,$H56)))</f>
        <v>Telefon / İnternet</v>
      </c>
      <c r="N56" s="74" t="str">
        <f>IF($C56="","",IF($D56="Gider",$H56,$E56))</f>
        <v>Merkez Kasa</v>
      </c>
      <c r="O56" s="73">
        <f>IF($C56="","",DATE(YEAR($C56),MONTH($C56),1))</f>
        <v>46054</v>
      </c>
      <c r="P56" s="65" t="str">
        <f ca="1">IF($C56="","",IF(AND($D56="Gelir",$L56&lt;&gt;"",$T56=""),"TANIMSIZ BORÇLU",IF($T56&lt;&gt;"",IF(OR($E56="",$G56&lt;=0),"EKSİK",IF($I56="Evet","TAHAKKUK NAKİT OLAMAZ",IF($C56&gt;TODAY(),"İLERİ TARİH","TAHAKKUK"))),IF(AND($D56&lt;&gt;"",$E56&lt;&gt;"",$G56&gt;0,$H56&lt;&gt;"",$I56&lt;&gt;""),IF($C56&gt;TODAY(),"İLERİ TARİH",IF(COUNTIF($W$7:$W$3001,$W56)&gt;1,"MÜKERRER?",IF($AD56&gt;0,"KAPALI DÖNEM",IF($I56="Hayır","ÖDENECEK","UYGUN")))),"EKSİK"))))</f>
        <v>UYGUN</v>
      </c>
      <c r="Q56" s="2"/>
      <c r="R56" s="2"/>
      <c r="S56" s="1" t="str">
        <f t="shared" si="0"/>
        <v/>
      </c>
      <c r="T56" s="1" t="str">
        <f>IF(OR($C56="",$D56&lt;&gt;"Gelir",$L56=""),"",IFERROR(INDEX(MUSTERILER!$B$7:$B$156,MATCH($S56,MUSTERILER!$T$7:$T$156,0)),""))</f>
        <v/>
      </c>
      <c r="U56" s="1" t="str">
        <f>IF($T56="","",$T56&amp;"|"&amp;COUNTIFS($T$7:$T56,$T56))</f>
        <v/>
      </c>
      <c r="V56" s="1">
        <f t="shared" si="1"/>
        <v>0</v>
      </c>
      <c r="W56" s="1" t="str">
        <f t="shared" si="2"/>
        <v>Gider|Telefon / İnternet|46069|800|Ofis Whatsapp Hattı Şubat|</v>
      </c>
      <c r="X56" s="1"/>
      <c r="Y56" s="1"/>
      <c r="Z56" s="1"/>
      <c r="AA56" s="1"/>
      <c r="AB56" s="1"/>
      <c r="AC56" s="1"/>
      <c r="AD56" s="1">
        <f>IF($C56="",0,SUMPRODUCT((AY_SONU!$O$7:$O$42="Evet")*(AY_SONU!$B$7:$B$42=DATE(YEAR($C56),MONTH($C56),1))))</f>
        <v>0</v>
      </c>
      <c r="AE56" s="1" t="str">
        <f>IF($E56="","",$E56&amp;"|"&amp;COUNTIFS($E$7:$E56,$E56))</f>
        <v>Telefon / İnternet|3</v>
      </c>
    </row>
    <row r="57" spans="1:31" ht="18" customHeight="1" x14ac:dyDescent="0.3">
      <c r="A57" s="2"/>
      <c r="B57" s="65" t="str">
        <f>IF($C57="","","GG"&amp;TEXT(ROW()-6,"00000"))</f>
        <v>GG00051</v>
      </c>
      <c r="C57" s="66">
        <v>46070</v>
      </c>
      <c r="D57" s="60" t="s">
        <v>769</v>
      </c>
      <c r="E57" s="61" t="s">
        <v>790</v>
      </c>
      <c r="F57" s="61" t="s">
        <v>831</v>
      </c>
      <c r="G57" s="67">
        <v>2400</v>
      </c>
      <c r="H57" s="60" t="s">
        <v>772</v>
      </c>
      <c r="I57" s="60" t="s">
        <v>773</v>
      </c>
      <c r="J57" s="61"/>
      <c r="K57" s="61"/>
      <c r="L57" s="60"/>
      <c r="M57" s="74" t="str">
        <f>IF($C57="","",IF($D57="Gider",$E57,IF($L57&lt;&gt;"",$L57,$H57)))</f>
        <v>Temsil / Ağırlama</v>
      </c>
      <c r="N57" s="74" t="str">
        <f>IF($C57="","",IF($D57="Gider",$H57,$E57))</f>
        <v>Merkez Kasa</v>
      </c>
      <c r="O57" s="73">
        <f>IF($C57="","",DATE(YEAR($C57),MONTH($C57),1))</f>
        <v>46054</v>
      </c>
      <c r="P57" s="65" t="str">
        <f ca="1">IF($C57="","",IF(AND($D57="Gelir",$L57&lt;&gt;"",$T57=""),"TANIMSIZ BORÇLU",IF($T57&lt;&gt;"",IF(OR($E57="",$G57&lt;=0),"EKSİK",IF($I57="Evet","TAHAKKUK NAKİT OLAMAZ",IF($C57&gt;TODAY(),"İLERİ TARİH","TAHAKKUK"))),IF(AND($D57&lt;&gt;"",$E57&lt;&gt;"",$G57&gt;0,$H57&lt;&gt;"",$I57&lt;&gt;""),IF($C57&gt;TODAY(),"İLERİ TARİH",IF(COUNTIF($W$7:$W$3001,$W57)&gt;1,"MÜKERRER?",IF($AD57&gt;0,"KAPALI DÖNEM",IF($I57="Hayır","ÖDENECEK","UYGUN")))),"EKSİK"))))</f>
        <v>UYGUN</v>
      </c>
      <c r="Q57" s="2"/>
      <c r="R57" s="2"/>
      <c r="S57" s="1" t="str">
        <f t="shared" si="0"/>
        <v/>
      </c>
      <c r="T57" s="1" t="str">
        <f>IF(OR($C57="",$D57&lt;&gt;"Gelir",$L57=""),"",IFERROR(INDEX(MUSTERILER!$B$7:$B$156,MATCH($S57,MUSTERILER!$T$7:$T$156,0)),""))</f>
        <v/>
      </c>
      <c r="U57" s="1" t="str">
        <f>IF($T57="","",$T57&amp;"|"&amp;COUNTIFS($T$7:$T57,$T57))</f>
        <v/>
      </c>
      <c r="V57" s="1">
        <f t="shared" si="1"/>
        <v>0</v>
      </c>
      <c r="W57" s="1" t="str">
        <f t="shared" si="2"/>
        <v>Gider|Temsil / Ağırlama|46070|2400|2 Adet Mutfak Tüpü|</v>
      </c>
      <c r="X57" s="1"/>
      <c r="Y57" s="1"/>
      <c r="Z57" s="1"/>
      <c r="AA57" s="1"/>
      <c r="AB57" s="1"/>
      <c r="AC57" s="1"/>
      <c r="AD57" s="1">
        <f>IF($C57="",0,SUMPRODUCT((AY_SONU!$O$7:$O$42="Evet")*(AY_SONU!$B$7:$B$42=DATE(YEAR($C57),MONTH($C57),1))))</f>
        <v>0</v>
      </c>
      <c r="AE57" s="1" t="str">
        <f>IF($E57="","",$E57&amp;"|"&amp;COUNTIFS($E$7:$E57,$E57))</f>
        <v>Temsil / Ağırlama|6</v>
      </c>
    </row>
    <row r="58" spans="1:31" ht="18" customHeight="1" x14ac:dyDescent="0.3">
      <c r="A58" s="2"/>
      <c r="B58" s="65" t="str">
        <f>IF($C58="","","GG"&amp;TEXT(ROW()-6,"00000"))</f>
        <v>GG00052</v>
      </c>
      <c r="C58" s="66">
        <v>46070</v>
      </c>
      <c r="D58" s="60" t="s">
        <v>795</v>
      </c>
      <c r="E58" s="61" t="s">
        <v>796</v>
      </c>
      <c r="F58" s="61" t="s">
        <v>832</v>
      </c>
      <c r="G58" s="67">
        <v>12000</v>
      </c>
      <c r="H58" s="60" t="s">
        <v>717</v>
      </c>
      <c r="I58" s="60" t="s">
        <v>773</v>
      </c>
      <c r="J58" s="61"/>
      <c r="K58" s="61"/>
      <c r="L58" s="60"/>
      <c r="M58" s="74" t="str">
        <f>IF($C58="","",IF($D58="Gider",$E58,IF($L58&lt;&gt;"",$L58,$H58)))</f>
        <v>MERKEZ KASA</v>
      </c>
      <c r="N58" s="74" t="str">
        <f>IF($C58="","",IF($D58="Gider",$H58,$E58))</f>
        <v>Diğer Gelirler</v>
      </c>
      <c r="O58" s="73">
        <f>IF($C58="","",DATE(YEAR($C58),MONTH($C58),1))</f>
        <v>46054</v>
      </c>
      <c r="P58" s="65" t="str">
        <f ca="1">IF($C58="","",IF(AND($D58="Gelir",$L58&lt;&gt;"",$T58=""),"TANIMSIZ BORÇLU",IF($T58&lt;&gt;"",IF(OR($E58="",$G58&lt;=0),"EKSİK",IF($I58="Evet","TAHAKKUK NAKİT OLAMAZ",IF($C58&gt;TODAY(),"İLERİ TARİH","TAHAKKUK"))),IF(AND($D58&lt;&gt;"",$E58&lt;&gt;"",$G58&gt;0,$H58&lt;&gt;"",$I58&lt;&gt;""),IF($C58&gt;TODAY(),"İLERİ TARİH",IF(COUNTIF($W$7:$W$3001,$W58)&gt;1,"MÜKERRER?",IF($AD58&gt;0,"KAPALI DÖNEM",IF($I58="Hayır","ÖDENECEK","UYGUN")))),"EKSİK"))))</f>
        <v>UYGUN</v>
      </c>
      <c r="Q58" s="2"/>
      <c r="R58" s="2"/>
      <c r="S58" s="1" t="str">
        <f t="shared" si="0"/>
        <v/>
      </c>
      <c r="T58" s="1" t="str">
        <f>IF(OR($C58="",$D58&lt;&gt;"Gelir",$L58=""),"",IFERROR(INDEX(MUSTERILER!$B$7:$B$156,MATCH($S58,MUSTERILER!$T$7:$T$156,0)),""))</f>
        <v/>
      </c>
      <c r="U58" s="1" t="str">
        <f>IF($T58="","",$T58&amp;"|"&amp;COUNTIFS($T$7:$T58,$T58))</f>
        <v/>
      </c>
      <c r="V58" s="1">
        <f t="shared" si="1"/>
        <v>0</v>
      </c>
      <c r="W58" s="1" t="str">
        <f t="shared" si="2"/>
        <v>Gelir|Diğer Gelirler|46070|12000|GOLD LTD.ŞTİ. VE YSM LTD.ŞTİ. TAHSİLAT|</v>
      </c>
      <c r="X58" s="1"/>
      <c r="Y58" s="1"/>
      <c r="Z58" s="1"/>
      <c r="AA58" s="1"/>
      <c r="AB58" s="1"/>
      <c r="AC58" s="1"/>
      <c r="AD58" s="1">
        <f>IF($C58="",0,SUMPRODUCT((AY_SONU!$O$7:$O$42="Evet")*(AY_SONU!$B$7:$B$42=DATE(YEAR($C58),MONTH($C58),1))))</f>
        <v>0</v>
      </c>
      <c r="AE58" s="1" t="str">
        <f>IF($E58="","",$E58&amp;"|"&amp;COUNTIFS($E$7:$E58,$E58))</f>
        <v>Diğer Gelirler|2</v>
      </c>
    </row>
    <row r="59" spans="1:31" ht="18" customHeight="1" x14ac:dyDescent="0.3">
      <c r="A59" s="2"/>
      <c r="B59" s="65" t="str">
        <f>IF($C59="","","GG"&amp;TEXT(ROW()-6,"00000"))</f>
        <v>GG00053</v>
      </c>
      <c r="C59" s="66">
        <v>46071</v>
      </c>
      <c r="D59" s="60" t="s">
        <v>769</v>
      </c>
      <c r="E59" s="61" t="s">
        <v>798</v>
      </c>
      <c r="F59" s="61" t="s">
        <v>833</v>
      </c>
      <c r="G59" s="67">
        <v>5000</v>
      </c>
      <c r="H59" s="60" t="s">
        <v>772</v>
      </c>
      <c r="I59" s="60" t="s">
        <v>773</v>
      </c>
      <c r="J59" s="61"/>
      <c r="K59" s="61"/>
      <c r="L59" s="60"/>
      <c r="M59" s="74" t="str">
        <f>IF($C59="","",IF($D59="Gider",$E59,IF($L59&lt;&gt;"",$L59,$H59)))</f>
        <v>Personel</v>
      </c>
      <c r="N59" s="74" t="str">
        <f>IF($C59="","",IF($D59="Gider",$H59,$E59))</f>
        <v>Merkez Kasa</v>
      </c>
      <c r="O59" s="73">
        <f>IF($C59="","",DATE(YEAR($C59),MONTH($C59),1))</f>
        <v>46054</v>
      </c>
      <c r="P59" s="65" t="str">
        <f ca="1">IF($C59="","",IF(AND($D59="Gelir",$L59&lt;&gt;"",$T59=""),"TANIMSIZ BORÇLU",IF($T59&lt;&gt;"",IF(OR($E59="",$G59&lt;=0),"EKSİK",IF($I59="Evet","TAHAKKUK NAKİT OLAMAZ",IF($C59&gt;TODAY(),"İLERİ TARİH","TAHAKKUK"))),IF(AND($D59&lt;&gt;"",$E59&lt;&gt;"",$G59&gt;0,$H59&lt;&gt;"",$I59&lt;&gt;""),IF($C59&gt;TODAY(),"İLERİ TARİH",IF(COUNTIF($W$7:$W$3001,$W59)&gt;1,"MÜKERRER?",IF($AD59&gt;0,"KAPALI DÖNEM",IF($I59="Hayır","ÖDENECEK","UYGUN")))),"EKSİK"))))</f>
        <v>UYGUN</v>
      </c>
      <c r="Q59" s="2"/>
      <c r="R59" s="2"/>
      <c r="S59" s="1" t="str">
        <f t="shared" si="0"/>
        <v/>
      </c>
      <c r="T59" s="1" t="str">
        <f>IF(OR($C59="",$D59&lt;&gt;"Gelir",$L59=""),"",IFERROR(INDEX(MUSTERILER!$B$7:$B$156,MATCH($S59,MUSTERILER!$T$7:$T$156,0)),""))</f>
        <v/>
      </c>
      <c r="U59" s="1" t="str">
        <f>IF($T59="","",$T59&amp;"|"&amp;COUNTIFS($T$7:$T59,$T59))</f>
        <v/>
      </c>
      <c r="V59" s="1">
        <f t="shared" si="1"/>
        <v>0</v>
      </c>
      <c r="W59" s="1" t="str">
        <f t="shared" si="2"/>
        <v>Gider|Personel|46071|5000|Zeynep Hanım Ramazan Primi|</v>
      </c>
      <c r="X59" s="1"/>
      <c r="Y59" s="1"/>
      <c r="Z59" s="1"/>
      <c r="AA59" s="1"/>
      <c r="AB59" s="1"/>
      <c r="AC59" s="1"/>
      <c r="AD59" s="1">
        <f>IF($C59="",0,SUMPRODUCT((AY_SONU!$O$7:$O$42="Evet")*(AY_SONU!$B$7:$B$42=DATE(YEAR($C59),MONTH($C59),1))))</f>
        <v>0</v>
      </c>
      <c r="AE59" s="1" t="str">
        <f>IF($E59="","",$E59&amp;"|"&amp;COUNTIFS($E$7:$E59,$E59))</f>
        <v>Personel|4</v>
      </c>
    </row>
    <row r="60" spans="1:31" ht="18" customHeight="1" x14ac:dyDescent="0.3">
      <c r="A60" s="2"/>
      <c r="B60" s="65" t="str">
        <f>IF($C60="","","GG"&amp;TEXT(ROW()-6,"00000"))</f>
        <v>GG00054</v>
      </c>
      <c r="C60" s="66">
        <v>46072</v>
      </c>
      <c r="D60" s="60" t="s">
        <v>769</v>
      </c>
      <c r="E60" s="61" t="s">
        <v>801</v>
      </c>
      <c r="F60" s="61" t="s">
        <v>834</v>
      </c>
      <c r="G60" s="67">
        <v>136439.57999999999</v>
      </c>
      <c r="H60" s="60" t="s">
        <v>772</v>
      </c>
      <c r="I60" s="60" t="s">
        <v>773</v>
      </c>
      <c r="J60" s="61"/>
      <c r="K60" s="61"/>
      <c r="L60" s="60"/>
      <c r="M60" s="74" t="str">
        <f>IF($C60="","",IF($D60="Gider",$E60,IF($L60&lt;&gt;"",$L60,$H60)))</f>
        <v>Vergi / Harç</v>
      </c>
      <c r="N60" s="74" t="str">
        <f>IF($C60="","",IF($D60="Gider",$H60,$E60))</f>
        <v>Merkez Kasa</v>
      </c>
      <c r="O60" s="73">
        <f>IF($C60="","",DATE(YEAR($C60),MONTH($C60),1))</f>
        <v>46054</v>
      </c>
      <c r="P60" s="65" t="str">
        <f ca="1">IF($C60="","",IF(AND($D60="Gelir",$L60&lt;&gt;"",$T60=""),"TANIMSIZ BORÇLU",IF($T60&lt;&gt;"",IF(OR($E60="",$G60&lt;=0),"EKSİK",IF($I60="Evet","TAHAKKUK NAKİT OLAMAZ",IF($C60&gt;TODAY(),"İLERİ TARİH","TAHAKKUK"))),IF(AND($D60&lt;&gt;"",$E60&lt;&gt;"",$G60&gt;0,$H60&lt;&gt;"",$I60&lt;&gt;""),IF($C60&gt;TODAY(),"İLERİ TARİH",IF(COUNTIF($W$7:$W$3001,$W60)&gt;1,"MÜKERRER?",IF($AD60&gt;0,"KAPALI DÖNEM",IF($I60="Hayır","ÖDENECEK","UYGUN")))),"EKSİK"))))</f>
        <v>UYGUN</v>
      </c>
      <c r="Q60" s="2"/>
      <c r="R60" s="2"/>
      <c r="S60" s="1" t="str">
        <f t="shared" si="0"/>
        <v/>
      </c>
      <c r="T60" s="1" t="str">
        <f>IF(OR($C60="",$D60&lt;&gt;"Gelir",$L60=""),"",IFERROR(INDEX(MUSTERILER!$B$7:$B$156,MATCH($S60,MUSTERILER!$T$7:$T$156,0)),""))</f>
        <v/>
      </c>
      <c r="U60" s="1" t="str">
        <f>IF($T60="","",$T60&amp;"|"&amp;COUNTIFS($T$7:$T60,$T60))</f>
        <v/>
      </c>
      <c r="V60" s="1">
        <f t="shared" si="1"/>
        <v>0</v>
      </c>
      <c r="W60" s="1" t="str">
        <f t="shared" si="2"/>
        <v>Gider|Vergi / Harç|46072|136440|Aralık KDV Ödemesi|</v>
      </c>
      <c r="X60" s="1"/>
      <c r="Y60" s="1"/>
      <c r="Z60" s="1"/>
      <c r="AA60" s="1"/>
      <c r="AB60" s="1"/>
      <c r="AC60" s="1"/>
      <c r="AD60" s="1">
        <f>IF($C60="",0,SUMPRODUCT((AY_SONU!$O$7:$O$42="Evet")*(AY_SONU!$B$7:$B$42=DATE(YEAR($C60),MONTH($C60),1))))</f>
        <v>0</v>
      </c>
      <c r="AE60" s="1" t="str">
        <f>IF($E60="","",$E60&amp;"|"&amp;COUNTIFS($E$7:$E60,$E60))</f>
        <v>Vergi / Harç|5</v>
      </c>
    </row>
    <row r="61" spans="1:31" ht="18" customHeight="1" x14ac:dyDescent="0.3">
      <c r="A61" s="2"/>
      <c r="B61" s="65" t="str">
        <f>IF($C61="","","GG"&amp;TEXT(ROW()-6,"00000"))</f>
        <v>GG00055</v>
      </c>
      <c r="C61" s="66">
        <v>46072</v>
      </c>
      <c r="D61" s="60" t="s">
        <v>769</v>
      </c>
      <c r="E61" s="61" t="s">
        <v>801</v>
      </c>
      <c r="F61" s="61" t="s">
        <v>835</v>
      </c>
      <c r="G61" s="67">
        <v>1088.1500000000001</v>
      </c>
      <c r="H61" s="60" t="s">
        <v>772</v>
      </c>
      <c r="I61" s="60" t="s">
        <v>773</v>
      </c>
      <c r="J61" s="61"/>
      <c r="K61" s="61"/>
      <c r="L61" s="60"/>
      <c r="M61" s="74" t="str">
        <f>IF($C61="","",IF($D61="Gider",$E61,IF($L61&lt;&gt;"",$L61,$H61)))</f>
        <v>Vergi / Harç</v>
      </c>
      <c r="N61" s="74" t="str">
        <f>IF($C61="","",IF($D61="Gider",$H61,$E61))</f>
        <v>Merkez Kasa</v>
      </c>
      <c r="O61" s="73">
        <f>IF($C61="","",DATE(YEAR($C61),MONTH($C61),1))</f>
        <v>46054</v>
      </c>
      <c r="P61" s="65" t="str">
        <f ca="1">IF($C61="","",IF(AND($D61="Gelir",$L61&lt;&gt;"",$T61=""),"TANIMSIZ BORÇLU",IF($T61&lt;&gt;"",IF(OR($E61="",$G61&lt;=0),"EKSİK",IF($I61="Evet","TAHAKKUK NAKİT OLAMAZ",IF($C61&gt;TODAY(),"İLERİ TARİH","TAHAKKUK"))),IF(AND($D61&lt;&gt;"",$E61&lt;&gt;"",$G61&gt;0,$H61&lt;&gt;"",$I61&lt;&gt;""),IF($C61&gt;TODAY(),"İLERİ TARİH",IF(COUNTIF($W$7:$W$3001,$W61)&gt;1,"MÜKERRER?",IF($AD61&gt;0,"KAPALI DÖNEM",IF($I61="Hayır","ÖDENECEK","UYGUN")))),"EKSİK"))))</f>
        <v>UYGUN</v>
      </c>
      <c r="Q61" s="2"/>
      <c r="R61" s="2"/>
      <c r="S61" s="1" t="str">
        <f t="shared" si="0"/>
        <v/>
      </c>
      <c r="T61" s="1" t="str">
        <f>IF(OR($C61="",$D61&lt;&gt;"Gelir",$L61=""),"",IFERROR(INDEX(MUSTERILER!$B$7:$B$156,MATCH($S61,MUSTERILER!$T$7:$T$156,0)),""))</f>
        <v/>
      </c>
      <c r="U61" s="1" t="str">
        <f>IF($T61="","",$T61&amp;"|"&amp;COUNTIFS($T$7:$T61,$T61))</f>
        <v/>
      </c>
      <c r="V61" s="1">
        <f t="shared" si="1"/>
        <v>0</v>
      </c>
      <c r="W61" s="1" t="str">
        <f t="shared" si="2"/>
        <v>Gider|Vergi / Harç|46072|1088|Geçici Vergi Damga Ödeme|</v>
      </c>
      <c r="X61" s="1"/>
      <c r="Y61" s="1"/>
      <c r="Z61" s="1"/>
      <c r="AA61" s="1"/>
      <c r="AB61" s="1"/>
      <c r="AC61" s="1"/>
      <c r="AD61" s="1">
        <f>IF($C61="",0,SUMPRODUCT((AY_SONU!$O$7:$O$42="Evet")*(AY_SONU!$B$7:$B$42=DATE(YEAR($C61),MONTH($C61),1))))</f>
        <v>0</v>
      </c>
      <c r="AE61" s="1" t="str">
        <f>IF($E61="","",$E61&amp;"|"&amp;COUNTIFS($E$7:$E61,$E61))</f>
        <v>Vergi / Harç|6</v>
      </c>
    </row>
    <row r="62" spans="1:31" ht="18" customHeight="1" x14ac:dyDescent="0.3">
      <c r="A62" s="2"/>
      <c r="B62" s="65" t="str">
        <f>IF($C62="","","GG"&amp;TEXT(ROW()-6,"00000"))</f>
        <v>GG00056</v>
      </c>
      <c r="C62" s="66">
        <v>46077</v>
      </c>
      <c r="D62" s="60" t="s">
        <v>795</v>
      </c>
      <c r="E62" s="61" t="s">
        <v>796</v>
      </c>
      <c r="F62" s="61" t="s">
        <v>836</v>
      </c>
      <c r="G62" s="67">
        <v>1500</v>
      </c>
      <c r="H62" s="60" t="s">
        <v>772</v>
      </c>
      <c r="I62" s="60" t="s">
        <v>773</v>
      </c>
      <c r="J62" s="61"/>
      <c r="K62" s="61"/>
      <c r="L62" s="60"/>
      <c r="M62" s="74" t="str">
        <f>IF($C62="","",IF($D62="Gider",$E62,IF($L62&lt;&gt;"",$L62,$H62)))</f>
        <v>Merkez Kasa</v>
      </c>
      <c r="N62" s="74" t="str">
        <f>IF($C62="","",IF($D62="Gider",$H62,$E62))</f>
        <v>Diğer Gelirler</v>
      </c>
      <c r="O62" s="73">
        <f>IF($C62="","",DATE(YEAR($C62),MONTH($C62),1))</f>
        <v>46054</v>
      </c>
      <c r="P62" s="65" t="str">
        <f ca="1">IF($C62="","",IF(AND($D62="Gelir",$L62&lt;&gt;"",$T62=""),"TANIMSIZ BORÇLU",IF($T62&lt;&gt;"",IF(OR($E62="",$G62&lt;=0),"EKSİK",IF($I62="Evet","TAHAKKUK NAKİT OLAMAZ",IF($C62&gt;TODAY(),"İLERİ TARİH","TAHAKKUK"))),IF(AND($D62&lt;&gt;"",$E62&lt;&gt;"",$G62&gt;0,$H62&lt;&gt;"",$I62&lt;&gt;""),IF($C62&gt;TODAY(),"İLERİ TARİH",IF(COUNTIF($W$7:$W$3001,$W62)&gt;1,"MÜKERRER?",IF($AD62&gt;0,"KAPALI DÖNEM",IF($I62="Hayır","ÖDENECEK","UYGUN")))),"EKSİK"))))</f>
        <v>UYGUN</v>
      </c>
      <c r="Q62" s="2"/>
      <c r="R62" s="2"/>
      <c r="S62" s="1" t="str">
        <f t="shared" si="0"/>
        <v/>
      </c>
      <c r="T62" s="1" t="str">
        <f>IF(OR($C62="",$D62&lt;&gt;"Gelir",$L62=""),"",IFERROR(INDEX(MUSTERILER!$B$7:$B$156,MATCH($S62,MUSTERILER!$T$7:$T$156,0)),""))</f>
        <v/>
      </c>
      <c r="U62" s="1" t="str">
        <f>IF($T62="","",$T62&amp;"|"&amp;COUNTIFS($T$7:$T62,$T62))</f>
        <v/>
      </c>
      <c r="V62" s="1">
        <f t="shared" si="1"/>
        <v>0</v>
      </c>
      <c r="W62" s="1" t="str">
        <f t="shared" si="2"/>
        <v>Gelir|Diğer Gelirler|46077|1500|Müjgan Yavuz Asar Tahsilat Ocak - Şubat Muhasebe|</v>
      </c>
      <c r="X62" s="1"/>
      <c r="Y62" s="1"/>
      <c r="Z62" s="1"/>
      <c r="AA62" s="1"/>
      <c r="AB62" s="1"/>
      <c r="AC62" s="1"/>
      <c r="AD62" s="1">
        <f>IF($C62="",0,SUMPRODUCT((AY_SONU!$O$7:$O$42="Evet")*(AY_SONU!$B$7:$B$42=DATE(YEAR($C62),MONTH($C62),1))))</f>
        <v>0</v>
      </c>
      <c r="AE62" s="1" t="str">
        <f>IF($E62="","",$E62&amp;"|"&amp;COUNTIFS($E$7:$E62,$E62))</f>
        <v>Diğer Gelirler|3</v>
      </c>
    </row>
    <row r="63" spans="1:31" ht="18" customHeight="1" x14ac:dyDescent="0.3">
      <c r="A63" s="2"/>
      <c r="B63" s="65" t="str">
        <f>IF($C63="","","GG"&amp;TEXT(ROW()-6,"00000"))</f>
        <v>GG00057</v>
      </c>
      <c r="C63" s="66">
        <v>46081</v>
      </c>
      <c r="D63" s="60" t="s">
        <v>769</v>
      </c>
      <c r="E63" s="61" t="s">
        <v>801</v>
      </c>
      <c r="F63" s="61" t="s">
        <v>837</v>
      </c>
      <c r="G63" s="67">
        <v>11810</v>
      </c>
      <c r="H63" s="60" t="s">
        <v>772</v>
      </c>
      <c r="I63" s="60" t="s">
        <v>773</v>
      </c>
      <c r="J63" s="61"/>
      <c r="K63" s="61"/>
      <c r="L63" s="60"/>
      <c r="M63" s="74" t="str">
        <f>IF($C63="","",IF($D63="Gider",$E63,IF($L63&lt;&gt;"",$L63,$H63)))</f>
        <v>Vergi / Harç</v>
      </c>
      <c r="N63" s="74" t="str">
        <f>IF($C63="","",IF($D63="Gider",$H63,$E63))</f>
        <v>Merkez Kasa</v>
      </c>
      <c r="O63" s="73">
        <f>IF($C63="","",DATE(YEAR($C63),MONTH($C63),1))</f>
        <v>46054</v>
      </c>
      <c r="P63" s="65" t="str">
        <f ca="1">IF($C63="","",IF(AND($D63="Gelir",$L63&lt;&gt;"",$T63=""),"TANIMSIZ BORÇLU",IF($T63&lt;&gt;"",IF(OR($E63="",$G63&lt;=0),"EKSİK",IF($I63="Evet","TAHAKKUK NAKİT OLAMAZ",IF($C63&gt;TODAY(),"İLERİ TARİH","TAHAKKUK"))),IF(AND($D63&lt;&gt;"",$E63&lt;&gt;"",$G63&gt;0,$H63&lt;&gt;"",$I63&lt;&gt;""),IF($C63&gt;TODAY(),"İLERİ TARİH",IF(COUNTIF($W$7:$W$3001,$W63)&gt;1,"MÜKERRER?",IF($AD63&gt;0,"KAPALI DÖNEM",IF($I63="Hayır","ÖDENECEK","UYGUN")))),"EKSİK"))))</f>
        <v>UYGUN</v>
      </c>
      <c r="Q63" s="2"/>
      <c r="R63" s="2"/>
      <c r="S63" s="1" t="str">
        <f t="shared" si="0"/>
        <v/>
      </c>
      <c r="T63" s="1" t="str">
        <f>IF(OR($C63="",$D63&lt;&gt;"Gelir",$L63=""),"",IFERROR(INDEX(MUSTERILER!$B$7:$B$156,MATCH($S63,MUSTERILER!$T$7:$T$156,0)),""))</f>
        <v/>
      </c>
      <c r="U63" s="1" t="str">
        <f>IF($T63="","",$T63&amp;"|"&amp;COUNTIFS($T$7:$T63,$T63))</f>
        <v/>
      </c>
      <c r="V63" s="1">
        <f t="shared" si="1"/>
        <v>0</v>
      </c>
      <c r="W63" s="1" t="str">
        <f t="shared" si="2"/>
        <v>Gider|Vergi / Harç|46081|11810|Şubat Bağkur Ödemesi|</v>
      </c>
      <c r="X63" s="1"/>
      <c r="Y63" s="1"/>
      <c r="Z63" s="1"/>
      <c r="AA63" s="1"/>
      <c r="AB63" s="1"/>
      <c r="AC63" s="1"/>
      <c r="AD63" s="1">
        <f>IF($C63="",0,SUMPRODUCT((AY_SONU!$O$7:$O$42="Evet")*(AY_SONU!$B$7:$B$42=DATE(YEAR($C63),MONTH($C63),1))))</f>
        <v>0</v>
      </c>
      <c r="AE63" s="1" t="str">
        <f>IF($E63="","",$E63&amp;"|"&amp;COUNTIFS($E$7:$E63,$E63))</f>
        <v>Vergi / Harç|7</v>
      </c>
    </row>
    <row r="64" spans="1:31" ht="18" customHeight="1" x14ac:dyDescent="0.3">
      <c r="A64" s="2"/>
      <c r="B64" s="65" t="str">
        <f>IF($C64="","","GG"&amp;TEXT(ROW()-6,"00000"))</f>
        <v>GG00058</v>
      </c>
      <c r="C64" s="66">
        <v>46083</v>
      </c>
      <c r="D64" s="60" t="s">
        <v>769</v>
      </c>
      <c r="E64" s="61" t="s">
        <v>798</v>
      </c>
      <c r="F64" s="61" t="s">
        <v>838</v>
      </c>
      <c r="G64" s="67">
        <v>10000</v>
      </c>
      <c r="H64" s="60" t="s">
        <v>772</v>
      </c>
      <c r="I64" s="60" t="s">
        <v>773</v>
      </c>
      <c r="J64" s="61"/>
      <c r="K64" s="61"/>
      <c r="L64" s="60"/>
      <c r="M64" s="74" t="str">
        <f>IF($C64="","",IF($D64="Gider",$E64,IF($L64&lt;&gt;"",$L64,$H64)))</f>
        <v>Personel</v>
      </c>
      <c r="N64" s="74" t="str">
        <f>IF($C64="","",IF($D64="Gider",$H64,$E64))</f>
        <v>Merkez Kasa</v>
      </c>
      <c r="O64" s="73">
        <f>IF($C64="","",DATE(YEAR($C64),MONTH($C64),1))</f>
        <v>46082</v>
      </c>
      <c r="P64" s="65" t="str">
        <f ca="1">IF($C64="","",IF(AND($D64="Gelir",$L64&lt;&gt;"",$T64=""),"TANIMSIZ BORÇLU",IF($T64&lt;&gt;"",IF(OR($E64="",$G64&lt;=0),"EKSİK",IF($I64="Evet","TAHAKKUK NAKİT OLAMAZ",IF($C64&gt;TODAY(),"İLERİ TARİH","TAHAKKUK"))),IF(AND($D64&lt;&gt;"",$E64&lt;&gt;"",$G64&gt;0,$H64&lt;&gt;"",$I64&lt;&gt;""),IF($C64&gt;TODAY(),"İLERİ TARİH",IF(COUNTIF($W$7:$W$3001,$W64)&gt;1,"MÜKERRER?",IF($AD64&gt;0,"KAPALI DÖNEM",IF($I64="Hayır","ÖDENECEK","UYGUN")))),"EKSİK"))))</f>
        <v>UYGUN</v>
      </c>
      <c r="Q64" s="2"/>
      <c r="R64" s="2"/>
      <c r="S64" s="1" t="str">
        <f t="shared" si="0"/>
        <v/>
      </c>
      <c r="T64" s="1" t="str">
        <f>IF(OR($C64="",$D64&lt;&gt;"Gelir",$L64=""),"",IFERROR(INDEX(MUSTERILER!$B$7:$B$156,MATCH($S64,MUSTERILER!$T$7:$T$156,0)),""))</f>
        <v/>
      </c>
      <c r="U64" s="1" t="str">
        <f>IF($T64="","",$T64&amp;"|"&amp;COUNTIFS($T$7:$T64,$T64))</f>
        <v/>
      </c>
      <c r="V64" s="1">
        <f t="shared" si="1"/>
        <v>0</v>
      </c>
      <c r="W64" s="1" t="str">
        <f t="shared" si="2"/>
        <v>Gider|Personel|46083|10000|Zeynep Hanım Maaş Mahsuben|</v>
      </c>
      <c r="X64" s="1"/>
      <c r="Y64" s="1"/>
      <c r="Z64" s="1"/>
      <c r="AA64" s="1"/>
      <c r="AB64" s="1"/>
      <c r="AC64" s="1"/>
      <c r="AD64" s="1">
        <f>IF($C64="",0,SUMPRODUCT((AY_SONU!$O$7:$O$42="Evet")*(AY_SONU!$B$7:$B$42=DATE(YEAR($C64),MONTH($C64),1))))</f>
        <v>0</v>
      </c>
      <c r="AE64" s="1" t="str">
        <f>IF($E64="","",$E64&amp;"|"&amp;COUNTIFS($E$7:$E64,$E64))</f>
        <v>Personel|5</v>
      </c>
    </row>
    <row r="65" spans="1:31" ht="18" customHeight="1" x14ac:dyDescent="0.3">
      <c r="A65" s="2"/>
      <c r="B65" s="65" t="str">
        <f>IF($C65="","","GG"&amp;TEXT(ROW()-6,"00000"))</f>
        <v>GG00059</v>
      </c>
      <c r="C65" s="66">
        <v>46083</v>
      </c>
      <c r="D65" s="60" t="s">
        <v>769</v>
      </c>
      <c r="E65" s="61" t="s">
        <v>790</v>
      </c>
      <c r="F65" s="61" t="s">
        <v>839</v>
      </c>
      <c r="G65" s="67">
        <v>1500</v>
      </c>
      <c r="H65" s="60" t="s">
        <v>772</v>
      </c>
      <c r="I65" s="60" t="s">
        <v>773</v>
      </c>
      <c r="J65" s="61"/>
      <c r="K65" s="61"/>
      <c r="L65" s="60"/>
      <c r="M65" s="74" t="str">
        <f>IF($C65="","",IF($D65="Gider",$E65,IF($L65&lt;&gt;"",$L65,$H65)))</f>
        <v>Temsil / Ağırlama</v>
      </c>
      <c r="N65" s="74" t="str">
        <f>IF($C65="","",IF($D65="Gider",$H65,$E65))</f>
        <v>Merkez Kasa</v>
      </c>
      <c r="O65" s="73">
        <f>IF($C65="","",DATE(YEAR($C65),MONTH($C65),1))</f>
        <v>46082</v>
      </c>
      <c r="P65" s="65" t="str">
        <f ca="1">IF($C65="","",IF(AND($D65="Gelir",$L65&lt;&gt;"",$T65=""),"TANIMSIZ BORÇLU",IF($T65&lt;&gt;"",IF(OR($E65="",$G65&lt;=0),"EKSİK",IF($I65="Evet","TAHAKKUK NAKİT OLAMAZ",IF($C65&gt;TODAY(),"İLERİ TARİH","TAHAKKUK"))),IF(AND($D65&lt;&gt;"",$E65&lt;&gt;"",$G65&gt;0,$H65&lt;&gt;"",$I65&lt;&gt;""),IF($C65&gt;TODAY(),"İLERİ TARİH",IF(COUNTIF($W$7:$W$3001,$W65)&gt;1,"MÜKERRER?",IF($AD65&gt;0,"KAPALI DÖNEM",IF($I65="Hayır","ÖDENECEK","UYGUN")))),"EKSİK"))))</f>
        <v>UYGUN</v>
      </c>
      <c r="Q65" s="2"/>
      <c r="R65" s="2"/>
      <c r="S65" s="1" t="str">
        <f t="shared" si="0"/>
        <v/>
      </c>
      <c r="T65" s="1" t="str">
        <f>IF(OR($C65="",$D65&lt;&gt;"Gelir",$L65=""),"",IFERROR(INDEX(MUSTERILER!$B$7:$B$156,MATCH($S65,MUSTERILER!$T$7:$T$156,0)),""))</f>
        <v/>
      </c>
      <c r="U65" s="1" t="str">
        <f>IF($T65="","",$T65&amp;"|"&amp;COUNTIFS($T$7:$T65,$T65))</f>
        <v/>
      </c>
      <c r="V65" s="1">
        <f t="shared" si="1"/>
        <v>0</v>
      </c>
      <c r="W65" s="1" t="str">
        <f t="shared" si="2"/>
        <v>Gider|Temsil / Ağırlama|46083|1500|Mutfak Gereci|</v>
      </c>
      <c r="X65" s="1"/>
      <c r="Y65" s="1"/>
      <c r="Z65" s="1"/>
      <c r="AA65" s="1"/>
      <c r="AB65" s="1"/>
      <c r="AC65" s="1"/>
      <c r="AD65" s="1">
        <f>IF($C65="",0,SUMPRODUCT((AY_SONU!$O$7:$O$42="Evet")*(AY_SONU!$B$7:$B$42=DATE(YEAR($C65),MONTH($C65),1))))</f>
        <v>0</v>
      </c>
      <c r="AE65" s="1" t="str">
        <f>IF($E65="","",$E65&amp;"|"&amp;COUNTIFS($E$7:$E65,$E65))</f>
        <v>Temsil / Ağırlama|7</v>
      </c>
    </row>
    <row r="66" spans="1:31" ht="18" customHeight="1" x14ac:dyDescent="0.3">
      <c r="A66" s="2"/>
      <c r="B66" s="65" t="str">
        <f>IF($C66="","","GG"&amp;TEXT(ROW()-6,"00000"))</f>
        <v>GG00060</v>
      </c>
      <c r="C66" s="66">
        <v>46083</v>
      </c>
      <c r="D66" s="60" t="s">
        <v>769</v>
      </c>
      <c r="E66" s="61" t="s">
        <v>779</v>
      </c>
      <c r="F66" s="61" t="s">
        <v>779</v>
      </c>
      <c r="G66" s="67">
        <v>100</v>
      </c>
      <c r="H66" s="60" t="s">
        <v>772</v>
      </c>
      <c r="I66" s="60" t="s">
        <v>773</v>
      </c>
      <c r="J66" s="61"/>
      <c r="K66" s="61"/>
      <c r="L66" s="60"/>
      <c r="M66" s="74" t="str">
        <f>IF($C66="","",IF($D66="Gider",$E66,IF($L66&lt;&gt;"",$L66,$H66)))</f>
        <v>Kırtasiye</v>
      </c>
      <c r="N66" s="74" t="str">
        <f>IF($C66="","",IF($D66="Gider",$H66,$E66))</f>
        <v>Merkez Kasa</v>
      </c>
      <c r="O66" s="73">
        <f>IF($C66="","",DATE(YEAR($C66),MONTH($C66),1))</f>
        <v>46082</v>
      </c>
      <c r="P66" s="65" t="str">
        <f ca="1">IF($C66="","",IF(AND($D66="Gelir",$L66&lt;&gt;"",$T66=""),"TANIMSIZ BORÇLU",IF($T66&lt;&gt;"",IF(OR($E66="",$G66&lt;=0),"EKSİK",IF($I66="Evet","TAHAKKUK NAKİT OLAMAZ",IF($C66&gt;TODAY(),"İLERİ TARİH","TAHAKKUK"))),IF(AND($D66&lt;&gt;"",$E66&lt;&gt;"",$G66&gt;0,$H66&lt;&gt;"",$I66&lt;&gt;""),IF($C66&gt;TODAY(),"İLERİ TARİH",IF(COUNTIF($W$7:$W$3001,$W66)&gt;1,"MÜKERRER?",IF($AD66&gt;0,"KAPALI DÖNEM",IF($I66="Hayır","ÖDENECEK","UYGUN")))),"EKSİK"))))</f>
        <v>UYGUN</v>
      </c>
      <c r="Q66" s="2"/>
      <c r="R66" s="2"/>
      <c r="S66" s="1" t="str">
        <f t="shared" si="0"/>
        <v/>
      </c>
      <c r="T66" s="1" t="str">
        <f>IF(OR($C66="",$D66&lt;&gt;"Gelir",$L66=""),"",IFERROR(INDEX(MUSTERILER!$B$7:$B$156,MATCH($S66,MUSTERILER!$T$7:$T$156,0)),""))</f>
        <v/>
      </c>
      <c r="U66" s="1" t="str">
        <f>IF($T66="","",$T66&amp;"|"&amp;COUNTIFS($T$7:$T66,$T66))</f>
        <v/>
      </c>
      <c r="V66" s="1">
        <f t="shared" si="1"/>
        <v>0</v>
      </c>
      <c r="W66" s="1" t="str">
        <f t="shared" si="2"/>
        <v>Gider|Kırtasiye|46083|100|Kırtasiye|</v>
      </c>
      <c r="X66" s="1"/>
      <c r="Y66" s="1"/>
      <c r="Z66" s="1"/>
      <c r="AA66" s="1"/>
      <c r="AB66" s="1"/>
      <c r="AC66" s="1"/>
      <c r="AD66" s="1">
        <f>IF($C66="",0,SUMPRODUCT((AY_SONU!$O$7:$O$42="Evet")*(AY_SONU!$B$7:$B$42=DATE(YEAR($C66),MONTH($C66),1))))</f>
        <v>0</v>
      </c>
      <c r="AE66" s="1" t="str">
        <f>IF($E66="","",$E66&amp;"|"&amp;COUNTIFS($E$7:$E66,$E66))</f>
        <v>Kırtasiye|2</v>
      </c>
    </row>
    <row r="67" spans="1:31" ht="18" customHeight="1" x14ac:dyDescent="0.3">
      <c r="A67" s="2"/>
      <c r="B67" s="65" t="str">
        <f>IF($C67="","","GG"&amp;TEXT(ROW()-6,"00000"))</f>
        <v>GG00061</v>
      </c>
      <c r="C67" s="66">
        <v>46083</v>
      </c>
      <c r="D67" s="60" t="s">
        <v>769</v>
      </c>
      <c r="E67" s="61" t="s">
        <v>790</v>
      </c>
      <c r="F67" s="61" t="s">
        <v>840</v>
      </c>
      <c r="G67" s="67">
        <v>860</v>
      </c>
      <c r="H67" s="60" t="s">
        <v>772</v>
      </c>
      <c r="I67" s="60" t="s">
        <v>773</v>
      </c>
      <c r="J67" s="61"/>
      <c r="K67" s="61"/>
      <c r="L67" s="60"/>
      <c r="M67" s="74" t="str">
        <f>IF($C67="","",IF($D67="Gider",$E67,IF($L67&lt;&gt;"",$L67,$H67)))</f>
        <v>Temsil / Ağırlama</v>
      </c>
      <c r="N67" s="74" t="str">
        <f>IF($C67="","",IF($D67="Gider",$H67,$E67))</f>
        <v>Merkez Kasa</v>
      </c>
      <c r="O67" s="73">
        <f>IF($C67="","",DATE(YEAR($C67),MONTH($C67),1))</f>
        <v>46082</v>
      </c>
      <c r="P67" s="65" t="str">
        <f ca="1">IF($C67="","",IF(AND($D67="Gelir",$L67&lt;&gt;"",$T67=""),"TANIMSIZ BORÇLU",IF($T67&lt;&gt;"",IF(OR($E67="",$G67&lt;=0),"EKSİK",IF($I67="Evet","TAHAKKUK NAKİT OLAMAZ",IF($C67&gt;TODAY(),"İLERİ TARİH","TAHAKKUK"))),IF(AND($D67&lt;&gt;"",$E67&lt;&gt;"",$G67&gt;0,$H67&lt;&gt;"",$I67&lt;&gt;""),IF($C67&gt;TODAY(),"İLERİ TARİH",IF(COUNTIF($W$7:$W$3001,$W67)&gt;1,"MÜKERRER?",IF($AD67&gt;0,"KAPALI DÖNEM",IF($I67="Hayır","ÖDENECEK","UYGUN")))),"EKSİK"))))</f>
        <v>UYGUN</v>
      </c>
      <c r="Q67" s="2"/>
      <c r="R67" s="2"/>
      <c r="S67" s="1" t="str">
        <f t="shared" si="0"/>
        <v/>
      </c>
      <c r="T67" s="1" t="str">
        <f>IF(OR($C67="",$D67&lt;&gt;"Gelir",$L67=""),"",IFERROR(INDEX(MUSTERILER!$B$7:$B$156,MATCH($S67,MUSTERILER!$T$7:$T$156,0)),""))</f>
        <v/>
      </c>
      <c r="U67" s="1" t="str">
        <f>IF($T67="","",$T67&amp;"|"&amp;COUNTIFS($T$7:$T67,$T67))</f>
        <v/>
      </c>
      <c r="V67" s="1">
        <f t="shared" si="1"/>
        <v>0</v>
      </c>
      <c r="W67" s="1" t="str">
        <f t="shared" si="2"/>
        <v>Gider|Temsil / Ağırlama|46083|860|Gıda Alışverişi |</v>
      </c>
      <c r="X67" s="1"/>
      <c r="Y67" s="1"/>
      <c r="Z67" s="1"/>
      <c r="AA67" s="1"/>
      <c r="AB67" s="1"/>
      <c r="AC67" s="1"/>
      <c r="AD67" s="1">
        <f>IF($C67="",0,SUMPRODUCT((AY_SONU!$O$7:$O$42="Evet")*(AY_SONU!$B$7:$B$42=DATE(YEAR($C67),MONTH($C67),1))))</f>
        <v>0</v>
      </c>
      <c r="AE67" s="1" t="str">
        <f>IF($E67="","",$E67&amp;"|"&amp;COUNTIFS($E$7:$E67,$E67))</f>
        <v>Temsil / Ağırlama|8</v>
      </c>
    </row>
    <row r="68" spans="1:31" ht="18" customHeight="1" x14ac:dyDescent="0.3">
      <c r="A68" s="2"/>
      <c r="B68" s="65" t="str">
        <f>IF($C68="","","GG"&amp;TEXT(ROW()-6,"00000"))</f>
        <v>GG00062</v>
      </c>
      <c r="C68" s="66">
        <v>46083</v>
      </c>
      <c r="D68" s="60" t="s">
        <v>769</v>
      </c>
      <c r="E68" s="61" t="s">
        <v>790</v>
      </c>
      <c r="F68" s="61" t="s">
        <v>841</v>
      </c>
      <c r="G68" s="67">
        <v>380</v>
      </c>
      <c r="H68" s="60" t="s">
        <v>772</v>
      </c>
      <c r="I68" s="60" t="s">
        <v>773</v>
      </c>
      <c r="J68" s="61"/>
      <c r="K68" s="61"/>
      <c r="L68" s="60"/>
      <c r="M68" s="74" t="str">
        <f>IF($C68="","",IF($D68="Gider",$E68,IF($L68&lt;&gt;"",$L68,$H68)))</f>
        <v>Temsil / Ağırlama</v>
      </c>
      <c r="N68" s="74" t="str">
        <f>IF($C68="","",IF($D68="Gider",$H68,$E68))</f>
        <v>Merkez Kasa</v>
      </c>
      <c r="O68" s="73">
        <f>IF($C68="","",DATE(YEAR($C68),MONTH($C68),1))</f>
        <v>46082</v>
      </c>
      <c r="P68" s="65" t="str">
        <f ca="1">IF($C68="","",IF(AND($D68="Gelir",$L68&lt;&gt;"",$T68=""),"TANIMSIZ BORÇLU",IF($T68&lt;&gt;"",IF(OR($E68="",$G68&lt;=0),"EKSİK",IF($I68="Evet","TAHAKKUK NAKİT OLAMAZ",IF($C68&gt;TODAY(),"İLERİ TARİH","TAHAKKUK"))),IF(AND($D68&lt;&gt;"",$E68&lt;&gt;"",$G68&gt;0,$H68&lt;&gt;"",$I68&lt;&gt;""),IF($C68&gt;TODAY(),"İLERİ TARİH",IF(COUNTIF($W$7:$W$3001,$W68)&gt;1,"MÜKERRER?",IF($AD68&gt;0,"KAPALI DÖNEM",IF($I68="Hayır","ÖDENECEK","UYGUN")))),"EKSİK"))))</f>
        <v>UYGUN</v>
      </c>
      <c r="Q68" s="2"/>
      <c r="R68" s="2"/>
      <c r="S68" s="1" t="str">
        <f t="shared" si="0"/>
        <v/>
      </c>
      <c r="T68" s="1" t="str">
        <f>IF(OR($C68="",$D68&lt;&gt;"Gelir",$L68=""),"",IFERROR(INDEX(MUSTERILER!$B$7:$B$156,MATCH($S68,MUSTERILER!$T$7:$T$156,0)),""))</f>
        <v/>
      </c>
      <c r="U68" s="1" t="str">
        <f>IF($T68="","",$T68&amp;"|"&amp;COUNTIFS($T$7:$T68,$T68))</f>
        <v/>
      </c>
      <c r="V68" s="1">
        <f t="shared" si="1"/>
        <v>0</v>
      </c>
      <c r="W68" s="1" t="str">
        <f t="shared" si="2"/>
        <v>Gider|Temsil / Ağırlama|46083|380|Çay|</v>
      </c>
      <c r="X68" s="1"/>
      <c r="Y68" s="1"/>
      <c r="Z68" s="1"/>
      <c r="AA68" s="1"/>
      <c r="AB68" s="1"/>
      <c r="AC68" s="1"/>
      <c r="AD68" s="1">
        <f>IF($C68="",0,SUMPRODUCT((AY_SONU!$O$7:$O$42="Evet")*(AY_SONU!$B$7:$B$42=DATE(YEAR($C68),MONTH($C68),1))))</f>
        <v>0</v>
      </c>
      <c r="AE68" s="1" t="str">
        <f>IF($E68="","",$E68&amp;"|"&amp;COUNTIFS($E$7:$E68,$E68))</f>
        <v>Temsil / Ağırlama|9</v>
      </c>
    </row>
    <row r="69" spans="1:31" ht="18" customHeight="1" x14ac:dyDescent="0.3">
      <c r="A69" s="2"/>
      <c r="B69" s="65" t="str">
        <f>IF($C69="","","GG"&amp;TEXT(ROW()-6,"00000"))</f>
        <v>GG00063</v>
      </c>
      <c r="C69" s="66">
        <v>46083</v>
      </c>
      <c r="D69" s="60" t="s">
        <v>769</v>
      </c>
      <c r="E69" s="61" t="s">
        <v>781</v>
      </c>
      <c r="F69" s="61" t="s">
        <v>842</v>
      </c>
      <c r="G69" s="67">
        <v>610</v>
      </c>
      <c r="H69" s="60" t="s">
        <v>772</v>
      </c>
      <c r="I69" s="60" t="s">
        <v>773</v>
      </c>
      <c r="J69" s="61"/>
      <c r="K69" s="61"/>
      <c r="L69" s="60"/>
      <c r="M69" s="74" t="str">
        <f>IF($C69="","",IF($D69="Gider",$E69,IF($L69&lt;&gt;"",$L69,$H69)))</f>
        <v>Telefon / İnternet</v>
      </c>
      <c r="N69" s="74" t="str">
        <f>IF($C69="","",IF($D69="Gider",$H69,$E69))</f>
        <v>Merkez Kasa</v>
      </c>
      <c r="O69" s="73">
        <f>IF($C69="","",DATE(YEAR($C69),MONTH($C69),1))</f>
        <v>46082</v>
      </c>
      <c r="P69" s="65" t="str">
        <f ca="1">IF($C69="","",IF(AND($D69="Gelir",$L69&lt;&gt;"",$T69=""),"TANIMSIZ BORÇLU",IF($T69&lt;&gt;"",IF(OR($E69="",$G69&lt;=0),"EKSİK",IF($I69="Evet","TAHAKKUK NAKİT OLAMAZ",IF($C69&gt;TODAY(),"İLERİ TARİH","TAHAKKUK"))),IF(AND($D69&lt;&gt;"",$E69&lt;&gt;"",$G69&gt;0,$H69&lt;&gt;"",$I69&lt;&gt;""),IF($C69&gt;TODAY(),"İLERİ TARİH",IF(COUNTIF($W$7:$W$3001,$W69)&gt;1,"MÜKERRER?",IF($AD69&gt;0,"KAPALI DÖNEM",IF($I69="Hayır","ÖDENECEK","UYGUN")))),"EKSİK"))))</f>
        <v>UYGUN</v>
      </c>
      <c r="Q69" s="2"/>
      <c r="R69" s="2"/>
      <c r="S69" s="1" t="str">
        <f t="shared" si="0"/>
        <v/>
      </c>
      <c r="T69" s="1" t="str">
        <f>IF(OR($C69="",$D69&lt;&gt;"Gelir",$L69=""),"",IFERROR(INDEX(MUSTERILER!$B$7:$B$156,MATCH($S69,MUSTERILER!$T$7:$T$156,0)),""))</f>
        <v/>
      </c>
      <c r="U69" s="1" t="str">
        <f>IF($T69="","",$T69&amp;"|"&amp;COUNTIFS($T$7:$T69,$T69))</f>
        <v/>
      </c>
      <c r="V69" s="1">
        <f t="shared" si="1"/>
        <v>0</v>
      </c>
      <c r="W69" s="1" t="str">
        <f t="shared" si="2"/>
        <v>Gider|Telefon / İnternet|46083|610|Ofis İnternet|</v>
      </c>
      <c r="X69" s="1"/>
      <c r="Y69" s="1"/>
      <c r="Z69" s="1"/>
      <c r="AA69" s="1"/>
      <c r="AB69" s="1"/>
      <c r="AC69" s="1"/>
      <c r="AD69" s="1">
        <f>IF($C69="",0,SUMPRODUCT((AY_SONU!$O$7:$O$42="Evet")*(AY_SONU!$B$7:$B$42=DATE(YEAR($C69),MONTH($C69),1))))</f>
        <v>0</v>
      </c>
      <c r="AE69" s="1" t="str">
        <f>IF($E69="","",$E69&amp;"|"&amp;COUNTIFS($E$7:$E69,$E69))</f>
        <v>Telefon / İnternet|4</v>
      </c>
    </row>
    <row r="70" spans="1:31" ht="18" customHeight="1" x14ac:dyDescent="0.3">
      <c r="A70" s="2"/>
      <c r="B70" s="65" t="str">
        <f>IF($C70="","","GG"&amp;TEXT(ROW()-6,"00000"))</f>
        <v>GG00064</v>
      </c>
      <c r="C70" s="66">
        <v>46088</v>
      </c>
      <c r="D70" s="60" t="s">
        <v>769</v>
      </c>
      <c r="E70" s="61" t="s">
        <v>788</v>
      </c>
      <c r="F70" s="61" t="s">
        <v>789</v>
      </c>
      <c r="G70" s="67">
        <v>2000</v>
      </c>
      <c r="H70" s="60" t="s">
        <v>772</v>
      </c>
      <c r="I70" s="60" t="s">
        <v>773</v>
      </c>
      <c r="J70" s="61"/>
      <c r="K70" s="61"/>
      <c r="L70" s="60"/>
      <c r="M70" s="74" t="str">
        <f>IF($C70="","",IF($D70="Gider",$E70,IF($L70&lt;&gt;"",$L70,$H70)))</f>
        <v>Ulaşım</v>
      </c>
      <c r="N70" s="74" t="str">
        <f>IF($C70="","",IF($D70="Gider",$H70,$E70))</f>
        <v>Merkez Kasa</v>
      </c>
      <c r="O70" s="73">
        <f>IF($C70="","",DATE(YEAR($C70),MONTH($C70),1))</f>
        <v>46082</v>
      </c>
      <c r="P70" s="65" t="str">
        <f ca="1">IF($C70="","",IF(AND($D70="Gelir",$L70&lt;&gt;"",$T70=""),"TANIMSIZ BORÇLU",IF($T70&lt;&gt;"",IF(OR($E70="",$G70&lt;=0),"EKSİK",IF($I70="Evet","TAHAKKUK NAKİT OLAMAZ",IF($C70&gt;TODAY(),"İLERİ TARİH","TAHAKKUK"))),IF(AND($D70&lt;&gt;"",$E70&lt;&gt;"",$G70&gt;0,$H70&lt;&gt;"",$I70&lt;&gt;""),IF($C70&gt;TODAY(),"İLERİ TARİH",IF(COUNTIF($W$7:$W$3001,$W70)&gt;1,"MÜKERRER?",IF($AD70&gt;0,"KAPALI DÖNEM",IF($I70="Hayır","ÖDENECEK","UYGUN")))),"EKSİK"))))</f>
        <v>UYGUN</v>
      </c>
      <c r="Q70" s="2"/>
      <c r="R70" s="2"/>
      <c r="S70" s="1" t="str">
        <f t="shared" si="0"/>
        <v/>
      </c>
      <c r="T70" s="1" t="str">
        <f>IF(OR($C70="",$D70&lt;&gt;"Gelir",$L70=""),"",IFERROR(INDEX(MUSTERILER!$B$7:$B$156,MATCH($S70,MUSTERILER!$T$7:$T$156,0)),""))</f>
        <v/>
      </c>
      <c r="U70" s="1" t="str">
        <f>IF($T70="","",$T70&amp;"|"&amp;COUNTIFS($T$7:$T70,$T70))</f>
        <v/>
      </c>
      <c r="V70" s="1">
        <f t="shared" si="1"/>
        <v>0</v>
      </c>
      <c r="W70" s="1" t="str">
        <f t="shared" si="2"/>
        <v>Gider|Ulaşım|46088|2000|Araç Yakıt Alımı|</v>
      </c>
      <c r="X70" s="1"/>
      <c r="Y70" s="1"/>
      <c r="Z70" s="1"/>
      <c r="AA70" s="1"/>
      <c r="AB70" s="1"/>
      <c r="AC70" s="1"/>
      <c r="AD70" s="1">
        <f>IF($C70="",0,SUMPRODUCT((AY_SONU!$O$7:$O$42="Evet")*(AY_SONU!$B$7:$B$42=DATE(YEAR($C70),MONTH($C70),1))))</f>
        <v>0</v>
      </c>
      <c r="AE70" s="1" t="str">
        <f>IF($E70="","",$E70&amp;"|"&amp;COUNTIFS($E$7:$E70,$E70))</f>
        <v>Ulaşım|4</v>
      </c>
    </row>
    <row r="71" spans="1:31" ht="18" customHeight="1" x14ac:dyDescent="0.3">
      <c r="A71" s="2"/>
      <c r="B71" s="65" t="str">
        <f>IF($C71="","","GG"&amp;TEXT(ROW()-6,"00000"))</f>
        <v>GG00065</v>
      </c>
      <c r="C71" s="66">
        <v>46088</v>
      </c>
      <c r="D71" s="60" t="s">
        <v>795</v>
      </c>
      <c r="E71" s="61" t="s">
        <v>843</v>
      </c>
      <c r="F71" s="61" t="s">
        <v>844</v>
      </c>
      <c r="G71" s="67">
        <v>20000</v>
      </c>
      <c r="H71" s="60" t="s">
        <v>772</v>
      </c>
      <c r="I71" s="60" t="s">
        <v>773</v>
      </c>
      <c r="J71" s="61"/>
      <c r="K71" s="61"/>
      <c r="L71" s="60"/>
      <c r="M71" s="74" t="str">
        <f>IF($C71="","",IF($D71="Gider",$E71,IF($L71&lt;&gt;"",$L71,$H71)))</f>
        <v>Merkez Kasa</v>
      </c>
      <c r="N71" s="74" t="str">
        <f>IF($C71="","",IF($D71="Gider",$H71,$E71))</f>
        <v>Defter Tasdik Geliri</v>
      </c>
      <c r="O71" s="73">
        <f>IF($C71="","",DATE(YEAR($C71),MONTH($C71),1))</f>
        <v>46082</v>
      </c>
      <c r="P71" s="65" t="str">
        <f ca="1"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TARİH",IF(COUNTIF($W$7:$W$3001,$W71)&gt;1,"MÜKERRER?",IF($AD71&gt;0,"KAPALI DÖNEM",IF($I71="Hayır","ÖDENECEK","UYGUN")))),"EKSİK"))))</f>
        <v>UYGUN</v>
      </c>
      <c r="Q71" s="2"/>
      <c r="R71" s="2"/>
      <c r="S71" s="1" t="str">
        <f t="shared" ref="S71:S134" si="5"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" t="str">
        <f>IF(OR($C71="",$D71&lt;&gt;"Gelir",$L71=""),"",IFERROR(INDEX(MUSTERILER!$B$7:$B$156,MATCH($S71,MUSTERILER!$T$7:$T$156,0)),""))</f>
        <v/>
      </c>
      <c r="U71" s="1" t="str">
        <f>IF($T71="","",$T71&amp;"|"&amp;COUNTIFS($T$7:$T71,$T71))</f>
        <v/>
      </c>
      <c r="V71" s="1">
        <f t="shared" ref="V71:V134" si="6">IF($T71="",0,1)</f>
        <v>0</v>
      </c>
      <c r="W71" s="1" t="str">
        <f t="shared" ref="W71:W134" si="7">IF($C71="","",$D71&amp;"|"&amp;$E71&amp;"|"&amp;TEXT($C71,"0")&amp;"|"&amp;TEXT($G71,"0")&amp;"|"&amp;$F71&amp;"|"&amp;$J71)</f>
        <v>Gelir|Defter Tasdik Geliri|46088|20000|ARON LTD.ŞTİ. 2026 YILI DEFTER TASDİK |</v>
      </c>
      <c r="X71" s="1"/>
      <c r="Y71" s="1"/>
      <c r="Z71" s="1"/>
      <c r="AA71" s="1"/>
      <c r="AB71" s="1"/>
      <c r="AC71" s="1"/>
      <c r="AD71" s="1">
        <f>IF($C71="",0,SUMPRODUCT((AY_SONU!$O$7:$O$42="Evet")*(AY_SONU!$B$7:$B$42=DATE(YEAR($C71),MONTH($C71),1))))</f>
        <v>0</v>
      </c>
      <c r="AE71" s="1" t="str">
        <f>IF($E71="","",$E71&amp;"|"&amp;COUNTIFS($E$7:$E71,$E71))</f>
        <v>Defter Tasdik Geliri|1</v>
      </c>
    </row>
    <row r="72" spans="1:31" ht="18" customHeight="1" x14ac:dyDescent="0.3">
      <c r="A72" s="2"/>
      <c r="B72" s="65" t="str">
        <f>IF($C72="","","GG"&amp;TEXT(ROW()-6,"00000"))</f>
        <v>GG00066</v>
      </c>
      <c r="C72" s="66">
        <v>46090</v>
      </c>
      <c r="D72" s="60" t="s">
        <v>769</v>
      </c>
      <c r="E72" s="61" t="s">
        <v>798</v>
      </c>
      <c r="F72" s="61" t="s">
        <v>845</v>
      </c>
      <c r="G72" s="67">
        <v>5000</v>
      </c>
      <c r="H72" s="60" t="s">
        <v>772</v>
      </c>
      <c r="I72" s="60" t="s">
        <v>773</v>
      </c>
      <c r="J72" s="61"/>
      <c r="K72" s="61"/>
      <c r="L72" s="60"/>
      <c r="M72" s="74" t="str">
        <f>IF($C72="","",IF($D72="Gider",$E72,IF($L72&lt;&gt;"",$L72,$H72)))</f>
        <v>Personel</v>
      </c>
      <c r="N72" s="74" t="str">
        <f>IF($C72="","",IF($D72="Gider",$H72,$E72))</f>
        <v>Merkez Kasa</v>
      </c>
      <c r="O72" s="73">
        <f>IF($C72="","",DATE(YEAR($C72),MONTH($C72),1))</f>
        <v>46082</v>
      </c>
      <c r="P72" s="65" t="str">
        <f ca="1">IF($C72="","",IF(AND($D72="Gelir",$L72&lt;&gt;"",$T72=""),"TANIMSIZ BORÇLU",IF($T72&lt;&gt;"",IF(OR($E72="",$G72&lt;=0),"EKSİK",IF($I72="Evet","TAHAKKUK NAKİT OLAMAZ",IF($C72&gt;TODAY(),"İLERİ TARİH","TAHAKKUK"))),IF(AND($D72&lt;&gt;"",$E72&lt;&gt;"",$G72&gt;0,$H72&lt;&gt;"",$I72&lt;&gt;""),IF($C72&gt;TODAY(),"İLERİ TARİH",IF(COUNTIF($W$7:$W$3001,$W72)&gt;1,"MÜKERRER?",IF($AD72&gt;0,"KAPALI DÖNEM",IF($I72="Hayır","ÖDENECEK","UYGUN")))),"EKSİK"))))</f>
        <v>UYGUN</v>
      </c>
      <c r="Q72" s="2"/>
      <c r="R72" s="2"/>
      <c r="S72" s="1" t="str">
        <f t="shared" si="5"/>
        <v/>
      </c>
      <c r="T72" s="1" t="str">
        <f>IF(OR($C72="",$D72&lt;&gt;"Gelir",$L72=""),"",IFERROR(INDEX(MUSTERILER!$B$7:$B$156,MATCH($S72,MUSTERILER!$T$7:$T$156,0)),""))</f>
        <v/>
      </c>
      <c r="U72" s="1" t="str">
        <f>IF($T72="","",$T72&amp;"|"&amp;COUNTIFS($T$7:$T72,$T72))</f>
        <v/>
      </c>
      <c r="V72" s="1">
        <f t="shared" si="6"/>
        <v>0</v>
      </c>
      <c r="W72" s="1" t="str">
        <f t="shared" si="7"/>
        <v>Gider|Personel|46090|5000|Zeynep Hanım Maaş Bakiye|</v>
      </c>
      <c r="X72" s="1"/>
      <c r="Y72" s="1"/>
      <c r="Z72" s="1"/>
      <c r="AA72" s="1"/>
      <c r="AB72" s="1"/>
      <c r="AC72" s="1"/>
      <c r="AD72" s="1">
        <f>IF($C72="",0,SUMPRODUCT((AY_SONU!$O$7:$O$42="Evet")*(AY_SONU!$B$7:$B$42=DATE(YEAR($C72),MONTH($C72),1))))</f>
        <v>0</v>
      </c>
      <c r="AE72" s="1" t="str">
        <f>IF($E72="","",$E72&amp;"|"&amp;COUNTIFS($E$7:$E72,$E72))</f>
        <v>Personel|6</v>
      </c>
    </row>
    <row r="73" spans="1:31" ht="18" customHeight="1" x14ac:dyDescent="0.3">
      <c r="A73" s="2"/>
      <c r="B73" s="65" t="str">
        <f>IF($C73="","","GG"&amp;TEXT(ROW()-6,"00000"))</f>
        <v>GG00067</v>
      </c>
      <c r="C73" s="66">
        <v>46090</v>
      </c>
      <c r="D73" s="60" t="s">
        <v>769</v>
      </c>
      <c r="E73" s="61" t="s">
        <v>805</v>
      </c>
      <c r="F73" s="61" t="s">
        <v>846</v>
      </c>
      <c r="G73" s="67">
        <v>14000</v>
      </c>
      <c r="H73" s="60" t="s">
        <v>772</v>
      </c>
      <c r="I73" s="60" t="s">
        <v>773</v>
      </c>
      <c r="J73" s="61"/>
      <c r="K73" s="61"/>
      <c r="L73" s="60"/>
      <c r="M73" s="74" t="str">
        <f>IF($C73="","",IF($D73="Gider",$E73,IF($L73&lt;&gt;"",$L73,$H73)))</f>
        <v>Ofis Kirası</v>
      </c>
      <c r="N73" s="74" t="str">
        <f>IF($C73="","",IF($D73="Gider",$H73,$E73))</f>
        <v>Merkez Kasa</v>
      </c>
      <c r="O73" s="73">
        <f>IF($C73="","",DATE(YEAR($C73),MONTH($C73),1))</f>
        <v>46082</v>
      </c>
      <c r="P73" s="65" t="str">
        <f ca="1">IF($C73="","",IF(AND($D73="Gelir",$L73&lt;&gt;"",$T73=""),"TANIMSIZ BORÇLU",IF($T73&lt;&gt;"",IF(OR($E73="",$G73&lt;=0),"EKSİK",IF($I73="Evet","TAHAKKUK NAKİT OLAMAZ",IF($C73&gt;TODAY(),"İLERİ TARİH","TAHAKKUK"))),IF(AND($D73&lt;&gt;"",$E73&lt;&gt;"",$G73&gt;0,$H73&lt;&gt;"",$I73&lt;&gt;""),IF($C73&gt;TODAY(),"İLERİ TARİH",IF(COUNTIF($W$7:$W$3001,$W73)&gt;1,"MÜKERRER?",IF($AD73&gt;0,"KAPALI DÖNEM",IF($I73="Hayır","ÖDENECEK","UYGUN")))),"EKSİK"))))</f>
        <v>UYGUN</v>
      </c>
      <c r="Q73" s="2"/>
      <c r="R73" s="2"/>
      <c r="S73" s="1" t="str">
        <f t="shared" si="5"/>
        <v/>
      </c>
      <c r="T73" s="1" t="str">
        <f>IF(OR($C73="",$D73&lt;&gt;"Gelir",$L73=""),"",IFERROR(INDEX(MUSTERILER!$B$7:$B$156,MATCH($S73,MUSTERILER!$T$7:$T$156,0)),""))</f>
        <v/>
      </c>
      <c r="U73" s="1" t="str">
        <f>IF($T73="","",$T73&amp;"|"&amp;COUNTIFS($T$7:$T73,$T73))</f>
        <v/>
      </c>
      <c r="V73" s="1">
        <f t="shared" si="6"/>
        <v>0</v>
      </c>
      <c r="W73" s="1" t="str">
        <f t="shared" si="7"/>
        <v>Gider|Ofis Kirası|46090|14000|Mart Ayı Ofis Kirası|</v>
      </c>
      <c r="X73" s="1"/>
      <c r="Y73" s="1"/>
      <c r="Z73" s="1"/>
      <c r="AA73" s="1"/>
      <c r="AB73" s="1"/>
      <c r="AC73" s="1"/>
      <c r="AD73" s="1">
        <f>IF($C73="",0,SUMPRODUCT((AY_SONU!$O$7:$O$42="Evet")*(AY_SONU!$B$7:$B$42=DATE(YEAR($C73),MONTH($C73),1))))</f>
        <v>0</v>
      </c>
      <c r="AE73" s="1" t="str">
        <f>IF($E73="","",$E73&amp;"|"&amp;COUNTIFS($E$7:$E73,$E73))</f>
        <v>Ofis Kirası|5</v>
      </c>
    </row>
    <row r="74" spans="1:31" ht="18" customHeight="1" x14ac:dyDescent="0.3">
      <c r="A74" s="2"/>
      <c r="B74" s="65" t="str">
        <f>IF($C74="","","GG"&amp;TEXT(ROW()-6,"00000"))</f>
        <v>GG00068</v>
      </c>
      <c r="C74" s="66">
        <v>46090</v>
      </c>
      <c r="D74" s="60" t="s">
        <v>769</v>
      </c>
      <c r="E74" s="61" t="s">
        <v>805</v>
      </c>
      <c r="F74" s="61" t="s">
        <v>847</v>
      </c>
      <c r="G74" s="67">
        <v>2000</v>
      </c>
      <c r="H74" s="60" t="s">
        <v>772</v>
      </c>
      <c r="I74" s="60" t="s">
        <v>773</v>
      </c>
      <c r="J74" s="61"/>
      <c r="K74" s="61"/>
      <c r="L74" s="60"/>
      <c r="M74" s="74" t="str">
        <f>IF($C74="","",IF($D74="Gider",$E74,IF($L74&lt;&gt;"",$L74,$H74)))</f>
        <v>Ofis Kirası</v>
      </c>
      <c r="N74" s="74" t="str">
        <f>IF($C74="","",IF($D74="Gider",$H74,$E74))</f>
        <v>Merkez Kasa</v>
      </c>
      <c r="O74" s="73">
        <f>IF($C74="","",DATE(YEAR($C74),MONTH($C74),1))</f>
        <v>46082</v>
      </c>
      <c r="P74" s="65" t="str">
        <f ca="1">IF($C74="","",IF(AND($D74="Gelir",$L74&lt;&gt;"",$T74=""),"TANIMSIZ BORÇLU",IF($T74&lt;&gt;"",IF(OR($E74="",$G74&lt;=0),"EKSİK",IF($I74="Evet","TAHAKKUK NAKİT OLAMAZ",IF($C74&gt;TODAY(),"İLERİ TARİH","TAHAKKUK"))),IF(AND($D74&lt;&gt;"",$E74&lt;&gt;"",$G74&gt;0,$H74&lt;&gt;"",$I74&lt;&gt;""),IF($C74&gt;TODAY(),"İLERİ TARİH",IF(COUNTIF($W$7:$W$3001,$W74)&gt;1,"MÜKERRER?",IF($AD74&gt;0,"KAPALI DÖNEM",IF($I74="Hayır","ÖDENECEK","UYGUN")))),"EKSİK"))))</f>
        <v>UYGUN</v>
      </c>
      <c r="Q74" s="2"/>
      <c r="R74" s="2"/>
      <c r="S74" s="1" t="str">
        <f t="shared" si="5"/>
        <v/>
      </c>
      <c r="T74" s="1" t="str">
        <f>IF(OR($C74="",$D74&lt;&gt;"Gelir",$L74=""),"",IFERROR(INDEX(MUSTERILER!$B$7:$B$156,MATCH($S74,MUSTERILER!$T$7:$T$156,0)),""))</f>
        <v/>
      </c>
      <c r="U74" s="1" t="str">
        <f>IF($T74="","",$T74&amp;"|"&amp;COUNTIFS($T$7:$T74,$T74))</f>
        <v/>
      </c>
      <c r="V74" s="1">
        <f t="shared" si="6"/>
        <v>0</v>
      </c>
      <c r="W74" s="1" t="str">
        <f t="shared" si="7"/>
        <v>Gider|Ofis Kirası|46090|2000|Mart Ayı Aidat|</v>
      </c>
      <c r="X74" s="1"/>
      <c r="Y74" s="1"/>
      <c r="Z74" s="1"/>
      <c r="AA74" s="1"/>
      <c r="AB74" s="1"/>
      <c r="AC74" s="1"/>
      <c r="AD74" s="1">
        <f>IF($C74="",0,SUMPRODUCT((AY_SONU!$O$7:$O$42="Evet")*(AY_SONU!$B$7:$B$42=DATE(YEAR($C74),MONTH($C74),1))))</f>
        <v>0</v>
      </c>
      <c r="AE74" s="1" t="str">
        <f>IF($E74="","",$E74&amp;"|"&amp;COUNTIFS($E$7:$E74,$E74))</f>
        <v>Ofis Kirası|6</v>
      </c>
    </row>
    <row r="75" spans="1:31" ht="18" customHeight="1" x14ac:dyDescent="0.3">
      <c r="A75" s="2"/>
      <c r="B75" s="65" t="str">
        <f>IF($C75="","","GG"&amp;TEXT(ROW()-6,"00000"))</f>
        <v>GG00069</v>
      </c>
      <c r="C75" s="66">
        <v>46090</v>
      </c>
      <c r="D75" s="60" t="s">
        <v>769</v>
      </c>
      <c r="E75" s="61" t="s">
        <v>781</v>
      </c>
      <c r="F75" s="61" t="s">
        <v>848</v>
      </c>
      <c r="G75" s="67">
        <v>764</v>
      </c>
      <c r="H75" s="60" t="s">
        <v>772</v>
      </c>
      <c r="I75" s="60" t="s">
        <v>773</v>
      </c>
      <c r="J75" s="61"/>
      <c r="K75" s="61"/>
      <c r="L75" s="60"/>
      <c r="M75" s="74" t="str">
        <f>IF($C75="","",IF($D75="Gider",$E75,IF($L75&lt;&gt;"",$L75,$H75)))</f>
        <v>Telefon / İnternet</v>
      </c>
      <c r="N75" s="74" t="str">
        <f>IF($C75="","",IF($D75="Gider",$H75,$E75))</f>
        <v>Merkez Kasa</v>
      </c>
      <c r="O75" s="73">
        <f>IF($C75="","",DATE(YEAR($C75),MONTH($C75),1))</f>
        <v>46082</v>
      </c>
      <c r="P75" s="65" t="str">
        <f ca="1">IF($C75="","",IF(AND($D75="Gelir",$L75&lt;&gt;"",$T75=""),"TANIMSIZ BORÇLU",IF($T75&lt;&gt;"",IF(OR($E75="",$G75&lt;=0),"EKSİK",IF($I75="Evet","TAHAKKUK NAKİT OLAMAZ",IF($C75&gt;TODAY(),"İLERİ TARİH","TAHAKKUK"))),IF(AND($D75&lt;&gt;"",$E75&lt;&gt;"",$G75&gt;0,$H75&lt;&gt;"",$I75&lt;&gt;""),IF($C75&gt;TODAY(),"İLERİ TARİH",IF(COUNTIF($W$7:$W$3001,$W75)&gt;1,"MÜKERRER?",IF($AD75&gt;0,"KAPALI DÖNEM",IF($I75="Hayır","ÖDENECEK","UYGUN")))),"EKSİK"))))</f>
        <v>UYGUN</v>
      </c>
      <c r="Q75" s="2"/>
      <c r="R75" s="2"/>
      <c r="S75" s="1" t="str">
        <f t="shared" si="5"/>
        <v/>
      </c>
      <c r="T75" s="1" t="str">
        <f>IF(OR($C75="",$D75&lt;&gt;"Gelir",$L75=""),"",IFERROR(INDEX(MUSTERILER!$B$7:$B$156,MATCH($S75,MUSTERILER!$T$7:$T$156,0)),""))</f>
        <v/>
      </c>
      <c r="U75" s="1" t="str">
        <f>IF($T75="","",$T75&amp;"|"&amp;COUNTIFS($T$7:$T75,$T75))</f>
        <v/>
      </c>
      <c r="V75" s="1">
        <f t="shared" si="6"/>
        <v>0</v>
      </c>
      <c r="W75" s="1" t="str">
        <f t="shared" si="7"/>
        <v>Gider|Telefon / İnternet|46090|764|Şubat Ayı Fatura|</v>
      </c>
      <c r="X75" s="1"/>
      <c r="Y75" s="1"/>
      <c r="Z75" s="1"/>
      <c r="AA75" s="1"/>
      <c r="AB75" s="1"/>
      <c r="AC75" s="1"/>
      <c r="AD75" s="1">
        <f>IF($C75="",0,SUMPRODUCT((AY_SONU!$O$7:$O$42="Evet")*(AY_SONU!$B$7:$B$42=DATE(YEAR($C75),MONTH($C75),1))))</f>
        <v>0</v>
      </c>
      <c r="AE75" s="1" t="str">
        <f>IF($E75="","",$E75&amp;"|"&amp;COUNTIFS($E$7:$E75,$E75))</f>
        <v>Telefon / İnternet|5</v>
      </c>
    </row>
    <row r="76" spans="1:31" ht="18" customHeight="1" x14ac:dyDescent="0.3">
      <c r="A76" s="2"/>
      <c r="B76" s="65" t="str">
        <f>IF($C76="","","GG"&amp;TEXT(ROW()-6,"00000"))</f>
        <v>GG00070</v>
      </c>
      <c r="C76" s="66">
        <v>46090</v>
      </c>
      <c r="D76" s="60" t="s">
        <v>769</v>
      </c>
      <c r="E76" s="61" t="s">
        <v>849</v>
      </c>
      <c r="F76" s="61" t="s">
        <v>850</v>
      </c>
      <c r="G76" s="67">
        <v>20000</v>
      </c>
      <c r="H76" s="60" t="s">
        <v>772</v>
      </c>
      <c r="I76" s="60" t="s">
        <v>773</v>
      </c>
      <c r="J76" s="61"/>
      <c r="K76" s="61"/>
      <c r="L76" s="60"/>
      <c r="M76" s="74" t="str">
        <f>IF($C76="","",IF($D76="Gider",$E76,IF($L76&lt;&gt;"",$L76,$H76)))</f>
        <v>Demirbaş</v>
      </c>
      <c r="N76" s="74" t="str">
        <f>IF($C76="","",IF($D76="Gider",$H76,$E76))</f>
        <v>Merkez Kasa</v>
      </c>
      <c r="O76" s="73">
        <f>IF($C76="","",DATE(YEAR($C76),MONTH($C76),1))</f>
        <v>46082</v>
      </c>
      <c r="P76" s="65" t="str">
        <f ca="1">IF($C76="","",IF(AND($D76="Gelir",$L76&lt;&gt;"",$T76=""),"TANIMSIZ BORÇLU",IF($T76&lt;&gt;"",IF(OR($E76="",$G76&lt;=0),"EKSİK",IF($I76="Evet","TAHAKKUK NAKİT OLAMAZ",IF($C76&gt;TODAY(),"İLERİ TARİH","TAHAKKUK"))),IF(AND($D76&lt;&gt;"",$E76&lt;&gt;"",$G76&gt;0,$H76&lt;&gt;"",$I76&lt;&gt;""),IF($C76&gt;TODAY(),"İLERİ TARİH",IF(COUNTIF($W$7:$W$3001,$W76)&gt;1,"MÜKERRER?",IF($AD76&gt;0,"KAPALI DÖNEM",IF($I76="Hayır","ÖDENECEK","UYGUN")))),"EKSİK"))))</f>
        <v>UYGUN</v>
      </c>
      <c r="Q76" s="2"/>
      <c r="R76" s="2"/>
      <c r="S76" s="1" t="str">
        <f t="shared" si="5"/>
        <v/>
      </c>
      <c r="T76" s="1" t="str">
        <f>IF(OR($C76="",$D76&lt;&gt;"Gelir",$L76=""),"",IFERROR(INDEX(MUSTERILER!$B$7:$B$156,MATCH($S76,MUSTERILER!$T$7:$T$156,0)),""))</f>
        <v/>
      </c>
      <c r="U76" s="1" t="str">
        <f>IF($T76="","",$T76&amp;"|"&amp;COUNTIFS($T$7:$T76,$T76))</f>
        <v/>
      </c>
      <c r="V76" s="1">
        <f t="shared" si="6"/>
        <v>0</v>
      </c>
      <c r="W76" s="1" t="str">
        <f t="shared" si="7"/>
        <v>Gider|Demirbaş|46090|20000|Serkan Baş Zeynep Hanım Bilgisayar Takımı Komple|</v>
      </c>
      <c r="X76" s="1"/>
      <c r="Y76" s="1"/>
      <c r="Z76" s="1"/>
      <c r="AA76" s="1"/>
      <c r="AB76" s="1"/>
      <c r="AC76" s="1"/>
      <c r="AD76" s="1">
        <f>IF($C76="",0,SUMPRODUCT((AY_SONU!$O$7:$O$42="Evet")*(AY_SONU!$B$7:$B$42=DATE(YEAR($C76),MONTH($C76),1))))</f>
        <v>0</v>
      </c>
      <c r="AE76" s="1" t="str">
        <f>IF($E76="","",$E76&amp;"|"&amp;COUNTIFS($E$7:$E76,$E76))</f>
        <v>Demirbaş|1</v>
      </c>
    </row>
    <row r="77" spans="1:31" ht="18" customHeight="1" x14ac:dyDescent="0.3">
      <c r="A77" s="2"/>
      <c r="B77" s="65" t="str">
        <f>IF($C77="","","GG"&amp;TEXT(ROW()-6,"00000"))</f>
        <v>GG00071</v>
      </c>
      <c r="C77" s="66">
        <v>46090</v>
      </c>
      <c r="D77" s="60" t="s">
        <v>769</v>
      </c>
      <c r="E77" s="61" t="s">
        <v>798</v>
      </c>
      <c r="F77" s="61" t="s">
        <v>851</v>
      </c>
      <c r="G77" s="67">
        <v>5000</v>
      </c>
      <c r="H77" s="60" t="s">
        <v>772</v>
      </c>
      <c r="I77" s="60" t="s">
        <v>773</v>
      </c>
      <c r="J77" s="61"/>
      <c r="K77" s="61"/>
      <c r="L77" s="60"/>
      <c r="M77" s="74" t="str">
        <f>IF($C77="","",IF($D77="Gider",$E77,IF($L77&lt;&gt;"",$L77,$H77)))</f>
        <v>Personel</v>
      </c>
      <c r="N77" s="74" t="str">
        <f>IF($C77="","",IF($D77="Gider",$H77,$E77))</f>
        <v>Merkez Kasa</v>
      </c>
      <c r="O77" s="73">
        <f>IF($C77="","",DATE(YEAR($C77),MONTH($C77),1))</f>
        <v>46082</v>
      </c>
      <c r="P77" s="65" t="str">
        <f ca="1">IF($C77="","",IF(AND($D77="Gelir",$L77&lt;&gt;"",$T77=""),"TANIMSIZ BORÇLU",IF($T77&lt;&gt;"",IF(OR($E77="",$G77&lt;=0),"EKSİK",IF($I77="Evet","TAHAKKUK NAKİT OLAMAZ",IF($C77&gt;TODAY(),"İLERİ TARİH","TAHAKKUK"))),IF(AND($D77&lt;&gt;"",$E77&lt;&gt;"",$G77&gt;0,$H77&lt;&gt;"",$I77&lt;&gt;""),IF($C77&gt;TODAY(),"İLERİ TARİH",IF(COUNTIF($W$7:$W$3001,$W77)&gt;1,"MÜKERRER?",IF($AD77&gt;0,"KAPALI DÖNEM",IF($I77="Hayır","ÖDENECEK","UYGUN")))),"EKSİK"))))</f>
        <v>UYGUN</v>
      </c>
      <c r="Q77" s="2"/>
      <c r="R77" s="2"/>
      <c r="S77" s="1" t="str">
        <f t="shared" si="5"/>
        <v/>
      </c>
      <c r="T77" s="1" t="str">
        <f>IF(OR($C77="",$D77&lt;&gt;"Gelir",$L77=""),"",IFERROR(INDEX(MUSTERILER!$B$7:$B$156,MATCH($S77,MUSTERILER!$T$7:$T$156,0)),""))</f>
        <v/>
      </c>
      <c r="U77" s="1" t="str">
        <f>IF($T77="","",$T77&amp;"|"&amp;COUNTIFS($T$7:$T77,$T77))</f>
        <v/>
      </c>
      <c r="V77" s="1">
        <f t="shared" si="6"/>
        <v>0</v>
      </c>
      <c r="W77" s="1" t="str">
        <f t="shared" si="7"/>
        <v>Gider|Personel|46090|5000|Zeynep Yalıkent ve Yalı Gazino Prim|</v>
      </c>
      <c r="X77" s="1"/>
      <c r="Y77" s="1"/>
      <c r="Z77" s="1"/>
      <c r="AA77" s="1"/>
      <c r="AB77" s="1"/>
      <c r="AC77" s="1"/>
      <c r="AD77" s="1">
        <f>IF($C77="",0,SUMPRODUCT((AY_SONU!$O$7:$O$42="Evet")*(AY_SONU!$B$7:$B$42=DATE(YEAR($C77),MONTH($C77),1))))</f>
        <v>0</v>
      </c>
      <c r="AE77" s="1" t="str">
        <f>IF($E77="","",$E77&amp;"|"&amp;COUNTIFS($E$7:$E77,$E77))</f>
        <v>Personel|7</v>
      </c>
    </row>
    <row r="78" spans="1:31" ht="18" customHeight="1" x14ac:dyDescent="0.3">
      <c r="A78" s="2"/>
      <c r="B78" s="65" t="str">
        <f>IF($C78="","","GG"&amp;TEXT(ROW()-6,"00000"))</f>
        <v>GG00072</v>
      </c>
      <c r="C78" s="66">
        <v>46095</v>
      </c>
      <c r="D78" s="60" t="s">
        <v>795</v>
      </c>
      <c r="E78" s="61" t="s">
        <v>796</v>
      </c>
      <c r="F78" s="61" t="s">
        <v>852</v>
      </c>
      <c r="G78" s="67">
        <v>30000</v>
      </c>
      <c r="H78" s="60" t="s">
        <v>772</v>
      </c>
      <c r="I78" s="60" t="s">
        <v>773</v>
      </c>
      <c r="J78" s="61"/>
      <c r="K78" s="61"/>
      <c r="L78" s="60"/>
      <c r="M78" s="74" t="str">
        <f>IF($C78="","",IF($D78="Gider",$E78,IF($L78&lt;&gt;"",$L78,$H78)))</f>
        <v>Merkez Kasa</v>
      </c>
      <c r="N78" s="74" t="str">
        <f>IF($C78="","",IF($D78="Gider",$H78,$E78))</f>
        <v>Diğer Gelirler</v>
      </c>
      <c r="O78" s="73">
        <f>IF($C78="","",DATE(YEAR($C78),MONTH($C78),1))</f>
        <v>46082</v>
      </c>
      <c r="P78" s="65" t="str">
        <f ca="1">IF($C78="","",IF(AND($D78="Gelir",$L78&lt;&gt;"",$T78=""),"TANIMSIZ BORÇLU",IF($T78&lt;&gt;"",IF(OR($E78="",$G78&lt;=0),"EKSİK",IF($I78="Evet","TAHAKKUK NAKİT OLAMAZ",IF($C78&gt;TODAY(),"İLERİ TARİH","TAHAKKUK"))),IF(AND($D78&lt;&gt;"",$E78&lt;&gt;"",$G78&gt;0,$H78&lt;&gt;"",$I78&lt;&gt;""),IF($C78&gt;TODAY(),"İLERİ TARİH",IF(COUNTIF($W$7:$W$3001,$W78)&gt;1,"MÜKERRER?",IF($AD78&gt;0,"KAPALI DÖNEM",IF($I78="Hayır","ÖDENECEK","UYGUN")))),"EKSİK"))))</f>
        <v>UYGUN</v>
      </c>
      <c r="Q78" s="2"/>
      <c r="R78" s="2"/>
      <c r="S78" s="1" t="str">
        <f t="shared" si="5"/>
        <v/>
      </c>
      <c r="T78" s="1" t="str">
        <f>IF(OR($C78="",$D78&lt;&gt;"Gelir",$L78=""),"",IFERROR(INDEX(MUSTERILER!$B$7:$B$156,MATCH($S78,MUSTERILER!$T$7:$T$156,0)),""))</f>
        <v/>
      </c>
      <c r="U78" s="1" t="str">
        <f>IF($T78="","",$T78&amp;"|"&amp;COUNTIFS($T$7:$T78,$T78))</f>
        <v/>
      </c>
      <c r="V78" s="1">
        <f t="shared" si="6"/>
        <v>0</v>
      </c>
      <c r="W78" s="1" t="str">
        <f t="shared" si="7"/>
        <v>Gelir|Diğer Gelirler|46095|30000|EĞLENGÖR LTD.ŞTİ. SGK DANIŞMANLIK|</v>
      </c>
      <c r="X78" s="1"/>
      <c r="Y78" s="1"/>
      <c r="Z78" s="1"/>
      <c r="AA78" s="1"/>
      <c r="AB78" s="1"/>
      <c r="AC78" s="1"/>
      <c r="AD78" s="1">
        <f>IF($C78="",0,SUMPRODUCT((AY_SONU!$O$7:$O$42="Evet")*(AY_SONU!$B$7:$B$42=DATE(YEAR($C78),MONTH($C78),1))))</f>
        <v>0</v>
      </c>
      <c r="AE78" s="1" t="str">
        <f>IF($E78="","",$E78&amp;"|"&amp;COUNTIFS($E$7:$E78,$E78))</f>
        <v>Diğer Gelirler|4</v>
      </c>
    </row>
    <row r="79" spans="1:31" ht="18" customHeight="1" x14ac:dyDescent="0.3">
      <c r="A79" s="2"/>
      <c r="B79" s="65" t="str">
        <f>IF($C79="","","GG"&amp;TEXT(ROW()-6,"00000"))</f>
        <v>GG00073</v>
      </c>
      <c r="C79" s="66">
        <v>46096</v>
      </c>
      <c r="D79" s="60" t="s">
        <v>769</v>
      </c>
      <c r="E79" s="61" t="s">
        <v>788</v>
      </c>
      <c r="F79" s="61" t="s">
        <v>853</v>
      </c>
      <c r="G79" s="67">
        <v>4000</v>
      </c>
      <c r="H79" s="60" t="s">
        <v>772</v>
      </c>
      <c r="I79" s="60" t="s">
        <v>773</v>
      </c>
      <c r="J79" s="61"/>
      <c r="K79" s="61"/>
      <c r="L79" s="60"/>
      <c r="M79" s="74" t="str">
        <f>IF($C79="","",IF($D79="Gider",$E79,IF($L79&lt;&gt;"",$L79,$H79)))</f>
        <v>Ulaşım</v>
      </c>
      <c r="N79" s="74" t="str">
        <f>IF($C79="","",IF($D79="Gider",$H79,$E79))</f>
        <v>Merkez Kasa</v>
      </c>
      <c r="O79" s="73">
        <f>IF($C79="","",DATE(YEAR($C79),MONTH($C79),1))</f>
        <v>46082</v>
      </c>
      <c r="P79" s="65" t="str">
        <f ca="1">IF($C79="","",IF(AND($D79="Gelir",$L79&lt;&gt;"",$T79=""),"TANIMSIZ BORÇLU",IF($T79&lt;&gt;"",IF(OR($E79="",$G79&lt;=0),"EKSİK",IF($I79="Evet","TAHAKKUK NAKİT OLAMAZ",IF($C79&gt;TODAY(),"İLERİ TARİH","TAHAKKUK"))),IF(AND($D79&lt;&gt;"",$E79&lt;&gt;"",$G79&gt;0,$H79&lt;&gt;"",$I79&lt;&gt;""),IF($C79&gt;TODAY(),"İLERİ TARİH",IF(COUNTIF($W$7:$W$3001,$W79)&gt;1,"MÜKERRER?",IF($AD79&gt;0,"KAPALI DÖNEM",IF($I79="Hayır","ÖDENECEK","UYGUN")))),"EKSİK"))))</f>
        <v>UYGUN</v>
      </c>
      <c r="Q79" s="2"/>
      <c r="R79" s="2"/>
      <c r="S79" s="1" t="str">
        <f t="shared" si="5"/>
        <v/>
      </c>
      <c r="T79" s="1" t="str">
        <f>IF(OR($C79="",$D79&lt;&gt;"Gelir",$L79=""),"",IFERROR(INDEX(MUSTERILER!$B$7:$B$156,MATCH($S79,MUSTERILER!$T$7:$T$156,0)),""))</f>
        <v/>
      </c>
      <c r="U79" s="1" t="str">
        <f>IF($T79="","",$T79&amp;"|"&amp;COUNTIFS($T$7:$T79,$T79))</f>
        <v/>
      </c>
      <c r="V79" s="1">
        <f t="shared" si="6"/>
        <v>0</v>
      </c>
      <c r="W79" s="1" t="str">
        <f t="shared" si="7"/>
        <v>Gider|Ulaşım|46096|4000|Benzin|</v>
      </c>
      <c r="X79" s="1"/>
      <c r="Y79" s="1"/>
      <c r="Z79" s="1"/>
      <c r="AA79" s="1"/>
      <c r="AB79" s="1"/>
      <c r="AC79" s="1"/>
      <c r="AD79" s="1">
        <f>IF($C79="",0,SUMPRODUCT((AY_SONU!$O$7:$O$42="Evet")*(AY_SONU!$B$7:$B$42=DATE(YEAR($C79),MONTH($C79),1))))</f>
        <v>0</v>
      </c>
      <c r="AE79" s="1" t="str">
        <f>IF($E79="","",$E79&amp;"|"&amp;COUNTIFS($E$7:$E79,$E79))</f>
        <v>Ulaşım|5</v>
      </c>
    </row>
    <row r="80" spans="1:31" ht="18" customHeight="1" x14ac:dyDescent="0.3">
      <c r="A80" s="2"/>
      <c r="B80" s="65" t="str">
        <f>IF($C80="","","GG"&amp;TEXT(ROW()-6,"00000"))</f>
        <v>GG00074</v>
      </c>
      <c r="C80" s="66">
        <v>46096</v>
      </c>
      <c r="D80" s="60" t="s">
        <v>769</v>
      </c>
      <c r="E80" s="61" t="s">
        <v>781</v>
      </c>
      <c r="F80" s="61" t="s">
        <v>854</v>
      </c>
      <c r="G80" s="67">
        <v>800</v>
      </c>
      <c r="H80" s="60" t="s">
        <v>772</v>
      </c>
      <c r="I80" s="60" t="s">
        <v>773</v>
      </c>
      <c r="J80" s="61"/>
      <c r="K80" s="61"/>
      <c r="L80" s="60"/>
      <c r="M80" s="74" t="str">
        <f>IF($C80="","",IF($D80="Gider",$E80,IF($L80&lt;&gt;"",$L80,$H80)))</f>
        <v>Telefon / İnternet</v>
      </c>
      <c r="N80" s="74" t="str">
        <f>IF($C80="","",IF($D80="Gider",$H80,$E80))</f>
        <v>Merkez Kasa</v>
      </c>
      <c r="O80" s="73">
        <f>IF($C80="","",DATE(YEAR($C80),MONTH($C80),1))</f>
        <v>46082</v>
      </c>
      <c r="P80" s="65" t="str">
        <f ca="1">IF($C80="","",IF(AND($D80="Gelir",$L80&lt;&gt;"",$T80=""),"TANIMSIZ BORÇLU",IF($T80&lt;&gt;"",IF(OR($E80="",$G80&lt;=0),"EKSİK",IF($I80="Evet","TAHAKKUK NAKİT OLAMAZ",IF($C80&gt;TODAY(),"İLERİ TARİH","TAHAKKUK"))),IF(AND($D80&lt;&gt;"",$E80&lt;&gt;"",$G80&gt;0,$H80&lt;&gt;"",$I80&lt;&gt;""),IF($C80&gt;TODAY(),"İLERİ TARİH",IF(COUNTIF($W$7:$W$3001,$W80)&gt;1,"MÜKERRER?",IF($AD80&gt;0,"KAPALI DÖNEM",IF($I80="Hayır","ÖDENECEK","UYGUN")))),"EKSİK"))))</f>
        <v>UYGUN</v>
      </c>
      <c r="Q80" s="2"/>
      <c r="R80" s="2"/>
      <c r="S80" s="1" t="str">
        <f t="shared" si="5"/>
        <v/>
      </c>
      <c r="T80" s="1" t="str">
        <f>IF(OR($C80="",$D80&lt;&gt;"Gelir",$L80=""),"",IFERROR(INDEX(MUSTERILER!$B$7:$B$156,MATCH($S80,MUSTERILER!$T$7:$T$156,0)),""))</f>
        <v/>
      </c>
      <c r="U80" s="1" t="str">
        <f>IF($T80="","",$T80&amp;"|"&amp;COUNTIFS($T$7:$T80,$T80))</f>
        <v/>
      </c>
      <c r="V80" s="1">
        <f t="shared" si="6"/>
        <v>0</v>
      </c>
      <c r="W80" s="1" t="str">
        <f t="shared" si="7"/>
        <v>Gider|Telefon / İnternet|46096|800|Ofis Whatsapp Hattı Mart|</v>
      </c>
      <c r="X80" s="1"/>
      <c r="Y80" s="1"/>
      <c r="Z80" s="1"/>
      <c r="AA80" s="1"/>
      <c r="AB80" s="1"/>
      <c r="AC80" s="1"/>
      <c r="AD80" s="1">
        <f>IF($C80="",0,SUMPRODUCT((AY_SONU!$O$7:$O$42="Evet")*(AY_SONU!$B$7:$B$42=DATE(YEAR($C80),MONTH($C80),1))))</f>
        <v>0</v>
      </c>
      <c r="AE80" s="1" t="str">
        <f>IF($E80="","",$E80&amp;"|"&amp;COUNTIFS($E$7:$E80,$E80))</f>
        <v>Telefon / İnternet|6</v>
      </c>
    </row>
    <row r="81" spans="1:31" ht="18" customHeight="1" x14ac:dyDescent="0.3">
      <c r="A81" s="2"/>
      <c r="B81" s="65" t="str">
        <f>IF($C81="","","GG"&amp;TEXT(ROW()-6,"00000"))</f>
        <v>GG00075</v>
      </c>
      <c r="C81" s="66">
        <v>46103</v>
      </c>
      <c r="D81" s="60" t="s">
        <v>769</v>
      </c>
      <c r="E81" s="61" t="s">
        <v>788</v>
      </c>
      <c r="F81" s="61" t="s">
        <v>855</v>
      </c>
      <c r="G81" s="67">
        <v>4000</v>
      </c>
      <c r="H81" s="60" t="s">
        <v>772</v>
      </c>
      <c r="I81" s="60" t="s">
        <v>773</v>
      </c>
      <c r="J81" s="61"/>
      <c r="K81" s="61"/>
      <c r="L81" s="60"/>
      <c r="M81" s="74" t="str">
        <f>IF($C81="","",IF($D81="Gider",$E81,IF($L81&lt;&gt;"",$L81,$H81)))</f>
        <v>Ulaşım</v>
      </c>
      <c r="N81" s="74" t="str">
        <f>IF($C81="","",IF($D81="Gider",$H81,$E81))</f>
        <v>Merkez Kasa</v>
      </c>
      <c r="O81" s="73">
        <f>IF($C81="","",DATE(YEAR($C81),MONTH($C81),1))</f>
        <v>46082</v>
      </c>
      <c r="P81" s="65" t="str">
        <f ca="1">IF($C81="","",IF(AND($D81="Gelir",$L81&lt;&gt;"",$T81=""),"TANIMSIZ BORÇLU",IF($T81&lt;&gt;"",IF(OR($E81="",$G81&lt;=0),"EKSİK",IF($I81="Evet","TAHAKKUK NAKİT OLAMAZ",IF($C81&gt;TODAY(),"İLERİ TARİH","TAHAKKUK"))),IF(AND($D81&lt;&gt;"",$E81&lt;&gt;"",$G81&gt;0,$H81&lt;&gt;"",$I81&lt;&gt;""),IF($C81&gt;TODAY(),"İLERİ TARİH",IF(COUNTIF($W$7:$W$3001,$W81)&gt;1,"MÜKERRER?",IF($AD81&gt;0,"KAPALI DÖNEM",IF($I81="Hayır","ÖDENECEK","UYGUN")))),"EKSİK"))))</f>
        <v>UYGUN</v>
      </c>
      <c r="Q81" s="2"/>
      <c r="R81" s="2"/>
      <c r="S81" s="1" t="str">
        <f t="shared" si="5"/>
        <v/>
      </c>
      <c r="T81" s="1" t="str">
        <f>IF(OR($C81="",$D81&lt;&gt;"Gelir",$L81=""),"",IFERROR(INDEX(MUSTERILER!$B$7:$B$156,MATCH($S81,MUSTERILER!$T$7:$T$156,0)),""))</f>
        <v/>
      </c>
      <c r="U81" s="1" t="str">
        <f>IF($T81="","",$T81&amp;"|"&amp;COUNTIFS($T$7:$T81,$T81))</f>
        <v/>
      </c>
      <c r="V81" s="1">
        <f t="shared" si="6"/>
        <v>0</v>
      </c>
      <c r="W81" s="1" t="str">
        <f t="shared" si="7"/>
        <v>Gider|Ulaşım|46103|4000|Akaryakıt|</v>
      </c>
      <c r="X81" s="1"/>
      <c r="Y81" s="1"/>
      <c r="Z81" s="1"/>
      <c r="AA81" s="1"/>
      <c r="AB81" s="1"/>
      <c r="AC81" s="1"/>
      <c r="AD81" s="1">
        <f>IF($C81="",0,SUMPRODUCT((AY_SONU!$O$7:$O$42="Evet")*(AY_SONU!$B$7:$B$42=DATE(YEAR($C81),MONTH($C81),1))))</f>
        <v>0</v>
      </c>
      <c r="AE81" s="1" t="str">
        <f>IF($E81="","",$E81&amp;"|"&amp;COUNTIFS($E$7:$E81,$E81))</f>
        <v>Ulaşım|6</v>
      </c>
    </row>
    <row r="82" spans="1:31" ht="18" customHeight="1" x14ac:dyDescent="0.3">
      <c r="A82" s="2"/>
      <c r="B82" s="65" t="str">
        <f>IF($C82="","","GG"&amp;TEXT(ROW()-6,"00000"))</f>
        <v>GG00076</v>
      </c>
      <c r="C82" s="66">
        <v>46106</v>
      </c>
      <c r="D82" s="60" t="s">
        <v>769</v>
      </c>
      <c r="E82" s="61" t="s">
        <v>790</v>
      </c>
      <c r="F82" s="61" t="s">
        <v>856</v>
      </c>
      <c r="G82" s="67">
        <v>420</v>
      </c>
      <c r="H82" s="60" t="s">
        <v>772</v>
      </c>
      <c r="I82" s="60" t="s">
        <v>773</v>
      </c>
      <c r="J82" s="61"/>
      <c r="K82" s="61"/>
      <c r="L82" s="60"/>
      <c r="M82" s="74" t="str">
        <f>IF($C82="","",IF($D82="Gider",$E82,IF($L82&lt;&gt;"",$L82,$H82)))</f>
        <v>Temsil / Ağırlama</v>
      </c>
      <c r="N82" s="74" t="str">
        <f>IF($C82="","",IF($D82="Gider",$H82,$E82))</f>
        <v>Merkez Kasa</v>
      </c>
      <c r="O82" s="73">
        <f>IF($C82="","",DATE(YEAR($C82),MONTH($C82),1))</f>
        <v>46082</v>
      </c>
      <c r="P82" s="65" t="str">
        <f ca="1">IF($C82="","",IF(AND($D82="Gelir",$L82&lt;&gt;"",$T82=""),"TANIMSIZ BORÇLU",IF($T82&lt;&gt;"",IF(OR($E82="",$G82&lt;=0),"EKSİK",IF($I82="Evet","TAHAKKUK NAKİT OLAMAZ",IF($C82&gt;TODAY(),"İLERİ TARİH","TAHAKKUK"))),IF(AND($D82&lt;&gt;"",$E82&lt;&gt;"",$G82&gt;0,$H82&lt;&gt;"",$I82&lt;&gt;""),IF($C82&gt;TODAY(),"İLERİ TARİH",IF(COUNTIF($W$7:$W$3001,$W82)&gt;1,"MÜKERRER?",IF($AD82&gt;0,"KAPALI DÖNEM",IF($I82="Hayır","ÖDENECEK","UYGUN")))),"EKSİK"))))</f>
        <v>UYGUN</v>
      </c>
      <c r="Q82" s="2"/>
      <c r="R82" s="2"/>
      <c r="S82" s="1" t="str">
        <f t="shared" si="5"/>
        <v/>
      </c>
      <c r="T82" s="1" t="str">
        <f>IF(OR($C82="",$D82&lt;&gt;"Gelir",$L82=""),"",IFERROR(INDEX(MUSTERILER!$B$7:$B$156,MATCH($S82,MUSTERILER!$T$7:$T$156,0)),""))</f>
        <v/>
      </c>
      <c r="U82" s="1" t="str">
        <f>IF($T82="","",$T82&amp;"|"&amp;COUNTIFS($T$7:$T82,$T82))</f>
        <v/>
      </c>
      <c r="V82" s="1">
        <f t="shared" si="6"/>
        <v>0</v>
      </c>
      <c r="W82" s="1" t="str">
        <f t="shared" si="7"/>
        <v>Gider|Temsil / Ağırlama|46106|420|Kahve|</v>
      </c>
      <c r="X82" s="1"/>
      <c r="Y82" s="1"/>
      <c r="Z82" s="1"/>
      <c r="AA82" s="1"/>
      <c r="AB82" s="1"/>
      <c r="AC82" s="1"/>
      <c r="AD82" s="1">
        <f>IF($C82="",0,SUMPRODUCT((AY_SONU!$O$7:$O$42="Evet")*(AY_SONU!$B$7:$B$42=DATE(YEAR($C82),MONTH($C82),1))))</f>
        <v>0</v>
      </c>
      <c r="AE82" s="1" t="str">
        <f>IF($E82="","",$E82&amp;"|"&amp;COUNTIFS($E$7:$E82,$E82))</f>
        <v>Temsil / Ağırlama|10</v>
      </c>
    </row>
    <row r="83" spans="1:31" ht="18" customHeight="1" x14ac:dyDescent="0.3">
      <c r="A83" s="2"/>
      <c r="B83" s="65" t="str">
        <f>IF($C83="","","GG"&amp;TEXT(ROW()-6,"00000"))</f>
        <v>GG00077</v>
      </c>
      <c r="C83" s="66">
        <v>46107</v>
      </c>
      <c r="D83" s="60" t="s">
        <v>769</v>
      </c>
      <c r="E83" s="61" t="s">
        <v>790</v>
      </c>
      <c r="F83" s="61" t="s">
        <v>857</v>
      </c>
      <c r="G83" s="67">
        <v>450</v>
      </c>
      <c r="H83" s="60" t="s">
        <v>772</v>
      </c>
      <c r="I83" s="60" t="s">
        <v>773</v>
      </c>
      <c r="J83" s="61"/>
      <c r="K83" s="61"/>
      <c r="L83" s="60"/>
      <c r="M83" s="74" t="str">
        <f>IF($C83="","",IF($D83="Gider",$E83,IF($L83&lt;&gt;"",$L83,$H83)))</f>
        <v>Temsil / Ağırlama</v>
      </c>
      <c r="N83" s="74" t="str">
        <f>IF($C83="","",IF($D83="Gider",$H83,$E83))</f>
        <v>Merkez Kasa</v>
      </c>
      <c r="O83" s="73">
        <f>IF($C83="","",DATE(YEAR($C83),MONTH($C83),1))</f>
        <v>46082</v>
      </c>
      <c r="P83" s="65" t="str">
        <f ca="1">IF($C83="","",IF(AND($D83="Gelir",$L83&lt;&gt;"",$T83=""),"TANIMSIZ BORÇLU",IF($T83&lt;&gt;"",IF(OR($E83="",$G83&lt;=0),"EKSİK",IF($I83="Evet","TAHAKKUK NAKİT OLAMAZ",IF($C83&gt;TODAY(),"İLERİ TARİH","TAHAKKUK"))),IF(AND($D83&lt;&gt;"",$E83&lt;&gt;"",$G83&gt;0,$H83&lt;&gt;"",$I83&lt;&gt;""),IF($C83&gt;TODAY(),"İLERİ TARİH",IF(COUNTIF($W$7:$W$3001,$W83)&gt;1,"MÜKERRER?",IF($AD83&gt;0,"KAPALI DÖNEM",IF($I83="Hayır","ÖDENECEK","UYGUN")))),"EKSİK"))))</f>
        <v>UYGUN</v>
      </c>
      <c r="Q83" s="2"/>
      <c r="R83" s="2"/>
      <c r="S83" s="1" t="str">
        <f t="shared" si="5"/>
        <v/>
      </c>
      <c r="T83" s="1" t="str">
        <f>IF(OR($C83="",$D83&lt;&gt;"Gelir",$L83=""),"",IFERROR(INDEX(MUSTERILER!$B$7:$B$156,MATCH($S83,MUSTERILER!$T$7:$T$156,0)),""))</f>
        <v/>
      </c>
      <c r="U83" s="1" t="str">
        <f>IF($T83="","",$T83&amp;"|"&amp;COUNTIFS($T$7:$T83,$T83))</f>
        <v/>
      </c>
      <c r="V83" s="1">
        <f t="shared" si="6"/>
        <v>0</v>
      </c>
      <c r="W83" s="1" t="str">
        <f t="shared" si="7"/>
        <v>Gider|Temsil / Ağırlama|46107|450|İçme Suyu|</v>
      </c>
      <c r="X83" s="1"/>
      <c r="Y83" s="1"/>
      <c r="Z83" s="1"/>
      <c r="AA83" s="1"/>
      <c r="AB83" s="1"/>
      <c r="AC83" s="1"/>
      <c r="AD83" s="1">
        <f>IF($C83="",0,SUMPRODUCT((AY_SONU!$O$7:$O$42="Evet")*(AY_SONU!$B$7:$B$42=DATE(YEAR($C83),MONTH($C83),1))))</f>
        <v>0</v>
      </c>
      <c r="AE83" s="1" t="str">
        <f>IF($E83="","",$E83&amp;"|"&amp;COUNTIFS($E$7:$E83,$E83))</f>
        <v>Temsil / Ağırlama|11</v>
      </c>
    </row>
    <row r="84" spans="1:31" ht="18" customHeight="1" x14ac:dyDescent="0.3">
      <c r="A84" s="2"/>
      <c r="B84" s="65" t="str">
        <f>IF($C84="","","GG"&amp;TEXT(ROW()-6,"00000"))</f>
        <v>GG00078</v>
      </c>
      <c r="C84" s="66">
        <v>46111</v>
      </c>
      <c r="D84" s="60" t="s">
        <v>769</v>
      </c>
      <c r="E84" s="61" t="s">
        <v>798</v>
      </c>
      <c r="F84" s="61" t="s">
        <v>858</v>
      </c>
      <c r="G84" s="67">
        <v>45000</v>
      </c>
      <c r="H84" s="60" t="s">
        <v>772</v>
      </c>
      <c r="I84" s="60" t="s">
        <v>773</v>
      </c>
      <c r="J84" s="61"/>
      <c r="K84" s="61"/>
      <c r="L84" s="60"/>
      <c r="M84" s="74" t="str">
        <f>IF($C84="","",IF($D84="Gider",$E84,IF($L84&lt;&gt;"",$L84,$H84)))</f>
        <v>Personel</v>
      </c>
      <c r="N84" s="74" t="str">
        <f>IF($C84="","",IF($D84="Gider",$H84,$E84))</f>
        <v>Merkez Kasa</v>
      </c>
      <c r="O84" s="73">
        <f>IF($C84="","",DATE(YEAR($C84),MONTH($C84),1))</f>
        <v>46082</v>
      </c>
      <c r="P84" s="65" t="str">
        <f ca="1">IF($C84="","",IF(AND($D84="Gelir",$L84&lt;&gt;"",$T84=""),"TANIMSIZ BORÇLU",IF($T84&lt;&gt;"",IF(OR($E84="",$G84&lt;=0),"EKSİK",IF($I84="Evet","TAHAKKUK NAKİT OLAMAZ",IF($C84&gt;TODAY(),"İLERİ TARİH","TAHAKKUK"))),IF(AND($D84&lt;&gt;"",$E84&lt;&gt;"",$G84&gt;0,$H84&lt;&gt;"",$I84&lt;&gt;""),IF($C84&gt;TODAY(),"İLERİ TARİH",IF(COUNTIF($W$7:$W$3001,$W84)&gt;1,"MÜKERRER?",IF($AD84&gt;0,"KAPALI DÖNEM",IF($I84="Hayır","ÖDENECEK","UYGUN")))),"EKSİK"))))</f>
        <v>UYGUN</v>
      </c>
      <c r="Q84" s="2"/>
      <c r="R84" s="2"/>
      <c r="S84" s="1" t="str">
        <f t="shared" si="5"/>
        <v/>
      </c>
      <c r="T84" s="1" t="str">
        <f>IF(OR($C84="",$D84&lt;&gt;"Gelir",$L84=""),"",IFERROR(INDEX(MUSTERILER!$B$7:$B$156,MATCH($S84,MUSTERILER!$T$7:$T$156,0)),""))</f>
        <v/>
      </c>
      <c r="U84" s="1" t="str">
        <f>IF($T84="","",$T84&amp;"|"&amp;COUNTIFS($T$7:$T84,$T84))</f>
        <v/>
      </c>
      <c r="V84" s="1">
        <f t="shared" si="6"/>
        <v>0</v>
      </c>
      <c r="W84" s="1" t="str">
        <f t="shared" si="7"/>
        <v>Gider|Personel|46111|45000|Zeynep Mart Maaşı Ödemesi|</v>
      </c>
      <c r="X84" s="1"/>
      <c r="Y84" s="1"/>
      <c r="Z84" s="1"/>
      <c r="AA84" s="1"/>
      <c r="AB84" s="1"/>
      <c r="AC84" s="1"/>
      <c r="AD84" s="1">
        <f>IF($C84="",0,SUMPRODUCT((AY_SONU!$O$7:$O$42="Evet")*(AY_SONU!$B$7:$B$42=DATE(YEAR($C84),MONTH($C84),1))))</f>
        <v>0</v>
      </c>
      <c r="AE84" s="1" t="str">
        <f>IF($E84="","",$E84&amp;"|"&amp;COUNTIFS($E$7:$E84,$E84))</f>
        <v>Personel|8</v>
      </c>
    </row>
    <row r="85" spans="1:31" ht="18" customHeight="1" x14ac:dyDescent="0.3">
      <c r="A85" s="2"/>
      <c r="B85" s="65" t="str">
        <f>IF($C85="","","GG"&amp;TEXT(ROW()-6,"00000"))</f>
        <v>GG00079</v>
      </c>
      <c r="C85" s="66">
        <v>46111</v>
      </c>
      <c r="D85" s="60" t="s">
        <v>769</v>
      </c>
      <c r="E85" s="61" t="s">
        <v>801</v>
      </c>
      <c r="F85" s="61" t="s">
        <v>859</v>
      </c>
      <c r="G85" s="67">
        <v>11810</v>
      </c>
      <c r="H85" s="60" t="s">
        <v>772</v>
      </c>
      <c r="I85" s="60" t="s">
        <v>773</v>
      </c>
      <c r="J85" s="61"/>
      <c r="K85" s="61"/>
      <c r="L85" s="60"/>
      <c r="M85" s="74" t="str">
        <f>IF($C85="","",IF($D85="Gider",$E85,IF($L85&lt;&gt;"",$L85,$H85)))</f>
        <v>Vergi / Harç</v>
      </c>
      <c r="N85" s="74" t="str">
        <f>IF($C85="","",IF($D85="Gider",$H85,$E85))</f>
        <v>Merkez Kasa</v>
      </c>
      <c r="O85" s="73">
        <f>IF($C85="","",DATE(YEAR($C85),MONTH($C85),1))</f>
        <v>46082</v>
      </c>
      <c r="P85" s="65" t="str">
        <f ca="1">IF($C85="","",IF(AND($D85="Gelir",$L85&lt;&gt;"",$T85=""),"TANIMSIZ BORÇLU",IF($T85&lt;&gt;"",IF(OR($E85="",$G85&lt;=0),"EKSİK",IF($I85="Evet","TAHAKKUK NAKİT OLAMAZ",IF($C85&gt;TODAY(),"İLERİ TARİH","TAHAKKUK"))),IF(AND($D85&lt;&gt;"",$E85&lt;&gt;"",$G85&gt;0,$H85&lt;&gt;"",$I85&lt;&gt;""),IF($C85&gt;TODAY(),"İLERİ TARİH",IF(COUNTIF($W$7:$W$3001,$W85)&gt;1,"MÜKERRER?",IF($AD85&gt;0,"KAPALI DÖNEM",IF($I85="Hayır","ÖDENECEK","UYGUN")))),"EKSİK"))))</f>
        <v>UYGUN</v>
      </c>
      <c r="Q85" s="2"/>
      <c r="R85" s="2"/>
      <c r="S85" s="1" t="str">
        <f t="shared" si="5"/>
        <v/>
      </c>
      <c r="T85" s="1" t="str">
        <f>IF(OR($C85="",$D85&lt;&gt;"Gelir",$L85=""),"",IFERROR(INDEX(MUSTERILER!$B$7:$B$156,MATCH($S85,MUSTERILER!$T$7:$T$156,0)),""))</f>
        <v/>
      </c>
      <c r="U85" s="1" t="str">
        <f>IF($T85="","",$T85&amp;"|"&amp;COUNTIFS($T$7:$T85,$T85))</f>
        <v/>
      </c>
      <c r="V85" s="1">
        <f t="shared" si="6"/>
        <v>0</v>
      </c>
      <c r="W85" s="1" t="str">
        <f t="shared" si="7"/>
        <v>Gider|Vergi / Harç|46111|11810|Bağkur Ödemesi|</v>
      </c>
      <c r="X85" s="1"/>
      <c r="Y85" s="1"/>
      <c r="Z85" s="1"/>
      <c r="AA85" s="1"/>
      <c r="AB85" s="1"/>
      <c r="AC85" s="1"/>
      <c r="AD85" s="1">
        <f>IF($C85="",0,SUMPRODUCT((AY_SONU!$O$7:$O$42="Evet")*(AY_SONU!$B$7:$B$42=DATE(YEAR($C85),MONTH($C85),1))))</f>
        <v>0</v>
      </c>
      <c r="AE85" s="1" t="str">
        <f>IF($E85="","",$E85&amp;"|"&amp;COUNTIFS($E$7:$E85,$E85))</f>
        <v>Vergi / Harç|8</v>
      </c>
    </row>
    <row r="86" spans="1:31" ht="18" customHeight="1" x14ac:dyDescent="0.3">
      <c r="A86" s="2"/>
      <c r="B86" s="65" t="str">
        <f>IF($C86="","","GG"&amp;TEXT(ROW()-6,"00000"))</f>
        <v>GG00080</v>
      </c>
      <c r="C86" s="66">
        <v>46111</v>
      </c>
      <c r="D86" s="60" t="s">
        <v>769</v>
      </c>
      <c r="E86" s="61" t="s">
        <v>860</v>
      </c>
      <c r="F86" s="61" t="s">
        <v>861</v>
      </c>
      <c r="G86" s="67">
        <v>11900</v>
      </c>
      <c r="H86" s="60" t="s">
        <v>772</v>
      </c>
      <c r="I86" s="60" t="s">
        <v>773</v>
      </c>
      <c r="J86" s="61"/>
      <c r="K86" s="61"/>
      <c r="L86" s="60"/>
      <c r="M86" s="74" t="str">
        <f>IF($C86="","",IF($D86="Gider",$E86,IF($L86&lt;&gt;"",$L86,$H86)))</f>
        <v>Yazılım / Abonelik</v>
      </c>
      <c r="N86" s="74" t="str">
        <f>IF($C86="","",IF($D86="Gider",$H86,$E86))</f>
        <v>Merkez Kasa</v>
      </c>
      <c r="O86" s="73">
        <f>IF($C86="","",DATE(YEAR($C86),MONTH($C86),1))</f>
        <v>46082</v>
      </c>
      <c r="P86" s="65" t="str">
        <f ca="1">IF($C86="","",IF(AND($D86="Gelir",$L86&lt;&gt;"",$T86=""),"TANIMSIZ BORÇLU",IF($T86&lt;&gt;"",IF(OR($E86="",$G86&lt;=0),"EKSİK",IF($I86="Evet","TAHAKKUK NAKİT OLAMAZ",IF($C86&gt;TODAY(),"İLERİ TARİH","TAHAKKUK"))),IF(AND($D86&lt;&gt;"",$E86&lt;&gt;"",$G86&gt;0,$H86&lt;&gt;"",$I86&lt;&gt;""),IF($C86&gt;TODAY(),"İLERİ TARİH",IF(COUNTIF($W$7:$W$3001,$W86)&gt;1,"MÜKERRER?",IF($AD86&gt;0,"KAPALI DÖNEM",IF($I86="Hayır","ÖDENECEK","UYGUN")))),"EKSİK"))))</f>
        <v>UYGUN</v>
      </c>
      <c r="Q86" s="2"/>
      <c r="R86" s="2"/>
      <c r="S86" s="1" t="str">
        <f t="shared" si="5"/>
        <v/>
      </c>
      <c r="T86" s="1" t="str">
        <f>IF(OR($C86="",$D86&lt;&gt;"Gelir",$L86=""),"",IFERROR(INDEX(MUSTERILER!$B$7:$B$156,MATCH($S86,MUSTERILER!$T$7:$T$156,0)),""))</f>
        <v/>
      </c>
      <c r="U86" s="1" t="str">
        <f>IF($T86="","",$T86&amp;"|"&amp;COUNTIFS($T$7:$T86,$T86))</f>
        <v/>
      </c>
      <c r="V86" s="1">
        <f t="shared" si="6"/>
        <v>0</v>
      </c>
      <c r="W86" s="1" t="str">
        <f t="shared" si="7"/>
        <v>Gider|Yazılım / Abonelik|46111|11900|Luca Güncelleme Bedeli|</v>
      </c>
      <c r="X86" s="1"/>
      <c r="Y86" s="1"/>
      <c r="Z86" s="1"/>
      <c r="AA86" s="1"/>
      <c r="AB86" s="1"/>
      <c r="AC86" s="1"/>
      <c r="AD86" s="1">
        <f>IF($C86="",0,SUMPRODUCT((AY_SONU!$O$7:$O$42="Evet")*(AY_SONU!$B$7:$B$42=DATE(YEAR($C86),MONTH($C86),1))))</f>
        <v>0</v>
      </c>
      <c r="AE86" s="1" t="str">
        <f>IF($E86="","",$E86&amp;"|"&amp;COUNTIFS($E$7:$E86,$E86))</f>
        <v>Yazılım / Abonelik|1</v>
      </c>
    </row>
    <row r="87" spans="1:31" ht="18" customHeight="1" x14ac:dyDescent="0.3">
      <c r="A87" s="2"/>
      <c r="B87" s="65" t="str">
        <f>IF($C87="","","GG"&amp;TEXT(ROW()-6,"00000"))</f>
        <v>GG00081</v>
      </c>
      <c r="C87" s="66">
        <v>46111</v>
      </c>
      <c r="D87" s="60" t="s">
        <v>769</v>
      </c>
      <c r="E87" s="61" t="s">
        <v>781</v>
      </c>
      <c r="F87" s="61" t="s">
        <v>787</v>
      </c>
      <c r="G87" s="67">
        <v>610</v>
      </c>
      <c r="H87" s="60" t="s">
        <v>772</v>
      </c>
      <c r="I87" s="60" t="s">
        <v>773</v>
      </c>
      <c r="J87" s="61"/>
      <c r="K87" s="61"/>
      <c r="L87" s="60"/>
      <c r="M87" s="74" t="str">
        <f>IF($C87="","",IF($D87="Gider",$E87,IF($L87&lt;&gt;"",$L87,$H87)))</f>
        <v>Telefon / İnternet</v>
      </c>
      <c r="N87" s="74" t="str">
        <f>IF($C87="","",IF($D87="Gider",$H87,$E87))</f>
        <v>Merkez Kasa</v>
      </c>
      <c r="O87" s="73">
        <f>IF($C87="","",DATE(YEAR($C87),MONTH($C87),1))</f>
        <v>46082</v>
      </c>
      <c r="P87" s="65" t="str">
        <f ca="1">IF($C87="","",IF(AND($D87="Gelir",$L87&lt;&gt;"",$T87=""),"TANIMSIZ BORÇLU",IF($T87&lt;&gt;"",IF(OR($E87="",$G87&lt;=0),"EKSİK",IF($I87="Evet","TAHAKKUK NAKİT OLAMAZ",IF($C87&gt;TODAY(),"İLERİ TARİH","TAHAKKUK"))),IF(AND($D87&lt;&gt;"",$E87&lt;&gt;"",$G87&gt;0,$H87&lt;&gt;"",$I87&lt;&gt;""),IF($C87&gt;TODAY(),"İLERİ TARİH",IF(COUNTIF($W$7:$W$3001,$W87)&gt;1,"MÜKERRER?",IF($AD87&gt;0,"KAPALI DÖNEM",IF($I87="Hayır","ÖDENECEK","UYGUN")))),"EKSİK"))))</f>
        <v>UYGUN</v>
      </c>
      <c r="Q87" s="2"/>
      <c r="R87" s="2"/>
      <c r="S87" s="1" t="str">
        <f t="shared" si="5"/>
        <v/>
      </c>
      <c r="T87" s="1" t="str">
        <f>IF(OR($C87="",$D87&lt;&gt;"Gelir",$L87=""),"",IFERROR(INDEX(MUSTERILER!$B$7:$B$156,MATCH($S87,MUSTERILER!$T$7:$T$156,0)),""))</f>
        <v/>
      </c>
      <c r="U87" s="1" t="str">
        <f>IF($T87="","",$T87&amp;"|"&amp;COUNTIFS($T$7:$T87,$T87))</f>
        <v/>
      </c>
      <c r="V87" s="1">
        <f t="shared" si="6"/>
        <v>0</v>
      </c>
      <c r="W87" s="1" t="str">
        <f t="shared" si="7"/>
        <v>Gider|Telefon / İnternet|46111|610|İnternet Ödemesi|</v>
      </c>
      <c r="X87" s="1"/>
      <c r="Y87" s="1"/>
      <c r="Z87" s="1"/>
      <c r="AA87" s="1"/>
      <c r="AB87" s="1"/>
      <c r="AC87" s="1"/>
      <c r="AD87" s="1">
        <f>IF($C87="",0,SUMPRODUCT((AY_SONU!$O$7:$O$42="Evet")*(AY_SONU!$B$7:$B$42=DATE(YEAR($C87),MONTH($C87),1))))</f>
        <v>0</v>
      </c>
      <c r="AE87" s="1" t="str">
        <f>IF($E87="","",$E87&amp;"|"&amp;COUNTIFS($E$7:$E87,$E87))</f>
        <v>Telefon / İnternet|7</v>
      </c>
    </row>
    <row r="88" spans="1:31" ht="18" customHeight="1" x14ac:dyDescent="0.3">
      <c r="A88" s="2"/>
      <c r="B88" s="65" t="str">
        <f>IF($C88="","","GG"&amp;TEXT(ROW()-6,"00000"))</f>
        <v>GG00082</v>
      </c>
      <c r="C88" s="66">
        <v>46111</v>
      </c>
      <c r="D88" s="60" t="s">
        <v>769</v>
      </c>
      <c r="E88" s="61" t="s">
        <v>788</v>
      </c>
      <c r="F88" s="61" t="s">
        <v>862</v>
      </c>
      <c r="G88" s="67">
        <v>4900</v>
      </c>
      <c r="H88" s="60" t="s">
        <v>772</v>
      </c>
      <c r="I88" s="60" t="s">
        <v>773</v>
      </c>
      <c r="J88" s="61"/>
      <c r="K88" s="61"/>
      <c r="L88" s="60"/>
      <c r="M88" s="74" t="str">
        <f>IF($C88="","",IF($D88="Gider",$E88,IF($L88&lt;&gt;"",$L88,$H88)))</f>
        <v>Ulaşım</v>
      </c>
      <c r="N88" s="74" t="str">
        <f>IF($C88="","",IF($D88="Gider",$H88,$E88))</f>
        <v>Merkez Kasa</v>
      </c>
      <c r="O88" s="73">
        <f>IF($C88="","",DATE(YEAR($C88),MONTH($C88),1))</f>
        <v>46082</v>
      </c>
      <c r="P88" s="65" t="str">
        <f ca="1">IF($C88="","",IF(AND($D88="Gelir",$L88&lt;&gt;"",$T88=""),"TANIMSIZ BORÇLU",IF($T88&lt;&gt;"",IF(OR($E88="",$G88&lt;=0),"EKSİK",IF($I88="Evet","TAHAKKUK NAKİT OLAMAZ",IF($C88&gt;TODAY(),"İLERİ TARİH","TAHAKKUK"))),IF(AND($D88&lt;&gt;"",$E88&lt;&gt;"",$G88&gt;0,$H88&lt;&gt;"",$I88&lt;&gt;""),IF($C88&gt;TODAY(),"İLERİ TARİH",IF(COUNTIF($W$7:$W$3001,$W88)&gt;1,"MÜKERRER?",IF($AD88&gt;0,"KAPALI DÖNEM",IF($I88="Hayır","ÖDENECEK","UYGUN")))),"EKSİK"))))</f>
        <v>UYGUN</v>
      </c>
      <c r="Q88" s="2"/>
      <c r="R88" s="2"/>
      <c r="S88" s="1" t="str">
        <f t="shared" si="5"/>
        <v/>
      </c>
      <c r="T88" s="1" t="str">
        <f>IF(OR($C88="",$D88&lt;&gt;"Gelir",$L88=""),"",IFERROR(INDEX(MUSTERILER!$B$7:$B$156,MATCH($S88,MUSTERILER!$T$7:$T$156,0)),""))</f>
        <v/>
      </c>
      <c r="U88" s="1" t="str">
        <f>IF($T88="","",$T88&amp;"|"&amp;COUNTIFS($T$7:$T88,$T88))</f>
        <v/>
      </c>
      <c r="V88" s="1">
        <f t="shared" si="6"/>
        <v>0</v>
      </c>
      <c r="W88" s="1" t="str">
        <f t="shared" si="7"/>
        <v>Gider|Ulaşım|46111|4900|Benzin ( Ömer ) |</v>
      </c>
      <c r="X88" s="1"/>
      <c r="Y88" s="1"/>
      <c r="Z88" s="1"/>
      <c r="AA88" s="1"/>
      <c r="AB88" s="1"/>
      <c r="AC88" s="1"/>
      <c r="AD88" s="1">
        <f>IF($C88="",0,SUMPRODUCT((AY_SONU!$O$7:$O$42="Evet")*(AY_SONU!$B$7:$B$42=DATE(YEAR($C88),MONTH($C88),1))))</f>
        <v>0</v>
      </c>
      <c r="AE88" s="1" t="str">
        <f>IF($E88="","",$E88&amp;"|"&amp;COUNTIFS($E$7:$E88,$E88))</f>
        <v>Ulaşım|7</v>
      </c>
    </row>
    <row r="89" spans="1:31" ht="18" customHeight="1" x14ac:dyDescent="0.3">
      <c r="A89" s="2"/>
      <c r="B89" s="65" t="str">
        <f>IF($C89="","","GG"&amp;TEXT(ROW()-6,"00000"))</f>
        <v>GG00083</v>
      </c>
      <c r="C89" s="66">
        <v>46111</v>
      </c>
      <c r="D89" s="60" t="s">
        <v>769</v>
      </c>
      <c r="E89" s="61" t="s">
        <v>801</v>
      </c>
      <c r="F89" s="61" t="s">
        <v>863</v>
      </c>
      <c r="G89" s="67">
        <v>12303.97</v>
      </c>
      <c r="H89" s="60" t="s">
        <v>772</v>
      </c>
      <c r="I89" s="60" t="s">
        <v>773</v>
      </c>
      <c r="J89" s="61"/>
      <c r="K89" s="61"/>
      <c r="L89" s="60"/>
      <c r="M89" s="74" t="str">
        <f>IF($C89="","",IF($D89="Gider",$E89,IF($L89&lt;&gt;"",$L89,$H89)))</f>
        <v>Vergi / Harç</v>
      </c>
      <c r="N89" s="74" t="str">
        <f>IF($C89="","",IF($D89="Gider",$H89,$E89))</f>
        <v>Merkez Kasa</v>
      </c>
      <c r="O89" s="73">
        <f>IF($C89="","",DATE(YEAR($C89),MONTH($C89),1))</f>
        <v>46082</v>
      </c>
      <c r="P89" s="65" t="str">
        <f ca="1">IF($C89="","",IF(AND($D89="Gelir",$L89&lt;&gt;"",$T89=""),"TANIMSIZ BORÇLU",IF($T89&lt;&gt;"",IF(OR($E89="",$G89&lt;=0),"EKSİK",IF($I89="Evet","TAHAKKUK NAKİT OLAMAZ",IF($C89&gt;TODAY(),"İLERİ TARİH","TAHAKKUK"))),IF(AND($D89&lt;&gt;"",$E89&lt;&gt;"",$G89&gt;0,$H89&lt;&gt;"",$I89&lt;&gt;""),IF($C89&gt;TODAY(),"İLERİ TARİH",IF(COUNTIF($W$7:$W$3001,$W89)&gt;1,"MÜKERRER?",IF($AD89&gt;0,"KAPALI DÖNEM",IF($I89="Hayır","ÖDENECEK","UYGUN")))),"EKSİK"))))</f>
        <v>UYGUN</v>
      </c>
      <c r="Q89" s="2"/>
      <c r="R89" s="2"/>
      <c r="S89" s="1" t="str">
        <f t="shared" si="5"/>
        <v/>
      </c>
      <c r="T89" s="1" t="str">
        <f>IF(OR($C89="",$D89&lt;&gt;"Gelir",$L89=""),"",IFERROR(INDEX(MUSTERILER!$B$7:$B$156,MATCH($S89,MUSTERILER!$T$7:$T$156,0)),""))</f>
        <v/>
      </c>
      <c r="U89" s="1" t="str">
        <f>IF($T89="","",$T89&amp;"|"&amp;COUNTIFS($T$7:$T89,$T89))</f>
        <v/>
      </c>
      <c r="V89" s="1">
        <f t="shared" si="6"/>
        <v>0</v>
      </c>
      <c r="W89" s="1" t="str">
        <f t="shared" si="7"/>
        <v>Gider|Vergi / Harç|46111|12304|M.Ali Kılıç Vergi Ödemesi|</v>
      </c>
      <c r="X89" s="1"/>
      <c r="Y89" s="1"/>
      <c r="Z89" s="1"/>
      <c r="AA89" s="1"/>
      <c r="AB89" s="1"/>
      <c r="AC89" s="1"/>
      <c r="AD89" s="1">
        <f>IF($C89="",0,SUMPRODUCT((AY_SONU!$O$7:$O$42="Evet")*(AY_SONU!$B$7:$B$42=DATE(YEAR($C89),MONTH($C89),1))))</f>
        <v>0</v>
      </c>
      <c r="AE89" s="1" t="str">
        <f>IF($E89="","",$E89&amp;"|"&amp;COUNTIFS($E$7:$E89,$E89))</f>
        <v>Vergi / Harç|9</v>
      </c>
    </row>
    <row r="90" spans="1:31" ht="18" customHeight="1" x14ac:dyDescent="0.3">
      <c r="A90" s="2"/>
      <c r="B90" s="65" t="str">
        <f>IF($C90="","","GG"&amp;TEXT(ROW()-6,"00000"))</f>
        <v>GG00084</v>
      </c>
      <c r="C90" s="66">
        <v>46113</v>
      </c>
      <c r="D90" s="60" t="s">
        <v>769</v>
      </c>
      <c r="E90" s="61" t="s">
        <v>793</v>
      </c>
      <c r="F90" s="61" t="s">
        <v>1317</v>
      </c>
      <c r="G90" s="67">
        <v>2500</v>
      </c>
      <c r="H90" s="60" t="s">
        <v>772</v>
      </c>
      <c r="I90" s="60" t="s">
        <v>773</v>
      </c>
      <c r="J90" s="61"/>
      <c r="K90" s="61"/>
      <c r="L90" s="60"/>
      <c r="M90" s="74" t="str">
        <f>IF($C90="","",IF($D90="Gider",$E90,IF($L90&lt;&gt;"",$L90,$H90)))</f>
        <v>Mehmet Ali Kartal</v>
      </c>
      <c r="N90" s="74" t="str">
        <f>IF($C90="","",IF($D90="Gider",$H90,$E90))</f>
        <v>Merkez Kasa</v>
      </c>
      <c r="O90" s="73">
        <f>IF($C90="","",DATE(YEAR($C90),MONTH($C90),1))</f>
        <v>46113</v>
      </c>
      <c r="P90" s="65" t="str">
        <f ca="1">IF($C90="","",IF(AND($D90="Gelir",$L90&lt;&gt;"",$T90=""),"TANIMSIZ BORÇLU",IF($T90&lt;&gt;"",IF(OR($E90="",$G90&lt;=0),"EKSİK",IF($I90="Evet","TAHAKKUK NAKİT OLAMAZ",IF($C90&gt;TODAY(),"İLERİ TARİH","TAHAKKUK"))),IF(AND($D90&lt;&gt;"",$E90&lt;&gt;"",$G90&gt;0,$H90&lt;&gt;"",$I90&lt;&gt;""),IF($C90&gt;TODAY(),"İLERİ TARİH",IF(COUNTIF($W$7:$W$3001,$W90)&gt;1,"MÜKERRER?",IF($AD90&gt;0,"KAPALI DÖNEM",IF($I90="Hayır","ÖDENECEK","UYGUN")))),"EKSİK"))))</f>
        <v>UYGUN</v>
      </c>
      <c r="Q90" s="2"/>
      <c r="R90" s="2"/>
      <c r="S90" s="1" t="str">
        <f t="shared" si="5"/>
        <v/>
      </c>
      <c r="T90" s="1" t="str">
        <f>IF(OR($C90="",$D90&lt;&gt;"Gelir",$L90=""),"",IFERROR(INDEX(MUSTERILER!$B$7:$B$156,MATCH($S90,MUSTERILER!$T$7:$T$156,0)),""))</f>
        <v/>
      </c>
      <c r="U90" s="1" t="str">
        <f>IF($T90="","",$T90&amp;"|"&amp;COUNTIFS($T$7:$T90,$T90))</f>
        <v/>
      </c>
      <c r="V90" s="1">
        <f t="shared" si="6"/>
        <v>0</v>
      </c>
      <c r="W90" s="1" t="str">
        <f t="shared" si="7"/>
        <v>Gider|Mehmet Ali Kartal|46113|2500|CEREN DEMİRCİ SGK|</v>
      </c>
      <c r="X90" s="1"/>
      <c r="Y90" s="1"/>
      <c r="Z90" s="1"/>
      <c r="AA90" s="1"/>
      <c r="AB90" s="1"/>
      <c r="AC90" s="1"/>
      <c r="AD90" s="1">
        <f>IF($C90="",0,SUMPRODUCT((AY_SONU!$O$7:$O$42="Evet")*(AY_SONU!$B$7:$B$42=DATE(YEAR($C90),MONTH($C90),1))))</f>
        <v>0</v>
      </c>
      <c r="AE90" s="1" t="str">
        <f>IF($E90="","",$E90&amp;"|"&amp;COUNTIFS($E$7:$E90,$E90))</f>
        <v>Mehmet Ali Kartal|2</v>
      </c>
    </row>
    <row r="91" spans="1:31" ht="18" customHeight="1" x14ac:dyDescent="0.3">
      <c r="A91" s="2"/>
      <c r="B91" s="65" t="str">
        <f>IF($C91="","","GG"&amp;TEXT(ROW()-6,"00000"))</f>
        <v>GG00085</v>
      </c>
      <c r="C91" s="66">
        <v>46115</v>
      </c>
      <c r="D91" s="60" t="s">
        <v>795</v>
      </c>
      <c r="E91" s="61" t="s">
        <v>796</v>
      </c>
      <c r="F91" s="61" t="s">
        <v>864</v>
      </c>
      <c r="G91" s="67">
        <v>30000</v>
      </c>
      <c r="H91" s="60" t="s">
        <v>772</v>
      </c>
      <c r="I91" s="60" t="s">
        <v>773</v>
      </c>
      <c r="J91" s="61"/>
      <c r="K91" s="61"/>
      <c r="L91" s="60"/>
      <c r="M91" s="74" t="str">
        <f>IF($C91="","",IF($D91="Gider",$E91,IF($L91&lt;&gt;"",$L91,$H91)))</f>
        <v>Merkez Kasa</v>
      </c>
      <c r="N91" s="74" t="str">
        <f>IF($C91="","",IF($D91="Gider",$H91,$E91))</f>
        <v>Diğer Gelirler</v>
      </c>
      <c r="O91" s="73">
        <f>IF($C91="","",DATE(YEAR($C91),MONTH($C91),1))</f>
        <v>46113</v>
      </c>
      <c r="P91" s="65" t="str">
        <f ca="1">IF($C91="","",IF(AND($D91="Gelir",$L91&lt;&gt;"",$T91=""),"TANIMSIZ BORÇLU",IF($T91&lt;&gt;"",IF(OR($E91="",$G91&lt;=0),"EKSİK",IF($I91="Evet","TAHAKKUK NAKİT OLAMAZ",IF($C91&gt;TODAY(),"İLERİ TARİH","TAHAKKUK"))),IF(AND($D91&lt;&gt;"",$E91&lt;&gt;"",$G91&gt;0,$H91&lt;&gt;"",$I91&lt;&gt;""),IF($C91&gt;TODAY(),"İLERİ TARİH",IF(COUNTIF($W$7:$W$3001,$W91)&gt;1,"MÜKERRER?",IF($AD91&gt;0,"KAPALI DÖNEM",IF($I91="Hayır","ÖDENECEK","UYGUN")))),"EKSİK"))))</f>
        <v>UYGUN</v>
      </c>
      <c r="Q91" s="2"/>
      <c r="R91" s="2"/>
      <c r="S91" s="1" t="str">
        <f t="shared" si="5"/>
        <v/>
      </c>
      <c r="T91" s="1" t="str">
        <f>IF(OR($C91="",$D91&lt;&gt;"Gelir",$L91=""),"",IFERROR(INDEX(MUSTERILER!$B$7:$B$156,MATCH($S91,MUSTERILER!$T$7:$T$156,0)),""))</f>
        <v/>
      </c>
      <c r="U91" s="1" t="str">
        <f>IF($T91="","",$T91&amp;"|"&amp;COUNTIFS($T$7:$T91,$T91))</f>
        <v/>
      </c>
      <c r="V91" s="1">
        <f t="shared" si="6"/>
        <v>0</v>
      </c>
      <c r="W91" s="1" t="str">
        <f t="shared" si="7"/>
        <v>Gelir|Diğer Gelirler|46115|30000|ZÜMRÜT GRUP LTD.ŞTİ. SGK DANIŞMANLIK|</v>
      </c>
      <c r="X91" s="1"/>
      <c r="Y91" s="1"/>
      <c r="Z91" s="1"/>
      <c r="AA91" s="1"/>
      <c r="AB91" s="1"/>
      <c r="AC91" s="1"/>
      <c r="AD91" s="1">
        <f>IF($C91="",0,SUMPRODUCT((AY_SONU!$O$7:$O$42="Evet")*(AY_SONU!$B$7:$B$42=DATE(YEAR($C91),MONTH($C91),1))))</f>
        <v>0</v>
      </c>
      <c r="AE91" s="1" t="str">
        <f>IF($E91="","",$E91&amp;"|"&amp;COUNTIFS($E$7:$E91,$E91))</f>
        <v>Diğer Gelirler|5</v>
      </c>
    </row>
    <row r="92" spans="1:31" ht="18" customHeight="1" x14ac:dyDescent="0.3">
      <c r="A92" s="2"/>
      <c r="B92" s="65" t="str">
        <f>IF($C92="","","GG"&amp;TEXT(ROW()-6,"00000"))</f>
        <v>GG00086</v>
      </c>
      <c r="C92" s="66">
        <v>46118</v>
      </c>
      <c r="D92" s="60" t="s">
        <v>769</v>
      </c>
      <c r="E92" s="61" t="s">
        <v>805</v>
      </c>
      <c r="F92" s="61" t="s">
        <v>865</v>
      </c>
      <c r="G92" s="67">
        <v>2000</v>
      </c>
      <c r="H92" s="60" t="s">
        <v>772</v>
      </c>
      <c r="I92" s="60" t="s">
        <v>773</v>
      </c>
      <c r="J92" s="61"/>
      <c r="K92" s="61"/>
      <c r="L92" s="60"/>
      <c r="M92" s="74" t="str">
        <f>IF($C92="","",IF($D92="Gider",$E92,IF($L92&lt;&gt;"",$L92,$H92)))</f>
        <v>Ofis Kirası</v>
      </c>
      <c r="N92" s="74" t="str">
        <f>IF($C92="","",IF($D92="Gider",$H92,$E92))</f>
        <v>Merkez Kasa</v>
      </c>
      <c r="O92" s="73">
        <f>IF($C92="","",DATE(YEAR($C92),MONTH($C92),1))</f>
        <v>46113</v>
      </c>
      <c r="P92" s="65" t="str">
        <f ca="1">IF($C92="","",IF(AND($D92="Gelir",$L92&lt;&gt;"",$T92=""),"TANIMSIZ BORÇLU",IF($T92&lt;&gt;"",IF(OR($E92="",$G92&lt;=0),"EKSİK",IF($I92="Evet","TAHAKKUK NAKİT OLAMAZ",IF($C92&gt;TODAY(),"İLERİ TARİH","TAHAKKUK"))),IF(AND($D92&lt;&gt;"",$E92&lt;&gt;"",$G92&gt;0,$H92&lt;&gt;"",$I92&lt;&gt;""),IF($C92&gt;TODAY(),"İLERİ TARİH",IF(COUNTIF($W$7:$W$3001,$W92)&gt;1,"MÜKERRER?",IF($AD92&gt;0,"KAPALI DÖNEM",IF($I92="Hayır","ÖDENECEK","UYGUN")))),"EKSİK"))))</f>
        <v>UYGUN</v>
      </c>
      <c r="Q92" s="2"/>
      <c r="R92" s="2"/>
      <c r="S92" s="1" t="str">
        <f t="shared" si="5"/>
        <v/>
      </c>
      <c r="T92" s="1" t="str">
        <f>IF(OR($C92="",$D92&lt;&gt;"Gelir",$L92=""),"",IFERROR(INDEX(MUSTERILER!$B$7:$B$156,MATCH($S92,MUSTERILER!$T$7:$T$156,0)),""))</f>
        <v/>
      </c>
      <c r="U92" s="1" t="str">
        <f>IF($T92="","",$T92&amp;"|"&amp;COUNTIFS($T$7:$T92,$T92))</f>
        <v/>
      </c>
      <c r="V92" s="1">
        <f t="shared" si="6"/>
        <v>0</v>
      </c>
      <c r="W92" s="1" t="str">
        <f t="shared" si="7"/>
        <v>Gider|Ofis Kirası|46118|2000|Nisan Ofis Aidat Ödemesi|</v>
      </c>
      <c r="X92" s="1"/>
      <c r="Y92" s="1"/>
      <c r="Z92" s="1"/>
      <c r="AA92" s="1"/>
      <c r="AB92" s="1"/>
      <c r="AC92" s="1"/>
      <c r="AD92" s="1">
        <f>IF($C92="",0,SUMPRODUCT((AY_SONU!$O$7:$O$42="Evet")*(AY_SONU!$B$7:$B$42=DATE(YEAR($C92),MONTH($C92),1))))</f>
        <v>0</v>
      </c>
      <c r="AE92" s="1" t="str">
        <f>IF($E92="","",$E92&amp;"|"&amp;COUNTIFS($E$7:$E92,$E92))</f>
        <v>Ofis Kirası|7</v>
      </c>
    </row>
    <row r="93" spans="1:31" ht="18" customHeight="1" x14ac:dyDescent="0.3">
      <c r="A93" s="2"/>
      <c r="B93" s="65" t="str">
        <f>IF($C93="","","GG"&amp;TEXT(ROW()-6,"00000"))</f>
        <v>GG00087</v>
      </c>
      <c r="C93" s="66">
        <v>46118</v>
      </c>
      <c r="D93" s="60" t="s">
        <v>769</v>
      </c>
      <c r="E93" s="61" t="s">
        <v>788</v>
      </c>
      <c r="F93" s="61" t="s">
        <v>853</v>
      </c>
      <c r="G93" s="67">
        <v>2000</v>
      </c>
      <c r="H93" s="60" t="s">
        <v>772</v>
      </c>
      <c r="I93" s="60" t="s">
        <v>773</v>
      </c>
      <c r="J93" s="61"/>
      <c r="K93" s="61"/>
      <c r="L93" s="60"/>
      <c r="M93" s="74" t="str">
        <f>IF($C93="","",IF($D93="Gider",$E93,IF($L93&lt;&gt;"",$L93,$H93)))</f>
        <v>Ulaşım</v>
      </c>
      <c r="N93" s="74" t="str">
        <f>IF($C93="","",IF($D93="Gider",$H93,$E93))</f>
        <v>Merkez Kasa</v>
      </c>
      <c r="O93" s="73">
        <f>IF($C93="","",DATE(YEAR($C93),MONTH($C93),1))</f>
        <v>46113</v>
      </c>
      <c r="P93" s="65" t="str">
        <f ca="1">IF($C93="","",IF(AND($D93="Gelir",$L93&lt;&gt;"",$T93=""),"TANIMSIZ BORÇLU",IF($T93&lt;&gt;"",IF(OR($E93="",$G93&lt;=0),"EKSİK",IF($I93="Evet","TAHAKKUK NAKİT OLAMAZ",IF($C93&gt;TODAY(),"İLERİ TARİH","TAHAKKUK"))),IF(AND($D93&lt;&gt;"",$E93&lt;&gt;"",$G93&gt;0,$H93&lt;&gt;"",$I93&lt;&gt;""),IF($C93&gt;TODAY(),"İLERİ TARİH",IF(COUNTIF($W$7:$W$3001,$W93)&gt;1,"MÜKERRER?",IF($AD93&gt;0,"KAPALI DÖNEM",IF($I93="Hayır","ÖDENECEK","UYGUN")))),"EKSİK"))))</f>
        <v>UYGUN</v>
      </c>
      <c r="Q93" s="2"/>
      <c r="R93" s="2"/>
      <c r="S93" s="1" t="str">
        <f t="shared" si="5"/>
        <v/>
      </c>
      <c r="T93" s="1" t="str">
        <f>IF(OR($C93="",$D93&lt;&gt;"Gelir",$L93=""),"",IFERROR(INDEX(MUSTERILER!$B$7:$B$156,MATCH($S93,MUSTERILER!$T$7:$T$156,0)),""))</f>
        <v/>
      </c>
      <c r="U93" s="1" t="str">
        <f>IF($T93="","",$T93&amp;"|"&amp;COUNTIFS($T$7:$T93,$T93))</f>
        <v/>
      </c>
      <c r="V93" s="1">
        <f t="shared" si="6"/>
        <v>0</v>
      </c>
      <c r="W93" s="1" t="str">
        <f t="shared" si="7"/>
        <v>Gider|Ulaşım|46118|2000|Benzin|</v>
      </c>
      <c r="X93" s="1"/>
      <c r="Y93" s="1"/>
      <c r="Z93" s="1"/>
      <c r="AA93" s="1"/>
      <c r="AB93" s="1"/>
      <c r="AC93" s="1"/>
      <c r="AD93" s="1">
        <f>IF($C93="",0,SUMPRODUCT((AY_SONU!$O$7:$O$42="Evet")*(AY_SONU!$B$7:$B$42=DATE(YEAR($C93),MONTH($C93),1))))</f>
        <v>0</v>
      </c>
      <c r="AE93" s="1" t="str">
        <f>IF($E93="","",$E93&amp;"|"&amp;COUNTIFS($E$7:$E93,$E93))</f>
        <v>Ulaşım|8</v>
      </c>
    </row>
    <row r="94" spans="1:31" ht="18" customHeight="1" x14ac:dyDescent="0.3">
      <c r="A94" s="2"/>
      <c r="B94" s="65" t="str">
        <f>IF($C94="","","GG"&amp;TEXT(ROW()-6,"00000"))</f>
        <v>GG00088</v>
      </c>
      <c r="C94" s="66">
        <v>46118</v>
      </c>
      <c r="D94" s="60" t="s">
        <v>769</v>
      </c>
      <c r="E94" s="61" t="s">
        <v>788</v>
      </c>
      <c r="F94" s="61" t="s">
        <v>853</v>
      </c>
      <c r="G94" s="67">
        <v>1000</v>
      </c>
      <c r="H94" s="60" t="s">
        <v>772</v>
      </c>
      <c r="I94" s="60" t="s">
        <v>773</v>
      </c>
      <c r="J94" s="61"/>
      <c r="K94" s="61"/>
      <c r="L94" s="60"/>
      <c r="M94" s="74" t="str">
        <f>IF($C94="","",IF($D94="Gider",$E94,IF($L94&lt;&gt;"",$L94,$H94)))</f>
        <v>Ulaşım</v>
      </c>
      <c r="N94" s="74" t="str">
        <f>IF($C94="","",IF($D94="Gider",$H94,$E94))</f>
        <v>Merkez Kasa</v>
      </c>
      <c r="O94" s="73">
        <f>IF($C94="","",DATE(YEAR($C94),MONTH($C94),1))</f>
        <v>46113</v>
      </c>
      <c r="P94" s="65" t="str">
        <f ca="1">IF($C94="","",IF(AND($D94="Gelir",$L94&lt;&gt;"",$T94=""),"TANIMSIZ BORÇLU",IF($T94&lt;&gt;"",IF(OR($E94="",$G94&lt;=0),"EKSİK",IF($I94="Evet","TAHAKKUK NAKİT OLAMAZ",IF($C94&gt;TODAY(),"İLERİ TARİH","TAHAKKUK"))),IF(AND($D94&lt;&gt;"",$E94&lt;&gt;"",$G94&gt;0,$H94&lt;&gt;"",$I94&lt;&gt;""),IF($C94&gt;TODAY(),"İLERİ TARİH",IF(COUNTIF($W$7:$W$3001,$W94)&gt;1,"MÜKERRER?",IF($AD94&gt;0,"KAPALI DÖNEM",IF($I94="Hayır","ÖDENECEK","UYGUN")))),"EKSİK"))))</f>
        <v>UYGUN</v>
      </c>
      <c r="Q94" s="2"/>
      <c r="R94" s="2"/>
      <c r="S94" s="1" t="str">
        <f t="shared" si="5"/>
        <v/>
      </c>
      <c r="T94" s="1" t="str">
        <f>IF(OR($C94="",$D94&lt;&gt;"Gelir",$L94=""),"",IFERROR(INDEX(MUSTERILER!$B$7:$B$156,MATCH($S94,MUSTERILER!$T$7:$T$156,0)),""))</f>
        <v/>
      </c>
      <c r="U94" s="1" t="str">
        <f>IF($T94="","",$T94&amp;"|"&amp;COUNTIFS($T$7:$T94,$T94))</f>
        <v/>
      </c>
      <c r="V94" s="1">
        <f t="shared" si="6"/>
        <v>0</v>
      </c>
      <c r="W94" s="1" t="str">
        <f t="shared" si="7"/>
        <v>Gider|Ulaşım|46118|1000|Benzin|</v>
      </c>
      <c r="X94" s="1"/>
      <c r="Y94" s="1"/>
      <c r="Z94" s="1"/>
      <c r="AA94" s="1"/>
      <c r="AB94" s="1"/>
      <c r="AC94" s="1"/>
      <c r="AD94" s="1">
        <f>IF($C94="",0,SUMPRODUCT((AY_SONU!$O$7:$O$42="Evet")*(AY_SONU!$B$7:$B$42=DATE(YEAR($C94),MONTH($C94),1))))</f>
        <v>0</v>
      </c>
      <c r="AE94" s="1" t="str">
        <f>IF($E94="","",$E94&amp;"|"&amp;COUNTIFS($E$7:$E94,$E94))</f>
        <v>Ulaşım|9</v>
      </c>
    </row>
    <row r="95" spans="1:31" ht="18" customHeight="1" x14ac:dyDescent="0.3">
      <c r="A95" s="2"/>
      <c r="B95" s="65" t="str">
        <f>IF($C95="","","GG"&amp;TEXT(ROW()-6,"00000"))</f>
        <v>GG00089</v>
      </c>
      <c r="C95" s="66">
        <v>46119</v>
      </c>
      <c r="D95" s="60" t="s">
        <v>795</v>
      </c>
      <c r="E95" s="61" t="s">
        <v>796</v>
      </c>
      <c r="F95" s="61" t="s">
        <v>864</v>
      </c>
      <c r="G95" s="67">
        <v>30000</v>
      </c>
      <c r="H95" s="60" t="s">
        <v>772</v>
      </c>
      <c r="I95" s="60" t="s">
        <v>773</v>
      </c>
      <c r="J95" s="61"/>
      <c r="K95" s="61"/>
      <c r="L95" s="60"/>
      <c r="M95" s="74" t="str">
        <f>IF($C95="","",IF($D95="Gider",$E95,IF($L95&lt;&gt;"",$L95,$H95)))</f>
        <v>Merkez Kasa</v>
      </c>
      <c r="N95" s="74" t="str">
        <f>IF($C95="","",IF($D95="Gider",$H95,$E95))</f>
        <v>Diğer Gelirler</v>
      </c>
      <c r="O95" s="73">
        <f>IF($C95="","",DATE(YEAR($C95),MONTH($C95),1))</f>
        <v>46113</v>
      </c>
      <c r="P95" s="65" t="str">
        <f ca="1">IF($C95="","",IF(AND($D95="Gelir",$L95&lt;&gt;"",$T95=""),"TANIMSIZ BORÇLU",IF($T95&lt;&gt;"",IF(OR($E95="",$G95&lt;=0),"EKSİK",IF($I95="Evet","TAHAKKUK NAKİT OLAMAZ",IF($C95&gt;TODAY(),"İLERİ TARİH","TAHAKKUK"))),IF(AND($D95&lt;&gt;"",$E95&lt;&gt;"",$G95&gt;0,$H95&lt;&gt;"",$I95&lt;&gt;""),IF($C95&gt;TODAY(),"İLERİ TARİH",IF(COUNTIF($W$7:$W$3001,$W95)&gt;1,"MÜKERRER?",IF($AD95&gt;0,"KAPALI DÖNEM",IF($I95="Hayır","ÖDENECEK","UYGUN")))),"EKSİK"))))</f>
        <v>UYGUN</v>
      </c>
      <c r="Q95" s="2"/>
      <c r="R95" s="2"/>
      <c r="S95" s="1" t="str">
        <f t="shared" si="5"/>
        <v/>
      </c>
      <c r="T95" s="1" t="str">
        <f>IF(OR($C95="",$D95&lt;&gt;"Gelir",$L95=""),"",IFERROR(INDEX(MUSTERILER!$B$7:$B$156,MATCH($S95,MUSTERILER!$T$7:$T$156,0)),""))</f>
        <v/>
      </c>
      <c r="U95" s="1" t="str">
        <f>IF($T95="","",$T95&amp;"|"&amp;COUNTIFS($T$7:$T95,$T95))</f>
        <v/>
      </c>
      <c r="V95" s="1">
        <f t="shared" si="6"/>
        <v>0</v>
      </c>
      <c r="W95" s="1" t="str">
        <f t="shared" si="7"/>
        <v>Gelir|Diğer Gelirler|46119|30000|ZÜMRÜT GRUP LTD.ŞTİ. SGK DANIŞMANLIK|</v>
      </c>
      <c r="X95" s="1"/>
      <c r="Y95" s="1"/>
      <c r="Z95" s="1"/>
      <c r="AA95" s="1"/>
      <c r="AB95" s="1"/>
      <c r="AC95" s="1"/>
      <c r="AD95" s="1">
        <f>IF($C95="",0,SUMPRODUCT((AY_SONU!$O$7:$O$42="Evet")*(AY_SONU!$B$7:$B$42=DATE(YEAR($C95),MONTH($C95),1))))</f>
        <v>0</v>
      </c>
      <c r="AE95" s="1" t="str">
        <f>IF($E95="","",$E95&amp;"|"&amp;COUNTIFS($E$7:$E95,$E95))</f>
        <v>Diğer Gelirler|6</v>
      </c>
    </row>
    <row r="96" spans="1:31" ht="18" customHeight="1" x14ac:dyDescent="0.3">
      <c r="A96" s="2"/>
      <c r="B96" s="65" t="str">
        <f>IF($C96="","","GG"&amp;TEXT(ROW()-6,"00000"))</f>
        <v>GG00090</v>
      </c>
      <c r="C96" s="66">
        <v>46123</v>
      </c>
      <c r="D96" s="60" t="s">
        <v>769</v>
      </c>
      <c r="E96" s="61" t="s">
        <v>849</v>
      </c>
      <c r="F96" s="61" t="s">
        <v>866</v>
      </c>
      <c r="G96" s="67">
        <v>9500</v>
      </c>
      <c r="H96" s="60" t="s">
        <v>772</v>
      </c>
      <c r="I96" s="60" t="s">
        <v>773</v>
      </c>
      <c r="J96" s="61"/>
      <c r="K96" s="61"/>
      <c r="L96" s="60"/>
      <c r="M96" s="74" t="str">
        <f>IF($C96="","",IF($D96="Gider",$E96,IF($L96&lt;&gt;"",$L96,$H96)))</f>
        <v>Demirbaş</v>
      </c>
      <c r="N96" s="74" t="str">
        <f>IF($C96="","",IF($D96="Gider",$H96,$E96))</f>
        <v>Merkez Kasa</v>
      </c>
      <c r="O96" s="73">
        <f>IF($C96="","",DATE(YEAR($C96),MONTH($C96),1))</f>
        <v>46113</v>
      </c>
      <c r="P96" s="65" t="str">
        <f ca="1">IF($C96="","",IF(AND($D96="Gelir",$L96&lt;&gt;"",$T96=""),"TANIMSIZ BORÇLU",IF($T96&lt;&gt;"",IF(OR($E96="",$G96&lt;=0),"EKSİK",IF($I96="Evet","TAHAKKUK NAKİT OLAMAZ",IF($C96&gt;TODAY(),"İLERİ TARİH","TAHAKKUK"))),IF(AND($D96&lt;&gt;"",$E96&lt;&gt;"",$G96&gt;0,$H96&lt;&gt;"",$I96&lt;&gt;""),IF($C96&gt;TODAY(),"İLERİ TARİH",IF(COUNTIF($W$7:$W$3001,$W96)&gt;1,"MÜKERRER?",IF($AD96&gt;0,"KAPALI DÖNEM",IF($I96="Hayır","ÖDENECEK","UYGUN")))),"EKSİK"))))</f>
        <v>UYGUN</v>
      </c>
      <c r="Q96" s="2"/>
      <c r="R96" s="2"/>
      <c r="S96" s="1" t="str">
        <f t="shared" si="5"/>
        <v/>
      </c>
      <c r="T96" s="1" t="str">
        <f>IF(OR($C96="",$D96&lt;&gt;"Gelir",$L96=""),"",IFERROR(INDEX(MUSTERILER!$B$7:$B$156,MATCH($S96,MUSTERILER!$T$7:$T$156,0)),""))</f>
        <v/>
      </c>
      <c r="U96" s="1" t="str">
        <f>IF($T96="","",$T96&amp;"|"&amp;COUNTIFS($T$7:$T96,$T96))</f>
        <v/>
      </c>
      <c r="V96" s="1">
        <f t="shared" si="6"/>
        <v>0</v>
      </c>
      <c r="W96" s="1" t="str">
        <f t="shared" si="7"/>
        <v>Gider|Demirbaş|46123|9500|Serkan Baş Irmak Ömer Bilgisayar Format ve Parça|</v>
      </c>
      <c r="X96" s="1"/>
      <c r="Y96" s="1"/>
      <c r="Z96" s="1"/>
      <c r="AA96" s="1"/>
      <c r="AB96" s="1"/>
      <c r="AC96" s="1"/>
      <c r="AD96" s="1">
        <f>IF($C96="",0,SUMPRODUCT((AY_SONU!$O$7:$O$42="Evet")*(AY_SONU!$B$7:$B$42=DATE(YEAR($C96),MONTH($C96),1))))</f>
        <v>0</v>
      </c>
      <c r="AE96" s="1" t="str">
        <f>IF($E96="","",$E96&amp;"|"&amp;COUNTIFS($E$7:$E96,$E96))</f>
        <v>Demirbaş|2</v>
      </c>
    </row>
    <row r="97" spans="1:31" ht="18" customHeight="1" x14ac:dyDescent="0.3">
      <c r="A97" s="2"/>
      <c r="B97" s="65" t="str">
        <f>IF($C97="","","GG"&amp;TEXT(ROW()-6,"00000"))</f>
        <v>GG00091</v>
      </c>
      <c r="C97" s="66">
        <v>46123</v>
      </c>
      <c r="D97" s="60" t="s">
        <v>769</v>
      </c>
      <c r="E97" s="61" t="s">
        <v>805</v>
      </c>
      <c r="F97" s="61" t="s">
        <v>867</v>
      </c>
      <c r="G97" s="67">
        <v>14000</v>
      </c>
      <c r="H97" s="60" t="s">
        <v>772</v>
      </c>
      <c r="I97" s="60" t="s">
        <v>773</v>
      </c>
      <c r="J97" s="61"/>
      <c r="K97" s="61"/>
      <c r="L97" s="60"/>
      <c r="M97" s="74" t="str">
        <f>IF($C97="","",IF($D97="Gider",$E97,IF($L97&lt;&gt;"",$L97,$H97)))</f>
        <v>Ofis Kirası</v>
      </c>
      <c r="N97" s="74" t="str">
        <f>IF($C97="","",IF($D97="Gider",$H97,$E97))</f>
        <v>Merkez Kasa</v>
      </c>
      <c r="O97" s="73">
        <f>IF($C97="","",DATE(YEAR($C97),MONTH($C97),1))</f>
        <v>46113</v>
      </c>
      <c r="P97" s="65" t="str">
        <f ca="1">IF($C97="","",IF(AND($D97="Gelir",$L97&lt;&gt;"",$T97=""),"TANIMSIZ BORÇLU",IF($T97&lt;&gt;"",IF(OR($E97="",$G97&lt;=0),"EKSİK",IF($I97="Evet","TAHAKKUK NAKİT OLAMAZ",IF($C97&gt;TODAY(),"İLERİ TARİH","TAHAKKUK"))),IF(AND($D97&lt;&gt;"",$E97&lt;&gt;"",$G97&gt;0,$H97&lt;&gt;"",$I97&lt;&gt;""),IF($C97&gt;TODAY(),"İLERİ TARİH",IF(COUNTIF($W$7:$W$3001,$W97)&gt;1,"MÜKERRER?",IF($AD97&gt;0,"KAPALI DÖNEM",IF($I97="Hayır","ÖDENECEK","UYGUN")))),"EKSİK"))))</f>
        <v>UYGUN</v>
      </c>
      <c r="Q97" s="2"/>
      <c r="R97" s="2"/>
      <c r="S97" s="1" t="str">
        <f t="shared" si="5"/>
        <v/>
      </c>
      <c r="T97" s="1" t="str">
        <f>IF(OR($C97="",$D97&lt;&gt;"Gelir",$L97=""),"",IFERROR(INDEX(MUSTERILER!$B$7:$B$156,MATCH($S97,MUSTERILER!$T$7:$T$156,0)),""))</f>
        <v/>
      </c>
      <c r="U97" s="1" t="str">
        <f>IF($T97="","",$T97&amp;"|"&amp;COUNTIFS($T$7:$T97,$T97))</f>
        <v/>
      </c>
      <c r="V97" s="1">
        <f t="shared" si="6"/>
        <v>0</v>
      </c>
      <c r="W97" s="1" t="str">
        <f t="shared" si="7"/>
        <v>Gider|Ofis Kirası|46123|14000|Mayıs Ofis Kira Ödemesi|</v>
      </c>
      <c r="X97" s="1"/>
      <c r="Y97" s="1"/>
      <c r="Z97" s="1"/>
      <c r="AA97" s="1"/>
      <c r="AB97" s="1"/>
      <c r="AC97" s="1"/>
      <c r="AD97" s="1">
        <f>IF($C97="",0,SUMPRODUCT((AY_SONU!$O$7:$O$42="Evet")*(AY_SONU!$B$7:$B$42=DATE(YEAR($C97),MONTH($C97),1))))</f>
        <v>0</v>
      </c>
      <c r="AE97" s="1" t="str">
        <f>IF($E97="","",$E97&amp;"|"&amp;COUNTIFS($E$7:$E97,$E97))</f>
        <v>Ofis Kirası|8</v>
      </c>
    </row>
    <row r="98" spans="1:31" ht="18" customHeight="1" x14ac:dyDescent="0.3">
      <c r="A98" s="2"/>
      <c r="B98" s="65" t="str">
        <f>IF($C98="","","GG"&amp;TEXT(ROW()-6,"00000"))</f>
        <v>GG00092</v>
      </c>
      <c r="C98" s="66">
        <v>46123</v>
      </c>
      <c r="D98" s="60" t="s">
        <v>769</v>
      </c>
      <c r="E98" s="61" t="s">
        <v>805</v>
      </c>
      <c r="F98" s="61" t="s">
        <v>868</v>
      </c>
      <c r="G98" s="67">
        <v>2000</v>
      </c>
      <c r="H98" s="60" t="s">
        <v>772</v>
      </c>
      <c r="I98" s="60" t="s">
        <v>773</v>
      </c>
      <c r="J98" s="61"/>
      <c r="K98" s="61"/>
      <c r="L98" s="60"/>
      <c r="M98" s="74" t="str">
        <f>IF($C98="","",IF($D98="Gider",$E98,IF($L98&lt;&gt;"",$L98,$H98)))</f>
        <v>Ofis Kirası</v>
      </c>
      <c r="N98" s="74" t="str">
        <f>IF($C98="","",IF($D98="Gider",$H98,$E98))</f>
        <v>Merkez Kasa</v>
      </c>
      <c r="O98" s="73">
        <f>IF($C98="","",DATE(YEAR($C98),MONTH($C98),1))</f>
        <v>46113</v>
      </c>
      <c r="P98" s="65" t="str">
        <f ca="1">IF($C98="","",IF(AND($D98="Gelir",$L98&lt;&gt;"",$T98=""),"TANIMSIZ BORÇLU",IF($T98&lt;&gt;"",IF(OR($E98="",$G98&lt;=0),"EKSİK",IF($I98="Evet","TAHAKKUK NAKİT OLAMAZ",IF($C98&gt;TODAY(),"İLERİ TARİH","TAHAKKUK"))),IF(AND($D98&lt;&gt;"",$E98&lt;&gt;"",$G98&gt;0,$H98&lt;&gt;"",$I98&lt;&gt;""),IF($C98&gt;TODAY(),"İLERİ TARİH",IF(COUNTIF($W$7:$W$3001,$W98)&gt;1,"MÜKERRER?",IF($AD98&gt;0,"KAPALI DÖNEM",IF($I98="Hayır","ÖDENECEK","UYGUN")))),"EKSİK"))))</f>
        <v>UYGUN</v>
      </c>
      <c r="Q98" s="2"/>
      <c r="R98" s="2"/>
      <c r="S98" s="1" t="str">
        <f t="shared" si="5"/>
        <v/>
      </c>
      <c r="T98" s="1" t="str">
        <f>IF(OR($C98="",$D98&lt;&gt;"Gelir",$L98=""),"",IFERROR(INDEX(MUSTERILER!$B$7:$B$156,MATCH($S98,MUSTERILER!$T$7:$T$156,0)),""))</f>
        <v/>
      </c>
      <c r="U98" s="1" t="str">
        <f>IF($T98="","",$T98&amp;"|"&amp;COUNTIFS($T$7:$T98,$T98))</f>
        <v/>
      </c>
      <c r="V98" s="1">
        <f t="shared" si="6"/>
        <v>0</v>
      </c>
      <c r="W98" s="1" t="str">
        <f t="shared" si="7"/>
        <v>Gider|Ofis Kirası|46123|2000|Mayıs Ofis Aidat Ödemesi|</v>
      </c>
      <c r="X98" s="1"/>
      <c r="Y98" s="1"/>
      <c r="Z98" s="1"/>
      <c r="AA98" s="1"/>
      <c r="AB98" s="1"/>
      <c r="AC98" s="1"/>
      <c r="AD98" s="1">
        <f>IF($C98="",0,SUMPRODUCT((AY_SONU!$O$7:$O$42="Evet")*(AY_SONU!$B$7:$B$42=DATE(YEAR($C98),MONTH($C98),1))))</f>
        <v>0</v>
      </c>
      <c r="AE98" s="1" t="str">
        <f>IF($E98="","",$E98&amp;"|"&amp;COUNTIFS($E$7:$E98,$E98))</f>
        <v>Ofis Kirası|9</v>
      </c>
    </row>
    <row r="99" spans="1:31" ht="18" customHeight="1" x14ac:dyDescent="0.3">
      <c r="A99" s="2"/>
      <c r="B99" s="65" t="str">
        <f>IF($C99="","","GG"&amp;TEXT(ROW()-6,"00000"))</f>
        <v>GG00093</v>
      </c>
      <c r="C99" s="66">
        <v>46123</v>
      </c>
      <c r="D99" s="60" t="s">
        <v>769</v>
      </c>
      <c r="E99" s="61" t="s">
        <v>798</v>
      </c>
      <c r="F99" s="61" t="s">
        <v>869</v>
      </c>
      <c r="G99" s="67">
        <v>1000</v>
      </c>
      <c r="H99" s="60" t="s">
        <v>772</v>
      </c>
      <c r="I99" s="60" t="s">
        <v>773</v>
      </c>
      <c r="J99" s="61"/>
      <c r="K99" s="61"/>
      <c r="L99" s="60"/>
      <c r="M99" s="74" t="str">
        <f>IF($C99="","",IF($D99="Gider",$E99,IF($L99&lt;&gt;"",$L99,$H99)))</f>
        <v>Personel</v>
      </c>
      <c r="N99" s="74" t="str">
        <f>IF($C99="","",IF($D99="Gider",$H99,$E99))</f>
        <v>Merkez Kasa</v>
      </c>
      <c r="O99" s="73">
        <f>IF($C99="","",DATE(YEAR($C99),MONTH($C99),1))</f>
        <v>46113</v>
      </c>
      <c r="P99" s="65" t="str">
        <f ca="1">IF($C99="","",IF(AND($D99="Gelir",$L99&lt;&gt;"",$T99=""),"TANIMSIZ BORÇLU",IF($T99&lt;&gt;"",IF(OR($E99="",$G99&lt;=0),"EKSİK",IF($I99="Evet","TAHAKKUK NAKİT OLAMAZ",IF($C99&gt;TODAY(),"İLERİ TARİH","TAHAKKUK"))),IF(AND($D99&lt;&gt;"",$E99&lt;&gt;"",$G99&gt;0,$H99&lt;&gt;"",$I99&lt;&gt;""),IF($C99&gt;TODAY(),"İLERİ TARİH",IF(COUNTIF($W$7:$W$3001,$W99)&gt;1,"MÜKERRER?",IF($AD99&gt;0,"KAPALI DÖNEM",IF($I99="Hayır","ÖDENECEK","UYGUN")))),"EKSİK"))))</f>
        <v>UYGUN</v>
      </c>
      <c r="Q99" s="2"/>
      <c r="R99" s="2"/>
      <c r="S99" s="1" t="str">
        <f t="shared" si="5"/>
        <v/>
      </c>
      <c r="T99" s="1" t="str">
        <f>IF(OR($C99="",$D99&lt;&gt;"Gelir",$L99=""),"",IFERROR(INDEX(MUSTERILER!$B$7:$B$156,MATCH($S99,MUSTERILER!$T$7:$T$156,0)),""))</f>
        <v/>
      </c>
      <c r="U99" s="1" t="str">
        <f>IF($T99="","",$T99&amp;"|"&amp;COUNTIFS($T$7:$T99,$T99))</f>
        <v/>
      </c>
      <c r="V99" s="1">
        <f t="shared" si="6"/>
        <v>0</v>
      </c>
      <c r="W99" s="1" t="str">
        <f t="shared" si="7"/>
        <v>Gider|Personel|46123|1000|Irmak Harçlık|</v>
      </c>
      <c r="X99" s="1"/>
      <c r="Y99" s="1"/>
      <c r="Z99" s="1"/>
      <c r="AA99" s="1"/>
      <c r="AB99" s="1"/>
      <c r="AC99" s="1"/>
      <c r="AD99" s="1">
        <f>IF($C99="",0,SUMPRODUCT((AY_SONU!$O$7:$O$42="Evet")*(AY_SONU!$B$7:$B$42=DATE(YEAR($C99),MONTH($C99),1))))</f>
        <v>0</v>
      </c>
      <c r="AE99" s="1" t="str">
        <f>IF($E99="","",$E99&amp;"|"&amp;COUNTIFS($E$7:$E99,$E99))</f>
        <v>Personel|9</v>
      </c>
    </row>
    <row r="100" spans="1:31" ht="18" customHeight="1" x14ac:dyDescent="0.3">
      <c r="A100" s="2"/>
      <c r="B100" s="65" t="str">
        <f>IF($C100="","","GG"&amp;TEXT(ROW()-6,"00000"))</f>
        <v>GG00094</v>
      </c>
      <c r="C100" s="66">
        <v>46123</v>
      </c>
      <c r="D100" s="60" t="s">
        <v>769</v>
      </c>
      <c r="E100" s="61" t="s">
        <v>781</v>
      </c>
      <c r="F100" s="61" t="s">
        <v>870</v>
      </c>
      <c r="G100" s="67">
        <v>800</v>
      </c>
      <c r="H100" s="60" t="s">
        <v>772</v>
      </c>
      <c r="I100" s="60" t="s">
        <v>773</v>
      </c>
      <c r="J100" s="61"/>
      <c r="K100" s="61"/>
      <c r="L100" s="60"/>
      <c r="M100" s="74" t="str">
        <f>IF($C100="","",IF($D100="Gider",$E100,IF($L100&lt;&gt;"",$L100,$H100)))</f>
        <v>Telefon / İnternet</v>
      </c>
      <c r="N100" s="74" t="str">
        <f>IF($C100="","",IF($D100="Gider",$H100,$E100))</f>
        <v>Merkez Kasa</v>
      </c>
      <c r="O100" s="73">
        <f>IF($C100="","",DATE(YEAR($C100),MONTH($C100),1))</f>
        <v>46113</v>
      </c>
      <c r="P100" s="65" t="str">
        <f ca="1">IF($C100="","",IF(AND($D100="Gelir",$L100&lt;&gt;"",$T100=""),"TANIMSIZ BORÇLU",IF($T100&lt;&gt;"",IF(OR($E100="",$G100&lt;=0),"EKSİK",IF($I100="Evet","TAHAKKUK NAKİT OLAMAZ",IF($C100&gt;TODAY(),"İLERİ TARİH","TAHAKKUK"))),IF(AND($D100&lt;&gt;"",$E100&lt;&gt;"",$G100&gt;0,$H100&lt;&gt;"",$I100&lt;&gt;""),IF($C100&gt;TODAY(),"İLERİ TARİH",IF(COUNTIF($W$7:$W$3001,$W100)&gt;1,"MÜKERRER?",IF($AD100&gt;0,"KAPALI DÖNEM",IF($I100="Hayır","ÖDENECEK","UYGUN")))),"EKSİK"))))</f>
        <v>UYGUN</v>
      </c>
      <c r="Q100" s="2"/>
      <c r="R100" s="2"/>
      <c r="S100" s="1" t="str">
        <f t="shared" si="5"/>
        <v/>
      </c>
      <c r="T100" s="1" t="str">
        <f>IF(OR($C100="",$D100&lt;&gt;"Gelir",$L100=""),"",IFERROR(INDEX(MUSTERILER!$B$7:$B$156,MATCH($S100,MUSTERILER!$T$7:$T$156,0)),""))</f>
        <v/>
      </c>
      <c r="U100" s="1" t="str">
        <f>IF($T100="","",$T100&amp;"|"&amp;COUNTIFS($T$7:$T100,$T100))</f>
        <v/>
      </c>
      <c r="V100" s="1">
        <f t="shared" si="6"/>
        <v>0</v>
      </c>
      <c r="W100" s="1" t="str">
        <f t="shared" si="7"/>
        <v>Gider|Telefon / İnternet|46123|800|Ofis Whatsapp Hattı Nisan|</v>
      </c>
      <c r="X100" s="1"/>
      <c r="Y100" s="1"/>
      <c r="Z100" s="1"/>
      <c r="AA100" s="1"/>
      <c r="AB100" s="1"/>
      <c r="AC100" s="1"/>
      <c r="AD100" s="1">
        <f>IF($C100="",0,SUMPRODUCT((AY_SONU!$O$7:$O$42="Evet")*(AY_SONU!$B$7:$B$42=DATE(YEAR($C100),MONTH($C100),1))))</f>
        <v>0</v>
      </c>
      <c r="AE100" s="1" t="str">
        <f>IF($E100="","",$E100&amp;"|"&amp;COUNTIFS($E$7:$E100,$E100))</f>
        <v>Telefon / İnternet|8</v>
      </c>
    </row>
    <row r="101" spans="1:31" ht="18" customHeight="1" x14ac:dyDescent="0.3">
      <c r="A101" s="2"/>
      <c r="B101" s="65" t="str">
        <f>IF($C101="","","GG"&amp;TEXT(ROW()-6,"00000"))</f>
        <v>GG00095</v>
      </c>
      <c r="C101" s="66">
        <v>46123</v>
      </c>
      <c r="D101" s="60" t="s">
        <v>795</v>
      </c>
      <c r="E101" s="61" t="s">
        <v>871</v>
      </c>
      <c r="F101" s="61" t="s">
        <v>872</v>
      </c>
      <c r="G101" s="67">
        <v>5200</v>
      </c>
      <c r="H101" s="60" t="s">
        <v>772</v>
      </c>
      <c r="I101" s="60" t="s">
        <v>773</v>
      </c>
      <c r="J101" s="61"/>
      <c r="K101" s="61"/>
      <c r="L101" s="60"/>
      <c r="M101" s="74" t="str">
        <f>IF($C101="","",IF($D101="Gider",$E101,IF($L101&lt;&gt;"",$L101,$H101)))</f>
        <v>Merkez Kasa</v>
      </c>
      <c r="N101" s="74" t="str">
        <f>IF($C101="","",IF($D101="Gider",$H101,$E101))</f>
        <v>Kurumlar Vergisi Damga</v>
      </c>
      <c r="O101" s="73">
        <f>IF($C101="","",DATE(YEAR($C101),MONTH($C101),1))</f>
        <v>46113</v>
      </c>
      <c r="P101" s="65" t="str">
        <f ca="1">IF($C101="","",IF(AND($D101="Gelir",$L101&lt;&gt;"",$T101=""),"TANIMSIZ BORÇLU",IF($T101&lt;&gt;"",IF(OR($E101="",$G101&lt;=0),"EKSİK",IF($I101="Evet","TAHAKKUK NAKİT OLAMAZ",IF($C101&gt;TODAY(),"İLERİ TARİH","TAHAKKUK"))),IF(AND($D101&lt;&gt;"",$E101&lt;&gt;"",$G101&gt;0,$H101&lt;&gt;"",$I101&lt;&gt;""),IF($C101&gt;TODAY(),"İLERİ TARİH",IF(COUNTIF($W$7:$W$3001,$W101)&gt;1,"MÜKERRER?",IF($AD101&gt;0,"KAPALI DÖNEM",IF($I101="Hayır","ÖDENECEK","UYGUN")))),"EKSİK"))))</f>
        <v>UYGUN</v>
      </c>
      <c r="Q101" s="2"/>
      <c r="R101" s="2"/>
      <c r="S101" s="1" t="str">
        <f t="shared" si="5"/>
        <v/>
      </c>
      <c r="T101" s="1" t="str">
        <f>IF(OR($C101="",$D101&lt;&gt;"Gelir",$L101=""),"",IFERROR(INDEX(MUSTERILER!$B$7:$B$156,MATCH($S101,MUSTERILER!$T$7:$T$156,0)),""))</f>
        <v/>
      </c>
      <c r="U101" s="1" t="str">
        <f>IF($T101="","",$T101&amp;"|"&amp;COUNTIFS($T$7:$T101,$T101))</f>
        <v/>
      </c>
      <c r="V101" s="1">
        <f t="shared" si="6"/>
        <v>0</v>
      </c>
      <c r="W101" s="1" t="str">
        <f t="shared" si="7"/>
        <v>Gelir|Kurumlar Vergisi Damga|46123|5200|FİNAL LTD.ŞTİ. 2025 KURUMLAR DAMGA|</v>
      </c>
      <c r="X101" s="1"/>
      <c r="Y101" s="1"/>
      <c r="Z101" s="1"/>
      <c r="AA101" s="1"/>
      <c r="AB101" s="1"/>
      <c r="AC101" s="1"/>
      <c r="AD101" s="1">
        <f>IF($C101="",0,SUMPRODUCT((AY_SONU!$O$7:$O$42="Evet")*(AY_SONU!$B$7:$B$42=DATE(YEAR($C101),MONTH($C101),1))))</f>
        <v>0</v>
      </c>
      <c r="AE101" s="1" t="str">
        <f>IF($E101="","",$E101&amp;"|"&amp;COUNTIFS($E$7:$E101,$E101))</f>
        <v>Kurumlar Vergisi Damga|1</v>
      </c>
    </row>
    <row r="102" spans="1:31" ht="18" customHeight="1" x14ac:dyDescent="0.3">
      <c r="A102" s="2"/>
      <c r="B102" s="65" t="str">
        <f>IF($C102="","","GG"&amp;TEXT(ROW()-6,"00000"))</f>
        <v>GG00096</v>
      </c>
      <c r="C102" s="66">
        <v>46123</v>
      </c>
      <c r="D102" s="60" t="s">
        <v>795</v>
      </c>
      <c r="E102" s="61" t="s">
        <v>871</v>
      </c>
      <c r="F102" s="61" t="s">
        <v>873</v>
      </c>
      <c r="G102" s="67">
        <v>5200</v>
      </c>
      <c r="H102" s="60" t="s">
        <v>772</v>
      </c>
      <c r="I102" s="60" t="s">
        <v>773</v>
      </c>
      <c r="J102" s="61"/>
      <c r="K102" s="61"/>
      <c r="L102" s="60"/>
      <c r="M102" s="74" t="str">
        <f>IF($C102="","",IF($D102="Gider",$E102,IF($L102&lt;&gt;"",$L102,$H102)))</f>
        <v>Merkez Kasa</v>
      </c>
      <c r="N102" s="74" t="str">
        <f>IF($C102="","",IF($D102="Gider",$H102,$E102))</f>
        <v>Kurumlar Vergisi Damga</v>
      </c>
      <c r="O102" s="73">
        <f>IF($C102="","",DATE(YEAR($C102),MONTH($C102),1))</f>
        <v>46113</v>
      </c>
      <c r="P102" s="65" t="str">
        <f ca="1">IF($C102="","",IF(AND($D102="Gelir",$L102&lt;&gt;"",$T102=""),"TANIMSIZ BORÇLU",IF($T102&lt;&gt;"",IF(OR($E102="",$G102&lt;=0),"EKSİK",IF($I102="Evet","TAHAKKUK NAKİT OLAMAZ",IF($C102&gt;TODAY(),"İLERİ TARİH","TAHAKKUK"))),IF(AND($D102&lt;&gt;"",$E102&lt;&gt;"",$G102&gt;0,$H102&lt;&gt;"",$I102&lt;&gt;""),IF($C102&gt;TODAY(),"İLERİ TARİH",IF(COUNTIF($W$7:$W$3001,$W102)&gt;1,"MÜKERRER?",IF($AD102&gt;0,"KAPALI DÖNEM",IF($I102="Hayır","ÖDENECEK","UYGUN")))),"EKSİK"))))</f>
        <v>UYGUN</v>
      </c>
      <c r="Q102" s="2"/>
      <c r="R102" s="2"/>
      <c r="S102" s="1" t="str">
        <f t="shared" si="5"/>
        <v/>
      </c>
      <c r="T102" s="1" t="str">
        <f>IF(OR($C102="",$D102&lt;&gt;"Gelir",$L102=""),"",IFERROR(INDEX(MUSTERILER!$B$7:$B$156,MATCH($S102,MUSTERILER!$T$7:$T$156,0)),""))</f>
        <v/>
      </c>
      <c r="U102" s="1" t="str">
        <f>IF($T102="","",$T102&amp;"|"&amp;COUNTIFS($T$7:$T102,$T102))</f>
        <v/>
      </c>
      <c r="V102" s="1">
        <f t="shared" si="6"/>
        <v>0</v>
      </c>
      <c r="W102" s="1" t="str">
        <f t="shared" si="7"/>
        <v>Gelir|Kurumlar Vergisi Damga|46123|5200|İLDEŞ LTD.ŞTİ. 2025 KURUMLAR DAMGA|</v>
      </c>
      <c r="X102" s="1"/>
      <c r="Y102" s="1"/>
      <c r="Z102" s="1"/>
      <c r="AA102" s="1"/>
      <c r="AB102" s="1"/>
      <c r="AC102" s="1"/>
      <c r="AD102" s="1">
        <f>IF($C102="",0,SUMPRODUCT((AY_SONU!$O$7:$O$42="Evet")*(AY_SONU!$B$7:$B$42=DATE(YEAR($C102),MONTH($C102),1))))</f>
        <v>0</v>
      </c>
      <c r="AE102" s="1" t="str">
        <f>IF($E102="","",$E102&amp;"|"&amp;COUNTIFS($E$7:$E102,$E102))</f>
        <v>Kurumlar Vergisi Damga|2</v>
      </c>
    </row>
    <row r="103" spans="1:31" ht="18" customHeight="1" x14ac:dyDescent="0.3">
      <c r="A103" s="2"/>
      <c r="B103" s="65" t="str">
        <f>IF($C103="","","GG"&amp;TEXT(ROW()-6,"00000"))</f>
        <v>GG00097</v>
      </c>
      <c r="C103" s="66">
        <v>46123</v>
      </c>
      <c r="D103" s="60" t="s">
        <v>795</v>
      </c>
      <c r="E103" s="61" t="s">
        <v>871</v>
      </c>
      <c r="F103" s="61" t="s">
        <v>874</v>
      </c>
      <c r="G103" s="67">
        <v>5200</v>
      </c>
      <c r="H103" s="60" t="s">
        <v>772</v>
      </c>
      <c r="I103" s="60" t="s">
        <v>773</v>
      </c>
      <c r="J103" s="61"/>
      <c r="K103" s="61"/>
      <c r="L103" s="60"/>
      <c r="M103" s="74" t="str">
        <f>IF($C103="","",IF($D103="Gider",$E103,IF($L103&lt;&gt;"",$L103,$H103)))</f>
        <v>Merkez Kasa</v>
      </c>
      <c r="N103" s="74" t="str">
        <f>IF($C103="","",IF($D103="Gider",$H103,$E103))</f>
        <v>Kurumlar Vergisi Damga</v>
      </c>
      <c r="O103" s="73">
        <f>IF($C103="","",DATE(YEAR($C103),MONTH($C103),1))</f>
        <v>46113</v>
      </c>
      <c r="P103" s="65" t="str">
        <f ca="1">IF($C103="","",IF(AND($D103="Gelir",$L103&lt;&gt;"",$T103=""),"TANIMSIZ BORÇLU",IF($T103&lt;&gt;"",IF(OR($E103="",$G103&lt;=0),"EKSİK",IF($I103="Evet","TAHAKKUK NAKİT OLAMAZ",IF($C103&gt;TODAY(),"İLERİ TARİH","TAHAKKUK"))),IF(AND($D103&lt;&gt;"",$E103&lt;&gt;"",$G103&gt;0,$H103&lt;&gt;"",$I103&lt;&gt;""),IF($C103&gt;TODAY(),"İLERİ TARİH",IF(COUNTIF($W$7:$W$3001,$W103)&gt;1,"MÜKERRER?",IF($AD103&gt;0,"KAPALI DÖNEM",IF($I103="Hayır","ÖDENECEK","UYGUN")))),"EKSİK"))))</f>
        <v>UYGUN</v>
      </c>
      <c r="Q103" s="2"/>
      <c r="R103" s="2"/>
      <c r="S103" s="1" t="str">
        <f t="shared" si="5"/>
        <v/>
      </c>
      <c r="T103" s="1" t="str">
        <f>IF(OR($C103="",$D103&lt;&gt;"Gelir",$L103=""),"",IFERROR(INDEX(MUSTERILER!$B$7:$B$156,MATCH($S103,MUSTERILER!$T$7:$T$156,0)),""))</f>
        <v/>
      </c>
      <c r="U103" s="1" t="str">
        <f>IF($T103="","",$T103&amp;"|"&amp;COUNTIFS($T$7:$T103,$T103))</f>
        <v/>
      </c>
      <c r="V103" s="1">
        <f t="shared" si="6"/>
        <v>0</v>
      </c>
      <c r="W103" s="1" t="str">
        <f t="shared" si="7"/>
        <v>Gelir|Kurumlar Vergisi Damga|46123|5200|ASM EĞLENCE LTD.ŞTİ. 2025 KURUMLAR DAMGA|</v>
      </c>
      <c r="X103" s="1"/>
      <c r="Y103" s="1"/>
      <c r="Z103" s="1"/>
      <c r="AA103" s="1"/>
      <c r="AB103" s="1"/>
      <c r="AC103" s="1"/>
      <c r="AD103" s="1">
        <f>IF($C103="",0,SUMPRODUCT((AY_SONU!$O$7:$O$42="Evet")*(AY_SONU!$B$7:$B$42=DATE(YEAR($C103),MONTH($C103),1))))</f>
        <v>0</v>
      </c>
      <c r="AE103" s="1" t="str">
        <f>IF($E103="","",$E103&amp;"|"&amp;COUNTIFS($E$7:$E103,$E103))</f>
        <v>Kurumlar Vergisi Damga|3</v>
      </c>
    </row>
    <row r="104" spans="1:31" ht="18" customHeight="1" x14ac:dyDescent="0.3">
      <c r="A104" s="2"/>
      <c r="B104" s="65" t="str">
        <f>IF($C104="","","GG"&amp;TEXT(ROW()-6,"00000"))</f>
        <v>GG00098</v>
      </c>
      <c r="C104" s="66">
        <v>46123</v>
      </c>
      <c r="D104" s="60" t="s">
        <v>795</v>
      </c>
      <c r="E104" s="61" t="s">
        <v>871</v>
      </c>
      <c r="F104" s="61" t="s">
        <v>875</v>
      </c>
      <c r="G104" s="67">
        <v>5200</v>
      </c>
      <c r="H104" s="60" t="s">
        <v>772</v>
      </c>
      <c r="I104" s="60" t="s">
        <v>773</v>
      </c>
      <c r="J104" s="61"/>
      <c r="K104" s="61"/>
      <c r="L104" s="60"/>
      <c r="M104" s="74" t="str">
        <f>IF($C104="","",IF($D104="Gider",$E104,IF($L104&lt;&gt;"",$L104,$H104)))</f>
        <v>Merkez Kasa</v>
      </c>
      <c r="N104" s="74" t="str">
        <f>IF($C104="","",IF($D104="Gider",$H104,$E104))</f>
        <v>Kurumlar Vergisi Damga</v>
      </c>
      <c r="O104" s="73">
        <f>IF($C104="","",DATE(YEAR($C104),MONTH($C104),1))</f>
        <v>46113</v>
      </c>
      <c r="P104" s="65" t="str">
        <f ca="1">IF($C104="","",IF(AND($D104="Gelir",$L104&lt;&gt;"",$T104=""),"TANIMSIZ BORÇLU",IF($T104&lt;&gt;"",IF(OR($E104="",$G104&lt;=0),"EKSİK",IF($I104="Evet","TAHAKKUK NAKİT OLAMAZ",IF($C104&gt;TODAY(),"İLERİ TARİH","TAHAKKUK"))),IF(AND($D104&lt;&gt;"",$E104&lt;&gt;"",$G104&gt;0,$H104&lt;&gt;"",$I104&lt;&gt;""),IF($C104&gt;TODAY(),"İLERİ TARİH",IF(COUNTIF($W$7:$W$3001,$W104)&gt;1,"MÜKERRER?",IF($AD104&gt;0,"KAPALI DÖNEM",IF($I104="Hayır","ÖDENECEK","UYGUN")))),"EKSİK"))))</f>
        <v>UYGUN</v>
      </c>
      <c r="Q104" s="2"/>
      <c r="R104" s="2"/>
      <c r="S104" s="1" t="str">
        <f t="shared" si="5"/>
        <v/>
      </c>
      <c r="T104" s="1" t="str">
        <f>IF(OR($C104="",$D104&lt;&gt;"Gelir",$L104=""),"",IFERROR(INDEX(MUSTERILER!$B$7:$B$156,MATCH($S104,MUSTERILER!$T$7:$T$156,0)),""))</f>
        <v/>
      </c>
      <c r="U104" s="1" t="str">
        <f>IF($T104="","",$T104&amp;"|"&amp;COUNTIFS($T$7:$T104,$T104))</f>
        <v/>
      </c>
      <c r="V104" s="1">
        <f t="shared" si="6"/>
        <v>0</v>
      </c>
      <c r="W104" s="1" t="str">
        <f t="shared" si="7"/>
        <v>Gelir|Kurumlar Vergisi Damga|46123|5200|RİX LTD.ŞTİ. 2025 KURUMLAR DAMGA|</v>
      </c>
      <c r="X104" s="1"/>
      <c r="Y104" s="1"/>
      <c r="Z104" s="1"/>
      <c r="AA104" s="1"/>
      <c r="AB104" s="1"/>
      <c r="AC104" s="1"/>
      <c r="AD104" s="1">
        <f>IF($C104="",0,SUMPRODUCT((AY_SONU!$O$7:$O$42="Evet")*(AY_SONU!$B$7:$B$42=DATE(YEAR($C104),MONTH($C104),1))))</f>
        <v>0</v>
      </c>
      <c r="AE104" s="1" t="str">
        <f>IF($E104="","",$E104&amp;"|"&amp;COUNTIFS($E$7:$E104,$E104))</f>
        <v>Kurumlar Vergisi Damga|4</v>
      </c>
    </row>
    <row r="105" spans="1:31" ht="18" customHeight="1" x14ac:dyDescent="0.3">
      <c r="A105" s="2"/>
      <c r="B105" s="65" t="str">
        <f>IF($C105="","","GG"&amp;TEXT(ROW()-6,"00000"))</f>
        <v>GG00099</v>
      </c>
      <c r="C105" s="66">
        <v>46123</v>
      </c>
      <c r="D105" s="60" t="s">
        <v>795</v>
      </c>
      <c r="E105" s="61" t="s">
        <v>871</v>
      </c>
      <c r="F105" s="61" t="s">
        <v>876</v>
      </c>
      <c r="G105" s="67">
        <v>5200</v>
      </c>
      <c r="H105" s="60" t="s">
        <v>772</v>
      </c>
      <c r="I105" s="60" t="s">
        <v>773</v>
      </c>
      <c r="J105" s="61"/>
      <c r="K105" s="61"/>
      <c r="L105" s="60"/>
      <c r="M105" s="74" t="str">
        <f>IF($C105="","",IF($D105="Gider",$E105,IF($L105&lt;&gt;"",$L105,$H105)))</f>
        <v>Merkez Kasa</v>
      </c>
      <c r="N105" s="74" t="str">
        <f>IF($C105="","",IF($D105="Gider",$H105,$E105))</f>
        <v>Kurumlar Vergisi Damga</v>
      </c>
      <c r="O105" s="73">
        <f>IF($C105="","",DATE(YEAR($C105),MONTH($C105),1))</f>
        <v>46113</v>
      </c>
      <c r="P105" s="65" t="str">
        <f ca="1">IF($C105="","",IF(AND($D105="Gelir",$L105&lt;&gt;"",$T105=""),"TANIMSIZ BORÇLU",IF($T105&lt;&gt;"",IF(OR($E105="",$G105&lt;=0),"EKSİK",IF($I105="Evet","TAHAKKUK NAKİT OLAMAZ",IF($C105&gt;TODAY(),"İLERİ TARİH","TAHAKKUK"))),IF(AND($D105&lt;&gt;"",$E105&lt;&gt;"",$G105&gt;0,$H105&lt;&gt;"",$I105&lt;&gt;""),IF($C105&gt;TODAY(),"İLERİ TARİH",IF(COUNTIF($W$7:$W$3001,$W105)&gt;1,"MÜKERRER?",IF($AD105&gt;0,"KAPALI DÖNEM",IF($I105="Hayır","ÖDENECEK","UYGUN")))),"EKSİK"))))</f>
        <v>UYGUN</v>
      </c>
      <c r="Q105" s="2"/>
      <c r="R105" s="2"/>
      <c r="S105" s="1" t="str">
        <f t="shared" si="5"/>
        <v/>
      </c>
      <c r="T105" s="1" t="str">
        <f>IF(OR($C105="",$D105&lt;&gt;"Gelir",$L105=""),"",IFERROR(INDEX(MUSTERILER!$B$7:$B$156,MATCH($S105,MUSTERILER!$T$7:$T$156,0)),""))</f>
        <v/>
      </c>
      <c r="U105" s="1" t="str">
        <f>IF($T105="","",$T105&amp;"|"&amp;COUNTIFS($T$7:$T105,$T105))</f>
        <v/>
      </c>
      <c r="V105" s="1">
        <f t="shared" si="6"/>
        <v>0</v>
      </c>
      <c r="W105" s="1" t="str">
        <f t="shared" si="7"/>
        <v>Gelir|Kurumlar Vergisi Damga|46123|5200|ÇAYIRALAN LTD.ŞTİ. 2025 KURUMLAR DAMGA|</v>
      </c>
      <c r="X105" s="1"/>
      <c r="Y105" s="1"/>
      <c r="Z105" s="1"/>
      <c r="AA105" s="1"/>
      <c r="AB105" s="1"/>
      <c r="AC105" s="1"/>
      <c r="AD105" s="1">
        <f>IF($C105="",0,SUMPRODUCT((AY_SONU!$O$7:$O$42="Evet")*(AY_SONU!$B$7:$B$42=DATE(YEAR($C105),MONTH($C105),1))))</f>
        <v>0</v>
      </c>
      <c r="AE105" s="1" t="str">
        <f>IF($E105="","",$E105&amp;"|"&amp;COUNTIFS($E$7:$E105,$E105))</f>
        <v>Kurumlar Vergisi Damga|5</v>
      </c>
    </row>
    <row r="106" spans="1:31" ht="18" customHeight="1" x14ac:dyDescent="0.3">
      <c r="A106" s="2"/>
      <c r="B106" s="65" t="str">
        <f>IF($C106="","","GG"&amp;TEXT(ROW()-6,"00000"))</f>
        <v>GG00100</v>
      </c>
      <c r="C106" s="66">
        <v>46123</v>
      </c>
      <c r="D106" s="60" t="s">
        <v>795</v>
      </c>
      <c r="E106" s="61" t="s">
        <v>871</v>
      </c>
      <c r="F106" s="61" t="s">
        <v>877</v>
      </c>
      <c r="G106" s="67">
        <v>5200</v>
      </c>
      <c r="H106" s="60" t="s">
        <v>772</v>
      </c>
      <c r="I106" s="60" t="s">
        <v>773</v>
      </c>
      <c r="J106" s="61"/>
      <c r="K106" s="61"/>
      <c r="L106" s="60"/>
      <c r="M106" s="74" t="str">
        <f>IF($C106="","",IF($D106="Gider",$E106,IF($L106&lt;&gt;"",$L106,$H106)))</f>
        <v>Merkez Kasa</v>
      </c>
      <c r="N106" s="74" t="str">
        <f>IF($C106="","",IF($D106="Gider",$H106,$E106))</f>
        <v>Kurumlar Vergisi Damga</v>
      </c>
      <c r="O106" s="73">
        <f>IF($C106="","",DATE(YEAR($C106),MONTH($C106),1))</f>
        <v>46113</v>
      </c>
      <c r="P106" s="65" t="str">
        <f ca="1">IF($C106="","",IF(AND($D106="Gelir",$L106&lt;&gt;"",$T106=""),"TANIMSIZ BORÇLU",IF($T106&lt;&gt;"",IF(OR($E106="",$G106&lt;=0),"EKSİK",IF($I106="Evet","TAHAKKUK NAKİT OLAMAZ",IF($C106&gt;TODAY(),"İLERİ TARİH","TAHAKKUK"))),IF(AND($D106&lt;&gt;"",$E106&lt;&gt;"",$G106&gt;0,$H106&lt;&gt;"",$I106&lt;&gt;""),IF($C106&gt;TODAY(),"İLERİ TARİH",IF(COUNTIF($W$7:$W$3001,$W106)&gt;1,"MÜKERRER?",IF($AD106&gt;0,"KAPALI DÖNEM",IF($I106="Hayır","ÖDENECEK","UYGUN")))),"EKSİK"))))</f>
        <v>UYGUN</v>
      </c>
      <c r="Q106" s="2"/>
      <c r="R106" s="2"/>
      <c r="S106" s="1" t="str">
        <f t="shared" si="5"/>
        <v/>
      </c>
      <c r="T106" s="1" t="str">
        <f>IF(OR($C106="",$D106&lt;&gt;"Gelir",$L106=""),"",IFERROR(INDEX(MUSTERILER!$B$7:$B$156,MATCH($S106,MUSTERILER!$T$7:$T$156,0)),""))</f>
        <v/>
      </c>
      <c r="U106" s="1" t="str">
        <f>IF($T106="","",$T106&amp;"|"&amp;COUNTIFS($T$7:$T106,$T106))</f>
        <v/>
      </c>
      <c r="V106" s="1">
        <f t="shared" si="6"/>
        <v>0</v>
      </c>
      <c r="W106" s="1" t="str">
        <f t="shared" si="7"/>
        <v>Gelir|Kurumlar Vergisi Damga|46123|5200|İBRAHİM MALDAN 2025 KURUMLAR DAMGA|</v>
      </c>
      <c r="X106" s="1"/>
      <c r="Y106" s="1"/>
      <c r="Z106" s="1"/>
      <c r="AA106" s="1"/>
      <c r="AB106" s="1"/>
      <c r="AC106" s="1"/>
      <c r="AD106" s="1">
        <f>IF($C106="",0,SUMPRODUCT((AY_SONU!$O$7:$O$42="Evet")*(AY_SONU!$B$7:$B$42=DATE(YEAR($C106),MONTH($C106),1))))</f>
        <v>0</v>
      </c>
      <c r="AE106" s="1" t="str">
        <f>IF($E106="","",$E106&amp;"|"&amp;COUNTIFS($E$7:$E106,$E106))</f>
        <v>Kurumlar Vergisi Damga|6</v>
      </c>
    </row>
    <row r="107" spans="1:31" ht="18" customHeight="1" x14ac:dyDescent="0.3">
      <c r="A107" s="2"/>
      <c r="B107" s="65" t="str">
        <f>IF($C107="","","GG"&amp;TEXT(ROW()-6,"00000"))</f>
        <v>GG00101</v>
      </c>
      <c r="C107" s="66">
        <v>46123</v>
      </c>
      <c r="D107" s="60" t="s">
        <v>795</v>
      </c>
      <c r="E107" s="61" t="s">
        <v>871</v>
      </c>
      <c r="F107" s="61" t="s">
        <v>878</v>
      </c>
      <c r="G107" s="67">
        <v>5200</v>
      </c>
      <c r="H107" s="60" t="s">
        <v>772</v>
      </c>
      <c r="I107" s="60" t="s">
        <v>773</v>
      </c>
      <c r="J107" s="61"/>
      <c r="K107" s="61"/>
      <c r="L107" s="60"/>
      <c r="M107" s="74" t="str">
        <f>IF($C107="","",IF($D107="Gider",$E107,IF($L107&lt;&gt;"",$L107,$H107)))</f>
        <v>Merkez Kasa</v>
      </c>
      <c r="N107" s="74" t="str">
        <f>IF($C107="","",IF($D107="Gider",$H107,$E107))</f>
        <v>Kurumlar Vergisi Damga</v>
      </c>
      <c r="O107" s="73">
        <f>IF($C107="","",DATE(YEAR($C107),MONTH($C107),1))</f>
        <v>46113</v>
      </c>
      <c r="P107" s="65" t="str">
        <f ca="1">IF($C107="","",IF(AND($D107="Gelir",$L107&lt;&gt;"",$T107=""),"TANIMSIZ BORÇLU",IF($T107&lt;&gt;"",IF(OR($E107="",$G107&lt;=0),"EKSİK",IF($I107="Evet","TAHAKKUK NAKİT OLAMAZ",IF($C107&gt;TODAY(),"İLERİ TARİH","TAHAKKUK"))),IF(AND($D107&lt;&gt;"",$E107&lt;&gt;"",$G107&gt;0,$H107&lt;&gt;"",$I107&lt;&gt;""),IF($C107&gt;TODAY(),"İLERİ TARİH",IF(COUNTIF($W$7:$W$3001,$W107)&gt;1,"MÜKERRER?",IF($AD107&gt;0,"KAPALI DÖNEM",IF($I107="Hayır","ÖDENECEK","UYGUN")))),"EKSİK"))))</f>
        <v>UYGUN</v>
      </c>
      <c r="Q107" s="2"/>
      <c r="R107" s="2"/>
      <c r="S107" s="1" t="str">
        <f t="shared" si="5"/>
        <v/>
      </c>
      <c r="T107" s="1" t="str">
        <f>IF(OR($C107="",$D107&lt;&gt;"Gelir",$L107=""),"",IFERROR(INDEX(MUSTERILER!$B$7:$B$156,MATCH($S107,MUSTERILER!$T$7:$T$156,0)),""))</f>
        <v/>
      </c>
      <c r="U107" s="1" t="str">
        <f>IF($T107="","",$T107&amp;"|"&amp;COUNTIFS($T$7:$T107,$T107))</f>
        <v/>
      </c>
      <c r="V107" s="1">
        <f t="shared" si="6"/>
        <v>0</v>
      </c>
      <c r="W107" s="1" t="str">
        <f t="shared" si="7"/>
        <v>Gelir|Kurumlar Vergisi Damga|46123|5200|ASIM AÇIKGÖZ 2025 KURUMLAR DAMGA|</v>
      </c>
      <c r="X107" s="1"/>
      <c r="Y107" s="1"/>
      <c r="Z107" s="1"/>
      <c r="AA107" s="1"/>
      <c r="AB107" s="1"/>
      <c r="AC107" s="1"/>
      <c r="AD107" s="1">
        <f>IF($C107="",0,SUMPRODUCT((AY_SONU!$O$7:$O$42="Evet")*(AY_SONU!$B$7:$B$42=DATE(YEAR($C107),MONTH($C107),1))))</f>
        <v>0</v>
      </c>
      <c r="AE107" s="1" t="str">
        <f>IF($E107="","",$E107&amp;"|"&amp;COUNTIFS($E$7:$E107,$E107))</f>
        <v>Kurumlar Vergisi Damga|7</v>
      </c>
    </row>
    <row r="108" spans="1:31" ht="18" customHeight="1" x14ac:dyDescent="0.3">
      <c r="A108" s="2"/>
      <c r="B108" s="65" t="str">
        <f>IF($C108="","","GG"&amp;TEXT(ROW()-6,"00000"))</f>
        <v>GG00102</v>
      </c>
      <c r="C108" s="66">
        <v>46123</v>
      </c>
      <c r="D108" s="60" t="s">
        <v>795</v>
      </c>
      <c r="E108" s="61" t="s">
        <v>871</v>
      </c>
      <c r="F108" s="61" t="s">
        <v>879</v>
      </c>
      <c r="G108" s="67">
        <v>5200</v>
      </c>
      <c r="H108" s="60" t="s">
        <v>772</v>
      </c>
      <c r="I108" s="60" t="s">
        <v>773</v>
      </c>
      <c r="J108" s="61"/>
      <c r="K108" s="61"/>
      <c r="L108" s="60"/>
      <c r="M108" s="74" t="str">
        <f>IF($C108="","",IF($D108="Gider",$E108,IF($L108&lt;&gt;"",$L108,$H108)))</f>
        <v>Merkez Kasa</v>
      </c>
      <c r="N108" s="74" t="str">
        <f>IF($C108="","",IF($D108="Gider",$H108,$E108))</f>
        <v>Kurumlar Vergisi Damga</v>
      </c>
      <c r="O108" s="73">
        <f>IF($C108="","",DATE(YEAR($C108),MONTH($C108),1))</f>
        <v>46113</v>
      </c>
      <c r="P108" s="65" t="str">
        <f ca="1">IF($C108="","",IF(AND($D108="Gelir",$L108&lt;&gt;"",$T108=""),"TANIMSIZ BORÇLU",IF($T108&lt;&gt;"",IF(OR($E108="",$G108&lt;=0),"EKSİK",IF($I108="Evet","TAHAKKUK NAKİT OLAMAZ",IF($C108&gt;TODAY(),"İLERİ TARİH","TAHAKKUK"))),IF(AND($D108&lt;&gt;"",$E108&lt;&gt;"",$G108&gt;0,$H108&lt;&gt;"",$I108&lt;&gt;""),IF($C108&gt;TODAY(),"İLERİ TARİH",IF(COUNTIF($W$7:$W$3001,$W108)&gt;1,"MÜKERRER?",IF($AD108&gt;0,"KAPALI DÖNEM",IF($I108="Hayır","ÖDENECEK","UYGUN")))),"EKSİK"))))</f>
        <v>UYGUN</v>
      </c>
      <c r="Q108" s="2"/>
      <c r="R108" s="2"/>
      <c r="S108" s="1" t="str">
        <f t="shared" si="5"/>
        <v/>
      </c>
      <c r="T108" s="1" t="str">
        <f>IF(OR($C108="",$D108&lt;&gt;"Gelir",$L108=""),"",IFERROR(INDEX(MUSTERILER!$B$7:$B$156,MATCH($S108,MUSTERILER!$T$7:$T$156,0)),""))</f>
        <v/>
      </c>
      <c r="U108" s="1" t="str">
        <f>IF($T108="","",$T108&amp;"|"&amp;COUNTIFS($T$7:$T108,$T108))</f>
        <v/>
      </c>
      <c r="V108" s="1">
        <f t="shared" si="6"/>
        <v>0</v>
      </c>
      <c r="W108" s="1" t="str">
        <f t="shared" si="7"/>
        <v>Gelir|Kurumlar Vergisi Damga|46123|5200|KRİSTAL LTD.ŞTİ. 2025 KURUMLAR DAMGA|</v>
      </c>
      <c r="X108" s="1"/>
      <c r="Y108" s="1"/>
      <c r="Z108" s="1"/>
      <c r="AA108" s="1"/>
      <c r="AB108" s="1"/>
      <c r="AC108" s="1"/>
      <c r="AD108" s="1">
        <f>IF($C108="",0,SUMPRODUCT((AY_SONU!$O$7:$O$42="Evet")*(AY_SONU!$B$7:$B$42=DATE(YEAR($C108),MONTH($C108),1))))</f>
        <v>0</v>
      </c>
      <c r="AE108" s="1" t="str">
        <f>IF($E108="","",$E108&amp;"|"&amp;COUNTIFS($E$7:$E108,$E108))</f>
        <v>Kurumlar Vergisi Damga|8</v>
      </c>
    </row>
    <row r="109" spans="1:31" ht="18" customHeight="1" x14ac:dyDescent="0.3">
      <c r="A109" s="2"/>
      <c r="B109" s="65" t="str">
        <f>IF($C109="","","GG"&amp;TEXT(ROW()-6,"00000"))</f>
        <v>GG00103</v>
      </c>
      <c r="C109" s="66">
        <v>46123</v>
      </c>
      <c r="D109" s="60" t="s">
        <v>795</v>
      </c>
      <c r="E109" s="61" t="s">
        <v>871</v>
      </c>
      <c r="F109" s="61" t="s">
        <v>880</v>
      </c>
      <c r="G109" s="67">
        <v>5200</v>
      </c>
      <c r="H109" s="60" t="s">
        <v>772</v>
      </c>
      <c r="I109" s="60" t="s">
        <v>773</v>
      </c>
      <c r="J109" s="61"/>
      <c r="K109" s="61"/>
      <c r="L109" s="60"/>
      <c r="M109" s="74" t="str">
        <f>IF($C109="","",IF($D109="Gider",$E109,IF($L109&lt;&gt;"",$L109,$H109)))</f>
        <v>Merkez Kasa</v>
      </c>
      <c r="N109" s="74" t="str">
        <f>IF($C109="","",IF($D109="Gider",$H109,$E109))</f>
        <v>Kurumlar Vergisi Damga</v>
      </c>
      <c r="O109" s="73">
        <f>IF($C109="","",DATE(YEAR($C109),MONTH($C109),1))</f>
        <v>46113</v>
      </c>
      <c r="P109" s="65" t="str">
        <f ca="1">IF($C109="","",IF(AND($D109="Gelir",$L109&lt;&gt;"",$T109=""),"TANIMSIZ BORÇLU",IF($T109&lt;&gt;"",IF(OR($E109="",$G109&lt;=0),"EKSİK",IF($I109="Evet","TAHAKKUK NAKİT OLAMAZ",IF($C109&gt;TODAY(),"İLERİ TARİH","TAHAKKUK"))),IF(AND($D109&lt;&gt;"",$E109&lt;&gt;"",$G109&gt;0,$H109&lt;&gt;"",$I109&lt;&gt;""),IF($C109&gt;TODAY(),"İLERİ TARİH",IF(COUNTIF($W$7:$W$3001,$W109)&gt;1,"MÜKERRER?",IF($AD109&gt;0,"KAPALI DÖNEM",IF($I109="Hayır","ÖDENECEK","UYGUN")))),"EKSİK"))))</f>
        <v>UYGUN</v>
      </c>
      <c r="Q109" s="2"/>
      <c r="R109" s="2"/>
      <c r="S109" s="1" t="str">
        <f t="shared" si="5"/>
        <v/>
      </c>
      <c r="T109" s="1" t="str">
        <f>IF(OR($C109="",$D109&lt;&gt;"Gelir",$L109=""),"",IFERROR(INDEX(MUSTERILER!$B$7:$B$156,MATCH($S109,MUSTERILER!$T$7:$T$156,0)),""))</f>
        <v/>
      </c>
      <c r="U109" s="1" t="str">
        <f>IF($T109="","",$T109&amp;"|"&amp;COUNTIFS($T$7:$T109,$T109))</f>
        <v/>
      </c>
      <c r="V109" s="1">
        <f t="shared" si="6"/>
        <v>0</v>
      </c>
      <c r="W109" s="1" t="str">
        <f t="shared" si="7"/>
        <v>Gelir|Kurumlar Vergisi Damga|46123|5200|PALAOĞULLARI LTD.ŞTİ. 2025 KURUMLAR DAMGA|</v>
      </c>
      <c r="X109" s="1"/>
      <c r="Y109" s="1"/>
      <c r="Z109" s="1"/>
      <c r="AA109" s="1"/>
      <c r="AB109" s="1"/>
      <c r="AC109" s="1"/>
      <c r="AD109" s="1">
        <f>IF($C109="",0,SUMPRODUCT((AY_SONU!$O$7:$O$42="Evet")*(AY_SONU!$B$7:$B$42=DATE(YEAR($C109),MONTH($C109),1))))</f>
        <v>0</v>
      </c>
      <c r="AE109" s="1" t="str">
        <f>IF($E109="","",$E109&amp;"|"&amp;COUNTIFS($E$7:$E109,$E109))</f>
        <v>Kurumlar Vergisi Damga|9</v>
      </c>
    </row>
    <row r="110" spans="1:31" ht="18" customHeight="1" x14ac:dyDescent="0.3">
      <c r="A110" s="2"/>
      <c r="B110" s="65" t="str">
        <f>IF($C110="","","GG"&amp;TEXT(ROW()-6,"00000"))</f>
        <v>GG00104</v>
      </c>
      <c r="C110" s="66">
        <v>46123</v>
      </c>
      <c r="D110" s="60" t="s">
        <v>795</v>
      </c>
      <c r="E110" s="61" t="s">
        <v>871</v>
      </c>
      <c r="F110" s="61" t="s">
        <v>881</v>
      </c>
      <c r="G110" s="67">
        <v>5200</v>
      </c>
      <c r="H110" s="60" t="s">
        <v>772</v>
      </c>
      <c r="I110" s="60" t="s">
        <v>773</v>
      </c>
      <c r="J110" s="61"/>
      <c r="K110" s="61"/>
      <c r="L110" s="60"/>
      <c r="M110" s="74" t="str">
        <f>IF($C110="","",IF($D110="Gider",$E110,IF($L110&lt;&gt;"",$L110,$H110)))</f>
        <v>Merkez Kasa</v>
      </c>
      <c r="N110" s="74" t="str">
        <f>IF($C110="","",IF($D110="Gider",$H110,$E110))</f>
        <v>Kurumlar Vergisi Damga</v>
      </c>
      <c r="O110" s="73">
        <f>IF($C110="","",DATE(YEAR($C110),MONTH($C110),1))</f>
        <v>46113</v>
      </c>
      <c r="P110" s="65" t="str">
        <f ca="1">IF($C110="","",IF(AND($D110="Gelir",$L110&lt;&gt;"",$T110=""),"TANIMSIZ BORÇLU",IF($T110&lt;&gt;"",IF(OR($E110="",$G110&lt;=0),"EKSİK",IF($I110="Evet","TAHAKKUK NAKİT OLAMAZ",IF($C110&gt;TODAY(),"İLERİ TARİH","TAHAKKUK"))),IF(AND($D110&lt;&gt;"",$E110&lt;&gt;"",$G110&gt;0,$H110&lt;&gt;"",$I110&lt;&gt;""),IF($C110&gt;TODAY(),"İLERİ TARİH",IF(COUNTIF($W$7:$W$3001,$W110)&gt;1,"MÜKERRER?",IF($AD110&gt;0,"KAPALI DÖNEM",IF($I110="Hayır","ÖDENECEK","UYGUN")))),"EKSİK"))))</f>
        <v>UYGUN</v>
      </c>
      <c r="Q110" s="2"/>
      <c r="R110" s="2"/>
      <c r="S110" s="1" t="str">
        <f t="shared" si="5"/>
        <v/>
      </c>
      <c r="T110" s="1" t="str">
        <f>IF(OR($C110="",$D110&lt;&gt;"Gelir",$L110=""),"",IFERROR(INDEX(MUSTERILER!$B$7:$B$156,MATCH($S110,MUSTERILER!$T$7:$T$156,0)),""))</f>
        <v/>
      </c>
      <c r="U110" s="1" t="str">
        <f>IF($T110="","",$T110&amp;"|"&amp;COUNTIFS($T$7:$T110,$T110))</f>
        <v/>
      </c>
      <c r="V110" s="1">
        <f t="shared" si="6"/>
        <v>0</v>
      </c>
      <c r="W110" s="1" t="str">
        <f t="shared" si="7"/>
        <v>Gelir|Kurumlar Vergisi Damga|46123|5200|ÇINARHAN LTD.ŞTİ. 2025 KURUMLAR DAMGA|</v>
      </c>
      <c r="X110" s="1"/>
      <c r="Y110" s="1"/>
      <c r="Z110" s="1"/>
      <c r="AA110" s="1"/>
      <c r="AB110" s="1"/>
      <c r="AC110" s="1"/>
      <c r="AD110" s="1">
        <f>IF($C110="",0,SUMPRODUCT((AY_SONU!$O$7:$O$42="Evet")*(AY_SONU!$B$7:$B$42=DATE(YEAR($C110),MONTH($C110),1))))</f>
        <v>0</v>
      </c>
      <c r="AE110" s="1" t="str">
        <f>IF($E110="","",$E110&amp;"|"&amp;COUNTIFS($E$7:$E110,$E110))</f>
        <v>Kurumlar Vergisi Damga|10</v>
      </c>
    </row>
    <row r="111" spans="1:31" ht="18" customHeight="1" x14ac:dyDescent="0.3">
      <c r="A111" s="2"/>
      <c r="B111" s="65" t="str">
        <f>IF($C111="","","GG"&amp;TEXT(ROW()-6,"00000"))</f>
        <v>GG00105</v>
      </c>
      <c r="C111" s="66">
        <v>46123</v>
      </c>
      <c r="D111" s="60" t="s">
        <v>795</v>
      </c>
      <c r="E111" s="61" t="s">
        <v>871</v>
      </c>
      <c r="F111" s="61" t="s">
        <v>882</v>
      </c>
      <c r="G111" s="67">
        <v>5200</v>
      </c>
      <c r="H111" s="60" t="s">
        <v>772</v>
      </c>
      <c r="I111" s="60" t="s">
        <v>773</v>
      </c>
      <c r="J111" s="61"/>
      <c r="K111" s="61"/>
      <c r="L111" s="60"/>
      <c r="M111" s="74" t="str">
        <f>IF($C111="","",IF($D111="Gider",$E111,IF($L111&lt;&gt;"",$L111,$H111)))</f>
        <v>Merkez Kasa</v>
      </c>
      <c r="N111" s="74" t="str">
        <f>IF($C111="","",IF($D111="Gider",$H111,$E111))</f>
        <v>Kurumlar Vergisi Damga</v>
      </c>
      <c r="O111" s="73">
        <f>IF($C111="","",DATE(YEAR($C111),MONTH($C111),1))</f>
        <v>46113</v>
      </c>
      <c r="P111" s="65" t="str">
        <f ca="1">IF($C111="","",IF(AND($D111="Gelir",$L111&lt;&gt;"",$T111=""),"TANIMSIZ BORÇLU",IF($T111&lt;&gt;"",IF(OR($E111="",$G111&lt;=0),"EKSİK",IF($I111="Evet","TAHAKKUK NAKİT OLAMAZ",IF($C111&gt;TODAY(),"İLERİ TARİH","TAHAKKUK"))),IF(AND($D111&lt;&gt;"",$E111&lt;&gt;"",$G111&gt;0,$H111&lt;&gt;"",$I111&lt;&gt;""),IF($C111&gt;TODAY(),"İLERİ TARİH",IF(COUNTIF($W$7:$W$3001,$W111)&gt;1,"MÜKERRER?",IF($AD111&gt;0,"KAPALI DÖNEM",IF($I111="Hayır","ÖDENECEK","UYGUN")))),"EKSİK"))))</f>
        <v>UYGUN</v>
      </c>
      <c r="Q111" s="2"/>
      <c r="R111" s="2"/>
      <c r="S111" s="1" t="str">
        <f t="shared" si="5"/>
        <v/>
      </c>
      <c r="T111" s="1" t="str">
        <f>IF(OR($C111="",$D111&lt;&gt;"Gelir",$L111=""),"",IFERROR(INDEX(MUSTERILER!$B$7:$B$156,MATCH($S111,MUSTERILER!$T$7:$T$156,0)),""))</f>
        <v/>
      </c>
      <c r="U111" s="1" t="str">
        <f>IF($T111="","",$T111&amp;"|"&amp;COUNTIFS($T$7:$T111,$T111))</f>
        <v/>
      </c>
      <c r="V111" s="1">
        <f t="shared" si="6"/>
        <v>0</v>
      </c>
      <c r="W111" s="1" t="str">
        <f t="shared" si="7"/>
        <v>Gelir|Kurumlar Vergisi Damga|46123|5200|İSA DEMİRCİ 2025 KURUMLAR DAMGA|</v>
      </c>
      <c r="X111" s="1"/>
      <c r="Y111" s="1"/>
      <c r="Z111" s="1"/>
      <c r="AA111" s="1"/>
      <c r="AB111" s="1"/>
      <c r="AC111" s="1"/>
      <c r="AD111" s="1">
        <f>IF($C111="",0,SUMPRODUCT((AY_SONU!$O$7:$O$42="Evet")*(AY_SONU!$B$7:$B$42=DATE(YEAR($C111),MONTH($C111),1))))</f>
        <v>0</v>
      </c>
      <c r="AE111" s="1" t="str">
        <f>IF($E111="","",$E111&amp;"|"&amp;COUNTIFS($E$7:$E111,$E111))</f>
        <v>Kurumlar Vergisi Damga|11</v>
      </c>
    </row>
    <row r="112" spans="1:31" ht="18" customHeight="1" x14ac:dyDescent="0.3">
      <c r="A112" s="2"/>
      <c r="B112" s="65" t="str">
        <f>IF($C112="","","GG"&amp;TEXT(ROW()-6,"00000"))</f>
        <v>GG00106</v>
      </c>
      <c r="C112" s="66">
        <v>46127</v>
      </c>
      <c r="D112" s="60" t="s">
        <v>769</v>
      </c>
      <c r="E112" s="61" t="s">
        <v>788</v>
      </c>
      <c r="F112" s="61" t="s">
        <v>789</v>
      </c>
      <c r="G112" s="67">
        <v>2000</v>
      </c>
      <c r="H112" s="60" t="s">
        <v>772</v>
      </c>
      <c r="I112" s="60" t="s">
        <v>773</v>
      </c>
      <c r="J112" s="61"/>
      <c r="K112" s="61"/>
      <c r="L112" s="60"/>
      <c r="M112" s="74" t="str">
        <f>IF($C112="","",IF($D112="Gider",$E112,IF($L112&lt;&gt;"",$L112,$H112)))</f>
        <v>Ulaşım</v>
      </c>
      <c r="N112" s="74" t="str">
        <f>IF($C112="","",IF($D112="Gider",$H112,$E112))</f>
        <v>Merkez Kasa</v>
      </c>
      <c r="O112" s="73">
        <f>IF($C112="","",DATE(YEAR($C112),MONTH($C112),1))</f>
        <v>46113</v>
      </c>
      <c r="P112" s="65" t="str">
        <f ca="1">IF($C112="","",IF(AND($D112="Gelir",$L112&lt;&gt;"",$T112=""),"TANIMSIZ BORÇLU",IF($T112&lt;&gt;"",IF(OR($E112="",$G112&lt;=0),"EKSİK",IF($I112="Evet","TAHAKKUK NAKİT OLAMAZ",IF($C112&gt;TODAY(),"İLERİ TARİH","TAHAKKUK"))),IF(AND($D112&lt;&gt;"",$E112&lt;&gt;"",$G112&gt;0,$H112&lt;&gt;"",$I112&lt;&gt;""),IF($C112&gt;TODAY(),"İLERİ TARİH",IF(COUNTIF($W$7:$W$3001,$W112)&gt;1,"MÜKERRER?",IF($AD112&gt;0,"KAPALI DÖNEM",IF($I112="Hayır","ÖDENECEK","UYGUN")))),"EKSİK"))))</f>
        <v>UYGUN</v>
      </c>
      <c r="Q112" s="2"/>
      <c r="R112" s="2"/>
      <c r="S112" s="1" t="str">
        <f t="shared" si="5"/>
        <v/>
      </c>
      <c r="T112" s="1" t="str">
        <f>IF(OR($C112="",$D112&lt;&gt;"Gelir",$L112=""),"",IFERROR(INDEX(MUSTERILER!$B$7:$B$156,MATCH($S112,MUSTERILER!$T$7:$T$156,0)),""))</f>
        <v/>
      </c>
      <c r="U112" s="1" t="str">
        <f>IF($T112="","",$T112&amp;"|"&amp;COUNTIFS($T$7:$T112,$T112))</f>
        <v/>
      </c>
      <c r="V112" s="1">
        <f t="shared" si="6"/>
        <v>0</v>
      </c>
      <c r="W112" s="1" t="str">
        <f t="shared" si="7"/>
        <v>Gider|Ulaşım|46127|2000|Araç Yakıt Alımı|</v>
      </c>
      <c r="X112" s="1"/>
      <c r="Y112" s="1"/>
      <c r="Z112" s="1"/>
      <c r="AA112" s="1"/>
      <c r="AB112" s="1"/>
      <c r="AC112" s="1"/>
      <c r="AD112" s="1">
        <f>IF($C112="",0,SUMPRODUCT((AY_SONU!$O$7:$O$42="Evet")*(AY_SONU!$B$7:$B$42=DATE(YEAR($C112),MONTH($C112),1))))</f>
        <v>0</v>
      </c>
      <c r="AE112" s="1" t="str">
        <f>IF($E112="","",$E112&amp;"|"&amp;COUNTIFS($E$7:$E112,$E112))</f>
        <v>Ulaşım|10</v>
      </c>
    </row>
    <row r="113" spans="1:31" ht="18" customHeight="1" x14ac:dyDescent="0.3">
      <c r="A113" s="2"/>
      <c r="B113" s="65" t="str">
        <f>IF($C113="","","GG"&amp;TEXT(ROW()-6,"00000"))</f>
        <v>GG00107</v>
      </c>
      <c r="C113" s="66">
        <v>46127</v>
      </c>
      <c r="D113" s="60" t="s">
        <v>769</v>
      </c>
      <c r="E113" s="61" t="s">
        <v>793</v>
      </c>
      <c r="F113" s="61" t="s">
        <v>883</v>
      </c>
      <c r="G113" s="67">
        <v>7500</v>
      </c>
      <c r="H113" s="60" t="s">
        <v>772</v>
      </c>
      <c r="I113" s="60" t="s">
        <v>773</v>
      </c>
      <c r="J113" s="61"/>
      <c r="K113" s="61"/>
      <c r="L113" s="60"/>
      <c r="M113" s="74" t="str">
        <f>IF($C113="","",IF($D113="Gider",$E113,IF($L113&lt;&gt;"",$L113,$H113)))</f>
        <v>Mehmet Ali Kartal</v>
      </c>
      <c r="N113" s="74" t="str">
        <f>IF($C113="","",IF($D113="Gider",$H113,$E113))</f>
        <v>Merkez Kasa</v>
      </c>
      <c r="O113" s="73">
        <f>IF($C113="","",DATE(YEAR($C113),MONTH($C113),1))</f>
        <v>46113</v>
      </c>
      <c r="P113" s="65" t="str">
        <f ca="1">IF($C113="","",IF(AND($D113="Gelir",$L113&lt;&gt;"",$T113=""),"TANIMSIZ BORÇLU",IF($T113&lt;&gt;"",IF(OR($E113="",$G113&lt;=0),"EKSİK",IF($I113="Evet","TAHAKKUK NAKİT OLAMAZ",IF($C113&gt;TODAY(),"İLERİ TARİH","TAHAKKUK"))),IF(AND($D113&lt;&gt;"",$E113&lt;&gt;"",$G113&gt;0,$H113&lt;&gt;"",$I113&lt;&gt;""),IF($C113&gt;TODAY(),"İLERİ TARİH",IF(COUNTIF($W$7:$W$3001,$W113)&gt;1,"MÜKERRER?",IF($AD113&gt;0,"KAPALI DÖNEM",IF($I113="Hayır","ÖDENECEK","UYGUN")))),"EKSİK"))))</f>
        <v>UYGUN</v>
      </c>
      <c r="Q113" s="2"/>
      <c r="R113" s="2"/>
      <c r="S113" s="1" t="str">
        <f t="shared" si="5"/>
        <v/>
      </c>
      <c r="T113" s="1" t="str">
        <f>IF(OR($C113="",$D113&lt;&gt;"Gelir",$L113=""),"",IFERROR(INDEX(MUSTERILER!$B$7:$B$156,MATCH($S113,MUSTERILER!$T$7:$T$156,0)),""))</f>
        <v/>
      </c>
      <c r="U113" s="1" t="str">
        <f>IF($T113="","",$T113&amp;"|"&amp;COUNTIFS($T$7:$T113,$T113))</f>
        <v/>
      </c>
      <c r="V113" s="1">
        <f t="shared" si="6"/>
        <v>0</v>
      </c>
      <c r="W113" s="1" t="str">
        <f t="shared" si="7"/>
        <v>Gider|Mehmet Ali Kartal|46127|7500|Ceren Demirci Tahsilatı|</v>
      </c>
      <c r="X113" s="1"/>
      <c r="Y113" s="1"/>
      <c r="Z113" s="1"/>
      <c r="AA113" s="1"/>
      <c r="AB113" s="1"/>
      <c r="AC113" s="1"/>
      <c r="AD113" s="1">
        <f>IF($C113="",0,SUMPRODUCT((AY_SONU!$O$7:$O$42="Evet")*(AY_SONU!$B$7:$B$42=DATE(YEAR($C113),MONTH($C113),1))))</f>
        <v>0</v>
      </c>
      <c r="AE113" s="1" t="str">
        <f>IF($E113="","",$E113&amp;"|"&amp;COUNTIFS($E$7:$E113,$E113))</f>
        <v>Mehmet Ali Kartal|3</v>
      </c>
    </row>
    <row r="114" spans="1:31" ht="18" customHeight="1" x14ac:dyDescent="0.3">
      <c r="A114" s="2"/>
      <c r="B114" s="65" t="str">
        <f>IF($C114="","","GG"&amp;TEXT(ROW()-6,"00000"))</f>
        <v>GG00108</v>
      </c>
      <c r="C114" s="66">
        <v>46130</v>
      </c>
      <c r="D114" s="60" t="s">
        <v>769</v>
      </c>
      <c r="E114" s="61" t="s">
        <v>790</v>
      </c>
      <c r="F114" s="61" t="s">
        <v>884</v>
      </c>
      <c r="G114" s="67">
        <v>784</v>
      </c>
      <c r="H114" s="60" t="s">
        <v>772</v>
      </c>
      <c r="I114" s="60" t="s">
        <v>773</v>
      </c>
      <c r="J114" s="61"/>
      <c r="K114" s="61"/>
      <c r="L114" s="60"/>
      <c r="M114" s="74" t="str">
        <f>IF($C114="","",IF($D114="Gider",$E114,IF($L114&lt;&gt;"",$L114,$H114)))</f>
        <v>Temsil / Ağırlama</v>
      </c>
      <c r="N114" s="74" t="str">
        <f>IF($C114="","",IF($D114="Gider",$H114,$E114))</f>
        <v>Merkez Kasa</v>
      </c>
      <c r="O114" s="73">
        <f>IF($C114="","",DATE(YEAR($C114),MONTH($C114),1))</f>
        <v>46113</v>
      </c>
      <c r="P114" s="65" t="str">
        <f ca="1">IF($C114="","",IF(AND($D114="Gelir",$L114&lt;&gt;"",$T114=""),"TANIMSIZ BORÇLU",IF($T114&lt;&gt;"",IF(OR($E114="",$G114&lt;=0),"EKSİK",IF($I114="Evet","TAHAKKUK NAKİT OLAMAZ",IF($C114&gt;TODAY(),"İLERİ TARİH","TAHAKKUK"))),IF(AND($D114&lt;&gt;"",$E114&lt;&gt;"",$G114&gt;0,$H114&lt;&gt;"",$I114&lt;&gt;""),IF($C114&gt;TODAY(),"İLERİ TARİH",IF(COUNTIF($W$7:$W$3001,$W114)&gt;1,"MÜKERRER?",IF($AD114&gt;0,"KAPALI DÖNEM",IF($I114="Hayır","ÖDENECEK","UYGUN")))),"EKSİK"))))</f>
        <v>UYGUN</v>
      </c>
      <c r="Q114" s="2"/>
      <c r="R114" s="2"/>
      <c r="S114" s="1" t="str">
        <f t="shared" si="5"/>
        <v/>
      </c>
      <c r="T114" s="1" t="str">
        <f>IF(OR($C114="",$D114&lt;&gt;"Gelir",$L114=""),"",IFERROR(INDEX(MUSTERILER!$B$7:$B$156,MATCH($S114,MUSTERILER!$T$7:$T$156,0)),""))</f>
        <v/>
      </c>
      <c r="U114" s="1" t="str">
        <f>IF($T114="","",$T114&amp;"|"&amp;COUNTIFS($T$7:$T114,$T114))</f>
        <v/>
      </c>
      <c r="V114" s="1">
        <f t="shared" si="6"/>
        <v>0</v>
      </c>
      <c r="W114" s="1" t="str">
        <f t="shared" si="7"/>
        <v>Gider|Temsil / Ağırlama|46130|784|Ofis Gıda Alışverişi|</v>
      </c>
      <c r="X114" s="1"/>
      <c r="Y114" s="1"/>
      <c r="Z114" s="1"/>
      <c r="AA114" s="1"/>
      <c r="AB114" s="1"/>
      <c r="AC114" s="1"/>
      <c r="AD114" s="1">
        <f>IF($C114="",0,SUMPRODUCT((AY_SONU!$O$7:$O$42="Evet")*(AY_SONU!$B$7:$B$42=DATE(YEAR($C114),MONTH($C114),1))))</f>
        <v>0</v>
      </c>
      <c r="AE114" s="1" t="str">
        <f>IF($E114="","",$E114&amp;"|"&amp;COUNTIFS($E$7:$E114,$E114))</f>
        <v>Temsil / Ağırlama|12</v>
      </c>
    </row>
    <row r="115" spans="1:31" ht="18" customHeight="1" x14ac:dyDescent="0.3">
      <c r="A115" s="2"/>
      <c r="B115" s="65" t="str">
        <f>IF($C115="","","GG"&amp;TEXT(ROW()-6,"00000"))</f>
        <v>GG00109</v>
      </c>
      <c r="C115" s="66">
        <v>46132</v>
      </c>
      <c r="D115" s="60" t="s">
        <v>769</v>
      </c>
      <c r="E115" s="61" t="s">
        <v>849</v>
      </c>
      <c r="F115" s="61" t="s">
        <v>885</v>
      </c>
      <c r="G115" s="67">
        <v>4500</v>
      </c>
      <c r="H115" s="60" t="s">
        <v>772</v>
      </c>
      <c r="I115" s="60" t="s">
        <v>773</v>
      </c>
      <c r="J115" s="61"/>
      <c r="K115" s="61"/>
      <c r="L115" s="60"/>
      <c r="M115" s="74" t="str">
        <f>IF($C115="","",IF($D115="Gider",$E115,IF($L115&lt;&gt;"",$L115,$H115)))</f>
        <v>Demirbaş</v>
      </c>
      <c r="N115" s="74" t="str">
        <f>IF($C115="","",IF($D115="Gider",$H115,$E115))</f>
        <v>Merkez Kasa</v>
      </c>
      <c r="O115" s="73">
        <f>IF($C115="","",DATE(YEAR($C115),MONTH($C115),1))</f>
        <v>46113</v>
      </c>
      <c r="P115" s="65" t="str">
        <f ca="1">IF($C115="","",IF(AND($D115="Gelir",$L115&lt;&gt;"",$T115=""),"TANIMSIZ BORÇLU",IF($T115&lt;&gt;"",IF(OR($E115="",$G115&lt;=0),"EKSİK",IF($I115="Evet","TAHAKKUK NAKİT OLAMAZ",IF($C115&gt;TODAY(),"İLERİ TARİH","TAHAKKUK"))),IF(AND($D115&lt;&gt;"",$E115&lt;&gt;"",$G115&gt;0,$H115&lt;&gt;"",$I115&lt;&gt;""),IF($C115&gt;TODAY(),"İLERİ TARİH",IF(COUNTIF($W$7:$W$3001,$W115)&gt;1,"MÜKERRER?",IF($AD115&gt;0,"KAPALI DÖNEM",IF($I115="Hayır","ÖDENECEK","UYGUN")))),"EKSİK"))))</f>
        <v>UYGUN</v>
      </c>
      <c r="Q115" s="2"/>
      <c r="R115" s="2"/>
      <c r="S115" s="1" t="str">
        <f t="shared" si="5"/>
        <v/>
      </c>
      <c r="T115" s="1" t="str">
        <f>IF(OR($C115="",$D115&lt;&gt;"Gelir",$L115=""),"",IFERROR(INDEX(MUSTERILER!$B$7:$B$156,MATCH($S115,MUSTERILER!$T$7:$T$156,0)),""))</f>
        <v/>
      </c>
      <c r="U115" s="1" t="str">
        <f>IF($T115="","",$T115&amp;"|"&amp;COUNTIFS($T$7:$T115,$T115))</f>
        <v/>
      </c>
      <c r="V115" s="1">
        <f t="shared" si="6"/>
        <v>0</v>
      </c>
      <c r="W115" s="1" t="str">
        <f t="shared" si="7"/>
        <v>Gider|Demirbaş|46132|4500|Notebook Adaptör 1 Mouse ve Mouseped Toner|</v>
      </c>
      <c r="X115" s="1"/>
      <c r="Y115" s="1"/>
      <c r="Z115" s="1"/>
      <c r="AA115" s="1"/>
      <c r="AB115" s="1"/>
      <c r="AC115" s="1"/>
      <c r="AD115" s="1">
        <f>IF($C115="",0,SUMPRODUCT((AY_SONU!$O$7:$O$42="Evet")*(AY_SONU!$B$7:$B$42=DATE(YEAR($C115),MONTH($C115),1))))</f>
        <v>0</v>
      </c>
      <c r="AE115" s="1" t="str">
        <f>IF($E115="","",$E115&amp;"|"&amp;COUNTIFS($E$7:$E115,$E115))</f>
        <v>Demirbaş|3</v>
      </c>
    </row>
    <row r="116" spans="1:31" ht="18" customHeight="1" x14ac:dyDescent="0.3">
      <c r="A116" s="2"/>
      <c r="B116" s="65" t="str">
        <f>IF($C116="","","GG"&amp;TEXT(ROW()-6,"00000"))</f>
        <v>GG00110</v>
      </c>
      <c r="C116" s="66">
        <v>46132</v>
      </c>
      <c r="D116" s="60" t="s">
        <v>769</v>
      </c>
      <c r="E116" s="61" t="s">
        <v>779</v>
      </c>
      <c r="F116" s="61" t="s">
        <v>886</v>
      </c>
      <c r="G116" s="67">
        <v>5200</v>
      </c>
      <c r="H116" s="60" t="s">
        <v>772</v>
      </c>
      <c r="I116" s="60" t="s">
        <v>773</v>
      </c>
      <c r="J116" s="61"/>
      <c r="K116" s="61"/>
      <c r="L116" s="60"/>
      <c r="M116" s="74" t="str">
        <f>IF($C116="","",IF($D116="Gider",$E116,IF($L116&lt;&gt;"",$L116,$H116)))</f>
        <v>Kırtasiye</v>
      </c>
      <c r="N116" s="74" t="str">
        <f>IF($C116="","",IF($D116="Gider",$H116,$E116))</f>
        <v>Merkez Kasa</v>
      </c>
      <c r="O116" s="73">
        <f>IF($C116="","",DATE(YEAR($C116),MONTH($C116),1))</f>
        <v>46113</v>
      </c>
      <c r="P116" s="65" t="str">
        <f ca="1">IF($C116="","",IF(AND($D116="Gelir",$L116&lt;&gt;"",$T116=""),"TANIMSIZ BORÇLU",IF($T116&lt;&gt;"",IF(OR($E116="",$G116&lt;=0),"EKSİK",IF($I116="Evet","TAHAKKUK NAKİT OLAMAZ",IF($C116&gt;TODAY(),"İLERİ TARİH","TAHAKKUK"))),IF(AND($D116&lt;&gt;"",$E116&lt;&gt;"",$G116&gt;0,$H116&lt;&gt;"",$I116&lt;&gt;""),IF($C116&gt;TODAY(),"İLERİ TARİH",IF(COUNTIF($W$7:$W$3001,$W116)&gt;1,"MÜKERRER?",IF($AD116&gt;0,"KAPALI DÖNEM",IF($I116="Hayır","ÖDENECEK","UYGUN")))),"EKSİK"))))</f>
        <v>UYGUN</v>
      </c>
      <c r="Q116" s="2"/>
      <c r="R116" s="2"/>
      <c r="S116" s="1" t="str">
        <f t="shared" si="5"/>
        <v/>
      </c>
      <c r="T116" s="1" t="str">
        <f>IF(OR($C116="",$D116&lt;&gt;"Gelir",$L116=""),"",IFERROR(INDEX(MUSTERILER!$B$7:$B$156,MATCH($S116,MUSTERILER!$T$7:$T$156,0)),""))</f>
        <v/>
      </c>
      <c r="U116" s="1" t="str">
        <f>IF($T116="","",$T116&amp;"|"&amp;COUNTIFS($T$7:$T116,$T116))</f>
        <v/>
      </c>
      <c r="V116" s="1">
        <f t="shared" si="6"/>
        <v>0</v>
      </c>
      <c r="W116" s="1" t="str">
        <f t="shared" si="7"/>
        <v>Gider|Kırtasiye|46132|5200|Şeffaf Dosya ve A4 Kağıt 1 Koli|</v>
      </c>
      <c r="X116" s="1"/>
      <c r="Y116" s="1"/>
      <c r="Z116" s="1"/>
      <c r="AA116" s="1"/>
      <c r="AB116" s="1"/>
      <c r="AC116" s="1"/>
      <c r="AD116" s="1">
        <f>IF($C116="",0,SUMPRODUCT((AY_SONU!$O$7:$O$42="Evet")*(AY_SONU!$B$7:$B$42=DATE(YEAR($C116),MONTH($C116),1))))</f>
        <v>0</v>
      </c>
      <c r="AE116" s="1" t="str">
        <f>IF($E116="","",$E116&amp;"|"&amp;COUNTIFS($E$7:$E116,$E116))</f>
        <v>Kırtasiye|3</v>
      </c>
    </row>
    <row r="117" spans="1:31" ht="18" customHeight="1" x14ac:dyDescent="0.3">
      <c r="A117" s="2"/>
      <c r="B117" s="65" t="str">
        <f>IF($C117="","","GG"&amp;TEXT(ROW()-6,"00000"))</f>
        <v>GG00111</v>
      </c>
      <c r="C117" s="66">
        <v>46132</v>
      </c>
      <c r="D117" s="60" t="s">
        <v>769</v>
      </c>
      <c r="E117" s="61" t="s">
        <v>781</v>
      </c>
      <c r="F117" s="61" t="s">
        <v>887</v>
      </c>
      <c r="G117" s="67">
        <v>2100</v>
      </c>
      <c r="H117" s="60" t="s">
        <v>772</v>
      </c>
      <c r="I117" s="60" t="s">
        <v>773</v>
      </c>
      <c r="J117" s="61"/>
      <c r="K117" s="61"/>
      <c r="L117" s="60"/>
      <c r="M117" s="74" t="str">
        <f>IF($C117="","",IF($D117="Gider",$E117,IF($L117&lt;&gt;"",$L117,$H117)))</f>
        <v>Telefon / İnternet</v>
      </c>
      <c r="N117" s="74" t="str">
        <f>IF($C117="","",IF($D117="Gider",$H117,$E117))</f>
        <v>Merkez Kasa</v>
      </c>
      <c r="O117" s="73">
        <f>IF($C117="","",DATE(YEAR($C117),MONTH($C117),1))</f>
        <v>46113</v>
      </c>
      <c r="P117" s="65" t="str">
        <f ca="1">IF($C117="","",IF(AND($D117="Gelir",$L117&lt;&gt;"",$T117=""),"TANIMSIZ BORÇLU",IF($T117&lt;&gt;"",IF(OR($E117="",$G117&lt;=0),"EKSİK",IF($I117="Evet","TAHAKKUK NAKİT OLAMAZ",IF($C117&gt;TODAY(),"İLERİ TARİH","TAHAKKUK"))),IF(AND($D117&lt;&gt;"",$E117&lt;&gt;"",$G117&gt;0,$H117&lt;&gt;"",$I117&lt;&gt;""),IF($C117&gt;TODAY(),"İLERİ TARİH",IF(COUNTIF($W$7:$W$3001,$W117)&gt;1,"MÜKERRER?",IF($AD117&gt;0,"KAPALI DÖNEM",IF($I117="Hayır","ÖDENECEK","UYGUN")))),"EKSİK"))))</f>
        <v>UYGUN</v>
      </c>
      <c r="Q117" s="2"/>
      <c r="R117" s="2"/>
      <c r="S117" s="1" t="str">
        <f t="shared" si="5"/>
        <v/>
      </c>
      <c r="T117" s="1" t="str">
        <f>IF(OR($C117="",$D117&lt;&gt;"Gelir",$L117=""),"",IFERROR(INDEX(MUSTERILER!$B$7:$B$156,MATCH($S117,MUSTERILER!$T$7:$T$156,0)),""))</f>
        <v/>
      </c>
      <c r="U117" s="1" t="str">
        <f>IF($T117="","",$T117&amp;"|"&amp;COUNTIFS($T$7:$T117,$T117))</f>
        <v/>
      </c>
      <c r="V117" s="1">
        <f t="shared" si="6"/>
        <v>0</v>
      </c>
      <c r="W117" s="1" t="str">
        <f t="shared" si="7"/>
        <v>Gider|Telefon / İnternet|46132|2100|Ofis Whatsapp Hattı Taahhüt Yenileme ( Powerbank ) |</v>
      </c>
      <c r="X117" s="1"/>
      <c r="Y117" s="1"/>
      <c r="Z117" s="1"/>
      <c r="AA117" s="1"/>
      <c r="AB117" s="1"/>
      <c r="AC117" s="1"/>
      <c r="AD117" s="1">
        <f>IF($C117="",0,SUMPRODUCT((AY_SONU!$O$7:$O$42="Evet")*(AY_SONU!$B$7:$B$42=DATE(YEAR($C117),MONTH($C117),1))))</f>
        <v>0</v>
      </c>
      <c r="AE117" s="1" t="str">
        <f>IF($E117="","",$E117&amp;"|"&amp;COUNTIFS($E$7:$E117,$E117))</f>
        <v>Telefon / İnternet|9</v>
      </c>
    </row>
    <row r="118" spans="1:31" ht="18" customHeight="1" x14ac:dyDescent="0.3">
      <c r="A118" s="2"/>
      <c r="B118" s="65" t="str">
        <f>IF($C118="","","GG"&amp;TEXT(ROW()-6,"00000"))</f>
        <v>GG00112</v>
      </c>
      <c r="C118" s="66">
        <v>46132</v>
      </c>
      <c r="D118" s="60" t="s">
        <v>769</v>
      </c>
      <c r="E118" s="61" t="s">
        <v>790</v>
      </c>
      <c r="F118" s="61" t="s">
        <v>888</v>
      </c>
      <c r="G118" s="67">
        <v>2000</v>
      </c>
      <c r="H118" s="60" t="s">
        <v>772</v>
      </c>
      <c r="I118" s="60" t="s">
        <v>773</v>
      </c>
      <c r="J118" s="61"/>
      <c r="K118" s="61"/>
      <c r="L118" s="60"/>
      <c r="M118" s="74" t="str">
        <f>IF($C118="","",IF($D118="Gider",$E118,IF($L118&lt;&gt;"",$L118,$H118)))</f>
        <v>Temsil / Ağırlama</v>
      </c>
      <c r="N118" s="74" t="str">
        <f>IF($C118="","",IF($D118="Gider",$H118,$E118))</f>
        <v>Merkez Kasa</v>
      </c>
      <c r="O118" s="73">
        <f>IF($C118="","",DATE(YEAR($C118),MONTH($C118),1))</f>
        <v>46113</v>
      </c>
      <c r="P118" s="65" t="str">
        <f ca="1">IF($C118="","",IF(AND($D118="Gelir",$L118&lt;&gt;"",$T118=""),"TANIMSIZ BORÇLU",IF($T118&lt;&gt;"",IF(OR($E118="",$G118&lt;=0),"EKSİK",IF($I118="Evet","TAHAKKUK NAKİT OLAMAZ",IF($C118&gt;TODAY(),"İLERİ TARİH","TAHAKKUK"))),IF(AND($D118&lt;&gt;"",$E118&lt;&gt;"",$G118&gt;0,$H118&lt;&gt;"",$I118&lt;&gt;""),IF($C118&gt;TODAY(),"İLERİ TARİH",IF(COUNTIF($W$7:$W$3001,$W118)&gt;1,"MÜKERRER?",IF($AD118&gt;0,"KAPALI DÖNEM",IF($I118="Hayır","ÖDENECEK","UYGUN")))),"EKSİK"))))</f>
        <v>UYGUN</v>
      </c>
      <c r="Q118" s="2"/>
      <c r="R118" s="2"/>
      <c r="S118" s="1" t="str">
        <f t="shared" si="5"/>
        <v/>
      </c>
      <c r="T118" s="1" t="str">
        <f>IF(OR($C118="",$D118&lt;&gt;"Gelir",$L118=""),"",IFERROR(INDEX(MUSTERILER!$B$7:$B$156,MATCH($S118,MUSTERILER!$T$7:$T$156,0)),""))</f>
        <v/>
      </c>
      <c r="U118" s="1" t="str">
        <f>IF($T118="","",$T118&amp;"|"&amp;COUNTIFS($T$7:$T118,$T118))</f>
        <v/>
      </c>
      <c r="V118" s="1">
        <f t="shared" si="6"/>
        <v>0</v>
      </c>
      <c r="W118" s="1" t="str">
        <f t="shared" si="7"/>
        <v>Gider|Temsil / Ağırlama|46132|2000|Ofis Tabak|</v>
      </c>
      <c r="X118" s="1"/>
      <c r="Y118" s="1"/>
      <c r="Z118" s="1"/>
      <c r="AA118" s="1"/>
      <c r="AB118" s="1"/>
      <c r="AC118" s="1"/>
      <c r="AD118" s="1">
        <f>IF($C118="",0,SUMPRODUCT((AY_SONU!$O$7:$O$42="Evet")*(AY_SONU!$B$7:$B$42=DATE(YEAR($C118),MONTH($C118),1))))</f>
        <v>0</v>
      </c>
      <c r="AE118" s="1" t="str">
        <f>IF($E118="","",$E118&amp;"|"&amp;COUNTIFS($E$7:$E118,$E118))</f>
        <v>Temsil / Ağırlama|13</v>
      </c>
    </row>
    <row r="119" spans="1:31" ht="18" customHeight="1" x14ac:dyDescent="0.3">
      <c r="A119" s="2"/>
      <c r="B119" s="65" t="str">
        <f>IF($C119="","","GG"&amp;TEXT(ROW()-6,"00000"))</f>
        <v>GG00113</v>
      </c>
      <c r="C119" s="66">
        <v>46132</v>
      </c>
      <c r="D119" s="60" t="s">
        <v>769</v>
      </c>
      <c r="E119" s="61" t="s">
        <v>790</v>
      </c>
      <c r="F119" s="61" t="s">
        <v>889</v>
      </c>
      <c r="G119" s="67">
        <v>600</v>
      </c>
      <c r="H119" s="60" t="s">
        <v>772</v>
      </c>
      <c r="I119" s="60" t="s">
        <v>773</v>
      </c>
      <c r="J119" s="61"/>
      <c r="K119" s="61"/>
      <c r="L119" s="60"/>
      <c r="M119" s="74" t="str">
        <f>IF($C119="","",IF($D119="Gider",$E119,IF($L119&lt;&gt;"",$L119,$H119)))</f>
        <v>Temsil / Ağırlama</v>
      </c>
      <c r="N119" s="74" t="str">
        <f>IF($C119="","",IF($D119="Gider",$H119,$E119))</f>
        <v>Merkez Kasa</v>
      </c>
      <c r="O119" s="73">
        <f>IF($C119="","",DATE(YEAR($C119),MONTH($C119),1))</f>
        <v>46113</v>
      </c>
      <c r="P119" s="65" t="str">
        <f ca="1">IF($C119="","",IF(AND($D119="Gelir",$L119&lt;&gt;"",$T119=""),"TANIMSIZ BORÇLU",IF($T119&lt;&gt;"",IF(OR($E119="",$G119&lt;=0),"EKSİK",IF($I119="Evet","TAHAKKUK NAKİT OLAMAZ",IF($C119&gt;TODAY(),"İLERİ TARİH","TAHAKKUK"))),IF(AND($D119&lt;&gt;"",$E119&lt;&gt;"",$G119&gt;0,$H119&lt;&gt;"",$I119&lt;&gt;""),IF($C119&gt;TODAY(),"İLERİ TARİH",IF(COUNTIF($W$7:$W$3001,$W119)&gt;1,"MÜKERRER?",IF($AD119&gt;0,"KAPALI DÖNEM",IF($I119="Hayır","ÖDENECEK","UYGUN")))),"EKSİK"))))</f>
        <v>UYGUN</v>
      </c>
      <c r="Q119" s="2"/>
      <c r="R119" s="2"/>
      <c r="S119" s="1" t="str">
        <f t="shared" si="5"/>
        <v/>
      </c>
      <c r="T119" s="1" t="str">
        <f>IF(OR($C119="",$D119&lt;&gt;"Gelir",$L119=""),"",IFERROR(INDEX(MUSTERILER!$B$7:$B$156,MATCH($S119,MUSTERILER!$T$7:$T$156,0)),""))</f>
        <v/>
      </c>
      <c r="U119" s="1" t="str">
        <f>IF($T119="","",$T119&amp;"|"&amp;COUNTIFS($T$7:$T119,$T119))</f>
        <v/>
      </c>
      <c r="V119" s="1">
        <f t="shared" si="6"/>
        <v>0</v>
      </c>
      <c r="W119" s="1" t="str">
        <f t="shared" si="7"/>
        <v>Gider|Temsil / Ağırlama|46132|600|Damacana|</v>
      </c>
      <c r="X119" s="1"/>
      <c r="Y119" s="1"/>
      <c r="Z119" s="1"/>
      <c r="AA119" s="1"/>
      <c r="AB119" s="1"/>
      <c r="AC119" s="1"/>
      <c r="AD119" s="1">
        <f>IF($C119="",0,SUMPRODUCT((AY_SONU!$O$7:$O$42="Evet")*(AY_SONU!$B$7:$B$42=DATE(YEAR($C119),MONTH($C119),1))))</f>
        <v>0</v>
      </c>
      <c r="AE119" s="1" t="str">
        <f>IF($E119="","",$E119&amp;"|"&amp;COUNTIFS($E$7:$E119,$E119))</f>
        <v>Temsil / Ağırlama|14</v>
      </c>
    </row>
    <row r="120" spans="1:31" ht="18" customHeight="1" x14ac:dyDescent="0.3">
      <c r="A120" s="2"/>
      <c r="B120" s="65" t="str">
        <f>IF($C120="","","GG"&amp;TEXT(ROW()-6,"00000"))</f>
        <v>GG00114</v>
      </c>
      <c r="C120" s="66">
        <v>46132</v>
      </c>
      <c r="D120" s="60" t="s">
        <v>769</v>
      </c>
      <c r="E120" s="61" t="s">
        <v>790</v>
      </c>
      <c r="F120" s="61" t="s">
        <v>839</v>
      </c>
      <c r="G120" s="67">
        <v>400</v>
      </c>
      <c r="H120" s="60" t="s">
        <v>772</v>
      </c>
      <c r="I120" s="60" t="s">
        <v>773</v>
      </c>
      <c r="J120" s="61"/>
      <c r="K120" s="61"/>
      <c r="L120" s="60"/>
      <c r="M120" s="74" t="str">
        <f>IF($C120="","",IF($D120="Gider",$E120,IF($L120&lt;&gt;"",$L120,$H120)))</f>
        <v>Temsil / Ağırlama</v>
      </c>
      <c r="N120" s="74" t="str">
        <f>IF($C120="","",IF($D120="Gider",$H120,$E120))</f>
        <v>Merkez Kasa</v>
      </c>
      <c r="O120" s="73">
        <f>IF($C120="","",DATE(YEAR($C120),MONTH($C120),1))</f>
        <v>46113</v>
      </c>
      <c r="P120" s="65" t="str">
        <f ca="1">IF($C120="","",IF(AND($D120="Gelir",$L120&lt;&gt;"",$T120=""),"TANIMSIZ BORÇLU",IF($T120&lt;&gt;"",IF(OR($E120="",$G120&lt;=0),"EKSİK",IF($I120="Evet","TAHAKKUK NAKİT OLAMAZ",IF($C120&gt;TODAY(),"İLERİ TARİH","TAHAKKUK"))),IF(AND($D120&lt;&gt;"",$E120&lt;&gt;"",$G120&gt;0,$H120&lt;&gt;"",$I120&lt;&gt;""),IF($C120&gt;TODAY(),"İLERİ TARİH",IF(COUNTIF($W$7:$W$3001,$W120)&gt;1,"MÜKERRER?",IF($AD120&gt;0,"KAPALI DÖNEM",IF($I120="Hayır","ÖDENECEK","UYGUN")))),"EKSİK"))))</f>
        <v>UYGUN</v>
      </c>
      <c r="Q120" s="2"/>
      <c r="R120" s="2"/>
      <c r="S120" s="1" t="str">
        <f t="shared" si="5"/>
        <v/>
      </c>
      <c r="T120" s="1" t="str">
        <f>IF(OR($C120="",$D120&lt;&gt;"Gelir",$L120=""),"",IFERROR(INDEX(MUSTERILER!$B$7:$B$156,MATCH($S120,MUSTERILER!$T$7:$T$156,0)),""))</f>
        <v/>
      </c>
      <c r="U120" s="1" t="str">
        <f>IF($T120="","",$T120&amp;"|"&amp;COUNTIFS($T$7:$T120,$T120))</f>
        <v/>
      </c>
      <c r="V120" s="1">
        <f t="shared" si="6"/>
        <v>0</v>
      </c>
      <c r="W120" s="1" t="str">
        <f t="shared" si="7"/>
        <v>Gider|Temsil / Ağırlama|46132|400|Mutfak Gereci|</v>
      </c>
      <c r="X120" s="1"/>
      <c r="Y120" s="1"/>
      <c r="Z120" s="1"/>
      <c r="AA120" s="1"/>
      <c r="AB120" s="1"/>
      <c r="AC120" s="1"/>
      <c r="AD120" s="1">
        <f>IF($C120="",0,SUMPRODUCT((AY_SONU!$O$7:$O$42="Evet")*(AY_SONU!$B$7:$B$42=DATE(YEAR($C120),MONTH($C120),1))))</f>
        <v>0</v>
      </c>
      <c r="AE120" s="1" t="str">
        <f>IF($E120="","",$E120&amp;"|"&amp;COUNTIFS($E$7:$E120,$E120))</f>
        <v>Temsil / Ağırlama|15</v>
      </c>
    </row>
    <row r="121" spans="1:31" ht="18" customHeight="1" x14ac:dyDescent="0.3">
      <c r="A121" s="2"/>
      <c r="B121" s="65" t="str">
        <f>IF($C121="","","GG"&amp;TEXT(ROW()-6,"00000"))</f>
        <v>GG00115</v>
      </c>
      <c r="C121" s="66">
        <v>46132</v>
      </c>
      <c r="D121" s="60" t="s">
        <v>769</v>
      </c>
      <c r="E121" s="61" t="s">
        <v>781</v>
      </c>
      <c r="F121" s="61" t="s">
        <v>787</v>
      </c>
      <c r="G121" s="67">
        <v>630</v>
      </c>
      <c r="H121" s="60" t="s">
        <v>772</v>
      </c>
      <c r="I121" s="60" t="s">
        <v>773</v>
      </c>
      <c r="J121" s="61"/>
      <c r="K121" s="61"/>
      <c r="L121" s="60"/>
      <c r="M121" s="74" t="str">
        <f>IF($C121="","",IF($D121="Gider",$E121,IF($L121&lt;&gt;"",$L121,$H121)))</f>
        <v>Telefon / İnternet</v>
      </c>
      <c r="N121" s="74" t="str">
        <f>IF($C121="","",IF($D121="Gider",$H121,$E121))</f>
        <v>Merkez Kasa</v>
      </c>
      <c r="O121" s="73">
        <f>IF($C121="","",DATE(YEAR($C121),MONTH($C121),1))</f>
        <v>46113</v>
      </c>
      <c r="P121" s="65" t="str">
        <f ca="1">IF($C121="","",IF(AND($D121="Gelir",$L121&lt;&gt;"",$T121=""),"TANIMSIZ BORÇLU",IF($T121&lt;&gt;"",IF(OR($E121="",$G121&lt;=0),"EKSİK",IF($I121="Evet","TAHAKKUK NAKİT OLAMAZ",IF($C121&gt;TODAY(),"İLERİ TARİH","TAHAKKUK"))),IF(AND($D121&lt;&gt;"",$E121&lt;&gt;"",$G121&gt;0,$H121&lt;&gt;"",$I121&lt;&gt;""),IF($C121&gt;TODAY(),"İLERİ TARİH",IF(COUNTIF($W$7:$W$3001,$W121)&gt;1,"MÜKERRER?",IF($AD121&gt;0,"KAPALI DÖNEM",IF($I121="Hayır","ÖDENECEK","UYGUN")))),"EKSİK"))))</f>
        <v>UYGUN</v>
      </c>
      <c r="Q121" s="2"/>
      <c r="R121" s="2"/>
      <c r="S121" s="1" t="str">
        <f t="shared" si="5"/>
        <v/>
      </c>
      <c r="T121" s="1" t="str">
        <f>IF(OR($C121="",$D121&lt;&gt;"Gelir",$L121=""),"",IFERROR(INDEX(MUSTERILER!$B$7:$B$156,MATCH($S121,MUSTERILER!$T$7:$T$156,0)),""))</f>
        <v/>
      </c>
      <c r="U121" s="1" t="str">
        <f>IF($T121="","",$T121&amp;"|"&amp;COUNTIFS($T$7:$T121,$T121))</f>
        <v/>
      </c>
      <c r="V121" s="1">
        <f t="shared" si="6"/>
        <v>0</v>
      </c>
      <c r="W121" s="1" t="str">
        <f t="shared" si="7"/>
        <v>Gider|Telefon / İnternet|46132|630|İnternet Ödemesi|</v>
      </c>
      <c r="X121" s="1"/>
      <c r="Y121" s="1"/>
      <c r="Z121" s="1"/>
      <c r="AA121" s="1"/>
      <c r="AB121" s="1"/>
      <c r="AC121" s="1"/>
      <c r="AD121" s="1">
        <f>IF($C121="",0,SUMPRODUCT((AY_SONU!$O$7:$O$42="Evet")*(AY_SONU!$B$7:$B$42=DATE(YEAR($C121),MONTH($C121),1))))</f>
        <v>0</v>
      </c>
      <c r="AE121" s="1" t="str">
        <f>IF($E121="","",$E121&amp;"|"&amp;COUNTIFS($E$7:$E121,$E121))</f>
        <v>Telefon / İnternet|10</v>
      </c>
    </row>
    <row r="122" spans="1:31" ht="18" customHeight="1" x14ac:dyDescent="0.3">
      <c r="A122" s="2"/>
      <c r="B122" s="65" t="str">
        <f>IF($C122="","","GG"&amp;TEXT(ROW()-6,"00000"))</f>
        <v>GG00116</v>
      </c>
      <c r="C122" s="66">
        <v>46132</v>
      </c>
      <c r="D122" s="60" t="s">
        <v>769</v>
      </c>
      <c r="E122" s="61" t="s">
        <v>788</v>
      </c>
      <c r="F122" s="61" t="s">
        <v>789</v>
      </c>
      <c r="G122" s="67">
        <v>2000</v>
      </c>
      <c r="H122" s="60" t="s">
        <v>772</v>
      </c>
      <c r="I122" s="60" t="s">
        <v>773</v>
      </c>
      <c r="J122" s="61"/>
      <c r="K122" s="61"/>
      <c r="L122" s="60"/>
      <c r="M122" s="74" t="str">
        <f>IF($C122="","",IF($D122="Gider",$E122,IF($L122&lt;&gt;"",$L122,$H122)))</f>
        <v>Ulaşım</v>
      </c>
      <c r="N122" s="74" t="str">
        <f>IF($C122="","",IF($D122="Gider",$H122,$E122))</f>
        <v>Merkez Kasa</v>
      </c>
      <c r="O122" s="73">
        <f>IF($C122="","",DATE(YEAR($C122),MONTH($C122),1))</f>
        <v>46113</v>
      </c>
      <c r="P122" s="65" t="str">
        <f ca="1">IF($C122="","",IF(AND($D122="Gelir",$L122&lt;&gt;"",$T122=""),"TANIMSIZ BORÇLU",IF($T122&lt;&gt;"",IF(OR($E122="",$G122&lt;=0),"EKSİK",IF($I122="Evet","TAHAKKUK NAKİT OLAMAZ",IF($C122&gt;TODAY(),"İLERİ TARİH","TAHAKKUK"))),IF(AND($D122&lt;&gt;"",$E122&lt;&gt;"",$G122&gt;0,$H122&lt;&gt;"",$I122&lt;&gt;""),IF($C122&gt;TODAY(),"İLERİ TARİH",IF(COUNTIF($W$7:$W$3001,$W122)&gt;1,"MÜKERRER?",IF($AD122&gt;0,"KAPALI DÖNEM",IF($I122="Hayır","ÖDENECEK","UYGUN")))),"EKSİK"))))</f>
        <v>UYGUN</v>
      </c>
      <c r="Q122" s="2"/>
      <c r="R122" s="2"/>
      <c r="S122" s="1" t="str">
        <f t="shared" si="5"/>
        <v/>
      </c>
      <c r="T122" s="1" t="str">
        <f>IF(OR($C122="",$D122&lt;&gt;"Gelir",$L122=""),"",IFERROR(INDEX(MUSTERILER!$B$7:$B$156,MATCH($S122,MUSTERILER!$T$7:$T$156,0)),""))</f>
        <v/>
      </c>
      <c r="U122" s="1" t="str">
        <f>IF($T122="","",$T122&amp;"|"&amp;COUNTIFS($T$7:$T122,$T122))</f>
        <v/>
      </c>
      <c r="V122" s="1">
        <f t="shared" si="6"/>
        <v>0</v>
      </c>
      <c r="W122" s="1" t="str">
        <f t="shared" si="7"/>
        <v>Gider|Ulaşım|46132|2000|Araç Yakıt Alımı|</v>
      </c>
      <c r="X122" s="1"/>
      <c r="Y122" s="1"/>
      <c r="Z122" s="1"/>
      <c r="AA122" s="1"/>
      <c r="AB122" s="1"/>
      <c r="AC122" s="1"/>
      <c r="AD122" s="1">
        <f>IF($C122="",0,SUMPRODUCT((AY_SONU!$O$7:$O$42="Evet")*(AY_SONU!$B$7:$B$42=DATE(YEAR($C122),MONTH($C122),1))))</f>
        <v>0</v>
      </c>
      <c r="AE122" s="1" t="str">
        <f>IF($E122="","",$E122&amp;"|"&amp;COUNTIFS($E$7:$E122,$E122))</f>
        <v>Ulaşım|11</v>
      </c>
    </row>
    <row r="123" spans="1:31" ht="18" customHeight="1" x14ac:dyDescent="0.3">
      <c r="A123" s="2"/>
      <c r="B123" s="65" t="str">
        <f>IF($C123="","","GG"&amp;TEXT(ROW()-6,"00000"))</f>
        <v>GG00117</v>
      </c>
      <c r="C123" s="66">
        <v>46137</v>
      </c>
      <c r="D123" s="60" t="s">
        <v>769</v>
      </c>
      <c r="E123" s="61" t="s">
        <v>790</v>
      </c>
      <c r="F123" s="61" t="s">
        <v>890</v>
      </c>
      <c r="G123" s="67">
        <v>270</v>
      </c>
      <c r="H123" s="60" t="s">
        <v>772</v>
      </c>
      <c r="I123" s="60" t="s">
        <v>773</v>
      </c>
      <c r="J123" s="61"/>
      <c r="K123" s="61"/>
      <c r="L123" s="60"/>
      <c r="M123" s="74" t="str">
        <f>IF($C123="","",IF($D123="Gider",$E123,IF($L123&lt;&gt;"",$L123,$H123)))</f>
        <v>Temsil / Ağırlama</v>
      </c>
      <c r="N123" s="74" t="str">
        <f>IF($C123="","",IF($D123="Gider",$H123,$E123))</f>
        <v>Merkez Kasa</v>
      </c>
      <c r="O123" s="73">
        <f>IF($C123="","",DATE(YEAR($C123),MONTH($C123),1))</f>
        <v>46113</v>
      </c>
      <c r="P123" s="65" t="str">
        <f ca="1">IF($C123="","",IF(AND($D123="Gelir",$L123&lt;&gt;"",$T123=""),"TANIMSIZ BORÇLU",IF($T123&lt;&gt;"",IF(OR($E123="",$G123&lt;=0),"EKSİK",IF($I123="Evet","TAHAKKUK NAKİT OLAMAZ",IF($C123&gt;TODAY(),"İLERİ TARİH","TAHAKKUK"))),IF(AND($D123&lt;&gt;"",$E123&lt;&gt;"",$G123&gt;0,$H123&lt;&gt;"",$I123&lt;&gt;""),IF($C123&gt;TODAY(),"İLERİ TARİH",IF(COUNTIF($W$7:$W$3001,$W123)&gt;1,"MÜKERRER?",IF($AD123&gt;0,"KAPALI DÖNEM",IF($I123="Hayır","ÖDENECEK","UYGUN")))),"EKSİK"))))</f>
        <v>UYGUN</v>
      </c>
      <c r="Q123" s="2"/>
      <c r="R123" s="2"/>
      <c r="S123" s="1" t="str">
        <f t="shared" si="5"/>
        <v/>
      </c>
      <c r="T123" s="1" t="str">
        <f>IF(OR($C123="",$D123&lt;&gt;"Gelir",$L123=""),"",IFERROR(INDEX(MUSTERILER!$B$7:$B$156,MATCH($S123,MUSTERILER!$T$7:$T$156,0)),""))</f>
        <v/>
      </c>
      <c r="U123" s="1" t="str">
        <f>IF($T123="","",$T123&amp;"|"&amp;COUNTIFS($T$7:$T123,$T123))</f>
        <v/>
      </c>
      <c r="V123" s="1">
        <f t="shared" si="6"/>
        <v>0</v>
      </c>
      <c r="W123" s="1" t="str">
        <f t="shared" si="7"/>
        <v>Gider|Temsil / Ağırlama|46137|270|Ofis Gıda Temizlik Alışverişi|</v>
      </c>
      <c r="X123" s="1"/>
      <c r="Y123" s="1"/>
      <c r="Z123" s="1"/>
      <c r="AA123" s="1"/>
      <c r="AB123" s="1"/>
      <c r="AC123" s="1"/>
      <c r="AD123" s="1">
        <f>IF($C123="",0,SUMPRODUCT((AY_SONU!$O$7:$O$42="Evet")*(AY_SONU!$B$7:$B$42=DATE(YEAR($C123),MONTH($C123),1))))</f>
        <v>0</v>
      </c>
      <c r="AE123" s="1" t="str">
        <f>IF($E123="","",$E123&amp;"|"&amp;COUNTIFS($E$7:$E123,$E123))</f>
        <v>Temsil / Ağırlama|16</v>
      </c>
    </row>
    <row r="124" spans="1:31" ht="18" customHeight="1" x14ac:dyDescent="0.3">
      <c r="A124" s="2"/>
      <c r="B124" s="65" t="str">
        <f>IF($C124="","","GG"&amp;TEXT(ROW()-6,"00000"))</f>
        <v>GG00118</v>
      </c>
      <c r="C124" s="66">
        <v>46139</v>
      </c>
      <c r="D124" s="60" t="s">
        <v>769</v>
      </c>
      <c r="E124" s="61" t="s">
        <v>798</v>
      </c>
      <c r="F124" s="61" t="s">
        <v>891</v>
      </c>
      <c r="G124" s="67">
        <v>20000</v>
      </c>
      <c r="H124" s="60" t="s">
        <v>772</v>
      </c>
      <c r="I124" s="60" t="s">
        <v>773</v>
      </c>
      <c r="J124" s="61"/>
      <c r="K124" s="61"/>
      <c r="L124" s="60"/>
      <c r="M124" s="74" t="str">
        <f>IF($C124="","",IF($D124="Gider",$E124,IF($L124&lt;&gt;"",$L124,$H124)))</f>
        <v>Personel</v>
      </c>
      <c r="N124" s="74" t="str">
        <f>IF($C124="","",IF($D124="Gider",$H124,$E124))</f>
        <v>Merkez Kasa</v>
      </c>
      <c r="O124" s="73">
        <f>IF($C124="","",DATE(YEAR($C124),MONTH($C124),1))</f>
        <v>46113</v>
      </c>
      <c r="P124" s="65" t="str">
        <f ca="1">IF($C124="","",IF(AND($D124="Gelir",$L124&lt;&gt;"",$T124=""),"TANIMSIZ BORÇLU",IF($T124&lt;&gt;"",IF(OR($E124="",$G124&lt;=0),"EKSİK",IF($I124="Evet","TAHAKKUK NAKİT OLAMAZ",IF($C124&gt;TODAY(),"İLERİ TARİH","TAHAKKUK"))),IF(AND($D124&lt;&gt;"",$E124&lt;&gt;"",$G124&gt;0,$H124&lt;&gt;"",$I124&lt;&gt;""),IF($C124&gt;TODAY(),"İLERİ TARİH",IF(COUNTIF($W$7:$W$3001,$W124)&gt;1,"MÜKERRER?",IF($AD124&gt;0,"KAPALI DÖNEM",IF($I124="Hayır","ÖDENECEK","UYGUN")))),"EKSİK"))))</f>
        <v>UYGUN</v>
      </c>
      <c r="Q124" s="2"/>
      <c r="R124" s="2"/>
      <c r="S124" s="1" t="str">
        <f t="shared" si="5"/>
        <v/>
      </c>
      <c r="T124" s="1" t="str">
        <f>IF(OR($C124="",$D124&lt;&gt;"Gelir",$L124=""),"",IFERROR(INDEX(MUSTERILER!$B$7:$B$156,MATCH($S124,MUSTERILER!$T$7:$T$156,0)),""))</f>
        <v/>
      </c>
      <c r="U124" s="1" t="str">
        <f>IF($T124="","",$T124&amp;"|"&amp;COUNTIFS($T$7:$T124,$T124))</f>
        <v/>
      </c>
      <c r="V124" s="1">
        <f t="shared" si="6"/>
        <v>0</v>
      </c>
      <c r="W124" s="1" t="str">
        <f t="shared" si="7"/>
        <v>Gider|Personel|46139|20000|Zeynep Hanım Avans|</v>
      </c>
      <c r="X124" s="1"/>
      <c r="Y124" s="1"/>
      <c r="Z124" s="1"/>
      <c r="AA124" s="1"/>
      <c r="AB124" s="1"/>
      <c r="AC124" s="1"/>
      <c r="AD124" s="1">
        <f>IF($C124="",0,SUMPRODUCT((AY_SONU!$O$7:$O$42="Evet")*(AY_SONU!$B$7:$B$42=DATE(YEAR($C124),MONTH($C124),1))))</f>
        <v>0</v>
      </c>
      <c r="AE124" s="1" t="str">
        <f>IF($E124="","",$E124&amp;"|"&amp;COUNTIFS($E$7:$E124,$E124))</f>
        <v>Personel|10</v>
      </c>
    </row>
    <row r="125" spans="1:31" ht="18" customHeight="1" x14ac:dyDescent="0.3">
      <c r="A125" s="2"/>
      <c r="B125" s="65" t="str">
        <f>IF($C125="","","GG"&amp;TEXT(ROW()-6,"00000"))</f>
        <v>GG00119</v>
      </c>
      <c r="C125" s="66">
        <v>46139</v>
      </c>
      <c r="D125" s="60" t="s">
        <v>769</v>
      </c>
      <c r="E125" s="61" t="s">
        <v>801</v>
      </c>
      <c r="F125" s="61" t="s">
        <v>859</v>
      </c>
      <c r="G125" s="67">
        <v>11810</v>
      </c>
      <c r="H125" s="60" t="s">
        <v>772</v>
      </c>
      <c r="I125" s="60" t="s">
        <v>773</v>
      </c>
      <c r="J125" s="61"/>
      <c r="K125" s="61"/>
      <c r="L125" s="60"/>
      <c r="M125" s="74" t="str">
        <f>IF($C125="","",IF($D125="Gider",$E125,IF($L125&lt;&gt;"",$L125,$H125)))</f>
        <v>Vergi / Harç</v>
      </c>
      <c r="N125" s="74" t="str">
        <f>IF($C125="","",IF($D125="Gider",$H125,$E125))</f>
        <v>Merkez Kasa</v>
      </c>
      <c r="O125" s="73">
        <f>IF($C125="","",DATE(YEAR($C125),MONTH($C125),1))</f>
        <v>46113</v>
      </c>
      <c r="P125" s="65" t="str">
        <f ca="1">IF($C125="","",IF(AND($D125="Gelir",$L125&lt;&gt;"",$T125=""),"TANIMSIZ BORÇLU",IF($T125&lt;&gt;"",IF(OR($E125="",$G125&lt;=0),"EKSİK",IF($I125="Evet","TAHAKKUK NAKİT OLAMAZ",IF($C125&gt;TODAY(),"İLERİ TARİH","TAHAKKUK"))),IF(AND($D125&lt;&gt;"",$E125&lt;&gt;"",$G125&gt;0,$H125&lt;&gt;"",$I125&lt;&gt;""),IF($C125&gt;TODAY(),"İLERİ TARİH",IF(COUNTIF($W$7:$W$3001,$W125)&gt;1,"MÜKERRER?",IF($AD125&gt;0,"KAPALI DÖNEM",IF($I125="Hayır","ÖDENECEK","UYGUN")))),"EKSİK"))))</f>
        <v>UYGUN</v>
      </c>
      <c r="Q125" s="2"/>
      <c r="R125" s="2"/>
      <c r="S125" s="1" t="str">
        <f t="shared" si="5"/>
        <v/>
      </c>
      <c r="T125" s="1" t="str">
        <f>IF(OR($C125="",$D125&lt;&gt;"Gelir",$L125=""),"",IFERROR(INDEX(MUSTERILER!$B$7:$B$156,MATCH($S125,MUSTERILER!$T$7:$T$156,0)),""))</f>
        <v/>
      </c>
      <c r="U125" s="1" t="str">
        <f>IF($T125="","",$T125&amp;"|"&amp;COUNTIFS($T$7:$T125,$T125))</f>
        <v/>
      </c>
      <c r="V125" s="1">
        <f t="shared" si="6"/>
        <v>0</v>
      </c>
      <c r="W125" s="1" t="str">
        <f t="shared" si="7"/>
        <v>Gider|Vergi / Harç|46139|11810|Bağkur Ödemesi|</v>
      </c>
      <c r="X125" s="1"/>
      <c r="Y125" s="1"/>
      <c r="Z125" s="1"/>
      <c r="AA125" s="1"/>
      <c r="AB125" s="1"/>
      <c r="AC125" s="1"/>
      <c r="AD125" s="1">
        <f>IF($C125="",0,SUMPRODUCT((AY_SONU!$O$7:$O$42="Evet")*(AY_SONU!$B$7:$B$42=DATE(YEAR($C125),MONTH($C125),1))))</f>
        <v>0</v>
      </c>
      <c r="AE125" s="1" t="str">
        <f>IF($E125="","",$E125&amp;"|"&amp;COUNTIFS($E$7:$E125,$E125))</f>
        <v>Vergi / Harç|10</v>
      </c>
    </row>
    <row r="126" spans="1:31" ht="18" customHeight="1" x14ac:dyDescent="0.3">
      <c r="A126" s="2"/>
      <c r="B126" s="65" t="str">
        <f>IF($C126="","","GG"&amp;TEXT(ROW()-6,"00000"))</f>
        <v>GG00120</v>
      </c>
      <c r="C126" s="66">
        <v>46142</v>
      </c>
      <c r="D126" s="60" t="s">
        <v>769</v>
      </c>
      <c r="E126" s="61" t="s">
        <v>798</v>
      </c>
      <c r="F126" s="61" t="s">
        <v>892</v>
      </c>
      <c r="G126" s="67">
        <v>60000</v>
      </c>
      <c r="H126" s="60" t="s">
        <v>772</v>
      </c>
      <c r="I126" s="60" t="s">
        <v>773</v>
      </c>
      <c r="J126" s="61"/>
      <c r="K126" s="61"/>
      <c r="L126" s="60"/>
      <c r="M126" s="74" t="str">
        <f>IF($C126="","",IF($D126="Gider",$E126,IF($L126&lt;&gt;"",$L126,$H126)))</f>
        <v>Personel</v>
      </c>
      <c r="N126" s="74" t="str">
        <f>IF($C126="","",IF($D126="Gider",$H126,$E126))</f>
        <v>Merkez Kasa</v>
      </c>
      <c r="O126" s="73">
        <f>IF($C126="","",DATE(YEAR($C126),MONTH($C126),1))</f>
        <v>46113</v>
      </c>
      <c r="P126" s="65" t="str">
        <f ca="1">IF($C126="","",IF(AND($D126="Gelir",$L126&lt;&gt;"",$T126=""),"TANIMSIZ BORÇLU",IF($T126&lt;&gt;"",IF(OR($E126="",$G126&lt;=0),"EKSİK",IF($I126="Evet","TAHAKKUK NAKİT OLAMAZ",IF($C126&gt;TODAY(),"İLERİ TARİH","TAHAKKUK"))),IF(AND($D126&lt;&gt;"",$E126&lt;&gt;"",$G126&gt;0,$H126&lt;&gt;"",$I126&lt;&gt;""),IF($C126&gt;TODAY(),"İLERİ TARİH",IF(COUNTIF($W$7:$W$3001,$W126)&gt;1,"MÜKERRER?",IF($AD126&gt;0,"KAPALI DÖNEM",IF($I126="Hayır","ÖDENECEK","UYGUN")))),"EKSİK"))))</f>
        <v>UYGUN</v>
      </c>
      <c r="Q126" s="2"/>
      <c r="R126" s="2"/>
      <c r="S126" s="1" t="str">
        <f t="shared" si="5"/>
        <v/>
      </c>
      <c r="T126" s="1" t="str">
        <f>IF(OR($C126="",$D126&lt;&gt;"Gelir",$L126=""),"",IFERROR(INDEX(MUSTERILER!$B$7:$B$156,MATCH($S126,MUSTERILER!$T$7:$T$156,0)),""))</f>
        <v/>
      </c>
      <c r="U126" s="1" t="str">
        <f>IF($T126="","",$T126&amp;"|"&amp;COUNTIFS($T$7:$T126,$T126))</f>
        <v/>
      </c>
      <c r="V126" s="1">
        <f t="shared" si="6"/>
        <v>0</v>
      </c>
      <c r="W126" s="1" t="str">
        <f t="shared" si="7"/>
        <v>Gider|Personel|46142|60000|Zeynep Hanim Nisan Maaşı|</v>
      </c>
      <c r="X126" s="1"/>
      <c r="Y126" s="1"/>
      <c r="Z126" s="1"/>
      <c r="AA126" s="1"/>
      <c r="AB126" s="1"/>
      <c r="AC126" s="1"/>
      <c r="AD126" s="1">
        <f>IF($C126="",0,SUMPRODUCT((AY_SONU!$O$7:$O$42="Evet")*(AY_SONU!$B$7:$B$42=DATE(YEAR($C126),MONTH($C126),1))))</f>
        <v>0</v>
      </c>
      <c r="AE126" s="1" t="str">
        <f>IF($E126="","",$E126&amp;"|"&amp;COUNTIFS($E$7:$E126,$E126))</f>
        <v>Personel|11</v>
      </c>
    </row>
    <row r="127" spans="1:31" ht="18" customHeight="1" x14ac:dyDescent="0.3">
      <c r="A127" s="2"/>
      <c r="B127" s="65" t="str">
        <f>IF($C127="","","GG"&amp;TEXT(ROW()-6,"00000"))</f>
        <v>GG00121</v>
      </c>
      <c r="C127" s="66">
        <v>46142</v>
      </c>
      <c r="D127" s="60" t="s">
        <v>769</v>
      </c>
      <c r="E127" s="61" t="s">
        <v>788</v>
      </c>
      <c r="F127" s="61" t="s">
        <v>893</v>
      </c>
      <c r="G127" s="67">
        <v>2000</v>
      </c>
      <c r="H127" s="60" t="s">
        <v>772</v>
      </c>
      <c r="I127" s="60" t="s">
        <v>773</v>
      </c>
      <c r="J127" s="61"/>
      <c r="K127" s="61"/>
      <c r="L127" s="60"/>
      <c r="M127" s="74" t="str">
        <f>IF($C127="","",IF($D127="Gider",$E127,IF($L127&lt;&gt;"",$L127,$H127)))</f>
        <v>Ulaşım</v>
      </c>
      <c r="N127" s="74" t="str">
        <f>IF($C127="","",IF($D127="Gider",$H127,$E127))</f>
        <v>Merkez Kasa</v>
      </c>
      <c r="O127" s="73">
        <f>IF($C127="","",DATE(YEAR($C127),MONTH($C127),1))</f>
        <v>46113</v>
      </c>
      <c r="P127" s="65" t="str">
        <f ca="1">IF($C127="","",IF(AND($D127="Gelir",$L127&lt;&gt;"",$T127=""),"TANIMSIZ BORÇLU",IF($T127&lt;&gt;"",IF(OR($E127="",$G127&lt;=0),"EKSİK",IF($I127="Evet","TAHAKKUK NAKİT OLAMAZ",IF($C127&gt;TODAY(),"İLERİ TARİH","TAHAKKUK"))),IF(AND($D127&lt;&gt;"",$E127&lt;&gt;"",$G127&gt;0,$H127&lt;&gt;"",$I127&lt;&gt;""),IF($C127&gt;TODAY(),"İLERİ TARİH",IF(COUNTIF($W$7:$W$3001,$W127)&gt;1,"MÜKERRER?",IF($AD127&gt;0,"KAPALI DÖNEM",IF($I127="Hayır","ÖDENECEK","UYGUN")))),"EKSİK"))))</f>
        <v>UYGUN</v>
      </c>
      <c r="Q127" s="2"/>
      <c r="R127" s="2"/>
      <c r="S127" s="1" t="str">
        <f t="shared" si="5"/>
        <v/>
      </c>
      <c r="T127" s="1" t="str">
        <f>IF(OR($C127="",$D127&lt;&gt;"Gelir",$L127=""),"",IFERROR(INDEX(MUSTERILER!$B$7:$B$156,MATCH($S127,MUSTERILER!$T$7:$T$156,0)),""))</f>
        <v/>
      </c>
      <c r="U127" s="1" t="str">
        <f>IF($T127="","",$T127&amp;"|"&amp;COUNTIFS($T$7:$T127,$T127))</f>
        <v/>
      </c>
      <c r="V127" s="1">
        <f t="shared" si="6"/>
        <v>0</v>
      </c>
      <c r="W127" s="1" t="str">
        <f t="shared" si="7"/>
        <v>Gider|Ulaşım|46142|2000|Araç Benzin|</v>
      </c>
      <c r="X127" s="1"/>
      <c r="Y127" s="1"/>
      <c r="Z127" s="1"/>
      <c r="AA127" s="1"/>
      <c r="AB127" s="1"/>
      <c r="AC127" s="1"/>
      <c r="AD127" s="1">
        <f>IF($C127="",0,SUMPRODUCT((AY_SONU!$O$7:$O$42="Evet")*(AY_SONU!$B$7:$B$42=DATE(YEAR($C127),MONTH($C127),1))))</f>
        <v>0</v>
      </c>
      <c r="AE127" s="1" t="str">
        <f>IF($E127="","",$E127&amp;"|"&amp;COUNTIFS($E$7:$E127,$E127))</f>
        <v>Ulaşım|12</v>
      </c>
    </row>
    <row r="128" spans="1:31" ht="18" customHeight="1" x14ac:dyDescent="0.3">
      <c r="A128" s="2"/>
      <c r="B128" s="65" t="str">
        <f>IF($C128="","","GG"&amp;TEXT(ROW()-6,"00000"))</f>
        <v>GG00122</v>
      </c>
      <c r="C128" s="66">
        <v>46142</v>
      </c>
      <c r="D128" s="60" t="s">
        <v>795</v>
      </c>
      <c r="E128" s="61" t="s">
        <v>796</v>
      </c>
      <c r="F128" s="61" t="s">
        <v>894</v>
      </c>
      <c r="G128" s="67">
        <v>30400</v>
      </c>
      <c r="H128" s="60" t="s">
        <v>772</v>
      </c>
      <c r="I128" s="60" t="s">
        <v>773</v>
      </c>
      <c r="J128" s="61"/>
      <c r="K128" s="61"/>
      <c r="L128" s="60"/>
      <c r="M128" s="74" t="str">
        <f>IF($C128="","",IF($D128="Gider",$E128,IF($L128&lt;&gt;"",$L128,$H128)))</f>
        <v>Merkez Kasa</v>
      </c>
      <c r="N128" s="74" t="str">
        <f>IF($C128="","",IF($D128="Gider",$H128,$E128))</f>
        <v>Diğer Gelirler</v>
      </c>
      <c r="O128" s="73">
        <f>IF($C128="","",DATE(YEAR($C128),MONTH($C128),1))</f>
        <v>46113</v>
      </c>
      <c r="P128" s="65" t="str">
        <f ca="1">IF($C128="","",IF(AND($D128="Gelir",$L128&lt;&gt;"",$T128=""),"TANIMSIZ BORÇLU",IF($T128&lt;&gt;"",IF(OR($E128="",$G128&lt;=0),"EKSİK",IF($I128="Evet","TAHAKKUK NAKİT OLAMAZ",IF($C128&gt;TODAY(),"İLERİ TARİH","TAHAKKUK"))),IF(AND($D128&lt;&gt;"",$E128&lt;&gt;"",$G128&gt;0,$H128&lt;&gt;"",$I128&lt;&gt;""),IF($C128&gt;TODAY(),"İLERİ TARİH",IF(COUNTIF($W$7:$W$3001,$W128)&gt;1,"MÜKERRER?",IF($AD128&gt;0,"KAPALI DÖNEM",IF($I128="Hayır","ÖDENECEK","UYGUN")))),"EKSİK"))))</f>
        <v>UYGUN</v>
      </c>
      <c r="Q128" s="2"/>
      <c r="R128" s="2"/>
      <c r="S128" s="1" t="str">
        <f t="shared" si="5"/>
        <v/>
      </c>
      <c r="T128" s="1" t="str">
        <f>IF(OR($C128="",$D128&lt;&gt;"Gelir",$L128=""),"",IFERROR(INDEX(MUSTERILER!$B$7:$B$156,MATCH($S128,MUSTERILER!$T$7:$T$156,0)),""))</f>
        <v/>
      </c>
      <c r="U128" s="1" t="str">
        <f>IF($T128="","",$T128&amp;"|"&amp;COUNTIFS($T$7:$T128,$T128))</f>
        <v/>
      </c>
      <c r="V128" s="1">
        <f t="shared" si="6"/>
        <v>0</v>
      </c>
      <c r="W128" s="1" t="str">
        <f t="shared" si="7"/>
        <v>Gelir|Diğer Gelirler|46142|30400|ALI KILIC 2025 YILI GELİR VERGİSİ İADE|</v>
      </c>
      <c r="X128" s="1"/>
      <c r="Y128" s="1"/>
      <c r="Z128" s="1"/>
      <c r="AA128" s="1"/>
      <c r="AB128" s="1"/>
      <c r="AC128" s="1"/>
      <c r="AD128" s="1">
        <f>IF($C128="",0,SUMPRODUCT((AY_SONU!$O$7:$O$42="Evet")*(AY_SONU!$B$7:$B$42=DATE(YEAR($C128),MONTH($C128),1))))</f>
        <v>0</v>
      </c>
      <c r="AE128" s="1" t="str">
        <f>IF($E128="","",$E128&amp;"|"&amp;COUNTIFS($E$7:$E128,$E128))</f>
        <v>Diğer Gelirler|7</v>
      </c>
    </row>
    <row r="129" spans="1:31" ht="18" customHeight="1" x14ac:dyDescent="0.3">
      <c r="A129" s="2"/>
      <c r="B129" s="65" t="str">
        <f>IF($C129="","","GG"&amp;TEXT(ROW()-6,"00000"))</f>
        <v>GG00123</v>
      </c>
      <c r="C129" s="66">
        <v>46143</v>
      </c>
      <c r="D129" s="60" t="s">
        <v>769</v>
      </c>
      <c r="E129" s="61" t="s">
        <v>793</v>
      </c>
      <c r="F129" s="61" t="s">
        <v>1317</v>
      </c>
      <c r="G129" s="67">
        <v>2500</v>
      </c>
      <c r="H129" s="60" t="s">
        <v>772</v>
      </c>
      <c r="I129" s="60" t="s">
        <v>773</v>
      </c>
      <c r="J129" s="61"/>
      <c r="K129" s="61"/>
      <c r="L129" s="60"/>
      <c r="M129" s="74" t="str">
        <f>IF($C129="","",IF($D129="Gider",$E129,IF($L129&lt;&gt;"",$L129,$H129)))</f>
        <v>Mehmet Ali Kartal</v>
      </c>
      <c r="N129" s="74" t="str">
        <f>IF($C129="","",IF($D129="Gider",$H129,$E129))</f>
        <v>Merkez Kasa</v>
      </c>
      <c r="O129" s="73">
        <f>IF($C129="","",DATE(YEAR($C129),MONTH($C129),1))</f>
        <v>46143</v>
      </c>
      <c r="P129" s="65" t="str">
        <f ca="1">IF($C129="","",IF(AND($D129="Gelir",$L129&lt;&gt;"",$T129=""),"TANIMSIZ BORÇLU",IF($T129&lt;&gt;"",IF(OR($E129="",$G129&lt;=0),"EKSİK",IF($I129="Evet","TAHAKKUK NAKİT OLAMAZ",IF($C129&gt;TODAY(),"İLERİ TARİH","TAHAKKUK"))),IF(AND($D129&lt;&gt;"",$E129&lt;&gt;"",$G129&gt;0,$H129&lt;&gt;"",$I129&lt;&gt;""),IF($C129&gt;TODAY(),"İLERİ TARİH",IF(COUNTIF($W$7:$W$3001,$W129)&gt;1,"MÜKERRER?",IF($AD129&gt;0,"KAPALI DÖNEM",IF($I129="Hayır","ÖDENECEK","UYGUN")))),"EKSİK"))))</f>
        <v>UYGUN</v>
      </c>
      <c r="Q129" s="2"/>
      <c r="R129" s="2"/>
      <c r="S129" s="1" t="str">
        <f t="shared" si="5"/>
        <v/>
      </c>
      <c r="T129" s="1" t="str">
        <f>IF(OR($C129="",$D129&lt;&gt;"Gelir",$L129=""),"",IFERROR(INDEX(MUSTERILER!$B$7:$B$156,MATCH($S129,MUSTERILER!$T$7:$T$156,0)),""))</f>
        <v/>
      </c>
      <c r="U129" s="1" t="str">
        <f>IF($T129="","",$T129&amp;"|"&amp;COUNTIFS($T$7:$T129,$T129))</f>
        <v/>
      </c>
      <c r="V129" s="1">
        <f t="shared" si="6"/>
        <v>0</v>
      </c>
      <c r="W129" s="1" t="str">
        <f t="shared" si="7"/>
        <v>Gider|Mehmet Ali Kartal|46143|2500|CEREN DEMİRCİ SGK|</v>
      </c>
      <c r="X129" s="1"/>
      <c r="Y129" s="1"/>
      <c r="Z129" s="1"/>
      <c r="AA129" s="1"/>
      <c r="AB129" s="1"/>
      <c r="AC129" s="1"/>
      <c r="AD129" s="1">
        <f>IF($C129="",0,SUMPRODUCT((AY_SONU!$O$7:$O$42="Evet")*(AY_SONU!$B$7:$B$42=DATE(YEAR($C129),MONTH($C129),1))))</f>
        <v>0</v>
      </c>
      <c r="AE129" s="1" t="str">
        <f>IF($E129="","",$E129&amp;"|"&amp;COUNTIFS($E$7:$E129,$E129))</f>
        <v>Mehmet Ali Kartal|4</v>
      </c>
    </row>
    <row r="130" spans="1:31" ht="18" customHeight="1" x14ac:dyDescent="0.3">
      <c r="A130" s="2"/>
      <c r="B130" s="65" t="str">
        <f>IF($C130="","","GG"&amp;TEXT(ROW()-6,"00000"))</f>
        <v>GG00124</v>
      </c>
      <c r="C130" s="66">
        <v>46144</v>
      </c>
      <c r="D130" s="60" t="s">
        <v>769</v>
      </c>
      <c r="E130" s="61" t="s">
        <v>788</v>
      </c>
      <c r="F130" s="61" t="s">
        <v>895</v>
      </c>
      <c r="G130" s="67">
        <v>1000</v>
      </c>
      <c r="H130" s="60" t="s">
        <v>772</v>
      </c>
      <c r="I130" s="60" t="s">
        <v>773</v>
      </c>
      <c r="J130" s="61"/>
      <c r="K130" s="61"/>
      <c r="L130" s="60"/>
      <c r="M130" s="74" t="str">
        <f>IF($C130="","",IF($D130="Gider",$E130,IF($L130&lt;&gt;"",$L130,$H130)))</f>
        <v>Ulaşım</v>
      </c>
      <c r="N130" s="74" t="str">
        <f>IF($C130="","",IF($D130="Gider",$H130,$E130))</f>
        <v>Merkez Kasa</v>
      </c>
      <c r="O130" s="73">
        <f>IF($C130="","",DATE(YEAR($C130),MONTH($C130),1))</f>
        <v>46143</v>
      </c>
      <c r="P130" s="65" t="str">
        <f ca="1">IF($C130="","",IF(AND($D130="Gelir",$L130&lt;&gt;"",$T130=""),"TANIMSIZ BORÇLU",IF($T130&lt;&gt;"",IF(OR($E130="",$G130&lt;=0),"EKSİK",IF($I130="Evet","TAHAKKUK NAKİT OLAMAZ",IF($C130&gt;TODAY(),"İLERİ TARİH","TAHAKKUK"))),IF(AND($D130&lt;&gt;"",$E130&lt;&gt;"",$G130&gt;0,$H130&lt;&gt;"",$I130&lt;&gt;""),IF($C130&gt;TODAY(),"İLERİ TARİH",IF(COUNTIF($W$7:$W$3001,$W130)&gt;1,"MÜKERRER?",IF($AD130&gt;0,"KAPALI DÖNEM",IF($I130="Hayır","ÖDENECEK","UYGUN")))),"EKSİK"))))</f>
        <v>UYGUN</v>
      </c>
      <c r="Q130" s="2"/>
      <c r="R130" s="2"/>
      <c r="S130" s="1" t="str">
        <f t="shared" si="5"/>
        <v/>
      </c>
      <c r="T130" s="1" t="str">
        <f>IF(OR($C130="",$D130&lt;&gt;"Gelir",$L130=""),"",IFERROR(INDEX(MUSTERILER!$B$7:$B$156,MATCH($S130,MUSTERILER!$T$7:$T$156,0)),""))</f>
        <v/>
      </c>
      <c r="U130" s="1" t="str">
        <f>IF($T130="","",$T130&amp;"|"&amp;COUNTIFS($T$7:$T130,$T130))</f>
        <v/>
      </c>
      <c r="V130" s="1">
        <f t="shared" si="6"/>
        <v>0</v>
      </c>
      <c r="W130" s="1" t="str">
        <f t="shared" si="7"/>
        <v>Gider|Ulaşım|46144|1000|Ömer TAG|</v>
      </c>
      <c r="X130" s="1"/>
      <c r="Y130" s="1"/>
      <c r="Z130" s="1"/>
      <c r="AA130" s="1"/>
      <c r="AB130" s="1"/>
      <c r="AC130" s="1"/>
      <c r="AD130" s="1">
        <f>IF($C130="",0,SUMPRODUCT((AY_SONU!$O$7:$O$42="Evet")*(AY_SONU!$B$7:$B$42=DATE(YEAR($C130),MONTH($C130),1))))</f>
        <v>0</v>
      </c>
      <c r="AE130" s="1" t="str">
        <f>IF($E130="","",$E130&amp;"|"&amp;COUNTIFS($E$7:$E130,$E130))</f>
        <v>Ulaşım|13</v>
      </c>
    </row>
    <row r="131" spans="1:31" ht="18" customHeight="1" x14ac:dyDescent="0.3">
      <c r="A131" s="2"/>
      <c r="B131" s="65" t="str">
        <f>IF($C131="","","GG"&amp;TEXT(ROW()-6,"00000"))</f>
        <v>GG00125</v>
      </c>
      <c r="C131" s="66">
        <v>46144</v>
      </c>
      <c r="D131" s="60" t="s">
        <v>769</v>
      </c>
      <c r="E131" s="61" t="s">
        <v>805</v>
      </c>
      <c r="F131" s="61" t="s">
        <v>896</v>
      </c>
      <c r="G131" s="67">
        <v>14000</v>
      </c>
      <c r="H131" s="60" t="s">
        <v>772</v>
      </c>
      <c r="I131" s="60" t="s">
        <v>773</v>
      </c>
      <c r="J131" s="61"/>
      <c r="K131" s="61"/>
      <c r="L131" s="60"/>
      <c r="M131" s="74" t="str">
        <f>IF($C131="","",IF($D131="Gider",$E131,IF($L131&lt;&gt;"",$L131,$H131)))</f>
        <v>Ofis Kirası</v>
      </c>
      <c r="N131" s="74" t="str">
        <f>IF($C131="","",IF($D131="Gider",$H131,$E131))</f>
        <v>Merkez Kasa</v>
      </c>
      <c r="O131" s="73">
        <f>IF($C131="","",DATE(YEAR($C131),MONTH($C131),1))</f>
        <v>46143</v>
      </c>
      <c r="P131" s="65" t="str">
        <f ca="1">IF($C131="","",IF(AND($D131="Gelir",$L131&lt;&gt;"",$T131=""),"TANIMSIZ BORÇLU",IF($T131&lt;&gt;"",IF(OR($E131="",$G131&lt;=0),"EKSİK",IF($I131="Evet","TAHAKKUK NAKİT OLAMAZ",IF($C131&gt;TODAY(),"İLERİ TARİH","TAHAKKUK"))),IF(AND($D131&lt;&gt;"",$E131&lt;&gt;"",$G131&gt;0,$H131&lt;&gt;"",$I131&lt;&gt;""),IF($C131&gt;TODAY(),"İLERİ TARİH",IF(COUNTIF($W$7:$W$3001,$W131)&gt;1,"MÜKERRER?",IF($AD131&gt;0,"KAPALI DÖNEM",IF($I131="Hayır","ÖDENECEK","UYGUN")))),"EKSİK"))))</f>
        <v>UYGUN</v>
      </c>
      <c r="Q131" s="2"/>
      <c r="R131" s="2"/>
      <c r="S131" s="1" t="str">
        <f t="shared" si="5"/>
        <v/>
      </c>
      <c r="T131" s="1" t="str">
        <f>IF(OR($C131="",$D131&lt;&gt;"Gelir",$L131=""),"",IFERROR(INDEX(MUSTERILER!$B$7:$B$156,MATCH($S131,MUSTERILER!$T$7:$T$156,0)),""))</f>
        <v/>
      </c>
      <c r="U131" s="1" t="str">
        <f>IF($T131="","",$T131&amp;"|"&amp;COUNTIFS($T$7:$T131,$T131))</f>
        <v/>
      </c>
      <c r="V131" s="1">
        <f t="shared" si="6"/>
        <v>0</v>
      </c>
      <c r="W131" s="1" t="str">
        <f t="shared" si="7"/>
        <v>Gider|Ofis Kirası|46144|14000|Haziran Ayı Ofis Kirası|</v>
      </c>
      <c r="X131" s="1"/>
      <c r="Y131" s="1"/>
      <c r="Z131" s="1"/>
      <c r="AA131" s="1"/>
      <c r="AB131" s="1"/>
      <c r="AC131" s="1"/>
      <c r="AD131" s="1">
        <f>IF($C131="",0,SUMPRODUCT((AY_SONU!$O$7:$O$42="Evet")*(AY_SONU!$B$7:$B$42=DATE(YEAR($C131),MONTH($C131),1))))</f>
        <v>0</v>
      </c>
      <c r="AE131" s="1" t="str">
        <f>IF($E131="","",$E131&amp;"|"&amp;COUNTIFS($E$7:$E131,$E131))</f>
        <v>Ofis Kirası|10</v>
      </c>
    </row>
    <row r="132" spans="1:31" ht="18" customHeight="1" x14ac:dyDescent="0.3">
      <c r="A132" s="2"/>
      <c r="B132" s="65" t="str">
        <f>IF($C132="","","GG"&amp;TEXT(ROW()-6,"00000"))</f>
        <v>GG00126</v>
      </c>
      <c r="C132" s="66">
        <v>46144</v>
      </c>
      <c r="D132" s="60" t="s">
        <v>769</v>
      </c>
      <c r="E132" s="61" t="s">
        <v>805</v>
      </c>
      <c r="F132" s="61" t="s">
        <v>897</v>
      </c>
      <c r="G132" s="67">
        <v>2000</v>
      </c>
      <c r="H132" s="60" t="s">
        <v>772</v>
      </c>
      <c r="I132" s="60" t="s">
        <v>773</v>
      </c>
      <c r="J132" s="61"/>
      <c r="K132" s="61"/>
      <c r="L132" s="60"/>
      <c r="M132" s="74" t="str">
        <f>IF($C132="","",IF($D132="Gider",$E132,IF($L132&lt;&gt;"",$L132,$H132)))</f>
        <v>Ofis Kirası</v>
      </c>
      <c r="N132" s="74" t="str">
        <f>IF($C132="","",IF($D132="Gider",$H132,$E132))</f>
        <v>Merkez Kasa</v>
      </c>
      <c r="O132" s="73">
        <f>IF($C132="","",DATE(YEAR($C132),MONTH($C132),1))</f>
        <v>46143</v>
      </c>
      <c r="P132" s="65" t="str">
        <f ca="1">IF($C132="","",IF(AND($D132="Gelir",$L132&lt;&gt;"",$T132=""),"TANIMSIZ BORÇLU",IF($T132&lt;&gt;"",IF(OR($E132="",$G132&lt;=0),"EKSİK",IF($I132="Evet","TAHAKKUK NAKİT OLAMAZ",IF($C132&gt;TODAY(),"İLERİ TARİH","TAHAKKUK"))),IF(AND($D132&lt;&gt;"",$E132&lt;&gt;"",$G132&gt;0,$H132&lt;&gt;"",$I132&lt;&gt;""),IF($C132&gt;TODAY(),"İLERİ TARİH",IF(COUNTIF($W$7:$W$3001,$W132)&gt;1,"MÜKERRER?",IF($AD132&gt;0,"KAPALI DÖNEM",IF($I132="Hayır","ÖDENECEK","UYGUN")))),"EKSİK"))))</f>
        <v>UYGUN</v>
      </c>
      <c r="Q132" s="2"/>
      <c r="R132" s="2"/>
      <c r="S132" s="1" t="str">
        <f t="shared" si="5"/>
        <v/>
      </c>
      <c r="T132" s="1" t="str">
        <f>IF(OR($C132="",$D132&lt;&gt;"Gelir",$L132=""),"",IFERROR(INDEX(MUSTERILER!$B$7:$B$156,MATCH($S132,MUSTERILER!$T$7:$T$156,0)),""))</f>
        <v/>
      </c>
      <c r="U132" s="1" t="str">
        <f>IF($T132="","",$T132&amp;"|"&amp;COUNTIFS($T$7:$T132,$T132))</f>
        <v/>
      </c>
      <c r="V132" s="1">
        <f t="shared" si="6"/>
        <v>0</v>
      </c>
      <c r="W132" s="1" t="str">
        <f t="shared" si="7"/>
        <v>Gider|Ofis Kirası|46144|2000|Haziran Aidat Ödemesi|</v>
      </c>
      <c r="X132" s="1"/>
      <c r="Y132" s="1"/>
      <c r="Z132" s="1"/>
      <c r="AA132" s="1"/>
      <c r="AB132" s="1"/>
      <c r="AC132" s="1"/>
      <c r="AD132" s="1">
        <f>IF($C132="",0,SUMPRODUCT((AY_SONU!$O$7:$O$42="Evet")*(AY_SONU!$B$7:$B$42=DATE(YEAR($C132),MONTH($C132),1))))</f>
        <v>0</v>
      </c>
      <c r="AE132" s="1" t="str">
        <f>IF($E132="","",$E132&amp;"|"&amp;COUNTIFS($E$7:$E132,$E132))</f>
        <v>Ofis Kirası|11</v>
      </c>
    </row>
    <row r="133" spans="1:31" ht="18" customHeight="1" x14ac:dyDescent="0.3">
      <c r="A133" s="2"/>
      <c r="B133" s="65" t="str">
        <f>IF($C133="","","GG"&amp;TEXT(ROW()-6,"00000"))</f>
        <v>GG00127</v>
      </c>
      <c r="C133" s="66">
        <v>46144</v>
      </c>
      <c r="D133" s="60" t="s">
        <v>769</v>
      </c>
      <c r="E133" s="61" t="s">
        <v>788</v>
      </c>
      <c r="F133" s="61" t="s">
        <v>789</v>
      </c>
      <c r="G133" s="67">
        <v>2000</v>
      </c>
      <c r="H133" s="60" t="s">
        <v>772</v>
      </c>
      <c r="I133" s="60" t="s">
        <v>773</v>
      </c>
      <c r="J133" s="61"/>
      <c r="K133" s="61"/>
      <c r="L133" s="60"/>
      <c r="M133" s="74" t="str">
        <f>IF($C133="","",IF($D133="Gider",$E133,IF($L133&lt;&gt;"",$L133,$H133)))</f>
        <v>Ulaşım</v>
      </c>
      <c r="N133" s="74" t="str">
        <f>IF($C133="","",IF($D133="Gider",$H133,$E133))</f>
        <v>Merkez Kasa</v>
      </c>
      <c r="O133" s="73">
        <f>IF($C133="","",DATE(YEAR($C133),MONTH($C133),1))</f>
        <v>46143</v>
      </c>
      <c r="P133" s="65" t="str">
        <f ca="1">IF($C133="","",IF(AND($D133="Gelir",$L133&lt;&gt;"",$T133=""),"TANIMSIZ BORÇLU",IF($T133&lt;&gt;"",IF(OR($E133="",$G133&lt;=0),"EKSİK",IF($I133="Evet","TAHAKKUK NAKİT OLAMAZ",IF($C133&gt;TODAY(),"İLERİ TARİH","TAHAKKUK"))),IF(AND($D133&lt;&gt;"",$E133&lt;&gt;"",$G133&gt;0,$H133&lt;&gt;"",$I133&lt;&gt;""),IF($C133&gt;TODAY(),"İLERİ TARİH",IF(COUNTIF($W$7:$W$3001,$W133)&gt;1,"MÜKERRER?",IF($AD133&gt;0,"KAPALI DÖNEM",IF($I133="Hayır","ÖDENECEK","UYGUN")))),"EKSİK"))))</f>
        <v>UYGUN</v>
      </c>
      <c r="Q133" s="2"/>
      <c r="R133" s="2"/>
      <c r="S133" s="1" t="str">
        <f t="shared" si="5"/>
        <v/>
      </c>
      <c r="T133" s="1" t="str">
        <f>IF(OR($C133="",$D133&lt;&gt;"Gelir",$L133=""),"",IFERROR(INDEX(MUSTERILER!$B$7:$B$156,MATCH($S133,MUSTERILER!$T$7:$T$156,0)),""))</f>
        <v/>
      </c>
      <c r="U133" s="1" t="str">
        <f>IF($T133="","",$T133&amp;"|"&amp;COUNTIFS($T$7:$T133,$T133))</f>
        <v/>
      </c>
      <c r="V133" s="1">
        <f t="shared" si="6"/>
        <v>0</v>
      </c>
      <c r="W133" s="1" t="str">
        <f t="shared" si="7"/>
        <v>Gider|Ulaşım|46144|2000|Araç Yakıt Alımı|</v>
      </c>
      <c r="X133" s="1"/>
      <c r="Y133" s="1"/>
      <c r="Z133" s="1"/>
      <c r="AA133" s="1"/>
      <c r="AB133" s="1"/>
      <c r="AC133" s="1"/>
      <c r="AD133" s="1">
        <f>IF($C133="",0,SUMPRODUCT((AY_SONU!$O$7:$O$42="Evet")*(AY_SONU!$B$7:$B$42=DATE(YEAR($C133),MONTH($C133),1))))</f>
        <v>0</v>
      </c>
      <c r="AE133" s="1" t="str">
        <f>IF($E133="","",$E133&amp;"|"&amp;COUNTIFS($E$7:$E133,$E133))</f>
        <v>Ulaşım|14</v>
      </c>
    </row>
    <row r="134" spans="1:31" ht="18" customHeight="1" x14ac:dyDescent="0.3">
      <c r="A134" s="2"/>
      <c r="B134" s="65" t="str">
        <f>IF($C134="","","GG"&amp;TEXT(ROW()-6,"00000"))</f>
        <v>GG00128</v>
      </c>
      <c r="C134" s="66">
        <v>46146</v>
      </c>
      <c r="D134" s="60" t="s">
        <v>769</v>
      </c>
      <c r="E134" s="61" t="s">
        <v>788</v>
      </c>
      <c r="F134" s="61" t="s">
        <v>898</v>
      </c>
      <c r="G134" s="67">
        <v>600</v>
      </c>
      <c r="H134" s="60" t="s">
        <v>772</v>
      </c>
      <c r="I134" s="60" t="s">
        <v>773</v>
      </c>
      <c r="J134" s="61"/>
      <c r="K134" s="61"/>
      <c r="L134" s="60"/>
      <c r="M134" s="74" t="str">
        <f>IF($C134="","",IF($D134="Gider",$E134,IF($L134&lt;&gt;"",$L134,$H134)))</f>
        <v>Ulaşım</v>
      </c>
      <c r="N134" s="74" t="str">
        <f>IF($C134="","",IF($D134="Gider",$H134,$E134))</f>
        <v>Merkez Kasa</v>
      </c>
      <c r="O134" s="73">
        <f>IF($C134="","",DATE(YEAR($C134),MONTH($C134),1))</f>
        <v>46143</v>
      </c>
      <c r="P134" s="65" t="str">
        <f ca="1">IF($C134="","",IF(AND($D134="Gelir",$L134&lt;&gt;"",$T134=""),"TANIMSIZ BORÇLU",IF($T134&lt;&gt;"",IF(OR($E134="",$G134&lt;=0),"EKSİK",IF($I134="Evet","TAHAKKUK NAKİT OLAMAZ",IF($C134&gt;TODAY(),"İLERİ TARİH","TAHAKKUK"))),IF(AND($D134&lt;&gt;"",$E134&lt;&gt;"",$G134&gt;0,$H134&lt;&gt;"",$I134&lt;&gt;""),IF($C134&gt;TODAY(),"İLERİ TARİH",IF(COUNTIF($W$7:$W$3001,$W134)&gt;1,"MÜKERRER?",IF($AD134&gt;0,"KAPALI DÖNEM",IF($I134="Hayır","ÖDENECEK","UYGUN")))),"EKSİK"))))</f>
        <v>UYGUN</v>
      </c>
      <c r="Q134" s="2"/>
      <c r="R134" s="2"/>
      <c r="S134" s="1" t="str">
        <f t="shared" si="5"/>
        <v/>
      </c>
      <c r="T134" s="1" t="str">
        <f>IF(OR($C134="",$D134&lt;&gt;"Gelir",$L134=""),"",IFERROR(INDEX(MUSTERILER!$B$7:$B$156,MATCH($S134,MUSTERILER!$T$7:$T$156,0)),""))</f>
        <v/>
      </c>
      <c r="U134" s="1" t="str">
        <f>IF($T134="","",$T134&amp;"|"&amp;COUNTIFS($T$7:$T134,$T134))</f>
        <v/>
      </c>
      <c r="V134" s="1">
        <f t="shared" si="6"/>
        <v>0</v>
      </c>
      <c r="W134" s="1" t="str">
        <f t="shared" si="7"/>
        <v>Gider|Ulaşım|46146|600|Yıkama|</v>
      </c>
      <c r="X134" s="1"/>
      <c r="Y134" s="1"/>
      <c r="Z134" s="1"/>
      <c r="AA134" s="1"/>
      <c r="AB134" s="1"/>
      <c r="AC134" s="1"/>
      <c r="AD134" s="1">
        <f>IF($C134="",0,SUMPRODUCT((AY_SONU!$O$7:$O$42="Evet")*(AY_SONU!$B$7:$B$42=DATE(YEAR($C134),MONTH($C134),1))))</f>
        <v>0</v>
      </c>
      <c r="AE134" s="1" t="str">
        <f>IF($E134="","",$E134&amp;"|"&amp;COUNTIFS($E$7:$E134,$E134))</f>
        <v>Ulaşım|15</v>
      </c>
    </row>
    <row r="135" spans="1:31" ht="18" customHeight="1" x14ac:dyDescent="0.3">
      <c r="A135" s="2"/>
      <c r="B135" s="65" t="str">
        <f>IF($C135="","","GG"&amp;TEXT(ROW()-6,"00000"))</f>
        <v>GG00129</v>
      </c>
      <c r="C135" s="66">
        <v>46147</v>
      </c>
      <c r="D135" s="60" t="s">
        <v>769</v>
      </c>
      <c r="E135" s="61" t="s">
        <v>798</v>
      </c>
      <c r="F135" s="61" t="s">
        <v>869</v>
      </c>
      <c r="G135" s="67">
        <v>10000</v>
      </c>
      <c r="H135" s="60" t="s">
        <v>772</v>
      </c>
      <c r="I135" s="60" t="s">
        <v>773</v>
      </c>
      <c r="J135" s="61"/>
      <c r="K135" s="61"/>
      <c r="L135" s="60"/>
      <c r="M135" s="74" t="str">
        <f>IF($C135="","",IF($D135="Gider",$E135,IF($L135&lt;&gt;"",$L135,$H135)))</f>
        <v>Personel</v>
      </c>
      <c r="N135" s="74" t="str">
        <f>IF($C135="","",IF($D135="Gider",$H135,$E135))</f>
        <v>Merkez Kasa</v>
      </c>
      <c r="O135" s="73">
        <f>IF($C135="","",DATE(YEAR($C135),MONTH($C135),1))</f>
        <v>46143</v>
      </c>
      <c r="P135" s="65" t="str">
        <f ca="1"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TARİH",IF(COUNTIF($W$7:$W$3001,$W135)&gt;1,"MÜKERRER?",IF($AD135&gt;0,"KAPALI DÖNEM",IF($I135="Hayır","ÖDENECEK","UYGUN")))),"EKSİK"))))</f>
        <v>UYGUN</v>
      </c>
      <c r="Q135" s="2"/>
      <c r="R135" s="2"/>
      <c r="S135" s="1" t="str">
        <f t="shared" ref="S135:S196" si="8"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" t="str">
        <f>IF(OR($C135="",$D135&lt;&gt;"Gelir",$L135=""),"",IFERROR(INDEX(MUSTERILER!$B$7:$B$156,MATCH($S135,MUSTERILER!$T$7:$T$156,0)),""))</f>
        <v/>
      </c>
      <c r="U135" s="1" t="str">
        <f>IF($T135="","",$T135&amp;"|"&amp;COUNTIFS($T$7:$T135,$T135))</f>
        <v/>
      </c>
      <c r="V135" s="1">
        <f t="shared" ref="V135:V196" si="9">IF($T135="",0,1)</f>
        <v>0</v>
      </c>
      <c r="W135" s="1" t="str">
        <f t="shared" ref="W135:W196" si="10">IF($C135="","",$D135&amp;"|"&amp;$E135&amp;"|"&amp;TEXT($C135,"0")&amp;"|"&amp;TEXT($G135,"0")&amp;"|"&amp;$F135&amp;"|"&amp;$J135)</f>
        <v>Gider|Personel|46147|10000|Irmak Harçlık|</v>
      </c>
      <c r="X135" s="1"/>
      <c r="Y135" s="1"/>
      <c r="Z135" s="1"/>
      <c r="AA135" s="1"/>
      <c r="AB135" s="1"/>
      <c r="AC135" s="1"/>
      <c r="AD135" s="1">
        <f>IF($C135="",0,SUMPRODUCT((AY_SONU!$O$7:$O$42="Evet")*(AY_SONU!$B$7:$B$42=DATE(YEAR($C135),MONTH($C135),1))))</f>
        <v>0</v>
      </c>
      <c r="AE135" s="1" t="str">
        <f>IF($E135="","",$E135&amp;"|"&amp;COUNTIFS($E$7:$E135,$E135))</f>
        <v>Personel|12</v>
      </c>
    </row>
    <row r="136" spans="1:31" ht="18" customHeight="1" x14ac:dyDescent="0.3">
      <c r="A136" s="2"/>
      <c r="B136" s="65" t="str">
        <f>IF($C136="","","GG"&amp;TEXT(ROW()-6,"00000"))</f>
        <v>GG00130</v>
      </c>
      <c r="C136" s="66">
        <v>46151</v>
      </c>
      <c r="D136" s="60" t="s">
        <v>769</v>
      </c>
      <c r="E136" s="61" t="s">
        <v>781</v>
      </c>
      <c r="F136" s="61" t="s">
        <v>557</v>
      </c>
      <c r="G136" s="67">
        <v>964</v>
      </c>
      <c r="H136" s="60" t="s">
        <v>772</v>
      </c>
      <c r="I136" s="60" t="s">
        <v>773</v>
      </c>
      <c r="J136" s="61"/>
      <c r="K136" s="61"/>
      <c r="L136" s="60"/>
      <c r="M136" s="74" t="str">
        <f>IF($C136="","",IF($D136="Gider",$E136,IF($L136&lt;&gt;"",$L136,$H136)))</f>
        <v>Telefon / İnternet</v>
      </c>
      <c r="N136" s="74" t="str">
        <f>IF($C136="","",IF($D136="Gider",$H136,$E136))</f>
        <v>Merkez Kasa</v>
      </c>
      <c r="O136" s="73">
        <f>IF($C136="","",DATE(YEAR($C136),MONTH($C136),1))</f>
        <v>46143</v>
      </c>
      <c r="P136" s="65" t="str">
        <f ca="1">IF($C136="","",IF(AND($D136="Gelir",$L136&lt;&gt;"",$T136=""),"TANIMSIZ BORÇLU",IF($T136&lt;&gt;"",IF(OR($E136="",$G136&lt;=0),"EKSİK",IF($I136="Evet","TAHAKKUK NAKİT OLAMAZ",IF($C136&gt;TODAY(),"İLERİ TARİH","TAHAKKUK"))),IF(AND($D136&lt;&gt;"",$E136&lt;&gt;"",$G136&gt;0,$H136&lt;&gt;"",$I136&lt;&gt;""),IF($C136&gt;TODAY(),"İLERİ TARİH",IF(COUNTIF($W$7:$W$3001,$W136)&gt;1,"MÜKERRER?",IF($AD136&gt;0,"KAPALI DÖNEM",IF($I136="Hayır","ÖDENECEK","UYGUN")))),"EKSİK"))))</f>
        <v>UYGUN</v>
      </c>
      <c r="Q136" s="2"/>
      <c r="R136" s="2"/>
      <c r="S136" s="1" t="str">
        <f t="shared" si="8"/>
        <v/>
      </c>
      <c r="T136" s="1" t="str">
        <f>IF(OR($C136="",$D136&lt;&gt;"Gelir",$L136=""),"",IFERROR(INDEX(MUSTERILER!$B$7:$B$156,MATCH($S136,MUSTERILER!$T$7:$T$156,0)),""))</f>
        <v/>
      </c>
      <c r="U136" s="1" t="str">
        <f>IF($T136="","",$T136&amp;"|"&amp;COUNTIFS($T$7:$T136,$T136))</f>
        <v/>
      </c>
      <c r="V136" s="1">
        <f t="shared" si="9"/>
        <v>0</v>
      </c>
      <c r="W136" s="1" t="str">
        <f t="shared" si="10"/>
        <v>Gider|Telefon / İnternet|46151|964|Telefon|</v>
      </c>
      <c r="X136" s="1"/>
      <c r="Y136" s="1"/>
      <c r="Z136" s="1"/>
      <c r="AA136" s="1"/>
      <c r="AB136" s="1"/>
      <c r="AC136" s="1"/>
      <c r="AD136" s="1">
        <f>IF($C136="",0,SUMPRODUCT((AY_SONU!$O$7:$O$42="Evet")*(AY_SONU!$B$7:$B$42=DATE(YEAR($C136),MONTH($C136),1))))</f>
        <v>0</v>
      </c>
      <c r="AE136" s="1" t="str">
        <f>IF($E136="","",$E136&amp;"|"&amp;COUNTIFS($E$7:$E136,$E136))</f>
        <v>Telefon / İnternet|11</v>
      </c>
    </row>
    <row r="137" spans="1:31" ht="18" customHeight="1" x14ac:dyDescent="0.3">
      <c r="A137" s="2"/>
      <c r="B137" s="65" t="str">
        <f>IF($C137="","","GG"&amp;TEXT(ROW()-6,"00000"))</f>
        <v>GG00131</v>
      </c>
      <c r="C137" s="66">
        <v>46151</v>
      </c>
      <c r="D137" s="60" t="s">
        <v>769</v>
      </c>
      <c r="E137" s="61" t="s">
        <v>781</v>
      </c>
      <c r="F137" s="61" t="s">
        <v>899</v>
      </c>
      <c r="G137" s="67">
        <v>800</v>
      </c>
      <c r="H137" s="60" t="s">
        <v>772</v>
      </c>
      <c r="I137" s="60" t="s">
        <v>773</v>
      </c>
      <c r="J137" s="61"/>
      <c r="K137" s="61"/>
      <c r="L137" s="60"/>
      <c r="M137" s="74" t="str">
        <f>IF($C137="","",IF($D137="Gider",$E137,IF($L137&lt;&gt;"",$L137,$H137)))</f>
        <v>Telefon / İnternet</v>
      </c>
      <c r="N137" s="74" t="str">
        <f>IF($C137="","",IF($D137="Gider",$H137,$E137))</f>
        <v>Merkez Kasa</v>
      </c>
      <c r="O137" s="73">
        <f>IF($C137="","",DATE(YEAR($C137),MONTH($C137),1))</f>
        <v>46143</v>
      </c>
      <c r="P137" s="65" t="str">
        <f ca="1">IF($C137="","",IF(AND($D137="Gelir",$L137&lt;&gt;"",$T137=""),"TANIMSIZ BORÇLU",IF($T137&lt;&gt;"",IF(OR($E137="",$G137&lt;=0),"EKSİK",IF($I137="Evet","TAHAKKUK NAKİT OLAMAZ",IF($C137&gt;TODAY(),"İLERİ TARİH","TAHAKKUK"))),IF(AND($D137&lt;&gt;"",$E137&lt;&gt;"",$G137&gt;0,$H137&lt;&gt;"",$I137&lt;&gt;""),IF($C137&gt;TODAY(),"İLERİ TARİH",IF(COUNTIF($W$7:$W$3001,$W137)&gt;1,"MÜKERRER?",IF($AD137&gt;0,"KAPALI DÖNEM",IF($I137="Hayır","ÖDENECEK","UYGUN")))),"EKSİK"))))</f>
        <v>UYGUN</v>
      </c>
      <c r="Q137" s="2"/>
      <c r="R137" s="2"/>
      <c r="S137" s="1" t="str">
        <f t="shared" si="8"/>
        <v/>
      </c>
      <c r="T137" s="1" t="str">
        <f>IF(OR($C137="",$D137&lt;&gt;"Gelir",$L137=""),"",IFERROR(INDEX(MUSTERILER!$B$7:$B$156,MATCH($S137,MUSTERILER!$T$7:$T$156,0)),""))</f>
        <v/>
      </c>
      <c r="U137" s="1" t="str">
        <f>IF($T137="","",$T137&amp;"|"&amp;COUNTIFS($T$7:$T137,$T137))</f>
        <v/>
      </c>
      <c r="V137" s="1">
        <f t="shared" si="9"/>
        <v>0</v>
      </c>
      <c r="W137" s="1" t="str">
        <f t="shared" si="10"/>
        <v>Gider|Telefon / İnternet|46151|800|Ofis Whatsapp Hattı Mayıs|</v>
      </c>
      <c r="X137" s="1"/>
      <c r="Y137" s="1"/>
      <c r="Z137" s="1"/>
      <c r="AA137" s="1"/>
      <c r="AB137" s="1"/>
      <c r="AC137" s="1"/>
      <c r="AD137" s="1">
        <f>IF($C137="",0,SUMPRODUCT((AY_SONU!$O$7:$O$42="Evet")*(AY_SONU!$B$7:$B$42=DATE(YEAR($C137),MONTH($C137),1))))</f>
        <v>0</v>
      </c>
      <c r="AE137" s="1" t="str">
        <f>IF($E137="","",$E137&amp;"|"&amp;COUNTIFS($E$7:$E137,$E137))</f>
        <v>Telefon / İnternet|12</v>
      </c>
    </row>
    <row r="138" spans="1:31" ht="18" customHeight="1" x14ac:dyDescent="0.3">
      <c r="A138" s="2"/>
      <c r="B138" s="65" t="str">
        <f>IF($C138="","","GG"&amp;TEXT(ROW()-6,"00000"))</f>
        <v>GG00132</v>
      </c>
      <c r="C138" s="66">
        <v>46151</v>
      </c>
      <c r="D138" s="60" t="s">
        <v>769</v>
      </c>
      <c r="E138" s="61" t="s">
        <v>793</v>
      </c>
      <c r="F138" s="61" t="s">
        <v>900</v>
      </c>
      <c r="G138" s="67">
        <v>51500</v>
      </c>
      <c r="H138" s="60" t="s">
        <v>772</v>
      </c>
      <c r="I138" s="60" t="s">
        <v>773</v>
      </c>
      <c r="J138" s="61"/>
      <c r="K138" s="61"/>
      <c r="L138" s="60"/>
      <c r="M138" s="74" t="str">
        <f>IF($C138="","",IF($D138="Gider",$E138,IF($L138&lt;&gt;"",$L138,$H138)))</f>
        <v>Mehmet Ali Kartal</v>
      </c>
      <c r="N138" s="74" t="str">
        <f>IF($C138="","",IF($D138="Gider",$H138,$E138))</f>
        <v>Merkez Kasa</v>
      </c>
      <c r="O138" s="73">
        <f>IF($C138="","",DATE(YEAR($C138),MONTH($C138),1))</f>
        <v>46143</v>
      </c>
      <c r="P138" s="65" t="str">
        <f ca="1">IF($C138="","",IF(AND($D138="Gelir",$L138&lt;&gt;"",$T138=""),"TANIMSIZ BORÇLU",IF($T138&lt;&gt;"",IF(OR($E138="",$G138&lt;=0),"EKSİK",IF($I138="Evet","TAHAKKUK NAKİT OLAMAZ",IF($C138&gt;TODAY(),"İLERİ TARİH","TAHAKKUK"))),IF(AND($D138&lt;&gt;"",$E138&lt;&gt;"",$G138&gt;0,$H138&lt;&gt;"",$I138&lt;&gt;""),IF($C138&gt;TODAY(),"İLERİ TARİH",IF(COUNTIF($W$7:$W$3001,$W138)&gt;1,"MÜKERRER?",IF($AD138&gt;0,"KAPALI DÖNEM",IF($I138="Hayır","ÖDENECEK","UYGUN")))),"EKSİK"))))</f>
        <v>UYGUN</v>
      </c>
      <c r="Q138" s="2"/>
      <c r="R138" s="2"/>
      <c r="S138" s="1" t="str">
        <f t="shared" si="8"/>
        <v/>
      </c>
      <c r="T138" s="1" t="str">
        <f>IF(OR($C138="",$D138&lt;&gt;"Gelir",$L138=""),"",IFERROR(INDEX(MUSTERILER!$B$7:$B$156,MATCH($S138,MUSTERILER!$T$7:$T$156,0)),""))</f>
        <v/>
      </c>
      <c r="U138" s="1" t="str">
        <f>IF($T138="","",$T138&amp;"|"&amp;COUNTIFS($T$7:$T138,$T138))</f>
        <v/>
      </c>
      <c r="V138" s="1">
        <f t="shared" si="9"/>
        <v>0</v>
      </c>
      <c r="W138" s="1" t="str">
        <f t="shared" si="10"/>
        <v>Gider|Mehmet Ali Kartal|46151|51500|Mehmet Ali Kartal Nisan ve Mayıs Maaşı|</v>
      </c>
      <c r="X138" s="1"/>
      <c r="Y138" s="1"/>
      <c r="Z138" s="1"/>
      <c r="AA138" s="1"/>
      <c r="AB138" s="1"/>
      <c r="AC138" s="1"/>
      <c r="AD138" s="1">
        <f>IF($C138="",0,SUMPRODUCT((AY_SONU!$O$7:$O$42="Evet")*(AY_SONU!$B$7:$B$42=DATE(YEAR($C138),MONTH($C138),1))))</f>
        <v>0</v>
      </c>
      <c r="AE138" s="1" t="str">
        <f>IF($E138="","",$E138&amp;"|"&amp;COUNTIFS($E$7:$E138,$E138))</f>
        <v>Mehmet Ali Kartal|5</v>
      </c>
    </row>
    <row r="139" spans="1:31" ht="18" customHeight="1" x14ac:dyDescent="0.3">
      <c r="A139" s="2"/>
      <c r="B139" s="65" t="str">
        <f>IF($C139="","","GG"&amp;TEXT(ROW()-6,"00000"))</f>
        <v>GG00133</v>
      </c>
      <c r="C139" s="66">
        <v>46151</v>
      </c>
      <c r="D139" s="60" t="s">
        <v>769</v>
      </c>
      <c r="E139" s="61" t="s">
        <v>788</v>
      </c>
      <c r="F139" s="61" t="s">
        <v>789</v>
      </c>
      <c r="G139" s="67">
        <v>2000</v>
      </c>
      <c r="H139" s="60" t="s">
        <v>772</v>
      </c>
      <c r="I139" s="60" t="s">
        <v>773</v>
      </c>
      <c r="J139" s="61"/>
      <c r="K139" s="61"/>
      <c r="L139" s="60"/>
      <c r="M139" s="74" t="str">
        <f>IF($C139="","",IF($D139="Gider",$E139,IF($L139&lt;&gt;"",$L139,$H139)))</f>
        <v>Ulaşım</v>
      </c>
      <c r="N139" s="74" t="str">
        <f>IF($C139="","",IF($D139="Gider",$H139,$E139))</f>
        <v>Merkez Kasa</v>
      </c>
      <c r="O139" s="73">
        <f>IF($C139="","",DATE(YEAR($C139),MONTH($C139),1))</f>
        <v>46143</v>
      </c>
      <c r="P139" s="65" t="str">
        <f ca="1">IF($C139="","",IF(AND($D139="Gelir",$L139&lt;&gt;"",$T139=""),"TANIMSIZ BORÇLU",IF($T139&lt;&gt;"",IF(OR($E139="",$G139&lt;=0),"EKSİK",IF($I139="Evet","TAHAKKUK NAKİT OLAMAZ",IF($C139&gt;TODAY(),"İLERİ TARİH","TAHAKKUK"))),IF(AND($D139&lt;&gt;"",$E139&lt;&gt;"",$G139&gt;0,$H139&lt;&gt;"",$I139&lt;&gt;""),IF($C139&gt;TODAY(),"İLERİ TARİH",IF(COUNTIF($W$7:$W$3001,$W139)&gt;1,"MÜKERRER?",IF($AD139&gt;0,"KAPALI DÖNEM",IF($I139="Hayır","ÖDENECEK","UYGUN")))),"EKSİK"))))</f>
        <v>UYGUN</v>
      </c>
      <c r="Q139" s="2"/>
      <c r="R139" s="2"/>
      <c r="S139" s="1" t="str">
        <f t="shared" si="8"/>
        <v/>
      </c>
      <c r="T139" s="1" t="str">
        <f>IF(OR($C139="",$D139&lt;&gt;"Gelir",$L139=""),"",IFERROR(INDEX(MUSTERILER!$B$7:$B$156,MATCH($S139,MUSTERILER!$T$7:$T$156,0)),""))</f>
        <v/>
      </c>
      <c r="U139" s="1" t="str">
        <f>IF($T139="","",$T139&amp;"|"&amp;COUNTIFS($T$7:$T139,$T139))</f>
        <v/>
      </c>
      <c r="V139" s="1">
        <f t="shared" si="9"/>
        <v>0</v>
      </c>
      <c r="W139" s="1" t="str">
        <f t="shared" si="10"/>
        <v>Gider|Ulaşım|46151|2000|Araç Yakıt Alımı|</v>
      </c>
      <c r="X139" s="1"/>
      <c r="Y139" s="1"/>
      <c r="Z139" s="1"/>
      <c r="AA139" s="1"/>
      <c r="AB139" s="1"/>
      <c r="AC139" s="1"/>
      <c r="AD139" s="1">
        <f>IF($C139="",0,SUMPRODUCT((AY_SONU!$O$7:$O$42="Evet")*(AY_SONU!$B$7:$B$42=DATE(YEAR($C139),MONTH($C139),1))))</f>
        <v>0</v>
      </c>
      <c r="AE139" s="1" t="str">
        <f>IF($E139="","",$E139&amp;"|"&amp;COUNTIFS($E$7:$E139,$E139))</f>
        <v>Ulaşım|16</v>
      </c>
    </row>
    <row r="140" spans="1:31" ht="18" customHeight="1" x14ac:dyDescent="0.3">
      <c r="A140" s="2"/>
      <c r="B140" s="65" t="str">
        <f>IF($C140="","","GG"&amp;TEXT(ROW()-6,"00000"))</f>
        <v>GG00134</v>
      </c>
      <c r="C140" s="66">
        <v>46151</v>
      </c>
      <c r="D140" s="60" t="s">
        <v>795</v>
      </c>
      <c r="E140" s="61" t="s">
        <v>812</v>
      </c>
      <c r="F140" s="61" t="s">
        <v>901</v>
      </c>
      <c r="G140" s="67">
        <v>5350</v>
      </c>
      <c r="H140" s="60" t="s">
        <v>772</v>
      </c>
      <c r="I140" s="60" t="s">
        <v>773</v>
      </c>
      <c r="J140" s="61"/>
      <c r="K140" s="61"/>
      <c r="L140" s="60"/>
      <c r="M140" s="74" t="str">
        <f>IF($C140="","",IF($D140="Gider",$E140,IF($L140&lt;&gt;"",$L140,$H140)))</f>
        <v>Merkez Kasa</v>
      </c>
      <c r="N140" s="74" t="str">
        <f>IF($C140="","",IF($D140="Gider",$H140,$E140))</f>
        <v>Geçici Vergi Damga</v>
      </c>
      <c r="O140" s="73">
        <f>IF($C140="","",DATE(YEAR($C140),MONTH($C140),1))</f>
        <v>46143</v>
      </c>
      <c r="P140" s="65" t="str">
        <f ca="1">IF($C140="","",IF(AND($D140="Gelir",$L140&lt;&gt;"",$T140=""),"TANIMSIZ BORÇLU",IF($T140&lt;&gt;"",IF(OR($E140="",$G140&lt;=0),"EKSİK",IF($I140="Evet","TAHAKKUK NAKİT OLAMAZ",IF($C140&gt;TODAY(),"İLERİ TARİH","TAHAKKUK"))),IF(AND($D140&lt;&gt;"",$E140&lt;&gt;"",$G140&gt;0,$H140&lt;&gt;"",$I140&lt;&gt;""),IF($C140&gt;TODAY(),"İLERİ TARİH",IF(COUNTIF($W$7:$W$3001,$W140)&gt;1,"MÜKERRER?",IF($AD140&gt;0,"KAPALI DÖNEM",IF($I140="Hayır","ÖDENECEK","UYGUN")))),"EKSİK"))))</f>
        <v>UYGUN</v>
      </c>
      <c r="Q140" s="2"/>
      <c r="R140" s="2"/>
      <c r="S140" s="1" t="str">
        <f t="shared" si="8"/>
        <v/>
      </c>
      <c r="T140" s="1" t="str">
        <f>IF(OR($C140="",$D140&lt;&gt;"Gelir",$L140=""),"",IFERROR(INDEX(MUSTERILER!$B$7:$B$156,MATCH($S140,MUSTERILER!$T$7:$T$156,0)),""))</f>
        <v/>
      </c>
      <c r="U140" s="1" t="str">
        <f>IF($T140="","",$T140&amp;"|"&amp;COUNTIFS($T$7:$T140,$T140))</f>
        <v/>
      </c>
      <c r="V140" s="1">
        <f t="shared" si="9"/>
        <v>0</v>
      </c>
      <c r="W140" s="1" t="str">
        <f t="shared" si="10"/>
        <v>Gelir|Geçici Vergi Damga|46151|5350|KRİSTAL LTD.ŞTİ. 2026 / 1 GEÇİCİ DAMGA|</v>
      </c>
      <c r="X140" s="1"/>
      <c r="Y140" s="1"/>
      <c r="Z140" s="1"/>
      <c r="AA140" s="1"/>
      <c r="AB140" s="1"/>
      <c r="AC140" s="1"/>
      <c r="AD140" s="1">
        <f>IF($C140="",0,SUMPRODUCT((AY_SONU!$O$7:$O$42="Evet")*(AY_SONU!$B$7:$B$42=DATE(YEAR($C140),MONTH($C140),1))))</f>
        <v>0</v>
      </c>
      <c r="AE140" s="1" t="str">
        <f>IF($E140="","",$E140&amp;"|"&amp;COUNTIFS($E$7:$E140,$E140))</f>
        <v>Geçici Vergi Damga|12</v>
      </c>
    </row>
    <row r="141" spans="1:31" ht="18" customHeight="1" x14ac:dyDescent="0.3">
      <c r="A141" s="2"/>
      <c r="B141" s="65" t="str">
        <f>IF($C141="","","GG"&amp;TEXT(ROW()-6,"00000"))</f>
        <v>GG00135</v>
      </c>
      <c r="C141" s="66">
        <v>46151</v>
      </c>
      <c r="D141" s="60" t="s">
        <v>795</v>
      </c>
      <c r="E141" s="61" t="s">
        <v>812</v>
      </c>
      <c r="F141" s="61" t="s">
        <v>902</v>
      </c>
      <c r="G141" s="67">
        <v>5350</v>
      </c>
      <c r="H141" s="60" t="s">
        <v>772</v>
      </c>
      <c r="I141" s="60" t="s">
        <v>773</v>
      </c>
      <c r="J141" s="61"/>
      <c r="K141" s="61"/>
      <c r="L141" s="60"/>
      <c r="M141" s="74" t="str">
        <f>IF($C141="","",IF($D141="Gider",$E141,IF($L141&lt;&gt;"",$L141,$H141)))</f>
        <v>Merkez Kasa</v>
      </c>
      <c r="N141" s="74" t="str">
        <f>IF($C141="","",IF($D141="Gider",$H141,$E141))</f>
        <v>Geçici Vergi Damga</v>
      </c>
      <c r="O141" s="73">
        <f>IF($C141="","",DATE(YEAR($C141),MONTH($C141),1))</f>
        <v>46143</v>
      </c>
      <c r="P141" s="65" t="str">
        <f ca="1">IF($C141="","",IF(AND($D141="Gelir",$L141&lt;&gt;"",$T141=""),"TANIMSIZ BORÇLU",IF($T141&lt;&gt;"",IF(OR($E141="",$G141&lt;=0),"EKSİK",IF($I141="Evet","TAHAKKUK NAKİT OLAMAZ",IF($C141&gt;TODAY(),"İLERİ TARİH","TAHAKKUK"))),IF(AND($D141&lt;&gt;"",$E141&lt;&gt;"",$G141&gt;0,$H141&lt;&gt;"",$I141&lt;&gt;""),IF($C141&gt;TODAY(),"İLERİ TARİH",IF(COUNTIF($W$7:$W$3001,$W141)&gt;1,"MÜKERRER?",IF($AD141&gt;0,"KAPALI DÖNEM",IF($I141="Hayır","ÖDENECEK","UYGUN")))),"EKSİK"))))</f>
        <v>UYGUN</v>
      </c>
      <c r="Q141" s="2"/>
      <c r="R141" s="2"/>
      <c r="S141" s="1" t="str">
        <f t="shared" si="8"/>
        <v/>
      </c>
      <c r="T141" s="1" t="str">
        <f>IF(OR($C141="",$D141&lt;&gt;"Gelir",$L141=""),"",IFERROR(INDEX(MUSTERILER!$B$7:$B$156,MATCH($S141,MUSTERILER!$T$7:$T$156,0)),""))</f>
        <v/>
      </c>
      <c r="U141" s="1" t="str">
        <f>IF($T141="","",$T141&amp;"|"&amp;COUNTIFS($T$7:$T141,$T141))</f>
        <v/>
      </c>
      <c r="V141" s="1">
        <f t="shared" si="9"/>
        <v>0</v>
      </c>
      <c r="W141" s="1" t="str">
        <f t="shared" si="10"/>
        <v>Gelir|Geçici Vergi Damga|46151|5350|ÇAYIRALAN LTD.ŞTİ. 2026 / 1 GEÇİCİ DAMGA|</v>
      </c>
      <c r="X141" s="1"/>
      <c r="Y141" s="1"/>
      <c r="Z141" s="1"/>
      <c r="AA141" s="1"/>
      <c r="AB141" s="1"/>
      <c r="AC141" s="1"/>
      <c r="AD141" s="1">
        <f>IF($C141="",0,SUMPRODUCT((AY_SONU!$O$7:$O$42="Evet")*(AY_SONU!$B$7:$B$42=DATE(YEAR($C141),MONTH($C141),1))))</f>
        <v>0</v>
      </c>
      <c r="AE141" s="1" t="str">
        <f>IF($E141="","",$E141&amp;"|"&amp;COUNTIFS($E$7:$E141,$E141))</f>
        <v>Geçici Vergi Damga|13</v>
      </c>
    </row>
    <row r="142" spans="1:31" ht="18" customHeight="1" x14ac:dyDescent="0.3">
      <c r="A142" s="2"/>
      <c r="B142" s="65" t="str">
        <f>IF($C142="","","GG"&amp;TEXT(ROW()-6,"00000"))</f>
        <v>GG00136</v>
      </c>
      <c r="C142" s="66">
        <v>46151</v>
      </c>
      <c r="D142" s="60" t="s">
        <v>795</v>
      </c>
      <c r="E142" s="61" t="s">
        <v>812</v>
      </c>
      <c r="F142" s="61" t="s">
        <v>903</v>
      </c>
      <c r="G142" s="67">
        <v>5350</v>
      </c>
      <c r="H142" s="60" t="s">
        <v>772</v>
      </c>
      <c r="I142" s="60" t="s">
        <v>773</v>
      </c>
      <c r="J142" s="61"/>
      <c r="K142" s="61"/>
      <c r="L142" s="60"/>
      <c r="M142" s="74" t="str">
        <f>IF($C142="","",IF($D142="Gider",$E142,IF($L142&lt;&gt;"",$L142,$H142)))</f>
        <v>Merkez Kasa</v>
      </c>
      <c r="N142" s="74" t="str">
        <f>IF($C142="","",IF($D142="Gider",$H142,$E142))</f>
        <v>Geçici Vergi Damga</v>
      </c>
      <c r="O142" s="73">
        <f>IF($C142="","",DATE(YEAR($C142),MONTH($C142),1))</f>
        <v>46143</v>
      </c>
      <c r="P142" s="65" t="str">
        <f ca="1">IF($C142="","",IF(AND($D142="Gelir",$L142&lt;&gt;"",$T142=""),"TANIMSIZ BORÇLU",IF($T142&lt;&gt;"",IF(OR($E142="",$G142&lt;=0),"EKSİK",IF($I142="Evet","TAHAKKUK NAKİT OLAMAZ",IF($C142&gt;TODAY(),"İLERİ TARİH","TAHAKKUK"))),IF(AND($D142&lt;&gt;"",$E142&lt;&gt;"",$G142&gt;0,$H142&lt;&gt;"",$I142&lt;&gt;""),IF($C142&gt;TODAY(),"İLERİ TARİH",IF(COUNTIF($W$7:$W$3001,$W142)&gt;1,"MÜKERRER?",IF($AD142&gt;0,"KAPALI DÖNEM",IF($I142="Hayır","ÖDENECEK","UYGUN")))),"EKSİK"))))</f>
        <v>UYGUN</v>
      </c>
      <c r="Q142" s="2"/>
      <c r="R142" s="2"/>
      <c r="S142" s="1" t="str">
        <f t="shared" si="8"/>
        <v/>
      </c>
      <c r="T142" s="1" t="str">
        <f>IF(OR($C142="",$D142&lt;&gt;"Gelir",$L142=""),"",IFERROR(INDEX(MUSTERILER!$B$7:$B$156,MATCH($S142,MUSTERILER!$T$7:$T$156,0)),""))</f>
        <v/>
      </c>
      <c r="U142" s="1" t="str">
        <f>IF($T142="","",$T142&amp;"|"&amp;COUNTIFS($T$7:$T142,$T142))</f>
        <v/>
      </c>
      <c r="V142" s="1">
        <f t="shared" si="9"/>
        <v>0</v>
      </c>
      <c r="W142" s="1" t="str">
        <f t="shared" si="10"/>
        <v>Gelir|Geçici Vergi Damga|46151|5350|RİX LTD.ŞTİ.  2026 / 1 GEÇİCİ DAMGA|</v>
      </c>
      <c r="X142" s="1"/>
      <c r="Y142" s="1"/>
      <c r="Z142" s="1"/>
      <c r="AA142" s="1"/>
      <c r="AB142" s="1"/>
      <c r="AC142" s="1"/>
      <c r="AD142" s="1">
        <f>IF($C142="",0,SUMPRODUCT((AY_SONU!$O$7:$O$42="Evet")*(AY_SONU!$B$7:$B$42=DATE(YEAR($C142),MONTH($C142),1))))</f>
        <v>0</v>
      </c>
      <c r="AE142" s="1" t="str">
        <f>IF($E142="","",$E142&amp;"|"&amp;COUNTIFS($E$7:$E142,$E142))</f>
        <v>Geçici Vergi Damga|14</v>
      </c>
    </row>
    <row r="143" spans="1:31" ht="18" customHeight="1" x14ac:dyDescent="0.3">
      <c r="A143" s="2"/>
      <c r="B143" s="65" t="str">
        <f>IF($C143="","","GG"&amp;TEXT(ROW()-6,"00000"))</f>
        <v>GG00137</v>
      </c>
      <c r="C143" s="66">
        <v>46151</v>
      </c>
      <c r="D143" s="60" t="s">
        <v>795</v>
      </c>
      <c r="E143" s="61" t="s">
        <v>812</v>
      </c>
      <c r="F143" s="61" t="s">
        <v>904</v>
      </c>
      <c r="G143" s="67">
        <v>5350</v>
      </c>
      <c r="H143" s="60" t="s">
        <v>772</v>
      </c>
      <c r="I143" s="60" t="s">
        <v>773</v>
      </c>
      <c r="J143" s="61"/>
      <c r="K143" s="61"/>
      <c r="L143" s="60"/>
      <c r="M143" s="74" t="str">
        <f>IF($C143="","",IF($D143="Gider",$E143,IF($L143&lt;&gt;"",$L143,$H143)))</f>
        <v>Merkez Kasa</v>
      </c>
      <c r="N143" s="74" t="str">
        <f>IF($C143="","",IF($D143="Gider",$H143,$E143))</f>
        <v>Geçici Vergi Damga</v>
      </c>
      <c r="O143" s="73">
        <f>IF($C143="","",DATE(YEAR($C143),MONTH($C143),1))</f>
        <v>46143</v>
      </c>
      <c r="P143" s="65" t="str">
        <f ca="1">IF($C143="","",IF(AND($D143="Gelir",$L143&lt;&gt;"",$T143=""),"TANIMSIZ BORÇLU",IF($T143&lt;&gt;"",IF(OR($E143="",$G143&lt;=0),"EKSİK",IF($I143="Evet","TAHAKKUK NAKİT OLAMAZ",IF($C143&gt;TODAY(),"İLERİ TARİH","TAHAKKUK"))),IF(AND($D143&lt;&gt;"",$E143&lt;&gt;"",$G143&gt;0,$H143&lt;&gt;"",$I143&lt;&gt;""),IF($C143&gt;TODAY(),"İLERİ TARİH",IF(COUNTIF($W$7:$W$3001,$W143)&gt;1,"MÜKERRER?",IF($AD143&gt;0,"KAPALI DÖNEM",IF($I143="Hayır","ÖDENECEK","UYGUN")))),"EKSİK"))))</f>
        <v>UYGUN</v>
      </c>
      <c r="Q143" s="2"/>
      <c r="R143" s="2"/>
      <c r="S143" s="1" t="str">
        <f t="shared" si="8"/>
        <v/>
      </c>
      <c r="T143" s="1" t="str">
        <f>IF(OR($C143="",$D143&lt;&gt;"Gelir",$L143=""),"",IFERROR(INDEX(MUSTERILER!$B$7:$B$156,MATCH($S143,MUSTERILER!$T$7:$T$156,0)),""))</f>
        <v/>
      </c>
      <c r="U143" s="1" t="str">
        <f>IF($T143="","",$T143&amp;"|"&amp;COUNTIFS($T$7:$T143,$T143))</f>
        <v/>
      </c>
      <c r="V143" s="1">
        <f t="shared" si="9"/>
        <v>0</v>
      </c>
      <c r="W143" s="1" t="str">
        <f t="shared" si="10"/>
        <v>Gelir|Geçici Vergi Damga|46151|5350|ASM EĞLENCE LTD.ŞTİ.  2026 / 1 GEÇİCİ DAMGA|</v>
      </c>
      <c r="X143" s="1"/>
      <c r="Y143" s="1"/>
      <c r="Z143" s="1"/>
      <c r="AA143" s="1"/>
      <c r="AB143" s="1"/>
      <c r="AC143" s="1"/>
      <c r="AD143" s="1">
        <f>IF($C143="",0,SUMPRODUCT((AY_SONU!$O$7:$O$42="Evet")*(AY_SONU!$B$7:$B$42=DATE(YEAR($C143),MONTH($C143),1))))</f>
        <v>0</v>
      </c>
      <c r="AE143" s="1" t="str">
        <f>IF($E143="","",$E143&amp;"|"&amp;COUNTIFS($E$7:$E143,$E143))</f>
        <v>Geçici Vergi Damga|15</v>
      </c>
    </row>
    <row r="144" spans="1:31" ht="18" customHeight="1" x14ac:dyDescent="0.3">
      <c r="A144" s="2"/>
      <c r="B144" s="65" t="str">
        <f>IF($C144="","","GG"&amp;TEXT(ROW()-6,"00000"))</f>
        <v>GG00138</v>
      </c>
      <c r="C144" s="66">
        <v>46151</v>
      </c>
      <c r="D144" s="60" t="s">
        <v>795</v>
      </c>
      <c r="E144" s="61" t="s">
        <v>812</v>
      </c>
      <c r="F144" s="61" t="s">
        <v>905</v>
      </c>
      <c r="G144" s="67">
        <v>5350</v>
      </c>
      <c r="H144" s="60" t="s">
        <v>772</v>
      </c>
      <c r="I144" s="60" t="s">
        <v>773</v>
      </c>
      <c r="J144" s="61"/>
      <c r="K144" s="61"/>
      <c r="L144" s="60"/>
      <c r="M144" s="74" t="str">
        <f>IF($C144="","",IF($D144="Gider",$E144,IF($L144&lt;&gt;"",$L144,$H144)))</f>
        <v>Merkez Kasa</v>
      </c>
      <c r="N144" s="74" t="str">
        <f>IF($C144="","",IF($D144="Gider",$H144,$E144))</f>
        <v>Geçici Vergi Damga</v>
      </c>
      <c r="O144" s="73">
        <f>IF($C144="","",DATE(YEAR($C144),MONTH($C144),1))</f>
        <v>46143</v>
      </c>
      <c r="P144" s="65" t="str">
        <f ca="1">IF($C144="","",IF(AND($D144="Gelir",$L144&lt;&gt;"",$T144=""),"TANIMSIZ BORÇLU",IF($T144&lt;&gt;"",IF(OR($E144="",$G144&lt;=0),"EKSİK",IF($I144="Evet","TAHAKKUK NAKİT OLAMAZ",IF($C144&gt;TODAY(),"İLERİ TARİH","TAHAKKUK"))),IF(AND($D144&lt;&gt;"",$E144&lt;&gt;"",$G144&gt;0,$H144&lt;&gt;"",$I144&lt;&gt;""),IF($C144&gt;TODAY(),"İLERİ TARİH",IF(COUNTIF($W$7:$W$3001,$W144)&gt;1,"MÜKERRER?",IF($AD144&gt;0,"KAPALI DÖNEM",IF($I144="Hayır","ÖDENECEK","UYGUN")))),"EKSİK"))))</f>
        <v>UYGUN</v>
      </c>
      <c r="Q144" s="2"/>
      <c r="R144" s="2"/>
      <c r="S144" s="1" t="str">
        <f t="shared" si="8"/>
        <v/>
      </c>
      <c r="T144" s="1" t="str">
        <f>IF(OR($C144="",$D144&lt;&gt;"Gelir",$L144=""),"",IFERROR(INDEX(MUSTERILER!$B$7:$B$156,MATCH($S144,MUSTERILER!$T$7:$T$156,0)),""))</f>
        <v/>
      </c>
      <c r="U144" s="1" t="str">
        <f>IF($T144="","",$T144&amp;"|"&amp;COUNTIFS($T$7:$T144,$T144))</f>
        <v/>
      </c>
      <c r="V144" s="1">
        <f t="shared" si="9"/>
        <v>0</v>
      </c>
      <c r="W144" s="1" t="str">
        <f t="shared" si="10"/>
        <v>Gelir|Geçici Vergi Damga|46151|5350|FİNAL LTD.ŞTİ. 2026 / 1 GEÇİCİ DAMGA|</v>
      </c>
      <c r="X144" s="1"/>
      <c r="Y144" s="1"/>
      <c r="Z144" s="1"/>
      <c r="AA144" s="1"/>
      <c r="AB144" s="1"/>
      <c r="AC144" s="1"/>
      <c r="AD144" s="1">
        <f>IF($C144="",0,SUMPRODUCT((AY_SONU!$O$7:$O$42="Evet")*(AY_SONU!$B$7:$B$42=DATE(YEAR($C144),MONTH($C144),1))))</f>
        <v>0</v>
      </c>
      <c r="AE144" s="1" t="str">
        <f>IF($E144="","",$E144&amp;"|"&amp;COUNTIFS($E$7:$E144,$E144))</f>
        <v>Geçici Vergi Damga|16</v>
      </c>
    </row>
    <row r="145" spans="1:31" ht="18" customHeight="1" x14ac:dyDescent="0.3">
      <c r="A145" s="2"/>
      <c r="B145" s="65" t="str">
        <f>IF($C145="","","GG"&amp;TEXT(ROW()-6,"00000"))</f>
        <v>GG00139</v>
      </c>
      <c r="C145" s="66">
        <v>46151</v>
      </c>
      <c r="D145" s="60" t="s">
        <v>795</v>
      </c>
      <c r="E145" s="61" t="s">
        <v>812</v>
      </c>
      <c r="F145" s="61" t="s">
        <v>906</v>
      </c>
      <c r="G145" s="67">
        <v>5350</v>
      </c>
      <c r="H145" s="60" t="s">
        <v>772</v>
      </c>
      <c r="I145" s="60" t="s">
        <v>773</v>
      </c>
      <c r="J145" s="61"/>
      <c r="K145" s="61"/>
      <c r="L145" s="60"/>
      <c r="M145" s="74" t="str">
        <f>IF($C145="","",IF($D145="Gider",$E145,IF($L145&lt;&gt;"",$L145,$H145)))</f>
        <v>Merkez Kasa</v>
      </c>
      <c r="N145" s="74" t="str">
        <f>IF($C145="","",IF($D145="Gider",$H145,$E145))</f>
        <v>Geçici Vergi Damga</v>
      </c>
      <c r="O145" s="73">
        <f>IF($C145="","",DATE(YEAR($C145),MONTH($C145),1))</f>
        <v>46143</v>
      </c>
      <c r="P145" s="65" t="str">
        <f ca="1">IF($C145="","",IF(AND($D145="Gelir",$L145&lt;&gt;"",$T145=""),"TANIMSIZ BORÇLU",IF($T145&lt;&gt;"",IF(OR($E145="",$G145&lt;=0),"EKSİK",IF($I145="Evet","TAHAKKUK NAKİT OLAMAZ",IF($C145&gt;TODAY(),"İLERİ TARİH","TAHAKKUK"))),IF(AND($D145&lt;&gt;"",$E145&lt;&gt;"",$G145&gt;0,$H145&lt;&gt;"",$I145&lt;&gt;""),IF($C145&gt;TODAY(),"İLERİ TARİH",IF(COUNTIF($W$7:$W$3001,$W145)&gt;1,"MÜKERRER?",IF($AD145&gt;0,"KAPALI DÖNEM",IF($I145="Hayır","ÖDENECEK","UYGUN")))),"EKSİK"))))</f>
        <v>UYGUN</v>
      </c>
      <c r="Q145" s="2"/>
      <c r="R145" s="2"/>
      <c r="S145" s="1" t="str">
        <f t="shared" si="8"/>
        <v/>
      </c>
      <c r="T145" s="1" t="str">
        <f>IF(OR($C145="",$D145&lt;&gt;"Gelir",$L145=""),"",IFERROR(INDEX(MUSTERILER!$B$7:$B$156,MATCH($S145,MUSTERILER!$T$7:$T$156,0)),""))</f>
        <v/>
      </c>
      <c r="U145" s="1" t="str">
        <f>IF($T145="","",$T145&amp;"|"&amp;COUNTIFS($T$7:$T145,$T145))</f>
        <v/>
      </c>
      <c r="V145" s="1">
        <f t="shared" si="9"/>
        <v>0</v>
      </c>
      <c r="W145" s="1" t="str">
        <f t="shared" si="10"/>
        <v>Gelir|Geçici Vergi Damga|46151|5350|ZÜMRÜT GRUP LTD.ŞTİ. 2026 / 1 GEÇİCİ DAMGA|</v>
      </c>
      <c r="X145" s="1"/>
      <c r="Y145" s="1"/>
      <c r="Z145" s="1"/>
      <c r="AA145" s="1"/>
      <c r="AB145" s="1"/>
      <c r="AC145" s="1"/>
      <c r="AD145" s="1">
        <f>IF($C145="",0,SUMPRODUCT((AY_SONU!$O$7:$O$42="Evet")*(AY_SONU!$B$7:$B$42=DATE(YEAR($C145),MONTH($C145),1))))</f>
        <v>0</v>
      </c>
      <c r="AE145" s="1" t="str">
        <f>IF($E145="","",$E145&amp;"|"&amp;COUNTIFS($E$7:$E145,$E145))</f>
        <v>Geçici Vergi Damga|17</v>
      </c>
    </row>
    <row r="146" spans="1:31" ht="18" customHeight="1" x14ac:dyDescent="0.3">
      <c r="A146" s="2"/>
      <c r="B146" s="65" t="str">
        <f>IF($C146="","","GG"&amp;TEXT(ROW()-6,"00000"))</f>
        <v>GG00140</v>
      </c>
      <c r="C146" s="66">
        <v>46151</v>
      </c>
      <c r="D146" s="60" t="s">
        <v>795</v>
      </c>
      <c r="E146" s="61" t="s">
        <v>812</v>
      </c>
      <c r="F146" s="61" t="s">
        <v>907</v>
      </c>
      <c r="G146" s="67">
        <v>5350</v>
      </c>
      <c r="H146" s="60" t="s">
        <v>772</v>
      </c>
      <c r="I146" s="60" t="s">
        <v>773</v>
      </c>
      <c r="J146" s="61"/>
      <c r="K146" s="61"/>
      <c r="L146" s="60"/>
      <c r="M146" s="74" t="str">
        <f>IF($C146="","",IF($D146="Gider",$E146,IF($L146&lt;&gt;"",$L146,$H146)))</f>
        <v>Merkez Kasa</v>
      </c>
      <c r="N146" s="74" t="str">
        <f>IF($C146="","",IF($D146="Gider",$H146,$E146))</f>
        <v>Geçici Vergi Damga</v>
      </c>
      <c r="O146" s="73">
        <f>IF($C146="","",DATE(YEAR($C146),MONTH($C146),1))</f>
        <v>46143</v>
      </c>
      <c r="P146" s="65" t="str">
        <f ca="1">IF($C146="","",IF(AND($D146="Gelir",$L146&lt;&gt;"",$T146=""),"TANIMSIZ BORÇLU",IF($T146&lt;&gt;"",IF(OR($E146="",$G146&lt;=0),"EKSİK",IF($I146="Evet","TAHAKKUK NAKİT OLAMAZ",IF($C146&gt;TODAY(),"İLERİ TARİH","TAHAKKUK"))),IF(AND($D146&lt;&gt;"",$E146&lt;&gt;"",$G146&gt;0,$H146&lt;&gt;"",$I146&lt;&gt;""),IF($C146&gt;TODAY(),"İLERİ TARİH",IF(COUNTIF($W$7:$W$3001,$W146)&gt;1,"MÜKERRER?",IF($AD146&gt;0,"KAPALI DÖNEM",IF($I146="Hayır","ÖDENECEK","UYGUN")))),"EKSİK"))))</f>
        <v>UYGUN</v>
      </c>
      <c r="Q146" s="2"/>
      <c r="R146" s="2"/>
      <c r="S146" s="1" t="str">
        <f t="shared" si="8"/>
        <v/>
      </c>
      <c r="T146" s="1" t="str">
        <f>IF(OR($C146="",$D146&lt;&gt;"Gelir",$L146=""),"",IFERROR(INDEX(MUSTERILER!$B$7:$B$156,MATCH($S146,MUSTERILER!$T$7:$T$156,0)),""))</f>
        <v/>
      </c>
      <c r="U146" s="1" t="str">
        <f>IF($T146="","",$T146&amp;"|"&amp;COUNTIFS($T$7:$T146,$T146))</f>
        <v/>
      </c>
      <c r="V146" s="1">
        <f t="shared" si="9"/>
        <v>0</v>
      </c>
      <c r="W146" s="1" t="str">
        <f t="shared" si="10"/>
        <v>Gelir|Geçici Vergi Damga|46151|5350|PAKYILDIZ LTD.ŞTİ. 2026 / 1 GEÇİCİ DAMGA|</v>
      </c>
      <c r="X146" s="1"/>
      <c r="Y146" s="1"/>
      <c r="Z146" s="1"/>
      <c r="AA146" s="1"/>
      <c r="AB146" s="1"/>
      <c r="AC146" s="1"/>
      <c r="AD146" s="1">
        <f>IF($C146="",0,SUMPRODUCT((AY_SONU!$O$7:$O$42="Evet")*(AY_SONU!$B$7:$B$42=DATE(YEAR($C146),MONTH($C146),1))))</f>
        <v>0</v>
      </c>
      <c r="AE146" s="1" t="str">
        <f>IF($E146="","",$E146&amp;"|"&amp;COUNTIFS($E$7:$E146,$E146))</f>
        <v>Geçici Vergi Damga|18</v>
      </c>
    </row>
    <row r="147" spans="1:31" ht="18" customHeight="1" x14ac:dyDescent="0.3">
      <c r="A147" s="2"/>
      <c r="B147" s="65" t="str">
        <f>IF($C147="","","GG"&amp;TEXT(ROW()-6,"00000"))</f>
        <v>GG00141</v>
      </c>
      <c r="C147" s="66">
        <v>46151</v>
      </c>
      <c r="D147" s="60" t="s">
        <v>795</v>
      </c>
      <c r="E147" s="61" t="s">
        <v>812</v>
      </c>
      <c r="F147" s="61" t="s">
        <v>908</v>
      </c>
      <c r="G147" s="67">
        <v>5350</v>
      </c>
      <c r="H147" s="60" t="s">
        <v>772</v>
      </c>
      <c r="I147" s="60" t="s">
        <v>773</v>
      </c>
      <c r="J147" s="61"/>
      <c r="K147" s="61"/>
      <c r="L147" s="60"/>
      <c r="M147" s="74" t="str">
        <f>IF($C147="","",IF($D147="Gider",$E147,IF($L147&lt;&gt;"",$L147,$H147)))</f>
        <v>Merkez Kasa</v>
      </c>
      <c r="N147" s="74" t="str">
        <f>IF($C147="","",IF($D147="Gider",$H147,$E147))</f>
        <v>Geçici Vergi Damga</v>
      </c>
      <c r="O147" s="73">
        <f>IF($C147="","",DATE(YEAR($C147),MONTH($C147),1))</f>
        <v>46143</v>
      </c>
      <c r="P147" s="65" t="str">
        <f ca="1">IF($C147="","",IF(AND($D147="Gelir",$L147&lt;&gt;"",$T147=""),"TANIMSIZ BORÇLU",IF($T147&lt;&gt;"",IF(OR($E147="",$G147&lt;=0),"EKSİK",IF($I147="Evet","TAHAKKUK NAKİT OLAMAZ",IF($C147&gt;TODAY(),"İLERİ TARİH","TAHAKKUK"))),IF(AND($D147&lt;&gt;"",$E147&lt;&gt;"",$G147&gt;0,$H147&lt;&gt;"",$I147&lt;&gt;""),IF($C147&gt;TODAY(),"İLERİ TARİH",IF(COUNTIF($W$7:$W$3001,$W147)&gt;1,"MÜKERRER?",IF($AD147&gt;0,"KAPALI DÖNEM",IF($I147="Hayır","ÖDENECEK","UYGUN")))),"EKSİK"))))</f>
        <v>UYGUN</v>
      </c>
      <c r="Q147" s="2"/>
      <c r="R147" s="2"/>
      <c r="S147" s="1" t="str">
        <f t="shared" si="8"/>
        <v/>
      </c>
      <c r="T147" s="1" t="str">
        <f>IF(OR($C147="",$D147&lt;&gt;"Gelir",$L147=""),"",IFERROR(INDEX(MUSTERILER!$B$7:$B$156,MATCH($S147,MUSTERILER!$T$7:$T$156,0)),""))</f>
        <v/>
      </c>
      <c r="U147" s="1" t="str">
        <f>IF($T147="","",$T147&amp;"|"&amp;COUNTIFS($T$7:$T147,$T147))</f>
        <v/>
      </c>
      <c r="V147" s="1">
        <f t="shared" si="9"/>
        <v>0</v>
      </c>
      <c r="W147" s="1" t="str">
        <f t="shared" si="10"/>
        <v>Gelir|Geçici Vergi Damga|46151|5350|ÇINARHAN LTD.ŞTİ. 2026 / 1 GEÇİCİ DAMGA|</v>
      </c>
      <c r="X147" s="1"/>
      <c r="Y147" s="1"/>
      <c r="Z147" s="1"/>
      <c r="AA147" s="1"/>
      <c r="AB147" s="1"/>
      <c r="AC147" s="1"/>
      <c r="AD147" s="1">
        <f>IF($C147="",0,SUMPRODUCT((AY_SONU!$O$7:$O$42="Evet")*(AY_SONU!$B$7:$B$42=DATE(YEAR($C147),MONTH($C147),1))))</f>
        <v>0</v>
      </c>
      <c r="AE147" s="1" t="str">
        <f>IF($E147="","",$E147&amp;"|"&amp;COUNTIFS($E$7:$E147,$E147))</f>
        <v>Geçici Vergi Damga|19</v>
      </c>
    </row>
    <row r="148" spans="1:31" ht="18" customHeight="1" x14ac:dyDescent="0.3">
      <c r="A148" s="2"/>
      <c r="B148" s="65" t="str">
        <f>IF($C148="","","GG"&amp;TEXT(ROW()-6,"00000"))</f>
        <v>GG00142</v>
      </c>
      <c r="C148" s="66">
        <v>46157</v>
      </c>
      <c r="D148" s="60" t="s">
        <v>769</v>
      </c>
      <c r="E148" s="61" t="s">
        <v>779</v>
      </c>
      <c r="F148" s="61" t="s">
        <v>909</v>
      </c>
      <c r="G148" s="67">
        <v>80</v>
      </c>
      <c r="H148" s="60" t="s">
        <v>772</v>
      </c>
      <c r="I148" s="60" t="s">
        <v>773</v>
      </c>
      <c r="J148" s="61"/>
      <c r="K148" s="61"/>
      <c r="L148" s="60"/>
      <c r="M148" s="74" t="str">
        <f>IF($C148="","",IF($D148="Gider",$E148,IF($L148&lt;&gt;"",$L148,$H148)))</f>
        <v>Kırtasiye</v>
      </c>
      <c r="N148" s="74" t="str">
        <f>IF($C148="","",IF($D148="Gider",$H148,$E148))</f>
        <v>Merkez Kasa</v>
      </c>
      <c r="O148" s="73">
        <f>IF($C148="","",DATE(YEAR($C148),MONTH($C148),1))</f>
        <v>46143</v>
      </c>
      <c r="P148" s="65" t="str">
        <f ca="1">IF($C148="","",IF(AND($D148="Gelir",$L148&lt;&gt;"",$T148=""),"TANIMSIZ BORÇLU",IF($T148&lt;&gt;"",IF(OR($E148="",$G148&lt;=0),"EKSİK",IF($I148="Evet","TAHAKKUK NAKİT OLAMAZ",IF($C148&gt;TODAY(),"İLERİ TARİH","TAHAKKUK"))),IF(AND($D148&lt;&gt;"",$E148&lt;&gt;"",$G148&gt;0,$H148&lt;&gt;"",$I148&lt;&gt;""),IF($C148&gt;TODAY(),"İLERİ TARİH",IF(COUNTIF($W$7:$W$3001,$W148)&gt;1,"MÜKERRER?",IF($AD148&gt;0,"KAPALI DÖNEM",IF($I148="Hayır","ÖDENECEK","UYGUN")))),"EKSİK"))))</f>
        <v>UYGUN</v>
      </c>
      <c r="Q148" s="2"/>
      <c r="R148" s="2"/>
      <c r="S148" s="1" t="str">
        <f t="shared" si="8"/>
        <v/>
      </c>
      <c r="T148" s="1" t="str">
        <f>IF(OR($C148="",$D148&lt;&gt;"Gelir",$L148=""),"",IFERROR(INDEX(MUSTERILER!$B$7:$B$156,MATCH($S148,MUSTERILER!$T$7:$T$156,0)),""))</f>
        <v/>
      </c>
      <c r="U148" s="1" t="str">
        <f>IF($T148="","",$T148&amp;"|"&amp;COUNTIFS($T$7:$T148,$T148))</f>
        <v/>
      </c>
      <c r="V148" s="1">
        <f t="shared" si="9"/>
        <v>0</v>
      </c>
      <c r="W148" s="1" t="str">
        <f t="shared" si="10"/>
        <v>Gider|Kırtasiye|46157|80|Mail Depolama |</v>
      </c>
      <c r="X148" s="1"/>
      <c r="Y148" s="1"/>
      <c r="Z148" s="1"/>
      <c r="AA148" s="1"/>
      <c r="AB148" s="1"/>
      <c r="AC148" s="1"/>
      <c r="AD148" s="1">
        <f>IF($C148="",0,SUMPRODUCT((AY_SONU!$O$7:$O$42="Evet")*(AY_SONU!$B$7:$B$42=DATE(YEAR($C148),MONTH($C148),1))))</f>
        <v>0</v>
      </c>
      <c r="AE148" s="1" t="str">
        <f>IF($E148="","",$E148&amp;"|"&amp;COUNTIFS($E$7:$E148,$E148))</f>
        <v>Kırtasiye|4</v>
      </c>
    </row>
    <row r="149" spans="1:31" ht="18" customHeight="1" x14ac:dyDescent="0.3">
      <c r="A149" s="2"/>
      <c r="B149" s="65" t="str">
        <f>IF($C149="","","GG"&amp;TEXT(ROW()-6,"00000"))</f>
        <v>GG00143</v>
      </c>
      <c r="C149" s="66">
        <v>46158</v>
      </c>
      <c r="D149" s="60" t="s">
        <v>769</v>
      </c>
      <c r="E149" s="61" t="s">
        <v>788</v>
      </c>
      <c r="F149" s="61" t="s">
        <v>829</v>
      </c>
      <c r="G149" s="67">
        <v>600</v>
      </c>
      <c r="H149" s="60" t="s">
        <v>772</v>
      </c>
      <c r="I149" s="60" t="s">
        <v>773</v>
      </c>
      <c r="J149" s="61"/>
      <c r="K149" s="61"/>
      <c r="L149" s="60"/>
      <c r="M149" s="74" t="str">
        <f>IF($C149="","",IF($D149="Gider",$E149,IF($L149&lt;&gt;"",$L149,$H149)))</f>
        <v>Ulaşım</v>
      </c>
      <c r="N149" s="74" t="str">
        <f>IF($C149="","",IF($D149="Gider",$H149,$E149))</f>
        <v>Merkez Kasa</v>
      </c>
      <c r="O149" s="73">
        <f>IF($C149="","",DATE(YEAR($C149),MONTH($C149),1))</f>
        <v>46143</v>
      </c>
      <c r="P149" s="65" t="str">
        <f ca="1">IF($C149="","",IF(AND($D149="Gelir",$L149&lt;&gt;"",$T149=""),"TANIMSIZ BORÇLU",IF($T149&lt;&gt;"",IF(OR($E149="",$G149&lt;=0),"EKSİK",IF($I149="Evet","TAHAKKUK NAKİT OLAMAZ",IF($C149&gt;TODAY(),"İLERİ TARİH","TAHAKKUK"))),IF(AND($D149&lt;&gt;"",$E149&lt;&gt;"",$G149&gt;0,$H149&lt;&gt;"",$I149&lt;&gt;""),IF($C149&gt;TODAY(),"İLERİ TARİH",IF(COUNTIF($W$7:$W$3001,$W149)&gt;1,"MÜKERRER?",IF($AD149&gt;0,"KAPALI DÖNEM",IF($I149="Hayır","ÖDENECEK","UYGUN")))),"EKSİK"))))</f>
        <v>UYGUN</v>
      </c>
      <c r="Q149" s="2"/>
      <c r="R149" s="2"/>
      <c r="S149" s="1" t="str">
        <f t="shared" si="8"/>
        <v/>
      </c>
      <c r="T149" s="1" t="str">
        <f>IF(OR($C149="",$D149&lt;&gt;"Gelir",$L149=""),"",IFERROR(INDEX(MUSTERILER!$B$7:$B$156,MATCH($S149,MUSTERILER!$T$7:$T$156,0)),""))</f>
        <v/>
      </c>
      <c r="U149" s="1" t="str">
        <f>IF($T149="","",$T149&amp;"|"&amp;COUNTIFS($T$7:$T149,$T149))</f>
        <v/>
      </c>
      <c r="V149" s="1">
        <f t="shared" si="9"/>
        <v>0</v>
      </c>
      <c r="W149" s="1" t="str">
        <f t="shared" si="10"/>
        <v>Gider|Ulaşım|46158|600|Taksi |</v>
      </c>
      <c r="X149" s="1"/>
      <c r="Y149" s="1"/>
      <c r="Z149" s="1"/>
      <c r="AA149" s="1"/>
      <c r="AB149" s="1"/>
      <c r="AC149" s="1"/>
      <c r="AD149" s="1">
        <f>IF($C149="",0,SUMPRODUCT((AY_SONU!$O$7:$O$42="Evet")*(AY_SONU!$B$7:$B$42=DATE(YEAR($C149),MONTH($C149),1))))</f>
        <v>0</v>
      </c>
      <c r="AE149" s="1" t="str">
        <f>IF($E149="","",$E149&amp;"|"&amp;COUNTIFS($E$7:$E149,$E149))</f>
        <v>Ulaşım|17</v>
      </c>
    </row>
    <row r="150" spans="1:31" ht="18" customHeight="1" x14ac:dyDescent="0.3">
      <c r="A150" s="2"/>
      <c r="B150" s="65" t="str">
        <f>IF($C150="","","GG"&amp;TEXT(ROW()-6,"00000"))</f>
        <v>GG00144</v>
      </c>
      <c r="C150" s="66">
        <v>46158</v>
      </c>
      <c r="D150" s="60" t="s">
        <v>769</v>
      </c>
      <c r="E150" s="61" t="s">
        <v>798</v>
      </c>
      <c r="F150" s="61" t="s">
        <v>910</v>
      </c>
      <c r="G150" s="67">
        <v>60000</v>
      </c>
      <c r="H150" s="60" t="s">
        <v>772</v>
      </c>
      <c r="I150" s="60" t="s">
        <v>773</v>
      </c>
      <c r="J150" s="61"/>
      <c r="K150" s="61"/>
      <c r="L150" s="60"/>
      <c r="M150" s="74" t="str">
        <f>IF($C150="","",IF($D150="Gider",$E150,IF($L150&lt;&gt;"",$L150,$H150)))</f>
        <v>Personel</v>
      </c>
      <c r="N150" s="74" t="str">
        <f>IF($C150="","",IF($D150="Gider",$H150,$E150))</f>
        <v>Merkez Kasa</v>
      </c>
      <c r="O150" s="73">
        <f>IF($C150="","",DATE(YEAR($C150),MONTH($C150),1))</f>
        <v>46143</v>
      </c>
      <c r="P150" s="65" t="str">
        <f ca="1">IF($C150="","",IF(AND($D150="Gelir",$L150&lt;&gt;"",$T150=""),"TANIMSIZ BORÇLU",IF($T150&lt;&gt;"",IF(OR($E150="",$G150&lt;=0),"EKSİK",IF($I150="Evet","TAHAKKUK NAKİT OLAMAZ",IF($C150&gt;TODAY(),"İLERİ TARİH","TAHAKKUK"))),IF(AND($D150&lt;&gt;"",$E150&lt;&gt;"",$G150&gt;0,$H150&lt;&gt;"",$I150&lt;&gt;""),IF($C150&gt;TODAY(),"İLERİ TARİH",IF(COUNTIF($W$7:$W$3001,$W150)&gt;1,"MÜKERRER?",IF($AD150&gt;0,"KAPALI DÖNEM",IF($I150="Hayır","ÖDENECEK","UYGUN")))),"EKSİK"))))</f>
        <v>UYGUN</v>
      </c>
      <c r="Q150" s="2"/>
      <c r="R150" s="2"/>
      <c r="S150" s="1" t="str">
        <f t="shared" si="8"/>
        <v/>
      </c>
      <c r="T150" s="1" t="str">
        <f>IF(OR($C150="",$D150&lt;&gt;"Gelir",$L150=""),"",IFERROR(INDEX(MUSTERILER!$B$7:$B$156,MATCH($S150,MUSTERILER!$T$7:$T$156,0)),""))</f>
        <v/>
      </c>
      <c r="U150" s="1" t="str">
        <f>IF($T150="","",$T150&amp;"|"&amp;COUNTIFS($T$7:$T150,$T150))</f>
        <v/>
      </c>
      <c r="V150" s="1">
        <f t="shared" si="9"/>
        <v>0</v>
      </c>
      <c r="W150" s="1" t="str">
        <f t="shared" si="10"/>
        <v>Gider|Personel|46158|60000|Zeynep Nisan Maaşı Ödemesi|</v>
      </c>
      <c r="X150" s="1"/>
      <c r="Y150" s="1"/>
      <c r="Z150" s="1"/>
      <c r="AA150" s="1"/>
      <c r="AB150" s="1"/>
      <c r="AC150" s="1"/>
      <c r="AD150" s="1">
        <f>IF($C150="",0,SUMPRODUCT((AY_SONU!$O$7:$O$42="Evet")*(AY_SONU!$B$7:$B$42=DATE(YEAR($C150),MONTH($C150),1))))</f>
        <v>0</v>
      </c>
      <c r="AE150" s="1" t="str">
        <f>IF($E150="","",$E150&amp;"|"&amp;COUNTIFS($E$7:$E150,$E150))</f>
        <v>Personel|13</v>
      </c>
    </row>
    <row r="151" spans="1:31" ht="18" customHeight="1" x14ac:dyDescent="0.3">
      <c r="A151" s="2"/>
      <c r="B151" s="65" t="str">
        <f>IF($C151="","","GG"&amp;TEXT(ROW()-6,"00000"))</f>
        <v>GG00145</v>
      </c>
      <c r="C151" s="66">
        <v>46158</v>
      </c>
      <c r="D151" s="60" t="s">
        <v>795</v>
      </c>
      <c r="E151" s="61" t="s">
        <v>911</v>
      </c>
      <c r="F151" s="61" t="s">
        <v>912</v>
      </c>
      <c r="G151" s="67">
        <v>7050</v>
      </c>
      <c r="H151" s="60" t="s">
        <v>772</v>
      </c>
      <c r="I151" s="60" t="s">
        <v>773</v>
      </c>
      <c r="J151" s="61"/>
      <c r="K151" s="61"/>
      <c r="L151" s="60"/>
      <c r="M151" s="74" t="str">
        <f>IF($C151="","",IF($D151="Gider",$E151,IF($L151&lt;&gt;"",$L151,$H151)))</f>
        <v>Merkez Kasa</v>
      </c>
      <c r="N151" s="74" t="str">
        <f>IF($C151="","",IF($D151="Gider",$H151,$E151))</f>
        <v>Luca Kontör</v>
      </c>
      <c r="O151" s="73">
        <f>IF($C151="","",DATE(YEAR($C151),MONTH($C151),1))</f>
        <v>46143</v>
      </c>
      <c r="P151" s="65" t="str">
        <f ca="1">IF($C151="","",IF(AND($D151="Gelir",$L151&lt;&gt;"",$T151=""),"TANIMSIZ BORÇLU",IF($T151&lt;&gt;"",IF(OR($E151="",$G151&lt;=0),"EKSİK",IF($I151="Evet","TAHAKKUK NAKİT OLAMAZ",IF($C151&gt;TODAY(),"İLERİ TARİH","TAHAKKUK"))),IF(AND($D151&lt;&gt;"",$E151&lt;&gt;"",$G151&gt;0,$H151&lt;&gt;"",$I151&lt;&gt;""),IF($C151&gt;TODAY(),"İLERİ TARİH",IF(COUNTIF($W$7:$W$3001,$W151)&gt;1,"MÜKERRER?",IF($AD151&gt;0,"KAPALI DÖNEM",IF($I151="Hayır","ÖDENECEK","UYGUN")))),"EKSİK"))))</f>
        <v>UYGUN</v>
      </c>
      <c r="Q151" s="2"/>
      <c r="R151" s="2"/>
      <c r="S151" s="1" t="str">
        <f t="shared" si="8"/>
        <v/>
      </c>
      <c r="T151" s="1" t="str">
        <f>IF(OR($C151="",$D151&lt;&gt;"Gelir",$L151=""),"",IFERROR(INDEX(MUSTERILER!$B$7:$B$156,MATCH($S151,MUSTERILER!$T$7:$T$156,0)),""))</f>
        <v/>
      </c>
      <c r="U151" s="1" t="str">
        <f>IF($T151="","",$T151&amp;"|"&amp;COUNTIFS($T$7:$T151,$T151))</f>
        <v/>
      </c>
      <c r="V151" s="1">
        <f t="shared" si="9"/>
        <v>0</v>
      </c>
      <c r="W151" s="1" t="str">
        <f t="shared" si="10"/>
        <v>Gelir|Luca Kontör|46158|7050|E-DEFTER KONTÖR|</v>
      </c>
      <c r="X151" s="1"/>
      <c r="Y151" s="1"/>
      <c r="Z151" s="1"/>
      <c r="AA151" s="1"/>
      <c r="AB151" s="1"/>
      <c r="AC151" s="1"/>
      <c r="AD151" s="1">
        <f>IF($C151="",0,SUMPRODUCT((AY_SONU!$O$7:$O$42="Evet")*(AY_SONU!$B$7:$B$42=DATE(YEAR($C151),MONTH($C151),1))))</f>
        <v>0</v>
      </c>
      <c r="AE151" s="1" t="str">
        <f>IF($E151="","",$E151&amp;"|"&amp;COUNTIFS($E$7:$E151,$E151))</f>
        <v>Luca Kontör|1</v>
      </c>
    </row>
    <row r="152" spans="1:31" ht="18" customHeight="1" x14ac:dyDescent="0.3">
      <c r="A152" s="2"/>
      <c r="B152" s="65" t="str">
        <f>IF($C152="","","GG"&amp;TEXT(ROW()-6,"00000"))</f>
        <v>GG00146</v>
      </c>
      <c r="C152" s="66">
        <v>46158</v>
      </c>
      <c r="D152" s="60" t="s">
        <v>795</v>
      </c>
      <c r="E152" s="61" t="s">
        <v>871</v>
      </c>
      <c r="F152" s="61" t="s">
        <v>913</v>
      </c>
      <c r="G152" s="67">
        <v>5350</v>
      </c>
      <c r="H152" s="60" t="s">
        <v>772</v>
      </c>
      <c r="I152" s="60" t="s">
        <v>773</v>
      </c>
      <c r="J152" s="61"/>
      <c r="K152" s="61"/>
      <c r="L152" s="60"/>
      <c r="M152" s="74" t="str">
        <f>IF($C152="","",IF($D152="Gider",$E152,IF($L152&lt;&gt;"",$L152,$H152)))</f>
        <v>Merkez Kasa</v>
      </c>
      <c r="N152" s="74" t="str">
        <f>IF($C152="","",IF($D152="Gider",$H152,$E152))</f>
        <v>Kurumlar Vergisi Damga</v>
      </c>
      <c r="O152" s="73">
        <f>IF($C152="","",DATE(YEAR($C152),MONTH($C152),1))</f>
        <v>46143</v>
      </c>
      <c r="P152" s="65" t="str">
        <f ca="1">IF($C152="","",IF(AND($D152="Gelir",$L152&lt;&gt;"",$T152=""),"TANIMSIZ BORÇLU",IF($T152&lt;&gt;"",IF(OR($E152="",$G152&lt;=0),"EKSİK",IF($I152="Evet","TAHAKKUK NAKİT OLAMAZ",IF($C152&gt;TODAY(),"İLERİ TARİH","TAHAKKUK"))),IF(AND($D152&lt;&gt;"",$E152&lt;&gt;"",$G152&gt;0,$H152&lt;&gt;"",$I152&lt;&gt;""),IF($C152&gt;TODAY(),"İLERİ TARİH",IF(COUNTIF($W$7:$W$3001,$W152)&gt;1,"MÜKERRER?",IF($AD152&gt;0,"KAPALI DÖNEM",IF($I152="Hayır","ÖDENECEK","UYGUN")))),"EKSİK"))))</f>
        <v>UYGUN</v>
      </c>
      <c r="Q152" s="2"/>
      <c r="R152" s="2"/>
      <c r="S152" s="1" t="str">
        <f t="shared" si="8"/>
        <v/>
      </c>
      <c r="T152" s="1" t="str">
        <f>IF(OR($C152="",$D152&lt;&gt;"Gelir",$L152=""),"",IFERROR(INDEX(MUSTERILER!$B$7:$B$156,MATCH($S152,MUSTERILER!$T$7:$T$156,0)),""))</f>
        <v/>
      </c>
      <c r="U152" s="1" t="str">
        <f>IF($T152="","",$T152&amp;"|"&amp;COUNTIFS($T$7:$T152,$T152))</f>
        <v/>
      </c>
      <c r="V152" s="1">
        <f t="shared" si="9"/>
        <v>0</v>
      </c>
      <c r="W152" s="1" t="str">
        <f t="shared" si="10"/>
        <v>Gelir|Kurumlar Vergisi Damga|46158|5350|2025 KURUMLAR DAMGA|</v>
      </c>
      <c r="X152" s="1"/>
      <c r="Y152" s="1"/>
      <c r="Z152" s="1"/>
      <c r="AA152" s="1"/>
      <c r="AB152" s="1"/>
      <c r="AC152" s="1"/>
      <c r="AD152" s="1">
        <f>IF($C152="",0,SUMPRODUCT((AY_SONU!$O$7:$O$42="Evet")*(AY_SONU!$B$7:$B$42=DATE(YEAR($C152),MONTH($C152),1))))</f>
        <v>0</v>
      </c>
      <c r="AE152" s="1" t="str">
        <f>IF($E152="","",$E152&amp;"|"&amp;COUNTIFS($E$7:$E152,$E152))</f>
        <v>Kurumlar Vergisi Damga|12</v>
      </c>
    </row>
    <row r="153" spans="1:31" ht="18" customHeight="1" x14ac:dyDescent="0.3">
      <c r="A153" s="2"/>
      <c r="B153" s="65" t="str">
        <f>IF($C153="","","GG"&amp;TEXT(ROW()-6,"00000"))</f>
        <v>GG00147</v>
      </c>
      <c r="C153" s="66">
        <v>46158</v>
      </c>
      <c r="D153" s="60" t="s">
        <v>795</v>
      </c>
      <c r="E153" s="61" t="s">
        <v>911</v>
      </c>
      <c r="F153" s="61" t="s">
        <v>914</v>
      </c>
      <c r="G153" s="67">
        <v>7050</v>
      </c>
      <c r="H153" s="60" t="s">
        <v>717</v>
      </c>
      <c r="I153" s="60" t="s">
        <v>773</v>
      </c>
      <c r="J153" s="61"/>
      <c r="K153" s="61"/>
      <c r="L153" s="60"/>
      <c r="M153" s="74" t="str">
        <f>IF($C153="","",IF($D153="Gider",$E153,IF($L153&lt;&gt;"",$L153,$H153)))</f>
        <v>MERKEZ KASA</v>
      </c>
      <c r="N153" s="74" t="str">
        <f>IF($C153="","",IF($D153="Gider",$H153,$E153))</f>
        <v>Luca Kontör</v>
      </c>
      <c r="O153" s="73">
        <f>IF($C153="","",DATE(YEAR($C153),MONTH($C153),1))</f>
        <v>46143</v>
      </c>
      <c r="P153" s="65" t="str">
        <f ca="1">IF($C153="","",IF(AND($D153="Gelir",$L153&lt;&gt;"",$T153=""),"TANIMSIZ BORÇLU",IF($T153&lt;&gt;"",IF(OR($E153="",$G153&lt;=0),"EKSİK",IF($I153="Evet","TAHAKKUK NAKİT OLAMAZ",IF($C153&gt;TODAY(),"İLERİ TARİH","TAHAKKUK"))),IF(AND($D153&lt;&gt;"",$E153&lt;&gt;"",$G153&gt;0,$H153&lt;&gt;"",$I153&lt;&gt;""),IF($C153&gt;TODAY(),"İLERİ TARİH",IF(COUNTIF($W$7:$W$3001,$W153)&gt;1,"MÜKERRER?",IF($AD153&gt;0,"KAPALI DÖNEM",IF($I153="Hayır","ÖDENECEK","UYGUN")))),"EKSİK"))))</f>
        <v>UYGUN</v>
      </c>
      <c r="Q153" s="2"/>
      <c r="R153" s="2"/>
      <c r="S153" s="1" t="str">
        <f t="shared" si="8"/>
        <v/>
      </c>
      <c r="T153" s="1" t="str">
        <f>IF(OR($C153="",$D153&lt;&gt;"Gelir",$L153=""),"",IFERROR(INDEX(MUSTERILER!$B$7:$B$156,MATCH($S153,MUSTERILER!$T$7:$T$156,0)),""))</f>
        <v/>
      </c>
      <c r="U153" s="1" t="str">
        <f>IF($T153="","",$T153&amp;"|"&amp;COUNTIFS($T$7:$T153,$T153))</f>
        <v/>
      </c>
      <c r="V153" s="1">
        <f t="shared" si="9"/>
        <v>0</v>
      </c>
      <c r="W153" s="1" t="str">
        <f t="shared" si="10"/>
        <v>Gelir|Luca Kontör|46158|7050|ASIM AÇIKGÖZ LUCA KONTÖR|</v>
      </c>
      <c r="X153" s="1"/>
      <c r="Y153" s="1"/>
      <c r="Z153" s="1"/>
      <c r="AA153" s="1"/>
      <c r="AB153" s="1"/>
      <c r="AC153" s="1"/>
      <c r="AD153" s="1">
        <f>IF($C153="",0,SUMPRODUCT((AY_SONU!$O$7:$O$42="Evet")*(AY_SONU!$B$7:$B$42=DATE(YEAR($C153),MONTH($C153),1))))</f>
        <v>0</v>
      </c>
      <c r="AE153" s="1" t="str">
        <f>IF($E153="","",$E153&amp;"|"&amp;COUNTIFS($E$7:$E153,$E153))</f>
        <v>Luca Kontör|2</v>
      </c>
    </row>
    <row r="154" spans="1:31" ht="18" customHeight="1" x14ac:dyDescent="0.3">
      <c r="A154" s="2"/>
      <c r="B154" s="65" t="str">
        <f>IF($C154="","","GG"&amp;TEXT(ROW()-6,"00000"))</f>
        <v>GG00148</v>
      </c>
      <c r="C154" s="66">
        <v>46160</v>
      </c>
      <c r="D154" s="60" t="s">
        <v>795</v>
      </c>
      <c r="E154" s="61" t="s">
        <v>796</v>
      </c>
      <c r="F154" s="61" t="s">
        <v>915</v>
      </c>
      <c r="G154" s="67">
        <v>5000</v>
      </c>
      <c r="H154" s="60" t="s">
        <v>723</v>
      </c>
      <c r="I154" s="60" t="s">
        <v>773</v>
      </c>
      <c r="J154" s="61"/>
      <c r="K154" s="61"/>
      <c r="L154" s="60"/>
      <c r="M154" s="74" t="str">
        <f>IF($C154="","",IF($D154="Gider",$E154,IF($L154&lt;&gt;"",$L154,$H154)))</f>
        <v>ÖMER KARTAL</v>
      </c>
      <c r="N154" s="74" t="str">
        <f>IF($C154="","",IF($D154="Gider",$H154,$E154))</f>
        <v>Diğer Gelirler</v>
      </c>
      <c r="O154" s="73">
        <f>IF($C154="","",DATE(YEAR($C154),MONTH($C154),1))</f>
        <v>46143</v>
      </c>
      <c r="P154" s="65" t="str">
        <f ca="1">IF($C154="","",IF(AND($D154="Gelir",$L154&lt;&gt;"",$T154=""),"TANIMSIZ BORÇLU",IF($T154&lt;&gt;"",IF(OR($E154="",$G154&lt;=0),"EKSİK",IF($I154="Evet","TAHAKKUK NAKİT OLAMAZ",IF($C154&gt;TODAY(),"İLERİ TARİH","TAHAKKUK"))),IF(AND($D154&lt;&gt;"",$E154&lt;&gt;"",$G154&gt;0,$H154&lt;&gt;"",$I154&lt;&gt;""),IF($C154&gt;TODAY(),"İLERİ TARİH",IF(COUNTIF($W$7:$W$3001,$W154)&gt;1,"MÜKERRER?",IF($AD154&gt;0,"KAPALI DÖNEM",IF($I154="Hayır","ÖDENECEK","UYGUN")))),"EKSİK"))))</f>
        <v>UYGUN</v>
      </c>
      <c r="Q154" s="2"/>
      <c r="R154" s="2"/>
      <c r="S154" s="1" t="str">
        <f t="shared" si="8"/>
        <v/>
      </c>
      <c r="T154" s="1" t="str">
        <f>IF(OR($C154="",$D154&lt;&gt;"Gelir",$L154=""),"",IFERROR(INDEX(MUSTERILER!$B$7:$B$156,MATCH($S154,MUSTERILER!$T$7:$T$156,0)),""))</f>
        <v/>
      </c>
      <c r="U154" s="1" t="str">
        <f>IF($T154="","",$T154&amp;"|"&amp;COUNTIFS($T$7:$T154,$T154))</f>
        <v/>
      </c>
      <c r="V154" s="1">
        <f t="shared" si="9"/>
        <v>0</v>
      </c>
      <c r="W154" s="1" t="str">
        <f t="shared" si="10"/>
        <v>Gelir|Diğer Gelirler|46160|5000|ELVAN ALTIPARMAK 10 GÜNLÜK SİGORTA|</v>
      </c>
      <c r="X154" s="1"/>
      <c r="Y154" s="1"/>
      <c r="Z154" s="1"/>
      <c r="AA154" s="1"/>
      <c r="AB154" s="1"/>
      <c r="AC154" s="1"/>
      <c r="AD154" s="1">
        <f>IF($C154="",0,SUMPRODUCT((AY_SONU!$O$7:$O$42="Evet")*(AY_SONU!$B$7:$B$42=DATE(YEAR($C154),MONTH($C154),1))))</f>
        <v>0</v>
      </c>
      <c r="AE154" s="1" t="str">
        <f>IF($E154="","",$E154&amp;"|"&amp;COUNTIFS($E$7:$E154,$E154))</f>
        <v>Diğer Gelirler|8</v>
      </c>
    </row>
    <row r="155" spans="1:31" ht="18" customHeight="1" x14ac:dyDescent="0.3">
      <c r="A155" s="2"/>
      <c r="B155" s="65" t="str">
        <f>IF($C155="","","GG"&amp;TEXT(ROW()-6,"00000"))</f>
        <v>GG00149</v>
      </c>
      <c r="C155" s="66">
        <v>46165</v>
      </c>
      <c r="D155" s="60" t="s">
        <v>769</v>
      </c>
      <c r="E155" s="61" t="s">
        <v>788</v>
      </c>
      <c r="F155" s="61" t="s">
        <v>916</v>
      </c>
      <c r="G155" s="67">
        <v>2000</v>
      </c>
      <c r="H155" s="60" t="s">
        <v>772</v>
      </c>
      <c r="I155" s="60" t="s">
        <v>773</v>
      </c>
      <c r="J155" s="61"/>
      <c r="K155" s="61"/>
      <c r="L155" s="60"/>
      <c r="M155" s="74" t="str">
        <f>IF($C155="","",IF($D155="Gider",$E155,IF($L155&lt;&gt;"",$L155,$H155)))</f>
        <v>Ulaşım</v>
      </c>
      <c r="N155" s="74" t="str">
        <f>IF($C155="","",IF($D155="Gider",$H155,$E155))</f>
        <v>Merkez Kasa</v>
      </c>
      <c r="O155" s="73">
        <f>IF($C155="","",DATE(YEAR($C155),MONTH($C155),1))</f>
        <v>46143</v>
      </c>
      <c r="P155" s="65" t="str">
        <f ca="1">IF($C155="","",IF(AND($D155="Gelir",$L155&lt;&gt;"",$T155=""),"TANIMSIZ BORÇLU",IF($T155&lt;&gt;"",IF(OR($E155="",$G155&lt;=0),"EKSİK",IF($I155="Evet","TAHAKKUK NAKİT OLAMAZ",IF($C155&gt;TODAY(),"İLERİ TARİH","TAHAKKUK"))),IF(AND($D155&lt;&gt;"",$E155&lt;&gt;"",$G155&gt;0,$H155&lt;&gt;"",$I155&lt;&gt;""),IF($C155&gt;TODAY(),"İLERİ TARİH",IF(COUNTIF($W$7:$W$3001,$W155)&gt;1,"MÜKERRER?",IF($AD155&gt;0,"KAPALI DÖNEM",IF($I155="Hayır","ÖDENECEK","UYGUN")))),"EKSİK"))))</f>
        <v>UYGUN</v>
      </c>
      <c r="Q155" s="2"/>
      <c r="R155" s="2"/>
      <c r="S155" s="1" t="str">
        <f t="shared" si="8"/>
        <v/>
      </c>
      <c r="T155" s="1" t="str">
        <f>IF(OR($C155="",$D155&lt;&gt;"Gelir",$L155=""),"",IFERROR(INDEX(MUSTERILER!$B$7:$B$156,MATCH($S155,MUSTERILER!$T$7:$T$156,0)),""))</f>
        <v/>
      </c>
      <c r="U155" s="1" t="str">
        <f>IF($T155="","",$T155&amp;"|"&amp;COUNTIFS($T$7:$T155,$T155))</f>
        <v/>
      </c>
      <c r="V155" s="1">
        <f t="shared" si="9"/>
        <v>0</v>
      </c>
      <c r="W155" s="1" t="str">
        <f t="shared" si="10"/>
        <v>Gider|Ulaşım|46165|2000|Araç Yakıt Alımı ( Ömer ) |</v>
      </c>
      <c r="X155" s="1"/>
      <c r="Y155" s="1"/>
      <c r="Z155" s="1"/>
      <c r="AA155" s="1"/>
      <c r="AB155" s="1"/>
      <c r="AC155" s="1"/>
      <c r="AD155" s="1">
        <f>IF($C155="",0,SUMPRODUCT((AY_SONU!$O$7:$O$42="Evet")*(AY_SONU!$B$7:$B$42=DATE(YEAR($C155),MONTH($C155),1))))</f>
        <v>0</v>
      </c>
      <c r="AE155" s="1" t="str">
        <f>IF($E155="","",$E155&amp;"|"&amp;COUNTIFS($E$7:$E155,$E155))</f>
        <v>Ulaşım|18</v>
      </c>
    </row>
    <row r="156" spans="1:31" ht="18" customHeight="1" x14ac:dyDescent="0.3">
      <c r="A156" s="2"/>
      <c r="B156" s="65" t="str">
        <f>IF($C156="","","GG"&amp;TEXT(ROW()-6,"00000"))</f>
        <v>GG00150</v>
      </c>
      <c r="C156" s="66">
        <v>46165</v>
      </c>
      <c r="D156" s="60" t="s">
        <v>769</v>
      </c>
      <c r="E156" s="61" t="s">
        <v>801</v>
      </c>
      <c r="F156" s="61" t="s">
        <v>859</v>
      </c>
      <c r="G156" s="67">
        <v>11810</v>
      </c>
      <c r="H156" s="60" t="s">
        <v>772</v>
      </c>
      <c r="I156" s="60" t="s">
        <v>773</v>
      </c>
      <c r="J156" s="61"/>
      <c r="K156" s="61"/>
      <c r="L156" s="60"/>
      <c r="M156" s="74" t="str">
        <f>IF($C156="","",IF($D156="Gider",$E156,IF($L156&lt;&gt;"",$L156,$H156)))</f>
        <v>Vergi / Harç</v>
      </c>
      <c r="N156" s="74" t="str">
        <f>IF($C156="","",IF($D156="Gider",$H156,$E156))</f>
        <v>Merkez Kasa</v>
      </c>
      <c r="O156" s="73">
        <f>IF($C156="","",DATE(YEAR($C156),MONTH($C156),1))</f>
        <v>46143</v>
      </c>
      <c r="P156" s="65" t="str">
        <f ca="1">IF($C156="","",IF(AND($D156="Gelir",$L156&lt;&gt;"",$T156=""),"TANIMSIZ BORÇLU",IF($T156&lt;&gt;"",IF(OR($E156="",$G156&lt;=0),"EKSİK",IF($I156="Evet","TAHAKKUK NAKİT OLAMAZ",IF($C156&gt;TODAY(),"İLERİ TARİH","TAHAKKUK"))),IF(AND($D156&lt;&gt;"",$E156&lt;&gt;"",$G156&gt;0,$H156&lt;&gt;"",$I156&lt;&gt;""),IF($C156&gt;TODAY(),"İLERİ TARİH",IF(COUNTIF($W$7:$W$3001,$W156)&gt;1,"MÜKERRER?",IF($AD156&gt;0,"KAPALI DÖNEM",IF($I156="Hayır","ÖDENECEK","UYGUN")))),"EKSİK"))))</f>
        <v>UYGUN</v>
      </c>
      <c r="Q156" s="2"/>
      <c r="R156" s="2"/>
      <c r="S156" s="1" t="str">
        <f t="shared" si="8"/>
        <v/>
      </c>
      <c r="T156" s="1" t="str">
        <f>IF(OR($C156="",$D156&lt;&gt;"Gelir",$L156=""),"",IFERROR(INDEX(MUSTERILER!$B$7:$B$156,MATCH($S156,MUSTERILER!$T$7:$T$156,0)),""))</f>
        <v/>
      </c>
      <c r="U156" s="1" t="str">
        <f>IF($T156="","",$T156&amp;"|"&amp;COUNTIFS($T$7:$T156,$T156))</f>
        <v/>
      </c>
      <c r="V156" s="1">
        <f t="shared" si="9"/>
        <v>0</v>
      </c>
      <c r="W156" s="1" t="str">
        <f t="shared" si="10"/>
        <v>Gider|Vergi / Harç|46165|11810|Bağkur Ödemesi|</v>
      </c>
      <c r="X156" s="1"/>
      <c r="Y156" s="1"/>
      <c r="Z156" s="1"/>
      <c r="AA156" s="1"/>
      <c r="AB156" s="1"/>
      <c r="AC156" s="1"/>
      <c r="AD156" s="1">
        <f>IF($C156="",0,SUMPRODUCT((AY_SONU!$O$7:$O$42="Evet")*(AY_SONU!$B$7:$B$42=DATE(YEAR($C156),MONTH($C156),1))))</f>
        <v>0</v>
      </c>
      <c r="AE156" s="1" t="str">
        <f>IF($E156="","",$E156&amp;"|"&amp;COUNTIFS($E$7:$E156,$E156))</f>
        <v>Vergi / Harç|11</v>
      </c>
    </row>
    <row r="157" spans="1:31" ht="18" customHeight="1" x14ac:dyDescent="0.3">
      <c r="A157" s="2"/>
      <c r="B157" s="65" t="str">
        <f>IF($C157="","","GG"&amp;TEXT(ROW()-6,"00000"))</f>
        <v>GG00151</v>
      </c>
      <c r="C157" s="66">
        <v>46165</v>
      </c>
      <c r="D157" s="60" t="s">
        <v>769</v>
      </c>
      <c r="E157" s="61" t="s">
        <v>788</v>
      </c>
      <c r="F157" s="61" t="s">
        <v>789</v>
      </c>
      <c r="G157" s="67">
        <v>2000</v>
      </c>
      <c r="H157" s="60" t="s">
        <v>772</v>
      </c>
      <c r="I157" s="60" t="s">
        <v>773</v>
      </c>
      <c r="J157" s="61"/>
      <c r="K157" s="61"/>
      <c r="L157" s="60"/>
      <c r="M157" s="74" t="str">
        <f>IF($C157="","",IF($D157="Gider",$E157,IF($L157&lt;&gt;"",$L157,$H157)))</f>
        <v>Ulaşım</v>
      </c>
      <c r="N157" s="74" t="str">
        <f>IF($C157="","",IF($D157="Gider",$H157,$E157))</f>
        <v>Merkez Kasa</v>
      </c>
      <c r="O157" s="73">
        <f>IF($C157="","",DATE(YEAR($C157),MONTH($C157),1))</f>
        <v>46143</v>
      </c>
      <c r="P157" s="65" t="str">
        <f ca="1">IF($C157="","",IF(AND($D157="Gelir",$L157&lt;&gt;"",$T157=""),"TANIMSIZ BORÇLU",IF($T157&lt;&gt;"",IF(OR($E157="",$G157&lt;=0),"EKSİK",IF($I157="Evet","TAHAKKUK NAKİT OLAMAZ",IF($C157&gt;TODAY(),"İLERİ TARİH","TAHAKKUK"))),IF(AND($D157&lt;&gt;"",$E157&lt;&gt;"",$G157&gt;0,$H157&lt;&gt;"",$I157&lt;&gt;""),IF($C157&gt;TODAY(),"İLERİ TARİH",IF(COUNTIF($W$7:$W$3001,$W157)&gt;1,"MÜKERRER?",IF($AD157&gt;0,"KAPALI DÖNEM",IF($I157="Hayır","ÖDENECEK","UYGUN")))),"EKSİK"))))</f>
        <v>UYGUN</v>
      </c>
      <c r="Q157" s="2"/>
      <c r="R157" s="2"/>
      <c r="S157" s="1" t="str">
        <f t="shared" si="8"/>
        <v/>
      </c>
      <c r="T157" s="1" t="str">
        <f>IF(OR($C157="",$D157&lt;&gt;"Gelir",$L157=""),"",IFERROR(INDEX(MUSTERILER!$B$7:$B$156,MATCH($S157,MUSTERILER!$T$7:$T$156,0)),""))</f>
        <v/>
      </c>
      <c r="U157" s="1" t="str">
        <f>IF($T157="","",$T157&amp;"|"&amp;COUNTIFS($T$7:$T157,$T157))</f>
        <v/>
      </c>
      <c r="V157" s="1">
        <f t="shared" si="9"/>
        <v>0</v>
      </c>
      <c r="W157" s="1" t="str">
        <f t="shared" si="10"/>
        <v>Gider|Ulaşım|46165|2000|Araç Yakıt Alımı|</v>
      </c>
      <c r="X157" s="1"/>
      <c r="Y157" s="1"/>
      <c r="Z157" s="1"/>
      <c r="AA157" s="1"/>
      <c r="AB157" s="1"/>
      <c r="AC157" s="1"/>
      <c r="AD157" s="1">
        <f>IF($C157="",0,SUMPRODUCT((AY_SONU!$O$7:$O$42="Evet")*(AY_SONU!$B$7:$B$42=DATE(YEAR($C157),MONTH($C157),1))))</f>
        <v>0</v>
      </c>
      <c r="AE157" s="1" t="str">
        <f>IF($E157="","",$E157&amp;"|"&amp;COUNTIFS($E$7:$E157,$E157))</f>
        <v>Ulaşım|19</v>
      </c>
    </row>
    <row r="158" spans="1:31" ht="18" customHeight="1" x14ac:dyDescent="0.3">
      <c r="A158" s="2"/>
      <c r="B158" s="65" t="str">
        <f>IF($C158="","","GG"&amp;TEXT(ROW()-6,"00000"))</f>
        <v>GG00152</v>
      </c>
      <c r="C158" s="66">
        <v>46169</v>
      </c>
      <c r="D158" s="60" t="s">
        <v>769</v>
      </c>
      <c r="E158" s="61" t="s">
        <v>793</v>
      </c>
      <c r="F158" s="61" t="s">
        <v>917</v>
      </c>
      <c r="G158" s="67">
        <v>30000</v>
      </c>
      <c r="H158" s="60" t="s">
        <v>772</v>
      </c>
      <c r="I158" s="60" t="s">
        <v>773</v>
      </c>
      <c r="J158" s="61"/>
      <c r="K158" s="61"/>
      <c r="L158" s="60"/>
      <c r="M158" s="74" t="str">
        <f>IF($C158="","",IF($D158="Gider",$E158,IF($L158&lt;&gt;"",$L158,$H158)))</f>
        <v>Mehmet Ali Kartal</v>
      </c>
      <c r="N158" s="74" t="str">
        <f>IF($C158="","",IF($D158="Gider",$H158,$E158))</f>
        <v>Merkez Kasa</v>
      </c>
      <c r="O158" s="73">
        <f>IF($C158="","",DATE(YEAR($C158),MONTH($C158),1))</f>
        <v>46143</v>
      </c>
      <c r="P158" s="65" t="str">
        <f ca="1">IF($C158="","",IF(AND($D158="Gelir",$L158&lt;&gt;"",$T158=""),"TANIMSIZ BORÇLU",IF($T158&lt;&gt;"",IF(OR($E158="",$G158&lt;=0),"EKSİK",IF($I158="Evet","TAHAKKUK NAKİT OLAMAZ",IF($C158&gt;TODAY(),"İLERİ TARİH","TAHAKKUK"))),IF(AND($D158&lt;&gt;"",$E158&lt;&gt;"",$G158&gt;0,$H158&lt;&gt;"",$I158&lt;&gt;""),IF($C158&gt;TODAY(),"İLERİ TARİH",IF(COUNTIF($W$7:$W$3001,$W158)&gt;1,"MÜKERRER?",IF($AD158&gt;0,"KAPALI DÖNEM",IF($I158="Hayır","ÖDENECEK","UYGUN")))),"EKSİK"))))</f>
        <v>UYGUN</v>
      </c>
      <c r="Q158" s="2"/>
      <c r="R158" s="2"/>
      <c r="S158" s="1" t="str">
        <f t="shared" si="8"/>
        <v/>
      </c>
      <c r="T158" s="1" t="str">
        <f>IF(OR($C158="",$D158&lt;&gt;"Gelir",$L158=""),"",IFERROR(INDEX(MUSTERILER!$B$7:$B$156,MATCH($S158,MUSTERILER!$T$7:$T$156,0)),""))</f>
        <v/>
      </c>
      <c r="U158" s="1" t="str">
        <f>IF($T158="","",$T158&amp;"|"&amp;COUNTIFS($T$7:$T158,$T158))</f>
        <v/>
      </c>
      <c r="V158" s="1">
        <f t="shared" si="9"/>
        <v>0</v>
      </c>
      <c r="W158" s="1" t="str">
        <f t="shared" si="10"/>
        <v>Gider|Mehmet Ali Kartal|46169|30000|Mehmet Ali Kartal Haziran Maaşı|</v>
      </c>
      <c r="X158" s="1"/>
      <c r="Y158" s="1"/>
      <c r="Z158" s="1"/>
      <c r="AA158" s="1"/>
      <c r="AB158" s="1"/>
      <c r="AC158" s="1"/>
      <c r="AD158" s="1">
        <f>IF($C158="",0,SUMPRODUCT((AY_SONU!$O$7:$O$42="Evet")*(AY_SONU!$B$7:$B$42=DATE(YEAR($C158),MONTH($C158),1))))</f>
        <v>0</v>
      </c>
      <c r="AE158" s="1" t="str">
        <f>IF($E158="","",$E158&amp;"|"&amp;COUNTIFS($E$7:$E158,$E158))</f>
        <v>Mehmet Ali Kartal|6</v>
      </c>
    </row>
    <row r="159" spans="1:31" ht="18" customHeight="1" x14ac:dyDescent="0.3">
      <c r="A159" s="2"/>
      <c r="B159" s="65" t="str">
        <f>IF($C159="","","GG"&amp;TEXT(ROW()-6,"00000"))</f>
        <v>GG00153</v>
      </c>
      <c r="C159" s="66">
        <v>46173</v>
      </c>
      <c r="D159" s="60" t="s">
        <v>769</v>
      </c>
      <c r="E159" s="61" t="s">
        <v>788</v>
      </c>
      <c r="F159" s="61" t="s">
        <v>918</v>
      </c>
      <c r="G159" s="67">
        <v>2000</v>
      </c>
      <c r="H159" s="60" t="s">
        <v>772</v>
      </c>
      <c r="I159" s="60" t="s">
        <v>773</v>
      </c>
      <c r="J159" s="61"/>
      <c r="K159" s="61"/>
      <c r="L159" s="60"/>
      <c r="M159" s="74" t="str">
        <f>IF($C159="","",IF($D159="Gider",$E159,IF($L159&lt;&gt;"",$L159,$H159)))</f>
        <v>Ulaşım</v>
      </c>
      <c r="N159" s="74" t="str">
        <f>IF($C159="","",IF($D159="Gider",$H159,$E159))</f>
        <v>Merkez Kasa</v>
      </c>
      <c r="O159" s="73">
        <f>IF($C159="","",DATE(YEAR($C159),MONTH($C159),1))</f>
        <v>46143</v>
      </c>
      <c r="P159" s="65" t="str">
        <f ca="1">IF($C159="","",IF(AND($D159="Gelir",$L159&lt;&gt;"",$T159=""),"TANIMSIZ BORÇLU",IF($T159&lt;&gt;"",IF(OR($E159="",$G159&lt;=0),"EKSİK",IF($I159="Evet","TAHAKKUK NAKİT OLAMAZ",IF($C159&gt;TODAY(),"İLERİ TARİH","TAHAKKUK"))),IF(AND($D159&lt;&gt;"",$E159&lt;&gt;"",$G159&gt;0,$H159&lt;&gt;"",$I159&lt;&gt;""),IF($C159&gt;TODAY(),"İLERİ TARİH",IF(COUNTIF($W$7:$W$3001,$W159)&gt;1,"MÜKERRER?",IF($AD159&gt;0,"KAPALI DÖNEM",IF($I159="Hayır","ÖDENECEK","UYGUN")))),"EKSİK"))))</f>
        <v>UYGUN</v>
      </c>
      <c r="Q159" s="2"/>
      <c r="R159" s="2"/>
      <c r="S159" s="1" t="str">
        <f t="shared" si="8"/>
        <v/>
      </c>
      <c r="T159" s="1" t="str">
        <f>IF(OR($C159="",$D159&lt;&gt;"Gelir",$L159=""),"",IFERROR(INDEX(MUSTERILER!$B$7:$B$156,MATCH($S159,MUSTERILER!$T$7:$T$156,0)),""))</f>
        <v/>
      </c>
      <c r="U159" s="1" t="str">
        <f>IF($T159="","",$T159&amp;"|"&amp;COUNTIFS($T$7:$T159,$T159))</f>
        <v/>
      </c>
      <c r="V159" s="1">
        <f t="shared" si="9"/>
        <v>0</v>
      </c>
      <c r="W159" s="1" t="str">
        <f t="shared" si="10"/>
        <v>Gider|Ulaşım|46173|2000|AraçYakıt|</v>
      </c>
      <c r="X159" s="1"/>
      <c r="Y159" s="1"/>
      <c r="Z159" s="1"/>
      <c r="AA159" s="1"/>
      <c r="AB159" s="1"/>
      <c r="AC159" s="1"/>
      <c r="AD159" s="1">
        <f>IF($C159="",0,SUMPRODUCT((AY_SONU!$O$7:$O$42="Evet")*(AY_SONU!$B$7:$B$42=DATE(YEAR($C159),MONTH($C159),1))))</f>
        <v>0</v>
      </c>
      <c r="AE159" s="1" t="str">
        <f>IF($E159="","",$E159&amp;"|"&amp;COUNTIFS($E$7:$E159,$E159))</f>
        <v>Ulaşım|20</v>
      </c>
    </row>
    <row r="160" spans="1:31" ht="18" customHeight="1" x14ac:dyDescent="0.3">
      <c r="A160" s="2"/>
      <c r="B160" s="65" t="str">
        <f>IF($C160="","","GG"&amp;TEXT(ROW()-6,"00000"))</f>
        <v>GG00154</v>
      </c>
      <c r="C160" s="66">
        <v>46173</v>
      </c>
      <c r="D160" s="60" t="s">
        <v>769</v>
      </c>
      <c r="E160" s="61" t="s">
        <v>788</v>
      </c>
      <c r="F160" s="61" t="s">
        <v>789</v>
      </c>
      <c r="G160" s="67">
        <v>2000</v>
      </c>
      <c r="H160" s="60" t="s">
        <v>772</v>
      </c>
      <c r="I160" s="60" t="s">
        <v>773</v>
      </c>
      <c r="J160" s="61"/>
      <c r="K160" s="61"/>
      <c r="L160" s="60"/>
      <c r="M160" s="74" t="str">
        <f>IF($C160="","",IF($D160="Gider",$E160,IF($L160&lt;&gt;"",$L160,$H160)))</f>
        <v>Ulaşım</v>
      </c>
      <c r="N160" s="74" t="str">
        <f>IF($C160="","",IF($D160="Gider",$H160,$E160))</f>
        <v>Merkez Kasa</v>
      </c>
      <c r="O160" s="73">
        <f>IF($C160="","",DATE(YEAR($C160),MONTH($C160),1))</f>
        <v>46143</v>
      </c>
      <c r="P160" s="65" t="str">
        <f ca="1">IF($C160="","",IF(AND($D160="Gelir",$L160&lt;&gt;"",$T160=""),"TANIMSIZ BORÇLU",IF($T160&lt;&gt;"",IF(OR($E160="",$G160&lt;=0),"EKSİK",IF($I160="Evet","TAHAKKUK NAKİT OLAMAZ",IF($C160&gt;TODAY(),"İLERİ TARİH","TAHAKKUK"))),IF(AND($D160&lt;&gt;"",$E160&lt;&gt;"",$G160&gt;0,$H160&lt;&gt;"",$I160&lt;&gt;""),IF($C160&gt;TODAY(),"İLERİ TARİH",IF(COUNTIF($W$7:$W$3001,$W160)&gt;1,"MÜKERRER?",IF($AD160&gt;0,"KAPALI DÖNEM",IF($I160="Hayır","ÖDENECEK","UYGUN")))),"EKSİK"))))</f>
        <v>UYGUN</v>
      </c>
      <c r="Q160" s="2"/>
      <c r="R160" s="2"/>
      <c r="S160" s="1" t="str">
        <f t="shared" si="8"/>
        <v/>
      </c>
      <c r="T160" s="1" t="str">
        <f>IF(OR($C160="",$D160&lt;&gt;"Gelir",$L160=""),"",IFERROR(INDEX(MUSTERILER!$B$7:$B$156,MATCH($S160,MUSTERILER!$T$7:$T$156,0)),""))</f>
        <v/>
      </c>
      <c r="U160" s="1" t="str">
        <f>IF($T160="","",$T160&amp;"|"&amp;COUNTIFS($T$7:$T160,$T160))</f>
        <v/>
      </c>
      <c r="V160" s="1">
        <f t="shared" si="9"/>
        <v>0</v>
      </c>
      <c r="W160" s="1" t="str">
        <f t="shared" si="10"/>
        <v>Gider|Ulaşım|46173|2000|Araç Yakıt Alımı|</v>
      </c>
      <c r="X160" s="1"/>
      <c r="Y160" s="1"/>
      <c r="Z160" s="1"/>
      <c r="AA160" s="1"/>
      <c r="AB160" s="1"/>
      <c r="AC160" s="1"/>
      <c r="AD160" s="1">
        <f>IF($C160="",0,SUMPRODUCT((AY_SONU!$O$7:$O$42="Evet")*(AY_SONU!$B$7:$B$42=DATE(YEAR($C160),MONTH($C160),1))))</f>
        <v>0</v>
      </c>
      <c r="AE160" s="1" t="str">
        <f>IF($E160="","",$E160&amp;"|"&amp;COUNTIFS($E$7:$E160,$E160))</f>
        <v>Ulaşım|21</v>
      </c>
    </row>
    <row r="161" spans="1:31" ht="18" customHeight="1" x14ac:dyDescent="0.3">
      <c r="A161" s="2"/>
      <c r="B161" s="65" t="str">
        <f>IF($C161="","","GG"&amp;TEXT(ROW()-6,"00000"))</f>
        <v>GG00155</v>
      </c>
      <c r="C161" s="66">
        <v>46174</v>
      </c>
      <c r="D161" s="60" t="s">
        <v>769</v>
      </c>
      <c r="E161" s="61" t="s">
        <v>793</v>
      </c>
      <c r="F161" s="61" t="s">
        <v>1317</v>
      </c>
      <c r="G161" s="67">
        <v>2500</v>
      </c>
      <c r="H161" s="60" t="s">
        <v>772</v>
      </c>
      <c r="I161" s="60" t="s">
        <v>773</v>
      </c>
      <c r="J161" s="61"/>
      <c r="K161" s="61"/>
      <c r="L161" s="60"/>
      <c r="M161" s="74" t="str">
        <f>IF($C161="","",IF($D161="Gider",$E161,IF($L161&lt;&gt;"",$L161,$H161)))</f>
        <v>Mehmet Ali Kartal</v>
      </c>
      <c r="N161" s="74" t="str">
        <f>IF($C161="","",IF($D161="Gider",$H161,$E161))</f>
        <v>Merkez Kasa</v>
      </c>
      <c r="O161" s="73">
        <f>IF($C161="","",DATE(YEAR($C161),MONTH($C161),1))</f>
        <v>46174</v>
      </c>
      <c r="P161" s="65" t="str">
        <f ca="1">IF($C161="","",IF(AND($D161="Gelir",$L161&lt;&gt;"",$T161=""),"TANIMSIZ BORÇLU",IF($T161&lt;&gt;"",IF(OR($E161="",$G161&lt;=0),"EKSİK",IF($I161="Evet","TAHAKKUK NAKİT OLAMAZ",IF($C161&gt;TODAY(),"İLERİ TARİH","TAHAKKUK"))),IF(AND($D161&lt;&gt;"",$E161&lt;&gt;"",$G161&gt;0,$H161&lt;&gt;"",$I161&lt;&gt;""),IF($C161&gt;TODAY(),"İLERİ TARİH",IF(COUNTIF($W$7:$W$3001,$W161)&gt;1,"MÜKERRER?",IF($AD161&gt;0,"KAPALI DÖNEM",IF($I161="Hayır","ÖDENECEK","UYGUN")))),"EKSİK"))))</f>
        <v>UYGUN</v>
      </c>
      <c r="Q161" s="2"/>
      <c r="R161" s="2"/>
      <c r="S161" s="1" t="str">
        <f t="shared" si="8"/>
        <v/>
      </c>
      <c r="T161" s="1" t="str">
        <f>IF(OR($C161="",$D161&lt;&gt;"Gelir",$L161=""),"",IFERROR(INDEX(MUSTERILER!$B$7:$B$156,MATCH($S161,MUSTERILER!$T$7:$T$156,0)),""))</f>
        <v/>
      </c>
      <c r="U161" s="1" t="str">
        <f>IF($T161="","",$T161&amp;"|"&amp;COUNTIFS($T$7:$T161,$T161))</f>
        <v/>
      </c>
      <c r="V161" s="1">
        <f t="shared" si="9"/>
        <v>0</v>
      </c>
      <c r="W161" s="1" t="str">
        <f t="shared" si="10"/>
        <v>Gider|Mehmet Ali Kartal|46174|2500|CEREN DEMİRCİ SGK|</v>
      </c>
      <c r="X161" s="1"/>
      <c r="Y161" s="1"/>
      <c r="Z161" s="1"/>
      <c r="AA161" s="1"/>
      <c r="AB161" s="1"/>
      <c r="AC161" s="1"/>
      <c r="AD161" s="1">
        <f>IF($C161="",0,SUMPRODUCT((AY_SONU!$O$7:$O$42="Evet")*(AY_SONU!$B$7:$B$42=DATE(YEAR($C161),MONTH($C161),1))))</f>
        <v>0</v>
      </c>
      <c r="AE161" s="1" t="str">
        <f>IF($E161="","",$E161&amp;"|"&amp;COUNTIFS($E$7:$E161,$E161))</f>
        <v>Mehmet Ali Kartal|7</v>
      </c>
    </row>
    <row r="162" spans="1:31" ht="18" customHeight="1" x14ac:dyDescent="0.3">
      <c r="A162" s="2"/>
      <c r="B162" s="65" t="str">
        <f>IF($C162="","","GG"&amp;TEXT(ROW()-6,"00000"))</f>
        <v>GG00156</v>
      </c>
      <c r="C162" s="66">
        <v>46179</v>
      </c>
      <c r="D162" s="60" t="s">
        <v>769</v>
      </c>
      <c r="E162" s="61" t="s">
        <v>781</v>
      </c>
      <c r="F162" s="61" t="s">
        <v>919</v>
      </c>
      <c r="G162" s="67">
        <v>800</v>
      </c>
      <c r="H162" s="60" t="s">
        <v>772</v>
      </c>
      <c r="I162" s="60" t="s">
        <v>773</v>
      </c>
      <c r="J162" s="61"/>
      <c r="K162" s="61"/>
      <c r="L162" s="60"/>
      <c r="M162" s="74" t="str">
        <f>IF($C162="","",IF($D162="Gider",$E162,IF($L162&lt;&gt;"",$L162,$H162)))</f>
        <v>Telefon / İnternet</v>
      </c>
      <c r="N162" s="74" t="str">
        <f>IF($C162="","",IF($D162="Gider",$H162,$E162))</f>
        <v>Merkez Kasa</v>
      </c>
      <c r="O162" s="73">
        <f>IF($C162="","",DATE(YEAR($C162),MONTH($C162),1))</f>
        <v>46174</v>
      </c>
      <c r="P162" s="65" t="str">
        <f ca="1">IF($C162="","",IF(AND($D162="Gelir",$L162&lt;&gt;"",$T162=""),"TANIMSIZ BORÇLU",IF($T162&lt;&gt;"",IF(OR($E162="",$G162&lt;=0),"EKSİK",IF($I162="Evet","TAHAKKUK NAKİT OLAMAZ",IF($C162&gt;TODAY(),"İLERİ TARİH","TAHAKKUK"))),IF(AND($D162&lt;&gt;"",$E162&lt;&gt;"",$G162&gt;0,$H162&lt;&gt;"",$I162&lt;&gt;""),IF($C162&gt;TODAY(),"İLERİ TARİH",IF(COUNTIF($W$7:$W$3001,$W162)&gt;1,"MÜKERRER?",IF($AD162&gt;0,"KAPALI DÖNEM",IF($I162="Hayır","ÖDENECEK","UYGUN")))),"EKSİK"))))</f>
        <v>UYGUN</v>
      </c>
      <c r="Q162" s="2"/>
      <c r="R162" s="2"/>
      <c r="S162" s="1" t="str">
        <f t="shared" si="8"/>
        <v/>
      </c>
      <c r="T162" s="1" t="str">
        <f>IF(OR($C162="",$D162&lt;&gt;"Gelir",$L162=""),"",IFERROR(INDEX(MUSTERILER!$B$7:$B$156,MATCH($S162,MUSTERILER!$T$7:$T$156,0)),""))</f>
        <v/>
      </c>
      <c r="U162" s="1" t="str">
        <f>IF($T162="","",$T162&amp;"|"&amp;COUNTIFS($T$7:$T162,$T162))</f>
        <v/>
      </c>
      <c r="V162" s="1">
        <f t="shared" si="9"/>
        <v>0</v>
      </c>
      <c r="W162" s="1" t="str">
        <f t="shared" si="10"/>
        <v>Gider|Telefon / İnternet|46179|800|Ofis Whatsapp Hattı Haziran|</v>
      </c>
      <c r="X162" s="1"/>
      <c r="Y162" s="1"/>
      <c r="Z162" s="1"/>
      <c r="AA162" s="1"/>
      <c r="AB162" s="1"/>
      <c r="AC162" s="1"/>
      <c r="AD162" s="1">
        <f>IF($C162="",0,SUMPRODUCT((AY_SONU!$O$7:$O$42="Evet")*(AY_SONU!$B$7:$B$42=DATE(YEAR($C162),MONTH($C162),1))))</f>
        <v>0</v>
      </c>
      <c r="AE162" s="1" t="str">
        <f>IF($E162="","",$E162&amp;"|"&amp;COUNTIFS($E$7:$E162,$E162))</f>
        <v>Telefon / İnternet|13</v>
      </c>
    </row>
    <row r="163" spans="1:31" ht="18" customHeight="1" x14ac:dyDescent="0.3">
      <c r="A163" s="2"/>
      <c r="B163" s="65" t="str">
        <f>IF($C163="","","GG"&amp;TEXT(ROW()-6,"00000"))</f>
        <v>GG00157</v>
      </c>
      <c r="C163" s="66">
        <v>46179</v>
      </c>
      <c r="D163" s="60" t="s">
        <v>769</v>
      </c>
      <c r="E163" s="61" t="s">
        <v>788</v>
      </c>
      <c r="F163" s="61" t="s">
        <v>789</v>
      </c>
      <c r="G163" s="67">
        <v>2000</v>
      </c>
      <c r="H163" s="60" t="s">
        <v>772</v>
      </c>
      <c r="I163" s="60" t="s">
        <v>773</v>
      </c>
      <c r="J163" s="61"/>
      <c r="K163" s="61"/>
      <c r="L163" s="60"/>
      <c r="M163" s="74" t="str">
        <f>IF($C163="","",IF($D163="Gider",$E163,IF($L163&lt;&gt;"",$L163,$H163)))</f>
        <v>Ulaşım</v>
      </c>
      <c r="N163" s="74" t="str">
        <f>IF($C163="","",IF($D163="Gider",$H163,$E163))</f>
        <v>Merkez Kasa</v>
      </c>
      <c r="O163" s="73">
        <f>IF($C163="","",DATE(YEAR($C163),MONTH($C163),1))</f>
        <v>46174</v>
      </c>
      <c r="P163" s="65" t="str">
        <f ca="1">IF($C163="","",IF(AND($D163="Gelir",$L163&lt;&gt;"",$T163=""),"TANIMSIZ BORÇLU",IF($T163&lt;&gt;"",IF(OR($E163="",$G163&lt;=0),"EKSİK",IF($I163="Evet","TAHAKKUK NAKİT OLAMAZ",IF($C163&gt;TODAY(),"İLERİ TARİH","TAHAKKUK"))),IF(AND($D163&lt;&gt;"",$E163&lt;&gt;"",$G163&gt;0,$H163&lt;&gt;"",$I163&lt;&gt;""),IF($C163&gt;TODAY(),"İLERİ TARİH",IF(COUNTIF($W$7:$W$3001,$W163)&gt;1,"MÜKERRER?",IF($AD163&gt;0,"KAPALI DÖNEM",IF($I163="Hayır","ÖDENECEK","UYGUN")))),"EKSİK"))))</f>
        <v>UYGUN</v>
      </c>
      <c r="Q163" s="2"/>
      <c r="R163" s="2"/>
      <c r="S163" s="1" t="str">
        <f t="shared" si="8"/>
        <v/>
      </c>
      <c r="T163" s="1" t="str">
        <f>IF(OR($C163="",$D163&lt;&gt;"Gelir",$L163=""),"",IFERROR(INDEX(MUSTERILER!$B$7:$B$156,MATCH($S163,MUSTERILER!$T$7:$T$156,0)),""))</f>
        <v/>
      </c>
      <c r="U163" s="1" t="str">
        <f>IF($T163="","",$T163&amp;"|"&amp;COUNTIFS($T$7:$T163,$T163))</f>
        <v/>
      </c>
      <c r="V163" s="1">
        <f t="shared" si="9"/>
        <v>0</v>
      </c>
      <c r="W163" s="1" t="str">
        <f t="shared" si="10"/>
        <v>Gider|Ulaşım|46179|2000|Araç Yakıt Alımı|</v>
      </c>
      <c r="X163" s="1"/>
      <c r="Y163" s="1"/>
      <c r="Z163" s="1"/>
      <c r="AA163" s="1"/>
      <c r="AB163" s="1"/>
      <c r="AC163" s="1"/>
      <c r="AD163" s="1">
        <f>IF($C163="",0,SUMPRODUCT((AY_SONU!$O$7:$O$42="Evet")*(AY_SONU!$B$7:$B$42=DATE(YEAR($C163),MONTH($C163),1))))</f>
        <v>0</v>
      </c>
      <c r="AE163" s="1" t="str">
        <f>IF($E163="","",$E163&amp;"|"&amp;COUNTIFS($E$7:$E163,$E163))</f>
        <v>Ulaşım|22</v>
      </c>
    </row>
    <row r="164" spans="1:31" ht="18" customHeight="1" x14ac:dyDescent="0.3">
      <c r="A164" s="2"/>
      <c r="B164" s="65" t="str">
        <f>IF($C164="","","GG"&amp;TEXT(ROW()-6,"00000"))</f>
        <v>GG00158</v>
      </c>
      <c r="C164" s="66">
        <v>46179</v>
      </c>
      <c r="D164" s="60" t="s">
        <v>769</v>
      </c>
      <c r="E164" s="61" t="s">
        <v>788</v>
      </c>
      <c r="F164" s="61" t="s">
        <v>920</v>
      </c>
      <c r="G164" s="67">
        <v>2000</v>
      </c>
      <c r="H164" s="60" t="s">
        <v>772</v>
      </c>
      <c r="I164" s="60" t="s">
        <v>773</v>
      </c>
      <c r="J164" s="61"/>
      <c r="K164" s="61"/>
      <c r="L164" s="60"/>
      <c r="M164" s="74" t="str">
        <f>IF($C164="","",IF($D164="Gider",$E164,IF($L164&lt;&gt;"",$L164,$H164)))</f>
        <v>Ulaşım</v>
      </c>
      <c r="N164" s="74" t="str">
        <f>IF($C164="","",IF($D164="Gider",$H164,$E164))</f>
        <v>Merkez Kasa</v>
      </c>
      <c r="O164" s="73">
        <f>IF($C164="","",DATE(YEAR($C164),MONTH($C164),1))</f>
        <v>46174</v>
      </c>
      <c r="P164" s="65" t="str">
        <f ca="1">IF($C164="","",IF(AND($D164="Gelir",$L164&lt;&gt;"",$T164=""),"TANIMSIZ BORÇLU",IF($T164&lt;&gt;"",IF(OR($E164="",$G164&lt;=0),"EKSİK",IF($I164="Evet","TAHAKKUK NAKİT OLAMAZ",IF($C164&gt;TODAY(),"İLERİ TARİH","TAHAKKUK"))),IF(AND($D164&lt;&gt;"",$E164&lt;&gt;"",$G164&gt;0,$H164&lt;&gt;"",$I164&lt;&gt;""),IF($C164&gt;TODAY(),"İLERİ TARİH",IF(COUNTIF($W$7:$W$3001,$W164)&gt;1,"MÜKERRER?",IF($AD164&gt;0,"KAPALI DÖNEM",IF($I164="Hayır","ÖDENECEK","UYGUN")))),"EKSİK"))))</f>
        <v>UYGUN</v>
      </c>
      <c r="Q164" s="2"/>
      <c r="R164" s="2"/>
      <c r="S164" s="1" t="str">
        <f t="shared" si="8"/>
        <v/>
      </c>
      <c r="T164" s="1" t="str">
        <f>IF(OR($C164="",$D164&lt;&gt;"Gelir",$L164=""),"",IFERROR(INDEX(MUSTERILER!$B$7:$B$156,MATCH($S164,MUSTERILER!$T$7:$T$156,0)),""))</f>
        <v/>
      </c>
      <c r="U164" s="1" t="str">
        <f>IF($T164="","",$T164&amp;"|"&amp;COUNTIFS($T$7:$T164,$T164))</f>
        <v/>
      </c>
      <c r="V164" s="1">
        <f t="shared" si="9"/>
        <v>0</v>
      </c>
      <c r="W164" s="1" t="str">
        <f t="shared" si="10"/>
        <v>Gider|Ulaşım|46179|2000|Araç Lastik Değişimi Yıkama|</v>
      </c>
      <c r="X164" s="1"/>
      <c r="Y164" s="1"/>
      <c r="Z164" s="1"/>
      <c r="AA164" s="1"/>
      <c r="AB164" s="1"/>
      <c r="AC164" s="1"/>
      <c r="AD164" s="1">
        <f>IF($C164="",0,SUMPRODUCT((AY_SONU!$O$7:$O$42="Evet")*(AY_SONU!$B$7:$B$42=DATE(YEAR($C164),MONTH($C164),1))))</f>
        <v>0</v>
      </c>
      <c r="AE164" s="1" t="str">
        <f>IF($E164="","",$E164&amp;"|"&amp;COUNTIFS($E$7:$E164,$E164))</f>
        <v>Ulaşım|23</v>
      </c>
    </row>
    <row r="165" spans="1:31" ht="18" customHeight="1" x14ac:dyDescent="0.3">
      <c r="A165" s="2"/>
      <c r="B165" s="65" t="str">
        <f>IF($C165="","","GG"&amp;TEXT(ROW()-6,"00000"))</f>
        <v>GG00159</v>
      </c>
      <c r="C165" s="66">
        <v>46183</v>
      </c>
      <c r="D165" s="60" t="s">
        <v>795</v>
      </c>
      <c r="E165" s="61" t="s">
        <v>911</v>
      </c>
      <c r="F165" s="61" t="s">
        <v>921</v>
      </c>
      <c r="G165" s="67">
        <v>7050</v>
      </c>
      <c r="H165" s="60" t="s">
        <v>723</v>
      </c>
      <c r="I165" s="60" t="s">
        <v>773</v>
      </c>
      <c r="J165" s="61"/>
      <c r="K165" s="61"/>
      <c r="L165" s="60"/>
      <c r="M165" s="74" t="str">
        <f>IF($C165="","",IF($D165="Gider",$E165,IF($L165&lt;&gt;"",$L165,$H165)))</f>
        <v>ÖMER KARTAL</v>
      </c>
      <c r="N165" s="74" t="str">
        <f>IF($C165="","",IF($D165="Gider",$H165,$E165))</f>
        <v>Luca Kontör</v>
      </c>
      <c r="O165" s="73">
        <f>IF($C165="","",DATE(YEAR($C165),MONTH($C165),1))</f>
        <v>46174</v>
      </c>
      <c r="P165" s="65" t="str">
        <f ca="1">IF($C165="","",IF(AND($D165="Gelir",$L165&lt;&gt;"",$T165=""),"TANIMSIZ BORÇLU",IF($T165&lt;&gt;"",IF(OR($E165="",$G165&lt;=0),"EKSİK",IF($I165="Evet","TAHAKKUK NAKİT OLAMAZ",IF($C165&gt;TODAY(),"İLERİ TARİH","TAHAKKUK"))),IF(AND($D165&lt;&gt;"",$E165&lt;&gt;"",$G165&gt;0,$H165&lt;&gt;"",$I165&lt;&gt;""),IF($C165&gt;TODAY(),"İLERİ TARİH",IF(COUNTIF($W$7:$W$3001,$W165)&gt;1,"MÜKERRER?",IF($AD165&gt;0,"KAPALI DÖNEM",IF($I165="Hayır","ÖDENECEK","UYGUN")))),"EKSİK"))))</f>
        <v>UYGUN</v>
      </c>
      <c r="Q165" s="2"/>
      <c r="R165" s="2"/>
      <c r="S165" s="1" t="str">
        <f t="shared" si="8"/>
        <v/>
      </c>
      <c r="T165" s="1" t="str">
        <f>IF(OR($C165="",$D165&lt;&gt;"Gelir",$L165=""),"",IFERROR(INDEX(MUSTERILER!$B$7:$B$156,MATCH($S165,MUSTERILER!$T$7:$T$156,0)),""))</f>
        <v/>
      </c>
      <c r="U165" s="1" t="str">
        <f>IF($T165="","",$T165&amp;"|"&amp;COUNTIFS($T$7:$T165,$T165))</f>
        <v/>
      </c>
      <c r="V165" s="1">
        <f t="shared" si="9"/>
        <v>0</v>
      </c>
      <c r="W165" s="1" t="str">
        <f t="shared" si="10"/>
        <v>Gelir|Luca Kontör|46183|7050|ESERLİ LTD.ŞTİ. LUCA KONTÖR|</v>
      </c>
      <c r="X165" s="1"/>
      <c r="Y165" s="1"/>
      <c r="Z165" s="1"/>
      <c r="AA165" s="1"/>
      <c r="AB165" s="1"/>
      <c r="AC165" s="1"/>
      <c r="AD165" s="1">
        <f>IF($C165="",0,SUMPRODUCT((AY_SONU!$O$7:$O$42="Evet")*(AY_SONU!$B$7:$B$42=DATE(YEAR($C165),MONTH($C165),1))))</f>
        <v>0</v>
      </c>
      <c r="AE165" s="1" t="str">
        <f>IF($E165="","",$E165&amp;"|"&amp;COUNTIFS($E$7:$E165,$E165))</f>
        <v>Luca Kontör|3</v>
      </c>
    </row>
    <row r="166" spans="1:31" ht="18" customHeight="1" x14ac:dyDescent="0.3">
      <c r="A166" s="2"/>
      <c r="B166" s="65" t="str">
        <f>IF($C166="","","GG"&amp;TEXT(ROW()-6,"00000"))</f>
        <v>GG00160</v>
      </c>
      <c r="C166" s="66">
        <v>46183</v>
      </c>
      <c r="D166" s="60" t="s">
        <v>795</v>
      </c>
      <c r="E166" s="61" t="s">
        <v>911</v>
      </c>
      <c r="F166" s="61" t="s">
        <v>922</v>
      </c>
      <c r="G166" s="67">
        <v>7050</v>
      </c>
      <c r="H166" s="60" t="s">
        <v>717</v>
      </c>
      <c r="I166" s="60" t="s">
        <v>773</v>
      </c>
      <c r="J166" s="61"/>
      <c r="K166" s="61"/>
      <c r="L166" s="60"/>
      <c r="M166" s="74" t="str">
        <f>IF($C166="","",IF($D166="Gider",$E166,IF($L166&lt;&gt;"",$L166,$H166)))</f>
        <v>MERKEZ KASA</v>
      </c>
      <c r="N166" s="74" t="str">
        <f>IF($C166="","",IF($D166="Gider",$H166,$E166))</f>
        <v>Luca Kontör</v>
      </c>
      <c r="O166" s="73">
        <f>IF($C166="","",DATE(YEAR($C166),MONTH($C166),1))</f>
        <v>46174</v>
      </c>
      <c r="P166" s="65" t="str">
        <f ca="1">IF($C166="","",IF(AND($D166="Gelir",$L166&lt;&gt;"",$T166=""),"TANIMSIZ BORÇLU",IF($T166&lt;&gt;"",IF(OR($E166="",$G166&lt;=0),"EKSİK",IF($I166="Evet","TAHAKKUK NAKİT OLAMAZ",IF($C166&gt;TODAY(),"İLERİ TARİH","TAHAKKUK"))),IF(AND($D166&lt;&gt;"",$E166&lt;&gt;"",$G166&gt;0,$H166&lt;&gt;"",$I166&lt;&gt;""),IF($C166&gt;TODAY(),"İLERİ TARİH",IF(COUNTIF($W$7:$W$3001,$W166)&gt;1,"MÜKERRER?",IF($AD166&gt;0,"KAPALI DÖNEM",IF($I166="Hayır","ÖDENECEK","UYGUN")))),"EKSİK"))))</f>
        <v>UYGUN</v>
      </c>
      <c r="Q166" s="2"/>
      <c r="R166" s="2"/>
      <c r="S166" s="1" t="str">
        <f t="shared" si="8"/>
        <v/>
      </c>
      <c r="T166" s="1" t="str">
        <f>IF(OR($C166="",$D166&lt;&gt;"Gelir",$L166=""),"",IFERROR(INDEX(MUSTERILER!$B$7:$B$156,MATCH($S166,MUSTERILER!$T$7:$T$156,0)),""))</f>
        <v/>
      </c>
      <c r="U166" s="1" t="str">
        <f>IF($T166="","",$T166&amp;"|"&amp;COUNTIFS($T$7:$T166,$T166))</f>
        <v/>
      </c>
      <c r="V166" s="1">
        <f t="shared" si="9"/>
        <v>0</v>
      </c>
      <c r="W166" s="1" t="str">
        <f t="shared" si="10"/>
        <v>Gelir|Luca Kontör|46183|7050|RİX LTD.ŞTİ. LUCA KONTÖR|</v>
      </c>
      <c r="X166" s="1"/>
      <c r="Y166" s="1"/>
      <c r="Z166" s="1"/>
      <c r="AA166" s="1"/>
      <c r="AB166" s="1"/>
      <c r="AC166" s="1"/>
      <c r="AD166" s="1">
        <f>IF($C166="",0,SUMPRODUCT((AY_SONU!$O$7:$O$42="Evet")*(AY_SONU!$B$7:$B$42=DATE(YEAR($C166),MONTH($C166),1))))</f>
        <v>0</v>
      </c>
      <c r="AE166" s="1" t="str">
        <f>IF($E166="","",$E166&amp;"|"&amp;COUNTIFS($E$7:$E166,$E166))</f>
        <v>Luca Kontör|4</v>
      </c>
    </row>
    <row r="167" spans="1:31" ht="18" customHeight="1" x14ac:dyDescent="0.3">
      <c r="A167" s="2"/>
      <c r="B167" s="65" t="str">
        <f>IF($C167="","","GG"&amp;TEXT(ROW()-6,"00000"))</f>
        <v>GG00161</v>
      </c>
      <c r="C167" s="66">
        <v>46186</v>
      </c>
      <c r="D167" s="60" t="s">
        <v>769</v>
      </c>
      <c r="E167" s="61" t="s">
        <v>798</v>
      </c>
      <c r="F167" s="61" t="s">
        <v>869</v>
      </c>
      <c r="G167" s="67">
        <v>10000</v>
      </c>
      <c r="H167" s="60" t="s">
        <v>772</v>
      </c>
      <c r="I167" s="60" t="s">
        <v>773</v>
      </c>
      <c r="J167" s="61"/>
      <c r="K167" s="61"/>
      <c r="L167" s="60"/>
      <c r="M167" s="74" t="str">
        <f>IF($C167="","",IF($D167="Gider",$E167,IF($L167&lt;&gt;"",$L167,$H167)))</f>
        <v>Personel</v>
      </c>
      <c r="N167" s="74" t="str">
        <f>IF($C167="","",IF($D167="Gider",$H167,$E167))</f>
        <v>Merkez Kasa</v>
      </c>
      <c r="O167" s="73">
        <f>IF($C167="","",DATE(YEAR($C167),MONTH($C167),1))</f>
        <v>46174</v>
      </c>
      <c r="P167" s="65" t="str">
        <f ca="1">IF($C167="","",IF(AND($D167="Gelir",$L167&lt;&gt;"",$T167=""),"TANIMSIZ BORÇLU",IF($T167&lt;&gt;"",IF(OR($E167="",$G167&lt;=0),"EKSİK",IF($I167="Evet","TAHAKKUK NAKİT OLAMAZ",IF($C167&gt;TODAY(),"İLERİ TARİH","TAHAKKUK"))),IF(AND($D167&lt;&gt;"",$E167&lt;&gt;"",$G167&gt;0,$H167&lt;&gt;"",$I167&lt;&gt;""),IF($C167&gt;TODAY(),"İLERİ TARİH",IF(COUNTIF($W$7:$W$3001,$W167)&gt;1,"MÜKERRER?",IF($AD167&gt;0,"KAPALI DÖNEM",IF($I167="Hayır","ÖDENECEK","UYGUN")))),"EKSİK"))))</f>
        <v>UYGUN</v>
      </c>
      <c r="Q167" s="2"/>
      <c r="R167" s="2"/>
      <c r="S167" s="1" t="str">
        <f t="shared" si="8"/>
        <v/>
      </c>
      <c r="T167" s="1" t="str">
        <f>IF(OR($C167="",$D167&lt;&gt;"Gelir",$L167=""),"",IFERROR(INDEX(MUSTERILER!$B$7:$B$156,MATCH($S167,MUSTERILER!$T$7:$T$156,0)),""))</f>
        <v/>
      </c>
      <c r="U167" s="1" t="str">
        <f>IF($T167="","",$T167&amp;"|"&amp;COUNTIFS($T$7:$T167,$T167))</f>
        <v/>
      </c>
      <c r="V167" s="1">
        <f t="shared" si="9"/>
        <v>0</v>
      </c>
      <c r="W167" s="1" t="str">
        <f t="shared" si="10"/>
        <v>Gider|Personel|46186|10000|Irmak Harçlık|</v>
      </c>
      <c r="X167" s="1"/>
      <c r="Y167" s="1"/>
      <c r="Z167" s="1"/>
      <c r="AA167" s="1"/>
      <c r="AB167" s="1"/>
      <c r="AC167" s="1"/>
      <c r="AD167" s="1">
        <f>IF($C167="",0,SUMPRODUCT((AY_SONU!$O$7:$O$42="Evet")*(AY_SONU!$B$7:$B$42=DATE(YEAR($C167),MONTH($C167),1))))</f>
        <v>0</v>
      </c>
      <c r="AE167" s="1" t="str">
        <f>IF($E167="","",$E167&amp;"|"&amp;COUNTIFS($E$7:$E167,$E167))</f>
        <v>Personel|14</v>
      </c>
    </row>
    <row r="168" spans="1:31" ht="18" customHeight="1" x14ac:dyDescent="0.3">
      <c r="A168" s="2"/>
      <c r="B168" s="65" t="str">
        <f>IF($C168="","","GG"&amp;TEXT(ROW()-6,"00000"))</f>
        <v>GG00162</v>
      </c>
      <c r="C168" s="66">
        <v>46186</v>
      </c>
      <c r="D168" s="60" t="s">
        <v>795</v>
      </c>
      <c r="E168" s="61" t="s">
        <v>911</v>
      </c>
      <c r="F168" s="61" t="s">
        <v>923</v>
      </c>
      <c r="G168" s="67">
        <v>7050</v>
      </c>
      <c r="H168" s="60" t="s">
        <v>717</v>
      </c>
      <c r="I168" s="60" t="s">
        <v>773</v>
      </c>
      <c r="J168" s="61"/>
      <c r="K168" s="61"/>
      <c r="L168" s="60"/>
      <c r="M168" s="74" t="str">
        <f>IF($C168="","",IF($D168="Gider",$E168,IF($L168&lt;&gt;"",$L168,$H168)))</f>
        <v>MERKEZ KASA</v>
      </c>
      <c r="N168" s="74" t="str">
        <f>IF($C168="","",IF($D168="Gider",$H168,$E168))</f>
        <v>Luca Kontör</v>
      </c>
      <c r="O168" s="73">
        <f>IF($C168="","",DATE(YEAR($C168),MONTH($C168),1))</f>
        <v>46174</v>
      </c>
      <c r="P168" s="65" t="str">
        <f ca="1">IF($C168="","",IF(AND($D168="Gelir",$L168&lt;&gt;"",$T168=""),"TANIMSIZ BORÇLU",IF($T168&lt;&gt;"",IF(OR($E168="",$G168&lt;=0),"EKSİK",IF($I168="Evet","TAHAKKUK NAKİT OLAMAZ",IF($C168&gt;TODAY(),"İLERİ TARİH","TAHAKKUK"))),IF(AND($D168&lt;&gt;"",$E168&lt;&gt;"",$G168&gt;0,$H168&lt;&gt;"",$I168&lt;&gt;""),IF($C168&gt;TODAY(),"İLERİ TARİH",IF(COUNTIF($W$7:$W$3001,$W168)&gt;1,"MÜKERRER?",IF($AD168&gt;0,"KAPALI DÖNEM",IF($I168="Hayır","ÖDENECEK","UYGUN")))),"EKSİK"))))</f>
        <v>UYGUN</v>
      </c>
      <c r="Q168" s="2"/>
      <c r="R168" s="2"/>
      <c r="S168" s="1" t="str">
        <f t="shared" si="8"/>
        <v/>
      </c>
      <c r="T168" s="1" t="str">
        <f>IF(OR($C168="",$D168&lt;&gt;"Gelir",$L168=""),"",IFERROR(INDEX(MUSTERILER!$B$7:$B$156,MATCH($S168,MUSTERILER!$T$7:$T$156,0)),""))</f>
        <v/>
      </c>
      <c r="U168" s="1" t="str">
        <f>IF($T168="","",$T168&amp;"|"&amp;COUNTIFS($T$7:$T168,$T168))</f>
        <v/>
      </c>
      <c r="V168" s="1">
        <f t="shared" si="9"/>
        <v>0</v>
      </c>
      <c r="W168" s="1" t="str">
        <f t="shared" si="10"/>
        <v>Gelir|Luca Kontör|46186|7050|EĞLENGÖR LTD.ŞTİ. LUCA KONTÖR|</v>
      </c>
      <c r="X168" s="1"/>
      <c r="Y168" s="1"/>
      <c r="Z168" s="1"/>
      <c r="AA168" s="1"/>
      <c r="AB168" s="1"/>
      <c r="AC168" s="1"/>
      <c r="AD168" s="1">
        <f>IF($C168="",0,SUMPRODUCT((AY_SONU!$O$7:$O$42="Evet")*(AY_SONU!$B$7:$B$42=DATE(YEAR($C168),MONTH($C168),1))))</f>
        <v>0</v>
      </c>
      <c r="AE168" s="1" t="str">
        <f>IF($E168="","",$E168&amp;"|"&amp;COUNTIFS($E$7:$E168,$E168))</f>
        <v>Luca Kontör|5</v>
      </c>
    </row>
    <row r="169" spans="1:31" ht="18" customHeight="1" x14ac:dyDescent="0.3">
      <c r="A169" s="2"/>
      <c r="B169" s="65" t="str">
        <f>IF($C169="","","GG"&amp;TEXT(ROW()-6,"00000"))</f>
        <v>GG00163</v>
      </c>
      <c r="C169" s="66">
        <v>46186</v>
      </c>
      <c r="D169" s="60" t="s">
        <v>795</v>
      </c>
      <c r="E169" s="61" t="s">
        <v>911</v>
      </c>
      <c r="F169" s="61" t="s">
        <v>924</v>
      </c>
      <c r="G169" s="67">
        <v>7050</v>
      </c>
      <c r="H169" s="60" t="s">
        <v>717</v>
      </c>
      <c r="I169" s="60" t="s">
        <v>773</v>
      </c>
      <c r="J169" s="61"/>
      <c r="K169" s="61"/>
      <c r="L169" s="60"/>
      <c r="M169" s="74" t="str">
        <f>IF($C169="","",IF($D169="Gider",$E169,IF($L169&lt;&gt;"",$L169,$H169)))</f>
        <v>MERKEZ KASA</v>
      </c>
      <c r="N169" s="74" t="str">
        <f>IF($C169="","",IF($D169="Gider",$H169,$E169))</f>
        <v>Luca Kontör</v>
      </c>
      <c r="O169" s="73">
        <f>IF($C169="","",DATE(YEAR($C169),MONTH($C169),1))</f>
        <v>46174</v>
      </c>
      <c r="P169" s="65" t="str">
        <f ca="1">IF($C169="","",IF(AND($D169="Gelir",$L169&lt;&gt;"",$T169=""),"TANIMSIZ BORÇLU",IF($T169&lt;&gt;"",IF(OR($E169="",$G169&lt;=0),"EKSİK",IF($I169="Evet","TAHAKKUK NAKİT OLAMAZ",IF($C169&gt;TODAY(),"İLERİ TARİH","TAHAKKUK"))),IF(AND($D169&lt;&gt;"",$E169&lt;&gt;"",$G169&gt;0,$H169&lt;&gt;"",$I169&lt;&gt;""),IF($C169&gt;TODAY(),"İLERİ TARİH",IF(COUNTIF($W$7:$W$3001,$W169)&gt;1,"MÜKERRER?",IF($AD169&gt;0,"KAPALI DÖNEM",IF($I169="Hayır","ÖDENECEK","UYGUN")))),"EKSİK"))))</f>
        <v>UYGUN</v>
      </c>
      <c r="Q169" s="2"/>
      <c r="R169" s="2"/>
      <c r="S169" s="1" t="str">
        <f t="shared" si="8"/>
        <v/>
      </c>
      <c r="T169" s="1" t="str">
        <f>IF(OR($C169="",$D169&lt;&gt;"Gelir",$L169=""),"",IFERROR(INDEX(MUSTERILER!$B$7:$B$156,MATCH($S169,MUSTERILER!$T$7:$T$156,0)),""))</f>
        <v/>
      </c>
      <c r="U169" s="1" t="str">
        <f>IF($T169="","",$T169&amp;"|"&amp;COUNTIFS($T$7:$T169,$T169))</f>
        <v/>
      </c>
      <c r="V169" s="1">
        <f t="shared" si="9"/>
        <v>0</v>
      </c>
      <c r="W169" s="1" t="str">
        <f t="shared" si="10"/>
        <v>Gelir|Luca Kontör|46186|7050|ASM EĞLENCE LTD.ŞTİ. LUCA KONTÖR|</v>
      </c>
      <c r="X169" s="1"/>
      <c r="Y169" s="1"/>
      <c r="Z169" s="1"/>
      <c r="AA169" s="1"/>
      <c r="AB169" s="1"/>
      <c r="AC169" s="1"/>
      <c r="AD169" s="1">
        <f>IF($C169="",0,SUMPRODUCT((AY_SONU!$O$7:$O$42="Evet")*(AY_SONU!$B$7:$B$42=DATE(YEAR($C169),MONTH($C169),1))))</f>
        <v>0</v>
      </c>
      <c r="AE169" s="1" t="str">
        <f>IF($E169="","",$E169&amp;"|"&amp;COUNTIFS($E$7:$E169,$E169))</f>
        <v>Luca Kontör|6</v>
      </c>
    </row>
    <row r="170" spans="1:31" ht="18" customHeight="1" x14ac:dyDescent="0.3">
      <c r="A170" s="2"/>
      <c r="B170" s="65" t="str">
        <f>IF($C170="","","GG"&amp;TEXT(ROW()-6,"00000"))</f>
        <v>GG00164</v>
      </c>
      <c r="C170" s="66">
        <v>46188</v>
      </c>
      <c r="D170" s="60" t="s">
        <v>769</v>
      </c>
      <c r="E170" s="61" t="s">
        <v>798</v>
      </c>
      <c r="F170" s="61" t="s">
        <v>891</v>
      </c>
      <c r="G170" s="67">
        <v>10000</v>
      </c>
      <c r="H170" s="60" t="s">
        <v>772</v>
      </c>
      <c r="I170" s="60" t="s">
        <v>773</v>
      </c>
      <c r="J170" s="61"/>
      <c r="K170" s="61"/>
      <c r="L170" s="60"/>
      <c r="M170" s="74" t="str">
        <f>IF($C170="","",IF($D170="Gider",$E170,IF($L170&lt;&gt;"",$L170,$H170)))</f>
        <v>Personel</v>
      </c>
      <c r="N170" s="74" t="str">
        <f>IF($C170="","",IF($D170="Gider",$H170,$E170))</f>
        <v>Merkez Kasa</v>
      </c>
      <c r="O170" s="73">
        <f>IF($C170="","",DATE(YEAR($C170),MONTH($C170),1))</f>
        <v>46174</v>
      </c>
      <c r="P170" s="65" t="str">
        <f ca="1">IF($C170="","",IF(AND($D170="Gelir",$L170&lt;&gt;"",$T170=""),"TANIMSIZ BORÇLU",IF($T170&lt;&gt;"",IF(OR($E170="",$G170&lt;=0),"EKSİK",IF($I170="Evet","TAHAKKUK NAKİT OLAMAZ",IF($C170&gt;TODAY(),"İLERİ TARİH","TAHAKKUK"))),IF(AND($D170&lt;&gt;"",$E170&lt;&gt;"",$G170&gt;0,$H170&lt;&gt;"",$I170&lt;&gt;""),IF($C170&gt;TODAY(),"İLERİ TARİH",IF(COUNTIF($W$7:$W$3001,$W170)&gt;1,"MÜKERRER?",IF($AD170&gt;0,"KAPALI DÖNEM",IF($I170="Hayır","ÖDENECEK","UYGUN")))),"EKSİK"))))</f>
        <v>UYGUN</v>
      </c>
      <c r="Q170" s="2"/>
      <c r="R170" s="2"/>
      <c r="S170" s="1" t="str">
        <f t="shared" si="8"/>
        <v/>
      </c>
      <c r="T170" s="1" t="str">
        <f>IF(OR($C170="",$D170&lt;&gt;"Gelir",$L170=""),"",IFERROR(INDEX(MUSTERILER!$B$7:$B$156,MATCH($S170,MUSTERILER!$T$7:$T$156,0)),""))</f>
        <v/>
      </c>
      <c r="U170" s="1" t="str">
        <f>IF($T170="","",$T170&amp;"|"&amp;COUNTIFS($T$7:$T170,$T170))</f>
        <v/>
      </c>
      <c r="V170" s="1">
        <f t="shared" si="9"/>
        <v>0</v>
      </c>
      <c r="W170" s="1" t="str">
        <f t="shared" si="10"/>
        <v>Gider|Personel|46188|10000|Zeynep Hanım Avans|</v>
      </c>
      <c r="X170" s="1"/>
      <c r="Y170" s="1"/>
      <c r="Z170" s="1"/>
      <c r="AA170" s="1"/>
      <c r="AB170" s="1"/>
      <c r="AC170" s="1"/>
      <c r="AD170" s="1">
        <f>IF($C170="",0,SUMPRODUCT((AY_SONU!$O$7:$O$42="Evet")*(AY_SONU!$B$7:$B$42=DATE(YEAR($C170),MONTH($C170),1))))</f>
        <v>0</v>
      </c>
      <c r="AE170" s="1" t="str">
        <f>IF($E170="","",$E170&amp;"|"&amp;COUNTIFS($E$7:$E170,$E170))</f>
        <v>Personel|15</v>
      </c>
    </row>
    <row r="171" spans="1:31" ht="18" customHeight="1" x14ac:dyDescent="0.3">
      <c r="A171" s="2"/>
      <c r="B171" s="65" t="str">
        <f>IF($C171="","","GG"&amp;TEXT(ROW()-6,"00000"))</f>
        <v>GG00165</v>
      </c>
      <c r="C171" s="66">
        <v>46194</v>
      </c>
      <c r="D171" s="60" t="s">
        <v>769</v>
      </c>
      <c r="E171" s="61" t="s">
        <v>801</v>
      </c>
      <c r="F171" s="61" t="s">
        <v>859</v>
      </c>
      <c r="G171" s="67">
        <v>11810</v>
      </c>
      <c r="H171" s="60" t="s">
        <v>772</v>
      </c>
      <c r="I171" s="60" t="s">
        <v>773</v>
      </c>
      <c r="J171" s="61"/>
      <c r="K171" s="61"/>
      <c r="L171" s="60"/>
      <c r="M171" s="74" t="str">
        <f>IF($C171="","",IF($D171="Gider",$E171,IF($L171&lt;&gt;"",$L171,$H171)))</f>
        <v>Vergi / Harç</v>
      </c>
      <c r="N171" s="74" t="str">
        <f>IF($C171="","",IF($D171="Gider",$H171,$E171))</f>
        <v>Merkez Kasa</v>
      </c>
      <c r="O171" s="73">
        <f>IF($C171="","",DATE(YEAR($C171),MONTH($C171),1))</f>
        <v>46174</v>
      </c>
      <c r="P171" s="65" t="str">
        <f ca="1">IF($C171="","",IF(AND($D171="Gelir",$L171&lt;&gt;"",$T171=""),"TANIMSIZ BORÇLU",IF($T171&lt;&gt;"",IF(OR($E171="",$G171&lt;=0),"EKSİK",IF($I171="Evet","TAHAKKUK NAKİT OLAMAZ",IF($C171&gt;TODAY(),"İLERİ TARİH","TAHAKKUK"))),IF(AND($D171&lt;&gt;"",$E171&lt;&gt;"",$G171&gt;0,$H171&lt;&gt;"",$I171&lt;&gt;""),IF($C171&gt;TODAY(),"İLERİ TARİH",IF(COUNTIF($W$7:$W$3001,$W171)&gt;1,"MÜKERRER?",IF($AD171&gt;0,"KAPALI DÖNEM",IF($I171="Hayır","ÖDENECEK","UYGUN")))),"EKSİK"))))</f>
        <v>UYGUN</v>
      </c>
      <c r="Q171" s="2"/>
      <c r="R171" s="2"/>
      <c r="S171" s="1" t="str">
        <f t="shared" si="8"/>
        <v/>
      </c>
      <c r="T171" s="1" t="str">
        <f>IF(OR($C171="",$D171&lt;&gt;"Gelir",$L171=""),"",IFERROR(INDEX(MUSTERILER!$B$7:$B$156,MATCH($S171,MUSTERILER!$T$7:$T$156,0)),""))</f>
        <v/>
      </c>
      <c r="U171" s="1" t="str">
        <f>IF($T171="","",$T171&amp;"|"&amp;COUNTIFS($T$7:$T171,$T171))</f>
        <v/>
      </c>
      <c r="V171" s="1">
        <f t="shared" si="9"/>
        <v>0</v>
      </c>
      <c r="W171" s="1" t="str">
        <f t="shared" si="10"/>
        <v>Gider|Vergi / Harç|46194|11810|Bağkur Ödemesi|</v>
      </c>
      <c r="X171" s="1"/>
      <c r="Y171" s="1"/>
      <c r="Z171" s="1"/>
      <c r="AA171" s="1"/>
      <c r="AB171" s="1"/>
      <c r="AC171" s="1"/>
      <c r="AD171" s="1">
        <f>IF($C171="",0,SUMPRODUCT((AY_SONU!$O$7:$O$42="Evet")*(AY_SONU!$B$7:$B$42=DATE(YEAR($C171),MONTH($C171),1))))</f>
        <v>0</v>
      </c>
      <c r="AE171" s="1" t="str">
        <f>IF($E171="","",$E171&amp;"|"&amp;COUNTIFS($E$7:$E171,$E171))</f>
        <v>Vergi / Harç|12</v>
      </c>
    </row>
    <row r="172" spans="1:31" ht="18" customHeight="1" x14ac:dyDescent="0.3">
      <c r="A172" s="2"/>
      <c r="B172" s="65" t="str">
        <f>IF($C172="","","GG"&amp;TEXT(ROW()-6,"00000"))</f>
        <v>GG00166</v>
      </c>
      <c r="C172" s="66">
        <v>46194</v>
      </c>
      <c r="D172" s="60" t="s">
        <v>769</v>
      </c>
      <c r="E172" s="61" t="s">
        <v>798</v>
      </c>
      <c r="F172" s="61" t="s">
        <v>891</v>
      </c>
      <c r="G172" s="67">
        <v>9700</v>
      </c>
      <c r="H172" s="60" t="s">
        <v>772</v>
      </c>
      <c r="I172" s="60" t="s">
        <v>773</v>
      </c>
      <c r="J172" s="61"/>
      <c r="K172" s="61"/>
      <c r="L172" s="60"/>
      <c r="M172" s="74" t="str">
        <f>IF($C172="","",IF($D172="Gider",$E172,IF($L172&lt;&gt;"",$L172,$H172)))</f>
        <v>Personel</v>
      </c>
      <c r="N172" s="74" t="str">
        <f>IF($C172="","",IF($D172="Gider",$H172,$E172))</f>
        <v>Merkez Kasa</v>
      </c>
      <c r="O172" s="73">
        <f>IF($C172="","",DATE(YEAR($C172),MONTH($C172),1))</f>
        <v>46174</v>
      </c>
      <c r="P172" s="65" t="str">
        <f ca="1">IF($C172="","",IF(AND($D172="Gelir",$L172&lt;&gt;"",$T172=""),"TANIMSIZ BORÇLU",IF($T172&lt;&gt;"",IF(OR($E172="",$G172&lt;=0),"EKSİK",IF($I172="Evet","TAHAKKUK NAKİT OLAMAZ",IF($C172&gt;TODAY(),"İLERİ TARİH","TAHAKKUK"))),IF(AND($D172&lt;&gt;"",$E172&lt;&gt;"",$G172&gt;0,$H172&lt;&gt;"",$I172&lt;&gt;""),IF($C172&gt;TODAY(),"İLERİ TARİH",IF(COUNTIF($W$7:$W$3001,$W172)&gt;1,"MÜKERRER?",IF($AD172&gt;0,"KAPALI DÖNEM",IF($I172="Hayır","ÖDENECEK","UYGUN")))),"EKSİK"))))</f>
        <v>UYGUN</v>
      </c>
      <c r="Q172" s="2"/>
      <c r="R172" s="2"/>
      <c r="S172" s="1" t="str">
        <f t="shared" si="8"/>
        <v/>
      </c>
      <c r="T172" s="1" t="str">
        <f>IF(OR($C172="",$D172&lt;&gt;"Gelir",$L172=""),"",IFERROR(INDEX(MUSTERILER!$B$7:$B$156,MATCH($S172,MUSTERILER!$T$7:$T$156,0)),""))</f>
        <v/>
      </c>
      <c r="U172" s="1" t="str">
        <f>IF($T172="","",$T172&amp;"|"&amp;COUNTIFS($T$7:$T172,$T172))</f>
        <v/>
      </c>
      <c r="V172" s="1">
        <f t="shared" si="9"/>
        <v>0</v>
      </c>
      <c r="W172" s="1" t="str">
        <f t="shared" si="10"/>
        <v>Gider|Personel|46194|9700|Zeynep Hanım Avans|</v>
      </c>
      <c r="X172" s="1"/>
      <c r="Y172" s="1"/>
      <c r="Z172" s="1"/>
      <c r="AA172" s="1"/>
      <c r="AB172" s="1"/>
      <c r="AC172" s="1"/>
      <c r="AD172" s="1">
        <f>IF($C172="",0,SUMPRODUCT((AY_SONU!$O$7:$O$42="Evet")*(AY_SONU!$B$7:$B$42=DATE(YEAR($C172),MONTH($C172),1))))</f>
        <v>0</v>
      </c>
      <c r="AE172" s="1" t="str">
        <f>IF($E172="","",$E172&amp;"|"&amp;COUNTIFS($E$7:$E172,$E172))</f>
        <v>Personel|16</v>
      </c>
    </row>
    <row r="173" spans="1:31" ht="18" customHeight="1" x14ac:dyDescent="0.3">
      <c r="A173" s="2"/>
      <c r="B173" s="65" t="str">
        <f>IF($C173="","","GG"&amp;TEXT(ROW()-6,"00000"))</f>
        <v>GG00167</v>
      </c>
      <c r="C173" s="66">
        <v>46195</v>
      </c>
      <c r="D173" s="60" t="s">
        <v>769</v>
      </c>
      <c r="E173" s="61" t="s">
        <v>781</v>
      </c>
      <c r="F173" s="61" t="s">
        <v>925</v>
      </c>
      <c r="G173" s="67">
        <v>800</v>
      </c>
      <c r="H173" s="60" t="s">
        <v>772</v>
      </c>
      <c r="I173" s="60" t="s">
        <v>773</v>
      </c>
      <c r="J173" s="61"/>
      <c r="K173" s="61"/>
      <c r="L173" s="60"/>
      <c r="M173" s="74" t="str">
        <f>IF($C173="","",IF($D173="Gider",$E173,IF($L173&lt;&gt;"",$L173,$H173)))</f>
        <v>Telefon / İnternet</v>
      </c>
      <c r="N173" s="74" t="str">
        <f>IF($C173="","",IF($D173="Gider",$H173,$E173))</f>
        <v>Merkez Kasa</v>
      </c>
      <c r="O173" s="73">
        <f>IF($C173="","",DATE(YEAR($C173),MONTH($C173),1))</f>
        <v>46174</v>
      </c>
      <c r="P173" s="65" t="str">
        <f ca="1">IF($C173="","",IF(AND($D173="Gelir",$L173&lt;&gt;"",$T173=""),"TANIMSIZ BORÇLU",IF($T173&lt;&gt;"",IF(OR($E173="",$G173&lt;=0),"EKSİK",IF($I173="Evet","TAHAKKUK NAKİT OLAMAZ",IF($C173&gt;TODAY(),"İLERİ TARİH","TAHAKKUK"))),IF(AND($D173&lt;&gt;"",$E173&lt;&gt;"",$G173&gt;0,$H173&lt;&gt;"",$I173&lt;&gt;""),IF($C173&gt;TODAY(),"İLERİ TARİH",IF(COUNTIF($W$7:$W$3001,$W173)&gt;1,"MÜKERRER?",IF($AD173&gt;0,"KAPALI DÖNEM",IF($I173="Hayır","ÖDENECEK","UYGUN")))),"EKSİK"))))</f>
        <v>UYGUN</v>
      </c>
      <c r="Q173" s="2"/>
      <c r="R173" s="2"/>
      <c r="S173" s="1" t="str">
        <f t="shared" si="8"/>
        <v/>
      </c>
      <c r="T173" s="1" t="str">
        <f>IF(OR($C173="",$D173&lt;&gt;"Gelir",$L173=""),"",IFERROR(INDEX(MUSTERILER!$B$7:$B$156,MATCH($S173,MUSTERILER!$T$7:$T$156,0)),""))</f>
        <v/>
      </c>
      <c r="U173" s="1" t="str">
        <f>IF($T173="","",$T173&amp;"|"&amp;COUNTIFS($T$7:$T173,$T173))</f>
        <v/>
      </c>
      <c r="V173" s="1">
        <f t="shared" si="9"/>
        <v>0</v>
      </c>
      <c r="W173" s="1" t="str">
        <f t="shared" si="10"/>
        <v>Gider|Telefon / İnternet|46195|800|Ofis Whatsapp Hattı Temmuz|</v>
      </c>
      <c r="X173" s="1"/>
      <c r="Y173" s="1"/>
      <c r="Z173" s="1"/>
      <c r="AA173" s="1"/>
      <c r="AB173" s="1"/>
      <c r="AC173" s="1"/>
      <c r="AD173" s="1">
        <f>IF($C173="",0,SUMPRODUCT((AY_SONU!$O$7:$O$42="Evet")*(AY_SONU!$B$7:$B$42=DATE(YEAR($C173),MONTH($C173),1))))</f>
        <v>0</v>
      </c>
      <c r="AE173" s="1" t="str">
        <f>IF($E173="","",$E173&amp;"|"&amp;COUNTIFS($E$7:$E173,$E173))</f>
        <v>Telefon / İnternet|14</v>
      </c>
    </row>
    <row r="174" spans="1:31" ht="18" customHeight="1" x14ac:dyDescent="0.3">
      <c r="A174" s="2"/>
      <c r="B174" s="65" t="str">
        <f>IF($C174="","","GG"&amp;TEXT(ROW()-6,"00000"))</f>
        <v>GG00168</v>
      </c>
      <c r="C174" s="66">
        <v>46198</v>
      </c>
      <c r="D174" s="60" t="s">
        <v>795</v>
      </c>
      <c r="E174" s="61" t="s">
        <v>825</v>
      </c>
      <c r="F174" s="61" t="s">
        <v>926</v>
      </c>
      <c r="G174" s="67">
        <v>10000</v>
      </c>
      <c r="H174" s="60" t="s">
        <v>717</v>
      </c>
      <c r="I174" s="60" t="s">
        <v>773</v>
      </c>
      <c r="J174" s="61"/>
      <c r="K174" s="61"/>
      <c r="L174" s="60"/>
      <c r="M174" s="74" t="str">
        <f>IF($C174="","",IF($D174="Gider",$E174,IF($L174&lt;&gt;"",$L174,$H174)))</f>
        <v>MERKEZ KASA</v>
      </c>
      <c r="N174" s="74" t="str">
        <f>IF($C174="","",IF($D174="Gider",$H174,$E174))</f>
        <v>Kuruluş Ücreti</v>
      </c>
      <c r="O174" s="73">
        <f>IF($C174="","",DATE(YEAR($C174),MONTH($C174),1))</f>
        <v>46174</v>
      </c>
      <c r="P174" s="65" t="str">
        <f ca="1">IF($C174="","",IF(AND($D174="Gelir",$L174&lt;&gt;"",$T174=""),"TANIMSIZ BORÇLU",IF($T174&lt;&gt;"",IF(OR($E174="",$G174&lt;=0),"EKSİK",IF($I174="Evet","TAHAKKUK NAKİT OLAMAZ",IF($C174&gt;TODAY(),"İLERİ TARİH","TAHAKKUK"))),IF(AND($D174&lt;&gt;"",$E174&lt;&gt;"",$G174&gt;0,$H174&lt;&gt;"",$I174&lt;&gt;""),IF($C174&gt;TODAY(),"İLERİ TARİH",IF(COUNTIF($W$7:$W$3001,$W174)&gt;1,"MÜKERRER?",IF($AD174&gt;0,"KAPALI DÖNEM",IF($I174="Hayır","ÖDENECEK","UYGUN")))),"EKSİK"))))</f>
        <v>UYGUN</v>
      </c>
      <c r="Q174" s="2"/>
      <c r="R174" s="2"/>
      <c r="S174" s="1" t="str">
        <f t="shared" si="8"/>
        <v/>
      </c>
      <c r="T174" s="1" t="str">
        <f>IF(OR($C174="",$D174&lt;&gt;"Gelir",$L174=""),"",IFERROR(INDEX(MUSTERILER!$B$7:$B$156,MATCH($S174,MUSTERILER!$T$7:$T$156,0)),""))</f>
        <v/>
      </c>
      <c r="U174" s="1" t="str">
        <f>IF($T174="","",$T174&amp;"|"&amp;COUNTIFS($T$7:$T174,$T174))</f>
        <v/>
      </c>
      <c r="V174" s="1">
        <f t="shared" si="9"/>
        <v>0</v>
      </c>
      <c r="W174" s="1" t="str">
        <f t="shared" si="10"/>
        <v>Gelir|Kuruluş Ücreti|46198|10000|MESUT KÖKLÜ KURULUŞ ÜCRETİ|</v>
      </c>
      <c r="X174" s="1"/>
      <c r="Y174" s="1"/>
      <c r="Z174" s="1"/>
      <c r="AA174" s="1"/>
      <c r="AB174" s="1"/>
      <c r="AC174" s="1"/>
      <c r="AD174" s="1">
        <f>IF($C174="",0,SUMPRODUCT((AY_SONU!$O$7:$O$42="Evet")*(AY_SONU!$B$7:$B$42=DATE(YEAR($C174),MONTH($C174),1))))</f>
        <v>0</v>
      </c>
      <c r="AE174" s="1" t="str">
        <f>IF($E174="","",$E174&amp;"|"&amp;COUNTIFS($E$7:$E174,$E174))</f>
        <v>Kuruluş Ücreti|2</v>
      </c>
    </row>
    <row r="175" spans="1:31" ht="18" customHeight="1" x14ac:dyDescent="0.3">
      <c r="A175" s="2"/>
      <c r="B175" s="65" t="str">
        <f>IF($C175="","","GG"&amp;TEXT(ROW()-6,"00000"))</f>
        <v>GG00169</v>
      </c>
      <c r="C175" s="66">
        <v>46203</v>
      </c>
      <c r="D175" s="60" t="s">
        <v>769</v>
      </c>
      <c r="E175" s="61" t="s">
        <v>798</v>
      </c>
      <c r="F175" s="61" t="s">
        <v>927</v>
      </c>
      <c r="G175" s="67">
        <v>50000</v>
      </c>
      <c r="H175" s="60" t="s">
        <v>772</v>
      </c>
      <c r="I175" s="60" t="s">
        <v>773</v>
      </c>
      <c r="J175" s="61"/>
      <c r="K175" s="61"/>
      <c r="L175" s="60"/>
      <c r="M175" s="74" t="str">
        <f>IF($C175="","",IF($D175="Gider",$E175,IF($L175&lt;&gt;"",$L175,$H175)))</f>
        <v>Personel</v>
      </c>
      <c r="N175" s="74" t="str">
        <f>IF($C175="","",IF($D175="Gider",$H175,$E175))</f>
        <v>Merkez Kasa</v>
      </c>
      <c r="O175" s="73">
        <f>IF($C175="","",DATE(YEAR($C175),MONTH($C175),1))</f>
        <v>46174</v>
      </c>
      <c r="P175" s="65" t="str">
        <f ca="1">IF($C175="","",IF(AND($D175="Gelir",$L175&lt;&gt;"",$T175=""),"TANIMSIZ BORÇLU",IF($T175&lt;&gt;"",IF(OR($E175="",$G175&lt;=0),"EKSİK",IF($I175="Evet","TAHAKKUK NAKİT OLAMAZ",IF($C175&gt;TODAY(),"İLERİ TARİH","TAHAKKUK"))),IF(AND($D175&lt;&gt;"",$E175&lt;&gt;"",$G175&gt;0,$H175&lt;&gt;"",$I175&lt;&gt;""),IF($C175&gt;TODAY(),"İLERİ TARİH",IF(COUNTIF($W$7:$W$3001,$W175)&gt;1,"MÜKERRER?",IF($AD175&gt;0,"KAPALI DÖNEM",IF($I175="Hayır","ÖDENECEK","UYGUN")))),"EKSİK"))))</f>
        <v>UYGUN</v>
      </c>
      <c r="Q175" s="2"/>
      <c r="R175" s="2"/>
      <c r="S175" s="1" t="str">
        <f t="shared" si="8"/>
        <v/>
      </c>
      <c r="T175" s="1" t="str">
        <f>IF(OR($C175="",$D175&lt;&gt;"Gelir",$L175=""),"",IFERROR(INDEX(MUSTERILER!$B$7:$B$156,MATCH($S175,MUSTERILER!$T$7:$T$156,0)),""))</f>
        <v/>
      </c>
      <c r="U175" s="1" t="str">
        <f>IF($T175="","",$T175&amp;"|"&amp;COUNTIFS($T$7:$T175,$T175))</f>
        <v/>
      </c>
      <c r="V175" s="1">
        <f t="shared" si="9"/>
        <v>0</v>
      </c>
      <c r="W175" s="1" t="str">
        <f t="shared" si="10"/>
        <v>Gider|Personel|46203|50000|Zeynep Hanım Haziran Maaş Bakiye Ödemesi|</v>
      </c>
      <c r="X175" s="1"/>
      <c r="Y175" s="1"/>
      <c r="Z175" s="1"/>
      <c r="AA175" s="1"/>
      <c r="AB175" s="1"/>
      <c r="AC175" s="1"/>
      <c r="AD175" s="1">
        <f>IF($C175="",0,SUMPRODUCT((AY_SONU!$O$7:$O$42="Evet")*(AY_SONU!$B$7:$B$42=DATE(YEAR($C175),MONTH($C175),1))))</f>
        <v>0</v>
      </c>
      <c r="AE175" s="1" t="str">
        <f>IF($E175="","",$E175&amp;"|"&amp;COUNTIFS($E$7:$E175,$E175))</f>
        <v>Personel|17</v>
      </c>
    </row>
    <row r="176" spans="1:31" ht="18" customHeight="1" x14ac:dyDescent="0.3">
      <c r="A176" s="2"/>
      <c r="B176" s="65" t="str">
        <f>IF($C176="","","GG"&amp;TEXT(ROW()-6,"00000"))</f>
        <v>GG00170</v>
      </c>
      <c r="C176" s="66">
        <v>46203</v>
      </c>
      <c r="D176" s="60" t="s">
        <v>769</v>
      </c>
      <c r="E176" s="61" t="s">
        <v>788</v>
      </c>
      <c r="F176" s="61" t="s">
        <v>928</v>
      </c>
      <c r="G176" s="67">
        <v>2000</v>
      </c>
      <c r="H176" s="60" t="s">
        <v>772</v>
      </c>
      <c r="I176" s="60" t="s">
        <v>773</v>
      </c>
      <c r="J176" s="61"/>
      <c r="K176" s="61"/>
      <c r="L176" s="60"/>
      <c r="M176" s="74" t="str">
        <f>IF($C176="","",IF($D176="Gider",$E176,IF($L176&lt;&gt;"",$L176,$H176)))</f>
        <v>Ulaşım</v>
      </c>
      <c r="N176" s="74" t="str">
        <f>IF($C176="","",IF($D176="Gider",$H176,$E176))</f>
        <v>Merkez Kasa</v>
      </c>
      <c r="O176" s="73">
        <f>IF($C176="","",DATE(YEAR($C176),MONTH($C176),1))</f>
        <v>46174</v>
      </c>
      <c r="P176" s="65" t="str">
        <f ca="1">IF($C176="","",IF(AND($D176="Gelir",$L176&lt;&gt;"",$T176=""),"TANIMSIZ BORÇLU",IF($T176&lt;&gt;"",IF(OR($E176="",$G176&lt;=0),"EKSİK",IF($I176="Evet","TAHAKKUK NAKİT OLAMAZ",IF($C176&gt;TODAY(),"İLERİ TARİH","TAHAKKUK"))),IF(AND($D176&lt;&gt;"",$E176&lt;&gt;"",$G176&gt;0,$H176&lt;&gt;"",$I176&lt;&gt;""),IF($C176&gt;TODAY(),"İLERİ TARİH",IF(COUNTIF($W$7:$W$3001,$W176)&gt;1,"MÜKERRER?",IF($AD176&gt;0,"KAPALI DÖNEM",IF($I176="Hayır","ÖDENECEK","UYGUN")))),"EKSİK"))))</f>
        <v>UYGUN</v>
      </c>
      <c r="Q176" s="2"/>
      <c r="R176" s="2"/>
      <c r="S176" s="1" t="str">
        <f t="shared" si="8"/>
        <v/>
      </c>
      <c r="T176" s="1" t="str">
        <f>IF(OR($C176="",$D176&lt;&gt;"Gelir",$L176=""),"",IFERROR(INDEX(MUSTERILER!$B$7:$B$156,MATCH($S176,MUSTERILER!$T$7:$T$156,0)),""))</f>
        <v/>
      </c>
      <c r="U176" s="1" t="str">
        <f>IF($T176="","",$T176&amp;"|"&amp;COUNTIFS($T$7:$T176,$T176))</f>
        <v/>
      </c>
      <c r="V176" s="1">
        <f t="shared" si="9"/>
        <v>0</v>
      </c>
      <c r="W176" s="1" t="str">
        <f t="shared" si="10"/>
        <v>Gider|Ulaşım|46203|2000|Araç Yakıt|</v>
      </c>
      <c r="X176" s="1"/>
      <c r="Y176" s="1"/>
      <c r="Z176" s="1"/>
      <c r="AA176" s="1"/>
      <c r="AB176" s="1"/>
      <c r="AC176" s="1"/>
      <c r="AD176" s="1">
        <f>IF($C176="",0,SUMPRODUCT((AY_SONU!$O$7:$O$42="Evet")*(AY_SONU!$B$7:$B$42=DATE(YEAR($C176),MONTH($C176),1))))</f>
        <v>0</v>
      </c>
      <c r="AE176" s="1" t="str">
        <f>IF($E176="","",$E176&amp;"|"&amp;COUNTIFS($E$7:$E176,$E176))</f>
        <v>Ulaşım|24</v>
      </c>
    </row>
    <row r="177" spans="1:31" ht="18" customHeight="1" x14ac:dyDescent="0.3">
      <c r="A177" s="2"/>
      <c r="B177" s="65" t="str">
        <f>IF($C177="","","GG"&amp;TEXT(ROW()-6,"00000"))</f>
        <v>GG00171</v>
      </c>
      <c r="C177" s="66">
        <v>46204</v>
      </c>
      <c r="D177" s="60" t="s">
        <v>769</v>
      </c>
      <c r="E177" s="61" t="s">
        <v>793</v>
      </c>
      <c r="F177" s="61" t="s">
        <v>1317</v>
      </c>
      <c r="G177" s="67">
        <v>2500</v>
      </c>
      <c r="H177" s="60" t="s">
        <v>772</v>
      </c>
      <c r="I177" s="60" t="s">
        <v>773</v>
      </c>
      <c r="J177" s="61"/>
      <c r="K177" s="61"/>
      <c r="L177" s="60"/>
      <c r="M177" s="74" t="str">
        <f>IF($C177="","",IF($D177="Gider",$E177,IF($L177&lt;&gt;"",$L177,$H177)))</f>
        <v>Mehmet Ali Kartal</v>
      </c>
      <c r="N177" s="74" t="str">
        <f>IF($C177="","",IF($D177="Gider",$H177,$E177))</f>
        <v>Merkez Kasa</v>
      </c>
      <c r="O177" s="73">
        <f>IF($C177="","",DATE(YEAR($C177),MONTH($C177),1))</f>
        <v>46204</v>
      </c>
      <c r="P177" s="65" t="str">
        <f ca="1">IF($C177="","",IF(AND($D177="Gelir",$L177&lt;&gt;"",$T177=""),"TANIMSIZ BORÇLU",IF($T177&lt;&gt;"",IF(OR($E177="",$G177&lt;=0),"EKSİK",IF($I177="Evet","TAHAKKUK NAKİT OLAMAZ",IF($C177&gt;TODAY(),"İLERİ TARİH","TAHAKKUK"))),IF(AND($D177&lt;&gt;"",$E177&lt;&gt;"",$G177&gt;0,$H177&lt;&gt;"",$I177&lt;&gt;""),IF($C177&gt;TODAY(),"İLERİ TARİH",IF(COUNTIF($W$7:$W$3001,$W177)&gt;1,"MÜKERRER?",IF($AD177&gt;0,"KAPALI DÖNEM",IF($I177="Hayır","ÖDENECEK","UYGUN")))),"EKSİK"))))</f>
        <v>UYGUN</v>
      </c>
      <c r="Q177" s="2"/>
      <c r="R177" s="2"/>
      <c r="S177" s="1" t="str">
        <f t="shared" si="8"/>
        <v/>
      </c>
      <c r="T177" s="1" t="str">
        <f>IF(OR($C177="",$D177&lt;&gt;"Gelir",$L177=""),"",IFERROR(INDEX(MUSTERILER!$B$7:$B$156,MATCH($S177,MUSTERILER!$T$7:$T$156,0)),""))</f>
        <v/>
      </c>
      <c r="U177" s="1" t="str">
        <f>IF($T177="","",$T177&amp;"|"&amp;COUNTIFS($T$7:$T177,$T177))</f>
        <v/>
      </c>
      <c r="V177" s="1">
        <f t="shared" si="9"/>
        <v>0</v>
      </c>
      <c r="W177" s="1" t="str">
        <f t="shared" si="10"/>
        <v>Gider|Mehmet Ali Kartal|46204|2500|CEREN DEMİRCİ SGK|</v>
      </c>
      <c r="X177" s="1"/>
      <c r="Y177" s="1"/>
      <c r="Z177" s="1"/>
      <c r="AA177" s="1"/>
      <c r="AB177" s="1"/>
      <c r="AC177" s="1"/>
      <c r="AD177" s="1">
        <f>IF($C177="",0,SUMPRODUCT((AY_SONU!$O$7:$O$42="Evet")*(AY_SONU!$B$7:$B$42=DATE(YEAR($C177),MONTH($C177),1))))</f>
        <v>0</v>
      </c>
      <c r="AE177" s="1" t="str">
        <f>IF($E177="","",$E177&amp;"|"&amp;COUNTIFS($E$7:$E177,$E177))</f>
        <v>Mehmet Ali Kartal|8</v>
      </c>
    </row>
    <row r="178" spans="1:31" ht="18" customHeight="1" x14ac:dyDescent="0.3">
      <c r="A178" s="2"/>
      <c r="B178" s="65" t="str">
        <f>IF($C178="","","GG"&amp;TEXT(ROW()-6,"00000"))</f>
        <v>GG00172</v>
      </c>
      <c r="C178" s="66">
        <v>46216</v>
      </c>
      <c r="D178" s="60" t="s">
        <v>769</v>
      </c>
      <c r="E178" s="61" t="s">
        <v>798</v>
      </c>
      <c r="F178" s="61" t="s">
        <v>929</v>
      </c>
      <c r="G178" s="67">
        <v>10000</v>
      </c>
      <c r="H178" s="60" t="s">
        <v>772</v>
      </c>
      <c r="I178" s="60" t="s">
        <v>773</v>
      </c>
      <c r="J178" s="61"/>
      <c r="K178" s="61"/>
      <c r="L178" s="60"/>
      <c r="M178" s="74" t="str">
        <f>IF($C178="","",IF($D178="Gider",$E178,IF($L178&lt;&gt;"",$L178,$H178)))</f>
        <v>Personel</v>
      </c>
      <c r="N178" s="74" t="str">
        <f>IF($C178="","",IF($D178="Gider",$H178,$E178))</f>
        <v>Merkez Kasa</v>
      </c>
      <c r="O178" s="73">
        <f>IF($C178="","",DATE(YEAR($C178),MONTH($C178),1))</f>
        <v>46204</v>
      </c>
      <c r="P178" s="65" t="str">
        <f ca="1">IF($C178="","",IF(AND($D178="Gelir",$L178&lt;&gt;"",$T178=""),"TANIMSIZ BORÇLU",IF($T178&lt;&gt;"",IF(OR($E178="",$G178&lt;=0),"EKSİK",IF($I178="Evet","TAHAKKUK NAKİT OLAMAZ",IF($C178&gt;TODAY(),"İLERİ TARİH","TAHAKKUK"))),IF(AND($D178&lt;&gt;"",$E178&lt;&gt;"",$G178&gt;0,$H178&lt;&gt;"",$I178&lt;&gt;""),IF($C178&gt;TODAY(),"İLERİ TARİH",IF(COUNTIF($W$7:$W$3001,$W178)&gt;1,"MÜKERRER?",IF($AD178&gt;0,"KAPALI DÖNEM",IF($I178="Hayır","ÖDENECEK","UYGUN")))),"EKSİK"))))</f>
        <v>UYGUN</v>
      </c>
      <c r="Q178" s="2"/>
      <c r="R178" s="2"/>
      <c r="S178" s="1" t="str">
        <f t="shared" si="8"/>
        <v/>
      </c>
      <c r="T178" s="1" t="str">
        <f>IF(OR($C178="",$D178&lt;&gt;"Gelir",$L178=""),"",IFERROR(INDEX(MUSTERILER!$B$7:$B$156,MATCH($S178,MUSTERILER!$T$7:$T$156,0)),""))</f>
        <v/>
      </c>
      <c r="U178" s="1" t="str">
        <f>IF($T178="","",$T178&amp;"|"&amp;COUNTIFS($T$7:$T178,$T178))</f>
        <v/>
      </c>
      <c r="V178" s="1">
        <f t="shared" si="9"/>
        <v>0</v>
      </c>
      <c r="W178" s="1" t="str">
        <f t="shared" si="10"/>
        <v>Gider|Personel|46216|10000|Irmak Maaş Ödemesi|</v>
      </c>
      <c r="X178" s="1"/>
      <c r="Y178" s="1"/>
      <c r="Z178" s="1"/>
      <c r="AA178" s="1"/>
      <c r="AB178" s="1"/>
      <c r="AC178" s="1"/>
      <c r="AD178" s="1">
        <f>IF($C178="",0,SUMPRODUCT((AY_SONU!$O$7:$O$42="Evet")*(AY_SONU!$B$7:$B$42=DATE(YEAR($C178),MONTH($C178),1))))</f>
        <v>0</v>
      </c>
      <c r="AE178" s="1" t="str">
        <f>IF($E178="","",$E178&amp;"|"&amp;COUNTIFS($E$7:$E178,$E178))</f>
        <v>Personel|18</v>
      </c>
    </row>
    <row r="179" spans="1:31" ht="18" customHeight="1" x14ac:dyDescent="0.3">
      <c r="A179" s="2"/>
      <c r="B179" s="65" t="str">
        <f>IF($C179="","","GG"&amp;TEXT(ROW()-6,"00000"))</f>
        <v>GG00173</v>
      </c>
      <c r="C179" s="66">
        <v>46216</v>
      </c>
      <c r="D179" s="60" t="s">
        <v>795</v>
      </c>
      <c r="E179" s="61" t="s">
        <v>825</v>
      </c>
      <c r="F179" s="61" t="s">
        <v>930</v>
      </c>
      <c r="G179" s="67">
        <v>20000</v>
      </c>
      <c r="H179" s="60" t="s">
        <v>723</v>
      </c>
      <c r="I179" s="60" t="s">
        <v>773</v>
      </c>
      <c r="J179" s="61"/>
      <c r="K179" s="61"/>
      <c r="L179" s="60"/>
      <c r="M179" s="74" t="str">
        <f>IF($C179="","",IF($D179="Gider",$E179,IF($L179&lt;&gt;"",$L179,$H179)))</f>
        <v>ÖMER KARTAL</v>
      </c>
      <c r="N179" s="74" t="str">
        <f>IF($C179="","",IF($D179="Gider",$H179,$E179))</f>
        <v>Kuruluş Ücreti</v>
      </c>
      <c r="O179" s="73">
        <f>IF($C179="","",DATE(YEAR($C179),MONTH($C179),1))</f>
        <v>46204</v>
      </c>
      <c r="P179" s="65" t="str">
        <f ca="1">IF($C179="","",IF(AND($D179="Gelir",$L179&lt;&gt;"",$T179=""),"TANIMSIZ BORÇLU",IF($T179&lt;&gt;"",IF(OR($E179="",$G179&lt;=0),"EKSİK",IF($I179="Evet","TAHAKKUK NAKİT OLAMAZ",IF($C179&gt;TODAY(),"İLERİ TARİH","TAHAKKUK"))),IF(AND($D179&lt;&gt;"",$E179&lt;&gt;"",$G179&gt;0,$H179&lt;&gt;"",$I179&lt;&gt;""),IF($C179&gt;TODAY(),"İLERİ TARİH",IF(COUNTIF($W$7:$W$3001,$W179)&gt;1,"MÜKERRER?",IF($AD179&gt;0,"KAPALI DÖNEM",IF($I179="Hayır","ÖDENECEK","UYGUN")))),"EKSİK"))))</f>
        <v>UYGUN</v>
      </c>
      <c r="Q179" s="2"/>
      <c r="R179" s="2"/>
      <c r="S179" s="1" t="str">
        <f t="shared" si="8"/>
        <v/>
      </c>
      <c r="T179" s="1" t="str">
        <f>IF(OR($C179="",$D179&lt;&gt;"Gelir",$L179=""),"",IFERROR(INDEX(MUSTERILER!$B$7:$B$156,MATCH($S179,MUSTERILER!$T$7:$T$156,0)),""))</f>
        <v/>
      </c>
      <c r="U179" s="1" t="str">
        <f>IF($T179="","",$T179&amp;"|"&amp;COUNTIFS($T$7:$T179,$T179))</f>
        <v/>
      </c>
      <c r="V179" s="1">
        <f t="shared" si="9"/>
        <v>0</v>
      </c>
      <c r="W179" s="1" t="str">
        <f t="shared" si="10"/>
        <v>Gelir|Kuruluş Ücreti|46216|20000|VANOLYA LTD.ŞTİ. KURULUŞ ÜCRETİ|</v>
      </c>
      <c r="X179" s="1"/>
      <c r="Y179" s="1"/>
      <c r="Z179" s="1"/>
      <c r="AA179" s="1"/>
      <c r="AB179" s="1"/>
      <c r="AC179" s="1"/>
      <c r="AD179" s="1">
        <f>IF($C179="",0,SUMPRODUCT((AY_SONU!$O$7:$O$42="Evet")*(AY_SONU!$B$7:$B$42=DATE(YEAR($C179),MONTH($C179),1))))</f>
        <v>0</v>
      </c>
      <c r="AE179" s="1" t="str">
        <f>IF($E179="","",$E179&amp;"|"&amp;COUNTIFS($E$7:$E179,$E179))</f>
        <v>Kuruluş Ücreti|3</v>
      </c>
    </row>
    <row r="180" spans="1:31" ht="18" customHeight="1" x14ac:dyDescent="0.3">
      <c r="A180" s="2"/>
      <c r="B180" s="65" t="str">
        <f>IF($C180="","","GG"&amp;TEXT(ROW()-6,"00000"))</f>
        <v>GG00174</v>
      </c>
      <c r="C180" s="66">
        <v>46218</v>
      </c>
      <c r="D180" s="60" t="s">
        <v>769</v>
      </c>
      <c r="E180" s="61" t="s">
        <v>784</v>
      </c>
      <c r="F180" s="61" t="s">
        <v>931</v>
      </c>
      <c r="G180" s="67">
        <v>2200</v>
      </c>
      <c r="H180" s="60" t="s">
        <v>772</v>
      </c>
      <c r="I180" s="60" t="s">
        <v>773</v>
      </c>
      <c r="J180" s="61"/>
      <c r="K180" s="61"/>
      <c r="L180" s="60"/>
      <c r="M180" s="74" t="str">
        <f>IF($C180="","",IF($D180="Gider",$E180,IF($L180&lt;&gt;"",$L180,$H180)))</f>
        <v>Elektrik / Su / Doğalgaz</v>
      </c>
      <c r="N180" s="74" t="str">
        <f>IF($C180="","",IF($D180="Gider",$H180,$E180))</f>
        <v>Merkez Kasa</v>
      </c>
      <c r="O180" s="73">
        <f>IF($C180="","",DATE(YEAR($C180),MONTH($C180),1))</f>
        <v>46204</v>
      </c>
      <c r="P180" s="65" t="str">
        <f ca="1">IF($C180="","",IF(AND($D180="Gelir",$L180&lt;&gt;"",$T180=""),"TANIMSIZ BORÇLU",IF($T180&lt;&gt;"",IF(OR($E180="",$G180&lt;=0),"EKSİK",IF($I180="Evet","TAHAKKUK NAKİT OLAMAZ",IF($C180&gt;TODAY(),"İLERİ TARİH","TAHAKKUK"))),IF(AND($D180&lt;&gt;"",$E180&lt;&gt;"",$G180&gt;0,$H180&lt;&gt;"",$I180&lt;&gt;""),IF($C180&gt;TODAY(),"İLERİ TARİH",IF(COUNTIF($W$7:$W$3001,$W180)&gt;1,"MÜKERRER?",IF($AD180&gt;0,"KAPALI DÖNEM",IF($I180="Hayır","ÖDENECEK","UYGUN")))),"EKSİK"))))</f>
        <v>UYGUN</v>
      </c>
      <c r="Q180" s="2"/>
      <c r="R180" s="2"/>
      <c r="S180" s="1" t="str">
        <f t="shared" si="8"/>
        <v/>
      </c>
      <c r="T180" s="1" t="str">
        <f>IF(OR($C180="",$D180&lt;&gt;"Gelir",$L180=""),"",IFERROR(INDEX(MUSTERILER!$B$7:$B$156,MATCH($S180,MUSTERILER!$T$7:$T$156,0)),""))</f>
        <v/>
      </c>
      <c r="U180" s="1" t="str">
        <f>IF($T180="","",$T180&amp;"|"&amp;COUNTIFS($T$7:$T180,$T180))</f>
        <v/>
      </c>
      <c r="V180" s="1">
        <f t="shared" si="9"/>
        <v>0</v>
      </c>
      <c r="W180" s="1" t="str">
        <f t="shared" si="10"/>
        <v>Gider|Elektrik / Su / Doğalgaz|46218|2200|Ofis Elektrik Fatura Ödemesi 3 Adet|</v>
      </c>
      <c r="X180" s="1"/>
      <c r="Y180" s="1"/>
      <c r="Z180" s="1"/>
      <c r="AA180" s="1"/>
      <c r="AB180" s="1"/>
      <c r="AC180" s="1"/>
      <c r="AD180" s="1">
        <f>IF($C180="",0,SUMPRODUCT((AY_SONU!$O$7:$O$42="Evet")*(AY_SONU!$B$7:$B$42=DATE(YEAR($C180),MONTH($C180),1))))</f>
        <v>0</v>
      </c>
      <c r="AE180" s="1" t="str">
        <f>IF($E180="","",$E180&amp;"|"&amp;COUNTIFS($E$7:$E180,$E180))</f>
        <v>Elektrik / Su / Doğalgaz|6</v>
      </c>
    </row>
    <row r="181" spans="1:31" ht="18" customHeight="1" x14ac:dyDescent="0.3">
      <c r="A181" s="2"/>
      <c r="B181" s="65" t="str">
        <f>IF($C181="","","GG"&amp;TEXT(ROW()-6,"00000"))</f>
        <v>GG00175</v>
      </c>
      <c r="C181" s="66">
        <v>46222</v>
      </c>
      <c r="D181" s="60" t="s">
        <v>769</v>
      </c>
      <c r="E181" s="61" t="s">
        <v>779</v>
      </c>
      <c r="F181" s="61" t="s">
        <v>932</v>
      </c>
      <c r="G181" s="67">
        <v>3500</v>
      </c>
      <c r="H181" s="60" t="s">
        <v>772</v>
      </c>
      <c r="I181" s="60" t="s">
        <v>773</v>
      </c>
      <c r="J181" s="61"/>
      <c r="K181" s="61"/>
      <c r="L181" s="60"/>
      <c r="M181" s="74" t="str">
        <f>IF($C181="","",IF($D181="Gider",$E181,IF($L181&lt;&gt;"",$L181,$H181)))</f>
        <v>Kırtasiye</v>
      </c>
      <c r="N181" s="74" t="str">
        <f>IF($C181="","",IF($D181="Gider",$H181,$E181))</f>
        <v>Merkez Kasa</v>
      </c>
      <c r="O181" s="73">
        <f>IF($C181="","",DATE(YEAR($C181),MONTH($C181),1))</f>
        <v>46204</v>
      </c>
      <c r="P181" s="65" t="str">
        <f ca="1">IF($C181="","",IF(AND($D181="Gelir",$L181&lt;&gt;"",$T181=""),"TANIMSIZ BORÇLU",IF($T181&lt;&gt;"",IF(OR($E181="",$G181&lt;=0),"EKSİK",IF($I181="Evet","TAHAKKUK NAKİT OLAMAZ",IF($C181&gt;TODAY(),"İLERİ TARİH","TAHAKKUK"))),IF(AND($D181&lt;&gt;"",$E181&lt;&gt;"",$G181&gt;0,$H181&lt;&gt;"",$I181&lt;&gt;""),IF($C181&gt;TODAY(),"İLERİ TARİH",IF(COUNTIF($W$7:$W$3001,$W181)&gt;1,"MÜKERRER?",IF($AD181&gt;0,"KAPALI DÖNEM",IF($I181="Hayır","ÖDENECEK","UYGUN")))),"EKSİK"))))</f>
        <v>UYGUN</v>
      </c>
      <c r="Q181" s="2"/>
      <c r="R181" s="2"/>
      <c r="S181" s="1" t="str">
        <f t="shared" si="8"/>
        <v/>
      </c>
      <c r="T181" s="1" t="str">
        <f>IF(OR($C181="",$D181&lt;&gt;"Gelir",$L181=""),"",IFERROR(INDEX(MUSTERILER!$B$7:$B$156,MATCH($S181,MUSTERILER!$T$7:$T$156,0)),""))</f>
        <v/>
      </c>
      <c r="U181" s="1" t="str">
        <f>IF($T181="","",$T181&amp;"|"&amp;COUNTIFS($T$7:$T181,$T181))</f>
        <v/>
      </c>
      <c r="V181" s="1">
        <f t="shared" si="9"/>
        <v>0</v>
      </c>
      <c r="W181" s="1" t="str">
        <f t="shared" si="10"/>
        <v>Gider|Kırtasiye|46222|3500|Serkan Baş Toner|</v>
      </c>
      <c r="X181" s="1"/>
      <c r="Y181" s="1"/>
      <c r="Z181" s="1"/>
      <c r="AA181" s="1"/>
      <c r="AB181" s="1"/>
      <c r="AC181" s="1"/>
      <c r="AD181" s="1">
        <f>IF($C181="",0,SUMPRODUCT((AY_SONU!$O$7:$O$42="Evet")*(AY_SONU!$B$7:$B$42=DATE(YEAR($C181),MONTH($C181),1))))</f>
        <v>0</v>
      </c>
      <c r="AE181" s="1" t="str">
        <f>IF($E181="","",$E181&amp;"|"&amp;COUNTIFS($E$7:$E181,$E181))</f>
        <v>Kırtasiye|5</v>
      </c>
    </row>
    <row r="182" spans="1:31" ht="18" customHeight="1" x14ac:dyDescent="0.3">
      <c r="A182" s="2"/>
      <c r="B182" s="65" t="str">
        <f>IF($C182="","","GG"&amp;TEXT(ROW()-6,"00000"))</f>
        <v>GG00176</v>
      </c>
      <c r="C182" s="66">
        <v>46222</v>
      </c>
      <c r="D182" s="60" t="s">
        <v>769</v>
      </c>
      <c r="E182" s="61" t="s">
        <v>788</v>
      </c>
      <c r="F182" s="61" t="s">
        <v>928</v>
      </c>
      <c r="G182" s="67">
        <v>2000</v>
      </c>
      <c r="H182" s="60" t="s">
        <v>772</v>
      </c>
      <c r="I182" s="60" t="s">
        <v>773</v>
      </c>
      <c r="J182" s="61"/>
      <c r="K182" s="61"/>
      <c r="L182" s="60"/>
      <c r="M182" s="74" t="str">
        <f>IF($C182="","",IF($D182="Gider",$E182,IF($L182&lt;&gt;"",$L182,$H182)))</f>
        <v>Ulaşım</v>
      </c>
      <c r="N182" s="74" t="str">
        <f>IF($C182="","",IF($D182="Gider",$H182,$E182))</f>
        <v>Merkez Kasa</v>
      </c>
      <c r="O182" s="73">
        <f>IF($C182="","",DATE(YEAR($C182),MONTH($C182),1))</f>
        <v>46204</v>
      </c>
      <c r="P182" s="65" t="str">
        <f ca="1">IF($C182="","",IF(AND($D182="Gelir",$L182&lt;&gt;"",$T182=""),"TANIMSIZ BORÇLU",IF($T182&lt;&gt;"",IF(OR($E182="",$G182&lt;=0),"EKSİK",IF($I182="Evet","TAHAKKUK NAKİT OLAMAZ",IF($C182&gt;TODAY(),"İLERİ TARİH","TAHAKKUK"))),IF(AND($D182&lt;&gt;"",$E182&lt;&gt;"",$G182&gt;0,$H182&lt;&gt;"",$I182&lt;&gt;""),IF($C182&gt;TODAY(),"İLERİ TARİH",IF(COUNTIF($W$7:$W$3001,$W182)&gt;1,"MÜKERRER?",IF($AD182&gt;0,"KAPALI DÖNEM",IF($I182="Hayır","ÖDENECEK","UYGUN")))),"EKSİK"))))</f>
        <v>UYGUN</v>
      </c>
      <c r="Q182" s="2"/>
      <c r="R182" s="2"/>
      <c r="S182" s="1" t="str">
        <f t="shared" si="8"/>
        <v/>
      </c>
      <c r="T182" s="1" t="str">
        <f>IF(OR($C182="",$D182&lt;&gt;"Gelir",$L182=""),"",IFERROR(INDEX(MUSTERILER!$B$7:$B$156,MATCH($S182,MUSTERILER!$T$7:$T$156,0)),""))</f>
        <v/>
      </c>
      <c r="U182" s="1" t="str">
        <f>IF($T182="","",$T182&amp;"|"&amp;COUNTIFS($T$7:$T182,$T182))</f>
        <v/>
      </c>
      <c r="V182" s="1">
        <f t="shared" si="9"/>
        <v>0</v>
      </c>
      <c r="W182" s="1" t="str">
        <f t="shared" si="10"/>
        <v>Gider|Ulaşım|46222|2000|Araç Yakıt|</v>
      </c>
      <c r="X182" s="1"/>
      <c r="Y182" s="1"/>
      <c r="Z182" s="1"/>
      <c r="AA182" s="1"/>
      <c r="AB182" s="1"/>
      <c r="AC182" s="1"/>
      <c r="AD182" s="1">
        <f>IF($C182="",0,SUMPRODUCT((AY_SONU!$O$7:$O$42="Evet")*(AY_SONU!$B$7:$B$42=DATE(YEAR($C182),MONTH($C182),1))))</f>
        <v>0</v>
      </c>
      <c r="AE182" s="1" t="str">
        <f>IF($E182="","",$E182&amp;"|"&amp;COUNTIFS($E$7:$E182,$E182))</f>
        <v>Ulaşım|25</v>
      </c>
    </row>
    <row r="183" spans="1:31" ht="18" customHeight="1" x14ac:dyDescent="0.3">
      <c r="A183" s="2"/>
      <c r="B183" s="65" t="str">
        <f>IF($C183="","","GG"&amp;TEXT(ROW()-6,"00000"))</f>
        <v>GG00177</v>
      </c>
      <c r="C183" s="66">
        <v>46224</v>
      </c>
      <c r="D183" s="60" t="s">
        <v>769</v>
      </c>
      <c r="E183" s="61" t="s">
        <v>801</v>
      </c>
      <c r="F183" s="61" t="s">
        <v>859</v>
      </c>
      <c r="G183" s="67">
        <v>11810</v>
      </c>
      <c r="H183" s="60" t="s">
        <v>772</v>
      </c>
      <c r="I183" s="60" t="s">
        <v>773</v>
      </c>
      <c r="J183" s="61"/>
      <c r="K183" s="61"/>
      <c r="L183" s="60"/>
      <c r="M183" s="74" t="str">
        <f>IF($C183="","",IF($D183="Gider",$E183,IF($L183&lt;&gt;"",$L183,$H183)))</f>
        <v>Vergi / Harç</v>
      </c>
      <c r="N183" s="74" t="str">
        <f>IF($C183="","",IF($D183="Gider",$H183,$E183))</f>
        <v>Merkez Kasa</v>
      </c>
      <c r="O183" s="73">
        <f>IF($C183="","",DATE(YEAR($C183),MONTH($C183),1))</f>
        <v>46204</v>
      </c>
      <c r="P183" s="65" t="str">
        <f ca="1">IF($C183="","",IF(AND($D183="Gelir",$L183&lt;&gt;"",$T183=""),"TANIMSIZ BORÇLU",IF($T183&lt;&gt;"",IF(OR($E183="",$G183&lt;=0),"EKSİK",IF($I183="Evet","TAHAKKUK NAKİT OLAMAZ",IF($C183&gt;TODAY(),"İLERİ TARİH","TAHAKKUK"))),IF(AND($D183&lt;&gt;"",$E183&lt;&gt;"",$G183&gt;0,$H183&lt;&gt;"",$I183&lt;&gt;""),IF($C183&gt;TODAY(),"İLERİ TARİH",IF(COUNTIF($W$7:$W$3001,$W183)&gt;1,"MÜKERRER?",IF($AD183&gt;0,"KAPALI DÖNEM",IF($I183="Hayır","ÖDENECEK","UYGUN")))),"EKSİK"))))</f>
        <v>UYGUN</v>
      </c>
      <c r="Q183" s="2"/>
      <c r="R183" s="2"/>
      <c r="S183" s="1" t="str">
        <f t="shared" si="8"/>
        <v/>
      </c>
      <c r="T183" s="1" t="str">
        <f>IF(OR($C183="",$D183&lt;&gt;"Gelir",$L183=""),"",IFERROR(INDEX(MUSTERILER!$B$7:$B$156,MATCH($S183,MUSTERILER!$T$7:$T$156,0)),""))</f>
        <v/>
      </c>
      <c r="U183" s="1" t="str">
        <f>IF($T183="","",$T183&amp;"|"&amp;COUNTIFS($T$7:$T183,$T183))</f>
        <v/>
      </c>
      <c r="V183" s="1">
        <f t="shared" si="9"/>
        <v>0</v>
      </c>
      <c r="W183" s="1" t="str">
        <f t="shared" si="10"/>
        <v>Gider|Vergi / Harç|46224|11810|Bağkur Ödemesi|</v>
      </c>
      <c r="X183" s="1"/>
      <c r="Y183" s="1"/>
      <c r="Z183" s="1"/>
      <c r="AA183" s="1"/>
      <c r="AB183" s="1"/>
      <c r="AC183" s="1"/>
      <c r="AD183" s="1">
        <f>IF($C183="",0,SUMPRODUCT((AY_SONU!$O$7:$O$42="Evet")*(AY_SONU!$B$7:$B$42=DATE(YEAR($C183),MONTH($C183),1))))</f>
        <v>0</v>
      </c>
      <c r="AE183" s="1" t="str">
        <f>IF($E183="","",$E183&amp;"|"&amp;COUNTIFS($E$7:$E183,$E183))</f>
        <v>Vergi / Harç|13</v>
      </c>
    </row>
    <row r="184" spans="1:31" ht="18" customHeight="1" x14ac:dyDescent="0.3">
      <c r="A184" s="2"/>
      <c r="B184" s="65" t="str">
        <f>IF($C184="","","GG"&amp;TEXT(ROW()-6,"00000"))</f>
        <v>GG00178</v>
      </c>
      <c r="C184" s="66">
        <v>46226</v>
      </c>
      <c r="D184" s="60" t="s">
        <v>769</v>
      </c>
      <c r="E184" s="61" t="s">
        <v>788</v>
      </c>
      <c r="F184" s="61" t="s">
        <v>928</v>
      </c>
      <c r="G184" s="67">
        <v>2000</v>
      </c>
      <c r="H184" s="60" t="s">
        <v>772</v>
      </c>
      <c r="I184" s="60" t="s">
        <v>773</v>
      </c>
      <c r="J184" s="61"/>
      <c r="K184" s="61"/>
      <c r="L184" s="60"/>
      <c r="M184" s="74" t="str">
        <f>IF($C184="","",IF($D184="Gider",$E184,IF($L184&lt;&gt;"",$L184,$H184)))</f>
        <v>Ulaşım</v>
      </c>
      <c r="N184" s="74" t="str">
        <f>IF($C184="","",IF($D184="Gider",$H184,$E184))</f>
        <v>Merkez Kasa</v>
      </c>
      <c r="O184" s="73">
        <f>IF($C184="","",DATE(YEAR($C184),MONTH($C184),1))</f>
        <v>46204</v>
      </c>
      <c r="P184" s="65" t="str">
        <f ca="1">IF($C184="","",IF(AND($D184="Gelir",$L184&lt;&gt;"",$T184=""),"TANIMSIZ BORÇLU",IF($T184&lt;&gt;"",IF(OR($E184="",$G184&lt;=0),"EKSİK",IF($I184="Evet","TAHAKKUK NAKİT OLAMAZ",IF($C184&gt;TODAY(),"İLERİ TARİH","TAHAKKUK"))),IF(AND($D184&lt;&gt;"",$E184&lt;&gt;"",$G184&gt;0,$H184&lt;&gt;"",$I184&lt;&gt;""),IF($C184&gt;TODAY(),"İLERİ TARİH",IF(COUNTIF($W$7:$W$3001,$W184)&gt;1,"MÜKERRER?",IF($AD184&gt;0,"KAPALI DÖNEM",IF($I184="Hayır","ÖDENECEK","UYGUN")))),"EKSİK"))))</f>
        <v>UYGUN</v>
      </c>
      <c r="Q184" s="2"/>
      <c r="R184" s="2"/>
      <c r="S184" s="1" t="str">
        <f t="shared" si="8"/>
        <v/>
      </c>
      <c r="T184" s="1" t="str">
        <f>IF(OR($C184="",$D184&lt;&gt;"Gelir",$L184=""),"",IFERROR(INDEX(MUSTERILER!$B$7:$B$156,MATCH($S184,MUSTERILER!$T$7:$T$156,0)),""))</f>
        <v/>
      </c>
      <c r="U184" s="1" t="str">
        <f>IF($T184="","",$T184&amp;"|"&amp;COUNTIFS($T$7:$T184,$T184))</f>
        <v/>
      </c>
      <c r="V184" s="1">
        <f t="shared" si="9"/>
        <v>0</v>
      </c>
      <c r="W184" s="1" t="str">
        <f t="shared" si="10"/>
        <v>Gider|Ulaşım|46226|2000|Araç Yakıt|</v>
      </c>
      <c r="X184" s="1"/>
      <c r="Y184" s="1"/>
      <c r="Z184" s="1"/>
      <c r="AA184" s="1"/>
      <c r="AB184" s="1"/>
      <c r="AC184" s="1"/>
      <c r="AD184" s="1">
        <f>IF($C184="",0,SUMPRODUCT((AY_SONU!$O$7:$O$42="Evet")*(AY_SONU!$B$7:$B$42=DATE(YEAR($C184),MONTH($C184),1))))</f>
        <v>0</v>
      </c>
      <c r="AE184" s="1" t="str">
        <f>IF($E184="","",$E184&amp;"|"&amp;COUNTIFS($E$7:$E184,$E184))</f>
        <v>Ulaşım|26</v>
      </c>
    </row>
    <row r="185" spans="1:31" ht="18" customHeight="1" x14ac:dyDescent="0.3">
      <c r="A185" s="2"/>
      <c r="B185" s="65" t="str">
        <f>IF($C185="","","GG"&amp;TEXT(ROW()-6,"00000"))</f>
        <v>GG00179</v>
      </c>
      <c r="C185" s="66">
        <v>46230</v>
      </c>
      <c r="D185" s="60" t="s">
        <v>769</v>
      </c>
      <c r="E185" s="61" t="s">
        <v>798</v>
      </c>
      <c r="F185" s="61" t="s">
        <v>799</v>
      </c>
      <c r="G185" s="67">
        <v>60000</v>
      </c>
      <c r="H185" s="60" t="s">
        <v>772</v>
      </c>
      <c r="I185" s="60" t="s">
        <v>773</v>
      </c>
      <c r="J185" s="61"/>
      <c r="K185" s="61"/>
      <c r="L185" s="60"/>
      <c r="M185" s="74" t="str">
        <f>IF($C185="","",IF($D185="Gider",$E185,IF($L185&lt;&gt;"",$L185,$H185)))</f>
        <v>Personel</v>
      </c>
      <c r="N185" s="74" t="str">
        <f>IF($C185="","",IF($D185="Gider",$H185,$E185))</f>
        <v>Merkez Kasa</v>
      </c>
      <c r="O185" s="73">
        <f>IF($C185="","",DATE(YEAR($C185),MONTH($C185),1))</f>
        <v>46204</v>
      </c>
      <c r="P185" s="65" t="str">
        <f ca="1">IF($C185="","",IF(AND($D185="Gelir",$L185&lt;&gt;"",$T185=""),"TANIMSIZ BORÇLU",IF($T185&lt;&gt;"",IF(OR($E185="",$G185&lt;=0),"EKSİK",IF($I185="Evet","TAHAKKUK NAKİT OLAMAZ",IF($C185&gt;TODAY(),"İLERİ TARİH","TAHAKKUK"))),IF(AND($D185&lt;&gt;"",$E185&lt;&gt;"",$G185&gt;0,$H185&lt;&gt;"",$I185&lt;&gt;""),IF($C185&gt;TODAY(),"İLERİ TARİH",IF(COUNTIF($W$7:$W$3001,$W185)&gt;1,"MÜKERRER?",IF($AD185&gt;0,"KAPALI DÖNEM",IF($I185="Hayır","ÖDENECEK","UYGUN")))),"EKSİK"))))</f>
        <v>UYGUN</v>
      </c>
      <c r="Q185" s="2"/>
      <c r="R185" s="2"/>
      <c r="S185" s="1" t="str">
        <f t="shared" si="8"/>
        <v/>
      </c>
      <c r="T185" s="1" t="str">
        <f>IF(OR($C185="",$D185&lt;&gt;"Gelir",$L185=""),"",IFERROR(INDEX(MUSTERILER!$B$7:$B$156,MATCH($S185,MUSTERILER!$T$7:$T$156,0)),""))</f>
        <v/>
      </c>
      <c r="U185" s="1" t="str">
        <f>IF($T185="","",$T185&amp;"|"&amp;COUNTIFS($T$7:$T185,$T185))</f>
        <v/>
      </c>
      <c r="V185" s="1">
        <f t="shared" si="9"/>
        <v>0</v>
      </c>
      <c r="W185" s="1" t="str">
        <f t="shared" si="10"/>
        <v>Gider|Personel|46230|60000|Zeynep Hanım Maaş|</v>
      </c>
      <c r="X185" s="1"/>
      <c r="Y185" s="1"/>
      <c r="Z185" s="1"/>
      <c r="AA185" s="1"/>
      <c r="AB185" s="1"/>
      <c r="AC185" s="1"/>
      <c r="AD185" s="1">
        <f>IF($C185="",0,SUMPRODUCT((AY_SONU!$O$7:$O$42="Evet")*(AY_SONU!$B$7:$B$42=DATE(YEAR($C185),MONTH($C185),1))))</f>
        <v>0</v>
      </c>
      <c r="AE185" s="1" t="str">
        <f>IF($E185="","",$E185&amp;"|"&amp;COUNTIFS($E$7:$E185,$E185))</f>
        <v>Personel|19</v>
      </c>
    </row>
    <row r="186" spans="1:31" ht="18" customHeight="1" x14ac:dyDescent="0.3">
      <c r="A186" s="2"/>
      <c r="B186" s="65" t="str">
        <f>IF($C186="","","GG"&amp;TEXT(ROW()-6,"00000"))</f>
        <v>GG00180</v>
      </c>
      <c r="C186" s="66">
        <v>46230</v>
      </c>
      <c r="D186" s="60" t="s">
        <v>769</v>
      </c>
      <c r="E186" s="61" t="s">
        <v>788</v>
      </c>
      <c r="F186" s="61" t="s">
        <v>928</v>
      </c>
      <c r="G186" s="67">
        <v>2000</v>
      </c>
      <c r="H186" s="60" t="s">
        <v>772</v>
      </c>
      <c r="I186" s="60" t="s">
        <v>773</v>
      </c>
      <c r="J186" s="61"/>
      <c r="K186" s="61"/>
      <c r="L186" s="60"/>
      <c r="M186" s="74" t="str">
        <f>IF($C186="","",IF($D186="Gider",$E186,IF($L186&lt;&gt;"",$L186,$H186)))</f>
        <v>Ulaşım</v>
      </c>
      <c r="N186" s="74" t="str">
        <f>IF($C186="","",IF($D186="Gider",$H186,$E186))</f>
        <v>Merkez Kasa</v>
      </c>
      <c r="O186" s="73">
        <f>IF($C186="","",DATE(YEAR($C186),MONTH($C186),1))</f>
        <v>46204</v>
      </c>
      <c r="P186" s="65" t="str">
        <f ca="1">IF($C186="","",IF(AND($D186="Gelir",$L186&lt;&gt;"",$T186=""),"TANIMSIZ BORÇLU",IF($T186&lt;&gt;"",IF(OR($E186="",$G186&lt;=0),"EKSİK",IF($I186="Evet","TAHAKKUK NAKİT OLAMAZ",IF($C186&gt;TODAY(),"İLERİ TARİH","TAHAKKUK"))),IF(AND($D186&lt;&gt;"",$E186&lt;&gt;"",$G186&gt;0,$H186&lt;&gt;"",$I186&lt;&gt;""),IF($C186&gt;TODAY(),"İLERİ TARİH",IF(COUNTIF($W$7:$W$3001,$W186)&gt;1,"MÜKERRER?",IF($AD186&gt;0,"KAPALI DÖNEM",IF($I186="Hayır","ÖDENECEK","UYGUN")))),"EKSİK"))))</f>
        <v>UYGUN</v>
      </c>
      <c r="Q186" s="2"/>
      <c r="R186" s="2"/>
      <c r="S186" s="1" t="str">
        <f t="shared" si="8"/>
        <v/>
      </c>
      <c r="T186" s="1" t="str">
        <f>IF(OR($C186="",$D186&lt;&gt;"Gelir",$L186=""),"",IFERROR(INDEX(MUSTERILER!$B$7:$B$156,MATCH($S186,MUSTERILER!$T$7:$T$156,0)),""))</f>
        <v/>
      </c>
      <c r="U186" s="1" t="str">
        <f>IF($T186="","",$T186&amp;"|"&amp;COUNTIFS($T$7:$T186,$T186))</f>
        <v/>
      </c>
      <c r="V186" s="1">
        <f t="shared" si="9"/>
        <v>0</v>
      </c>
      <c r="W186" s="1" t="str">
        <f t="shared" si="10"/>
        <v>Gider|Ulaşım|46230|2000|Araç Yakıt|</v>
      </c>
      <c r="X186" s="1"/>
      <c r="Y186" s="1"/>
      <c r="Z186" s="1"/>
      <c r="AA186" s="1"/>
      <c r="AB186" s="1"/>
      <c r="AC186" s="1"/>
      <c r="AD186" s="1">
        <f>IF($C186="",0,SUMPRODUCT((AY_SONU!$O$7:$O$42="Evet")*(AY_SONU!$B$7:$B$42=DATE(YEAR($C186),MONTH($C186),1))))</f>
        <v>0</v>
      </c>
      <c r="AE186" s="1" t="str">
        <f>IF($E186="","",$E186&amp;"|"&amp;COUNTIFS($E$7:$E186,$E186))</f>
        <v>Ulaşım|27</v>
      </c>
    </row>
    <row r="187" spans="1:31" ht="18" customHeight="1" x14ac:dyDescent="0.3">
      <c r="A187" s="2"/>
      <c r="B187" s="65" t="str">
        <f>IF($C187="","","GG"&amp;TEXT(ROW()-6,"00000"))</f>
        <v>GG00181</v>
      </c>
      <c r="C187" s="66">
        <v>46234</v>
      </c>
      <c r="D187" s="60" t="s">
        <v>769</v>
      </c>
      <c r="E187" s="61" t="s">
        <v>805</v>
      </c>
      <c r="F187" s="61" t="s">
        <v>933</v>
      </c>
      <c r="G187" s="67">
        <v>14000</v>
      </c>
      <c r="H187" s="60" t="s">
        <v>772</v>
      </c>
      <c r="I187" s="60" t="s">
        <v>773</v>
      </c>
      <c r="J187" s="61"/>
      <c r="K187" s="61"/>
      <c r="L187" s="60"/>
      <c r="M187" s="74" t="str">
        <f>IF($C187="","",IF($D187="Gider",$E187,IF($L187&lt;&gt;"",$L187,$H187)))</f>
        <v>Ofis Kirası</v>
      </c>
      <c r="N187" s="74" t="str">
        <f>IF($C187="","",IF($D187="Gider",$H187,$E187))</f>
        <v>Merkez Kasa</v>
      </c>
      <c r="O187" s="73">
        <f>IF($C187="","",DATE(YEAR($C187),MONTH($C187),1))</f>
        <v>46204</v>
      </c>
      <c r="P187" s="65" t="str">
        <f ca="1">IF($C187="","",IF(AND($D187="Gelir",$L187&lt;&gt;"",$T187=""),"TANIMSIZ BORÇLU",IF($T187&lt;&gt;"",IF(OR($E187="",$G187&lt;=0),"EKSİK",IF($I187="Evet","TAHAKKUK NAKİT OLAMAZ",IF($C187&gt;TODAY(),"İLERİ TARİH","TAHAKKUK"))),IF(AND($D187&lt;&gt;"",$E187&lt;&gt;"",$G187&gt;0,$H187&lt;&gt;"",$I187&lt;&gt;""),IF($C187&gt;TODAY(),"İLERİ TARİH",IF(COUNTIF($W$7:$W$3001,$W187)&gt;1,"MÜKERRER?",IF($AD187&gt;0,"KAPALI DÖNEM",IF($I187="Hayır","ÖDENECEK","UYGUN")))),"EKSİK"))))</f>
        <v>UYGUN</v>
      </c>
      <c r="Q187" s="2"/>
      <c r="R187" s="2"/>
      <c r="S187" s="1" t="str">
        <f t="shared" si="8"/>
        <v/>
      </c>
      <c r="T187" s="1" t="str">
        <f>IF(OR($C187="",$D187&lt;&gt;"Gelir",$L187=""),"",IFERROR(INDEX(MUSTERILER!$B$7:$B$156,MATCH($S187,MUSTERILER!$T$7:$T$156,0)),""))</f>
        <v/>
      </c>
      <c r="U187" s="1" t="str">
        <f>IF($T187="","",$T187&amp;"|"&amp;COUNTIFS($T$7:$T187,$T187))</f>
        <v/>
      </c>
      <c r="V187" s="1">
        <f t="shared" si="9"/>
        <v>0</v>
      </c>
      <c r="W187" s="1" t="str">
        <f t="shared" si="10"/>
        <v>Gider|Ofis Kirası|46234|14000|Temmuz İşyeri Kira Ödemesi|</v>
      </c>
      <c r="X187" s="1"/>
      <c r="Y187" s="1"/>
      <c r="Z187" s="1"/>
      <c r="AA187" s="1"/>
      <c r="AB187" s="1"/>
      <c r="AC187" s="1"/>
      <c r="AD187" s="1">
        <f>IF($C187="",0,SUMPRODUCT((AY_SONU!$O$7:$O$42="Evet")*(AY_SONU!$B$7:$B$42=DATE(YEAR($C187),MONTH($C187),1))))</f>
        <v>0</v>
      </c>
      <c r="AE187" s="1" t="str">
        <f>IF($E187="","",$E187&amp;"|"&amp;COUNTIFS($E$7:$E187,$E187))</f>
        <v>Ofis Kirası|12</v>
      </c>
    </row>
    <row r="188" spans="1:31" ht="18" customHeight="1" x14ac:dyDescent="0.3">
      <c r="A188" s="2"/>
      <c r="B188" s="65" t="str">
        <f>IF($C188="","","GG"&amp;TEXT(ROW()-6,"00000"))</f>
        <v>GG00182</v>
      </c>
      <c r="C188" s="66">
        <v>46235</v>
      </c>
      <c r="D188" s="60" t="s">
        <v>769</v>
      </c>
      <c r="E188" s="61" t="s">
        <v>805</v>
      </c>
      <c r="F188" s="61" t="s">
        <v>934</v>
      </c>
      <c r="G188" s="67">
        <v>14000</v>
      </c>
      <c r="H188" s="60" t="s">
        <v>772</v>
      </c>
      <c r="I188" s="60" t="s">
        <v>773</v>
      </c>
      <c r="J188" s="61"/>
      <c r="K188" s="61"/>
      <c r="L188" s="60"/>
      <c r="M188" s="74" t="str">
        <f>IF($C188="","",IF($D188="Gider",$E188,IF($L188&lt;&gt;"",$L188,$H188)))</f>
        <v>Ofis Kirası</v>
      </c>
      <c r="N188" s="74" t="str">
        <f>IF($C188="","",IF($D188="Gider",$H188,$E188))</f>
        <v>Merkez Kasa</v>
      </c>
      <c r="O188" s="73">
        <f>IF($C188="","",DATE(YEAR($C188),MONTH($C188),1))</f>
        <v>46235</v>
      </c>
      <c r="P188" s="65" t="str">
        <f ca="1">IF($C188="","",IF(AND($D188="Gelir",$L188&lt;&gt;"",$T188=""),"TANIMSIZ BORÇLU",IF($T188&lt;&gt;"",IF(OR($E188="",$G188&lt;=0),"EKSİK",IF($I188="Evet","TAHAKKUK NAKİT OLAMAZ",IF($C188&gt;TODAY(),"İLERİ TARİH","TAHAKKUK"))),IF(AND($D188&lt;&gt;"",$E188&lt;&gt;"",$G188&gt;0,$H188&lt;&gt;"",$I188&lt;&gt;""),IF($C188&gt;TODAY(),"İLERİ TARİH",IF(COUNTIF($W$7:$W$3001,$W188)&gt;1,"MÜKERRER?",IF($AD188&gt;0,"KAPALI DÖNEM",IF($I188="Hayır","ÖDENECEK","UYGUN")))),"EKSİK"))))</f>
        <v>UYGUN</v>
      </c>
      <c r="Q188" s="2"/>
      <c r="R188" s="2"/>
      <c r="S188" s="1" t="str">
        <f t="shared" si="8"/>
        <v/>
      </c>
      <c r="T188" s="1" t="str">
        <f>IF(OR($C188="",$D188&lt;&gt;"Gelir",$L188=""),"",IFERROR(INDEX(MUSTERILER!$B$7:$B$156,MATCH($S188,MUSTERILER!$T$7:$T$156,0)),""))</f>
        <v/>
      </c>
      <c r="U188" s="1" t="str">
        <f>IF($T188="","",$T188&amp;"|"&amp;COUNTIFS($T$7:$T188,$T188))</f>
        <v/>
      </c>
      <c r="V188" s="1">
        <f t="shared" si="9"/>
        <v>0</v>
      </c>
      <c r="W188" s="1" t="str">
        <f t="shared" si="10"/>
        <v>Gider|Ofis Kirası|46235|14000|Ağustos İşyeri Kira Ödemesi|</v>
      </c>
      <c r="X188" s="1"/>
      <c r="Y188" s="1"/>
      <c r="Z188" s="1"/>
      <c r="AA188" s="1"/>
      <c r="AB188" s="1"/>
      <c r="AC188" s="1"/>
      <c r="AD188" s="1">
        <f>IF($C188="",0,SUMPRODUCT((AY_SONU!$O$7:$O$42="Evet")*(AY_SONU!$B$7:$B$42=DATE(YEAR($C188),MONTH($C188),1))))</f>
        <v>0</v>
      </c>
      <c r="AE188" s="1" t="str">
        <f>IF($E188="","",$E188&amp;"|"&amp;COUNTIFS($E$7:$E188,$E188))</f>
        <v>Ofis Kirası|13</v>
      </c>
    </row>
    <row r="189" spans="1:31" ht="18" customHeight="1" x14ac:dyDescent="0.3">
      <c r="A189" s="2"/>
      <c r="B189" s="65" t="str">
        <f>IF($C189="","","GG"&amp;TEXT(ROW()-6,"00000"))</f>
        <v>GG00183</v>
      </c>
      <c r="C189" s="66">
        <v>46235</v>
      </c>
      <c r="D189" s="60" t="s">
        <v>769</v>
      </c>
      <c r="E189" s="61" t="s">
        <v>805</v>
      </c>
      <c r="F189" s="61" t="s">
        <v>935</v>
      </c>
      <c r="G189" s="67">
        <v>14000</v>
      </c>
      <c r="H189" s="60" t="s">
        <v>772</v>
      </c>
      <c r="I189" s="60" t="s">
        <v>773</v>
      </c>
      <c r="J189" s="61"/>
      <c r="K189" s="61"/>
      <c r="L189" s="60"/>
      <c r="M189" s="74" t="str">
        <f>IF($C189="","",IF($D189="Gider",$E189,IF($L189&lt;&gt;"",$L189,$H189)))</f>
        <v>Ofis Kirası</v>
      </c>
      <c r="N189" s="74" t="str">
        <f>IF($C189="","",IF($D189="Gider",$H189,$E189))</f>
        <v>Merkez Kasa</v>
      </c>
      <c r="O189" s="73">
        <f>IF($C189="","",DATE(YEAR($C189),MONTH($C189),1))</f>
        <v>46235</v>
      </c>
      <c r="P189" s="65" t="str">
        <f ca="1">IF($C189="","",IF(AND($D189="Gelir",$L189&lt;&gt;"",$T189=""),"TANIMSIZ BORÇLU",IF($T189&lt;&gt;"",IF(OR($E189="",$G189&lt;=0),"EKSİK",IF($I189="Evet","TAHAKKUK NAKİT OLAMAZ",IF($C189&gt;TODAY(),"İLERİ TARİH","TAHAKKUK"))),IF(AND($D189&lt;&gt;"",$E189&lt;&gt;"",$G189&gt;0,$H189&lt;&gt;"",$I189&lt;&gt;""),IF($C189&gt;TODAY(),"İLERİ TARİH",IF(COUNTIF($W$7:$W$3001,$W189)&gt;1,"MÜKERRER?",IF($AD189&gt;0,"KAPALI DÖNEM",IF($I189="Hayır","ÖDENECEK","UYGUN")))),"EKSİK"))))</f>
        <v>UYGUN</v>
      </c>
      <c r="Q189" s="2"/>
      <c r="R189" s="2"/>
      <c r="S189" s="1" t="str">
        <f t="shared" si="8"/>
        <v/>
      </c>
      <c r="T189" s="1" t="str">
        <f>IF(OR($C189="",$D189&lt;&gt;"Gelir",$L189=""),"",IFERROR(INDEX(MUSTERILER!$B$7:$B$156,MATCH($S189,MUSTERILER!$T$7:$T$156,0)),""))</f>
        <v/>
      </c>
      <c r="U189" s="1" t="str">
        <f>IF($T189="","",$T189&amp;"|"&amp;COUNTIFS($T$7:$T189,$T189))</f>
        <v/>
      </c>
      <c r="V189" s="1">
        <f t="shared" si="9"/>
        <v>0</v>
      </c>
      <c r="W189" s="1" t="str">
        <f t="shared" si="10"/>
        <v>Gider|Ofis Kirası|46235|14000|Eylül İşyeri Kira Ödemesi|</v>
      </c>
      <c r="X189" s="1"/>
      <c r="Y189" s="1"/>
      <c r="Z189" s="1"/>
      <c r="AA189" s="1"/>
      <c r="AB189" s="1"/>
      <c r="AC189" s="1"/>
      <c r="AD189" s="1">
        <f>IF($C189="",0,SUMPRODUCT((AY_SONU!$O$7:$O$42="Evet")*(AY_SONU!$B$7:$B$42=DATE(YEAR($C189),MONTH($C189),1))))</f>
        <v>0</v>
      </c>
      <c r="AE189" s="1" t="str">
        <f>IF($E189="","",$E189&amp;"|"&amp;COUNTIFS($E$7:$E189,$E189))</f>
        <v>Ofis Kirası|14</v>
      </c>
    </row>
    <row r="190" spans="1:31" ht="18" customHeight="1" x14ac:dyDescent="0.3">
      <c r="A190" s="2"/>
      <c r="B190" s="65" t="str">
        <f>IF($C190="","","GG"&amp;TEXT(ROW()-6,"00000"))</f>
        <v>GG00184</v>
      </c>
      <c r="C190" s="66">
        <v>46235</v>
      </c>
      <c r="D190" s="60" t="s">
        <v>795</v>
      </c>
      <c r="E190" s="61" t="s">
        <v>812</v>
      </c>
      <c r="F190" s="61" t="s">
        <v>936</v>
      </c>
      <c r="G190" s="67">
        <v>4200</v>
      </c>
      <c r="H190" s="60" t="s">
        <v>717</v>
      </c>
      <c r="I190" s="60" t="s">
        <v>773</v>
      </c>
      <c r="J190" s="61"/>
      <c r="K190" s="61"/>
      <c r="L190" s="60"/>
      <c r="M190" s="74" t="str">
        <f>IF($C190="","",IF($D190="Gider",$E190,IF($L190&lt;&gt;"",$L190,$H190)))</f>
        <v>MERKEZ KASA</v>
      </c>
      <c r="N190" s="74" t="str">
        <f>IF($C190="","",IF($D190="Gider",$H190,$E190))</f>
        <v>Geçici Vergi Damga</v>
      </c>
      <c r="O190" s="73">
        <f>IF($C190="","",DATE(YEAR($C190),MONTH($C190),1))</f>
        <v>46235</v>
      </c>
      <c r="P190" s="65" t="str">
        <f ca="1">IF($C190="","",IF(AND($D190="Gelir",$L190&lt;&gt;"",$T190=""),"TANIMSIZ BORÇLU",IF($T190&lt;&gt;"",IF(OR($E190="",$G190&lt;=0),"EKSİK",IF($I190="Evet","TAHAKKUK NAKİT OLAMAZ",IF($C190&gt;TODAY(),"İLERİ TARİH","TAHAKKUK"))),IF(AND($D190&lt;&gt;"",$E190&lt;&gt;"",$G190&gt;0,$H190&lt;&gt;"",$I190&lt;&gt;""),IF($C190&gt;TODAY(),"İLERİ TARİH",IF(COUNTIF($W$7:$W$3001,$W190)&gt;1,"MÜKERRER?",IF($AD190&gt;0,"KAPALI DÖNEM",IF($I190="Hayır","ÖDENECEK","UYGUN")))),"EKSİK"))))</f>
        <v>UYGUN</v>
      </c>
      <c r="Q190" s="2"/>
      <c r="R190" s="2"/>
      <c r="S190" s="1" t="str">
        <f t="shared" si="8"/>
        <v/>
      </c>
      <c r="T190" s="1" t="str">
        <f>IF(OR($C190="",$D190&lt;&gt;"Gelir",$L190=""),"",IFERROR(INDEX(MUSTERILER!$B$7:$B$156,MATCH($S190,MUSTERILER!$T$7:$T$156,0)),""))</f>
        <v/>
      </c>
      <c r="U190" s="1" t="str">
        <f>IF($T190="","",$T190&amp;"|"&amp;COUNTIFS($T$7:$T190,$T190))</f>
        <v/>
      </c>
      <c r="V190" s="1">
        <f t="shared" si="9"/>
        <v>0</v>
      </c>
      <c r="W190" s="1" t="str">
        <f t="shared" si="10"/>
        <v>Gelir|Geçici Vergi Damga|46235|4200|KRİSTAL LTD.ŞTİ. 2026 / 2 GEÇİCİ DAMGA|</v>
      </c>
      <c r="X190" s="1"/>
      <c r="Y190" s="1"/>
      <c r="Z190" s="1"/>
      <c r="AA190" s="1"/>
      <c r="AB190" s="1"/>
      <c r="AC190" s="1"/>
      <c r="AD190" s="1">
        <f>IF($C190="",0,SUMPRODUCT((AY_SONU!$O$7:$O$42="Evet")*(AY_SONU!$B$7:$B$42=DATE(YEAR($C190),MONTH($C190),1))))</f>
        <v>0</v>
      </c>
      <c r="AE190" s="1" t="str">
        <f>IF($E190="","",$E190&amp;"|"&amp;COUNTIFS($E$7:$E190,$E190))</f>
        <v>Geçici Vergi Damga|20</v>
      </c>
    </row>
    <row r="191" spans="1:31" ht="18" customHeight="1" x14ac:dyDescent="0.3">
      <c r="A191" s="2"/>
      <c r="B191" s="65" t="str">
        <f>IF($C191="","","GG"&amp;TEXT(ROW()-6,"00000"))</f>
        <v>GG00185</v>
      </c>
      <c r="C191" s="66">
        <v>46235</v>
      </c>
      <c r="D191" s="60" t="s">
        <v>795</v>
      </c>
      <c r="E191" s="61" t="s">
        <v>812</v>
      </c>
      <c r="F191" s="61" t="s">
        <v>937</v>
      </c>
      <c r="G191" s="67">
        <v>4200</v>
      </c>
      <c r="H191" s="60" t="s">
        <v>717</v>
      </c>
      <c r="I191" s="60" t="s">
        <v>773</v>
      </c>
      <c r="J191" s="61"/>
      <c r="K191" s="61"/>
      <c r="L191" s="60"/>
      <c r="M191" s="74" t="str">
        <f>IF($C191="","",IF($D191="Gider",$E191,IF($L191&lt;&gt;"",$L191,$H191)))</f>
        <v>MERKEZ KASA</v>
      </c>
      <c r="N191" s="74" t="str">
        <f>IF($C191="","",IF($D191="Gider",$H191,$E191))</f>
        <v>Geçici Vergi Damga</v>
      </c>
      <c r="O191" s="73">
        <f>IF($C191="","",DATE(YEAR($C191),MONTH($C191),1))</f>
        <v>46235</v>
      </c>
      <c r="P191" s="65" t="str">
        <f ca="1">IF($C191="","",IF(AND($D191="Gelir",$L191&lt;&gt;"",$T191=""),"TANIMSIZ BORÇLU",IF($T191&lt;&gt;"",IF(OR($E191="",$G191&lt;=0),"EKSİK",IF($I191="Evet","TAHAKKUK NAKİT OLAMAZ",IF($C191&gt;TODAY(),"İLERİ TARİH","TAHAKKUK"))),IF(AND($D191&lt;&gt;"",$E191&lt;&gt;"",$G191&gt;0,$H191&lt;&gt;"",$I191&lt;&gt;""),IF($C191&gt;TODAY(),"İLERİ TARİH",IF(COUNTIF($W$7:$W$3001,$W191)&gt;1,"MÜKERRER?",IF($AD191&gt;0,"KAPALI DÖNEM",IF($I191="Hayır","ÖDENECEK","UYGUN")))),"EKSİK"))))</f>
        <v>UYGUN</v>
      </c>
      <c r="Q191" s="2"/>
      <c r="R191" s="2"/>
      <c r="S191" s="1" t="str">
        <f t="shared" si="8"/>
        <v/>
      </c>
      <c r="T191" s="1" t="str">
        <f>IF(OR($C191="",$D191&lt;&gt;"Gelir",$L191=""),"",IFERROR(INDEX(MUSTERILER!$B$7:$B$156,MATCH($S191,MUSTERILER!$T$7:$T$156,0)),""))</f>
        <v/>
      </c>
      <c r="U191" s="1" t="str">
        <f>IF($T191="","",$T191&amp;"|"&amp;COUNTIFS($T$7:$T191,$T191))</f>
        <v/>
      </c>
      <c r="V191" s="1">
        <f t="shared" si="9"/>
        <v>0</v>
      </c>
      <c r="W191" s="1" t="str">
        <f t="shared" si="10"/>
        <v>Gelir|Geçici Vergi Damga|46235|4200|ASIM AÇIKGÖZ 2026 / 2 GEÇİCİ DAMGA|</v>
      </c>
      <c r="X191" s="1"/>
      <c r="Y191" s="1"/>
      <c r="Z191" s="1"/>
      <c r="AA191" s="1"/>
      <c r="AB191" s="1"/>
      <c r="AC191" s="1"/>
      <c r="AD191" s="1">
        <f>IF($C191="",0,SUMPRODUCT((AY_SONU!$O$7:$O$42="Evet")*(AY_SONU!$B$7:$B$42=DATE(YEAR($C191),MONTH($C191),1))))</f>
        <v>0</v>
      </c>
      <c r="AE191" s="1" t="str">
        <f>IF($E191="","",$E191&amp;"|"&amp;COUNTIFS($E$7:$E191,$E191))</f>
        <v>Geçici Vergi Damga|21</v>
      </c>
    </row>
    <row r="192" spans="1:31" ht="18" customHeight="1" x14ac:dyDescent="0.3">
      <c r="A192" s="2"/>
      <c r="B192" s="65" t="str">
        <f>IF($C192="","","GG"&amp;TEXT(ROW()-6,"00000"))</f>
        <v>GG00186</v>
      </c>
      <c r="C192" s="66">
        <v>46235</v>
      </c>
      <c r="D192" s="60" t="s">
        <v>795</v>
      </c>
      <c r="E192" s="61" t="s">
        <v>812</v>
      </c>
      <c r="F192" s="61" t="s">
        <v>938</v>
      </c>
      <c r="G192" s="67">
        <v>4200</v>
      </c>
      <c r="H192" s="60" t="s">
        <v>717</v>
      </c>
      <c r="I192" s="60" t="s">
        <v>773</v>
      </c>
      <c r="J192" s="61"/>
      <c r="K192" s="61"/>
      <c r="L192" s="60"/>
      <c r="M192" s="74" t="str">
        <f>IF($C192="","",IF($D192="Gider",$E192,IF($L192&lt;&gt;"",$L192,$H192)))</f>
        <v>MERKEZ KASA</v>
      </c>
      <c r="N192" s="74" t="str">
        <f>IF($C192="","",IF($D192="Gider",$H192,$E192))</f>
        <v>Geçici Vergi Damga</v>
      </c>
      <c r="O192" s="73">
        <f>IF($C192="","",DATE(YEAR($C192),MONTH($C192),1))</f>
        <v>46235</v>
      </c>
      <c r="P192" s="65" t="str">
        <f ca="1">IF($C192="","",IF(AND($D192="Gelir",$L192&lt;&gt;"",$T192=""),"TANIMSIZ BORÇLU",IF($T192&lt;&gt;"",IF(OR($E192="",$G192&lt;=0),"EKSİK",IF($I192="Evet","TAHAKKUK NAKİT OLAMAZ",IF($C192&gt;TODAY(),"İLERİ TARİH","TAHAKKUK"))),IF(AND($D192&lt;&gt;"",$E192&lt;&gt;"",$G192&gt;0,$H192&lt;&gt;"",$I192&lt;&gt;""),IF($C192&gt;TODAY(),"İLERİ TARİH",IF(COUNTIF($W$7:$W$3001,$W192)&gt;1,"MÜKERRER?",IF($AD192&gt;0,"KAPALI DÖNEM",IF($I192="Hayır","ÖDENECEK","UYGUN")))),"EKSİK"))))</f>
        <v>UYGUN</v>
      </c>
      <c r="Q192" s="2"/>
      <c r="R192" s="2"/>
      <c r="S192" s="1" t="str">
        <f t="shared" si="8"/>
        <v/>
      </c>
      <c r="T192" s="1" t="str">
        <f>IF(OR($C192="",$D192&lt;&gt;"Gelir",$L192=""),"",IFERROR(INDEX(MUSTERILER!$B$7:$B$156,MATCH($S192,MUSTERILER!$T$7:$T$156,0)),""))</f>
        <v/>
      </c>
      <c r="U192" s="1" t="str">
        <f>IF($T192="","",$T192&amp;"|"&amp;COUNTIFS($T$7:$T192,$T192))</f>
        <v/>
      </c>
      <c r="V192" s="1">
        <f t="shared" si="9"/>
        <v>0</v>
      </c>
      <c r="W192" s="1" t="str">
        <f t="shared" si="10"/>
        <v>Gelir|Geçici Vergi Damga|46235|4200|RİX LTD.ŞTİ. 2026 / 2 GEÇİCİ DAMGA|</v>
      </c>
      <c r="X192" s="1"/>
      <c r="Y192" s="1"/>
      <c r="Z192" s="1"/>
      <c r="AA192" s="1"/>
      <c r="AB192" s="1"/>
      <c r="AC192" s="1"/>
      <c r="AD192" s="1">
        <f>IF($C192="",0,SUMPRODUCT((AY_SONU!$O$7:$O$42="Evet")*(AY_SONU!$B$7:$B$42=DATE(YEAR($C192),MONTH($C192),1))))</f>
        <v>0</v>
      </c>
      <c r="AE192" s="1" t="str">
        <f>IF($E192="","",$E192&amp;"|"&amp;COUNTIFS($E$7:$E192,$E192))</f>
        <v>Geçici Vergi Damga|22</v>
      </c>
    </row>
    <row r="193" spans="1:31" ht="18" customHeight="1" x14ac:dyDescent="0.3">
      <c r="A193" s="2"/>
      <c r="B193" s="65" t="str">
        <f>IF($C193="","","GG"&amp;TEXT(ROW()-6,"00000"))</f>
        <v>GG00187</v>
      </c>
      <c r="C193" s="66">
        <v>46235</v>
      </c>
      <c r="D193" s="60" t="s">
        <v>795</v>
      </c>
      <c r="E193" s="61" t="s">
        <v>812</v>
      </c>
      <c r="F193" s="61" t="s">
        <v>939</v>
      </c>
      <c r="G193" s="67">
        <v>4200</v>
      </c>
      <c r="H193" s="60" t="s">
        <v>717</v>
      </c>
      <c r="I193" s="60" t="s">
        <v>773</v>
      </c>
      <c r="J193" s="61"/>
      <c r="K193" s="61"/>
      <c r="L193" s="60"/>
      <c r="M193" s="74" t="str">
        <f>IF($C193="","",IF($D193="Gider",$E193,IF($L193&lt;&gt;"",$L193,$H193)))</f>
        <v>MERKEZ KASA</v>
      </c>
      <c r="N193" s="74" t="str">
        <f>IF($C193="","",IF($D193="Gider",$H193,$E193))</f>
        <v>Geçici Vergi Damga</v>
      </c>
      <c r="O193" s="73">
        <f>IF($C193="","",DATE(YEAR($C193),MONTH($C193),1))</f>
        <v>46235</v>
      </c>
      <c r="P193" s="65" t="str">
        <f ca="1">IF($C193="","",IF(AND($D193="Gelir",$L193&lt;&gt;"",$T193=""),"TANIMSIZ BORÇLU",IF($T193&lt;&gt;"",IF(OR($E193="",$G193&lt;=0),"EKSİK",IF($I193="Evet","TAHAKKUK NAKİT OLAMAZ",IF($C193&gt;TODAY(),"İLERİ TARİH","TAHAKKUK"))),IF(AND($D193&lt;&gt;"",$E193&lt;&gt;"",$G193&gt;0,$H193&lt;&gt;"",$I193&lt;&gt;""),IF($C193&gt;TODAY(),"İLERİ TARİH",IF(COUNTIF($W$7:$W$3001,$W193)&gt;1,"MÜKERRER?",IF($AD193&gt;0,"KAPALI DÖNEM",IF($I193="Hayır","ÖDENECEK","UYGUN")))),"EKSİK"))))</f>
        <v>UYGUN</v>
      </c>
      <c r="Q193" s="2"/>
      <c r="R193" s="2"/>
      <c r="S193" s="1" t="str">
        <f t="shared" si="8"/>
        <v/>
      </c>
      <c r="T193" s="1" t="str">
        <f>IF(OR($C193="",$D193&lt;&gt;"Gelir",$L193=""),"",IFERROR(INDEX(MUSTERILER!$B$7:$B$156,MATCH($S193,MUSTERILER!$T$7:$T$156,0)),""))</f>
        <v/>
      </c>
      <c r="U193" s="1" t="str">
        <f>IF($T193="","",$T193&amp;"|"&amp;COUNTIFS($T$7:$T193,$T193))</f>
        <v/>
      </c>
      <c r="V193" s="1">
        <f t="shared" si="9"/>
        <v>0</v>
      </c>
      <c r="W193" s="1" t="str">
        <f t="shared" si="10"/>
        <v>Gelir|Geçici Vergi Damga|46235|4200|ASM EĞLENCE LTD.ŞTİ. 2026 / 2 GEÇİCİ DAMGA|</v>
      </c>
      <c r="X193" s="1"/>
      <c r="Y193" s="1"/>
      <c r="Z193" s="1"/>
      <c r="AA193" s="1"/>
      <c r="AB193" s="1"/>
      <c r="AC193" s="1"/>
      <c r="AD193" s="1">
        <f>IF($C193="",0,SUMPRODUCT((AY_SONU!$O$7:$O$42="Evet")*(AY_SONU!$B$7:$B$42=DATE(YEAR($C193),MONTH($C193),1))))</f>
        <v>0</v>
      </c>
      <c r="AE193" s="1" t="str">
        <f>IF($E193="","",$E193&amp;"|"&amp;COUNTIFS($E$7:$E193,$E193))</f>
        <v>Geçici Vergi Damga|23</v>
      </c>
    </row>
    <row r="194" spans="1:31" ht="18" customHeight="1" x14ac:dyDescent="0.3">
      <c r="A194" s="2"/>
      <c r="B194" s="65" t="str">
        <f>IF($C194="","","GG"&amp;TEXT(ROW()-6,"00000"))</f>
        <v>GG00188</v>
      </c>
      <c r="C194" s="66">
        <v>46235</v>
      </c>
      <c r="D194" s="60" t="s">
        <v>795</v>
      </c>
      <c r="E194" s="61" t="s">
        <v>812</v>
      </c>
      <c r="F194" s="61" t="s">
        <v>940</v>
      </c>
      <c r="G194" s="67">
        <v>4200</v>
      </c>
      <c r="H194" s="60" t="s">
        <v>717</v>
      </c>
      <c r="I194" s="60" t="s">
        <v>773</v>
      </c>
      <c r="J194" s="61"/>
      <c r="K194" s="61"/>
      <c r="L194" s="60"/>
      <c r="M194" s="74" t="str">
        <f>IF($C194="","",IF($D194="Gider",$E194,IF($L194&lt;&gt;"",$L194,$H194)))</f>
        <v>MERKEZ KASA</v>
      </c>
      <c r="N194" s="74" t="str">
        <f>IF($C194="","",IF($D194="Gider",$H194,$E194))</f>
        <v>Geçici Vergi Damga</v>
      </c>
      <c r="O194" s="73">
        <f>IF($C194="","",DATE(YEAR($C194),MONTH($C194),1))</f>
        <v>46235</v>
      </c>
      <c r="P194" s="65" t="str">
        <f ca="1">IF($C194="","",IF(AND($D194="Gelir",$L194&lt;&gt;"",$T194=""),"TANIMSIZ BORÇLU",IF($T194&lt;&gt;"",IF(OR($E194="",$G194&lt;=0),"EKSİK",IF($I194="Evet","TAHAKKUK NAKİT OLAMAZ",IF($C194&gt;TODAY(),"İLERİ TARİH","TAHAKKUK"))),IF(AND($D194&lt;&gt;"",$E194&lt;&gt;"",$G194&gt;0,$H194&lt;&gt;"",$I194&lt;&gt;""),IF($C194&gt;TODAY(),"İLERİ TARİH",IF(COUNTIF($W$7:$W$3001,$W194)&gt;1,"MÜKERRER?",IF($AD194&gt;0,"KAPALI DÖNEM",IF($I194="Hayır","ÖDENECEK","UYGUN")))),"EKSİK"))))</f>
        <v>UYGUN</v>
      </c>
      <c r="Q194" s="2"/>
      <c r="R194" s="2"/>
      <c r="S194" s="1" t="str">
        <f t="shared" si="8"/>
        <v/>
      </c>
      <c r="T194" s="1" t="str">
        <f>IF(OR($C194="",$D194&lt;&gt;"Gelir",$L194=""),"",IFERROR(INDEX(MUSTERILER!$B$7:$B$156,MATCH($S194,MUSTERILER!$T$7:$T$156,0)),""))</f>
        <v/>
      </c>
      <c r="U194" s="1" t="str">
        <f>IF($T194="","",$T194&amp;"|"&amp;COUNTIFS($T$7:$T194,$T194))</f>
        <v/>
      </c>
      <c r="V194" s="1">
        <f t="shared" si="9"/>
        <v>0</v>
      </c>
      <c r="W194" s="1" t="str">
        <f t="shared" si="10"/>
        <v>Gelir|Geçici Vergi Damga|46235|4200|PAKYILDIZ LTD.ŞTİ.  2026 / 2 GEÇİCİ DAMGA|</v>
      </c>
      <c r="X194" s="1"/>
      <c r="Y194" s="1"/>
      <c r="Z194" s="1"/>
      <c r="AA194" s="1"/>
      <c r="AB194" s="1"/>
      <c r="AC194" s="1"/>
      <c r="AD194" s="1">
        <f>IF($C194="",0,SUMPRODUCT((AY_SONU!$O$7:$O$42="Evet")*(AY_SONU!$B$7:$B$42=DATE(YEAR($C194),MONTH($C194),1))))</f>
        <v>0</v>
      </c>
      <c r="AE194" s="1" t="str">
        <f>IF($E194="","",$E194&amp;"|"&amp;COUNTIFS($E$7:$E194,$E194))</f>
        <v>Geçici Vergi Damga|24</v>
      </c>
    </row>
    <row r="195" spans="1:31" ht="18" customHeight="1" x14ac:dyDescent="0.3">
      <c r="A195" s="2"/>
      <c r="B195" s="65" t="str">
        <f>IF($C195="","","GG"&amp;TEXT(ROW()-6,"00000"))</f>
        <v>GG00189</v>
      </c>
      <c r="C195" s="66">
        <v>46235</v>
      </c>
      <c r="D195" s="60" t="s">
        <v>795</v>
      </c>
      <c r="E195" s="61" t="s">
        <v>812</v>
      </c>
      <c r="F195" s="61" t="s">
        <v>941</v>
      </c>
      <c r="G195" s="67">
        <v>4200</v>
      </c>
      <c r="H195" s="60" t="s">
        <v>717</v>
      </c>
      <c r="I195" s="60" t="s">
        <v>773</v>
      </c>
      <c r="J195" s="61"/>
      <c r="K195" s="61"/>
      <c r="L195" s="60"/>
      <c r="M195" s="74" t="str">
        <f>IF($C195="","",IF($D195="Gider",$E195,IF($L195&lt;&gt;"",$L195,$H195)))</f>
        <v>MERKEZ KASA</v>
      </c>
      <c r="N195" s="74" t="str">
        <f>IF($C195="","",IF($D195="Gider",$H195,$E195))</f>
        <v>Geçici Vergi Damga</v>
      </c>
      <c r="O195" s="73">
        <f>IF($C195="","",DATE(YEAR($C195),MONTH($C195),1))</f>
        <v>46235</v>
      </c>
      <c r="P195" s="65" t="str">
        <f ca="1">IF($C195="","",IF(AND($D195="Gelir",$L195&lt;&gt;"",$T195=""),"TANIMSIZ BORÇLU",IF($T195&lt;&gt;"",IF(OR($E195="",$G195&lt;=0),"EKSİK",IF($I195="Evet","TAHAKKUK NAKİT OLAMAZ",IF($C195&gt;TODAY(),"İLERİ TARİH","TAHAKKUK"))),IF(AND($D195&lt;&gt;"",$E195&lt;&gt;"",$G195&gt;0,$H195&lt;&gt;"",$I195&lt;&gt;""),IF($C195&gt;TODAY(),"İLERİ TARİH",IF(COUNTIF($W$7:$W$3001,$W195)&gt;1,"MÜKERRER?",IF($AD195&gt;0,"KAPALI DÖNEM",IF($I195="Hayır","ÖDENECEK","UYGUN")))),"EKSİK"))))</f>
        <v>UYGUN</v>
      </c>
      <c r="Q195" s="2"/>
      <c r="R195" s="2"/>
      <c r="S195" s="1" t="str">
        <f t="shared" si="8"/>
        <v/>
      </c>
      <c r="T195" s="1" t="str">
        <f>IF(OR($C195="",$D195&lt;&gt;"Gelir",$L195=""),"",IFERROR(INDEX(MUSTERILER!$B$7:$B$156,MATCH($S195,MUSTERILER!$T$7:$T$156,0)),""))</f>
        <v/>
      </c>
      <c r="U195" s="1" t="str">
        <f>IF($T195="","",$T195&amp;"|"&amp;COUNTIFS($T$7:$T195,$T195))</f>
        <v/>
      </c>
      <c r="V195" s="1">
        <f t="shared" si="9"/>
        <v>0</v>
      </c>
      <c r="W195" s="1" t="str">
        <f t="shared" si="10"/>
        <v>Gelir|Geçici Vergi Damga|46235|4200|FİNAL LTD.ŞTİ.  2026 / 2 GEÇİCİ DAMGA|</v>
      </c>
      <c r="X195" s="1"/>
      <c r="Y195" s="1"/>
      <c r="Z195" s="1"/>
      <c r="AA195" s="1"/>
      <c r="AB195" s="1"/>
      <c r="AC195" s="1"/>
      <c r="AD195" s="1">
        <f>IF($C195="",0,SUMPRODUCT((AY_SONU!$O$7:$O$42="Evet")*(AY_SONU!$B$7:$B$42=DATE(YEAR($C195),MONTH($C195),1))))</f>
        <v>0</v>
      </c>
      <c r="AE195" s="1" t="str">
        <f>IF($E195="","",$E195&amp;"|"&amp;COUNTIFS($E$7:$E195,$E195))</f>
        <v>Geçici Vergi Damga|25</v>
      </c>
    </row>
    <row r="196" spans="1:31" ht="18" customHeight="1" x14ac:dyDescent="0.3">
      <c r="A196" s="2"/>
      <c r="B196" s="65" t="str">
        <f>IF($C196="","","GG"&amp;TEXT(ROW()-6,"00000"))</f>
        <v>GG00190</v>
      </c>
      <c r="C196" s="66">
        <v>46235</v>
      </c>
      <c r="D196" s="60" t="s">
        <v>795</v>
      </c>
      <c r="E196" s="61" t="s">
        <v>812</v>
      </c>
      <c r="F196" s="61" t="s">
        <v>942</v>
      </c>
      <c r="G196" s="67">
        <v>4200</v>
      </c>
      <c r="H196" s="60" t="s">
        <v>717</v>
      </c>
      <c r="I196" s="60" t="s">
        <v>773</v>
      </c>
      <c r="J196" s="61"/>
      <c r="K196" s="61"/>
      <c r="L196" s="60"/>
      <c r="M196" s="74" t="str">
        <f>IF($C196="","",IF($D196="Gider",$E196,IF($L196&lt;&gt;"",$L196,$H196)))</f>
        <v>MERKEZ KASA</v>
      </c>
      <c r="N196" s="74" t="str">
        <f>IF($C196="","",IF($D196="Gider",$H196,$E196))</f>
        <v>Geçici Vergi Damga</v>
      </c>
      <c r="O196" s="73">
        <f>IF($C196="","",DATE(YEAR($C196),MONTH($C196),1))</f>
        <v>46235</v>
      </c>
      <c r="P196" s="65" t="str">
        <f ca="1">IF($C196="","",IF(AND($D196="Gelir",$L196&lt;&gt;"",$T196=""),"TANIMSIZ BORÇLU",IF($T196&lt;&gt;"",IF(OR($E196="",$G196&lt;=0),"EKSİK",IF($I196="Evet","TAHAKKUK NAKİT OLAMAZ",IF($C196&gt;TODAY(),"İLERİ TARİH","TAHAKKUK"))),IF(AND($D196&lt;&gt;"",$E196&lt;&gt;"",$G196&gt;0,$H196&lt;&gt;"",$I196&lt;&gt;""),IF($C196&gt;TODAY(),"İLERİ TARİH",IF(COUNTIF($W$7:$W$3001,$W196)&gt;1,"MÜKERRER?",IF($AD196&gt;0,"KAPALI DÖNEM",IF($I196="Hayır","ÖDENECEK","UYGUN")))),"EKSİK"))))</f>
        <v>UYGUN</v>
      </c>
      <c r="Q196" s="2"/>
      <c r="R196" s="2"/>
      <c r="S196" s="1" t="str">
        <f t="shared" si="8"/>
        <v/>
      </c>
      <c r="T196" s="1" t="str">
        <f>IF(OR($C196="",$D196&lt;&gt;"Gelir",$L196=""),"",IFERROR(INDEX(MUSTERILER!$B$7:$B$156,MATCH($S196,MUSTERILER!$T$7:$T$156,0)),""))</f>
        <v/>
      </c>
      <c r="U196" s="1" t="str">
        <f>IF($T196="","",$T196&amp;"|"&amp;COUNTIFS($T$7:$T196,$T196))</f>
        <v/>
      </c>
      <c r="V196" s="1">
        <f t="shared" si="9"/>
        <v>0</v>
      </c>
      <c r="W196" s="1" t="str">
        <f t="shared" si="10"/>
        <v>Gelir|Geçici Vergi Damga|46235|4200|ZÜMRÜT GRUP LTD.ŞTİ. 2026 / 2 GEÇİCİ DAMGA|</v>
      </c>
      <c r="X196" s="1"/>
      <c r="Y196" s="1"/>
      <c r="Z196" s="1"/>
      <c r="AA196" s="1"/>
      <c r="AB196" s="1"/>
      <c r="AC196" s="1"/>
      <c r="AD196" s="1">
        <f>IF($C196="",0,SUMPRODUCT((AY_SONU!$O$7:$O$42="Evet")*(AY_SONU!$B$7:$B$42=DATE(YEAR($C196),MONTH($C196),1))))</f>
        <v>0</v>
      </c>
      <c r="AE196" s="1" t="str">
        <f>IF($E196="","",$E196&amp;"|"&amp;COUNTIFS($E$7:$E196,$E196))</f>
        <v>Geçici Vergi Damga|26</v>
      </c>
    </row>
    <row r="197" spans="1:31" ht="18" customHeight="1" x14ac:dyDescent="0.3">
      <c r="A197" s="2"/>
      <c r="B197" s="65" t="str">
        <f>IF($C197="","","GG"&amp;TEXT(ROW()-6,"00000"))</f>
        <v>GG00191</v>
      </c>
      <c r="C197" s="66">
        <v>46235</v>
      </c>
      <c r="D197" s="60" t="s">
        <v>795</v>
      </c>
      <c r="E197" s="61" t="s">
        <v>812</v>
      </c>
      <c r="F197" s="61" t="s">
        <v>943</v>
      </c>
      <c r="G197" s="67">
        <v>4200</v>
      </c>
      <c r="H197" s="60" t="s">
        <v>717</v>
      </c>
      <c r="I197" s="60" t="s">
        <v>773</v>
      </c>
      <c r="J197" s="61"/>
      <c r="K197" s="61"/>
      <c r="L197" s="60"/>
      <c r="M197" s="74" t="str">
        <f>IF($C197="","",IF($D197="Gider",$E197,IF($L197&lt;&gt;"",$L197,$H197)))</f>
        <v>MERKEZ KASA</v>
      </c>
      <c r="N197" s="74" t="str">
        <f>IF($C197="","",IF($D197="Gider",$H197,$E197))</f>
        <v>Geçici Vergi Damga</v>
      </c>
      <c r="O197" s="73">
        <f>IF($C197="","",DATE(YEAR($C197),MONTH($C197),1))</f>
        <v>46235</v>
      </c>
      <c r="P197" s="65" t="str">
        <f ca="1">IF($C197="","",IF(AND($D197="Gelir",$L197&lt;&gt;"",$T197=""),"TANIMSIZ BORÇLU",IF($T197&lt;&gt;"",IF(OR($E197="",$G197&lt;=0),"EKSİK",IF($I197="Evet","TAHAKKUK NAKİT OLAMAZ",IF($C197&gt;TODAY(),"İLERİ TARİH","TAHAKKUK"))),IF(AND($D197&lt;&gt;"",$E197&lt;&gt;"",$G197&gt;0,$H197&lt;&gt;"",$I197&lt;&gt;""),IF($C197&gt;TODAY(),"İLERİ TARİH",IF(COUNTIF($W$7:$W$3001,$W197)&gt;1,"MÜKERRER?",IF($AD197&gt;0,"KAPALI DÖNEM",IF($I197="Hayır","ÖDENECEK","UYGUN")))),"EKSİK"))))</f>
        <v>UYGUN</v>
      </c>
      <c r="Q197" s="2"/>
      <c r="R197" s="2"/>
      <c r="S197" s="1" t="str">
        <f t="shared" ref="S197:S260" si="11"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1" t="str">
        <f>IF(OR($C197="",$D197&lt;&gt;"Gelir",$L197=""),"",IFERROR(INDEX(MUSTERILER!$B$7:$B$156,MATCH($S197,MUSTERILER!$T$7:$T$156,0)),""))</f>
        <v/>
      </c>
      <c r="U197" s="1" t="str">
        <f>IF($T197="","",$T197&amp;"|"&amp;COUNTIFS($T$7:$T197,$T197))</f>
        <v/>
      </c>
      <c r="V197" s="1">
        <f t="shared" ref="V197:V260" si="12">IF($T197="",0,1)</f>
        <v>0</v>
      </c>
      <c r="W197" s="1" t="str">
        <f t="shared" ref="W197:W260" si="13">IF($C197="","",$D197&amp;"|"&amp;$E197&amp;"|"&amp;TEXT($C197,"0")&amp;"|"&amp;TEXT($G197,"0")&amp;"|"&amp;$F197&amp;"|"&amp;$J197)</f>
        <v>Gelir|Geçici Vergi Damga|46235|4200|ÇINARHAN LTD.ŞTİ. 2026 / 2 GEÇİCİ DAMGA|</v>
      </c>
      <c r="X197" s="1"/>
      <c r="Y197" s="1"/>
      <c r="Z197" s="1"/>
      <c r="AA197" s="1"/>
      <c r="AB197" s="1"/>
      <c r="AC197" s="1"/>
      <c r="AD197" s="1">
        <f>IF($C197="",0,SUMPRODUCT((AY_SONU!$O$7:$O$42="Evet")*(AY_SONU!$B$7:$B$42=DATE(YEAR($C197),MONTH($C197),1))))</f>
        <v>0</v>
      </c>
      <c r="AE197" s="1" t="str">
        <f>IF($E197="","",$E197&amp;"|"&amp;COUNTIFS($E$7:$E197,$E197))</f>
        <v>Geçici Vergi Damga|27</v>
      </c>
    </row>
    <row r="198" spans="1:31" ht="18" customHeight="1" x14ac:dyDescent="0.3">
      <c r="A198" s="2"/>
      <c r="B198" s="65" t="str">
        <f>IF($C198="","","GG"&amp;TEXT(ROW()-6,"00000"))</f>
        <v>GG00192</v>
      </c>
      <c r="C198" s="66">
        <v>46235</v>
      </c>
      <c r="D198" s="60" t="s">
        <v>795</v>
      </c>
      <c r="E198" s="61" t="s">
        <v>812</v>
      </c>
      <c r="F198" s="61" t="s">
        <v>944</v>
      </c>
      <c r="G198" s="67">
        <v>4200</v>
      </c>
      <c r="H198" s="60" t="s">
        <v>717</v>
      </c>
      <c r="I198" s="60" t="s">
        <v>773</v>
      </c>
      <c r="J198" s="61"/>
      <c r="K198" s="61"/>
      <c r="L198" s="60"/>
      <c r="M198" s="74" t="str">
        <f>IF($C198="","",IF($D198="Gider",$E198,IF($L198&lt;&gt;"",$L198,$H198)))</f>
        <v>MERKEZ KASA</v>
      </c>
      <c r="N198" s="74" t="str">
        <f>IF($C198="","",IF($D198="Gider",$H198,$E198))</f>
        <v>Geçici Vergi Damga</v>
      </c>
      <c r="O198" s="73">
        <f>IF($C198="","",DATE(YEAR($C198),MONTH($C198),1))</f>
        <v>46235</v>
      </c>
      <c r="P198" s="65" t="str">
        <f ca="1">IF($C198="","",IF(AND($D198="Gelir",$L198&lt;&gt;"",$T198=""),"TANIMSIZ BORÇLU",IF($T198&lt;&gt;"",IF(OR($E198="",$G198&lt;=0),"EKSİK",IF($I198="Evet","TAHAKKUK NAKİT OLAMAZ",IF($C198&gt;TODAY(),"İLERİ TARİH","TAHAKKUK"))),IF(AND($D198&lt;&gt;"",$E198&lt;&gt;"",$G198&gt;0,$H198&lt;&gt;"",$I198&lt;&gt;""),IF($C198&gt;TODAY(),"İLERİ TARİH",IF(COUNTIF($W$7:$W$3001,$W198)&gt;1,"MÜKERRER?",IF($AD198&gt;0,"KAPALI DÖNEM",IF($I198="Hayır","ÖDENECEK","UYGUN")))),"EKSİK"))))</f>
        <v>UYGUN</v>
      </c>
      <c r="Q198" s="2"/>
      <c r="R198" s="2"/>
      <c r="S198" s="1" t="str">
        <f t="shared" si="11"/>
        <v/>
      </c>
      <c r="T198" s="1" t="str">
        <f>IF(OR($C198="",$D198&lt;&gt;"Gelir",$L198=""),"",IFERROR(INDEX(MUSTERILER!$B$7:$B$156,MATCH($S198,MUSTERILER!$T$7:$T$156,0)),""))</f>
        <v/>
      </c>
      <c r="U198" s="1" t="str">
        <f>IF($T198="","",$T198&amp;"|"&amp;COUNTIFS($T$7:$T198,$T198))</f>
        <v/>
      </c>
      <c r="V198" s="1">
        <f t="shared" si="12"/>
        <v>0</v>
      </c>
      <c r="W198" s="1" t="str">
        <f t="shared" si="13"/>
        <v>Gelir|Geçici Vergi Damga|46235|4200|YALKENT LTD.ŞTİ. 2026 / 2 GEÇİCİ DAMGA|</v>
      </c>
      <c r="X198" s="1"/>
      <c r="Y198" s="1"/>
      <c r="Z198" s="1"/>
      <c r="AA198" s="1"/>
      <c r="AB198" s="1"/>
      <c r="AC198" s="1"/>
      <c r="AD198" s="1">
        <f>IF($C198="",0,SUMPRODUCT((AY_SONU!$O$7:$O$42="Evet")*(AY_SONU!$B$7:$B$42=DATE(YEAR($C198),MONTH($C198),1))))</f>
        <v>0</v>
      </c>
      <c r="AE198" s="1" t="str">
        <f>IF($E198="","",$E198&amp;"|"&amp;COUNTIFS($E$7:$E198,$E198))</f>
        <v>Geçici Vergi Damga|28</v>
      </c>
    </row>
    <row r="199" spans="1:31" ht="18" customHeight="1" x14ac:dyDescent="0.3">
      <c r="A199" s="2"/>
      <c r="B199" s="65" t="str">
        <f>IF($C199="","","GG"&amp;TEXT(ROW()-6,"00000"))</f>
        <v>GG00193</v>
      </c>
      <c r="C199" s="66">
        <v>46235</v>
      </c>
      <c r="D199" s="60" t="s">
        <v>795</v>
      </c>
      <c r="E199" s="61" t="s">
        <v>812</v>
      </c>
      <c r="F199" s="61" t="s">
        <v>945</v>
      </c>
      <c r="G199" s="67">
        <v>4200</v>
      </c>
      <c r="H199" s="60" t="s">
        <v>717</v>
      </c>
      <c r="I199" s="60" t="s">
        <v>773</v>
      </c>
      <c r="J199" s="61"/>
      <c r="K199" s="61"/>
      <c r="L199" s="60"/>
      <c r="M199" s="74" t="str">
        <f>IF($C199="","",IF($D199="Gider",$E199,IF($L199&lt;&gt;"",$L199,$H199)))</f>
        <v>MERKEZ KASA</v>
      </c>
      <c r="N199" s="74" t="str">
        <f>IF($C199="","",IF($D199="Gider",$H199,$E199))</f>
        <v>Geçici Vergi Damga</v>
      </c>
      <c r="O199" s="73">
        <f>IF($C199="","",DATE(YEAR($C199),MONTH($C199),1))</f>
        <v>46235</v>
      </c>
      <c r="P199" s="65" t="str">
        <f ca="1"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TARİH",IF(COUNTIF($W$7:$W$3001,$W199)&gt;1,"MÜKERRER?",IF($AD199&gt;0,"KAPALI DÖNEM",IF($I199="Hayır","ÖDENECEK","UYGUN")))),"EKSİK"))))</f>
        <v>UYGUN</v>
      </c>
      <c r="Q199" s="2"/>
      <c r="R199" s="2"/>
      <c r="S199" s="1" t="str">
        <f t="shared" si="11"/>
        <v/>
      </c>
      <c r="T199" s="1" t="str">
        <f>IF(OR($C199="",$D199&lt;&gt;"Gelir",$L199=""),"",IFERROR(INDEX(MUSTERILER!$B$7:$B$156,MATCH($S199,MUSTERILER!$T$7:$T$156,0)),""))</f>
        <v/>
      </c>
      <c r="U199" s="1" t="str">
        <f>IF($T199="","",$T199&amp;"|"&amp;COUNTIFS($T$7:$T199,$T199))</f>
        <v/>
      </c>
      <c r="V199" s="1">
        <f t="shared" si="12"/>
        <v>0</v>
      </c>
      <c r="W199" s="1" t="str">
        <f t="shared" si="13"/>
        <v>Gelir|Geçici Vergi Damga|46235|4200|PALAOĞULLARI LTD.ŞTİ. 2026 / 2 GEÇİCİ DAMGA|</v>
      </c>
      <c r="X199" s="1"/>
      <c r="Y199" s="1"/>
      <c r="Z199" s="1"/>
      <c r="AA199" s="1"/>
      <c r="AB199" s="1"/>
      <c r="AC199" s="1"/>
      <c r="AD199" s="1">
        <f>IF($C199="",0,SUMPRODUCT((AY_SONU!$O$7:$O$42="Evet")*(AY_SONU!$B$7:$B$42=DATE(YEAR($C199),MONTH($C199),1))))</f>
        <v>0</v>
      </c>
      <c r="AE199" s="1" t="str">
        <f>IF($E199="","",$E199&amp;"|"&amp;COUNTIFS($E$7:$E199,$E199))</f>
        <v>Geçici Vergi Damga|29</v>
      </c>
    </row>
    <row r="200" spans="1:31" ht="18" customHeight="1" x14ac:dyDescent="0.3">
      <c r="A200" s="2"/>
      <c r="B200" s="65" t="str">
        <f>IF($C200="","","GG"&amp;TEXT(ROW()-6,"00000"))</f>
        <v>GG00194</v>
      </c>
      <c r="C200" s="66">
        <v>46235</v>
      </c>
      <c r="D200" s="60" t="s">
        <v>795</v>
      </c>
      <c r="E200" s="61" t="s">
        <v>796</v>
      </c>
      <c r="F200" s="61" t="s">
        <v>946</v>
      </c>
      <c r="G200" s="67">
        <v>7000</v>
      </c>
      <c r="H200" s="60" t="s">
        <v>717</v>
      </c>
      <c r="I200" s="60" t="s">
        <v>773</v>
      </c>
      <c r="J200" s="61"/>
      <c r="K200" s="61"/>
      <c r="L200" s="60"/>
      <c r="M200" s="74" t="str">
        <f>IF($C200="","",IF($D200="Gider",$E200,IF($L200&lt;&gt;"",$L200,$H200)))</f>
        <v>MERKEZ KASA</v>
      </c>
      <c r="N200" s="74" t="str">
        <f>IF($C200="","",IF($D200="Gider",$H200,$E200))</f>
        <v>Diğer Gelirler</v>
      </c>
      <c r="O200" s="73">
        <f>IF($C200="","",DATE(YEAR($C200),MONTH($C200),1))</f>
        <v>46235</v>
      </c>
      <c r="P200" s="65" t="str">
        <f ca="1">IF($C200="","",IF(AND($D200="Gelir",$L200&lt;&gt;"",$T200=""),"TANIMSIZ BORÇLU",IF($T200&lt;&gt;"",IF(OR($E200="",$G200&lt;=0),"EKSİK",IF($I200="Evet","TAHAKKUK NAKİT OLAMAZ",IF($C200&gt;TODAY(),"İLERİ TARİH","TAHAKKUK"))),IF(AND($D200&lt;&gt;"",$E200&lt;&gt;"",$G200&gt;0,$H200&lt;&gt;"",$I200&lt;&gt;""),IF($C200&gt;TODAY(),"İLERİ TARİH",IF(COUNTIF($W$7:$W$3001,$W200)&gt;1,"MÜKERRER?",IF($AD200&gt;0,"KAPALI DÖNEM",IF($I200="Hayır","ÖDENECEK","UYGUN")))),"EKSİK"))))</f>
        <v>UYGUN</v>
      </c>
      <c r="Q200" s="2"/>
      <c r="R200" s="2"/>
      <c r="S200" s="1" t="str">
        <f t="shared" si="11"/>
        <v/>
      </c>
      <c r="T200" s="1" t="str">
        <f>IF(OR($C200="",$D200&lt;&gt;"Gelir",$L200=""),"",IFERROR(INDEX(MUSTERILER!$B$7:$B$156,MATCH($S200,MUSTERILER!$T$7:$T$156,0)),""))</f>
        <v/>
      </c>
      <c r="U200" s="1" t="str">
        <f>IF($T200="","",$T200&amp;"|"&amp;COUNTIFS($T$7:$T200,$T200))</f>
        <v/>
      </c>
      <c r="V200" s="1">
        <f t="shared" si="12"/>
        <v>0</v>
      </c>
      <c r="W200" s="1" t="str">
        <f t="shared" si="13"/>
        <v>Gelir|Diğer Gelirler|46235|7000|PINAR HANIM SİGORTA HAZİRAN|</v>
      </c>
      <c r="X200" s="1"/>
      <c r="Y200" s="1"/>
      <c r="Z200" s="1"/>
      <c r="AA200" s="1"/>
      <c r="AB200" s="1"/>
      <c r="AC200" s="1"/>
      <c r="AD200" s="1">
        <f>IF($C200="",0,SUMPRODUCT((AY_SONU!$O$7:$O$42="Evet")*(AY_SONU!$B$7:$B$42=DATE(YEAR($C200),MONTH($C200),1))))</f>
        <v>0</v>
      </c>
      <c r="AE200" s="1" t="str">
        <f>IF($E200="","",$E200&amp;"|"&amp;COUNTIFS($E$7:$E200,$E200))</f>
        <v>Diğer Gelirler|9</v>
      </c>
    </row>
    <row r="201" spans="1:31" ht="18" customHeight="1" x14ac:dyDescent="0.3">
      <c r="A201" s="2"/>
      <c r="B201" s="65" t="str">
        <f>IF($C201="","","GG"&amp;TEXT(ROW()-6,"00000"))</f>
        <v>GG00195</v>
      </c>
      <c r="C201" s="66">
        <v>46235</v>
      </c>
      <c r="D201" s="60" t="s">
        <v>795</v>
      </c>
      <c r="E201" s="61" t="s">
        <v>796</v>
      </c>
      <c r="F201" s="61" t="s">
        <v>947</v>
      </c>
      <c r="G201" s="67">
        <v>14000</v>
      </c>
      <c r="H201" s="60" t="s">
        <v>723</v>
      </c>
      <c r="I201" s="60" t="s">
        <v>773</v>
      </c>
      <c r="J201" s="61"/>
      <c r="K201" s="61"/>
      <c r="L201" s="60"/>
      <c r="M201" s="74" t="str">
        <f>IF($C201="","",IF($D201="Gider",$E201,IF($L201&lt;&gt;"",$L201,$H201)))</f>
        <v>ÖMER KARTAL</v>
      </c>
      <c r="N201" s="74" t="str">
        <f>IF($C201="","",IF($D201="Gider",$H201,$E201))</f>
        <v>Diğer Gelirler</v>
      </c>
      <c r="O201" s="73">
        <f>IF($C201="","",DATE(YEAR($C201),MONTH($C201),1))</f>
        <v>46235</v>
      </c>
      <c r="P201" s="65" t="str">
        <f ca="1">IF($C201="","",IF(AND($D201="Gelir",$L201&lt;&gt;"",$T201=""),"TANIMSIZ BORÇLU",IF($T201&lt;&gt;"",IF(OR($E201="",$G201&lt;=0),"EKSİK",IF($I201="Evet","TAHAKKUK NAKİT OLAMAZ",IF($C201&gt;TODAY(),"İLERİ TARİH","TAHAKKUK"))),IF(AND($D201&lt;&gt;"",$E201&lt;&gt;"",$G201&gt;0,$H201&lt;&gt;"",$I201&lt;&gt;""),IF($C201&gt;TODAY(),"İLERİ TARİH",IF(COUNTIF($W$7:$W$3001,$W201)&gt;1,"MÜKERRER?",IF($AD201&gt;0,"KAPALI DÖNEM",IF($I201="Hayır","ÖDENECEK","UYGUN")))),"EKSİK"))))</f>
        <v>UYGUN</v>
      </c>
      <c r="Q201" s="2"/>
      <c r="R201" s="2"/>
      <c r="S201" s="1" t="str">
        <f t="shared" si="11"/>
        <v/>
      </c>
      <c r="T201" s="1" t="str">
        <f>IF(OR($C201="",$D201&lt;&gt;"Gelir",$L201=""),"",IFERROR(INDEX(MUSTERILER!$B$7:$B$156,MATCH($S201,MUSTERILER!$T$7:$T$156,0)),""))</f>
        <v/>
      </c>
      <c r="U201" s="1" t="str">
        <f>IF($T201="","",$T201&amp;"|"&amp;COUNTIFS($T$7:$T201,$T201))</f>
        <v/>
      </c>
      <c r="V201" s="1">
        <f t="shared" si="12"/>
        <v>0</v>
      </c>
      <c r="W201" s="1" t="str">
        <f t="shared" si="13"/>
        <v>Gelir|Diğer Gelirler|46235|14000|PINAR HANIM SİGORTA TEMMUZ VE AĞUSTOS|</v>
      </c>
      <c r="X201" s="1"/>
      <c r="Y201" s="1"/>
      <c r="Z201" s="1"/>
      <c r="AA201" s="1"/>
      <c r="AB201" s="1"/>
      <c r="AC201" s="1"/>
      <c r="AD201" s="1">
        <f>IF($C201="",0,SUMPRODUCT((AY_SONU!$O$7:$O$42="Evet")*(AY_SONU!$B$7:$B$42=DATE(YEAR($C201),MONTH($C201),1))))</f>
        <v>0</v>
      </c>
      <c r="AE201" s="1" t="str">
        <f>IF($E201="","",$E201&amp;"|"&amp;COUNTIFS($E$7:$E201,$E201))</f>
        <v>Diğer Gelirler|10</v>
      </c>
    </row>
    <row r="202" spans="1:31" ht="18" customHeight="1" x14ac:dyDescent="0.3">
      <c r="A202" s="2"/>
      <c r="B202" s="65" t="str">
        <f>IF($C202="","","GG"&amp;TEXT(ROW()-6,"00000"))</f>
        <v>GG00196</v>
      </c>
      <c r="C202" s="66">
        <v>46235</v>
      </c>
      <c r="D202" s="60" t="s">
        <v>769</v>
      </c>
      <c r="E202" s="61" t="s">
        <v>793</v>
      </c>
      <c r="F202" s="61" t="s">
        <v>1317</v>
      </c>
      <c r="G202" s="67">
        <v>2500</v>
      </c>
      <c r="H202" s="60" t="s">
        <v>772</v>
      </c>
      <c r="I202" s="60" t="s">
        <v>773</v>
      </c>
      <c r="J202" s="61"/>
      <c r="K202" s="61"/>
      <c r="L202" s="60"/>
      <c r="M202" s="74" t="str">
        <f>IF($C202="","",IF($D202="Gider",$E202,IF($L202&lt;&gt;"",$L202,$H202)))</f>
        <v>Mehmet Ali Kartal</v>
      </c>
      <c r="N202" s="74" t="str">
        <f>IF($C202="","",IF($D202="Gider",$H202,$E202))</f>
        <v>Merkez Kasa</v>
      </c>
      <c r="O202" s="73">
        <f>IF($C202="","",DATE(YEAR($C202),MONTH($C202),1))</f>
        <v>46235</v>
      </c>
      <c r="P202" s="65" t="str">
        <f ca="1">IF($C202="","",IF(AND($D202="Gelir",$L202&lt;&gt;"",$T202=""),"TANIMSIZ BORÇLU",IF($T202&lt;&gt;"",IF(OR($E202="",$G202&lt;=0),"EKSİK",IF($I202="Evet","TAHAKKUK NAKİT OLAMAZ",IF($C202&gt;TODAY(),"İLERİ TARİH","TAHAKKUK"))),IF(AND($D202&lt;&gt;"",$E202&lt;&gt;"",$G202&gt;0,$H202&lt;&gt;"",$I202&lt;&gt;""),IF($C202&gt;TODAY(),"İLERİ TARİH",IF(COUNTIF($W$7:$W$3001,$W202)&gt;1,"MÜKERRER?",IF($AD202&gt;0,"KAPALI DÖNEM",IF($I202="Hayır","ÖDENECEK","UYGUN")))),"EKSİK"))))</f>
        <v>UYGUN</v>
      </c>
      <c r="Q202" s="2"/>
      <c r="R202" s="2"/>
      <c r="S202" s="1" t="str">
        <f t="shared" si="11"/>
        <v/>
      </c>
      <c r="T202" s="1" t="str">
        <f>IF(OR($C202="",$D202&lt;&gt;"Gelir",$L202=""),"",IFERROR(INDEX(MUSTERILER!$B$7:$B$156,MATCH($S202,MUSTERILER!$T$7:$T$156,0)),""))</f>
        <v/>
      </c>
      <c r="U202" s="1" t="str">
        <f>IF($T202="","",$T202&amp;"|"&amp;COUNTIFS($T$7:$T202,$T202))</f>
        <v/>
      </c>
      <c r="V202" s="1">
        <f t="shared" si="12"/>
        <v>0</v>
      </c>
      <c r="W202" s="1" t="str">
        <f t="shared" si="13"/>
        <v>Gider|Mehmet Ali Kartal|46235|2500|CEREN DEMİRCİ SGK|</v>
      </c>
      <c r="X202" s="1"/>
      <c r="Y202" s="1"/>
      <c r="Z202" s="1"/>
      <c r="AA202" s="1"/>
      <c r="AB202" s="1"/>
      <c r="AC202" s="1"/>
      <c r="AD202" s="1">
        <f>IF($C202="",0,SUMPRODUCT((AY_SONU!$O$7:$O$42="Evet")*(AY_SONU!$B$7:$B$42=DATE(YEAR($C202),MONTH($C202),1))))</f>
        <v>0</v>
      </c>
      <c r="AE202" s="1" t="str">
        <f>IF($E202="","",$E202&amp;"|"&amp;COUNTIFS($E$7:$E202,$E202))</f>
        <v>Mehmet Ali Kartal|9</v>
      </c>
    </row>
    <row r="203" spans="1:31" ht="18" customHeight="1" x14ac:dyDescent="0.3">
      <c r="A203" s="2"/>
      <c r="B203" s="65" t="str">
        <f>IF($C203="","","GG"&amp;TEXT(ROW()-6,"00000"))</f>
        <v>GG00197</v>
      </c>
      <c r="C203" s="66">
        <v>46243</v>
      </c>
      <c r="D203" s="60" t="s">
        <v>769</v>
      </c>
      <c r="E203" s="61" t="s">
        <v>805</v>
      </c>
      <c r="F203" s="61" t="s">
        <v>948</v>
      </c>
      <c r="G203" s="67">
        <v>6000</v>
      </c>
      <c r="H203" s="60" t="s">
        <v>772</v>
      </c>
      <c r="I203" s="60" t="s">
        <v>773</v>
      </c>
      <c r="J203" s="61"/>
      <c r="K203" s="61"/>
      <c r="L203" s="60"/>
      <c r="M203" s="74" t="str">
        <f>IF($C203="","",IF($D203="Gider",$E203,IF($L203&lt;&gt;"",$L203,$H203)))</f>
        <v>Ofis Kirası</v>
      </c>
      <c r="N203" s="74" t="str">
        <f>IF($C203="","",IF($D203="Gider",$H203,$E203))</f>
        <v>Merkez Kasa</v>
      </c>
      <c r="O203" s="73">
        <f>IF($C203="","",DATE(YEAR($C203),MONTH($C203),1))</f>
        <v>46235</v>
      </c>
      <c r="P203" s="65" t="str">
        <f ca="1">IF($C203="","",IF(AND($D203="Gelir",$L203&lt;&gt;"",$T203=""),"TANIMSIZ BORÇLU",IF($T203&lt;&gt;"",IF(OR($E203="",$G203&lt;=0),"EKSİK",IF($I203="Evet","TAHAKKUK NAKİT OLAMAZ",IF($C203&gt;TODAY(),"İLERİ TARİH","TAHAKKUK"))),IF(AND($D203&lt;&gt;"",$E203&lt;&gt;"",$G203&gt;0,$H203&lt;&gt;"",$I203&lt;&gt;""),IF($C203&gt;TODAY(),"İLERİ TARİH",IF(COUNTIF($W$7:$W$3001,$W203)&gt;1,"MÜKERRER?",IF($AD203&gt;0,"KAPALI DÖNEM",IF($I203="Hayır","ÖDENECEK","UYGUN")))),"EKSİK"))))</f>
        <v>UYGUN</v>
      </c>
      <c r="Q203" s="2"/>
      <c r="R203" s="2"/>
      <c r="S203" s="1" t="str">
        <f t="shared" si="11"/>
        <v/>
      </c>
      <c r="T203" s="1" t="str">
        <f>IF(OR($C203="",$D203&lt;&gt;"Gelir",$L203=""),"",IFERROR(INDEX(MUSTERILER!$B$7:$B$156,MATCH($S203,MUSTERILER!$T$7:$T$156,0)),""))</f>
        <v/>
      </c>
      <c r="U203" s="1" t="str">
        <f>IF($T203="","",$T203&amp;"|"&amp;COUNTIFS($T$7:$T203,$T203))</f>
        <v/>
      </c>
      <c r="V203" s="1">
        <f t="shared" si="12"/>
        <v>0</v>
      </c>
      <c r="W203" s="1" t="str">
        <f t="shared" si="13"/>
        <v>Gider|Ofis Kirası|46243|6000|Temmuz Ağustos Eylül İşyeri Aidatı Ödemesi|</v>
      </c>
      <c r="X203" s="1"/>
      <c r="Y203" s="1"/>
      <c r="Z203" s="1"/>
      <c r="AA203" s="1"/>
      <c r="AB203" s="1"/>
      <c r="AC203" s="1"/>
      <c r="AD203" s="1">
        <f>IF($C203="",0,SUMPRODUCT((AY_SONU!$O$7:$O$42="Evet")*(AY_SONU!$B$7:$B$42=DATE(YEAR($C203),MONTH($C203),1))))</f>
        <v>0</v>
      </c>
      <c r="AE203" s="1" t="str">
        <f>IF($E203="","",$E203&amp;"|"&amp;COUNTIFS($E$7:$E203,$E203))</f>
        <v>Ofis Kirası|15</v>
      </c>
    </row>
    <row r="204" spans="1:31" ht="18" customHeight="1" x14ac:dyDescent="0.3">
      <c r="A204" s="2"/>
      <c r="B204" s="65" t="str">
        <f>IF($C204="","","GG"&amp;TEXT(ROW()-6,"00000"))</f>
        <v>GG00198</v>
      </c>
      <c r="C204" s="66">
        <v>46245</v>
      </c>
      <c r="D204" s="60" t="s">
        <v>769</v>
      </c>
      <c r="E204" s="61" t="s">
        <v>781</v>
      </c>
      <c r="F204" s="61" t="s">
        <v>949</v>
      </c>
      <c r="G204" s="67">
        <v>800</v>
      </c>
      <c r="H204" s="60" t="s">
        <v>772</v>
      </c>
      <c r="I204" s="60" t="s">
        <v>773</v>
      </c>
      <c r="J204" s="61"/>
      <c r="K204" s="61"/>
      <c r="L204" s="60"/>
      <c r="M204" s="74" t="str">
        <f>IF($C204="","",IF($D204="Gider",$E204,IF($L204&lt;&gt;"",$L204,$H204)))</f>
        <v>Telefon / İnternet</v>
      </c>
      <c r="N204" s="74" t="str">
        <f>IF($C204="","",IF($D204="Gider",$H204,$E204))</f>
        <v>Merkez Kasa</v>
      </c>
      <c r="O204" s="73">
        <f>IF($C204="","",DATE(YEAR($C204),MONTH($C204),1))</f>
        <v>46235</v>
      </c>
      <c r="P204" s="65" t="str">
        <f ca="1">IF($C204="","",IF(AND($D204="Gelir",$L204&lt;&gt;"",$T204=""),"TANIMSIZ BORÇLU",IF($T204&lt;&gt;"",IF(OR($E204="",$G204&lt;=0),"EKSİK",IF($I204="Evet","TAHAKKUK NAKİT OLAMAZ",IF($C204&gt;TODAY(),"İLERİ TARİH","TAHAKKUK"))),IF(AND($D204&lt;&gt;"",$E204&lt;&gt;"",$G204&gt;0,$H204&lt;&gt;"",$I204&lt;&gt;""),IF($C204&gt;TODAY(),"İLERİ TARİH",IF(COUNTIF($W$7:$W$3001,$W204)&gt;1,"MÜKERRER?",IF($AD204&gt;0,"KAPALI DÖNEM",IF($I204="Hayır","ÖDENECEK","UYGUN")))),"EKSİK"))))</f>
        <v>UYGUN</v>
      </c>
      <c r="Q204" s="2"/>
      <c r="R204" s="2"/>
      <c r="S204" s="1" t="str">
        <f t="shared" si="11"/>
        <v/>
      </c>
      <c r="T204" s="1" t="str">
        <f>IF(OR($C204="",$D204&lt;&gt;"Gelir",$L204=""),"",IFERROR(INDEX(MUSTERILER!$B$7:$B$156,MATCH($S204,MUSTERILER!$T$7:$T$156,0)),""))</f>
        <v/>
      </c>
      <c r="U204" s="1" t="str">
        <f>IF($T204="","",$T204&amp;"|"&amp;COUNTIFS($T$7:$T204,$T204))</f>
        <v/>
      </c>
      <c r="V204" s="1">
        <f t="shared" si="12"/>
        <v>0</v>
      </c>
      <c r="W204" s="1" t="str">
        <f t="shared" si="13"/>
        <v>Gider|Telefon / İnternet|46245|800|Ofis Whatsapp Hattı Ağustos|</v>
      </c>
      <c r="X204" s="1"/>
      <c r="Y204" s="1"/>
      <c r="Z204" s="1"/>
      <c r="AA204" s="1"/>
      <c r="AB204" s="1"/>
      <c r="AC204" s="1"/>
      <c r="AD204" s="1">
        <f>IF($C204="",0,SUMPRODUCT((AY_SONU!$O$7:$O$42="Evet")*(AY_SONU!$B$7:$B$42=DATE(YEAR($C204),MONTH($C204),1))))</f>
        <v>0</v>
      </c>
      <c r="AE204" s="1" t="str">
        <f>IF($E204="","",$E204&amp;"|"&amp;COUNTIFS($E$7:$E204,$E204))</f>
        <v>Telefon / İnternet|15</v>
      </c>
    </row>
    <row r="205" spans="1:31" ht="18" customHeight="1" x14ac:dyDescent="0.3">
      <c r="A205" s="2"/>
      <c r="B205" s="65" t="str">
        <f>IF($C205="","","GG"&amp;TEXT(ROW()-6,"00000"))</f>
        <v>GG00199</v>
      </c>
      <c r="C205" s="66">
        <v>46245</v>
      </c>
      <c r="D205" s="60" t="s">
        <v>769</v>
      </c>
      <c r="E205" s="61" t="s">
        <v>770</v>
      </c>
      <c r="F205" s="61" t="s">
        <v>950</v>
      </c>
      <c r="G205" s="67">
        <v>23000</v>
      </c>
      <c r="H205" s="60" t="s">
        <v>772</v>
      </c>
      <c r="I205" s="60" t="s">
        <v>773</v>
      </c>
      <c r="J205" s="61"/>
      <c r="K205" s="61"/>
      <c r="L205" s="60"/>
      <c r="M205" s="74" t="str">
        <f>IF($C205="","",IF($D205="Gider",$E205,IF($L205&lt;&gt;"",$L205,$H205)))</f>
        <v>Diğer Gider</v>
      </c>
      <c r="N205" s="74" t="str">
        <f>IF($C205="","",IF($D205="Gider",$H205,$E205))</f>
        <v>Merkez Kasa</v>
      </c>
      <c r="O205" s="73">
        <f>IF($C205="","",DATE(YEAR($C205),MONTH($C205),1))</f>
        <v>46235</v>
      </c>
      <c r="P205" s="65" t="str">
        <f ca="1">IF($C205="","",IF(AND($D205="Gelir",$L205&lt;&gt;"",$T205=""),"TANIMSIZ BORÇLU",IF($T205&lt;&gt;"",IF(OR($E205="",$G205&lt;=0),"EKSİK",IF($I205="Evet","TAHAKKUK NAKİT OLAMAZ",IF($C205&gt;TODAY(),"İLERİ TARİH","TAHAKKUK"))),IF(AND($D205&lt;&gt;"",$E205&lt;&gt;"",$G205&gt;0,$H205&lt;&gt;"",$I205&lt;&gt;""),IF($C205&gt;TODAY(),"İLERİ TARİH",IF(COUNTIF($W$7:$W$3001,$W205)&gt;1,"MÜKERRER?",IF($AD205&gt;0,"KAPALI DÖNEM",IF($I205="Hayır","ÖDENECEK","UYGUN")))),"EKSİK"))))</f>
        <v>UYGUN</v>
      </c>
      <c r="Q205" s="2"/>
      <c r="R205" s="2"/>
      <c r="S205" s="1" t="str">
        <f t="shared" si="11"/>
        <v/>
      </c>
      <c r="T205" s="1" t="str">
        <f>IF(OR($C205="",$D205&lt;&gt;"Gelir",$L205=""),"",IFERROR(INDEX(MUSTERILER!$B$7:$B$156,MATCH($S205,MUSTERILER!$T$7:$T$156,0)),""))</f>
        <v/>
      </c>
      <c r="U205" s="1" t="str">
        <f>IF($T205="","",$T205&amp;"|"&amp;COUNTIFS($T$7:$T205,$T205))</f>
        <v/>
      </c>
      <c r="V205" s="1">
        <f t="shared" si="12"/>
        <v>0</v>
      </c>
      <c r="W205" s="1" t="str">
        <f t="shared" si="13"/>
        <v>Gider|Diğer Gider|46245|23000|Arman Dik Vergi Telafisi|</v>
      </c>
      <c r="X205" s="1"/>
      <c r="Y205" s="1"/>
      <c r="Z205" s="1"/>
      <c r="AA205" s="1"/>
      <c r="AB205" s="1"/>
      <c r="AC205" s="1"/>
      <c r="AD205" s="1">
        <f>IF($C205="",0,SUMPRODUCT((AY_SONU!$O$7:$O$42="Evet")*(AY_SONU!$B$7:$B$42=DATE(YEAR($C205),MONTH($C205),1))))</f>
        <v>0</v>
      </c>
      <c r="AE205" s="1" t="str">
        <f>IF($E205="","",$E205&amp;"|"&amp;COUNTIFS($E$7:$E205,$E205))</f>
        <v>Diğer Gider|9</v>
      </c>
    </row>
    <row r="206" spans="1:31" ht="18" customHeight="1" x14ac:dyDescent="0.3">
      <c r="A206" s="2"/>
      <c r="B206" s="65" t="str">
        <f>IF($C206="","","GG"&amp;TEXT(ROW()-6,"00000"))</f>
        <v>GG00200</v>
      </c>
      <c r="C206" s="66">
        <v>46249</v>
      </c>
      <c r="D206" s="60" t="s">
        <v>769</v>
      </c>
      <c r="E206" s="61" t="s">
        <v>788</v>
      </c>
      <c r="F206" s="61" t="s">
        <v>928</v>
      </c>
      <c r="G206" s="67">
        <v>2000</v>
      </c>
      <c r="H206" s="60" t="s">
        <v>772</v>
      </c>
      <c r="I206" s="60" t="s">
        <v>773</v>
      </c>
      <c r="J206" s="61"/>
      <c r="K206" s="61"/>
      <c r="L206" s="60"/>
      <c r="M206" s="74" t="str">
        <f>IF($C206="","",IF($D206="Gider",$E206,IF($L206&lt;&gt;"",$L206,$H206)))</f>
        <v>Ulaşım</v>
      </c>
      <c r="N206" s="74" t="str">
        <f>IF($C206="","",IF($D206="Gider",$H206,$E206))</f>
        <v>Merkez Kasa</v>
      </c>
      <c r="O206" s="73">
        <f>IF($C206="","",DATE(YEAR($C206),MONTH($C206),1))</f>
        <v>46235</v>
      </c>
      <c r="P206" s="65" t="str">
        <f ca="1">IF($C206="","",IF(AND($D206="Gelir",$L206&lt;&gt;"",$T206=""),"TANIMSIZ BORÇLU",IF($T206&lt;&gt;"",IF(OR($E206="",$G206&lt;=0),"EKSİK",IF($I206="Evet","TAHAKKUK NAKİT OLAMAZ",IF($C206&gt;TODAY(),"İLERİ TARİH","TAHAKKUK"))),IF(AND($D206&lt;&gt;"",$E206&lt;&gt;"",$G206&gt;0,$H206&lt;&gt;"",$I206&lt;&gt;""),IF($C206&gt;TODAY(),"İLERİ TARİH",IF(COUNTIF($W$7:$W$3001,$W206)&gt;1,"MÜKERRER?",IF($AD206&gt;0,"KAPALI DÖNEM",IF($I206="Hayır","ÖDENECEK","UYGUN")))),"EKSİK"))))</f>
        <v>UYGUN</v>
      </c>
      <c r="Q206" s="2"/>
      <c r="R206" s="2"/>
      <c r="S206" s="1" t="str">
        <f t="shared" si="11"/>
        <v/>
      </c>
      <c r="T206" s="1" t="str">
        <f>IF(OR($C206="",$D206&lt;&gt;"Gelir",$L206=""),"",IFERROR(INDEX(MUSTERILER!$B$7:$B$156,MATCH($S206,MUSTERILER!$T$7:$T$156,0)),""))</f>
        <v/>
      </c>
      <c r="U206" s="1" t="str">
        <f>IF($T206="","",$T206&amp;"|"&amp;COUNTIFS($T$7:$T206,$T206))</f>
        <v/>
      </c>
      <c r="V206" s="1">
        <f t="shared" si="12"/>
        <v>0</v>
      </c>
      <c r="W206" s="1" t="str">
        <f t="shared" si="13"/>
        <v>Gider|Ulaşım|46249|2000|Araç Yakıt|</v>
      </c>
      <c r="X206" s="1"/>
      <c r="Y206" s="1"/>
      <c r="Z206" s="1"/>
      <c r="AA206" s="1"/>
      <c r="AB206" s="1"/>
      <c r="AC206" s="1"/>
      <c r="AD206" s="1">
        <f>IF($C206="",0,SUMPRODUCT((AY_SONU!$O$7:$O$42="Evet")*(AY_SONU!$B$7:$B$42=DATE(YEAR($C206),MONTH($C206),1))))</f>
        <v>0</v>
      </c>
      <c r="AE206" s="1" t="str">
        <f>IF($E206="","",$E206&amp;"|"&amp;COUNTIFS($E$7:$E206,$E206))</f>
        <v>Ulaşım|28</v>
      </c>
    </row>
    <row r="207" spans="1:31" ht="18" customHeight="1" x14ac:dyDescent="0.3">
      <c r="A207" s="2"/>
      <c r="B207" s="65" t="str">
        <f>IF($C207="","","GG"&amp;TEXT(ROW()-6,"00000"))</f>
        <v>GG00201</v>
      </c>
      <c r="C207" s="66">
        <v>46258</v>
      </c>
      <c r="D207" s="60" t="s">
        <v>769</v>
      </c>
      <c r="E207" s="61" t="s">
        <v>793</v>
      </c>
      <c r="F207" s="61" t="s">
        <v>951</v>
      </c>
      <c r="G207" s="67">
        <v>30000</v>
      </c>
      <c r="H207" s="60" t="s">
        <v>772</v>
      </c>
      <c r="I207" s="60" t="s">
        <v>773</v>
      </c>
      <c r="J207" s="61"/>
      <c r="K207" s="61"/>
      <c r="L207" s="60"/>
      <c r="M207" s="74" t="str">
        <f>IF($C207="","",IF($D207="Gider",$E207,IF($L207&lt;&gt;"",$L207,$H207)))</f>
        <v>Mehmet Ali Kartal</v>
      </c>
      <c r="N207" s="74" t="str">
        <f>IF($C207="","",IF($D207="Gider",$H207,$E207))</f>
        <v>Merkez Kasa</v>
      </c>
      <c r="O207" s="73">
        <f>IF($C207="","",DATE(YEAR($C207),MONTH($C207),1))</f>
        <v>46235</v>
      </c>
      <c r="P207" s="65" t="str">
        <f ca="1">IF($C207="","",IF(AND($D207="Gelir",$L207&lt;&gt;"",$T207=""),"TANIMSIZ BORÇLU",IF($T207&lt;&gt;"",IF(OR($E207="",$G207&lt;=0),"EKSİK",IF($I207="Evet","TAHAKKUK NAKİT OLAMAZ",IF($C207&gt;TODAY(),"İLERİ TARİH","TAHAKKUK"))),IF(AND($D207&lt;&gt;"",$E207&lt;&gt;"",$G207&gt;0,$H207&lt;&gt;"",$I207&lt;&gt;""),IF($C207&gt;TODAY(),"İLERİ TARİH",IF(COUNTIF($W$7:$W$3001,$W207)&gt;1,"MÜKERRER?",IF($AD207&gt;0,"KAPALI DÖNEM",IF($I207="Hayır","ÖDENECEK","UYGUN")))),"EKSİK"))))</f>
        <v>UYGUN</v>
      </c>
      <c r="Q207" s="2"/>
      <c r="R207" s="2"/>
      <c r="S207" s="1" t="str">
        <f t="shared" si="11"/>
        <v/>
      </c>
      <c r="T207" s="1" t="str">
        <f>IF(OR($C207="",$D207&lt;&gt;"Gelir",$L207=""),"",IFERROR(INDEX(MUSTERILER!$B$7:$B$156,MATCH($S207,MUSTERILER!$T$7:$T$156,0)),""))</f>
        <v/>
      </c>
      <c r="U207" s="1" t="str">
        <f>IF($T207="","",$T207&amp;"|"&amp;COUNTIFS($T$7:$T207,$T207))</f>
        <v/>
      </c>
      <c r="V207" s="1">
        <f t="shared" si="12"/>
        <v>0</v>
      </c>
      <c r="W207" s="1" t="str">
        <f t="shared" si="13"/>
        <v>Gider|Mehmet Ali Kartal|46258|30000|Temmuz Maaş Ödemesi|</v>
      </c>
      <c r="X207" s="1"/>
      <c r="Y207" s="1"/>
      <c r="Z207" s="1"/>
      <c r="AA207" s="1"/>
      <c r="AB207" s="1"/>
      <c r="AC207" s="1"/>
      <c r="AD207" s="1">
        <f>IF($C207="",0,SUMPRODUCT((AY_SONU!$O$7:$O$42="Evet")*(AY_SONU!$B$7:$B$42=DATE(YEAR($C207),MONTH($C207),1))))</f>
        <v>0</v>
      </c>
      <c r="AE207" s="1" t="str">
        <f>IF($E207="","",$E207&amp;"|"&amp;COUNTIFS($E$7:$E207,$E207))</f>
        <v>Mehmet Ali Kartal|10</v>
      </c>
    </row>
    <row r="208" spans="1:31" ht="18" customHeight="1" x14ac:dyDescent="0.3">
      <c r="A208" s="2"/>
      <c r="B208" s="65" t="str">
        <f>IF($C208="","","GG"&amp;TEXT(ROW()-6,"00000"))</f>
        <v>GG00202</v>
      </c>
      <c r="C208" s="66">
        <v>46259</v>
      </c>
      <c r="D208" s="60" t="s">
        <v>769</v>
      </c>
      <c r="E208" s="61" t="s">
        <v>798</v>
      </c>
      <c r="F208" s="61" t="s">
        <v>929</v>
      </c>
      <c r="G208" s="67">
        <v>10000</v>
      </c>
      <c r="H208" s="60" t="s">
        <v>772</v>
      </c>
      <c r="I208" s="60" t="s">
        <v>773</v>
      </c>
      <c r="J208" s="61"/>
      <c r="K208" s="61"/>
      <c r="L208" s="60"/>
      <c r="M208" s="74" t="str">
        <f>IF($C208="","",IF($D208="Gider",$E208,IF($L208&lt;&gt;"",$L208,$H208)))</f>
        <v>Personel</v>
      </c>
      <c r="N208" s="74" t="str">
        <f>IF($C208="","",IF($D208="Gider",$H208,$E208))</f>
        <v>Merkez Kasa</v>
      </c>
      <c r="O208" s="73">
        <f>IF($C208="","",DATE(YEAR($C208),MONTH($C208),1))</f>
        <v>46235</v>
      </c>
      <c r="P208" s="65" t="str">
        <f ca="1">IF($C208="","",IF(AND($D208="Gelir",$L208&lt;&gt;"",$T208=""),"TANIMSIZ BORÇLU",IF($T208&lt;&gt;"",IF(OR($E208="",$G208&lt;=0),"EKSİK",IF($I208="Evet","TAHAKKUK NAKİT OLAMAZ",IF($C208&gt;TODAY(),"İLERİ TARİH","TAHAKKUK"))),IF(AND($D208&lt;&gt;"",$E208&lt;&gt;"",$G208&gt;0,$H208&lt;&gt;"",$I208&lt;&gt;""),IF($C208&gt;TODAY(),"İLERİ TARİH",IF(COUNTIF($W$7:$W$3001,$W208)&gt;1,"MÜKERRER?",IF($AD208&gt;0,"KAPALI DÖNEM",IF($I208="Hayır","ÖDENECEK","UYGUN")))),"EKSİK"))))</f>
        <v>UYGUN</v>
      </c>
      <c r="Q208" s="2"/>
      <c r="R208" s="2"/>
      <c r="S208" s="1" t="str">
        <f t="shared" si="11"/>
        <v/>
      </c>
      <c r="T208" s="1" t="str">
        <f>IF(OR($C208="",$D208&lt;&gt;"Gelir",$L208=""),"",IFERROR(INDEX(MUSTERILER!$B$7:$B$156,MATCH($S208,MUSTERILER!$T$7:$T$156,0)),""))</f>
        <v/>
      </c>
      <c r="U208" s="1" t="str">
        <f>IF($T208="","",$T208&amp;"|"&amp;COUNTIFS($T$7:$T208,$T208))</f>
        <v/>
      </c>
      <c r="V208" s="1">
        <f t="shared" si="12"/>
        <v>0</v>
      </c>
      <c r="W208" s="1" t="str">
        <f t="shared" si="13"/>
        <v>Gider|Personel|46259|10000|Irmak Maaş Ödemesi|</v>
      </c>
      <c r="X208" s="1"/>
      <c r="Y208" s="1"/>
      <c r="Z208" s="1"/>
      <c r="AA208" s="1"/>
      <c r="AB208" s="1"/>
      <c r="AC208" s="1"/>
      <c r="AD208" s="1">
        <f>IF($C208="",0,SUMPRODUCT((AY_SONU!$O$7:$O$42="Evet")*(AY_SONU!$B$7:$B$42=DATE(YEAR($C208),MONTH($C208),1))))</f>
        <v>0</v>
      </c>
      <c r="AE208" s="1" t="str">
        <f>IF($E208="","",$E208&amp;"|"&amp;COUNTIFS($E$7:$E208,$E208))</f>
        <v>Personel|20</v>
      </c>
    </row>
    <row r="209" spans="1:31" ht="18" customHeight="1" x14ac:dyDescent="0.3">
      <c r="A209" s="2"/>
      <c r="B209" s="65" t="str">
        <f>IF($C209="","","GG"&amp;TEXT(ROW()-6,"00000"))</f>
        <v>GG00203</v>
      </c>
      <c r="C209" s="66">
        <v>46260</v>
      </c>
      <c r="D209" s="60" t="s">
        <v>769</v>
      </c>
      <c r="E209" s="61" t="s">
        <v>793</v>
      </c>
      <c r="F209" s="61" t="s">
        <v>1319</v>
      </c>
      <c r="G209" s="67">
        <v>17500</v>
      </c>
      <c r="H209" s="60" t="s">
        <v>772</v>
      </c>
      <c r="I209" s="60" t="s">
        <v>773</v>
      </c>
      <c r="J209" s="61"/>
      <c r="K209" s="61"/>
      <c r="L209" s="60"/>
      <c r="M209" s="74" t="str">
        <f>IF($C209="","",IF($D209="Gider",$E209,IF($L209&lt;&gt;"",$L209,$H209)))</f>
        <v>Mehmet Ali Kartal</v>
      </c>
      <c r="N209" s="74" t="str">
        <f>IF($C209="","",IF($D209="Gider",$H209,$E209))</f>
        <v>Merkez Kasa</v>
      </c>
      <c r="O209" s="73">
        <f>IF($C209="","",DATE(YEAR($C209),MONTH($C209),1))</f>
        <v>46235</v>
      </c>
      <c r="P209" s="65" t="str">
        <f ca="1">IF($C209="","",IF(AND($D209="Gelir",$L209&lt;&gt;"",$T209=""),"TANIMSIZ BORÇLU",IF($T209&lt;&gt;"",IF(OR($E209="",$G209&lt;=0),"EKSİK",IF($I209="Evet","TAHAKKUK NAKİT OLAMAZ",IF($C209&gt;TODAY(),"İLERİ TARİH","TAHAKKUK"))),IF(AND($D209&lt;&gt;"",$E209&lt;&gt;"",$G209&gt;0,$H209&lt;&gt;"",$I209&lt;&gt;""),IF($C209&gt;TODAY(),"İLERİ TARİH",IF(COUNTIF($W$7:$W$3001,$W209)&gt;1,"MÜKERRER?",IF($AD209&gt;0,"KAPALI DÖNEM",IF($I209="Hayır","ÖDENECEK","UYGUN")))),"EKSİK"))))</f>
        <v>UYGUN</v>
      </c>
      <c r="Q209" s="2"/>
      <c r="R209" s="2"/>
      <c r="S209" s="1" t="str">
        <f t="shared" si="11"/>
        <v/>
      </c>
      <c r="T209" s="1" t="str">
        <f>IF(OR($C209="",$D209&lt;&gt;"Gelir",$L209=""),"",IFERROR(INDEX(MUSTERILER!$B$7:$B$156,MATCH($S209,MUSTERILER!$T$7:$T$156,0)),""))</f>
        <v/>
      </c>
      <c r="U209" s="1" t="str">
        <f>IF($T209="","",$T209&amp;"|"&amp;COUNTIFS($T$7:$T209,$T209))</f>
        <v/>
      </c>
      <c r="V209" s="1">
        <f t="shared" si="12"/>
        <v>0</v>
      </c>
      <c r="W209" s="1" t="str">
        <f t="shared" si="13"/>
        <v>Gider|Mehmet Ali Kartal|46260|17500|Ağustos Bakiye Maaş Ödemesi|</v>
      </c>
      <c r="X209" s="1"/>
      <c r="Y209" s="1"/>
      <c r="Z209" s="1"/>
      <c r="AA209" s="1"/>
      <c r="AB209" s="1"/>
      <c r="AC209" s="1"/>
      <c r="AD209" s="1">
        <f>IF($C209="",0,SUMPRODUCT((AY_SONU!$O$7:$O$42="Evet")*(AY_SONU!$B$7:$B$42=DATE(YEAR($C209),MONTH($C209),1))))</f>
        <v>0</v>
      </c>
      <c r="AE209" s="1" t="str">
        <f>IF($E209="","",$E209&amp;"|"&amp;COUNTIFS($E$7:$E209,$E209))</f>
        <v>Mehmet Ali Kartal|11</v>
      </c>
    </row>
    <row r="210" spans="1:31" ht="18" customHeight="1" x14ac:dyDescent="0.3">
      <c r="A210" s="2"/>
      <c r="B210" s="65" t="str">
        <f>IF($C210="","","GG"&amp;TEXT(ROW()-6,"00000"))</f>
        <v/>
      </c>
      <c r="C210" s="66"/>
      <c r="D210" s="60"/>
      <c r="E210" s="61"/>
      <c r="F210" s="61"/>
      <c r="G210" s="67"/>
      <c r="H210" s="60"/>
      <c r="I210" s="60"/>
      <c r="J210" s="61"/>
      <c r="K210" s="61"/>
      <c r="L210" s="60"/>
      <c r="M210" s="74" t="str">
        <f>IF($C210="","",IF($D210="Gider",$E210,IF($L210&lt;&gt;"",$L210,$H210)))</f>
        <v/>
      </c>
      <c r="N210" s="74" t="str">
        <f>IF($C210="","",IF($D210="Gider",$H210,$E210))</f>
        <v/>
      </c>
      <c r="O210" s="73" t="str">
        <f>IF($C210="","",DATE(YEAR($C210),MONTH($C210),1))</f>
        <v/>
      </c>
      <c r="P210" s="65" t="str">
        <f ca="1">IF($C210="","",IF(AND($D210="Gelir",$L210&lt;&gt;"",$T210=""),"TANIMSIZ BORÇLU",IF($T210&lt;&gt;"",IF(OR($E210="",$G210&lt;=0),"EKSİK",IF($I210="Evet","TAHAKKUK NAKİT OLAMAZ",IF($C210&gt;TODAY(),"İLERİ TARİH","TAHAKKUK"))),IF(AND($D210&lt;&gt;"",$E210&lt;&gt;"",$G210&gt;0,$H210&lt;&gt;"",$I210&lt;&gt;""),IF($C210&gt;TODAY(),"İLERİ TARİH",IF(COUNTIF($W$7:$W$3001,$W210)&gt;1,"MÜKERRER?",IF($AD210&gt;0,"KAPALI DÖNEM",IF($I210="Hayır","ÖDENECEK","UYGUN")))),"EKSİK"))))</f>
        <v/>
      </c>
      <c r="Q210" s="2"/>
      <c r="R210" s="2"/>
      <c r="S210" s="1" t="str">
        <f t="shared" si="11"/>
        <v/>
      </c>
      <c r="T210" s="1" t="str">
        <f>IF(OR($C210="",$D210&lt;&gt;"Gelir",$L210=""),"",IFERROR(INDEX(MUSTERILER!$B$7:$B$156,MATCH($S210,MUSTERILER!$T$7:$T$156,0)),""))</f>
        <v/>
      </c>
      <c r="U210" s="1" t="str">
        <f>IF($T210="","",$T210&amp;"|"&amp;COUNTIFS($T$7:$T210,$T210))</f>
        <v/>
      </c>
      <c r="V210" s="1">
        <f t="shared" si="12"/>
        <v>0</v>
      </c>
      <c r="W210" s="1" t="str">
        <f t="shared" si="13"/>
        <v/>
      </c>
      <c r="X210" s="1"/>
      <c r="Y210" s="1"/>
      <c r="Z210" s="1"/>
      <c r="AA210" s="1"/>
      <c r="AB210" s="1"/>
      <c r="AC210" s="1"/>
      <c r="AD210" s="1">
        <f>IF($C210="",0,SUMPRODUCT((AY_SONU!$O$7:$O$42="Evet")*(AY_SONU!$B$7:$B$42=DATE(YEAR($C210),MONTH($C210),1))))</f>
        <v>0</v>
      </c>
      <c r="AE210" s="1" t="str">
        <f>IF($E210="","",$E210&amp;"|"&amp;COUNTIFS($E$7:$E210,$E210))</f>
        <v/>
      </c>
    </row>
    <row r="211" spans="1:31" ht="18" customHeight="1" x14ac:dyDescent="0.3">
      <c r="A211" s="2"/>
      <c r="B211" s="65" t="str">
        <f>IF($C211="","","GG"&amp;TEXT(ROW()-6,"00000"))</f>
        <v/>
      </c>
      <c r="C211" s="66"/>
      <c r="D211" s="60"/>
      <c r="E211" s="61"/>
      <c r="F211" s="61"/>
      <c r="G211" s="67"/>
      <c r="H211" s="60"/>
      <c r="I211" s="60"/>
      <c r="J211" s="61"/>
      <c r="K211" s="61"/>
      <c r="L211" s="60"/>
      <c r="M211" s="74" t="str">
        <f>IF($C211="","",IF($D211="Gider",$E211,IF($L211&lt;&gt;"",$L211,$H211)))</f>
        <v/>
      </c>
      <c r="N211" s="74" t="str">
        <f>IF($C211="","",IF($D211="Gider",$H211,$E211))</f>
        <v/>
      </c>
      <c r="O211" s="73" t="str">
        <f>IF($C211="","",DATE(YEAR($C211),MONTH($C211),1))</f>
        <v/>
      </c>
      <c r="P211" s="65" t="str">
        <f ca="1">IF($C211="","",IF(AND($D211="Gelir",$L211&lt;&gt;"",$T211=""),"TANIMSIZ BORÇLU",IF($T211&lt;&gt;"",IF(OR($E211="",$G211&lt;=0),"EKSİK",IF($I211="Evet","TAHAKKUK NAKİT OLAMAZ",IF($C211&gt;TODAY(),"İLERİ TARİH","TAHAKKUK"))),IF(AND($D211&lt;&gt;"",$E211&lt;&gt;"",$G211&gt;0,$H211&lt;&gt;"",$I211&lt;&gt;""),IF($C211&gt;TODAY(),"İLERİ TARİH",IF(COUNTIF($W$7:$W$3001,$W211)&gt;1,"MÜKERRER?",IF($AD211&gt;0,"KAPALI DÖNEM",IF($I211="Hayır","ÖDENECEK","UYGUN")))),"EKSİK"))))</f>
        <v/>
      </c>
      <c r="Q211" s="2"/>
      <c r="R211" s="2"/>
      <c r="S211" s="1" t="str">
        <f t="shared" si="11"/>
        <v/>
      </c>
      <c r="T211" s="1" t="str">
        <f>IF(OR($C211="",$D211&lt;&gt;"Gelir",$L211=""),"",IFERROR(INDEX(MUSTERILER!$B$7:$B$156,MATCH($S211,MUSTERILER!$T$7:$T$156,0)),""))</f>
        <v/>
      </c>
      <c r="U211" s="1" t="str">
        <f>IF($T211="","",$T211&amp;"|"&amp;COUNTIFS($T$7:$T211,$T211))</f>
        <v/>
      </c>
      <c r="V211" s="1">
        <f t="shared" si="12"/>
        <v>0</v>
      </c>
      <c r="W211" s="1" t="str">
        <f t="shared" si="13"/>
        <v/>
      </c>
      <c r="X211" s="1"/>
      <c r="Y211" s="1"/>
      <c r="Z211" s="1"/>
      <c r="AA211" s="1"/>
      <c r="AB211" s="1"/>
      <c r="AC211" s="1"/>
      <c r="AD211" s="1">
        <f>IF($C211="",0,SUMPRODUCT((AY_SONU!$O$7:$O$42="Evet")*(AY_SONU!$B$7:$B$42=DATE(YEAR($C211),MONTH($C211),1))))</f>
        <v>0</v>
      </c>
      <c r="AE211" s="1" t="str">
        <f>IF($E211="","",$E211&amp;"|"&amp;COUNTIFS($E$7:$E211,$E211))</f>
        <v/>
      </c>
    </row>
    <row r="212" spans="1:31" ht="18" customHeight="1" x14ac:dyDescent="0.3">
      <c r="A212" s="2"/>
      <c r="B212" s="65" t="str">
        <f>IF($C212="","","GG"&amp;TEXT(ROW()-6,"00000"))</f>
        <v/>
      </c>
      <c r="C212" s="66"/>
      <c r="D212" s="60"/>
      <c r="E212" s="61"/>
      <c r="F212" s="61"/>
      <c r="G212" s="67"/>
      <c r="H212" s="60"/>
      <c r="I212" s="60"/>
      <c r="J212" s="61"/>
      <c r="K212" s="61"/>
      <c r="L212" s="60"/>
      <c r="M212" s="74" t="str">
        <f>IF($C212="","",IF($D212="Gider",$E212,IF($L212&lt;&gt;"",$L212,$H212)))</f>
        <v/>
      </c>
      <c r="N212" s="74" t="str">
        <f>IF($C212="","",IF($D212="Gider",$H212,$E212))</f>
        <v/>
      </c>
      <c r="O212" s="73" t="str">
        <f>IF($C212="","",DATE(YEAR($C212),MONTH($C212),1))</f>
        <v/>
      </c>
      <c r="P212" s="65" t="str">
        <f ca="1">IF($C212="","",IF(AND($D212="Gelir",$L212&lt;&gt;"",$T212=""),"TANIMSIZ BORÇLU",IF($T212&lt;&gt;"",IF(OR($E212="",$G212&lt;=0),"EKSİK",IF($I212="Evet","TAHAKKUK NAKİT OLAMAZ",IF($C212&gt;TODAY(),"İLERİ TARİH","TAHAKKUK"))),IF(AND($D212&lt;&gt;"",$E212&lt;&gt;"",$G212&gt;0,$H212&lt;&gt;"",$I212&lt;&gt;""),IF($C212&gt;TODAY(),"İLERİ TARİH",IF(COUNTIF($W$7:$W$3001,$W212)&gt;1,"MÜKERRER?",IF($AD212&gt;0,"KAPALI DÖNEM",IF($I212="Hayır","ÖDENECEK","UYGUN")))),"EKSİK"))))</f>
        <v/>
      </c>
      <c r="Q212" s="2"/>
      <c r="R212" s="2"/>
      <c r="S212" s="1" t="str">
        <f t="shared" si="11"/>
        <v/>
      </c>
      <c r="T212" s="1" t="str">
        <f>IF(OR($C212="",$D212&lt;&gt;"Gelir",$L212=""),"",IFERROR(INDEX(MUSTERILER!$B$7:$B$156,MATCH($S212,MUSTERILER!$T$7:$T$156,0)),""))</f>
        <v/>
      </c>
      <c r="U212" s="1" t="str">
        <f>IF($T212="","",$T212&amp;"|"&amp;COUNTIFS($T$7:$T212,$T212))</f>
        <v/>
      </c>
      <c r="V212" s="1">
        <f t="shared" si="12"/>
        <v>0</v>
      </c>
      <c r="W212" s="1" t="str">
        <f t="shared" si="13"/>
        <v/>
      </c>
      <c r="X212" s="1"/>
      <c r="Y212" s="1"/>
      <c r="Z212" s="1"/>
      <c r="AA212" s="1"/>
      <c r="AB212" s="1"/>
      <c r="AC212" s="1"/>
      <c r="AD212" s="1">
        <f>IF($C212="",0,SUMPRODUCT((AY_SONU!$O$7:$O$42="Evet")*(AY_SONU!$B$7:$B$42=DATE(YEAR($C212),MONTH($C212),1))))</f>
        <v>0</v>
      </c>
      <c r="AE212" s="1" t="str">
        <f>IF($E212="","",$E212&amp;"|"&amp;COUNTIFS($E$7:$E212,$E212))</f>
        <v/>
      </c>
    </row>
    <row r="213" spans="1:31" ht="18" customHeight="1" x14ac:dyDescent="0.3">
      <c r="A213" s="2"/>
      <c r="B213" s="65" t="str">
        <f>IF($C213="","","GG"&amp;TEXT(ROW()-6,"00000"))</f>
        <v/>
      </c>
      <c r="C213" s="66"/>
      <c r="D213" s="60"/>
      <c r="E213" s="61"/>
      <c r="F213" s="61"/>
      <c r="G213" s="67"/>
      <c r="H213" s="60"/>
      <c r="I213" s="60"/>
      <c r="J213" s="61"/>
      <c r="K213" s="61"/>
      <c r="L213" s="60"/>
      <c r="M213" s="74" t="str">
        <f>IF($C213="","",IF($D213="Gider",$E213,IF($L213&lt;&gt;"",$L213,$H213)))</f>
        <v/>
      </c>
      <c r="N213" s="74" t="str">
        <f>IF($C213="","",IF($D213="Gider",$H213,$E213))</f>
        <v/>
      </c>
      <c r="O213" s="73" t="str">
        <f>IF($C213="","",DATE(YEAR($C213),MONTH($C213),1))</f>
        <v/>
      </c>
      <c r="P213" s="65" t="str">
        <f ca="1">IF($C213="","",IF(AND($D213="Gelir",$L213&lt;&gt;"",$T213=""),"TANIMSIZ BORÇLU",IF($T213&lt;&gt;"",IF(OR($E213="",$G213&lt;=0),"EKSİK",IF($I213="Evet","TAHAKKUK NAKİT OLAMAZ",IF($C213&gt;TODAY(),"İLERİ TARİH","TAHAKKUK"))),IF(AND($D213&lt;&gt;"",$E213&lt;&gt;"",$G213&gt;0,$H213&lt;&gt;"",$I213&lt;&gt;""),IF($C213&gt;TODAY(),"İLERİ TARİH",IF(COUNTIF($W$7:$W$3001,$W213)&gt;1,"MÜKERRER?",IF($AD213&gt;0,"KAPALI DÖNEM",IF($I213="Hayır","ÖDENECEK","UYGUN")))),"EKSİK"))))</f>
        <v/>
      </c>
      <c r="Q213" s="2"/>
      <c r="R213" s="2"/>
      <c r="S213" s="1" t="str">
        <f t="shared" si="11"/>
        <v/>
      </c>
      <c r="T213" s="1" t="str">
        <f>IF(OR($C213="",$D213&lt;&gt;"Gelir",$L213=""),"",IFERROR(INDEX(MUSTERILER!$B$7:$B$156,MATCH($S213,MUSTERILER!$T$7:$T$156,0)),""))</f>
        <v/>
      </c>
      <c r="U213" s="1" t="str">
        <f>IF($T213="","",$T213&amp;"|"&amp;COUNTIFS($T$7:$T213,$T213))</f>
        <v/>
      </c>
      <c r="V213" s="1">
        <f t="shared" si="12"/>
        <v>0</v>
      </c>
      <c r="W213" s="1" t="str">
        <f t="shared" si="13"/>
        <v/>
      </c>
      <c r="X213" s="1"/>
      <c r="Y213" s="1"/>
      <c r="Z213" s="1"/>
      <c r="AA213" s="1"/>
      <c r="AB213" s="1"/>
      <c r="AC213" s="1"/>
      <c r="AD213" s="1">
        <f>IF($C213="",0,SUMPRODUCT((AY_SONU!$O$7:$O$42="Evet")*(AY_SONU!$B$7:$B$42=DATE(YEAR($C213),MONTH($C213),1))))</f>
        <v>0</v>
      </c>
      <c r="AE213" s="1" t="str">
        <f>IF($E213="","",$E213&amp;"|"&amp;COUNTIFS($E$7:$E213,$E213))</f>
        <v/>
      </c>
    </row>
    <row r="214" spans="1:31" ht="18" customHeight="1" x14ac:dyDescent="0.3">
      <c r="A214" s="2"/>
      <c r="B214" s="65" t="str">
        <f>IF($C214="","","GG"&amp;TEXT(ROW()-6,"00000"))</f>
        <v/>
      </c>
      <c r="C214" s="66"/>
      <c r="D214" s="60"/>
      <c r="E214" s="61"/>
      <c r="F214" s="61"/>
      <c r="G214" s="67"/>
      <c r="H214" s="60"/>
      <c r="I214" s="60"/>
      <c r="J214" s="61"/>
      <c r="K214" s="61"/>
      <c r="L214" s="60"/>
      <c r="M214" s="74" t="str">
        <f>IF($C214="","",IF($D214="Gider",$E214,IF($L214&lt;&gt;"",$L214,$H214)))</f>
        <v/>
      </c>
      <c r="N214" s="74" t="str">
        <f>IF($C214="","",IF($D214="Gider",$H214,$E214))</f>
        <v/>
      </c>
      <c r="O214" s="73" t="str">
        <f>IF($C214="","",DATE(YEAR($C214),MONTH($C214),1))</f>
        <v/>
      </c>
      <c r="P214" s="65" t="str">
        <f ca="1">IF($C214="","",IF(AND($D214="Gelir",$L214&lt;&gt;"",$T214=""),"TANIMSIZ BORÇLU",IF($T214&lt;&gt;"",IF(OR($E214="",$G214&lt;=0),"EKSİK",IF($I214="Evet","TAHAKKUK NAKİT OLAMAZ",IF($C214&gt;TODAY(),"İLERİ TARİH","TAHAKKUK"))),IF(AND($D214&lt;&gt;"",$E214&lt;&gt;"",$G214&gt;0,$H214&lt;&gt;"",$I214&lt;&gt;""),IF($C214&gt;TODAY(),"İLERİ TARİH",IF(COUNTIF($W$7:$W$3001,$W214)&gt;1,"MÜKERRER?",IF($AD214&gt;0,"KAPALI DÖNEM",IF($I214="Hayır","ÖDENECEK","UYGUN")))),"EKSİK"))))</f>
        <v/>
      </c>
      <c r="Q214" s="2"/>
      <c r="R214" s="2"/>
      <c r="S214" s="1" t="str">
        <f t="shared" si="11"/>
        <v/>
      </c>
      <c r="T214" s="1" t="str">
        <f>IF(OR($C214="",$D214&lt;&gt;"Gelir",$L214=""),"",IFERROR(INDEX(MUSTERILER!$B$7:$B$156,MATCH($S214,MUSTERILER!$T$7:$T$156,0)),""))</f>
        <v/>
      </c>
      <c r="U214" s="1" t="str">
        <f>IF($T214="","",$T214&amp;"|"&amp;COUNTIFS($T$7:$T214,$T214))</f>
        <v/>
      </c>
      <c r="V214" s="1">
        <f t="shared" si="12"/>
        <v>0</v>
      </c>
      <c r="W214" s="1" t="str">
        <f t="shared" si="13"/>
        <v/>
      </c>
      <c r="X214" s="1"/>
      <c r="Y214" s="1"/>
      <c r="Z214" s="1"/>
      <c r="AA214" s="1"/>
      <c r="AB214" s="1"/>
      <c r="AC214" s="1"/>
      <c r="AD214" s="1">
        <f>IF($C214="",0,SUMPRODUCT((AY_SONU!$O$7:$O$42="Evet")*(AY_SONU!$B$7:$B$42=DATE(YEAR($C214),MONTH($C214),1))))</f>
        <v>0</v>
      </c>
      <c r="AE214" s="1" t="str">
        <f>IF($E214="","",$E214&amp;"|"&amp;COUNTIFS($E$7:$E214,$E214))</f>
        <v/>
      </c>
    </row>
    <row r="215" spans="1:31" ht="18" customHeight="1" x14ac:dyDescent="0.3">
      <c r="A215" s="2"/>
      <c r="B215" s="65" t="str">
        <f>IF($C215="","","GG"&amp;TEXT(ROW()-6,"00000"))</f>
        <v/>
      </c>
      <c r="C215" s="66"/>
      <c r="D215" s="60"/>
      <c r="E215" s="61"/>
      <c r="F215" s="61"/>
      <c r="G215" s="67"/>
      <c r="H215" s="60"/>
      <c r="I215" s="60"/>
      <c r="J215" s="61"/>
      <c r="K215" s="61"/>
      <c r="L215" s="60"/>
      <c r="M215" s="74" t="str">
        <f>IF($C215="","",IF($D215="Gider",$E215,IF($L215&lt;&gt;"",$L215,$H215)))</f>
        <v/>
      </c>
      <c r="N215" s="74" t="str">
        <f>IF($C215="","",IF($D215="Gider",$H215,$E215))</f>
        <v/>
      </c>
      <c r="O215" s="73" t="str">
        <f>IF($C215="","",DATE(YEAR($C215),MONTH($C215),1))</f>
        <v/>
      </c>
      <c r="P215" s="65" t="str">
        <f ca="1">IF($C215="","",IF(AND($D215="Gelir",$L215&lt;&gt;"",$T215=""),"TANIMSIZ BORÇLU",IF($T215&lt;&gt;"",IF(OR($E215="",$G215&lt;=0),"EKSİK",IF($I215="Evet","TAHAKKUK NAKİT OLAMAZ",IF($C215&gt;TODAY(),"İLERİ TARİH","TAHAKKUK"))),IF(AND($D215&lt;&gt;"",$E215&lt;&gt;"",$G215&gt;0,$H215&lt;&gt;"",$I215&lt;&gt;""),IF($C215&gt;TODAY(),"İLERİ TARİH",IF(COUNTIF($W$7:$W$3001,$W215)&gt;1,"MÜKERRER?",IF($AD215&gt;0,"KAPALI DÖNEM",IF($I215="Hayır","ÖDENECEK","UYGUN")))),"EKSİK"))))</f>
        <v/>
      </c>
      <c r="Q215" s="2"/>
      <c r="R215" s="2"/>
      <c r="S215" s="1" t="str">
        <f t="shared" si="11"/>
        <v/>
      </c>
      <c r="T215" s="1" t="str">
        <f>IF(OR($C215="",$D215&lt;&gt;"Gelir",$L215=""),"",IFERROR(INDEX(MUSTERILER!$B$7:$B$156,MATCH($S215,MUSTERILER!$T$7:$T$156,0)),""))</f>
        <v/>
      </c>
      <c r="U215" s="1" t="str">
        <f>IF($T215="","",$T215&amp;"|"&amp;COUNTIFS($T$7:$T215,$T215))</f>
        <v/>
      </c>
      <c r="V215" s="1">
        <f t="shared" si="12"/>
        <v>0</v>
      </c>
      <c r="W215" s="1" t="str">
        <f t="shared" si="13"/>
        <v/>
      </c>
      <c r="X215" s="1"/>
      <c r="Y215" s="1"/>
      <c r="Z215" s="1"/>
      <c r="AA215" s="1"/>
      <c r="AB215" s="1"/>
      <c r="AC215" s="1"/>
      <c r="AD215" s="1">
        <f>IF($C215="",0,SUMPRODUCT((AY_SONU!$O$7:$O$42="Evet")*(AY_SONU!$B$7:$B$42=DATE(YEAR($C215),MONTH($C215),1))))</f>
        <v>0</v>
      </c>
      <c r="AE215" s="1" t="str">
        <f>IF($E215="","",$E215&amp;"|"&amp;COUNTIFS($E$7:$E215,$E215))</f>
        <v/>
      </c>
    </row>
    <row r="216" spans="1:31" ht="18" customHeight="1" x14ac:dyDescent="0.3">
      <c r="A216" s="2"/>
      <c r="B216" s="65" t="str">
        <f>IF($C216="","","GG"&amp;TEXT(ROW()-6,"00000"))</f>
        <v/>
      </c>
      <c r="C216" s="66"/>
      <c r="D216" s="60"/>
      <c r="E216" s="61"/>
      <c r="F216" s="61"/>
      <c r="G216" s="67"/>
      <c r="H216" s="60"/>
      <c r="I216" s="60"/>
      <c r="J216" s="61"/>
      <c r="K216" s="61"/>
      <c r="L216" s="60"/>
      <c r="M216" s="74" t="str">
        <f>IF($C216="","",IF($D216="Gider",$E216,IF($L216&lt;&gt;"",$L216,$H216)))</f>
        <v/>
      </c>
      <c r="N216" s="74" t="str">
        <f>IF($C216="","",IF($D216="Gider",$H216,$E216))</f>
        <v/>
      </c>
      <c r="O216" s="73" t="str">
        <f>IF($C216="","",DATE(YEAR($C216),MONTH($C216),1))</f>
        <v/>
      </c>
      <c r="P216" s="65" t="str">
        <f ca="1">IF($C216="","",IF(AND($D216="Gelir",$L216&lt;&gt;"",$T216=""),"TANIMSIZ BORÇLU",IF($T216&lt;&gt;"",IF(OR($E216="",$G216&lt;=0),"EKSİK",IF($I216="Evet","TAHAKKUK NAKİT OLAMAZ",IF($C216&gt;TODAY(),"İLERİ TARİH","TAHAKKUK"))),IF(AND($D216&lt;&gt;"",$E216&lt;&gt;"",$G216&gt;0,$H216&lt;&gt;"",$I216&lt;&gt;""),IF($C216&gt;TODAY(),"İLERİ TARİH",IF(COUNTIF($W$7:$W$3001,$W216)&gt;1,"MÜKERRER?",IF($AD216&gt;0,"KAPALI DÖNEM",IF($I216="Hayır","ÖDENECEK","UYGUN")))),"EKSİK"))))</f>
        <v/>
      </c>
      <c r="Q216" s="2"/>
      <c r="R216" s="2"/>
      <c r="S216" s="1" t="str">
        <f t="shared" si="11"/>
        <v/>
      </c>
      <c r="T216" s="1" t="str">
        <f>IF(OR($C216="",$D216&lt;&gt;"Gelir",$L216=""),"",IFERROR(INDEX(MUSTERILER!$B$7:$B$156,MATCH($S216,MUSTERILER!$T$7:$T$156,0)),""))</f>
        <v/>
      </c>
      <c r="U216" s="1" t="str">
        <f>IF($T216="","",$T216&amp;"|"&amp;COUNTIFS($T$7:$T216,$T216))</f>
        <v/>
      </c>
      <c r="V216" s="1">
        <f t="shared" si="12"/>
        <v>0</v>
      </c>
      <c r="W216" s="1" t="str">
        <f t="shared" si="13"/>
        <v/>
      </c>
      <c r="X216" s="1"/>
      <c r="Y216" s="1"/>
      <c r="Z216" s="1"/>
      <c r="AA216" s="1"/>
      <c r="AB216" s="1"/>
      <c r="AC216" s="1"/>
      <c r="AD216" s="1">
        <f>IF($C216="",0,SUMPRODUCT((AY_SONU!$O$7:$O$42="Evet")*(AY_SONU!$B$7:$B$42=DATE(YEAR($C216),MONTH($C216),1))))</f>
        <v>0</v>
      </c>
      <c r="AE216" s="1" t="str">
        <f>IF($E216="","",$E216&amp;"|"&amp;COUNTIFS($E$7:$E216,$E216))</f>
        <v/>
      </c>
    </row>
    <row r="217" spans="1:31" ht="18" customHeight="1" x14ac:dyDescent="0.3">
      <c r="A217" s="2"/>
      <c r="B217" s="65" t="str">
        <f>IF($C217="","","GG"&amp;TEXT(ROW()-6,"00000"))</f>
        <v/>
      </c>
      <c r="C217" s="66"/>
      <c r="D217" s="60"/>
      <c r="E217" s="61"/>
      <c r="F217" s="61"/>
      <c r="G217" s="67"/>
      <c r="H217" s="60"/>
      <c r="I217" s="60"/>
      <c r="J217" s="61"/>
      <c r="K217" s="61"/>
      <c r="L217" s="60"/>
      <c r="M217" s="74" t="str">
        <f>IF($C217="","",IF($D217="Gider",$E217,IF($L217&lt;&gt;"",$L217,$H217)))</f>
        <v/>
      </c>
      <c r="N217" s="74" t="str">
        <f>IF($C217="","",IF($D217="Gider",$H217,$E217))</f>
        <v/>
      </c>
      <c r="O217" s="73" t="str">
        <f>IF($C217="","",DATE(YEAR($C217),MONTH($C217),1))</f>
        <v/>
      </c>
      <c r="P217" s="65" t="str">
        <f ca="1">IF($C217="","",IF(AND($D217="Gelir",$L217&lt;&gt;"",$T217=""),"TANIMSIZ BORÇLU",IF($T217&lt;&gt;"",IF(OR($E217="",$G217&lt;=0),"EKSİK",IF($I217="Evet","TAHAKKUK NAKİT OLAMAZ",IF($C217&gt;TODAY(),"İLERİ TARİH","TAHAKKUK"))),IF(AND($D217&lt;&gt;"",$E217&lt;&gt;"",$G217&gt;0,$H217&lt;&gt;"",$I217&lt;&gt;""),IF($C217&gt;TODAY(),"İLERİ TARİH",IF(COUNTIF($W$7:$W$3001,$W217)&gt;1,"MÜKERRER?",IF($AD217&gt;0,"KAPALI DÖNEM",IF($I217="Hayır","ÖDENECEK","UYGUN")))),"EKSİK"))))</f>
        <v/>
      </c>
      <c r="Q217" s="2"/>
      <c r="R217" s="2"/>
      <c r="S217" s="1" t="str">
        <f t="shared" si="11"/>
        <v/>
      </c>
      <c r="T217" s="1" t="str">
        <f>IF(OR($C217="",$D217&lt;&gt;"Gelir",$L217=""),"",IFERROR(INDEX(MUSTERILER!$B$7:$B$156,MATCH($S217,MUSTERILER!$T$7:$T$156,0)),""))</f>
        <v/>
      </c>
      <c r="U217" s="1" t="str">
        <f>IF($T217="","",$T217&amp;"|"&amp;COUNTIFS($T$7:$T217,$T217))</f>
        <v/>
      </c>
      <c r="V217" s="1">
        <f t="shared" si="12"/>
        <v>0</v>
      </c>
      <c r="W217" s="1" t="str">
        <f t="shared" si="13"/>
        <v/>
      </c>
      <c r="X217" s="1"/>
      <c r="Y217" s="1"/>
      <c r="Z217" s="1"/>
      <c r="AA217" s="1"/>
      <c r="AB217" s="1"/>
      <c r="AC217" s="1"/>
      <c r="AD217" s="1">
        <f>IF($C217="",0,SUMPRODUCT((AY_SONU!$O$7:$O$42="Evet")*(AY_SONU!$B$7:$B$42=DATE(YEAR($C217),MONTH($C217),1))))</f>
        <v>0</v>
      </c>
      <c r="AE217" s="1" t="str">
        <f>IF($E217="","",$E217&amp;"|"&amp;COUNTIFS($E$7:$E217,$E217))</f>
        <v/>
      </c>
    </row>
    <row r="218" spans="1:31" ht="18" customHeight="1" x14ac:dyDescent="0.3">
      <c r="A218" s="2"/>
      <c r="B218" s="65" t="str">
        <f>IF($C218="","","GG"&amp;TEXT(ROW()-6,"00000"))</f>
        <v/>
      </c>
      <c r="C218" s="66"/>
      <c r="D218" s="60"/>
      <c r="E218" s="61"/>
      <c r="F218" s="61"/>
      <c r="G218" s="67"/>
      <c r="H218" s="60"/>
      <c r="I218" s="60"/>
      <c r="J218" s="61"/>
      <c r="K218" s="61"/>
      <c r="L218" s="60"/>
      <c r="M218" s="74" t="str">
        <f>IF($C218="","",IF($D218="Gider",$E218,IF($L218&lt;&gt;"",$L218,$H218)))</f>
        <v/>
      </c>
      <c r="N218" s="74" t="str">
        <f>IF($C218="","",IF($D218="Gider",$H218,$E218))</f>
        <v/>
      </c>
      <c r="O218" s="73" t="str">
        <f>IF($C218="","",DATE(YEAR($C218),MONTH($C218),1))</f>
        <v/>
      </c>
      <c r="P218" s="65" t="str">
        <f ca="1">IF($C218="","",IF(AND($D218="Gelir",$L218&lt;&gt;"",$T218=""),"TANIMSIZ BORÇLU",IF($T218&lt;&gt;"",IF(OR($E218="",$G218&lt;=0),"EKSİK",IF($I218="Evet","TAHAKKUK NAKİT OLAMAZ",IF($C218&gt;TODAY(),"İLERİ TARİH","TAHAKKUK"))),IF(AND($D218&lt;&gt;"",$E218&lt;&gt;"",$G218&gt;0,$H218&lt;&gt;"",$I218&lt;&gt;""),IF($C218&gt;TODAY(),"İLERİ TARİH",IF(COUNTIF($W$7:$W$3001,$W218)&gt;1,"MÜKERRER?",IF($AD218&gt;0,"KAPALI DÖNEM",IF($I218="Hayır","ÖDENECEK","UYGUN")))),"EKSİK"))))</f>
        <v/>
      </c>
      <c r="Q218" s="2"/>
      <c r="R218" s="2"/>
      <c r="S218" s="1" t="str">
        <f t="shared" si="11"/>
        <v/>
      </c>
      <c r="T218" s="1" t="str">
        <f>IF(OR($C218="",$D218&lt;&gt;"Gelir",$L218=""),"",IFERROR(INDEX(MUSTERILER!$B$7:$B$156,MATCH($S218,MUSTERILER!$T$7:$T$156,0)),""))</f>
        <v/>
      </c>
      <c r="U218" s="1" t="str">
        <f>IF($T218="","",$T218&amp;"|"&amp;COUNTIFS($T$7:$T218,$T218))</f>
        <v/>
      </c>
      <c r="V218" s="1">
        <f t="shared" si="12"/>
        <v>0</v>
      </c>
      <c r="W218" s="1" t="str">
        <f t="shared" si="13"/>
        <v/>
      </c>
      <c r="X218" s="1"/>
      <c r="Y218" s="1"/>
      <c r="Z218" s="1"/>
      <c r="AA218" s="1"/>
      <c r="AB218" s="1"/>
      <c r="AC218" s="1"/>
      <c r="AD218" s="1">
        <f>IF($C218="",0,SUMPRODUCT((AY_SONU!$O$7:$O$42="Evet")*(AY_SONU!$B$7:$B$42=DATE(YEAR($C218),MONTH($C218),1))))</f>
        <v>0</v>
      </c>
      <c r="AE218" s="1" t="str">
        <f>IF($E218="","",$E218&amp;"|"&amp;COUNTIFS($E$7:$E218,$E218))</f>
        <v/>
      </c>
    </row>
    <row r="219" spans="1:31" ht="18" customHeight="1" x14ac:dyDescent="0.3">
      <c r="A219" s="2"/>
      <c r="B219" s="65" t="str">
        <f>IF($C219="","","GG"&amp;TEXT(ROW()-6,"00000"))</f>
        <v/>
      </c>
      <c r="C219" s="66"/>
      <c r="D219" s="60"/>
      <c r="E219" s="61"/>
      <c r="F219" s="61"/>
      <c r="G219" s="67"/>
      <c r="H219" s="60"/>
      <c r="I219" s="60"/>
      <c r="J219" s="61"/>
      <c r="K219" s="61"/>
      <c r="L219" s="60"/>
      <c r="M219" s="74" t="str">
        <f>IF($C219="","",IF($D219="Gider",$E219,IF($L219&lt;&gt;"",$L219,$H219)))</f>
        <v/>
      </c>
      <c r="N219" s="74" t="str">
        <f>IF($C219="","",IF($D219="Gider",$H219,$E219))</f>
        <v/>
      </c>
      <c r="O219" s="73" t="str">
        <f>IF($C219="","",DATE(YEAR($C219),MONTH($C219),1))</f>
        <v/>
      </c>
      <c r="P219" s="65" t="str">
        <f ca="1">IF($C219="","",IF(AND($D219="Gelir",$L219&lt;&gt;"",$T219=""),"TANIMSIZ BORÇLU",IF($T219&lt;&gt;"",IF(OR($E219="",$G219&lt;=0),"EKSİK",IF($I219="Evet","TAHAKKUK NAKİT OLAMAZ",IF($C219&gt;TODAY(),"İLERİ TARİH","TAHAKKUK"))),IF(AND($D219&lt;&gt;"",$E219&lt;&gt;"",$G219&gt;0,$H219&lt;&gt;"",$I219&lt;&gt;""),IF($C219&gt;TODAY(),"İLERİ TARİH",IF(COUNTIF($W$7:$W$3001,$W219)&gt;1,"MÜKERRER?",IF($AD219&gt;0,"KAPALI DÖNEM",IF($I219="Hayır","ÖDENECEK","UYGUN")))),"EKSİK"))))</f>
        <v/>
      </c>
      <c r="Q219" s="2"/>
      <c r="R219" s="2"/>
      <c r="S219" s="1" t="str">
        <f t="shared" si="11"/>
        <v/>
      </c>
      <c r="T219" s="1" t="str">
        <f>IF(OR($C219="",$D219&lt;&gt;"Gelir",$L219=""),"",IFERROR(INDEX(MUSTERILER!$B$7:$B$156,MATCH($S219,MUSTERILER!$T$7:$T$156,0)),""))</f>
        <v/>
      </c>
      <c r="U219" s="1" t="str">
        <f>IF($T219="","",$T219&amp;"|"&amp;COUNTIFS($T$7:$T219,$T219))</f>
        <v/>
      </c>
      <c r="V219" s="1">
        <f t="shared" si="12"/>
        <v>0</v>
      </c>
      <c r="W219" s="1" t="str">
        <f t="shared" si="13"/>
        <v/>
      </c>
      <c r="X219" s="1"/>
      <c r="Y219" s="1"/>
      <c r="Z219" s="1"/>
      <c r="AA219" s="1"/>
      <c r="AB219" s="1"/>
      <c r="AC219" s="1"/>
      <c r="AD219" s="1">
        <f>IF($C219="",0,SUMPRODUCT((AY_SONU!$O$7:$O$42="Evet")*(AY_SONU!$B$7:$B$42=DATE(YEAR($C219),MONTH($C219),1))))</f>
        <v>0</v>
      </c>
      <c r="AE219" s="1" t="str">
        <f>IF($E219="","",$E219&amp;"|"&amp;COUNTIFS($E$7:$E219,$E219))</f>
        <v/>
      </c>
    </row>
    <row r="220" spans="1:31" ht="18" customHeight="1" x14ac:dyDescent="0.3">
      <c r="A220" s="2"/>
      <c r="B220" s="65" t="str">
        <f>IF($C220="","","GG"&amp;TEXT(ROW()-6,"00000"))</f>
        <v/>
      </c>
      <c r="C220" s="66"/>
      <c r="D220" s="60"/>
      <c r="E220" s="61"/>
      <c r="F220" s="61"/>
      <c r="G220" s="67"/>
      <c r="H220" s="60"/>
      <c r="I220" s="60"/>
      <c r="J220" s="61"/>
      <c r="K220" s="61"/>
      <c r="L220" s="60"/>
      <c r="M220" s="74" t="str">
        <f>IF($C220="","",IF($D220="Gider",$E220,IF($L220&lt;&gt;"",$L220,$H220)))</f>
        <v/>
      </c>
      <c r="N220" s="74" t="str">
        <f>IF($C220="","",IF($D220="Gider",$H220,$E220))</f>
        <v/>
      </c>
      <c r="O220" s="73" t="str">
        <f>IF($C220="","",DATE(YEAR($C220),MONTH($C220),1))</f>
        <v/>
      </c>
      <c r="P220" s="65" t="str">
        <f ca="1">IF($C220="","",IF(AND($D220="Gelir",$L220&lt;&gt;"",$T220=""),"TANIMSIZ BORÇLU",IF($T220&lt;&gt;"",IF(OR($E220="",$G220&lt;=0),"EKSİK",IF($I220="Evet","TAHAKKUK NAKİT OLAMAZ",IF($C220&gt;TODAY(),"İLERİ TARİH","TAHAKKUK"))),IF(AND($D220&lt;&gt;"",$E220&lt;&gt;"",$G220&gt;0,$H220&lt;&gt;"",$I220&lt;&gt;""),IF($C220&gt;TODAY(),"İLERİ TARİH",IF(COUNTIF($W$7:$W$3001,$W220)&gt;1,"MÜKERRER?",IF($AD220&gt;0,"KAPALI DÖNEM",IF($I220="Hayır","ÖDENECEK","UYGUN")))),"EKSİK"))))</f>
        <v/>
      </c>
      <c r="Q220" s="2"/>
      <c r="R220" s="2"/>
      <c r="S220" s="1" t="str">
        <f t="shared" si="11"/>
        <v/>
      </c>
      <c r="T220" s="1" t="str">
        <f>IF(OR($C220="",$D220&lt;&gt;"Gelir",$L220=""),"",IFERROR(INDEX(MUSTERILER!$B$7:$B$156,MATCH($S220,MUSTERILER!$T$7:$T$156,0)),""))</f>
        <v/>
      </c>
      <c r="U220" s="1" t="str">
        <f>IF($T220="","",$T220&amp;"|"&amp;COUNTIFS($T$7:$T220,$T220))</f>
        <v/>
      </c>
      <c r="V220" s="1">
        <f t="shared" si="12"/>
        <v>0</v>
      </c>
      <c r="W220" s="1" t="str">
        <f t="shared" si="13"/>
        <v/>
      </c>
      <c r="X220" s="1"/>
      <c r="Y220" s="1"/>
      <c r="Z220" s="1"/>
      <c r="AA220" s="1"/>
      <c r="AB220" s="1"/>
      <c r="AC220" s="1"/>
      <c r="AD220" s="1">
        <f>IF($C220="",0,SUMPRODUCT((AY_SONU!$O$7:$O$42="Evet")*(AY_SONU!$B$7:$B$42=DATE(YEAR($C220),MONTH($C220),1))))</f>
        <v>0</v>
      </c>
      <c r="AE220" s="1" t="str">
        <f>IF($E220="","",$E220&amp;"|"&amp;COUNTIFS($E$7:$E220,$E220))</f>
        <v/>
      </c>
    </row>
    <row r="221" spans="1:31" ht="18" customHeight="1" x14ac:dyDescent="0.3">
      <c r="A221" s="2"/>
      <c r="B221" s="65" t="str">
        <f>IF($C221="","","GG"&amp;TEXT(ROW()-6,"00000"))</f>
        <v/>
      </c>
      <c r="C221" s="66"/>
      <c r="D221" s="60"/>
      <c r="E221" s="61"/>
      <c r="F221" s="61"/>
      <c r="G221" s="67"/>
      <c r="H221" s="60"/>
      <c r="I221" s="60"/>
      <c r="J221" s="61"/>
      <c r="K221" s="61"/>
      <c r="L221" s="60"/>
      <c r="M221" s="74" t="str">
        <f>IF($C221="","",IF($D221="Gider",$E221,IF($L221&lt;&gt;"",$L221,$H221)))</f>
        <v/>
      </c>
      <c r="N221" s="74" t="str">
        <f>IF($C221="","",IF($D221="Gider",$H221,$E221))</f>
        <v/>
      </c>
      <c r="O221" s="73" t="str">
        <f>IF($C221="","",DATE(YEAR($C221),MONTH($C221),1))</f>
        <v/>
      </c>
      <c r="P221" s="65" t="str">
        <f ca="1">IF($C221="","",IF(AND($D221="Gelir",$L221&lt;&gt;"",$T221=""),"TANIMSIZ BORÇLU",IF($T221&lt;&gt;"",IF(OR($E221="",$G221&lt;=0),"EKSİK",IF($I221="Evet","TAHAKKUK NAKİT OLAMAZ",IF($C221&gt;TODAY(),"İLERİ TARİH","TAHAKKUK"))),IF(AND($D221&lt;&gt;"",$E221&lt;&gt;"",$G221&gt;0,$H221&lt;&gt;"",$I221&lt;&gt;""),IF($C221&gt;TODAY(),"İLERİ TARİH",IF(COUNTIF($W$7:$W$3001,$W221)&gt;1,"MÜKERRER?",IF($AD221&gt;0,"KAPALI DÖNEM",IF($I221="Hayır","ÖDENECEK","UYGUN")))),"EKSİK"))))</f>
        <v/>
      </c>
      <c r="Q221" s="2"/>
      <c r="R221" s="2"/>
      <c r="S221" s="1" t="str">
        <f t="shared" si="11"/>
        <v/>
      </c>
      <c r="T221" s="1" t="str">
        <f>IF(OR($C221="",$D221&lt;&gt;"Gelir",$L221=""),"",IFERROR(INDEX(MUSTERILER!$B$7:$B$156,MATCH($S221,MUSTERILER!$T$7:$T$156,0)),""))</f>
        <v/>
      </c>
      <c r="U221" s="1" t="str">
        <f>IF($T221="","",$T221&amp;"|"&amp;COUNTIFS($T$7:$T221,$T221))</f>
        <v/>
      </c>
      <c r="V221" s="1">
        <f t="shared" si="12"/>
        <v>0</v>
      </c>
      <c r="W221" s="1" t="str">
        <f t="shared" si="13"/>
        <v/>
      </c>
      <c r="X221" s="1"/>
      <c r="Y221" s="1"/>
      <c r="Z221" s="1"/>
      <c r="AA221" s="1"/>
      <c r="AB221" s="1"/>
      <c r="AC221" s="1"/>
      <c r="AD221" s="1">
        <f>IF($C221="",0,SUMPRODUCT((AY_SONU!$O$7:$O$42="Evet")*(AY_SONU!$B$7:$B$42=DATE(YEAR($C221),MONTH($C221),1))))</f>
        <v>0</v>
      </c>
      <c r="AE221" s="1" t="str">
        <f>IF($E221="","",$E221&amp;"|"&amp;COUNTIFS($E$7:$E221,$E221))</f>
        <v/>
      </c>
    </row>
    <row r="222" spans="1:31" ht="18" customHeight="1" x14ac:dyDescent="0.3">
      <c r="A222" s="2"/>
      <c r="B222" s="65" t="str">
        <f>IF($C222="","","GG"&amp;TEXT(ROW()-6,"00000"))</f>
        <v/>
      </c>
      <c r="C222" s="66"/>
      <c r="D222" s="60"/>
      <c r="E222" s="61"/>
      <c r="F222" s="61"/>
      <c r="G222" s="67"/>
      <c r="H222" s="60"/>
      <c r="I222" s="60"/>
      <c r="J222" s="61"/>
      <c r="K222" s="61"/>
      <c r="L222" s="60"/>
      <c r="M222" s="74" t="str">
        <f>IF($C222="","",IF($D222="Gider",$E222,IF($L222&lt;&gt;"",$L222,$H222)))</f>
        <v/>
      </c>
      <c r="N222" s="74" t="str">
        <f>IF($C222="","",IF($D222="Gider",$H222,$E222))</f>
        <v/>
      </c>
      <c r="O222" s="73" t="str">
        <f>IF($C222="","",DATE(YEAR($C222),MONTH($C222),1))</f>
        <v/>
      </c>
      <c r="P222" s="65" t="str">
        <f ca="1">IF($C222="","",IF(AND($D222="Gelir",$L222&lt;&gt;"",$T222=""),"TANIMSIZ BORÇLU",IF($T222&lt;&gt;"",IF(OR($E222="",$G222&lt;=0),"EKSİK",IF($I222="Evet","TAHAKKUK NAKİT OLAMAZ",IF($C222&gt;TODAY(),"İLERİ TARİH","TAHAKKUK"))),IF(AND($D222&lt;&gt;"",$E222&lt;&gt;"",$G222&gt;0,$H222&lt;&gt;"",$I222&lt;&gt;""),IF($C222&gt;TODAY(),"İLERİ TARİH",IF(COUNTIF($W$7:$W$3001,$W222)&gt;1,"MÜKERRER?",IF($AD222&gt;0,"KAPALI DÖNEM",IF($I222="Hayır","ÖDENECEK","UYGUN")))),"EKSİK"))))</f>
        <v/>
      </c>
      <c r="Q222" s="2"/>
      <c r="R222" s="2"/>
      <c r="S222" s="1" t="str">
        <f t="shared" si="11"/>
        <v/>
      </c>
      <c r="T222" s="1" t="str">
        <f>IF(OR($C222="",$D222&lt;&gt;"Gelir",$L222=""),"",IFERROR(INDEX(MUSTERILER!$B$7:$B$156,MATCH($S222,MUSTERILER!$T$7:$T$156,0)),""))</f>
        <v/>
      </c>
      <c r="U222" s="1" t="str">
        <f>IF($T222="","",$T222&amp;"|"&amp;COUNTIFS($T$7:$T222,$T222))</f>
        <v/>
      </c>
      <c r="V222" s="1">
        <f t="shared" si="12"/>
        <v>0</v>
      </c>
      <c r="W222" s="1" t="str">
        <f t="shared" si="13"/>
        <v/>
      </c>
      <c r="X222" s="1"/>
      <c r="Y222" s="1"/>
      <c r="Z222" s="1"/>
      <c r="AA222" s="1"/>
      <c r="AB222" s="1"/>
      <c r="AC222" s="1"/>
      <c r="AD222" s="1">
        <f>IF($C222="",0,SUMPRODUCT((AY_SONU!$O$7:$O$42="Evet")*(AY_SONU!$B$7:$B$42=DATE(YEAR($C222),MONTH($C222),1))))</f>
        <v>0</v>
      </c>
      <c r="AE222" s="1" t="str">
        <f>IF($E222="","",$E222&amp;"|"&amp;COUNTIFS($E$7:$E222,$E222))</f>
        <v/>
      </c>
    </row>
    <row r="223" spans="1:31" ht="18" customHeight="1" x14ac:dyDescent="0.3">
      <c r="A223" s="2"/>
      <c r="B223" s="65" t="str">
        <f>IF($C223="","","GG"&amp;TEXT(ROW()-6,"00000"))</f>
        <v/>
      </c>
      <c r="C223" s="66"/>
      <c r="D223" s="60"/>
      <c r="E223" s="61"/>
      <c r="F223" s="61"/>
      <c r="G223" s="67"/>
      <c r="H223" s="60"/>
      <c r="I223" s="60"/>
      <c r="J223" s="61"/>
      <c r="K223" s="61"/>
      <c r="L223" s="60"/>
      <c r="M223" s="74" t="str">
        <f>IF($C223="","",IF($D223="Gider",$E223,IF($L223&lt;&gt;"",$L223,$H223)))</f>
        <v/>
      </c>
      <c r="N223" s="74" t="str">
        <f>IF($C223="","",IF($D223="Gider",$H223,$E223))</f>
        <v/>
      </c>
      <c r="O223" s="73" t="str">
        <f>IF($C223="","",DATE(YEAR($C223),MONTH($C223),1))</f>
        <v/>
      </c>
      <c r="P223" s="65" t="str">
        <f ca="1">IF($C223="","",IF(AND($D223="Gelir",$L223&lt;&gt;"",$T223=""),"TANIMSIZ BORÇLU",IF($T223&lt;&gt;"",IF(OR($E223="",$G223&lt;=0),"EKSİK",IF($I223="Evet","TAHAKKUK NAKİT OLAMAZ",IF($C223&gt;TODAY(),"İLERİ TARİH","TAHAKKUK"))),IF(AND($D223&lt;&gt;"",$E223&lt;&gt;"",$G223&gt;0,$H223&lt;&gt;"",$I223&lt;&gt;""),IF($C223&gt;TODAY(),"İLERİ TARİH",IF(COUNTIF($W$7:$W$3001,$W223)&gt;1,"MÜKERRER?",IF($AD223&gt;0,"KAPALI DÖNEM",IF($I223="Hayır","ÖDENECEK","UYGUN")))),"EKSİK"))))</f>
        <v/>
      </c>
      <c r="Q223" s="2"/>
      <c r="R223" s="2"/>
      <c r="S223" s="1" t="str">
        <f t="shared" si="11"/>
        <v/>
      </c>
      <c r="T223" s="1" t="str">
        <f>IF(OR($C223="",$D223&lt;&gt;"Gelir",$L223=""),"",IFERROR(INDEX(MUSTERILER!$B$7:$B$156,MATCH($S223,MUSTERILER!$T$7:$T$156,0)),""))</f>
        <v/>
      </c>
      <c r="U223" s="1" t="str">
        <f>IF($T223="","",$T223&amp;"|"&amp;COUNTIFS($T$7:$T223,$T223))</f>
        <v/>
      </c>
      <c r="V223" s="1">
        <f t="shared" si="12"/>
        <v>0</v>
      </c>
      <c r="W223" s="1" t="str">
        <f t="shared" si="13"/>
        <v/>
      </c>
      <c r="X223" s="1"/>
      <c r="Y223" s="1"/>
      <c r="Z223" s="1"/>
      <c r="AA223" s="1"/>
      <c r="AB223" s="1"/>
      <c r="AC223" s="1"/>
      <c r="AD223" s="1">
        <f>IF($C223="",0,SUMPRODUCT((AY_SONU!$O$7:$O$42="Evet")*(AY_SONU!$B$7:$B$42=DATE(YEAR($C223),MONTH($C223),1))))</f>
        <v>0</v>
      </c>
      <c r="AE223" s="1" t="str">
        <f>IF($E223="","",$E223&amp;"|"&amp;COUNTIFS($E$7:$E223,$E223))</f>
        <v/>
      </c>
    </row>
    <row r="224" spans="1:31" ht="18" customHeight="1" x14ac:dyDescent="0.3">
      <c r="A224" s="2"/>
      <c r="B224" s="65" t="str">
        <f>IF($C224="","","GG"&amp;TEXT(ROW()-6,"00000"))</f>
        <v/>
      </c>
      <c r="C224" s="66"/>
      <c r="D224" s="60"/>
      <c r="E224" s="61"/>
      <c r="F224" s="61"/>
      <c r="G224" s="67"/>
      <c r="H224" s="60"/>
      <c r="I224" s="60"/>
      <c r="J224" s="61"/>
      <c r="K224" s="61"/>
      <c r="L224" s="60"/>
      <c r="M224" s="74" t="str">
        <f>IF($C224="","",IF($D224="Gider",$E224,IF($L224&lt;&gt;"",$L224,$H224)))</f>
        <v/>
      </c>
      <c r="N224" s="74" t="str">
        <f>IF($C224="","",IF($D224="Gider",$H224,$E224))</f>
        <v/>
      </c>
      <c r="O224" s="73" t="str">
        <f>IF($C224="","",DATE(YEAR($C224),MONTH($C224),1))</f>
        <v/>
      </c>
      <c r="P224" s="65" t="str">
        <f ca="1">IF($C224="","",IF(AND($D224="Gelir",$L224&lt;&gt;"",$T224=""),"TANIMSIZ BORÇLU",IF($T224&lt;&gt;"",IF(OR($E224="",$G224&lt;=0),"EKSİK",IF($I224="Evet","TAHAKKUK NAKİT OLAMAZ",IF($C224&gt;TODAY(),"İLERİ TARİH","TAHAKKUK"))),IF(AND($D224&lt;&gt;"",$E224&lt;&gt;"",$G224&gt;0,$H224&lt;&gt;"",$I224&lt;&gt;""),IF($C224&gt;TODAY(),"İLERİ TARİH",IF(COUNTIF($W$7:$W$3001,$W224)&gt;1,"MÜKERRER?",IF($AD224&gt;0,"KAPALI DÖNEM",IF($I224="Hayır","ÖDENECEK","UYGUN")))),"EKSİK"))))</f>
        <v/>
      </c>
      <c r="Q224" s="2"/>
      <c r="R224" s="2"/>
      <c r="S224" s="1" t="str">
        <f t="shared" si="11"/>
        <v/>
      </c>
      <c r="T224" s="1" t="str">
        <f>IF(OR($C224="",$D224&lt;&gt;"Gelir",$L224=""),"",IFERROR(INDEX(MUSTERILER!$B$7:$B$156,MATCH($S224,MUSTERILER!$T$7:$T$156,0)),""))</f>
        <v/>
      </c>
      <c r="U224" s="1" t="str">
        <f>IF($T224="","",$T224&amp;"|"&amp;COUNTIFS($T$7:$T224,$T224))</f>
        <v/>
      </c>
      <c r="V224" s="1">
        <f t="shared" si="12"/>
        <v>0</v>
      </c>
      <c r="W224" s="1" t="str">
        <f t="shared" si="13"/>
        <v/>
      </c>
      <c r="X224" s="1"/>
      <c r="Y224" s="1"/>
      <c r="Z224" s="1"/>
      <c r="AA224" s="1"/>
      <c r="AB224" s="1"/>
      <c r="AC224" s="1"/>
      <c r="AD224" s="1">
        <f>IF($C224="",0,SUMPRODUCT((AY_SONU!$O$7:$O$42="Evet")*(AY_SONU!$B$7:$B$42=DATE(YEAR($C224),MONTH($C224),1))))</f>
        <v>0</v>
      </c>
      <c r="AE224" s="1" t="str">
        <f>IF($E224="","",$E224&amp;"|"&amp;COUNTIFS($E$7:$E224,$E224))</f>
        <v/>
      </c>
    </row>
    <row r="225" spans="1:31" ht="18" customHeight="1" x14ac:dyDescent="0.3">
      <c r="A225" s="2"/>
      <c r="B225" s="65" t="str">
        <f>IF($C225="","","GG"&amp;TEXT(ROW()-6,"00000"))</f>
        <v/>
      </c>
      <c r="C225" s="66"/>
      <c r="D225" s="60"/>
      <c r="E225" s="61"/>
      <c r="F225" s="61"/>
      <c r="G225" s="67"/>
      <c r="H225" s="60"/>
      <c r="I225" s="60"/>
      <c r="J225" s="61"/>
      <c r="K225" s="61"/>
      <c r="L225" s="60"/>
      <c r="M225" s="74" t="str">
        <f>IF($C225="","",IF($D225="Gider",$E225,IF($L225&lt;&gt;"",$L225,$H225)))</f>
        <v/>
      </c>
      <c r="N225" s="74" t="str">
        <f>IF($C225="","",IF($D225="Gider",$H225,$E225))</f>
        <v/>
      </c>
      <c r="O225" s="73" t="str">
        <f>IF($C225="","",DATE(YEAR($C225),MONTH($C225),1))</f>
        <v/>
      </c>
      <c r="P225" s="65" t="str">
        <f ca="1">IF($C225="","",IF(AND($D225="Gelir",$L225&lt;&gt;"",$T225=""),"TANIMSIZ BORÇLU",IF($T225&lt;&gt;"",IF(OR($E225="",$G225&lt;=0),"EKSİK",IF($I225="Evet","TAHAKKUK NAKİT OLAMAZ",IF($C225&gt;TODAY(),"İLERİ TARİH","TAHAKKUK"))),IF(AND($D225&lt;&gt;"",$E225&lt;&gt;"",$G225&gt;0,$H225&lt;&gt;"",$I225&lt;&gt;""),IF($C225&gt;TODAY(),"İLERİ TARİH",IF(COUNTIF($W$7:$W$3001,$W225)&gt;1,"MÜKERRER?",IF($AD225&gt;0,"KAPALI DÖNEM",IF($I225="Hayır","ÖDENECEK","UYGUN")))),"EKSİK"))))</f>
        <v/>
      </c>
      <c r="Q225" s="2"/>
      <c r="R225" s="2"/>
      <c r="S225" s="1" t="str">
        <f t="shared" si="11"/>
        <v/>
      </c>
      <c r="T225" s="1" t="str">
        <f>IF(OR($C225="",$D225&lt;&gt;"Gelir",$L225=""),"",IFERROR(INDEX(MUSTERILER!$B$7:$B$156,MATCH($S225,MUSTERILER!$T$7:$T$156,0)),""))</f>
        <v/>
      </c>
      <c r="U225" s="1" t="str">
        <f>IF($T225="","",$T225&amp;"|"&amp;COUNTIFS($T$7:$T225,$T225))</f>
        <v/>
      </c>
      <c r="V225" s="1">
        <f t="shared" si="12"/>
        <v>0</v>
      </c>
      <c r="W225" s="1" t="str">
        <f t="shared" si="13"/>
        <v/>
      </c>
      <c r="X225" s="1"/>
      <c r="Y225" s="1"/>
      <c r="Z225" s="1"/>
      <c r="AA225" s="1"/>
      <c r="AB225" s="1"/>
      <c r="AC225" s="1"/>
      <c r="AD225" s="1">
        <f>IF($C225="",0,SUMPRODUCT((AY_SONU!$O$7:$O$42="Evet")*(AY_SONU!$B$7:$B$42=DATE(YEAR($C225),MONTH($C225),1))))</f>
        <v>0</v>
      </c>
      <c r="AE225" s="1" t="str">
        <f>IF($E225="","",$E225&amp;"|"&amp;COUNTIFS($E$7:$E225,$E225))</f>
        <v/>
      </c>
    </row>
    <row r="226" spans="1:31" ht="18" customHeight="1" x14ac:dyDescent="0.3">
      <c r="A226" s="2"/>
      <c r="B226" s="65" t="str">
        <f>IF($C226="","","GG"&amp;TEXT(ROW()-6,"00000"))</f>
        <v/>
      </c>
      <c r="C226" s="66"/>
      <c r="D226" s="60"/>
      <c r="E226" s="61"/>
      <c r="F226" s="61"/>
      <c r="G226" s="67"/>
      <c r="H226" s="60"/>
      <c r="I226" s="60"/>
      <c r="J226" s="61"/>
      <c r="K226" s="61"/>
      <c r="L226" s="60"/>
      <c r="M226" s="74" t="str">
        <f>IF($C226="","",IF($D226="Gider",$E226,IF($L226&lt;&gt;"",$L226,$H226)))</f>
        <v/>
      </c>
      <c r="N226" s="74" t="str">
        <f>IF($C226="","",IF($D226="Gider",$H226,$E226))</f>
        <v/>
      </c>
      <c r="O226" s="73" t="str">
        <f>IF($C226="","",DATE(YEAR($C226),MONTH($C226),1))</f>
        <v/>
      </c>
      <c r="P226" s="65" t="str">
        <f ca="1">IF($C226="","",IF(AND($D226="Gelir",$L226&lt;&gt;"",$T226=""),"TANIMSIZ BORÇLU",IF($T226&lt;&gt;"",IF(OR($E226="",$G226&lt;=0),"EKSİK",IF($I226="Evet","TAHAKKUK NAKİT OLAMAZ",IF($C226&gt;TODAY(),"İLERİ TARİH","TAHAKKUK"))),IF(AND($D226&lt;&gt;"",$E226&lt;&gt;"",$G226&gt;0,$H226&lt;&gt;"",$I226&lt;&gt;""),IF($C226&gt;TODAY(),"İLERİ TARİH",IF(COUNTIF($W$7:$W$3001,$W226)&gt;1,"MÜKERRER?",IF($AD226&gt;0,"KAPALI DÖNEM",IF($I226="Hayır","ÖDENECEK","UYGUN")))),"EKSİK"))))</f>
        <v/>
      </c>
      <c r="Q226" s="2"/>
      <c r="R226" s="2"/>
      <c r="S226" s="1" t="str">
        <f t="shared" si="11"/>
        <v/>
      </c>
      <c r="T226" s="1" t="str">
        <f>IF(OR($C226="",$D226&lt;&gt;"Gelir",$L226=""),"",IFERROR(INDEX(MUSTERILER!$B$7:$B$156,MATCH($S226,MUSTERILER!$T$7:$T$156,0)),""))</f>
        <v/>
      </c>
      <c r="U226" s="1" t="str">
        <f>IF($T226="","",$T226&amp;"|"&amp;COUNTIFS($T$7:$T226,$T226))</f>
        <v/>
      </c>
      <c r="V226" s="1">
        <f t="shared" si="12"/>
        <v>0</v>
      </c>
      <c r="W226" s="1" t="str">
        <f t="shared" si="13"/>
        <v/>
      </c>
      <c r="X226" s="1"/>
      <c r="Y226" s="1"/>
      <c r="Z226" s="1"/>
      <c r="AA226" s="1"/>
      <c r="AB226" s="1"/>
      <c r="AC226" s="1"/>
      <c r="AD226" s="1">
        <f>IF($C226="",0,SUMPRODUCT((AY_SONU!$O$7:$O$42="Evet")*(AY_SONU!$B$7:$B$42=DATE(YEAR($C226),MONTH($C226),1))))</f>
        <v>0</v>
      </c>
      <c r="AE226" s="1" t="str">
        <f>IF($E226="","",$E226&amp;"|"&amp;COUNTIFS($E$7:$E226,$E226))</f>
        <v/>
      </c>
    </row>
    <row r="227" spans="1:31" ht="18" customHeight="1" x14ac:dyDescent="0.3">
      <c r="A227" s="2"/>
      <c r="B227" s="65" t="str">
        <f>IF($C227="","","GG"&amp;TEXT(ROW()-6,"00000"))</f>
        <v/>
      </c>
      <c r="C227" s="66"/>
      <c r="D227" s="60"/>
      <c r="E227" s="61"/>
      <c r="F227" s="61"/>
      <c r="G227" s="67"/>
      <c r="H227" s="60"/>
      <c r="I227" s="60"/>
      <c r="J227" s="61"/>
      <c r="K227" s="61"/>
      <c r="L227" s="60"/>
      <c r="M227" s="74" t="str">
        <f>IF($C227="","",IF($D227="Gider",$E227,IF($L227&lt;&gt;"",$L227,$H227)))</f>
        <v/>
      </c>
      <c r="N227" s="74" t="str">
        <f>IF($C227="","",IF($D227="Gider",$H227,$E227))</f>
        <v/>
      </c>
      <c r="O227" s="73" t="str">
        <f>IF($C227="","",DATE(YEAR($C227),MONTH($C227),1))</f>
        <v/>
      </c>
      <c r="P227" s="65" t="str">
        <f ca="1">IF($C227="","",IF(AND($D227="Gelir",$L227&lt;&gt;"",$T227=""),"TANIMSIZ BORÇLU",IF($T227&lt;&gt;"",IF(OR($E227="",$G227&lt;=0),"EKSİK",IF($I227="Evet","TAHAKKUK NAKİT OLAMAZ",IF($C227&gt;TODAY(),"İLERİ TARİH","TAHAKKUK"))),IF(AND($D227&lt;&gt;"",$E227&lt;&gt;"",$G227&gt;0,$H227&lt;&gt;"",$I227&lt;&gt;""),IF($C227&gt;TODAY(),"İLERİ TARİH",IF(COUNTIF($W$7:$W$3001,$W227)&gt;1,"MÜKERRER?",IF($AD227&gt;0,"KAPALI DÖNEM",IF($I227="Hayır","ÖDENECEK","UYGUN")))),"EKSİK"))))</f>
        <v/>
      </c>
      <c r="Q227" s="2"/>
      <c r="R227" s="2"/>
      <c r="S227" s="1" t="str">
        <f t="shared" si="11"/>
        <v/>
      </c>
      <c r="T227" s="1" t="str">
        <f>IF(OR($C227="",$D227&lt;&gt;"Gelir",$L227=""),"",IFERROR(INDEX(MUSTERILER!$B$7:$B$156,MATCH($S227,MUSTERILER!$T$7:$T$156,0)),""))</f>
        <v/>
      </c>
      <c r="U227" s="1" t="str">
        <f>IF($T227="","",$T227&amp;"|"&amp;COUNTIFS($T$7:$T227,$T227))</f>
        <v/>
      </c>
      <c r="V227" s="1">
        <f t="shared" si="12"/>
        <v>0</v>
      </c>
      <c r="W227" s="1" t="str">
        <f t="shared" si="13"/>
        <v/>
      </c>
      <c r="X227" s="1"/>
      <c r="Y227" s="1"/>
      <c r="Z227" s="1"/>
      <c r="AA227" s="1"/>
      <c r="AB227" s="1"/>
      <c r="AC227" s="1"/>
      <c r="AD227" s="1">
        <f>IF($C227="",0,SUMPRODUCT((AY_SONU!$O$7:$O$42="Evet")*(AY_SONU!$B$7:$B$42=DATE(YEAR($C227),MONTH($C227),1))))</f>
        <v>0</v>
      </c>
      <c r="AE227" s="1" t="str">
        <f>IF($E227="","",$E227&amp;"|"&amp;COUNTIFS($E$7:$E227,$E227))</f>
        <v/>
      </c>
    </row>
    <row r="228" spans="1:31" ht="18" customHeight="1" x14ac:dyDescent="0.3">
      <c r="A228" s="2"/>
      <c r="B228" s="65" t="str">
        <f>IF($C228="","","GG"&amp;TEXT(ROW()-6,"00000"))</f>
        <v/>
      </c>
      <c r="C228" s="66"/>
      <c r="D228" s="60"/>
      <c r="E228" s="61"/>
      <c r="F228" s="61"/>
      <c r="G228" s="67"/>
      <c r="H228" s="60"/>
      <c r="I228" s="60"/>
      <c r="J228" s="61"/>
      <c r="K228" s="61"/>
      <c r="L228" s="60"/>
      <c r="M228" s="74" t="str">
        <f>IF($C228="","",IF($D228="Gider",$E228,IF($L228&lt;&gt;"",$L228,$H228)))</f>
        <v/>
      </c>
      <c r="N228" s="74" t="str">
        <f>IF($C228="","",IF($D228="Gider",$H228,$E228))</f>
        <v/>
      </c>
      <c r="O228" s="73" t="str">
        <f>IF($C228="","",DATE(YEAR($C228),MONTH($C228),1))</f>
        <v/>
      </c>
      <c r="P228" s="65" t="str">
        <f ca="1">IF($C228="","",IF(AND($D228="Gelir",$L228&lt;&gt;"",$T228=""),"TANIMSIZ BORÇLU",IF($T228&lt;&gt;"",IF(OR($E228="",$G228&lt;=0),"EKSİK",IF($I228="Evet","TAHAKKUK NAKİT OLAMAZ",IF($C228&gt;TODAY(),"İLERİ TARİH","TAHAKKUK"))),IF(AND($D228&lt;&gt;"",$E228&lt;&gt;"",$G228&gt;0,$H228&lt;&gt;"",$I228&lt;&gt;""),IF($C228&gt;TODAY(),"İLERİ TARİH",IF(COUNTIF($W$7:$W$3001,$W228)&gt;1,"MÜKERRER?",IF($AD228&gt;0,"KAPALI DÖNEM",IF($I228="Hayır","ÖDENECEK","UYGUN")))),"EKSİK"))))</f>
        <v/>
      </c>
      <c r="Q228" s="2"/>
      <c r="R228" s="2"/>
      <c r="S228" s="1" t="str">
        <f t="shared" si="11"/>
        <v/>
      </c>
      <c r="T228" s="1" t="str">
        <f>IF(OR($C228="",$D228&lt;&gt;"Gelir",$L228=""),"",IFERROR(INDEX(MUSTERILER!$B$7:$B$156,MATCH($S228,MUSTERILER!$T$7:$T$156,0)),""))</f>
        <v/>
      </c>
      <c r="U228" s="1" t="str">
        <f>IF($T228="","",$T228&amp;"|"&amp;COUNTIFS($T$7:$T228,$T228))</f>
        <v/>
      </c>
      <c r="V228" s="1">
        <f t="shared" si="12"/>
        <v>0</v>
      </c>
      <c r="W228" s="1" t="str">
        <f t="shared" si="13"/>
        <v/>
      </c>
      <c r="X228" s="1"/>
      <c r="Y228" s="1"/>
      <c r="Z228" s="1"/>
      <c r="AA228" s="1"/>
      <c r="AB228" s="1"/>
      <c r="AC228" s="1"/>
      <c r="AD228" s="1">
        <f>IF($C228="",0,SUMPRODUCT((AY_SONU!$O$7:$O$42="Evet")*(AY_SONU!$B$7:$B$42=DATE(YEAR($C228),MONTH($C228),1))))</f>
        <v>0</v>
      </c>
      <c r="AE228" s="1" t="str">
        <f>IF($E228="","",$E228&amp;"|"&amp;COUNTIFS($E$7:$E228,$E228))</f>
        <v/>
      </c>
    </row>
    <row r="229" spans="1:31" ht="18" customHeight="1" x14ac:dyDescent="0.3">
      <c r="A229" s="2"/>
      <c r="B229" s="65" t="str">
        <f>IF($C229="","","GG"&amp;TEXT(ROW()-6,"00000"))</f>
        <v/>
      </c>
      <c r="C229" s="66"/>
      <c r="D229" s="60"/>
      <c r="E229" s="61"/>
      <c r="F229" s="61"/>
      <c r="G229" s="67"/>
      <c r="H229" s="60"/>
      <c r="I229" s="60"/>
      <c r="J229" s="61"/>
      <c r="K229" s="61"/>
      <c r="L229" s="60"/>
      <c r="M229" s="74" t="str">
        <f>IF($C229="","",IF($D229="Gider",$E229,IF($L229&lt;&gt;"",$L229,$H229)))</f>
        <v/>
      </c>
      <c r="N229" s="74" t="str">
        <f>IF($C229="","",IF($D229="Gider",$H229,$E229))</f>
        <v/>
      </c>
      <c r="O229" s="73" t="str">
        <f>IF($C229="","",DATE(YEAR($C229),MONTH($C229),1))</f>
        <v/>
      </c>
      <c r="P229" s="65" t="str">
        <f ca="1">IF($C229="","",IF(AND($D229="Gelir",$L229&lt;&gt;"",$T229=""),"TANIMSIZ BORÇLU",IF($T229&lt;&gt;"",IF(OR($E229="",$G229&lt;=0),"EKSİK",IF($I229="Evet","TAHAKKUK NAKİT OLAMAZ",IF($C229&gt;TODAY(),"İLERİ TARİH","TAHAKKUK"))),IF(AND($D229&lt;&gt;"",$E229&lt;&gt;"",$G229&gt;0,$H229&lt;&gt;"",$I229&lt;&gt;""),IF($C229&gt;TODAY(),"İLERİ TARİH",IF(COUNTIF($W$7:$W$3001,$W229)&gt;1,"MÜKERRER?",IF($AD229&gt;0,"KAPALI DÖNEM",IF($I229="Hayır","ÖDENECEK","UYGUN")))),"EKSİK"))))</f>
        <v/>
      </c>
      <c r="Q229" s="2"/>
      <c r="R229" s="2"/>
      <c r="S229" s="1" t="str">
        <f t="shared" si="11"/>
        <v/>
      </c>
      <c r="T229" s="1" t="str">
        <f>IF(OR($C229="",$D229&lt;&gt;"Gelir",$L229=""),"",IFERROR(INDEX(MUSTERILER!$B$7:$B$156,MATCH($S229,MUSTERILER!$T$7:$T$156,0)),""))</f>
        <v/>
      </c>
      <c r="U229" s="1" t="str">
        <f>IF($T229="","",$T229&amp;"|"&amp;COUNTIFS($T$7:$T229,$T229))</f>
        <v/>
      </c>
      <c r="V229" s="1">
        <f t="shared" si="12"/>
        <v>0</v>
      </c>
      <c r="W229" s="1" t="str">
        <f t="shared" si="13"/>
        <v/>
      </c>
      <c r="X229" s="1"/>
      <c r="Y229" s="1"/>
      <c r="Z229" s="1"/>
      <c r="AA229" s="1"/>
      <c r="AB229" s="1"/>
      <c r="AC229" s="1"/>
      <c r="AD229" s="1">
        <f>IF($C229="",0,SUMPRODUCT((AY_SONU!$O$7:$O$42="Evet")*(AY_SONU!$B$7:$B$42=DATE(YEAR($C229),MONTH($C229),1))))</f>
        <v>0</v>
      </c>
      <c r="AE229" s="1" t="str">
        <f>IF($E229="","",$E229&amp;"|"&amp;COUNTIFS($E$7:$E229,$E229))</f>
        <v/>
      </c>
    </row>
    <row r="230" spans="1:31" ht="18" customHeight="1" x14ac:dyDescent="0.3">
      <c r="A230" s="2"/>
      <c r="B230" s="65" t="str">
        <f>IF($C230="","","GG"&amp;TEXT(ROW()-6,"00000"))</f>
        <v/>
      </c>
      <c r="C230" s="66"/>
      <c r="D230" s="60"/>
      <c r="E230" s="61"/>
      <c r="F230" s="61"/>
      <c r="G230" s="67"/>
      <c r="H230" s="60"/>
      <c r="I230" s="60"/>
      <c r="J230" s="61"/>
      <c r="K230" s="61"/>
      <c r="L230" s="60"/>
      <c r="M230" s="74" t="str">
        <f>IF($C230="","",IF($D230="Gider",$E230,IF($L230&lt;&gt;"",$L230,$H230)))</f>
        <v/>
      </c>
      <c r="N230" s="74" t="str">
        <f>IF($C230="","",IF($D230="Gider",$H230,$E230))</f>
        <v/>
      </c>
      <c r="O230" s="73" t="str">
        <f>IF($C230="","",DATE(YEAR($C230),MONTH($C230),1))</f>
        <v/>
      </c>
      <c r="P230" s="65" t="str">
        <f ca="1">IF($C230="","",IF(AND($D230="Gelir",$L230&lt;&gt;"",$T230=""),"TANIMSIZ BORÇLU",IF($T230&lt;&gt;"",IF(OR($E230="",$G230&lt;=0),"EKSİK",IF($I230="Evet","TAHAKKUK NAKİT OLAMAZ",IF($C230&gt;TODAY(),"İLERİ TARİH","TAHAKKUK"))),IF(AND($D230&lt;&gt;"",$E230&lt;&gt;"",$G230&gt;0,$H230&lt;&gt;"",$I230&lt;&gt;""),IF($C230&gt;TODAY(),"İLERİ TARİH",IF(COUNTIF($W$7:$W$3001,$W230)&gt;1,"MÜKERRER?",IF($AD230&gt;0,"KAPALI DÖNEM",IF($I230="Hayır","ÖDENECEK","UYGUN")))),"EKSİK"))))</f>
        <v/>
      </c>
      <c r="Q230" s="2"/>
      <c r="R230" s="2"/>
      <c r="S230" s="1" t="str">
        <f t="shared" si="11"/>
        <v/>
      </c>
      <c r="T230" s="1" t="str">
        <f>IF(OR($C230="",$D230&lt;&gt;"Gelir",$L230=""),"",IFERROR(INDEX(MUSTERILER!$B$7:$B$156,MATCH($S230,MUSTERILER!$T$7:$T$156,0)),""))</f>
        <v/>
      </c>
      <c r="U230" s="1" t="str">
        <f>IF($T230="","",$T230&amp;"|"&amp;COUNTIFS($T$7:$T230,$T230))</f>
        <v/>
      </c>
      <c r="V230" s="1">
        <f t="shared" si="12"/>
        <v>0</v>
      </c>
      <c r="W230" s="1" t="str">
        <f t="shared" si="13"/>
        <v/>
      </c>
      <c r="X230" s="1"/>
      <c r="Y230" s="1"/>
      <c r="Z230" s="1"/>
      <c r="AA230" s="1"/>
      <c r="AB230" s="1"/>
      <c r="AC230" s="1"/>
      <c r="AD230" s="1">
        <f>IF($C230="",0,SUMPRODUCT((AY_SONU!$O$7:$O$42="Evet")*(AY_SONU!$B$7:$B$42=DATE(YEAR($C230),MONTH($C230),1))))</f>
        <v>0</v>
      </c>
      <c r="AE230" s="1" t="str">
        <f>IF($E230="","",$E230&amp;"|"&amp;COUNTIFS($E$7:$E230,$E230))</f>
        <v/>
      </c>
    </row>
    <row r="231" spans="1:31" ht="18" customHeight="1" x14ac:dyDescent="0.3">
      <c r="A231" s="2"/>
      <c r="B231" s="65" t="str">
        <f>IF($C231="","","GG"&amp;TEXT(ROW()-6,"00000"))</f>
        <v/>
      </c>
      <c r="C231" s="66"/>
      <c r="D231" s="60"/>
      <c r="E231" s="61"/>
      <c r="F231" s="61"/>
      <c r="G231" s="67"/>
      <c r="H231" s="60"/>
      <c r="I231" s="60"/>
      <c r="J231" s="61"/>
      <c r="K231" s="61"/>
      <c r="L231" s="60"/>
      <c r="M231" s="74" t="str">
        <f>IF($C231="","",IF($D231="Gider",$E231,IF($L231&lt;&gt;"",$L231,$H231)))</f>
        <v/>
      </c>
      <c r="N231" s="74" t="str">
        <f>IF($C231="","",IF($D231="Gider",$H231,$E231))</f>
        <v/>
      </c>
      <c r="O231" s="73" t="str">
        <f>IF($C231="","",DATE(YEAR($C231),MONTH($C231),1))</f>
        <v/>
      </c>
      <c r="P231" s="65" t="str">
        <f ca="1">IF($C231="","",IF(AND($D231="Gelir",$L231&lt;&gt;"",$T231=""),"TANIMSIZ BORÇLU",IF($T231&lt;&gt;"",IF(OR($E231="",$G231&lt;=0),"EKSİK",IF($I231="Evet","TAHAKKUK NAKİT OLAMAZ",IF($C231&gt;TODAY(),"İLERİ TARİH","TAHAKKUK"))),IF(AND($D231&lt;&gt;"",$E231&lt;&gt;"",$G231&gt;0,$H231&lt;&gt;"",$I231&lt;&gt;""),IF($C231&gt;TODAY(),"İLERİ TARİH",IF(COUNTIF($W$7:$W$3001,$W231)&gt;1,"MÜKERRER?",IF($AD231&gt;0,"KAPALI DÖNEM",IF($I231="Hayır","ÖDENECEK","UYGUN")))),"EKSİK"))))</f>
        <v/>
      </c>
      <c r="Q231" s="2"/>
      <c r="R231" s="2"/>
      <c r="S231" s="1" t="str">
        <f t="shared" si="11"/>
        <v/>
      </c>
      <c r="T231" s="1" t="str">
        <f>IF(OR($C231="",$D231&lt;&gt;"Gelir",$L231=""),"",IFERROR(INDEX(MUSTERILER!$B$7:$B$156,MATCH($S231,MUSTERILER!$T$7:$T$156,0)),""))</f>
        <v/>
      </c>
      <c r="U231" s="1" t="str">
        <f>IF($T231="","",$T231&amp;"|"&amp;COUNTIFS($T$7:$T231,$T231))</f>
        <v/>
      </c>
      <c r="V231" s="1">
        <f t="shared" si="12"/>
        <v>0</v>
      </c>
      <c r="W231" s="1" t="str">
        <f t="shared" si="13"/>
        <v/>
      </c>
      <c r="X231" s="1"/>
      <c r="Y231" s="1"/>
      <c r="Z231" s="1"/>
      <c r="AA231" s="1"/>
      <c r="AB231" s="1"/>
      <c r="AC231" s="1"/>
      <c r="AD231" s="1">
        <f>IF($C231="",0,SUMPRODUCT((AY_SONU!$O$7:$O$42="Evet")*(AY_SONU!$B$7:$B$42=DATE(YEAR($C231),MONTH($C231),1))))</f>
        <v>0</v>
      </c>
      <c r="AE231" s="1" t="str">
        <f>IF($E231="","",$E231&amp;"|"&amp;COUNTIFS($E$7:$E231,$E231))</f>
        <v/>
      </c>
    </row>
    <row r="232" spans="1:31" ht="18" customHeight="1" x14ac:dyDescent="0.3">
      <c r="A232" s="2"/>
      <c r="B232" s="65" t="str">
        <f>IF($C232="","","GG"&amp;TEXT(ROW()-6,"00000"))</f>
        <v/>
      </c>
      <c r="C232" s="66"/>
      <c r="D232" s="60"/>
      <c r="E232" s="61"/>
      <c r="F232" s="61"/>
      <c r="G232" s="67"/>
      <c r="H232" s="60"/>
      <c r="I232" s="60"/>
      <c r="J232" s="61"/>
      <c r="K232" s="61"/>
      <c r="L232" s="60"/>
      <c r="M232" s="74" t="str">
        <f>IF($C232="","",IF($D232="Gider",$E232,IF($L232&lt;&gt;"",$L232,$H232)))</f>
        <v/>
      </c>
      <c r="N232" s="74" t="str">
        <f>IF($C232="","",IF($D232="Gider",$H232,$E232))</f>
        <v/>
      </c>
      <c r="O232" s="73" t="str">
        <f>IF($C232="","",DATE(YEAR($C232),MONTH($C232),1))</f>
        <v/>
      </c>
      <c r="P232" s="65" t="str">
        <f ca="1">IF($C232="","",IF(AND($D232="Gelir",$L232&lt;&gt;"",$T232=""),"TANIMSIZ BORÇLU",IF($T232&lt;&gt;"",IF(OR($E232="",$G232&lt;=0),"EKSİK",IF($I232="Evet","TAHAKKUK NAKİT OLAMAZ",IF($C232&gt;TODAY(),"İLERİ TARİH","TAHAKKUK"))),IF(AND($D232&lt;&gt;"",$E232&lt;&gt;"",$G232&gt;0,$H232&lt;&gt;"",$I232&lt;&gt;""),IF($C232&gt;TODAY(),"İLERİ TARİH",IF(COUNTIF($W$7:$W$3001,$W232)&gt;1,"MÜKERRER?",IF($AD232&gt;0,"KAPALI DÖNEM",IF($I232="Hayır","ÖDENECEK","UYGUN")))),"EKSİK"))))</f>
        <v/>
      </c>
      <c r="Q232" s="2"/>
      <c r="R232" s="2"/>
      <c r="S232" s="1" t="str">
        <f t="shared" si="11"/>
        <v/>
      </c>
      <c r="T232" s="1" t="str">
        <f>IF(OR($C232="",$D232&lt;&gt;"Gelir",$L232=""),"",IFERROR(INDEX(MUSTERILER!$B$7:$B$156,MATCH($S232,MUSTERILER!$T$7:$T$156,0)),""))</f>
        <v/>
      </c>
      <c r="U232" s="1" t="str">
        <f>IF($T232="","",$T232&amp;"|"&amp;COUNTIFS($T$7:$T232,$T232))</f>
        <v/>
      </c>
      <c r="V232" s="1">
        <f t="shared" si="12"/>
        <v>0</v>
      </c>
      <c r="W232" s="1" t="str">
        <f t="shared" si="13"/>
        <v/>
      </c>
      <c r="X232" s="1"/>
      <c r="Y232" s="1"/>
      <c r="Z232" s="1"/>
      <c r="AA232" s="1"/>
      <c r="AB232" s="1"/>
      <c r="AC232" s="1"/>
      <c r="AD232" s="1">
        <f>IF($C232="",0,SUMPRODUCT((AY_SONU!$O$7:$O$42="Evet")*(AY_SONU!$B$7:$B$42=DATE(YEAR($C232),MONTH($C232),1))))</f>
        <v>0</v>
      </c>
      <c r="AE232" s="1" t="str">
        <f>IF($E232="","",$E232&amp;"|"&amp;COUNTIFS($E$7:$E232,$E232))</f>
        <v/>
      </c>
    </row>
    <row r="233" spans="1:31" ht="18" customHeight="1" x14ac:dyDescent="0.3">
      <c r="A233" s="2"/>
      <c r="B233" s="65" t="str">
        <f>IF($C233="","","GG"&amp;TEXT(ROW()-6,"00000"))</f>
        <v/>
      </c>
      <c r="C233" s="66"/>
      <c r="D233" s="60"/>
      <c r="E233" s="61"/>
      <c r="F233" s="61"/>
      <c r="G233" s="67"/>
      <c r="H233" s="60"/>
      <c r="I233" s="60"/>
      <c r="J233" s="61"/>
      <c r="K233" s="61"/>
      <c r="L233" s="60"/>
      <c r="M233" s="74" t="str">
        <f>IF($C233="","",IF($D233="Gider",$E233,IF($L233&lt;&gt;"",$L233,$H233)))</f>
        <v/>
      </c>
      <c r="N233" s="74" t="str">
        <f>IF($C233="","",IF($D233="Gider",$H233,$E233))</f>
        <v/>
      </c>
      <c r="O233" s="73" t="str">
        <f>IF($C233="","",DATE(YEAR($C233),MONTH($C233),1))</f>
        <v/>
      </c>
      <c r="P233" s="65" t="str">
        <f ca="1">IF($C233="","",IF(AND($D233="Gelir",$L233&lt;&gt;"",$T233=""),"TANIMSIZ BORÇLU",IF($T233&lt;&gt;"",IF(OR($E233="",$G233&lt;=0),"EKSİK",IF($I233="Evet","TAHAKKUK NAKİT OLAMAZ",IF($C233&gt;TODAY(),"İLERİ TARİH","TAHAKKUK"))),IF(AND($D233&lt;&gt;"",$E233&lt;&gt;"",$G233&gt;0,$H233&lt;&gt;"",$I233&lt;&gt;""),IF($C233&gt;TODAY(),"İLERİ TARİH",IF(COUNTIF($W$7:$W$3001,$W233)&gt;1,"MÜKERRER?",IF($AD233&gt;0,"KAPALI DÖNEM",IF($I233="Hayır","ÖDENECEK","UYGUN")))),"EKSİK"))))</f>
        <v/>
      </c>
      <c r="Q233" s="2"/>
      <c r="R233" s="2"/>
      <c r="S233" s="1" t="str">
        <f t="shared" si="11"/>
        <v/>
      </c>
      <c r="T233" s="1" t="str">
        <f>IF(OR($C233="",$D233&lt;&gt;"Gelir",$L233=""),"",IFERROR(INDEX(MUSTERILER!$B$7:$B$156,MATCH($S233,MUSTERILER!$T$7:$T$156,0)),""))</f>
        <v/>
      </c>
      <c r="U233" s="1" t="str">
        <f>IF($T233="","",$T233&amp;"|"&amp;COUNTIFS($T$7:$T233,$T233))</f>
        <v/>
      </c>
      <c r="V233" s="1">
        <f t="shared" si="12"/>
        <v>0</v>
      </c>
      <c r="W233" s="1" t="str">
        <f t="shared" si="13"/>
        <v/>
      </c>
      <c r="X233" s="1"/>
      <c r="Y233" s="1"/>
      <c r="Z233" s="1"/>
      <c r="AA233" s="1"/>
      <c r="AB233" s="1"/>
      <c r="AC233" s="1"/>
      <c r="AD233" s="1">
        <f>IF($C233="",0,SUMPRODUCT((AY_SONU!$O$7:$O$42="Evet")*(AY_SONU!$B$7:$B$42=DATE(YEAR($C233),MONTH($C233),1))))</f>
        <v>0</v>
      </c>
      <c r="AE233" s="1" t="str">
        <f>IF($E233="","",$E233&amp;"|"&amp;COUNTIFS($E$7:$E233,$E233))</f>
        <v/>
      </c>
    </row>
    <row r="234" spans="1:31" ht="18" customHeight="1" x14ac:dyDescent="0.3">
      <c r="A234" s="2"/>
      <c r="B234" s="65" t="str">
        <f>IF($C234="","","GG"&amp;TEXT(ROW()-6,"00000"))</f>
        <v/>
      </c>
      <c r="C234" s="66"/>
      <c r="D234" s="60"/>
      <c r="E234" s="61"/>
      <c r="F234" s="61"/>
      <c r="G234" s="67"/>
      <c r="H234" s="60"/>
      <c r="I234" s="60"/>
      <c r="J234" s="61"/>
      <c r="K234" s="61"/>
      <c r="L234" s="60"/>
      <c r="M234" s="74" t="str">
        <f>IF($C234="","",IF($D234="Gider",$E234,IF($L234&lt;&gt;"",$L234,$H234)))</f>
        <v/>
      </c>
      <c r="N234" s="74" t="str">
        <f>IF($C234="","",IF($D234="Gider",$H234,$E234))</f>
        <v/>
      </c>
      <c r="O234" s="73" t="str">
        <f>IF($C234="","",DATE(YEAR($C234),MONTH($C234),1))</f>
        <v/>
      </c>
      <c r="P234" s="65" t="str">
        <f ca="1">IF($C234="","",IF(AND($D234="Gelir",$L234&lt;&gt;"",$T234=""),"TANIMSIZ BORÇLU",IF($T234&lt;&gt;"",IF(OR($E234="",$G234&lt;=0),"EKSİK",IF($I234="Evet","TAHAKKUK NAKİT OLAMAZ",IF($C234&gt;TODAY(),"İLERİ TARİH","TAHAKKUK"))),IF(AND($D234&lt;&gt;"",$E234&lt;&gt;"",$G234&gt;0,$H234&lt;&gt;"",$I234&lt;&gt;""),IF($C234&gt;TODAY(),"İLERİ TARİH",IF(COUNTIF($W$7:$W$3001,$W234)&gt;1,"MÜKERRER?",IF($AD234&gt;0,"KAPALI DÖNEM",IF($I234="Hayır","ÖDENECEK","UYGUN")))),"EKSİK"))))</f>
        <v/>
      </c>
      <c r="Q234" s="2"/>
      <c r="R234" s="2"/>
      <c r="S234" s="1" t="str">
        <f t="shared" si="11"/>
        <v/>
      </c>
      <c r="T234" s="1" t="str">
        <f>IF(OR($C234="",$D234&lt;&gt;"Gelir",$L234=""),"",IFERROR(INDEX(MUSTERILER!$B$7:$B$156,MATCH($S234,MUSTERILER!$T$7:$T$156,0)),""))</f>
        <v/>
      </c>
      <c r="U234" s="1" t="str">
        <f>IF($T234="","",$T234&amp;"|"&amp;COUNTIFS($T$7:$T234,$T234))</f>
        <v/>
      </c>
      <c r="V234" s="1">
        <f t="shared" si="12"/>
        <v>0</v>
      </c>
      <c r="W234" s="1" t="str">
        <f t="shared" si="13"/>
        <v/>
      </c>
      <c r="X234" s="1"/>
      <c r="Y234" s="1"/>
      <c r="Z234" s="1"/>
      <c r="AA234" s="1"/>
      <c r="AB234" s="1"/>
      <c r="AC234" s="1"/>
      <c r="AD234" s="1">
        <f>IF($C234="",0,SUMPRODUCT((AY_SONU!$O$7:$O$42="Evet")*(AY_SONU!$B$7:$B$42=DATE(YEAR($C234),MONTH($C234),1))))</f>
        <v>0</v>
      </c>
      <c r="AE234" s="1" t="str">
        <f>IF($E234="","",$E234&amp;"|"&amp;COUNTIFS($E$7:$E234,$E234))</f>
        <v/>
      </c>
    </row>
    <row r="235" spans="1:31" ht="18" customHeight="1" x14ac:dyDescent="0.3">
      <c r="A235" s="2"/>
      <c r="B235" s="65" t="str">
        <f>IF($C235="","","GG"&amp;TEXT(ROW()-6,"00000"))</f>
        <v/>
      </c>
      <c r="C235" s="66"/>
      <c r="D235" s="60"/>
      <c r="E235" s="61"/>
      <c r="F235" s="61"/>
      <c r="G235" s="67"/>
      <c r="H235" s="60"/>
      <c r="I235" s="60"/>
      <c r="J235" s="61"/>
      <c r="K235" s="61"/>
      <c r="L235" s="60"/>
      <c r="M235" s="74" t="str">
        <f>IF($C235="","",IF($D235="Gider",$E235,IF($L235&lt;&gt;"",$L235,$H235)))</f>
        <v/>
      </c>
      <c r="N235" s="74" t="str">
        <f>IF($C235="","",IF($D235="Gider",$H235,$E235))</f>
        <v/>
      </c>
      <c r="O235" s="73" t="str">
        <f>IF($C235="","",DATE(YEAR($C235),MONTH($C235),1))</f>
        <v/>
      </c>
      <c r="P235" s="65" t="str">
        <f ca="1">IF($C235="","",IF(AND($D235="Gelir",$L235&lt;&gt;"",$T235=""),"TANIMSIZ BORÇLU",IF($T235&lt;&gt;"",IF(OR($E235="",$G235&lt;=0),"EKSİK",IF($I235="Evet","TAHAKKUK NAKİT OLAMAZ",IF($C235&gt;TODAY(),"İLERİ TARİH","TAHAKKUK"))),IF(AND($D235&lt;&gt;"",$E235&lt;&gt;"",$G235&gt;0,$H235&lt;&gt;"",$I235&lt;&gt;""),IF($C235&gt;TODAY(),"İLERİ TARİH",IF(COUNTIF($W$7:$W$3001,$W235)&gt;1,"MÜKERRER?",IF($AD235&gt;0,"KAPALI DÖNEM",IF($I235="Hayır","ÖDENECEK","UYGUN")))),"EKSİK"))))</f>
        <v/>
      </c>
      <c r="Q235" s="2"/>
      <c r="R235" s="2"/>
      <c r="S235" s="1" t="str">
        <f t="shared" si="11"/>
        <v/>
      </c>
      <c r="T235" s="1" t="str">
        <f>IF(OR($C235="",$D235&lt;&gt;"Gelir",$L235=""),"",IFERROR(INDEX(MUSTERILER!$B$7:$B$156,MATCH($S235,MUSTERILER!$T$7:$T$156,0)),""))</f>
        <v/>
      </c>
      <c r="U235" s="1" t="str">
        <f>IF($T235="","",$T235&amp;"|"&amp;COUNTIFS($T$7:$T235,$T235))</f>
        <v/>
      </c>
      <c r="V235" s="1">
        <f t="shared" si="12"/>
        <v>0</v>
      </c>
      <c r="W235" s="1" t="str">
        <f t="shared" si="13"/>
        <v/>
      </c>
      <c r="X235" s="1"/>
      <c r="Y235" s="1"/>
      <c r="Z235" s="1"/>
      <c r="AA235" s="1"/>
      <c r="AB235" s="1"/>
      <c r="AC235" s="1"/>
      <c r="AD235" s="1">
        <f>IF($C235="",0,SUMPRODUCT((AY_SONU!$O$7:$O$42="Evet")*(AY_SONU!$B$7:$B$42=DATE(YEAR($C235),MONTH($C235),1))))</f>
        <v>0</v>
      </c>
      <c r="AE235" s="1" t="str">
        <f>IF($E235="","",$E235&amp;"|"&amp;COUNTIFS($E$7:$E235,$E235))</f>
        <v/>
      </c>
    </row>
    <row r="236" spans="1:31" ht="18" customHeight="1" x14ac:dyDescent="0.3">
      <c r="A236" s="2"/>
      <c r="B236" s="65" t="str">
        <f>IF($C236="","","GG"&amp;TEXT(ROW()-6,"00000"))</f>
        <v/>
      </c>
      <c r="C236" s="66"/>
      <c r="D236" s="60"/>
      <c r="E236" s="61"/>
      <c r="F236" s="61"/>
      <c r="G236" s="67"/>
      <c r="H236" s="60"/>
      <c r="I236" s="60"/>
      <c r="J236" s="61"/>
      <c r="K236" s="61"/>
      <c r="L236" s="60"/>
      <c r="M236" s="74" t="str">
        <f>IF($C236="","",IF($D236="Gider",$E236,IF($L236&lt;&gt;"",$L236,$H236)))</f>
        <v/>
      </c>
      <c r="N236" s="74" t="str">
        <f>IF($C236="","",IF($D236="Gider",$H236,$E236))</f>
        <v/>
      </c>
      <c r="O236" s="73" t="str">
        <f>IF($C236="","",DATE(YEAR($C236),MONTH($C236),1))</f>
        <v/>
      </c>
      <c r="P236" s="65" t="str">
        <f ca="1">IF($C236="","",IF(AND($D236="Gelir",$L236&lt;&gt;"",$T236=""),"TANIMSIZ BORÇLU",IF($T236&lt;&gt;"",IF(OR($E236="",$G236&lt;=0),"EKSİK",IF($I236="Evet","TAHAKKUK NAKİT OLAMAZ",IF($C236&gt;TODAY(),"İLERİ TARİH","TAHAKKUK"))),IF(AND($D236&lt;&gt;"",$E236&lt;&gt;"",$G236&gt;0,$H236&lt;&gt;"",$I236&lt;&gt;""),IF($C236&gt;TODAY(),"İLERİ TARİH",IF(COUNTIF($W$7:$W$3001,$W236)&gt;1,"MÜKERRER?",IF($AD236&gt;0,"KAPALI DÖNEM",IF($I236="Hayır","ÖDENECEK","UYGUN")))),"EKSİK"))))</f>
        <v/>
      </c>
      <c r="Q236" s="2"/>
      <c r="R236" s="2"/>
      <c r="S236" s="1" t="str">
        <f t="shared" si="11"/>
        <v/>
      </c>
      <c r="T236" s="1" t="str">
        <f>IF(OR($C236="",$D236&lt;&gt;"Gelir",$L236=""),"",IFERROR(INDEX(MUSTERILER!$B$7:$B$156,MATCH($S236,MUSTERILER!$T$7:$T$156,0)),""))</f>
        <v/>
      </c>
      <c r="U236" s="1" t="str">
        <f>IF($T236="","",$T236&amp;"|"&amp;COUNTIFS($T$7:$T236,$T236))</f>
        <v/>
      </c>
      <c r="V236" s="1">
        <f t="shared" si="12"/>
        <v>0</v>
      </c>
      <c r="W236" s="1" t="str">
        <f t="shared" si="13"/>
        <v/>
      </c>
      <c r="X236" s="1"/>
      <c r="Y236" s="1"/>
      <c r="Z236" s="1"/>
      <c r="AA236" s="1"/>
      <c r="AB236" s="1"/>
      <c r="AC236" s="1"/>
      <c r="AD236" s="1">
        <f>IF($C236="",0,SUMPRODUCT((AY_SONU!$O$7:$O$42="Evet")*(AY_SONU!$B$7:$B$42=DATE(YEAR($C236),MONTH($C236),1))))</f>
        <v>0</v>
      </c>
      <c r="AE236" s="1" t="str">
        <f>IF($E236="","",$E236&amp;"|"&amp;COUNTIFS($E$7:$E236,$E236))</f>
        <v/>
      </c>
    </row>
    <row r="237" spans="1:31" ht="18" customHeight="1" x14ac:dyDescent="0.3">
      <c r="A237" s="2"/>
      <c r="B237" s="65" t="str">
        <f>IF($C237="","","GG"&amp;TEXT(ROW()-6,"00000"))</f>
        <v/>
      </c>
      <c r="C237" s="66"/>
      <c r="D237" s="60"/>
      <c r="E237" s="61"/>
      <c r="F237" s="61"/>
      <c r="G237" s="67"/>
      <c r="H237" s="60"/>
      <c r="I237" s="60"/>
      <c r="J237" s="61"/>
      <c r="K237" s="61"/>
      <c r="L237" s="60"/>
      <c r="M237" s="74" t="str">
        <f>IF($C237="","",IF($D237="Gider",$E237,IF($L237&lt;&gt;"",$L237,$H237)))</f>
        <v/>
      </c>
      <c r="N237" s="74" t="str">
        <f>IF($C237="","",IF($D237="Gider",$H237,$E237))</f>
        <v/>
      </c>
      <c r="O237" s="73" t="str">
        <f>IF($C237="","",DATE(YEAR($C237),MONTH($C237),1))</f>
        <v/>
      </c>
      <c r="P237" s="65" t="str">
        <f ca="1">IF($C237="","",IF(AND($D237="Gelir",$L237&lt;&gt;"",$T237=""),"TANIMSIZ BORÇLU",IF($T237&lt;&gt;"",IF(OR($E237="",$G237&lt;=0),"EKSİK",IF($I237="Evet","TAHAKKUK NAKİT OLAMAZ",IF($C237&gt;TODAY(),"İLERİ TARİH","TAHAKKUK"))),IF(AND($D237&lt;&gt;"",$E237&lt;&gt;"",$G237&gt;0,$H237&lt;&gt;"",$I237&lt;&gt;""),IF($C237&gt;TODAY(),"İLERİ TARİH",IF(COUNTIF($W$7:$W$3001,$W237)&gt;1,"MÜKERRER?",IF($AD237&gt;0,"KAPALI DÖNEM",IF($I237="Hayır","ÖDENECEK","UYGUN")))),"EKSİK"))))</f>
        <v/>
      </c>
      <c r="Q237" s="2"/>
      <c r="R237" s="2"/>
      <c r="S237" s="1" t="str">
        <f t="shared" si="11"/>
        <v/>
      </c>
      <c r="T237" s="1" t="str">
        <f>IF(OR($C237="",$D237&lt;&gt;"Gelir",$L237=""),"",IFERROR(INDEX(MUSTERILER!$B$7:$B$156,MATCH($S237,MUSTERILER!$T$7:$T$156,0)),""))</f>
        <v/>
      </c>
      <c r="U237" s="1" t="str">
        <f>IF($T237="","",$T237&amp;"|"&amp;COUNTIFS($T$7:$T237,$T237))</f>
        <v/>
      </c>
      <c r="V237" s="1">
        <f t="shared" si="12"/>
        <v>0</v>
      </c>
      <c r="W237" s="1" t="str">
        <f t="shared" si="13"/>
        <v/>
      </c>
      <c r="X237" s="1"/>
      <c r="Y237" s="1"/>
      <c r="Z237" s="1"/>
      <c r="AA237" s="1"/>
      <c r="AB237" s="1"/>
      <c r="AC237" s="1"/>
      <c r="AD237" s="1">
        <f>IF($C237="",0,SUMPRODUCT((AY_SONU!$O$7:$O$42="Evet")*(AY_SONU!$B$7:$B$42=DATE(YEAR($C237),MONTH($C237),1))))</f>
        <v>0</v>
      </c>
      <c r="AE237" s="1" t="str">
        <f>IF($E237="","",$E237&amp;"|"&amp;COUNTIFS($E$7:$E237,$E237))</f>
        <v/>
      </c>
    </row>
    <row r="238" spans="1:31" ht="18" customHeight="1" x14ac:dyDescent="0.3">
      <c r="A238" s="2"/>
      <c r="B238" s="65" t="str">
        <f>IF($C238="","","GG"&amp;TEXT(ROW()-6,"00000"))</f>
        <v/>
      </c>
      <c r="C238" s="66"/>
      <c r="D238" s="60"/>
      <c r="E238" s="61"/>
      <c r="F238" s="61"/>
      <c r="G238" s="67"/>
      <c r="H238" s="60"/>
      <c r="I238" s="60"/>
      <c r="J238" s="61"/>
      <c r="K238" s="61"/>
      <c r="L238" s="60"/>
      <c r="M238" s="74" t="str">
        <f>IF($C238="","",IF($D238="Gider",$E238,IF($L238&lt;&gt;"",$L238,$H238)))</f>
        <v/>
      </c>
      <c r="N238" s="74" t="str">
        <f>IF($C238="","",IF($D238="Gider",$H238,$E238))</f>
        <v/>
      </c>
      <c r="O238" s="73" t="str">
        <f>IF($C238="","",DATE(YEAR($C238),MONTH($C238),1))</f>
        <v/>
      </c>
      <c r="P238" s="65" t="str">
        <f ca="1">IF($C238="","",IF(AND($D238="Gelir",$L238&lt;&gt;"",$T238=""),"TANIMSIZ BORÇLU",IF($T238&lt;&gt;"",IF(OR($E238="",$G238&lt;=0),"EKSİK",IF($I238="Evet","TAHAKKUK NAKİT OLAMAZ",IF($C238&gt;TODAY(),"İLERİ TARİH","TAHAKKUK"))),IF(AND($D238&lt;&gt;"",$E238&lt;&gt;"",$G238&gt;0,$H238&lt;&gt;"",$I238&lt;&gt;""),IF($C238&gt;TODAY(),"İLERİ TARİH",IF(COUNTIF($W$7:$W$3001,$W238)&gt;1,"MÜKERRER?",IF($AD238&gt;0,"KAPALI DÖNEM",IF($I238="Hayır","ÖDENECEK","UYGUN")))),"EKSİK"))))</f>
        <v/>
      </c>
      <c r="Q238" s="2"/>
      <c r="R238" s="2"/>
      <c r="S238" s="1" t="str">
        <f t="shared" si="11"/>
        <v/>
      </c>
      <c r="T238" s="1" t="str">
        <f>IF(OR($C238="",$D238&lt;&gt;"Gelir",$L238=""),"",IFERROR(INDEX(MUSTERILER!$B$7:$B$156,MATCH($S238,MUSTERILER!$T$7:$T$156,0)),""))</f>
        <v/>
      </c>
      <c r="U238" s="1" t="str">
        <f>IF($T238="","",$T238&amp;"|"&amp;COUNTIFS($T$7:$T238,$T238))</f>
        <v/>
      </c>
      <c r="V238" s="1">
        <f t="shared" si="12"/>
        <v>0</v>
      </c>
      <c r="W238" s="1" t="str">
        <f t="shared" si="13"/>
        <v/>
      </c>
      <c r="X238" s="1"/>
      <c r="Y238" s="1"/>
      <c r="Z238" s="1"/>
      <c r="AA238" s="1"/>
      <c r="AB238" s="1"/>
      <c r="AC238" s="1"/>
      <c r="AD238" s="1">
        <f>IF($C238="",0,SUMPRODUCT((AY_SONU!$O$7:$O$42="Evet")*(AY_SONU!$B$7:$B$42=DATE(YEAR($C238),MONTH($C238),1))))</f>
        <v>0</v>
      </c>
      <c r="AE238" s="1" t="str">
        <f>IF($E238="","",$E238&amp;"|"&amp;COUNTIFS($E$7:$E238,$E238))</f>
        <v/>
      </c>
    </row>
    <row r="239" spans="1:31" ht="18" customHeight="1" x14ac:dyDescent="0.3">
      <c r="A239" s="2"/>
      <c r="B239" s="65" t="str">
        <f>IF($C239="","","GG"&amp;TEXT(ROW()-6,"00000"))</f>
        <v/>
      </c>
      <c r="C239" s="66"/>
      <c r="D239" s="60"/>
      <c r="E239" s="61"/>
      <c r="F239" s="61"/>
      <c r="G239" s="67"/>
      <c r="H239" s="60"/>
      <c r="I239" s="60"/>
      <c r="J239" s="61"/>
      <c r="K239" s="61"/>
      <c r="L239" s="60"/>
      <c r="M239" s="74" t="str">
        <f>IF($C239="","",IF($D239="Gider",$E239,IF($L239&lt;&gt;"",$L239,$H239)))</f>
        <v/>
      </c>
      <c r="N239" s="74" t="str">
        <f>IF($C239="","",IF($D239="Gider",$H239,$E239))</f>
        <v/>
      </c>
      <c r="O239" s="73" t="str">
        <f>IF($C239="","",DATE(YEAR($C239),MONTH($C239),1))</f>
        <v/>
      </c>
      <c r="P239" s="65" t="str">
        <f ca="1">IF($C239="","",IF(AND($D239="Gelir",$L239&lt;&gt;"",$T239=""),"TANIMSIZ BORÇLU",IF($T239&lt;&gt;"",IF(OR($E239="",$G239&lt;=0),"EKSİK",IF($I239="Evet","TAHAKKUK NAKİT OLAMAZ",IF($C239&gt;TODAY(),"İLERİ TARİH","TAHAKKUK"))),IF(AND($D239&lt;&gt;"",$E239&lt;&gt;"",$G239&gt;0,$H239&lt;&gt;"",$I239&lt;&gt;""),IF($C239&gt;TODAY(),"İLERİ TARİH",IF(COUNTIF($W$7:$W$3001,$W239)&gt;1,"MÜKERRER?",IF($AD239&gt;0,"KAPALI DÖNEM",IF($I239="Hayır","ÖDENECEK","UYGUN")))),"EKSİK"))))</f>
        <v/>
      </c>
      <c r="Q239" s="2"/>
      <c r="R239" s="2"/>
      <c r="S239" s="1" t="str">
        <f t="shared" si="11"/>
        <v/>
      </c>
      <c r="T239" s="1" t="str">
        <f>IF(OR($C239="",$D239&lt;&gt;"Gelir",$L239=""),"",IFERROR(INDEX(MUSTERILER!$B$7:$B$156,MATCH($S239,MUSTERILER!$T$7:$T$156,0)),""))</f>
        <v/>
      </c>
      <c r="U239" s="1" t="str">
        <f>IF($T239="","",$T239&amp;"|"&amp;COUNTIFS($T$7:$T239,$T239))</f>
        <v/>
      </c>
      <c r="V239" s="1">
        <f t="shared" si="12"/>
        <v>0</v>
      </c>
      <c r="W239" s="1" t="str">
        <f t="shared" si="13"/>
        <v/>
      </c>
      <c r="X239" s="1"/>
      <c r="Y239" s="1"/>
      <c r="Z239" s="1"/>
      <c r="AA239" s="1"/>
      <c r="AB239" s="1"/>
      <c r="AC239" s="1"/>
      <c r="AD239" s="1">
        <f>IF($C239="",0,SUMPRODUCT((AY_SONU!$O$7:$O$42="Evet")*(AY_SONU!$B$7:$B$42=DATE(YEAR($C239),MONTH($C239),1))))</f>
        <v>0</v>
      </c>
      <c r="AE239" s="1" t="str">
        <f>IF($E239="","",$E239&amp;"|"&amp;COUNTIFS($E$7:$E239,$E239))</f>
        <v/>
      </c>
    </row>
    <row r="240" spans="1:31" ht="18" customHeight="1" x14ac:dyDescent="0.3">
      <c r="A240" s="2"/>
      <c r="B240" s="65" t="str">
        <f>IF($C240="","","GG"&amp;TEXT(ROW()-6,"00000"))</f>
        <v/>
      </c>
      <c r="C240" s="66"/>
      <c r="D240" s="60"/>
      <c r="E240" s="61"/>
      <c r="F240" s="61"/>
      <c r="G240" s="67"/>
      <c r="H240" s="60"/>
      <c r="I240" s="60"/>
      <c r="J240" s="61"/>
      <c r="K240" s="61"/>
      <c r="L240" s="60"/>
      <c r="M240" s="74" t="str">
        <f>IF($C240="","",IF($D240="Gider",$E240,IF($L240&lt;&gt;"",$L240,$H240)))</f>
        <v/>
      </c>
      <c r="N240" s="74" t="str">
        <f>IF($C240="","",IF($D240="Gider",$H240,$E240))</f>
        <v/>
      </c>
      <c r="O240" s="73" t="str">
        <f>IF($C240="","",DATE(YEAR($C240),MONTH($C240),1))</f>
        <v/>
      </c>
      <c r="P240" s="65" t="str">
        <f ca="1">IF($C240="","",IF(AND($D240="Gelir",$L240&lt;&gt;"",$T240=""),"TANIMSIZ BORÇLU",IF($T240&lt;&gt;"",IF(OR($E240="",$G240&lt;=0),"EKSİK",IF($I240="Evet","TAHAKKUK NAKİT OLAMAZ",IF($C240&gt;TODAY(),"İLERİ TARİH","TAHAKKUK"))),IF(AND($D240&lt;&gt;"",$E240&lt;&gt;"",$G240&gt;0,$H240&lt;&gt;"",$I240&lt;&gt;""),IF($C240&gt;TODAY(),"İLERİ TARİH",IF(COUNTIF($W$7:$W$3001,$W240)&gt;1,"MÜKERRER?",IF($AD240&gt;0,"KAPALI DÖNEM",IF($I240="Hayır","ÖDENECEK","UYGUN")))),"EKSİK"))))</f>
        <v/>
      </c>
      <c r="Q240" s="2"/>
      <c r="R240" s="2"/>
      <c r="S240" s="1" t="str">
        <f t="shared" si="11"/>
        <v/>
      </c>
      <c r="T240" s="1" t="str">
        <f>IF(OR($C240="",$D240&lt;&gt;"Gelir",$L240=""),"",IFERROR(INDEX(MUSTERILER!$B$7:$B$156,MATCH($S240,MUSTERILER!$T$7:$T$156,0)),""))</f>
        <v/>
      </c>
      <c r="U240" s="1" t="str">
        <f>IF($T240="","",$T240&amp;"|"&amp;COUNTIFS($T$7:$T240,$T240))</f>
        <v/>
      </c>
      <c r="V240" s="1">
        <f t="shared" si="12"/>
        <v>0</v>
      </c>
      <c r="W240" s="1" t="str">
        <f t="shared" si="13"/>
        <v/>
      </c>
      <c r="X240" s="1"/>
      <c r="Y240" s="1"/>
      <c r="Z240" s="1"/>
      <c r="AA240" s="1"/>
      <c r="AB240" s="1"/>
      <c r="AC240" s="1"/>
      <c r="AD240" s="1">
        <f>IF($C240="",0,SUMPRODUCT((AY_SONU!$O$7:$O$42="Evet")*(AY_SONU!$B$7:$B$42=DATE(YEAR($C240),MONTH($C240),1))))</f>
        <v>0</v>
      </c>
      <c r="AE240" s="1" t="str">
        <f>IF($E240="","",$E240&amp;"|"&amp;COUNTIFS($E$7:$E240,$E240))</f>
        <v/>
      </c>
    </row>
    <row r="241" spans="1:31" ht="18" customHeight="1" x14ac:dyDescent="0.3">
      <c r="A241" s="2"/>
      <c r="B241" s="65" t="str">
        <f>IF($C241="","","GG"&amp;TEXT(ROW()-6,"00000"))</f>
        <v/>
      </c>
      <c r="C241" s="66"/>
      <c r="D241" s="60"/>
      <c r="E241" s="61"/>
      <c r="F241" s="61"/>
      <c r="G241" s="67"/>
      <c r="H241" s="60"/>
      <c r="I241" s="60"/>
      <c r="J241" s="61"/>
      <c r="K241" s="61"/>
      <c r="L241" s="60"/>
      <c r="M241" s="74" t="str">
        <f>IF($C241="","",IF($D241="Gider",$E241,IF($L241&lt;&gt;"",$L241,$H241)))</f>
        <v/>
      </c>
      <c r="N241" s="74" t="str">
        <f>IF($C241="","",IF($D241="Gider",$H241,$E241))</f>
        <v/>
      </c>
      <c r="O241" s="73" t="str">
        <f>IF($C241="","",DATE(YEAR($C241),MONTH($C241),1))</f>
        <v/>
      </c>
      <c r="P241" s="65" t="str">
        <f ca="1">IF($C241="","",IF(AND($D241="Gelir",$L241&lt;&gt;"",$T241=""),"TANIMSIZ BORÇLU",IF($T241&lt;&gt;"",IF(OR($E241="",$G241&lt;=0),"EKSİK",IF($I241="Evet","TAHAKKUK NAKİT OLAMAZ",IF($C241&gt;TODAY(),"İLERİ TARİH","TAHAKKUK"))),IF(AND($D241&lt;&gt;"",$E241&lt;&gt;"",$G241&gt;0,$H241&lt;&gt;"",$I241&lt;&gt;""),IF($C241&gt;TODAY(),"İLERİ TARİH",IF(COUNTIF($W$7:$W$3001,$W241)&gt;1,"MÜKERRER?",IF($AD241&gt;0,"KAPALI DÖNEM",IF($I241="Hayır","ÖDENECEK","UYGUN")))),"EKSİK"))))</f>
        <v/>
      </c>
      <c r="Q241" s="2"/>
      <c r="R241" s="2"/>
      <c r="S241" s="1" t="str">
        <f t="shared" si="11"/>
        <v/>
      </c>
      <c r="T241" s="1" t="str">
        <f>IF(OR($C241="",$D241&lt;&gt;"Gelir",$L241=""),"",IFERROR(INDEX(MUSTERILER!$B$7:$B$156,MATCH($S241,MUSTERILER!$T$7:$T$156,0)),""))</f>
        <v/>
      </c>
      <c r="U241" s="1" t="str">
        <f>IF($T241="","",$T241&amp;"|"&amp;COUNTIFS($T$7:$T241,$T241))</f>
        <v/>
      </c>
      <c r="V241" s="1">
        <f t="shared" si="12"/>
        <v>0</v>
      </c>
      <c r="W241" s="1" t="str">
        <f t="shared" si="13"/>
        <v/>
      </c>
      <c r="X241" s="1"/>
      <c r="Y241" s="1"/>
      <c r="Z241" s="1"/>
      <c r="AA241" s="1"/>
      <c r="AB241" s="1"/>
      <c r="AC241" s="1"/>
      <c r="AD241" s="1">
        <f>IF($C241="",0,SUMPRODUCT((AY_SONU!$O$7:$O$42="Evet")*(AY_SONU!$B$7:$B$42=DATE(YEAR($C241),MONTH($C241),1))))</f>
        <v>0</v>
      </c>
      <c r="AE241" s="1" t="str">
        <f>IF($E241="","",$E241&amp;"|"&amp;COUNTIFS($E$7:$E241,$E241))</f>
        <v/>
      </c>
    </row>
    <row r="242" spans="1:31" ht="18" customHeight="1" x14ac:dyDescent="0.3">
      <c r="A242" s="2"/>
      <c r="B242" s="65" t="str">
        <f>IF($C242="","","GG"&amp;TEXT(ROW()-6,"00000"))</f>
        <v/>
      </c>
      <c r="C242" s="66"/>
      <c r="D242" s="60"/>
      <c r="E242" s="61"/>
      <c r="F242" s="61"/>
      <c r="G242" s="67"/>
      <c r="H242" s="60"/>
      <c r="I242" s="60"/>
      <c r="J242" s="61"/>
      <c r="K242" s="61"/>
      <c r="L242" s="60"/>
      <c r="M242" s="74" t="str">
        <f>IF($C242="","",IF($D242="Gider",$E242,IF($L242&lt;&gt;"",$L242,$H242)))</f>
        <v/>
      </c>
      <c r="N242" s="74" t="str">
        <f>IF($C242="","",IF($D242="Gider",$H242,$E242))</f>
        <v/>
      </c>
      <c r="O242" s="73" t="str">
        <f>IF($C242="","",DATE(YEAR($C242),MONTH($C242),1))</f>
        <v/>
      </c>
      <c r="P242" s="65" t="str">
        <f ca="1">IF($C242="","",IF(AND($D242="Gelir",$L242&lt;&gt;"",$T242=""),"TANIMSIZ BORÇLU",IF($T242&lt;&gt;"",IF(OR($E242="",$G242&lt;=0),"EKSİK",IF($I242="Evet","TAHAKKUK NAKİT OLAMAZ",IF($C242&gt;TODAY(),"İLERİ TARİH","TAHAKKUK"))),IF(AND($D242&lt;&gt;"",$E242&lt;&gt;"",$G242&gt;0,$H242&lt;&gt;"",$I242&lt;&gt;""),IF($C242&gt;TODAY(),"İLERİ TARİH",IF(COUNTIF($W$7:$W$3001,$W242)&gt;1,"MÜKERRER?",IF($AD242&gt;0,"KAPALI DÖNEM",IF($I242="Hayır","ÖDENECEK","UYGUN")))),"EKSİK"))))</f>
        <v/>
      </c>
      <c r="Q242" s="2"/>
      <c r="R242" s="2"/>
      <c r="S242" s="1" t="str">
        <f t="shared" si="11"/>
        <v/>
      </c>
      <c r="T242" s="1" t="str">
        <f>IF(OR($C242="",$D242&lt;&gt;"Gelir",$L242=""),"",IFERROR(INDEX(MUSTERILER!$B$7:$B$156,MATCH($S242,MUSTERILER!$T$7:$T$156,0)),""))</f>
        <v/>
      </c>
      <c r="U242" s="1" t="str">
        <f>IF($T242="","",$T242&amp;"|"&amp;COUNTIFS($T$7:$T242,$T242))</f>
        <v/>
      </c>
      <c r="V242" s="1">
        <f t="shared" si="12"/>
        <v>0</v>
      </c>
      <c r="W242" s="1" t="str">
        <f t="shared" si="13"/>
        <v/>
      </c>
      <c r="X242" s="1"/>
      <c r="Y242" s="1"/>
      <c r="Z242" s="1"/>
      <c r="AA242" s="1"/>
      <c r="AB242" s="1"/>
      <c r="AC242" s="1"/>
      <c r="AD242" s="1">
        <f>IF($C242="",0,SUMPRODUCT((AY_SONU!$O$7:$O$42="Evet")*(AY_SONU!$B$7:$B$42=DATE(YEAR($C242),MONTH($C242),1))))</f>
        <v>0</v>
      </c>
      <c r="AE242" s="1" t="str">
        <f>IF($E242="","",$E242&amp;"|"&amp;COUNTIFS($E$7:$E242,$E242))</f>
        <v/>
      </c>
    </row>
    <row r="243" spans="1:31" ht="18" customHeight="1" x14ac:dyDescent="0.3">
      <c r="A243" s="2"/>
      <c r="B243" s="65" t="str">
        <f>IF($C243="","","GG"&amp;TEXT(ROW()-6,"00000"))</f>
        <v/>
      </c>
      <c r="C243" s="66"/>
      <c r="D243" s="60"/>
      <c r="E243" s="61"/>
      <c r="F243" s="61"/>
      <c r="G243" s="67"/>
      <c r="H243" s="60"/>
      <c r="I243" s="60"/>
      <c r="J243" s="61"/>
      <c r="K243" s="61"/>
      <c r="L243" s="60"/>
      <c r="M243" s="74" t="str">
        <f>IF($C243="","",IF($D243="Gider",$E243,IF($L243&lt;&gt;"",$L243,$H243)))</f>
        <v/>
      </c>
      <c r="N243" s="74" t="str">
        <f>IF($C243="","",IF($D243="Gider",$H243,$E243))</f>
        <v/>
      </c>
      <c r="O243" s="73" t="str">
        <f>IF($C243="","",DATE(YEAR($C243),MONTH($C243),1))</f>
        <v/>
      </c>
      <c r="P243" s="65" t="str">
        <f ca="1">IF($C243="","",IF(AND($D243="Gelir",$L243&lt;&gt;"",$T243=""),"TANIMSIZ BORÇLU",IF($T243&lt;&gt;"",IF(OR($E243="",$G243&lt;=0),"EKSİK",IF($I243="Evet","TAHAKKUK NAKİT OLAMAZ",IF($C243&gt;TODAY(),"İLERİ TARİH","TAHAKKUK"))),IF(AND($D243&lt;&gt;"",$E243&lt;&gt;"",$G243&gt;0,$H243&lt;&gt;"",$I243&lt;&gt;""),IF($C243&gt;TODAY(),"İLERİ TARİH",IF(COUNTIF($W$7:$W$3001,$W243)&gt;1,"MÜKERRER?",IF($AD243&gt;0,"KAPALI DÖNEM",IF($I243="Hayır","ÖDENECEK","UYGUN")))),"EKSİK"))))</f>
        <v/>
      </c>
      <c r="Q243" s="2"/>
      <c r="R243" s="2"/>
      <c r="S243" s="1" t="str">
        <f t="shared" si="11"/>
        <v/>
      </c>
      <c r="T243" s="1" t="str">
        <f>IF(OR($C243="",$D243&lt;&gt;"Gelir",$L243=""),"",IFERROR(INDEX(MUSTERILER!$B$7:$B$156,MATCH($S243,MUSTERILER!$T$7:$T$156,0)),""))</f>
        <v/>
      </c>
      <c r="U243" s="1" t="str">
        <f>IF($T243="","",$T243&amp;"|"&amp;COUNTIFS($T$7:$T243,$T243))</f>
        <v/>
      </c>
      <c r="V243" s="1">
        <f t="shared" si="12"/>
        <v>0</v>
      </c>
      <c r="W243" s="1" t="str">
        <f t="shared" si="13"/>
        <v/>
      </c>
      <c r="X243" s="1"/>
      <c r="Y243" s="1"/>
      <c r="Z243" s="1"/>
      <c r="AA243" s="1"/>
      <c r="AB243" s="1"/>
      <c r="AC243" s="1"/>
      <c r="AD243" s="1">
        <f>IF($C243="",0,SUMPRODUCT((AY_SONU!$O$7:$O$42="Evet")*(AY_SONU!$B$7:$B$42=DATE(YEAR($C243),MONTH($C243),1))))</f>
        <v>0</v>
      </c>
      <c r="AE243" s="1" t="str">
        <f>IF($E243="","",$E243&amp;"|"&amp;COUNTIFS($E$7:$E243,$E243))</f>
        <v/>
      </c>
    </row>
    <row r="244" spans="1:31" ht="18" customHeight="1" x14ac:dyDescent="0.3">
      <c r="A244" s="2"/>
      <c r="B244" s="65" t="str">
        <f>IF($C244="","","GG"&amp;TEXT(ROW()-6,"00000"))</f>
        <v/>
      </c>
      <c r="C244" s="66"/>
      <c r="D244" s="60"/>
      <c r="E244" s="61"/>
      <c r="F244" s="61"/>
      <c r="G244" s="67"/>
      <c r="H244" s="60"/>
      <c r="I244" s="60"/>
      <c r="J244" s="61"/>
      <c r="K244" s="61"/>
      <c r="L244" s="60"/>
      <c r="M244" s="74" t="str">
        <f>IF($C244="","",IF($D244="Gider",$E244,IF($L244&lt;&gt;"",$L244,$H244)))</f>
        <v/>
      </c>
      <c r="N244" s="74" t="str">
        <f>IF($C244="","",IF($D244="Gider",$H244,$E244))</f>
        <v/>
      </c>
      <c r="O244" s="73" t="str">
        <f>IF($C244="","",DATE(YEAR($C244),MONTH($C244),1))</f>
        <v/>
      </c>
      <c r="P244" s="65" t="str">
        <f ca="1">IF($C244="","",IF(AND($D244="Gelir",$L244&lt;&gt;"",$T244=""),"TANIMSIZ BORÇLU",IF($T244&lt;&gt;"",IF(OR($E244="",$G244&lt;=0),"EKSİK",IF($I244="Evet","TAHAKKUK NAKİT OLAMAZ",IF($C244&gt;TODAY(),"İLERİ TARİH","TAHAKKUK"))),IF(AND($D244&lt;&gt;"",$E244&lt;&gt;"",$G244&gt;0,$H244&lt;&gt;"",$I244&lt;&gt;""),IF($C244&gt;TODAY(),"İLERİ TARİH",IF(COUNTIF($W$7:$W$3001,$W244)&gt;1,"MÜKERRER?",IF($AD244&gt;0,"KAPALI DÖNEM",IF($I244="Hayır","ÖDENECEK","UYGUN")))),"EKSİK"))))</f>
        <v/>
      </c>
      <c r="Q244" s="2"/>
      <c r="R244" s="2"/>
      <c r="S244" s="1" t="str">
        <f t="shared" si="11"/>
        <v/>
      </c>
      <c r="T244" s="1" t="str">
        <f>IF(OR($C244="",$D244&lt;&gt;"Gelir",$L244=""),"",IFERROR(INDEX(MUSTERILER!$B$7:$B$156,MATCH($S244,MUSTERILER!$T$7:$T$156,0)),""))</f>
        <v/>
      </c>
      <c r="U244" s="1" t="str">
        <f>IF($T244="","",$T244&amp;"|"&amp;COUNTIFS($T$7:$T244,$T244))</f>
        <v/>
      </c>
      <c r="V244" s="1">
        <f t="shared" si="12"/>
        <v>0</v>
      </c>
      <c r="W244" s="1" t="str">
        <f t="shared" si="13"/>
        <v/>
      </c>
      <c r="X244" s="1"/>
      <c r="Y244" s="1"/>
      <c r="Z244" s="1"/>
      <c r="AA244" s="1"/>
      <c r="AB244" s="1"/>
      <c r="AC244" s="1"/>
      <c r="AD244" s="1">
        <f>IF($C244="",0,SUMPRODUCT((AY_SONU!$O$7:$O$42="Evet")*(AY_SONU!$B$7:$B$42=DATE(YEAR($C244),MONTH($C244),1))))</f>
        <v>0</v>
      </c>
      <c r="AE244" s="1" t="str">
        <f>IF($E244="","",$E244&amp;"|"&amp;COUNTIFS($E$7:$E244,$E244))</f>
        <v/>
      </c>
    </row>
    <row r="245" spans="1:31" ht="18" customHeight="1" x14ac:dyDescent="0.3">
      <c r="A245" s="2"/>
      <c r="B245" s="65" t="str">
        <f>IF($C245="","","GG"&amp;TEXT(ROW()-6,"00000"))</f>
        <v/>
      </c>
      <c r="C245" s="66"/>
      <c r="D245" s="60"/>
      <c r="E245" s="61"/>
      <c r="F245" s="61"/>
      <c r="G245" s="67"/>
      <c r="H245" s="60"/>
      <c r="I245" s="60"/>
      <c r="J245" s="61"/>
      <c r="K245" s="61"/>
      <c r="L245" s="60"/>
      <c r="M245" s="74" t="str">
        <f>IF($C245="","",IF($D245="Gider",$E245,IF($L245&lt;&gt;"",$L245,$H245)))</f>
        <v/>
      </c>
      <c r="N245" s="74" t="str">
        <f>IF($C245="","",IF($D245="Gider",$H245,$E245))</f>
        <v/>
      </c>
      <c r="O245" s="73" t="str">
        <f>IF($C245="","",DATE(YEAR($C245),MONTH($C245),1))</f>
        <v/>
      </c>
      <c r="P245" s="65" t="str">
        <f ca="1">IF($C245="","",IF(AND($D245="Gelir",$L245&lt;&gt;"",$T245=""),"TANIMSIZ BORÇLU",IF($T245&lt;&gt;"",IF(OR($E245="",$G245&lt;=0),"EKSİK",IF($I245="Evet","TAHAKKUK NAKİT OLAMAZ",IF($C245&gt;TODAY(),"İLERİ TARİH","TAHAKKUK"))),IF(AND($D245&lt;&gt;"",$E245&lt;&gt;"",$G245&gt;0,$H245&lt;&gt;"",$I245&lt;&gt;""),IF($C245&gt;TODAY(),"İLERİ TARİH",IF(COUNTIF($W$7:$W$3001,$W245)&gt;1,"MÜKERRER?",IF($AD245&gt;0,"KAPALI DÖNEM",IF($I245="Hayır","ÖDENECEK","UYGUN")))),"EKSİK"))))</f>
        <v/>
      </c>
      <c r="Q245" s="2"/>
      <c r="R245" s="2"/>
      <c r="S245" s="1" t="str">
        <f t="shared" si="11"/>
        <v/>
      </c>
      <c r="T245" s="1" t="str">
        <f>IF(OR($C245="",$D245&lt;&gt;"Gelir",$L245=""),"",IFERROR(INDEX(MUSTERILER!$B$7:$B$156,MATCH($S245,MUSTERILER!$T$7:$T$156,0)),""))</f>
        <v/>
      </c>
      <c r="U245" s="1" t="str">
        <f>IF($T245="","",$T245&amp;"|"&amp;COUNTIFS($T$7:$T245,$T245))</f>
        <v/>
      </c>
      <c r="V245" s="1">
        <f t="shared" si="12"/>
        <v>0</v>
      </c>
      <c r="W245" s="1" t="str">
        <f t="shared" si="13"/>
        <v/>
      </c>
      <c r="X245" s="1"/>
      <c r="Y245" s="1"/>
      <c r="Z245" s="1"/>
      <c r="AA245" s="1"/>
      <c r="AB245" s="1"/>
      <c r="AC245" s="1"/>
      <c r="AD245" s="1">
        <f>IF($C245="",0,SUMPRODUCT((AY_SONU!$O$7:$O$42="Evet")*(AY_SONU!$B$7:$B$42=DATE(YEAR($C245),MONTH($C245),1))))</f>
        <v>0</v>
      </c>
      <c r="AE245" s="1" t="str">
        <f>IF($E245="","",$E245&amp;"|"&amp;COUNTIFS($E$7:$E245,$E245))</f>
        <v/>
      </c>
    </row>
    <row r="246" spans="1:31" ht="18" customHeight="1" x14ac:dyDescent="0.3">
      <c r="A246" s="2"/>
      <c r="B246" s="65" t="str">
        <f>IF($C246="","","GG"&amp;TEXT(ROW()-6,"00000"))</f>
        <v/>
      </c>
      <c r="C246" s="66"/>
      <c r="D246" s="60"/>
      <c r="E246" s="61"/>
      <c r="F246" s="61"/>
      <c r="G246" s="67"/>
      <c r="H246" s="60"/>
      <c r="I246" s="60"/>
      <c r="J246" s="61"/>
      <c r="K246" s="61"/>
      <c r="L246" s="60"/>
      <c r="M246" s="74" t="str">
        <f>IF($C246="","",IF($D246="Gider",$E246,IF($L246&lt;&gt;"",$L246,$H246)))</f>
        <v/>
      </c>
      <c r="N246" s="74" t="str">
        <f>IF($C246="","",IF($D246="Gider",$H246,$E246))</f>
        <v/>
      </c>
      <c r="O246" s="73" t="str">
        <f>IF($C246="","",DATE(YEAR($C246),MONTH($C246),1))</f>
        <v/>
      </c>
      <c r="P246" s="65" t="str">
        <f ca="1">IF($C246="","",IF(AND($D246="Gelir",$L246&lt;&gt;"",$T246=""),"TANIMSIZ BORÇLU",IF($T246&lt;&gt;"",IF(OR($E246="",$G246&lt;=0),"EKSİK",IF($I246="Evet","TAHAKKUK NAKİT OLAMAZ",IF($C246&gt;TODAY(),"İLERİ TARİH","TAHAKKUK"))),IF(AND($D246&lt;&gt;"",$E246&lt;&gt;"",$G246&gt;0,$H246&lt;&gt;"",$I246&lt;&gt;""),IF($C246&gt;TODAY(),"İLERİ TARİH",IF(COUNTIF($W$7:$W$3001,$W246)&gt;1,"MÜKERRER?",IF($AD246&gt;0,"KAPALI DÖNEM",IF($I246="Hayır","ÖDENECEK","UYGUN")))),"EKSİK"))))</f>
        <v/>
      </c>
      <c r="Q246" s="2"/>
      <c r="R246" s="2"/>
      <c r="S246" s="1" t="str">
        <f t="shared" si="11"/>
        <v/>
      </c>
      <c r="T246" s="1" t="str">
        <f>IF(OR($C246="",$D246&lt;&gt;"Gelir",$L246=""),"",IFERROR(INDEX(MUSTERILER!$B$7:$B$156,MATCH($S246,MUSTERILER!$T$7:$T$156,0)),""))</f>
        <v/>
      </c>
      <c r="U246" s="1" t="str">
        <f>IF($T246="","",$T246&amp;"|"&amp;COUNTIFS($T$7:$T246,$T246))</f>
        <v/>
      </c>
      <c r="V246" s="1">
        <f t="shared" si="12"/>
        <v>0</v>
      </c>
      <c r="W246" s="1" t="str">
        <f t="shared" si="13"/>
        <v/>
      </c>
      <c r="X246" s="1"/>
      <c r="Y246" s="1"/>
      <c r="Z246" s="1"/>
      <c r="AA246" s="1"/>
      <c r="AB246" s="1"/>
      <c r="AC246" s="1"/>
      <c r="AD246" s="1">
        <f>IF($C246="",0,SUMPRODUCT((AY_SONU!$O$7:$O$42="Evet")*(AY_SONU!$B$7:$B$42=DATE(YEAR($C246),MONTH($C246),1))))</f>
        <v>0</v>
      </c>
      <c r="AE246" s="1" t="str">
        <f>IF($E246="","",$E246&amp;"|"&amp;COUNTIFS($E$7:$E246,$E246))</f>
        <v/>
      </c>
    </row>
    <row r="247" spans="1:31" ht="18" customHeight="1" x14ac:dyDescent="0.3">
      <c r="A247" s="2"/>
      <c r="B247" s="65" t="str">
        <f>IF($C247="","","GG"&amp;TEXT(ROW()-6,"00000"))</f>
        <v/>
      </c>
      <c r="C247" s="66"/>
      <c r="D247" s="60"/>
      <c r="E247" s="61"/>
      <c r="F247" s="61"/>
      <c r="G247" s="67"/>
      <c r="H247" s="60"/>
      <c r="I247" s="60"/>
      <c r="J247" s="61"/>
      <c r="K247" s="61"/>
      <c r="L247" s="60"/>
      <c r="M247" s="74" t="str">
        <f>IF($C247="","",IF($D247="Gider",$E247,IF($L247&lt;&gt;"",$L247,$H247)))</f>
        <v/>
      </c>
      <c r="N247" s="74" t="str">
        <f>IF($C247="","",IF($D247="Gider",$H247,$E247))</f>
        <v/>
      </c>
      <c r="O247" s="73" t="str">
        <f>IF($C247="","",DATE(YEAR($C247),MONTH($C247),1))</f>
        <v/>
      </c>
      <c r="P247" s="65" t="str">
        <f ca="1">IF($C247="","",IF(AND($D247="Gelir",$L247&lt;&gt;"",$T247=""),"TANIMSIZ BORÇLU",IF($T247&lt;&gt;"",IF(OR($E247="",$G247&lt;=0),"EKSİK",IF($I247="Evet","TAHAKKUK NAKİT OLAMAZ",IF($C247&gt;TODAY(),"İLERİ TARİH","TAHAKKUK"))),IF(AND($D247&lt;&gt;"",$E247&lt;&gt;"",$G247&gt;0,$H247&lt;&gt;"",$I247&lt;&gt;""),IF($C247&gt;TODAY(),"İLERİ TARİH",IF(COUNTIF($W$7:$W$3001,$W247)&gt;1,"MÜKERRER?",IF($AD247&gt;0,"KAPALI DÖNEM",IF($I247="Hayır","ÖDENECEK","UYGUN")))),"EKSİK"))))</f>
        <v/>
      </c>
      <c r="Q247" s="2"/>
      <c r="R247" s="2"/>
      <c r="S247" s="1" t="str">
        <f t="shared" si="11"/>
        <v/>
      </c>
      <c r="T247" s="1" t="str">
        <f>IF(OR($C247="",$D247&lt;&gt;"Gelir",$L247=""),"",IFERROR(INDEX(MUSTERILER!$B$7:$B$156,MATCH($S247,MUSTERILER!$T$7:$T$156,0)),""))</f>
        <v/>
      </c>
      <c r="U247" s="1" t="str">
        <f>IF($T247="","",$T247&amp;"|"&amp;COUNTIFS($T$7:$T247,$T247))</f>
        <v/>
      </c>
      <c r="V247" s="1">
        <f t="shared" si="12"/>
        <v>0</v>
      </c>
      <c r="W247" s="1" t="str">
        <f t="shared" si="13"/>
        <v/>
      </c>
      <c r="X247" s="1"/>
      <c r="Y247" s="1"/>
      <c r="Z247" s="1"/>
      <c r="AA247" s="1"/>
      <c r="AB247" s="1"/>
      <c r="AC247" s="1"/>
      <c r="AD247" s="1">
        <f>IF($C247="",0,SUMPRODUCT((AY_SONU!$O$7:$O$42="Evet")*(AY_SONU!$B$7:$B$42=DATE(YEAR($C247),MONTH($C247),1))))</f>
        <v>0</v>
      </c>
      <c r="AE247" s="1" t="str">
        <f>IF($E247="","",$E247&amp;"|"&amp;COUNTIFS($E$7:$E247,$E247))</f>
        <v/>
      </c>
    </row>
    <row r="248" spans="1:31" ht="18" customHeight="1" x14ac:dyDescent="0.3">
      <c r="A248" s="2"/>
      <c r="B248" s="65" t="str">
        <f>IF($C248="","","GG"&amp;TEXT(ROW()-6,"00000"))</f>
        <v/>
      </c>
      <c r="C248" s="66"/>
      <c r="D248" s="60"/>
      <c r="E248" s="61"/>
      <c r="F248" s="61"/>
      <c r="G248" s="67"/>
      <c r="H248" s="60"/>
      <c r="I248" s="60"/>
      <c r="J248" s="61"/>
      <c r="K248" s="61"/>
      <c r="L248" s="60"/>
      <c r="M248" s="74" t="str">
        <f>IF($C248="","",IF($D248="Gider",$E248,IF($L248&lt;&gt;"",$L248,$H248)))</f>
        <v/>
      </c>
      <c r="N248" s="74" t="str">
        <f>IF($C248="","",IF($D248="Gider",$H248,$E248))</f>
        <v/>
      </c>
      <c r="O248" s="73" t="str">
        <f>IF($C248="","",DATE(YEAR($C248),MONTH($C248),1))</f>
        <v/>
      </c>
      <c r="P248" s="65" t="str">
        <f ca="1">IF($C248="","",IF(AND($D248="Gelir",$L248&lt;&gt;"",$T248=""),"TANIMSIZ BORÇLU",IF($T248&lt;&gt;"",IF(OR($E248="",$G248&lt;=0),"EKSİK",IF($I248="Evet","TAHAKKUK NAKİT OLAMAZ",IF($C248&gt;TODAY(),"İLERİ TARİH","TAHAKKUK"))),IF(AND($D248&lt;&gt;"",$E248&lt;&gt;"",$G248&gt;0,$H248&lt;&gt;"",$I248&lt;&gt;""),IF($C248&gt;TODAY(),"İLERİ TARİH",IF(COUNTIF($W$7:$W$3001,$W248)&gt;1,"MÜKERRER?",IF($AD248&gt;0,"KAPALI DÖNEM",IF($I248="Hayır","ÖDENECEK","UYGUN")))),"EKSİK"))))</f>
        <v/>
      </c>
      <c r="Q248" s="2"/>
      <c r="R248" s="2"/>
      <c r="S248" s="1" t="str">
        <f t="shared" si="11"/>
        <v/>
      </c>
      <c r="T248" s="1" t="str">
        <f>IF(OR($C248="",$D248&lt;&gt;"Gelir",$L248=""),"",IFERROR(INDEX(MUSTERILER!$B$7:$B$156,MATCH($S248,MUSTERILER!$T$7:$T$156,0)),""))</f>
        <v/>
      </c>
      <c r="U248" s="1" t="str">
        <f>IF($T248="","",$T248&amp;"|"&amp;COUNTIFS($T$7:$T248,$T248))</f>
        <v/>
      </c>
      <c r="V248" s="1">
        <f t="shared" si="12"/>
        <v>0</v>
      </c>
      <c r="W248" s="1" t="str">
        <f t="shared" si="13"/>
        <v/>
      </c>
      <c r="X248" s="1"/>
      <c r="Y248" s="1"/>
      <c r="Z248" s="1"/>
      <c r="AA248" s="1"/>
      <c r="AB248" s="1"/>
      <c r="AC248" s="1"/>
      <c r="AD248" s="1">
        <f>IF($C248="",0,SUMPRODUCT((AY_SONU!$O$7:$O$42="Evet")*(AY_SONU!$B$7:$B$42=DATE(YEAR($C248),MONTH($C248),1))))</f>
        <v>0</v>
      </c>
      <c r="AE248" s="1" t="str">
        <f>IF($E248="","",$E248&amp;"|"&amp;COUNTIFS($E$7:$E248,$E248))</f>
        <v/>
      </c>
    </row>
    <row r="249" spans="1:31" ht="18" customHeight="1" x14ac:dyDescent="0.3">
      <c r="A249" s="2"/>
      <c r="B249" s="65" t="str">
        <f>IF($C249="","","GG"&amp;TEXT(ROW()-6,"00000"))</f>
        <v/>
      </c>
      <c r="C249" s="66"/>
      <c r="D249" s="60"/>
      <c r="E249" s="61"/>
      <c r="F249" s="61"/>
      <c r="G249" s="67"/>
      <c r="H249" s="60"/>
      <c r="I249" s="60"/>
      <c r="J249" s="61"/>
      <c r="K249" s="61"/>
      <c r="L249" s="60"/>
      <c r="M249" s="74" t="str">
        <f>IF($C249="","",IF($D249="Gider",$E249,IF($L249&lt;&gt;"",$L249,$H249)))</f>
        <v/>
      </c>
      <c r="N249" s="74" t="str">
        <f>IF($C249="","",IF($D249="Gider",$H249,$E249))</f>
        <v/>
      </c>
      <c r="O249" s="73" t="str">
        <f>IF($C249="","",DATE(YEAR($C249),MONTH($C249),1))</f>
        <v/>
      </c>
      <c r="P249" s="65" t="str">
        <f ca="1">IF($C249="","",IF(AND($D249="Gelir",$L249&lt;&gt;"",$T249=""),"TANIMSIZ BORÇLU",IF($T249&lt;&gt;"",IF(OR($E249="",$G249&lt;=0),"EKSİK",IF($I249="Evet","TAHAKKUK NAKİT OLAMAZ",IF($C249&gt;TODAY(),"İLERİ TARİH","TAHAKKUK"))),IF(AND($D249&lt;&gt;"",$E249&lt;&gt;"",$G249&gt;0,$H249&lt;&gt;"",$I249&lt;&gt;""),IF($C249&gt;TODAY(),"İLERİ TARİH",IF(COUNTIF($W$7:$W$3001,$W249)&gt;1,"MÜKERRER?",IF($AD249&gt;0,"KAPALI DÖNEM",IF($I249="Hayır","ÖDENECEK","UYGUN")))),"EKSİK"))))</f>
        <v/>
      </c>
      <c r="Q249" s="2"/>
      <c r="R249" s="2"/>
      <c r="S249" s="1" t="str">
        <f t="shared" si="11"/>
        <v/>
      </c>
      <c r="T249" s="1" t="str">
        <f>IF(OR($C249="",$D249&lt;&gt;"Gelir",$L249=""),"",IFERROR(INDEX(MUSTERILER!$B$7:$B$156,MATCH($S249,MUSTERILER!$T$7:$T$156,0)),""))</f>
        <v/>
      </c>
      <c r="U249" s="1" t="str">
        <f>IF($T249="","",$T249&amp;"|"&amp;COUNTIFS($T$7:$T249,$T249))</f>
        <v/>
      </c>
      <c r="V249" s="1">
        <f t="shared" si="12"/>
        <v>0</v>
      </c>
      <c r="W249" s="1" t="str">
        <f t="shared" si="13"/>
        <v/>
      </c>
      <c r="X249" s="1"/>
      <c r="Y249" s="1"/>
      <c r="Z249" s="1"/>
      <c r="AA249" s="1"/>
      <c r="AB249" s="1"/>
      <c r="AC249" s="1"/>
      <c r="AD249" s="1">
        <f>IF($C249="",0,SUMPRODUCT((AY_SONU!$O$7:$O$42="Evet")*(AY_SONU!$B$7:$B$42=DATE(YEAR($C249),MONTH($C249),1))))</f>
        <v>0</v>
      </c>
      <c r="AE249" s="1" t="str">
        <f>IF($E249="","",$E249&amp;"|"&amp;COUNTIFS($E$7:$E249,$E249))</f>
        <v/>
      </c>
    </row>
    <row r="250" spans="1:31" ht="18" customHeight="1" x14ac:dyDescent="0.3">
      <c r="A250" s="2"/>
      <c r="B250" s="65" t="str">
        <f>IF($C250="","","GG"&amp;TEXT(ROW()-6,"00000"))</f>
        <v/>
      </c>
      <c r="C250" s="66"/>
      <c r="D250" s="60"/>
      <c r="E250" s="61"/>
      <c r="F250" s="61"/>
      <c r="G250" s="67"/>
      <c r="H250" s="60"/>
      <c r="I250" s="60"/>
      <c r="J250" s="61"/>
      <c r="K250" s="61"/>
      <c r="L250" s="60"/>
      <c r="M250" s="74" t="str">
        <f>IF($C250="","",IF($D250="Gider",$E250,IF($L250&lt;&gt;"",$L250,$H250)))</f>
        <v/>
      </c>
      <c r="N250" s="74" t="str">
        <f>IF($C250="","",IF($D250="Gider",$H250,$E250))</f>
        <v/>
      </c>
      <c r="O250" s="73" t="str">
        <f>IF($C250="","",DATE(YEAR($C250),MONTH($C250),1))</f>
        <v/>
      </c>
      <c r="P250" s="65" t="str">
        <f ca="1">IF($C250="","",IF(AND($D250="Gelir",$L250&lt;&gt;"",$T250=""),"TANIMSIZ BORÇLU",IF($T250&lt;&gt;"",IF(OR($E250="",$G250&lt;=0),"EKSİK",IF($I250="Evet","TAHAKKUK NAKİT OLAMAZ",IF($C250&gt;TODAY(),"İLERİ TARİH","TAHAKKUK"))),IF(AND($D250&lt;&gt;"",$E250&lt;&gt;"",$G250&gt;0,$H250&lt;&gt;"",$I250&lt;&gt;""),IF($C250&gt;TODAY(),"İLERİ TARİH",IF(COUNTIF($W$7:$W$3001,$W250)&gt;1,"MÜKERRER?",IF($AD250&gt;0,"KAPALI DÖNEM",IF($I250="Hayır","ÖDENECEK","UYGUN")))),"EKSİK"))))</f>
        <v/>
      </c>
      <c r="Q250" s="2"/>
      <c r="R250" s="2"/>
      <c r="S250" s="1" t="str">
        <f t="shared" si="11"/>
        <v/>
      </c>
      <c r="T250" s="1" t="str">
        <f>IF(OR($C250="",$D250&lt;&gt;"Gelir",$L250=""),"",IFERROR(INDEX(MUSTERILER!$B$7:$B$156,MATCH($S250,MUSTERILER!$T$7:$T$156,0)),""))</f>
        <v/>
      </c>
      <c r="U250" s="1" t="str">
        <f>IF($T250="","",$T250&amp;"|"&amp;COUNTIFS($T$7:$T250,$T250))</f>
        <v/>
      </c>
      <c r="V250" s="1">
        <f t="shared" si="12"/>
        <v>0</v>
      </c>
      <c r="W250" s="1" t="str">
        <f t="shared" si="13"/>
        <v/>
      </c>
      <c r="X250" s="1"/>
      <c r="Y250" s="1"/>
      <c r="Z250" s="1"/>
      <c r="AA250" s="1"/>
      <c r="AB250" s="1"/>
      <c r="AC250" s="1"/>
      <c r="AD250" s="1">
        <f>IF($C250="",0,SUMPRODUCT((AY_SONU!$O$7:$O$42="Evet")*(AY_SONU!$B$7:$B$42=DATE(YEAR($C250),MONTH($C250),1))))</f>
        <v>0</v>
      </c>
      <c r="AE250" s="1" t="str">
        <f>IF($E250="","",$E250&amp;"|"&amp;COUNTIFS($E$7:$E250,$E250))</f>
        <v/>
      </c>
    </row>
    <row r="251" spans="1:31" ht="18" customHeight="1" x14ac:dyDescent="0.3">
      <c r="A251" s="2"/>
      <c r="B251" s="65" t="str">
        <f>IF($C251="","","GG"&amp;TEXT(ROW()-6,"00000"))</f>
        <v/>
      </c>
      <c r="C251" s="66"/>
      <c r="D251" s="60"/>
      <c r="E251" s="61"/>
      <c r="F251" s="61"/>
      <c r="G251" s="67"/>
      <c r="H251" s="60"/>
      <c r="I251" s="60"/>
      <c r="J251" s="61"/>
      <c r="K251" s="61"/>
      <c r="L251" s="60"/>
      <c r="M251" s="74" t="str">
        <f>IF($C251="","",IF($D251="Gider",$E251,IF($L251&lt;&gt;"",$L251,$H251)))</f>
        <v/>
      </c>
      <c r="N251" s="74" t="str">
        <f>IF($C251="","",IF($D251="Gider",$H251,$E251))</f>
        <v/>
      </c>
      <c r="O251" s="73" t="str">
        <f>IF($C251="","",DATE(YEAR($C251),MONTH($C251),1))</f>
        <v/>
      </c>
      <c r="P251" s="65" t="str">
        <f ca="1">IF($C251="","",IF(AND($D251="Gelir",$L251&lt;&gt;"",$T251=""),"TANIMSIZ BORÇLU",IF($T251&lt;&gt;"",IF(OR($E251="",$G251&lt;=0),"EKSİK",IF($I251="Evet","TAHAKKUK NAKİT OLAMAZ",IF($C251&gt;TODAY(),"İLERİ TARİH","TAHAKKUK"))),IF(AND($D251&lt;&gt;"",$E251&lt;&gt;"",$G251&gt;0,$H251&lt;&gt;"",$I251&lt;&gt;""),IF($C251&gt;TODAY(),"İLERİ TARİH",IF(COUNTIF($W$7:$W$3001,$W251)&gt;1,"MÜKERRER?",IF($AD251&gt;0,"KAPALI DÖNEM",IF($I251="Hayır","ÖDENECEK","UYGUN")))),"EKSİK"))))</f>
        <v/>
      </c>
      <c r="Q251" s="2"/>
      <c r="R251" s="2"/>
      <c r="S251" s="1" t="str">
        <f t="shared" si="11"/>
        <v/>
      </c>
      <c r="T251" s="1" t="str">
        <f>IF(OR($C251="",$D251&lt;&gt;"Gelir",$L251=""),"",IFERROR(INDEX(MUSTERILER!$B$7:$B$156,MATCH($S251,MUSTERILER!$T$7:$T$156,0)),""))</f>
        <v/>
      </c>
      <c r="U251" s="1" t="str">
        <f>IF($T251="","",$T251&amp;"|"&amp;COUNTIFS($T$7:$T251,$T251))</f>
        <v/>
      </c>
      <c r="V251" s="1">
        <f t="shared" si="12"/>
        <v>0</v>
      </c>
      <c r="W251" s="1" t="str">
        <f t="shared" si="13"/>
        <v/>
      </c>
      <c r="X251" s="1"/>
      <c r="Y251" s="1"/>
      <c r="Z251" s="1"/>
      <c r="AA251" s="1"/>
      <c r="AB251" s="1"/>
      <c r="AC251" s="1"/>
      <c r="AD251" s="1">
        <f>IF($C251="",0,SUMPRODUCT((AY_SONU!$O$7:$O$42="Evet")*(AY_SONU!$B$7:$B$42=DATE(YEAR($C251),MONTH($C251),1))))</f>
        <v>0</v>
      </c>
      <c r="AE251" s="1" t="str">
        <f>IF($E251="","",$E251&amp;"|"&amp;COUNTIFS($E$7:$E251,$E251))</f>
        <v/>
      </c>
    </row>
    <row r="252" spans="1:31" ht="18" customHeight="1" x14ac:dyDescent="0.3">
      <c r="A252" s="2"/>
      <c r="B252" s="65" t="str">
        <f>IF($C252="","","GG"&amp;TEXT(ROW()-6,"00000"))</f>
        <v/>
      </c>
      <c r="C252" s="66"/>
      <c r="D252" s="60"/>
      <c r="E252" s="61"/>
      <c r="F252" s="61"/>
      <c r="G252" s="67"/>
      <c r="H252" s="60"/>
      <c r="I252" s="60"/>
      <c r="J252" s="61"/>
      <c r="K252" s="61"/>
      <c r="L252" s="60"/>
      <c r="M252" s="74" t="str">
        <f>IF($C252="","",IF($D252="Gider",$E252,IF($L252&lt;&gt;"",$L252,$H252)))</f>
        <v/>
      </c>
      <c r="N252" s="74" t="str">
        <f>IF($C252="","",IF($D252="Gider",$H252,$E252))</f>
        <v/>
      </c>
      <c r="O252" s="73" t="str">
        <f>IF($C252="","",DATE(YEAR($C252),MONTH($C252),1))</f>
        <v/>
      </c>
      <c r="P252" s="65" t="str">
        <f ca="1">IF($C252="","",IF(AND($D252="Gelir",$L252&lt;&gt;"",$T252=""),"TANIMSIZ BORÇLU",IF($T252&lt;&gt;"",IF(OR($E252="",$G252&lt;=0),"EKSİK",IF($I252="Evet","TAHAKKUK NAKİT OLAMAZ",IF($C252&gt;TODAY(),"İLERİ TARİH","TAHAKKUK"))),IF(AND($D252&lt;&gt;"",$E252&lt;&gt;"",$G252&gt;0,$H252&lt;&gt;"",$I252&lt;&gt;""),IF($C252&gt;TODAY(),"İLERİ TARİH",IF(COUNTIF($W$7:$W$3001,$W252)&gt;1,"MÜKERRER?",IF($AD252&gt;0,"KAPALI DÖNEM",IF($I252="Hayır","ÖDENECEK","UYGUN")))),"EKSİK"))))</f>
        <v/>
      </c>
      <c r="Q252" s="2"/>
      <c r="R252" s="2"/>
      <c r="S252" s="1" t="str">
        <f t="shared" si="11"/>
        <v/>
      </c>
      <c r="T252" s="1" t="str">
        <f>IF(OR($C252="",$D252&lt;&gt;"Gelir",$L252=""),"",IFERROR(INDEX(MUSTERILER!$B$7:$B$156,MATCH($S252,MUSTERILER!$T$7:$T$156,0)),""))</f>
        <v/>
      </c>
      <c r="U252" s="1" t="str">
        <f>IF($T252="","",$T252&amp;"|"&amp;COUNTIFS($T$7:$T252,$T252))</f>
        <v/>
      </c>
      <c r="V252" s="1">
        <f t="shared" si="12"/>
        <v>0</v>
      </c>
      <c r="W252" s="1" t="str">
        <f t="shared" si="13"/>
        <v/>
      </c>
      <c r="X252" s="1"/>
      <c r="Y252" s="1"/>
      <c r="Z252" s="1"/>
      <c r="AA252" s="1"/>
      <c r="AB252" s="1"/>
      <c r="AC252" s="1"/>
      <c r="AD252" s="1">
        <f>IF($C252="",0,SUMPRODUCT((AY_SONU!$O$7:$O$42="Evet")*(AY_SONU!$B$7:$B$42=DATE(YEAR($C252),MONTH($C252),1))))</f>
        <v>0</v>
      </c>
      <c r="AE252" s="1" t="str">
        <f>IF($E252="","",$E252&amp;"|"&amp;COUNTIFS($E$7:$E252,$E252))</f>
        <v/>
      </c>
    </row>
    <row r="253" spans="1:31" ht="18" customHeight="1" x14ac:dyDescent="0.3">
      <c r="A253" s="2"/>
      <c r="B253" s="65" t="str">
        <f>IF($C253="","","GG"&amp;TEXT(ROW()-6,"00000"))</f>
        <v/>
      </c>
      <c r="C253" s="66"/>
      <c r="D253" s="60"/>
      <c r="E253" s="61"/>
      <c r="F253" s="61"/>
      <c r="G253" s="67"/>
      <c r="H253" s="60"/>
      <c r="I253" s="60"/>
      <c r="J253" s="61"/>
      <c r="K253" s="61"/>
      <c r="L253" s="60"/>
      <c r="M253" s="74" t="str">
        <f>IF($C253="","",IF($D253="Gider",$E253,IF($L253&lt;&gt;"",$L253,$H253)))</f>
        <v/>
      </c>
      <c r="N253" s="74" t="str">
        <f>IF($C253="","",IF($D253="Gider",$H253,$E253))</f>
        <v/>
      </c>
      <c r="O253" s="73" t="str">
        <f>IF($C253="","",DATE(YEAR($C253),MONTH($C253),1))</f>
        <v/>
      </c>
      <c r="P253" s="65" t="str">
        <f ca="1">IF($C253="","",IF(AND($D253="Gelir",$L253&lt;&gt;"",$T253=""),"TANIMSIZ BORÇLU",IF($T253&lt;&gt;"",IF(OR($E253="",$G253&lt;=0),"EKSİK",IF($I253="Evet","TAHAKKUK NAKİT OLAMAZ",IF($C253&gt;TODAY(),"İLERİ TARİH","TAHAKKUK"))),IF(AND($D253&lt;&gt;"",$E253&lt;&gt;"",$G253&gt;0,$H253&lt;&gt;"",$I253&lt;&gt;""),IF($C253&gt;TODAY(),"İLERİ TARİH",IF(COUNTIF($W$7:$W$3001,$W253)&gt;1,"MÜKERRER?",IF($AD253&gt;0,"KAPALI DÖNEM",IF($I253="Hayır","ÖDENECEK","UYGUN")))),"EKSİK"))))</f>
        <v/>
      </c>
      <c r="Q253" s="2"/>
      <c r="R253" s="2"/>
      <c r="S253" s="1" t="str">
        <f t="shared" si="11"/>
        <v/>
      </c>
      <c r="T253" s="1" t="str">
        <f>IF(OR($C253="",$D253&lt;&gt;"Gelir",$L253=""),"",IFERROR(INDEX(MUSTERILER!$B$7:$B$156,MATCH($S253,MUSTERILER!$T$7:$T$156,0)),""))</f>
        <v/>
      </c>
      <c r="U253" s="1" t="str">
        <f>IF($T253="","",$T253&amp;"|"&amp;COUNTIFS($T$7:$T253,$T253))</f>
        <v/>
      </c>
      <c r="V253" s="1">
        <f t="shared" si="12"/>
        <v>0</v>
      </c>
      <c r="W253" s="1" t="str">
        <f t="shared" si="13"/>
        <v/>
      </c>
      <c r="X253" s="1"/>
      <c r="Y253" s="1"/>
      <c r="Z253" s="1"/>
      <c r="AA253" s="1"/>
      <c r="AB253" s="1"/>
      <c r="AC253" s="1"/>
      <c r="AD253" s="1">
        <f>IF($C253="",0,SUMPRODUCT((AY_SONU!$O$7:$O$42="Evet")*(AY_SONU!$B$7:$B$42=DATE(YEAR($C253),MONTH($C253),1))))</f>
        <v>0</v>
      </c>
      <c r="AE253" s="1" t="str">
        <f>IF($E253="","",$E253&amp;"|"&amp;COUNTIFS($E$7:$E253,$E253))</f>
        <v/>
      </c>
    </row>
    <row r="254" spans="1:31" ht="18" customHeight="1" x14ac:dyDescent="0.3">
      <c r="A254" s="2"/>
      <c r="B254" s="65" t="str">
        <f>IF($C254="","","GG"&amp;TEXT(ROW()-6,"00000"))</f>
        <v/>
      </c>
      <c r="C254" s="66"/>
      <c r="D254" s="60"/>
      <c r="E254" s="61"/>
      <c r="F254" s="61"/>
      <c r="G254" s="67"/>
      <c r="H254" s="60"/>
      <c r="I254" s="60"/>
      <c r="J254" s="61"/>
      <c r="K254" s="61"/>
      <c r="L254" s="60"/>
      <c r="M254" s="74" t="str">
        <f>IF($C254="","",IF($D254="Gider",$E254,IF($L254&lt;&gt;"",$L254,$H254)))</f>
        <v/>
      </c>
      <c r="N254" s="74" t="str">
        <f>IF($C254="","",IF($D254="Gider",$H254,$E254))</f>
        <v/>
      </c>
      <c r="O254" s="73" t="str">
        <f>IF($C254="","",DATE(YEAR($C254),MONTH($C254),1))</f>
        <v/>
      </c>
      <c r="P254" s="65" t="str">
        <f ca="1">IF($C254="","",IF(AND($D254="Gelir",$L254&lt;&gt;"",$T254=""),"TANIMSIZ BORÇLU",IF($T254&lt;&gt;"",IF(OR($E254="",$G254&lt;=0),"EKSİK",IF($I254="Evet","TAHAKKUK NAKİT OLAMAZ",IF($C254&gt;TODAY(),"İLERİ TARİH","TAHAKKUK"))),IF(AND($D254&lt;&gt;"",$E254&lt;&gt;"",$G254&gt;0,$H254&lt;&gt;"",$I254&lt;&gt;""),IF($C254&gt;TODAY(),"İLERİ TARİH",IF(COUNTIF($W$7:$W$3001,$W254)&gt;1,"MÜKERRER?",IF($AD254&gt;0,"KAPALI DÖNEM",IF($I254="Hayır","ÖDENECEK","UYGUN")))),"EKSİK"))))</f>
        <v/>
      </c>
      <c r="Q254" s="2"/>
      <c r="R254" s="2"/>
      <c r="S254" s="1" t="str">
        <f t="shared" si="11"/>
        <v/>
      </c>
      <c r="T254" s="1" t="str">
        <f>IF(OR($C254="",$D254&lt;&gt;"Gelir",$L254=""),"",IFERROR(INDEX(MUSTERILER!$B$7:$B$156,MATCH($S254,MUSTERILER!$T$7:$T$156,0)),""))</f>
        <v/>
      </c>
      <c r="U254" s="1" t="str">
        <f>IF($T254="","",$T254&amp;"|"&amp;COUNTIFS($T$7:$T254,$T254))</f>
        <v/>
      </c>
      <c r="V254" s="1">
        <f t="shared" si="12"/>
        <v>0</v>
      </c>
      <c r="W254" s="1" t="str">
        <f t="shared" si="13"/>
        <v/>
      </c>
      <c r="X254" s="1"/>
      <c r="Y254" s="1"/>
      <c r="Z254" s="1"/>
      <c r="AA254" s="1"/>
      <c r="AB254" s="1"/>
      <c r="AC254" s="1"/>
      <c r="AD254" s="1">
        <f>IF($C254="",0,SUMPRODUCT((AY_SONU!$O$7:$O$42="Evet")*(AY_SONU!$B$7:$B$42=DATE(YEAR($C254),MONTH($C254),1))))</f>
        <v>0</v>
      </c>
      <c r="AE254" s="1" t="str">
        <f>IF($E254="","",$E254&amp;"|"&amp;COUNTIFS($E$7:$E254,$E254))</f>
        <v/>
      </c>
    </row>
    <row r="255" spans="1:31" ht="18" customHeight="1" x14ac:dyDescent="0.3">
      <c r="A255" s="2"/>
      <c r="B255" s="65" t="str">
        <f>IF($C255="","","GG"&amp;TEXT(ROW()-6,"00000"))</f>
        <v/>
      </c>
      <c r="C255" s="66"/>
      <c r="D255" s="60"/>
      <c r="E255" s="61"/>
      <c r="F255" s="61"/>
      <c r="G255" s="67"/>
      <c r="H255" s="60"/>
      <c r="I255" s="60"/>
      <c r="J255" s="61"/>
      <c r="K255" s="61"/>
      <c r="L255" s="60"/>
      <c r="M255" s="74" t="str">
        <f>IF($C255="","",IF($D255="Gider",$E255,IF($L255&lt;&gt;"",$L255,$H255)))</f>
        <v/>
      </c>
      <c r="N255" s="74" t="str">
        <f>IF($C255="","",IF($D255="Gider",$H255,$E255))</f>
        <v/>
      </c>
      <c r="O255" s="73" t="str">
        <f>IF($C255="","",DATE(YEAR($C255),MONTH($C255),1))</f>
        <v/>
      </c>
      <c r="P255" s="65" t="str">
        <f ca="1">IF($C255="","",IF(AND($D255="Gelir",$L255&lt;&gt;"",$T255=""),"TANIMSIZ BORÇLU",IF($T255&lt;&gt;"",IF(OR($E255="",$G255&lt;=0),"EKSİK",IF($I255="Evet","TAHAKKUK NAKİT OLAMAZ",IF($C255&gt;TODAY(),"İLERİ TARİH","TAHAKKUK"))),IF(AND($D255&lt;&gt;"",$E255&lt;&gt;"",$G255&gt;0,$H255&lt;&gt;"",$I255&lt;&gt;""),IF($C255&gt;TODAY(),"İLERİ TARİH",IF(COUNTIF($W$7:$W$3001,$W255)&gt;1,"MÜKERRER?",IF($AD255&gt;0,"KAPALI DÖNEM",IF($I255="Hayır","ÖDENECEK","UYGUN")))),"EKSİK"))))</f>
        <v/>
      </c>
      <c r="Q255" s="2"/>
      <c r="R255" s="2"/>
      <c r="S255" s="1" t="str">
        <f t="shared" si="11"/>
        <v/>
      </c>
      <c r="T255" s="1" t="str">
        <f>IF(OR($C255="",$D255&lt;&gt;"Gelir",$L255=""),"",IFERROR(INDEX(MUSTERILER!$B$7:$B$156,MATCH($S255,MUSTERILER!$T$7:$T$156,0)),""))</f>
        <v/>
      </c>
      <c r="U255" s="1" t="str">
        <f>IF($T255="","",$T255&amp;"|"&amp;COUNTIFS($T$7:$T255,$T255))</f>
        <v/>
      </c>
      <c r="V255" s="1">
        <f t="shared" si="12"/>
        <v>0</v>
      </c>
      <c r="W255" s="1" t="str">
        <f t="shared" si="13"/>
        <v/>
      </c>
      <c r="X255" s="1"/>
      <c r="Y255" s="1"/>
      <c r="Z255" s="1"/>
      <c r="AA255" s="1"/>
      <c r="AB255" s="1"/>
      <c r="AC255" s="1"/>
      <c r="AD255" s="1">
        <f>IF($C255="",0,SUMPRODUCT((AY_SONU!$O$7:$O$42="Evet")*(AY_SONU!$B$7:$B$42=DATE(YEAR($C255),MONTH($C255),1))))</f>
        <v>0</v>
      </c>
      <c r="AE255" s="1" t="str">
        <f>IF($E255="","",$E255&amp;"|"&amp;COUNTIFS($E$7:$E255,$E255))</f>
        <v/>
      </c>
    </row>
    <row r="256" spans="1:31" ht="18" customHeight="1" x14ac:dyDescent="0.3">
      <c r="A256" s="2"/>
      <c r="B256" s="65" t="str">
        <f>IF($C256="","","GG"&amp;TEXT(ROW()-6,"00000"))</f>
        <v/>
      </c>
      <c r="C256" s="66"/>
      <c r="D256" s="60"/>
      <c r="E256" s="61"/>
      <c r="F256" s="61"/>
      <c r="G256" s="67"/>
      <c r="H256" s="60"/>
      <c r="I256" s="60"/>
      <c r="J256" s="61"/>
      <c r="K256" s="61"/>
      <c r="L256" s="60"/>
      <c r="M256" s="74" t="str">
        <f>IF($C256="","",IF($D256="Gider",$E256,IF($L256&lt;&gt;"",$L256,$H256)))</f>
        <v/>
      </c>
      <c r="N256" s="74" t="str">
        <f>IF($C256="","",IF($D256="Gider",$H256,$E256))</f>
        <v/>
      </c>
      <c r="O256" s="73" t="str">
        <f>IF($C256="","",DATE(YEAR($C256),MONTH($C256),1))</f>
        <v/>
      </c>
      <c r="P256" s="65" t="str">
        <f ca="1">IF($C256="","",IF(AND($D256="Gelir",$L256&lt;&gt;"",$T256=""),"TANIMSIZ BORÇLU",IF($T256&lt;&gt;"",IF(OR($E256="",$G256&lt;=0),"EKSİK",IF($I256="Evet","TAHAKKUK NAKİT OLAMAZ",IF($C256&gt;TODAY(),"İLERİ TARİH","TAHAKKUK"))),IF(AND($D256&lt;&gt;"",$E256&lt;&gt;"",$G256&gt;0,$H256&lt;&gt;"",$I256&lt;&gt;""),IF($C256&gt;TODAY(),"İLERİ TARİH",IF(COUNTIF($W$7:$W$3001,$W256)&gt;1,"MÜKERRER?",IF($AD256&gt;0,"KAPALI DÖNEM",IF($I256="Hayır","ÖDENECEK","UYGUN")))),"EKSİK"))))</f>
        <v/>
      </c>
      <c r="Q256" s="2"/>
      <c r="R256" s="2"/>
      <c r="S256" s="1" t="str">
        <f t="shared" si="11"/>
        <v/>
      </c>
      <c r="T256" s="1" t="str">
        <f>IF(OR($C256="",$D256&lt;&gt;"Gelir",$L256=""),"",IFERROR(INDEX(MUSTERILER!$B$7:$B$156,MATCH($S256,MUSTERILER!$T$7:$T$156,0)),""))</f>
        <v/>
      </c>
      <c r="U256" s="1" t="str">
        <f>IF($T256="","",$T256&amp;"|"&amp;COUNTIFS($T$7:$T256,$T256))</f>
        <v/>
      </c>
      <c r="V256" s="1">
        <f t="shared" si="12"/>
        <v>0</v>
      </c>
      <c r="W256" s="1" t="str">
        <f t="shared" si="13"/>
        <v/>
      </c>
      <c r="X256" s="1"/>
      <c r="Y256" s="1"/>
      <c r="Z256" s="1"/>
      <c r="AA256" s="1"/>
      <c r="AB256" s="1"/>
      <c r="AC256" s="1"/>
      <c r="AD256" s="1">
        <f>IF($C256="",0,SUMPRODUCT((AY_SONU!$O$7:$O$42="Evet")*(AY_SONU!$B$7:$B$42=DATE(YEAR($C256),MONTH($C256),1))))</f>
        <v>0</v>
      </c>
      <c r="AE256" s="1" t="str">
        <f>IF($E256="","",$E256&amp;"|"&amp;COUNTIFS($E$7:$E256,$E256))</f>
        <v/>
      </c>
    </row>
    <row r="257" spans="1:31" ht="18" customHeight="1" x14ac:dyDescent="0.3">
      <c r="A257" s="2"/>
      <c r="B257" s="65" t="str">
        <f>IF($C257="","","GG"&amp;TEXT(ROW()-6,"00000"))</f>
        <v/>
      </c>
      <c r="C257" s="66"/>
      <c r="D257" s="60"/>
      <c r="E257" s="61"/>
      <c r="F257" s="61"/>
      <c r="G257" s="67"/>
      <c r="H257" s="60"/>
      <c r="I257" s="60"/>
      <c r="J257" s="61"/>
      <c r="K257" s="61"/>
      <c r="L257" s="60"/>
      <c r="M257" s="74" t="str">
        <f>IF($C257="","",IF($D257="Gider",$E257,IF($L257&lt;&gt;"",$L257,$H257)))</f>
        <v/>
      </c>
      <c r="N257" s="74" t="str">
        <f>IF($C257="","",IF($D257="Gider",$H257,$E257))</f>
        <v/>
      </c>
      <c r="O257" s="73" t="str">
        <f>IF($C257="","",DATE(YEAR($C257),MONTH($C257),1))</f>
        <v/>
      </c>
      <c r="P257" s="65" t="str">
        <f ca="1">IF($C257="","",IF(AND($D257="Gelir",$L257&lt;&gt;"",$T257=""),"TANIMSIZ BORÇLU",IF($T257&lt;&gt;"",IF(OR($E257="",$G257&lt;=0),"EKSİK",IF($I257="Evet","TAHAKKUK NAKİT OLAMAZ",IF($C257&gt;TODAY(),"İLERİ TARİH","TAHAKKUK"))),IF(AND($D257&lt;&gt;"",$E257&lt;&gt;"",$G257&gt;0,$H257&lt;&gt;"",$I257&lt;&gt;""),IF($C257&gt;TODAY(),"İLERİ TARİH",IF(COUNTIF($W$7:$W$3001,$W257)&gt;1,"MÜKERRER?",IF($AD257&gt;0,"KAPALI DÖNEM",IF($I257="Hayır","ÖDENECEK","UYGUN")))),"EKSİK"))))</f>
        <v/>
      </c>
      <c r="Q257" s="2"/>
      <c r="R257" s="2"/>
      <c r="S257" s="1" t="str">
        <f t="shared" si="11"/>
        <v/>
      </c>
      <c r="T257" s="1" t="str">
        <f>IF(OR($C257="",$D257&lt;&gt;"Gelir",$L257=""),"",IFERROR(INDEX(MUSTERILER!$B$7:$B$156,MATCH($S257,MUSTERILER!$T$7:$T$156,0)),""))</f>
        <v/>
      </c>
      <c r="U257" s="1" t="str">
        <f>IF($T257="","",$T257&amp;"|"&amp;COUNTIFS($T$7:$T257,$T257))</f>
        <v/>
      </c>
      <c r="V257" s="1">
        <f t="shared" si="12"/>
        <v>0</v>
      </c>
      <c r="W257" s="1" t="str">
        <f t="shared" si="13"/>
        <v/>
      </c>
      <c r="X257" s="1"/>
      <c r="Y257" s="1"/>
      <c r="Z257" s="1"/>
      <c r="AA257" s="1"/>
      <c r="AB257" s="1"/>
      <c r="AC257" s="1"/>
      <c r="AD257" s="1">
        <f>IF($C257="",0,SUMPRODUCT((AY_SONU!$O$7:$O$42="Evet")*(AY_SONU!$B$7:$B$42=DATE(YEAR($C257),MONTH($C257),1))))</f>
        <v>0</v>
      </c>
      <c r="AE257" s="1" t="str">
        <f>IF($E257="","",$E257&amp;"|"&amp;COUNTIFS($E$7:$E257,$E257))</f>
        <v/>
      </c>
    </row>
    <row r="258" spans="1:31" ht="18" customHeight="1" x14ac:dyDescent="0.3">
      <c r="A258" s="2"/>
      <c r="B258" s="65" t="str">
        <f>IF($C258="","","GG"&amp;TEXT(ROW()-6,"00000"))</f>
        <v/>
      </c>
      <c r="C258" s="66"/>
      <c r="D258" s="60"/>
      <c r="E258" s="61"/>
      <c r="F258" s="61"/>
      <c r="G258" s="67"/>
      <c r="H258" s="60"/>
      <c r="I258" s="60"/>
      <c r="J258" s="61"/>
      <c r="K258" s="61"/>
      <c r="L258" s="60"/>
      <c r="M258" s="74" t="str">
        <f>IF($C258="","",IF($D258="Gider",$E258,IF($L258&lt;&gt;"",$L258,$H258)))</f>
        <v/>
      </c>
      <c r="N258" s="74" t="str">
        <f>IF($C258="","",IF($D258="Gider",$H258,$E258))</f>
        <v/>
      </c>
      <c r="O258" s="73" t="str">
        <f>IF($C258="","",DATE(YEAR($C258),MONTH($C258),1))</f>
        <v/>
      </c>
      <c r="P258" s="65" t="str">
        <f ca="1">IF($C258="","",IF(AND($D258="Gelir",$L258&lt;&gt;"",$T258=""),"TANIMSIZ BORÇLU",IF($T258&lt;&gt;"",IF(OR($E258="",$G258&lt;=0),"EKSİK",IF($I258="Evet","TAHAKKUK NAKİT OLAMAZ",IF($C258&gt;TODAY(),"İLERİ TARİH","TAHAKKUK"))),IF(AND($D258&lt;&gt;"",$E258&lt;&gt;"",$G258&gt;0,$H258&lt;&gt;"",$I258&lt;&gt;""),IF($C258&gt;TODAY(),"İLERİ TARİH",IF(COUNTIF($W$7:$W$3001,$W258)&gt;1,"MÜKERRER?",IF($AD258&gt;0,"KAPALI DÖNEM",IF($I258="Hayır","ÖDENECEK","UYGUN")))),"EKSİK"))))</f>
        <v/>
      </c>
      <c r="Q258" s="2"/>
      <c r="R258" s="2"/>
      <c r="S258" s="1" t="str">
        <f t="shared" si="11"/>
        <v/>
      </c>
      <c r="T258" s="1" t="str">
        <f>IF(OR($C258="",$D258&lt;&gt;"Gelir",$L258=""),"",IFERROR(INDEX(MUSTERILER!$B$7:$B$156,MATCH($S258,MUSTERILER!$T$7:$T$156,0)),""))</f>
        <v/>
      </c>
      <c r="U258" s="1" t="str">
        <f>IF($T258="","",$T258&amp;"|"&amp;COUNTIFS($T$7:$T258,$T258))</f>
        <v/>
      </c>
      <c r="V258" s="1">
        <f t="shared" si="12"/>
        <v>0</v>
      </c>
      <c r="W258" s="1" t="str">
        <f t="shared" si="13"/>
        <v/>
      </c>
      <c r="X258" s="1"/>
      <c r="Y258" s="1"/>
      <c r="Z258" s="1"/>
      <c r="AA258" s="1"/>
      <c r="AB258" s="1"/>
      <c r="AC258" s="1"/>
      <c r="AD258" s="1">
        <f>IF($C258="",0,SUMPRODUCT((AY_SONU!$O$7:$O$42="Evet")*(AY_SONU!$B$7:$B$42=DATE(YEAR($C258),MONTH($C258),1))))</f>
        <v>0</v>
      </c>
      <c r="AE258" s="1" t="str">
        <f>IF($E258="","",$E258&amp;"|"&amp;COUNTIFS($E$7:$E258,$E258))</f>
        <v/>
      </c>
    </row>
    <row r="259" spans="1:31" ht="18" customHeight="1" x14ac:dyDescent="0.3">
      <c r="A259" s="2"/>
      <c r="B259" s="65" t="str">
        <f>IF($C259="","","GG"&amp;TEXT(ROW()-6,"00000"))</f>
        <v/>
      </c>
      <c r="C259" s="66"/>
      <c r="D259" s="60"/>
      <c r="E259" s="61"/>
      <c r="F259" s="61"/>
      <c r="G259" s="67"/>
      <c r="H259" s="60"/>
      <c r="I259" s="60"/>
      <c r="J259" s="61"/>
      <c r="K259" s="61"/>
      <c r="L259" s="60"/>
      <c r="M259" s="74" t="str">
        <f>IF($C259="","",IF($D259="Gider",$E259,IF($L259&lt;&gt;"",$L259,$H259)))</f>
        <v/>
      </c>
      <c r="N259" s="74" t="str">
        <f>IF($C259="","",IF($D259="Gider",$H259,$E259))</f>
        <v/>
      </c>
      <c r="O259" s="73" t="str">
        <f>IF($C259="","",DATE(YEAR($C259),MONTH($C259),1))</f>
        <v/>
      </c>
      <c r="P259" s="65" t="str">
        <f ca="1">IF($C259="","",IF(AND($D259="Gelir",$L259&lt;&gt;"",$T259=""),"TANIMSIZ BORÇLU",IF($T259&lt;&gt;"",IF(OR($E259="",$G259&lt;=0),"EKSİK",IF($I259="Evet","TAHAKKUK NAKİT OLAMAZ",IF($C259&gt;TODAY(),"İLERİ TARİH","TAHAKKUK"))),IF(AND($D259&lt;&gt;"",$E259&lt;&gt;"",$G259&gt;0,$H259&lt;&gt;"",$I259&lt;&gt;""),IF($C259&gt;TODAY(),"İLERİ TARİH",IF(COUNTIF($W$7:$W$3001,$W259)&gt;1,"MÜKERRER?",IF($AD259&gt;0,"KAPALI DÖNEM",IF($I259="Hayır","ÖDENECEK","UYGUN")))),"EKSİK"))))</f>
        <v/>
      </c>
      <c r="Q259" s="2"/>
      <c r="R259" s="2"/>
      <c r="S259" s="1" t="str">
        <f t="shared" si="11"/>
        <v/>
      </c>
      <c r="T259" s="1" t="str">
        <f>IF(OR($C259="",$D259&lt;&gt;"Gelir",$L259=""),"",IFERROR(INDEX(MUSTERILER!$B$7:$B$156,MATCH($S259,MUSTERILER!$T$7:$T$156,0)),""))</f>
        <v/>
      </c>
      <c r="U259" s="1" t="str">
        <f>IF($T259="","",$T259&amp;"|"&amp;COUNTIFS($T$7:$T259,$T259))</f>
        <v/>
      </c>
      <c r="V259" s="1">
        <f t="shared" si="12"/>
        <v>0</v>
      </c>
      <c r="W259" s="1" t="str">
        <f t="shared" si="13"/>
        <v/>
      </c>
      <c r="X259" s="1"/>
      <c r="Y259" s="1"/>
      <c r="Z259" s="1"/>
      <c r="AA259" s="1"/>
      <c r="AB259" s="1"/>
      <c r="AC259" s="1"/>
      <c r="AD259" s="1">
        <f>IF($C259="",0,SUMPRODUCT((AY_SONU!$O$7:$O$42="Evet")*(AY_SONU!$B$7:$B$42=DATE(YEAR($C259),MONTH($C259),1))))</f>
        <v>0</v>
      </c>
      <c r="AE259" s="1" t="str">
        <f>IF($E259="","",$E259&amp;"|"&amp;COUNTIFS($E$7:$E259,$E259))</f>
        <v/>
      </c>
    </row>
    <row r="260" spans="1:31" ht="18" customHeight="1" x14ac:dyDescent="0.3">
      <c r="A260" s="2"/>
      <c r="B260" s="65" t="str">
        <f>IF($C260="","","GG"&amp;TEXT(ROW()-6,"00000"))</f>
        <v/>
      </c>
      <c r="C260" s="66"/>
      <c r="D260" s="60"/>
      <c r="E260" s="61"/>
      <c r="F260" s="61"/>
      <c r="G260" s="67"/>
      <c r="H260" s="60"/>
      <c r="I260" s="60"/>
      <c r="J260" s="61"/>
      <c r="K260" s="61"/>
      <c r="L260" s="60"/>
      <c r="M260" s="74" t="str">
        <f>IF($C260="","",IF($D260="Gider",$E260,IF($L260&lt;&gt;"",$L260,$H260)))</f>
        <v/>
      </c>
      <c r="N260" s="74" t="str">
        <f>IF($C260="","",IF($D260="Gider",$H260,$E260))</f>
        <v/>
      </c>
      <c r="O260" s="73" t="str">
        <f>IF($C260="","",DATE(YEAR($C260),MONTH($C260),1))</f>
        <v/>
      </c>
      <c r="P260" s="65" t="str">
        <f ca="1">IF($C260="","",IF(AND($D260="Gelir",$L260&lt;&gt;"",$T260=""),"TANIMSIZ BORÇLU",IF($T260&lt;&gt;"",IF(OR($E260="",$G260&lt;=0),"EKSİK",IF($I260="Evet","TAHAKKUK NAKİT OLAMAZ",IF($C260&gt;TODAY(),"İLERİ TARİH","TAHAKKUK"))),IF(AND($D260&lt;&gt;"",$E260&lt;&gt;"",$G260&gt;0,$H260&lt;&gt;"",$I260&lt;&gt;""),IF($C260&gt;TODAY(),"İLERİ TARİH",IF(COUNTIF($W$7:$W$3001,$W260)&gt;1,"MÜKERRER?",IF($AD260&gt;0,"KAPALI DÖNEM",IF($I260="Hayır","ÖDENECEK","UYGUN")))),"EKSİK"))))</f>
        <v/>
      </c>
      <c r="Q260" s="2"/>
      <c r="R260" s="2"/>
      <c r="S260" s="1" t="str">
        <f t="shared" si="11"/>
        <v/>
      </c>
      <c r="T260" s="1" t="str">
        <f>IF(OR($C260="",$D260&lt;&gt;"Gelir",$L260=""),"",IFERROR(INDEX(MUSTERILER!$B$7:$B$156,MATCH($S260,MUSTERILER!$T$7:$T$156,0)),""))</f>
        <v/>
      </c>
      <c r="U260" s="1" t="str">
        <f>IF($T260="","",$T260&amp;"|"&amp;COUNTIFS($T$7:$T260,$T260))</f>
        <v/>
      </c>
      <c r="V260" s="1">
        <f t="shared" si="12"/>
        <v>0</v>
      </c>
      <c r="W260" s="1" t="str">
        <f t="shared" si="13"/>
        <v/>
      </c>
      <c r="X260" s="1"/>
      <c r="Y260" s="1"/>
      <c r="Z260" s="1"/>
      <c r="AA260" s="1"/>
      <c r="AB260" s="1"/>
      <c r="AC260" s="1"/>
      <c r="AD260" s="1">
        <f>IF($C260="",0,SUMPRODUCT((AY_SONU!$O$7:$O$42="Evet")*(AY_SONU!$B$7:$B$42=DATE(YEAR($C260),MONTH($C260),1))))</f>
        <v>0</v>
      </c>
      <c r="AE260" s="1" t="str">
        <f>IF($E260="","",$E260&amp;"|"&amp;COUNTIFS($E$7:$E260,$E260))</f>
        <v/>
      </c>
    </row>
    <row r="261" spans="1:31" ht="18" customHeight="1" x14ac:dyDescent="0.3">
      <c r="A261" s="2"/>
      <c r="B261" s="65" t="str">
        <f>IF($C261="","","GG"&amp;TEXT(ROW()-6,"00000"))</f>
        <v/>
      </c>
      <c r="C261" s="66"/>
      <c r="D261" s="60"/>
      <c r="E261" s="61"/>
      <c r="F261" s="61"/>
      <c r="G261" s="67"/>
      <c r="H261" s="60"/>
      <c r="I261" s="60"/>
      <c r="J261" s="61"/>
      <c r="K261" s="61"/>
      <c r="L261" s="60"/>
      <c r="M261" s="74" t="str">
        <f>IF($C261="","",IF($D261="Gider",$E261,IF($L261&lt;&gt;"",$L261,$H261)))</f>
        <v/>
      </c>
      <c r="N261" s="74" t="str">
        <f>IF($C261="","",IF($D261="Gider",$H261,$E261))</f>
        <v/>
      </c>
      <c r="O261" s="73" t="str">
        <f>IF($C261="","",DATE(YEAR($C261),MONTH($C261),1))</f>
        <v/>
      </c>
      <c r="P261" s="65" t="str">
        <f ca="1">IF($C261="","",IF(AND($D261="Gelir",$L261&lt;&gt;"",$T261=""),"TANIMSIZ BORÇLU",IF($T261&lt;&gt;"",IF(OR($E261="",$G261&lt;=0),"EKSİK",IF($I261="Evet","TAHAKKUK NAKİT OLAMAZ",IF($C261&gt;TODAY(),"İLERİ TARİH","TAHAKKUK"))),IF(AND($D261&lt;&gt;"",$E261&lt;&gt;"",$G261&gt;0,$H261&lt;&gt;"",$I261&lt;&gt;""),IF($C261&gt;TODAY(),"İLERİ TARİH",IF(COUNTIF($W$7:$W$3001,$W261)&gt;1,"MÜKERRER?",IF($AD261&gt;0,"KAPALI DÖNEM",IF($I261="Hayır","ÖDENECEK","UYGUN")))),"EKSİK"))))</f>
        <v/>
      </c>
      <c r="Q261" s="2"/>
      <c r="R261" s="2"/>
      <c r="S261" s="1" t="str">
        <f t="shared" ref="S261:S324" si="14"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1" t="str">
        <f>IF(OR($C261="",$D261&lt;&gt;"Gelir",$L261=""),"",IFERROR(INDEX(MUSTERILER!$B$7:$B$156,MATCH($S261,MUSTERILER!$T$7:$T$156,0)),""))</f>
        <v/>
      </c>
      <c r="U261" s="1" t="str">
        <f>IF($T261="","",$T261&amp;"|"&amp;COUNTIFS($T$7:$T261,$T261))</f>
        <v/>
      </c>
      <c r="V261" s="1">
        <f t="shared" ref="V261:V324" si="15">IF($T261="",0,1)</f>
        <v>0</v>
      </c>
      <c r="W261" s="1" t="str">
        <f t="shared" ref="W261:W324" si="16">IF($C261="","",$D261&amp;"|"&amp;$E261&amp;"|"&amp;TEXT($C261,"0")&amp;"|"&amp;TEXT($G261,"0")&amp;"|"&amp;$F261&amp;"|"&amp;$J261)</f>
        <v/>
      </c>
      <c r="X261" s="1"/>
      <c r="Y261" s="1"/>
      <c r="Z261" s="1"/>
      <c r="AA261" s="1"/>
      <c r="AB261" s="1"/>
      <c r="AC261" s="1"/>
      <c r="AD261" s="1">
        <f>IF($C261="",0,SUMPRODUCT((AY_SONU!$O$7:$O$42="Evet")*(AY_SONU!$B$7:$B$42=DATE(YEAR($C261),MONTH($C261),1))))</f>
        <v>0</v>
      </c>
      <c r="AE261" s="1" t="str">
        <f>IF($E261="","",$E261&amp;"|"&amp;COUNTIFS($E$7:$E261,$E261))</f>
        <v/>
      </c>
    </row>
    <row r="262" spans="1:31" ht="18" customHeight="1" x14ac:dyDescent="0.3">
      <c r="A262" s="2"/>
      <c r="B262" s="65" t="str">
        <f>IF($C262="","","GG"&amp;TEXT(ROW()-6,"00000"))</f>
        <v/>
      </c>
      <c r="C262" s="66"/>
      <c r="D262" s="60"/>
      <c r="E262" s="61"/>
      <c r="F262" s="61"/>
      <c r="G262" s="67"/>
      <c r="H262" s="60"/>
      <c r="I262" s="60"/>
      <c r="J262" s="61"/>
      <c r="K262" s="61"/>
      <c r="L262" s="60"/>
      <c r="M262" s="74" t="str">
        <f>IF($C262="","",IF($D262="Gider",$E262,IF($L262&lt;&gt;"",$L262,$H262)))</f>
        <v/>
      </c>
      <c r="N262" s="74" t="str">
        <f>IF($C262="","",IF($D262="Gider",$H262,$E262))</f>
        <v/>
      </c>
      <c r="O262" s="73" t="str">
        <f>IF($C262="","",DATE(YEAR($C262),MONTH($C262),1))</f>
        <v/>
      </c>
      <c r="P262" s="65" t="str">
        <f ca="1">IF($C262="","",IF(AND($D262="Gelir",$L262&lt;&gt;"",$T262=""),"TANIMSIZ BORÇLU",IF($T262&lt;&gt;"",IF(OR($E262="",$G262&lt;=0),"EKSİK",IF($I262="Evet","TAHAKKUK NAKİT OLAMAZ",IF($C262&gt;TODAY(),"İLERİ TARİH","TAHAKKUK"))),IF(AND($D262&lt;&gt;"",$E262&lt;&gt;"",$G262&gt;0,$H262&lt;&gt;"",$I262&lt;&gt;""),IF($C262&gt;TODAY(),"İLERİ TARİH",IF(COUNTIF($W$7:$W$3001,$W262)&gt;1,"MÜKERRER?",IF($AD262&gt;0,"KAPALI DÖNEM",IF($I262="Hayır","ÖDENECEK","UYGUN")))),"EKSİK"))))</f>
        <v/>
      </c>
      <c r="Q262" s="2"/>
      <c r="R262" s="2"/>
      <c r="S262" s="1" t="str">
        <f t="shared" si="14"/>
        <v/>
      </c>
      <c r="T262" s="1" t="str">
        <f>IF(OR($C262="",$D262&lt;&gt;"Gelir",$L262=""),"",IFERROR(INDEX(MUSTERILER!$B$7:$B$156,MATCH($S262,MUSTERILER!$T$7:$T$156,0)),""))</f>
        <v/>
      </c>
      <c r="U262" s="1" t="str">
        <f>IF($T262="","",$T262&amp;"|"&amp;COUNTIFS($T$7:$T262,$T262))</f>
        <v/>
      </c>
      <c r="V262" s="1">
        <f t="shared" si="15"/>
        <v>0</v>
      </c>
      <c r="W262" s="1" t="str">
        <f t="shared" si="16"/>
        <v/>
      </c>
      <c r="X262" s="1"/>
      <c r="Y262" s="1"/>
      <c r="Z262" s="1"/>
      <c r="AA262" s="1"/>
      <c r="AB262" s="1"/>
      <c r="AC262" s="1"/>
      <c r="AD262" s="1">
        <f>IF($C262="",0,SUMPRODUCT((AY_SONU!$O$7:$O$42="Evet")*(AY_SONU!$B$7:$B$42=DATE(YEAR($C262),MONTH($C262),1))))</f>
        <v>0</v>
      </c>
      <c r="AE262" s="1" t="str">
        <f>IF($E262="","",$E262&amp;"|"&amp;COUNTIFS($E$7:$E262,$E262))</f>
        <v/>
      </c>
    </row>
    <row r="263" spans="1:31" ht="18" customHeight="1" x14ac:dyDescent="0.3">
      <c r="A263" s="2"/>
      <c r="B263" s="65" t="str">
        <f>IF($C263="","","GG"&amp;TEXT(ROW()-6,"00000"))</f>
        <v/>
      </c>
      <c r="C263" s="66"/>
      <c r="D263" s="60"/>
      <c r="E263" s="61"/>
      <c r="F263" s="61"/>
      <c r="G263" s="67"/>
      <c r="H263" s="60"/>
      <c r="I263" s="60"/>
      <c r="J263" s="61"/>
      <c r="K263" s="61"/>
      <c r="L263" s="60"/>
      <c r="M263" s="74" t="str">
        <f>IF($C263="","",IF($D263="Gider",$E263,IF($L263&lt;&gt;"",$L263,$H263)))</f>
        <v/>
      </c>
      <c r="N263" s="74" t="str">
        <f>IF($C263="","",IF($D263="Gider",$H263,$E263))</f>
        <v/>
      </c>
      <c r="O263" s="73" t="str">
        <f>IF($C263="","",DATE(YEAR($C263),MONTH($C263),1))</f>
        <v/>
      </c>
      <c r="P263" s="65" t="str">
        <f ca="1"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TARİH",IF(COUNTIF($W$7:$W$3001,$W263)&gt;1,"MÜKERRER?",IF($AD263&gt;0,"KAPALI DÖNEM",IF($I263="Hayır","ÖDENECEK","UYGUN")))),"EKSİK"))))</f>
        <v/>
      </c>
      <c r="Q263" s="2"/>
      <c r="R263" s="2"/>
      <c r="S263" s="1" t="str">
        <f t="shared" si="14"/>
        <v/>
      </c>
      <c r="T263" s="1" t="str">
        <f>IF(OR($C263="",$D263&lt;&gt;"Gelir",$L263=""),"",IFERROR(INDEX(MUSTERILER!$B$7:$B$156,MATCH($S263,MUSTERILER!$T$7:$T$156,0)),""))</f>
        <v/>
      </c>
      <c r="U263" s="1" t="str">
        <f>IF($T263="","",$T263&amp;"|"&amp;COUNTIFS($T$7:$T263,$T263))</f>
        <v/>
      </c>
      <c r="V263" s="1">
        <f t="shared" si="15"/>
        <v>0</v>
      </c>
      <c r="W263" s="1" t="str">
        <f t="shared" si="16"/>
        <v/>
      </c>
      <c r="X263" s="1"/>
      <c r="Y263" s="1"/>
      <c r="Z263" s="1"/>
      <c r="AA263" s="1"/>
      <c r="AB263" s="1"/>
      <c r="AC263" s="1"/>
      <c r="AD263" s="1">
        <f>IF($C263="",0,SUMPRODUCT((AY_SONU!$O$7:$O$42="Evet")*(AY_SONU!$B$7:$B$42=DATE(YEAR($C263),MONTH($C263),1))))</f>
        <v>0</v>
      </c>
      <c r="AE263" s="1" t="str">
        <f>IF($E263="","",$E263&amp;"|"&amp;COUNTIFS($E$7:$E263,$E263))</f>
        <v/>
      </c>
    </row>
    <row r="264" spans="1:31" ht="18" customHeight="1" x14ac:dyDescent="0.3">
      <c r="A264" s="2"/>
      <c r="B264" s="65" t="str">
        <f>IF($C264="","","GG"&amp;TEXT(ROW()-6,"00000"))</f>
        <v/>
      </c>
      <c r="C264" s="66"/>
      <c r="D264" s="60"/>
      <c r="E264" s="61"/>
      <c r="F264" s="61"/>
      <c r="G264" s="67"/>
      <c r="H264" s="60"/>
      <c r="I264" s="60"/>
      <c r="J264" s="61"/>
      <c r="K264" s="61"/>
      <c r="L264" s="60"/>
      <c r="M264" s="74" t="str">
        <f>IF($C264="","",IF($D264="Gider",$E264,IF($L264&lt;&gt;"",$L264,$H264)))</f>
        <v/>
      </c>
      <c r="N264" s="74" t="str">
        <f>IF($C264="","",IF($D264="Gider",$H264,$E264))</f>
        <v/>
      </c>
      <c r="O264" s="73" t="str">
        <f>IF($C264="","",DATE(YEAR($C264),MONTH($C264),1))</f>
        <v/>
      </c>
      <c r="P264" s="65" t="str">
        <f ca="1">IF($C264="","",IF(AND($D264="Gelir",$L264&lt;&gt;"",$T264=""),"TANIMSIZ BORÇLU",IF($T264&lt;&gt;"",IF(OR($E264="",$G264&lt;=0),"EKSİK",IF($I264="Evet","TAHAKKUK NAKİT OLAMAZ",IF($C264&gt;TODAY(),"İLERİ TARİH","TAHAKKUK"))),IF(AND($D264&lt;&gt;"",$E264&lt;&gt;"",$G264&gt;0,$H264&lt;&gt;"",$I264&lt;&gt;""),IF($C264&gt;TODAY(),"İLERİ TARİH",IF(COUNTIF($W$7:$W$3001,$W264)&gt;1,"MÜKERRER?",IF($AD264&gt;0,"KAPALI DÖNEM",IF($I264="Hayır","ÖDENECEK","UYGUN")))),"EKSİK"))))</f>
        <v/>
      </c>
      <c r="Q264" s="2"/>
      <c r="R264" s="2"/>
      <c r="S264" s="1" t="str">
        <f t="shared" si="14"/>
        <v/>
      </c>
      <c r="T264" s="1" t="str">
        <f>IF(OR($C264="",$D264&lt;&gt;"Gelir",$L264=""),"",IFERROR(INDEX(MUSTERILER!$B$7:$B$156,MATCH($S264,MUSTERILER!$T$7:$T$156,0)),""))</f>
        <v/>
      </c>
      <c r="U264" s="1" t="str">
        <f>IF($T264="","",$T264&amp;"|"&amp;COUNTIFS($T$7:$T264,$T264))</f>
        <v/>
      </c>
      <c r="V264" s="1">
        <f t="shared" si="15"/>
        <v>0</v>
      </c>
      <c r="W264" s="1" t="str">
        <f t="shared" si="16"/>
        <v/>
      </c>
      <c r="X264" s="1"/>
      <c r="Y264" s="1"/>
      <c r="Z264" s="1"/>
      <c r="AA264" s="1"/>
      <c r="AB264" s="1"/>
      <c r="AC264" s="1"/>
      <c r="AD264" s="1">
        <f>IF($C264="",0,SUMPRODUCT((AY_SONU!$O$7:$O$42="Evet")*(AY_SONU!$B$7:$B$42=DATE(YEAR($C264),MONTH($C264),1))))</f>
        <v>0</v>
      </c>
      <c r="AE264" s="1" t="str">
        <f>IF($E264="","",$E264&amp;"|"&amp;COUNTIFS($E$7:$E264,$E264))</f>
        <v/>
      </c>
    </row>
    <row r="265" spans="1:31" ht="18" customHeight="1" x14ac:dyDescent="0.3">
      <c r="A265" s="2"/>
      <c r="B265" s="65" t="str">
        <f>IF($C265="","","GG"&amp;TEXT(ROW()-6,"00000"))</f>
        <v/>
      </c>
      <c r="C265" s="66"/>
      <c r="D265" s="60"/>
      <c r="E265" s="61"/>
      <c r="F265" s="61"/>
      <c r="G265" s="67"/>
      <c r="H265" s="60"/>
      <c r="I265" s="60"/>
      <c r="J265" s="61"/>
      <c r="K265" s="61"/>
      <c r="L265" s="60"/>
      <c r="M265" s="74" t="str">
        <f>IF($C265="","",IF($D265="Gider",$E265,IF($L265&lt;&gt;"",$L265,$H265)))</f>
        <v/>
      </c>
      <c r="N265" s="74" t="str">
        <f>IF($C265="","",IF($D265="Gider",$H265,$E265))</f>
        <v/>
      </c>
      <c r="O265" s="73" t="str">
        <f>IF($C265="","",DATE(YEAR($C265),MONTH($C265),1))</f>
        <v/>
      </c>
      <c r="P265" s="65" t="str">
        <f ca="1">IF($C265="","",IF(AND($D265="Gelir",$L265&lt;&gt;"",$T265=""),"TANIMSIZ BORÇLU",IF($T265&lt;&gt;"",IF(OR($E265="",$G265&lt;=0),"EKSİK",IF($I265="Evet","TAHAKKUK NAKİT OLAMAZ",IF($C265&gt;TODAY(),"İLERİ TARİH","TAHAKKUK"))),IF(AND($D265&lt;&gt;"",$E265&lt;&gt;"",$G265&gt;0,$H265&lt;&gt;"",$I265&lt;&gt;""),IF($C265&gt;TODAY(),"İLERİ TARİH",IF(COUNTIF($W$7:$W$3001,$W265)&gt;1,"MÜKERRER?",IF($AD265&gt;0,"KAPALI DÖNEM",IF($I265="Hayır","ÖDENECEK","UYGUN")))),"EKSİK"))))</f>
        <v/>
      </c>
      <c r="Q265" s="2"/>
      <c r="R265" s="2"/>
      <c r="S265" s="1" t="str">
        <f t="shared" si="14"/>
        <v/>
      </c>
      <c r="T265" s="1" t="str">
        <f>IF(OR($C265="",$D265&lt;&gt;"Gelir",$L265=""),"",IFERROR(INDEX(MUSTERILER!$B$7:$B$156,MATCH($S265,MUSTERILER!$T$7:$T$156,0)),""))</f>
        <v/>
      </c>
      <c r="U265" s="1" t="str">
        <f>IF($T265="","",$T265&amp;"|"&amp;COUNTIFS($T$7:$T265,$T265))</f>
        <v/>
      </c>
      <c r="V265" s="1">
        <f t="shared" si="15"/>
        <v>0</v>
      </c>
      <c r="W265" s="1" t="str">
        <f t="shared" si="16"/>
        <v/>
      </c>
      <c r="X265" s="1"/>
      <c r="Y265" s="1"/>
      <c r="Z265" s="1"/>
      <c r="AA265" s="1"/>
      <c r="AB265" s="1"/>
      <c r="AC265" s="1"/>
      <c r="AD265" s="1">
        <f>IF($C265="",0,SUMPRODUCT((AY_SONU!$O$7:$O$42="Evet")*(AY_SONU!$B$7:$B$42=DATE(YEAR($C265),MONTH($C265),1))))</f>
        <v>0</v>
      </c>
      <c r="AE265" s="1" t="str">
        <f>IF($E265="","",$E265&amp;"|"&amp;COUNTIFS($E$7:$E265,$E265))</f>
        <v/>
      </c>
    </row>
    <row r="266" spans="1:31" ht="18" customHeight="1" x14ac:dyDescent="0.3">
      <c r="A266" s="2"/>
      <c r="B266" s="65" t="str">
        <f>IF($C266="","","GG"&amp;TEXT(ROW()-6,"00000"))</f>
        <v/>
      </c>
      <c r="C266" s="66"/>
      <c r="D266" s="60"/>
      <c r="E266" s="61"/>
      <c r="F266" s="61"/>
      <c r="G266" s="67"/>
      <c r="H266" s="60"/>
      <c r="I266" s="60"/>
      <c r="J266" s="61"/>
      <c r="K266" s="61"/>
      <c r="L266" s="60"/>
      <c r="M266" s="74" t="str">
        <f>IF($C266="","",IF($D266="Gider",$E266,IF($L266&lt;&gt;"",$L266,$H266)))</f>
        <v/>
      </c>
      <c r="N266" s="74" t="str">
        <f>IF($C266="","",IF($D266="Gider",$H266,$E266))</f>
        <v/>
      </c>
      <c r="O266" s="73" t="str">
        <f>IF($C266="","",DATE(YEAR($C266),MONTH($C266),1))</f>
        <v/>
      </c>
      <c r="P266" s="65" t="str">
        <f ca="1">IF($C266="","",IF(AND($D266="Gelir",$L266&lt;&gt;"",$T266=""),"TANIMSIZ BORÇLU",IF($T266&lt;&gt;"",IF(OR($E266="",$G266&lt;=0),"EKSİK",IF($I266="Evet","TAHAKKUK NAKİT OLAMAZ",IF($C266&gt;TODAY(),"İLERİ TARİH","TAHAKKUK"))),IF(AND($D266&lt;&gt;"",$E266&lt;&gt;"",$G266&gt;0,$H266&lt;&gt;"",$I266&lt;&gt;""),IF($C266&gt;TODAY(),"İLERİ TARİH",IF(COUNTIF($W$7:$W$3001,$W266)&gt;1,"MÜKERRER?",IF($AD266&gt;0,"KAPALI DÖNEM",IF($I266="Hayır","ÖDENECEK","UYGUN")))),"EKSİK"))))</f>
        <v/>
      </c>
      <c r="Q266" s="2"/>
      <c r="R266" s="2"/>
      <c r="S266" s="1" t="str">
        <f t="shared" si="14"/>
        <v/>
      </c>
      <c r="T266" s="1" t="str">
        <f>IF(OR($C266="",$D266&lt;&gt;"Gelir",$L266=""),"",IFERROR(INDEX(MUSTERILER!$B$7:$B$156,MATCH($S266,MUSTERILER!$T$7:$T$156,0)),""))</f>
        <v/>
      </c>
      <c r="U266" s="1" t="str">
        <f>IF($T266="","",$T266&amp;"|"&amp;COUNTIFS($T$7:$T266,$T266))</f>
        <v/>
      </c>
      <c r="V266" s="1">
        <f t="shared" si="15"/>
        <v>0</v>
      </c>
      <c r="W266" s="1" t="str">
        <f t="shared" si="16"/>
        <v/>
      </c>
      <c r="X266" s="1"/>
      <c r="Y266" s="1"/>
      <c r="Z266" s="1"/>
      <c r="AA266" s="1"/>
      <c r="AB266" s="1"/>
      <c r="AC266" s="1"/>
      <c r="AD266" s="1">
        <f>IF($C266="",0,SUMPRODUCT((AY_SONU!$O$7:$O$42="Evet")*(AY_SONU!$B$7:$B$42=DATE(YEAR($C266),MONTH($C266),1))))</f>
        <v>0</v>
      </c>
      <c r="AE266" s="1" t="str">
        <f>IF($E266="","",$E266&amp;"|"&amp;COUNTIFS($E$7:$E266,$E266))</f>
        <v/>
      </c>
    </row>
    <row r="267" spans="1:31" ht="18" customHeight="1" x14ac:dyDescent="0.3">
      <c r="A267" s="2"/>
      <c r="B267" s="65" t="str">
        <f>IF($C267="","","GG"&amp;TEXT(ROW()-6,"00000"))</f>
        <v/>
      </c>
      <c r="C267" s="66"/>
      <c r="D267" s="60"/>
      <c r="E267" s="61"/>
      <c r="F267" s="61"/>
      <c r="G267" s="67"/>
      <c r="H267" s="60"/>
      <c r="I267" s="60"/>
      <c r="J267" s="61"/>
      <c r="K267" s="61"/>
      <c r="L267" s="60"/>
      <c r="M267" s="74" t="str">
        <f>IF($C267="","",IF($D267="Gider",$E267,IF($L267&lt;&gt;"",$L267,$H267)))</f>
        <v/>
      </c>
      <c r="N267" s="74" t="str">
        <f>IF($C267="","",IF($D267="Gider",$H267,$E267))</f>
        <v/>
      </c>
      <c r="O267" s="73" t="str">
        <f>IF($C267="","",DATE(YEAR($C267),MONTH($C267),1))</f>
        <v/>
      </c>
      <c r="P267" s="65" t="str">
        <f ca="1">IF($C267="","",IF(AND($D267="Gelir",$L267&lt;&gt;"",$T267=""),"TANIMSIZ BORÇLU",IF($T267&lt;&gt;"",IF(OR($E267="",$G267&lt;=0),"EKSİK",IF($I267="Evet","TAHAKKUK NAKİT OLAMAZ",IF($C267&gt;TODAY(),"İLERİ TARİH","TAHAKKUK"))),IF(AND($D267&lt;&gt;"",$E267&lt;&gt;"",$G267&gt;0,$H267&lt;&gt;"",$I267&lt;&gt;""),IF($C267&gt;TODAY(),"İLERİ TARİH",IF(COUNTIF($W$7:$W$3001,$W267)&gt;1,"MÜKERRER?",IF($AD267&gt;0,"KAPALI DÖNEM",IF($I267="Hayır","ÖDENECEK","UYGUN")))),"EKSİK"))))</f>
        <v/>
      </c>
      <c r="Q267" s="2"/>
      <c r="R267" s="2"/>
      <c r="S267" s="1" t="str">
        <f t="shared" si="14"/>
        <v/>
      </c>
      <c r="T267" s="1" t="str">
        <f>IF(OR($C267="",$D267&lt;&gt;"Gelir",$L267=""),"",IFERROR(INDEX(MUSTERILER!$B$7:$B$156,MATCH($S267,MUSTERILER!$T$7:$T$156,0)),""))</f>
        <v/>
      </c>
      <c r="U267" s="1" t="str">
        <f>IF($T267="","",$T267&amp;"|"&amp;COUNTIFS($T$7:$T267,$T267))</f>
        <v/>
      </c>
      <c r="V267" s="1">
        <f t="shared" si="15"/>
        <v>0</v>
      </c>
      <c r="W267" s="1" t="str">
        <f t="shared" si="16"/>
        <v/>
      </c>
      <c r="X267" s="1"/>
      <c r="Y267" s="1"/>
      <c r="Z267" s="1"/>
      <c r="AA267" s="1"/>
      <c r="AB267" s="1"/>
      <c r="AC267" s="1"/>
      <c r="AD267" s="1">
        <f>IF($C267="",0,SUMPRODUCT((AY_SONU!$O$7:$O$42="Evet")*(AY_SONU!$B$7:$B$42=DATE(YEAR($C267),MONTH($C267),1))))</f>
        <v>0</v>
      </c>
      <c r="AE267" s="1" t="str">
        <f>IF($E267="","",$E267&amp;"|"&amp;COUNTIFS($E$7:$E267,$E267))</f>
        <v/>
      </c>
    </row>
    <row r="268" spans="1:31" ht="18" customHeight="1" x14ac:dyDescent="0.3">
      <c r="A268" s="2"/>
      <c r="B268" s="65" t="str">
        <f>IF($C268="","","GG"&amp;TEXT(ROW()-6,"00000"))</f>
        <v/>
      </c>
      <c r="C268" s="66"/>
      <c r="D268" s="60"/>
      <c r="E268" s="61"/>
      <c r="F268" s="61"/>
      <c r="G268" s="67"/>
      <c r="H268" s="60"/>
      <c r="I268" s="60"/>
      <c r="J268" s="61"/>
      <c r="K268" s="61"/>
      <c r="L268" s="60"/>
      <c r="M268" s="74" t="str">
        <f>IF($C268="","",IF($D268="Gider",$E268,IF($L268&lt;&gt;"",$L268,$H268)))</f>
        <v/>
      </c>
      <c r="N268" s="74" t="str">
        <f>IF($C268="","",IF($D268="Gider",$H268,$E268))</f>
        <v/>
      </c>
      <c r="O268" s="73" t="str">
        <f>IF($C268="","",DATE(YEAR($C268),MONTH($C268),1))</f>
        <v/>
      </c>
      <c r="P268" s="65" t="str">
        <f ca="1">IF($C268="","",IF(AND($D268="Gelir",$L268&lt;&gt;"",$T268=""),"TANIMSIZ BORÇLU",IF($T268&lt;&gt;"",IF(OR($E268="",$G268&lt;=0),"EKSİK",IF($I268="Evet","TAHAKKUK NAKİT OLAMAZ",IF($C268&gt;TODAY(),"İLERİ TARİH","TAHAKKUK"))),IF(AND($D268&lt;&gt;"",$E268&lt;&gt;"",$G268&gt;0,$H268&lt;&gt;"",$I268&lt;&gt;""),IF($C268&gt;TODAY(),"İLERİ TARİH",IF(COUNTIF($W$7:$W$3001,$W268)&gt;1,"MÜKERRER?",IF($AD268&gt;0,"KAPALI DÖNEM",IF($I268="Hayır","ÖDENECEK","UYGUN")))),"EKSİK"))))</f>
        <v/>
      </c>
      <c r="Q268" s="2"/>
      <c r="R268" s="2"/>
      <c r="S268" s="1" t="str">
        <f t="shared" si="14"/>
        <v/>
      </c>
      <c r="T268" s="1" t="str">
        <f>IF(OR($C268="",$D268&lt;&gt;"Gelir",$L268=""),"",IFERROR(INDEX(MUSTERILER!$B$7:$B$156,MATCH($S268,MUSTERILER!$T$7:$T$156,0)),""))</f>
        <v/>
      </c>
      <c r="U268" s="1" t="str">
        <f>IF($T268="","",$T268&amp;"|"&amp;COUNTIFS($T$7:$T268,$T268))</f>
        <v/>
      </c>
      <c r="V268" s="1">
        <f t="shared" si="15"/>
        <v>0</v>
      </c>
      <c r="W268" s="1" t="str">
        <f t="shared" si="16"/>
        <v/>
      </c>
      <c r="X268" s="1"/>
      <c r="Y268" s="1"/>
      <c r="Z268" s="1"/>
      <c r="AA268" s="1"/>
      <c r="AB268" s="1"/>
      <c r="AC268" s="1"/>
      <c r="AD268" s="1">
        <f>IF($C268="",0,SUMPRODUCT((AY_SONU!$O$7:$O$42="Evet")*(AY_SONU!$B$7:$B$42=DATE(YEAR($C268),MONTH($C268),1))))</f>
        <v>0</v>
      </c>
      <c r="AE268" s="1" t="str">
        <f>IF($E268="","",$E268&amp;"|"&amp;COUNTIFS($E$7:$E268,$E268))</f>
        <v/>
      </c>
    </row>
    <row r="269" spans="1:31" ht="18" customHeight="1" x14ac:dyDescent="0.3">
      <c r="A269" s="2"/>
      <c r="B269" s="65" t="str">
        <f>IF($C269="","","GG"&amp;TEXT(ROW()-6,"00000"))</f>
        <v/>
      </c>
      <c r="C269" s="66"/>
      <c r="D269" s="60"/>
      <c r="E269" s="61"/>
      <c r="F269" s="61"/>
      <c r="G269" s="67"/>
      <c r="H269" s="60"/>
      <c r="I269" s="60"/>
      <c r="J269" s="61"/>
      <c r="K269" s="61"/>
      <c r="L269" s="60"/>
      <c r="M269" s="74" t="str">
        <f>IF($C269="","",IF($D269="Gider",$E269,IF($L269&lt;&gt;"",$L269,$H269)))</f>
        <v/>
      </c>
      <c r="N269" s="74" t="str">
        <f>IF($C269="","",IF($D269="Gider",$H269,$E269))</f>
        <v/>
      </c>
      <c r="O269" s="73" t="str">
        <f>IF($C269="","",DATE(YEAR($C269),MONTH($C269),1))</f>
        <v/>
      </c>
      <c r="P269" s="65" t="str">
        <f ca="1">IF($C269="","",IF(AND($D269="Gelir",$L269&lt;&gt;"",$T269=""),"TANIMSIZ BORÇLU",IF($T269&lt;&gt;"",IF(OR($E269="",$G269&lt;=0),"EKSİK",IF($I269="Evet","TAHAKKUK NAKİT OLAMAZ",IF($C269&gt;TODAY(),"İLERİ TARİH","TAHAKKUK"))),IF(AND($D269&lt;&gt;"",$E269&lt;&gt;"",$G269&gt;0,$H269&lt;&gt;"",$I269&lt;&gt;""),IF($C269&gt;TODAY(),"İLERİ TARİH",IF(COUNTIF($W$7:$W$3001,$W269)&gt;1,"MÜKERRER?",IF($AD269&gt;0,"KAPALI DÖNEM",IF($I269="Hayır","ÖDENECEK","UYGUN")))),"EKSİK"))))</f>
        <v/>
      </c>
      <c r="Q269" s="2"/>
      <c r="R269" s="2"/>
      <c r="S269" s="1" t="str">
        <f t="shared" si="14"/>
        <v/>
      </c>
      <c r="T269" s="1" t="str">
        <f>IF(OR($C269="",$D269&lt;&gt;"Gelir",$L269=""),"",IFERROR(INDEX(MUSTERILER!$B$7:$B$156,MATCH($S269,MUSTERILER!$T$7:$T$156,0)),""))</f>
        <v/>
      </c>
      <c r="U269" s="1" t="str">
        <f>IF($T269="","",$T269&amp;"|"&amp;COUNTIFS($T$7:$T269,$T269))</f>
        <v/>
      </c>
      <c r="V269" s="1">
        <f t="shared" si="15"/>
        <v>0</v>
      </c>
      <c r="W269" s="1" t="str">
        <f t="shared" si="16"/>
        <v/>
      </c>
      <c r="X269" s="1"/>
      <c r="Y269" s="1"/>
      <c r="Z269" s="1"/>
      <c r="AA269" s="1"/>
      <c r="AB269" s="1"/>
      <c r="AC269" s="1"/>
      <c r="AD269" s="1">
        <f>IF($C269="",0,SUMPRODUCT((AY_SONU!$O$7:$O$42="Evet")*(AY_SONU!$B$7:$B$42=DATE(YEAR($C269),MONTH($C269),1))))</f>
        <v>0</v>
      </c>
      <c r="AE269" s="1" t="str">
        <f>IF($E269="","",$E269&amp;"|"&amp;COUNTIFS($E$7:$E269,$E269))</f>
        <v/>
      </c>
    </row>
    <row r="270" spans="1:31" ht="18" customHeight="1" x14ac:dyDescent="0.3">
      <c r="A270" s="2"/>
      <c r="B270" s="65" t="str">
        <f>IF($C270="","","GG"&amp;TEXT(ROW()-6,"00000"))</f>
        <v/>
      </c>
      <c r="C270" s="66"/>
      <c r="D270" s="60"/>
      <c r="E270" s="61"/>
      <c r="F270" s="61"/>
      <c r="G270" s="67"/>
      <c r="H270" s="60"/>
      <c r="I270" s="60"/>
      <c r="J270" s="61"/>
      <c r="K270" s="61"/>
      <c r="L270" s="60"/>
      <c r="M270" s="74" t="str">
        <f>IF($C270="","",IF($D270="Gider",$E270,IF($L270&lt;&gt;"",$L270,$H270)))</f>
        <v/>
      </c>
      <c r="N270" s="74" t="str">
        <f>IF($C270="","",IF($D270="Gider",$H270,$E270))</f>
        <v/>
      </c>
      <c r="O270" s="73" t="str">
        <f>IF($C270="","",DATE(YEAR($C270),MONTH($C270),1))</f>
        <v/>
      </c>
      <c r="P270" s="65" t="str">
        <f ca="1">IF($C270="","",IF(AND($D270="Gelir",$L270&lt;&gt;"",$T270=""),"TANIMSIZ BORÇLU",IF($T270&lt;&gt;"",IF(OR($E270="",$G270&lt;=0),"EKSİK",IF($I270="Evet","TAHAKKUK NAKİT OLAMAZ",IF($C270&gt;TODAY(),"İLERİ TARİH","TAHAKKUK"))),IF(AND($D270&lt;&gt;"",$E270&lt;&gt;"",$G270&gt;0,$H270&lt;&gt;"",$I270&lt;&gt;""),IF($C270&gt;TODAY(),"İLERİ TARİH",IF(COUNTIF($W$7:$W$3001,$W270)&gt;1,"MÜKERRER?",IF($AD270&gt;0,"KAPALI DÖNEM",IF($I270="Hayır","ÖDENECEK","UYGUN")))),"EKSİK"))))</f>
        <v/>
      </c>
      <c r="Q270" s="2"/>
      <c r="R270" s="2"/>
      <c r="S270" s="1" t="str">
        <f t="shared" si="14"/>
        <v/>
      </c>
      <c r="T270" s="1" t="str">
        <f>IF(OR($C270="",$D270&lt;&gt;"Gelir",$L270=""),"",IFERROR(INDEX(MUSTERILER!$B$7:$B$156,MATCH($S270,MUSTERILER!$T$7:$T$156,0)),""))</f>
        <v/>
      </c>
      <c r="U270" s="1" t="str">
        <f>IF($T270="","",$T270&amp;"|"&amp;COUNTIFS($T$7:$T270,$T270))</f>
        <v/>
      </c>
      <c r="V270" s="1">
        <f t="shared" si="15"/>
        <v>0</v>
      </c>
      <c r="W270" s="1" t="str">
        <f t="shared" si="16"/>
        <v/>
      </c>
      <c r="X270" s="1"/>
      <c r="Y270" s="1"/>
      <c r="Z270" s="1"/>
      <c r="AA270" s="1"/>
      <c r="AB270" s="1"/>
      <c r="AC270" s="1"/>
      <c r="AD270" s="1">
        <f>IF($C270="",0,SUMPRODUCT((AY_SONU!$O$7:$O$42="Evet")*(AY_SONU!$B$7:$B$42=DATE(YEAR($C270),MONTH($C270),1))))</f>
        <v>0</v>
      </c>
      <c r="AE270" s="1" t="str">
        <f>IF($E270="","",$E270&amp;"|"&amp;COUNTIFS($E$7:$E270,$E270))</f>
        <v/>
      </c>
    </row>
    <row r="271" spans="1:31" ht="18" customHeight="1" x14ac:dyDescent="0.3">
      <c r="A271" s="2"/>
      <c r="B271" s="65" t="str">
        <f>IF($C271="","","GG"&amp;TEXT(ROW()-6,"00000"))</f>
        <v/>
      </c>
      <c r="C271" s="66"/>
      <c r="D271" s="60"/>
      <c r="E271" s="61"/>
      <c r="F271" s="61"/>
      <c r="G271" s="67"/>
      <c r="H271" s="60"/>
      <c r="I271" s="60"/>
      <c r="J271" s="61"/>
      <c r="K271" s="61"/>
      <c r="L271" s="60"/>
      <c r="M271" s="74" t="str">
        <f>IF($C271="","",IF($D271="Gider",$E271,IF($L271&lt;&gt;"",$L271,$H271)))</f>
        <v/>
      </c>
      <c r="N271" s="74" t="str">
        <f>IF($C271="","",IF($D271="Gider",$H271,$E271))</f>
        <v/>
      </c>
      <c r="O271" s="73" t="str">
        <f>IF($C271="","",DATE(YEAR($C271),MONTH($C271),1))</f>
        <v/>
      </c>
      <c r="P271" s="65" t="str">
        <f ca="1">IF($C271="","",IF(AND($D271="Gelir",$L271&lt;&gt;"",$T271=""),"TANIMSIZ BORÇLU",IF($T271&lt;&gt;"",IF(OR($E271="",$G271&lt;=0),"EKSİK",IF($I271="Evet","TAHAKKUK NAKİT OLAMAZ",IF($C271&gt;TODAY(),"İLERİ TARİH","TAHAKKUK"))),IF(AND($D271&lt;&gt;"",$E271&lt;&gt;"",$G271&gt;0,$H271&lt;&gt;"",$I271&lt;&gt;""),IF($C271&gt;TODAY(),"İLERİ TARİH",IF(COUNTIF($W$7:$W$3001,$W271)&gt;1,"MÜKERRER?",IF($AD271&gt;0,"KAPALI DÖNEM",IF($I271="Hayır","ÖDENECEK","UYGUN")))),"EKSİK"))))</f>
        <v/>
      </c>
      <c r="Q271" s="2"/>
      <c r="R271" s="2"/>
      <c r="S271" s="1" t="str">
        <f t="shared" si="14"/>
        <v/>
      </c>
      <c r="T271" s="1" t="str">
        <f>IF(OR($C271="",$D271&lt;&gt;"Gelir",$L271=""),"",IFERROR(INDEX(MUSTERILER!$B$7:$B$156,MATCH($S271,MUSTERILER!$T$7:$T$156,0)),""))</f>
        <v/>
      </c>
      <c r="U271" s="1" t="str">
        <f>IF($T271="","",$T271&amp;"|"&amp;COUNTIFS($T$7:$T271,$T271))</f>
        <v/>
      </c>
      <c r="V271" s="1">
        <f t="shared" si="15"/>
        <v>0</v>
      </c>
      <c r="W271" s="1" t="str">
        <f t="shared" si="16"/>
        <v/>
      </c>
      <c r="X271" s="1"/>
      <c r="Y271" s="1"/>
      <c r="Z271" s="1"/>
      <c r="AA271" s="1"/>
      <c r="AB271" s="1"/>
      <c r="AC271" s="1"/>
      <c r="AD271" s="1">
        <f>IF($C271="",0,SUMPRODUCT((AY_SONU!$O$7:$O$42="Evet")*(AY_SONU!$B$7:$B$42=DATE(YEAR($C271),MONTH($C271),1))))</f>
        <v>0</v>
      </c>
      <c r="AE271" s="1" t="str">
        <f>IF($E271="","",$E271&amp;"|"&amp;COUNTIFS($E$7:$E271,$E271))</f>
        <v/>
      </c>
    </row>
    <row r="272" spans="1:31" ht="18" customHeight="1" x14ac:dyDescent="0.3">
      <c r="A272" s="2"/>
      <c r="B272" s="65" t="str">
        <f>IF($C272="","","GG"&amp;TEXT(ROW()-6,"00000"))</f>
        <v/>
      </c>
      <c r="C272" s="66"/>
      <c r="D272" s="60"/>
      <c r="E272" s="61"/>
      <c r="F272" s="61"/>
      <c r="G272" s="67"/>
      <c r="H272" s="60"/>
      <c r="I272" s="60"/>
      <c r="J272" s="61"/>
      <c r="K272" s="61"/>
      <c r="L272" s="60"/>
      <c r="M272" s="74" t="str">
        <f>IF($C272="","",IF($D272="Gider",$E272,IF($L272&lt;&gt;"",$L272,$H272)))</f>
        <v/>
      </c>
      <c r="N272" s="74" t="str">
        <f>IF($C272="","",IF($D272="Gider",$H272,$E272))</f>
        <v/>
      </c>
      <c r="O272" s="73" t="str">
        <f>IF($C272="","",DATE(YEAR($C272),MONTH($C272),1))</f>
        <v/>
      </c>
      <c r="P272" s="65" t="str">
        <f ca="1">IF($C272="","",IF(AND($D272="Gelir",$L272&lt;&gt;"",$T272=""),"TANIMSIZ BORÇLU",IF($T272&lt;&gt;"",IF(OR($E272="",$G272&lt;=0),"EKSİK",IF($I272="Evet","TAHAKKUK NAKİT OLAMAZ",IF($C272&gt;TODAY(),"İLERİ TARİH","TAHAKKUK"))),IF(AND($D272&lt;&gt;"",$E272&lt;&gt;"",$G272&gt;0,$H272&lt;&gt;"",$I272&lt;&gt;""),IF($C272&gt;TODAY(),"İLERİ TARİH",IF(COUNTIF($W$7:$W$3001,$W272)&gt;1,"MÜKERRER?",IF($AD272&gt;0,"KAPALI DÖNEM",IF($I272="Hayır","ÖDENECEK","UYGUN")))),"EKSİK"))))</f>
        <v/>
      </c>
      <c r="Q272" s="2"/>
      <c r="R272" s="2"/>
      <c r="S272" s="1" t="str">
        <f t="shared" si="14"/>
        <v/>
      </c>
      <c r="T272" s="1" t="str">
        <f>IF(OR($C272="",$D272&lt;&gt;"Gelir",$L272=""),"",IFERROR(INDEX(MUSTERILER!$B$7:$B$156,MATCH($S272,MUSTERILER!$T$7:$T$156,0)),""))</f>
        <v/>
      </c>
      <c r="U272" s="1" t="str">
        <f>IF($T272="","",$T272&amp;"|"&amp;COUNTIFS($T$7:$T272,$T272))</f>
        <v/>
      </c>
      <c r="V272" s="1">
        <f t="shared" si="15"/>
        <v>0</v>
      </c>
      <c r="W272" s="1" t="str">
        <f t="shared" si="16"/>
        <v/>
      </c>
      <c r="X272" s="1"/>
      <c r="Y272" s="1"/>
      <c r="Z272" s="1"/>
      <c r="AA272" s="1"/>
      <c r="AB272" s="1"/>
      <c r="AC272" s="1"/>
      <c r="AD272" s="1">
        <f>IF($C272="",0,SUMPRODUCT((AY_SONU!$O$7:$O$42="Evet")*(AY_SONU!$B$7:$B$42=DATE(YEAR($C272),MONTH($C272),1))))</f>
        <v>0</v>
      </c>
      <c r="AE272" s="1" t="str">
        <f>IF($E272="","",$E272&amp;"|"&amp;COUNTIFS($E$7:$E272,$E272))</f>
        <v/>
      </c>
    </row>
    <row r="273" spans="1:31" ht="18" customHeight="1" x14ac:dyDescent="0.3">
      <c r="A273" s="2"/>
      <c r="B273" s="65" t="str">
        <f>IF($C273="","","GG"&amp;TEXT(ROW()-6,"00000"))</f>
        <v/>
      </c>
      <c r="C273" s="66"/>
      <c r="D273" s="60"/>
      <c r="E273" s="61"/>
      <c r="F273" s="61"/>
      <c r="G273" s="67"/>
      <c r="H273" s="60"/>
      <c r="I273" s="60"/>
      <c r="J273" s="61"/>
      <c r="K273" s="61"/>
      <c r="L273" s="60"/>
      <c r="M273" s="74" t="str">
        <f>IF($C273="","",IF($D273="Gider",$E273,IF($L273&lt;&gt;"",$L273,$H273)))</f>
        <v/>
      </c>
      <c r="N273" s="74" t="str">
        <f>IF($C273="","",IF($D273="Gider",$H273,$E273))</f>
        <v/>
      </c>
      <c r="O273" s="73" t="str">
        <f>IF($C273="","",DATE(YEAR($C273),MONTH($C273),1))</f>
        <v/>
      </c>
      <c r="P273" s="65" t="str">
        <f ca="1">IF($C273="","",IF(AND($D273="Gelir",$L273&lt;&gt;"",$T273=""),"TANIMSIZ BORÇLU",IF($T273&lt;&gt;"",IF(OR($E273="",$G273&lt;=0),"EKSİK",IF($I273="Evet","TAHAKKUK NAKİT OLAMAZ",IF($C273&gt;TODAY(),"İLERİ TARİH","TAHAKKUK"))),IF(AND($D273&lt;&gt;"",$E273&lt;&gt;"",$G273&gt;0,$H273&lt;&gt;"",$I273&lt;&gt;""),IF($C273&gt;TODAY(),"İLERİ TARİH",IF(COUNTIF($W$7:$W$3001,$W273)&gt;1,"MÜKERRER?",IF($AD273&gt;0,"KAPALI DÖNEM",IF($I273="Hayır","ÖDENECEK","UYGUN")))),"EKSİK"))))</f>
        <v/>
      </c>
      <c r="Q273" s="2"/>
      <c r="R273" s="2"/>
      <c r="S273" s="1" t="str">
        <f t="shared" si="14"/>
        <v/>
      </c>
      <c r="T273" s="1" t="str">
        <f>IF(OR($C273="",$D273&lt;&gt;"Gelir",$L273=""),"",IFERROR(INDEX(MUSTERILER!$B$7:$B$156,MATCH($S273,MUSTERILER!$T$7:$T$156,0)),""))</f>
        <v/>
      </c>
      <c r="U273" s="1" t="str">
        <f>IF($T273="","",$T273&amp;"|"&amp;COUNTIFS($T$7:$T273,$T273))</f>
        <v/>
      </c>
      <c r="V273" s="1">
        <f t="shared" si="15"/>
        <v>0</v>
      </c>
      <c r="W273" s="1" t="str">
        <f t="shared" si="16"/>
        <v/>
      </c>
      <c r="X273" s="1"/>
      <c r="Y273" s="1"/>
      <c r="Z273" s="1"/>
      <c r="AA273" s="1"/>
      <c r="AB273" s="1"/>
      <c r="AC273" s="1"/>
      <c r="AD273" s="1">
        <f>IF($C273="",0,SUMPRODUCT((AY_SONU!$O$7:$O$42="Evet")*(AY_SONU!$B$7:$B$42=DATE(YEAR($C273),MONTH($C273),1))))</f>
        <v>0</v>
      </c>
      <c r="AE273" s="1" t="str">
        <f>IF($E273="","",$E273&amp;"|"&amp;COUNTIFS($E$7:$E273,$E273))</f>
        <v/>
      </c>
    </row>
    <row r="274" spans="1:31" ht="18" customHeight="1" x14ac:dyDescent="0.3">
      <c r="A274" s="2"/>
      <c r="B274" s="65" t="str">
        <f>IF($C274="","","GG"&amp;TEXT(ROW()-6,"00000"))</f>
        <v/>
      </c>
      <c r="C274" s="66"/>
      <c r="D274" s="60"/>
      <c r="E274" s="61"/>
      <c r="F274" s="61"/>
      <c r="G274" s="67"/>
      <c r="H274" s="60"/>
      <c r="I274" s="60"/>
      <c r="J274" s="61"/>
      <c r="K274" s="61"/>
      <c r="L274" s="60"/>
      <c r="M274" s="74" t="str">
        <f>IF($C274="","",IF($D274="Gider",$E274,IF($L274&lt;&gt;"",$L274,$H274)))</f>
        <v/>
      </c>
      <c r="N274" s="74" t="str">
        <f>IF($C274="","",IF($D274="Gider",$H274,$E274))</f>
        <v/>
      </c>
      <c r="O274" s="73" t="str">
        <f>IF($C274="","",DATE(YEAR($C274),MONTH($C274),1))</f>
        <v/>
      </c>
      <c r="P274" s="65" t="str">
        <f ca="1">IF($C274="","",IF(AND($D274="Gelir",$L274&lt;&gt;"",$T274=""),"TANIMSIZ BORÇLU",IF($T274&lt;&gt;"",IF(OR($E274="",$G274&lt;=0),"EKSİK",IF($I274="Evet","TAHAKKUK NAKİT OLAMAZ",IF($C274&gt;TODAY(),"İLERİ TARİH","TAHAKKUK"))),IF(AND($D274&lt;&gt;"",$E274&lt;&gt;"",$G274&gt;0,$H274&lt;&gt;"",$I274&lt;&gt;""),IF($C274&gt;TODAY(),"İLERİ TARİH",IF(COUNTIF($W$7:$W$3001,$W274)&gt;1,"MÜKERRER?",IF($AD274&gt;0,"KAPALI DÖNEM",IF($I274="Hayır","ÖDENECEK","UYGUN")))),"EKSİK"))))</f>
        <v/>
      </c>
      <c r="Q274" s="2"/>
      <c r="R274" s="2"/>
      <c r="S274" s="1" t="str">
        <f t="shared" si="14"/>
        <v/>
      </c>
      <c r="T274" s="1" t="str">
        <f>IF(OR($C274="",$D274&lt;&gt;"Gelir",$L274=""),"",IFERROR(INDEX(MUSTERILER!$B$7:$B$156,MATCH($S274,MUSTERILER!$T$7:$T$156,0)),""))</f>
        <v/>
      </c>
      <c r="U274" s="1" t="str">
        <f>IF($T274="","",$T274&amp;"|"&amp;COUNTIFS($T$7:$T274,$T274))</f>
        <v/>
      </c>
      <c r="V274" s="1">
        <f t="shared" si="15"/>
        <v>0</v>
      </c>
      <c r="W274" s="1" t="str">
        <f t="shared" si="16"/>
        <v/>
      </c>
      <c r="X274" s="1"/>
      <c r="Y274" s="1"/>
      <c r="Z274" s="1"/>
      <c r="AA274" s="1"/>
      <c r="AB274" s="1"/>
      <c r="AC274" s="1"/>
      <c r="AD274" s="1">
        <f>IF($C274="",0,SUMPRODUCT((AY_SONU!$O$7:$O$42="Evet")*(AY_SONU!$B$7:$B$42=DATE(YEAR($C274),MONTH($C274),1))))</f>
        <v>0</v>
      </c>
      <c r="AE274" s="1" t="str">
        <f>IF($E274="","",$E274&amp;"|"&amp;COUNTIFS($E$7:$E274,$E274))</f>
        <v/>
      </c>
    </row>
    <row r="275" spans="1:31" ht="18" customHeight="1" x14ac:dyDescent="0.3">
      <c r="A275" s="2"/>
      <c r="B275" s="65" t="str">
        <f>IF($C275="","","GG"&amp;TEXT(ROW()-6,"00000"))</f>
        <v/>
      </c>
      <c r="C275" s="66"/>
      <c r="D275" s="60"/>
      <c r="E275" s="61"/>
      <c r="F275" s="61"/>
      <c r="G275" s="67"/>
      <c r="H275" s="60"/>
      <c r="I275" s="60"/>
      <c r="J275" s="61"/>
      <c r="K275" s="61"/>
      <c r="L275" s="60"/>
      <c r="M275" s="74" t="str">
        <f>IF($C275="","",IF($D275="Gider",$E275,IF($L275&lt;&gt;"",$L275,$H275)))</f>
        <v/>
      </c>
      <c r="N275" s="74" t="str">
        <f>IF($C275="","",IF($D275="Gider",$H275,$E275))</f>
        <v/>
      </c>
      <c r="O275" s="73" t="str">
        <f>IF($C275="","",DATE(YEAR($C275),MONTH($C275),1))</f>
        <v/>
      </c>
      <c r="P275" s="65" t="str">
        <f ca="1">IF($C275="","",IF(AND($D275="Gelir",$L275&lt;&gt;"",$T275=""),"TANIMSIZ BORÇLU",IF($T275&lt;&gt;"",IF(OR($E275="",$G275&lt;=0),"EKSİK",IF($I275="Evet","TAHAKKUK NAKİT OLAMAZ",IF($C275&gt;TODAY(),"İLERİ TARİH","TAHAKKUK"))),IF(AND($D275&lt;&gt;"",$E275&lt;&gt;"",$G275&gt;0,$H275&lt;&gt;"",$I275&lt;&gt;""),IF($C275&gt;TODAY(),"İLERİ TARİH",IF(COUNTIF($W$7:$W$3001,$W275)&gt;1,"MÜKERRER?",IF($AD275&gt;0,"KAPALI DÖNEM",IF($I275="Hayır","ÖDENECEK","UYGUN")))),"EKSİK"))))</f>
        <v/>
      </c>
      <c r="Q275" s="2"/>
      <c r="R275" s="2"/>
      <c r="S275" s="1" t="str">
        <f t="shared" si="14"/>
        <v/>
      </c>
      <c r="T275" s="1" t="str">
        <f>IF(OR($C275="",$D275&lt;&gt;"Gelir",$L275=""),"",IFERROR(INDEX(MUSTERILER!$B$7:$B$156,MATCH($S275,MUSTERILER!$T$7:$T$156,0)),""))</f>
        <v/>
      </c>
      <c r="U275" s="1" t="str">
        <f>IF($T275="","",$T275&amp;"|"&amp;COUNTIFS($T$7:$T275,$T275))</f>
        <v/>
      </c>
      <c r="V275" s="1">
        <f t="shared" si="15"/>
        <v>0</v>
      </c>
      <c r="W275" s="1" t="str">
        <f t="shared" si="16"/>
        <v/>
      </c>
      <c r="X275" s="1"/>
      <c r="Y275" s="1"/>
      <c r="Z275" s="1"/>
      <c r="AA275" s="1"/>
      <c r="AB275" s="1"/>
      <c r="AC275" s="1"/>
      <c r="AD275" s="1">
        <f>IF($C275="",0,SUMPRODUCT((AY_SONU!$O$7:$O$42="Evet")*(AY_SONU!$B$7:$B$42=DATE(YEAR($C275),MONTH($C275),1))))</f>
        <v>0</v>
      </c>
      <c r="AE275" s="1" t="str">
        <f>IF($E275="","",$E275&amp;"|"&amp;COUNTIFS($E$7:$E275,$E275))</f>
        <v/>
      </c>
    </row>
    <row r="276" spans="1:31" ht="18" customHeight="1" x14ac:dyDescent="0.3">
      <c r="A276" s="2"/>
      <c r="B276" s="65" t="str">
        <f>IF($C276="","","GG"&amp;TEXT(ROW()-6,"00000"))</f>
        <v/>
      </c>
      <c r="C276" s="66"/>
      <c r="D276" s="60"/>
      <c r="E276" s="61"/>
      <c r="F276" s="61"/>
      <c r="G276" s="67"/>
      <c r="H276" s="60"/>
      <c r="I276" s="60"/>
      <c r="J276" s="61"/>
      <c r="K276" s="61"/>
      <c r="L276" s="60"/>
      <c r="M276" s="74" t="str">
        <f>IF($C276="","",IF($D276="Gider",$E276,IF($L276&lt;&gt;"",$L276,$H276)))</f>
        <v/>
      </c>
      <c r="N276" s="74" t="str">
        <f>IF($C276="","",IF($D276="Gider",$H276,$E276))</f>
        <v/>
      </c>
      <c r="O276" s="73" t="str">
        <f>IF($C276="","",DATE(YEAR($C276),MONTH($C276),1))</f>
        <v/>
      </c>
      <c r="P276" s="65" t="str">
        <f ca="1">IF($C276="","",IF(AND($D276="Gelir",$L276&lt;&gt;"",$T276=""),"TANIMSIZ BORÇLU",IF($T276&lt;&gt;"",IF(OR($E276="",$G276&lt;=0),"EKSİK",IF($I276="Evet","TAHAKKUK NAKİT OLAMAZ",IF($C276&gt;TODAY(),"İLERİ TARİH","TAHAKKUK"))),IF(AND($D276&lt;&gt;"",$E276&lt;&gt;"",$G276&gt;0,$H276&lt;&gt;"",$I276&lt;&gt;""),IF($C276&gt;TODAY(),"İLERİ TARİH",IF(COUNTIF($W$7:$W$3001,$W276)&gt;1,"MÜKERRER?",IF($AD276&gt;0,"KAPALI DÖNEM",IF($I276="Hayır","ÖDENECEK","UYGUN")))),"EKSİK"))))</f>
        <v/>
      </c>
      <c r="Q276" s="2"/>
      <c r="R276" s="2"/>
      <c r="S276" s="1" t="str">
        <f t="shared" si="14"/>
        <v/>
      </c>
      <c r="T276" s="1" t="str">
        <f>IF(OR($C276="",$D276&lt;&gt;"Gelir",$L276=""),"",IFERROR(INDEX(MUSTERILER!$B$7:$B$156,MATCH($S276,MUSTERILER!$T$7:$T$156,0)),""))</f>
        <v/>
      </c>
      <c r="U276" s="1" t="str">
        <f>IF($T276="","",$T276&amp;"|"&amp;COUNTIFS($T$7:$T276,$T276))</f>
        <v/>
      </c>
      <c r="V276" s="1">
        <f t="shared" si="15"/>
        <v>0</v>
      </c>
      <c r="W276" s="1" t="str">
        <f t="shared" si="16"/>
        <v/>
      </c>
      <c r="X276" s="1"/>
      <c r="Y276" s="1"/>
      <c r="Z276" s="1"/>
      <c r="AA276" s="1"/>
      <c r="AB276" s="1"/>
      <c r="AC276" s="1"/>
      <c r="AD276" s="1">
        <f>IF($C276="",0,SUMPRODUCT((AY_SONU!$O$7:$O$42="Evet")*(AY_SONU!$B$7:$B$42=DATE(YEAR($C276),MONTH($C276),1))))</f>
        <v>0</v>
      </c>
      <c r="AE276" s="1" t="str">
        <f>IF($E276="","",$E276&amp;"|"&amp;COUNTIFS($E$7:$E276,$E276))</f>
        <v/>
      </c>
    </row>
    <row r="277" spans="1:31" ht="18" customHeight="1" x14ac:dyDescent="0.3">
      <c r="A277" s="2"/>
      <c r="B277" s="65" t="str">
        <f>IF($C277="","","GG"&amp;TEXT(ROW()-6,"00000"))</f>
        <v/>
      </c>
      <c r="C277" s="66"/>
      <c r="D277" s="60"/>
      <c r="E277" s="61"/>
      <c r="F277" s="61"/>
      <c r="G277" s="67"/>
      <c r="H277" s="60"/>
      <c r="I277" s="60"/>
      <c r="J277" s="61"/>
      <c r="K277" s="61"/>
      <c r="L277" s="60"/>
      <c r="M277" s="74" t="str">
        <f>IF($C277="","",IF($D277="Gider",$E277,IF($L277&lt;&gt;"",$L277,$H277)))</f>
        <v/>
      </c>
      <c r="N277" s="74" t="str">
        <f>IF($C277="","",IF($D277="Gider",$H277,$E277))</f>
        <v/>
      </c>
      <c r="O277" s="73" t="str">
        <f>IF($C277="","",DATE(YEAR($C277),MONTH($C277),1))</f>
        <v/>
      </c>
      <c r="P277" s="65" t="str">
        <f ca="1">IF($C277="","",IF(AND($D277="Gelir",$L277&lt;&gt;"",$T277=""),"TANIMSIZ BORÇLU",IF($T277&lt;&gt;"",IF(OR($E277="",$G277&lt;=0),"EKSİK",IF($I277="Evet","TAHAKKUK NAKİT OLAMAZ",IF($C277&gt;TODAY(),"İLERİ TARİH","TAHAKKUK"))),IF(AND($D277&lt;&gt;"",$E277&lt;&gt;"",$G277&gt;0,$H277&lt;&gt;"",$I277&lt;&gt;""),IF($C277&gt;TODAY(),"İLERİ TARİH",IF(COUNTIF($W$7:$W$3001,$W277)&gt;1,"MÜKERRER?",IF($AD277&gt;0,"KAPALI DÖNEM",IF($I277="Hayır","ÖDENECEK","UYGUN")))),"EKSİK"))))</f>
        <v/>
      </c>
      <c r="Q277" s="2"/>
      <c r="R277" s="2"/>
      <c r="S277" s="1" t="str">
        <f t="shared" si="14"/>
        <v/>
      </c>
      <c r="T277" s="1" t="str">
        <f>IF(OR($C277="",$D277&lt;&gt;"Gelir",$L277=""),"",IFERROR(INDEX(MUSTERILER!$B$7:$B$156,MATCH($S277,MUSTERILER!$T$7:$T$156,0)),""))</f>
        <v/>
      </c>
      <c r="U277" s="1" t="str">
        <f>IF($T277="","",$T277&amp;"|"&amp;COUNTIFS($T$7:$T277,$T277))</f>
        <v/>
      </c>
      <c r="V277" s="1">
        <f t="shared" si="15"/>
        <v>0</v>
      </c>
      <c r="W277" s="1" t="str">
        <f t="shared" si="16"/>
        <v/>
      </c>
      <c r="X277" s="1"/>
      <c r="Y277" s="1"/>
      <c r="Z277" s="1"/>
      <c r="AA277" s="1"/>
      <c r="AB277" s="1"/>
      <c r="AC277" s="1"/>
      <c r="AD277" s="1">
        <f>IF($C277="",0,SUMPRODUCT((AY_SONU!$O$7:$O$42="Evet")*(AY_SONU!$B$7:$B$42=DATE(YEAR($C277),MONTH($C277),1))))</f>
        <v>0</v>
      </c>
      <c r="AE277" s="1" t="str">
        <f>IF($E277="","",$E277&amp;"|"&amp;COUNTIFS($E$7:$E277,$E277))</f>
        <v/>
      </c>
    </row>
    <row r="278" spans="1:31" ht="18" customHeight="1" x14ac:dyDescent="0.3">
      <c r="A278" s="2"/>
      <c r="B278" s="65" t="str">
        <f>IF($C278="","","GG"&amp;TEXT(ROW()-6,"00000"))</f>
        <v/>
      </c>
      <c r="C278" s="66"/>
      <c r="D278" s="60"/>
      <c r="E278" s="61"/>
      <c r="F278" s="61"/>
      <c r="G278" s="67"/>
      <c r="H278" s="60"/>
      <c r="I278" s="60"/>
      <c r="J278" s="61"/>
      <c r="K278" s="61"/>
      <c r="L278" s="60"/>
      <c r="M278" s="74" t="str">
        <f>IF($C278="","",IF($D278="Gider",$E278,IF($L278&lt;&gt;"",$L278,$H278)))</f>
        <v/>
      </c>
      <c r="N278" s="74" t="str">
        <f>IF($C278="","",IF($D278="Gider",$H278,$E278))</f>
        <v/>
      </c>
      <c r="O278" s="73" t="str">
        <f>IF($C278="","",DATE(YEAR($C278),MONTH($C278),1))</f>
        <v/>
      </c>
      <c r="P278" s="65" t="str">
        <f ca="1">IF($C278="","",IF(AND($D278="Gelir",$L278&lt;&gt;"",$T278=""),"TANIMSIZ BORÇLU",IF($T278&lt;&gt;"",IF(OR($E278="",$G278&lt;=0),"EKSİK",IF($I278="Evet","TAHAKKUK NAKİT OLAMAZ",IF($C278&gt;TODAY(),"İLERİ TARİH","TAHAKKUK"))),IF(AND($D278&lt;&gt;"",$E278&lt;&gt;"",$G278&gt;0,$H278&lt;&gt;"",$I278&lt;&gt;""),IF($C278&gt;TODAY(),"İLERİ TARİH",IF(COUNTIF($W$7:$W$3001,$W278)&gt;1,"MÜKERRER?",IF($AD278&gt;0,"KAPALI DÖNEM",IF($I278="Hayır","ÖDENECEK","UYGUN")))),"EKSİK"))))</f>
        <v/>
      </c>
      <c r="Q278" s="2"/>
      <c r="R278" s="2"/>
      <c r="S278" s="1" t="str">
        <f t="shared" si="14"/>
        <v/>
      </c>
      <c r="T278" s="1" t="str">
        <f>IF(OR($C278="",$D278&lt;&gt;"Gelir",$L278=""),"",IFERROR(INDEX(MUSTERILER!$B$7:$B$156,MATCH($S278,MUSTERILER!$T$7:$T$156,0)),""))</f>
        <v/>
      </c>
      <c r="U278" s="1" t="str">
        <f>IF($T278="","",$T278&amp;"|"&amp;COUNTIFS($T$7:$T278,$T278))</f>
        <v/>
      </c>
      <c r="V278" s="1">
        <f t="shared" si="15"/>
        <v>0</v>
      </c>
      <c r="W278" s="1" t="str">
        <f t="shared" si="16"/>
        <v/>
      </c>
      <c r="X278" s="1"/>
      <c r="Y278" s="1"/>
      <c r="Z278" s="1"/>
      <c r="AA278" s="1"/>
      <c r="AB278" s="1"/>
      <c r="AC278" s="1"/>
      <c r="AD278" s="1">
        <f>IF($C278="",0,SUMPRODUCT((AY_SONU!$O$7:$O$42="Evet")*(AY_SONU!$B$7:$B$42=DATE(YEAR($C278),MONTH($C278),1))))</f>
        <v>0</v>
      </c>
      <c r="AE278" s="1" t="str">
        <f>IF($E278="","",$E278&amp;"|"&amp;COUNTIFS($E$7:$E278,$E278))</f>
        <v/>
      </c>
    </row>
    <row r="279" spans="1:31" ht="18" customHeight="1" x14ac:dyDescent="0.3">
      <c r="A279" s="2"/>
      <c r="B279" s="65" t="str">
        <f>IF($C279="","","GG"&amp;TEXT(ROW()-6,"00000"))</f>
        <v/>
      </c>
      <c r="C279" s="66"/>
      <c r="D279" s="60"/>
      <c r="E279" s="61"/>
      <c r="F279" s="61"/>
      <c r="G279" s="67"/>
      <c r="H279" s="60"/>
      <c r="I279" s="60"/>
      <c r="J279" s="61"/>
      <c r="K279" s="61"/>
      <c r="L279" s="60"/>
      <c r="M279" s="74" t="str">
        <f>IF($C279="","",IF($D279="Gider",$E279,IF($L279&lt;&gt;"",$L279,$H279)))</f>
        <v/>
      </c>
      <c r="N279" s="74" t="str">
        <f>IF($C279="","",IF($D279="Gider",$H279,$E279))</f>
        <v/>
      </c>
      <c r="O279" s="73" t="str">
        <f>IF($C279="","",DATE(YEAR($C279),MONTH($C279),1))</f>
        <v/>
      </c>
      <c r="P279" s="65" t="str">
        <f ca="1">IF($C279="","",IF(AND($D279="Gelir",$L279&lt;&gt;"",$T279=""),"TANIMSIZ BORÇLU",IF($T279&lt;&gt;"",IF(OR($E279="",$G279&lt;=0),"EKSİK",IF($I279="Evet","TAHAKKUK NAKİT OLAMAZ",IF($C279&gt;TODAY(),"İLERİ TARİH","TAHAKKUK"))),IF(AND($D279&lt;&gt;"",$E279&lt;&gt;"",$G279&gt;0,$H279&lt;&gt;"",$I279&lt;&gt;""),IF($C279&gt;TODAY(),"İLERİ TARİH",IF(COUNTIF($W$7:$W$3001,$W279)&gt;1,"MÜKERRER?",IF($AD279&gt;0,"KAPALI DÖNEM",IF($I279="Hayır","ÖDENECEK","UYGUN")))),"EKSİK"))))</f>
        <v/>
      </c>
      <c r="Q279" s="2"/>
      <c r="R279" s="2"/>
      <c r="S279" s="1" t="str">
        <f t="shared" si="14"/>
        <v/>
      </c>
      <c r="T279" s="1" t="str">
        <f>IF(OR($C279="",$D279&lt;&gt;"Gelir",$L279=""),"",IFERROR(INDEX(MUSTERILER!$B$7:$B$156,MATCH($S279,MUSTERILER!$T$7:$T$156,0)),""))</f>
        <v/>
      </c>
      <c r="U279" s="1" t="str">
        <f>IF($T279="","",$T279&amp;"|"&amp;COUNTIFS($T$7:$T279,$T279))</f>
        <v/>
      </c>
      <c r="V279" s="1">
        <f t="shared" si="15"/>
        <v>0</v>
      </c>
      <c r="W279" s="1" t="str">
        <f t="shared" si="16"/>
        <v/>
      </c>
      <c r="X279" s="1"/>
      <c r="Y279" s="1"/>
      <c r="Z279" s="1"/>
      <c r="AA279" s="1"/>
      <c r="AB279" s="1"/>
      <c r="AC279" s="1"/>
      <c r="AD279" s="1">
        <f>IF($C279="",0,SUMPRODUCT((AY_SONU!$O$7:$O$42="Evet")*(AY_SONU!$B$7:$B$42=DATE(YEAR($C279),MONTH($C279),1))))</f>
        <v>0</v>
      </c>
      <c r="AE279" s="1" t="str">
        <f>IF($E279="","",$E279&amp;"|"&amp;COUNTIFS($E$7:$E279,$E279))</f>
        <v/>
      </c>
    </row>
    <row r="280" spans="1:31" ht="18" customHeight="1" x14ac:dyDescent="0.3">
      <c r="A280" s="2"/>
      <c r="B280" s="65" t="str">
        <f>IF($C280="","","GG"&amp;TEXT(ROW()-6,"00000"))</f>
        <v/>
      </c>
      <c r="C280" s="66"/>
      <c r="D280" s="60"/>
      <c r="E280" s="61"/>
      <c r="F280" s="61"/>
      <c r="G280" s="67"/>
      <c r="H280" s="60"/>
      <c r="I280" s="60"/>
      <c r="J280" s="61"/>
      <c r="K280" s="61"/>
      <c r="L280" s="60"/>
      <c r="M280" s="74" t="str">
        <f>IF($C280="","",IF($D280="Gider",$E280,IF($L280&lt;&gt;"",$L280,$H280)))</f>
        <v/>
      </c>
      <c r="N280" s="74" t="str">
        <f>IF($C280="","",IF($D280="Gider",$H280,$E280))</f>
        <v/>
      </c>
      <c r="O280" s="73" t="str">
        <f>IF($C280="","",DATE(YEAR($C280),MONTH($C280),1))</f>
        <v/>
      </c>
      <c r="P280" s="65" t="str">
        <f ca="1">IF($C280="","",IF(AND($D280="Gelir",$L280&lt;&gt;"",$T280=""),"TANIMSIZ BORÇLU",IF($T280&lt;&gt;"",IF(OR($E280="",$G280&lt;=0),"EKSİK",IF($I280="Evet","TAHAKKUK NAKİT OLAMAZ",IF($C280&gt;TODAY(),"İLERİ TARİH","TAHAKKUK"))),IF(AND($D280&lt;&gt;"",$E280&lt;&gt;"",$G280&gt;0,$H280&lt;&gt;"",$I280&lt;&gt;""),IF($C280&gt;TODAY(),"İLERİ TARİH",IF(COUNTIF($W$7:$W$3001,$W280)&gt;1,"MÜKERRER?",IF($AD280&gt;0,"KAPALI DÖNEM",IF($I280="Hayır","ÖDENECEK","UYGUN")))),"EKSİK"))))</f>
        <v/>
      </c>
      <c r="Q280" s="2"/>
      <c r="R280" s="2"/>
      <c r="S280" s="1" t="str">
        <f t="shared" si="14"/>
        <v/>
      </c>
      <c r="T280" s="1" t="str">
        <f>IF(OR($C280="",$D280&lt;&gt;"Gelir",$L280=""),"",IFERROR(INDEX(MUSTERILER!$B$7:$B$156,MATCH($S280,MUSTERILER!$T$7:$T$156,0)),""))</f>
        <v/>
      </c>
      <c r="U280" s="1" t="str">
        <f>IF($T280="","",$T280&amp;"|"&amp;COUNTIFS($T$7:$T280,$T280))</f>
        <v/>
      </c>
      <c r="V280" s="1">
        <f t="shared" si="15"/>
        <v>0</v>
      </c>
      <c r="W280" s="1" t="str">
        <f t="shared" si="16"/>
        <v/>
      </c>
      <c r="X280" s="1"/>
      <c r="Y280" s="1"/>
      <c r="Z280" s="1"/>
      <c r="AA280" s="1"/>
      <c r="AB280" s="1"/>
      <c r="AC280" s="1"/>
      <c r="AD280" s="1">
        <f>IF($C280="",0,SUMPRODUCT((AY_SONU!$O$7:$O$42="Evet")*(AY_SONU!$B$7:$B$42=DATE(YEAR($C280),MONTH($C280),1))))</f>
        <v>0</v>
      </c>
      <c r="AE280" s="1" t="str">
        <f>IF($E280="","",$E280&amp;"|"&amp;COUNTIFS($E$7:$E280,$E280))</f>
        <v/>
      </c>
    </row>
    <row r="281" spans="1:31" ht="18" customHeight="1" x14ac:dyDescent="0.3">
      <c r="A281" s="2"/>
      <c r="B281" s="65" t="str">
        <f>IF($C281="","","GG"&amp;TEXT(ROW()-6,"00000"))</f>
        <v/>
      </c>
      <c r="C281" s="66"/>
      <c r="D281" s="60"/>
      <c r="E281" s="61"/>
      <c r="F281" s="61"/>
      <c r="G281" s="67"/>
      <c r="H281" s="60"/>
      <c r="I281" s="60"/>
      <c r="J281" s="61"/>
      <c r="K281" s="61"/>
      <c r="L281" s="60"/>
      <c r="M281" s="74" t="str">
        <f>IF($C281="","",IF($D281="Gider",$E281,IF($L281&lt;&gt;"",$L281,$H281)))</f>
        <v/>
      </c>
      <c r="N281" s="74" t="str">
        <f>IF($C281="","",IF($D281="Gider",$H281,$E281))</f>
        <v/>
      </c>
      <c r="O281" s="73" t="str">
        <f>IF($C281="","",DATE(YEAR($C281),MONTH($C281),1))</f>
        <v/>
      </c>
      <c r="P281" s="65" t="str">
        <f ca="1">IF($C281="","",IF(AND($D281="Gelir",$L281&lt;&gt;"",$T281=""),"TANIMSIZ BORÇLU",IF($T281&lt;&gt;"",IF(OR($E281="",$G281&lt;=0),"EKSİK",IF($I281="Evet","TAHAKKUK NAKİT OLAMAZ",IF($C281&gt;TODAY(),"İLERİ TARİH","TAHAKKUK"))),IF(AND($D281&lt;&gt;"",$E281&lt;&gt;"",$G281&gt;0,$H281&lt;&gt;"",$I281&lt;&gt;""),IF($C281&gt;TODAY(),"İLERİ TARİH",IF(COUNTIF($W$7:$W$3001,$W281)&gt;1,"MÜKERRER?",IF($AD281&gt;0,"KAPALI DÖNEM",IF($I281="Hayır","ÖDENECEK","UYGUN")))),"EKSİK"))))</f>
        <v/>
      </c>
      <c r="Q281" s="2"/>
      <c r="R281" s="2"/>
      <c r="S281" s="1" t="str">
        <f t="shared" si="14"/>
        <v/>
      </c>
      <c r="T281" s="1" t="str">
        <f>IF(OR($C281="",$D281&lt;&gt;"Gelir",$L281=""),"",IFERROR(INDEX(MUSTERILER!$B$7:$B$156,MATCH($S281,MUSTERILER!$T$7:$T$156,0)),""))</f>
        <v/>
      </c>
      <c r="U281" s="1" t="str">
        <f>IF($T281="","",$T281&amp;"|"&amp;COUNTIFS($T$7:$T281,$T281))</f>
        <v/>
      </c>
      <c r="V281" s="1">
        <f t="shared" si="15"/>
        <v>0</v>
      </c>
      <c r="W281" s="1" t="str">
        <f t="shared" si="16"/>
        <v/>
      </c>
      <c r="X281" s="1"/>
      <c r="Y281" s="1"/>
      <c r="Z281" s="1"/>
      <c r="AA281" s="1"/>
      <c r="AB281" s="1"/>
      <c r="AC281" s="1"/>
      <c r="AD281" s="1">
        <f>IF($C281="",0,SUMPRODUCT((AY_SONU!$O$7:$O$42="Evet")*(AY_SONU!$B$7:$B$42=DATE(YEAR($C281),MONTH($C281),1))))</f>
        <v>0</v>
      </c>
      <c r="AE281" s="1" t="str">
        <f>IF($E281="","",$E281&amp;"|"&amp;COUNTIFS($E$7:$E281,$E281))</f>
        <v/>
      </c>
    </row>
    <row r="282" spans="1:31" ht="18" customHeight="1" x14ac:dyDescent="0.3">
      <c r="A282" s="2"/>
      <c r="B282" s="65" t="str">
        <f>IF($C282="","","GG"&amp;TEXT(ROW()-6,"00000"))</f>
        <v/>
      </c>
      <c r="C282" s="66"/>
      <c r="D282" s="60"/>
      <c r="E282" s="61"/>
      <c r="F282" s="61"/>
      <c r="G282" s="67"/>
      <c r="H282" s="60"/>
      <c r="I282" s="60"/>
      <c r="J282" s="61"/>
      <c r="K282" s="61"/>
      <c r="L282" s="60"/>
      <c r="M282" s="74" t="str">
        <f>IF($C282="","",IF($D282="Gider",$E282,IF($L282&lt;&gt;"",$L282,$H282)))</f>
        <v/>
      </c>
      <c r="N282" s="74" t="str">
        <f>IF($C282="","",IF($D282="Gider",$H282,$E282))</f>
        <v/>
      </c>
      <c r="O282" s="73" t="str">
        <f>IF($C282="","",DATE(YEAR($C282),MONTH($C282),1))</f>
        <v/>
      </c>
      <c r="P282" s="65" t="str">
        <f ca="1">IF($C282="","",IF(AND($D282="Gelir",$L282&lt;&gt;"",$T282=""),"TANIMSIZ BORÇLU",IF($T282&lt;&gt;"",IF(OR($E282="",$G282&lt;=0),"EKSİK",IF($I282="Evet","TAHAKKUK NAKİT OLAMAZ",IF($C282&gt;TODAY(),"İLERİ TARİH","TAHAKKUK"))),IF(AND($D282&lt;&gt;"",$E282&lt;&gt;"",$G282&gt;0,$H282&lt;&gt;"",$I282&lt;&gt;""),IF($C282&gt;TODAY(),"İLERİ TARİH",IF(COUNTIF($W$7:$W$3001,$W282)&gt;1,"MÜKERRER?",IF($AD282&gt;0,"KAPALI DÖNEM",IF($I282="Hayır","ÖDENECEK","UYGUN")))),"EKSİK"))))</f>
        <v/>
      </c>
      <c r="Q282" s="2"/>
      <c r="R282" s="2"/>
      <c r="S282" s="1" t="str">
        <f t="shared" si="14"/>
        <v/>
      </c>
      <c r="T282" s="1" t="str">
        <f>IF(OR($C282="",$D282&lt;&gt;"Gelir",$L282=""),"",IFERROR(INDEX(MUSTERILER!$B$7:$B$156,MATCH($S282,MUSTERILER!$T$7:$T$156,0)),""))</f>
        <v/>
      </c>
      <c r="U282" s="1" t="str">
        <f>IF($T282="","",$T282&amp;"|"&amp;COUNTIFS($T$7:$T282,$T282))</f>
        <v/>
      </c>
      <c r="V282" s="1">
        <f t="shared" si="15"/>
        <v>0</v>
      </c>
      <c r="W282" s="1" t="str">
        <f t="shared" si="16"/>
        <v/>
      </c>
      <c r="X282" s="1"/>
      <c r="Y282" s="1"/>
      <c r="Z282" s="1"/>
      <c r="AA282" s="1"/>
      <c r="AB282" s="1"/>
      <c r="AC282" s="1"/>
      <c r="AD282" s="1">
        <f>IF($C282="",0,SUMPRODUCT((AY_SONU!$O$7:$O$42="Evet")*(AY_SONU!$B$7:$B$42=DATE(YEAR($C282),MONTH($C282),1))))</f>
        <v>0</v>
      </c>
      <c r="AE282" s="1" t="str">
        <f>IF($E282="","",$E282&amp;"|"&amp;COUNTIFS($E$7:$E282,$E282))</f>
        <v/>
      </c>
    </row>
    <row r="283" spans="1:31" ht="18" customHeight="1" x14ac:dyDescent="0.3">
      <c r="A283" s="2"/>
      <c r="B283" s="65" t="str">
        <f>IF($C283="","","GG"&amp;TEXT(ROW()-6,"00000"))</f>
        <v/>
      </c>
      <c r="C283" s="66"/>
      <c r="D283" s="60"/>
      <c r="E283" s="61"/>
      <c r="F283" s="61"/>
      <c r="G283" s="67"/>
      <c r="H283" s="60"/>
      <c r="I283" s="60"/>
      <c r="J283" s="61"/>
      <c r="K283" s="61"/>
      <c r="L283" s="60"/>
      <c r="M283" s="74" t="str">
        <f>IF($C283="","",IF($D283="Gider",$E283,IF($L283&lt;&gt;"",$L283,$H283)))</f>
        <v/>
      </c>
      <c r="N283" s="74" t="str">
        <f>IF($C283="","",IF($D283="Gider",$H283,$E283))</f>
        <v/>
      </c>
      <c r="O283" s="73" t="str">
        <f>IF($C283="","",DATE(YEAR($C283),MONTH($C283),1))</f>
        <v/>
      </c>
      <c r="P283" s="65" t="str">
        <f ca="1">IF($C283="","",IF(AND($D283="Gelir",$L283&lt;&gt;"",$T283=""),"TANIMSIZ BORÇLU",IF($T283&lt;&gt;"",IF(OR($E283="",$G283&lt;=0),"EKSİK",IF($I283="Evet","TAHAKKUK NAKİT OLAMAZ",IF($C283&gt;TODAY(),"İLERİ TARİH","TAHAKKUK"))),IF(AND($D283&lt;&gt;"",$E283&lt;&gt;"",$G283&gt;0,$H283&lt;&gt;"",$I283&lt;&gt;""),IF($C283&gt;TODAY(),"İLERİ TARİH",IF(COUNTIF($W$7:$W$3001,$W283)&gt;1,"MÜKERRER?",IF($AD283&gt;0,"KAPALI DÖNEM",IF($I283="Hayır","ÖDENECEK","UYGUN")))),"EKSİK"))))</f>
        <v/>
      </c>
      <c r="Q283" s="2"/>
      <c r="R283" s="2"/>
      <c r="S283" s="1" t="str">
        <f t="shared" si="14"/>
        <v/>
      </c>
      <c r="T283" s="1" t="str">
        <f>IF(OR($C283="",$D283&lt;&gt;"Gelir",$L283=""),"",IFERROR(INDEX(MUSTERILER!$B$7:$B$156,MATCH($S283,MUSTERILER!$T$7:$T$156,0)),""))</f>
        <v/>
      </c>
      <c r="U283" s="1" t="str">
        <f>IF($T283="","",$T283&amp;"|"&amp;COUNTIFS($T$7:$T283,$T283))</f>
        <v/>
      </c>
      <c r="V283" s="1">
        <f t="shared" si="15"/>
        <v>0</v>
      </c>
      <c r="W283" s="1" t="str">
        <f t="shared" si="16"/>
        <v/>
      </c>
      <c r="X283" s="1"/>
      <c r="Y283" s="1"/>
      <c r="Z283" s="1"/>
      <c r="AA283" s="1"/>
      <c r="AB283" s="1"/>
      <c r="AC283" s="1"/>
      <c r="AD283" s="1">
        <f>IF($C283="",0,SUMPRODUCT((AY_SONU!$O$7:$O$42="Evet")*(AY_SONU!$B$7:$B$42=DATE(YEAR($C283),MONTH($C283),1))))</f>
        <v>0</v>
      </c>
      <c r="AE283" s="1" t="str">
        <f>IF($E283="","",$E283&amp;"|"&amp;COUNTIFS($E$7:$E283,$E283))</f>
        <v/>
      </c>
    </row>
    <row r="284" spans="1:31" ht="18" customHeight="1" x14ac:dyDescent="0.3">
      <c r="A284" s="2"/>
      <c r="B284" s="65" t="str">
        <f>IF($C284="","","GG"&amp;TEXT(ROW()-6,"00000"))</f>
        <v/>
      </c>
      <c r="C284" s="66"/>
      <c r="D284" s="60"/>
      <c r="E284" s="61"/>
      <c r="F284" s="61"/>
      <c r="G284" s="67"/>
      <c r="H284" s="60"/>
      <c r="I284" s="60"/>
      <c r="J284" s="61"/>
      <c r="K284" s="61"/>
      <c r="L284" s="60"/>
      <c r="M284" s="74" t="str">
        <f>IF($C284="","",IF($D284="Gider",$E284,IF($L284&lt;&gt;"",$L284,$H284)))</f>
        <v/>
      </c>
      <c r="N284" s="74" t="str">
        <f>IF($C284="","",IF($D284="Gider",$H284,$E284))</f>
        <v/>
      </c>
      <c r="O284" s="73" t="str">
        <f>IF($C284="","",DATE(YEAR($C284),MONTH($C284),1))</f>
        <v/>
      </c>
      <c r="P284" s="65" t="str">
        <f ca="1">IF($C284="","",IF(AND($D284="Gelir",$L284&lt;&gt;"",$T284=""),"TANIMSIZ BORÇLU",IF($T284&lt;&gt;"",IF(OR($E284="",$G284&lt;=0),"EKSİK",IF($I284="Evet","TAHAKKUK NAKİT OLAMAZ",IF($C284&gt;TODAY(),"İLERİ TARİH","TAHAKKUK"))),IF(AND($D284&lt;&gt;"",$E284&lt;&gt;"",$G284&gt;0,$H284&lt;&gt;"",$I284&lt;&gt;""),IF($C284&gt;TODAY(),"İLERİ TARİH",IF(COUNTIF($W$7:$W$3001,$W284)&gt;1,"MÜKERRER?",IF($AD284&gt;0,"KAPALI DÖNEM",IF($I284="Hayır","ÖDENECEK","UYGUN")))),"EKSİK"))))</f>
        <v/>
      </c>
      <c r="Q284" s="2"/>
      <c r="R284" s="2"/>
      <c r="S284" s="1" t="str">
        <f t="shared" si="14"/>
        <v/>
      </c>
      <c r="T284" s="1" t="str">
        <f>IF(OR($C284="",$D284&lt;&gt;"Gelir",$L284=""),"",IFERROR(INDEX(MUSTERILER!$B$7:$B$156,MATCH($S284,MUSTERILER!$T$7:$T$156,0)),""))</f>
        <v/>
      </c>
      <c r="U284" s="1" t="str">
        <f>IF($T284="","",$T284&amp;"|"&amp;COUNTIFS($T$7:$T284,$T284))</f>
        <v/>
      </c>
      <c r="V284" s="1">
        <f t="shared" si="15"/>
        <v>0</v>
      </c>
      <c r="W284" s="1" t="str">
        <f t="shared" si="16"/>
        <v/>
      </c>
      <c r="X284" s="1"/>
      <c r="Y284" s="1"/>
      <c r="Z284" s="1"/>
      <c r="AA284" s="1"/>
      <c r="AB284" s="1"/>
      <c r="AC284" s="1"/>
      <c r="AD284" s="1">
        <f>IF($C284="",0,SUMPRODUCT((AY_SONU!$O$7:$O$42="Evet")*(AY_SONU!$B$7:$B$42=DATE(YEAR($C284),MONTH($C284),1))))</f>
        <v>0</v>
      </c>
      <c r="AE284" s="1" t="str">
        <f>IF($E284="","",$E284&amp;"|"&amp;COUNTIFS($E$7:$E284,$E284))</f>
        <v/>
      </c>
    </row>
    <row r="285" spans="1:31" ht="18" customHeight="1" x14ac:dyDescent="0.3">
      <c r="A285" s="2"/>
      <c r="B285" s="65" t="str">
        <f>IF($C285="","","GG"&amp;TEXT(ROW()-6,"00000"))</f>
        <v/>
      </c>
      <c r="C285" s="66"/>
      <c r="D285" s="60"/>
      <c r="E285" s="61"/>
      <c r="F285" s="61"/>
      <c r="G285" s="67"/>
      <c r="H285" s="60"/>
      <c r="I285" s="60"/>
      <c r="J285" s="61"/>
      <c r="K285" s="61"/>
      <c r="L285" s="60"/>
      <c r="M285" s="74" t="str">
        <f>IF($C285="","",IF($D285="Gider",$E285,IF($L285&lt;&gt;"",$L285,$H285)))</f>
        <v/>
      </c>
      <c r="N285" s="74" t="str">
        <f>IF($C285="","",IF($D285="Gider",$H285,$E285))</f>
        <v/>
      </c>
      <c r="O285" s="73" t="str">
        <f>IF($C285="","",DATE(YEAR($C285),MONTH($C285),1))</f>
        <v/>
      </c>
      <c r="P285" s="65" t="str">
        <f ca="1">IF($C285="","",IF(AND($D285="Gelir",$L285&lt;&gt;"",$T285=""),"TANIMSIZ BORÇLU",IF($T285&lt;&gt;"",IF(OR($E285="",$G285&lt;=0),"EKSİK",IF($I285="Evet","TAHAKKUK NAKİT OLAMAZ",IF($C285&gt;TODAY(),"İLERİ TARİH","TAHAKKUK"))),IF(AND($D285&lt;&gt;"",$E285&lt;&gt;"",$G285&gt;0,$H285&lt;&gt;"",$I285&lt;&gt;""),IF($C285&gt;TODAY(),"İLERİ TARİH",IF(COUNTIF($W$7:$W$3001,$W285)&gt;1,"MÜKERRER?",IF($AD285&gt;0,"KAPALI DÖNEM",IF($I285="Hayır","ÖDENECEK","UYGUN")))),"EKSİK"))))</f>
        <v/>
      </c>
      <c r="Q285" s="2"/>
      <c r="R285" s="2"/>
      <c r="S285" s="1" t="str">
        <f t="shared" si="14"/>
        <v/>
      </c>
      <c r="T285" s="1" t="str">
        <f>IF(OR($C285="",$D285&lt;&gt;"Gelir",$L285=""),"",IFERROR(INDEX(MUSTERILER!$B$7:$B$156,MATCH($S285,MUSTERILER!$T$7:$T$156,0)),""))</f>
        <v/>
      </c>
      <c r="U285" s="1" t="str">
        <f>IF($T285="","",$T285&amp;"|"&amp;COUNTIFS($T$7:$T285,$T285))</f>
        <v/>
      </c>
      <c r="V285" s="1">
        <f t="shared" si="15"/>
        <v>0</v>
      </c>
      <c r="W285" s="1" t="str">
        <f t="shared" si="16"/>
        <v/>
      </c>
      <c r="X285" s="1"/>
      <c r="Y285" s="1"/>
      <c r="Z285" s="1"/>
      <c r="AA285" s="1"/>
      <c r="AB285" s="1"/>
      <c r="AC285" s="1"/>
      <c r="AD285" s="1">
        <f>IF($C285="",0,SUMPRODUCT((AY_SONU!$O$7:$O$42="Evet")*(AY_SONU!$B$7:$B$42=DATE(YEAR($C285),MONTH($C285),1))))</f>
        <v>0</v>
      </c>
      <c r="AE285" s="1" t="str">
        <f>IF($E285="","",$E285&amp;"|"&amp;COUNTIFS($E$7:$E285,$E285))</f>
        <v/>
      </c>
    </row>
    <row r="286" spans="1:31" ht="18" customHeight="1" x14ac:dyDescent="0.3">
      <c r="A286" s="2"/>
      <c r="B286" s="65" t="str">
        <f>IF($C286="","","GG"&amp;TEXT(ROW()-6,"00000"))</f>
        <v/>
      </c>
      <c r="C286" s="66"/>
      <c r="D286" s="60"/>
      <c r="E286" s="61"/>
      <c r="F286" s="61"/>
      <c r="G286" s="67"/>
      <c r="H286" s="60"/>
      <c r="I286" s="60"/>
      <c r="J286" s="61"/>
      <c r="K286" s="61"/>
      <c r="L286" s="60"/>
      <c r="M286" s="74" t="str">
        <f>IF($C286="","",IF($D286="Gider",$E286,IF($L286&lt;&gt;"",$L286,$H286)))</f>
        <v/>
      </c>
      <c r="N286" s="74" t="str">
        <f>IF($C286="","",IF($D286="Gider",$H286,$E286))</f>
        <v/>
      </c>
      <c r="O286" s="73" t="str">
        <f>IF($C286="","",DATE(YEAR($C286),MONTH($C286),1))</f>
        <v/>
      </c>
      <c r="P286" s="65" t="str">
        <f ca="1">IF($C286="","",IF(AND($D286="Gelir",$L286&lt;&gt;"",$T286=""),"TANIMSIZ BORÇLU",IF($T286&lt;&gt;"",IF(OR($E286="",$G286&lt;=0),"EKSİK",IF($I286="Evet","TAHAKKUK NAKİT OLAMAZ",IF($C286&gt;TODAY(),"İLERİ TARİH","TAHAKKUK"))),IF(AND($D286&lt;&gt;"",$E286&lt;&gt;"",$G286&gt;0,$H286&lt;&gt;"",$I286&lt;&gt;""),IF($C286&gt;TODAY(),"İLERİ TARİH",IF(COUNTIF($W$7:$W$3001,$W286)&gt;1,"MÜKERRER?",IF($AD286&gt;0,"KAPALI DÖNEM",IF($I286="Hayır","ÖDENECEK","UYGUN")))),"EKSİK"))))</f>
        <v/>
      </c>
      <c r="Q286" s="2"/>
      <c r="R286" s="2"/>
      <c r="S286" s="1" t="str">
        <f t="shared" si="14"/>
        <v/>
      </c>
      <c r="T286" s="1" t="str">
        <f>IF(OR($C286="",$D286&lt;&gt;"Gelir",$L286=""),"",IFERROR(INDEX(MUSTERILER!$B$7:$B$156,MATCH($S286,MUSTERILER!$T$7:$T$156,0)),""))</f>
        <v/>
      </c>
      <c r="U286" s="1" t="str">
        <f>IF($T286="","",$T286&amp;"|"&amp;COUNTIFS($T$7:$T286,$T286))</f>
        <v/>
      </c>
      <c r="V286" s="1">
        <f t="shared" si="15"/>
        <v>0</v>
      </c>
      <c r="W286" s="1" t="str">
        <f t="shared" si="16"/>
        <v/>
      </c>
      <c r="X286" s="1"/>
      <c r="Y286" s="1"/>
      <c r="Z286" s="1"/>
      <c r="AA286" s="1"/>
      <c r="AB286" s="1"/>
      <c r="AC286" s="1"/>
      <c r="AD286" s="1">
        <f>IF($C286="",0,SUMPRODUCT((AY_SONU!$O$7:$O$42="Evet")*(AY_SONU!$B$7:$B$42=DATE(YEAR($C286),MONTH($C286),1))))</f>
        <v>0</v>
      </c>
      <c r="AE286" s="1" t="str">
        <f>IF($E286="","",$E286&amp;"|"&amp;COUNTIFS($E$7:$E286,$E286))</f>
        <v/>
      </c>
    </row>
    <row r="287" spans="1:31" ht="18" customHeight="1" x14ac:dyDescent="0.3">
      <c r="A287" s="2"/>
      <c r="B287" s="65" t="str">
        <f>IF($C287="","","GG"&amp;TEXT(ROW()-6,"00000"))</f>
        <v/>
      </c>
      <c r="C287" s="66"/>
      <c r="D287" s="60"/>
      <c r="E287" s="61"/>
      <c r="F287" s="61"/>
      <c r="G287" s="67"/>
      <c r="H287" s="60"/>
      <c r="I287" s="60"/>
      <c r="J287" s="61"/>
      <c r="K287" s="61"/>
      <c r="L287" s="60"/>
      <c r="M287" s="74" t="str">
        <f>IF($C287="","",IF($D287="Gider",$E287,IF($L287&lt;&gt;"",$L287,$H287)))</f>
        <v/>
      </c>
      <c r="N287" s="74" t="str">
        <f>IF($C287="","",IF($D287="Gider",$H287,$E287))</f>
        <v/>
      </c>
      <c r="O287" s="73" t="str">
        <f>IF($C287="","",DATE(YEAR($C287),MONTH($C287),1))</f>
        <v/>
      </c>
      <c r="P287" s="65" t="str">
        <f ca="1">IF($C287="","",IF(AND($D287="Gelir",$L287&lt;&gt;"",$T287=""),"TANIMSIZ BORÇLU",IF($T287&lt;&gt;"",IF(OR($E287="",$G287&lt;=0),"EKSİK",IF($I287="Evet","TAHAKKUK NAKİT OLAMAZ",IF($C287&gt;TODAY(),"İLERİ TARİH","TAHAKKUK"))),IF(AND($D287&lt;&gt;"",$E287&lt;&gt;"",$G287&gt;0,$H287&lt;&gt;"",$I287&lt;&gt;""),IF($C287&gt;TODAY(),"İLERİ TARİH",IF(COUNTIF($W$7:$W$3001,$W287)&gt;1,"MÜKERRER?",IF($AD287&gt;0,"KAPALI DÖNEM",IF($I287="Hayır","ÖDENECEK","UYGUN")))),"EKSİK"))))</f>
        <v/>
      </c>
      <c r="Q287" s="2"/>
      <c r="R287" s="2"/>
      <c r="S287" s="1" t="str">
        <f t="shared" si="14"/>
        <v/>
      </c>
      <c r="T287" s="1" t="str">
        <f>IF(OR($C287="",$D287&lt;&gt;"Gelir",$L287=""),"",IFERROR(INDEX(MUSTERILER!$B$7:$B$156,MATCH($S287,MUSTERILER!$T$7:$T$156,0)),""))</f>
        <v/>
      </c>
      <c r="U287" s="1" t="str">
        <f>IF($T287="","",$T287&amp;"|"&amp;COUNTIFS($T$7:$T287,$T287))</f>
        <v/>
      </c>
      <c r="V287" s="1">
        <f t="shared" si="15"/>
        <v>0</v>
      </c>
      <c r="W287" s="1" t="str">
        <f t="shared" si="16"/>
        <v/>
      </c>
      <c r="X287" s="1"/>
      <c r="Y287" s="1"/>
      <c r="Z287" s="1"/>
      <c r="AA287" s="1"/>
      <c r="AB287" s="1"/>
      <c r="AC287" s="1"/>
      <c r="AD287" s="1">
        <f>IF($C287="",0,SUMPRODUCT((AY_SONU!$O$7:$O$42="Evet")*(AY_SONU!$B$7:$B$42=DATE(YEAR($C287),MONTH($C287),1))))</f>
        <v>0</v>
      </c>
      <c r="AE287" s="1" t="str">
        <f>IF($E287="","",$E287&amp;"|"&amp;COUNTIFS($E$7:$E287,$E287))</f>
        <v/>
      </c>
    </row>
    <row r="288" spans="1:31" ht="18" customHeight="1" x14ac:dyDescent="0.3">
      <c r="A288" s="2"/>
      <c r="B288" s="65" t="str">
        <f>IF($C288="","","GG"&amp;TEXT(ROW()-6,"00000"))</f>
        <v/>
      </c>
      <c r="C288" s="66"/>
      <c r="D288" s="60"/>
      <c r="E288" s="61"/>
      <c r="F288" s="61"/>
      <c r="G288" s="67"/>
      <c r="H288" s="60"/>
      <c r="I288" s="60"/>
      <c r="J288" s="61"/>
      <c r="K288" s="61"/>
      <c r="L288" s="60"/>
      <c r="M288" s="74" t="str">
        <f>IF($C288="","",IF($D288="Gider",$E288,IF($L288&lt;&gt;"",$L288,$H288)))</f>
        <v/>
      </c>
      <c r="N288" s="74" t="str">
        <f>IF($C288="","",IF($D288="Gider",$H288,$E288))</f>
        <v/>
      </c>
      <c r="O288" s="73" t="str">
        <f>IF($C288="","",DATE(YEAR($C288),MONTH($C288),1))</f>
        <v/>
      </c>
      <c r="P288" s="65" t="str">
        <f ca="1">IF($C288="","",IF(AND($D288="Gelir",$L288&lt;&gt;"",$T288=""),"TANIMSIZ BORÇLU",IF($T288&lt;&gt;"",IF(OR($E288="",$G288&lt;=0),"EKSİK",IF($I288="Evet","TAHAKKUK NAKİT OLAMAZ",IF($C288&gt;TODAY(),"İLERİ TARİH","TAHAKKUK"))),IF(AND($D288&lt;&gt;"",$E288&lt;&gt;"",$G288&gt;0,$H288&lt;&gt;"",$I288&lt;&gt;""),IF($C288&gt;TODAY(),"İLERİ TARİH",IF(COUNTIF($W$7:$W$3001,$W288)&gt;1,"MÜKERRER?",IF($AD288&gt;0,"KAPALI DÖNEM",IF($I288="Hayır","ÖDENECEK","UYGUN")))),"EKSİK"))))</f>
        <v/>
      </c>
      <c r="Q288" s="2"/>
      <c r="R288" s="2"/>
      <c r="S288" s="1" t="str">
        <f t="shared" si="14"/>
        <v/>
      </c>
      <c r="T288" s="1" t="str">
        <f>IF(OR($C288="",$D288&lt;&gt;"Gelir",$L288=""),"",IFERROR(INDEX(MUSTERILER!$B$7:$B$156,MATCH($S288,MUSTERILER!$T$7:$T$156,0)),""))</f>
        <v/>
      </c>
      <c r="U288" s="1" t="str">
        <f>IF($T288="","",$T288&amp;"|"&amp;COUNTIFS($T$7:$T288,$T288))</f>
        <v/>
      </c>
      <c r="V288" s="1">
        <f t="shared" si="15"/>
        <v>0</v>
      </c>
      <c r="W288" s="1" t="str">
        <f t="shared" si="16"/>
        <v/>
      </c>
      <c r="X288" s="1"/>
      <c r="Y288" s="1"/>
      <c r="Z288" s="1"/>
      <c r="AA288" s="1"/>
      <c r="AB288" s="1"/>
      <c r="AC288" s="1"/>
      <c r="AD288" s="1">
        <f>IF($C288="",0,SUMPRODUCT((AY_SONU!$O$7:$O$42="Evet")*(AY_SONU!$B$7:$B$42=DATE(YEAR($C288),MONTH($C288),1))))</f>
        <v>0</v>
      </c>
      <c r="AE288" s="1" t="str">
        <f>IF($E288="","",$E288&amp;"|"&amp;COUNTIFS($E$7:$E288,$E288))</f>
        <v/>
      </c>
    </row>
    <row r="289" spans="1:31" ht="18" customHeight="1" x14ac:dyDescent="0.3">
      <c r="A289" s="2"/>
      <c r="B289" s="65" t="str">
        <f>IF($C289="","","GG"&amp;TEXT(ROW()-6,"00000"))</f>
        <v/>
      </c>
      <c r="C289" s="66"/>
      <c r="D289" s="60"/>
      <c r="E289" s="61"/>
      <c r="F289" s="61"/>
      <c r="G289" s="67"/>
      <c r="H289" s="60"/>
      <c r="I289" s="60"/>
      <c r="J289" s="61"/>
      <c r="K289" s="61"/>
      <c r="L289" s="60"/>
      <c r="M289" s="74" t="str">
        <f>IF($C289="","",IF($D289="Gider",$E289,IF($L289&lt;&gt;"",$L289,$H289)))</f>
        <v/>
      </c>
      <c r="N289" s="74" t="str">
        <f>IF($C289="","",IF($D289="Gider",$H289,$E289))</f>
        <v/>
      </c>
      <c r="O289" s="73" t="str">
        <f>IF($C289="","",DATE(YEAR($C289),MONTH($C289),1))</f>
        <v/>
      </c>
      <c r="P289" s="65" t="str">
        <f ca="1">IF($C289="","",IF(AND($D289="Gelir",$L289&lt;&gt;"",$T289=""),"TANIMSIZ BORÇLU",IF($T289&lt;&gt;"",IF(OR($E289="",$G289&lt;=0),"EKSİK",IF($I289="Evet","TAHAKKUK NAKİT OLAMAZ",IF($C289&gt;TODAY(),"İLERİ TARİH","TAHAKKUK"))),IF(AND($D289&lt;&gt;"",$E289&lt;&gt;"",$G289&gt;0,$H289&lt;&gt;"",$I289&lt;&gt;""),IF($C289&gt;TODAY(),"İLERİ TARİH",IF(COUNTIF($W$7:$W$3001,$W289)&gt;1,"MÜKERRER?",IF($AD289&gt;0,"KAPALI DÖNEM",IF($I289="Hayır","ÖDENECEK","UYGUN")))),"EKSİK"))))</f>
        <v/>
      </c>
      <c r="Q289" s="2"/>
      <c r="R289" s="2"/>
      <c r="S289" s="1" t="str">
        <f t="shared" si="14"/>
        <v/>
      </c>
      <c r="T289" s="1" t="str">
        <f>IF(OR($C289="",$D289&lt;&gt;"Gelir",$L289=""),"",IFERROR(INDEX(MUSTERILER!$B$7:$B$156,MATCH($S289,MUSTERILER!$T$7:$T$156,0)),""))</f>
        <v/>
      </c>
      <c r="U289" s="1" t="str">
        <f>IF($T289="","",$T289&amp;"|"&amp;COUNTIFS($T$7:$T289,$T289))</f>
        <v/>
      </c>
      <c r="V289" s="1">
        <f t="shared" si="15"/>
        <v>0</v>
      </c>
      <c r="W289" s="1" t="str">
        <f t="shared" si="16"/>
        <v/>
      </c>
      <c r="X289" s="1"/>
      <c r="Y289" s="1"/>
      <c r="Z289" s="1"/>
      <c r="AA289" s="1"/>
      <c r="AB289" s="1"/>
      <c r="AC289" s="1"/>
      <c r="AD289" s="1">
        <f>IF($C289="",0,SUMPRODUCT((AY_SONU!$O$7:$O$42="Evet")*(AY_SONU!$B$7:$B$42=DATE(YEAR($C289),MONTH($C289),1))))</f>
        <v>0</v>
      </c>
      <c r="AE289" s="1" t="str">
        <f>IF($E289="","",$E289&amp;"|"&amp;COUNTIFS($E$7:$E289,$E289))</f>
        <v/>
      </c>
    </row>
    <row r="290" spans="1:31" ht="18" customHeight="1" x14ac:dyDescent="0.3">
      <c r="A290" s="2"/>
      <c r="B290" s="65" t="str">
        <f>IF($C290="","","GG"&amp;TEXT(ROW()-6,"00000"))</f>
        <v/>
      </c>
      <c r="C290" s="66"/>
      <c r="D290" s="60"/>
      <c r="E290" s="61"/>
      <c r="F290" s="61"/>
      <c r="G290" s="67"/>
      <c r="H290" s="60"/>
      <c r="I290" s="60"/>
      <c r="J290" s="61"/>
      <c r="K290" s="61"/>
      <c r="L290" s="60"/>
      <c r="M290" s="74" t="str">
        <f>IF($C290="","",IF($D290="Gider",$E290,IF($L290&lt;&gt;"",$L290,$H290)))</f>
        <v/>
      </c>
      <c r="N290" s="74" t="str">
        <f>IF($C290="","",IF($D290="Gider",$H290,$E290))</f>
        <v/>
      </c>
      <c r="O290" s="73" t="str">
        <f>IF($C290="","",DATE(YEAR($C290),MONTH($C290),1))</f>
        <v/>
      </c>
      <c r="P290" s="65" t="str">
        <f ca="1">IF($C290="","",IF(AND($D290="Gelir",$L290&lt;&gt;"",$T290=""),"TANIMSIZ BORÇLU",IF($T290&lt;&gt;"",IF(OR($E290="",$G290&lt;=0),"EKSİK",IF($I290="Evet","TAHAKKUK NAKİT OLAMAZ",IF($C290&gt;TODAY(),"İLERİ TARİH","TAHAKKUK"))),IF(AND($D290&lt;&gt;"",$E290&lt;&gt;"",$G290&gt;0,$H290&lt;&gt;"",$I290&lt;&gt;""),IF($C290&gt;TODAY(),"İLERİ TARİH",IF(COUNTIF($W$7:$W$3001,$W290)&gt;1,"MÜKERRER?",IF($AD290&gt;0,"KAPALI DÖNEM",IF($I290="Hayır","ÖDENECEK","UYGUN")))),"EKSİK"))))</f>
        <v/>
      </c>
      <c r="Q290" s="2"/>
      <c r="R290" s="2"/>
      <c r="S290" s="1" t="str">
        <f t="shared" si="14"/>
        <v/>
      </c>
      <c r="T290" s="1" t="str">
        <f>IF(OR($C290="",$D290&lt;&gt;"Gelir",$L290=""),"",IFERROR(INDEX(MUSTERILER!$B$7:$B$156,MATCH($S290,MUSTERILER!$T$7:$T$156,0)),""))</f>
        <v/>
      </c>
      <c r="U290" s="1" t="str">
        <f>IF($T290="","",$T290&amp;"|"&amp;COUNTIFS($T$7:$T290,$T290))</f>
        <v/>
      </c>
      <c r="V290" s="1">
        <f t="shared" si="15"/>
        <v>0</v>
      </c>
      <c r="W290" s="1" t="str">
        <f t="shared" si="16"/>
        <v/>
      </c>
      <c r="X290" s="1"/>
      <c r="Y290" s="1"/>
      <c r="Z290" s="1"/>
      <c r="AA290" s="1"/>
      <c r="AB290" s="1"/>
      <c r="AC290" s="1"/>
      <c r="AD290" s="1">
        <f>IF($C290="",0,SUMPRODUCT((AY_SONU!$O$7:$O$42="Evet")*(AY_SONU!$B$7:$B$42=DATE(YEAR($C290),MONTH($C290),1))))</f>
        <v>0</v>
      </c>
      <c r="AE290" s="1" t="str">
        <f>IF($E290="","",$E290&amp;"|"&amp;COUNTIFS($E$7:$E290,$E290))</f>
        <v/>
      </c>
    </row>
    <row r="291" spans="1:31" ht="18" customHeight="1" x14ac:dyDescent="0.3">
      <c r="A291" s="2"/>
      <c r="B291" s="65" t="str">
        <f>IF($C291="","","GG"&amp;TEXT(ROW()-6,"00000"))</f>
        <v/>
      </c>
      <c r="C291" s="66"/>
      <c r="D291" s="60"/>
      <c r="E291" s="61"/>
      <c r="F291" s="61"/>
      <c r="G291" s="67"/>
      <c r="H291" s="60"/>
      <c r="I291" s="60"/>
      <c r="J291" s="61"/>
      <c r="K291" s="61"/>
      <c r="L291" s="60"/>
      <c r="M291" s="74" t="str">
        <f>IF($C291="","",IF($D291="Gider",$E291,IF($L291&lt;&gt;"",$L291,$H291)))</f>
        <v/>
      </c>
      <c r="N291" s="74" t="str">
        <f>IF($C291="","",IF($D291="Gider",$H291,$E291))</f>
        <v/>
      </c>
      <c r="O291" s="73" t="str">
        <f>IF($C291="","",DATE(YEAR($C291),MONTH($C291),1))</f>
        <v/>
      </c>
      <c r="P291" s="65" t="str">
        <f ca="1">IF($C291="","",IF(AND($D291="Gelir",$L291&lt;&gt;"",$T291=""),"TANIMSIZ BORÇLU",IF($T291&lt;&gt;"",IF(OR($E291="",$G291&lt;=0),"EKSİK",IF($I291="Evet","TAHAKKUK NAKİT OLAMAZ",IF($C291&gt;TODAY(),"İLERİ TARİH","TAHAKKUK"))),IF(AND($D291&lt;&gt;"",$E291&lt;&gt;"",$G291&gt;0,$H291&lt;&gt;"",$I291&lt;&gt;""),IF($C291&gt;TODAY(),"İLERİ TARİH",IF(COUNTIF($W$7:$W$3001,$W291)&gt;1,"MÜKERRER?",IF($AD291&gt;0,"KAPALI DÖNEM",IF($I291="Hayır","ÖDENECEK","UYGUN")))),"EKSİK"))))</f>
        <v/>
      </c>
      <c r="Q291" s="2"/>
      <c r="R291" s="2"/>
      <c r="S291" s="1" t="str">
        <f t="shared" si="14"/>
        <v/>
      </c>
      <c r="T291" s="1" t="str">
        <f>IF(OR($C291="",$D291&lt;&gt;"Gelir",$L291=""),"",IFERROR(INDEX(MUSTERILER!$B$7:$B$156,MATCH($S291,MUSTERILER!$T$7:$T$156,0)),""))</f>
        <v/>
      </c>
      <c r="U291" s="1" t="str">
        <f>IF($T291="","",$T291&amp;"|"&amp;COUNTIFS($T$7:$T291,$T291))</f>
        <v/>
      </c>
      <c r="V291" s="1">
        <f t="shared" si="15"/>
        <v>0</v>
      </c>
      <c r="W291" s="1" t="str">
        <f t="shared" si="16"/>
        <v/>
      </c>
      <c r="X291" s="1"/>
      <c r="Y291" s="1"/>
      <c r="Z291" s="1"/>
      <c r="AA291" s="1"/>
      <c r="AB291" s="1"/>
      <c r="AC291" s="1"/>
      <c r="AD291" s="1">
        <f>IF($C291="",0,SUMPRODUCT((AY_SONU!$O$7:$O$42="Evet")*(AY_SONU!$B$7:$B$42=DATE(YEAR($C291),MONTH($C291),1))))</f>
        <v>0</v>
      </c>
      <c r="AE291" s="1" t="str">
        <f>IF($E291="","",$E291&amp;"|"&amp;COUNTIFS($E$7:$E291,$E291))</f>
        <v/>
      </c>
    </row>
    <row r="292" spans="1:31" ht="18" customHeight="1" x14ac:dyDescent="0.3">
      <c r="A292" s="2"/>
      <c r="B292" s="65" t="str">
        <f>IF($C292="","","GG"&amp;TEXT(ROW()-6,"00000"))</f>
        <v/>
      </c>
      <c r="C292" s="66"/>
      <c r="D292" s="60"/>
      <c r="E292" s="61"/>
      <c r="F292" s="61"/>
      <c r="G292" s="67"/>
      <c r="H292" s="60"/>
      <c r="I292" s="60"/>
      <c r="J292" s="61"/>
      <c r="K292" s="61"/>
      <c r="L292" s="60"/>
      <c r="M292" s="74" t="str">
        <f>IF($C292="","",IF($D292="Gider",$E292,IF($L292&lt;&gt;"",$L292,$H292)))</f>
        <v/>
      </c>
      <c r="N292" s="74" t="str">
        <f>IF($C292="","",IF($D292="Gider",$H292,$E292))</f>
        <v/>
      </c>
      <c r="O292" s="73" t="str">
        <f>IF($C292="","",DATE(YEAR($C292),MONTH($C292),1))</f>
        <v/>
      </c>
      <c r="P292" s="65" t="str">
        <f ca="1">IF($C292="","",IF(AND($D292="Gelir",$L292&lt;&gt;"",$T292=""),"TANIMSIZ BORÇLU",IF($T292&lt;&gt;"",IF(OR($E292="",$G292&lt;=0),"EKSİK",IF($I292="Evet","TAHAKKUK NAKİT OLAMAZ",IF($C292&gt;TODAY(),"İLERİ TARİH","TAHAKKUK"))),IF(AND($D292&lt;&gt;"",$E292&lt;&gt;"",$G292&gt;0,$H292&lt;&gt;"",$I292&lt;&gt;""),IF($C292&gt;TODAY(),"İLERİ TARİH",IF(COUNTIF($W$7:$W$3001,$W292)&gt;1,"MÜKERRER?",IF($AD292&gt;0,"KAPALI DÖNEM",IF($I292="Hayır","ÖDENECEK","UYGUN")))),"EKSİK"))))</f>
        <v/>
      </c>
      <c r="Q292" s="2"/>
      <c r="R292" s="2"/>
      <c r="S292" s="1" t="str">
        <f t="shared" si="14"/>
        <v/>
      </c>
      <c r="T292" s="1" t="str">
        <f>IF(OR($C292="",$D292&lt;&gt;"Gelir",$L292=""),"",IFERROR(INDEX(MUSTERILER!$B$7:$B$156,MATCH($S292,MUSTERILER!$T$7:$T$156,0)),""))</f>
        <v/>
      </c>
      <c r="U292" s="1" t="str">
        <f>IF($T292="","",$T292&amp;"|"&amp;COUNTIFS($T$7:$T292,$T292))</f>
        <v/>
      </c>
      <c r="V292" s="1">
        <f t="shared" si="15"/>
        <v>0</v>
      </c>
      <c r="W292" s="1" t="str">
        <f t="shared" si="16"/>
        <v/>
      </c>
      <c r="X292" s="1"/>
      <c r="Y292" s="1"/>
      <c r="Z292" s="1"/>
      <c r="AA292" s="1"/>
      <c r="AB292" s="1"/>
      <c r="AC292" s="1"/>
      <c r="AD292" s="1">
        <f>IF($C292="",0,SUMPRODUCT((AY_SONU!$O$7:$O$42="Evet")*(AY_SONU!$B$7:$B$42=DATE(YEAR($C292),MONTH($C292),1))))</f>
        <v>0</v>
      </c>
      <c r="AE292" s="1" t="str">
        <f>IF($E292="","",$E292&amp;"|"&amp;COUNTIFS($E$7:$E292,$E292))</f>
        <v/>
      </c>
    </row>
    <row r="293" spans="1:31" ht="18" customHeight="1" x14ac:dyDescent="0.3">
      <c r="A293" s="2"/>
      <c r="B293" s="65" t="str">
        <f>IF($C293="","","GG"&amp;TEXT(ROW()-6,"00000"))</f>
        <v/>
      </c>
      <c r="C293" s="66"/>
      <c r="D293" s="60"/>
      <c r="E293" s="61"/>
      <c r="F293" s="61"/>
      <c r="G293" s="67"/>
      <c r="H293" s="60"/>
      <c r="I293" s="60"/>
      <c r="J293" s="61"/>
      <c r="K293" s="61"/>
      <c r="L293" s="60"/>
      <c r="M293" s="74" t="str">
        <f>IF($C293="","",IF($D293="Gider",$E293,IF($L293&lt;&gt;"",$L293,$H293)))</f>
        <v/>
      </c>
      <c r="N293" s="74" t="str">
        <f>IF($C293="","",IF($D293="Gider",$H293,$E293))</f>
        <v/>
      </c>
      <c r="O293" s="73" t="str">
        <f>IF($C293="","",DATE(YEAR($C293),MONTH($C293),1))</f>
        <v/>
      </c>
      <c r="P293" s="65" t="str">
        <f ca="1">IF($C293="","",IF(AND($D293="Gelir",$L293&lt;&gt;"",$T293=""),"TANIMSIZ BORÇLU",IF($T293&lt;&gt;"",IF(OR($E293="",$G293&lt;=0),"EKSİK",IF($I293="Evet","TAHAKKUK NAKİT OLAMAZ",IF($C293&gt;TODAY(),"İLERİ TARİH","TAHAKKUK"))),IF(AND($D293&lt;&gt;"",$E293&lt;&gt;"",$G293&gt;0,$H293&lt;&gt;"",$I293&lt;&gt;""),IF($C293&gt;TODAY(),"İLERİ TARİH",IF(COUNTIF($W$7:$W$3001,$W293)&gt;1,"MÜKERRER?",IF($AD293&gt;0,"KAPALI DÖNEM",IF($I293="Hayır","ÖDENECEK","UYGUN")))),"EKSİK"))))</f>
        <v/>
      </c>
      <c r="Q293" s="2"/>
      <c r="R293" s="2"/>
      <c r="S293" s="1" t="str">
        <f t="shared" si="14"/>
        <v/>
      </c>
      <c r="T293" s="1" t="str">
        <f>IF(OR($C293="",$D293&lt;&gt;"Gelir",$L293=""),"",IFERROR(INDEX(MUSTERILER!$B$7:$B$156,MATCH($S293,MUSTERILER!$T$7:$T$156,0)),""))</f>
        <v/>
      </c>
      <c r="U293" s="1" t="str">
        <f>IF($T293="","",$T293&amp;"|"&amp;COUNTIFS($T$7:$T293,$T293))</f>
        <v/>
      </c>
      <c r="V293" s="1">
        <f t="shared" si="15"/>
        <v>0</v>
      </c>
      <c r="W293" s="1" t="str">
        <f t="shared" si="16"/>
        <v/>
      </c>
      <c r="X293" s="1"/>
      <c r="Y293" s="1"/>
      <c r="Z293" s="1"/>
      <c r="AA293" s="1"/>
      <c r="AB293" s="1"/>
      <c r="AC293" s="1"/>
      <c r="AD293" s="1">
        <f>IF($C293="",0,SUMPRODUCT((AY_SONU!$O$7:$O$42="Evet")*(AY_SONU!$B$7:$B$42=DATE(YEAR($C293),MONTH($C293),1))))</f>
        <v>0</v>
      </c>
      <c r="AE293" s="1" t="str">
        <f>IF($E293="","",$E293&amp;"|"&amp;COUNTIFS($E$7:$E293,$E293))</f>
        <v/>
      </c>
    </row>
    <row r="294" spans="1:31" ht="18" customHeight="1" x14ac:dyDescent="0.3">
      <c r="A294" s="2"/>
      <c r="B294" s="65" t="str">
        <f>IF($C294="","","GG"&amp;TEXT(ROW()-6,"00000"))</f>
        <v/>
      </c>
      <c r="C294" s="66"/>
      <c r="D294" s="60"/>
      <c r="E294" s="61"/>
      <c r="F294" s="61"/>
      <c r="G294" s="67"/>
      <c r="H294" s="60"/>
      <c r="I294" s="60"/>
      <c r="J294" s="61"/>
      <c r="K294" s="61"/>
      <c r="L294" s="60"/>
      <c r="M294" s="74" t="str">
        <f>IF($C294="","",IF($D294="Gider",$E294,IF($L294&lt;&gt;"",$L294,$H294)))</f>
        <v/>
      </c>
      <c r="N294" s="74" t="str">
        <f>IF($C294="","",IF($D294="Gider",$H294,$E294))</f>
        <v/>
      </c>
      <c r="O294" s="73" t="str">
        <f>IF($C294="","",DATE(YEAR($C294),MONTH($C294),1))</f>
        <v/>
      </c>
      <c r="P294" s="65" t="str">
        <f ca="1">IF($C294="","",IF(AND($D294="Gelir",$L294&lt;&gt;"",$T294=""),"TANIMSIZ BORÇLU",IF($T294&lt;&gt;"",IF(OR($E294="",$G294&lt;=0),"EKSİK",IF($I294="Evet","TAHAKKUK NAKİT OLAMAZ",IF($C294&gt;TODAY(),"İLERİ TARİH","TAHAKKUK"))),IF(AND($D294&lt;&gt;"",$E294&lt;&gt;"",$G294&gt;0,$H294&lt;&gt;"",$I294&lt;&gt;""),IF($C294&gt;TODAY(),"İLERİ TARİH",IF(COUNTIF($W$7:$W$3001,$W294)&gt;1,"MÜKERRER?",IF($AD294&gt;0,"KAPALI DÖNEM",IF($I294="Hayır","ÖDENECEK","UYGUN")))),"EKSİK"))))</f>
        <v/>
      </c>
      <c r="Q294" s="2"/>
      <c r="R294" s="2"/>
      <c r="S294" s="1" t="str">
        <f t="shared" si="14"/>
        <v/>
      </c>
      <c r="T294" s="1" t="str">
        <f>IF(OR($C294="",$D294&lt;&gt;"Gelir",$L294=""),"",IFERROR(INDEX(MUSTERILER!$B$7:$B$156,MATCH($S294,MUSTERILER!$T$7:$T$156,0)),""))</f>
        <v/>
      </c>
      <c r="U294" s="1" t="str">
        <f>IF($T294="","",$T294&amp;"|"&amp;COUNTIFS($T$7:$T294,$T294))</f>
        <v/>
      </c>
      <c r="V294" s="1">
        <f t="shared" si="15"/>
        <v>0</v>
      </c>
      <c r="W294" s="1" t="str">
        <f t="shared" si="16"/>
        <v/>
      </c>
      <c r="X294" s="1"/>
      <c r="Y294" s="1"/>
      <c r="Z294" s="1"/>
      <c r="AA294" s="1"/>
      <c r="AB294" s="1"/>
      <c r="AC294" s="1"/>
      <c r="AD294" s="1">
        <f>IF($C294="",0,SUMPRODUCT((AY_SONU!$O$7:$O$42="Evet")*(AY_SONU!$B$7:$B$42=DATE(YEAR($C294),MONTH($C294),1))))</f>
        <v>0</v>
      </c>
      <c r="AE294" s="1" t="str">
        <f>IF($E294="","",$E294&amp;"|"&amp;COUNTIFS($E$7:$E294,$E294))</f>
        <v/>
      </c>
    </row>
    <row r="295" spans="1:31" ht="18" customHeight="1" x14ac:dyDescent="0.3">
      <c r="A295" s="2"/>
      <c r="B295" s="65" t="str">
        <f>IF($C295="","","GG"&amp;TEXT(ROW()-6,"00000"))</f>
        <v/>
      </c>
      <c r="C295" s="66"/>
      <c r="D295" s="60"/>
      <c r="E295" s="61"/>
      <c r="F295" s="61"/>
      <c r="G295" s="67"/>
      <c r="H295" s="60"/>
      <c r="I295" s="60"/>
      <c r="J295" s="61"/>
      <c r="K295" s="61"/>
      <c r="L295" s="60"/>
      <c r="M295" s="74" t="str">
        <f>IF($C295="","",IF($D295="Gider",$E295,IF($L295&lt;&gt;"",$L295,$H295)))</f>
        <v/>
      </c>
      <c r="N295" s="74" t="str">
        <f>IF($C295="","",IF($D295="Gider",$H295,$E295))</f>
        <v/>
      </c>
      <c r="O295" s="73" t="str">
        <f>IF($C295="","",DATE(YEAR($C295),MONTH($C295),1))</f>
        <v/>
      </c>
      <c r="P295" s="65" t="str">
        <f ca="1">IF($C295="","",IF(AND($D295="Gelir",$L295&lt;&gt;"",$T295=""),"TANIMSIZ BORÇLU",IF($T295&lt;&gt;"",IF(OR($E295="",$G295&lt;=0),"EKSİK",IF($I295="Evet","TAHAKKUK NAKİT OLAMAZ",IF($C295&gt;TODAY(),"İLERİ TARİH","TAHAKKUK"))),IF(AND($D295&lt;&gt;"",$E295&lt;&gt;"",$G295&gt;0,$H295&lt;&gt;"",$I295&lt;&gt;""),IF($C295&gt;TODAY(),"İLERİ TARİH",IF(COUNTIF($W$7:$W$3001,$W295)&gt;1,"MÜKERRER?",IF($AD295&gt;0,"KAPALI DÖNEM",IF($I295="Hayır","ÖDENECEK","UYGUN")))),"EKSİK"))))</f>
        <v/>
      </c>
      <c r="Q295" s="2"/>
      <c r="R295" s="2"/>
      <c r="S295" s="1" t="str">
        <f t="shared" si="14"/>
        <v/>
      </c>
      <c r="T295" s="1" t="str">
        <f>IF(OR($C295="",$D295&lt;&gt;"Gelir",$L295=""),"",IFERROR(INDEX(MUSTERILER!$B$7:$B$156,MATCH($S295,MUSTERILER!$T$7:$T$156,0)),""))</f>
        <v/>
      </c>
      <c r="U295" s="1" t="str">
        <f>IF($T295="","",$T295&amp;"|"&amp;COUNTIFS($T$7:$T295,$T295))</f>
        <v/>
      </c>
      <c r="V295" s="1">
        <f t="shared" si="15"/>
        <v>0</v>
      </c>
      <c r="W295" s="1" t="str">
        <f t="shared" si="16"/>
        <v/>
      </c>
      <c r="X295" s="1"/>
      <c r="Y295" s="1"/>
      <c r="Z295" s="1"/>
      <c r="AA295" s="1"/>
      <c r="AB295" s="1"/>
      <c r="AC295" s="1"/>
      <c r="AD295" s="1">
        <f>IF($C295="",0,SUMPRODUCT((AY_SONU!$O$7:$O$42="Evet")*(AY_SONU!$B$7:$B$42=DATE(YEAR($C295),MONTH($C295),1))))</f>
        <v>0</v>
      </c>
      <c r="AE295" s="1" t="str">
        <f>IF($E295="","",$E295&amp;"|"&amp;COUNTIFS($E$7:$E295,$E295))</f>
        <v/>
      </c>
    </row>
    <row r="296" spans="1:31" ht="18" customHeight="1" x14ac:dyDescent="0.3">
      <c r="A296" s="2"/>
      <c r="B296" s="65" t="str">
        <f>IF($C296="","","GG"&amp;TEXT(ROW()-6,"00000"))</f>
        <v/>
      </c>
      <c r="C296" s="66"/>
      <c r="D296" s="60"/>
      <c r="E296" s="61"/>
      <c r="F296" s="61"/>
      <c r="G296" s="67"/>
      <c r="H296" s="60"/>
      <c r="I296" s="60"/>
      <c r="J296" s="61"/>
      <c r="K296" s="61"/>
      <c r="L296" s="60"/>
      <c r="M296" s="74" t="str">
        <f>IF($C296="","",IF($D296="Gider",$E296,IF($L296&lt;&gt;"",$L296,$H296)))</f>
        <v/>
      </c>
      <c r="N296" s="74" t="str">
        <f>IF($C296="","",IF($D296="Gider",$H296,$E296))</f>
        <v/>
      </c>
      <c r="O296" s="73" t="str">
        <f>IF($C296="","",DATE(YEAR($C296),MONTH($C296),1))</f>
        <v/>
      </c>
      <c r="P296" s="65" t="str">
        <f ca="1">IF($C296="","",IF(AND($D296="Gelir",$L296&lt;&gt;"",$T296=""),"TANIMSIZ BORÇLU",IF($T296&lt;&gt;"",IF(OR($E296="",$G296&lt;=0),"EKSİK",IF($I296="Evet","TAHAKKUK NAKİT OLAMAZ",IF($C296&gt;TODAY(),"İLERİ TARİH","TAHAKKUK"))),IF(AND($D296&lt;&gt;"",$E296&lt;&gt;"",$G296&gt;0,$H296&lt;&gt;"",$I296&lt;&gt;""),IF($C296&gt;TODAY(),"İLERİ TARİH",IF(COUNTIF($W$7:$W$3001,$W296)&gt;1,"MÜKERRER?",IF($AD296&gt;0,"KAPALI DÖNEM",IF($I296="Hayır","ÖDENECEK","UYGUN")))),"EKSİK"))))</f>
        <v/>
      </c>
      <c r="Q296" s="2"/>
      <c r="R296" s="2"/>
      <c r="S296" s="1" t="str">
        <f t="shared" si="14"/>
        <v/>
      </c>
      <c r="T296" s="1" t="str">
        <f>IF(OR($C296="",$D296&lt;&gt;"Gelir",$L296=""),"",IFERROR(INDEX(MUSTERILER!$B$7:$B$156,MATCH($S296,MUSTERILER!$T$7:$T$156,0)),""))</f>
        <v/>
      </c>
      <c r="U296" s="1" t="str">
        <f>IF($T296="","",$T296&amp;"|"&amp;COUNTIFS($T$7:$T296,$T296))</f>
        <v/>
      </c>
      <c r="V296" s="1">
        <f t="shared" si="15"/>
        <v>0</v>
      </c>
      <c r="W296" s="1" t="str">
        <f t="shared" si="16"/>
        <v/>
      </c>
      <c r="X296" s="1"/>
      <c r="Y296" s="1"/>
      <c r="Z296" s="1"/>
      <c r="AA296" s="1"/>
      <c r="AB296" s="1"/>
      <c r="AC296" s="1"/>
      <c r="AD296" s="1">
        <f>IF($C296="",0,SUMPRODUCT((AY_SONU!$O$7:$O$42="Evet")*(AY_SONU!$B$7:$B$42=DATE(YEAR($C296),MONTH($C296),1))))</f>
        <v>0</v>
      </c>
      <c r="AE296" s="1" t="str">
        <f>IF($E296="","",$E296&amp;"|"&amp;COUNTIFS($E$7:$E296,$E296))</f>
        <v/>
      </c>
    </row>
    <row r="297" spans="1:31" ht="18" customHeight="1" x14ac:dyDescent="0.3">
      <c r="A297" s="2"/>
      <c r="B297" s="65" t="str">
        <f>IF($C297="","","GG"&amp;TEXT(ROW()-6,"00000"))</f>
        <v/>
      </c>
      <c r="C297" s="66"/>
      <c r="D297" s="60"/>
      <c r="E297" s="61"/>
      <c r="F297" s="61"/>
      <c r="G297" s="67"/>
      <c r="H297" s="60"/>
      <c r="I297" s="60"/>
      <c r="J297" s="61"/>
      <c r="K297" s="61"/>
      <c r="L297" s="60"/>
      <c r="M297" s="74" t="str">
        <f>IF($C297="","",IF($D297="Gider",$E297,IF($L297&lt;&gt;"",$L297,$H297)))</f>
        <v/>
      </c>
      <c r="N297" s="74" t="str">
        <f>IF($C297="","",IF($D297="Gider",$H297,$E297))</f>
        <v/>
      </c>
      <c r="O297" s="73" t="str">
        <f>IF($C297="","",DATE(YEAR($C297),MONTH($C297),1))</f>
        <v/>
      </c>
      <c r="P297" s="65" t="str">
        <f ca="1">IF($C297="","",IF(AND($D297="Gelir",$L297&lt;&gt;"",$T297=""),"TANIMSIZ BORÇLU",IF($T297&lt;&gt;"",IF(OR($E297="",$G297&lt;=0),"EKSİK",IF($I297="Evet","TAHAKKUK NAKİT OLAMAZ",IF($C297&gt;TODAY(),"İLERİ TARİH","TAHAKKUK"))),IF(AND($D297&lt;&gt;"",$E297&lt;&gt;"",$G297&gt;0,$H297&lt;&gt;"",$I297&lt;&gt;""),IF($C297&gt;TODAY(),"İLERİ TARİH",IF(COUNTIF($W$7:$W$3001,$W297)&gt;1,"MÜKERRER?",IF($AD297&gt;0,"KAPALI DÖNEM",IF($I297="Hayır","ÖDENECEK","UYGUN")))),"EKSİK"))))</f>
        <v/>
      </c>
      <c r="Q297" s="2"/>
      <c r="R297" s="2"/>
      <c r="S297" s="1" t="str">
        <f t="shared" si="14"/>
        <v/>
      </c>
      <c r="T297" s="1" t="str">
        <f>IF(OR($C297="",$D297&lt;&gt;"Gelir",$L297=""),"",IFERROR(INDEX(MUSTERILER!$B$7:$B$156,MATCH($S297,MUSTERILER!$T$7:$T$156,0)),""))</f>
        <v/>
      </c>
      <c r="U297" s="1" t="str">
        <f>IF($T297="","",$T297&amp;"|"&amp;COUNTIFS($T$7:$T297,$T297))</f>
        <v/>
      </c>
      <c r="V297" s="1">
        <f t="shared" si="15"/>
        <v>0</v>
      </c>
      <c r="W297" s="1" t="str">
        <f t="shared" si="16"/>
        <v/>
      </c>
      <c r="X297" s="1"/>
      <c r="Y297" s="1"/>
      <c r="Z297" s="1"/>
      <c r="AA297" s="1"/>
      <c r="AB297" s="1"/>
      <c r="AC297" s="1"/>
      <c r="AD297" s="1">
        <f>IF($C297="",0,SUMPRODUCT((AY_SONU!$O$7:$O$42="Evet")*(AY_SONU!$B$7:$B$42=DATE(YEAR($C297),MONTH($C297),1))))</f>
        <v>0</v>
      </c>
      <c r="AE297" s="1" t="str">
        <f>IF($E297="","",$E297&amp;"|"&amp;COUNTIFS($E$7:$E297,$E297))</f>
        <v/>
      </c>
    </row>
    <row r="298" spans="1:31" ht="18" customHeight="1" x14ac:dyDescent="0.3">
      <c r="A298" s="2"/>
      <c r="B298" s="65" t="str">
        <f>IF($C298="","","GG"&amp;TEXT(ROW()-6,"00000"))</f>
        <v/>
      </c>
      <c r="C298" s="66"/>
      <c r="D298" s="60"/>
      <c r="E298" s="61"/>
      <c r="F298" s="61"/>
      <c r="G298" s="67"/>
      <c r="H298" s="60"/>
      <c r="I298" s="60"/>
      <c r="J298" s="61"/>
      <c r="K298" s="61"/>
      <c r="L298" s="60"/>
      <c r="M298" s="74" t="str">
        <f>IF($C298="","",IF($D298="Gider",$E298,IF($L298&lt;&gt;"",$L298,$H298)))</f>
        <v/>
      </c>
      <c r="N298" s="74" t="str">
        <f>IF($C298="","",IF($D298="Gider",$H298,$E298))</f>
        <v/>
      </c>
      <c r="O298" s="73" t="str">
        <f>IF($C298="","",DATE(YEAR($C298),MONTH($C298),1))</f>
        <v/>
      </c>
      <c r="P298" s="65" t="str">
        <f ca="1">IF($C298="","",IF(AND($D298="Gelir",$L298&lt;&gt;"",$T298=""),"TANIMSIZ BORÇLU",IF($T298&lt;&gt;"",IF(OR($E298="",$G298&lt;=0),"EKSİK",IF($I298="Evet","TAHAKKUK NAKİT OLAMAZ",IF($C298&gt;TODAY(),"İLERİ TARİH","TAHAKKUK"))),IF(AND($D298&lt;&gt;"",$E298&lt;&gt;"",$G298&gt;0,$H298&lt;&gt;"",$I298&lt;&gt;""),IF($C298&gt;TODAY(),"İLERİ TARİH",IF(COUNTIF($W$7:$W$3001,$W298)&gt;1,"MÜKERRER?",IF($AD298&gt;0,"KAPALI DÖNEM",IF($I298="Hayır","ÖDENECEK","UYGUN")))),"EKSİK"))))</f>
        <v/>
      </c>
      <c r="Q298" s="2"/>
      <c r="R298" s="2"/>
      <c r="S298" s="1" t="str">
        <f t="shared" si="14"/>
        <v/>
      </c>
      <c r="T298" s="1" t="str">
        <f>IF(OR($C298="",$D298&lt;&gt;"Gelir",$L298=""),"",IFERROR(INDEX(MUSTERILER!$B$7:$B$156,MATCH($S298,MUSTERILER!$T$7:$T$156,0)),""))</f>
        <v/>
      </c>
      <c r="U298" s="1" t="str">
        <f>IF($T298="","",$T298&amp;"|"&amp;COUNTIFS($T$7:$T298,$T298))</f>
        <v/>
      </c>
      <c r="V298" s="1">
        <f t="shared" si="15"/>
        <v>0</v>
      </c>
      <c r="W298" s="1" t="str">
        <f t="shared" si="16"/>
        <v/>
      </c>
      <c r="X298" s="1"/>
      <c r="Y298" s="1"/>
      <c r="Z298" s="1"/>
      <c r="AA298" s="1"/>
      <c r="AB298" s="1"/>
      <c r="AC298" s="1"/>
      <c r="AD298" s="1">
        <f>IF($C298="",0,SUMPRODUCT((AY_SONU!$O$7:$O$42="Evet")*(AY_SONU!$B$7:$B$42=DATE(YEAR($C298),MONTH($C298),1))))</f>
        <v>0</v>
      </c>
      <c r="AE298" s="1" t="str">
        <f>IF($E298="","",$E298&amp;"|"&amp;COUNTIFS($E$7:$E298,$E298))</f>
        <v/>
      </c>
    </row>
    <row r="299" spans="1:31" ht="18" customHeight="1" x14ac:dyDescent="0.3">
      <c r="A299" s="2"/>
      <c r="B299" s="65" t="str">
        <f>IF($C299="","","GG"&amp;TEXT(ROW()-6,"00000"))</f>
        <v/>
      </c>
      <c r="C299" s="66"/>
      <c r="D299" s="60"/>
      <c r="E299" s="61"/>
      <c r="F299" s="61"/>
      <c r="G299" s="67"/>
      <c r="H299" s="60"/>
      <c r="I299" s="60"/>
      <c r="J299" s="61"/>
      <c r="K299" s="61"/>
      <c r="L299" s="60"/>
      <c r="M299" s="74" t="str">
        <f>IF($C299="","",IF($D299="Gider",$E299,IF($L299&lt;&gt;"",$L299,$H299)))</f>
        <v/>
      </c>
      <c r="N299" s="74" t="str">
        <f>IF($C299="","",IF($D299="Gider",$H299,$E299))</f>
        <v/>
      </c>
      <c r="O299" s="73" t="str">
        <f>IF($C299="","",DATE(YEAR($C299),MONTH($C299),1))</f>
        <v/>
      </c>
      <c r="P299" s="65" t="str">
        <f ca="1">IF($C299="","",IF(AND($D299="Gelir",$L299&lt;&gt;"",$T299=""),"TANIMSIZ BORÇLU",IF($T299&lt;&gt;"",IF(OR($E299="",$G299&lt;=0),"EKSİK",IF($I299="Evet","TAHAKKUK NAKİT OLAMAZ",IF($C299&gt;TODAY(),"İLERİ TARİH","TAHAKKUK"))),IF(AND($D299&lt;&gt;"",$E299&lt;&gt;"",$G299&gt;0,$H299&lt;&gt;"",$I299&lt;&gt;""),IF($C299&gt;TODAY(),"İLERİ TARİH",IF(COUNTIF($W$7:$W$3001,$W299)&gt;1,"MÜKERRER?",IF($AD299&gt;0,"KAPALI DÖNEM",IF($I299="Hayır","ÖDENECEK","UYGUN")))),"EKSİK"))))</f>
        <v/>
      </c>
      <c r="Q299" s="2"/>
      <c r="R299" s="2"/>
      <c r="S299" s="1" t="str">
        <f t="shared" si="14"/>
        <v/>
      </c>
      <c r="T299" s="1" t="str">
        <f>IF(OR($C299="",$D299&lt;&gt;"Gelir",$L299=""),"",IFERROR(INDEX(MUSTERILER!$B$7:$B$156,MATCH($S299,MUSTERILER!$T$7:$T$156,0)),""))</f>
        <v/>
      </c>
      <c r="U299" s="1" t="str">
        <f>IF($T299="","",$T299&amp;"|"&amp;COUNTIFS($T$7:$T299,$T299))</f>
        <v/>
      </c>
      <c r="V299" s="1">
        <f t="shared" si="15"/>
        <v>0</v>
      </c>
      <c r="W299" s="1" t="str">
        <f t="shared" si="16"/>
        <v/>
      </c>
      <c r="X299" s="1"/>
      <c r="Y299" s="1"/>
      <c r="Z299" s="1"/>
      <c r="AA299" s="1"/>
      <c r="AB299" s="1"/>
      <c r="AC299" s="1"/>
      <c r="AD299" s="1">
        <f>IF($C299="",0,SUMPRODUCT((AY_SONU!$O$7:$O$42="Evet")*(AY_SONU!$B$7:$B$42=DATE(YEAR($C299),MONTH($C299),1))))</f>
        <v>0</v>
      </c>
      <c r="AE299" s="1" t="str">
        <f>IF($E299="","",$E299&amp;"|"&amp;COUNTIFS($E$7:$E299,$E299))</f>
        <v/>
      </c>
    </row>
    <row r="300" spans="1:31" ht="18" customHeight="1" x14ac:dyDescent="0.3">
      <c r="A300" s="2"/>
      <c r="B300" s="65" t="str">
        <f>IF($C300="","","GG"&amp;TEXT(ROW()-6,"00000"))</f>
        <v/>
      </c>
      <c r="C300" s="66"/>
      <c r="D300" s="60"/>
      <c r="E300" s="61"/>
      <c r="F300" s="61"/>
      <c r="G300" s="67"/>
      <c r="H300" s="60"/>
      <c r="I300" s="60"/>
      <c r="J300" s="61"/>
      <c r="K300" s="61"/>
      <c r="L300" s="60"/>
      <c r="M300" s="74" t="str">
        <f>IF($C300="","",IF($D300="Gider",$E300,IF($L300&lt;&gt;"",$L300,$H300)))</f>
        <v/>
      </c>
      <c r="N300" s="74" t="str">
        <f>IF($C300="","",IF($D300="Gider",$H300,$E300))</f>
        <v/>
      </c>
      <c r="O300" s="73" t="str">
        <f>IF($C300="","",DATE(YEAR($C300),MONTH($C300),1))</f>
        <v/>
      </c>
      <c r="P300" s="65" t="str">
        <f ca="1">IF($C300="","",IF(AND($D300="Gelir",$L300&lt;&gt;"",$T300=""),"TANIMSIZ BORÇLU",IF($T300&lt;&gt;"",IF(OR($E300="",$G300&lt;=0),"EKSİK",IF($I300="Evet","TAHAKKUK NAKİT OLAMAZ",IF($C300&gt;TODAY(),"İLERİ TARİH","TAHAKKUK"))),IF(AND($D300&lt;&gt;"",$E300&lt;&gt;"",$G300&gt;0,$H300&lt;&gt;"",$I300&lt;&gt;""),IF($C300&gt;TODAY(),"İLERİ TARİH",IF(COUNTIF($W$7:$W$3001,$W300)&gt;1,"MÜKERRER?",IF($AD300&gt;0,"KAPALI DÖNEM",IF($I300="Hayır","ÖDENECEK","UYGUN")))),"EKSİK"))))</f>
        <v/>
      </c>
      <c r="Q300" s="2"/>
      <c r="R300" s="2"/>
      <c r="S300" s="1" t="str">
        <f t="shared" si="14"/>
        <v/>
      </c>
      <c r="T300" s="1" t="str">
        <f>IF(OR($C300="",$D300&lt;&gt;"Gelir",$L300=""),"",IFERROR(INDEX(MUSTERILER!$B$7:$B$156,MATCH($S300,MUSTERILER!$T$7:$T$156,0)),""))</f>
        <v/>
      </c>
      <c r="U300" s="1" t="str">
        <f>IF($T300="","",$T300&amp;"|"&amp;COUNTIFS($T$7:$T300,$T300))</f>
        <v/>
      </c>
      <c r="V300" s="1">
        <f t="shared" si="15"/>
        <v>0</v>
      </c>
      <c r="W300" s="1" t="str">
        <f t="shared" si="16"/>
        <v/>
      </c>
      <c r="X300" s="1"/>
      <c r="Y300" s="1"/>
      <c r="Z300" s="1"/>
      <c r="AA300" s="1"/>
      <c r="AB300" s="1"/>
      <c r="AC300" s="1"/>
      <c r="AD300" s="1">
        <f>IF($C300="",0,SUMPRODUCT((AY_SONU!$O$7:$O$42="Evet")*(AY_SONU!$B$7:$B$42=DATE(YEAR($C300),MONTH($C300),1))))</f>
        <v>0</v>
      </c>
      <c r="AE300" s="1" t="str">
        <f>IF($E300="","",$E300&amp;"|"&amp;COUNTIFS($E$7:$E300,$E300))</f>
        <v/>
      </c>
    </row>
    <row r="301" spans="1:31" ht="18" customHeight="1" x14ac:dyDescent="0.3">
      <c r="A301" s="2"/>
      <c r="B301" s="65" t="str">
        <f>IF($C301="","","GG"&amp;TEXT(ROW()-6,"00000"))</f>
        <v/>
      </c>
      <c r="C301" s="66"/>
      <c r="D301" s="60"/>
      <c r="E301" s="61"/>
      <c r="F301" s="61"/>
      <c r="G301" s="67"/>
      <c r="H301" s="60"/>
      <c r="I301" s="60"/>
      <c r="J301" s="61"/>
      <c r="K301" s="61"/>
      <c r="L301" s="60"/>
      <c r="M301" s="74" t="str">
        <f>IF($C301="","",IF($D301="Gider",$E301,IF($L301&lt;&gt;"",$L301,$H301)))</f>
        <v/>
      </c>
      <c r="N301" s="74" t="str">
        <f>IF($C301="","",IF($D301="Gider",$H301,$E301))</f>
        <v/>
      </c>
      <c r="O301" s="73" t="str">
        <f>IF($C301="","",DATE(YEAR($C301),MONTH($C301),1))</f>
        <v/>
      </c>
      <c r="P301" s="65" t="str">
        <f ca="1">IF($C301="","",IF(AND($D301="Gelir",$L301&lt;&gt;"",$T301=""),"TANIMSIZ BORÇLU",IF($T301&lt;&gt;"",IF(OR($E301="",$G301&lt;=0),"EKSİK",IF($I301="Evet","TAHAKKUK NAKİT OLAMAZ",IF($C301&gt;TODAY(),"İLERİ TARİH","TAHAKKUK"))),IF(AND($D301&lt;&gt;"",$E301&lt;&gt;"",$G301&gt;0,$H301&lt;&gt;"",$I301&lt;&gt;""),IF($C301&gt;TODAY(),"İLERİ TARİH",IF(COUNTIF($W$7:$W$3001,$W301)&gt;1,"MÜKERRER?",IF($AD301&gt;0,"KAPALI DÖNEM",IF($I301="Hayır","ÖDENECEK","UYGUN")))),"EKSİK"))))</f>
        <v/>
      </c>
      <c r="Q301" s="2"/>
      <c r="R301" s="2"/>
      <c r="S301" s="1" t="str">
        <f t="shared" si="14"/>
        <v/>
      </c>
      <c r="T301" s="1" t="str">
        <f>IF(OR($C301="",$D301&lt;&gt;"Gelir",$L301=""),"",IFERROR(INDEX(MUSTERILER!$B$7:$B$156,MATCH($S301,MUSTERILER!$T$7:$T$156,0)),""))</f>
        <v/>
      </c>
      <c r="U301" s="1" t="str">
        <f>IF($T301="","",$T301&amp;"|"&amp;COUNTIFS($T$7:$T301,$T301))</f>
        <v/>
      </c>
      <c r="V301" s="1">
        <f t="shared" si="15"/>
        <v>0</v>
      </c>
      <c r="W301" s="1" t="str">
        <f t="shared" si="16"/>
        <v/>
      </c>
      <c r="X301" s="1"/>
      <c r="Y301" s="1"/>
      <c r="Z301" s="1"/>
      <c r="AA301" s="1"/>
      <c r="AB301" s="1"/>
      <c r="AC301" s="1"/>
      <c r="AD301" s="1">
        <f>IF($C301="",0,SUMPRODUCT((AY_SONU!$O$7:$O$42="Evet")*(AY_SONU!$B$7:$B$42=DATE(YEAR($C301),MONTH($C301),1))))</f>
        <v>0</v>
      </c>
      <c r="AE301" s="1" t="str">
        <f>IF($E301="","",$E301&amp;"|"&amp;COUNTIFS($E$7:$E301,$E301))</f>
        <v/>
      </c>
    </row>
    <row r="302" spans="1:31" ht="18" customHeight="1" x14ac:dyDescent="0.3">
      <c r="A302" s="2"/>
      <c r="B302" s="65" t="str">
        <f>IF($C302="","","GG"&amp;TEXT(ROW()-6,"00000"))</f>
        <v/>
      </c>
      <c r="C302" s="66"/>
      <c r="D302" s="60"/>
      <c r="E302" s="61"/>
      <c r="F302" s="61"/>
      <c r="G302" s="67"/>
      <c r="H302" s="60"/>
      <c r="I302" s="60"/>
      <c r="J302" s="61"/>
      <c r="K302" s="61"/>
      <c r="L302" s="60"/>
      <c r="M302" s="74" t="str">
        <f>IF($C302="","",IF($D302="Gider",$E302,IF($L302&lt;&gt;"",$L302,$H302)))</f>
        <v/>
      </c>
      <c r="N302" s="74" t="str">
        <f>IF($C302="","",IF($D302="Gider",$H302,$E302))</f>
        <v/>
      </c>
      <c r="O302" s="73" t="str">
        <f>IF($C302="","",DATE(YEAR($C302),MONTH($C302),1))</f>
        <v/>
      </c>
      <c r="P302" s="65" t="str">
        <f ca="1">IF($C302="","",IF(AND($D302="Gelir",$L302&lt;&gt;"",$T302=""),"TANIMSIZ BORÇLU",IF($T302&lt;&gt;"",IF(OR($E302="",$G302&lt;=0),"EKSİK",IF($I302="Evet","TAHAKKUK NAKİT OLAMAZ",IF($C302&gt;TODAY(),"İLERİ TARİH","TAHAKKUK"))),IF(AND($D302&lt;&gt;"",$E302&lt;&gt;"",$G302&gt;0,$H302&lt;&gt;"",$I302&lt;&gt;""),IF($C302&gt;TODAY(),"İLERİ TARİH",IF(COUNTIF($W$7:$W$3001,$W302)&gt;1,"MÜKERRER?",IF($AD302&gt;0,"KAPALI DÖNEM",IF($I302="Hayır","ÖDENECEK","UYGUN")))),"EKSİK"))))</f>
        <v/>
      </c>
      <c r="Q302" s="2"/>
      <c r="R302" s="2"/>
      <c r="S302" s="1" t="str">
        <f t="shared" si="14"/>
        <v/>
      </c>
      <c r="T302" s="1" t="str">
        <f>IF(OR($C302="",$D302&lt;&gt;"Gelir",$L302=""),"",IFERROR(INDEX(MUSTERILER!$B$7:$B$156,MATCH($S302,MUSTERILER!$T$7:$T$156,0)),""))</f>
        <v/>
      </c>
      <c r="U302" s="1" t="str">
        <f>IF($T302="","",$T302&amp;"|"&amp;COUNTIFS($T$7:$T302,$T302))</f>
        <v/>
      </c>
      <c r="V302" s="1">
        <f t="shared" si="15"/>
        <v>0</v>
      </c>
      <c r="W302" s="1" t="str">
        <f t="shared" si="16"/>
        <v/>
      </c>
      <c r="X302" s="1"/>
      <c r="Y302" s="1"/>
      <c r="Z302" s="1"/>
      <c r="AA302" s="1"/>
      <c r="AB302" s="1"/>
      <c r="AC302" s="1"/>
      <c r="AD302" s="1">
        <f>IF($C302="",0,SUMPRODUCT((AY_SONU!$O$7:$O$42="Evet")*(AY_SONU!$B$7:$B$42=DATE(YEAR($C302),MONTH($C302),1))))</f>
        <v>0</v>
      </c>
      <c r="AE302" s="1" t="str">
        <f>IF($E302="","",$E302&amp;"|"&amp;COUNTIFS($E$7:$E302,$E302))</f>
        <v/>
      </c>
    </row>
    <row r="303" spans="1:31" ht="18" customHeight="1" x14ac:dyDescent="0.3">
      <c r="A303" s="2"/>
      <c r="B303" s="65" t="str">
        <f>IF($C303="","","GG"&amp;TEXT(ROW()-6,"00000"))</f>
        <v/>
      </c>
      <c r="C303" s="66"/>
      <c r="D303" s="60"/>
      <c r="E303" s="61"/>
      <c r="F303" s="61"/>
      <c r="G303" s="67"/>
      <c r="H303" s="60"/>
      <c r="I303" s="60"/>
      <c r="J303" s="61"/>
      <c r="K303" s="61"/>
      <c r="L303" s="60"/>
      <c r="M303" s="74" t="str">
        <f>IF($C303="","",IF($D303="Gider",$E303,IF($L303&lt;&gt;"",$L303,$H303)))</f>
        <v/>
      </c>
      <c r="N303" s="74" t="str">
        <f>IF($C303="","",IF($D303="Gider",$H303,$E303))</f>
        <v/>
      </c>
      <c r="O303" s="73" t="str">
        <f>IF($C303="","",DATE(YEAR($C303),MONTH($C303),1))</f>
        <v/>
      </c>
      <c r="P303" s="65" t="str">
        <f ca="1">IF($C303="","",IF(AND($D303="Gelir",$L303&lt;&gt;"",$T303=""),"TANIMSIZ BORÇLU",IF($T303&lt;&gt;"",IF(OR($E303="",$G303&lt;=0),"EKSİK",IF($I303="Evet","TAHAKKUK NAKİT OLAMAZ",IF($C303&gt;TODAY(),"İLERİ TARİH","TAHAKKUK"))),IF(AND($D303&lt;&gt;"",$E303&lt;&gt;"",$G303&gt;0,$H303&lt;&gt;"",$I303&lt;&gt;""),IF($C303&gt;TODAY(),"İLERİ TARİH",IF(COUNTIF($W$7:$W$3001,$W303)&gt;1,"MÜKERRER?",IF($AD303&gt;0,"KAPALI DÖNEM",IF($I303="Hayır","ÖDENECEK","UYGUN")))),"EKSİK"))))</f>
        <v/>
      </c>
      <c r="Q303" s="2"/>
      <c r="R303" s="2"/>
      <c r="S303" s="1" t="str">
        <f t="shared" si="14"/>
        <v/>
      </c>
      <c r="T303" s="1" t="str">
        <f>IF(OR($C303="",$D303&lt;&gt;"Gelir",$L303=""),"",IFERROR(INDEX(MUSTERILER!$B$7:$B$156,MATCH($S303,MUSTERILER!$T$7:$T$156,0)),""))</f>
        <v/>
      </c>
      <c r="U303" s="1" t="str">
        <f>IF($T303="","",$T303&amp;"|"&amp;COUNTIFS($T$7:$T303,$T303))</f>
        <v/>
      </c>
      <c r="V303" s="1">
        <f t="shared" si="15"/>
        <v>0</v>
      </c>
      <c r="W303" s="1" t="str">
        <f t="shared" si="16"/>
        <v/>
      </c>
      <c r="X303" s="1"/>
      <c r="Y303" s="1"/>
      <c r="Z303" s="1"/>
      <c r="AA303" s="1"/>
      <c r="AB303" s="1"/>
      <c r="AC303" s="1"/>
      <c r="AD303" s="1">
        <f>IF($C303="",0,SUMPRODUCT((AY_SONU!$O$7:$O$42="Evet")*(AY_SONU!$B$7:$B$42=DATE(YEAR($C303),MONTH($C303),1))))</f>
        <v>0</v>
      </c>
      <c r="AE303" s="1" t="str">
        <f>IF($E303="","",$E303&amp;"|"&amp;COUNTIFS($E$7:$E303,$E303))</f>
        <v/>
      </c>
    </row>
    <row r="304" spans="1:31" ht="18" customHeight="1" x14ac:dyDescent="0.3">
      <c r="A304" s="2"/>
      <c r="B304" s="65" t="str">
        <f>IF($C304="","","GG"&amp;TEXT(ROW()-6,"00000"))</f>
        <v/>
      </c>
      <c r="C304" s="66"/>
      <c r="D304" s="60"/>
      <c r="E304" s="61"/>
      <c r="F304" s="61"/>
      <c r="G304" s="67"/>
      <c r="H304" s="60"/>
      <c r="I304" s="60"/>
      <c r="J304" s="61"/>
      <c r="K304" s="61"/>
      <c r="L304" s="60"/>
      <c r="M304" s="74" t="str">
        <f>IF($C304="","",IF($D304="Gider",$E304,IF($L304&lt;&gt;"",$L304,$H304)))</f>
        <v/>
      </c>
      <c r="N304" s="74" t="str">
        <f>IF($C304="","",IF($D304="Gider",$H304,$E304))</f>
        <v/>
      </c>
      <c r="O304" s="73" t="str">
        <f>IF($C304="","",DATE(YEAR($C304),MONTH($C304),1))</f>
        <v/>
      </c>
      <c r="P304" s="65" t="str">
        <f ca="1">IF($C304="","",IF(AND($D304="Gelir",$L304&lt;&gt;"",$T304=""),"TANIMSIZ BORÇLU",IF($T304&lt;&gt;"",IF(OR($E304="",$G304&lt;=0),"EKSİK",IF($I304="Evet","TAHAKKUK NAKİT OLAMAZ",IF($C304&gt;TODAY(),"İLERİ TARİH","TAHAKKUK"))),IF(AND($D304&lt;&gt;"",$E304&lt;&gt;"",$G304&gt;0,$H304&lt;&gt;"",$I304&lt;&gt;""),IF($C304&gt;TODAY(),"İLERİ TARİH",IF(COUNTIF($W$7:$W$3001,$W304)&gt;1,"MÜKERRER?",IF($AD304&gt;0,"KAPALI DÖNEM",IF($I304="Hayır","ÖDENECEK","UYGUN")))),"EKSİK"))))</f>
        <v/>
      </c>
      <c r="Q304" s="2"/>
      <c r="R304" s="2"/>
      <c r="S304" s="1" t="str">
        <f t="shared" si="14"/>
        <v/>
      </c>
      <c r="T304" s="1" t="str">
        <f>IF(OR($C304="",$D304&lt;&gt;"Gelir",$L304=""),"",IFERROR(INDEX(MUSTERILER!$B$7:$B$156,MATCH($S304,MUSTERILER!$T$7:$T$156,0)),""))</f>
        <v/>
      </c>
      <c r="U304" s="1" t="str">
        <f>IF($T304="","",$T304&amp;"|"&amp;COUNTIFS($T$7:$T304,$T304))</f>
        <v/>
      </c>
      <c r="V304" s="1">
        <f t="shared" si="15"/>
        <v>0</v>
      </c>
      <c r="W304" s="1" t="str">
        <f t="shared" si="16"/>
        <v/>
      </c>
      <c r="X304" s="1"/>
      <c r="Y304" s="1"/>
      <c r="Z304" s="1"/>
      <c r="AA304" s="1"/>
      <c r="AB304" s="1"/>
      <c r="AC304" s="1"/>
      <c r="AD304" s="1">
        <f>IF($C304="",0,SUMPRODUCT((AY_SONU!$O$7:$O$42="Evet")*(AY_SONU!$B$7:$B$42=DATE(YEAR($C304),MONTH($C304),1))))</f>
        <v>0</v>
      </c>
      <c r="AE304" s="1" t="str">
        <f>IF($E304="","",$E304&amp;"|"&amp;COUNTIFS($E$7:$E304,$E304))</f>
        <v/>
      </c>
    </row>
    <row r="305" spans="1:31" ht="18" customHeight="1" x14ac:dyDescent="0.3">
      <c r="A305" s="2"/>
      <c r="B305" s="65" t="str">
        <f>IF($C305="","","GG"&amp;TEXT(ROW()-6,"00000"))</f>
        <v/>
      </c>
      <c r="C305" s="66"/>
      <c r="D305" s="60"/>
      <c r="E305" s="61"/>
      <c r="F305" s="61"/>
      <c r="G305" s="67"/>
      <c r="H305" s="60"/>
      <c r="I305" s="60"/>
      <c r="J305" s="61"/>
      <c r="K305" s="61"/>
      <c r="L305" s="60"/>
      <c r="M305" s="74" t="str">
        <f>IF($C305="","",IF($D305="Gider",$E305,IF($L305&lt;&gt;"",$L305,$H305)))</f>
        <v/>
      </c>
      <c r="N305" s="74" t="str">
        <f>IF($C305="","",IF($D305="Gider",$H305,$E305))</f>
        <v/>
      </c>
      <c r="O305" s="73" t="str">
        <f>IF($C305="","",DATE(YEAR($C305),MONTH($C305),1))</f>
        <v/>
      </c>
      <c r="P305" s="65" t="str">
        <f ca="1">IF($C305="","",IF(AND($D305="Gelir",$L305&lt;&gt;"",$T305=""),"TANIMSIZ BORÇLU",IF($T305&lt;&gt;"",IF(OR($E305="",$G305&lt;=0),"EKSİK",IF($I305="Evet","TAHAKKUK NAKİT OLAMAZ",IF($C305&gt;TODAY(),"İLERİ TARİH","TAHAKKUK"))),IF(AND($D305&lt;&gt;"",$E305&lt;&gt;"",$G305&gt;0,$H305&lt;&gt;"",$I305&lt;&gt;""),IF($C305&gt;TODAY(),"İLERİ TARİH",IF(COUNTIF($W$7:$W$3001,$W305)&gt;1,"MÜKERRER?",IF($AD305&gt;0,"KAPALI DÖNEM",IF($I305="Hayır","ÖDENECEK","UYGUN")))),"EKSİK"))))</f>
        <v/>
      </c>
      <c r="Q305" s="2"/>
      <c r="R305" s="2"/>
      <c r="S305" s="1" t="str">
        <f t="shared" si="14"/>
        <v/>
      </c>
      <c r="T305" s="1" t="str">
        <f>IF(OR($C305="",$D305&lt;&gt;"Gelir",$L305=""),"",IFERROR(INDEX(MUSTERILER!$B$7:$B$156,MATCH($S305,MUSTERILER!$T$7:$T$156,0)),""))</f>
        <v/>
      </c>
      <c r="U305" s="1" t="str">
        <f>IF($T305="","",$T305&amp;"|"&amp;COUNTIFS($T$7:$T305,$T305))</f>
        <v/>
      </c>
      <c r="V305" s="1">
        <f t="shared" si="15"/>
        <v>0</v>
      </c>
      <c r="W305" s="1" t="str">
        <f t="shared" si="16"/>
        <v/>
      </c>
      <c r="X305" s="1"/>
      <c r="Y305" s="1"/>
      <c r="Z305" s="1"/>
      <c r="AA305" s="1"/>
      <c r="AB305" s="1"/>
      <c r="AC305" s="1"/>
      <c r="AD305" s="1">
        <f>IF($C305="",0,SUMPRODUCT((AY_SONU!$O$7:$O$42="Evet")*(AY_SONU!$B$7:$B$42=DATE(YEAR($C305),MONTH($C305),1))))</f>
        <v>0</v>
      </c>
      <c r="AE305" s="1" t="str">
        <f>IF($E305="","",$E305&amp;"|"&amp;COUNTIFS($E$7:$E305,$E305))</f>
        <v/>
      </c>
    </row>
    <row r="306" spans="1:31" ht="18" customHeight="1" x14ac:dyDescent="0.3">
      <c r="A306" s="2"/>
      <c r="B306" s="65" t="str">
        <f>IF($C306="","","GG"&amp;TEXT(ROW()-6,"00000"))</f>
        <v/>
      </c>
      <c r="C306" s="66"/>
      <c r="D306" s="60"/>
      <c r="E306" s="61"/>
      <c r="F306" s="61"/>
      <c r="G306" s="67"/>
      <c r="H306" s="60"/>
      <c r="I306" s="60"/>
      <c r="J306" s="61"/>
      <c r="K306" s="61"/>
      <c r="L306" s="60"/>
      <c r="M306" s="74" t="str">
        <f>IF($C306="","",IF($D306="Gider",$E306,IF($L306&lt;&gt;"",$L306,$H306)))</f>
        <v/>
      </c>
      <c r="N306" s="74" t="str">
        <f>IF($C306="","",IF($D306="Gider",$H306,$E306))</f>
        <v/>
      </c>
      <c r="O306" s="73" t="str">
        <f>IF($C306="","",DATE(YEAR($C306),MONTH($C306),1))</f>
        <v/>
      </c>
      <c r="P306" s="65" t="str">
        <f ca="1">IF($C306="","",IF(AND($D306="Gelir",$L306&lt;&gt;"",$T306=""),"TANIMSIZ BORÇLU",IF($T306&lt;&gt;"",IF(OR($E306="",$G306&lt;=0),"EKSİK",IF($I306="Evet","TAHAKKUK NAKİT OLAMAZ",IF($C306&gt;TODAY(),"İLERİ TARİH","TAHAKKUK"))),IF(AND($D306&lt;&gt;"",$E306&lt;&gt;"",$G306&gt;0,$H306&lt;&gt;"",$I306&lt;&gt;""),IF($C306&gt;TODAY(),"İLERİ TARİH",IF(COUNTIF($W$7:$W$3001,$W306)&gt;1,"MÜKERRER?",IF($AD306&gt;0,"KAPALI DÖNEM",IF($I306="Hayır","ÖDENECEK","UYGUN")))),"EKSİK"))))</f>
        <v/>
      </c>
      <c r="Q306" s="2"/>
      <c r="R306" s="2"/>
      <c r="S306" s="1" t="str">
        <f t="shared" si="14"/>
        <v/>
      </c>
      <c r="T306" s="1" t="str">
        <f>IF(OR($C306="",$D306&lt;&gt;"Gelir",$L306=""),"",IFERROR(INDEX(MUSTERILER!$B$7:$B$156,MATCH($S306,MUSTERILER!$T$7:$T$156,0)),""))</f>
        <v/>
      </c>
      <c r="U306" s="1" t="str">
        <f>IF($T306="","",$T306&amp;"|"&amp;COUNTIFS($T$7:$T306,$T306))</f>
        <v/>
      </c>
      <c r="V306" s="1">
        <f t="shared" si="15"/>
        <v>0</v>
      </c>
      <c r="W306" s="1" t="str">
        <f t="shared" si="16"/>
        <v/>
      </c>
      <c r="X306" s="1"/>
      <c r="Y306" s="1"/>
      <c r="Z306" s="1"/>
      <c r="AA306" s="1"/>
      <c r="AB306" s="1"/>
      <c r="AC306" s="1"/>
      <c r="AD306" s="1">
        <f>IF($C306="",0,SUMPRODUCT((AY_SONU!$O$7:$O$42="Evet")*(AY_SONU!$B$7:$B$42=DATE(YEAR($C306),MONTH($C306),1))))</f>
        <v>0</v>
      </c>
      <c r="AE306" s="1" t="str">
        <f>IF($E306="","",$E306&amp;"|"&amp;COUNTIFS($E$7:$E306,$E306))</f>
        <v/>
      </c>
    </row>
    <row r="307" spans="1:31" ht="18" customHeight="1" x14ac:dyDescent="0.3">
      <c r="A307" s="2"/>
      <c r="B307" s="65" t="str">
        <f>IF($C307="","","GG"&amp;TEXT(ROW()-6,"00000"))</f>
        <v/>
      </c>
      <c r="C307" s="66"/>
      <c r="D307" s="60"/>
      <c r="E307" s="61"/>
      <c r="F307" s="61"/>
      <c r="G307" s="67"/>
      <c r="H307" s="60"/>
      <c r="I307" s="60"/>
      <c r="J307" s="61"/>
      <c r="K307" s="61"/>
      <c r="L307" s="60"/>
      <c r="M307" s="74" t="str">
        <f>IF($C307="","",IF($D307="Gider",$E307,IF($L307&lt;&gt;"",$L307,$H307)))</f>
        <v/>
      </c>
      <c r="N307" s="74" t="str">
        <f>IF($C307="","",IF($D307="Gider",$H307,$E307))</f>
        <v/>
      </c>
      <c r="O307" s="73" t="str">
        <f>IF($C307="","",DATE(YEAR($C307),MONTH($C307),1))</f>
        <v/>
      </c>
      <c r="P307" s="65" t="str">
        <f ca="1">IF($C307="","",IF(AND($D307="Gelir",$L307&lt;&gt;"",$T307=""),"TANIMSIZ BORÇLU",IF($T307&lt;&gt;"",IF(OR($E307="",$G307&lt;=0),"EKSİK",IF($I307="Evet","TAHAKKUK NAKİT OLAMAZ",IF($C307&gt;TODAY(),"İLERİ TARİH","TAHAKKUK"))),IF(AND($D307&lt;&gt;"",$E307&lt;&gt;"",$G307&gt;0,$H307&lt;&gt;"",$I307&lt;&gt;""),IF($C307&gt;TODAY(),"İLERİ TARİH",IF(COUNTIF($W$7:$W$3001,$W307)&gt;1,"MÜKERRER?",IF($AD307&gt;0,"KAPALI DÖNEM",IF($I307="Hayır","ÖDENECEK","UYGUN")))),"EKSİK"))))</f>
        <v/>
      </c>
      <c r="Q307" s="2"/>
      <c r="R307" s="2"/>
      <c r="S307" s="1" t="str">
        <f t="shared" si="14"/>
        <v/>
      </c>
      <c r="T307" s="1" t="str">
        <f>IF(OR($C307="",$D307&lt;&gt;"Gelir",$L307=""),"",IFERROR(INDEX(MUSTERILER!$B$7:$B$156,MATCH($S307,MUSTERILER!$T$7:$T$156,0)),""))</f>
        <v/>
      </c>
      <c r="U307" s="1" t="str">
        <f>IF($T307="","",$T307&amp;"|"&amp;COUNTIFS($T$7:$T307,$T307))</f>
        <v/>
      </c>
      <c r="V307" s="1">
        <f t="shared" si="15"/>
        <v>0</v>
      </c>
      <c r="W307" s="1" t="str">
        <f t="shared" si="16"/>
        <v/>
      </c>
      <c r="X307" s="1"/>
      <c r="Y307" s="1"/>
      <c r="Z307" s="1"/>
      <c r="AA307" s="1"/>
      <c r="AB307" s="1"/>
      <c r="AC307" s="1"/>
      <c r="AD307" s="1">
        <f>IF($C307="",0,SUMPRODUCT((AY_SONU!$O$7:$O$42="Evet")*(AY_SONU!$B$7:$B$42=DATE(YEAR($C307),MONTH($C307),1))))</f>
        <v>0</v>
      </c>
      <c r="AE307" s="1" t="str">
        <f>IF($E307="","",$E307&amp;"|"&amp;COUNTIFS($E$7:$E307,$E307))</f>
        <v/>
      </c>
    </row>
    <row r="308" spans="1:31" ht="18" customHeight="1" x14ac:dyDescent="0.3">
      <c r="A308" s="2"/>
      <c r="B308" s="65" t="str">
        <f>IF($C308="","","GG"&amp;TEXT(ROW()-6,"00000"))</f>
        <v/>
      </c>
      <c r="C308" s="66"/>
      <c r="D308" s="60"/>
      <c r="E308" s="61"/>
      <c r="F308" s="61"/>
      <c r="G308" s="67"/>
      <c r="H308" s="60"/>
      <c r="I308" s="60"/>
      <c r="J308" s="61"/>
      <c r="K308" s="61"/>
      <c r="L308" s="60"/>
      <c r="M308" s="74" t="str">
        <f>IF($C308="","",IF($D308="Gider",$E308,IF($L308&lt;&gt;"",$L308,$H308)))</f>
        <v/>
      </c>
      <c r="N308" s="74" t="str">
        <f>IF($C308="","",IF($D308="Gider",$H308,$E308))</f>
        <v/>
      </c>
      <c r="O308" s="73" t="str">
        <f>IF($C308="","",DATE(YEAR($C308),MONTH($C308),1))</f>
        <v/>
      </c>
      <c r="P308" s="65" t="str">
        <f ca="1">IF($C308="","",IF(AND($D308="Gelir",$L308&lt;&gt;"",$T308=""),"TANIMSIZ BORÇLU",IF($T308&lt;&gt;"",IF(OR($E308="",$G308&lt;=0),"EKSİK",IF($I308="Evet","TAHAKKUK NAKİT OLAMAZ",IF($C308&gt;TODAY(),"İLERİ TARİH","TAHAKKUK"))),IF(AND($D308&lt;&gt;"",$E308&lt;&gt;"",$G308&gt;0,$H308&lt;&gt;"",$I308&lt;&gt;""),IF($C308&gt;TODAY(),"İLERİ TARİH",IF(COUNTIF($W$7:$W$3001,$W308)&gt;1,"MÜKERRER?",IF($AD308&gt;0,"KAPALI DÖNEM",IF($I308="Hayır","ÖDENECEK","UYGUN")))),"EKSİK"))))</f>
        <v/>
      </c>
      <c r="Q308" s="2"/>
      <c r="R308" s="2"/>
      <c r="S308" s="1" t="str">
        <f t="shared" si="14"/>
        <v/>
      </c>
      <c r="T308" s="1" t="str">
        <f>IF(OR($C308="",$D308&lt;&gt;"Gelir",$L308=""),"",IFERROR(INDEX(MUSTERILER!$B$7:$B$156,MATCH($S308,MUSTERILER!$T$7:$T$156,0)),""))</f>
        <v/>
      </c>
      <c r="U308" s="1" t="str">
        <f>IF($T308="","",$T308&amp;"|"&amp;COUNTIFS($T$7:$T308,$T308))</f>
        <v/>
      </c>
      <c r="V308" s="1">
        <f t="shared" si="15"/>
        <v>0</v>
      </c>
      <c r="W308" s="1" t="str">
        <f t="shared" si="16"/>
        <v/>
      </c>
      <c r="X308" s="1"/>
      <c r="Y308" s="1"/>
      <c r="Z308" s="1"/>
      <c r="AA308" s="1"/>
      <c r="AB308" s="1"/>
      <c r="AC308" s="1"/>
      <c r="AD308" s="1">
        <f>IF($C308="",0,SUMPRODUCT((AY_SONU!$O$7:$O$42="Evet")*(AY_SONU!$B$7:$B$42=DATE(YEAR($C308),MONTH($C308),1))))</f>
        <v>0</v>
      </c>
      <c r="AE308" s="1" t="str">
        <f>IF($E308="","",$E308&amp;"|"&amp;COUNTIFS($E$7:$E308,$E308))</f>
        <v/>
      </c>
    </row>
    <row r="309" spans="1:31" ht="18" customHeight="1" x14ac:dyDescent="0.3">
      <c r="A309" s="2"/>
      <c r="B309" s="65" t="str">
        <f>IF($C309="","","GG"&amp;TEXT(ROW()-6,"00000"))</f>
        <v/>
      </c>
      <c r="C309" s="66"/>
      <c r="D309" s="60"/>
      <c r="E309" s="61"/>
      <c r="F309" s="61"/>
      <c r="G309" s="67"/>
      <c r="H309" s="60"/>
      <c r="I309" s="60"/>
      <c r="J309" s="61"/>
      <c r="K309" s="61"/>
      <c r="L309" s="60"/>
      <c r="M309" s="74" t="str">
        <f>IF($C309="","",IF($D309="Gider",$E309,IF($L309&lt;&gt;"",$L309,$H309)))</f>
        <v/>
      </c>
      <c r="N309" s="74" t="str">
        <f>IF($C309="","",IF($D309="Gider",$H309,$E309))</f>
        <v/>
      </c>
      <c r="O309" s="73" t="str">
        <f>IF($C309="","",DATE(YEAR($C309),MONTH($C309),1))</f>
        <v/>
      </c>
      <c r="P309" s="65" t="str">
        <f ca="1">IF($C309="","",IF(AND($D309="Gelir",$L309&lt;&gt;"",$T309=""),"TANIMSIZ BORÇLU",IF($T309&lt;&gt;"",IF(OR($E309="",$G309&lt;=0),"EKSİK",IF($I309="Evet","TAHAKKUK NAKİT OLAMAZ",IF($C309&gt;TODAY(),"İLERİ TARİH","TAHAKKUK"))),IF(AND($D309&lt;&gt;"",$E309&lt;&gt;"",$G309&gt;0,$H309&lt;&gt;"",$I309&lt;&gt;""),IF($C309&gt;TODAY(),"İLERİ TARİH",IF(COUNTIF($W$7:$W$3001,$W309)&gt;1,"MÜKERRER?",IF($AD309&gt;0,"KAPALI DÖNEM",IF($I309="Hayır","ÖDENECEK","UYGUN")))),"EKSİK"))))</f>
        <v/>
      </c>
      <c r="Q309" s="2"/>
      <c r="R309" s="2"/>
      <c r="S309" s="1" t="str">
        <f t="shared" si="14"/>
        <v/>
      </c>
      <c r="T309" s="1" t="str">
        <f>IF(OR($C309="",$D309&lt;&gt;"Gelir",$L309=""),"",IFERROR(INDEX(MUSTERILER!$B$7:$B$156,MATCH($S309,MUSTERILER!$T$7:$T$156,0)),""))</f>
        <v/>
      </c>
      <c r="U309" s="1" t="str">
        <f>IF($T309="","",$T309&amp;"|"&amp;COUNTIFS($T$7:$T309,$T309))</f>
        <v/>
      </c>
      <c r="V309" s="1">
        <f t="shared" si="15"/>
        <v>0</v>
      </c>
      <c r="W309" s="1" t="str">
        <f t="shared" si="16"/>
        <v/>
      </c>
      <c r="X309" s="1"/>
      <c r="Y309" s="1"/>
      <c r="Z309" s="1"/>
      <c r="AA309" s="1"/>
      <c r="AB309" s="1"/>
      <c r="AC309" s="1"/>
      <c r="AD309" s="1">
        <f>IF($C309="",0,SUMPRODUCT((AY_SONU!$O$7:$O$42="Evet")*(AY_SONU!$B$7:$B$42=DATE(YEAR($C309),MONTH($C309),1))))</f>
        <v>0</v>
      </c>
      <c r="AE309" s="1" t="str">
        <f>IF($E309="","",$E309&amp;"|"&amp;COUNTIFS($E$7:$E309,$E309))</f>
        <v/>
      </c>
    </row>
    <row r="310" spans="1:31" ht="18" customHeight="1" x14ac:dyDescent="0.3">
      <c r="A310" s="2"/>
      <c r="B310" s="65" t="str">
        <f>IF($C310="","","GG"&amp;TEXT(ROW()-6,"00000"))</f>
        <v/>
      </c>
      <c r="C310" s="66"/>
      <c r="D310" s="60"/>
      <c r="E310" s="61"/>
      <c r="F310" s="61"/>
      <c r="G310" s="67"/>
      <c r="H310" s="60"/>
      <c r="I310" s="60"/>
      <c r="J310" s="61"/>
      <c r="K310" s="61"/>
      <c r="L310" s="60"/>
      <c r="M310" s="74" t="str">
        <f>IF($C310="","",IF($D310="Gider",$E310,IF($L310&lt;&gt;"",$L310,$H310)))</f>
        <v/>
      </c>
      <c r="N310" s="74" t="str">
        <f>IF($C310="","",IF($D310="Gider",$H310,$E310))</f>
        <v/>
      </c>
      <c r="O310" s="73" t="str">
        <f>IF($C310="","",DATE(YEAR($C310),MONTH($C310),1))</f>
        <v/>
      </c>
      <c r="P310" s="65" t="str">
        <f ca="1">IF($C310="","",IF(AND($D310="Gelir",$L310&lt;&gt;"",$T310=""),"TANIMSIZ BORÇLU",IF($T310&lt;&gt;"",IF(OR($E310="",$G310&lt;=0),"EKSİK",IF($I310="Evet","TAHAKKUK NAKİT OLAMAZ",IF($C310&gt;TODAY(),"İLERİ TARİH","TAHAKKUK"))),IF(AND($D310&lt;&gt;"",$E310&lt;&gt;"",$G310&gt;0,$H310&lt;&gt;"",$I310&lt;&gt;""),IF($C310&gt;TODAY(),"İLERİ TARİH",IF(COUNTIF($W$7:$W$3001,$W310)&gt;1,"MÜKERRER?",IF($AD310&gt;0,"KAPALI DÖNEM",IF($I310="Hayır","ÖDENECEK","UYGUN")))),"EKSİK"))))</f>
        <v/>
      </c>
      <c r="Q310" s="2"/>
      <c r="R310" s="2"/>
      <c r="S310" s="1" t="str">
        <f t="shared" si="14"/>
        <v/>
      </c>
      <c r="T310" s="1" t="str">
        <f>IF(OR($C310="",$D310&lt;&gt;"Gelir",$L310=""),"",IFERROR(INDEX(MUSTERILER!$B$7:$B$156,MATCH($S310,MUSTERILER!$T$7:$T$156,0)),""))</f>
        <v/>
      </c>
      <c r="U310" s="1" t="str">
        <f>IF($T310="","",$T310&amp;"|"&amp;COUNTIFS($T$7:$T310,$T310))</f>
        <v/>
      </c>
      <c r="V310" s="1">
        <f t="shared" si="15"/>
        <v>0</v>
      </c>
      <c r="W310" s="1" t="str">
        <f t="shared" si="16"/>
        <v/>
      </c>
      <c r="X310" s="1"/>
      <c r="Y310" s="1"/>
      <c r="Z310" s="1"/>
      <c r="AA310" s="1"/>
      <c r="AB310" s="1"/>
      <c r="AC310" s="1"/>
      <c r="AD310" s="1">
        <f>IF($C310="",0,SUMPRODUCT((AY_SONU!$O$7:$O$42="Evet")*(AY_SONU!$B$7:$B$42=DATE(YEAR($C310),MONTH($C310),1))))</f>
        <v>0</v>
      </c>
      <c r="AE310" s="1" t="str">
        <f>IF($E310="","",$E310&amp;"|"&amp;COUNTIFS($E$7:$E310,$E310))</f>
        <v/>
      </c>
    </row>
    <row r="311" spans="1:31" ht="18" customHeight="1" x14ac:dyDescent="0.3">
      <c r="A311" s="2"/>
      <c r="B311" s="65" t="str">
        <f>IF($C311="","","GG"&amp;TEXT(ROW()-6,"00000"))</f>
        <v/>
      </c>
      <c r="C311" s="66"/>
      <c r="D311" s="60"/>
      <c r="E311" s="61"/>
      <c r="F311" s="61"/>
      <c r="G311" s="67"/>
      <c r="H311" s="60"/>
      <c r="I311" s="60"/>
      <c r="J311" s="61"/>
      <c r="K311" s="61"/>
      <c r="L311" s="60"/>
      <c r="M311" s="74" t="str">
        <f>IF($C311="","",IF($D311="Gider",$E311,IF($L311&lt;&gt;"",$L311,$H311)))</f>
        <v/>
      </c>
      <c r="N311" s="74" t="str">
        <f>IF($C311="","",IF($D311="Gider",$H311,$E311))</f>
        <v/>
      </c>
      <c r="O311" s="73" t="str">
        <f>IF($C311="","",DATE(YEAR($C311),MONTH($C311),1))</f>
        <v/>
      </c>
      <c r="P311" s="65" t="str">
        <f ca="1">IF($C311="","",IF(AND($D311="Gelir",$L311&lt;&gt;"",$T311=""),"TANIMSIZ BORÇLU",IF($T311&lt;&gt;"",IF(OR($E311="",$G311&lt;=0),"EKSİK",IF($I311="Evet","TAHAKKUK NAKİT OLAMAZ",IF($C311&gt;TODAY(),"İLERİ TARİH","TAHAKKUK"))),IF(AND($D311&lt;&gt;"",$E311&lt;&gt;"",$G311&gt;0,$H311&lt;&gt;"",$I311&lt;&gt;""),IF($C311&gt;TODAY(),"İLERİ TARİH",IF(COUNTIF($W$7:$W$3001,$W311)&gt;1,"MÜKERRER?",IF($AD311&gt;0,"KAPALI DÖNEM",IF($I311="Hayır","ÖDENECEK","UYGUN")))),"EKSİK"))))</f>
        <v/>
      </c>
      <c r="Q311" s="2"/>
      <c r="R311" s="2"/>
      <c r="S311" s="1" t="str">
        <f t="shared" si="14"/>
        <v/>
      </c>
      <c r="T311" s="1" t="str">
        <f>IF(OR($C311="",$D311&lt;&gt;"Gelir",$L311=""),"",IFERROR(INDEX(MUSTERILER!$B$7:$B$156,MATCH($S311,MUSTERILER!$T$7:$T$156,0)),""))</f>
        <v/>
      </c>
      <c r="U311" s="1" t="str">
        <f>IF($T311="","",$T311&amp;"|"&amp;COUNTIFS($T$7:$T311,$T311))</f>
        <v/>
      </c>
      <c r="V311" s="1">
        <f t="shared" si="15"/>
        <v>0</v>
      </c>
      <c r="W311" s="1" t="str">
        <f t="shared" si="16"/>
        <v/>
      </c>
      <c r="X311" s="1"/>
      <c r="Y311" s="1"/>
      <c r="Z311" s="1"/>
      <c r="AA311" s="1"/>
      <c r="AB311" s="1"/>
      <c r="AC311" s="1"/>
      <c r="AD311" s="1">
        <f>IF($C311="",0,SUMPRODUCT((AY_SONU!$O$7:$O$42="Evet")*(AY_SONU!$B$7:$B$42=DATE(YEAR($C311),MONTH($C311),1))))</f>
        <v>0</v>
      </c>
      <c r="AE311" s="1" t="str">
        <f>IF($E311="","",$E311&amp;"|"&amp;COUNTIFS($E$7:$E311,$E311))</f>
        <v/>
      </c>
    </row>
    <row r="312" spans="1:31" ht="18" customHeight="1" x14ac:dyDescent="0.3">
      <c r="A312" s="2"/>
      <c r="B312" s="65" t="str">
        <f>IF($C312="","","GG"&amp;TEXT(ROW()-6,"00000"))</f>
        <v/>
      </c>
      <c r="C312" s="66"/>
      <c r="D312" s="60"/>
      <c r="E312" s="61"/>
      <c r="F312" s="61"/>
      <c r="G312" s="67"/>
      <c r="H312" s="60"/>
      <c r="I312" s="60"/>
      <c r="J312" s="61"/>
      <c r="K312" s="61"/>
      <c r="L312" s="60"/>
      <c r="M312" s="74" t="str">
        <f>IF($C312="","",IF($D312="Gider",$E312,IF($L312&lt;&gt;"",$L312,$H312)))</f>
        <v/>
      </c>
      <c r="N312" s="74" t="str">
        <f>IF($C312="","",IF($D312="Gider",$H312,$E312))</f>
        <v/>
      </c>
      <c r="O312" s="73" t="str">
        <f>IF($C312="","",DATE(YEAR($C312),MONTH($C312),1))</f>
        <v/>
      </c>
      <c r="P312" s="65" t="str">
        <f ca="1">IF($C312="","",IF(AND($D312="Gelir",$L312&lt;&gt;"",$T312=""),"TANIMSIZ BORÇLU",IF($T312&lt;&gt;"",IF(OR($E312="",$G312&lt;=0),"EKSİK",IF($I312="Evet","TAHAKKUK NAKİT OLAMAZ",IF($C312&gt;TODAY(),"İLERİ TARİH","TAHAKKUK"))),IF(AND($D312&lt;&gt;"",$E312&lt;&gt;"",$G312&gt;0,$H312&lt;&gt;"",$I312&lt;&gt;""),IF($C312&gt;TODAY(),"İLERİ TARİH",IF(COUNTIF($W$7:$W$3001,$W312)&gt;1,"MÜKERRER?",IF($AD312&gt;0,"KAPALI DÖNEM",IF($I312="Hayır","ÖDENECEK","UYGUN")))),"EKSİK"))))</f>
        <v/>
      </c>
      <c r="Q312" s="2"/>
      <c r="R312" s="2"/>
      <c r="S312" s="1" t="str">
        <f t="shared" si="14"/>
        <v/>
      </c>
      <c r="T312" s="1" t="str">
        <f>IF(OR($C312="",$D312&lt;&gt;"Gelir",$L312=""),"",IFERROR(INDEX(MUSTERILER!$B$7:$B$156,MATCH($S312,MUSTERILER!$T$7:$T$156,0)),""))</f>
        <v/>
      </c>
      <c r="U312" s="1" t="str">
        <f>IF($T312="","",$T312&amp;"|"&amp;COUNTIFS($T$7:$T312,$T312))</f>
        <v/>
      </c>
      <c r="V312" s="1">
        <f t="shared" si="15"/>
        <v>0</v>
      </c>
      <c r="W312" s="1" t="str">
        <f t="shared" si="16"/>
        <v/>
      </c>
      <c r="X312" s="1"/>
      <c r="Y312" s="1"/>
      <c r="Z312" s="1"/>
      <c r="AA312" s="1"/>
      <c r="AB312" s="1"/>
      <c r="AC312" s="1"/>
      <c r="AD312" s="1">
        <f>IF($C312="",0,SUMPRODUCT((AY_SONU!$O$7:$O$42="Evet")*(AY_SONU!$B$7:$B$42=DATE(YEAR($C312),MONTH($C312),1))))</f>
        <v>0</v>
      </c>
      <c r="AE312" s="1" t="str">
        <f>IF($E312="","",$E312&amp;"|"&amp;COUNTIFS($E$7:$E312,$E312))</f>
        <v/>
      </c>
    </row>
    <row r="313" spans="1:31" ht="18" customHeight="1" x14ac:dyDescent="0.3">
      <c r="A313" s="2"/>
      <c r="B313" s="65" t="str">
        <f>IF($C313="","","GG"&amp;TEXT(ROW()-6,"00000"))</f>
        <v/>
      </c>
      <c r="C313" s="66"/>
      <c r="D313" s="60"/>
      <c r="E313" s="61"/>
      <c r="F313" s="61"/>
      <c r="G313" s="67"/>
      <c r="H313" s="60"/>
      <c r="I313" s="60"/>
      <c r="J313" s="61"/>
      <c r="K313" s="61"/>
      <c r="L313" s="60"/>
      <c r="M313" s="74" t="str">
        <f>IF($C313="","",IF($D313="Gider",$E313,IF($L313&lt;&gt;"",$L313,$H313)))</f>
        <v/>
      </c>
      <c r="N313" s="74" t="str">
        <f>IF($C313="","",IF($D313="Gider",$H313,$E313))</f>
        <v/>
      </c>
      <c r="O313" s="73" t="str">
        <f>IF($C313="","",DATE(YEAR($C313),MONTH($C313),1))</f>
        <v/>
      </c>
      <c r="P313" s="65" t="str">
        <f ca="1">IF($C313="","",IF(AND($D313="Gelir",$L313&lt;&gt;"",$T313=""),"TANIMSIZ BORÇLU",IF($T313&lt;&gt;"",IF(OR($E313="",$G313&lt;=0),"EKSİK",IF($I313="Evet","TAHAKKUK NAKİT OLAMAZ",IF($C313&gt;TODAY(),"İLERİ TARİH","TAHAKKUK"))),IF(AND($D313&lt;&gt;"",$E313&lt;&gt;"",$G313&gt;0,$H313&lt;&gt;"",$I313&lt;&gt;""),IF($C313&gt;TODAY(),"İLERİ TARİH",IF(COUNTIF($W$7:$W$3001,$W313)&gt;1,"MÜKERRER?",IF($AD313&gt;0,"KAPALI DÖNEM",IF($I313="Hayır","ÖDENECEK","UYGUN")))),"EKSİK"))))</f>
        <v/>
      </c>
      <c r="Q313" s="2"/>
      <c r="R313" s="2"/>
      <c r="S313" s="1" t="str">
        <f t="shared" si="14"/>
        <v/>
      </c>
      <c r="T313" s="1" t="str">
        <f>IF(OR($C313="",$D313&lt;&gt;"Gelir",$L313=""),"",IFERROR(INDEX(MUSTERILER!$B$7:$B$156,MATCH($S313,MUSTERILER!$T$7:$T$156,0)),""))</f>
        <v/>
      </c>
      <c r="U313" s="1" t="str">
        <f>IF($T313="","",$T313&amp;"|"&amp;COUNTIFS($T$7:$T313,$T313))</f>
        <v/>
      </c>
      <c r="V313" s="1">
        <f t="shared" si="15"/>
        <v>0</v>
      </c>
      <c r="W313" s="1" t="str">
        <f t="shared" si="16"/>
        <v/>
      </c>
      <c r="X313" s="1"/>
      <c r="Y313" s="1"/>
      <c r="Z313" s="1"/>
      <c r="AA313" s="1"/>
      <c r="AB313" s="1"/>
      <c r="AC313" s="1"/>
      <c r="AD313" s="1">
        <f>IF($C313="",0,SUMPRODUCT((AY_SONU!$O$7:$O$42="Evet")*(AY_SONU!$B$7:$B$42=DATE(YEAR($C313),MONTH($C313),1))))</f>
        <v>0</v>
      </c>
      <c r="AE313" s="1" t="str">
        <f>IF($E313="","",$E313&amp;"|"&amp;COUNTIFS($E$7:$E313,$E313))</f>
        <v/>
      </c>
    </row>
    <row r="314" spans="1:31" ht="18" customHeight="1" x14ac:dyDescent="0.3">
      <c r="A314" s="2"/>
      <c r="B314" s="65" t="str">
        <f>IF($C314="","","GG"&amp;TEXT(ROW()-6,"00000"))</f>
        <v/>
      </c>
      <c r="C314" s="66"/>
      <c r="D314" s="60"/>
      <c r="E314" s="61"/>
      <c r="F314" s="61"/>
      <c r="G314" s="67"/>
      <c r="H314" s="60"/>
      <c r="I314" s="60"/>
      <c r="J314" s="61"/>
      <c r="K314" s="61"/>
      <c r="L314" s="60"/>
      <c r="M314" s="74" t="str">
        <f>IF($C314="","",IF($D314="Gider",$E314,IF($L314&lt;&gt;"",$L314,$H314)))</f>
        <v/>
      </c>
      <c r="N314" s="74" t="str">
        <f>IF($C314="","",IF($D314="Gider",$H314,$E314))</f>
        <v/>
      </c>
      <c r="O314" s="73" t="str">
        <f>IF($C314="","",DATE(YEAR($C314),MONTH($C314),1))</f>
        <v/>
      </c>
      <c r="P314" s="65" t="str">
        <f ca="1">IF($C314="","",IF(AND($D314="Gelir",$L314&lt;&gt;"",$T314=""),"TANIMSIZ BORÇLU",IF($T314&lt;&gt;"",IF(OR($E314="",$G314&lt;=0),"EKSİK",IF($I314="Evet","TAHAKKUK NAKİT OLAMAZ",IF($C314&gt;TODAY(),"İLERİ TARİH","TAHAKKUK"))),IF(AND($D314&lt;&gt;"",$E314&lt;&gt;"",$G314&gt;0,$H314&lt;&gt;"",$I314&lt;&gt;""),IF($C314&gt;TODAY(),"İLERİ TARİH",IF(COUNTIF($W$7:$W$3001,$W314)&gt;1,"MÜKERRER?",IF($AD314&gt;0,"KAPALI DÖNEM",IF($I314="Hayır","ÖDENECEK","UYGUN")))),"EKSİK"))))</f>
        <v/>
      </c>
      <c r="Q314" s="2"/>
      <c r="R314" s="2"/>
      <c r="S314" s="1" t="str">
        <f t="shared" si="14"/>
        <v/>
      </c>
      <c r="T314" s="1" t="str">
        <f>IF(OR($C314="",$D314&lt;&gt;"Gelir",$L314=""),"",IFERROR(INDEX(MUSTERILER!$B$7:$B$156,MATCH($S314,MUSTERILER!$T$7:$T$156,0)),""))</f>
        <v/>
      </c>
      <c r="U314" s="1" t="str">
        <f>IF($T314="","",$T314&amp;"|"&amp;COUNTIFS($T$7:$T314,$T314))</f>
        <v/>
      </c>
      <c r="V314" s="1">
        <f t="shared" si="15"/>
        <v>0</v>
      </c>
      <c r="W314" s="1" t="str">
        <f t="shared" si="16"/>
        <v/>
      </c>
      <c r="X314" s="1"/>
      <c r="Y314" s="1"/>
      <c r="Z314" s="1"/>
      <c r="AA314" s="1"/>
      <c r="AB314" s="1"/>
      <c r="AC314" s="1"/>
      <c r="AD314" s="1">
        <f>IF($C314="",0,SUMPRODUCT((AY_SONU!$O$7:$O$42="Evet")*(AY_SONU!$B$7:$B$42=DATE(YEAR($C314),MONTH($C314),1))))</f>
        <v>0</v>
      </c>
      <c r="AE314" s="1" t="str">
        <f>IF($E314="","",$E314&amp;"|"&amp;COUNTIFS($E$7:$E314,$E314))</f>
        <v/>
      </c>
    </row>
    <row r="315" spans="1:31" ht="18" customHeight="1" x14ac:dyDescent="0.3">
      <c r="A315" s="2"/>
      <c r="B315" s="65" t="str">
        <f>IF($C315="","","GG"&amp;TEXT(ROW()-6,"00000"))</f>
        <v/>
      </c>
      <c r="C315" s="66"/>
      <c r="D315" s="60"/>
      <c r="E315" s="61"/>
      <c r="F315" s="61"/>
      <c r="G315" s="67"/>
      <c r="H315" s="60"/>
      <c r="I315" s="60"/>
      <c r="J315" s="61"/>
      <c r="K315" s="61"/>
      <c r="L315" s="60"/>
      <c r="M315" s="74" t="str">
        <f>IF($C315="","",IF($D315="Gider",$E315,IF($L315&lt;&gt;"",$L315,$H315)))</f>
        <v/>
      </c>
      <c r="N315" s="74" t="str">
        <f>IF($C315="","",IF($D315="Gider",$H315,$E315))</f>
        <v/>
      </c>
      <c r="O315" s="73" t="str">
        <f>IF($C315="","",DATE(YEAR($C315),MONTH($C315),1))</f>
        <v/>
      </c>
      <c r="P315" s="65" t="str">
        <f ca="1">IF($C315="","",IF(AND($D315="Gelir",$L315&lt;&gt;"",$T315=""),"TANIMSIZ BORÇLU",IF($T315&lt;&gt;"",IF(OR($E315="",$G315&lt;=0),"EKSİK",IF($I315="Evet","TAHAKKUK NAKİT OLAMAZ",IF($C315&gt;TODAY(),"İLERİ TARİH","TAHAKKUK"))),IF(AND($D315&lt;&gt;"",$E315&lt;&gt;"",$G315&gt;0,$H315&lt;&gt;"",$I315&lt;&gt;""),IF($C315&gt;TODAY(),"İLERİ TARİH",IF(COUNTIF($W$7:$W$3001,$W315)&gt;1,"MÜKERRER?",IF($AD315&gt;0,"KAPALI DÖNEM",IF($I315="Hayır","ÖDENECEK","UYGUN")))),"EKSİK"))))</f>
        <v/>
      </c>
      <c r="Q315" s="2"/>
      <c r="R315" s="2"/>
      <c r="S315" s="1" t="str">
        <f t="shared" si="14"/>
        <v/>
      </c>
      <c r="T315" s="1" t="str">
        <f>IF(OR($C315="",$D315&lt;&gt;"Gelir",$L315=""),"",IFERROR(INDEX(MUSTERILER!$B$7:$B$156,MATCH($S315,MUSTERILER!$T$7:$T$156,0)),""))</f>
        <v/>
      </c>
      <c r="U315" s="1" t="str">
        <f>IF($T315="","",$T315&amp;"|"&amp;COUNTIFS($T$7:$T315,$T315))</f>
        <v/>
      </c>
      <c r="V315" s="1">
        <f t="shared" si="15"/>
        <v>0</v>
      </c>
      <c r="W315" s="1" t="str">
        <f t="shared" si="16"/>
        <v/>
      </c>
      <c r="X315" s="1"/>
      <c r="Y315" s="1"/>
      <c r="Z315" s="1"/>
      <c r="AA315" s="1"/>
      <c r="AB315" s="1"/>
      <c r="AC315" s="1"/>
      <c r="AD315" s="1">
        <f>IF($C315="",0,SUMPRODUCT((AY_SONU!$O$7:$O$42="Evet")*(AY_SONU!$B$7:$B$42=DATE(YEAR($C315),MONTH($C315),1))))</f>
        <v>0</v>
      </c>
      <c r="AE315" s="1" t="str">
        <f>IF($E315="","",$E315&amp;"|"&amp;COUNTIFS($E$7:$E315,$E315))</f>
        <v/>
      </c>
    </row>
    <row r="316" spans="1:31" ht="18" customHeight="1" x14ac:dyDescent="0.3">
      <c r="A316" s="2"/>
      <c r="B316" s="65" t="str">
        <f>IF($C316="","","GG"&amp;TEXT(ROW()-6,"00000"))</f>
        <v/>
      </c>
      <c r="C316" s="66"/>
      <c r="D316" s="60"/>
      <c r="E316" s="61"/>
      <c r="F316" s="61"/>
      <c r="G316" s="67"/>
      <c r="H316" s="60"/>
      <c r="I316" s="60"/>
      <c r="J316" s="61"/>
      <c r="K316" s="61"/>
      <c r="L316" s="60"/>
      <c r="M316" s="74" t="str">
        <f>IF($C316="","",IF($D316="Gider",$E316,IF($L316&lt;&gt;"",$L316,$H316)))</f>
        <v/>
      </c>
      <c r="N316" s="74" t="str">
        <f>IF($C316="","",IF($D316="Gider",$H316,$E316))</f>
        <v/>
      </c>
      <c r="O316" s="73" t="str">
        <f>IF($C316="","",DATE(YEAR($C316),MONTH($C316),1))</f>
        <v/>
      </c>
      <c r="P316" s="65" t="str">
        <f ca="1">IF($C316="","",IF(AND($D316="Gelir",$L316&lt;&gt;"",$T316=""),"TANIMSIZ BORÇLU",IF($T316&lt;&gt;"",IF(OR($E316="",$G316&lt;=0),"EKSİK",IF($I316="Evet","TAHAKKUK NAKİT OLAMAZ",IF($C316&gt;TODAY(),"İLERİ TARİH","TAHAKKUK"))),IF(AND($D316&lt;&gt;"",$E316&lt;&gt;"",$G316&gt;0,$H316&lt;&gt;"",$I316&lt;&gt;""),IF($C316&gt;TODAY(),"İLERİ TARİH",IF(COUNTIF($W$7:$W$3001,$W316)&gt;1,"MÜKERRER?",IF($AD316&gt;0,"KAPALI DÖNEM",IF($I316="Hayır","ÖDENECEK","UYGUN")))),"EKSİK"))))</f>
        <v/>
      </c>
      <c r="Q316" s="2"/>
      <c r="R316" s="2"/>
      <c r="S316" s="1" t="str">
        <f t="shared" si="14"/>
        <v/>
      </c>
      <c r="T316" s="1" t="str">
        <f>IF(OR($C316="",$D316&lt;&gt;"Gelir",$L316=""),"",IFERROR(INDEX(MUSTERILER!$B$7:$B$156,MATCH($S316,MUSTERILER!$T$7:$T$156,0)),""))</f>
        <v/>
      </c>
      <c r="U316" s="1" t="str">
        <f>IF($T316="","",$T316&amp;"|"&amp;COUNTIFS($T$7:$T316,$T316))</f>
        <v/>
      </c>
      <c r="V316" s="1">
        <f t="shared" si="15"/>
        <v>0</v>
      </c>
      <c r="W316" s="1" t="str">
        <f t="shared" si="16"/>
        <v/>
      </c>
      <c r="X316" s="1"/>
      <c r="Y316" s="1"/>
      <c r="Z316" s="1"/>
      <c r="AA316" s="1"/>
      <c r="AB316" s="1"/>
      <c r="AC316" s="1"/>
      <c r="AD316" s="1">
        <f>IF($C316="",0,SUMPRODUCT((AY_SONU!$O$7:$O$42="Evet")*(AY_SONU!$B$7:$B$42=DATE(YEAR($C316),MONTH($C316),1))))</f>
        <v>0</v>
      </c>
      <c r="AE316" s="1" t="str">
        <f>IF($E316="","",$E316&amp;"|"&amp;COUNTIFS($E$7:$E316,$E316))</f>
        <v/>
      </c>
    </row>
    <row r="317" spans="1:31" ht="18" customHeight="1" x14ac:dyDescent="0.3">
      <c r="A317" s="2"/>
      <c r="B317" s="65" t="str">
        <f>IF($C317="","","GG"&amp;TEXT(ROW()-6,"00000"))</f>
        <v/>
      </c>
      <c r="C317" s="66"/>
      <c r="D317" s="60"/>
      <c r="E317" s="61"/>
      <c r="F317" s="61"/>
      <c r="G317" s="67"/>
      <c r="H317" s="60"/>
      <c r="I317" s="60"/>
      <c r="J317" s="61"/>
      <c r="K317" s="61"/>
      <c r="L317" s="60"/>
      <c r="M317" s="74" t="str">
        <f>IF($C317="","",IF($D317="Gider",$E317,IF($L317&lt;&gt;"",$L317,$H317)))</f>
        <v/>
      </c>
      <c r="N317" s="74" t="str">
        <f>IF($C317="","",IF($D317="Gider",$H317,$E317))</f>
        <v/>
      </c>
      <c r="O317" s="73" t="str">
        <f>IF($C317="","",DATE(YEAR($C317),MONTH($C317),1))</f>
        <v/>
      </c>
      <c r="P317" s="65" t="str">
        <f ca="1">IF($C317="","",IF(AND($D317="Gelir",$L317&lt;&gt;"",$T317=""),"TANIMSIZ BORÇLU",IF($T317&lt;&gt;"",IF(OR($E317="",$G317&lt;=0),"EKSİK",IF($I317="Evet","TAHAKKUK NAKİT OLAMAZ",IF($C317&gt;TODAY(),"İLERİ TARİH","TAHAKKUK"))),IF(AND($D317&lt;&gt;"",$E317&lt;&gt;"",$G317&gt;0,$H317&lt;&gt;"",$I317&lt;&gt;""),IF($C317&gt;TODAY(),"İLERİ TARİH",IF(COUNTIF($W$7:$W$3001,$W317)&gt;1,"MÜKERRER?",IF($AD317&gt;0,"KAPALI DÖNEM",IF($I317="Hayır","ÖDENECEK","UYGUN")))),"EKSİK"))))</f>
        <v/>
      </c>
      <c r="Q317" s="2"/>
      <c r="R317" s="2"/>
      <c r="S317" s="1" t="str">
        <f t="shared" si="14"/>
        <v/>
      </c>
      <c r="T317" s="1" t="str">
        <f>IF(OR($C317="",$D317&lt;&gt;"Gelir",$L317=""),"",IFERROR(INDEX(MUSTERILER!$B$7:$B$156,MATCH($S317,MUSTERILER!$T$7:$T$156,0)),""))</f>
        <v/>
      </c>
      <c r="U317" s="1" t="str">
        <f>IF($T317="","",$T317&amp;"|"&amp;COUNTIFS($T$7:$T317,$T317))</f>
        <v/>
      </c>
      <c r="V317" s="1">
        <f t="shared" si="15"/>
        <v>0</v>
      </c>
      <c r="W317" s="1" t="str">
        <f t="shared" si="16"/>
        <v/>
      </c>
      <c r="X317" s="1"/>
      <c r="Y317" s="1"/>
      <c r="Z317" s="1"/>
      <c r="AA317" s="1"/>
      <c r="AB317" s="1"/>
      <c r="AC317" s="1"/>
      <c r="AD317" s="1">
        <f>IF($C317="",0,SUMPRODUCT((AY_SONU!$O$7:$O$42="Evet")*(AY_SONU!$B$7:$B$42=DATE(YEAR($C317),MONTH($C317),1))))</f>
        <v>0</v>
      </c>
      <c r="AE317" s="1" t="str">
        <f>IF($E317="","",$E317&amp;"|"&amp;COUNTIFS($E$7:$E317,$E317))</f>
        <v/>
      </c>
    </row>
    <row r="318" spans="1:31" ht="18" customHeight="1" x14ac:dyDescent="0.3">
      <c r="A318" s="2"/>
      <c r="B318" s="65" t="str">
        <f>IF($C318="","","GG"&amp;TEXT(ROW()-6,"00000"))</f>
        <v/>
      </c>
      <c r="C318" s="66"/>
      <c r="D318" s="60"/>
      <c r="E318" s="61"/>
      <c r="F318" s="61"/>
      <c r="G318" s="67"/>
      <c r="H318" s="60"/>
      <c r="I318" s="60"/>
      <c r="J318" s="61"/>
      <c r="K318" s="61"/>
      <c r="L318" s="60"/>
      <c r="M318" s="74" t="str">
        <f>IF($C318="","",IF($D318="Gider",$E318,IF($L318&lt;&gt;"",$L318,$H318)))</f>
        <v/>
      </c>
      <c r="N318" s="74" t="str">
        <f>IF($C318="","",IF($D318="Gider",$H318,$E318))</f>
        <v/>
      </c>
      <c r="O318" s="73" t="str">
        <f>IF($C318="","",DATE(YEAR($C318),MONTH($C318),1))</f>
        <v/>
      </c>
      <c r="P318" s="65" t="str">
        <f ca="1">IF($C318="","",IF(AND($D318="Gelir",$L318&lt;&gt;"",$T318=""),"TANIMSIZ BORÇLU",IF($T318&lt;&gt;"",IF(OR($E318="",$G318&lt;=0),"EKSİK",IF($I318="Evet","TAHAKKUK NAKİT OLAMAZ",IF($C318&gt;TODAY(),"İLERİ TARİH","TAHAKKUK"))),IF(AND($D318&lt;&gt;"",$E318&lt;&gt;"",$G318&gt;0,$H318&lt;&gt;"",$I318&lt;&gt;""),IF($C318&gt;TODAY(),"İLERİ TARİH",IF(COUNTIF($W$7:$W$3001,$W318)&gt;1,"MÜKERRER?",IF($AD318&gt;0,"KAPALI DÖNEM",IF($I318="Hayır","ÖDENECEK","UYGUN")))),"EKSİK"))))</f>
        <v/>
      </c>
      <c r="Q318" s="2"/>
      <c r="R318" s="2"/>
      <c r="S318" s="1" t="str">
        <f t="shared" si="14"/>
        <v/>
      </c>
      <c r="T318" s="1" t="str">
        <f>IF(OR($C318="",$D318&lt;&gt;"Gelir",$L318=""),"",IFERROR(INDEX(MUSTERILER!$B$7:$B$156,MATCH($S318,MUSTERILER!$T$7:$T$156,0)),""))</f>
        <v/>
      </c>
      <c r="U318" s="1" t="str">
        <f>IF($T318="","",$T318&amp;"|"&amp;COUNTIFS($T$7:$T318,$T318))</f>
        <v/>
      </c>
      <c r="V318" s="1">
        <f t="shared" si="15"/>
        <v>0</v>
      </c>
      <c r="W318" s="1" t="str">
        <f t="shared" si="16"/>
        <v/>
      </c>
      <c r="X318" s="1"/>
      <c r="Y318" s="1"/>
      <c r="Z318" s="1"/>
      <c r="AA318" s="1"/>
      <c r="AB318" s="1"/>
      <c r="AC318" s="1"/>
      <c r="AD318" s="1">
        <f>IF($C318="",0,SUMPRODUCT((AY_SONU!$O$7:$O$42="Evet")*(AY_SONU!$B$7:$B$42=DATE(YEAR($C318),MONTH($C318),1))))</f>
        <v>0</v>
      </c>
      <c r="AE318" s="1" t="str">
        <f>IF($E318="","",$E318&amp;"|"&amp;COUNTIFS($E$7:$E318,$E318))</f>
        <v/>
      </c>
    </row>
    <row r="319" spans="1:31" ht="18" customHeight="1" x14ac:dyDescent="0.3">
      <c r="A319" s="2"/>
      <c r="B319" s="65" t="str">
        <f>IF($C319="","","GG"&amp;TEXT(ROW()-6,"00000"))</f>
        <v/>
      </c>
      <c r="C319" s="66"/>
      <c r="D319" s="60"/>
      <c r="E319" s="61"/>
      <c r="F319" s="61"/>
      <c r="G319" s="67"/>
      <c r="H319" s="60"/>
      <c r="I319" s="60"/>
      <c r="J319" s="61"/>
      <c r="K319" s="61"/>
      <c r="L319" s="60"/>
      <c r="M319" s="74" t="str">
        <f>IF($C319="","",IF($D319="Gider",$E319,IF($L319&lt;&gt;"",$L319,$H319)))</f>
        <v/>
      </c>
      <c r="N319" s="74" t="str">
        <f>IF($C319="","",IF($D319="Gider",$H319,$E319))</f>
        <v/>
      </c>
      <c r="O319" s="73" t="str">
        <f>IF($C319="","",DATE(YEAR($C319),MONTH($C319),1))</f>
        <v/>
      </c>
      <c r="P319" s="65" t="str">
        <f ca="1">IF($C319="","",IF(AND($D319="Gelir",$L319&lt;&gt;"",$T319=""),"TANIMSIZ BORÇLU",IF($T319&lt;&gt;"",IF(OR($E319="",$G319&lt;=0),"EKSİK",IF($I319="Evet","TAHAKKUK NAKİT OLAMAZ",IF($C319&gt;TODAY(),"İLERİ TARİH","TAHAKKUK"))),IF(AND($D319&lt;&gt;"",$E319&lt;&gt;"",$G319&gt;0,$H319&lt;&gt;"",$I319&lt;&gt;""),IF($C319&gt;TODAY(),"İLERİ TARİH",IF(COUNTIF($W$7:$W$3001,$W319)&gt;1,"MÜKERRER?",IF($AD319&gt;0,"KAPALI DÖNEM",IF($I319="Hayır","ÖDENECEK","UYGUN")))),"EKSİK"))))</f>
        <v/>
      </c>
      <c r="Q319" s="2"/>
      <c r="R319" s="2"/>
      <c r="S319" s="1" t="str">
        <f t="shared" si="14"/>
        <v/>
      </c>
      <c r="T319" s="1" t="str">
        <f>IF(OR($C319="",$D319&lt;&gt;"Gelir",$L319=""),"",IFERROR(INDEX(MUSTERILER!$B$7:$B$156,MATCH($S319,MUSTERILER!$T$7:$T$156,0)),""))</f>
        <v/>
      </c>
      <c r="U319" s="1" t="str">
        <f>IF($T319="","",$T319&amp;"|"&amp;COUNTIFS($T$7:$T319,$T319))</f>
        <v/>
      </c>
      <c r="V319" s="1">
        <f t="shared" si="15"/>
        <v>0</v>
      </c>
      <c r="W319" s="1" t="str">
        <f t="shared" si="16"/>
        <v/>
      </c>
      <c r="X319" s="1"/>
      <c r="Y319" s="1"/>
      <c r="Z319" s="1"/>
      <c r="AA319" s="1"/>
      <c r="AB319" s="1"/>
      <c r="AC319" s="1"/>
      <c r="AD319" s="1">
        <f>IF($C319="",0,SUMPRODUCT((AY_SONU!$O$7:$O$42="Evet")*(AY_SONU!$B$7:$B$42=DATE(YEAR($C319),MONTH($C319),1))))</f>
        <v>0</v>
      </c>
      <c r="AE319" s="1" t="str">
        <f>IF($E319="","",$E319&amp;"|"&amp;COUNTIFS($E$7:$E319,$E319))</f>
        <v/>
      </c>
    </row>
    <row r="320" spans="1:31" ht="18" customHeight="1" x14ac:dyDescent="0.3">
      <c r="A320" s="2"/>
      <c r="B320" s="65" t="str">
        <f>IF($C320="","","GG"&amp;TEXT(ROW()-6,"00000"))</f>
        <v/>
      </c>
      <c r="C320" s="66"/>
      <c r="D320" s="60"/>
      <c r="E320" s="61"/>
      <c r="F320" s="61"/>
      <c r="G320" s="67"/>
      <c r="H320" s="60"/>
      <c r="I320" s="60"/>
      <c r="J320" s="61"/>
      <c r="K320" s="61"/>
      <c r="L320" s="60"/>
      <c r="M320" s="74" t="str">
        <f>IF($C320="","",IF($D320="Gider",$E320,IF($L320&lt;&gt;"",$L320,$H320)))</f>
        <v/>
      </c>
      <c r="N320" s="74" t="str">
        <f>IF($C320="","",IF($D320="Gider",$H320,$E320))</f>
        <v/>
      </c>
      <c r="O320" s="73" t="str">
        <f>IF($C320="","",DATE(YEAR($C320),MONTH($C320),1))</f>
        <v/>
      </c>
      <c r="P320" s="65" t="str">
        <f ca="1">IF($C320="","",IF(AND($D320="Gelir",$L320&lt;&gt;"",$T320=""),"TANIMSIZ BORÇLU",IF($T320&lt;&gt;"",IF(OR($E320="",$G320&lt;=0),"EKSİK",IF($I320="Evet","TAHAKKUK NAKİT OLAMAZ",IF($C320&gt;TODAY(),"İLERİ TARİH","TAHAKKUK"))),IF(AND($D320&lt;&gt;"",$E320&lt;&gt;"",$G320&gt;0,$H320&lt;&gt;"",$I320&lt;&gt;""),IF($C320&gt;TODAY(),"İLERİ TARİH",IF(COUNTIF($W$7:$W$3001,$W320)&gt;1,"MÜKERRER?",IF($AD320&gt;0,"KAPALI DÖNEM",IF($I320="Hayır","ÖDENECEK","UYGUN")))),"EKSİK"))))</f>
        <v/>
      </c>
      <c r="Q320" s="2"/>
      <c r="R320" s="2"/>
      <c r="S320" s="1" t="str">
        <f t="shared" si="14"/>
        <v/>
      </c>
      <c r="T320" s="1" t="str">
        <f>IF(OR($C320="",$D320&lt;&gt;"Gelir",$L320=""),"",IFERROR(INDEX(MUSTERILER!$B$7:$B$156,MATCH($S320,MUSTERILER!$T$7:$T$156,0)),""))</f>
        <v/>
      </c>
      <c r="U320" s="1" t="str">
        <f>IF($T320="","",$T320&amp;"|"&amp;COUNTIFS($T$7:$T320,$T320))</f>
        <v/>
      </c>
      <c r="V320" s="1">
        <f t="shared" si="15"/>
        <v>0</v>
      </c>
      <c r="W320" s="1" t="str">
        <f t="shared" si="16"/>
        <v/>
      </c>
      <c r="X320" s="1"/>
      <c r="Y320" s="1"/>
      <c r="Z320" s="1"/>
      <c r="AA320" s="1"/>
      <c r="AB320" s="1"/>
      <c r="AC320" s="1"/>
      <c r="AD320" s="1">
        <f>IF($C320="",0,SUMPRODUCT((AY_SONU!$O$7:$O$42="Evet")*(AY_SONU!$B$7:$B$42=DATE(YEAR($C320),MONTH($C320),1))))</f>
        <v>0</v>
      </c>
      <c r="AE320" s="1" t="str">
        <f>IF($E320="","",$E320&amp;"|"&amp;COUNTIFS($E$7:$E320,$E320))</f>
        <v/>
      </c>
    </row>
    <row r="321" spans="1:31" ht="18" customHeight="1" x14ac:dyDescent="0.3">
      <c r="A321" s="2"/>
      <c r="B321" s="65" t="str">
        <f>IF($C321="","","GG"&amp;TEXT(ROW()-6,"00000"))</f>
        <v/>
      </c>
      <c r="C321" s="66"/>
      <c r="D321" s="60"/>
      <c r="E321" s="61"/>
      <c r="F321" s="61"/>
      <c r="G321" s="67"/>
      <c r="H321" s="60"/>
      <c r="I321" s="60"/>
      <c r="J321" s="61"/>
      <c r="K321" s="61"/>
      <c r="L321" s="60"/>
      <c r="M321" s="74" t="str">
        <f>IF($C321="","",IF($D321="Gider",$E321,IF($L321&lt;&gt;"",$L321,$H321)))</f>
        <v/>
      </c>
      <c r="N321" s="74" t="str">
        <f>IF($C321="","",IF($D321="Gider",$H321,$E321))</f>
        <v/>
      </c>
      <c r="O321" s="73" t="str">
        <f>IF($C321="","",DATE(YEAR($C321),MONTH($C321),1))</f>
        <v/>
      </c>
      <c r="P321" s="65" t="str">
        <f ca="1">IF($C321="","",IF(AND($D321="Gelir",$L321&lt;&gt;"",$T321=""),"TANIMSIZ BORÇLU",IF($T321&lt;&gt;"",IF(OR($E321="",$G321&lt;=0),"EKSİK",IF($I321="Evet","TAHAKKUK NAKİT OLAMAZ",IF($C321&gt;TODAY(),"İLERİ TARİH","TAHAKKUK"))),IF(AND($D321&lt;&gt;"",$E321&lt;&gt;"",$G321&gt;0,$H321&lt;&gt;"",$I321&lt;&gt;""),IF($C321&gt;TODAY(),"İLERİ TARİH",IF(COUNTIF($W$7:$W$3001,$W321)&gt;1,"MÜKERRER?",IF($AD321&gt;0,"KAPALI DÖNEM",IF($I321="Hayır","ÖDENECEK","UYGUN")))),"EKSİK"))))</f>
        <v/>
      </c>
      <c r="Q321" s="2"/>
      <c r="R321" s="2"/>
      <c r="S321" s="1" t="str">
        <f t="shared" si="14"/>
        <v/>
      </c>
      <c r="T321" s="1" t="str">
        <f>IF(OR($C321="",$D321&lt;&gt;"Gelir",$L321=""),"",IFERROR(INDEX(MUSTERILER!$B$7:$B$156,MATCH($S321,MUSTERILER!$T$7:$T$156,0)),""))</f>
        <v/>
      </c>
      <c r="U321" s="1" t="str">
        <f>IF($T321="","",$T321&amp;"|"&amp;COUNTIFS($T$7:$T321,$T321))</f>
        <v/>
      </c>
      <c r="V321" s="1">
        <f t="shared" si="15"/>
        <v>0</v>
      </c>
      <c r="W321" s="1" t="str">
        <f t="shared" si="16"/>
        <v/>
      </c>
      <c r="X321" s="1"/>
      <c r="Y321" s="1"/>
      <c r="Z321" s="1"/>
      <c r="AA321" s="1"/>
      <c r="AB321" s="1"/>
      <c r="AC321" s="1"/>
      <c r="AD321" s="1">
        <f>IF($C321="",0,SUMPRODUCT((AY_SONU!$O$7:$O$42="Evet")*(AY_SONU!$B$7:$B$42=DATE(YEAR($C321),MONTH($C321),1))))</f>
        <v>0</v>
      </c>
      <c r="AE321" s="1" t="str">
        <f>IF($E321="","",$E321&amp;"|"&amp;COUNTIFS($E$7:$E321,$E321))</f>
        <v/>
      </c>
    </row>
    <row r="322" spans="1:31" ht="18" customHeight="1" x14ac:dyDescent="0.3">
      <c r="A322" s="2"/>
      <c r="B322" s="65" t="str">
        <f>IF($C322="","","GG"&amp;TEXT(ROW()-6,"00000"))</f>
        <v/>
      </c>
      <c r="C322" s="66"/>
      <c r="D322" s="60"/>
      <c r="E322" s="61"/>
      <c r="F322" s="61"/>
      <c r="G322" s="67"/>
      <c r="H322" s="60"/>
      <c r="I322" s="60"/>
      <c r="J322" s="61"/>
      <c r="K322" s="61"/>
      <c r="L322" s="60"/>
      <c r="M322" s="74" t="str">
        <f>IF($C322="","",IF($D322="Gider",$E322,IF($L322&lt;&gt;"",$L322,$H322)))</f>
        <v/>
      </c>
      <c r="N322" s="74" t="str">
        <f>IF($C322="","",IF($D322="Gider",$H322,$E322))</f>
        <v/>
      </c>
      <c r="O322" s="73" t="str">
        <f>IF($C322="","",DATE(YEAR($C322),MONTH($C322),1))</f>
        <v/>
      </c>
      <c r="P322" s="65" t="str">
        <f ca="1">IF($C322="","",IF(AND($D322="Gelir",$L322&lt;&gt;"",$T322=""),"TANIMSIZ BORÇLU",IF($T322&lt;&gt;"",IF(OR($E322="",$G322&lt;=0),"EKSİK",IF($I322="Evet","TAHAKKUK NAKİT OLAMAZ",IF($C322&gt;TODAY(),"İLERİ TARİH","TAHAKKUK"))),IF(AND($D322&lt;&gt;"",$E322&lt;&gt;"",$G322&gt;0,$H322&lt;&gt;"",$I322&lt;&gt;""),IF($C322&gt;TODAY(),"İLERİ TARİH",IF(COUNTIF($W$7:$W$3001,$W322)&gt;1,"MÜKERRER?",IF($AD322&gt;0,"KAPALI DÖNEM",IF($I322="Hayır","ÖDENECEK","UYGUN")))),"EKSİK"))))</f>
        <v/>
      </c>
      <c r="Q322" s="2"/>
      <c r="R322" s="2"/>
      <c r="S322" s="1" t="str">
        <f t="shared" si="14"/>
        <v/>
      </c>
      <c r="T322" s="1" t="str">
        <f>IF(OR($C322="",$D322&lt;&gt;"Gelir",$L322=""),"",IFERROR(INDEX(MUSTERILER!$B$7:$B$156,MATCH($S322,MUSTERILER!$T$7:$T$156,0)),""))</f>
        <v/>
      </c>
      <c r="U322" s="1" t="str">
        <f>IF($T322="","",$T322&amp;"|"&amp;COUNTIFS($T$7:$T322,$T322))</f>
        <v/>
      </c>
      <c r="V322" s="1">
        <f t="shared" si="15"/>
        <v>0</v>
      </c>
      <c r="W322" s="1" t="str">
        <f t="shared" si="16"/>
        <v/>
      </c>
      <c r="X322" s="1"/>
      <c r="Y322" s="1"/>
      <c r="Z322" s="1"/>
      <c r="AA322" s="1"/>
      <c r="AB322" s="1"/>
      <c r="AC322" s="1"/>
      <c r="AD322" s="1">
        <f>IF($C322="",0,SUMPRODUCT((AY_SONU!$O$7:$O$42="Evet")*(AY_SONU!$B$7:$B$42=DATE(YEAR($C322),MONTH($C322),1))))</f>
        <v>0</v>
      </c>
      <c r="AE322" s="1" t="str">
        <f>IF($E322="","",$E322&amp;"|"&amp;COUNTIFS($E$7:$E322,$E322))</f>
        <v/>
      </c>
    </row>
    <row r="323" spans="1:31" ht="18" customHeight="1" x14ac:dyDescent="0.3">
      <c r="A323" s="2"/>
      <c r="B323" s="65" t="str">
        <f>IF($C323="","","GG"&amp;TEXT(ROW()-6,"00000"))</f>
        <v/>
      </c>
      <c r="C323" s="66"/>
      <c r="D323" s="60"/>
      <c r="E323" s="61"/>
      <c r="F323" s="61"/>
      <c r="G323" s="67"/>
      <c r="H323" s="60"/>
      <c r="I323" s="60"/>
      <c r="J323" s="61"/>
      <c r="K323" s="61"/>
      <c r="L323" s="60"/>
      <c r="M323" s="74" t="str">
        <f>IF($C323="","",IF($D323="Gider",$E323,IF($L323&lt;&gt;"",$L323,$H323)))</f>
        <v/>
      </c>
      <c r="N323" s="74" t="str">
        <f>IF($C323="","",IF($D323="Gider",$H323,$E323))</f>
        <v/>
      </c>
      <c r="O323" s="73" t="str">
        <f>IF($C323="","",DATE(YEAR($C323),MONTH($C323),1))</f>
        <v/>
      </c>
      <c r="P323" s="65" t="str">
        <f ca="1">IF($C323="","",IF(AND($D323="Gelir",$L323&lt;&gt;"",$T323=""),"TANIMSIZ BORÇLU",IF($T323&lt;&gt;"",IF(OR($E323="",$G323&lt;=0),"EKSİK",IF($I323="Evet","TAHAKKUK NAKİT OLAMAZ",IF($C323&gt;TODAY(),"İLERİ TARİH","TAHAKKUK"))),IF(AND($D323&lt;&gt;"",$E323&lt;&gt;"",$G323&gt;0,$H323&lt;&gt;"",$I323&lt;&gt;""),IF($C323&gt;TODAY(),"İLERİ TARİH",IF(COUNTIF($W$7:$W$3001,$W323)&gt;1,"MÜKERRER?",IF($AD323&gt;0,"KAPALI DÖNEM",IF($I323="Hayır","ÖDENECEK","UYGUN")))),"EKSİK"))))</f>
        <v/>
      </c>
      <c r="Q323" s="2"/>
      <c r="R323" s="2"/>
      <c r="S323" s="1" t="str">
        <f t="shared" si="14"/>
        <v/>
      </c>
      <c r="T323" s="1" t="str">
        <f>IF(OR($C323="",$D323&lt;&gt;"Gelir",$L323=""),"",IFERROR(INDEX(MUSTERILER!$B$7:$B$156,MATCH($S323,MUSTERILER!$T$7:$T$156,0)),""))</f>
        <v/>
      </c>
      <c r="U323" s="1" t="str">
        <f>IF($T323="","",$T323&amp;"|"&amp;COUNTIFS($T$7:$T323,$T323))</f>
        <v/>
      </c>
      <c r="V323" s="1">
        <f t="shared" si="15"/>
        <v>0</v>
      </c>
      <c r="W323" s="1" t="str">
        <f t="shared" si="16"/>
        <v/>
      </c>
      <c r="X323" s="1"/>
      <c r="Y323" s="1"/>
      <c r="Z323" s="1"/>
      <c r="AA323" s="1"/>
      <c r="AB323" s="1"/>
      <c r="AC323" s="1"/>
      <c r="AD323" s="1">
        <f>IF($C323="",0,SUMPRODUCT((AY_SONU!$O$7:$O$42="Evet")*(AY_SONU!$B$7:$B$42=DATE(YEAR($C323),MONTH($C323),1))))</f>
        <v>0</v>
      </c>
      <c r="AE323" s="1" t="str">
        <f>IF($E323="","",$E323&amp;"|"&amp;COUNTIFS($E$7:$E323,$E323))</f>
        <v/>
      </c>
    </row>
    <row r="324" spans="1:31" ht="18" customHeight="1" x14ac:dyDescent="0.3">
      <c r="A324" s="2"/>
      <c r="B324" s="65" t="str">
        <f>IF($C324="","","GG"&amp;TEXT(ROW()-6,"00000"))</f>
        <v/>
      </c>
      <c r="C324" s="66"/>
      <c r="D324" s="60"/>
      <c r="E324" s="61"/>
      <c r="F324" s="61"/>
      <c r="G324" s="67"/>
      <c r="H324" s="60"/>
      <c r="I324" s="60"/>
      <c r="J324" s="61"/>
      <c r="K324" s="61"/>
      <c r="L324" s="60"/>
      <c r="M324" s="74" t="str">
        <f>IF($C324="","",IF($D324="Gider",$E324,IF($L324&lt;&gt;"",$L324,$H324)))</f>
        <v/>
      </c>
      <c r="N324" s="74" t="str">
        <f>IF($C324="","",IF($D324="Gider",$H324,$E324))</f>
        <v/>
      </c>
      <c r="O324" s="73" t="str">
        <f>IF($C324="","",DATE(YEAR($C324),MONTH($C324),1))</f>
        <v/>
      </c>
      <c r="P324" s="65" t="str">
        <f ca="1">IF($C324="","",IF(AND($D324="Gelir",$L324&lt;&gt;"",$T324=""),"TANIMSIZ BORÇLU",IF($T324&lt;&gt;"",IF(OR($E324="",$G324&lt;=0),"EKSİK",IF($I324="Evet","TAHAKKUK NAKİT OLAMAZ",IF($C324&gt;TODAY(),"İLERİ TARİH","TAHAKKUK"))),IF(AND($D324&lt;&gt;"",$E324&lt;&gt;"",$G324&gt;0,$H324&lt;&gt;"",$I324&lt;&gt;""),IF($C324&gt;TODAY(),"İLERİ TARİH",IF(COUNTIF($W$7:$W$3001,$W324)&gt;1,"MÜKERRER?",IF($AD324&gt;0,"KAPALI DÖNEM",IF($I324="Hayır","ÖDENECEK","UYGUN")))),"EKSİK"))))</f>
        <v/>
      </c>
      <c r="Q324" s="2"/>
      <c r="R324" s="2"/>
      <c r="S324" s="1" t="str">
        <f t="shared" si="14"/>
        <v/>
      </c>
      <c r="T324" s="1" t="str">
        <f>IF(OR($C324="",$D324&lt;&gt;"Gelir",$L324=""),"",IFERROR(INDEX(MUSTERILER!$B$7:$B$156,MATCH($S324,MUSTERILER!$T$7:$T$156,0)),""))</f>
        <v/>
      </c>
      <c r="U324" s="1" t="str">
        <f>IF($T324="","",$T324&amp;"|"&amp;COUNTIFS($T$7:$T324,$T324))</f>
        <v/>
      </c>
      <c r="V324" s="1">
        <f t="shared" si="15"/>
        <v>0</v>
      </c>
      <c r="W324" s="1" t="str">
        <f t="shared" si="16"/>
        <v/>
      </c>
      <c r="X324" s="1"/>
      <c r="Y324" s="1"/>
      <c r="Z324" s="1"/>
      <c r="AA324" s="1"/>
      <c r="AB324" s="1"/>
      <c r="AC324" s="1"/>
      <c r="AD324" s="1">
        <f>IF($C324="",0,SUMPRODUCT((AY_SONU!$O$7:$O$42="Evet")*(AY_SONU!$B$7:$B$42=DATE(YEAR($C324),MONTH($C324),1))))</f>
        <v>0</v>
      </c>
      <c r="AE324" s="1" t="str">
        <f>IF($E324="","",$E324&amp;"|"&amp;COUNTIFS($E$7:$E324,$E324))</f>
        <v/>
      </c>
    </row>
    <row r="325" spans="1:31" ht="18" customHeight="1" x14ac:dyDescent="0.3">
      <c r="A325" s="2"/>
      <c r="B325" s="65" t="str">
        <f>IF($C325="","","GG"&amp;TEXT(ROW()-6,"00000"))</f>
        <v/>
      </c>
      <c r="C325" s="66"/>
      <c r="D325" s="60"/>
      <c r="E325" s="61"/>
      <c r="F325" s="61"/>
      <c r="G325" s="67"/>
      <c r="H325" s="60"/>
      <c r="I325" s="60"/>
      <c r="J325" s="61"/>
      <c r="K325" s="61"/>
      <c r="L325" s="60"/>
      <c r="M325" s="74" t="str">
        <f>IF($C325="","",IF($D325="Gider",$E325,IF($L325&lt;&gt;"",$L325,$H325)))</f>
        <v/>
      </c>
      <c r="N325" s="74" t="str">
        <f>IF($C325="","",IF($D325="Gider",$H325,$E325))</f>
        <v/>
      </c>
      <c r="O325" s="73" t="str">
        <f>IF($C325="","",DATE(YEAR($C325),MONTH($C325),1))</f>
        <v/>
      </c>
      <c r="P325" s="65" t="str">
        <f ca="1">IF($C325="","",IF(AND($D325="Gelir",$L325&lt;&gt;"",$T325=""),"TANIMSIZ BORÇLU",IF($T325&lt;&gt;"",IF(OR($E325="",$G325&lt;=0),"EKSİK",IF($I325="Evet","TAHAKKUK NAKİT OLAMAZ",IF($C325&gt;TODAY(),"İLERİ TARİH","TAHAKKUK"))),IF(AND($D325&lt;&gt;"",$E325&lt;&gt;"",$G325&gt;0,$H325&lt;&gt;"",$I325&lt;&gt;""),IF($C325&gt;TODAY(),"İLERİ TARİH",IF(COUNTIF($W$7:$W$3001,$W325)&gt;1,"MÜKERRER?",IF($AD325&gt;0,"KAPALI DÖNEM",IF($I325="Hayır","ÖDENECEK","UYGUN")))),"EKSİK"))))</f>
        <v/>
      </c>
      <c r="Q325" s="2"/>
      <c r="R325" s="2"/>
      <c r="S325" s="1" t="str">
        <f t="shared" ref="S325:S388" si="17"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1" t="str">
        <f>IF(OR($C325="",$D325&lt;&gt;"Gelir",$L325=""),"",IFERROR(INDEX(MUSTERILER!$B$7:$B$156,MATCH($S325,MUSTERILER!$T$7:$T$156,0)),""))</f>
        <v/>
      </c>
      <c r="U325" s="1" t="str">
        <f>IF($T325="","",$T325&amp;"|"&amp;COUNTIFS($T$7:$T325,$T325))</f>
        <v/>
      </c>
      <c r="V325" s="1">
        <f t="shared" ref="V325:V388" si="18">IF($T325="",0,1)</f>
        <v>0</v>
      </c>
      <c r="W325" s="1" t="str">
        <f t="shared" ref="W325:W388" si="19">IF($C325="","",$D325&amp;"|"&amp;$E325&amp;"|"&amp;TEXT($C325,"0")&amp;"|"&amp;TEXT($G325,"0")&amp;"|"&amp;$F325&amp;"|"&amp;$J325)</f>
        <v/>
      </c>
      <c r="X325" s="1"/>
      <c r="Y325" s="1"/>
      <c r="Z325" s="1"/>
      <c r="AA325" s="1"/>
      <c r="AB325" s="1"/>
      <c r="AC325" s="1"/>
      <c r="AD325" s="1">
        <f>IF($C325="",0,SUMPRODUCT((AY_SONU!$O$7:$O$42="Evet")*(AY_SONU!$B$7:$B$42=DATE(YEAR($C325),MONTH($C325),1))))</f>
        <v>0</v>
      </c>
      <c r="AE325" s="1" t="str">
        <f>IF($E325="","",$E325&amp;"|"&amp;COUNTIFS($E$7:$E325,$E325))</f>
        <v/>
      </c>
    </row>
    <row r="326" spans="1:31" ht="18" customHeight="1" x14ac:dyDescent="0.3">
      <c r="A326" s="2"/>
      <c r="B326" s="65" t="str">
        <f>IF($C326="","","GG"&amp;TEXT(ROW()-6,"00000"))</f>
        <v/>
      </c>
      <c r="C326" s="66"/>
      <c r="D326" s="60"/>
      <c r="E326" s="61"/>
      <c r="F326" s="61"/>
      <c r="G326" s="67"/>
      <c r="H326" s="60"/>
      <c r="I326" s="60"/>
      <c r="J326" s="61"/>
      <c r="K326" s="61"/>
      <c r="L326" s="60"/>
      <c r="M326" s="74" t="str">
        <f>IF($C326="","",IF($D326="Gider",$E326,IF($L326&lt;&gt;"",$L326,$H326)))</f>
        <v/>
      </c>
      <c r="N326" s="74" t="str">
        <f>IF($C326="","",IF($D326="Gider",$H326,$E326))</f>
        <v/>
      </c>
      <c r="O326" s="73" t="str">
        <f>IF($C326="","",DATE(YEAR($C326),MONTH($C326),1))</f>
        <v/>
      </c>
      <c r="P326" s="65" t="str">
        <f ca="1">IF($C326="","",IF(AND($D326="Gelir",$L326&lt;&gt;"",$T326=""),"TANIMSIZ BORÇLU",IF($T326&lt;&gt;"",IF(OR($E326="",$G326&lt;=0),"EKSİK",IF($I326="Evet","TAHAKKUK NAKİT OLAMAZ",IF($C326&gt;TODAY(),"İLERİ TARİH","TAHAKKUK"))),IF(AND($D326&lt;&gt;"",$E326&lt;&gt;"",$G326&gt;0,$H326&lt;&gt;"",$I326&lt;&gt;""),IF($C326&gt;TODAY(),"İLERİ TARİH",IF(COUNTIF($W$7:$W$3001,$W326)&gt;1,"MÜKERRER?",IF($AD326&gt;0,"KAPALI DÖNEM",IF($I326="Hayır","ÖDENECEK","UYGUN")))),"EKSİK"))))</f>
        <v/>
      </c>
      <c r="Q326" s="2"/>
      <c r="R326" s="2"/>
      <c r="S326" s="1" t="str">
        <f t="shared" si="17"/>
        <v/>
      </c>
      <c r="T326" s="1" t="str">
        <f>IF(OR($C326="",$D326&lt;&gt;"Gelir",$L326=""),"",IFERROR(INDEX(MUSTERILER!$B$7:$B$156,MATCH($S326,MUSTERILER!$T$7:$T$156,0)),""))</f>
        <v/>
      </c>
      <c r="U326" s="1" t="str">
        <f>IF($T326="","",$T326&amp;"|"&amp;COUNTIFS($T$7:$T326,$T326))</f>
        <v/>
      </c>
      <c r="V326" s="1">
        <f t="shared" si="18"/>
        <v>0</v>
      </c>
      <c r="W326" s="1" t="str">
        <f t="shared" si="19"/>
        <v/>
      </c>
      <c r="X326" s="1"/>
      <c r="Y326" s="1"/>
      <c r="Z326" s="1"/>
      <c r="AA326" s="1"/>
      <c r="AB326" s="1"/>
      <c r="AC326" s="1"/>
      <c r="AD326" s="1">
        <f>IF($C326="",0,SUMPRODUCT((AY_SONU!$O$7:$O$42="Evet")*(AY_SONU!$B$7:$B$42=DATE(YEAR($C326),MONTH($C326),1))))</f>
        <v>0</v>
      </c>
      <c r="AE326" s="1" t="str">
        <f>IF($E326="","",$E326&amp;"|"&amp;COUNTIFS($E$7:$E326,$E326))</f>
        <v/>
      </c>
    </row>
    <row r="327" spans="1:31" ht="18" customHeight="1" x14ac:dyDescent="0.3">
      <c r="A327" s="2"/>
      <c r="B327" s="65" t="str">
        <f>IF($C327="","","GG"&amp;TEXT(ROW()-6,"00000"))</f>
        <v/>
      </c>
      <c r="C327" s="66"/>
      <c r="D327" s="60"/>
      <c r="E327" s="61"/>
      <c r="F327" s="61"/>
      <c r="G327" s="67"/>
      <c r="H327" s="60"/>
      <c r="I327" s="60"/>
      <c r="J327" s="61"/>
      <c r="K327" s="61"/>
      <c r="L327" s="60"/>
      <c r="M327" s="74" t="str">
        <f>IF($C327="","",IF($D327="Gider",$E327,IF($L327&lt;&gt;"",$L327,$H327)))</f>
        <v/>
      </c>
      <c r="N327" s="74" t="str">
        <f>IF($C327="","",IF($D327="Gider",$H327,$E327))</f>
        <v/>
      </c>
      <c r="O327" s="73" t="str">
        <f>IF($C327="","",DATE(YEAR($C327),MONTH($C327),1))</f>
        <v/>
      </c>
      <c r="P327" s="65" t="str">
        <f ca="1"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TARİH",IF(COUNTIF($W$7:$W$3001,$W327)&gt;1,"MÜKERRER?",IF($AD327&gt;0,"KAPALI DÖNEM",IF($I327="Hayır","ÖDENECEK","UYGUN")))),"EKSİK"))))</f>
        <v/>
      </c>
      <c r="Q327" s="2"/>
      <c r="R327" s="2"/>
      <c r="S327" s="1" t="str">
        <f t="shared" si="17"/>
        <v/>
      </c>
      <c r="T327" s="1" t="str">
        <f>IF(OR($C327="",$D327&lt;&gt;"Gelir",$L327=""),"",IFERROR(INDEX(MUSTERILER!$B$7:$B$156,MATCH($S327,MUSTERILER!$T$7:$T$156,0)),""))</f>
        <v/>
      </c>
      <c r="U327" s="1" t="str">
        <f>IF($T327="","",$T327&amp;"|"&amp;COUNTIFS($T$7:$T327,$T327))</f>
        <v/>
      </c>
      <c r="V327" s="1">
        <f t="shared" si="18"/>
        <v>0</v>
      </c>
      <c r="W327" s="1" t="str">
        <f t="shared" si="19"/>
        <v/>
      </c>
      <c r="X327" s="1"/>
      <c r="Y327" s="1"/>
      <c r="Z327" s="1"/>
      <c r="AA327" s="1"/>
      <c r="AB327" s="1"/>
      <c r="AC327" s="1"/>
      <c r="AD327" s="1">
        <f>IF($C327="",0,SUMPRODUCT((AY_SONU!$O$7:$O$42="Evet")*(AY_SONU!$B$7:$B$42=DATE(YEAR($C327),MONTH($C327),1))))</f>
        <v>0</v>
      </c>
      <c r="AE327" s="1" t="str">
        <f>IF($E327="","",$E327&amp;"|"&amp;COUNTIFS($E$7:$E327,$E327))</f>
        <v/>
      </c>
    </row>
    <row r="328" spans="1:31" ht="18" customHeight="1" x14ac:dyDescent="0.3">
      <c r="A328" s="2"/>
      <c r="B328" s="65" t="str">
        <f>IF($C328="","","GG"&amp;TEXT(ROW()-6,"00000"))</f>
        <v/>
      </c>
      <c r="C328" s="66"/>
      <c r="D328" s="60"/>
      <c r="E328" s="61"/>
      <c r="F328" s="61"/>
      <c r="G328" s="67"/>
      <c r="H328" s="60"/>
      <c r="I328" s="60"/>
      <c r="J328" s="61"/>
      <c r="K328" s="61"/>
      <c r="L328" s="60"/>
      <c r="M328" s="74" t="str">
        <f>IF($C328="","",IF($D328="Gider",$E328,IF($L328&lt;&gt;"",$L328,$H328)))</f>
        <v/>
      </c>
      <c r="N328" s="74" t="str">
        <f>IF($C328="","",IF($D328="Gider",$H328,$E328))</f>
        <v/>
      </c>
      <c r="O328" s="73" t="str">
        <f>IF($C328="","",DATE(YEAR($C328),MONTH($C328),1))</f>
        <v/>
      </c>
      <c r="P328" s="65" t="str">
        <f ca="1">IF($C328="","",IF(AND($D328="Gelir",$L328&lt;&gt;"",$T328=""),"TANIMSIZ BORÇLU",IF($T328&lt;&gt;"",IF(OR($E328="",$G328&lt;=0),"EKSİK",IF($I328="Evet","TAHAKKUK NAKİT OLAMAZ",IF($C328&gt;TODAY(),"İLERİ TARİH","TAHAKKUK"))),IF(AND($D328&lt;&gt;"",$E328&lt;&gt;"",$G328&gt;0,$H328&lt;&gt;"",$I328&lt;&gt;""),IF($C328&gt;TODAY(),"İLERİ TARİH",IF(COUNTIF($W$7:$W$3001,$W328)&gt;1,"MÜKERRER?",IF($AD328&gt;0,"KAPALI DÖNEM",IF($I328="Hayır","ÖDENECEK","UYGUN")))),"EKSİK"))))</f>
        <v/>
      </c>
      <c r="Q328" s="2"/>
      <c r="R328" s="2"/>
      <c r="S328" s="1" t="str">
        <f t="shared" si="17"/>
        <v/>
      </c>
      <c r="T328" s="1" t="str">
        <f>IF(OR($C328="",$D328&lt;&gt;"Gelir",$L328=""),"",IFERROR(INDEX(MUSTERILER!$B$7:$B$156,MATCH($S328,MUSTERILER!$T$7:$T$156,0)),""))</f>
        <v/>
      </c>
      <c r="U328" s="1" t="str">
        <f>IF($T328="","",$T328&amp;"|"&amp;COUNTIFS($T$7:$T328,$T328))</f>
        <v/>
      </c>
      <c r="V328" s="1">
        <f t="shared" si="18"/>
        <v>0</v>
      </c>
      <c r="W328" s="1" t="str">
        <f t="shared" si="19"/>
        <v/>
      </c>
      <c r="X328" s="1"/>
      <c r="Y328" s="1"/>
      <c r="Z328" s="1"/>
      <c r="AA328" s="1"/>
      <c r="AB328" s="1"/>
      <c r="AC328" s="1"/>
      <c r="AD328" s="1">
        <f>IF($C328="",0,SUMPRODUCT((AY_SONU!$O$7:$O$42="Evet")*(AY_SONU!$B$7:$B$42=DATE(YEAR($C328),MONTH($C328),1))))</f>
        <v>0</v>
      </c>
      <c r="AE328" s="1" t="str">
        <f>IF($E328="","",$E328&amp;"|"&amp;COUNTIFS($E$7:$E328,$E328))</f>
        <v/>
      </c>
    </row>
    <row r="329" spans="1:31" ht="18" customHeight="1" x14ac:dyDescent="0.3">
      <c r="A329" s="2"/>
      <c r="B329" s="65" t="str">
        <f>IF($C329="","","GG"&amp;TEXT(ROW()-6,"00000"))</f>
        <v/>
      </c>
      <c r="C329" s="66"/>
      <c r="D329" s="60"/>
      <c r="E329" s="61"/>
      <c r="F329" s="61"/>
      <c r="G329" s="67"/>
      <c r="H329" s="60"/>
      <c r="I329" s="60"/>
      <c r="J329" s="61"/>
      <c r="K329" s="61"/>
      <c r="L329" s="60"/>
      <c r="M329" s="74" t="str">
        <f>IF($C329="","",IF($D329="Gider",$E329,IF($L329&lt;&gt;"",$L329,$H329)))</f>
        <v/>
      </c>
      <c r="N329" s="74" t="str">
        <f>IF($C329="","",IF($D329="Gider",$H329,$E329))</f>
        <v/>
      </c>
      <c r="O329" s="73" t="str">
        <f>IF($C329="","",DATE(YEAR($C329),MONTH($C329),1))</f>
        <v/>
      </c>
      <c r="P329" s="65" t="str">
        <f ca="1">IF($C329="","",IF(AND($D329="Gelir",$L329&lt;&gt;"",$T329=""),"TANIMSIZ BORÇLU",IF($T329&lt;&gt;"",IF(OR($E329="",$G329&lt;=0),"EKSİK",IF($I329="Evet","TAHAKKUK NAKİT OLAMAZ",IF($C329&gt;TODAY(),"İLERİ TARİH","TAHAKKUK"))),IF(AND($D329&lt;&gt;"",$E329&lt;&gt;"",$G329&gt;0,$H329&lt;&gt;"",$I329&lt;&gt;""),IF($C329&gt;TODAY(),"İLERİ TARİH",IF(COUNTIF($W$7:$W$3001,$W329)&gt;1,"MÜKERRER?",IF($AD329&gt;0,"KAPALI DÖNEM",IF($I329="Hayır","ÖDENECEK","UYGUN")))),"EKSİK"))))</f>
        <v/>
      </c>
      <c r="Q329" s="2"/>
      <c r="R329" s="2"/>
      <c r="S329" s="1" t="str">
        <f t="shared" si="17"/>
        <v/>
      </c>
      <c r="T329" s="1" t="str">
        <f>IF(OR($C329="",$D329&lt;&gt;"Gelir",$L329=""),"",IFERROR(INDEX(MUSTERILER!$B$7:$B$156,MATCH($S329,MUSTERILER!$T$7:$T$156,0)),""))</f>
        <v/>
      </c>
      <c r="U329" s="1" t="str">
        <f>IF($T329="","",$T329&amp;"|"&amp;COUNTIFS($T$7:$T329,$T329))</f>
        <v/>
      </c>
      <c r="V329" s="1">
        <f t="shared" si="18"/>
        <v>0</v>
      </c>
      <c r="W329" s="1" t="str">
        <f t="shared" si="19"/>
        <v/>
      </c>
      <c r="X329" s="1"/>
      <c r="Y329" s="1"/>
      <c r="Z329" s="1"/>
      <c r="AA329" s="1"/>
      <c r="AB329" s="1"/>
      <c r="AC329" s="1"/>
      <c r="AD329" s="1">
        <f>IF($C329="",0,SUMPRODUCT((AY_SONU!$O$7:$O$42="Evet")*(AY_SONU!$B$7:$B$42=DATE(YEAR($C329),MONTH($C329),1))))</f>
        <v>0</v>
      </c>
      <c r="AE329" s="1" t="str">
        <f>IF($E329="","",$E329&amp;"|"&amp;COUNTIFS($E$7:$E329,$E329))</f>
        <v/>
      </c>
    </row>
    <row r="330" spans="1:31" ht="18" customHeight="1" x14ac:dyDescent="0.3">
      <c r="A330" s="2"/>
      <c r="B330" s="65" t="str">
        <f>IF($C330="","","GG"&amp;TEXT(ROW()-6,"00000"))</f>
        <v/>
      </c>
      <c r="C330" s="66"/>
      <c r="D330" s="60"/>
      <c r="E330" s="61"/>
      <c r="F330" s="61"/>
      <c r="G330" s="67"/>
      <c r="H330" s="60"/>
      <c r="I330" s="60"/>
      <c r="J330" s="61"/>
      <c r="K330" s="61"/>
      <c r="L330" s="60"/>
      <c r="M330" s="74" t="str">
        <f>IF($C330="","",IF($D330="Gider",$E330,IF($L330&lt;&gt;"",$L330,$H330)))</f>
        <v/>
      </c>
      <c r="N330" s="74" t="str">
        <f>IF($C330="","",IF($D330="Gider",$H330,$E330))</f>
        <v/>
      </c>
      <c r="O330" s="73" t="str">
        <f>IF($C330="","",DATE(YEAR($C330),MONTH($C330),1))</f>
        <v/>
      </c>
      <c r="P330" s="65" t="str">
        <f ca="1">IF($C330="","",IF(AND($D330="Gelir",$L330&lt;&gt;"",$T330=""),"TANIMSIZ BORÇLU",IF($T330&lt;&gt;"",IF(OR($E330="",$G330&lt;=0),"EKSİK",IF($I330="Evet","TAHAKKUK NAKİT OLAMAZ",IF($C330&gt;TODAY(),"İLERİ TARİH","TAHAKKUK"))),IF(AND($D330&lt;&gt;"",$E330&lt;&gt;"",$G330&gt;0,$H330&lt;&gt;"",$I330&lt;&gt;""),IF($C330&gt;TODAY(),"İLERİ TARİH",IF(COUNTIF($W$7:$W$3001,$W330)&gt;1,"MÜKERRER?",IF($AD330&gt;0,"KAPALI DÖNEM",IF($I330="Hayır","ÖDENECEK","UYGUN")))),"EKSİK"))))</f>
        <v/>
      </c>
      <c r="Q330" s="2"/>
      <c r="R330" s="2"/>
      <c r="S330" s="1" t="str">
        <f t="shared" si="17"/>
        <v/>
      </c>
      <c r="T330" s="1" t="str">
        <f>IF(OR($C330="",$D330&lt;&gt;"Gelir",$L330=""),"",IFERROR(INDEX(MUSTERILER!$B$7:$B$156,MATCH($S330,MUSTERILER!$T$7:$T$156,0)),""))</f>
        <v/>
      </c>
      <c r="U330" s="1" t="str">
        <f>IF($T330="","",$T330&amp;"|"&amp;COUNTIFS($T$7:$T330,$T330))</f>
        <v/>
      </c>
      <c r="V330" s="1">
        <f t="shared" si="18"/>
        <v>0</v>
      </c>
      <c r="W330" s="1" t="str">
        <f t="shared" si="19"/>
        <v/>
      </c>
      <c r="X330" s="1"/>
      <c r="Y330" s="1"/>
      <c r="Z330" s="1"/>
      <c r="AA330" s="1"/>
      <c r="AB330" s="1"/>
      <c r="AC330" s="1"/>
      <c r="AD330" s="1">
        <f>IF($C330="",0,SUMPRODUCT((AY_SONU!$O$7:$O$42="Evet")*(AY_SONU!$B$7:$B$42=DATE(YEAR($C330),MONTH($C330),1))))</f>
        <v>0</v>
      </c>
      <c r="AE330" s="1" t="str">
        <f>IF($E330="","",$E330&amp;"|"&amp;COUNTIFS($E$7:$E330,$E330))</f>
        <v/>
      </c>
    </row>
    <row r="331" spans="1:31" ht="18" customHeight="1" x14ac:dyDescent="0.3">
      <c r="A331" s="2"/>
      <c r="B331" s="65" t="str">
        <f>IF($C331="","","GG"&amp;TEXT(ROW()-6,"00000"))</f>
        <v/>
      </c>
      <c r="C331" s="66"/>
      <c r="D331" s="60"/>
      <c r="E331" s="61"/>
      <c r="F331" s="61"/>
      <c r="G331" s="67"/>
      <c r="H331" s="60"/>
      <c r="I331" s="60"/>
      <c r="J331" s="61"/>
      <c r="K331" s="61"/>
      <c r="L331" s="60"/>
      <c r="M331" s="74" t="str">
        <f>IF($C331="","",IF($D331="Gider",$E331,IF($L331&lt;&gt;"",$L331,$H331)))</f>
        <v/>
      </c>
      <c r="N331" s="74" t="str">
        <f>IF($C331="","",IF($D331="Gider",$H331,$E331))</f>
        <v/>
      </c>
      <c r="O331" s="73" t="str">
        <f>IF($C331="","",DATE(YEAR($C331),MONTH($C331),1))</f>
        <v/>
      </c>
      <c r="P331" s="65" t="str">
        <f ca="1">IF($C331="","",IF(AND($D331="Gelir",$L331&lt;&gt;"",$T331=""),"TANIMSIZ BORÇLU",IF($T331&lt;&gt;"",IF(OR($E331="",$G331&lt;=0),"EKSİK",IF($I331="Evet","TAHAKKUK NAKİT OLAMAZ",IF($C331&gt;TODAY(),"İLERİ TARİH","TAHAKKUK"))),IF(AND($D331&lt;&gt;"",$E331&lt;&gt;"",$G331&gt;0,$H331&lt;&gt;"",$I331&lt;&gt;""),IF($C331&gt;TODAY(),"İLERİ TARİH",IF(COUNTIF($W$7:$W$3001,$W331)&gt;1,"MÜKERRER?",IF($AD331&gt;0,"KAPALI DÖNEM",IF($I331="Hayır","ÖDENECEK","UYGUN")))),"EKSİK"))))</f>
        <v/>
      </c>
      <c r="Q331" s="2"/>
      <c r="R331" s="2"/>
      <c r="S331" s="1" t="str">
        <f t="shared" si="17"/>
        <v/>
      </c>
      <c r="T331" s="1" t="str">
        <f>IF(OR($C331="",$D331&lt;&gt;"Gelir",$L331=""),"",IFERROR(INDEX(MUSTERILER!$B$7:$B$156,MATCH($S331,MUSTERILER!$T$7:$T$156,0)),""))</f>
        <v/>
      </c>
      <c r="U331" s="1" t="str">
        <f>IF($T331="","",$T331&amp;"|"&amp;COUNTIFS($T$7:$T331,$T331))</f>
        <v/>
      </c>
      <c r="V331" s="1">
        <f t="shared" si="18"/>
        <v>0</v>
      </c>
      <c r="W331" s="1" t="str">
        <f t="shared" si="19"/>
        <v/>
      </c>
      <c r="X331" s="1"/>
      <c r="Y331" s="1"/>
      <c r="Z331" s="1"/>
      <c r="AA331" s="1"/>
      <c r="AB331" s="1"/>
      <c r="AC331" s="1"/>
      <c r="AD331" s="1">
        <f>IF($C331="",0,SUMPRODUCT((AY_SONU!$O$7:$O$42="Evet")*(AY_SONU!$B$7:$B$42=DATE(YEAR($C331),MONTH($C331),1))))</f>
        <v>0</v>
      </c>
      <c r="AE331" s="1" t="str">
        <f>IF($E331="","",$E331&amp;"|"&amp;COUNTIFS($E$7:$E331,$E331))</f>
        <v/>
      </c>
    </row>
    <row r="332" spans="1:31" ht="18" customHeight="1" x14ac:dyDescent="0.3">
      <c r="A332" s="2"/>
      <c r="B332" s="65" t="str">
        <f>IF($C332="","","GG"&amp;TEXT(ROW()-6,"00000"))</f>
        <v/>
      </c>
      <c r="C332" s="66"/>
      <c r="D332" s="60"/>
      <c r="E332" s="61"/>
      <c r="F332" s="61"/>
      <c r="G332" s="67"/>
      <c r="H332" s="60"/>
      <c r="I332" s="60"/>
      <c r="J332" s="61"/>
      <c r="K332" s="61"/>
      <c r="L332" s="60"/>
      <c r="M332" s="74" t="str">
        <f>IF($C332="","",IF($D332="Gider",$E332,IF($L332&lt;&gt;"",$L332,$H332)))</f>
        <v/>
      </c>
      <c r="N332" s="74" t="str">
        <f>IF($C332="","",IF($D332="Gider",$H332,$E332))</f>
        <v/>
      </c>
      <c r="O332" s="73" t="str">
        <f>IF($C332="","",DATE(YEAR($C332),MONTH($C332),1))</f>
        <v/>
      </c>
      <c r="P332" s="65" t="str">
        <f ca="1">IF($C332="","",IF(AND($D332="Gelir",$L332&lt;&gt;"",$T332=""),"TANIMSIZ BORÇLU",IF($T332&lt;&gt;"",IF(OR($E332="",$G332&lt;=0),"EKSİK",IF($I332="Evet","TAHAKKUK NAKİT OLAMAZ",IF($C332&gt;TODAY(),"İLERİ TARİH","TAHAKKUK"))),IF(AND($D332&lt;&gt;"",$E332&lt;&gt;"",$G332&gt;0,$H332&lt;&gt;"",$I332&lt;&gt;""),IF($C332&gt;TODAY(),"İLERİ TARİH",IF(COUNTIF($W$7:$W$3001,$W332)&gt;1,"MÜKERRER?",IF($AD332&gt;0,"KAPALI DÖNEM",IF($I332="Hayır","ÖDENECEK","UYGUN")))),"EKSİK"))))</f>
        <v/>
      </c>
      <c r="Q332" s="2"/>
      <c r="R332" s="2"/>
      <c r="S332" s="1" t="str">
        <f t="shared" si="17"/>
        <v/>
      </c>
      <c r="T332" s="1" t="str">
        <f>IF(OR($C332="",$D332&lt;&gt;"Gelir",$L332=""),"",IFERROR(INDEX(MUSTERILER!$B$7:$B$156,MATCH($S332,MUSTERILER!$T$7:$T$156,0)),""))</f>
        <v/>
      </c>
      <c r="U332" s="1" t="str">
        <f>IF($T332="","",$T332&amp;"|"&amp;COUNTIFS($T$7:$T332,$T332))</f>
        <v/>
      </c>
      <c r="V332" s="1">
        <f t="shared" si="18"/>
        <v>0</v>
      </c>
      <c r="W332" s="1" t="str">
        <f t="shared" si="19"/>
        <v/>
      </c>
      <c r="X332" s="1"/>
      <c r="Y332" s="1"/>
      <c r="Z332" s="1"/>
      <c r="AA332" s="1"/>
      <c r="AB332" s="1"/>
      <c r="AC332" s="1"/>
      <c r="AD332" s="1">
        <f>IF($C332="",0,SUMPRODUCT((AY_SONU!$O$7:$O$42="Evet")*(AY_SONU!$B$7:$B$42=DATE(YEAR($C332),MONTH($C332),1))))</f>
        <v>0</v>
      </c>
      <c r="AE332" s="1" t="str">
        <f>IF($E332="","",$E332&amp;"|"&amp;COUNTIFS($E$7:$E332,$E332))</f>
        <v/>
      </c>
    </row>
    <row r="333" spans="1:31" ht="18" customHeight="1" x14ac:dyDescent="0.3">
      <c r="A333" s="2"/>
      <c r="B333" s="65" t="str">
        <f>IF($C333="","","GG"&amp;TEXT(ROW()-6,"00000"))</f>
        <v/>
      </c>
      <c r="C333" s="66"/>
      <c r="D333" s="60"/>
      <c r="E333" s="61"/>
      <c r="F333" s="61"/>
      <c r="G333" s="67"/>
      <c r="H333" s="60"/>
      <c r="I333" s="60"/>
      <c r="J333" s="61"/>
      <c r="K333" s="61"/>
      <c r="L333" s="60"/>
      <c r="M333" s="74" t="str">
        <f>IF($C333="","",IF($D333="Gider",$E333,IF($L333&lt;&gt;"",$L333,$H333)))</f>
        <v/>
      </c>
      <c r="N333" s="74" t="str">
        <f>IF($C333="","",IF($D333="Gider",$H333,$E333))</f>
        <v/>
      </c>
      <c r="O333" s="73" t="str">
        <f>IF($C333="","",DATE(YEAR($C333),MONTH($C333),1))</f>
        <v/>
      </c>
      <c r="P333" s="65" t="str">
        <f ca="1">IF($C333="","",IF(AND($D333="Gelir",$L333&lt;&gt;"",$T333=""),"TANIMSIZ BORÇLU",IF($T333&lt;&gt;"",IF(OR($E333="",$G333&lt;=0),"EKSİK",IF($I333="Evet","TAHAKKUK NAKİT OLAMAZ",IF($C333&gt;TODAY(),"İLERİ TARİH","TAHAKKUK"))),IF(AND($D333&lt;&gt;"",$E333&lt;&gt;"",$G333&gt;0,$H333&lt;&gt;"",$I333&lt;&gt;""),IF($C333&gt;TODAY(),"İLERİ TARİH",IF(COUNTIF($W$7:$W$3001,$W333)&gt;1,"MÜKERRER?",IF($AD333&gt;0,"KAPALI DÖNEM",IF($I333="Hayır","ÖDENECEK","UYGUN")))),"EKSİK"))))</f>
        <v/>
      </c>
      <c r="Q333" s="2"/>
      <c r="R333" s="2"/>
      <c r="S333" s="1" t="str">
        <f t="shared" si="17"/>
        <v/>
      </c>
      <c r="T333" s="1" t="str">
        <f>IF(OR($C333="",$D333&lt;&gt;"Gelir",$L333=""),"",IFERROR(INDEX(MUSTERILER!$B$7:$B$156,MATCH($S333,MUSTERILER!$T$7:$T$156,0)),""))</f>
        <v/>
      </c>
      <c r="U333" s="1" t="str">
        <f>IF($T333="","",$T333&amp;"|"&amp;COUNTIFS($T$7:$T333,$T333))</f>
        <v/>
      </c>
      <c r="V333" s="1">
        <f t="shared" si="18"/>
        <v>0</v>
      </c>
      <c r="W333" s="1" t="str">
        <f t="shared" si="19"/>
        <v/>
      </c>
      <c r="X333" s="1"/>
      <c r="Y333" s="1"/>
      <c r="Z333" s="1"/>
      <c r="AA333" s="1"/>
      <c r="AB333" s="1"/>
      <c r="AC333" s="1"/>
      <c r="AD333" s="1">
        <f>IF($C333="",0,SUMPRODUCT((AY_SONU!$O$7:$O$42="Evet")*(AY_SONU!$B$7:$B$42=DATE(YEAR($C333),MONTH($C333),1))))</f>
        <v>0</v>
      </c>
      <c r="AE333" s="1" t="str">
        <f>IF($E333="","",$E333&amp;"|"&amp;COUNTIFS($E$7:$E333,$E333))</f>
        <v/>
      </c>
    </row>
    <row r="334" spans="1:31" ht="18" customHeight="1" x14ac:dyDescent="0.3">
      <c r="A334" s="2"/>
      <c r="B334" s="65" t="str">
        <f>IF($C334="","","GG"&amp;TEXT(ROW()-6,"00000"))</f>
        <v/>
      </c>
      <c r="C334" s="66"/>
      <c r="D334" s="60"/>
      <c r="E334" s="61"/>
      <c r="F334" s="61"/>
      <c r="G334" s="67"/>
      <c r="H334" s="60"/>
      <c r="I334" s="60"/>
      <c r="J334" s="61"/>
      <c r="K334" s="61"/>
      <c r="L334" s="60"/>
      <c r="M334" s="74" t="str">
        <f>IF($C334="","",IF($D334="Gider",$E334,IF($L334&lt;&gt;"",$L334,$H334)))</f>
        <v/>
      </c>
      <c r="N334" s="74" t="str">
        <f>IF($C334="","",IF($D334="Gider",$H334,$E334))</f>
        <v/>
      </c>
      <c r="O334" s="73" t="str">
        <f>IF($C334="","",DATE(YEAR($C334),MONTH($C334),1))</f>
        <v/>
      </c>
      <c r="P334" s="65" t="str">
        <f ca="1">IF($C334="","",IF(AND($D334="Gelir",$L334&lt;&gt;"",$T334=""),"TANIMSIZ BORÇLU",IF($T334&lt;&gt;"",IF(OR($E334="",$G334&lt;=0),"EKSİK",IF($I334="Evet","TAHAKKUK NAKİT OLAMAZ",IF($C334&gt;TODAY(),"İLERİ TARİH","TAHAKKUK"))),IF(AND($D334&lt;&gt;"",$E334&lt;&gt;"",$G334&gt;0,$H334&lt;&gt;"",$I334&lt;&gt;""),IF($C334&gt;TODAY(),"İLERİ TARİH",IF(COUNTIF($W$7:$W$3001,$W334)&gt;1,"MÜKERRER?",IF($AD334&gt;0,"KAPALI DÖNEM",IF($I334="Hayır","ÖDENECEK","UYGUN")))),"EKSİK"))))</f>
        <v/>
      </c>
      <c r="Q334" s="2"/>
      <c r="R334" s="2"/>
      <c r="S334" s="1" t="str">
        <f t="shared" si="17"/>
        <v/>
      </c>
      <c r="T334" s="1" t="str">
        <f>IF(OR($C334="",$D334&lt;&gt;"Gelir",$L334=""),"",IFERROR(INDEX(MUSTERILER!$B$7:$B$156,MATCH($S334,MUSTERILER!$T$7:$T$156,0)),""))</f>
        <v/>
      </c>
      <c r="U334" s="1" t="str">
        <f>IF($T334="","",$T334&amp;"|"&amp;COUNTIFS($T$7:$T334,$T334))</f>
        <v/>
      </c>
      <c r="V334" s="1">
        <f t="shared" si="18"/>
        <v>0</v>
      </c>
      <c r="W334" s="1" t="str">
        <f t="shared" si="19"/>
        <v/>
      </c>
      <c r="X334" s="1"/>
      <c r="Y334" s="1"/>
      <c r="Z334" s="1"/>
      <c r="AA334" s="1"/>
      <c r="AB334" s="1"/>
      <c r="AC334" s="1"/>
      <c r="AD334" s="1">
        <f>IF($C334="",0,SUMPRODUCT((AY_SONU!$O$7:$O$42="Evet")*(AY_SONU!$B$7:$B$42=DATE(YEAR($C334),MONTH($C334),1))))</f>
        <v>0</v>
      </c>
      <c r="AE334" s="1" t="str">
        <f>IF($E334="","",$E334&amp;"|"&amp;COUNTIFS($E$7:$E334,$E334))</f>
        <v/>
      </c>
    </row>
    <row r="335" spans="1:31" ht="18" customHeight="1" x14ac:dyDescent="0.3">
      <c r="A335" s="2"/>
      <c r="B335" s="65" t="str">
        <f>IF($C335="","","GG"&amp;TEXT(ROW()-6,"00000"))</f>
        <v/>
      </c>
      <c r="C335" s="66"/>
      <c r="D335" s="60"/>
      <c r="E335" s="61"/>
      <c r="F335" s="61"/>
      <c r="G335" s="67"/>
      <c r="H335" s="60"/>
      <c r="I335" s="60"/>
      <c r="J335" s="61"/>
      <c r="K335" s="61"/>
      <c r="L335" s="60"/>
      <c r="M335" s="74" t="str">
        <f>IF($C335="","",IF($D335="Gider",$E335,IF($L335&lt;&gt;"",$L335,$H335)))</f>
        <v/>
      </c>
      <c r="N335" s="74" t="str">
        <f>IF($C335="","",IF($D335="Gider",$H335,$E335))</f>
        <v/>
      </c>
      <c r="O335" s="73" t="str">
        <f>IF($C335="","",DATE(YEAR($C335),MONTH($C335),1))</f>
        <v/>
      </c>
      <c r="P335" s="65" t="str">
        <f ca="1">IF($C335="","",IF(AND($D335="Gelir",$L335&lt;&gt;"",$T335=""),"TANIMSIZ BORÇLU",IF($T335&lt;&gt;"",IF(OR($E335="",$G335&lt;=0),"EKSİK",IF($I335="Evet","TAHAKKUK NAKİT OLAMAZ",IF($C335&gt;TODAY(),"İLERİ TARİH","TAHAKKUK"))),IF(AND($D335&lt;&gt;"",$E335&lt;&gt;"",$G335&gt;0,$H335&lt;&gt;"",$I335&lt;&gt;""),IF($C335&gt;TODAY(),"İLERİ TARİH",IF(COUNTIF($W$7:$W$3001,$W335)&gt;1,"MÜKERRER?",IF($AD335&gt;0,"KAPALI DÖNEM",IF($I335="Hayır","ÖDENECEK","UYGUN")))),"EKSİK"))))</f>
        <v/>
      </c>
      <c r="Q335" s="2"/>
      <c r="R335" s="2"/>
      <c r="S335" s="1" t="str">
        <f t="shared" si="17"/>
        <v/>
      </c>
      <c r="T335" s="1" t="str">
        <f>IF(OR($C335="",$D335&lt;&gt;"Gelir",$L335=""),"",IFERROR(INDEX(MUSTERILER!$B$7:$B$156,MATCH($S335,MUSTERILER!$T$7:$T$156,0)),""))</f>
        <v/>
      </c>
      <c r="U335" s="1" t="str">
        <f>IF($T335="","",$T335&amp;"|"&amp;COUNTIFS($T$7:$T335,$T335))</f>
        <v/>
      </c>
      <c r="V335" s="1">
        <f t="shared" si="18"/>
        <v>0</v>
      </c>
      <c r="W335" s="1" t="str">
        <f t="shared" si="19"/>
        <v/>
      </c>
      <c r="X335" s="1"/>
      <c r="Y335" s="1"/>
      <c r="Z335" s="1"/>
      <c r="AA335" s="1"/>
      <c r="AB335" s="1"/>
      <c r="AC335" s="1"/>
      <c r="AD335" s="1">
        <f>IF($C335="",0,SUMPRODUCT((AY_SONU!$O$7:$O$42="Evet")*(AY_SONU!$B$7:$B$42=DATE(YEAR($C335),MONTH($C335),1))))</f>
        <v>0</v>
      </c>
      <c r="AE335" s="1" t="str">
        <f>IF($E335="","",$E335&amp;"|"&amp;COUNTIFS($E$7:$E335,$E335))</f>
        <v/>
      </c>
    </row>
    <row r="336" spans="1:31" ht="18" customHeight="1" x14ac:dyDescent="0.3">
      <c r="A336" s="2"/>
      <c r="B336" s="65" t="str">
        <f>IF($C336="","","GG"&amp;TEXT(ROW()-6,"00000"))</f>
        <v/>
      </c>
      <c r="C336" s="66"/>
      <c r="D336" s="60"/>
      <c r="E336" s="61"/>
      <c r="F336" s="61"/>
      <c r="G336" s="67"/>
      <c r="H336" s="60"/>
      <c r="I336" s="60"/>
      <c r="J336" s="61"/>
      <c r="K336" s="61"/>
      <c r="L336" s="60"/>
      <c r="M336" s="74" t="str">
        <f>IF($C336="","",IF($D336="Gider",$E336,IF($L336&lt;&gt;"",$L336,$H336)))</f>
        <v/>
      </c>
      <c r="N336" s="74" t="str">
        <f>IF($C336="","",IF($D336="Gider",$H336,$E336))</f>
        <v/>
      </c>
      <c r="O336" s="73" t="str">
        <f>IF($C336="","",DATE(YEAR($C336),MONTH($C336),1))</f>
        <v/>
      </c>
      <c r="P336" s="65" t="str">
        <f ca="1">IF($C336="","",IF(AND($D336="Gelir",$L336&lt;&gt;"",$T336=""),"TANIMSIZ BORÇLU",IF($T336&lt;&gt;"",IF(OR($E336="",$G336&lt;=0),"EKSİK",IF($I336="Evet","TAHAKKUK NAKİT OLAMAZ",IF($C336&gt;TODAY(),"İLERİ TARİH","TAHAKKUK"))),IF(AND($D336&lt;&gt;"",$E336&lt;&gt;"",$G336&gt;0,$H336&lt;&gt;"",$I336&lt;&gt;""),IF($C336&gt;TODAY(),"İLERİ TARİH",IF(COUNTIF($W$7:$W$3001,$W336)&gt;1,"MÜKERRER?",IF($AD336&gt;0,"KAPALI DÖNEM",IF($I336="Hayır","ÖDENECEK","UYGUN")))),"EKSİK"))))</f>
        <v/>
      </c>
      <c r="Q336" s="2"/>
      <c r="R336" s="2"/>
      <c r="S336" s="1" t="str">
        <f t="shared" si="17"/>
        <v/>
      </c>
      <c r="T336" s="1" t="str">
        <f>IF(OR($C336="",$D336&lt;&gt;"Gelir",$L336=""),"",IFERROR(INDEX(MUSTERILER!$B$7:$B$156,MATCH($S336,MUSTERILER!$T$7:$T$156,0)),""))</f>
        <v/>
      </c>
      <c r="U336" s="1" t="str">
        <f>IF($T336="","",$T336&amp;"|"&amp;COUNTIFS($T$7:$T336,$T336))</f>
        <v/>
      </c>
      <c r="V336" s="1">
        <f t="shared" si="18"/>
        <v>0</v>
      </c>
      <c r="W336" s="1" t="str">
        <f t="shared" si="19"/>
        <v/>
      </c>
      <c r="X336" s="1"/>
      <c r="Y336" s="1"/>
      <c r="Z336" s="1"/>
      <c r="AA336" s="1"/>
      <c r="AB336" s="1"/>
      <c r="AC336" s="1"/>
      <c r="AD336" s="1">
        <f>IF($C336="",0,SUMPRODUCT((AY_SONU!$O$7:$O$42="Evet")*(AY_SONU!$B$7:$B$42=DATE(YEAR($C336),MONTH($C336),1))))</f>
        <v>0</v>
      </c>
      <c r="AE336" s="1" t="str">
        <f>IF($E336="","",$E336&amp;"|"&amp;COUNTIFS($E$7:$E336,$E336))</f>
        <v/>
      </c>
    </row>
    <row r="337" spans="1:31" ht="18" customHeight="1" x14ac:dyDescent="0.3">
      <c r="A337" s="2"/>
      <c r="B337" s="65" t="str">
        <f>IF($C337="","","GG"&amp;TEXT(ROW()-6,"00000"))</f>
        <v/>
      </c>
      <c r="C337" s="66"/>
      <c r="D337" s="60"/>
      <c r="E337" s="61"/>
      <c r="F337" s="61"/>
      <c r="G337" s="67"/>
      <c r="H337" s="60"/>
      <c r="I337" s="60"/>
      <c r="J337" s="61"/>
      <c r="K337" s="61"/>
      <c r="L337" s="60"/>
      <c r="M337" s="74" t="str">
        <f>IF($C337="","",IF($D337="Gider",$E337,IF($L337&lt;&gt;"",$L337,$H337)))</f>
        <v/>
      </c>
      <c r="N337" s="74" t="str">
        <f>IF($C337="","",IF($D337="Gider",$H337,$E337))</f>
        <v/>
      </c>
      <c r="O337" s="73" t="str">
        <f>IF($C337="","",DATE(YEAR($C337),MONTH($C337),1))</f>
        <v/>
      </c>
      <c r="P337" s="65" t="str">
        <f ca="1">IF($C337="","",IF(AND($D337="Gelir",$L337&lt;&gt;"",$T337=""),"TANIMSIZ BORÇLU",IF($T337&lt;&gt;"",IF(OR($E337="",$G337&lt;=0),"EKSİK",IF($I337="Evet","TAHAKKUK NAKİT OLAMAZ",IF($C337&gt;TODAY(),"İLERİ TARİH","TAHAKKUK"))),IF(AND($D337&lt;&gt;"",$E337&lt;&gt;"",$G337&gt;0,$H337&lt;&gt;"",$I337&lt;&gt;""),IF($C337&gt;TODAY(),"İLERİ TARİH",IF(COUNTIF($W$7:$W$3001,$W337)&gt;1,"MÜKERRER?",IF($AD337&gt;0,"KAPALI DÖNEM",IF($I337="Hayır","ÖDENECEK","UYGUN")))),"EKSİK"))))</f>
        <v/>
      </c>
      <c r="Q337" s="2"/>
      <c r="R337" s="2"/>
      <c r="S337" s="1" t="str">
        <f t="shared" si="17"/>
        <v/>
      </c>
      <c r="T337" s="1" t="str">
        <f>IF(OR($C337="",$D337&lt;&gt;"Gelir",$L337=""),"",IFERROR(INDEX(MUSTERILER!$B$7:$B$156,MATCH($S337,MUSTERILER!$T$7:$T$156,0)),""))</f>
        <v/>
      </c>
      <c r="U337" s="1" t="str">
        <f>IF($T337="","",$T337&amp;"|"&amp;COUNTIFS($T$7:$T337,$T337))</f>
        <v/>
      </c>
      <c r="V337" s="1">
        <f t="shared" si="18"/>
        <v>0</v>
      </c>
      <c r="W337" s="1" t="str">
        <f t="shared" si="19"/>
        <v/>
      </c>
      <c r="X337" s="1"/>
      <c r="Y337" s="1"/>
      <c r="Z337" s="1"/>
      <c r="AA337" s="1"/>
      <c r="AB337" s="1"/>
      <c r="AC337" s="1"/>
      <c r="AD337" s="1">
        <f>IF($C337="",0,SUMPRODUCT((AY_SONU!$O$7:$O$42="Evet")*(AY_SONU!$B$7:$B$42=DATE(YEAR($C337),MONTH($C337),1))))</f>
        <v>0</v>
      </c>
      <c r="AE337" s="1" t="str">
        <f>IF($E337="","",$E337&amp;"|"&amp;COUNTIFS($E$7:$E337,$E337))</f>
        <v/>
      </c>
    </row>
    <row r="338" spans="1:31" ht="18" customHeight="1" x14ac:dyDescent="0.3">
      <c r="A338" s="2"/>
      <c r="B338" s="65" t="str">
        <f>IF($C338="","","GG"&amp;TEXT(ROW()-6,"00000"))</f>
        <v/>
      </c>
      <c r="C338" s="66"/>
      <c r="D338" s="60"/>
      <c r="E338" s="61"/>
      <c r="F338" s="61"/>
      <c r="G338" s="67"/>
      <c r="H338" s="60"/>
      <c r="I338" s="60"/>
      <c r="J338" s="61"/>
      <c r="K338" s="61"/>
      <c r="L338" s="60"/>
      <c r="M338" s="74" t="str">
        <f>IF($C338="","",IF($D338="Gider",$E338,IF($L338&lt;&gt;"",$L338,$H338)))</f>
        <v/>
      </c>
      <c r="N338" s="74" t="str">
        <f>IF($C338="","",IF($D338="Gider",$H338,$E338))</f>
        <v/>
      </c>
      <c r="O338" s="73" t="str">
        <f>IF($C338="","",DATE(YEAR($C338),MONTH($C338),1))</f>
        <v/>
      </c>
      <c r="P338" s="65" t="str">
        <f ca="1">IF($C338="","",IF(AND($D338="Gelir",$L338&lt;&gt;"",$T338=""),"TANIMSIZ BORÇLU",IF($T338&lt;&gt;"",IF(OR($E338="",$G338&lt;=0),"EKSİK",IF($I338="Evet","TAHAKKUK NAKİT OLAMAZ",IF($C338&gt;TODAY(),"İLERİ TARİH","TAHAKKUK"))),IF(AND($D338&lt;&gt;"",$E338&lt;&gt;"",$G338&gt;0,$H338&lt;&gt;"",$I338&lt;&gt;""),IF($C338&gt;TODAY(),"İLERİ TARİH",IF(COUNTIF($W$7:$W$3001,$W338)&gt;1,"MÜKERRER?",IF($AD338&gt;0,"KAPALI DÖNEM",IF($I338="Hayır","ÖDENECEK","UYGUN")))),"EKSİK"))))</f>
        <v/>
      </c>
      <c r="Q338" s="2"/>
      <c r="R338" s="2"/>
      <c r="S338" s="1" t="str">
        <f t="shared" si="17"/>
        <v/>
      </c>
      <c r="T338" s="1" t="str">
        <f>IF(OR($C338="",$D338&lt;&gt;"Gelir",$L338=""),"",IFERROR(INDEX(MUSTERILER!$B$7:$B$156,MATCH($S338,MUSTERILER!$T$7:$T$156,0)),""))</f>
        <v/>
      </c>
      <c r="U338" s="1" t="str">
        <f>IF($T338="","",$T338&amp;"|"&amp;COUNTIFS($T$7:$T338,$T338))</f>
        <v/>
      </c>
      <c r="V338" s="1">
        <f t="shared" si="18"/>
        <v>0</v>
      </c>
      <c r="W338" s="1" t="str">
        <f t="shared" si="19"/>
        <v/>
      </c>
      <c r="X338" s="1"/>
      <c r="Y338" s="1"/>
      <c r="Z338" s="1"/>
      <c r="AA338" s="1"/>
      <c r="AB338" s="1"/>
      <c r="AC338" s="1"/>
      <c r="AD338" s="1">
        <f>IF($C338="",0,SUMPRODUCT((AY_SONU!$O$7:$O$42="Evet")*(AY_SONU!$B$7:$B$42=DATE(YEAR($C338),MONTH($C338),1))))</f>
        <v>0</v>
      </c>
      <c r="AE338" s="1" t="str">
        <f>IF($E338="","",$E338&amp;"|"&amp;COUNTIFS($E$7:$E338,$E338))</f>
        <v/>
      </c>
    </row>
    <row r="339" spans="1:31" ht="18" customHeight="1" x14ac:dyDescent="0.3">
      <c r="A339" s="2"/>
      <c r="B339" s="65" t="str">
        <f>IF($C339="","","GG"&amp;TEXT(ROW()-6,"00000"))</f>
        <v/>
      </c>
      <c r="C339" s="66"/>
      <c r="D339" s="60"/>
      <c r="E339" s="61"/>
      <c r="F339" s="61"/>
      <c r="G339" s="67"/>
      <c r="H339" s="60"/>
      <c r="I339" s="60"/>
      <c r="J339" s="61"/>
      <c r="K339" s="61"/>
      <c r="L339" s="60"/>
      <c r="M339" s="74" t="str">
        <f>IF($C339="","",IF($D339="Gider",$E339,IF($L339&lt;&gt;"",$L339,$H339)))</f>
        <v/>
      </c>
      <c r="N339" s="74" t="str">
        <f>IF($C339="","",IF($D339="Gider",$H339,$E339))</f>
        <v/>
      </c>
      <c r="O339" s="73" t="str">
        <f>IF($C339="","",DATE(YEAR($C339),MONTH($C339),1))</f>
        <v/>
      </c>
      <c r="P339" s="65" t="str">
        <f ca="1">IF($C339="","",IF(AND($D339="Gelir",$L339&lt;&gt;"",$T339=""),"TANIMSIZ BORÇLU",IF($T339&lt;&gt;"",IF(OR($E339="",$G339&lt;=0),"EKSİK",IF($I339="Evet","TAHAKKUK NAKİT OLAMAZ",IF($C339&gt;TODAY(),"İLERİ TARİH","TAHAKKUK"))),IF(AND($D339&lt;&gt;"",$E339&lt;&gt;"",$G339&gt;0,$H339&lt;&gt;"",$I339&lt;&gt;""),IF($C339&gt;TODAY(),"İLERİ TARİH",IF(COUNTIF($W$7:$W$3001,$W339)&gt;1,"MÜKERRER?",IF($AD339&gt;0,"KAPALI DÖNEM",IF($I339="Hayır","ÖDENECEK","UYGUN")))),"EKSİK"))))</f>
        <v/>
      </c>
      <c r="Q339" s="2"/>
      <c r="R339" s="2"/>
      <c r="S339" s="1" t="str">
        <f t="shared" si="17"/>
        <v/>
      </c>
      <c r="T339" s="1" t="str">
        <f>IF(OR($C339="",$D339&lt;&gt;"Gelir",$L339=""),"",IFERROR(INDEX(MUSTERILER!$B$7:$B$156,MATCH($S339,MUSTERILER!$T$7:$T$156,0)),""))</f>
        <v/>
      </c>
      <c r="U339" s="1" t="str">
        <f>IF($T339="","",$T339&amp;"|"&amp;COUNTIFS($T$7:$T339,$T339))</f>
        <v/>
      </c>
      <c r="V339" s="1">
        <f t="shared" si="18"/>
        <v>0</v>
      </c>
      <c r="W339" s="1" t="str">
        <f t="shared" si="19"/>
        <v/>
      </c>
      <c r="X339" s="1"/>
      <c r="Y339" s="1"/>
      <c r="Z339" s="1"/>
      <c r="AA339" s="1"/>
      <c r="AB339" s="1"/>
      <c r="AC339" s="1"/>
      <c r="AD339" s="1">
        <f>IF($C339="",0,SUMPRODUCT((AY_SONU!$O$7:$O$42="Evet")*(AY_SONU!$B$7:$B$42=DATE(YEAR($C339),MONTH($C339),1))))</f>
        <v>0</v>
      </c>
      <c r="AE339" s="1" t="str">
        <f>IF($E339="","",$E339&amp;"|"&amp;COUNTIFS($E$7:$E339,$E339))</f>
        <v/>
      </c>
    </row>
    <row r="340" spans="1:31" ht="18" customHeight="1" x14ac:dyDescent="0.3">
      <c r="A340" s="2"/>
      <c r="B340" s="65" t="str">
        <f>IF($C340="","","GG"&amp;TEXT(ROW()-6,"00000"))</f>
        <v/>
      </c>
      <c r="C340" s="66"/>
      <c r="D340" s="60"/>
      <c r="E340" s="61"/>
      <c r="F340" s="61"/>
      <c r="G340" s="67"/>
      <c r="H340" s="60"/>
      <c r="I340" s="60"/>
      <c r="J340" s="61"/>
      <c r="K340" s="61"/>
      <c r="L340" s="60"/>
      <c r="M340" s="74" t="str">
        <f>IF($C340="","",IF($D340="Gider",$E340,IF($L340&lt;&gt;"",$L340,$H340)))</f>
        <v/>
      </c>
      <c r="N340" s="74" t="str">
        <f>IF($C340="","",IF($D340="Gider",$H340,$E340))</f>
        <v/>
      </c>
      <c r="O340" s="73" t="str">
        <f>IF($C340="","",DATE(YEAR($C340),MONTH($C340),1))</f>
        <v/>
      </c>
      <c r="P340" s="65" t="str">
        <f ca="1">IF($C340="","",IF(AND($D340="Gelir",$L340&lt;&gt;"",$T340=""),"TANIMSIZ BORÇLU",IF($T340&lt;&gt;"",IF(OR($E340="",$G340&lt;=0),"EKSİK",IF($I340="Evet","TAHAKKUK NAKİT OLAMAZ",IF($C340&gt;TODAY(),"İLERİ TARİH","TAHAKKUK"))),IF(AND($D340&lt;&gt;"",$E340&lt;&gt;"",$G340&gt;0,$H340&lt;&gt;"",$I340&lt;&gt;""),IF($C340&gt;TODAY(),"İLERİ TARİH",IF(COUNTIF($W$7:$W$3001,$W340)&gt;1,"MÜKERRER?",IF($AD340&gt;0,"KAPALI DÖNEM",IF($I340="Hayır","ÖDENECEK","UYGUN")))),"EKSİK"))))</f>
        <v/>
      </c>
      <c r="Q340" s="2"/>
      <c r="R340" s="2"/>
      <c r="S340" s="1" t="str">
        <f t="shared" si="17"/>
        <v/>
      </c>
      <c r="T340" s="1" t="str">
        <f>IF(OR($C340="",$D340&lt;&gt;"Gelir",$L340=""),"",IFERROR(INDEX(MUSTERILER!$B$7:$B$156,MATCH($S340,MUSTERILER!$T$7:$T$156,0)),""))</f>
        <v/>
      </c>
      <c r="U340" s="1" t="str">
        <f>IF($T340="","",$T340&amp;"|"&amp;COUNTIFS($T$7:$T340,$T340))</f>
        <v/>
      </c>
      <c r="V340" s="1">
        <f t="shared" si="18"/>
        <v>0</v>
      </c>
      <c r="W340" s="1" t="str">
        <f t="shared" si="19"/>
        <v/>
      </c>
      <c r="X340" s="1"/>
      <c r="Y340" s="1"/>
      <c r="Z340" s="1"/>
      <c r="AA340" s="1"/>
      <c r="AB340" s="1"/>
      <c r="AC340" s="1"/>
      <c r="AD340" s="1">
        <f>IF($C340="",0,SUMPRODUCT((AY_SONU!$O$7:$O$42="Evet")*(AY_SONU!$B$7:$B$42=DATE(YEAR($C340),MONTH($C340),1))))</f>
        <v>0</v>
      </c>
      <c r="AE340" s="1" t="str">
        <f>IF($E340="","",$E340&amp;"|"&amp;COUNTIFS($E$7:$E340,$E340))</f>
        <v/>
      </c>
    </row>
    <row r="341" spans="1:31" ht="18" customHeight="1" x14ac:dyDescent="0.3">
      <c r="A341" s="2"/>
      <c r="B341" s="65" t="str">
        <f>IF($C341="","","GG"&amp;TEXT(ROW()-6,"00000"))</f>
        <v/>
      </c>
      <c r="C341" s="66"/>
      <c r="D341" s="60"/>
      <c r="E341" s="61"/>
      <c r="F341" s="61"/>
      <c r="G341" s="67"/>
      <c r="H341" s="60"/>
      <c r="I341" s="60"/>
      <c r="J341" s="61"/>
      <c r="K341" s="61"/>
      <c r="L341" s="60"/>
      <c r="M341" s="74" t="str">
        <f>IF($C341="","",IF($D341="Gider",$E341,IF($L341&lt;&gt;"",$L341,$H341)))</f>
        <v/>
      </c>
      <c r="N341" s="74" t="str">
        <f>IF($C341="","",IF($D341="Gider",$H341,$E341))</f>
        <v/>
      </c>
      <c r="O341" s="73" t="str">
        <f>IF($C341="","",DATE(YEAR($C341),MONTH($C341),1))</f>
        <v/>
      </c>
      <c r="P341" s="65" t="str">
        <f ca="1">IF($C341="","",IF(AND($D341="Gelir",$L341&lt;&gt;"",$T341=""),"TANIMSIZ BORÇLU",IF($T341&lt;&gt;"",IF(OR($E341="",$G341&lt;=0),"EKSİK",IF($I341="Evet","TAHAKKUK NAKİT OLAMAZ",IF($C341&gt;TODAY(),"İLERİ TARİH","TAHAKKUK"))),IF(AND($D341&lt;&gt;"",$E341&lt;&gt;"",$G341&gt;0,$H341&lt;&gt;"",$I341&lt;&gt;""),IF($C341&gt;TODAY(),"İLERİ TARİH",IF(COUNTIF($W$7:$W$3001,$W341)&gt;1,"MÜKERRER?",IF($AD341&gt;0,"KAPALI DÖNEM",IF($I341="Hayır","ÖDENECEK","UYGUN")))),"EKSİK"))))</f>
        <v/>
      </c>
      <c r="Q341" s="2"/>
      <c r="R341" s="2"/>
      <c r="S341" s="1" t="str">
        <f t="shared" si="17"/>
        <v/>
      </c>
      <c r="T341" s="1" t="str">
        <f>IF(OR($C341="",$D341&lt;&gt;"Gelir",$L341=""),"",IFERROR(INDEX(MUSTERILER!$B$7:$B$156,MATCH($S341,MUSTERILER!$T$7:$T$156,0)),""))</f>
        <v/>
      </c>
      <c r="U341" s="1" t="str">
        <f>IF($T341="","",$T341&amp;"|"&amp;COUNTIFS($T$7:$T341,$T341))</f>
        <v/>
      </c>
      <c r="V341" s="1">
        <f t="shared" si="18"/>
        <v>0</v>
      </c>
      <c r="W341" s="1" t="str">
        <f t="shared" si="19"/>
        <v/>
      </c>
      <c r="X341" s="1"/>
      <c r="Y341" s="1"/>
      <c r="Z341" s="1"/>
      <c r="AA341" s="1"/>
      <c r="AB341" s="1"/>
      <c r="AC341" s="1"/>
      <c r="AD341" s="1">
        <f>IF($C341="",0,SUMPRODUCT((AY_SONU!$O$7:$O$42="Evet")*(AY_SONU!$B$7:$B$42=DATE(YEAR($C341),MONTH($C341),1))))</f>
        <v>0</v>
      </c>
      <c r="AE341" s="1" t="str">
        <f>IF($E341="","",$E341&amp;"|"&amp;COUNTIFS($E$7:$E341,$E341))</f>
        <v/>
      </c>
    </row>
    <row r="342" spans="1:31" ht="18" customHeight="1" x14ac:dyDescent="0.3">
      <c r="A342" s="2"/>
      <c r="B342" s="65" t="str">
        <f>IF($C342="","","GG"&amp;TEXT(ROW()-6,"00000"))</f>
        <v/>
      </c>
      <c r="C342" s="66"/>
      <c r="D342" s="60"/>
      <c r="E342" s="61"/>
      <c r="F342" s="61"/>
      <c r="G342" s="67"/>
      <c r="H342" s="60"/>
      <c r="I342" s="60"/>
      <c r="J342" s="61"/>
      <c r="K342" s="61"/>
      <c r="L342" s="60"/>
      <c r="M342" s="74" t="str">
        <f>IF($C342="","",IF($D342="Gider",$E342,IF($L342&lt;&gt;"",$L342,$H342)))</f>
        <v/>
      </c>
      <c r="N342" s="74" t="str">
        <f>IF($C342="","",IF($D342="Gider",$H342,$E342))</f>
        <v/>
      </c>
      <c r="O342" s="73" t="str">
        <f>IF($C342="","",DATE(YEAR($C342),MONTH($C342),1))</f>
        <v/>
      </c>
      <c r="P342" s="65" t="str">
        <f ca="1">IF($C342="","",IF(AND($D342="Gelir",$L342&lt;&gt;"",$T342=""),"TANIMSIZ BORÇLU",IF($T342&lt;&gt;"",IF(OR($E342="",$G342&lt;=0),"EKSİK",IF($I342="Evet","TAHAKKUK NAKİT OLAMAZ",IF($C342&gt;TODAY(),"İLERİ TARİH","TAHAKKUK"))),IF(AND($D342&lt;&gt;"",$E342&lt;&gt;"",$G342&gt;0,$H342&lt;&gt;"",$I342&lt;&gt;""),IF($C342&gt;TODAY(),"İLERİ TARİH",IF(COUNTIF($W$7:$W$3001,$W342)&gt;1,"MÜKERRER?",IF($AD342&gt;0,"KAPALI DÖNEM",IF($I342="Hayır","ÖDENECEK","UYGUN")))),"EKSİK"))))</f>
        <v/>
      </c>
      <c r="Q342" s="2"/>
      <c r="R342" s="2"/>
      <c r="S342" s="1" t="str">
        <f t="shared" si="17"/>
        <v/>
      </c>
      <c r="T342" s="1" t="str">
        <f>IF(OR($C342="",$D342&lt;&gt;"Gelir",$L342=""),"",IFERROR(INDEX(MUSTERILER!$B$7:$B$156,MATCH($S342,MUSTERILER!$T$7:$T$156,0)),""))</f>
        <v/>
      </c>
      <c r="U342" s="1" t="str">
        <f>IF($T342="","",$T342&amp;"|"&amp;COUNTIFS($T$7:$T342,$T342))</f>
        <v/>
      </c>
      <c r="V342" s="1">
        <f t="shared" si="18"/>
        <v>0</v>
      </c>
      <c r="W342" s="1" t="str">
        <f t="shared" si="19"/>
        <v/>
      </c>
      <c r="X342" s="1"/>
      <c r="Y342" s="1"/>
      <c r="Z342" s="1"/>
      <c r="AA342" s="1"/>
      <c r="AB342" s="1"/>
      <c r="AC342" s="1"/>
      <c r="AD342" s="1">
        <f>IF($C342="",0,SUMPRODUCT((AY_SONU!$O$7:$O$42="Evet")*(AY_SONU!$B$7:$B$42=DATE(YEAR($C342),MONTH($C342),1))))</f>
        <v>0</v>
      </c>
      <c r="AE342" s="1" t="str">
        <f>IF($E342="","",$E342&amp;"|"&amp;COUNTIFS($E$7:$E342,$E342))</f>
        <v/>
      </c>
    </row>
    <row r="343" spans="1:31" ht="18" customHeight="1" x14ac:dyDescent="0.3">
      <c r="A343" s="2"/>
      <c r="B343" s="65" t="str">
        <f>IF($C343="","","GG"&amp;TEXT(ROW()-6,"00000"))</f>
        <v/>
      </c>
      <c r="C343" s="66"/>
      <c r="D343" s="60"/>
      <c r="E343" s="61"/>
      <c r="F343" s="61"/>
      <c r="G343" s="67"/>
      <c r="H343" s="60"/>
      <c r="I343" s="60"/>
      <c r="J343" s="61"/>
      <c r="K343" s="61"/>
      <c r="L343" s="60"/>
      <c r="M343" s="74" t="str">
        <f>IF($C343="","",IF($D343="Gider",$E343,IF($L343&lt;&gt;"",$L343,$H343)))</f>
        <v/>
      </c>
      <c r="N343" s="74" t="str">
        <f>IF($C343="","",IF($D343="Gider",$H343,$E343))</f>
        <v/>
      </c>
      <c r="O343" s="73" t="str">
        <f>IF($C343="","",DATE(YEAR($C343),MONTH($C343),1))</f>
        <v/>
      </c>
      <c r="P343" s="65" t="str">
        <f ca="1">IF($C343="","",IF(AND($D343="Gelir",$L343&lt;&gt;"",$T343=""),"TANIMSIZ BORÇLU",IF($T343&lt;&gt;"",IF(OR($E343="",$G343&lt;=0),"EKSİK",IF($I343="Evet","TAHAKKUK NAKİT OLAMAZ",IF($C343&gt;TODAY(),"İLERİ TARİH","TAHAKKUK"))),IF(AND($D343&lt;&gt;"",$E343&lt;&gt;"",$G343&gt;0,$H343&lt;&gt;"",$I343&lt;&gt;""),IF($C343&gt;TODAY(),"İLERİ TARİH",IF(COUNTIF($W$7:$W$3001,$W343)&gt;1,"MÜKERRER?",IF($AD343&gt;0,"KAPALI DÖNEM",IF($I343="Hayır","ÖDENECEK","UYGUN")))),"EKSİK"))))</f>
        <v/>
      </c>
      <c r="Q343" s="2"/>
      <c r="R343" s="2"/>
      <c r="S343" s="1" t="str">
        <f t="shared" si="17"/>
        <v/>
      </c>
      <c r="T343" s="1" t="str">
        <f>IF(OR($C343="",$D343&lt;&gt;"Gelir",$L343=""),"",IFERROR(INDEX(MUSTERILER!$B$7:$B$156,MATCH($S343,MUSTERILER!$T$7:$T$156,0)),""))</f>
        <v/>
      </c>
      <c r="U343" s="1" t="str">
        <f>IF($T343="","",$T343&amp;"|"&amp;COUNTIFS($T$7:$T343,$T343))</f>
        <v/>
      </c>
      <c r="V343" s="1">
        <f t="shared" si="18"/>
        <v>0</v>
      </c>
      <c r="W343" s="1" t="str">
        <f t="shared" si="19"/>
        <v/>
      </c>
      <c r="X343" s="1"/>
      <c r="Y343" s="1"/>
      <c r="Z343" s="1"/>
      <c r="AA343" s="1"/>
      <c r="AB343" s="1"/>
      <c r="AC343" s="1"/>
      <c r="AD343" s="1">
        <f>IF($C343="",0,SUMPRODUCT((AY_SONU!$O$7:$O$42="Evet")*(AY_SONU!$B$7:$B$42=DATE(YEAR($C343),MONTH($C343),1))))</f>
        <v>0</v>
      </c>
      <c r="AE343" s="1" t="str">
        <f>IF($E343="","",$E343&amp;"|"&amp;COUNTIFS($E$7:$E343,$E343))</f>
        <v/>
      </c>
    </row>
    <row r="344" spans="1:31" ht="18" customHeight="1" x14ac:dyDescent="0.3">
      <c r="A344" s="2"/>
      <c r="B344" s="65" t="str">
        <f>IF($C344="","","GG"&amp;TEXT(ROW()-6,"00000"))</f>
        <v/>
      </c>
      <c r="C344" s="66"/>
      <c r="D344" s="60"/>
      <c r="E344" s="61"/>
      <c r="F344" s="61"/>
      <c r="G344" s="67"/>
      <c r="H344" s="60"/>
      <c r="I344" s="60"/>
      <c r="J344" s="61"/>
      <c r="K344" s="61"/>
      <c r="L344" s="60"/>
      <c r="M344" s="74" t="str">
        <f>IF($C344="","",IF($D344="Gider",$E344,IF($L344&lt;&gt;"",$L344,$H344)))</f>
        <v/>
      </c>
      <c r="N344" s="74" t="str">
        <f>IF($C344="","",IF($D344="Gider",$H344,$E344))</f>
        <v/>
      </c>
      <c r="O344" s="73" t="str">
        <f>IF($C344="","",DATE(YEAR($C344),MONTH($C344),1))</f>
        <v/>
      </c>
      <c r="P344" s="65" t="str">
        <f ca="1">IF($C344="","",IF(AND($D344="Gelir",$L344&lt;&gt;"",$T344=""),"TANIMSIZ BORÇLU",IF($T344&lt;&gt;"",IF(OR($E344="",$G344&lt;=0),"EKSİK",IF($I344="Evet","TAHAKKUK NAKİT OLAMAZ",IF($C344&gt;TODAY(),"İLERİ TARİH","TAHAKKUK"))),IF(AND($D344&lt;&gt;"",$E344&lt;&gt;"",$G344&gt;0,$H344&lt;&gt;"",$I344&lt;&gt;""),IF($C344&gt;TODAY(),"İLERİ TARİH",IF(COUNTIF($W$7:$W$3001,$W344)&gt;1,"MÜKERRER?",IF($AD344&gt;0,"KAPALI DÖNEM",IF($I344="Hayır","ÖDENECEK","UYGUN")))),"EKSİK"))))</f>
        <v/>
      </c>
      <c r="Q344" s="2"/>
      <c r="R344" s="2"/>
      <c r="S344" s="1" t="str">
        <f t="shared" si="17"/>
        <v/>
      </c>
      <c r="T344" s="1" t="str">
        <f>IF(OR($C344="",$D344&lt;&gt;"Gelir",$L344=""),"",IFERROR(INDEX(MUSTERILER!$B$7:$B$156,MATCH($S344,MUSTERILER!$T$7:$T$156,0)),""))</f>
        <v/>
      </c>
      <c r="U344" s="1" t="str">
        <f>IF($T344="","",$T344&amp;"|"&amp;COUNTIFS($T$7:$T344,$T344))</f>
        <v/>
      </c>
      <c r="V344" s="1">
        <f t="shared" si="18"/>
        <v>0</v>
      </c>
      <c r="W344" s="1" t="str">
        <f t="shared" si="19"/>
        <v/>
      </c>
      <c r="X344" s="1"/>
      <c r="Y344" s="1"/>
      <c r="Z344" s="1"/>
      <c r="AA344" s="1"/>
      <c r="AB344" s="1"/>
      <c r="AC344" s="1"/>
      <c r="AD344" s="1">
        <f>IF($C344="",0,SUMPRODUCT((AY_SONU!$O$7:$O$42="Evet")*(AY_SONU!$B$7:$B$42=DATE(YEAR($C344),MONTH($C344),1))))</f>
        <v>0</v>
      </c>
      <c r="AE344" s="1" t="str">
        <f>IF($E344="","",$E344&amp;"|"&amp;COUNTIFS($E$7:$E344,$E344))</f>
        <v/>
      </c>
    </row>
    <row r="345" spans="1:31" ht="18" customHeight="1" x14ac:dyDescent="0.3">
      <c r="A345" s="2"/>
      <c r="B345" s="65" t="str">
        <f>IF($C345="","","GG"&amp;TEXT(ROW()-6,"00000"))</f>
        <v/>
      </c>
      <c r="C345" s="66"/>
      <c r="D345" s="60"/>
      <c r="E345" s="61"/>
      <c r="F345" s="61"/>
      <c r="G345" s="67"/>
      <c r="H345" s="60"/>
      <c r="I345" s="60"/>
      <c r="J345" s="61"/>
      <c r="K345" s="61"/>
      <c r="L345" s="60"/>
      <c r="M345" s="74" t="str">
        <f>IF($C345="","",IF($D345="Gider",$E345,IF($L345&lt;&gt;"",$L345,$H345)))</f>
        <v/>
      </c>
      <c r="N345" s="74" t="str">
        <f>IF($C345="","",IF($D345="Gider",$H345,$E345))</f>
        <v/>
      </c>
      <c r="O345" s="73" t="str">
        <f>IF($C345="","",DATE(YEAR($C345),MONTH($C345),1))</f>
        <v/>
      </c>
      <c r="P345" s="65" t="str">
        <f ca="1">IF($C345="","",IF(AND($D345="Gelir",$L345&lt;&gt;"",$T345=""),"TANIMSIZ BORÇLU",IF($T345&lt;&gt;"",IF(OR($E345="",$G345&lt;=0),"EKSİK",IF($I345="Evet","TAHAKKUK NAKİT OLAMAZ",IF($C345&gt;TODAY(),"İLERİ TARİH","TAHAKKUK"))),IF(AND($D345&lt;&gt;"",$E345&lt;&gt;"",$G345&gt;0,$H345&lt;&gt;"",$I345&lt;&gt;""),IF($C345&gt;TODAY(),"İLERİ TARİH",IF(COUNTIF($W$7:$W$3001,$W345)&gt;1,"MÜKERRER?",IF($AD345&gt;0,"KAPALI DÖNEM",IF($I345="Hayır","ÖDENECEK","UYGUN")))),"EKSİK"))))</f>
        <v/>
      </c>
      <c r="Q345" s="2"/>
      <c r="R345" s="2"/>
      <c r="S345" s="1" t="str">
        <f t="shared" si="17"/>
        <v/>
      </c>
      <c r="T345" s="1" t="str">
        <f>IF(OR($C345="",$D345&lt;&gt;"Gelir",$L345=""),"",IFERROR(INDEX(MUSTERILER!$B$7:$B$156,MATCH($S345,MUSTERILER!$T$7:$T$156,0)),""))</f>
        <v/>
      </c>
      <c r="U345" s="1" t="str">
        <f>IF($T345="","",$T345&amp;"|"&amp;COUNTIFS($T$7:$T345,$T345))</f>
        <v/>
      </c>
      <c r="V345" s="1">
        <f t="shared" si="18"/>
        <v>0</v>
      </c>
      <c r="W345" s="1" t="str">
        <f t="shared" si="19"/>
        <v/>
      </c>
      <c r="X345" s="1"/>
      <c r="Y345" s="1"/>
      <c r="Z345" s="1"/>
      <c r="AA345" s="1"/>
      <c r="AB345" s="1"/>
      <c r="AC345" s="1"/>
      <c r="AD345" s="1">
        <f>IF($C345="",0,SUMPRODUCT((AY_SONU!$O$7:$O$42="Evet")*(AY_SONU!$B$7:$B$42=DATE(YEAR($C345),MONTH($C345),1))))</f>
        <v>0</v>
      </c>
      <c r="AE345" s="1" t="str">
        <f>IF($E345="","",$E345&amp;"|"&amp;COUNTIFS($E$7:$E345,$E345))</f>
        <v/>
      </c>
    </row>
    <row r="346" spans="1:31" ht="18" customHeight="1" x14ac:dyDescent="0.3">
      <c r="A346" s="2"/>
      <c r="B346" s="65" t="str">
        <f>IF($C346="","","GG"&amp;TEXT(ROW()-6,"00000"))</f>
        <v/>
      </c>
      <c r="C346" s="66"/>
      <c r="D346" s="60"/>
      <c r="E346" s="61"/>
      <c r="F346" s="61"/>
      <c r="G346" s="67"/>
      <c r="H346" s="60"/>
      <c r="I346" s="60"/>
      <c r="J346" s="61"/>
      <c r="K346" s="61"/>
      <c r="L346" s="60"/>
      <c r="M346" s="74" t="str">
        <f>IF($C346="","",IF($D346="Gider",$E346,IF($L346&lt;&gt;"",$L346,$H346)))</f>
        <v/>
      </c>
      <c r="N346" s="74" t="str">
        <f>IF($C346="","",IF($D346="Gider",$H346,$E346))</f>
        <v/>
      </c>
      <c r="O346" s="73" t="str">
        <f>IF($C346="","",DATE(YEAR($C346),MONTH($C346),1))</f>
        <v/>
      </c>
      <c r="P346" s="65" t="str">
        <f ca="1">IF($C346="","",IF(AND($D346="Gelir",$L346&lt;&gt;"",$T346=""),"TANIMSIZ BORÇLU",IF($T346&lt;&gt;"",IF(OR($E346="",$G346&lt;=0),"EKSİK",IF($I346="Evet","TAHAKKUK NAKİT OLAMAZ",IF($C346&gt;TODAY(),"İLERİ TARİH","TAHAKKUK"))),IF(AND($D346&lt;&gt;"",$E346&lt;&gt;"",$G346&gt;0,$H346&lt;&gt;"",$I346&lt;&gt;""),IF($C346&gt;TODAY(),"İLERİ TARİH",IF(COUNTIF($W$7:$W$3001,$W346)&gt;1,"MÜKERRER?",IF($AD346&gt;0,"KAPALI DÖNEM",IF($I346="Hayır","ÖDENECEK","UYGUN")))),"EKSİK"))))</f>
        <v/>
      </c>
      <c r="Q346" s="2"/>
      <c r="R346" s="2"/>
      <c r="S346" s="1" t="str">
        <f t="shared" si="17"/>
        <v/>
      </c>
      <c r="T346" s="1" t="str">
        <f>IF(OR($C346="",$D346&lt;&gt;"Gelir",$L346=""),"",IFERROR(INDEX(MUSTERILER!$B$7:$B$156,MATCH($S346,MUSTERILER!$T$7:$T$156,0)),""))</f>
        <v/>
      </c>
      <c r="U346" s="1" t="str">
        <f>IF($T346="","",$T346&amp;"|"&amp;COUNTIFS($T$7:$T346,$T346))</f>
        <v/>
      </c>
      <c r="V346" s="1">
        <f t="shared" si="18"/>
        <v>0</v>
      </c>
      <c r="W346" s="1" t="str">
        <f t="shared" si="19"/>
        <v/>
      </c>
      <c r="X346" s="1"/>
      <c r="Y346" s="1"/>
      <c r="Z346" s="1"/>
      <c r="AA346" s="1"/>
      <c r="AB346" s="1"/>
      <c r="AC346" s="1"/>
      <c r="AD346" s="1">
        <f>IF($C346="",0,SUMPRODUCT((AY_SONU!$O$7:$O$42="Evet")*(AY_SONU!$B$7:$B$42=DATE(YEAR($C346),MONTH($C346),1))))</f>
        <v>0</v>
      </c>
      <c r="AE346" s="1" t="str">
        <f>IF($E346="","",$E346&amp;"|"&amp;COUNTIFS($E$7:$E346,$E346))</f>
        <v/>
      </c>
    </row>
    <row r="347" spans="1:31" ht="18" customHeight="1" x14ac:dyDescent="0.3">
      <c r="A347" s="2"/>
      <c r="B347" s="65" t="str">
        <f>IF($C347="","","GG"&amp;TEXT(ROW()-6,"00000"))</f>
        <v/>
      </c>
      <c r="C347" s="66"/>
      <c r="D347" s="60"/>
      <c r="E347" s="61"/>
      <c r="F347" s="61"/>
      <c r="G347" s="67"/>
      <c r="H347" s="60"/>
      <c r="I347" s="60"/>
      <c r="J347" s="61"/>
      <c r="K347" s="61"/>
      <c r="L347" s="60"/>
      <c r="M347" s="74" t="str">
        <f>IF($C347="","",IF($D347="Gider",$E347,IF($L347&lt;&gt;"",$L347,$H347)))</f>
        <v/>
      </c>
      <c r="N347" s="74" t="str">
        <f>IF($C347="","",IF($D347="Gider",$H347,$E347))</f>
        <v/>
      </c>
      <c r="O347" s="73" t="str">
        <f>IF($C347="","",DATE(YEAR($C347),MONTH($C347),1))</f>
        <v/>
      </c>
      <c r="P347" s="65" t="str">
        <f ca="1">IF($C347="","",IF(AND($D347="Gelir",$L347&lt;&gt;"",$T347=""),"TANIMSIZ BORÇLU",IF($T347&lt;&gt;"",IF(OR($E347="",$G347&lt;=0),"EKSİK",IF($I347="Evet","TAHAKKUK NAKİT OLAMAZ",IF($C347&gt;TODAY(),"İLERİ TARİH","TAHAKKUK"))),IF(AND($D347&lt;&gt;"",$E347&lt;&gt;"",$G347&gt;0,$H347&lt;&gt;"",$I347&lt;&gt;""),IF($C347&gt;TODAY(),"İLERİ TARİH",IF(COUNTIF($W$7:$W$3001,$W347)&gt;1,"MÜKERRER?",IF($AD347&gt;0,"KAPALI DÖNEM",IF($I347="Hayır","ÖDENECEK","UYGUN")))),"EKSİK"))))</f>
        <v/>
      </c>
      <c r="Q347" s="2"/>
      <c r="R347" s="2"/>
      <c r="S347" s="1" t="str">
        <f t="shared" si="17"/>
        <v/>
      </c>
      <c r="T347" s="1" t="str">
        <f>IF(OR($C347="",$D347&lt;&gt;"Gelir",$L347=""),"",IFERROR(INDEX(MUSTERILER!$B$7:$B$156,MATCH($S347,MUSTERILER!$T$7:$T$156,0)),""))</f>
        <v/>
      </c>
      <c r="U347" s="1" t="str">
        <f>IF($T347="","",$T347&amp;"|"&amp;COUNTIFS($T$7:$T347,$T347))</f>
        <v/>
      </c>
      <c r="V347" s="1">
        <f t="shared" si="18"/>
        <v>0</v>
      </c>
      <c r="W347" s="1" t="str">
        <f t="shared" si="19"/>
        <v/>
      </c>
      <c r="X347" s="1"/>
      <c r="Y347" s="1"/>
      <c r="Z347" s="1"/>
      <c r="AA347" s="1"/>
      <c r="AB347" s="1"/>
      <c r="AC347" s="1"/>
      <c r="AD347" s="1">
        <f>IF($C347="",0,SUMPRODUCT((AY_SONU!$O$7:$O$42="Evet")*(AY_SONU!$B$7:$B$42=DATE(YEAR($C347),MONTH($C347),1))))</f>
        <v>0</v>
      </c>
      <c r="AE347" s="1" t="str">
        <f>IF($E347="","",$E347&amp;"|"&amp;COUNTIFS($E$7:$E347,$E347))</f>
        <v/>
      </c>
    </row>
    <row r="348" spans="1:31" ht="18" customHeight="1" x14ac:dyDescent="0.3">
      <c r="A348" s="2"/>
      <c r="B348" s="65" t="str">
        <f>IF($C348="","","GG"&amp;TEXT(ROW()-6,"00000"))</f>
        <v/>
      </c>
      <c r="C348" s="66"/>
      <c r="D348" s="60"/>
      <c r="E348" s="61"/>
      <c r="F348" s="61"/>
      <c r="G348" s="67"/>
      <c r="H348" s="60"/>
      <c r="I348" s="60"/>
      <c r="J348" s="61"/>
      <c r="K348" s="61"/>
      <c r="L348" s="60"/>
      <c r="M348" s="74" t="str">
        <f>IF($C348="","",IF($D348="Gider",$E348,IF($L348&lt;&gt;"",$L348,$H348)))</f>
        <v/>
      </c>
      <c r="N348" s="74" t="str">
        <f>IF($C348="","",IF($D348="Gider",$H348,$E348))</f>
        <v/>
      </c>
      <c r="O348" s="73" t="str">
        <f>IF($C348="","",DATE(YEAR($C348),MONTH($C348),1))</f>
        <v/>
      </c>
      <c r="P348" s="65" t="str">
        <f ca="1">IF($C348="","",IF(AND($D348="Gelir",$L348&lt;&gt;"",$T348=""),"TANIMSIZ BORÇLU",IF($T348&lt;&gt;"",IF(OR($E348="",$G348&lt;=0),"EKSİK",IF($I348="Evet","TAHAKKUK NAKİT OLAMAZ",IF($C348&gt;TODAY(),"İLERİ TARİH","TAHAKKUK"))),IF(AND($D348&lt;&gt;"",$E348&lt;&gt;"",$G348&gt;0,$H348&lt;&gt;"",$I348&lt;&gt;""),IF($C348&gt;TODAY(),"İLERİ TARİH",IF(COUNTIF($W$7:$W$3001,$W348)&gt;1,"MÜKERRER?",IF($AD348&gt;0,"KAPALI DÖNEM",IF($I348="Hayır","ÖDENECEK","UYGUN")))),"EKSİK"))))</f>
        <v/>
      </c>
      <c r="Q348" s="2"/>
      <c r="R348" s="2"/>
      <c r="S348" s="1" t="str">
        <f t="shared" si="17"/>
        <v/>
      </c>
      <c r="T348" s="1" t="str">
        <f>IF(OR($C348="",$D348&lt;&gt;"Gelir",$L348=""),"",IFERROR(INDEX(MUSTERILER!$B$7:$B$156,MATCH($S348,MUSTERILER!$T$7:$T$156,0)),""))</f>
        <v/>
      </c>
      <c r="U348" s="1" t="str">
        <f>IF($T348="","",$T348&amp;"|"&amp;COUNTIFS($T$7:$T348,$T348))</f>
        <v/>
      </c>
      <c r="V348" s="1">
        <f t="shared" si="18"/>
        <v>0</v>
      </c>
      <c r="W348" s="1" t="str">
        <f t="shared" si="19"/>
        <v/>
      </c>
      <c r="X348" s="1"/>
      <c r="Y348" s="1"/>
      <c r="Z348" s="1"/>
      <c r="AA348" s="1"/>
      <c r="AB348" s="1"/>
      <c r="AC348" s="1"/>
      <c r="AD348" s="1">
        <f>IF($C348="",0,SUMPRODUCT((AY_SONU!$O$7:$O$42="Evet")*(AY_SONU!$B$7:$B$42=DATE(YEAR($C348),MONTH($C348),1))))</f>
        <v>0</v>
      </c>
      <c r="AE348" s="1" t="str">
        <f>IF($E348="","",$E348&amp;"|"&amp;COUNTIFS($E$7:$E348,$E348))</f>
        <v/>
      </c>
    </row>
    <row r="349" spans="1:31" ht="18" customHeight="1" x14ac:dyDescent="0.3">
      <c r="A349" s="2"/>
      <c r="B349" s="65" t="str">
        <f>IF($C349="","","GG"&amp;TEXT(ROW()-6,"00000"))</f>
        <v/>
      </c>
      <c r="C349" s="66"/>
      <c r="D349" s="60"/>
      <c r="E349" s="61"/>
      <c r="F349" s="61"/>
      <c r="G349" s="67"/>
      <c r="H349" s="60"/>
      <c r="I349" s="60"/>
      <c r="J349" s="61"/>
      <c r="K349" s="61"/>
      <c r="L349" s="60"/>
      <c r="M349" s="74" t="str">
        <f>IF($C349="","",IF($D349="Gider",$E349,IF($L349&lt;&gt;"",$L349,$H349)))</f>
        <v/>
      </c>
      <c r="N349" s="74" t="str">
        <f>IF($C349="","",IF($D349="Gider",$H349,$E349))</f>
        <v/>
      </c>
      <c r="O349" s="73" t="str">
        <f>IF($C349="","",DATE(YEAR($C349),MONTH($C349),1))</f>
        <v/>
      </c>
      <c r="P349" s="65" t="str">
        <f ca="1">IF($C349="","",IF(AND($D349="Gelir",$L349&lt;&gt;"",$T349=""),"TANIMSIZ BORÇLU",IF($T349&lt;&gt;"",IF(OR($E349="",$G349&lt;=0),"EKSİK",IF($I349="Evet","TAHAKKUK NAKİT OLAMAZ",IF($C349&gt;TODAY(),"İLERİ TARİH","TAHAKKUK"))),IF(AND($D349&lt;&gt;"",$E349&lt;&gt;"",$G349&gt;0,$H349&lt;&gt;"",$I349&lt;&gt;""),IF($C349&gt;TODAY(),"İLERİ TARİH",IF(COUNTIF($W$7:$W$3001,$W349)&gt;1,"MÜKERRER?",IF($AD349&gt;0,"KAPALI DÖNEM",IF($I349="Hayır","ÖDENECEK","UYGUN")))),"EKSİK"))))</f>
        <v/>
      </c>
      <c r="Q349" s="2"/>
      <c r="R349" s="2"/>
      <c r="S349" s="1" t="str">
        <f t="shared" si="17"/>
        <v/>
      </c>
      <c r="T349" s="1" t="str">
        <f>IF(OR($C349="",$D349&lt;&gt;"Gelir",$L349=""),"",IFERROR(INDEX(MUSTERILER!$B$7:$B$156,MATCH($S349,MUSTERILER!$T$7:$T$156,0)),""))</f>
        <v/>
      </c>
      <c r="U349" s="1" t="str">
        <f>IF($T349="","",$T349&amp;"|"&amp;COUNTIFS($T$7:$T349,$T349))</f>
        <v/>
      </c>
      <c r="V349" s="1">
        <f t="shared" si="18"/>
        <v>0</v>
      </c>
      <c r="W349" s="1" t="str">
        <f t="shared" si="19"/>
        <v/>
      </c>
      <c r="X349" s="1"/>
      <c r="Y349" s="1"/>
      <c r="Z349" s="1"/>
      <c r="AA349" s="1"/>
      <c r="AB349" s="1"/>
      <c r="AC349" s="1"/>
      <c r="AD349" s="1">
        <f>IF($C349="",0,SUMPRODUCT((AY_SONU!$O$7:$O$42="Evet")*(AY_SONU!$B$7:$B$42=DATE(YEAR($C349),MONTH($C349),1))))</f>
        <v>0</v>
      </c>
      <c r="AE349" s="1" t="str">
        <f>IF($E349="","",$E349&amp;"|"&amp;COUNTIFS($E$7:$E349,$E349))</f>
        <v/>
      </c>
    </row>
    <row r="350" spans="1:31" ht="18" customHeight="1" x14ac:dyDescent="0.3">
      <c r="A350" s="2"/>
      <c r="B350" s="65" t="str">
        <f>IF($C350="","","GG"&amp;TEXT(ROW()-6,"00000"))</f>
        <v/>
      </c>
      <c r="C350" s="66"/>
      <c r="D350" s="60"/>
      <c r="E350" s="61"/>
      <c r="F350" s="61"/>
      <c r="G350" s="67"/>
      <c r="H350" s="60"/>
      <c r="I350" s="60"/>
      <c r="J350" s="61"/>
      <c r="K350" s="61"/>
      <c r="L350" s="60"/>
      <c r="M350" s="74" t="str">
        <f>IF($C350="","",IF($D350="Gider",$E350,IF($L350&lt;&gt;"",$L350,$H350)))</f>
        <v/>
      </c>
      <c r="N350" s="74" t="str">
        <f>IF($C350="","",IF($D350="Gider",$H350,$E350))</f>
        <v/>
      </c>
      <c r="O350" s="73" t="str">
        <f>IF($C350="","",DATE(YEAR($C350),MONTH($C350),1))</f>
        <v/>
      </c>
      <c r="P350" s="65" t="str">
        <f ca="1">IF($C350="","",IF(AND($D350="Gelir",$L350&lt;&gt;"",$T350=""),"TANIMSIZ BORÇLU",IF($T350&lt;&gt;"",IF(OR($E350="",$G350&lt;=0),"EKSİK",IF($I350="Evet","TAHAKKUK NAKİT OLAMAZ",IF($C350&gt;TODAY(),"İLERİ TARİH","TAHAKKUK"))),IF(AND($D350&lt;&gt;"",$E350&lt;&gt;"",$G350&gt;0,$H350&lt;&gt;"",$I350&lt;&gt;""),IF($C350&gt;TODAY(),"İLERİ TARİH",IF(COUNTIF($W$7:$W$3001,$W350)&gt;1,"MÜKERRER?",IF($AD350&gt;0,"KAPALI DÖNEM",IF($I350="Hayır","ÖDENECEK","UYGUN")))),"EKSİK"))))</f>
        <v/>
      </c>
      <c r="Q350" s="2"/>
      <c r="R350" s="2"/>
      <c r="S350" s="1" t="str">
        <f t="shared" si="17"/>
        <v/>
      </c>
      <c r="T350" s="1" t="str">
        <f>IF(OR($C350="",$D350&lt;&gt;"Gelir",$L350=""),"",IFERROR(INDEX(MUSTERILER!$B$7:$B$156,MATCH($S350,MUSTERILER!$T$7:$T$156,0)),""))</f>
        <v/>
      </c>
      <c r="U350" s="1" t="str">
        <f>IF($T350="","",$T350&amp;"|"&amp;COUNTIFS($T$7:$T350,$T350))</f>
        <v/>
      </c>
      <c r="V350" s="1">
        <f t="shared" si="18"/>
        <v>0</v>
      </c>
      <c r="W350" s="1" t="str">
        <f t="shared" si="19"/>
        <v/>
      </c>
      <c r="X350" s="1"/>
      <c r="Y350" s="1"/>
      <c r="Z350" s="1"/>
      <c r="AA350" s="1"/>
      <c r="AB350" s="1"/>
      <c r="AC350" s="1"/>
      <c r="AD350" s="1">
        <f>IF($C350="",0,SUMPRODUCT((AY_SONU!$O$7:$O$42="Evet")*(AY_SONU!$B$7:$B$42=DATE(YEAR($C350),MONTH($C350),1))))</f>
        <v>0</v>
      </c>
      <c r="AE350" s="1" t="str">
        <f>IF($E350="","",$E350&amp;"|"&amp;COUNTIFS($E$7:$E350,$E350))</f>
        <v/>
      </c>
    </row>
    <row r="351" spans="1:31" ht="18" customHeight="1" x14ac:dyDescent="0.3">
      <c r="A351" s="2"/>
      <c r="B351" s="65" t="str">
        <f>IF($C351="","","GG"&amp;TEXT(ROW()-6,"00000"))</f>
        <v/>
      </c>
      <c r="C351" s="66"/>
      <c r="D351" s="60"/>
      <c r="E351" s="61"/>
      <c r="F351" s="61"/>
      <c r="G351" s="67"/>
      <c r="H351" s="60"/>
      <c r="I351" s="60"/>
      <c r="J351" s="61"/>
      <c r="K351" s="61"/>
      <c r="L351" s="60"/>
      <c r="M351" s="74" t="str">
        <f>IF($C351="","",IF($D351="Gider",$E351,IF($L351&lt;&gt;"",$L351,$H351)))</f>
        <v/>
      </c>
      <c r="N351" s="74" t="str">
        <f>IF($C351="","",IF($D351="Gider",$H351,$E351))</f>
        <v/>
      </c>
      <c r="O351" s="73" t="str">
        <f>IF($C351="","",DATE(YEAR($C351),MONTH($C351),1))</f>
        <v/>
      </c>
      <c r="P351" s="65" t="str">
        <f ca="1">IF($C351="","",IF(AND($D351="Gelir",$L351&lt;&gt;"",$T351=""),"TANIMSIZ BORÇLU",IF($T351&lt;&gt;"",IF(OR($E351="",$G351&lt;=0),"EKSİK",IF($I351="Evet","TAHAKKUK NAKİT OLAMAZ",IF($C351&gt;TODAY(),"İLERİ TARİH","TAHAKKUK"))),IF(AND($D351&lt;&gt;"",$E351&lt;&gt;"",$G351&gt;0,$H351&lt;&gt;"",$I351&lt;&gt;""),IF($C351&gt;TODAY(),"İLERİ TARİH",IF(COUNTIF($W$7:$W$3001,$W351)&gt;1,"MÜKERRER?",IF($AD351&gt;0,"KAPALI DÖNEM",IF($I351="Hayır","ÖDENECEK","UYGUN")))),"EKSİK"))))</f>
        <v/>
      </c>
      <c r="Q351" s="2"/>
      <c r="R351" s="2"/>
      <c r="S351" s="1" t="str">
        <f t="shared" si="17"/>
        <v/>
      </c>
      <c r="T351" s="1" t="str">
        <f>IF(OR($C351="",$D351&lt;&gt;"Gelir",$L351=""),"",IFERROR(INDEX(MUSTERILER!$B$7:$B$156,MATCH($S351,MUSTERILER!$T$7:$T$156,0)),""))</f>
        <v/>
      </c>
      <c r="U351" s="1" t="str">
        <f>IF($T351="","",$T351&amp;"|"&amp;COUNTIFS($T$7:$T351,$T351))</f>
        <v/>
      </c>
      <c r="V351" s="1">
        <f t="shared" si="18"/>
        <v>0</v>
      </c>
      <c r="W351" s="1" t="str">
        <f t="shared" si="19"/>
        <v/>
      </c>
      <c r="X351" s="1"/>
      <c r="Y351" s="1"/>
      <c r="Z351" s="1"/>
      <c r="AA351" s="1"/>
      <c r="AB351" s="1"/>
      <c r="AC351" s="1"/>
      <c r="AD351" s="1">
        <f>IF($C351="",0,SUMPRODUCT((AY_SONU!$O$7:$O$42="Evet")*(AY_SONU!$B$7:$B$42=DATE(YEAR($C351),MONTH($C351),1))))</f>
        <v>0</v>
      </c>
      <c r="AE351" s="1" t="str">
        <f>IF($E351="","",$E351&amp;"|"&amp;COUNTIFS($E$7:$E351,$E351))</f>
        <v/>
      </c>
    </row>
    <row r="352" spans="1:31" ht="18" customHeight="1" x14ac:dyDescent="0.3">
      <c r="A352" s="2"/>
      <c r="B352" s="65" t="str">
        <f>IF($C352="","","GG"&amp;TEXT(ROW()-6,"00000"))</f>
        <v/>
      </c>
      <c r="C352" s="66"/>
      <c r="D352" s="60"/>
      <c r="E352" s="61"/>
      <c r="F352" s="61"/>
      <c r="G352" s="67"/>
      <c r="H352" s="60"/>
      <c r="I352" s="60"/>
      <c r="J352" s="61"/>
      <c r="K352" s="61"/>
      <c r="L352" s="60"/>
      <c r="M352" s="74" t="str">
        <f>IF($C352="","",IF($D352="Gider",$E352,IF($L352&lt;&gt;"",$L352,$H352)))</f>
        <v/>
      </c>
      <c r="N352" s="74" t="str">
        <f>IF($C352="","",IF($D352="Gider",$H352,$E352))</f>
        <v/>
      </c>
      <c r="O352" s="73" t="str">
        <f>IF($C352="","",DATE(YEAR($C352),MONTH($C352),1))</f>
        <v/>
      </c>
      <c r="P352" s="65" t="str">
        <f ca="1">IF($C352="","",IF(AND($D352="Gelir",$L352&lt;&gt;"",$T352=""),"TANIMSIZ BORÇLU",IF($T352&lt;&gt;"",IF(OR($E352="",$G352&lt;=0),"EKSİK",IF($I352="Evet","TAHAKKUK NAKİT OLAMAZ",IF($C352&gt;TODAY(),"İLERİ TARİH","TAHAKKUK"))),IF(AND($D352&lt;&gt;"",$E352&lt;&gt;"",$G352&gt;0,$H352&lt;&gt;"",$I352&lt;&gt;""),IF($C352&gt;TODAY(),"İLERİ TARİH",IF(COUNTIF($W$7:$W$3001,$W352)&gt;1,"MÜKERRER?",IF($AD352&gt;0,"KAPALI DÖNEM",IF($I352="Hayır","ÖDENECEK","UYGUN")))),"EKSİK"))))</f>
        <v/>
      </c>
      <c r="Q352" s="2"/>
      <c r="R352" s="2"/>
      <c r="S352" s="1" t="str">
        <f t="shared" si="17"/>
        <v/>
      </c>
      <c r="T352" s="1" t="str">
        <f>IF(OR($C352="",$D352&lt;&gt;"Gelir",$L352=""),"",IFERROR(INDEX(MUSTERILER!$B$7:$B$156,MATCH($S352,MUSTERILER!$T$7:$T$156,0)),""))</f>
        <v/>
      </c>
      <c r="U352" s="1" t="str">
        <f>IF($T352="","",$T352&amp;"|"&amp;COUNTIFS($T$7:$T352,$T352))</f>
        <v/>
      </c>
      <c r="V352" s="1">
        <f t="shared" si="18"/>
        <v>0</v>
      </c>
      <c r="W352" s="1" t="str">
        <f t="shared" si="19"/>
        <v/>
      </c>
      <c r="X352" s="1"/>
      <c r="Y352" s="1"/>
      <c r="Z352" s="1"/>
      <c r="AA352" s="1"/>
      <c r="AB352" s="1"/>
      <c r="AC352" s="1"/>
      <c r="AD352" s="1">
        <f>IF($C352="",0,SUMPRODUCT((AY_SONU!$O$7:$O$42="Evet")*(AY_SONU!$B$7:$B$42=DATE(YEAR($C352),MONTH($C352),1))))</f>
        <v>0</v>
      </c>
      <c r="AE352" s="1" t="str">
        <f>IF($E352="","",$E352&amp;"|"&amp;COUNTIFS($E$7:$E352,$E352))</f>
        <v/>
      </c>
    </row>
    <row r="353" spans="1:31" ht="18" customHeight="1" x14ac:dyDescent="0.3">
      <c r="A353" s="2"/>
      <c r="B353" s="65" t="str">
        <f>IF($C353="","","GG"&amp;TEXT(ROW()-6,"00000"))</f>
        <v/>
      </c>
      <c r="C353" s="66"/>
      <c r="D353" s="60"/>
      <c r="E353" s="61"/>
      <c r="F353" s="61"/>
      <c r="G353" s="67"/>
      <c r="H353" s="60"/>
      <c r="I353" s="60"/>
      <c r="J353" s="61"/>
      <c r="K353" s="61"/>
      <c r="L353" s="60"/>
      <c r="M353" s="74" t="str">
        <f>IF($C353="","",IF($D353="Gider",$E353,IF($L353&lt;&gt;"",$L353,$H353)))</f>
        <v/>
      </c>
      <c r="N353" s="74" t="str">
        <f>IF($C353="","",IF($D353="Gider",$H353,$E353))</f>
        <v/>
      </c>
      <c r="O353" s="73" t="str">
        <f>IF($C353="","",DATE(YEAR($C353),MONTH($C353),1))</f>
        <v/>
      </c>
      <c r="P353" s="65" t="str">
        <f ca="1">IF($C353="","",IF(AND($D353="Gelir",$L353&lt;&gt;"",$T353=""),"TANIMSIZ BORÇLU",IF($T353&lt;&gt;"",IF(OR($E353="",$G353&lt;=0),"EKSİK",IF($I353="Evet","TAHAKKUK NAKİT OLAMAZ",IF($C353&gt;TODAY(),"İLERİ TARİH","TAHAKKUK"))),IF(AND($D353&lt;&gt;"",$E353&lt;&gt;"",$G353&gt;0,$H353&lt;&gt;"",$I353&lt;&gt;""),IF($C353&gt;TODAY(),"İLERİ TARİH",IF(COUNTIF($W$7:$W$3001,$W353)&gt;1,"MÜKERRER?",IF($AD353&gt;0,"KAPALI DÖNEM",IF($I353="Hayır","ÖDENECEK","UYGUN")))),"EKSİK"))))</f>
        <v/>
      </c>
      <c r="Q353" s="2"/>
      <c r="R353" s="2"/>
      <c r="S353" s="1" t="str">
        <f t="shared" si="17"/>
        <v/>
      </c>
      <c r="T353" s="1" t="str">
        <f>IF(OR($C353="",$D353&lt;&gt;"Gelir",$L353=""),"",IFERROR(INDEX(MUSTERILER!$B$7:$B$156,MATCH($S353,MUSTERILER!$T$7:$T$156,0)),""))</f>
        <v/>
      </c>
      <c r="U353" s="1" t="str">
        <f>IF($T353="","",$T353&amp;"|"&amp;COUNTIFS($T$7:$T353,$T353))</f>
        <v/>
      </c>
      <c r="V353" s="1">
        <f t="shared" si="18"/>
        <v>0</v>
      </c>
      <c r="W353" s="1" t="str">
        <f t="shared" si="19"/>
        <v/>
      </c>
      <c r="X353" s="1"/>
      <c r="Y353" s="1"/>
      <c r="Z353" s="1"/>
      <c r="AA353" s="1"/>
      <c r="AB353" s="1"/>
      <c r="AC353" s="1"/>
      <c r="AD353" s="1">
        <f>IF($C353="",0,SUMPRODUCT((AY_SONU!$O$7:$O$42="Evet")*(AY_SONU!$B$7:$B$42=DATE(YEAR($C353),MONTH($C353),1))))</f>
        <v>0</v>
      </c>
      <c r="AE353" s="1" t="str">
        <f>IF($E353="","",$E353&amp;"|"&amp;COUNTIFS($E$7:$E353,$E353))</f>
        <v/>
      </c>
    </row>
    <row r="354" spans="1:31" ht="18" customHeight="1" x14ac:dyDescent="0.3">
      <c r="A354" s="2"/>
      <c r="B354" s="65" t="str">
        <f>IF($C354="","","GG"&amp;TEXT(ROW()-6,"00000"))</f>
        <v/>
      </c>
      <c r="C354" s="66"/>
      <c r="D354" s="60"/>
      <c r="E354" s="61"/>
      <c r="F354" s="61"/>
      <c r="G354" s="67"/>
      <c r="H354" s="60"/>
      <c r="I354" s="60"/>
      <c r="J354" s="61"/>
      <c r="K354" s="61"/>
      <c r="L354" s="60"/>
      <c r="M354" s="74" t="str">
        <f>IF($C354="","",IF($D354="Gider",$E354,IF($L354&lt;&gt;"",$L354,$H354)))</f>
        <v/>
      </c>
      <c r="N354" s="74" t="str">
        <f>IF($C354="","",IF($D354="Gider",$H354,$E354))</f>
        <v/>
      </c>
      <c r="O354" s="73" t="str">
        <f>IF($C354="","",DATE(YEAR($C354),MONTH($C354),1))</f>
        <v/>
      </c>
      <c r="P354" s="65" t="str">
        <f ca="1">IF($C354="","",IF(AND($D354="Gelir",$L354&lt;&gt;"",$T354=""),"TANIMSIZ BORÇLU",IF($T354&lt;&gt;"",IF(OR($E354="",$G354&lt;=0),"EKSİK",IF($I354="Evet","TAHAKKUK NAKİT OLAMAZ",IF($C354&gt;TODAY(),"İLERİ TARİH","TAHAKKUK"))),IF(AND($D354&lt;&gt;"",$E354&lt;&gt;"",$G354&gt;0,$H354&lt;&gt;"",$I354&lt;&gt;""),IF($C354&gt;TODAY(),"İLERİ TARİH",IF(COUNTIF($W$7:$W$3001,$W354)&gt;1,"MÜKERRER?",IF($AD354&gt;0,"KAPALI DÖNEM",IF($I354="Hayır","ÖDENECEK","UYGUN")))),"EKSİK"))))</f>
        <v/>
      </c>
      <c r="Q354" s="2"/>
      <c r="R354" s="2"/>
      <c r="S354" s="1" t="str">
        <f t="shared" si="17"/>
        <v/>
      </c>
      <c r="T354" s="1" t="str">
        <f>IF(OR($C354="",$D354&lt;&gt;"Gelir",$L354=""),"",IFERROR(INDEX(MUSTERILER!$B$7:$B$156,MATCH($S354,MUSTERILER!$T$7:$T$156,0)),""))</f>
        <v/>
      </c>
      <c r="U354" s="1" t="str">
        <f>IF($T354="","",$T354&amp;"|"&amp;COUNTIFS($T$7:$T354,$T354))</f>
        <v/>
      </c>
      <c r="V354" s="1">
        <f t="shared" si="18"/>
        <v>0</v>
      </c>
      <c r="W354" s="1" t="str">
        <f t="shared" si="19"/>
        <v/>
      </c>
      <c r="X354" s="1"/>
      <c r="Y354" s="1"/>
      <c r="Z354" s="1"/>
      <c r="AA354" s="1"/>
      <c r="AB354" s="1"/>
      <c r="AC354" s="1"/>
      <c r="AD354" s="1">
        <f>IF($C354="",0,SUMPRODUCT((AY_SONU!$O$7:$O$42="Evet")*(AY_SONU!$B$7:$B$42=DATE(YEAR($C354),MONTH($C354),1))))</f>
        <v>0</v>
      </c>
      <c r="AE354" s="1" t="str">
        <f>IF($E354="","",$E354&amp;"|"&amp;COUNTIFS($E$7:$E354,$E354))</f>
        <v/>
      </c>
    </row>
    <row r="355" spans="1:31" ht="18" customHeight="1" x14ac:dyDescent="0.3">
      <c r="A355" s="2"/>
      <c r="B355" s="65" t="str">
        <f>IF($C355="","","GG"&amp;TEXT(ROW()-6,"00000"))</f>
        <v/>
      </c>
      <c r="C355" s="66"/>
      <c r="D355" s="60"/>
      <c r="E355" s="61"/>
      <c r="F355" s="61"/>
      <c r="G355" s="67"/>
      <c r="H355" s="60"/>
      <c r="I355" s="60"/>
      <c r="J355" s="61"/>
      <c r="K355" s="61"/>
      <c r="L355" s="60"/>
      <c r="M355" s="74" t="str">
        <f>IF($C355="","",IF($D355="Gider",$E355,IF($L355&lt;&gt;"",$L355,$H355)))</f>
        <v/>
      </c>
      <c r="N355" s="74" t="str">
        <f>IF($C355="","",IF($D355="Gider",$H355,$E355))</f>
        <v/>
      </c>
      <c r="O355" s="73" t="str">
        <f>IF($C355="","",DATE(YEAR($C355),MONTH($C355),1))</f>
        <v/>
      </c>
      <c r="P355" s="65" t="str">
        <f ca="1">IF($C355="","",IF(AND($D355="Gelir",$L355&lt;&gt;"",$T355=""),"TANIMSIZ BORÇLU",IF($T355&lt;&gt;"",IF(OR($E355="",$G355&lt;=0),"EKSİK",IF($I355="Evet","TAHAKKUK NAKİT OLAMAZ",IF($C355&gt;TODAY(),"İLERİ TARİH","TAHAKKUK"))),IF(AND($D355&lt;&gt;"",$E355&lt;&gt;"",$G355&gt;0,$H355&lt;&gt;"",$I355&lt;&gt;""),IF($C355&gt;TODAY(),"İLERİ TARİH",IF(COUNTIF($W$7:$W$3001,$W355)&gt;1,"MÜKERRER?",IF($AD355&gt;0,"KAPALI DÖNEM",IF($I355="Hayır","ÖDENECEK","UYGUN")))),"EKSİK"))))</f>
        <v/>
      </c>
      <c r="Q355" s="2"/>
      <c r="R355" s="2"/>
      <c r="S355" s="1" t="str">
        <f t="shared" si="17"/>
        <v/>
      </c>
      <c r="T355" s="1" t="str">
        <f>IF(OR($C355="",$D355&lt;&gt;"Gelir",$L355=""),"",IFERROR(INDEX(MUSTERILER!$B$7:$B$156,MATCH($S355,MUSTERILER!$T$7:$T$156,0)),""))</f>
        <v/>
      </c>
      <c r="U355" s="1" t="str">
        <f>IF($T355="","",$T355&amp;"|"&amp;COUNTIFS($T$7:$T355,$T355))</f>
        <v/>
      </c>
      <c r="V355" s="1">
        <f t="shared" si="18"/>
        <v>0</v>
      </c>
      <c r="W355" s="1" t="str">
        <f t="shared" si="19"/>
        <v/>
      </c>
      <c r="X355" s="1"/>
      <c r="Y355" s="1"/>
      <c r="Z355" s="1"/>
      <c r="AA355" s="1"/>
      <c r="AB355" s="1"/>
      <c r="AC355" s="1"/>
      <c r="AD355" s="1">
        <f>IF($C355="",0,SUMPRODUCT((AY_SONU!$O$7:$O$42="Evet")*(AY_SONU!$B$7:$B$42=DATE(YEAR($C355),MONTH($C355),1))))</f>
        <v>0</v>
      </c>
      <c r="AE355" s="1" t="str">
        <f>IF($E355="","",$E355&amp;"|"&amp;COUNTIFS($E$7:$E355,$E355))</f>
        <v/>
      </c>
    </row>
    <row r="356" spans="1:31" ht="18" customHeight="1" x14ac:dyDescent="0.3">
      <c r="A356" s="2"/>
      <c r="B356" s="65" t="str">
        <f>IF($C356="","","GG"&amp;TEXT(ROW()-6,"00000"))</f>
        <v/>
      </c>
      <c r="C356" s="66"/>
      <c r="D356" s="60"/>
      <c r="E356" s="61"/>
      <c r="F356" s="61"/>
      <c r="G356" s="67"/>
      <c r="H356" s="60"/>
      <c r="I356" s="60"/>
      <c r="J356" s="61"/>
      <c r="K356" s="61"/>
      <c r="L356" s="60"/>
      <c r="M356" s="74" t="str">
        <f>IF($C356="","",IF($D356="Gider",$E356,IF($L356&lt;&gt;"",$L356,$H356)))</f>
        <v/>
      </c>
      <c r="N356" s="74" t="str">
        <f>IF($C356="","",IF($D356="Gider",$H356,$E356))</f>
        <v/>
      </c>
      <c r="O356" s="73" t="str">
        <f>IF($C356="","",DATE(YEAR($C356),MONTH($C356),1))</f>
        <v/>
      </c>
      <c r="P356" s="65" t="str">
        <f ca="1">IF($C356="","",IF(AND($D356="Gelir",$L356&lt;&gt;"",$T356=""),"TANIMSIZ BORÇLU",IF($T356&lt;&gt;"",IF(OR($E356="",$G356&lt;=0),"EKSİK",IF($I356="Evet","TAHAKKUK NAKİT OLAMAZ",IF($C356&gt;TODAY(),"İLERİ TARİH","TAHAKKUK"))),IF(AND($D356&lt;&gt;"",$E356&lt;&gt;"",$G356&gt;0,$H356&lt;&gt;"",$I356&lt;&gt;""),IF($C356&gt;TODAY(),"İLERİ TARİH",IF(COUNTIF($W$7:$W$3001,$W356)&gt;1,"MÜKERRER?",IF($AD356&gt;0,"KAPALI DÖNEM",IF($I356="Hayır","ÖDENECEK","UYGUN")))),"EKSİK"))))</f>
        <v/>
      </c>
      <c r="Q356" s="2"/>
      <c r="R356" s="2"/>
      <c r="S356" s="1" t="str">
        <f t="shared" si="17"/>
        <v/>
      </c>
      <c r="T356" s="1" t="str">
        <f>IF(OR($C356="",$D356&lt;&gt;"Gelir",$L356=""),"",IFERROR(INDEX(MUSTERILER!$B$7:$B$156,MATCH($S356,MUSTERILER!$T$7:$T$156,0)),""))</f>
        <v/>
      </c>
      <c r="U356" s="1" t="str">
        <f>IF($T356="","",$T356&amp;"|"&amp;COUNTIFS($T$7:$T356,$T356))</f>
        <v/>
      </c>
      <c r="V356" s="1">
        <f t="shared" si="18"/>
        <v>0</v>
      </c>
      <c r="W356" s="1" t="str">
        <f t="shared" si="19"/>
        <v/>
      </c>
      <c r="X356" s="1"/>
      <c r="Y356" s="1"/>
      <c r="Z356" s="1"/>
      <c r="AA356" s="1"/>
      <c r="AB356" s="1"/>
      <c r="AC356" s="1"/>
      <c r="AD356" s="1">
        <f>IF($C356="",0,SUMPRODUCT((AY_SONU!$O$7:$O$42="Evet")*(AY_SONU!$B$7:$B$42=DATE(YEAR($C356),MONTH($C356),1))))</f>
        <v>0</v>
      </c>
      <c r="AE356" s="1" t="str">
        <f>IF($E356="","",$E356&amp;"|"&amp;COUNTIFS($E$7:$E356,$E356))</f>
        <v/>
      </c>
    </row>
    <row r="357" spans="1:31" ht="18" customHeight="1" x14ac:dyDescent="0.3">
      <c r="A357" s="2"/>
      <c r="B357" s="65" t="str">
        <f>IF($C357="","","GG"&amp;TEXT(ROW()-6,"00000"))</f>
        <v/>
      </c>
      <c r="C357" s="66"/>
      <c r="D357" s="60"/>
      <c r="E357" s="61"/>
      <c r="F357" s="61"/>
      <c r="G357" s="67"/>
      <c r="H357" s="60"/>
      <c r="I357" s="60"/>
      <c r="J357" s="61"/>
      <c r="K357" s="61"/>
      <c r="L357" s="60"/>
      <c r="M357" s="74" t="str">
        <f>IF($C357="","",IF($D357="Gider",$E357,IF($L357&lt;&gt;"",$L357,$H357)))</f>
        <v/>
      </c>
      <c r="N357" s="74" t="str">
        <f>IF($C357="","",IF($D357="Gider",$H357,$E357))</f>
        <v/>
      </c>
      <c r="O357" s="73" t="str">
        <f>IF($C357="","",DATE(YEAR($C357),MONTH($C357),1))</f>
        <v/>
      </c>
      <c r="P357" s="65" t="str">
        <f ca="1">IF($C357="","",IF(AND($D357="Gelir",$L357&lt;&gt;"",$T357=""),"TANIMSIZ BORÇLU",IF($T357&lt;&gt;"",IF(OR($E357="",$G357&lt;=0),"EKSİK",IF($I357="Evet","TAHAKKUK NAKİT OLAMAZ",IF($C357&gt;TODAY(),"İLERİ TARİH","TAHAKKUK"))),IF(AND($D357&lt;&gt;"",$E357&lt;&gt;"",$G357&gt;0,$H357&lt;&gt;"",$I357&lt;&gt;""),IF($C357&gt;TODAY(),"İLERİ TARİH",IF(COUNTIF($W$7:$W$3001,$W357)&gt;1,"MÜKERRER?",IF($AD357&gt;0,"KAPALI DÖNEM",IF($I357="Hayır","ÖDENECEK","UYGUN")))),"EKSİK"))))</f>
        <v/>
      </c>
      <c r="Q357" s="2"/>
      <c r="R357" s="2"/>
      <c r="S357" s="1" t="str">
        <f t="shared" si="17"/>
        <v/>
      </c>
      <c r="T357" s="1" t="str">
        <f>IF(OR($C357="",$D357&lt;&gt;"Gelir",$L357=""),"",IFERROR(INDEX(MUSTERILER!$B$7:$B$156,MATCH($S357,MUSTERILER!$T$7:$T$156,0)),""))</f>
        <v/>
      </c>
      <c r="U357" s="1" t="str">
        <f>IF($T357="","",$T357&amp;"|"&amp;COUNTIFS($T$7:$T357,$T357))</f>
        <v/>
      </c>
      <c r="V357" s="1">
        <f t="shared" si="18"/>
        <v>0</v>
      </c>
      <c r="W357" s="1" t="str">
        <f t="shared" si="19"/>
        <v/>
      </c>
      <c r="X357" s="1"/>
      <c r="Y357" s="1"/>
      <c r="Z357" s="1"/>
      <c r="AA357" s="1"/>
      <c r="AB357" s="1"/>
      <c r="AC357" s="1"/>
      <c r="AD357" s="1">
        <f>IF($C357="",0,SUMPRODUCT((AY_SONU!$O$7:$O$42="Evet")*(AY_SONU!$B$7:$B$42=DATE(YEAR($C357),MONTH($C357),1))))</f>
        <v>0</v>
      </c>
      <c r="AE357" s="1" t="str">
        <f>IF($E357="","",$E357&amp;"|"&amp;COUNTIFS($E$7:$E357,$E357))</f>
        <v/>
      </c>
    </row>
    <row r="358" spans="1:31" ht="18" customHeight="1" x14ac:dyDescent="0.3">
      <c r="A358" s="2"/>
      <c r="B358" s="65" t="str">
        <f>IF($C358="","","GG"&amp;TEXT(ROW()-6,"00000"))</f>
        <v/>
      </c>
      <c r="C358" s="66"/>
      <c r="D358" s="60"/>
      <c r="E358" s="61"/>
      <c r="F358" s="61"/>
      <c r="G358" s="67"/>
      <c r="H358" s="60"/>
      <c r="I358" s="60"/>
      <c r="J358" s="61"/>
      <c r="K358" s="61"/>
      <c r="L358" s="60"/>
      <c r="M358" s="74" t="str">
        <f>IF($C358="","",IF($D358="Gider",$E358,IF($L358&lt;&gt;"",$L358,$H358)))</f>
        <v/>
      </c>
      <c r="N358" s="74" t="str">
        <f>IF($C358="","",IF($D358="Gider",$H358,$E358))</f>
        <v/>
      </c>
      <c r="O358" s="73" t="str">
        <f>IF($C358="","",DATE(YEAR($C358),MONTH($C358),1))</f>
        <v/>
      </c>
      <c r="P358" s="65" t="str">
        <f ca="1">IF($C358="","",IF(AND($D358="Gelir",$L358&lt;&gt;"",$T358=""),"TANIMSIZ BORÇLU",IF($T358&lt;&gt;"",IF(OR($E358="",$G358&lt;=0),"EKSİK",IF($I358="Evet","TAHAKKUK NAKİT OLAMAZ",IF($C358&gt;TODAY(),"İLERİ TARİH","TAHAKKUK"))),IF(AND($D358&lt;&gt;"",$E358&lt;&gt;"",$G358&gt;0,$H358&lt;&gt;"",$I358&lt;&gt;""),IF($C358&gt;TODAY(),"İLERİ TARİH",IF(COUNTIF($W$7:$W$3001,$W358)&gt;1,"MÜKERRER?",IF($AD358&gt;0,"KAPALI DÖNEM",IF($I358="Hayır","ÖDENECEK","UYGUN")))),"EKSİK"))))</f>
        <v/>
      </c>
      <c r="Q358" s="2"/>
      <c r="R358" s="2"/>
      <c r="S358" s="1" t="str">
        <f t="shared" si="17"/>
        <v/>
      </c>
      <c r="T358" s="1" t="str">
        <f>IF(OR($C358="",$D358&lt;&gt;"Gelir",$L358=""),"",IFERROR(INDEX(MUSTERILER!$B$7:$B$156,MATCH($S358,MUSTERILER!$T$7:$T$156,0)),""))</f>
        <v/>
      </c>
      <c r="U358" s="1" t="str">
        <f>IF($T358="","",$T358&amp;"|"&amp;COUNTIFS($T$7:$T358,$T358))</f>
        <v/>
      </c>
      <c r="V358" s="1">
        <f t="shared" si="18"/>
        <v>0</v>
      </c>
      <c r="W358" s="1" t="str">
        <f t="shared" si="19"/>
        <v/>
      </c>
      <c r="X358" s="1"/>
      <c r="Y358" s="1"/>
      <c r="Z358" s="1"/>
      <c r="AA358" s="1"/>
      <c r="AB358" s="1"/>
      <c r="AC358" s="1"/>
      <c r="AD358" s="1">
        <f>IF($C358="",0,SUMPRODUCT((AY_SONU!$O$7:$O$42="Evet")*(AY_SONU!$B$7:$B$42=DATE(YEAR($C358),MONTH($C358),1))))</f>
        <v>0</v>
      </c>
      <c r="AE358" s="1" t="str">
        <f>IF($E358="","",$E358&amp;"|"&amp;COUNTIFS($E$7:$E358,$E358))</f>
        <v/>
      </c>
    </row>
    <row r="359" spans="1:31" ht="18" customHeight="1" x14ac:dyDescent="0.3">
      <c r="A359" s="2"/>
      <c r="B359" s="65" t="str">
        <f>IF($C359="","","GG"&amp;TEXT(ROW()-6,"00000"))</f>
        <v/>
      </c>
      <c r="C359" s="66"/>
      <c r="D359" s="60"/>
      <c r="E359" s="61"/>
      <c r="F359" s="61"/>
      <c r="G359" s="67"/>
      <c r="H359" s="60"/>
      <c r="I359" s="60"/>
      <c r="J359" s="61"/>
      <c r="K359" s="61"/>
      <c r="L359" s="60"/>
      <c r="M359" s="74" t="str">
        <f>IF($C359="","",IF($D359="Gider",$E359,IF($L359&lt;&gt;"",$L359,$H359)))</f>
        <v/>
      </c>
      <c r="N359" s="74" t="str">
        <f>IF($C359="","",IF($D359="Gider",$H359,$E359))</f>
        <v/>
      </c>
      <c r="O359" s="73" t="str">
        <f>IF($C359="","",DATE(YEAR($C359),MONTH($C359),1))</f>
        <v/>
      </c>
      <c r="P359" s="65" t="str">
        <f ca="1">IF($C359="","",IF(AND($D359="Gelir",$L359&lt;&gt;"",$T359=""),"TANIMSIZ BORÇLU",IF($T359&lt;&gt;"",IF(OR($E359="",$G359&lt;=0),"EKSİK",IF($I359="Evet","TAHAKKUK NAKİT OLAMAZ",IF($C359&gt;TODAY(),"İLERİ TARİH","TAHAKKUK"))),IF(AND($D359&lt;&gt;"",$E359&lt;&gt;"",$G359&gt;0,$H359&lt;&gt;"",$I359&lt;&gt;""),IF($C359&gt;TODAY(),"İLERİ TARİH",IF(COUNTIF($W$7:$W$3001,$W359)&gt;1,"MÜKERRER?",IF($AD359&gt;0,"KAPALI DÖNEM",IF($I359="Hayır","ÖDENECEK","UYGUN")))),"EKSİK"))))</f>
        <v/>
      </c>
      <c r="Q359" s="2"/>
      <c r="R359" s="2"/>
      <c r="S359" s="1" t="str">
        <f t="shared" si="17"/>
        <v/>
      </c>
      <c r="T359" s="1" t="str">
        <f>IF(OR($C359="",$D359&lt;&gt;"Gelir",$L359=""),"",IFERROR(INDEX(MUSTERILER!$B$7:$B$156,MATCH($S359,MUSTERILER!$T$7:$T$156,0)),""))</f>
        <v/>
      </c>
      <c r="U359" s="1" t="str">
        <f>IF($T359="","",$T359&amp;"|"&amp;COUNTIFS($T$7:$T359,$T359))</f>
        <v/>
      </c>
      <c r="V359" s="1">
        <f t="shared" si="18"/>
        <v>0</v>
      </c>
      <c r="W359" s="1" t="str">
        <f t="shared" si="19"/>
        <v/>
      </c>
      <c r="X359" s="1"/>
      <c r="Y359" s="1"/>
      <c r="Z359" s="1"/>
      <c r="AA359" s="1"/>
      <c r="AB359" s="1"/>
      <c r="AC359" s="1"/>
      <c r="AD359" s="1">
        <f>IF($C359="",0,SUMPRODUCT((AY_SONU!$O$7:$O$42="Evet")*(AY_SONU!$B$7:$B$42=DATE(YEAR($C359),MONTH($C359),1))))</f>
        <v>0</v>
      </c>
      <c r="AE359" s="1" t="str">
        <f>IF($E359="","",$E359&amp;"|"&amp;COUNTIFS($E$7:$E359,$E359))</f>
        <v/>
      </c>
    </row>
    <row r="360" spans="1:31" ht="18" customHeight="1" x14ac:dyDescent="0.3">
      <c r="A360" s="2"/>
      <c r="B360" s="65" t="str">
        <f>IF($C360="","","GG"&amp;TEXT(ROW()-6,"00000"))</f>
        <v/>
      </c>
      <c r="C360" s="66"/>
      <c r="D360" s="60"/>
      <c r="E360" s="61"/>
      <c r="F360" s="61"/>
      <c r="G360" s="67"/>
      <c r="H360" s="60"/>
      <c r="I360" s="60"/>
      <c r="J360" s="61"/>
      <c r="K360" s="61"/>
      <c r="L360" s="60"/>
      <c r="M360" s="74" t="str">
        <f>IF($C360="","",IF($D360="Gider",$E360,IF($L360&lt;&gt;"",$L360,$H360)))</f>
        <v/>
      </c>
      <c r="N360" s="74" t="str">
        <f>IF($C360="","",IF($D360="Gider",$H360,$E360))</f>
        <v/>
      </c>
      <c r="O360" s="73" t="str">
        <f>IF($C360="","",DATE(YEAR($C360),MONTH($C360),1))</f>
        <v/>
      </c>
      <c r="P360" s="65" t="str">
        <f ca="1">IF($C360="","",IF(AND($D360="Gelir",$L360&lt;&gt;"",$T360=""),"TANIMSIZ BORÇLU",IF($T360&lt;&gt;"",IF(OR($E360="",$G360&lt;=0),"EKSİK",IF($I360="Evet","TAHAKKUK NAKİT OLAMAZ",IF($C360&gt;TODAY(),"İLERİ TARİH","TAHAKKUK"))),IF(AND($D360&lt;&gt;"",$E360&lt;&gt;"",$G360&gt;0,$H360&lt;&gt;"",$I360&lt;&gt;""),IF($C360&gt;TODAY(),"İLERİ TARİH",IF(COUNTIF($W$7:$W$3001,$W360)&gt;1,"MÜKERRER?",IF($AD360&gt;0,"KAPALI DÖNEM",IF($I360="Hayır","ÖDENECEK","UYGUN")))),"EKSİK"))))</f>
        <v/>
      </c>
      <c r="Q360" s="2"/>
      <c r="R360" s="2"/>
      <c r="S360" s="1" t="str">
        <f t="shared" si="17"/>
        <v/>
      </c>
      <c r="T360" s="1" t="str">
        <f>IF(OR($C360="",$D360&lt;&gt;"Gelir",$L360=""),"",IFERROR(INDEX(MUSTERILER!$B$7:$B$156,MATCH($S360,MUSTERILER!$T$7:$T$156,0)),""))</f>
        <v/>
      </c>
      <c r="U360" s="1" t="str">
        <f>IF($T360="","",$T360&amp;"|"&amp;COUNTIFS($T$7:$T360,$T360))</f>
        <v/>
      </c>
      <c r="V360" s="1">
        <f t="shared" si="18"/>
        <v>0</v>
      </c>
      <c r="W360" s="1" t="str">
        <f t="shared" si="19"/>
        <v/>
      </c>
      <c r="X360" s="1"/>
      <c r="Y360" s="1"/>
      <c r="Z360" s="1"/>
      <c r="AA360" s="1"/>
      <c r="AB360" s="1"/>
      <c r="AC360" s="1"/>
      <c r="AD360" s="1">
        <f>IF($C360="",0,SUMPRODUCT((AY_SONU!$O$7:$O$42="Evet")*(AY_SONU!$B$7:$B$42=DATE(YEAR($C360),MONTH($C360),1))))</f>
        <v>0</v>
      </c>
      <c r="AE360" s="1" t="str">
        <f>IF($E360="","",$E360&amp;"|"&amp;COUNTIFS($E$7:$E360,$E360))</f>
        <v/>
      </c>
    </row>
    <row r="361" spans="1:31" ht="18" customHeight="1" x14ac:dyDescent="0.3">
      <c r="A361" s="2"/>
      <c r="B361" s="65" t="str">
        <f>IF($C361="","","GG"&amp;TEXT(ROW()-6,"00000"))</f>
        <v/>
      </c>
      <c r="C361" s="66"/>
      <c r="D361" s="60"/>
      <c r="E361" s="61"/>
      <c r="F361" s="61"/>
      <c r="G361" s="67"/>
      <c r="H361" s="60"/>
      <c r="I361" s="60"/>
      <c r="J361" s="61"/>
      <c r="K361" s="61"/>
      <c r="L361" s="60"/>
      <c r="M361" s="74" t="str">
        <f>IF($C361="","",IF($D361="Gider",$E361,IF($L361&lt;&gt;"",$L361,$H361)))</f>
        <v/>
      </c>
      <c r="N361" s="74" t="str">
        <f>IF($C361="","",IF($D361="Gider",$H361,$E361))</f>
        <v/>
      </c>
      <c r="O361" s="73" t="str">
        <f>IF($C361="","",DATE(YEAR($C361),MONTH($C361),1))</f>
        <v/>
      </c>
      <c r="P361" s="65" t="str">
        <f ca="1">IF($C361="","",IF(AND($D361="Gelir",$L361&lt;&gt;"",$T361=""),"TANIMSIZ BORÇLU",IF($T361&lt;&gt;"",IF(OR($E361="",$G361&lt;=0),"EKSİK",IF($I361="Evet","TAHAKKUK NAKİT OLAMAZ",IF($C361&gt;TODAY(),"İLERİ TARİH","TAHAKKUK"))),IF(AND($D361&lt;&gt;"",$E361&lt;&gt;"",$G361&gt;0,$H361&lt;&gt;"",$I361&lt;&gt;""),IF($C361&gt;TODAY(),"İLERİ TARİH",IF(COUNTIF($W$7:$W$3001,$W361)&gt;1,"MÜKERRER?",IF($AD361&gt;0,"KAPALI DÖNEM",IF($I361="Hayır","ÖDENECEK","UYGUN")))),"EKSİK"))))</f>
        <v/>
      </c>
      <c r="Q361" s="2"/>
      <c r="R361" s="2"/>
      <c r="S361" s="1" t="str">
        <f t="shared" si="17"/>
        <v/>
      </c>
      <c r="T361" s="1" t="str">
        <f>IF(OR($C361="",$D361&lt;&gt;"Gelir",$L361=""),"",IFERROR(INDEX(MUSTERILER!$B$7:$B$156,MATCH($S361,MUSTERILER!$T$7:$T$156,0)),""))</f>
        <v/>
      </c>
      <c r="U361" s="1" t="str">
        <f>IF($T361="","",$T361&amp;"|"&amp;COUNTIFS($T$7:$T361,$T361))</f>
        <v/>
      </c>
      <c r="V361" s="1">
        <f t="shared" si="18"/>
        <v>0</v>
      </c>
      <c r="W361" s="1" t="str">
        <f t="shared" si="19"/>
        <v/>
      </c>
      <c r="X361" s="1"/>
      <c r="Y361" s="1"/>
      <c r="Z361" s="1"/>
      <c r="AA361" s="1"/>
      <c r="AB361" s="1"/>
      <c r="AC361" s="1"/>
      <c r="AD361" s="1">
        <f>IF($C361="",0,SUMPRODUCT((AY_SONU!$O$7:$O$42="Evet")*(AY_SONU!$B$7:$B$42=DATE(YEAR($C361),MONTH($C361),1))))</f>
        <v>0</v>
      </c>
      <c r="AE361" s="1" t="str">
        <f>IF($E361="","",$E361&amp;"|"&amp;COUNTIFS($E$7:$E361,$E361))</f>
        <v/>
      </c>
    </row>
    <row r="362" spans="1:31" ht="18" customHeight="1" x14ac:dyDescent="0.3">
      <c r="A362" s="2"/>
      <c r="B362" s="65" t="str">
        <f>IF($C362="","","GG"&amp;TEXT(ROW()-6,"00000"))</f>
        <v/>
      </c>
      <c r="C362" s="66"/>
      <c r="D362" s="60"/>
      <c r="E362" s="61"/>
      <c r="F362" s="61"/>
      <c r="G362" s="67"/>
      <c r="H362" s="60"/>
      <c r="I362" s="60"/>
      <c r="J362" s="61"/>
      <c r="K362" s="61"/>
      <c r="L362" s="60"/>
      <c r="M362" s="74" t="str">
        <f>IF($C362="","",IF($D362="Gider",$E362,IF($L362&lt;&gt;"",$L362,$H362)))</f>
        <v/>
      </c>
      <c r="N362" s="74" t="str">
        <f>IF($C362="","",IF($D362="Gider",$H362,$E362))</f>
        <v/>
      </c>
      <c r="O362" s="73" t="str">
        <f>IF($C362="","",DATE(YEAR($C362),MONTH($C362),1))</f>
        <v/>
      </c>
      <c r="P362" s="65" t="str">
        <f ca="1">IF($C362="","",IF(AND($D362="Gelir",$L362&lt;&gt;"",$T362=""),"TANIMSIZ BORÇLU",IF($T362&lt;&gt;"",IF(OR($E362="",$G362&lt;=0),"EKSİK",IF($I362="Evet","TAHAKKUK NAKİT OLAMAZ",IF($C362&gt;TODAY(),"İLERİ TARİH","TAHAKKUK"))),IF(AND($D362&lt;&gt;"",$E362&lt;&gt;"",$G362&gt;0,$H362&lt;&gt;"",$I362&lt;&gt;""),IF($C362&gt;TODAY(),"İLERİ TARİH",IF(COUNTIF($W$7:$W$3001,$W362)&gt;1,"MÜKERRER?",IF($AD362&gt;0,"KAPALI DÖNEM",IF($I362="Hayır","ÖDENECEK","UYGUN")))),"EKSİK"))))</f>
        <v/>
      </c>
      <c r="Q362" s="2"/>
      <c r="R362" s="2"/>
      <c r="S362" s="1" t="str">
        <f t="shared" si="17"/>
        <v/>
      </c>
      <c r="T362" s="1" t="str">
        <f>IF(OR($C362="",$D362&lt;&gt;"Gelir",$L362=""),"",IFERROR(INDEX(MUSTERILER!$B$7:$B$156,MATCH($S362,MUSTERILER!$T$7:$T$156,0)),""))</f>
        <v/>
      </c>
      <c r="U362" s="1" t="str">
        <f>IF($T362="","",$T362&amp;"|"&amp;COUNTIFS($T$7:$T362,$T362))</f>
        <v/>
      </c>
      <c r="V362" s="1">
        <f t="shared" si="18"/>
        <v>0</v>
      </c>
      <c r="W362" s="1" t="str">
        <f t="shared" si="19"/>
        <v/>
      </c>
      <c r="X362" s="1"/>
      <c r="Y362" s="1"/>
      <c r="Z362" s="1"/>
      <c r="AA362" s="1"/>
      <c r="AB362" s="1"/>
      <c r="AC362" s="1"/>
      <c r="AD362" s="1">
        <f>IF($C362="",0,SUMPRODUCT((AY_SONU!$O$7:$O$42="Evet")*(AY_SONU!$B$7:$B$42=DATE(YEAR($C362),MONTH($C362),1))))</f>
        <v>0</v>
      </c>
      <c r="AE362" s="1" t="str">
        <f>IF($E362="","",$E362&amp;"|"&amp;COUNTIFS($E$7:$E362,$E362))</f>
        <v/>
      </c>
    </row>
    <row r="363" spans="1:31" ht="18" customHeight="1" x14ac:dyDescent="0.3">
      <c r="A363" s="2"/>
      <c r="B363" s="65" t="str">
        <f>IF($C363="","","GG"&amp;TEXT(ROW()-6,"00000"))</f>
        <v/>
      </c>
      <c r="C363" s="66"/>
      <c r="D363" s="60"/>
      <c r="E363" s="61"/>
      <c r="F363" s="61"/>
      <c r="G363" s="67"/>
      <c r="H363" s="60"/>
      <c r="I363" s="60"/>
      <c r="J363" s="61"/>
      <c r="K363" s="61"/>
      <c r="L363" s="60"/>
      <c r="M363" s="74" t="str">
        <f>IF($C363="","",IF($D363="Gider",$E363,IF($L363&lt;&gt;"",$L363,$H363)))</f>
        <v/>
      </c>
      <c r="N363" s="74" t="str">
        <f>IF($C363="","",IF($D363="Gider",$H363,$E363))</f>
        <v/>
      </c>
      <c r="O363" s="73" t="str">
        <f>IF($C363="","",DATE(YEAR($C363),MONTH($C363),1))</f>
        <v/>
      </c>
      <c r="P363" s="65" t="str">
        <f ca="1">IF($C363="","",IF(AND($D363="Gelir",$L363&lt;&gt;"",$T363=""),"TANIMSIZ BORÇLU",IF($T363&lt;&gt;"",IF(OR($E363="",$G363&lt;=0),"EKSİK",IF($I363="Evet","TAHAKKUK NAKİT OLAMAZ",IF($C363&gt;TODAY(),"İLERİ TARİH","TAHAKKUK"))),IF(AND($D363&lt;&gt;"",$E363&lt;&gt;"",$G363&gt;0,$H363&lt;&gt;"",$I363&lt;&gt;""),IF($C363&gt;TODAY(),"İLERİ TARİH",IF(COUNTIF($W$7:$W$3001,$W363)&gt;1,"MÜKERRER?",IF($AD363&gt;0,"KAPALI DÖNEM",IF($I363="Hayır","ÖDENECEK","UYGUN")))),"EKSİK"))))</f>
        <v/>
      </c>
      <c r="Q363" s="2"/>
      <c r="R363" s="2"/>
      <c r="S363" s="1" t="str">
        <f t="shared" si="17"/>
        <v/>
      </c>
      <c r="T363" s="1" t="str">
        <f>IF(OR($C363="",$D363&lt;&gt;"Gelir",$L363=""),"",IFERROR(INDEX(MUSTERILER!$B$7:$B$156,MATCH($S363,MUSTERILER!$T$7:$T$156,0)),""))</f>
        <v/>
      </c>
      <c r="U363" s="1" t="str">
        <f>IF($T363="","",$T363&amp;"|"&amp;COUNTIFS($T$7:$T363,$T363))</f>
        <v/>
      </c>
      <c r="V363" s="1">
        <f t="shared" si="18"/>
        <v>0</v>
      </c>
      <c r="W363" s="1" t="str">
        <f t="shared" si="19"/>
        <v/>
      </c>
      <c r="X363" s="1"/>
      <c r="Y363" s="1"/>
      <c r="Z363" s="1"/>
      <c r="AA363" s="1"/>
      <c r="AB363" s="1"/>
      <c r="AC363" s="1"/>
      <c r="AD363" s="1">
        <f>IF($C363="",0,SUMPRODUCT((AY_SONU!$O$7:$O$42="Evet")*(AY_SONU!$B$7:$B$42=DATE(YEAR($C363),MONTH($C363),1))))</f>
        <v>0</v>
      </c>
      <c r="AE363" s="1" t="str">
        <f>IF($E363="","",$E363&amp;"|"&amp;COUNTIFS($E$7:$E363,$E363))</f>
        <v/>
      </c>
    </row>
    <row r="364" spans="1:31" ht="18" customHeight="1" x14ac:dyDescent="0.3">
      <c r="A364" s="2"/>
      <c r="B364" s="65" t="str">
        <f>IF($C364="","","GG"&amp;TEXT(ROW()-6,"00000"))</f>
        <v/>
      </c>
      <c r="C364" s="66"/>
      <c r="D364" s="60"/>
      <c r="E364" s="61"/>
      <c r="F364" s="61"/>
      <c r="G364" s="67"/>
      <c r="H364" s="60"/>
      <c r="I364" s="60"/>
      <c r="J364" s="61"/>
      <c r="K364" s="61"/>
      <c r="L364" s="60"/>
      <c r="M364" s="74" t="str">
        <f>IF($C364="","",IF($D364="Gider",$E364,IF($L364&lt;&gt;"",$L364,$H364)))</f>
        <v/>
      </c>
      <c r="N364" s="74" t="str">
        <f>IF($C364="","",IF($D364="Gider",$H364,$E364))</f>
        <v/>
      </c>
      <c r="O364" s="73" t="str">
        <f>IF($C364="","",DATE(YEAR($C364),MONTH($C364),1))</f>
        <v/>
      </c>
      <c r="P364" s="65" t="str">
        <f ca="1">IF($C364="","",IF(AND($D364="Gelir",$L364&lt;&gt;"",$T364=""),"TANIMSIZ BORÇLU",IF($T364&lt;&gt;"",IF(OR($E364="",$G364&lt;=0),"EKSİK",IF($I364="Evet","TAHAKKUK NAKİT OLAMAZ",IF($C364&gt;TODAY(),"İLERİ TARİH","TAHAKKUK"))),IF(AND($D364&lt;&gt;"",$E364&lt;&gt;"",$G364&gt;0,$H364&lt;&gt;"",$I364&lt;&gt;""),IF($C364&gt;TODAY(),"İLERİ TARİH",IF(COUNTIF($W$7:$W$3001,$W364)&gt;1,"MÜKERRER?",IF($AD364&gt;0,"KAPALI DÖNEM",IF($I364="Hayır","ÖDENECEK","UYGUN")))),"EKSİK"))))</f>
        <v/>
      </c>
      <c r="Q364" s="2"/>
      <c r="R364" s="2"/>
      <c r="S364" s="1" t="str">
        <f t="shared" si="17"/>
        <v/>
      </c>
      <c r="T364" s="1" t="str">
        <f>IF(OR($C364="",$D364&lt;&gt;"Gelir",$L364=""),"",IFERROR(INDEX(MUSTERILER!$B$7:$B$156,MATCH($S364,MUSTERILER!$T$7:$T$156,0)),""))</f>
        <v/>
      </c>
      <c r="U364" s="1" t="str">
        <f>IF($T364="","",$T364&amp;"|"&amp;COUNTIFS($T$7:$T364,$T364))</f>
        <v/>
      </c>
      <c r="V364" s="1">
        <f t="shared" si="18"/>
        <v>0</v>
      </c>
      <c r="W364" s="1" t="str">
        <f t="shared" si="19"/>
        <v/>
      </c>
      <c r="X364" s="1"/>
      <c r="Y364" s="1"/>
      <c r="Z364" s="1"/>
      <c r="AA364" s="1"/>
      <c r="AB364" s="1"/>
      <c r="AC364" s="1"/>
      <c r="AD364" s="1">
        <f>IF($C364="",0,SUMPRODUCT((AY_SONU!$O$7:$O$42="Evet")*(AY_SONU!$B$7:$B$42=DATE(YEAR($C364),MONTH($C364),1))))</f>
        <v>0</v>
      </c>
      <c r="AE364" s="1" t="str">
        <f>IF($E364="","",$E364&amp;"|"&amp;COUNTIFS($E$7:$E364,$E364))</f>
        <v/>
      </c>
    </row>
    <row r="365" spans="1:31" ht="18" customHeight="1" x14ac:dyDescent="0.3">
      <c r="A365" s="2"/>
      <c r="B365" s="65" t="str">
        <f>IF($C365="","","GG"&amp;TEXT(ROW()-6,"00000"))</f>
        <v/>
      </c>
      <c r="C365" s="66"/>
      <c r="D365" s="60"/>
      <c r="E365" s="61"/>
      <c r="F365" s="61"/>
      <c r="G365" s="67"/>
      <c r="H365" s="60"/>
      <c r="I365" s="60"/>
      <c r="J365" s="61"/>
      <c r="K365" s="61"/>
      <c r="L365" s="60"/>
      <c r="M365" s="74" t="str">
        <f>IF($C365="","",IF($D365="Gider",$E365,IF($L365&lt;&gt;"",$L365,$H365)))</f>
        <v/>
      </c>
      <c r="N365" s="74" t="str">
        <f>IF($C365="","",IF($D365="Gider",$H365,$E365))</f>
        <v/>
      </c>
      <c r="O365" s="73" t="str">
        <f>IF($C365="","",DATE(YEAR($C365),MONTH($C365),1))</f>
        <v/>
      </c>
      <c r="P365" s="65" t="str">
        <f ca="1">IF($C365="","",IF(AND($D365="Gelir",$L365&lt;&gt;"",$T365=""),"TANIMSIZ BORÇLU",IF($T365&lt;&gt;"",IF(OR($E365="",$G365&lt;=0),"EKSİK",IF($I365="Evet","TAHAKKUK NAKİT OLAMAZ",IF($C365&gt;TODAY(),"İLERİ TARİH","TAHAKKUK"))),IF(AND($D365&lt;&gt;"",$E365&lt;&gt;"",$G365&gt;0,$H365&lt;&gt;"",$I365&lt;&gt;""),IF($C365&gt;TODAY(),"İLERİ TARİH",IF(COUNTIF($W$7:$W$3001,$W365)&gt;1,"MÜKERRER?",IF($AD365&gt;0,"KAPALI DÖNEM",IF($I365="Hayır","ÖDENECEK","UYGUN")))),"EKSİK"))))</f>
        <v/>
      </c>
      <c r="Q365" s="2"/>
      <c r="R365" s="2"/>
      <c r="S365" s="1" t="str">
        <f t="shared" si="17"/>
        <v/>
      </c>
      <c r="T365" s="1" t="str">
        <f>IF(OR($C365="",$D365&lt;&gt;"Gelir",$L365=""),"",IFERROR(INDEX(MUSTERILER!$B$7:$B$156,MATCH($S365,MUSTERILER!$T$7:$T$156,0)),""))</f>
        <v/>
      </c>
      <c r="U365" s="1" t="str">
        <f>IF($T365="","",$T365&amp;"|"&amp;COUNTIFS($T$7:$T365,$T365))</f>
        <v/>
      </c>
      <c r="V365" s="1">
        <f t="shared" si="18"/>
        <v>0</v>
      </c>
      <c r="W365" s="1" t="str">
        <f t="shared" si="19"/>
        <v/>
      </c>
      <c r="X365" s="1"/>
      <c r="Y365" s="1"/>
      <c r="Z365" s="1"/>
      <c r="AA365" s="1"/>
      <c r="AB365" s="1"/>
      <c r="AC365" s="1"/>
      <c r="AD365" s="1">
        <f>IF($C365="",0,SUMPRODUCT((AY_SONU!$O$7:$O$42="Evet")*(AY_SONU!$B$7:$B$42=DATE(YEAR($C365),MONTH($C365),1))))</f>
        <v>0</v>
      </c>
      <c r="AE365" s="1" t="str">
        <f>IF($E365="","",$E365&amp;"|"&amp;COUNTIFS($E$7:$E365,$E365))</f>
        <v/>
      </c>
    </row>
    <row r="366" spans="1:31" ht="18" customHeight="1" x14ac:dyDescent="0.3">
      <c r="A366" s="2"/>
      <c r="B366" s="65" t="str">
        <f>IF($C366="","","GG"&amp;TEXT(ROW()-6,"00000"))</f>
        <v/>
      </c>
      <c r="C366" s="66"/>
      <c r="D366" s="60"/>
      <c r="E366" s="61"/>
      <c r="F366" s="61"/>
      <c r="G366" s="67"/>
      <c r="H366" s="60"/>
      <c r="I366" s="60"/>
      <c r="J366" s="61"/>
      <c r="K366" s="61"/>
      <c r="L366" s="60"/>
      <c r="M366" s="74" t="str">
        <f>IF($C366="","",IF($D366="Gider",$E366,IF($L366&lt;&gt;"",$L366,$H366)))</f>
        <v/>
      </c>
      <c r="N366" s="74" t="str">
        <f>IF($C366="","",IF($D366="Gider",$H366,$E366))</f>
        <v/>
      </c>
      <c r="O366" s="73" t="str">
        <f>IF($C366="","",DATE(YEAR($C366),MONTH($C366),1))</f>
        <v/>
      </c>
      <c r="P366" s="65" t="str">
        <f ca="1">IF($C366="","",IF(AND($D366="Gelir",$L366&lt;&gt;"",$T366=""),"TANIMSIZ BORÇLU",IF($T366&lt;&gt;"",IF(OR($E366="",$G366&lt;=0),"EKSİK",IF($I366="Evet","TAHAKKUK NAKİT OLAMAZ",IF($C366&gt;TODAY(),"İLERİ TARİH","TAHAKKUK"))),IF(AND($D366&lt;&gt;"",$E366&lt;&gt;"",$G366&gt;0,$H366&lt;&gt;"",$I366&lt;&gt;""),IF($C366&gt;TODAY(),"İLERİ TARİH",IF(COUNTIF($W$7:$W$3001,$W366)&gt;1,"MÜKERRER?",IF($AD366&gt;0,"KAPALI DÖNEM",IF($I366="Hayır","ÖDENECEK","UYGUN")))),"EKSİK"))))</f>
        <v/>
      </c>
      <c r="Q366" s="2"/>
      <c r="R366" s="2"/>
      <c r="S366" s="1" t="str">
        <f t="shared" si="17"/>
        <v/>
      </c>
      <c r="T366" s="1" t="str">
        <f>IF(OR($C366="",$D366&lt;&gt;"Gelir",$L366=""),"",IFERROR(INDEX(MUSTERILER!$B$7:$B$156,MATCH($S366,MUSTERILER!$T$7:$T$156,0)),""))</f>
        <v/>
      </c>
      <c r="U366" s="1" t="str">
        <f>IF($T366="","",$T366&amp;"|"&amp;COUNTIFS($T$7:$T366,$T366))</f>
        <v/>
      </c>
      <c r="V366" s="1">
        <f t="shared" si="18"/>
        <v>0</v>
      </c>
      <c r="W366" s="1" t="str">
        <f t="shared" si="19"/>
        <v/>
      </c>
      <c r="X366" s="1"/>
      <c r="Y366" s="1"/>
      <c r="Z366" s="1"/>
      <c r="AA366" s="1"/>
      <c r="AB366" s="1"/>
      <c r="AC366" s="1"/>
      <c r="AD366" s="1">
        <f>IF($C366="",0,SUMPRODUCT((AY_SONU!$O$7:$O$42="Evet")*(AY_SONU!$B$7:$B$42=DATE(YEAR($C366),MONTH($C366),1))))</f>
        <v>0</v>
      </c>
      <c r="AE366" s="1" t="str">
        <f>IF($E366="","",$E366&amp;"|"&amp;COUNTIFS($E$7:$E366,$E366))</f>
        <v/>
      </c>
    </row>
    <row r="367" spans="1:31" ht="18" customHeight="1" x14ac:dyDescent="0.3">
      <c r="A367" s="2"/>
      <c r="B367" s="65" t="str">
        <f>IF($C367="","","GG"&amp;TEXT(ROW()-6,"00000"))</f>
        <v/>
      </c>
      <c r="C367" s="66"/>
      <c r="D367" s="60"/>
      <c r="E367" s="61"/>
      <c r="F367" s="61"/>
      <c r="G367" s="67"/>
      <c r="H367" s="60"/>
      <c r="I367" s="60"/>
      <c r="J367" s="61"/>
      <c r="K367" s="61"/>
      <c r="L367" s="60"/>
      <c r="M367" s="74" t="str">
        <f>IF($C367="","",IF($D367="Gider",$E367,IF($L367&lt;&gt;"",$L367,$H367)))</f>
        <v/>
      </c>
      <c r="N367" s="74" t="str">
        <f>IF($C367="","",IF($D367="Gider",$H367,$E367))</f>
        <v/>
      </c>
      <c r="O367" s="73" t="str">
        <f>IF($C367="","",DATE(YEAR($C367),MONTH($C367),1))</f>
        <v/>
      </c>
      <c r="P367" s="65" t="str">
        <f ca="1">IF($C367="","",IF(AND($D367="Gelir",$L367&lt;&gt;"",$T367=""),"TANIMSIZ BORÇLU",IF($T367&lt;&gt;"",IF(OR($E367="",$G367&lt;=0),"EKSİK",IF($I367="Evet","TAHAKKUK NAKİT OLAMAZ",IF($C367&gt;TODAY(),"İLERİ TARİH","TAHAKKUK"))),IF(AND($D367&lt;&gt;"",$E367&lt;&gt;"",$G367&gt;0,$H367&lt;&gt;"",$I367&lt;&gt;""),IF($C367&gt;TODAY(),"İLERİ TARİH",IF(COUNTIF($W$7:$W$3001,$W367)&gt;1,"MÜKERRER?",IF($AD367&gt;0,"KAPALI DÖNEM",IF($I367="Hayır","ÖDENECEK","UYGUN")))),"EKSİK"))))</f>
        <v/>
      </c>
      <c r="Q367" s="2"/>
      <c r="R367" s="2"/>
      <c r="S367" s="1" t="str">
        <f t="shared" si="17"/>
        <v/>
      </c>
      <c r="T367" s="1" t="str">
        <f>IF(OR($C367="",$D367&lt;&gt;"Gelir",$L367=""),"",IFERROR(INDEX(MUSTERILER!$B$7:$B$156,MATCH($S367,MUSTERILER!$T$7:$T$156,0)),""))</f>
        <v/>
      </c>
      <c r="U367" s="1" t="str">
        <f>IF($T367="","",$T367&amp;"|"&amp;COUNTIFS($T$7:$T367,$T367))</f>
        <v/>
      </c>
      <c r="V367" s="1">
        <f t="shared" si="18"/>
        <v>0</v>
      </c>
      <c r="W367" s="1" t="str">
        <f t="shared" si="19"/>
        <v/>
      </c>
      <c r="X367" s="1"/>
      <c r="Y367" s="1"/>
      <c r="Z367" s="1"/>
      <c r="AA367" s="1"/>
      <c r="AB367" s="1"/>
      <c r="AC367" s="1"/>
      <c r="AD367" s="1">
        <f>IF($C367="",0,SUMPRODUCT((AY_SONU!$O$7:$O$42="Evet")*(AY_SONU!$B$7:$B$42=DATE(YEAR($C367),MONTH($C367),1))))</f>
        <v>0</v>
      </c>
      <c r="AE367" s="1" t="str">
        <f>IF($E367="","",$E367&amp;"|"&amp;COUNTIFS($E$7:$E367,$E367))</f>
        <v/>
      </c>
    </row>
    <row r="368" spans="1:31" ht="18" customHeight="1" x14ac:dyDescent="0.3">
      <c r="A368" s="2"/>
      <c r="B368" s="65" t="str">
        <f>IF($C368="","","GG"&amp;TEXT(ROW()-6,"00000"))</f>
        <v/>
      </c>
      <c r="C368" s="66"/>
      <c r="D368" s="60"/>
      <c r="E368" s="61"/>
      <c r="F368" s="61"/>
      <c r="G368" s="67"/>
      <c r="H368" s="60"/>
      <c r="I368" s="60"/>
      <c r="J368" s="61"/>
      <c r="K368" s="61"/>
      <c r="L368" s="60"/>
      <c r="M368" s="74" t="str">
        <f>IF($C368="","",IF($D368="Gider",$E368,IF($L368&lt;&gt;"",$L368,$H368)))</f>
        <v/>
      </c>
      <c r="N368" s="74" t="str">
        <f>IF($C368="","",IF($D368="Gider",$H368,$E368))</f>
        <v/>
      </c>
      <c r="O368" s="73" t="str">
        <f>IF($C368="","",DATE(YEAR($C368),MONTH($C368),1))</f>
        <v/>
      </c>
      <c r="P368" s="65" t="str">
        <f ca="1">IF($C368="","",IF(AND($D368="Gelir",$L368&lt;&gt;"",$T368=""),"TANIMSIZ BORÇLU",IF($T368&lt;&gt;"",IF(OR($E368="",$G368&lt;=0),"EKSİK",IF($I368="Evet","TAHAKKUK NAKİT OLAMAZ",IF($C368&gt;TODAY(),"İLERİ TARİH","TAHAKKUK"))),IF(AND($D368&lt;&gt;"",$E368&lt;&gt;"",$G368&gt;0,$H368&lt;&gt;"",$I368&lt;&gt;""),IF($C368&gt;TODAY(),"İLERİ TARİH",IF(COUNTIF($W$7:$W$3001,$W368)&gt;1,"MÜKERRER?",IF($AD368&gt;0,"KAPALI DÖNEM",IF($I368="Hayır","ÖDENECEK","UYGUN")))),"EKSİK"))))</f>
        <v/>
      </c>
      <c r="Q368" s="2"/>
      <c r="R368" s="2"/>
      <c r="S368" s="1" t="str">
        <f t="shared" si="17"/>
        <v/>
      </c>
      <c r="T368" s="1" t="str">
        <f>IF(OR($C368="",$D368&lt;&gt;"Gelir",$L368=""),"",IFERROR(INDEX(MUSTERILER!$B$7:$B$156,MATCH($S368,MUSTERILER!$T$7:$T$156,0)),""))</f>
        <v/>
      </c>
      <c r="U368" s="1" t="str">
        <f>IF($T368="","",$T368&amp;"|"&amp;COUNTIFS($T$7:$T368,$T368))</f>
        <v/>
      </c>
      <c r="V368" s="1">
        <f t="shared" si="18"/>
        <v>0</v>
      </c>
      <c r="W368" s="1" t="str">
        <f t="shared" si="19"/>
        <v/>
      </c>
      <c r="X368" s="1"/>
      <c r="Y368" s="1"/>
      <c r="Z368" s="1"/>
      <c r="AA368" s="1"/>
      <c r="AB368" s="1"/>
      <c r="AC368" s="1"/>
      <c r="AD368" s="1">
        <f>IF($C368="",0,SUMPRODUCT((AY_SONU!$O$7:$O$42="Evet")*(AY_SONU!$B$7:$B$42=DATE(YEAR($C368),MONTH($C368),1))))</f>
        <v>0</v>
      </c>
      <c r="AE368" s="1" t="str">
        <f>IF($E368="","",$E368&amp;"|"&amp;COUNTIFS($E$7:$E368,$E368))</f>
        <v/>
      </c>
    </row>
    <row r="369" spans="1:31" ht="18" customHeight="1" x14ac:dyDescent="0.3">
      <c r="A369" s="2"/>
      <c r="B369" s="65" t="str">
        <f>IF($C369="","","GG"&amp;TEXT(ROW()-6,"00000"))</f>
        <v/>
      </c>
      <c r="C369" s="66"/>
      <c r="D369" s="60"/>
      <c r="E369" s="61"/>
      <c r="F369" s="61"/>
      <c r="G369" s="67"/>
      <c r="H369" s="60"/>
      <c r="I369" s="60"/>
      <c r="J369" s="61"/>
      <c r="K369" s="61"/>
      <c r="L369" s="60"/>
      <c r="M369" s="74" t="str">
        <f>IF($C369="","",IF($D369="Gider",$E369,IF($L369&lt;&gt;"",$L369,$H369)))</f>
        <v/>
      </c>
      <c r="N369" s="74" t="str">
        <f>IF($C369="","",IF($D369="Gider",$H369,$E369))</f>
        <v/>
      </c>
      <c r="O369" s="73" t="str">
        <f>IF($C369="","",DATE(YEAR($C369),MONTH($C369),1))</f>
        <v/>
      </c>
      <c r="P369" s="65" t="str">
        <f ca="1">IF($C369="","",IF(AND($D369="Gelir",$L369&lt;&gt;"",$T369=""),"TANIMSIZ BORÇLU",IF($T369&lt;&gt;"",IF(OR($E369="",$G369&lt;=0),"EKSİK",IF($I369="Evet","TAHAKKUK NAKİT OLAMAZ",IF($C369&gt;TODAY(),"İLERİ TARİH","TAHAKKUK"))),IF(AND($D369&lt;&gt;"",$E369&lt;&gt;"",$G369&gt;0,$H369&lt;&gt;"",$I369&lt;&gt;""),IF($C369&gt;TODAY(),"İLERİ TARİH",IF(COUNTIF($W$7:$W$3001,$W369)&gt;1,"MÜKERRER?",IF($AD369&gt;0,"KAPALI DÖNEM",IF($I369="Hayır","ÖDENECEK","UYGUN")))),"EKSİK"))))</f>
        <v/>
      </c>
      <c r="Q369" s="2"/>
      <c r="R369" s="2"/>
      <c r="S369" s="1" t="str">
        <f t="shared" si="17"/>
        <v/>
      </c>
      <c r="T369" s="1" t="str">
        <f>IF(OR($C369="",$D369&lt;&gt;"Gelir",$L369=""),"",IFERROR(INDEX(MUSTERILER!$B$7:$B$156,MATCH($S369,MUSTERILER!$T$7:$T$156,0)),""))</f>
        <v/>
      </c>
      <c r="U369" s="1" t="str">
        <f>IF($T369="","",$T369&amp;"|"&amp;COUNTIFS($T$7:$T369,$T369))</f>
        <v/>
      </c>
      <c r="V369" s="1">
        <f t="shared" si="18"/>
        <v>0</v>
      </c>
      <c r="W369" s="1" t="str">
        <f t="shared" si="19"/>
        <v/>
      </c>
      <c r="X369" s="1"/>
      <c r="Y369" s="1"/>
      <c r="Z369" s="1"/>
      <c r="AA369" s="1"/>
      <c r="AB369" s="1"/>
      <c r="AC369" s="1"/>
      <c r="AD369" s="1">
        <f>IF($C369="",0,SUMPRODUCT((AY_SONU!$O$7:$O$42="Evet")*(AY_SONU!$B$7:$B$42=DATE(YEAR($C369),MONTH($C369),1))))</f>
        <v>0</v>
      </c>
      <c r="AE369" s="1" t="str">
        <f>IF($E369="","",$E369&amp;"|"&amp;COUNTIFS($E$7:$E369,$E369))</f>
        <v/>
      </c>
    </row>
    <row r="370" spans="1:31" ht="18" customHeight="1" x14ac:dyDescent="0.3">
      <c r="A370" s="2"/>
      <c r="B370" s="65" t="str">
        <f>IF($C370="","","GG"&amp;TEXT(ROW()-6,"00000"))</f>
        <v/>
      </c>
      <c r="C370" s="66"/>
      <c r="D370" s="60"/>
      <c r="E370" s="61"/>
      <c r="F370" s="61"/>
      <c r="G370" s="67"/>
      <c r="H370" s="60"/>
      <c r="I370" s="60"/>
      <c r="J370" s="61"/>
      <c r="K370" s="61"/>
      <c r="L370" s="60"/>
      <c r="M370" s="74" t="str">
        <f>IF($C370="","",IF($D370="Gider",$E370,IF($L370&lt;&gt;"",$L370,$H370)))</f>
        <v/>
      </c>
      <c r="N370" s="74" t="str">
        <f>IF($C370="","",IF($D370="Gider",$H370,$E370))</f>
        <v/>
      </c>
      <c r="O370" s="73" t="str">
        <f>IF($C370="","",DATE(YEAR($C370),MONTH($C370),1))</f>
        <v/>
      </c>
      <c r="P370" s="65" t="str">
        <f ca="1">IF($C370="","",IF(AND($D370="Gelir",$L370&lt;&gt;"",$T370=""),"TANIMSIZ BORÇLU",IF($T370&lt;&gt;"",IF(OR($E370="",$G370&lt;=0),"EKSİK",IF($I370="Evet","TAHAKKUK NAKİT OLAMAZ",IF($C370&gt;TODAY(),"İLERİ TARİH","TAHAKKUK"))),IF(AND($D370&lt;&gt;"",$E370&lt;&gt;"",$G370&gt;0,$H370&lt;&gt;"",$I370&lt;&gt;""),IF($C370&gt;TODAY(),"İLERİ TARİH",IF(COUNTIF($W$7:$W$3001,$W370)&gt;1,"MÜKERRER?",IF($AD370&gt;0,"KAPALI DÖNEM",IF($I370="Hayır","ÖDENECEK","UYGUN")))),"EKSİK"))))</f>
        <v/>
      </c>
      <c r="Q370" s="2"/>
      <c r="R370" s="2"/>
      <c r="S370" s="1" t="str">
        <f t="shared" si="17"/>
        <v/>
      </c>
      <c r="T370" s="1" t="str">
        <f>IF(OR($C370="",$D370&lt;&gt;"Gelir",$L370=""),"",IFERROR(INDEX(MUSTERILER!$B$7:$B$156,MATCH($S370,MUSTERILER!$T$7:$T$156,0)),""))</f>
        <v/>
      </c>
      <c r="U370" s="1" t="str">
        <f>IF($T370="","",$T370&amp;"|"&amp;COUNTIFS($T$7:$T370,$T370))</f>
        <v/>
      </c>
      <c r="V370" s="1">
        <f t="shared" si="18"/>
        <v>0</v>
      </c>
      <c r="W370" s="1" t="str">
        <f t="shared" si="19"/>
        <v/>
      </c>
      <c r="X370" s="1"/>
      <c r="Y370" s="1"/>
      <c r="Z370" s="1"/>
      <c r="AA370" s="1"/>
      <c r="AB370" s="1"/>
      <c r="AC370" s="1"/>
      <c r="AD370" s="1">
        <f>IF($C370="",0,SUMPRODUCT((AY_SONU!$O$7:$O$42="Evet")*(AY_SONU!$B$7:$B$42=DATE(YEAR($C370),MONTH($C370),1))))</f>
        <v>0</v>
      </c>
      <c r="AE370" s="1" t="str">
        <f>IF($E370="","",$E370&amp;"|"&amp;COUNTIFS($E$7:$E370,$E370))</f>
        <v/>
      </c>
    </row>
    <row r="371" spans="1:31" ht="18" customHeight="1" x14ac:dyDescent="0.3">
      <c r="A371" s="2"/>
      <c r="B371" s="65" t="str">
        <f>IF($C371="","","GG"&amp;TEXT(ROW()-6,"00000"))</f>
        <v/>
      </c>
      <c r="C371" s="66"/>
      <c r="D371" s="60"/>
      <c r="E371" s="61"/>
      <c r="F371" s="61"/>
      <c r="G371" s="67"/>
      <c r="H371" s="60"/>
      <c r="I371" s="60"/>
      <c r="J371" s="61"/>
      <c r="K371" s="61"/>
      <c r="L371" s="60"/>
      <c r="M371" s="74" t="str">
        <f>IF($C371="","",IF($D371="Gider",$E371,IF($L371&lt;&gt;"",$L371,$H371)))</f>
        <v/>
      </c>
      <c r="N371" s="74" t="str">
        <f>IF($C371="","",IF($D371="Gider",$H371,$E371))</f>
        <v/>
      </c>
      <c r="O371" s="73" t="str">
        <f>IF($C371="","",DATE(YEAR($C371),MONTH($C371),1))</f>
        <v/>
      </c>
      <c r="P371" s="65" t="str">
        <f ca="1">IF($C371="","",IF(AND($D371="Gelir",$L371&lt;&gt;"",$T371=""),"TANIMSIZ BORÇLU",IF($T371&lt;&gt;"",IF(OR($E371="",$G371&lt;=0),"EKSİK",IF($I371="Evet","TAHAKKUK NAKİT OLAMAZ",IF($C371&gt;TODAY(),"İLERİ TARİH","TAHAKKUK"))),IF(AND($D371&lt;&gt;"",$E371&lt;&gt;"",$G371&gt;0,$H371&lt;&gt;"",$I371&lt;&gt;""),IF($C371&gt;TODAY(),"İLERİ TARİH",IF(COUNTIF($W$7:$W$3001,$W371)&gt;1,"MÜKERRER?",IF($AD371&gt;0,"KAPALI DÖNEM",IF($I371="Hayır","ÖDENECEK","UYGUN")))),"EKSİK"))))</f>
        <v/>
      </c>
      <c r="Q371" s="2"/>
      <c r="R371" s="2"/>
      <c r="S371" s="1" t="str">
        <f t="shared" si="17"/>
        <v/>
      </c>
      <c r="T371" s="1" t="str">
        <f>IF(OR($C371="",$D371&lt;&gt;"Gelir",$L371=""),"",IFERROR(INDEX(MUSTERILER!$B$7:$B$156,MATCH($S371,MUSTERILER!$T$7:$T$156,0)),""))</f>
        <v/>
      </c>
      <c r="U371" s="1" t="str">
        <f>IF($T371="","",$T371&amp;"|"&amp;COUNTIFS($T$7:$T371,$T371))</f>
        <v/>
      </c>
      <c r="V371" s="1">
        <f t="shared" si="18"/>
        <v>0</v>
      </c>
      <c r="W371" s="1" t="str">
        <f t="shared" si="19"/>
        <v/>
      </c>
      <c r="X371" s="1"/>
      <c r="Y371" s="1"/>
      <c r="Z371" s="1"/>
      <c r="AA371" s="1"/>
      <c r="AB371" s="1"/>
      <c r="AC371" s="1"/>
      <c r="AD371" s="1">
        <f>IF($C371="",0,SUMPRODUCT((AY_SONU!$O$7:$O$42="Evet")*(AY_SONU!$B$7:$B$42=DATE(YEAR($C371),MONTH($C371),1))))</f>
        <v>0</v>
      </c>
      <c r="AE371" s="1" t="str">
        <f>IF($E371="","",$E371&amp;"|"&amp;COUNTIFS($E$7:$E371,$E371))</f>
        <v/>
      </c>
    </row>
    <row r="372" spans="1:31" ht="18" customHeight="1" x14ac:dyDescent="0.3">
      <c r="A372" s="2"/>
      <c r="B372" s="65" t="str">
        <f>IF($C372="","","GG"&amp;TEXT(ROW()-6,"00000"))</f>
        <v/>
      </c>
      <c r="C372" s="66"/>
      <c r="D372" s="60"/>
      <c r="E372" s="61"/>
      <c r="F372" s="61"/>
      <c r="G372" s="67"/>
      <c r="H372" s="60"/>
      <c r="I372" s="60"/>
      <c r="J372" s="61"/>
      <c r="K372" s="61"/>
      <c r="L372" s="60"/>
      <c r="M372" s="74" t="str">
        <f>IF($C372="","",IF($D372="Gider",$E372,IF($L372&lt;&gt;"",$L372,$H372)))</f>
        <v/>
      </c>
      <c r="N372" s="74" t="str">
        <f>IF($C372="","",IF($D372="Gider",$H372,$E372))</f>
        <v/>
      </c>
      <c r="O372" s="73" t="str">
        <f>IF($C372="","",DATE(YEAR($C372),MONTH($C372),1))</f>
        <v/>
      </c>
      <c r="P372" s="65" t="str">
        <f ca="1">IF($C372="","",IF(AND($D372="Gelir",$L372&lt;&gt;"",$T372=""),"TANIMSIZ BORÇLU",IF($T372&lt;&gt;"",IF(OR($E372="",$G372&lt;=0),"EKSİK",IF($I372="Evet","TAHAKKUK NAKİT OLAMAZ",IF($C372&gt;TODAY(),"İLERİ TARİH","TAHAKKUK"))),IF(AND($D372&lt;&gt;"",$E372&lt;&gt;"",$G372&gt;0,$H372&lt;&gt;"",$I372&lt;&gt;""),IF($C372&gt;TODAY(),"İLERİ TARİH",IF(COUNTIF($W$7:$W$3001,$W372)&gt;1,"MÜKERRER?",IF($AD372&gt;0,"KAPALI DÖNEM",IF($I372="Hayır","ÖDENECEK","UYGUN")))),"EKSİK"))))</f>
        <v/>
      </c>
      <c r="Q372" s="2"/>
      <c r="R372" s="2"/>
      <c r="S372" s="1" t="str">
        <f t="shared" si="17"/>
        <v/>
      </c>
      <c r="T372" s="1" t="str">
        <f>IF(OR($C372="",$D372&lt;&gt;"Gelir",$L372=""),"",IFERROR(INDEX(MUSTERILER!$B$7:$B$156,MATCH($S372,MUSTERILER!$T$7:$T$156,0)),""))</f>
        <v/>
      </c>
      <c r="U372" s="1" t="str">
        <f>IF($T372="","",$T372&amp;"|"&amp;COUNTIFS($T$7:$T372,$T372))</f>
        <v/>
      </c>
      <c r="V372" s="1">
        <f t="shared" si="18"/>
        <v>0</v>
      </c>
      <c r="W372" s="1" t="str">
        <f t="shared" si="19"/>
        <v/>
      </c>
      <c r="X372" s="1"/>
      <c r="Y372" s="1"/>
      <c r="Z372" s="1"/>
      <c r="AA372" s="1"/>
      <c r="AB372" s="1"/>
      <c r="AC372" s="1"/>
      <c r="AD372" s="1">
        <f>IF($C372="",0,SUMPRODUCT((AY_SONU!$O$7:$O$42="Evet")*(AY_SONU!$B$7:$B$42=DATE(YEAR($C372),MONTH($C372),1))))</f>
        <v>0</v>
      </c>
      <c r="AE372" s="1" t="str">
        <f>IF($E372="","",$E372&amp;"|"&amp;COUNTIFS($E$7:$E372,$E372))</f>
        <v/>
      </c>
    </row>
    <row r="373" spans="1:31" ht="18" customHeight="1" x14ac:dyDescent="0.3">
      <c r="A373" s="2"/>
      <c r="B373" s="65" t="str">
        <f>IF($C373="","","GG"&amp;TEXT(ROW()-6,"00000"))</f>
        <v/>
      </c>
      <c r="C373" s="66"/>
      <c r="D373" s="60"/>
      <c r="E373" s="61"/>
      <c r="F373" s="61"/>
      <c r="G373" s="67"/>
      <c r="H373" s="60"/>
      <c r="I373" s="60"/>
      <c r="J373" s="61"/>
      <c r="K373" s="61"/>
      <c r="L373" s="60"/>
      <c r="M373" s="74" t="str">
        <f>IF($C373="","",IF($D373="Gider",$E373,IF($L373&lt;&gt;"",$L373,$H373)))</f>
        <v/>
      </c>
      <c r="N373" s="74" t="str">
        <f>IF($C373="","",IF($D373="Gider",$H373,$E373))</f>
        <v/>
      </c>
      <c r="O373" s="73" t="str">
        <f>IF($C373="","",DATE(YEAR($C373),MONTH($C373),1))</f>
        <v/>
      </c>
      <c r="P373" s="65" t="str">
        <f ca="1">IF($C373="","",IF(AND($D373="Gelir",$L373&lt;&gt;"",$T373=""),"TANIMSIZ BORÇLU",IF($T373&lt;&gt;"",IF(OR($E373="",$G373&lt;=0),"EKSİK",IF($I373="Evet","TAHAKKUK NAKİT OLAMAZ",IF($C373&gt;TODAY(),"İLERİ TARİH","TAHAKKUK"))),IF(AND($D373&lt;&gt;"",$E373&lt;&gt;"",$G373&gt;0,$H373&lt;&gt;"",$I373&lt;&gt;""),IF($C373&gt;TODAY(),"İLERİ TARİH",IF(COUNTIF($W$7:$W$3001,$W373)&gt;1,"MÜKERRER?",IF($AD373&gt;0,"KAPALI DÖNEM",IF($I373="Hayır","ÖDENECEK","UYGUN")))),"EKSİK"))))</f>
        <v/>
      </c>
      <c r="Q373" s="2"/>
      <c r="R373" s="2"/>
      <c r="S373" s="1" t="str">
        <f t="shared" si="17"/>
        <v/>
      </c>
      <c r="T373" s="1" t="str">
        <f>IF(OR($C373="",$D373&lt;&gt;"Gelir",$L373=""),"",IFERROR(INDEX(MUSTERILER!$B$7:$B$156,MATCH($S373,MUSTERILER!$T$7:$T$156,0)),""))</f>
        <v/>
      </c>
      <c r="U373" s="1" t="str">
        <f>IF($T373="","",$T373&amp;"|"&amp;COUNTIFS($T$7:$T373,$T373))</f>
        <v/>
      </c>
      <c r="V373" s="1">
        <f t="shared" si="18"/>
        <v>0</v>
      </c>
      <c r="W373" s="1" t="str">
        <f t="shared" si="19"/>
        <v/>
      </c>
      <c r="X373" s="1"/>
      <c r="Y373" s="1"/>
      <c r="Z373" s="1"/>
      <c r="AA373" s="1"/>
      <c r="AB373" s="1"/>
      <c r="AC373" s="1"/>
      <c r="AD373" s="1">
        <f>IF($C373="",0,SUMPRODUCT((AY_SONU!$O$7:$O$42="Evet")*(AY_SONU!$B$7:$B$42=DATE(YEAR($C373),MONTH($C373),1))))</f>
        <v>0</v>
      </c>
      <c r="AE373" s="1" t="str">
        <f>IF($E373="","",$E373&amp;"|"&amp;COUNTIFS($E$7:$E373,$E373))</f>
        <v/>
      </c>
    </row>
    <row r="374" spans="1:31" ht="18" customHeight="1" x14ac:dyDescent="0.3">
      <c r="A374" s="2"/>
      <c r="B374" s="65" t="str">
        <f>IF($C374="","","GG"&amp;TEXT(ROW()-6,"00000"))</f>
        <v/>
      </c>
      <c r="C374" s="66"/>
      <c r="D374" s="60"/>
      <c r="E374" s="61"/>
      <c r="F374" s="61"/>
      <c r="G374" s="67"/>
      <c r="H374" s="60"/>
      <c r="I374" s="60"/>
      <c r="J374" s="61"/>
      <c r="K374" s="61"/>
      <c r="L374" s="60"/>
      <c r="M374" s="74" t="str">
        <f>IF($C374="","",IF($D374="Gider",$E374,IF($L374&lt;&gt;"",$L374,$H374)))</f>
        <v/>
      </c>
      <c r="N374" s="74" t="str">
        <f>IF($C374="","",IF($D374="Gider",$H374,$E374))</f>
        <v/>
      </c>
      <c r="O374" s="73" t="str">
        <f>IF($C374="","",DATE(YEAR($C374),MONTH($C374),1))</f>
        <v/>
      </c>
      <c r="P374" s="65" t="str">
        <f ca="1">IF($C374="","",IF(AND($D374="Gelir",$L374&lt;&gt;"",$T374=""),"TANIMSIZ BORÇLU",IF($T374&lt;&gt;"",IF(OR($E374="",$G374&lt;=0),"EKSİK",IF($I374="Evet","TAHAKKUK NAKİT OLAMAZ",IF($C374&gt;TODAY(),"İLERİ TARİH","TAHAKKUK"))),IF(AND($D374&lt;&gt;"",$E374&lt;&gt;"",$G374&gt;0,$H374&lt;&gt;"",$I374&lt;&gt;""),IF($C374&gt;TODAY(),"İLERİ TARİH",IF(COUNTIF($W$7:$W$3001,$W374)&gt;1,"MÜKERRER?",IF($AD374&gt;0,"KAPALI DÖNEM",IF($I374="Hayır","ÖDENECEK","UYGUN")))),"EKSİK"))))</f>
        <v/>
      </c>
      <c r="Q374" s="2"/>
      <c r="R374" s="2"/>
      <c r="S374" s="1" t="str">
        <f t="shared" si="17"/>
        <v/>
      </c>
      <c r="T374" s="1" t="str">
        <f>IF(OR($C374="",$D374&lt;&gt;"Gelir",$L374=""),"",IFERROR(INDEX(MUSTERILER!$B$7:$B$156,MATCH($S374,MUSTERILER!$T$7:$T$156,0)),""))</f>
        <v/>
      </c>
      <c r="U374" s="1" t="str">
        <f>IF($T374="","",$T374&amp;"|"&amp;COUNTIFS($T$7:$T374,$T374))</f>
        <v/>
      </c>
      <c r="V374" s="1">
        <f t="shared" si="18"/>
        <v>0</v>
      </c>
      <c r="W374" s="1" t="str">
        <f t="shared" si="19"/>
        <v/>
      </c>
      <c r="X374" s="1"/>
      <c r="Y374" s="1"/>
      <c r="Z374" s="1"/>
      <c r="AA374" s="1"/>
      <c r="AB374" s="1"/>
      <c r="AC374" s="1"/>
      <c r="AD374" s="1">
        <f>IF($C374="",0,SUMPRODUCT((AY_SONU!$O$7:$O$42="Evet")*(AY_SONU!$B$7:$B$42=DATE(YEAR($C374),MONTH($C374),1))))</f>
        <v>0</v>
      </c>
      <c r="AE374" s="1" t="str">
        <f>IF($E374="","",$E374&amp;"|"&amp;COUNTIFS($E$7:$E374,$E374))</f>
        <v/>
      </c>
    </row>
    <row r="375" spans="1:31" ht="18" customHeight="1" x14ac:dyDescent="0.3">
      <c r="A375" s="2"/>
      <c r="B375" s="65" t="str">
        <f>IF($C375="","","GG"&amp;TEXT(ROW()-6,"00000"))</f>
        <v/>
      </c>
      <c r="C375" s="66"/>
      <c r="D375" s="60"/>
      <c r="E375" s="61"/>
      <c r="F375" s="61"/>
      <c r="G375" s="67"/>
      <c r="H375" s="60"/>
      <c r="I375" s="60"/>
      <c r="J375" s="61"/>
      <c r="K375" s="61"/>
      <c r="L375" s="60"/>
      <c r="M375" s="74" t="str">
        <f>IF($C375="","",IF($D375="Gider",$E375,IF($L375&lt;&gt;"",$L375,$H375)))</f>
        <v/>
      </c>
      <c r="N375" s="74" t="str">
        <f>IF($C375="","",IF($D375="Gider",$H375,$E375))</f>
        <v/>
      </c>
      <c r="O375" s="73" t="str">
        <f>IF($C375="","",DATE(YEAR($C375),MONTH($C375),1))</f>
        <v/>
      </c>
      <c r="P375" s="65" t="str">
        <f ca="1">IF($C375="","",IF(AND($D375="Gelir",$L375&lt;&gt;"",$T375=""),"TANIMSIZ BORÇLU",IF($T375&lt;&gt;"",IF(OR($E375="",$G375&lt;=0),"EKSİK",IF($I375="Evet","TAHAKKUK NAKİT OLAMAZ",IF($C375&gt;TODAY(),"İLERİ TARİH","TAHAKKUK"))),IF(AND($D375&lt;&gt;"",$E375&lt;&gt;"",$G375&gt;0,$H375&lt;&gt;"",$I375&lt;&gt;""),IF($C375&gt;TODAY(),"İLERİ TARİH",IF(COUNTIF($W$7:$W$3001,$W375)&gt;1,"MÜKERRER?",IF($AD375&gt;0,"KAPALI DÖNEM",IF($I375="Hayır","ÖDENECEK","UYGUN")))),"EKSİK"))))</f>
        <v/>
      </c>
      <c r="Q375" s="2"/>
      <c r="R375" s="2"/>
      <c r="S375" s="1" t="str">
        <f t="shared" si="17"/>
        <v/>
      </c>
      <c r="T375" s="1" t="str">
        <f>IF(OR($C375="",$D375&lt;&gt;"Gelir",$L375=""),"",IFERROR(INDEX(MUSTERILER!$B$7:$B$156,MATCH($S375,MUSTERILER!$T$7:$T$156,0)),""))</f>
        <v/>
      </c>
      <c r="U375" s="1" t="str">
        <f>IF($T375="","",$T375&amp;"|"&amp;COUNTIFS($T$7:$T375,$T375))</f>
        <v/>
      </c>
      <c r="V375" s="1">
        <f t="shared" si="18"/>
        <v>0</v>
      </c>
      <c r="W375" s="1" t="str">
        <f t="shared" si="19"/>
        <v/>
      </c>
      <c r="X375" s="1"/>
      <c r="Y375" s="1"/>
      <c r="Z375" s="1"/>
      <c r="AA375" s="1"/>
      <c r="AB375" s="1"/>
      <c r="AC375" s="1"/>
      <c r="AD375" s="1">
        <f>IF($C375="",0,SUMPRODUCT((AY_SONU!$O$7:$O$42="Evet")*(AY_SONU!$B$7:$B$42=DATE(YEAR($C375),MONTH($C375),1))))</f>
        <v>0</v>
      </c>
      <c r="AE375" s="1" t="str">
        <f>IF($E375="","",$E375&amp;"|"&amp;COUNTIFS($E$7:$E375,$E375))</f>
        <v/>
      </c>
    </row>
    <row r="376" spans="1:31" ht="18" customHeight="1" x14ac:dyDescent="0.3">
      <c r="A376" s="2"/>
      <c r="B376" s="65" t="str">
        <f>IF($C376="","","GG"&amp;TEXT(ROW()-6,"00000"))</f>
        <v/>
      </c>
      <c r="C376" s="66"/>
      <c r="D376" s="60"/>
      <c r="E376" s="61"/>
      <c r="F376" s="61"/>
      <c r="G376" s="67"/>
      <c r="H376" s="60"/>
      <c r="I376" s="60"/>
      <c r="J376" s="61"/>
      <c r="K376" s="61"/>
      <c r="L376" s="60"/>
      <c r="M376" s="74" t="str">
        <f>IF($C376="","",IF($D376="Gider",$E376,IF($L376&lt;&gt;"",$L376,$H376)))</f>
        <v/>
      </c>
      <c r="N376" s="74" t="str">
        <f>IF($C376="","",IF($D376="Gider",$H376,$E376))</f>
        <v/>
      </c>
      <c r="O376" s="73" t="str">
        <f>IF($C376="","",DATE(YEAR($C376),MONTH($C376),1))</f>
        <v/>
      </c>
      <c r="P376" s="65" t="str">
        <f ca="1">IF($C376="","",IF(AND($D376="Gelir",$L376&lt;&gt;"",$T376=""),"TANIMSIZ BORÇLU",IF($T376&lt;&gt;"",IF(OR($E376="",$G376&lt;=0),"EKSİK",IF($I376="Evet","TAHAKKUK NAKİT OLAMAZ",IF($C376&gt;TODAY(),"İLERİ TARİH","TAHAKKUK"))),IF(AND($D376&lt;&gt;"",$E376&lt;&gt;"",$G376&gt;0,$H376&lt;&gt;"",$I376&lt;&gt;""),IF($C376&gt;TODAY(),"İLERİ TARİH",IF(COUNTIF($W$7:$W$3001,$W376)&gt;1,"MÜKERRER?",IF($AD376&gt;0,"KAPALI DÖNEM",IF($I376="Hayır","ÖDENECEK","UYGUN")))),"EKSİK"))))</f>
        <v/>
      </c>
      <c r="Q376" s="2"/>
      <c r="R376" s="2"/>
      <c r="S376" s="1" t="str">
        <f t="shared" si="17"/>
        <v/>
      </c>
      <c r="T376" s="1" t="str">
        <f>IF(OR($C376="",$D376&lt;&gt;"Gelir",$L376=""),"",IFERROR(INDEX(MUSTERILER!$B$7:$B$156,MATCH($S376,MUSTERILER!$T$7:$T$156,0)),""))</f>
        <v/>
      </c>
      <c r="U376" s="1" t="str">
        <f>IF($T376="","",$T376&amp;"|"&amp;COUNTIFS($T$7:$T376,$T376))</f>
        <v/>
      </c>
      <c r="V376" s="1">
        <f t="shared" si="18"/>
        <v>0</v>
      </c>
      <c r="W376" s="1" t="str">
        <f t="shared" si="19"/>
        <v/>
      </c>
      <c r="X376" s="1"/>
      <c r="Y376" s="1"/>
      <c r="Z376" s="1"/>
      <c r="AA376" s="1"/>
      <c r="AB376" s="1"/>
      <c r="AC376" s="1"/>
      <c r="AD376" s="1">
        <f>IF($C376="",0,SUMPRODUCT((AY_SONU!$O$7:$O$42="Evet")*(AY_SONU!$B$7:$B$42=DATE(YEAR($C376),MONTH($C376),1))))</f>
        <v>0</v>
      </c>
      <c r="AE376" s="1" t="str">
        <f>IF($E376="","",$E376&amp;"|"&amp;COUNTIFS($E$7:$E376,$E376))</f>
        <v/>
      </c>
    </row>
    <row r="377" spans="1:31" ht="18" customHeight="1" x14ac:dyDescent="0.3">
      <c r="A377" s="2"/>
      <c r="B377" s="65" t="str">
        <f>IF($C377="","","GG"&amp;TEXT(ROW()-6,"00000"))</f>
        <v/>
      </c>
      <c r="C377" s="66"/>
      <c r="D377" s="60"/>
      <c r="E377" s="61"/>
      <c r="F377" s="61"/>
      <c r="G377" s="67"/>
      <c r="H377" s="60"/>
      <c r="I377" s="60"/>
      <c r="J377" s="61"/>
      <c r="K377" s="61"/>
      <c r="L377" s="60"/>
      <c r="M377" s="74" t="str">
        <f>IF($C377="","",IF($D377="Gider",$E377,IF($L377&lt;&gt;"",$L377,$H377)))</f>
        <v/>
      </c>
      <c r="N377" s="74" t="str">
        <f>IF($C377="","",IF($D377="Gider",$H377,$E377))</f>
        <v/>
      </c>
      <c r="O377" s="73" t="str">
        <f>IF($C377="","",DATE(YEAR($C377),MONTH($C377),1))</f>
        <v/>
      </c>
      <c r="P377" s="65" t="str">
        <f ca="1">IF($C377="","",IF(AND($D377="Gelir",$L377&lt;&gt;"",$T377=""),"TANIMSIZ BORÇLU",IF($T377&lt;&gt;"",IF(OR($E377="",$G377&lt;=0),"EKSİK",IF($I377="Evet","TAHAKKUK NAKİT OLAMAZ",IF($C377&gt;TODAY(),"İLERİ TARİH","TAHAKKUK"))),IF(AND($D377&lt;&gt;"",$E377&lt;&gt;"",$G377&gt;0,$H377&lt;&gt;"",$I377&lt;&gt;""),IF($C377&gt;TODAY(),"İLERİ TARİH",IF(COUNTIF($W$7:$W$3001,$W377)&gt;1,"MÜKERRER?",IF($AD377&gt;0,"KAPALI DÖNEM",IF($I377="Hayır","ÖDENECEK","UYGUN")))),"EKSİK"))))</f>
        <v/>
      </c>
      <c r="Q377" s="2"/>
      <c r="R377" s="2"/>
      <c r="S377" s="1" t="str">
        <f t="shared" si="17"/>
        <v/>
      </c>
      <c r="T377" s="1" t="str">
        <f>IF(OR($C377="",$D377&lt;&gt;"Gelir",$L377=""),"",IFERROR(INDEX(MUSTERILER!$B$7:$B$156,MATCH($S377,MUSTERILER!$T$7:$T$156,0)),""))</f>
        <v/>
      </c>
      <c r="U377" s="1" t="str">
        <f>IF($T377="","",$T377&amp;"|"&amp;COUNTIFS($T$7:$T377,$T377))</f>
        <v/>
      </c>
      <c r="V377" s="1">
        <f t="shared" si="18"/>
        <v>0</v>
      </c>
      <c r="W377" s="1" t="str">
        <f t="shared" si="19"/>
        <v/>
      </c>
      <c r="X377" s="1"/>
      <c r="Y377" s="1"/>
      <c r="Z377" s="1"/>
      <c r="AA377" s="1"/>
      <c r="AB377" s="1"/>
      <c r="AC377" s="1"/>
      <c r="AD377" s="1">
        <f>IF($C377="",0,SUMPRODUCT((AY_SONU!$O$7:$O$42="Evet")*(AY_SONU!$B$7:$B$42=DATE(YEAR($C377),MONTH($C377),1))))</f>
        <v>0</v>
      </c>
      <c r="AE377" s="1" t="str">
        <f>IF($E377="","",$E377&amp;"|"&amp;COUNTIFS($E$7:$E377,$E377))</f>
        <v/>
      </c>
    </row>
    <row r="378" spans="1:31" ht="18" customHeight="1" x14ac:dyDescent="0.3">
      <c r="A378" s="2"/>
      <c r="B378" s="65" t="str">
        <f>IF($C378="","","GG"&amp;TEXT(ROW()-6,"00000"))</f>
        <v/>
      </c>
      <c r="C378" s="66"/>
      <c r="D378" s="60"/>
      <c r="E378" s="61"/>
      <c r="F378" s="61"/>
      <c r="G378" s="67"/>
      <c r="H378" s="60"/>
      <c r="I378" s="60"/>
      <c r="J378" s="61"/>
      <c r="K378" s="61"/>
      <c r="L378" s="60"/>
      <c r="M378" s="74" t="str">
        <f>IF($C378="","",IF($D378="Gider",$E378,IF($L378&lt;&gt;"",$L378,$H378)))</f>
        <v/>
      </c>
      <c r="N378" s="74" t="str">
        <f>IF($C378="","",IF($D378="Gider",$H378,$E378))</f>
        <v/>
      </c>
      <c r="O378" s="73" t="str">
        <f>IF($C378="","",DATE(YEAR($C378),MONTH($C378),1))</f>
        <v/>
      </c>
      <c r="P378" s="65" t="str">
        <f ca="1">IF($C378="","",IF(AND($D378="Gelir",$L378&lt;&gt;"",$T378=""),"TANIMSIZ BORÇLU",IF($T378&lt;&gt;"",IF(OR($E378="",$G378&lt;=0),"EKSİK",IF($I378="Evet","TAHAKKUK NAKİT OLAMAZ",IF($C378&gt;TODAY(),"İLERİ TARİH","TAHAKKUK"))),IF(AND($D378&lt;&gt;"",$E378&lt;&gt;"",$G378&gt;0,$H378&lt;&gt;"",$I378&lt;&gt;""),IF($C378&gt;TODAY(),"İLERİ TARİH",IF(COUNTIF($W$7:$W$3001,$W378)&gt;1,"MÜKERRER?",IF($AD378&gt;0,"KAPALI DÖNEM",IF($I378="Hayır","ÖDENECEK","UYGUN")))),"EKSİK"))))</f>
        <v/>
      </c>
      <c r="Q378" s="2"/>
      <c r="R378" s="2"/>
      <c r="S378" s="1" t="str">
        <f t="shared" si="17"/>
        <v/>
      </c>
      <c r="T378" s="1" t="str">
        <f>IF(OR($C378="",$D378&lt;&gt;"Gelir",$L378=""),"",IFERROR(INDEX(MUSTERILER!$B$7:$B$156,MATCH($S378,MUSTERILER!$T$7:$T$156,0)),""))</f>
        <v/>
      </c>
      <c r="U378" s="1" t="str">
        <f>IF($T378="","",$T378&amp;"|"&amp;COUNTIFS($T$7:$T378,$T378))</f>
        <v/>
      </c>
      <c r="V378" s="1">
        <f t="shared" si="18"/>
        <v>0</v>
      </c>
      <c r="W378" s="1" t="str">
        <f t="shared" si="19"/>
        <v/>
      </c>
      <c r="X378" s="1"/>
      <c r="Y378" s="1"/>
      <c r="Z378" s="1"/>
      <c r="AA378" s="1"/>
      <c r="AB378" s="1"/>
      <c r="AC378" s="1"/>
      <c r="AD378" s="1">
        <f>IF($C378="",0,SUMPRODUCT((AY_SONU!$O$7:$O$42="Evet")*(AY_SONU!$B$7:$B$42=DATE(YEAR($C378),MONTH($C378),1))))</f>
        <v>0</v>
      </c>
      <c r="AE378" s="1" t="str">
        <f>IF($E378="","",$E378&amp;"|"&amp;COUNTIFS($E$7:$E378,$E378))</f>
        <v/>
      </c>
    </row>
    <row r="379" spans="1:31" ht="18" customHeight="1" x14ac:dyDescent="0.3">
      <c r="A379" s="2"/>
      <c r="B379" s="65" t="str">
        <f>IF($C379="","","GG"&amp;TEXT(ROW()-6,"00000"))</f>
        <v/>
      </c>
      <c r="C379" s="66"/>
      <c r="D379" s="60"/>
      <c r="E379" s="61"/>
      <c r="F379" s="61"/>
      <c r="G379" s="67"/>
      <c r="H379" s="60"/>
      <c r="I379" s="60"/>
      <c r="J379" s="61"/>
      <c r="K379" s="61"/>
      <c r="L379" s="60"/>
      <c r="M379" s="74" t="str">
        <f>IF($C379="","",IF($D379="Gider",$E379,IF($L379&lt;&gt;"",$L379,$H379)))</f>
        <v/>
      </c>
      <c r="N379" s="74" t="str">
        <f>IF($C379="","",IF($D379="Gider",$H379,$E379))</f>
        <v/>
      </c>
      <c r="O379" s="73" t="str">
        <f>IF($C379="","",DATE(YEAR($C379),MONTH($C379),1))</f>
        <v/>
      </c>
      <c r="P379" s="65" t="str">
        <f ca="1">IF($C379="","",IF(AND($D379="Gelir",$L379&lt;&gt;"",$T379=""),"TANIMSIZ BORÇLU",IF($T379&lt;&gt;"",IF(OR($E379="",$G379&lt;=0),"EKSİK",IF($I379="Evet","TAHAKKUK NAKİT OLAMAZ",IF($C379&gt;TODAY(),"İLERİ TARİH","TAHAKKUK"))),IF(AND($D379&lt;&gt;"",$E379&lt;&gt;"",$G379&gt;0,$H379&lt;&gt;"",$I379&lt;&gt;""),IF($C379&gt;TODAY(),"İLERİ TARİH",IF(COUNTIF($W$7:$W$3001,$W379)&gt;1,"MÜKERRER?",IF($AD379&gt;0,"KAPALI DÖNEM",IF($I379="Hayır","ÖDENECEK","UYGUN")))),"EKSİK"))))</f>
        <v/>
      </c>
      <c r="Q379" s="2"/>
      <c r="R379" s="2"/>
      <c r="S379" s="1" t="str">
        <f t="shared" si="17"/>
        <v/>
      </c>
      <c r="T379" s="1" t="str">
        <f>IF(OR($C379="",$D379&lt;&gt;"Gelir",$L379=""),"",IFERROR(INDEX(MUSTERILER!$B$7:$B$156,MATCH($S379,MUSTERILER!$T$7:$T$156,0)),""))</f>
        <v/>
      </c>
      <c r="U379" s="1" t="str">
        <f>IF($T379="","",$T379&amp;"|"&amp;COUNTIFS($T$7:$T379,$T379))</f>
        <v/>
      </c>
      <c r="V379" s="1">
        <f t="shared" si="18"/>
        <v>0</v>
      </c>
      <c r="W379" s="1" t="str">
        <f t="shared" si="19"/>
        <v/>
      </c>
      <c r="X379" s="1"/>
      <c r="Y379" s="1"/>
      <c r="Z379" s="1"/>
      <c r="AA379" s="1"/>
      <c r="AB379" s="1"/>
      <c r="AC379" s="1"/>
      <c r="AD379" s="1">
        <f>IF($C379="",0,SUMPRODUCT((AY_SONU!$O$7:$O$42="Evet")*(AY_SONU!$B$7:$B$42=DATE(YEAR($C379),MONTH($C379),1))))</f>
        <v>0</v>
      </c>
      <c r="AE379" s="1" t="str">
        <f>IF($E379="","",$E379&amp;"|"&amp;COUNTIFS($E$7:$E379,$E379))</f>
        <v/>
      </c>
    </row>
    <row r="380" spans="1:31" ht="18" customHeight="1" x14ac:dyDescent="0.3">
      <c r="A380" s="2"/>
      <c r="B380" s="65" t="str">
        <f>IF($C380="","","GG"&amp;TEXT(ROW()-6,"00000"))</f>
        <v/>
      </c>
      <c r="C380" s="66"/>
      <c r="D380" s="60"/>
      <c r="E380" s="61"/>
      <c r="F380" s="61"/>
      <c r="G380" s="67"/>
      <c r="H380" s="60"/>
      <c r="I380" s="60"/>
      <c r="J380" s="61"/>
      <c r="K380" s="61"/>
      <c r="L380" s="60"/>
      <c r="M380" s="74" t="str">
        <f>IF($C380="","",IF($D380="Gider",$E380,IF($L380&lt;&gt;"",$L380,$H380)))</f>
        <v/>
      </c>
      <c r="N380" s="74" t="str">
        <f>IF($C380="","",IF($D380="Gider",$H380,$E380))</f>
        <v/>
      </c>
      <c r="O380" s="73" t="str">
        <f>IF($C380="","",DATE(YEAR($C380),MONTH($C380),1))</f>
        <v/>
      </c>
      <c r="P380" s="65" t="str">
        <f ca="1">IF($C380="","",IF(AND($D380="Gelir",$L380&lt;&gt;"",$T380=""),"TANIMSIZ BORÇLU",IF($T380&lt;&gt;"",IF(OR($E380="",$G380&lt;=0),"EKSİK",IF($I380="Evet","TAHAKKUK NAKİT OLAMAZ",IF($C380&gt;TODAY(),"İLERİ TARİH","TAHAKKUK"))),IF(AND($D380&lt;&gt;"",$E380&lt;&gt;"",$G380&gt;0,$H380&lt;&gt;"",$I380&lt;&gt;""),IF($C380&gt;TODAY(),"İLERİ TARİH",IF(COUNTIF($W$7:$W$3001,$W380)&gt;1,"MÜKERRER?",IF($AD380&gt;0,"KAPALI DÖNEM",IF($I380="Hayır","ÖDENECEK","UYGUN")))),"EKSİK"))))</f>
        <v/>
      </c>
      <c r="Q380" s="2"/>
      <c r="R380" s="2"/>
      <c r="S380" s="1" t="str">
        <f t="shared" si="17"/>
        <v/>
      </c>
      <c r="T380" s="1" t="str">
        <f>IF(OR($C380="",$D380&lt;&gt;"Gelir",$L380=""),"",IFERROR(INDEX(MUSTERILER!$B$7:$B$156,MATCH($S380,MUSTERILER!$T$7:$T$156,0)),""))</f>
        <v/>
      </c>
      <c r="U380" s="1" t="str">
        <f>IF($T380="","",$T380&amp;"|"&amp;COUNTIFS($T$7:$T380,$T380))</f>
        <v/>
      </c>
      <c r="V380" s="1">
        <f t="shared" si="18"/>
        <v>0</v>
      </c>
      <c r="W380" s="1" t="str">
        <f t="shared" si="19"/>
        <v/>
      </c>
      <c r="X380" s="1"/>
      <c r="Y380" s="1"/>
      <c r="Z380" s="1"/>
      <c r="AA380" s="1"/>
      <c r="AB380" s="1"/>
      <c r="AC380" s="1"/>
      <c r="AD380" s="1">
        <f>IF($C380="",0,SUMPRODUCT((AY_SONU!$O$7:$O$42="Evet")*(AY_SONU!$B$7:$B$42=DATE(YEAR($C380),MONTH($C380),1))))</f>
        <v>0</v>
      </c>
      <c r="AE380" s="1" t="str">
        <f>IF($E380="","",$E380&amp;"|"&amp;COUNTIFS($E$7:$E380,$E380))</f>
        <v/>
      </c>
    </row>
    <row r="381" spans="1:31" ht="18" customHeight="1" x14ac:dyDescent="0.3">
      <c r="A381" s="2"/>
      <c r="B381" s="65" t="str">
        <f>IF($C381="","","GG"&amp;TEXT(ROW()-6,"00000"))</f>
        <v/>
      </c>
      <c r="C381" s="66"/>
      <c r="D381" s="60"/>
      <c r="E381" s="61"/>
      <c r="F381" s="61"/>
      <c r="G381" s="67"/>
      <c r="H381" s="60"/>
      <c r="I381" s="60"/>
      <c r="J381" s="61"/>
      <c r="K381" s="61"/>
      <c r="L381" s="60"/>
      <c r="M381" s="74" t="str">
        <f>IF($C381="","",IF($D381="Gider",$E381,IF($L381&lt;&gt;"",$L381,$H381)))</f>
        <v/>
      </c>
      <c r="N381" s="74" t="str">
        <f>IF($C381="","",IF($D381="Gider",$H381,$E381))</f>
        <v/>
      </c>
      <c r="O381" s="73" t="str">
        <f>IF($C381="","",DATE(YEAR($C381),MONTH($C381),1))</f>
        <v/>
      </c>
      <c r="P381" s="65" t="str">
        <f ca="1">IF($C381="","",IF(AND($D381="Gelir",$L381&lt;&gt;"",$T381=""),"TANIMSIZ BORÇLU",IF($T381&lt;&gt;"",IF(OR($E381="",$G381&lt;=0),"EKSİK",IF($I381="Evet","TAHAKKUK NAKİT OLAMAZ",IF($C381&gt;TODAY(),"İLERİ TARİH","TAHAKKUK"))),IF(AND($D381&lt;&gt;"",$E381&lt;&gt;"",$G381&gt;0,$H381&lt;&gt;"",$I381&lt;&gt;""),IF($C381&gt;TODAY(),"İLERİ TARİH",IF(COUNTIF($W$7:$W$3001,$W381)&gt;1,"MÜKERRER?",IF($AD381&gt;0,"KAPALI DÖNEM",IF($I381="Hayır","ÖDENECEK","UYGUN")))),"EKSİK"))))</f>
        <v/>
      </c>
      <c r="Q381" s="2"/>
      <c r="R381" s="2"/>
      <c r="S381" s="1" t="str">
        <f t="shared" si="17"/>
        <v/>
      </c>
      <c r="T381" s="1" t="str">
        <f>IF(OR($C381="",$D381&lt;&gt;"Gelir",$L381=""),"",IFERROR(INDEX(MUSTERILER!$B$7:$B$156,MATCH($S381,MUSTERILER!$T$7:$T$156,0)),""))</f>
        <v/>
      </c>
      <c r="U381" s="1" t="str">
        <f>IF($T381="","",$T381&amp;"|"&amp;COUNTIFS($T$7:$T381,$T381))</f>
        <v/>
      </c>
      <c r="V381" s="1">
        <f t="shared" si="18"/>
        <v>0</v>
      </c>
      <c r="W381" s="1" t="str">
        <f t="shared" si="19"/>
        <v/>
      </c>
      <c r="X381" s="1"/>
      <c r="Y381" s="1"/>
      <c r="Z381" s="1"/>
      <c r="AA381" s="1"/>
      <c r="AB381" s="1"/>
      <c r="AC381" s="1"/>
      <c r="AD381" s="1">
        <f>IF($C381="",0,SUMPRODUCT((AY_SONU!$O$7:$O$42="Evet")*(AY_SONU!$B$7:$B$42=DATE(YEAR($C381),MONTH($C381),1))))</f>
        <v>0</v>
      </c>
      <c r="AE381" s="1" t="str">
        <f>IF($E381="","",$E381&amp;"|"&amp;COUNTIFS($E$7:$E381,$E381))</f>
        <v/>
      </c>
    </row>
    <row r="382" spans="1:31" ht="18" customHeight="1" x14ac:dyDescent="0.3">
      <c r="A382" s="2"/>
      <c r="B382" s="65" t="str">
        <f>IF($C382="","","GG"&amp;TEXT(ROW()-6,"00000"))</f>
        <v/>
      </c>
      <c r="C382" s="66"/>
      <c r="D382" s="60"/>
      <c r="E382" s="61"/>
      <c r="F382" s="61"/>
      <c r="G382" s="67"/>
      <c r="H382" s="60"/>
      <c r="I382" s="60"/>
      <c r="J382" s="61"/>
      <c r="K382" s="61"/>
      <c r="L382" s="60"/>
      <c r="M382" s="74" t="str">
        <f>IF($C382="","",IF($D382="Gider",$E382,IF($L382&lt;&gt;"",$L382,$H382)))</f>
        <v/>
      </c>
      <c r="N382" s="74" t="str">
        <f>IF($C382="","",IF($D382="Gider",$H382,$E382))</f>
        <v/>
      </c>
      <c r="O382" s="73" t="str">
        <f>IF($C382="","",DATE(YEAR($C382),MONTH($C382),1))</f>
        <v/>
      </c>
      <c r="P382" s="65" t="str">
        <f ca="1">IF($C382="","",IF(AND($D382="Gelir",$L382&lt;&gt;"",$T382=""),"TANIMSIZ BORÇLU",IF($T382&lt;&gt;"",IF(OR($E382="",$G382&lt;=0),"EKSİK",IF($I382="Evet","TAHAKKUK NAKİT OLAMAZ",IF($C382&gt;TODAY(),"İLERİ TARİH","TAHAKKUK"))),IF(AND($D382&lt;&gt;"",$E382&lt;&gt;"",$G382&gt;0,$H382&lt;&gt;"",$I382&lt;&gt;""),IF($C382&gt;TODAY(),"İLERİ TARİH",IF(COUNTIF($W$7:$W$3001,$W382)&gt;1,"MÜKERRER?",IF($AD382&gt;0,"KAPALI DÖNEM",IF($I382="Hayır","ÖDENECEK","UYGUN")))),"EKSİK"))))</f>
        <v/>
      </c>
      <c r="Q382" s="2"/>
      <c r="R382" s="2"/>
      <c r="S382" s="1" t="str">
        <f t="shared" si="17"/>
        <v/>
      </c>
      <c r="T382" s="1" t="str">
        <f>IF(OR($C382="",$D382&lt;&gt;"Gelir",$L382=""),"",IFERROR(INDEX(MUSTERILER!$B$7:$B$156,MATCH($S382,MUSTERILER!$T$7:$T$156,0)),""))</f>
        <v/>
      </c>
      <c r="U382" s="1" t="str">
        <f>IF($T382="","",$T382&amp;"|"&amp;COUNTIFS($T$7:$T382,$T382))</f>
        <v/>
      </c>
      <c r="V382" s="1">
        <f t="shared" si="18"/>
        <v>0</v>
      </c>
      <c r="W382" s="1" t="str">
        <f t="shared" si="19"/>
        <v/>
      </c>
      <c r="X382" s="1"/>
      <c r="Y382" s="1"/>
      <c r="Z382" s="1"/>
      <c r="AA382" s="1"/>
      <c r="AB382" s="1"/>
      <c r="AC382" s="1"/>
      <c r="AD382" s="1">
        <f>IF($C382="",0,SUMPRODUCT((AY_SONU!$O$7:$O$42="Evet")*(AY_SONU!$B$7:$B$42=DATE(YEAR($C382),MONTH($C382),1))))</f>
        <v>0</v>
      </c>
      <c r="AE382" s="1" t="str">
        <f>IF($E382="","",$E382&amp;"|"&amp;COUNTIFS($E$7:$E382,$E382))</f>
        <v/>
      </c>
    </row>
    <row r="383" spans="1:31" ht="18" customHeight="1" x14ac:dyDescent="0.3">
      <c r="A383" s="2"/>
      <c r="B383" s="65" t="str">
        <f>IF($C383="","","GG"&amp;TEXT(ROW()-6,"00000"))</f>
        <v/>
      </c>
      <c r="C383" s="66"/>
      <c r="D383" s="60"/>
      <c r="E383" s="61"/>
      <c r="F383" s="61"/>
      <c r="G383" s="67"/>
      <c r="H383" s="60"/>
      <c r="I383" s="60"/>
      <c r="J383" s="61"/>
      <c r="K383" s="61"/>
      <c r="L383" s="60"/>
      <c r="M383" s="74" t="str">
        <f>IF($C383="","",IF($D383="Gider",$E383,IF($L383&lt;&gt;"",$L383,$H383)))</f>
        <v/>
      </c>
      <c r="N383" s="74" t="str">
        <f>IF($C383="","",IF($D383="Gider",$H383,$E383))</f>
        <v/>
      </c>
      <c r="O383" s="73" t="str">
        <f>IF($C383="","",DATE(YEAR($C383),MONTH($C383),1))</f>
        <v/>
      </c>
      <c r="P383" s="65" t="str">
        <f ca="1">IF($C383="","",IF(AND($D383="Gelir",$L383&lt;&gt;"",$T383=""),"TANIMSIZ BORÇLU",IF($T383&lt;&gt;"",IF(OR($E383="",$G383&lt;=0),"EKSİK",IF($I383="Evet","TAHAKKUK NAKİT OLAMAZ",IF($C383&gt;TODAY(),"İLERİ TARİH","TAHAKKUK"))),IF(AND($D383&lt;&gt;"",$E383&lt;&gt;"",$G383&gt;0,$H383&lt;&gt;"",$I383&lt;&gt;""),IF($C383&gt;TODAY(),"İLERİ TARİH",IF(COUNTIF($W$7:$W$3001,$W383)&gt;1,"MÜKERRER?",IF($AD383&gt;0,"KAPALI DÖNEM",IF($I383="Hayır","ÖDENECEK","UYGUN")))),"EKSİK"))))</f>
        <v/>
      </c>
      <c r="Q383" s="2"/>
      <c r="R383" s="2"/>
      <c r="S383" s="1" t="str">
        <f t="shared" si="17"/>
        <v/>
      </c>
      <c r="T383" s="1" t="str">
        <f>IF(OR($C383="",$D383&lt;&gt;"Gelir",$L383=""),"",IFERROR(INDEX(MUSTERILER!$B$7:$B$156,MATCH($S383,MUSTERILER!$T$7:$T$156,0)),""))</f>
        <v/>
      </c>
      <c r="U383" s="1" t="str">
        <f>IF($T383="","",$T383&amp;"|"&amp;COUNTIFS($T$7:$T383,$T383))</f>
        <v/>
      </c>
      <c r="V383" s="1">
        <f t="shared" si="18"/>
        <v>0</v>
      </c>
      <c r="W383" s="1" t="str">
        <f t="shared" si="19"/>
        <v/>
      </c>
      <c r="X383" s="1"/>
      <c r="Y383" s="1"/>
      <c r="Z383" s="1"/>
      <c r="AA383" s="1"/>
      <c r="AB383" s="1"/>
      <c r="AC383" s="1"/>
      <c r="AD383" s="1">
        <f>IF($C383="",0,SUMPRODUCT((AY_SONU!$O$7:$O$42="Evet")*(AY_SONU!$B$7:$B$42=DATE(YEAR($C383),MONTH($C383),1))))</f>
        <v>0</v>
      </c>
      <c r="AE383" s="1" t="str">
        <f>IF($E383="","",$E383&amp;"|"&amp;COUNTIFS($E$7:$E383,$E383))</f>
        <v/>
      </c>
    </row>
    <row r="384" spans="1:31" ht="18" customHeight="1" x14ac:dyDescent="0.3">
      <c r="A384" s="2"/>
      <c r="B384" s="65" t="str">
        <f>IF($C384="","","GG"&amp;TEXT(ROW()-6,"00000"))</f>
        <v/>
      </c>
      <c r="C384" s="66"/>
      <c r="D384" s="60"/>
      <c r="E384" s="61"/>
      <c r="F384" s="61"/>
      <c r="G384" s="67"/>
      <c r="H384" s="60"/>
      <c r="I384" s="60"/>
      <c r="J384" s="61"/>
      <c r="K384" s="61"/>
      <c r="L384" s="60"/>
      <c r="M384" s="74" t="str">
        <f>IF($C384="","",IF($D384="Gider",$E384,IF($L384&lt;&gt;"",$L384,$H384)))</f>
        <v/>
      </c>
      <c r="N384" s="74" t="str">
        <f>IF($C384="","",IF($D384="Gider",$H384,$E384))</f>
        <v/>
      </c>
      <c r="O384" s="73" t="str">
        <f>IF($C384="","",DATE(YEAR($C384),MONTH($C384),1))</f>
        <v/>
      </c>
      <c r="P384" s="65" t="str">
        <f ca="1">IF($C384="","",IF(AND($D384="Gelir",$L384&lt;&gt;"",$T384=""),"TANIMSIZ BORÇLU",IF($T384&lt;&gt;"",IF(OR($E384="",$G384&lt;=0),"EKSİK",IF($I384="Evet","TAHAKKUK NAKİT OLAMAZ",IF($C384&gt;TODAY(),"İLERİ TARİH","TAHAKKUK"))),IF(AND($D384&lt;&gt;"",$E384&lt;&gt;"",$G384&gt;0,$H384&lt;&gt;"",$I384&lt;&gt;""),IF($C384&gt;TODAY(),"İLERİ TARİH",IF(COUNTIF($W$7:$W$3001,$W384)&gt;1,"MÜKERRER?",IF($AD384&gt;0,"KAPALI DÖNEM",IF($I384="Hayır","ÖDENECEK","UYGUN")))),"EKSİK"))))</f>
        <v/>
      </c>
      <c r="Q384" s="2"/>
      <c r="R384" s="2"/>
      <c r="S384" s="1" t="str">
        <f t="shared" si="17"/>
        <v/>
      </c>
      <c r="T384" s="1" t="str">
        <f>IF(OR($C384="",$D384&lt;&gt;"Gelir",$L384=""),"",IFERROR(INDEX(MUSTERILER!$B$7:$B$156,MATCH($S384,MUSTERILER!$T$7:$T$156,0)),""))</f>
        <v/>
      </c>
      <c r="U384" s="1" t="str">
        <f>IF($T384="","",$T384&amp;"|"&amp;COUNTIFS($T$7:$T384,$T384))</f>
        <v/>
      </c>
      <c r="V384" s="1">
        <f t="shared" si="18"/>
        <v>0</v>
      </c>
      <c r="W384" s="1" t="str">
        <f t="shared" si="19"/>
        <v/>
      </c>
      <c r="X384" s="1"/>
      <c r="Y384" s="1"/>
      <c r="Z384" s="1"/>
      <c r="AA384" s="1"/>
      <c r="AB384" s="1"/>
      <c r="AC384" s="1"/>
      <c r="AD384" s="1">
        <f>IF($C384="",0,SUMPRODUCT((AY_SONU!$O$7:$O$42="Evet")*(AY_SONU!$B$7:$B$42=DATE(YEAR($C384),MONTH($C384),1))))</f>
        <v>0</v>
      </c>
      <c r="AE384" s="1" t="str">
        <f>IF($E384="","",$E384&amp;"|"&amp;COUNTIFS($E$7:$E384,$E384))</f>
        <v/>
      </c>
    </row>
    <row r="385" spans="1:31" ht="18" customHeight="1" x14ac:dyDescent="0.3">
      <c r="A385" s="2"/>
      <c r="B385" s="65" t="str">
        <f>IF($C385="","","GG"&amp;TEXT(ROW()-6,"00000"))</f>
        <v/>
      </c>
      <c r="C385" s="66"/>
      <c r="D385" s="60"/>
      <c r="E385" s="61"/>
      <c r="F385" s="61"/>
      <c r="G385" s="67"/>
      <c r="H385" s="60"/>
      <c r="I385" s="60"/>
      <c r="J385" s="61"/>
      <c r="K385" s="61"/>
      <c r="L385" s="60"/>
      <c r="M385" s="74" t="str">
        <f>IF($C385="","",IF($D385="Gider",$E385,IF($L385&lt;&gt;"",$L385,$H385)))</f>
        <v/>
      </c>
      <c r="N385" s="74" t="str">
        <f>IF($C385="","",IF($D385="Gider",$H385,$E385))</f>
        <v/>
      </c>
      <c r="O385" s="73" t="str">
        <f>IF($C385="","",DATE(YEAR($C385),MONTH($C385),1))</f>
        <v/>
      </c>
      <c r="P385" s="65" t="str">
        <f ca="1">IF($C385="","",IF(AND($D385="Gelir",$L385&lt;&gt;"",$T385=""),"TANIMSIZ BORÇLU",IF($T385&lt;&gt;"",IF(OR($E385="",$G385&lt;=0),"EKSİK",IF($I385="Evet","TAHAKKUK NAKİT OLAMAZ",IF($C385&gt;TODAY(),"İLERİ TARİH","TAHAKKUK"))),IF(AND($D385&lt;&gt;"",$E385&lt;&gt;"",$G385&gt;0,$H385&lt;&gt;"",$I385&lt;&gt;""),IF($C385&gt;TODAY(),"İLERİ TARİH",IF(COUNTIF($W$7:$W$3001,$W385)&gt;1,"MÜKERRER?",IF($AD385&gt;0,"KAPALI DÖNEM",IF($I385="Hayır","ÖDENECEK","UYGUN")))),"EKSİK"))))</f>
        <v/>
      </c>
      <c r="Q385" s="2"/>
      <c r="R385" s="2"/>
      <c r="S385" s="1" t="str">
        <f t="shared" si="17"/>
        <v/>
      </c>
      <c r="T385" s="1" t="str">
        <f>IF(OR($C385="",$D385&lt;&gt;"Gelir",$L385=""),"",IFERROR(INDEX(MUSTERILER!$B$7:$B$156,MATCH($S385,MUSTERILER!$T$7:$T$156,0)),""))</f>
        <v/>
      </c>
      <c r="U385" s="1" t="str">
        <f>IF($T385="","",$T385&amp;"|"&amp;COUNTIFS($T$7:$T385,$T385))</f>
        <v/>
      </c>
      <c r="V385" s="1">
        <f t="shared" si="18"/>
        <v>0</v>
      </c>
      <c r="W385" s="1" t="str">
        <f t="shared" si="19"/>
        <v/>
      </c>
      <c r="X385" s="1"/>
      <c r="Y385" s="1"/>
      <c r="Z385" s="1"/>
      <c r="AA385" s="1"/>
      <c r="AB385" s="1"/>
      <c r="AC385" s="1"/>
      <c r="AD385" s="1">
        <f>IF($C385="",0,SUMPRODUCT((AY_SONU!$O$7:$O$42="Evet")*(AY_SONU!$B$7:$B$42=DATE(YEAR($C385),MONTH($C385),1))))</f>
        <v>0</v>
      </c>
      <c r="AE385" s="1" t="str">
        <f>IF($E385="","",$E385&amp;"|"&amp;COUNTIFS($E$7:$E385,$E385))</f>
        <v/>
      </c>
    </row>
    <row r="386" spans="1:31" ht="18" customHeight="1" x14ac:dyDescent="0.3">
      <c r="A386" s="2"/>
      <c r="B386" s="65" t="str">
        <f>IF($C386="","","GG"&amp;TEXT(ROW()-6,"00000"))</f>
        <v/>
      </c>
      <c r="C386" s="66"/>
      <c r="D386" s="60"/>
      <c r="E386" s="61"/>
      <c r="F386" s="61"/>
      <c r="G386" s="67"/>
      <c r="H386" s="60"/>
      <c r="I386" s="60"/>
      <c r="J386" s="61"/>
      <c r="K386" s="61"/>
      <c r="L386" s="60"/>
      <c r="M386" s="74" t="str">
        <f>IF($C386="","",IF($D386="Gider",$E386,IF($L386&lt;&gt;"",$L386,$H386)))</f>
        <v/>
      </c>
      <c r="N386" s="74" t="str">
        <f>IF($C386="","",IF($D386="Gider",$H386,$E386))</f>
        <v/>
      </c>
      <c r="O386" s="73" t="str">
        <f>IF($C386="","",DATE(YEAR($C386),MONTH($C386),1))</f>
        <v/>
      </c>
      <c r="P386" s="65" t="str">
        <f ca="1">IF($C386="","",IF(AND($D386="Gelir",$L386&lt;&gt;"",$T386=""),"TANIMSIZ BORÇLU",IF($T386&lt;&gt;"",IF(OR($E386="",$G386&lt;=0),"EKSİK",IF($I386="Evet","TAHAKKUK NAKİT OLAMAZ",IF($C386&gt;TODAY(),"İLERİ TARİH","TAHAKKUK"))),IF(AND($D386&lt;&gt;"",$E386&lt;&gt;"",$G386&gt;0,$H386&lt;&gt;"",$I386&lt;&gt;""),IF($C386&gt;TODAY(),"İLERİ TARİH",IF(COUNTIF($W$7:$W$3001,$W386)&gt;1,"MÜKERRER?",IF($AD386&gt;0,"KAPALI DÖNEM",IF($I386="Hayır","ÖDENECEK","UYGUN")))),"EKSİK"))))</f>
        <v/>
      </c>
      <c r="Q386" s="2"/>
      <c r="R386" s="2"/>
      <c r="S386" s="1" t="str">
        <f t="shared" si="17"/>
        <v/>
      </c>
      <c r="T386" s="1" t="str">
        <f>IF(OR($C386="",$D386&lt;&gt;"Gelir",$L386=""),"",IFERROR(INDEX(MUSTERILER!$B$7:$B$156,MATCH($S386,MUSTERILER!$T$7:$T$156,0)),""))</f>
        <v/>
      </c>
      <c r="U386" s="1" t="str">
        <f>IF($T386="","",$T386&amp;"|"&amp;COUNTIFS($T$7:$T386,$T386))</f>
        <v/>
      </c>
      <c r="V386" s="1">
        <f t="shared" si="18"/>
        <v>0</v>
      </c>
      <c r="W386" s="1" t="str">
        <f t="shared" si="19"/>
        <v/>
      </c>
      <c r="X386" s="1"/>
      <c r="Y386" s="1"/>
      <c r="Z386" s="1"/>
      <c r="AA386" s="1"/>
      <c r="AB386" s="1"/>
      <c r="AC386" s="1"/>
      <c r="AD386" s="1">
        <f>IF($C386="",0,SUMPRODUCT((AY_SONU!$O$7:$O$42="Evet")*(AY_SONU!$B$7:$B$42=DATE(YEAR($C386),MONTH($C386),1))))</f>
        <v>0</v>
      </c>
      <c r="AE386" s="1" t="str">
        <f>IF($E386="","",$E386&amp;"|"&amp;COUNTIFS($E$7:$E386,$E386))</f>
        <v/>
      </c>
    </row>
    <row r="387" spans="1:31" ht="18" customHeight="1" x14ac:dyDescent="0.3">
      <c r="A387" s="2"/>
      <c r="B387" s="65" t="str">
        <f>IF($C387="","","GG"&amp;TEXT(ROW()-6,"00000"))</f>
        <v/>
      </c>
      <c r="C387" s="66"/>
      <c r="D387" s="60"/>
      <c r="E387" s="61"/>
      <c r="F387" s="61"/>
      <c r="G387" s="67"/>
      <c r="H387" s="60"/>
      <c r="I387" s="60"/>
      <c r="J387" s="61"/>
      <c r="K387" s="61"/>
      <c r="L387" s="60"/>
      <c r="M387" s="74" t="str">
        <f>IF($C387="","",IF($D387="Gider",$E387,IF($L387&lt;&gt;"",$L387,$H387)))</f>
        <v/>
      </c>
      <c r="N387" s="74" t="str">
        <f>IF($C387="","",IF($D387="Gider",$H387,$E387))</f>
        <v/>
      </c>
      <c r="O387" s="73" t="str">
        <f>IF($C387="","",DATE(YEAR($C387),MONTH($C387),1))</f>
        <v/>
      </c>
      <c r="P387" s="65" t="str">
        <f ca="1">IF($C387="","",IF(AND($D387="Gelir",$L387&lt;&gt;"",$T387=""),"TANIMSIZ BORÇLU",IF($T387&lt;&gt;"",IF(OR($E387="",$G387&lt;=0),"EKSİK",IF($I387="Evet","TAHAKKUK NAKİT OLAMAZ",IF($C387&gt;TODAY(),"İLERİ TARİH","TAHAKKUK"))),IF(AND($D387&lt;&gt;"",$E387&lt;&gt;"",$G387&gt;0,$H387&lt;&gt;"",$I387&lt;&gt;""),IF($C387&gt;TODAY(),"İLERİ TARİH",IF(COUNTIF($W$7:$W$3001,$W387)&gt;1,"MÜKERRER?",IF($AD387&gt;0,"KAPALI DÖNEM",IF($I387="Hayır","ÖDENECEK","UYGUN")))),"EKSİK"))))</f>
        <v/>
      </c>
      <c r="Q387" s="2"/>
      <c r="R387" s="2"/>
      <c r="S387" s="1" t="str">
        <f t="shared" si="17"/>
        <v/>
      </c>
      <c r="T387" s="1" t="str">
        <f>IF(OR($C387="",$D387&lt;&gt;"Gelir",$L387=""),"",IFERROR(INDEX(MUSTERILER!$B$7:$B$156,MATCH($S387,MUSTERILER!$T$7:$T$156,0)),""))</f>
        <v/>
      </c>
      <c r="U387" s="1" t="str">
        <f>IF($T387="","",$T387&amp;"|"&amp;COUNTIFS($T$7:$T387,$T387))</f>
        <v/>
      </c>
      <c r="V387" s="1">
        <f t="shared" si="18"/>
        <v>0</v>
      </c>
      <c r="W387" s="1" t="str">
        <f t="shared" si="19"/>
        <v/>
      </c>
      <c r="X387" s="1"/>
      <c r="Y387" s="1"/>
      <c r="Z387" s="1"/>
      <c r="AA387" s="1"/>
      <c r="AB387" s="1"/>
      <c r="AC387" s="1"/>
      <c r="AD387" s="1">
        <f>IF($C387="",0,SUMPRODUCT((AY_SONU!$O$7:$O$42="Evet")*(AY_SONU!$B$7:$B$42=DATE(YEAR($C387),MONTH($C387),1))))</f>
        <v>0</v>
      </c>
      <c r="AE387" s="1" t="str">
        <f>IF($E387="","",$E387&amp;"|"&amp;COUNTIFS($E$7:$E387,$E387))</f>
        <v/>
      </c>
    </row>
    <row r="388" spans="1:31" ht="18" customHeight="1" x14ac:dyDescent="0.3">
      <c r="A388" s="2"/>
      <c r="B388" s="65" t="str">
        <f>IF($C388="","","GG"&amp;TEXT(ROW()-6,"00000"))</f>
        <v/>
      </c>
      <c r="C388" s="66"/>
      <c r="D388" s="60"/>
      <c r="E388" s="61"/>
      <c r="F388" s="61"/>
      <c r="G388" s="67"/>
      <c r="H388" s="60"/>
      <c r="I388" s="60"/>
      <c r="J388" s="61"/>
      <c r="K388" s="61"/>
      <c r="L388" s="60"/>
      <c r="M388" s="74" t="str">
        <f>IF($C388="","",IF($D388="Gider",$E388,IF($L388&lt;&gt;"",$L388,$H388)))</f>
        <v/>
      </c>
      <c r="N388" s="74" t="str">
        <f>IF($C388="","",IF($D388="Gider",$H388,$E388))</f>
        <v/>
      </c>
      <c r="O388" s="73" t="str">
        <f>IF($C388="","",DATE(YEAR($C388),MONTH($C388),1))</f>
        <v/>
      </c>
      <c r="P388" s="65" t="str">
        <f ca="1">IF($C388="","",IF(AND($D388="Gelir",$L388&lt;&gt;"",$T388=""),"TANIMSIZ BORÇLU",IF($T388&lt;&gt;"",IF(OR($E388="",$G388&lt;=0),"EKSİK",IF($I388="Evet","TAHAKKUK NAKİT OLAMAZ",IF($C388&gt;TODAY(),"İLERİ TARİH","TAHAKKUK"))),IF(AND($D388&lt;&gt;"",$E388&lt;&gt;"",$G388&gt;0,$H388&lt;&gt;"",$I388&lt;&gt;""),IF($C388&gt;TODAY(),"İLERİ TARİH",IF(COUNTIF($W$7:$W$3001,$W388)&gt;1,"MÜKERRER?",IF($AD388&gt;0,"KAPALI DÖNEM",IF($I388="Hayır","ÖDENECEK","UYGUN")))),"EKSİK"))))</f>
        <v/>
      </c>
      <c r="Q388" s="2"/>
      <c r="R388" s="2"/>
      <c r="S388" s="1" t="str">
        <f t="shared" si="17"/>
        <v/>
      </c>
      <c r="T388" s="1" t="str">
        <f>IF(OR($C388="",$D388&lt;&gt;"Gelir",$L388=""),"",IFERROR(INDEX(MUSTERILER!$B$7:$B$156,MATCH($S388,MUSTERILER!$T$7:$T$156,0)),""))</f>
        <v/>
      </c>
      <c r="U388" s="1" t="str">
        <f>IF($T388="","",$T388&amp;"|"&amp;COUNTIFS($T$7:$T388,$T388))</f>
        <v/>
      </c>
      <c r="V388" s="1">
        <f t="shared" si="18"/>
        <v>0</v>
      </c>
      <c r="W388" s="1" t="str">
        <f t="shared" si="19"/>
        <v/>
      </c>
      <c r="X388" s="1"/>
      <c r="Y388" s="1"/>
      <c r="Z388" s="1"/>
      <c r="AA388" s="1"/>
      <c r="AB388" s="1"/>
      <c r="AC388" s="1"/>
      <c r="AD388" s="1">
        <f>IF($C388="",0,SUMPRODUCT((AY_SONU!$O$7:$O$42="Evet")*(AY_SONU!$B$7:$B$42=DATE(YEAR($C388),MONTH($C388),1))))</f>
        <v>0</v>
      </c>
      <c r="AE388" s="1" t="str">
        <f>IF($E388="","",$E388&amp;"|"&amp;COUNTIFS($E$7:$E388,$E388))</f>
        <v/>
      </c>
    </row>
    <row r="389" spans="1:31" ht="18" customHeight="1" x14ac:dyDescent="0.3">
      <c r="A389" s="2"/>
      <c r="B389" s="65" t="str">
        <f>IF($C389="","","GG"&amp;TEXT(ROW()-6,"00000"))</f>
        <v/>
      </c>
      <c r="C389" s="66"/>
      <c r="D389" s="60"/>
      <c r="E389" s="61"/>
      <c r="F389" s="61"/>
      <c r="G389" s="67"/>
      <c r="H389" s="60"/>
      <c r="I389" s="60"/>
      <c r="J389" s="61"/>
      <c r="K389" s="61"/>
      <c r="L389" s="60"/>
      <c r="M389" s="74" t="str">
        <f>IF($C389="","",IF($D389="Gider",$E389,IF($L389&lt;&gt;"",$L389,$H389)))</f>
        <v/>
      </c>
      <c r="N389" s="74" t="str">
        <f>IF($C389="","",IF($D389="Gider",$H389,$E389))</f>
        <v/>
      </c>
      <c r="O389" s="73" t="str">
        <f>IF($C389="","",DATE(YEAR($C389),MONTH($C389),1))</f>
        <v/>
      </c>
      <c r="P389" s="65" t="str">
        <f ca="1">IF($C389="","",IF(AND($D389="Gelir",$L389&lt;&gt;"",$T389=""),"TANIMSIZ BORÇLU",IF($T389&lt;&gt;"",IF(OR($E389="",$G389&lt;=0),"EKSİK",IF($I389="Evet","TAHAKKUK NAKİT OLAMAZ",IF($C389&gt;TODAY(),"İLERİ TARİH","TAHAKKUK"))),IF(AND($D389&lt;&gt;"",$E389&lt;&gt;"",$G389&gt;0,$H389&lt;&gt;"",$I389&lt;&gt;""),IF($C389&gt;TODAY(),"İLERİ TARİH",IF(COUNTIF($W$7:$W$3001,$W389)&gt;1,"MÜKERRER?",IF($AD389&gt;0,"KAPALI DÖNEM",IF($I389="Hayır","ÖDENECEK","UYGUN")))),"EKSİK"))))</f>
        <v/>
      </c>
      <c r="Q389" s="2"/>
      <c r="R389" s="2"/>
      <c r="S389" s="1" t="str">
        <f t="shared" ref="S389:S452" si="20"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1" t="str">
        <f>IF(OR($C389="",$D389&lt;&gt;"Gelir",$L389=""),"",IFERROR(INDEX(MUSTERILER!$B$7:$B$156,MATCH($S389,MUSTERILER!$T$7:$T$156,0)),""))</f>
        <v/>
      </c>
      <c r="U389" s="1" t="str">
        <f>IF($T389="","",$T389&amp;"|"&amp;COUNTIFS($T$7:$T389,$T389))</f>
        <v/>
      </c>
      <c r="V389" s="1">
        <f t="shared" ref="V389:V452" si="21">IF($T389="",0,1)</f>
        <v>0</v>
      </c>
      <c r="W389" s="1" t="str">
        <f t="shared" ref="W389:W452" si="22">IF($C389="","",$D389&amp;"|"&amp;$E389&amp;"|"&amp;TEXT($C389,"0")&amp;"|"&amp;TEXT($G389,"0")&amp;"|"&amp;$F389&amp;"|"&amp;$J389)</f>
        <v/>
      </c>
      <c r="X389" s="1"/>
      <c r="Y389" s="1"/>
      <c r="Z389" s="1"/>
      <c r="AA389" s="1"/>
      <c r="AB389" s="1"/>
      <c r="AC389" s="1"/>
      <c r="AD389" s="1">
        <f>IF($C389="",0,SUMPRODUCT((AY_SONU!$O$7:$O$42="Evet")*(AY_SONU!$B$7:$B$42=DATE(YEAR($C389),MONTH($C389),1))))</f>
        <v>0</v>
      </c>
      <c r="AE389" s="1" t="str">
        <f>IF($E389="","",$E389&amp;"|"&amp;COUNTIFS($E$7:$E389,$E389))</f>
        <v/>
      </c>
    </row>
    <row r="390" spans="1:31" ht="18" customHeight="1" x14ac:dyDescent="0.3">
      <c r="A390" s="2"/>
      <c r="B390" s="65" t="str">
        <f>IF($C390="","","GG"&amp;TEXT(ROW()-6,"00000"))</f>
        <v/>
      </c>
      <c r="C390" s="66"/>
      <c r="D390" s="60"/>
      <c r="E390" s="61"/>
      <c r="F390" s="61"/>
      <c r="G390" s="67"/>
      <c r="H390" s="60"/>
      <c r="I390" s="60"/>
      <c r="J390" s="61"/>
      <c r="K390" s="61"/>
      <c r="L390" s="60"/>
      <c r="M390" s="74" t="str">
        <f>IF($C390="","",IF($D390="Gider",$E390,IF($L390&lt;&gt;"",$L390,$H390)))</f>
        <v/>
      </c>
      <c r="N390" s="74" t="str">
        <f>IF($C390="","",IF($D390="Gider",$H390,$E390))</f>
        <v/>
      </c>
      <c r="O390" s="73" t="str">
        <f>IF($C390="","",DATE(YEAR($C390),MONTH($C390),1))</f>
        <v/>
      </c>
      <c r="P390" s="65" t="str">
        <f ca="1">IF($C390="","",IF(AND($D390="Gelir",$L390&lt;&gt;"",$T390=""),"TANIMSIZ BORÇLU",IF($T390&lt;&gt;"",IF(OR($E390="",$G390&lt;=0),"EKSİK",IF($I390="Evet","TAHAKKUK NAKİT OLAMAZ",IF($C390&gt;TODAY(),"İLERİ TARİH","TAHAKKUK"))),IF(AND($D390&lt;&gt;"",$E390&lt;&gt;"",$G390&gt;0,$H390&lt;&gt;"",$I390&lt;&gt;""),IF($C390&gt;TODAY(),"İLERİ TARİH",IF(COUNTIF($W$7:$W$3001,$W390)&gt;1,"MÜKERRER?",IF($AD390&gt;0,"KAPALI DÖNEM",IF($I390="Hayır","ÖDENECEK","UYGUN")))),"EKSİK"))))</f>
        <v/>
      </c>
      <c r="Q390" s="2"/>
      <c r="R390" s="2"/>
      <c r="S390" s="1" t="str">
        <f t="shared" si="20"/>
        <v/>
      </c>
      <c r="T390" s="1" t="str">
        <f>IF(OR($C390="",$D390&lt;&gt;"Gelir",$L390=""),"",IFERROR(INDEX(MUSTERILER!$B$7:$B$156,MATCH($S390,MUSTERILER!$T$7:$T$156,0)),""))</f>
        <v/>
      </c>
      <c r="U390" s="1" t="str">
        <f>IF($T390="","",$T390&amp;"|"&amp;COUNTIFS($T$7:$T390,$T390))</f>
        <v/>
      </c>
      <c r="V390" s="1">
        <f t="shared" si="21"/>
        <v>0</v>
      </c>
      <c r="W390" s="1" t="str">
        <f t="shared" si="22"/>
        <v/>
      </c>
      <c r="X390" s="1"/>
      <c r="Y390" s="1"/>
      <c r="Z390" s="1"/>
      <c r="AA390" s="1"/>
      <c r="AB390" s="1"/>
      <c r="AC390" s="1"/>
      <c r="AD390" s="1">
        <f>IF($C390="",0,SUMPRODUCT((AY_SONU!$O$7:$O$42="Evet")*(AY_SONU!$B$7:$B$42=DATE(YEAR($C390),MONTH($C390),1))))</f>
        <v>0</v>
      </c>
      <c r="AE390" s="1" t="str">
        <f>IF($E390="","",$E390&amp;"|"&amp;COUNTIFS($E$7:$E390,$E390))</f>
        <v/>
      </c>
    </row>
    <row r="391" spans="1:31" ht="18" customHeight="1" x14ac:dyDescent="0.3">
      <c r="A391" s="2"/>
      <c r="B391" s="65" t="str">
        <f>IF($C391="","","GG"&amp;TEXT(ROW()-6,"00000"))</f>
        <v/>
      </c>
      <c r="C391" s="66"/>
      <c r="D391" s="60"/>
      <c r="E391" s="61"/>
      <c r="F391" s="61"/>
      <c r="G391" s="67"/>
      <c r="H391" s="60"/>
      <c r="I391" s="60"/>
      <c r="J391" s="61"/>
      <c r="K391" s="61"/>
      <c r="L391" s="60"/>
      <c r="M391" s="74" t="str">
        <f>IF($C391="","",IF($D391="Gider",$E391,IF($L391&lt;&gt;"",$L391,$H391)))</f>
        <v/>
      </c>
      <c r="N391" s="74" t="str">
        <f>IF($C391="","",IF($D391="Gider",$H391,$E391))</f>
        <v/>
      </c>
      <c r="O391" s="73" t="str">
        <f>IF($C391="","",DATE(YEAR($C391),MONTH($C391),1))</f>
        <v/>
      </c>
      <c r="P391" s="65" t="str">
        <f ca="1"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TARİH",IF(COUNTIF($W$7:$W$3001,$W391)&gt;1,"MÜKERRER?",IF($AD391&gt;0,"KAPALI DÖNEM",IF($I391="Hayır","ÖDENECEK","UYGUN")))),"EKSİK"))))</f>
        <v/>
      </c>
      <c r="Q391" s="2"/>
      <c r="R391" s="2"/>
      <c r="S391" s="1" t="str">
        <f t="shared" si="20"/>
        <v/>
      </c>
      <c r="T391" s="1" t="str">
        <f>IF(OR($C391="",$D391&lt;&gt;"Gelir",$L391=""),"",IFERROR(INDEX(MUSTERILER!$B$7:$B$156,MATCH($S391,MUSTERILER!$T$7:$T$156,0)),""))</f>
        <v/>
      </c>
      <c r="U391" s="1" t="str">
        <f>IF($T391="","",$T391&amp;"|"&amp;COUNTIFS($T$7:$T391,$T391))</f>
        <v/>
      </c>
      <c r="V391" s="1">
        <f t="shared" si="21"/>
        <v>0</v>
      </c>
      <c r="W391" s="1" t="str">
        <f t="shared" si="22"/>
        <v/>
      </c>
      <c r="X391" s="1"/>
      <c r="Y391" s="1"/>
      <c r="Z391" s="1"/>
      <c r="AA391" s="1"/>
      <c r="AB391" s="1"/>
      <c r="AC391" s="1"/>
      <c r="AD391" s="1">
        <f>IF($C391="",0,SUMPRODUCT((AY_SONU!$O$7:$O$42="Evet")*(AY_SONU!$B$7:$B$42=DATE(YEAR($C391),MONTH($C391),1))))</f>
        <v>0</v>
      </c>
      <c r="AE391" s="1" t="str">
        <f>IF($E391="","",$E391&amp;"|"&amp;COUNTIFS($E$7:$E391,$E391))</f>
        <v/>
      </c>
    </row>
    <row r="392" spans="1:31" ht="18" customHeight="1" x14ac:dyDescent="0.3">
      <c r="A392" s="2"/>
      <c r="B392" s="65" t="str">
        <f>IF($C392="","","GG"&amp;TEXT(ROW()-6,"00000"))</f>
        <v/>
      </c>
      <c r="C392" s="66"/>
      <c r="D392" s="60"/>
      <c r="E392" s="61"/>
      <c r="F392" s="61"/>
      <c r="G392" s="67"/>
      <c r="H392" s="60"/>
      <c r="I392" s="60"/>
      <c r="J392" s="61"/>
      <c r="K392" s="61"/>
      <c r="L392" s="60"/>
      <c r="M392" s="74" t="str">
        <f>IF($C392="","",IF($D392="Gider",$E392,IF($L392&lt;&gt;"",$L392,$H392)))</f>
        <v/>
      </c>
      <c r="N392" s="74" t="str">
        <f>IF($C392="","",IF($D392="Gider",$H392,$E392))</f>
        <v/>
      </c>
      <c r="O392" s="73" t="str">
        <f>IF($C392="","",DATE(YEAR($C392),MONTH($C392),1))</f>
        <v/>
      </c>
      <c r="P392" s="65" t="str">
        <f ca="1">IF($C392="","",IF(AND($D392="Gelir",$L392&lt;&gt;"",$T392=""),"TANIMSIZ BORÇLU",IF($T392&lt;&gt;"",IF(OR($E392="",$G392&lt;=0),"EKSİK",IF($I392="Evet","TAHAKKUK NAKİT OLAMAZ",IF($C392&gt;TODAY(),"İLERİ TARİH","TAHAKKUK"))),IF(AND($D392&lt;&gt;"",$E392&lt;&gt;"",$G392&gt;0,$H392&lt;&gt;"",$I392&lt;&gt;""),IF($C392&gt;TODAY(),"İLERİ TARİH",IF(COUNTIF($W$7:$W$3001,$W392)&gt;1,"MÜKERRER?",IF($AD392&gt;0,"KAPALI DÖNEM",IF($I392="Hayır","ÖDENECEK","UYGUN")))),"EKSİK"))))</f>
        <v/>
      </c>
      <c r="Q392" s="2"/>
      <c r="R392" s="2"/>
      <c r="S392" s="1" t="str">
        <f t="shared" si="20"/>
        <v/>
      </c>
      <c r="T392" s="1" t="str">
        <f>IF(OR($C392="",$D392&lt;&gt;"Gelir",$L392=""),"",IFERROR(INDEX(MUSTERILER!$B$7:$B$156,MATCH($S392,MUSTERILER!$T$7:$T$156,0)),""))</f>
        <v/>
      </c>
      <c r="U392" s="1" t="str">
        <f>IF($T392="","",$T392&amp;"|"&amp;COUNTIFS($T$7:$T392,$T392))</f>
        <v/>
      </c>
      <c r="V392" s="1">
        <f t="shared" si="21"/>
        <v>0</v>
      </c>
      <c r="W392" s="1" t="str">
        <f t="shared" si="22"/>
        <v/>
      </c>
      <c r="X392" s="1"/>
      <c r="Y392" s="1"/>
      <c r="Z392" s="1"/>
      <c r="AA392" s="1"/>
      <c r="AB392" s="1"/>
      <c r="AC392" s="1"/>
      <c r="AD392" s="1">
        <f>IF($C392="",0,SUMPRODUCT((AY_SONU!$O$7:$O$42="Evet")*(AY_SONU!$B$7:$B$42=DATE(YEAR($C392),MONTH($C392),1))))</f>
        <v>0</v>
      </c>
      <c r="AE392" s="1" t="str">
        <f>IF($E392="","",$E392&amp;"|"&amp;COUNTIFS($E$7:$E392,$E392))</f>
        <v/>
      </c>
    </row>
    <row r="393" spans="1:31" ht="18" customHeight="1" x14ac:dyDescent="0.3">
      <c r="A393" s="2"/>
      <c r="B393" s="65" t="str">
        <f>IF($C393="","","GG"&amp;TEXT(ROW()-6,"00000"))</f>
        <v/>
      </c>
      <c r="C393" s="66"/>
      <c r="D393" s="60"/>
      <c r="E393" s="61"/>
      <c r="F393" s="61"/>
      <c r="G393" s="67"/>
      <c r="H393" s="60"/>
      <c r="I393" s="60"/>
      <c r="J393" s="61"/>
      <c r="K393" s="61"/>
      <c r="L393" s="60"/>
      <c r="M393" s="74" t="str">
        <f>IF($C393="","",IF($D393="Gider",$E393,IF($L393&lt;&gt;"",$L393,$H393)))</f>
        <v/>
      </c>
      <c r="N393" s="74" t="str">
        <f>IF($C393="","",IF($D393="Gider",$H393,$E393))</f>
        <v/>
      </c>
      <c r="O393" s="73" t="str">
        <f>IF($C393="","",DATE(YEAR($C393),MONTH($C393),1))</f>
        <v/>
      </c>
      <c r="P393" s="65" t="str">
        <f ca="1">IF($C393="","",IF(AND($D393="Gelir",$L393&lt;&gt;"",$T393=""),"TANIMSIZ BORÇLU",IF($T393&lt;&gt;"",IF(OR($E393="",$G393&lt;=0),"EKSİK",IF($I393="Evet","TAHAKKUK NAKİT OLAMAZ",IF($C393&gt;TODAY(),"İLERİ TARİH","TAHAKKUK"))),IF(AND($D393&lt;&gt;"",$E393&lt;&gt;"",$G393&gt;0,$H393&lt;&gt;"",$I393&lt;&gt;""),IF($C393&gt;TODAY(),"İLERİ TARİH",IF(COUNTIF($W$7:$W$3001,$W393)&gt;1,"MÜKERRER?",IF($AD393&gt;0,"KAPALI DÖNEM",IF($I393="Hayır","ÖDENECEK","UYGUN")))),"EKSİK"))))</f>
        <v/>
      </c>
      <c r="Q393" s="2"/>
      <c r="R393" s="2"/>
      <c r="S393" s="1" t="str">
        <f t="shared" si="20"/>
        <v/>
      </c>
      <c r="T393" s="1" t="str">
        <f>IF(OR($C393="",$D393&lt;&gt;"Gelir",$L393=""),"",IFERROR(INDEX(MUSTERILER!$B$7:$B$156,MATCH($S393,MUSTERILER!$T$7:$T$156,0)),""))</f>
        <v/>
      </c>
      <c r="U393" s="1" t="str">
        <f>IF($T393="","",$T393&amp;"|"&amp;COUNTIFS($T$7:$T393,$T393))</f>
        <v/>
      </c>
      <c r="V393" s="1">
        <f t="shared" si="21"/>
        <v>0</v>
      </c>
      <c r="W393" s="1" t="str">
        <f t="shared" si="22"/>
        <v/>
      </c>
      <c r="X393" s="1"/>
      <c r="Y393" s="1"/>
      <c r="Z393" s="1"/>
      <c r="AA393" s="1"/>
      <c r="AB393" s="1"/>
      <c r="AC393" s="1"/>
      <c r="AD393" s="1">
        <f>IF($C393="",0,SUMPRODUCT((AY_SONU!$O$7:$O$42="Evet")*(AY_SONU!$B$7:$B$42=DATE(YEAR($C393),MONTH($C393),1))))</f>
        <v>0</v>
      </c>
      <c r="AE393" s="1" t="str">
        <f>IF($E393="","",$E393&amp;"|"&amp;COUNTIFS($E$7:$E393,$E393))</f>
        <v/>
      </c>
    </row>
    <row r="394" spans="1:31" ht="18" customHeight="1" x14ac:dyDescent="0.3">
      <c r="A394" s="2"/>
      <c r="B394" s="65" t="str">
        <f>IF($C394="","","GG"&amp;TEXT(ROW()-6,"00000"))</f>
        <v/>
      </c>
      <c r="C394" s="66"/>
      <c r="D394" s="60"/>
      <c r="E394" s="61"/>
      <c r="F394" s="61"/>
      <c r="G394" s="67"/>
      <c r="H394" s="60"/>
      <c r="I394" s="60"/>
      <c r="J394" s="61"/>
      <c r="K394" s="61"/>
      <c r="L394" s="60"/>
      <c r="M394" s="74" t="str">
        <f>IF($C394="","",IF($D394="Gider",$E394,IF($L394&lt;&gt;"",$L394,$H394)))</f>
        <v/>
      </c>
      <c r="N394" s="74" t="str">
        <f>IF($C394="","",IF($D394="Gider",$H394,$E394))</f>
        <v/>
      </c>
      <c r="O394" s="73" t="str">
        <f>IF($C394="","",DATE(YEAR($C394),MONTH($C394),1))</f>
        <v/>
      </c>
      <c r="P394" s="65" t="str">
        <f ca="1">IF($C394="","",IF(AND($D394="Gelir",$L394&lt;&gt;"",$T394=""),"TANIMSIZ BORÇLU",IF($T394&lt;&gt;"",IF(OR($E394="",$G394&lt;=0),"EKSİK",IF($I394="Evet","TAHAKKUK NAKİT OLAMAZ",IF($C394&gt;TODAY(),"İLERİ TARİH","TAHAKKUK"))),IF(AND($D394&lt;&gt;"",$E394&lt;&gt;"",$G394&gt;0,$H394&lt;&gt;"",$I394&lt;&gt;""),IF($C394&gt;TODAY(),"İLERİ TARİH",IF(COUNTIF($W$7:$W$3001,$W394)&gt;1,"MÜKERRER?",IF($AD394&gt;0,"KAPALI DÖNEM",IF($I394="Hayır","ÖDENECEK","UYGUN")))),"EKSİK"))))</f>
        <v/>
      </c>
      <c r="Q394" s="2"/>
      <c r="R394" s="2"/>
      <c r="S394" s="1" t="str">
        <f t="shared" si="20"/>
        <v/>
      </c>
      <c r="T394" s="1" t="str">
        <f>IF(OR($C394="",$D394&lt;&gt;"Gelir",$L394=""),"",IFERROR(INDEX(MUSTERILER!$B$7:$B$156,MATCH($S394,MUSTERILER!$T$7:$T$156,0)),""))</f>
        <v/>
      </c>
      <c r="U394" s="1" t="str">
        <f>IF($T394="","",$T394&amp;"|"&amp;COUNTIFS($T$7:$T394,$T394))</f>
        <v/>
      </c>
      <c r="V394" s="1">
        <f t="shared" si="21"/>
        <v>0</v>
      </c>
      <c r="W394" s="1" t="str">
        <f t="shared" si="22"/>
        <v/>
      </c>
      <c r="X394" s="1"/>
      <c r="Y394" s="1"/>
      <c r="Z394" s="1"/>
      <c r="AA394" s="1"/>
      <c r="AB394" s="1"/>
      <c r="AC394" s="1"/>
      <c r="AD394" s="1">
        <f>IF($C394="",0,SUMPRODUCT((AY_SONU!$O$7:$O$42="Evet")*(AY_SONU!$B$7:$B$42=DATE(YEAR($C394),MONTH($C394),1))))</f>
        <v>0</v>
      </c>
      <c r="AE394" s="1" t="str">
        <f>IF($E394="","",$E394&amp;"|"&amp;COUNTIFS($E$7:$E394,$E394))</f>
        <v/>
      </c>
    </row>
    <row r="395" spans="1:31" ht="18" customHeight="1" x14ac:dyDescent="0.3">
      <c r="A395" s="2"/>
      <c r="B395" s="65" t="str">
        <f>IF($C395="","","GG"&amp;TEXT(ROW()-6,"00000"))</f>
        <v/>
      </c>
      <c r="C395" s="66"/>
      <c r="D395" s="60"/>
      <c r="E395" s="61"/>
      <c r="F395" s="61"/>
      <c r="G395" s="67"/>
      <c r="H395" s="60"/>
      <c r="I395" s="60"/>
      <c r="J395" s="61"/>
      <c r="K395" s="61"/>
      <c r="L395" s="60"/>
      <c r="M395" s="74" t="str">
        <f>IF($C395="","",IF($D395="Gider",$E395,IF($L395&lt;&gt;"",$L395,$H395)))</f>
        <v/>
      </c>
      <c r="N395" s="74" t="str">
        <f>IF($C395="","",IF($D395="Gider",$H395,$E395))</f>
        <v/>
      </c>
      <c r="O395" s="73" t="str">
        <f>IF($C395="","",DATE(YEAR($C395),MONTH($C395),1))</f>
        <v/>
      </c>
      <c r="P395" s="65" t="str">
        <f ca="1">IF($C395="","",IF(AND($D395="Gelir",$L395&lt;&gt;"",$T395=""),"TANIMSIZ BORÇLU",IF($T395&lt;&gt;"",IF(OR($E395="",$G395&lt;=0),"EKSİK",IF($I395="Evet","TAHAKKUK NAKİT OLAMAZ",IF($C395&gt;TODAY(),"İLERİ TARİH","TAHAKKUK"))),IF(AND($D395&lt;&gt;"",$E395&lt;&gt;"",$G395&gt;0,$H395&lt;&gt;"",$I395&lt;&gt;""),IF($C395&gt;TODAY(),"İLERİ TARİH",IF(COUNTIF($W$7:$W$3001,$W395)&gt;1,"MÜKERRER?",IF($AD395&gt;0,"KAPALI DÖNEM",IF($I395="Hayır","ÖDENECEK","UYGUN")))),"EKSİK"))))</f>
        <v/>
      </c>
      <c r="Q395" s="2"/>
      <c r="R395" s="2"/>
      <c r="S395" s="1" t="str">
        <f t="shared" si="20"/>
        <v/>
      </c>
      <c r="T395" s="1" t="str">
        <f>IF(OR($C395="",$D395&lt;&gt;"Gelir",$L395=""),"",IFERROR(INDEX(MUSTERILER!$B$7:$B$156,MATCH($S395,MUSTERILER!$T$7:$T$156,0)),""))</f>
        <v/>
      </c>
      <c r="U395" s="1" t="str">
        <f>IF($T395="","",$T395&amp;"|"&amp;COUNTIFS($T$7:$T395,$T395))</f>
        <v/>
      </c>
      <c r="V395" s="1">
        <f t="shared" si="21"/>
        <v>0</v>
      </c>
      <c r="W395" s="1" t="str">
        <f t="shared" si="22"/>
        <v/>
      </c>
      <c r="X395" s="1"/>
      <c r="Y395" s="1"/>
      <c r="Z395" s="1"/>
      <c r="AA395" s="1"/>
      <c r="AB395" s="1"/>
      <c r="AC395" s="1"/>
      <c r="AD395" s="1">
        <f>IF($C395="",0,SUMPRODUCT((AY_SONU!$O$7:$O$42="Evet")*(AY_SONU!$B$7:$B$42=DATE(YEAR($C395),MONTH($C395),1))))</f>
        <v>0</v>
      </c>
      <c r="AE395" s="1" t="str">
        <f>IF($E395="","",$E395&amp;"|"&amp;COUNTIFS($E$7:$E395,$E395))</f>
        <v/>
      </c>
    </row>
    <row r="396" spans="1:31" ht="18" customHeight="1" x14ac:dyDescent="0.3">
      <c r="A396" s="2"/>
      <c r="B396" s="65" t="str">
        <f>IF($C396="","","GG"&amp;TEXT(ROW()-6,"00000"))</f>
        <v/>
      </c>
      <c r="C396" s="66"/>
      <c r="D396" s="60"/>
      <c r="E396" s="61"/>
      <c r="F396" s="61"/>
      <c r="G396" s="67"/>
      <c r="H396" s="60"/>
      <c r="I396" s="60"/>
      <c r="J396" s="61"/>
      <c r="K396" s="61"/>
      <c r="L396" s="60"/>
      <c r="M396" s="74" t="str">
        <f>IF($C396="","",IF($D396="Gider",$E396,IF($L396&lt;&gt;"",$L396,$H396)))</f>
        <v/>
      </c>
      <c r="N396" s="74" t="str">
        <f>IF($C396="","",IF($D396="Gider",$H396,$E396))</f>
        <v/>
      </c>
      <c r="O396" s="73" t="str">
        <f>IF($C396="","",DATE(YEAR($C396),MONTH($C396),1))</f>
        <v/>
      </c>
      <c r="P396" s="65" t="str">
        <f ca="1">IF($C396="","",IF(AND($D396="Gelir",$L396&lt;&gt;"",$T396=""),"TANIMSIZ BORÇLU",IF($T396&lt;&gt;"",IF(OR($E396="",$G396&lt;=0),"EKSİK",IF($I396="Evet","TAHAKKUK NAKİT OLAMAZ",IF($C396&gt;TODAY(),"İLERİ TARİH","TAHAKKUK"))),IF(AND($D396&lt;&gt;"",$E396&lt;&gt;"",$G396&gt;0,$H396&lt;&gt;"",$I396&lt;&gt;""),IF($C396&gt;TODAY(),"İLERİ TARİH",IF(COUNTIF($W$7:$W$3001,$W396)&gt;1,"MÜKERRER?",IF($AD396&gt;0,"KAPALI DÖNEM",IF($I396="Hayır","ÖDENECEK","UYGUN")))),"EKSİK"))))</f>
        <v/>
      </c>
      <c r="Q396" s="2"/>
      <c r="R396" s="2"/>
      <c r="S396" s="1" t="str">
        <f t="shared" si="20"/>
        <v/>
      </c>
      <c r="T396" s="1" t="str">
        <f>IF(OR($C396="",$D396&lt;&gt;"Gelir",$L396=""),"",IFERROR(INDEX(MUSTERILER!$B$7:$B$156,MATCH($S396,MUSTERILER!$T$7:$T$156,0)),""))</f>
        <v/>
      </c>
      <c r="U396" s="1" t="str">
        <f>IF($T396="","",$T396&amp;"|"&amp;COUNTIFS($T$7:$T396,$T396))</f>
        <v/>
      </c>
      <c r="V396" s="1">
        <f t="shared" si="21"/>
        <v>0</v>
      </c>
      <c r="W396" s="1" t="str">
        <f t="shared" si="22"/>
        <v/>
      </c>
      <c r="X396" s="1"/>
      <c r="Y396" s="1"/>
      <c r="Z396" s="1"/>
      <c r="AA396" s="1"/>
      <c r="AB396" s="1"/>
      <c r="AC396" s="1"/>
      <c r="AD396" s="1">
        <f>IF($C396="",0,SUMPRODUCT((AY_SONU!$O$7:$O$42="Evet")*(AY_SONU!$B$7:$B$42=DATE(YEAR($C396),MONTH($C396),1))))</f>
        <v>0</v>
      </c>
      <c r="AE396" s="1" t="str">
        <f>IF($E396="","",$E396&amp;"|"&amp;COUNTIFS($E$7:$E396,$E396))</f>
        <v/>
      </c>
    </row>
    <row r="397" spans="1:31" ht="18" customHeight="1" x14ac:dyDescent="0.3">
      <c r="A397" s="2"/>
      <c r="B397" s="65" t="str">
        <f>IF($C397="","","GG"&amp;TEXT(ROW()-6,"00000"))</f>
        <v/>
      </c>
      <c r="C397" s="66"/>
      <c r="D397" s="60"/>
      <c r="E397" s="61"/>
      <c r="F397" s="61"/>
      <c r="G397" s="67"/>
      <c r="H397" s="60"/>
      <c r="I397" s="60"/>
      <c r="J397" s="61"/>
      <c r="K397" s="61"/>
      <c r="L397" s="60"/>
      <c r="M397" s="74" t="str">
        <f>IF($C397="","",IF($D397="Gider",$E397,IF($L397&lt;&gt;"",$L397,$H397)))</f>
        <v/>
      </c>
      <c r="N397" s="74" t="str">
        <f>IF($C397="","",IF($D397="Gider",$H397,$E397))</f>
        <v/>
      </c>
      <c r="O397" s="73" t="str">
        <f>IF($C397="","",DATE(YEAR($C397),MONTH($C397),1))</f>
        <v/>
      </c>
      <c r="P397" s="65" t="str">
        <f ca="1">IF($C397="","",IF(AND($D397="Gelir",$L397&lt;&gt;"",$T397=""),"TANIMSIZ BORÇLU",IF($T397&lt;&gt;"",IF(OR($E397="",$G397&lt;=0),"EKSİK",IF($I397="Evet","TAHAKKUK NAKİT OLAMAZ",IF($C397&gt;TODAY(),"İLERİ TARİH","TAHAKKUK"))),IF(AND($D397&lt;&gt;"",$E397&lt;&gt;"",$G397&gt;0,$H397&lt;&gt;"",$I397&lt;&gt;""),IF($C397&gt;TODAY(),"İLERİ TARİH",IF(COUNTIF($W$7:$W$3001,$W397)&gt;1,"MÜKERRER?",IF($AD397&gt;0,"KAPALI DÖNEM",IF($I397="Hayır","ÖDENECEK","UYGUN")))),"EKSİK"))))</f>
        <v/>
      </c>
      <c r="Q397" s="2"/>
      <c r="R397" s="2"/>
      <c r="S397" s="1" t="str">
        <f t="shared" si="20"/>
        <v/>
      </c>
      <c r="T397" s="1" t="str">
        <f>IF(OR($C397="",$D397&lt;&gt;"Gelir",$L397=""),"",IFERROR(INDEX(MUSTERILER!$B$7:$B$156,MATCH($S397,MUSTERILER!$T$7:$T$156,0)),""))</f>
        <v/>
      </c>
      <c r="U397" s="1" t="str">
        <f>IF($T397="","",$T397&amp;"|"&amp;COUNTIFS($T$7:$T397,$T397))</f>
        <v/>
      </c>
      <c r="V397" s="1">
        <f t="shared" si="21"/>
        <v>0</v>
      </c>
      <c r="W397" s="1" t="str">
        <f t="shared" si="22"/>
        <v/>
      </c>
      <c r="X397" s="1"/>
      <c r="Y397" s="1"/>
      <c r="Z397" s="1"/>
      <c r="AA397" s="1"/>
      <c r="AB397" s="1"/>
      <c r="AC397" s="1"/>
      <c r="AD397" s="1">
        <f>IF($C397="",0,SUMPRODUCT((AY_SONU!$O$7:$O$42="Evet")*(AY_SONU!$B$7:$B$42=DATE(YEAR($C397),MONTH($C397),1))))</f>
        <v>0</v>
      </c>
      <c r="AE397" s="1" t="str">
        <f>IF($E397="","",$E397&amp;"|"&amp;COUNTIFS($E$7:$E397,$E397))</f>
        <v/>
      </c>
    </row>
    <row r="398" spans="1:31" ht="18" customHeight="1" x14ac:dyDescent="0.3">
      <c r="A398" s="2"/>
      <c r="B398" s="65" t="str">
        <f>IF($C398="","","GG"&amp;TEXT(ROW()-6,"00000"))</f>
        <v/>
      </c>
      <c r="C398" s="66"/>
      <c r="D398" s="60"/>
      <c r="E398" s="61"/>
      <c r="F398" s="61"/>
      <c r="G398" s="67"/>
      <c r="H398" s="60"/>
      <c r="I398" s="60"/>
      <c r="J398" s="61"/>
      <c r="K398" s="61"/>
      <c r="L398" s="60"/>
      <c r="M398" s="74" t="str">
        <f>IF($C398="","",IF($D398="Gider",$E398,IF($L398&lt;&gt;"",$L398,$H398)))</f>
        <v/>
      </c>
      <c r="N398" s="74" t="str">
        <f>IF($C398="","",IF($D398="Gider",$H398,$E398))</f>
        <v/>
      </c>
      <c r="O398" s="73" t="str">
        <f>IF($C398="","",DATE(YEAR($C398),MONTH($C398),1))</f>
        <v/>
      </c>
      <c r="P398" s="65" t="str">
        <f ca="1">IF($C398="","",IF(AND($D398="Gelir",$L398&lt;&gt;"",$T398=""),"TANIMSIZ BORÇLU",IF($T398&lt;&gt;"",IF(OR($E398="",$G398&lt;=0),"EKSİK",IF($I398="Evet","TAHAKKUK NAKİT OLAMAZ",IF($C398&gt;TODAY(),"İLERİ TARİH","TAHAKKUK"))),IF(AND($D398&lt;&gt;"",$E398&lt;&gt;"",$G398&gt;0,$H398&lt;&gt;"",$I398&lt;&gt;""),IF($C398&gt;TODAY(),"İLERİ TARİH",IF(COUNTIF($W$7:$W$3001,$W398)&gt;1,"MÜKERRER?",IF($AD398&gt;0,"KAPALI DÖNEM",IF($I398="Hayır","ÖDENECEK","UYGUN")))),"EKSİK"))))</f>
        <v/>
      </c>
      <c r="Q398" s="2"/>
      <c r="R398" s="2"/>
      <c r="S398" s="1" t="str">
        <f t="shared" si="20"/>
        <v/>
      </c>
      <c r="T398" s="1" t="str">
        <f>IF(OR($C398="",$D398&lt;&gt;"Gelir",$L398=""),"",IFERROR(INDEX(MUSTERILER!$B$7:$B$156,MATCH($S398,MUSTERILER!$T$7:$T$156,0)),""))</f>
        <v/>
      </c>
      <c r="U398" s="1" t="str">
        <f>IF($T398="","",$T398&amp;"|"&amp;COUNTIFS($T$7:$T398,$T398))</f>
        <v/>
      </c>
      <c r="V398" s="1">
        <f t="shared" si="21"/>
        <v>0</v>
      </c>
      <c r="W398" s="1" t="str">
        <f t="shared" si="22"/>
        <v/>
      </c>
      <c r="X398" s="1"/>
      <c r="Y398" s="1"/>
      <c r="Z398" s="1"/>
      <c r="AA398" s="1"/>
      <c r="AB398" s="1"/>
      <c r="AC398" s="1"/>
      <c r="AD398" s="1">
        <f>IF($C398="",0,SUMPRODUCT((AY_SONU!$O$7:$O$42="Evet")*(AY_SONU!$B$7:$B$42=DATE(YEAR($C398),MONTH($C398),1))))</f>
        <v>0</v>
      </c>
      <c r="AE398" s="1" t="str">
        <f>IF($E398="","",$E398&amp;"|"&amp;COUNTIFS($E$7:$E398,$E398))</f>
        <v/>
      </c>
    </row>
    <row r="399" spans="1:31" ht="18" customHeight="1" x14ac:dyDescent="0.3">
      <c r="A399" s="2"/>
      <c r="B399" s="65" t="str">
        <f>IF($C399="","","GG"&amp;TEXT(ROW()-6,"00000"))</f>
        <v/>
      </c>
      <c r="C399" s="66"/>
      <c r="D399" s="60"/>
      <c r="E399" s="61"/>
      <c r="F399" s="61"/>
      <c r="G399" s="67"/>
      <c r="H399" s="60"/>
      <c r="I399" s="60"/>
      <c r="J399" s="61"/>
      <c r="K399" s="61"/>
      <c r="L399" s="60"/>
      <c r="M399" s="74" t="str">
        <f>IF($C399="","",IF($D399="Gider",$E399,IF($L399&lt;&gt;"",$L399,$H399)))</f>
        <v/>
      </c>
      <c r="N399" s="74" t="str">
        <f>IF($C399="","",IF($D399="Gider",$H399,$E399))</f>
        <v/>
      </c>
      <c r="O399" s="73" t="str">
        <f>IF($C399="","",DATE(YEAR($C399),MONTH($C399),1))</f>
        <v/>
      </c>
      <c r="P399" s="65" t="str">
        <f ca="1">IF($C399="","",IF(AND($D399="Gelir",$L399&lt;&gt;"",$T399=""),"TANIMSIZ BORÇLU",IF($T399&lt;&gt;"",IF(OR($E399="",$G399&lt;=0),"EKSİK",IF($I399="Evet","TAHAKKUK NAKİT OLAMAZ",IF($C399&gt;TODAY(),"İLERİ TARİH","TAHAKKUK"))),IF(AND($D399&lt;&gt;"",$E399&lt;&gt;"",$G399&gt;0,$H399&lt;&gt;"",$I399&lt;&gt;""),IF($C399&gt;TODAY(),"İLERİ TARİH",IF(COUNTIF($W$7:$W$3001,$W399)&gt;1,"MÜKERRER?",IF($AD399&gt;0,"KAPALI DÖNEM",IF($I399="Hayır","ÖDENECEK","UYGUN")))),"EKSİK"))))</f>
        <v/>
      </c>
      <c r="Q399" s="2"/>
      <c r="R399" s="2"/>
      <c r="S399" s="1" t="str">
        <f t="shared" si="20"/>
        <v/>
      </c>
      <c r="T399" s="1" t="str">
        <f>IF(OR($C399="",$D399&lt;&gt;"Gelir",$L399=""),"",IFERROR(INDEX(MUSTERILER!$B$7:$B$156,MATCH($S399,MUSTERILER!$T$7:$T$156,0)),""))</f>
        <v/>
      </c>
      <c r="U399" s="1" t="str">
        <f>IF($T399="","",$T399&amp;"|"&amp;COUNTIFS($T$7:$T399,$T399))</f>
        <v/>
      </c>
      <c r="V399" s="1">
        <f t="shared" si="21"/>
        <v>0</v>
      </c>
      <c r="W399" s="1" t="str">
        <f t="shared" si="22"/>
        <v/>
      </c>
      <c r="X399" s="1"/>
      <c r="Y399" s="1"/>
      <c r="Z399" s="1"/>
      <c r="AA399" s="1"/>
      <c r="AB399" s="1"/>
      <c r="AC399" s="1"/>
      <c r="AD399" s="1">
        <f>IF($C399="",0,SUMPRODUCT((AY_SONU!$O$7:$O$42="Evet")*(AY_SONU!$B$7:$B$42=DATE(YEAR($C399),MONTH($C399),1))))</f>
        <v>0</v>
      </c>
      <c r="AE399" s="1" t="str">
        <f>IF($E399="","",$E399&amp;"|"&amp;COUNTIFS($E$7:$E399,$E399))</f>
        <v/>
      </c>
    </row>
    <row r="400" spans="1:31" ht="18" customHeight="1" x14ac:dyDescent="0.3">
      <c r="A400" s="2"/>
      <c r="B400" s="65" t="str">
        <f>IF($C400="","","GG"&amp;TEXT(ROW()-6,"00000"))</f>
        <v/>
      </c>
      <c r="C400" s="66"/>
      <c r="D400" s="60"/>
      <c r="E400" s="61"/>
      <c r="F400" s="61"/>
      <c r="G400" s="67"/>
      <c r="H400" s="60"/>
      <c r="I400" s="60"/>
      <c r="J400" s="61"/>
      <c r="K400" s="61"/>
      <c r="L400" s="60"/>
      <c r="M400" s="74" t="str">
        <f>IF($C400="","",IF($D400="Gider",$E400,IF($L400&lt;&gt;"",$L400,$H400)))</f>
        <v/>
      </c>
      <c r="N400" s="74" t="str">
        <f>IF($C400="","",IF($D400="Gider",$H400,$E400))</f>
        <v/>
      </c>
      <c r="O400" s="73" t="str">
        <f>IF($C400="","",DATE(YEAR($C400),MONTH($C400),1))</f>
        <v/>
      </c>
      <c r="P400" s="65" t="str">
        <f ca="1">IF($C400="","",IF(AND($D400="Gelir",$L400&lt;&gt;"",$T400=""),"TANIMSIZ BORÇLU",IF($T400&lt;&gt;"",IF(OR($E400="",$G400&lt;=0),"EKSİK",IF($I400="Evet","TAHAKKUK NAKİT OLAMAZ",IF($C400&gt;TODAY(),"İLERİ TARİH","TAHAKKUK"))),IF(AND($D400&lt;&gt;"",$E400&lt;&gt;"",$G400&gt;0,$H400&lt;&gt;"",$I400&lt;&gt;""),IF($C400&gt;TODAY(),"İLERİ TARİH",IF(COUNTIF($W$7:$W$3001,$W400)&gt;1,"MÜKERRER?",IF($AD400&gt;0,"KAPALI DÖNEM",IF($I400="Hayır","ÖDENECEK","UYGUN")))),"EKSİK"))))</f>
        <v/>
      </c>
      <c r="Q400" s="2"/>
      <c r="R400" s="2"/>
      <c r="S400" s="1" t="str">
        <f t="shared" si="20"/>
        <v/>
      </c>
      <c r="T400" s="1" t="str">
        <f>IF(OR($C400="",$D400&lt;&gt;"Gelir",$L400=""),"",IFERROR(INDEX(MUSTERILER!$B$7:$B$156,MATCH($S400,MUSTERILER!$T$7:$T$156,0)),""))</f>
        <v/>
      </c>
      <c r="U400" s="1" t="str">
        <f>IF($T400="","",$T400&amp;"|"&amp;COUNTIFS($T$7:$T400,$T400))</f>
        <v/>
      </c>
      <c r="V400" s="1">
        <f t="shared" si="21"/>
        <v>0</v>
      </c>
      <c r="W400" s="1" t="str">
        <f t="shared" si="22"/>
        <v/>
      </c>
      <c r="X400" s="1"/>
      <c r="Y400" s="1"/>
      <c r="Z400" s="1"/>
      <c r="AA400" s="1"/>
      <c r="AB400" s="1"/>
      <c r="AC400" s="1"/>
      <c r="AD400" s="1">
        <f>IF($C400="",0,SUMPRODUCT((AY_SONU!$O$7:$O$42="Evet")*(AY_SONU!$B$7:$B$42=DATE(YEAR($C400),MONTH($C400),1))))</f>
        <v>0</v>
      </c>
      <c r="AE400" s="1" t="str">
        <f>IF($E400="","",$E400&amp;"|"&amp;COUNTIFS($E$7:$E400,$E400))</f>
        <v/>
      </c>
    </row>
    <row r="401" spans="1:31" ht="18" customHeight="1" x14ac:dyDescent="0.3">
      <c r="A401" s="2"/>
      <c r="B401" s="65" t="str">
        <f>IF($C401="","","GG"&amp;TEXT(ROW()-6,"00000"))</f>
        <v/>
      </c>
      <c r="C401" s="66"/>
      <c r="D401" s="60"/>
      <c r="E401" s="61"/>
      <c r="F401" s="61"/>
      <c r="G401" s="67"/>
      <c r="H401" s="60"/>
      <c r="I401" s="60"/>
      <c r="J401" s="61"/>
      <c r="K401" s="61"/>
      <c r="L401" s="60"/>
      <c r="M401" s="74" t="str">
        <f>IF($C401="","",IF($D401="Gider",$E401,IF($L401&lt;&gt;"",$L401,$H401)))</f>
        <v/>
      </c>
      <c r="N401" s="74" t="str">
        <f>IF($C401="","",IF($D401="Gider",$H401,$E401))</f>
        <v/>
      </c>
      <c r="O401" s="73" t="str">
        <f>IF($C401="","",DATE(YEAR($C401),MONTH($C401),1))</f>
        <v/>
      </c>
      <c r="P401" s="65" t="str">
        <f ca="1">IF($C401="","",IF(AND($D401="Gelir",$L401&lt;&gt;"",$T401=""),"TANIMSIZ BORÇLU",IF($T401&lt;&gt;"",IF(OR($E401="",$G401&lt;=0),"EKSİK",IF($I401="Evet","TAHAKKUK NAKİT OLAMAZ",IF($C401&gt;TODAY(),"İLERİ TARİH","TAHAKKUK"))),IF(AND($D401&lt;&gt;"",$E401&lt;&gt;"",$G401&gt;0,$H401&lt;&gt;"",$I401&lt;&gt;""),IF($C401&gt;TODAY(),"İLERİ TARİH",IF(COUNTIF($W$7:$W$3001,$W401)&gt;1,"MÜKERRER?",IF($AD401&gt;0,"KAPALI DÖNEM",IF($I401="Hayır","ÖDENECEK","UYGUN")))),"EKSİK"))))</f>
        <v/>
      </c>
      <c r="Q401" s="2"/>
      <c r="R401" s="2"/>
      <c r="S401" s="1" t="str">
        <f t="shared" si="20"/>
        <v/>
      </c>
      <c r="T401" s="1" t="str">
        <f>IF(OR($C401="",$D401&lt;&gt;"Gelir",$L401=""),"",IFERROR(INDEX(MUSTERILER!$B$7:$B$156,MATCH($S401,MUSTERILER!$T$7:$T$156,0)),""))</f>
        <v/>
      </c>
      <c r="U401" s="1" t="str">
        <f>IF($T401="","",$T401&amp;"|"&amp;COUNTIFS($T$7:$T401,$T401))</f>
        <v/>
      </c>
      <c r="V401" s="1">
        <f t="shared" si="21"/>
        <v>0</v>
      </c>
      <c r="W401" s="1" t="str">
        <f t="shared" si="22"/>
        <v/>
      </c>
      <c r="X401" s="1"/>
      <c r="Y401" s="1"/>
      <c r="Z401" s="1"/>
      <c r="AA401" s="1"/>
      <c r="AB401" s="1"/>
      <c r="AC401" s="1"/>
      <c r="AD401" s="1">
        <f>IF($C401="",0,SUMPRODUCT((AY_SONU!$O$7:$O$42="Evet")*(AY_SONU!$B$7:$B$42=DATE(YEAR($C401),MONTH($C401),1))))</f>
        <v>0</v>
      </c>
      <c r="AE401" s="1" t="str">
        <f>IF($E401="","",$E401&amp;"|"&amp;COUNTIFS($E$7:$E401,$E401))</f>
        <v/>
      </c>
    </row>
    <row r="402" spans="1:31" ht="18" customHeight="1" x14ac:dyDescent="0.3">
      <c r="A402" s="2"/>
      <c r="B402" s="65" t="str">
        <f>IF($C402="","","GG"&amp;TEXT(ROW()-6,"00000"))</f>
        <v/>
      </c>
      <c r="C402" s="66"/>
      <c r="D402" s="60"/>
      <c r="E402" s="61"/>
      <c r="F402" s="61"/>
      <c r="G402" s="67"/>
      <c r="H402" s="60"/>
      <c r="I402" s="60"/>
      <c r="J402" s="61"/>
      <c r="K402" s="61"/>
      <c r="L402" s="60"/>
      <c r="M402" s="74" t="str">
        <f>IF($C402="","",IF($D402="Gider",$E402,IF($L402&lt;&gt;"",$L402,$H402)))</f>
        <v/>
      </c>
      <c r="N402" s="74" t="str">
        <f>IF($C402="","",IF($D402="Gider",$H402,$E402))</f>
        <v/>
      </c>
      <c r="O402" s="73" t="str">
        <f>IF($C402="","",DATE(YEAR($C402),MONTH($C402),1))</f>
        <v/>
      </c>
      <c r="P402" s="65" t="str">
        <f ca="1">IF($C402="","",IF(AND($D402="Gelir",$L402&lt;&gt;"",$T402=""),"TANIMSIZ BORÇLU",IF($T402&lt;&gt;"",IF(OR($E402="",$G402&lt;=0),"EKSİK",IF($I402="Evet","TAHAKKUK NAKİT OLAMAZ",IF($C402&gt;TODAY(),"İLERİ TARİH","TAHAKKUK"))),IF(AND($D402&lt;&gt;"",$E402&lt;&gt;"",$G402&gt;0,$H402&lt;&gt;"",$I402&lt;&gt;""),IF($C402&gt;TODAY(),"İLERİ TARİH",IF(COUNTIF($W$7:$W$3001,$W402)&gt;1,"MÜKERRER?",IF($AD402&gt;0,"KAPALI DÖNEM",IF($I402="Hayır","ÖDENECEK","UYGUN")))),"EKSİK"))))</f>
        <v/>
      </c>
      <c r="Q402" s="2"/>
      <c r="R402" s="2"/>
      <c r="S402" s="1" t="str">
        <f t="shared" si="20"/>
        <v/>
      </c>
      <c r="T402" s="1" t="str">
        <f>IF(OR($C402="",$D402&lt;&gt;"Gelir",$L402=""),"",IFERROR(INDEX(MUSTERILER!$B$7:$B$156,MATCH($S402,MUSTERILER!$T$7:$T$156,0)),""))</f>
        <v/>
      </c>
      <c r="U402" s="1" t="str">
        <f>IF($T402="","",$T402&amp;"|"&amp;COUNTIFS($T$7:$T402,$T402))</f>
        <v/>
      </c>
      <c r="V402" s="1">
        <f t="shared" si="21"/>
        <v>0</v>
      </c>
      <c r="W402" s="1" t="str">
        <f t="shared" si="22"/>
        <v/>
      </c>
      <c r="X402" s="1"/>
      <c r="Y402" s="1"/>
      <c r="Z402" s="1"/>
      <c r="AA402" s="1"/>
      <c r="AB402" s="1"/>
      <c r="AC402" s="1"/>
      <c r="AD402" s="1">
        <f>IF($C402="",0,SUMPRODUCT((AY_SONU!$O$7:$O$42="Evet")*(AY_SONU!$B$7:$B$42=DATE(YEAR($C402),MONTH($C402),1))))</f>
        <v>0</v>
      </c>
      <c r="AE402" s="1" t="str">
        <f>IF($E402="","",$E402&amp;"|"&amp;COUNTIFS($E$7:$E402,$E402))</f>
        <v/>
      </c>
    </row>
    <row r="403" spans="1:31" ht="18" customHeight="1" x14ac:dyDescent="0.3">
      <c r="A403" s="2"/>
      <c r="B403" s="65" t="str">
        <f>IF($C403="","","GG"&amp;TEXT(ROW()-6,"00000"))</f>
        <v/>
      </c>
      <c r="C403" s="66"/>
      <c r="D403" s="60"/>
      <c r="E403" s="61"/>
      <c r="F403" s="61"/>
      <c r="G403" s="67"/>
      <c r="H403" s="60"/>
      <c r="I403" s="60"/>
      <c r="J403" s="61"/>
      <c r="K403" s="61"/>
      <c r="L403" s="60"/>
      <c r="M403" s="74" t="str">
        <f>IF($C403="","",IF($D403="Gider",$E403,IF($L403&lt;&gt;"",$L403,$H403)))</f>
        <v/>
      </c>
      <c r="N403" s="74" t="str">
        <f>IF($C403="","",IF($D403="Gider",$H403,$E403))</f>
        <v/>
      </c>
      <c r="O403" s="73" t="str">
        <f>IF($C403="","",DATE(YEAR($C403),MONTH($C403),1))</f>
        <v/>
      </c>
      <c r="P403" s="65" t="str">
        <f ca="1">IF($C403="","",IF(AND($D403="Gelir",$L403&lt;&gt;"",$T403=""),"TANIMSIZ BORÇLU",IF($T403&lt;&gt;"",IF(OR($E403="",$G403&lt;=0),"EKSİK",IF($I403="Evet","TAHAKKUK NAKİT OLAMAZ",IF($C403&gt;TODAY(),"İLERİ TARİH","TAHAKKUK"))),IF(AND($D403&lt;&gt;"",$E403&lt;&gt;"",$G403&gt;0,$H403&lt;&gt;"",$I403&lt;&gt;""),IF($C403&gt;TODAY(),"İLERİ TARİH",IF(COUNTIF($W$7:$W$3001,$W403)&gt;1,"MÜKERRER?",IF($AD403&gt;0,"KAPALI DÖNEM",IF($I403="Hayır","ÖDENECEK","UYGUN")))),"EKSİK"))))</f>
        <v/>
      </c>
      <c r="Q403" s="2"/>
      <c r="R403" s="2"/>
      <c r="S403" s="1" t="str">
        <f t="shared" si="20"/>
        <v/>
      </c>
      <c r="T403" s="1" t="str">
        <f>IF(OR($C403="",$D403&lt;&gt;"Gelir",$L403=""),"",IFERROR(INDEX(MUSTERILER!$B$7:$B$156,MATCH($S403,MUSTERILER!$T$7:$T$156,0)),""))</f>
        <v/>
      </c>
      <c r="U403" s="1" t="str">
        <f>IF($T403="","",$T403&amp;"|"&amp;COUNTIFS($T$7:$T403,$T403))</f>
        <v/>
      </c>
      <c r="V403" s="1">
        <f t="shared" si="21"/>
        <v>0</v>
      </c>
      <c r="W403" s="1" t="str">
        <f t="shared" si="22"/>
        <v/>
      </c>
      <c r="X403" s="1"/>
      <c r="Y403" s="1"/>
      <c r="Z403" s="1"/>
      <c r="AA403" s="1"/>
      <c r="AB403" s="1"/>
      <c r="AC403" s="1"/>
      <c r="AD403" s="1">
        <f>IF($C403="",0,SUMPRODUCT((AY_SONU!$O$7:$O$42="Evet")*(AY_SONU!$B$7:$B$42=DATE(YEAR($C403),MONTH($C403),1))))</f>
        <v>0</v>
      </c>
      <c r="AE403" s="1" t="str">
        <f>IF($E403="","",$E403&amp;"|"&amp;COUNTIFS($E$7:$E403,$E403))</f>
        <v/>
      </c>
    </row>
    <row r="404" spans="1:31" ht="18" customHeight="1" x14ac:dyDescent="0.3">
      <c r="A404" s="2"/>
      <c r="B404" s="65" t="str">
        <f>IF($C404="","","GG"&amp;TEXT(ROW()-6,"00000"))</f>
        <v/>
      </c>
      <c r="C404" s="66"/>
      <c r="D404" s="60"/>
      <c r="E404" s="61"/>
      <c r="F404" s="61"/>
      <c r="G404" s="67"/>
      <c r="H404" s="60"/>
      <c r="I404" s="60"/>
      <c r="J404" s="61"/>
      <c r="K404" s="61"/>
      <c r="L404" s="60"/>
      <c r="M404" s="74" t="str">
        <f>IF($C404="","",IF($D404="Gider",$E404,IF($L404&lt;&gt;"",$L404,$H404)))</f>
        <v/>
      </c>
      <c r="N404" s="74" t="str">
        <f>IF($C404="","",IF($D404="Gider",$H404,$E404))</f>
        <v/>
      </c>
      <c r="O404" s="73" t="str">
        <f>IF($C404="","",DATE(YEAR($C404),MONTH($C404),1))</f>
        <v/>
      </c>
      <c r="P404" s="65" t="str">
        <f ca="1">IF($C404="","",IF(AND($D404="Gelir",$L404&lt;&gt;"",$T404=""),"TANIMSIZ BORÇLU",IF($T404&lt;&gt;"",IF(OR($E404="",$G404&lt;=0),"EKSİK",IF($I404="Evet","TAHAKKUK NAKİT OLAMAZ",IF($C404&gt;TODAY(),"İLERİ TARİH","TAHAKKUK"))),IF(AND($D404&lt;&gt;"",$E404&lt;&gt;"",$G404&gt;0,$H404&lt;&gt;"",$I404&lt;&gt;""),IF($C404&gt;TODAY(),"İLERİ TARİH",IF(COUNTIF($W$7:$W$3001,$W404)&gt;1,"MÜKERRER?",IF($AD404&gt;0,"KAPALI DÖNEM",IF($I404="Hayır","ÖDENECEK","UYGUN")))),"EKSİK"))))</f>
        <v/>
      </c>
      <c r="Q404" s="2"/>
      <c r="R404" s="2"/>
      <c r="S404" s="1" t="str">
        <f t="shared" si="20"/>
        <v/>
      </c>
      <c r="T404" s="1" t="str">
        <f>IF(OR($C404="",$D404&lt;&gt;"Gelir",$L404=""),"",IFERROR(INDEX(MUSTERILER!$B$7:$B$156,MATCH($S404,MUSTERILER!$T$7:$T$156,0)),""))</f>
        <v/>
      </c>
      <c r="U404" s="1" t="str">
        <f>IF($T404="","",$T404&amp;"|"&amp;COUNTIFS($T$7:$T404,$T404))</f>
        <v/>
      </c>
      <c r="V404" s="1">
        <f t="shared" si="21"/>
        <v>0</v>
      </c>
      <c r="W404" s="1" t="str">
        <f t="shared" si="22"/>
        <v/>
      </c>
      <c r="X404" s="1"/>
      <c r="Y404" s="1"/>
      <c r="Z404" s="1"/>
      <c r="AA404" s="1"/>
      <c r="AB404" s="1"/>
      <c r="AC404" s="1"/>
      <c r="AD404" s="1">
        <f>IF($C404="",0,SUMPRODUCT((AY_SONU!$O$7:$O$42="Evet")*(AY_SONU!$B$7:$B$42=DATE(YEAR($C404),MONTH($C404),1))))</f>
        <v>0</v>
      </c>
      <c r="AE404" s="1" t="str">
        <f>IF($E404="","",$E404&amp;"|"&amp;COUNTIFS($E$7:$E404,$E404))</f>
        <v/>
      </c>
    </row>
    <row r="405" spans="1:31" ht="18" customHeight="1" x14ac:dyDescent="0.3">
      <c r="A405" s="2"/>
      <c r="B405" s="65" t="str">
        <f>IF($C405="","","GG"&amp;TEXT(ROW()-6,"00000"))</f>
        <v/>
      </c>
      <c r="C405" s="66"/>
      <c r="D405" s="60"/>
      <c r="E405" s="61"/>
      <c r="F405" s="61"/>
      <c r="G405" s="67"/>
      <c r="H405" s="60"/>
      <c r="I405" s="60"/>
      <c r="J405" s="61"/>
      <c r="K405" s="61"/>
      <c r="L405" s="60"/>
      <c r="M405" s="74" t="str">
        <f>IF($C405="","",IF($D405="Gider",$E405,IF($L405&lt;&gt;"",$L405,$H405)))</f>
        <v/>
      </c>
      <c r="N405" s="74" t="str">
        <f>IF($C405="","",IF($D405="Gider",$H405,$E405))</f>
        <v/>
      </c>
      <c r="O405" s="73" t="str">
        <f>IF($C405="","",DATE(YEAR($C405),MONTH($C405),1))</f>
        <v/>
      </c>
      <c r="P405" s="65" t="str">
        <f ca="1">IF($C405="","",IF(AND($D405="Gelir",$L405&lt;&gt;"",$T405=""),"TANIMSIZ BORÇLU",IF($T405&lt;&gt;"",IF(OR($E405="",$G405&lt;=0),"EKSİK",IF($I405="Evet","TAHAKKUK NAKİT OLAMAZ",IF($C405&gt;TODAY(),"İLERİ TARİH","TAHAKKUK"))),IF(AND($D405&lt;&gt;"",$E405&lt;&gt;"",$G405&gt;0,$H405&lt;&gt;"",$I405&lt;&gt;""),IF($C405&gt;TODAY(),"İLERİ TARİH",IF(COUNTIF($W$7:$W$3001,$W405)&gt;1,"MÜKERRER?",IF($AD405&gt;0,"KAPALI DÖNEM",IF($I405="Hayır","ÖDENECEK","UYGUN")))),"EKSİK"))))</f>
        <v/>
      </c>
      <c r="Q405" s="2"/>
      <c r="R405" s="2"/>
      <c r="S405" s="1" t="str">
        <f t="shared" si="20"/>
        <v/>
      </c>
      <c r="T405" s="1" t="str">
        <f>IF(OR($C405="",$D405&lt;&gt;"Gelir",$L405=""),"",IFERROR(INDEX(MUSTERILER!$B$7:$B$156,MATCH($S405,MUSTERILER!$T$7:$T$156,0)),""))</f>
        <v/>
      </c>
      <c r="U405" s="1" t="str">
        <f>IF($T405="","",$T405&amp;"|"&amp;COUNTIFS($T$7:$T405,$T405))</f>
        <v/>
      </c>
      <c r="V405" s="1">
        <f t="shared" si="21"/>
        <v>0</v>
      </c>
      <c r="W405" s="1" t="str">
        <f t="shared" si="22"/>
        <v/>
      </c>
      <c r="X405" s="1"/>
      <c r="Y405" s="1"/>
      <c r="Z405" s="1"/>
      <c r="AA405" s="1"/>
      <c r="AB405" s="1"/>
      <c r="AC405" s="1"/>
      <c r="AD405" s="1">
        <f>IF($C405="",0,SUMPRODUCT((AY_SONU!$O$7:$O$42="Evet")*(AY_SONU!$B$7:$B$42=DATE(YEAR($C405),MONTH($C405),1))))</f>
        <v>0</v>
      </c>
      <c r="AE405" s="1" t="str">
        <f>IF($E405="","",$E405&amp;"|"&amp;COUNTIFS($E$7:$E405,$E405))</f>
        <v/>
      </c>
    </row>
    <row r="406" spans="1:31" ht="18" customHeight="1" x14ac:dyDescent="0.3">
      <c r="A406" s="2"/>
      <c r="B406" s="65" t="str">
        <f>IF($C406="","","GG"&amp;TEXT(ROW()-6,"00000"))</f>
        <v/>
      </c>
      <c r="C406" s="66"/>
      <c r="D406" s="60"/>
      <c r="E406" s="61"/>
      <c r="F406" s="61"/>
      <c r="G406" s="67"/>
      <c r="H406" s="60"/>
      <c r="I406" s="60"/>
      <c r="J406" s="61"/>
      <c r="K406" s="61"/>
      <c r="L406" s="60"/>
      <c r="M406" s="74" t="str">
        <f>IF($C406="","",IF($D406="Gider",$E406,IF($L406&lt;&gt;"",$L406,$H406)))</f>
        <v/>
      </c>
      <c r="N406" s="74" t="str">
        <f>IF($C406="","",IF($D406="Gider",$H406,$E406))</f>
        <v/>
      </c>
      <c r="O406" s="73" t="str">
        <f>IF($C406="","",DATE(YEAR($C406),MONTH($C406),1))</f>
        <v/>
      </c>
      <c r="P406" s="65" t="str">
        <f ca="1">IF($C406="","",IF(AND($D406="Gelir",$L406&lt;&gt;"",$T406=""),"TANIMSIZ BORÇLU",IF($T406&lt;&gt;"",IF(OR($E406="",$G406&lt;=0),"EKSİK",IF($I406="Evet","TAHAKKUK NAKİT OLAMAZ",IF($C406&gt;TODAY(),"İLERİ TARİH","TAHAKKUK"))),IF(AND($D406&lt;&gt;"",$E406&lt;&gt;"",$G406&gt;0,$H406&lt;&gt;"",$I406&lt;&gt;""),IF($C406&gt;TODAY(),"İLERİ TARİH",IF(COUNTIF($W$7:$W$3001,$W406)&gt;1,"MÜKERRER?",IF($AD406&gt;0,"KAPALI DÖNEM",IF($I406="Hayır","ÖDENECEK","UYGUN")))),"EKSİK"))))</f>
        <v/>
      </c>
      <c r="Q406" s="2"/>
      <c r="R406" s="2"/>
      <c r="S406" s="1" t="str">
        <f t="shared" si="20"/>
        <v/>
      </c>
      <c r="T406" s="1" t="str">
        <f>IF(OR($C406="",$D406&lt;&gt;"Gelir",$L406=""),"",IFERROR(INDEX(MUSTERILER!$B$7:$B$156,MATCH($S406,MUSTERILER!$T$7:$T$156,0)),""))</f>
        <v/>
      </c>
      <c r="U406" s="1" t="str">
        <f>IF($T406="","",$T406&amp;"|"&amp;COUNTIFS($T$7:$T406,$T406))</f>
        <v/>
      </c>
      <c r="V406" s="1">
        <f t="shared" si="21"/>
        <v>0</v>
      </c>
      <c r="W406" s="1" t="str">
        <f t="shared" si="22"/>
        <v/>
      </c>
      <c r="X406" s="1"/>
      <c r="Y406" s="1"/>
      <c r="Z406" s="1"/>
      <c r="AA406" s="1"/>
      <c r="AB406" s="1"/>
      <c r="AC406" s="1"/>
      <c r="AD406" s="1">
        <f>IF($C406="",0,SUMPRODUCT((AY_SONU!$O$7:$O$42="Evet")*(AY_SONU!$B$7:$B$42=DATE(YEAR($C406),MONTH($C406),1))))</f>
        <v>0</v>
      </c>
      <c r="AE406" s="1" t="str">
        <f>IF($E406="","",$E406&amp;"|"&amp;COUNTIFS($E$7:$E406,$E406))</f>
        <v/>
      </c>
    </row>
    <row r="407" spans="1:31" ht="18" customHeight="1" x14ac:dyDescent="0.3">
      <c r="A407" s="2"/>
      <c r="B407" s="65" t="str">
        <f>IF($C407="","","GG"&amp;TEXT(ROW()-6,"00000"))</f>
        <v/>
      </c>
      <c r="C407" s="66"/>
      <c r="D407" s="60"/>
      <c r="E407" s="61"/>
      <c r="F407" s="61"/>
      <c r="G407" s="67"/>
      <c r="H407" s="60"/>
      <c r="I407" s="60"/>
      <c r="J407" s="61"/>
      <c r="K407" s="61"/>
      <c r="L407" s="60"/>
      <c r="M407" s="74" t="str">
        <f>IF($C407="","",IF($D407="Gider",$E407,IF($L407&lt;&gt;"",$L407,$H407)))</f>
        <v/>
      </c>
      <c r="N407" s="74" t="str">
        <f>IF($C407="","",IF($D407="Gider",$H407,$E407))</f>
        <v/>
      </c>
      <c r="O407" s="73" t="str">
        <f>IF($C407="","",DATE(YEAR($C407),MONTH($C407),1))</f>
        <v/>
      </c>
      <c r="P407" s="65" t="str">
        <f ca="1">IF($C407="","",IF(AND($D407="Gelir",$L407&lt;&gt;"",$T407=""),"TANIMSIZ BORÇLU",IF($T407&lt;&gt;"",IF(OR($E407="",$G407&lt;=0),"EKSİK",IF($I407="Evet","TAHAKKUK NAKİT OLAMAZ",IF($C407&gt;TODAY(),"İLERİ TARİH","TAHAKKUK"))),IF(AND($D407&lt;&gt;"",$E407&lt;&gt;"",$G407&gt;0,$H407&lt;&gt;"",$I407&lt;&gt;""),IF($C407&gt;TODAY(),"İLERİ TARİH",IF(COUNTIF($W$7:$W$3001,$W407)&gt;1,"MÜKERRER?",IF($AD407&gt;0,"KAPALI DÖNEM",IF($I407="Hayır","ÖDENECEK","UYGUN")))),"EKSİK"))))</f>
        <v/>
      </c>
      <c r="Q407" s="2"/>
      <c r="R407" s="2"/>
      <c r="S407" s="1" t="str">
        <f t="shared" si="20"/>
        <v/>
      </c>
      <c r="T407" s="1" t="str">
        <f>IF(OR($C407="",$D407&lt;&gt;"Gelir",$L407=""),"",IFERROR(INDEX(MUSTERILER!$B$7:$B$156,MATCH($S407,MUSTERILER!$T$7:$T$156,0)),""))</f>
        <v/>
      </c>
      <c r="U407" s="1" t="str">
        <f>IF($T407="","",$T407&amp;"|"&amp;COUNTIFS($T$7:$T407,$T407))</f>
        <v/>
      </c>
      <c r="V407" s="1">
        <f t="shared" si="21"/>
        <v>0</v>
      </c>
      <c r="W407" s="1" t="str">
        <f t="shared" si="22"/>
        <v/>
      </c>
      <c r="X407" s="1"/>
      <c r="Y407" s="1"/>
      <c r="Z407" s="1"/>
      <c r="AA407" s="1"/>
      <c r="AB407" s="1"/>
      <c r="AC407" s="1"/>
      <c r="AD407" s="1">
        <f>IF($C407="",0,SUMPRODUCT((AY_SONU!$O$7:$O$42="Evet")*(AY_SONU!$B$7:$B$42=DATE(YEAR($C407),MONTH($C407),1))))</f>
        <v>0</v>
      </c>
      <c r="AE407" s="1" t="str">
        <f>IF($E407="","",$E407&amp;"|"&amp;COUNTIFS($E$7:$E407,$E407))</f>
        <v/>
      </c>
    </row>
    <row r="408" spans="1:31" ht="18" customHeight="1" x14ac:dyDescent="0.3">
      <c r="A408" s="2"/>
      <c r="B408" s="65" t="str">
        <f>IF($C408="","","GG"&amp;TEXT(ROW()-6,"00000"))</f>
        <v/>
      </c>
      <c r="C408" s="66"/>
      <c r="D408" s="60"/>
      <c r="E408" s="61"/>
      <c r="F408" s="61"/>
      <c r="G408" s="67"/>
      <c r="H408" s="60"/>
      <c r="I408" s="60"/>
      <c r="J408" s="61"/>
      <c r="K408" s="61"/>
      <c r="L408" s="60"/>
      <c r="M408" s="74" t="str">
        <f>IF($C408="","",IF($D408="Gider",$E408,IF($L408&lt;&gt;"",$L408,$H408)))</f>
        <v/>
      </c>
      <c r="N408" s="74" t="str">
        <f>IF($C408="","",IF($D408="Gider",$H408,$E408))</f>
        <v/>
      </c>
      <c r="O408" s="73" t="str">
        <f>IF($C408="","",DATE(YEAR($C408),MONTH($C408),1))</f>
        <v/>
      </c>
      <c r="P408" s="65" t="str">
        <f ca="1">IF($C408="","",IF(AND($D408="Gelir",$L408&lt;&gt;"",$T408=""),"TANIMSIZ BORÇLU",IF($T408&lt;&gt;"",IF(OR($E408="",$G408&lt;=0),"EKSİK",IF($I408="Evet","TAHAKKUK NAKİT OLAMAZ",IF($C408&gt;TODAY(),"İLERİ TARİH","TAHAKKUK"))),IF(AND($D408&lt;&gt;"",$E408&lt;&gt;"",$G408&gt;0,$H408&lt;&gt;"",$I408&lt;&gt;""),IF($C408&gt;TODAY(),"İLERİ TARİH",IF(COUNTIF($W$7:$W$3001,$W408)&gt;1,"MÜKERRER?",IF($AD408&gt;0,"KAPALI DÖNEM",IF($I408="Hayır","ÖDENECEK","UYGUN")))),"EKSİK"))))</f>
        <v/>
      </c>
      <c r="Q408" s="2"/>
      <c r="R408" s="2"/>
      <c r="S408" s="1" t="str">
        <f t="shared" si="20"/>
        <v/>
      </c>
      <c r="T408" s="1" t="str">
        <f>IF(OR($C408="",$D408&lt;&gt;"Gelir",$L408=""),"",IFERROR(INDEX(MUSTERILER!$B$7:$B$156,MATCH($S408,MUSTERILER!$T$7:$T$156,0)),""))</f>
        <v/>
      </c>
      <c r="U408" s="1" t="str">
        <f>IF($T408="","",$T408&amp;"|"&amp;COUNTIFS($T$7:$T408,$T408))</f>
        <v/>
      </c>
      <c r="V408" s="1">
        <f t="shared" si="21"/>
        <v>0</v>
      </c>
      <c r="W408" s="1" t="str">
        <f t="shared" si="22"/>
        <v/>
      </c>
      <c r="X408" s="1"/>
      <c r="Y408" s="1"/>
      <c r="Z408" s="1"/>
      <c r="AA408" s="1"/>
      <c r="AB408" s="1"/>
      <c r="AC408" s="1"/>
      <c r="AD408" s="1">
        <f>IF($C408="",0,SUMPRODUCT((AY_SONU!$O$7:$O$42="Evet")*(AY_SONU!$B$7:$B$42=DATE(YEAR($C408),MONTH($C408),1))))</f>
        <v>0</v>
      </c>
      <c r="AE408" s="1" t="str">
        <f>IF($E408="","",$E408&amp;"|"&amp;COUNTIFS($E$7:$E408,$E408))</f>
        <v/>
      </c>
    </row>
    <row r="409" spans="1:31" ht="18" customHeight="1" x14ac:dyDescent="0.3">
      <c r="A409" s="2"/>
      <c r="B409" s="65" t="str">
        <f>IF($C409="","","GG"&amp;TEXT(ROW()-6,"00000"))</f>
        <v/>
      </c>
      <c r="C409" s="66"/>
      <c r="D409" s="60"/>
      <c r="E409" s="61"/>
      <c r="F409" s="61"/>
      <c r="G409" s="67"/>
      <c r="H409" s="60"/>
      <c r="I409" s="60"/>
      <c r="J409" s="61"/>
      <c r="K409" s="61"/>
      <c r="L409" s="60"/>
      <c r="M409" s="74" t="str">
        <f>IF($C409="","",IF($D409="Gider",$E409,IF($L409&lt;&gt;"",$L409,$H409)))</f>
        <v/>
      </c>
      <c r="N409" s="74" t="str">
        <f>IF($C409="","",IF($D409="Gider",$H409,$E409))</f>
        <v/>
      </c>
      <c r="O409" s="73" t="str">
        <f>IF($C409="","",DATE(YEAR($C409),MONTH($C409),1))</f>
        <v/>
      </c>
      <c r="P409" s="65" t="str">
        <f ca="1">IF($C409="","",IF(AND($D409="Gelir",$L409&lt;&gt;"",$T409=""),"TANIMSIZ BORÇLU",IF($T409&lt;&gt;"",IF(OR($E409="",$G409&lt;=0),"EKSİK",IF($I409="Evet","TAHAKKUK NAKİT OLAMAZ",IF($C409&gt;TODAY(),"İLERİ TARİH","TAHAKKUK"))),IF(AND($D409&lt;&gt;"",$E409&lt;&gt;"",$G409&gt;0,$H409&lt;&gt;"",$I409&lt;&gt;""),IF($C409&gt;TODAY(),"İLERİ TARİH",IF(COUNTIF($W$7:$W$3001,$W409)&gt;1,"MÜKERRER?",IF($AD409&gt;0,"KAPALI DÖNEM",IF($I409="Hayır","ÖDENECEK","UYGUN")))),"EKSİK"))))</f>
        <v/>
      </c>
      <c r="Q409" s="2"/>
      <c r="R409" s="2"/>
      <c r="S409" s="1" t="str">
        <f t="shared" si="20"/>
        <v/>
      </c>
      <c r="T409" s="1" t="str">
        <f>IF(OR($C409="",$D409&lt;&gt;"Gelir",$L409=""),"",IFERROR(INDEX(MUSTERILER!$B$7:$B$156,MATCH($S409,MUSTERILER!$T$7:$T$156,0)),""))</f>
        <v/>
      </c>
      <c r="U409" s="1" t="str">
        <f>IF($T409="","",$T409&amp;"|"&amp;COUNTIFS($T$7:$T409,$T409))</f>
        <v/>
      </c>
      <c r="V409" s="1">
        <f t="shared" si="21"/>
        <v>0</v>
      </c>
      <c r="W409" s="1" t="str">
        <f t="shared" si="22"/>
        <v/>
      </c>
      <c r="X409" s="1"/>
      <c r="Y409" s="1"/>
      <c r="Z409" s="1"/>
      <c r="AA409" s="1"/>
      <c r="AB409" s="1"/>
      <c r="AC409" s="1"/>
      <c r="AD409" s="1">
        <f>IF($C409="",0,SUMPRODUCT((AY_SONU!$O$7:$O$42="Evet")*(AY_SONU!$B$7:$B$42=DATE(YEAR($C409),MONTH($C409),1))))</f>
        <v>0</v>
      </c>
      <c r="AE409" s="1" t="str">
        <f>IF($E409="","",$E409&amp;"|"&amp;COUNTIFS($E$7:$E409,$E409))</f>
        <v/>
      </c>
    </row>
    <row r="410" spans="1:31" ht="18" customHeight="1" x14ac:dyDescent="0.3">
      <c r="A410" s="2"/>
      <c r="B410" s="65" t="str">
        <f>IF($C410="","","GG"&amp;TEXT(ROW()-6,"00000"))</f>
        <v/>
      </c>
      <c r="C410" s="66"/>
      <c r="D410" s="60"/>
      <c r="E410" s="61"/>
      <c r="F410" s="61"/>
      <c r="G410" s="67"/>
      <c r="H410" s="60"/>
      <c r="I410" s="60"/>
      <c r="J410" s="61"/>
      <c r="K410" s="61"/>
      <c r="L410" s="60"/>
      <c r="M410" s="74" t="str">
        <f>IF($C410="","",IF($D410="Gider",$E410,IF($L410&lt;&gt;"",$L410,$H410)))</f>
        <v/>
      </c>
      <c r="N410" s="74" t="str">
        <f>IF($C410="","",IF($D410="Gider",$H410,$E410))</f>
        <v/>
      </c>
      <c r="O410" s="73" t="str">
        <f>IF($C410="","",DATE(YEAR($C410),MONTH($C410),1))</f>
        <v/>
      </c>
      <c r="P410" s="65" t="str">
        <f ca="1">IF($C410="","",IF(AND($D410="Gelir",$L410&lt;&gt;"",$T410=""),"TANIMSIZ BORÇLU",IF($T410&lt;&gt;"",IF(OR($E410="",$G410&lt;=0),"EKSİK",IF($I410="Evet","TAHAKKUK NAKİT OLAMAZ",IF($C410&gt;TODAY(),"İLERİ TARİH","TAHAKKUK"))),IF(AND($D410&lt;&gt;"",$E410&lt;&gt;"",$G410&gt;0,$H410&lt;&gt;"",$I410&lt;&gt;""),IF($C410&gt;TODAY(),"İLERİ TARİH",IF(COUNTIF($W$7:$W$3001,$W410)&gt;1,"MÜKERRER?",IF($AD410&gt;0,"KAPALI DÖNEM",IF($I410="Hayır","ÖDENECEK","UYGUN")))),"EKSİK"))))</f>
        <v/>
      </c>
      <c r="Q410" s="2"/>
      <c r="R410" s="2"/>
      <c r="S410" s="1" t="str">
        <f t="shared" si="20"/>
        <v/>
      </c>
      <c r="T410" s="1" t="str">
        <f>IF(OR($C410="",$D410&lt;&gt;"Gelir",$L410=""),"",IFERROR(INDEX(MUSTERILER!$B$7:$B$156,MATCH($S410,MUSTERILER!$T$7:$T$156,0)),""))</f>
        <v/>
      </c>
      <c r="U410" s="1" t="str">
        <f>IF($T410="","",$T410&amp;"|"&amp;COUNTIFS($T$7:$T410,$T410))</f>
        <v/>
      </c>
      <c r="V410" s="1">
        <f t="shared" si="21"/>
        <v>0</v>
      </c>
      <c r="W410" s="1" t="str">
        <f t="shared" si="22"/>
        <v/>
      </c>
      <c r="X410" s="1"/>
      <c r="Y410" s="1"/>
      <c r="Z410" s="1"/>
      <c r="AA410" s="1"/>
      <c r="AB410" s="1"/>
      <c r="AC410" s="1"/>
      <c r="AD410" s="1">
        <f>IF($C410="",0,SUMPRODUCT((AY_SONU!$O$7:$O$42="Evet")*(AY_SONU!$B$7:$B$42=DATE(YEAR($C410),MONTH($C410),1))))</f>
        <v>0</v>
      </c>
      <c r="AE410" s="1" t="str">
        <f>IF($E410="","",$E410&amp;"|"&amp;COUNTIFS($E$7:$E410,$E410))</f>
        <v/>
      </c>
    </row>
    <row r="411" spans="1:31" ht="18" customHeight="1" x14ac:dyDescent="0.3">
      <c r="A411" s="2"/>
      <c r="B411" s="65" t="str">
        <f>IF($C411="","","GG"&amp;TEXT(ROW()-6,"00000"))</f>
        <v/>
      </c>
      <c r="C411" s="66"/>
      <c r="D411" s="60"/>
      <c r="E411" s="61"/>
      <c r="F411" s="61"/>
      <c r="G411" s="67"/>
      <c r="H411" s="60"/>
      <c r="I411" s="60"/>
      <c r="J411" s="61"/>
      <c r="K411" s="61"/>
      <c r="L411" s="60"/>
      <c r="M411" s="74" t="str">
        <f>IF($C411="","",IF($D411="Gider",$E411,IF($L411&lt;&gt;"",$L411,$H411)))</f>
        <v/>
      </c>
      <c r="N411" s="74" t="str">
        <f>IF($C411="","",IF($D411="Gider",$H411,$E411))</f>
        <v/>
      </c>
      <c r="O411" s="73" t="str">
        <f>IF($C411="","",DATE(YEAR($C411),MONTH($C411),1))</f>
        <v/>
      </c>
      <c r="P411" s="65" t="str">
        <f ca="1">IF($C411="","",IF(AND($D411="Gelir",$L411&lt;&gt;"",$T411=""),"TANIMSIZ BORÇLU",IF($T411&lt;&gt;"",IF(OR($E411="",$G411&lt;=0),"EKSİK",IF($I411="Evet","TAHAKKUK NAKİT OLAMAZ",IF($C411&gt;TODAY(),"İLERİ TARİH","TAHAKKUK"))),IF(AND($D411&lt;&gt;"",$E411&lt;&gt;"",$G411&gt;0,$H411&lt;&gt;"",$I411&lt;&gt;""),IF($C411&gt;TODAY(),"İLERİ TARİH",IF(COUNTIF($W$7:$W$3001,$W411)&gt;1,"MÜKERRER?",IF($AD411&gt;0,"KAPALI DÖNEM",IF($I411="Hayır","ÖDENECEK","UYGUN")))),"EKSİK"))))</f>
        <v/>
      </c>
      <c r="Q411" s="2"/>
      <c r="R411" s="2"/>
      <c r="S411" s="1" t="str">
        <f t="shared" si="20"/>
        <v/>
      </c>
      <c r="T411" s="1" t="str">
        <f>IF(OR($C411="",$D411&lt;&gt;"Gelir",$L411=""),"",IFERROR(INDEX(MUSTERILER!$B$7:$B$156,MATCH($S411,MUSTERILER!$T$7:$T$156,0)),""))</f>
        <v/>
      </c>
      <c r="U411" s="1" t="str">
        <f>IF($T411="","",$T411&amp;"|"&amp;COUNTIFS($T$7:$T411,$T411))</f>
        <v/>
      </c>
      <c r="V411" s="1">
        <f t="shared" si="21"/>
        <v>0</v>
      </c>
      <c r="W411" s="1" t="str">
        <f t="shared" si="22"/>
        <v/>
      </c>
      <c r="X411" s="1"/>
      <c r="Y411" s="1"/>
      <c r="Z411" s="1"/>
      <c r="AA411" s="1"/>
      <c r="AB411" s="1"/>
      <c r="AC411" s="1"/>
      <c r="AD411" s="1">
        <f>IF($C411="",0,SUMPRODUCT((AY_SONU!$O$7:$O$42="Evet")*(AY_SONU!$B$7:$B$42=DATE(YEAR($C411),MONTH($C411),1))))</f>
        <v>0</v>
      </c>
      <c r="AE411" s="1" t="str">
        <f>IF($E411="","",$E411&amp;"|"&amp;COUNTIFS($E$7:$E411,$E411))</f>
        <v/>
      </c>
    </row>
    <row r="412" spans="1:31" ht="18" customHeight="1" x14ac:dyDescent="0.3">
      <c r="A412" s="2"/>
      <c r="B412" s="65" t="str">
        <f>IF($C412="","","GG"&amp;TEXT(ROW()-6,"00000"))</f>
        <v/>
      </c>
      <c r="C412" s="66"/>
      <c r="D412" s="60"/>
      <c r="E412" s="61"/>
      <c r="F412" s="61"/>
      <c r="G412" s="67"/>
      <c r="H412" s="60"/>
      <c r="I412" s="60"/>
      <c r="J412" s="61"/>
      <c r="K412" s="61"/>
      <c r="L412" s="60"/>
      <c r="M412" s="74" t="str">
        <f>IF($C412="","",IF($D412="Gider",$E412,IF($L412&lt;&gt;"",$L412,$H412)))</f>
        <v/>
      </c>
      <c r="N412" s="74" t="str">
        <f>IF($C412="","",IF($D412="Gider",$H412,$E412))</f>
        <v/>
      </c>
      <c r="O412" s="73" t="str">
        <f>IF($C412="","",DATE(YEAR($C412),MONTH($C412),1))</f>
        <v/>
      </c>
      <c r="P412" s="65" t="str">
        <f ca="1">IF($C412="","",IF(AND($D412="Gelir",$L412&lt;&gt;"",$T412=""),"TANIMSIZ BORÇLU",IF($T412&lt;&gt;"",IF(OR($E412="",$G412&lt;=0),"EKSİK",IF($I412="Evet","TAHAKKUK NAKİT OLAMAZ",IF($C412&gt;TODAY(),"İLERİ TARİH","TAHAKKUK"))),IF(AND($D412&lt;&gt;"",$E412&lt;&gt;"",$G412&gt;0,$H412&lt;&gt;"",$I412&lt;&gt;""),IF($C412&gt;TODAY(),"İLERİ TARİH",IF(COUNTIF($W$7:$W$3001,$W412)&gt;1,"MÜKERRER?",IF($AD412&gt;0,"KAPALI DÖNEM",IF($I412="Hayır","ÖDENECEK","UYGUN")))),"EKSİK"))))</f>
        <v/>
      </c>
      <c r="Q412" s="2"/>
      <c r="R412" s="2"/>
      <c r="S412" s="1" t="str">
        <f t="shared" si="20"/>
        <v/>
      </c>
      <c r="T412" s="1" t="str">
        <f>IF(OR($C412="",$D412&lt;&gt;"Gelir",$L412=""),"",IFERROR(INDEX(MUSTERILER!$B$7:$B$156,MATCH($S412,MUSTERILER!$T$7:$T$156,0)),""))</f>
        <v/>
      </c>
      <c r="U412" s="1" t="str">
        <f>IF($T412="","",$T412&amp;"|"&amp;COUNTIFS($T$7:$T412,$T412))</f>
        <v/>
      </c>
      <c r="V412" s="1">
        <f t="shared" si="21"/>
        <v>0</v>
      </c>
      <c r="W412" s="1" t="str">
        <f t="shared" si="22"/>
        <v/>
      </c>
      <c r="X412" s="1"/>
      <c r="Y412" s="1"/>
      <c r="Z412" s="1"/>
      <c r="AA412" s="1"/>
      <c r="AB412" s="1"/>
      <c r="AC412" s="1"/>
      <c r="AD412" s="1">
        <f>IF($C412="",0,SUMPRODUCT((AY_SONU!$O$7:$O$42="Evet")*(AY_SONU!$B$7:$B$42=DATE(YEAR($C412),MONTH($C412),1))))</f>
        <v>0</v>
      </c>
      <c r="AE412" s="1" t="str">
        <f>IF($E412="","",$E412&amp;"|"&amp;COUNTIFS($E$7:$E412,$E412))</f>
        <v/>
      </c>
    </row>
    <row r="413" spans="1:31" ht="18" customHeight="1" x14ac:dyDescent="0.3">
      <c r="A413" s="2"/>
      <c r="B413" s="65" t="str">
        <f>IF($C413="","","GG"&amp;TEXT(ROW()-6,"00000"))</f>
        <v/>
      </c>
      <c r="C413" s="66"/>
      <c r="D413" s="60"/>
      <c r="E413" s="61"/>
      <c r="F413" s="61"/>
      <c r="G413" s="67"/>
      <c r="H413" s="60"/>
      <c r="I413" s="60"/>
      <c r="J413" s="61"/>
      <c r="K413" s="61"/>
      <c r="L413" s="60"/>
      <c r="M413" s="74" t="str">
        <f>IF($C413="","",IF($D413="Gider",$E413,IF($L413&lt;&gt;"",$L413,$H413)))</f>
        <v/>
      </c>
      <c r="N413" s="74" t="str">
        <f>IF($C413="","",IF($D413="Gider",$H413,$E413))</f>
        <v/>
      </c>
      <c r="O413" s="73" t="str">
        <f>IF($C413="","",DATE(YEAR($C413),MONTH($C413),1))</f>
        <v/>
      </c>
      <c r="P413" s="65" t="str">
        <f ca="1">IF($C413="","",IF(AND($D413="Gelir",$L413&lt;&gt;"",$T413=""),"TANIMSIZ BORÇLU",IF($T413&lt;&gt;"",IF(OR($E413="",$G413&lt;=0),"EKSİK",IF($I413="Evet","TAHAKKUK NAKİT OLAMAZ",IF($C413&gt;TODAY(),"İLERİ TARİH","TAHAKKUK"))),IF(AND($D413&lt;&gt;"",$E413&lt;&gt;"",$G413&gt;0,$H413&lt;&gt;"",$I413&lt;&gt;""),IF($C413&gt;TODAY(),"İLERİ TARİH",IF(COUNTIF($W$7:$W$3001,$W413)&gt;1,"MÜKERRER?",IF($AD413&gt;0,"KAPALI DÖNEM",IF($I413="Hayır","ÖDENECEK","UYGUN")))),"EKSİK"))))</f>
        <v/>
      </c>
      <c r="Q413" s="2"/>
      <c r="R413" s="2"/>
      <c r="S413" s="1" t="str">
        <f t="shared" si="20"/>
        <v/>
      </c>
      <c r="T413" s="1" t="str">
        <f>IF(OR($C413="",$D413&lt;&gt;"Gelir",$L413=""),"",IFERROR(INDEX(MUSTERILER!$B$7:$B$156,MATCH($S413,MUSTERILER!$T$7:$T$156,0)),""))</f>
        <v/>
      </c>
      <c r="U413" s="1" t="str">
        <f>IF($T413="","",$T413&amp;"|"&amp;COUNTIFS($T$7:$T413,$T413))</f>
        <v/>
      </c>
      <c r="V413" s="1">
        <f t="shared" si="21"/>
        <v>0</v>
      </c>
      <c r="W413" s="1" t="str">
        <f t="shared" si="22"/>
        <v/>
      </c>
      <c r="X413" s="1"/>
      <c r="Y413" s="1"/>
      <c r="Z413" s="1"/>
      <c r="AA413" s="1"/>
      <c r="AB413" s="1"/>
      <c r="AC413" s="1"/>
      <c r="AD413" s="1">
        <f>IF($C413="",0,SUMPRODUCT((AY_SONU!$O$7:$O$42="Evet")*(AY_SONU!$B$7:$B$42=DATE(YEAR($C413),MONTH($C413),1))))</f>
        <v>0</v>
      </c>
      <c r="AE413" s="1" t="str">
        <f>IF($E413="","",$E413&amp;"|"&amp;COUNTIFS($E$7:$E413,$E413))</f>
        <v/>
      </c>
    </row>
    <row r="414" spans="1:31" ht="18" customHeight="1" x14ac:dyDescent="0.3">
      <c r="A414" s="2"/>
      <c r="B414" s="65" t="str">
        <f>IF($C414="","","GG"&amp;TEXT(ROW()-6,"00000"))</f>
        <v/>
      </c>
      <c r="C414" s="66"/>
      <c r="D414" s="60"/>
      <c r="E414" s="61"/>
      <c r="F414" s="61"/>
      <c r="G414" s="67"/>
      <c r="H414" s="60"/>
      <c r="I414" s="60"/>
      <c r="J414" s="61"/>
      <c r="K414" s="61"/>
      <c r="L414" s="60"/>
      <c r="M414" s="74" t="str">
        <f>IF($C414="","",IF($D414="Gider",$E414,IF($L414&lt;&gt;"",$L414,$H414)))</f>
        <v/>
      </c>
      <c r="N414" s="74" t="str">
        <f>IF($C414="","",IF($D414="Gider",$H414,$E414))</f>
        <v/>
      </c>
      <c r="O414" s="73" t="str">
        <f>IF($C414="","",DATE(YEAR($C414),MONTH($C414),1))</f>
        <v/>
      </c>
      <c r="P414" s="65" t="str">
        <f ca="1">IF($C414="","",IF(AND($D414="Gelir",$L414&lt;&gt;"",$T414=""),"TANIMSIZ BORÇLU",IF($T414&lt;&gt;"",IF(OR($E414="",$G414&lt;=0),"EKSİK",IF($I414="Evet","TAHAKKUK NAKİT OLAMAZ",IF($C414&gt;TODAY(),"İLERİ TARİH","TAHAKKUK"))),IF(AND($D414&lt;&gt;"",$E414&lt;&gt;"",$G414&gt;0,$H414&lt;&gt;"",$I414&lt;&gt;""),IF($C414&gt;TODAY(),"İLERİ TARİH",IF(COUNTIF($W$7:$W$3001,$W414)&gt;1,"MÜKERRER?",IF($AD414&gt;0,"KAPALI DÖNEM",IF($I414="Hayır","ÖDENECEK","UYGUN")))),"EKSİK"))))</f>
        <v/>
      </c>
      <c r="Q414" s="2"/>
      <c r="R414" s="2"/>
      <c r="S414" s="1" t="str">
        <f t="shared" si="20"/>
        <v/>
      </c>
      <c r="T414" s="1" t="str">
        <f>IF(OR($C414="",$D414&lt;&gt;"Gelir",$L414=""),"",IFERROR(INDEX(MUSTERILER!$B$7:$B$156,MATCH($S414,MUSTERILER!$T$7:$T$156,0)),""))</f>
        <v/>
      </c>
      <c r="U414" s="1" t="str">
        <f>IF($T414="","",$T414&amp;"|"&amp;COUNTIFS($T$7:$T414,$T414))</f>
        <v/>
      </c>
      <c r="V414" s="1">
        <f t="shared" si="21"/>
        <v>0</v>
      </c>
      <c r="W414" s="1" t="str">
        <f t="shared" si="22"/>
        <v/>
      </c>
      <c r="X414" s="1"/>
      <c r="Y414" s="1"/>
      <c r="Z414" s="1"/>
      <c r="AA414" s="1"/>
      <c r="AB414" s="1"/>
      <c r="AC414" s="1"/>
      <c r="AD414" s="1">
        <f>IF($C414="",0,SUMPRODUCT((AY_SONU!$O$7:$O$42="Evet")*(AY_SONU!$B$7:$B$42=DATE(YEAR($C414),MONTH($C414),1))))</f>
        <v>0</v>
      </c>
      <c r="AE414" s="1" t="str">
        <f>IF($E414="","",$E414&amp;"|"&amp;COUNTIFS($E$7:$E414,$E414))</f>
        <v/>
      </c>
    </row>
    <row r="415" spans="1:31" ht="18" customHeight="1" x14ac:dyDescent="0.3">
      <c r="A415" s="2"/>
      <c r="B415" s="65" t="str">
        <f>IF($C415="","","GG"&amp;TEXT(ROW()-6,"00000"))</f>
        <v/>
      </c>
      <c r="C415" s="66"/>
      <c r="D415" s="60"/>
      <c r="E415" s="61"/>
      <c r="F415" s="61"/>
      <c r="G415" s="67"/>
      <c r="H415" s="60"/>
      <c r="I415" s="60"/>
      <c r="J415" s="61"/>
      <c r="K415" s="61"/>
      <c r="L415" s="60"/>
      <c r="M415" s="74" t="str">
        <f>IF($C415="","",IF($D415="Gider",$E415,IF($L415&lt;&gt;"",$L415,$H415)))</f>
        <v/>
      </c>
      <c r="N415" s="74" t="str">
        <f>IF($C415="","",IF($D415="Gider",$H415,$E415))</f>
        <v/>
      </c>
      <c r="O415" s="73" t="str">
        <f>IF($C415="","",DATE(YEAR($C415),MONTH($C415),1))</f>
        <v/>
      </c>
      <c r="P415" s="65" t="str">
        <f ca="1">IF($C415="","",IF(AND($D415="Gelir",$L415&lt;&gt;"",$T415=""),"TANIMSIZ BORÇLU",IF($T415&lt;&gt;"",IF(OR($E415="",$G415&lt;=0),"EKSİK",IF($I415="Evet","TAHAKKUK NAKİT OLAMAZ",IF($C415&gt;TODAY(),"İLERİ TARİH","TAHAKKUK"))),IF(AND($D415&lt;&gt;"",$E415&lt;&gt;"",$G415&gt;0,$H415&lt;&gt;"",$I415&lt;&gt;""),IF($C415&gt;TODAY(),"İLERİ TARİH",IF(COUNTIF($W$7:$W$3001,$W415)&gt;1,"MÜKERRER?",IF($AD415&gt;0,"KAPALI DÖNEM",IF($I415="Hayır","ÖDENECEK","UYGUN")))),"EKSİK"))))</f>
        <v/>
      </c>
      <c r="Q415" s="2"/>
      <c r="R415" s="2"/>
      <c r="S415" s="1" t="str">
        <f t="shared" si="20"/>
        <v/>
      </c>
      <c r="T415" s="1" t="str">
        <f>IF(OR($C415="",$D415&lt;&gt;"Gelir",$L415=""),"",IFERROR(INDEX(MUSTERILER!$B$7:$B$156,MATCH($S415,MUSTERILER!$T$7:$T$156,0)),""))</f>
        <v/>
      </c>
      <c r="U415" s="1" t="str">
        <f>IF($T415="","",$T415&amp;"|"&amp;COUNTIFS($T$7:$T415,$T415))</f>
        <v/>
      </c>
      <c r="V415" s="1">
        <f t="shared" si="21"/>
        <v>0</v>
      </c>
      <c r="W415" s="1" t="str">
        <f t="shared" si="22"/>
        <v/>
      </c>
      <c r="X415" s="1"/>
      <c r="Y415" s="1"/>
      <c r="Z415" s="1"/>
      <c r="AA415" s="1"/>
      <c r="AB415" s="1"/>
      <c r="AC415" s="1"/>
      <c r="AD415" s="1">
        <f>IF($C415="",0,SUMPRODUCT((AY_SONU!$O$7:$O$42="Evet")*(AY_SONU!$B$7:$B$42=DATE(YEAR($C415),MONTH($C415),1))))</f>
        <v>0</v>
      </c>
      <c r="AE415" s="1" t="str">
        <f>IF($E415="","",$E415&amp;"|"&amp;COUNTIFS($E$7:$E415,$E415))</f>
        <v/>
      </c>
    </row>
    <row r="416" spans="1:31" ht="18" customHeight="1" x14ac:dyDescent="0.3">
      <c r="A416" s="2"/>
      <c r="B416" s="65" t="str">
        <f>IF($C416="","","GG"&amp;TEXT(ROW()-6,"00000"))</f>
        <v/>
      </c>
      <c r="C416" s="66"/>
      <c r="D416" s="60"/>
      <c r="E416" s="61"/>
      <c r="F416" s="61"/>
      <c r="G416" s="67"/>
      <c r="H416" s="60"/>
      <c r="I416" s="60"/>
      <c r="J416" s="61"/>
      <c r="K416" s="61"/>
      <c r="L416" s="60"/>
      <c r="M416" s="74" t="str">
        <f>IF($C416="","",IF($D416="Gider",$E416,IF($L416&lt;&gt;"",$L416,$H416)))</f>
        <v/>
      </c>
      <c r="N416" s="74" t="str">
        <f>IF($C416="","",IF($D416="Gider",$H416,$E416))</f>
        <v/>
      </c>
      <c r="O416" s="73" t="str">
        <f>IF($C416="","",DATE(YEAR($C416),MONTH($C416),1))</f>
        <v/>
      </c>
      <c r="P416" s="65" t="str">
        <f ca="1">IF($C416="","",IF(AND($D416="Gelir",$L416&lt;&gt;"",$T416=""),"TANIMSIZ BORÇLU",IF($T416&lt;&gt;"",IF(OR($E416="",$G416&lt;=0),"EKSİK",IF($I416="Evet","TAHAKKUK NAKİT OLAMAZ",IF($C416&gt;TODAY(),"İLERİ TARİH","TAHAKKUK"))),IF(AND($D416&lt;&gt;"",$E416&lt;&gt;"",$G416&gt;0,$H416&lt;&gt;"",$I416&lt;&gt;""),IF($C416&gt;TODAY(),"İLERİ TARİH",IF(COUNTIF($W$7:$W$3001,$W416)&gt;1,"MÜKERRER?",IF($AD416&gt;0,"KAPALI DÖNEM",IF($I416="Hayır","ÖDENECEK","UYGUN")))),"EKSİK"))))</f>
        <v/>
      </c>
      <c r="Q416" s="2"/>
      <c r="R416" s="2"/>
      <c r="S416" s="1" t="str">
        <f t="shared" si="20"/>
        <v/>
      </c>
      <c r="T416" s="1" t="str">
        <f>IF(OR($C416="",$D416&lt;&gt;"Gelir",$L416=""),"",IFERROR(INDEX(MUSTERILER!$B$7:$B$156,MATCH($S416,MUSTERILER!$T$7:$T$156,0)),""))</f>
        <v/>
      </c>
      <c r="U416" s="1" t="str">
        <f>IF($T416="","",$T416&amp;"|"&amp;COUNTIFS($T$7:$T416,$T416))</f>
        <v/>
      </c>
      <c r="V416" s="1">
        <f t="shared" si="21"/>
        <v>0</v>
      </c>
      <c r="W416" s="1" t="str">
        <f t="shared" si="22"/>
        <v/>
      </c>
      <c r="X416" s="1"/>
      <c r="Y416" s="1"/>
      <c r="Z416" s="1"/>
      <c r="AA416" s="1"/>
      <c r="AB416" s="1"/>
      <c r="AC416" s="1"/>
      <c r="AD416" s="1">
        <f>IF($C416="",0,SUMPRODUCT((AY_SONU!$O$7:$O$42="Evet")*(AY_SONU!$B$7:$B$42=DATE(YEAR($C416),MONTH($C416),1))))</f>
        <v>0</v>
      </c>
      <c r="AE416" s="1" t="str">
        <f>IF($E416="","",$E416&amp;"|"&amp;COUNTIFS($E$7:$E416,$E416))</f>
        <v/>
      </c>
    </row>
    <row r="417" spans="1:31" ht="18" customHeight="1" x14ac:dyDescent="0.3">
      <c r="A417" s="2"/>
      <c r="B417" s="65" t="str">
        <f>IF($C417="","","GG"&amp;TEXT(ROW()-6,"00000"))</f>
        <v/>
      </c>
      <c r="C417" s="66"/>
      <c r="D417" s="60"/>
      <c r="E417" s="61"/>
      <c r="F417" s="61"/>
      <c r="G417" s="67"/>
      <c r="H417" s="60"/>
      <c r="I417" s="60"/>
      <c r="J417" s="61"/>
      <c r="K417" s="61"/>
      <c r="L417" s="60"/>
      <c r="M417" s="74" t="str">
        <f>IF($C417="","",IF($D417="Gider",$E417,IF($L417&lt;&gt;"",$L417,$H417)))</f>
        <v/>
      </c>
      <c r="N417" s="74" t="str">
        <f>IF($C417="","",IF($D417="Gider",$H417,$E417))</f>
        <v/>
      </c>
      <c r="O417" s="73" t="str">
        <f>IF($C417="","",DATE(YEAR($C417),MONTH($C417),1))</f>
        <v/>
      </c>
      <c r="P417" s="65" t="str">
        <f ca="1">IF($C417="","",IF(AND($D417="Gelir",$L417&lt;&gt;"",$T417=""),"TANIMSIZ BORÇLU",IF($T417&lt;&gt;"",IF(OR($E417="",$G417&lt;=0),"EKSİK",IF($I417="Evet","TAHAKKUK NAKİT OLAMAZ",IF($C417&gt;TODAY(),"İLERİ TARİH","TAHAKKUK"))),IF(AND($D417&lt;&gt;"",$E417&lt;&gt;"",$G417&gt;0,$H417&lt;&gt;"",$I417&lt;&gt;""),IF($C417&gt;TODAY(),"İLERİ TARİH",IF(COUNTIF($W$7:$W$3001,$W417)&gt;1,"MÜKERRER?",IF($AD417&gt;0,"KAPALI DÖNEM",IF($I417="Hayır","ÖDENECEK","UYGUN")))),"EKSİK"))))</f>
        <v/>
      </c>
      <c r="Q417" s="2"/>
      <c r="R417" s="2"/>
      <c r="S417" s="1" t="str">
        <f t="shared" si="20"/>
        <v/>
      </c>
      <c r="T417" s="1" t="str">
        <f>IF(OR($C417="",$D417&lt;&gt;"Gelir",$L417=""),"",IFERROR(INDEX(MUSTERILER!$B$7:$B$156,MATCH($S417,MUSTERILER!$T$7:$T$156,0)),""))</f>
        <v/>
      </c>
      <c r="U417" s="1" t="str">
        <f>IF($T417="","",$T417&amp;"|"&amp;COUNTIFS($T$7:$T417,$T417))</f>
        <v/>
      </c>
      <c r="V417" s="1">
        <f t="shared" si="21"/>
        <v>0</v>
      </c>
      <c r="W417" s="1" t="str">
        <f t="shared" si="22"/>
        <v/>
      </c>
      <c r="X417" s="1"/>
      <c r="Y417" s="1"/>
      <c r="Z417" s="1"/>
      <c r="AA417" s="1"/>
      <c r="AB417" s="1"/>
      <c r="AC417" s="1"/>
      <c r="AD417" s="1">
        <f>IF($C417="",0,SUMPRODUCT((AY_SONU!$O$7:$O$42="Evet")*(AY_SONU!$B$7:$B$42=DATE(YEAR($C417),MONTH($C417),1))))</f>
        <v>0</v>
      </c>
      <c r="AE417" s="1" t="str">
        <f>IF($E417="","",$E417&amp;"|"&amp;COUNTIFS($E$7:$E417,$E417))</f>
        <v/>
      </c>
    </row>
    <row r="418" spans="1:31" ht="18" customHeight="1" x14ac:dyDescent="0.3">
      <c r="A418" s="2"/>
      <c r="B418" s="65" t="str">
        <f>IF($C418="","","GG"&amp;TEXT(ROW()-6,"00000"))</f>
        <v/>
      </c>
      <c r="C418" s="66"/>
      <c r="D418" s="60"/>
      <c r="E418" s="61"/>
      <c r="F418" s="61"/>
      <c r="G418" s="67"/>
      <c r="H418" s="60"/>
      <c r="I418" s="60"/>
      <c r="J418" s="61"/>
      <c r="K418" s="61"/>
      <c r="L418" s="60"/>
      <c r="M418" s="74" t="str">
        <f>IF($C418="","",IF($D418="Gider",$E418,IF($L418&lt;&gt;"",$L418,$H418)))</f>
        <v/>
      </c>
      <c r="N418" s="74" t="str">
        <f>IF($C418="","",IF($D418="Gider",$H418,$E418))</f>
        <v/>
      </c>
      <c r="O418" s="73" t="str">
        <f>IF($C418="","",DATE(YEAR($C418),MONTH($C418),1))</f>
        <v/>
      </c>
      <c r="P418" s="65" t="str">
        <f ca="1">IF($C418="","",IF(AND($D418="Gelir",$L418&lt;&gt;"",$T418=""),"TANIMSIZ BORÇLU",IF($T418&lt;&gt;"",IF(OR($E418="",$G418&lt;=0),"EKSİK",IF($I418="Evet","TAHAKKUK NAKİT OLAMAZ",IF($C418&gt;TODAY(),"İLERİ TARİH","TAHAKKUK"))),IF(AND($D418&lt;&gt;"",$E418&lt;&gt;"",$G418&gt;0,$H418&lt;&gt;"",$I418&lt;&gt;""),IF($C418&gt;TODAY(),"İLERİ TARİH",IF(COUNTIF($W$7:$W$3001,$W418)&gt;1,"MÜKERRER?",IF($AD418&gt;0,"KAPALI DÖNEM",IF($I418="Hayır","ÖDENECEK","UYGUN")))),"EKSİK"))))</f>
        <v/>
      </c>
      <c r="Q418" s="2"/>
      <c r="R418" s="2"/>
      <c r="S418" s="1" t="str">
        <f t="shared" si="20"/>
        <v/>
      </c>
      <c r="T418" s="1" t="str">
        <f>IF(OR($C418="",$D418&lt;&gt;"Gelir",$L418=""),"",IFERROR(INDEX(MUSTERILER!$B$7:$B$156,MATCH($S418,MUSTERILER!$T$7:$T$156,0)),""))</f>
        <v/>
      </c>
      <c r="U418" s="1" t="str">
        <f>IF($T418="","",$T418&amp;"|"&amp;COUNTIFS($T$7:$T418,$T418))</f>
        <v/>
      </c>
      <c r="V418" s="1">
        <f t="shared" si="21"/>
        <v>0</v>
      </c>
      <c r="W418" s="1" t="str">
        <f t="shared" si="22"/>
        <v/>
      </c>
      <c r="X418" s="1"/>
      <c r="Y418" s="1"/>
      <c r="Z418" s="1"/>
      <c r="AA418" s="1"/>
      <c r="AB418" s="1"/>
      <c r="AC418" s="1"/>
      <c r="AD418" s="1">
        <f>IF($C418="",0,SUMPRODUCT((AY_SONU!$O$7:$O$42="Evet")*(AY_SONU!$B$7:$B$42=DATE(YEAR($C418),MONTH($C418),1))))</f>
        <v>0</v>
      </c>
      <c r="AE418" s="1" t="str">
        <f>IF($E418="","",$E418&amp;"|"&amp;COUNTIFS($E$7:$E418,$E418))</f>
        <v/>
      </c>
    </row>
    <row r="419" spans="1:31" ht="18" customHeight="1" x14ac:dyDescent="0.3">
      <c r="A419" s="2"/>
      <c r="B419" s="65" t="str">
        <f>IF($C419="","","GG"&amp;TEXT(ROW()-6,"00000"))</f>
        <v/>
      </c>
      <c r="C419" s="66"/>
      <c r="D419" s="60"/>
      <c r="E419" s="61"/>
      <c r="F419" s="61"/>
      <c r="G419" s="67"/>
      <c r="H419" s="60"/>
      <c r="I419" s="60"/>
      <c r="J419" s="61"/>
      <c r="K419" s="61"/>
      <c r="L419" s="60"/>
      <c r="M419" s="74" t="str">
        <f>IF($C419="","",IF($D419="Gider",$E419,IF($L419&lt;&gt;"",$L419,$H419)))</f>
        <v/>
      </c>
      <c r="N419" s="74" t="str">
        <f>IF($C419="","",IF($D419="Gider",$H419,$E419))</f>
        <v/>
      </c>
      <c r="O419" s="73" t="str">
        <f>IF($C419="","",DATE(YEAR($C419),MONTH($C419),1))</f>
        <v/>
      </c>
      <c r="P419" s="65" t="str">
        <f ca="1">IF($C419="","",IF(AND($D419="Gelir",$L419&lt;&gt;"",$T419=""),"TANIMSIZ BORÇLU",IF($T419&lt;&gt;"",IF(OR($E419="",$G419&lt;=0),"EKSİK",IF($I419="Evet","TAHAKKUK NAKİT OLAMAZ",IF($C419&gt;TODAY(),"İLERİ TARİH","TAHAKKUK"))),IF(AND($D419&lt;&gt;"",$E419&lt;&gt;"",$G419&gt;0,$H419&lt;&gt;"",$I419&lt;&gt;""),IF($C419&gt;TODAY(),"İLERİ TARİH",IF(COUNTIF($W$7:$W$3001,$W419)&gt;1,"MÜKERRER?",IF($AD419&gt;0,"KAPALI DÖNEM",IF($I419="Hayır","ÖDENECEK","UYGUN")))),"EKSİK"))))</f>
        <v/>
      </c>
      <c r="Q419" s="2"/>
      <c r="R419" s="2"/>
      <c r="S419" s="1" t="str">
        <f t="shared" si="20"/>
        <v/>
      </c>
      <c r="T419" s="1" t="str">
        <f>IF(OR($C419="",$D419&lt;&gt;"Gelir",$L419=""),"",IFERROR(INDEX(MUSTERILER!$B$7:$B$156,MATCH($S419,MUSTERILER!$T$7:$T$156,0)),""))</f>
        <v/>
      </c>
      <c r="U419" s="1" t="str">
        <f>IF($T419="","",$T419&amp;"|"&amp;COUNTIFS($T$7:$T419,$T419))</f>
        <v/>
      </c>
      <c r="V419" s="1">
        <f t="shared" si="21"/>
        <v>0</v>
      </c>
      <c r="W419" s="1" t="str">
        <f t="shared" si="22"/>
        <v/>
      </c>
      <c r="X419" s="1"/>
      <c r="Y419" s="1"/>
      <c r="Z419" s="1"/>
      <c r="AA419" s="1"/>
      <c r="AB419" s="1"/>
      <c r="AC419" s="1"/>
      <c r="AD419" s="1">
        <f>IF($C419="",0,SUMPRODUCT((AY_SONU!$O$7:$O$42="Evet")*(AY_SONU!$B$7:$B$42=DATE(YEAR($C419),MONTH($C419),1))))</f>
        <v>0</v>
      </c>
      <c r="AE419" s="1" t="str">
        <f>IF($E419="","",$E419&amp;"|"&amp;COUNTIFS($E$7:$E419,$E419))</f>
        <v/>
      </c>
    </row>
    <row r="420" spans="1:31" ht="18" customHeight="1" x14ac:dyDescent="0.3">
      <c r="A420" s="2"/>
      <c r="B420" s="65" t="str">
        <f>IF($C420="","","GG"&amp;TEXT(ROW()-6,"00000"))</f>
        <v/>
      </c>
      <c r="C420" s="66"/>
      <c r="D420" s="60"/>
      <c r="E420" s="61"/>
      <c r="F420" s="61"/>
      <c r="G420" s="67"/>
      <c r="H420" s="60"/>
      <c r="I420" s="60"/>
      <c r="J420" s="61"/>
      <c r="K420" s="61"/>
      <c r="L420" s="60"/>
      <c r="M420" s="74" t="str">
        <f>IF($C420="","",IF($D420="Gider",$E420,IF($L420&lt;&gt;"",$L420,$H420)))</f>
        <v/>
      </c>
      <c r="N420" s="74" t="str">
        <f>IF($C420="","",IF($D420="Gider",$H420,$E420))</f>
        <v/>
      </c>
      <c r="O420" s="73" t="str">
        <f>IF($C420="","",DATE(YEAR($C420),MONTH($C420),1))</f>
        <v/>
      </c>
      <c r="P420" s="65" t="str">
        <f ca="1">IF($C420="","",IF(AND($D420="Gelir",$L420&lt;&gt;"",$T420=""),"TANIMSIZ BORÇLU",IF($T420&lt;&gt;"",IF(OR($E420="",$G420&lt;=0),"EKSİK",IF($I420="Evet","TAHAKKUK NAKİT OLAMAZ",IF($C420&gt;TODAY(),"İLERİ TARİH","TAHAKKUK"))),IF(AND($D420&lt;&gt;"",$E420&lt;&gt;"",$G420&gt;0,$H420&lt;&gt;"",$I420&lt;&gt;""),IF($C420&gt;TODAY(),"İLERİ TARİH",IF(COUNTIF($W$7:$W$3001,$W420)&gt;1,"MÜKERRER?",IF($AD420&gt;0,"KAPALI DÖNEM",IF($I420="Hayır","ÖDENECEK","UYGUN")))),"EKSİK"))))</f>
        <v/>
      </c>
      <c r="Q420" s="2"/>
      <c r="R420" s="2"/>
      <c r="S420" s="1" t="str">
        <f t="shared" si="20"/>
        <v/>
      </c>
      <c r="T420" s="1" t="str">
        <f>IF(OR($C420="",$D420&lt;&gt;"Gelir",$L420=""),"",IFERROR(INDEX(MUSTERILER!$B$7:$B$156,MATCH($S420,MUSTERILER!$T$7:$T$156,0)),""))</f>
        <v/>
      </c>
      <c r="U420" s="1" t="str">
        <f>IF($T420="","",$T420&amp;"|"&amp;COUNTIFS($T$7:$T420,$T420))</f>
        <v/>
      </c>
      <c r="V420" s="1">
        <f t="shared" si="21"/>
        <v>0</v>
      </c>
      <c r="W420" s="1" t="str">
        <f t="shared" si="22"/>
        <v/>
      </c>
      <c r="X420" s="1"/>
      <c r="Y420" s="1"/>
      <c r="Z420" s="1"/>
      <c r="AA420" s="1"/>
      <c r="AB420" s="1"/>
      <c r="AC420" s="1"/>
      <c r="AD420" s="1">
        <f>IF($C420="",0,SUMPRODUCT((AY_SONU!$O$7:$O$42="Evet")*(AY_SONU!$B$7:$B$42=DATE(YEAR($C420),MONTH($C420),1))))</f>
        <v>0</v>
      </c>
      <c r="AE420" s="1" t="str">
        <f>IF($E420="","",$E420&amp;"|"&amp;COUNTIFS($E$7:$E420,$E420))</f>
        <v/>
      </c>
    </row>
    <row r="421" spans="1:31" ht="18" customHeight="1" x14ac:dyDescent="0.3">
      <c r="A421" s="2"/>
      <c r="B421" s="65" t="str">
        <f>IF($C421="","","GG"&amp;TEXT(ROW()-6,"00000"))</f>
        <v/>
      </c>
      <c r="C421" s="66"/>
      <c r="D421" s="60"/>
      <c r="E421" s="61"/>
      <c r="F421" s="61"/>
      <c r="G421" s="67"/>
      <c r="H421" s="60"/>
      <c r="I421" s="60"/>
      <c r="J421" s="61"/>
      <c r="K421" s="61"/>
      <c r="L421" s="60"/>
      <c r="M421" s="74" t="str">
        <f>IF($C421="","",IF($D421="Gider",$E421,IF($L421&lt;&gt;"",$L421,$H421)))</f>
        <v/>
      </c>
      <c r="N421" s="74" t="str">
        <f>IF($C421="","",IF($D421="Gider",$H421,$E421))</f>
        <v/>
      </c>
      <c r="O421" s="73" t="str">
        <f>IF($C421="","",DATE(YEAR($C421),MONTH($C421),1))</f>
        <v/>
      </c>
      <c r="P421" s="65" t="str">
        <f ca="1">IF($C421="","",IF(AND($D421="Gelir",$L421&lt;&gt;"",$T421=""),"TANIMSIZ BORÇLU",IF($T421&lt;&gt;"",IF(OR($E421="",$G421&lt;=0),"EKSİK",IF($I421="Evet","TAHAKKUK NAKİT OLAMAZ",IF($C421&gt;TODAY(),"İLERİ TARİH","TAHAKKUK"))),IF(AND($D421&lt;&gt;"",$E421&lt;&gt;"",$G421&gt;0,$H421&lt;&gt;"",$I421&lt;&gt;""),IF($C421&gt;TODAY(),"İLERİ TARİH",IF(COUNTIF($W$7:$W$3001,$W421)&gt;1,"MÜKERRER?",IF($AD421&gt;0,"KAPALI DÖNEM",IF($I421="Hayır","ÖDENECEK","UYGUN")))),"EKSİK"))))</f>
        <v/>
      </c>
      <c r="Q421" s="2"/>
      <c r="R421" s="2"/>
      <c r="S421" s="1" t="str">
        <f t="shared" si="20"/>
        <v/>
      </c>
      <c r="T421" s="1" t="str">
        <f>IF(OR($C421="",$D421&lt;&gt;"Gelir",$L421=""),"",IFERROR(INDEX(MUSTERILER!$B$7:$B$156,MATCH($S421,MUSTERILER!$T$7:$T$156,0)),""))</f>
        <v/>
      </c>
      <c r="U421" s="1" t="str">
        <f>IF($T421="","",$T421&amp;"|"&amp;COUNTIFS($T$7:$T421,$T421))</f>
        <v/>
      </c>
      <c r="V421" s="1">
        <f t="shared" si="21"/>
        <v>0</v>
      </c>
      <c r="W421" s="1" t="str">
        <f t="shared" si="22"/>
        <v/>
      </c>
      <c r="X421" s="1"/>
      <c r="Y421" s="1"/>
      <c r="Z421" s="1"/>
      <c r="AA421" s="1"/>
      <c r="AB421" s="1"/>
      <c r="AC421" s="1"/>
      <c r="AD421" s="1">
        <f>IF($C421="",0,SUMPRODUCT((AY_SONU!$O$7:$O$42="Evet")*(AY_SONU!$B$7:$B$42=DATE(YEAR($C421),MONTH($C421),1))))</f>
        <v>0</v>
      </c>
      <c r="AE421" s="1" t="str">
        <f>IF($E421="","",$E421&amp;"|"&amp;COUNTIFS($E$7:$E421,$E421))</f>
        <v/>
      </c>
    </row>
    <row r="422" spans="1:31" ht="18" customHeight="1" x14ac:dyDescent="0.3">
      <c r="A422" s="2"/>
      <c r="B422" s="65" t="str">
        <f>IF($C422="","","GG"&amp;TEXT(ROW()-6,"00000"))</f>
        <v/>
      </c>
      <c r="C422" s="66"/>
      <c r="D422" s="60"/>
      <c r="E422" s="61"/>
      <c r="F422" s="61"/>
      <c r="G422" s="67"/>
      <c r="H422" s="60"/>
      <c r="I422" s="60"/>
      <c r="J422" s="61"/>
      <c r="K422" s="61"/>
      <c r="L422" s="60"/>
      <c r="M422" s="74" t="str">
        <f>IF($C422="","",IF($D422="Gider",$E422,IF($L422&lt;&gt;"",$L422,$H422)))</f>
        <v/>
      </c>
      <c r="N422" s="74" t="str">
        <f>IF($C422="","",IF($D422="Gider",$H422,$E422))</f>
        <v/>
      </c>
      <c r="O422" s="73" t="str">
        <f>IF($C422="","",DATE(YEAR($C422),MONTH($C422),1))</f>
        <v/>
      </c>
      <c r="P422" s="65" t="str">
        <f ca="1">IF($C422="","",IF(AND($D422="Gelir",$L422&lt;&gt;"",$T422=""),"TANIMSIZ BORÇLU",IF($T422&lt;&gt;"",IF(OR($E422="",$G422&lt;=0),"EKSİK",IF($I422="Evet","TAHAKKUK NAKİT OLAMAZ",IF($C422&gt;TODAY(),"İLERİ TARİH","TAHAKKUK"))),IF(AND($D422&lt;&gt;"",$E422&lt;&gt;"",$G422&gt;0,$H422&lt;&gt;"",$I422&lt;&gt;""),IF($C422&gt;TODAY(),"İLERİ TARİH",IF(COUNTIF($W$7:$W$3001,$W422)&gt;1,"MÜKERRER?",IF($AD422&gt;0,"KAPALI DÖNEM",IF($I422="Hayır","ÖDENECEK","UYGUN")))),"EKSİK"))))</f>
        <v/>
      </c>
      <c r="Q422" s="2"/>
      <c r="R422" s="2"/>
      <c r="S422" s="1" t="str">
        <f t="shared" si="20"/>
        <v/>
      </c>
      <c r="T422" s="1" t="str">
        <f>IF(OR($C422="",$D422&lt;&gt;"Gelir",$L422=""),"",IFERROR(INDEX(MUSTERILER!$B$7:$B$156,MATCH($S422,MUSTERILER!$T$7:$T$156,0)),""))</f>
        <v/>
      </c>
      <c r="U422" s="1" t="str">
        <f>IF($T422="","",$T422&amp;"|"&amp;COUNTIFS($T$7:$T422,$T422))</f>
        <v/>
      </c>
      <c r="V422" s="1">
        <f t="shared" si="21"/>
        <v>0</v>
      </c>
      <c r="W422" s="1" t="str">
        <f t="shared" si="22"/>
        <v/>
      </c>
      <c r="X422" s="1"/>
      <c r="Y422" s="1"/>
      <c r="Z422" s="1"/>
      <c r="AA422" s="1"/>
      <c r="AB422" s="1"/>
      <c r="AC422" s="1"/>
      <c r="AD422" s="1">
        <f>IF($C422="",0,SUMPRODUCT((AY_SONU!$O$7:$O$42="Evet")*(AY_SONU!$B$7:$B$42=DATE(YEAR($C422),MONTH($C422),1))))</f>
        <v>0</v>
      </c>
      <c r="AE422" s="1" t="str">
        <f>IF($E422="","",$E422&amp;"|"&amp;COUNTIFS($E$7:$E422,$E422))</f>
        <v/>
      </c>
    </row>
    <row r="423" spans="1:31" ht="18" customHeight="1" x14ac:dyDescent="0.3">
      <c r="A423" s="2"/>
      <c r="B423" s="65" t="str">
        <f>IF($C423="","","GG"&amp;TEXT(ROW()-6,"00000"))</f>
        <v/>
      </c>
      <c r="C423" s="66"/>
      <c r="D423" s="60"/>
      <c r="E423" s="61"/>
      <c r="F423" s="61"/>
      <c r="G423" s="67"/>
      <c r="H423" s="60"/>
      <c r="I423" s="60"/>
      <c r="J423" s="61"/>
      <c r="K423" s="61"/>
      <c r="L423" s="60"/>
      <c r="M423" s="74" t="str">
        <f>IF($C423="","",IF($D423="Gider",$E423,IF($L423&lt;&gt;"",$L423,$H423)))</f>
        <v/>
      </c>
      <c r="N423" s="74" t="str">
        <f>IF($C423="","",IF($D423="Gider",$H423,$E423))</f>
        <v/>
      </c>
      <c r="O423" s="73" t="str">
        <f>IF($C423="","",DATE(YEAR($C423),MONTH($C423),1))</f>
        <v/>
      </c>
      <c r="P423" s="65" t="str">
        <f ca="1">IF($C423="","",IF(AND($D423="Gelir",$L423&lt;&gt;"",$T423=""),"TANIMSIZ BORÇLU",IF($T423&lt;&gt;"",IF(OR($E423="",$G423&lt;=0),"EKSİK",IF($I423="Evet","TAHAKKUK NAKİT OLAMAZ",IF($C423&gt;TODAY(),"İLERİ TARİH","TAHAKKUK"))),IF(AND($D423&lt;&gt;"",$E423&lt;&gt;"",$G423&gt;0,$H423&lt;&gt;"",$I423&lt;&gt;""),IF($C423&gt;TODAY(),"İLERİ TARİH",IF(COUNTIF($W$7:$W$3001,$W423)&gt;1,"MÜKERRER?",IF($AD423&gt;0,"KAPALI DÖNEM",IF($I423="Hayır","ÖDENECEK","UYGUN")))),"EKSİK"))))</f>
        <v/>
      </c>
      <c r="Q423" s="2"/>
      <c r="R423" s="2"/>
      <c r="S423" s="1" t="str">
        <f t="shared" si="20"/>
        <v/>
      </c>
      <c r="T423" s="1" t="str">
        <f>IF(OR($C423="",$D423&lt;&gt;"Gelir",$L423=""),"",IFERROR(INDEX(MUSTERILER!$B$7:$B$156,MATCH($S423,MUSTERILER!$T$7:$T$156,0)),""))</f>
        <v/>
      </c>
      <c r="U423" s="1" t="str">
        <f>IF($T423="","",$T423&amp;"|"&amp;COUNTIFS($T$7:$T423,$T423))</f>
        <v/>
      </c>
      <c r="V423" s="1">
        <f t="shared" si="21"/>
        <v>0</v>
      </c>
      <c r="W423" s="1" t="str">
        <f t="shared" si="22"/>
        <v/>
      </c>
      <c r="X423" s="1"/>
      <c r="Y423" s="1"/>
      <c r="Z423" s="1"/>
      <c r="AA423" s="1"/>
      <c r="AB423" s="1"/>
      <c r="AC423" s="1"/>
      <c r="AD423" s="1">
        <f>IF($C423="",0,SUMPRODUCT((AY_SONU!$O$7:$O$42="Evet")*(AY_SONU!$B$7:$B$42=DATE(YEAR($C423),MONTH($C423),1))))</f>
        <v>0</v>
      </c>
      <c r="AE423" s="1" t="str">
        <f>IF($E423="","",$E423&amp;"|"&amp;COUNTIFS($E$7:$E423,$E423))</f>
        <v/>
      </c>
    </row>
    <row r="424" spans="1:31" ht="18" customHeight="1" x14ac:dyDescent="0.3">
      <c r="A424" s="2"/>
      <c r="B424" s="65" t="str">
        <f>IF($C424="","","GG"&amp;TEXT(ROW()-6,"00000"))</f>
        <v/>
      </c>
      <c r="C424" s="66"/>
      <c r="D424" s="60"/>
      <c r="E424" s="61"/>
      <c r="F424" s="61"/>
      <c r="G424" s="67"/>
      <c r="H424" s="60"/>
      <c r="I424" s="60"/>
      <c r="J424" s="61"/>
      <c r="K424" s="61"/>
      <c r="L424" s="60"/>
      <c r="M424" s="74" t="str">
        <f>IF($C424="","",IF($D424="Gider",$E424,IF($L424&lt;&gt;"",$L424,$H424)))</f>
        <v/>
      </c>
      <c r="N424" s="74" t="str">
        <f>IF($C424="","",IF($D424="Gider",$H424,$E424))</f>
        <v/>
      </c>
      <c r="O424" s="73" t="str">
        <f>IF($C424="","",DATE(YEAR($C424),MONTH($C424),1))</f>
        <v/>
      </c>
      <c r="P424" s="65" t="str">
        <f ca="1">IF($C424="","",IF(AND($D424="Gelir",$L424&lt;&gt;"",$T424=""),"TANIMSIZ BORÇLU",IF($T424&lt;&gt;"",IF(OR($E424="",$G424&lt;=0),"EKSİK",IF($I424="Evet","TAHAKKUK NAKİT OLAMAZ",IF($C424&gt;TODAY(),"İLERİ TARİH","TAHAKKUK"))),IF(AND($D424&lt;&gt;"",$E424&lt;&gt;"",$G424&gt;0,$H424&lt;&gt;"",$I424&lt;&gt;""),IF($C424&gt;TODAY(),"İLERİ TARİH",IF(COUNTIF($W$7:$W$3001,$W424)&gt;1,"MÜKERRER?",IF($AD424&gt;0,"KAPALI DÖNEM",IF($I424="Hayır","ÖDENECEK","UYGUN")))),"EKSİK"))))</f>
        <v/>
      </c>
      <c r="Q424" s="2"/>
      <c r="R424" s="2"/>
      <c r="S424" s="1" t="str">
        <f t="shared" si="20"/>
        <v/>
      </c>
      <c r="T424" s="1" t="str">
        <f>IF(OR($C424="",$D424&lt;&gt;"Gelir",$L424=""),"",IFERROR(INDEX(MUSTERILER!$B$7:$B$156,MATCH($S424,MUSTERILER!$T$7:$T$156,0)),""))</f>
        <v/>
      </c>
      <c r="U424" s="1" t="str">
        <f>IF($T424="","",$T424&amp;"|"&amp;COUNTIFS($T$7:$T424,$T424))</f>
        <v/>
      </c>
      <c r="V424" s="1">
        <f t="shared" si="21"/>
        <v>0</v>
      </c>
      <c r="W424" s="1" t="str">
        <f t="shared" si="22"/>
        <v/>
      </c>
      <c r="X424" s="1"/>
      <c r="Y424" s="1"/>
      <c r="Z424" s="1"/>
      <c r="AA424" s="1"/>
      <c r="AB424" s="1"/>
      <c r="AC424" s="1"/>
      <c r="AD424" s="1">
        <f>IF($C424="",0,SUMPRODUCT((AY_SONU!$O$7:$O$42="Evet")*(AY_SONU!$B$7:$B$42=DATE(YEAR($C424),MONTH($C424),1))))</f>
        <v>0</v>
      </c>
      <c r="AE424" s="1" t="str">
        <f>IF($E424="","",$E424&amp;"|"&amp;COUNTIFS($E$7:$E424,$E424))</f>
        <v/>
      </c>
    </row>
    <row r="425" spans="1:31" ht="18" customHeight="1" x14ac:dyDescent="0.3">
      <c r="A425" s="2"/>
      <c r="B425" s="65" t="str">
        <f>IF($C425="","","GG"&amp;TEXT(ROW()-6,"00000"))</f>
        <v/>
      </c>
      <c r="C425" s="66"/>
      <c r="D425" s="60"/>
      <c r="E425" s="61"/>
      <c r="F425" s="61"/>
      <c r="G425" s="67"/>
      <c r="H425" s="60"/>
      <c r="I425" s="60"/>
      <c r="J425" s="61"/>
      <c r="K425" s="61"/>
      <c r="L425" s="60"/>
      <c r="M425" s="74" t="str">
        <f>IF($C425="","",IF($D425="Gider",$E425,IF($L425&lt;&gt;"",$L425,$H425)))</f>
        <v/>
      </c>
      <c r="N425" s="74" t="str">
        <f>IF($C425="","",IF($D425="Gider",$H425,$E425))</f>
        <v/>
      </c>
      <c r="O425" s="73" t="str">
        <f>IF($C425="","",DATE(YEAR($C425),MONTH($C425),1))</f>
        <v/>
      </c>
      <c r="P425" s="65" t="str">
        <f ca="1">IF($C425="","",IF(AND($D425="Gelir",$L425&lt;&gt;"",$T425=""),"TANIMSIZ BORÇLU",IF($T425&lt;&gt;"",IF(OR($E425="",$G425&lt;=0),"EKSİK",IF($I425="Evet","TAHAKKUK NAKİT OLAMAZ",IF($C425&gt;TODAY(),"İLERİ TARİH","TAHAKKUK"))),IF(AND($D425&lt;&gt;"",$E425&lt;&gt;"",$G425&gt;0,$H425&lt;&gt;"",$I425&lt;&gt;""),IF($C425&gt;TODAY(),"İLERİ TARİH",IF(COUNTIF($W$7:$W$3001,$W425)&gt;1,"MÜKERRER?",IF($AD425&gt;0,"KAPALI DÖNEM",IF($I425="Hayır","ÖDENECEK","UYGUN")))),"EKSİK"))))</f>
        <v/>
      </c>
      <c r="Q425" s="2"/>
      <c r="R425" s="2"/>
      <c r="S425" s="1" t="str">
        <f t="shared" si="20"/>
        <v/>
      </c>
      <c r="T425" s="1" t="str">
        <f>IF(OR($C425="",$D425&lt;&gt;"Gelir",$L425=""),"",IFERROR(INDEX(MUSTERILER!$B$7:$B$156,MATCH($S425,MUSTERILER!$T$7:$T$156,0)),""))</f>
        <v/>
      </c>
      <c r="U425" s="1" t="str">
        <f>IF($T425="","",$T425&amp;"|"&amp;COUNTIFS($T$7:$T425,$T425))</f>
        <v/>
      </c>
      <c r="V425" s="1">
        <f t="shared" si="21"/>
        <v>0</v>
      </c>
      <c r="W425" s="1" t="str">
        <f t="shared" si="22"/>
        <v/>
      </c>
      <c r="X425" s="1"/>
      <c r="Y425" s="1"/>
      <c r="Z425" s="1"/>
      <c r="AA425" s="1"/>
      <c r="AB425" s="1"/>
      <c r="AC425" s="1"/>
      <c r="AD425" s="1">
        <f>IF($C425="",0,SUMPRODUCT((AY_SONU!$O$7:$O$42="Evet")*(AY_SONU!$B$7:$B$42=DATE(YEAR($C425),MONTH($C425),1))))</f>
        <v>0</v>
      </c>
      <c r="AE425" s="1" t="str">
        <f>IF($E425="","",$E425&amp;"|"&amp;COUNTIFS($E$7:$E425,$E425))</f>
        <v/>
      </c>
    </row>
    <row r="426" spans="1:31" ht="18" customHeight="1" x14ac:dyDescent="0.3">
      <c r="A426" s="2"/>
      <c r="B426" s="65" t="str">
        <f>IF($C426="","","GG"&amp;TEXT(ROW()-6,"00000"))</f>
        <v/>
      </c>
      <c r="C426" s="66"/>
      <c r="D426" s="60"/>
      <c r="E426" s="61"/>
      <c r="F426" s="61"/>
      <c r="G426" s="67"/>
      <c r="H426" s="60"/>
      <c r="I426" s="60"/>
      <c r="J426" s="61"/>
      <c r="K426" s="61"/>
      <c r="L426" s="60"/>
      <c r="M426" s="74" t="str">
        <f>IF($C426="","",IF($D426="Gider",$E426,IF($L426&lt;&gt;"",$L426,$H426)))</f>
        <v/>
      </c>
      <c r="N426" s="74" t="str">
        <f>IF($C426="","",IF($D426="Gider",$H426,$E426))</f>
        <v/>
      </c>
      <c r="O426" s="73" t="str">
        <f>IF($C426="","",DATE(YEAR($C426),MONTH($C426),1))</f>
        <v/>
      </c>
      <c r="P426" s="65" t="str">
        <f ca="1">IF($C426="","",IF(AND($D426="Gelir",$L426&lt;&gt;"",$T426=""),"TANIMSIZ BORÇLU",IF($T426&lt;&gt;"",IF(OR($E426="",$G426&lt;=0),"EKSİK",IF($I426="Evet","TAHAKKUK NAKİT OLAMAZ",IF($C426&gt;TODAY(),"İLERİ TARİH","TAHAKKUK"))),IF(AND($D426&lt;&gt;"",$E426&lt;&gt;"",$G426&gt;0,$H426&lt;&gt;"",$I426&lt;&gt;""),IF($C426&gt;TODAY(),"İLERİ TARİH",IF(COUNTIF($W$7:$W$3001,$W426)&gt;1,"MÜKERRER?",IF($AD426&gt;0,"KAPALI DÖNEM",IF($I426="Hayır","ÖDENECEK","UYGUN")))),"EKSİK"))))</f>
        <v/>
      </c>
      <c r="Q426" s="2"/>
      <c r="R426" s="2"/>
      <c r="S426" s="1" t="str">
        <f t="shared" si="20"/>
        <v/>
      </c>
      <c r="T426" s="1" t="str">
        <f>IF(OR($C426="",$D426&lt;&gt;"Gelir",$L426=""),"",IFERROR(INDEX(MUSTERILER!$B$7:$B$156,MATCH($S426,MUSTERILER!$T$7:$T$156,0)),""))</f>
        <v/>
      </c>
      <c r="U426" s="1" t="str">
        <f>IF($T426="","",$T426&amp;"|"&amp;COUNTIFS($T$7:$T426,$T426))</f>
        <v/>
      </c>
      <c r="V426" s="1">
        <f t="shared" si="21"/>
        <v>0</v>
      </c>
      <c r="W426" s="1" t="str">
        <f t="shared" si="22"/>
        <v/>
      </c>
      <c r="X426" s="1"/>
      <c r="Y426" s="1"/>
      <c r="Z426" s="1"/>
      <c r="AA426" s="1"/>
      <c r="AB426" s="1"/>
      <c r="AC426" s="1"/>
      <c r="AD426" s="1">
        <f>IF($C426="",0,SUMPRODUCT((AY_SONU!$O$7:$O$42="Evet")*(AY_SONU!$B$7:$B$42=DATE(YEAR($C426),MONTH($C426),1))))</f>
        <v>0</v>
      </c>
      <c r="AE426" s="1" t="str">
        <f>IF($E426="","",$E426&amp;"|"&amp;COUNTIFS($E$7:$E426,$E426))</f>
        <v/>
      </c>
    </row>
    <row r="427" spans="1:31" ht="18" customHeight="1" x14ac:dyDescent="0.3">
      <c r="A427" s="2"/>
      <c r="B427" s="65" t="str">
        <f>IF($C427="","","GG"&amp;TEXT(ROW()-6,"00000"))</f>
        <v/>
      </c>
      <c r="C427" s="66"/>
      <c r="D427" s="60"/>
      <c r="E427" s="61"/>
      <c r="F427" s="61"/>
      <c r="G427" s="67"/>
      <c r="H427" s="60"/>
      <c r="I427" s="60"/>
      <c r="J427" s="61"/>
      <c r="K427" s="61"/>
      <c r="L427" s="60"/>
      <c r="M427" s="74" t="str">
        <f>IF($C427="","",IF($D427="Gider",$E427,IF($L427&lt;&gt;"",$L427,$H427)))</f>
        <v/>
      </c>
      <c r="N427" s="74" t="str">
        <f>IF($C427="","",IF($D427="Gider",$H427,$E427))</f>
        <v/>
      </c>
      <c r="O427" s="73" t="str">
        <f>IF($C427="","",DATE(YEAR($C427),MONTH($C427),1))</f>
        <v/>
      </c>
      <c r="P427" s="65" t="str">
        <f ca="1">IF($C427="","",IF(AND($D427="Gelir",$L427&lt;&gt;"",$T427=""),"TANIMSIZ BORÇLU",IF($T427&lt;&gt;"",IF(OR($E427="",$G427&lt;=0),"EKSİK",IF($I427="Evet","TAHAKKUK NAKİT OLAMAZ",IF($C427&gt;TODAY(),"İLERİ TARİH","TAHAKKUK"))),IF(AND($D427&lt;&gt;"",$E427&lt;&gt;"",$G427&gt;0,$H427&lt;&gt;"",$I427&lt;&gt;""),IF($C427&gt;TODAY(),"İLERİ TARİH",IF(COUNTIF($W$7:$W$3001,$W427)&gt;1,"MÜKERRER?",IF($AD427&gt;0,"KAPALI DÖNEM",IF($I427="Hayır","ÖDENECEK","UYGUN")))),"EKSİK"))))</f>
        <v/>
      </c>
      <c r="Q427" s="2"/>
      <c r="R427" s="2"/>
      <c r="S427" s="1" t="str">
        <f t="shared" si="20"/>
        <v/>
      </c>
      <c r="T427" s="1" t="str">
        <f>IF(OR($C427="",$D427&lt;&gt;"Gelir",$L427=""),"",IFERROR(INDEX(MUSTERILER!$B$7:$B$156,MATCH($S427,MUSTERILER!$T$7:$T$156,0)),""))</f>
        <v/>
      </c>
      <c r="U427" s="1" t="str">
        <f>IF($T427="","",$T427&amp;"|"&amp;COUNTIFS($T$7:$T427,$T427))</f>
        <v/>
      </c>
      <c r="V427" s="1">
        <f t="shared" si="21"/>
        <v>0</v>
      </c>
      <c r="W427" s="1" t="str">
        <f t="shared" si="22"/>
        <v/>
      </c>
      <c r="X427" s="1"/>
      <c r="Y427" s="1"/>
      <c r="Z427" s="1"/>
      <c r="AA427" s="1"/>
      <c r="AB427" s="1"/>
      <c r="AC427" s="1"/>
      <c r="AD427" s="1">
        <f>IF($C427="",0,SUMPRODUCT((AY_SONU!$O$7:$O$42="Evet")*(AY_SONU!$B$7:$B$42=DATE(YEAR($C427),MONTH($C427),1))))</f>
        <v>0</v>
      </c>
      <c r="AE427" s="1" t="str">
        <f>IF($E427="","",$E427&amp;"|"&amp;COUNTIFS($E$7:$E427,$E427))</f>
        <v/>
      </c>
    </row>
    <row r="428" spans="1:31" ht="18" customHeight="1" x14ac:dyDescent="0.3">
      <c r="A428" s="2"/>
      <c r="B428" s="65" t="str">
        <f>IF($C428="","","GG"&amp;TEXT(ROW()-6,"00000"))</f>
        <v/>
      </c>
      <c r="C428" s="66"/>
      <c r="D428" s="60"/>
      <c r="E428" s="61"/>
      <c r="F428" s="61"/>
      <c r="G428" s="67"/>
      <c r="H428" s="60"/>
      <c r="I428" s="60"/>
      <c r="J428" s="61"/>
      <c r="K428" s="61"/>
      <c r="L428" s="60"/>
      <c r="M428" s="74" t="str">
        <f>IF($C428="","",IF($D428="Gider",$E428,IF($L428&lt;&gt;"",$L428,$H428)))</f>
        <v/>
      </c>
      <c r="N428" s="74" t="str">
        <f>IF($C428="","",IF($D428="Gider",$H428,$E428))</f>
        <v/>
      </c>
      <c r="O428" s="73" t="str">
        <f>IF($C428="","",DATE(YEAR($C428),MONTH($C428),1))</f>
        <v/>
      </c>
      <c r="P428" s="65" t="str">
        <f ca="1">IF($C428="","",IF(AND($D428="Gelir",$L428&lt;&gt;"",$T428=""),"TANIMSIZ BORÇLU",IF($T428&lt;&gt;"",IF(OR($E428="",$G428&lt;=0),"EKSİK",IF($I428="Evet","TAHAKKUK NAKİT OLAMAZ",IF($C428&gt;TODAY(),"İLERİ TARİH","TAHAKKUK"))),IF(AND($D428&lt;&gt;"",$E428&lt;&gt;"",$G428&gt;0,$H428&lt;&gt;"",$I428&lt;&gt;""),IF($C428&gt;TODAY(),"İLERİ TARİH",IF(COUNTIF($W$7:$W$3001,$W428)&gt;1,"MÜKERRER?",IF($AD428&gt;0,"KAPALI DÖNEM",IF($I428="Hayır","ÖDENECEK","UYGUN")))),"EKSİK"))))</f>
        <v/>
      </c>
      <c r="Q428" s="2"/>
      <c r="R428" s="2"/>
      <c r="S428" s="1" t="str">
        <f t="shared" si="20"/>
        <v/>
      </c>
      <c r="T428" s="1" t="str">
        <f>IF(OR($C428="",$D428&lt;&gt;"Gelir",$L428=""),"",IFERROR(INDEX(MUSTERILER!$B$7:$B$156,MATCH($S428,MUSTERILER!$T$7:$T$156,0)),""))</f>
        <v/>
      </c>
      <c r="U428" s="1" t="str">
        <f>IF($T428="","",$T428&amp;"|"&amp;COUNTIFS($T$7:$T428,$T428))</f>
        <v/>
      </c>
      <c r="V428" s="1">
        <f t="shared" si="21"/>
        <v>0</v>
      </c>
      <c r="W428" s="1" t="str">
        <f t="shared" si="22"/>
        <v/>
      </c>
      <c r="X428" s="1"/>
      <c r="Y428" s="1"/>
      <c r="Z428" s="1"/>
      <c r="AA428" s="1"/>
      <c r="AB428" s="1"/>
      <c r="AC428" s="1"/>
      <c r="AD428" s="1">
        <f>IF($C428="",0,SUMPRODUCT((AY_SONU!$O$7:$O$42="Evet")*(AY_SONU!$B$7:$B$42=DATE(YEAR($C428),MONTH($C428),1))))</f>
        <v>0</v>
      </c>
      <c r="AE428" s="1" t="str">
        <f>IF($E428="","",$E428&amp;"|"&amp;COUNTIFS($E$7:$E428,$E428))</f>
        <v/>
      </c>
    </row>
    <row r="429" spans="1:31" ht="18" customHeight="1" x14ac:dyDescent="0.3">
      <c r="A429" s="2"/>
      <c r="B429" s="65" t="str">
        <f>IF($C429="","","GG"&amp;TEXT(ROW()-6,"00000"))</f>
        <v/>
      </c>
      <c r="C429" s="66"/>
      <c r="D429" s="60"/>
      <c r="E429" s="61"/>
      <c r="F429" s="61"/>
      <c r="G429" s="67"/>
      <c r="H429" s="60"/>
      <c r="I429" s="60"/>
      <c r="J429" s="61"/>
      <c r="K429" s="61"/>
      <c r="L429" s="60"/>
      <c r="M429" s="74" t="str">
        <f>IF($C429="","",IF($D429="Gider",$E429,IF($L429&lt;&gt;"",$L429,$H429)))</f>
        <v/>
      </c>
      <c r="N429" s="74" t="str">
        <f>IF($C429="","",IF($D429="Gider",$H429,$E429))</f>
        <v/>
      </c>
      <c r="O429" s="73" t="str">
        <f>IF($C429="","",DATE(YEAR($C429),MONTH($C429),1))</f>
        <v/>
      </c>
      <c r="P429" s="65" t="str">
        <f ca="1">IF($C429="","",IF(AND($D429="Gelir",$L429&lt;&gt;"",$T429=""),"TANIMSIZ BORÇLU",IF($T429&lt;&gt;"",IF(OR($E429="",$G429&lt;=0),"EKSİK",IF($I429="Evet","TAHAKKUK NAKİT OLAMAZ",IF($C429&gt;TODAY(),"İLERİ TARİH","TAHAKKUK"))),IF(AND($D429&lt;&gt;"",$E429&lt;&gt;"",$G429&gt;0,$H429&lt;&gt;"",$I429&lt;&gt;""),IF($C429&gt;TODAY(),"İLERİ TARİH",IF(COUNTIF($W$7:$W$3001,$W429)&gt;1,"MÜKERRER?",IF($AD429&gt;0,"KAPALI DÖNEM",IF($I429="Hayır","ÖDENECEK","UYGUN")))),"EKSİK"))))</f>
        <v/>
      </c>
      <c r="Q429" s="2"/>
      <c r="R429" s="2"/>
      <c r="S429" s="1" t="str">
        <f t="shared" si="20"/>
        <v/>
      </c>
      <c r="T429" s="1" t="str">
        <f>IF(OR($C429="",$D429&lt;&gt;"Gelir",$L429=""),"",IFERROR(INDEX(MUSTERILER!$B$7:$B$156,MATCH($S429,MUSTERILER!$T$7:$T$156,0)),""))</f>
        <v/>
      </c>
      <c r="U429" s="1" t="str">
        <f>IF($T429="","",$T429&amp;"|"&amp;COUNTIFS($T$7:$T429,$T429))</f>
        <v/>
      </c>
      <c r="V429" s="1">
        <f t="shared" si="21"/>
        <v>0</v>
      </c>
      <c r="W429" s="1" t="str">
        <f t="shared" si="22"/>
        <v/>
      </c>
      <c r="X429" s="1"/>
      <c r="Y429" s="1"/>
      <c r="Z429" s="1"/>
      <c r="AA429" s="1"/>
      <c r="AB429" s="1"/>
      <c r="AC429" s="1"/>
      <c r="AD429" s="1">
        <f>IF($C429="",0,SUMPRODUCT((AY_SONU!$O$7:$O$42="Evet")*(AY_SONU!$B$7:$B$42=DATE(YEAR($C429),MONTH($C429),1))))</f>
        <v>0</v>
      </c>
      <c r="AE429" s="1" t="str">
        <f>IF($E429="","",$E429&amp;"|"&amp;COUNTIFS($E$7:$E429,$E429))</f>
        <v/>
      </c>
    </row>
    <row r="430" spans="1:31" ht="18" customHeight="1" x14ac:dyDescent="0.3">
      <c r="A430" s="2"/>
      <c r="B430" s="65" t="str">
        <f>IF($C430="","","GG"&amp;TEXT(ROW()-6,"00000"))</f>
        <v/>
      </c>
      <c r="C430" s="66"/>
      <c r="D430" s="60"/>
      <c r="E430" s="61"/>
      <c r="F430" s="61"/>
      <c r="G430" s="67"/>
      <c r="H430" s="60"/>
      <c r="I430" s="60"/>
      <c r="J430" s="61"/>
      <c r="K430" s="61"/>
      <c r="L430" s="60"/>
      <c r="M430" s="74" t="str">
        <f>IF($C430="","",IF($D430="Gider",$E430,IF($L430&lt;&gt;"",$L430,$H430)))</f>
        <v/>
      </c>
      <c r="N430" s="74" t="str">
        <f>IF($C430="","",IF($D430="Gider",$H430,$E430))</f>
        <v/>
      </c>
      <c r="O430" s="73" t="str">
        <f>IF($C430="","",DATE(YEAR($C430),MONTH($C430),1))</f>
        <v/>
      </c>
      <c r="P430" s="65" t="str">
        <f ca="1">IF($C430="","",IF(AND($D430="Gelir",$L430&lt;&gt;"",$T430=""),"TANIMSIZ BORÇLU",IF($T430&lt;&gt;"",IF(OR($E430="",$G430&lt;=0),"EKSİK",IF($I430="Evet","TAHAKKUK NAKİT OLAMAZ",IF($C430&gt;TODAY(),"İLERİ TARİH","TAHAKKUK"))),IF(AND($D430&lt;&gt;"",$E430&lt;&gt;"",$G430&gt;0,$H430&lt;&gt;"",$I430&lt;&gt;""),IF($C430&gt;TODAY(),"İLERİ TARİH",IF(COUNTIF($W$7:$W$3001,$W430)&gt;1,"MÜKERRER?",IF($AD430&gt;0,"KAPALI DÖNEM",IF($I430="Hayır","ÖDENECEK","UYGUN")))),"EKSİK"))))</f>
        <v/>
      </c>
      <c r="Q430" s="2"/>
      <c r="R430" s="2"/>
      <c r="S430" s="1" t="str">
        <f t="shared" si="20"/>
        <v/>
      </c>
      <c r="T430" s="1" t="str">
        <f>IF(OR($C430="",$D430&lt;&gt;"Gelir",$L430=""),"",IFERROR(INDEX(MUSTERILER!$B$7:$B$156,MATCH($S430,MUSTERILER!$T$7:$T$156,0)),""))</f>
        <v/>
      </c>
      <c r="U430" s="1" t="str">
        <f>IF($T430="","",$T430&amp;"|"&amp;COUNTIFS($T$7:$T430,$T430))</f>
        <v/>
      </c>
      <c r="V430" s="1">
        <f t="shared" si="21"/>
        <v>0</v>
      </c>
      <c r="W430" s="1" t="str">
        <f t="shared" si="22"/>
        <v/>
      </c>
      <c r="X430" s="1"/>
      <c r="Y430" s="1"/>
      <c r="Z430" s="1"/>
      <c r="AA430" s="1"/>
      <c r="AB430" s="1"/>
      <c r="AC430" s="1"/>
      <c r="AD430" s="1">
        <f>IF($C430="",0,SUMPRODUCT((AY_SONU!$O$7:$O$42="Evet")*(AY_SONU!$B$7:$B$42=DATE(YEAR($C430),MONTH($C430),1))))</f>
        <v>0</v>
      </c>
      <c r="AE430" s="1" t="str">
        <f>IF($E430="","",$E430&amp;"|"&amp;COUNTIFS($E$7:$E430,$E430))</f>
        <v/>
      </c>
    </row>
    <row r="431" spans="1:31" ht="18" customHeight="1" x14ac:dyDescent="0.3">
      <c r="A431" s="2"/>
      <c r="B431" s="65" t="str">
        <f>IF($C431="","","GG"&amp;TEXT(ROW()-6,"00000"))</f>
        <v/>
      </c>
      <c r="C431" s="66"/>
      <c r="D431" s="60"/>
      <c r="E431" s="61"/>
      <c r="F431" s="61"/>
      <c r="G431" s="67"/>
      <c r="H431" s="60"/>
      <c r="I431" s="60"/>
      <c r="J431" s="61"/>
      <c r="K431" s="61"/>
      <c r="L431" s="60"/>
      <c r="M431" s="74" t="str">
        <f>IF($C431="","",IF($D431="Gider",$E431,IF($L431&lt;&gt;"",$L431,$H431)))</f>
        <v/>
      </c>
      <c r="N431" s="74" t="str">
        <f>IF($C431="","",IF($D431="Gider",$H431,$E431))</f>
        <v/>
      </c>
      <c r="O431" s="73" t="str">
        <f>IF($C431="","",DATE(YEAR($C431),MONTH($C431),1))</f>
        <v/>
      </c>
      <c r="P431" s="65" t="str">
        <f ca="1">IF($C431="","",IF(AND($D431="Gelir",$L431&lt;&gt;"",$T431=""),"TANIMSIZ BORÇLU",IF($T431&lt;&gt;"",IF(OR($E431="",$G431&lt;=0),"EKSİK",IF($I431="Evet","TAHAKKUK NAKİT OLAMAZ",IF($C431&gt;TODAY(),"İLERİ TARİH","TAHAKKUK"))),IF(AND($D431&lt;&gt;"",$E431&lt;&gt;"",$G431&gt;0,$H431&lt;&gt;"",$I431&lt;&gt;""),IF($C431&gt;TODAY(),"İLERİ TARİH",IF(COUNTIF($W$7:$W$3001,$W431)&gt;1,"MÜKERRER?",IF($AD431&gt;0,"KAPALI DÖNEM",IF($I431="Hayır","ÖDENECEK","UYGUN")))),"EKSİK"))))</f>
        <v/>
      </c>
      <c r="Q431" s="2"/>
      <c r="R431" s="2"/>
      <c r="S431" s="1" t="str">
        <f t="shared" si="20"/>
        <v/>
      </c>
      <c r="T431" s="1" t="str">
        <f>IF(OR($C431="",$D431&lt;&gt;"Gelir",$L431=""),"",IFERROR(INDEX(MUSTERILER!$B$7:$B$156,MATCH($S431,MUSTERILER!$T$7:$T$156,0)),""))</f>
        <v/>
      </c>
      <c r="U431" s="1" t="str">
        <f>IF($T431="","",$T431&amp;"|"&amp;COUNTIFS($T$7:$T431,$T431))</f>
        <v/>
      </c>
      <c r="V431" s="1">
        <f t="shared" si="21"/>
        <v>0</v>
      </c>
      <c r="W431" s="1" t="str">
        <f t="shared" si="22"/>
        <v/>
      </c>
      <c r="X431" s="1"/>
      <c r="Y431" s="1"/>
      <c r="Z431" s="1"/>
      <c r="AA431" s="1"/>
      <c r="AB431" s="1"/>
      <c r="AC431" s="1"/>
      <c r="AD431" s="1">
        <f>IF($C431="",0,SUMPRODUCT((AY_SONU!$O$7:$O$42="Evet")*(AY_SONU!$B$7:$B$42=DATE(YEAR($C431),MONTH($C431),1))))</f>
        <v>0</v>
      </c>
      <c r="AE431" s="1" t="str">
        <f>IF($E431="","",$E431&amp;"|"&amp;COUNTIFS($E$7:$E431,$E431))</f>
        <v/>
      </c>
    </row>
    <row r="432" spans="1:31" ht="18" customHeight="1" x14ac:dyDescent="0.3">
      <c r="A432" s="2"/>
      <c r="B432" s="65" t="str">
        <f>IF($C432="","","GG"&amp;TEXT(ROW()-6,"00000"))</f>
        <v/>
      </c>
      <c r="C432" s="66"/>
      <c r="D432" s="60"/>
      <c r="E432" s="61"/>
      <c r="F432" s="61"/>
      <c r="G432" s="67"/>
      <c r="H432" s="60"/>
      <c r="I432" s="60"/>
      <c r="J432" s="61"/>
      <c r="K432" s="61"/>
      <c r="L432" s="60"/>
      <c r="M432" s="74" t="str">
        <f>IF($C432="","",IF($D432="Gider",$E432,IF($L432&lt;&gt;"",$L432,$H432)))</f>
        <v/>
      </c>
      <c r="N432" s="74" t="str">
        <f>IF($C432="","",IF($D432="Gider",$H432,$E432))</f>
        <v/>
      </c>
      <c r="O432" s="73" t="str">
        <f>IF($C432="","",DATE(YEAR($C432),MONTH($C432),1))</f>
        <v/>
      </c>
      <c r="P432" s="65" t="str">
        <f ca="1">IF($C432="","",IF(AND($D432="Gelir",$L432&lt;&gt;"",$T432=""),"TANIMSIZ BORÇLU",IF($T432&lt;&gt;"",IF(OR($E432="",$G432&lt;=0),"EKSİK",IF($I432="Evet","TAHAKKUK NAKİT OLAMAZ",IF($C432&gt;TODAY(),"İLERİ TARİH","TAHAKKUK"))),IF(AND($D432&lt;&gt;"",$E432&lt;&gt;"",$G432&gt;0,$H432&lt;&gt;"",$I432&lt;&gt;""),IF($C432&gt;TODAY(),"İLERİ TARİH",IF(COUNTIF($W$7:$W$3001,$W432)&gt;1,"MÜKERRER?",IF($AD432&gt;0,"KAPALI DÖNEM",IF($I432="Hayır","ÖDENECEK","UYGUN")))),"EKSİK"))))</f>
        <v/>
      </c>
      <c r="Q432" s="2"/>
      <c r="R432" s="2"/>
      <c r="S432" s="1" t="str">
        <f t="shared" si="20"/>
        <v/>
      </c>
      <c r="T432" s="1" t="str">
        <f>IF(OR($C432="",$D432&lt;&gt;"Gelir",$L432=""),"",IFERROR(INDEX(MUSTERILER!$B$7:$B$156,MATCH($S432,MUSTERILER!$T$7:$T$156,0)),""))</f>
        <v/>
      </c>
      <c r="U432" s="1" t="str">
        <f>IF($T432="","",$T432&amp;"|"&amp;COUNTIFS($T$7:$T432,$T432))</f>
        <v/>
      </c>
      <c r="V432" s="1">
        <f t="shared" si="21"/>
        <v>0</v>
      </c>
      <c r="W432" s="1" t="str">
        <f t="shared" si="22"/>
        <v/>
      </c>
      <c r="X432" s="1"/>
      <c r="Y432" s="1"/>
      <c r="Z432" s="1"/>
      <c r="AA432" s="1"/>
      <c r="AB432" s="1"/>
      <c r="AC432" s="1"/>
      <c r="AD432" s="1">
        <f>IF($C432="",0,SUMPRODUCT((AY_SONU!$O$7:$O$42="Evet")*(AY_SONU!$B$7:$B$42=DATE(YEAR($C432),MONTH($C432),1))))</f>
        <v>0</v>
      </c>
      <c r="AE432" s="1" t="str">
        <f>IF($E432="","",$E432&amp;"|"&amp;COUNTIFS($E$7:$E432,$E432))</f>
        <v/>
      </c>
    </row>
    <row r="433" spans="1:31" ht="18" customHeight="1" x14ac:dyDescent="0.3">
      <c r="A433" s="2"/>
      <c r="B433" s="65" t="str">
        <f>IF($C433="","","GG"&amp;TEXT(ROW()-6,"00000"))</f>
        <v/>
      </c>
      <c r="C433" s="66"/>
      <c r="D433" s="60"/>
      <c r="E433" s="61"/>
      <c r="F433" s="61"/>
      <c r="G433" s="67"/>
      <c r="H433" s="60"/>
      <c r="I433" s="60"/>
      <c r="J433" s="61"/>
      <c r="K433" s="61"/>
      <c r="L433" s="60"/>
      <c r="M433" s="74" t="str">
        <f>IF($C433="","",IF($D433="Gider",$E433,IF($L433&lt;&gt;"",$L433,$H433)))</f>
        <v/>
      </c>
      <c r="N433" s="74" t="str">
        <f>IF($C433="","",IF($D433="Gider",$H433,$E433))</f>
        <v/>
      </c>
      <c r="O433" s="73" t="str">
        <f>IF($C433="","",DATE(YEAR($C433),MONTH($C433),1))</f>
        <v/>
      </c>
      <c r="P433" s="65" t="str">
        <f ca="1">IF($C433="","",IF(AND($D433="Gelir",$L433&lt;&gt;"",$T433=""),"TANIMSIZ BORÇLU",IF($T433&lt;&gt;"",IF(OR($E433="",$G433&lt;=0),"EKSİK",IF($I433="Evet","TAHAKKUK NAKİT OLAMAZ",IF($C433&gt;TODAY(),"İLERİ TARİH","TAHAKKUK"))),IF(AND($D433&lt;&gt;"",$E433&lt;&gt;"",$G433&gt;0,$H433&lt;&gt;"",$I433&lt;&gt;""),IF($C433&gt;TODAY(),"İLERİ TARİH",IF(COUNTIF($W$7:$W$3001,$W433)&gt;1,"MÜKERRER?",IF($AD433&gt;0,"KAPALI DÖNEM",IF($I433="Hayır","ÖDENECEK","UYGUN")))),"EKSİK"))))</f>
        <v/>
      </c>
      <c r="Q433" s="2"/>
      <c r="R433" s="2"/>
      <c r="S433" s="1" t="str">
        <f t="shared" si="20"/>
        <v/>
      </c>
      <c r="T433" s="1" t="str">
        <f>IF(OR($C433="",$D433&lt;&gt;"Gelir",$L433=""),"",IFERROR(INDEX(MUSTERILER!$B$7:$B$156,MATCH($S433,MUSTERILER!$T$7:$T$156,0)),""))</f>
        <v/>
      </c>
      <c r="U433" s="1" t="str">
        <f>IF($T433="","",$T433&amp;"|"&amp;COUNTIFS($T$7:$T433,$T433))</f>
        <v/>
      </c>
      <c r="V433" s="1">
        <f t="shared" si="21"/>
        <v>0</v>
      </c>
      <c r="W433" s="1" t="str">
        <f t="shared" si="22"/>
        <v/>
      </c>
      <c r="X433" s="1"/>
      <c r="Y433" s="1"/>
      <c r="Z433" s="1"/>
      <c r="AA433" s="1"/>
      <c r="AB433" s="1"/>
      <c r="AC433" s="1"/>
      <c r="AD433" s="1">
        <f>IF($C433="",0,SUMPRODUCT((AY_SONU!$O$7:$O$42="Evet")*(AY_SONU!$B$7:$B$42=DATE(YEAR($C433),MONTH($C433),1))))</f>
        <v>0</v>
      </c>
      <c r="AE433" s="1" t="str">
        <f>IF($E433="","",$E433&amp;"|"&amp;COUNTIFS($E$7:$E433,$E433))</f>
        <v/>
      </c>
    </row>
    <row r="434" spans="1:31" ht="18" customHeight="1" x14ac:dyDescent="0.3">
      <c r="A434" s="2"/>
      <c r="B434" s="65" t="str">
        <f>IF($C434="","","GG"&amp;TEXT(ROW()-6,"00000"))</f>
        <v/>
      </c>
      <c r="C434" s="66"/>
      <c r="D434" s="60"/>
      <c r="E434" s="61"/>
      <c r="F434" s="61"/>
      <c r="G434" s="67"/>
      <c r="H434" s="60"/>
      <c r="I434" s="60"/>
      <c r="J434" s="61"/>
      <c r="K434" s="61"/>
      <c r="L434" s="60"/>
      <c r="M434" s="74" t="str">
        <f>IF($C434="","",IF($D434="Gider",$E434,IF($L434&lt;&gt;"",$L434,$H434)))</f>
        <v/>
      </c>
      <c r="N434" s="74" t="str">
        <f>IF($C434="","",IF($D434="Gider",$H434,$E434))</f>
        <v/>
      </c>
      <c r="O434" s="73" t="str">
        <f>IF($C434="","",DATE(YEAR($C434),MONTH($C434),1))</f>
        <v/>
      </c>
      <c r="P434" s="65" t="str">
        <f ca="1">IF($C434="","",IF(AND($D434="Gelir",$L434&lt;&gt;"",$T434=""),"TANIMSIZ BORÇLU",IF($T434&lt;&gt;"",IF(OR($E434="",$G434&lt;=0),"EKSİK",IF($I434="Evet","TAHAKKUK NAKİT OLAMAZ",IF($C434&gt;TODAY(),"İLERİ TARİH","TAHAKKUK"))),IF(AND($D434&lt;&gt;"",$E434&lt;&gt;"",$G434&gt;0,$H434&lt;&gt;"",$I434&lt;&gt;""),IF($C434&gt;TODAY(),"İLERİ TARİH",IF(COUNTIF($W$7:$W$3001,$W434)&gt;1,"MÜKERRER?",IF($AD434&gt;0,"KAPALI DÖNEM",IF($I434="Hayır","ÖDENECEK","UYGUN")))),"EKSİK"))))</f>
        <v/>
      </c>
      <c r="Q434" s="2"/>
      <c r="R434" s="2"/>
      <c r="S434" s="1" t="str">
        <f t="shared" si="20"/>
        <v/>
      </c>
      <c r="T434" s="1" t="str">
        <f>IF(OR($C434="",$D434&lt;&gt;"Gelir",$L434=""),"",IFERROR(INDEX(MUSTERILER!$B$7:$B$156,MATCH($S434,MUSTERILER!$T$7:$T$156,0)),""))</f>
        <v/>
      </c>
      <c r="U434" s="1" t="str">
        <f>IF($T434="","",$T434&amp;"|"&amp;COUNTIFS($T$7:$T434,$T434))</f>
        <v/>
      </c>
      <c r="V434" s="1">
        <f t="shared" si="21"/>
        <v>0</v>
      </c>
      <c r="W434" s="1" t="str">
        <f t="shared" si="22"/>
        <v/>
      </c>
      <c r="X434" s="1"/>
      <c r="Y434" s="1"/>
      <c r="Z434" s="1"/>
      <c r="AA434" s="1"/>
      <c r="AB434" s="1"/>
      <c r="AC434" s="1"/>
      <c r="AD434" s="1">
        <f>IF($C434="",0,SUMPRODUCT((AY_SONU!$O$7:$O$42="Evet")*(AY_SONU!$B$7:$B$42=DATE(YEAR($C434),MONTH($C434),1))))</f>
        <v>0</v>
      </c>
      <c r="AE434" s="1" t="str">
        <f>IF($E434="","",$E434&amp;"|"&amp;COUNTIFS($E$7:$E434,$E434))</f>
        <v/>
      </c>
    </row>
    <row r="435" spans="1:31" ht="18" customHeight="1" x14ac:dyDescent="0.3">
      <c r="A435" s="2"/>
      <c r="B435" s="65" t="str">
        <f>IF($C435="","","GG"&amp;TEXT(ROW()-6,"00000"))</f>
        <v/>
      </c>
      <c r="C435" s="66"/>
      <c r="D435" s="60"/>
      <c r="E435" s="61"/>
      <c r="F435" s="61"/>
      <c r="G435" s="67"/>
      <c r="H435" s="60"/>
      <c r="I435" s="60"/>
      <c r="J435" s="61"/>
      <c r="K435" s="61"/>
      <c r="L435" s="60"/>
      <c r="M435" s="74" t="str">
        <f>IF($C435="","",IF($D435="Gider",$E435,IF($L435&lt;&gt;"",$L435,$H435)))</f>
        <v/>
      </c>
      <c r="N435" s="74" t="str">
        <f>IF($C435="","",IF($D435="Gider",$H435,$E435))</f>
        <v/>
      </c>
      <c r="O435" s="73" t="str">
        <f>IF($C435="","",DATE(YEAR($C435),MONTH($C435),1))</f>
        <v/>
      </c>
      <c r="P435" s="65" t="str">
        <f ca="1">IF($C435="","",IF(AND($D435="Gelir",$L435&lt;&gt;"",$T435=""),"TANIMSIZ BORÇLU",IF($T435&lt;&gt;"",IF(OR($E435="",$G435&lt;=0),"EKSİK",IF($I435="Evet","TAHAKKUK NAKİT OLAMAZ",IF($C435&gt;TODAY(),"İLERİ TARİH","TAHAKKUK"))),IF(AND($D435&lt;&gt;"",$E435&lt;&gt;"",$G435&gt;0,$H435&lt;&gt;"",$I435&lt;&gt;""),IF($C435&gt;TODAY(),"İLERİ TARİH",IF(COUNTIF($W$7:$W$3001,$W435)&gt;1,"MÜKERRER?",IF($AD435&gt;0,"KAPALI DÖNEM",IF($I435="Hayır","ÖDENECEK","UYGUN")))),"EKSİK"))))</f>
        <v/>
      </c>
      <c r="Q435" s="2"/>
      <c r="R435" s="2"/>
      <c r="S435" s="1" t="str">
        <f t="shared" si="20"/>
        <v/>
      </c>
      <c r="T435" s="1" t="str">
        <f>IF(OR($C435="",$D435&lt;&gt;"Gelir",$L435=""),"",IFERROR(INDEX(MUSTERILER!$B$7:$B$156,MATCH($S435,MUSTERILER!$T$7:$T$156,0)),""))</f>
        <v/>
      </c>
      <c r="U435" s="1" t="str">
        <f>IF($T435="","",$T435&amp;"|"&amp;COUNTIFS($T$7:$T435,$T435))</f>
        <v/>
      </c>
      <c r="V435" s="1">
        <f t="shared" si="21"/>
        <v>0</v>
      </c>
      <c r="W435" s="1" t="str">
        <f t="shared" si="22"/>
        <v/>
      </c>
      <c r="X435" s="1"/>
      <c r="Y435" s="1"/>
      <c r="Z435" s="1"/>
      <c r="AA435" s="1"/>
      <c r="AB435" s="1"/>
      <c r="AC435" s="1"/>
      <c r="AD435" s="1">
        <f>IF($C435="",0,SUMPRODUCT((AY_SONU!$O$7:$O$42="Evet")*(AY_SONU!$B$7:$B$42=DATE(YEAR($C435),MONTH($C435),1))))</f>
        <v>0</v>
      </c>
      <c r="AE435" s="1" t="str">
        <f>IF($E435="","",$E435&amp;"|"&amp;COUNTIFS($E$7:$E435,$E435))</f>
        <v/>
      </c>
    </row>
    <row r="436" spans="1:31" ht="18" customHeight="1" x14ac:dyDescent="0.3">
      <c r="A436" s="2"/>
      <c r="B436" s="65" t="str">
        <f>IF($C436="","","GG"&amp;TEXT(ROW()-6,"00000"))</f>
        <v/>
      </c>
      <c r="C436" s="66"/>
      <c r="D436" s="60"/>
      <c r="E436" s="61"/>
      <c r="F436" s="61"/>
      <c r="G436" s="67"/>
      <c r="H436" s="60"/>
      <c r="I436" s="60"/>
      <c r="J436" s="61"/>
      <c r="K436" s="61"/>
      <c r="L436" s="60"/>
      <c r="M436" s="74" t="str">
        <f>IF($C436="","",IF($D436="Gider",$E436,IF($L436&lt;&gt;"",$L436,$H436)))</f>
        <v/>
      </c>
      <c r="N436" s="74" t="str">
        <f>IF($C436="","",IF($D436="Gider",$H436,$E436))</f>
        <v/>
      </c>
      <c r="O436" s="73" t="str">
        <f>IF($C436="","",DATE(YEAR($C436),MONTH($C436),1))</f>
        <v/>
      </c>
      <c r="P436" s="65" t="str">
        <f ca="1">IF($C436="","",IF(AND($D436="Gelir",$L436&lt;&gt;"",$T436=""),"TANIMSIZ BORÇLU",IF($T436&lt;&gt;"",IF(OR($E436="",$G436&lt;=0),"EKSİK",IF($I436="Evet","TAHAKKUK NAKİT OLAMAZ",IF($C436&gt;TODAY(),"İLERİ TARİH","TAHAKKUK"))),IF(AND($D436&lt;&gt;"",$E436&lt;&gt;"",$G436&gt;0,$H436&lt;&gt;"",$I436&lt;&gt;""),IF($C436&gt;TODAY(),"İLERİ TARİH",IF(COUNTIF($W$7:$W$3001,$W436)&gt;1,"MÜKERRER?",IF($AD436&gt;0,"KAPALI DÖNEM",IF($I436="Hayır","ÖDENECEK","UYGUN")))),"EKSİK"))))</f>
        <v/>
      </c>
      <c r="Q436" s="2"/>
      <c r="R436" s="2"/>
      <c r="S436" s="1" t="str">
        <f t="shared" si="20"/>
        <v/>
      </c>
      <c r="T436" s="1" t="str">
        <f>IF(OR($C436="",$D436&lt;&gt;"Gelir",$L436=""),"",IFERROR(INDEX(MUSTERILER!$B$7:$B$156,MATCH($S436,MUSTERILER!$T$7:$T$156,0)),""))</f>
        <v/>
      </c>
      <c r="U436" s="1" t="str">
        <f>IF($T436="","",$T436&amp;"|"&amp;COUNTIFS($T$7:$T436,$T436))</f>
        <v/>
      </c>
      <c r="V436" s="1">
        <f t="shared" si="21"/>
        <v>0</v>
      </c>
      <c r="W436" s="1" t="str">
        <f t="shared" si="22"/>
        <v/>
      </c>
      <c r="X436" s="1"/>
      <c r="Y436" s="1"/>
      <c r="Z436" s="1"/>
      <c r="AA436" s="1"/>
      <c r="AB436" s="1"/>
      <c r="AC436" s="1"/>
      <c r="AD436" s="1">
        <f>IF($C436="",0,SUMPRODUCT((AY_SONU!$O$7:$O$42="Evet")*(AY_SONU!$B$7:$B$42=DATE(YEAR($C436),MONTH($C436),1))))</f>
        <v>0</v>
      </c>
      <c r="AE436" s="1" t="str">
        <f>IF($E436="","",$E436&amp;"|"&amp;COUNTIFS($E$7:$E436,$E436))</f>
        <v/>
      </c>
    </row>
    <row r="437" spans="1:31" ht="18" customHeight="1" x14ac:dyDescent="0.3">
      <c r="A437" s="2"/>
      <c r="B437" s="65" t="str">
        <f>IF($C437="","","GG"&amp;TEXT(ROW()-6,"00000"))</f>
        <v/>
      </c>
      <c r="C437" s="66"/>
      <c r="D437" s="60"/>
      <c r="E437" s="61"/>
      <c r="F437" s="61"/>
      <c r="G437" s="67"/>
      <c r="H437" s="60"/>
      <c r="I437" s="60"/>
      <c r="J437" s="61"/>
      <c r="K437" s="61"/>
      <c r="L437" s="60"/>
      <c r="M437" s="74" t="str">
        <f>IF($C437="","",IF($D437="Gider",$E437,IF($L437&lt;&gt;"",$L437,$H437)))</f>
        <v/>
      </c>
      <c r="N437" s="74" t="str">
        <f>IF($C437="","",IF($D437="Gider",$H437,$E437))</f>
        <v/>
      </c>
      <c r="O437" s="73" t="str">
        <f>IF($C437="","",DATE(YEAR($C437),MONTH($C437),1))</f>
        <v/>
      </c>
      <c r="P437" s="65" t="str">
        <f ca="1">IF($C437="","",IF(AND($D437="Gelir",$L437&lt;&gt;"",$T437=""),"TANIMSIZ BORÇLU",IF($T437&lt;&gt;"",IF(OR($E437="",$G437&lt;=0),"EKSİK",IF($I437="Evet","TAHAKKUK NAKİT OLAMAZ",IF($C437&gt;TODAY(),"İLERİ TARİH","TAHAKKUK"))),IF(AND($D437&lt;&gt;"",$E437&lt;&gt;"",$G437&gt;0,$H437&lt;&gt;"",$I437&lt;&gt;""),IF($C437&gt;TODAY(),"İLERİ TARİH",IF(COUNTIF($W$7:$W$3001,$W437)&gt;1,"MÜKERRER?",IF($AD437&gt;0,"KAPALI DÖNEM",IF($I437="Hayır","ÖDENECEK","UYGUN")))),"EKSİK"))))</f>
        <v/>
      </c>
      <c r="Q437" s="2"/>
      <c r="R437" s="2"/>
      <c r="S437" s="1" t="str">
        <f t="shared" si="20"/>
        <v/>
      </c>
      <c r="T437" s="1" t="str">
        <f>IF(OR($C437="",$D437&lt;&gt;"Gelir",$L437=""),"",IFERROR(INDEX(MUSTERILER!$B$7:$B$156,MATCH($S437,MUSTERILER!$T$7:$T$156,0)),""))</f>
        <v/>
      </c>
      <c r="U437" s="1" t="str">
        <f>IF($T437="","",$T437&amp;"|"&amp;COUNTIFS($T$7:$T437,$T437))</f>
        <v/>
      </c>
      <c r="V437" s="1">
        <f t="shared" si="21"/>
        <v>0</v>
      </c>
      <c r="W437" s="1" t="str">
        <f t="shared" si="22"/>
        <v/>
      </c>
      <c r="X437" s="1"/>
      <c r="Y437" s="1"/>
      <c r="Z437" s="1"/>
      <c r="AA437" s="1"/>
      <c r="AB437" s="1"/>
      <c r="AC437" s="1"/>
      <c r="AD437" s="1">
        <f>IF($C437="",0,SUMPRODUCT((AY_SONU!$O$7:$O$42="Evet")*(AY_SONU!$B$7:$B$42=DATE(YEAR($C437),MONTH($C437),1))))</f>
        <v>0</v>
      </c>
      <c r="AE437" s="1" t="str">
        <f>IF($E437="","",$E437&amp;"|"&amp;COUNTIFS($E$7:$E437,$E437))</f>
        <v/>
      </c>
    </row>
    <row r="438" spans="1:31" ht="18" customHeight="1" x14ac:dyDescent="0.3">
      <c r="A438" s="2"/>
      <c r="B438" s="65" t="str">
        <f>IF($C438="","","GG"&amp;TEXT(ROW()-6,"00000"))</f>
        <v/>
      </c>
      <c r="C438" s="66"/>
      <c r="D438" s="60"/>
      <c r="E438" s="61"/>
      <c r="F438" s="61"/>
      <c r="G438" s="67"/>
      <c r="H438" s="60"/>
      <c r="I438" s="60"/>
      <c r="J438" s="61"/>
      <c r="K438" s="61"/>
      <c r="L438" s="60"/>
      <c r="M438" s="74" t="str">
        <f>IF($C438="","",IF($D438="Gider",$E438,IF($L438&lt;&gt;"",$L438,$H438)))</f>
        <v/>
      </c>
      <c r="N438" s="74" t="str">
        <f>IF($C438="","",IF($D438="Gider",$H438,$E438))</f>
        <v/>
      </c>
      <c r="O438" s="73" t="str">
        <f>IF($C438="","",DATE(YEAR($C438),MONTH($C438),1))</f>
        <v/>
      </c>
      <c r="P438" s="65" t="str">
        <f ca="1">IF($C438="","",IF(AND($D438="Gelir",$L438&lt;&gt;"",$T438=""),"TANIMSIZ BORÇLU",IF($T438&lt;&gt;"",IF(OR($E438="",$G438&lt;=0),"EKSİK",IF($I438="Evet","TAHAKKUK NAKİT OLAMAZ",IF($C438&gt;TODAY(),"İLERİ TARİH","TAHAKKUK"))),IF(AND($D438&lt;&gt;"",$E438&lt;&gt;"",$G438&gt;0,$H438&lt;&gt;"",$I438&lt;&gt;""),IF($C438&gt;TODAY(),"İLERİ TARİH",IF(COUNTIF($W$7:$W$3001,$W438)&gt;1,"MÜKERRER?",IF($AD438&gt;0,"KAPALI DÖNEM",IF($I438="Hayır","ÖDENECEK","UYGUN")))),"EKSİK"))))</f>
        <v/>
      </c>
      <c r="Q438" s="2"/>
      <c r="R438" s="2"/>
      <c r="S438" s="1" t="str">
        <f t="shared" si="20"/>
        <v/>
      </c>
      <c r="T438" s="1" t="str">
        <f>IF(OR($C438="",$D438&lt;&gt;"Gelir",$L438=""),"",IFERROR(INDEX(MUSTERILER!$B$7:$B$156,MATCH($S438,MUSTERILER!$T$7:$T$156,0)),""))</f>
        <v/>
      </c>
      <c r="U438" s="1" t="str">
        <f>IF($T438="","",$T438&amp;"|"&amp;COUNTIFS($T$7:$T438,$T438))</f>
        <v/>
      </c>
      <c r="V438" s="1">
        <f t="shared" si="21"/>
        <v>0</v>
      </c>
      <c r="W438" s="1" t="str">
        <f t="shared" si="22"/>
        <v/>
      </c>
      <c r="X438" s="1"/>
      <c r="Y438" s="1"/>
      <c r="Z438" s="1"/>
      <c r="AA438" s="1"/>
      <c r="AB438" s="1"/>
      <c r="AC438" s="1"/>
      <c r="AD438" s="1">
        <f>IF($C438="",0,SUMPRODUCT((AY_SONU!$O$7:$O$42="Evet")*(AY_SONU!$B$7:$B$42=DATE(YEAR($C438),MONTH($C438),1))))</f>
        <v>0</v>
      </c>
      <c r="AE438" s="1" t="str">
        <f>IF($E438="","",$E438&amp;"|"&amp;COUNTIFS($E$7:$E438,$E438))</f>
        <v/>
      </c>
    </row>
    <row r="439" spans="1:31" ht="18" customHeight="1" x14ac:dyDescent="0.3">
      <c r="A439" s="2"/>
      <c r="B439" s="65" t="str">
        <f>IF($C439="","","GG"&amp;TEXT(ROW()-6,"00000"))</f>
        <v/>
      </c>
      <c r="C439" s="66"/>
      <c r="D439" s="60"/>
      <c r="E439" s="61"/>
      <c r="F439" s="61"/>
      <c r="G439" s="67"/>
      <c r="H439" s="60"/>
      <c r="I439" s="60"/>
      <c r="J439" s="61"/>
      <c r="K439" s="61"/>
      <c r="L439" s="60"/>
      <c r="M439" s="74" t="str">
        <f>IF($C439="","",IF($D439="Gider",$E439,IF($L439&lt;&gt;"",$L439,$H439)))</f>
        <v/>
      </c>
      <c r="N439" s="74" t="str">
        <f>IF($C439="","",IF($D439="Gider",$H439,$E439))</f>
        <v/>
      </c>
      <c r="O439" s="73" t="str">
        <f>IF($C439="","",DATE(YEAR($C439),MONTH($C439),1))</f>
        <v/>
      </c>
      <c r="P439" s="65" t="str">
        <f ca="1">IF($C439="","",IF(AND($D439="Gelir",$L439&lt;&gt;"",$T439=""),"TANIMSIZ BORÇLU",IF($T439&lt;&gt;"",IF(OR($E439="",$G439&lt;=0),"EKSİK",IF($I439="Evet","TAHAKKUK NAKİT OLAMAZ",IF($C439&gt;TODAY(),"İLERİ TARİH","TAHAKKUK"))),IF(AND($D439&lt;&gt;"",$E439&lt;&gt;"",$G439&gt;0,$H439&lt;&gt;"",$I439&lt;&gt;""),IF($C439&gt;TODAY(),"İLERİ TARİH",IF(COUNTIF($W$7:$W$3001,$W439)&gt;1,"MÜKERRER?",IF($AD439&gt;0,"KAPALI DÖNEM",IF($I439="Hayır","ÖDENECEK","UYGUN")))),"EKSİK"))))</f>
        <v/>
      </c>
      <c r="Q439" s="2"/>
      <c r="R439" s="2"/>
      <c r="S439" s="1" t="str">
        <f t="shared" si="20"/>
        <v/>
      </c>
      <c r="T439" s="1" t="str">
        <f>IF(OR($C439="",$D439&lt;&gt;"Gelir",$L439=""),"",IFERROR(INDEX(MUSTERILER!$B$7:$B$156,MATCH($S439,MUSTERILER!$T$7:$T$156,0)),""))</f>
        <v/>
      </c>
      <c r="U439" s="1" t="str">
        <f>IF($T439="","",$T439&amp;"|"&amp;COUNTIFS($T$7:$T439,$T439))</f>
        <v/>
      </c>
      <c r="V439" s="1">
        <f t="shared" si="21"/>
        <v>0</v>
      </c>
      <c r="W439" s="1" t="str">
        <f t="shared" si="22"/>
        <v/>
      </c>
      <c r="X439" s="1"/>
      <c r="Y439" s="1"/>
      <c r="Z439" s="1"/>
      <c r="AA439" s="1"/>
      <c r="AB439" s="1"/>
      <c r="AC439" s="1"/>
      <c r="AD439" s="1">
        <f>IF($C439="",0,SUMPRODUCT((AY_SONU!$O$7:$O$42="Evet")*(AY_SONU!$B$7:$B$42=DATE(YEAR($C439),MONTH($C439),1))))</f>
        <v>0</v>
      </c>
      <c r="AE439" s="1" t="str">
        <f>IF($E439="","",$E439&amp;"|"&amp;COUNTIFS($E$7:$E439,$E439))</f>
        <v/>
      </c>
    </row>
    <row r="440" spans="1:31" ht="18" customHeight="1" x14ac:dyDescent="0.3">
      <c r="A440" s="2"/>
      <c r="B440" s="65" t="str">
        <f>IF($C440="","","GG"&amp;TEXT(ROW()-6,"00000"))</f>
        <v/>
      </c>
      <c r="C440" s="66"/>
      <c r="D440" s="60"/>
      <c r="E440" s="61"/>
      <c r="F440" s="61"/>
      <c r="G440" s="67"/>
      <c r="H440" s="60"/>
      <c r="I440" s="60"/>
      <c r="J440" s="61"/>
      <c r="K440" s="61"/>
      <c r="L440" s="60"/>
      <c r="M440" s="74" t="str">
        <f>IF($C440="","",IF($D440="Gider",$E440,IF($L440&lt;&gt;"",$L440,$H440)))</f>
        <v/>
      </c>
      <c r="N440" s="74" t="str">
        <f>IF($C440="","",IF($D440="Gider",$H440,$E440))</f>
        <v/>
      </c>
      <c r="O440" s="73" t="str">
        <f>IF($C440="","",DATE(YEAR($C440),MONTH($C440),1))</f>
        <v/>
      </c>
      <c r="P440" s="65" t="str">
        <f ca="1">IF($C440="","",IF(AND($D440="Gelir",$L440&lt;&gt;"",$T440=""),"TANIMSIZ BORÇLU",IF($T440&lt;&gt;"",IF(OR($E440="",$G440&lt;=0),"EKSİK",IF($I440="Evet","TAHAKKUK NAKİT OLAMAZ",IF($C440&gt;TODAY(),"İLERİ TARİH","TAHAKKUK"))),IF(AND($D440&lt;&gt;"",$E440&lt;&gt;"",$G440&gt;0,$H440&lt;&gt;"",$I440&lt;&gt;""),IF($C440&gt;TODAY(),"İLERİ TARİH",IF(COUNTIF($W$7:$W$3001,$W440)&gt;1,"MÜKERRER?",IF($AD440&gt;0,"KAPALI DÖNEM",IF($I440="Hayır","ÖDENECEK","UYGUN")))),"EKSİK"))))</f>
        <v/>
      </c>
      <c r="Q440" s="2"/>
      <c r="R440" s="2"/>
      <c r="S440" s="1" t="str">
        <f t="shared" si="20"/>
        <v/>
      </c>
      <c r="T440" s="1" t="str">
        <f>IF(OR($C440="",$D440&lt;&gt;"Gelir",$L440=""),"",IFERROR(INDEX(MUSTERILER!$B$7:$B$156,MATCH($S440,MUSTERILER!$T$7:$T$156,0)),""))</f>
        <v/>
      </c>
      <c r="U440" s="1" t="str">
        <f>IF($T440="","",$T440&amp;"|"&amp;COUNTIFS($T$7:$T440,$T440))</f>
        <v/>
      </c>
      <c r="V440" s="1">
        <f t="shared" si="21"/>
        <v>0</v>
      </c>
      <c r="W440" s="1" t="str">
        <f t="shared" si="22"/>
        <v/>
      </c>
      <c r="X440" s="1"/>
      <c r="Y440" s="1"/>
      <c r="Z440" s="1"/>
      <c r="AA440" s="1"/>
      <c r="AB440" s="1"/>
      <c r="AC440" s="1"/>
      <c r="AD440" s="1">
        <f>IF($C440="",0,SUMPRODUCT((AY_SONU!$O$7:$O$42="Evet")*(AY_SONU!$B$7:$B$42=DATE(YEAR($C440),MONTH($C440),1))))</f>
        <v>0</v>
      </c>
      <c r="AE440" s="1" t="str">
        <f>IF($E440="","",$E440&amp;"|"&amp;COUNTIFS($E$7:$E440,$E440))</f>
        <v/>
      </c>
    </row>
    <row r="441" spans="1:31" ht="18" customHeight="1" x14ac:dyDescent="0.3">
      <c r="A441" s="2"/>
      <c r="B441" s="65" t="str">
        <f>IF($C441="","","GG"&amp;TEXT(ROW()-6,"00000"))</f>
        <v/>
      </c>
      <c r="C441" s="66"/>
      <c r="D441" s="60"/>
      <c r="E441" s="61"/>
      <c r="F441" s="61"/>
      <c r="G441" s="67"/>
      <c r="H441" s="60"/>
      <c r="I441" s="60"/>
      <c r="J441" s="61"/>
      <c r="K441" s="61"/>
      <c r="L441" s="60"/>
      <c r="M441" s="74" t="str">
        <f>IF($C441="","",IF($D441="Gider",$E441,IF($L441&lt;&gt;"",$L441,$H441)))</f>
        <v/>
      </c>
      <c r="N441" s="74" t="str">
        <f>IF($C441="","",IF($D441="Gider",$H441,$E441))</f>
        <v/>
      </c>
      <c r="O441" s="73" t="str">
        <f>IF($C441="","",DATE(YEAR($C441),MONTH($C441),1))</f>
        <v/>
      </c>
      <c r="P441" s="65" t="str">
        <f ca="1">IF($C441="","",IF(AND($D441="Gelir",$L441&lt;&gt;"",$T441=""),"TANIMSIZ BORÇLU",IF($T441&lt;&gt;"",IF(OR($E441="",$G441&lt;=0),"EKSİK",IF($I441="Evet","TAHAKKUK NAKİT OLAMAZ",IF($C441&gt;TODAY(),"İLERİ TARİH","TAHAKKUK"))),IF(AND($D441&lt;&gt;"",$E441&lt;&gt;"",$G441&gt;0,$H441&lt;&gt;"",$I441&lt;&gt;""),IF($C441&gt;TODAY(),"İLERİ TARİH",IF(COUNTIF($W$7:$W$3001,$W441)&gt;1,"MÜKERRER?",IF($AD441&gt;0,"KAPALI DÖNEM",IF($I441="Hayır","ÖDENECEK","UYGUN")))),"EKSİK"))))</f>
        <v/>
      </c>
      <c r="Q441" s="2"/>
      <c r="R441" s="2"/>
      <c r="S441" s="1" t="str">
        <f t="shared" si="20"/>
        <v/>
      </c>
      <c r="T441" s="1" t="str">
        <f>IF(OR($C441="",$D441&lt;&gt;"Gelir",$L441=""),"",IFERROR(INDEX(MUSTERILER!$B$7:$B$156,MATCH($S441,MUSTERILER!$T$7:$T$156,0)),""))</f>
        <v/>
      </c>
      <c r="U441" s="1" t="str">
        <f>IF($T441="","",$T441&amp;"|"&amp;COUNTIFS($T$7:$T441,$T441))</f>
        <v/>
      </c>
      <c r="V441" s="1">
        <f t="shared" si="21"/>
        <v>0</v>
      </c>
      <c r="W441" s="1" t="str">
        <f t="shared" si="22"/>
        <v/>
      </c>
      <c r="X441" s="1"/>
      <c r="Y441" s="1"/>
      <c r="Z441" s="1"/>
      <c r="AA441" s="1"/>
      <c r="AB441" s="1"/>
      <c r="AC441" s="1"/>
      <c r="AD441" s="1">
        <f>IF($C441="",0,SUMPRODUCT((AY_SONU!$O$7:$O$42="Evet")*(AY_SONU!$B$7:$B$42=DATE(YEAR($C441),MONTH($C441),1))))</f>
        <v>0</v>
      </c>
      <c r="AE441" s="1" t="str">
        <f>IF($E441="","",$E441&amp;"|"&amp;COUNTIFS($E$7:$E441,$E441))</f>
        <v/>
      </c>
    </row>
    <row r="442" spans="1:31" ht="18" customHeight="1" x14ac:dyDescent="0.3">
      <c r="A442" s="2"/>
      <c r="B442" s="65" t="str">
        <f>IF($C442="","","GG"&amp;TEXT(ROW()-6,"00000"))</f>
        <v/>
      </c>
      <c r="C442" s="66"/>
      <c r="D442" s="60"/>
      <c r="E442" s="61"/>
      <c r="F442" s="61"/>
      <c r="G442" s="67"/>
      <c r="H442" s="60"/>
      <c r="I442" s="60"/>
      <c r="J442" s="61"/>
      <c r="K442" s="61"/>
      <c r="L442" s="60"/>
      <c r="M442" s="74" t="str">
        <f>IF($C442="","",IF($D442="Gider",$E442,IF($L442&lt;&gt;"",$L442,$H442)))</f>
        <v/>
      </c>
      <c r="N442" s="74" t="str">
        <f>IF($C442="","",IF($D442="Gider",$H442,$E442))</f>
        <v/>
      </c>
      <c r="O442" s="73" t="str">
        <f>IF($C442="","",DATE(YEAR($C442),MONTH($C442),1))</f>
        <v/>
      </c>
      <c r="P442" s="65" t="str">
        <f ca="1">IF($C442="","",IF(AND($D442="Gelir",$L442&lt;&gt;"",$T442=""),"TANIMSIZ BORÇLU",IF($T442&lt;&gt;"",IF(OR($E442="",$G442&lt;=0),"EKSİK",IF($I442="Evet","TAHAKKUK NAKİT OLAMAZ",IF($C442&gt;TODAY(),"İLERİ TARİH","TAHAKKUK"))),IF(AND($D442&lt;&gt;"",$E442&lt;&gt;"",$G442&gt;0,$H442&lt;&gt;"",$I442&lt;&gt;""),IF($C442&gt;TODAY(),"İLERİ TARİH",IF(COUNTIF($W$7:$W$3001,$W442)&gt;1,"MÜKERRER?",IF($AD442&gt;0,"KAPALI DÖNEM",IF($I442="Hayır","ÖDENECEK","UYGUN")))),"EKSİK"))))</f>
        <v/>
      </c>
      <c r="Q442" s="2"/>
      <c r="R442" s="2"/>
      <c r="S442" s="1" t="str">
        <f t="shared" si="20"/>
        <v/>
      </c>
      <c r="T442" s="1" t="str">
        <f>IF(OR($C442="",$D442&lt;&gt;"Gelir",$L442=""),"",IFERROR(INDEX(MUSTERILER!$B$7:$B$156,MATCH($S442,MUSTERILER!$T$7:$T$156,0)),""))</f>
        <v/>
      </c>
      <c r="U442" s="1" t="str">
        <f>IF($T442="","",$T442&amp;"|"&amp;COUNTIFS($T$7:$T442,$T442))</f>
        <v/>
      </c>
      <c r="V442" s="1">
        <f t="shared" si="21"/>
        <v>0</v>
      </c>
      <c r="W442" s="1" t="str">
        <f t="shared" si="22"/>
        <v/>
      </c>
      <c r="X442" s="1"/>
      <c r="Y442" s="1"/>
      <c r="Z442" s="1"/>
      <c r="AA442" s="1"/>
      <c r="AB442" s="1"/>
      <c r="AC442" s="1"/>
      <c r="AD442" s="1">
        <f>IF($C442="",0,SUMPRODUCT((AY_SONU!$O$7:$O$42="Evet")*(AY_SONU!$B$7:$B$42=DATE(YEAR($C442),MONTH($C442),1))))</f>
        <v>0</v>
      </c>
      <c r="AE442" s="1" t="str">
        <f>IF($E442="","",$E442&amp;"|"&amp;COUNTIFS($E$7:$E442,$E442))</f>
        <v/>
      </c>
    </row>
    <row r="443" spans="1:31" ht="18" customHeight="1" x14ac:dyDescent="0.3">
      <c r="A443" s="2"/>
      <c r="B443" s="65" t="str">
        <f>IF($C443="","","GG"&amp;TEXT(ROW()-6,"00000"))</f>
        <v/>
      </c>
      <c r="C443" s="66"/>
      <c r="D443" s="60"/>
      <c r="E443" s="61"/>
      <c r="F443" s="61"/>
      <c r="G443" s="67"/>
      <c r="H443" s="60"/>
      <c r="I443" s="60"/>
      <c r="J443" s="61"/>
      <c r="K443" s="61"/>
      <c r="L443" s="60"/>
      <c r="M443" s="74" t="str">
        <f>IF($C443="","",IF($D443="Gider",$E443,IF($L443&lt;&gt;"",$L443,$H443)))</f>
        <v/>
      </c>
      <c r="N443" s="74" t="str">
        <f>IF($C443="","",IF($D443="Gider",$H443,$E443))</f>
        <v/>
      </c>
      <c r="O443" s="73" t="str">
        <f>IF($C443="","",DATE(YEAR($C443),MONTH($C443),1))</f>
        <v/>
      </c>
      <c r="P443" s="65" t="str">
        <f ca="1">IF($C443="","",IF(AND($D443="Gelir",$L443&lt;&gt;"",$T443=""),"TANIMSIZ BORÇLU",IF($T443&lt;&gt;"",IF(OR($E443="",$G443&lt;=0),"EKSİK",IF($I443="Evet","TAHAKKUK NAKİT OLAMAZ",IF($C443&gt;TODAY(),"İLERİ TARİH","TAHAKKUK"))),IF(AND($D443&lt;&gt;"",$E443&lt;&gt;"",$G443&gt;0,$H443&lt;&gt;"",$I443&lt;&gt;""),IF($C443&gt;TODAY(),"İLERİ TARİH",IF(COUNTIF($W$7:$W$3001,$W443)&gt;1,"MÜKERRER?",IF($AD443&gt;0,"KAPALI DÖNEM",IF($I443="Hayır","ÖDENECEK","UYGUN")))),"EKSİK"))))</f>
        <v/>
      </c>
      <c r="Q443" s="2"/>
      <c r="R443" s="2"/>
      <c r="S443" s="1" t="str">
        <f t="shared" si="20"/>
        <v/>
      </c>
      <c r="T443" s="1" t="str">
        <f>IF(OR($C443="",$D443&lt;&gt;"Gelir",$L443=""),"",IFERROR(INDEX(MUSTERILER!$B$7:$B$156,MATCH($S443,MUSTERILER!$T$7:$T$156,0)),""))</f>
        <v/>
      </c>
      <c r="U443" s="1" t="str">
        <f>IF($T443="","",$T443&amp;"|"&amp;COUNTIFS($T$7:$T443,$T443))</f>
        <v/>
      </c>
      <c r="V443" s="1">
        <f t="shared" si="21"/>
        <v>0</v>
      </c>
      <c r="W443" s="1" t="str">
        <f t="shared" si="22"/>
        <v/>
      </c>
      <c r="X443" s="1"/>
      <c r="Y443" s="1"/>
      <c r="Z443" s="1"/>
      <c r="AA443" s="1"/>
      <c r="AB443" s="1"/>
      <c r="AC443" s="1"/>
      <c r="AD443" s="1">
        <f>IF($C443="",0,SUMPRODUCT((AY_SONU!$O$7:$O$42="Evet")*(AY_SONU!$B$7:$B$42=DATE(YEAR($C443),MONTH($C443),1))))</f>
        <v>0</v>
      </c>
      <c r="AE443" s="1" t="str">
        <f>IF($E443="","",$E443&amp;"|"&amp;COUNTIFS($E$7:$E443,$E443))</f>
        <v/>
      </c>
    </row>
    <row r="444" spans="1:31" ht="18" customHeight="1" x14ac:dyDescent="0.3">
      <c r="A444" s="2"/>
      <c r="B444" s="65" t="str">
        <f>IF($C444="","","GG"&amp;TEXT(ROW()-6,"00000"))</f>
        <v/>
      </c>
      <c r="C444" s="66"/>
      <c r="D444" s="60"/>
      <c r="E444" s="61"/>
      <c r="F444" s="61"/>
      <c r="G444" s="67"/>
      <c r="H444" s="60"/>
      <c r="I444" s="60"/>
      <c r="J444" s="61"/>
      <c r="K444" s="61"/>
      <c r="L444" s="60"/>
      <c r="M444" s="74" t="str">
        <f>IF($C444="","",IF($D444="Gider",$E444,IF($L444&lt;&gt;"",$L444,$H444)))</f>
        <v/>
      </c>
      <c r="N444" s="74" t="str">
        <f>IF($C444="","",IF($D444="Gider",$H444,$E444))</f>
        <v/>
      </c>
      <c r="O444" s="73" t="str">
        <f>IF($C444="","",DATE(YEAR($C444),MONTH($C444),1))</f>
        <v/>
      </c>
      <c r="P444" s="65" t="str">
        <f ca="1">IF($C444="","",IF(AND($D444="Gelir",$L444&lt;&gt;"",$T444=""),"TANIMSIZ BORÇLU",IF($T444&lt;&gt;"",IF(OR($E444="",$G444&lt;=0),"EKSİK",IF($I444="Evet","TAHAKKUK NAKİT OLAMAZ",IF($C444&gt;TODAY(),"İLERİ TARİH","TAHAKKUK"))),IF(AND($D444&lt;&gt;"",$E444&lt;&gt;"",$G444&gt;0,$H444&lt;&gt;"",$I444&lt;&gt;""),IF($C444&gt;TODAY(),"İLERİ TARİH",IF(COUNTIF($W$7:$W$3001,$W444)&gt;1,"MÜKERRER?",IF($AD444&gt;0,"KAPALI DÖNEM",IF($I444="Hayır","ÖDENECEK","UYGUN")))),"EKSİK"))))</f>
        <v/>
      </c>
      <c r="Q444" s="2"/>
      <c r="R444" s="2"/>
      <c r="S444" s="1" t="str">
        <f t="shared" si="20"/>
        <v/>
      </c>
      <c r="T444" s="1" t="str">
        <f>IF(OR($C444="",$D444&lt;&gt;"Gelir",$L444=""),"",IFERROR(INDEX(MUSTERILER!$B$7:$B$156,MATCH($S444,MUSTERILER!$T$7:$T$156,0)),""))</f>
        <v/>
      </c>
      <c r="U444" s="1" t="str">
        <f>IF($T444="","",$T444&amp;"|"&amp;COUNTIFS($T$7:$T444,$T444))</f>
        <v/>
      </c>
      <c r="V444" s="1">
        <f t="shared" si="21"/>
        <v>0</v>
      </c>
      <c r="W444" s="1" t="str">
        <f t="shared" si="22"/>
        <v/>
      </c>
      <c r="X444" s="1"/>
      <c r="Y444" s="1"/>
      <c r="Z444" s="1"/>
      <c r="AA444" s="1"/>
      <c r="AB444" s="1"/>
      <c r="AC444" s="1"/>
      <c r="AD444" s="1">
        <f>IF($C444="",0,SUMPRODUCT((AY_SONU!$O$7:$O$42="Evet")*(AY_SONU!$B$7:$B$42=DATE(YEAR($C444),MONTH($C444),1))))</f>
        <v>0</v>
      </c>
      <c r="AE444" s="1" t="str">
        <f>IF($E444="","",$E444&amp;"|"&amp;COUNTIFS($E$7:$E444,$E444))</f>
        <v/>
      </c>
    </row>
    <row r="445" spans="1:31" ht="18" customHeight="1" x14ac:dyDescent="0.3">
      <c r="A445" s="2"/>
      <c r="B445" s="65" t="str">
        <f>IF($C445="","","GG"&amp;TEXT(ROW()-6,"00000"))</f>
        <v/>
      </c>
      <c r="C445" s="66"/>
      <c r="D445" s="60"/>
      <c r="E445" s="61"/>
      <c r="F445" s="61"/>
      <c r="G445" s="67"/>
      <c r="H445" s="60"/>
      <c r="I445" s="60"/>
      <c r="J445" s="61"/>
      <c r="K445" s="61"/>
      <c r="L445" s="60"/>
      <c r="M445" s="74" t="str">
        <f>IF($C445="","",IF($D445="Gider",$E445,IF($L445&lt;&gt;"",$L445,$H445)))</f>
        <v/>
      </c>
      <c r="N445" s="74" t="str">
        <f>IF($C445="","",IF($D445="Gider",$H445,$E445))</f>
        <v/>
      </c>
      <c r="O445" s="73" t="str">
        <f>IF($C445="","",DATE(YEAR($C445),MONTH($C445),1))</f>
        <v/>
      </c>
      <c r="P445" s="65" t="str">
        <f ca="1">IF($C445="","",IF(AND($D445="Gelir",$L445&lt;&gt;"",$T445=""),"TANIMSIZ BORÇLU",IF($T445&lt;&gt;"",IF(OR($E445="",$G445&lt;=0),"EKSİK",IF($I445="Evet","TAHAKKUK NAKİT OLAMAZ",IF($C445&gt;TODAY(),"İLERİ TARİH","TAHAKKUK"))),IF(AND($D445&lt;&gt;"",$E445&lt;&gt;"",$G445&gt;0,$H445&lt;&gt;"",$I445&lt;&gt;""),IF($C445&gt;TODAY(),"İLERİ TARİH",IF(COUNTIF($W$7:$W$3001,$W445)&gt;1,"MÜKERRER?",IF($AD445&gt;0,"KAPALI DÖNEM",IF($I445="Hayır","ÖDENECEK","UYGUN")))),"EKSİK"))))</f>
        <v/>
      </c>
      <c r="Q445" s="2"/>
      <c r="R445" s="2"/>
      <c r="S445" s="1" t="str">
        <f t="shared" si="20"/>
        <v/>
      </c>
      <c r="T445" s="1" t="str">
        <f>IF(OR($C445="",$D445&lt;&gt;"Gelir",$L445=""),"",IFERROR(INDEX(MUSTERILER!$B$7:$B$156,MATCH($S445,MUSTERILER!$T$7:$T$156,0)),""))</f>
        <v/>
      </c>
      <c r="U445" s="1" t="str">
        <f>IF($T445="","",$T445&amp;"|"&amp;COUNTIFS($T$7:$T445,$T445))</f>
        <v/>
      </c>
      <c r="V445" s="1">
        <f t="shared" si="21"/>
        <v>0</v>
      </c>
      <c r="W445" s="1" t="str">
        <f t="shared" si="22"/>
        <v/>
      </c>
      <c r="X445" s="1"/>
      <c r="Y445" s="1"/>
      <c r="Z445" s="1"/>
      <c r="AA445" s="1"/>
      <c r="AB445" s="1"/>
      <c r="AC445" s="1"/>
      <c r="AD445" s="1">
        <f>IF($C445="",0,SUMPRODUCT((AY_SONU!$O$7:$O$42="Evet")*(AY_SONU!$B$7:$B$42=DATE(YEAR($C445),MONTH($C445),1))))</f>
        <v>0</v>
      </c>
      <c r="AE445" s="1" t="str">
        <f>IF($E445="","",$E445&amp;"|"&amp;COUNTIFS($E$7:$E445,$E445))</f>
        <v/>
      </c>
    </row>
    <row r="446" spans="1:31" ht="18" customHeight="1" x14ac:dyDescent="0.3">
      <c r="A446" s="2"/>
      <c r="B446" s="65" t="str">
        <f>IF($C446="","","GG"&amp;TEXT(ROW()-6,"00000"))</f>
        <v/>
      </c>
      <c r="C446" s="66"/>
      <c r="D446" s="60"/>
      <c r="E446" s="61"/>
      <c r="F446" s="61"/>
      <c r="G446" s="67"/>
      <c r="H446" s="60"/>
      <c r="I446" s="60"/>
      <c r="J446" s="61"/>
      <c r="K446" s="61"/>
      <c r="L446" s="60"/>
      <c r="M446" s="74" t="str">
        <f>IF($C446="","",IF($D446="Gider",$E446,IF($L446&lt;&gt;"",$L446,$H446)))</f>
        <v/>
      </c>
      <c r="N446" s="74" t="str">
        <f>IF($C446="","",IF($D446="Gider",$H446,$E446))</f>
        <v/>
      </c>
      <c r="O446" s="73" t="str">
        <f>IF($C446="","",DATE(YEAR($C446),MONTH($C446),1))</f>
        <v/>
      </c>
      <c r="P446" s="65" t="str">
        <f ca="1">IF($C446="","",IF(AND($D446="Gelir",$L446&lt;&gt;"",$T446=""),"TANIMSIZ BORÇLU",IF($T446&lt;&gt;"",IF(OR($E446="",$G446&lt;=0),"EKSİK",IF($I446="Evet","TAHAKKUK NAKİT OLAMAZ",IF($C446&gt;TODAY(),"İLERİ TARİH","TAHAKKUK"))),IF(AND($D446&lt;&gt;"",$E446&lt;&gt;"",$G446&gt;0,$H446&lt;&gt;"",$I446&lt;&gt;""),IF($C446&gt;TODAY(),"İLERİ TARİH",IF(COUNTIF($W$7:$W$3001,$W446)&gt;1,"MÜKERRER?",IF($AD446&gt;0,"KAPALI DÖNEM",IF($I446="Hayır","ÖDENECEK","UYGUN")))),"EKSİK"))))</f>
        <v/>
      </c>
      <c r="Q446" s="2"/>
      <c r="R446" s="2"/>
      <c r="S446" s="1" t="str">
        <f t="shared" si="20"/>
        <v/>
      </c>
      <c r="T446" s="1" t="str">
        <f>IF(OR($C446="",$D446&lt;&gt;"Gelir",$L446=""),"",IFERROR(INDEX(MUSTERILER!$B$7:$B$156,MATCH($S446,MUSTERILER!$T$7:$T$156,0)),""))</f>
        <v/>
      </c>
      <c r="U446" s="1" t="str">
        <f>IF($T446="","",$T446&amp;"|"&amp;COUNTIFS($T$7:$T446,$T446))</f>
        <v/>
      </c>
      <c r="V446" s="1">
        <f t="shared" si="21"/>
        <v>0</v>
      </c>
      <c r="W446" s="1" t="str">
        <f t="shared" si="22"/>
        <v/>
      </c>
      <c r="X446" s="1"/>
      <c r="Y446" s="1"/>
      <c r="Z446" s="1"/>
      <c r="AA446" s="1"/>
      <c r="AB446" s="1"/>
      <c r="AC446" s="1"/>
      <c r="AD446" s="1">
        <f>IF($C446="",0,SUMPRODUCT((AY_SONU!$O$7:$O$42="Evet")*(AY_SONU!$B$7:$B$42=DATE(YEAR($C446),MONTH($C446),1))))</f>
        <v>0</v>
      </c>
      <c r="AE446" s="1" t="str">
        <f>IF($E446="","",$E446&amp;"|"&amp;COUNTIFS($E$7:$E446,$E446))</f>
        <v/>
      </c>
    </row>
    <row r="447" spans="1:31" ht="18" customHeight="1" x14ac:dyDescent="0.3">
      <c r="A447" s="2"/>
      <c r="B447" s="65" t="str">
        <f>IF($C447="","","GG"&amp;TEXT(ROW()-6,"00000"))</f>
        <v/>
      </c>
      <c r="C447" s="66"/>
      <c r="D447" s="60"/>
      <c r="E447" s="61"/>
      <c r="F447" s="61"/>
      <c r="G447" s="67"/>
      <c r="H447" s="60"/>
      <c r="I447" s="60"/>
      <c r="J447" s="61"/>
      <c r="K447" s="61"/>
      <c r="L447" s="60"/>
      <c r="M447" s="74" t="str">
        <f>IF($C447="","",IF($D447="Gider",$E447,IF($L447&lt;&gt;"",$L447,$H447)))</f>
        <v/>
      </c>
      <c r="N447" s="74" t="str">
        <f>IF($C447="","",IF($D447="Gider",$H447,$E447))</f>
        <v/>
      </c>
      <c r="O447" s="73" t="str">
        <f>IF($C447="","",DATE(YEAR($C447),MONTH($C447),1))</f>
        <v/>
      </c>
      <c r="P447" s="65" t="str">
        <f ca="1">IF($C447="","",IF(AND($D447="Gelir",$L447&lt;&gt;"",$T447=""),"TANIMSIZ BORÇLU",IF($T447&lt;&gt;"",IF(OR($E447="",$G447&lt;=0),"EKSİK",IF($I447="Evet","TAHAKKUK NAKİT OLAMAZ",IF($C447&gt;TODAY(),"İLERİ TARİH","TAHAKKUK"))),IF(AND($D447&lt;&gt;"",$E447&lt;&gt;"",$G447&gt;0,$H447&lt;&gt;"",$I447&lt;&gt;""),IF($C447&gt;TODAY(),"İLERİ TARİH",IF(COUNTIF($W$7:$W$3001,$W447)&gt;1,"MÜKERRER?",IF($AD447&gt;0,"KAPALI DÖNEM",IF($I447="Hayır","ÖDENECEK","UYGUN")))),"EKSİK"))))</f>
        <v/>
      </c>
      <c r="Q447" s="2"/>
      <c r="R447" s="2"/>
      <c r="S447" s="1" t="str">
        <f t="shared" si="20"/>
        <v/>
      </c>
      <c r="T447" s="1" t="str">
        <f>IF(OR($C447="",$D447&lt;&gt;"Gelir",$L447=""),"",IFERROR(INDEX(MUSTERILER!$B$7:$B$156,MATCH($S447,MUSTERILER!$T$7:$T$156,0)),""))</f>
        <v/>
      </c>
      <c r="U447" s="1" t="str">
        <f>IF($T447="","",$T447&amp;"|"&amp;COUNTIFS($T$7:$T447,$T447))</f>
        <v/>
      </c>
      <c r="V447" s="1">
        <f t="shared" si="21"/>
        <v>0</v>
      </c>
      <c r="W447" s="1" t="str">
        <f t="shared" si="22"/>
        <v/>
      </c>
      <c r="X447" s="1"/>
      <c r="Y447" s="1"/>
      <c r="Z447" s="1"/>
      <c r="AA447" s="1"/>
      <c r="AB447" s="1"/>
      <c r="AC447" s="1"/>
      <c r="AD447" s="1">
        <f>IF($C447="",0,SUMPRODUCT((AY_SONU!$O$7:$O$42="Evet")*(AY_SONU!$B$7:$B$42=DATE(YEAR($C447),MONTH($C447),1))))</f>
        <v>0</v>
      </c>
      <c r="AE447" s="1" t="str">
        <f>IF($E447="","",$E447&amp;"|"&amp;COUNTIFS($E$7:$E447,$E447))</f>
        <v/>
      </c>
    </row>
    <row r="448" spans="1:31" ht="18" customHeight="1" x14ac:dyDescent="0.3">
      <c r="A448" s="2"/>
      <c r="B448" s="65" t="str">
        <f>IF($C448="","","GG"&amp;TEXT(ROW()-6,"00000"))</f>
        <v/>
      </c>
      <c r="C448" s="66"/>
      <c r="D448" s="60"/>
      <c r="E448" s="61"/>
      <c r="F448" s="61"/>
      <c r="G448" s="67"/>
      <c r="H448" s="60"/>
      <c r="I448" s="60"/>
      <c r="J448" s="61"/>
      <c r="K448" s="61"/>
      <c r="L448" s="60"/>
      <c r="M448" s="74" t="str">
        <f>IF($C448="","",IF($D448="Gider",$E448,IF($L448&lt;&gt;"",$L448,$H448)))</f>
        <v/>
      </c>
      <c r="N448" s="74" t="str">
        <f>IF($C448="","",IF($D448="Gider",$H448,$E448))</f>
        <v/>
      </c>
      <c r="O448" s="73" t="str">
        <f>IF($C448="","",DATE(YEAR($C448),MONTH($C448),1))</f>
        <v/>
      </c>
      <c r="P448" s="65" t="str">
        <f ca="1">IF($C448="","",IF(AND($D448="Gelir",$L448&lt;&gt;"",$T448=""),"TANIMSIZ BORÇLU",IF($T448&lt;&gt;"",IF(OR($E448="",$G448&lt;=0),"EKSİK",IF($I448="Evet","TAHAKKUK NAKİT OLAMAZ",IF($C448&gt;TODAY(),"İLERİ TARİH","TAHAKKUK"))),IF(AND($D448&lt;&gt;"",$E448&lt;&gt;"",$G448&gt;0,$H448&lt;&gt;"",$I448&lt;&gt;""),IF($C448&gt;TODAY(),"İLERİ TARİH",IF(COUNTIF($W$7:$W$3001,$W448)&gt;1,"MÜKERRER?",IF($AD448&gt;0,"KAPALI DÖNEM",IF($I448="Hayır","ÖDENECEK","UYGUN")))),"EKSİK"))))</f>
        <v/>
      </c>
      <c r="Q448" s="2"/>
      <c r="R448" s="2"/>
      <c r="S448" s="1" t="str">
        <f t="shared" si="20"/>
        <v/>
      </c>
      <c r="T448" s="1" t="str">
        <f>IF(OR($C448="",$D448&lt;&gt;"Gelir",$L448=""),"",IFERROR(INDEX(MUSTERILER!$B$7:$B$156,MATCH($S448,MUSTERILER!$T$7:$T$156,0)),""))</f>
        <v/>
      </c>
      <c r="U448" s="1" t="str">
        <f>IF($T448="","",$T448&amp;"|"&amp;COUNTIFS($T$7:$T448,$T448))</f>
        <v/>
      </c>
      <c r="V448" s="1">
        <f t="shared" si="21"/>
        <v>0</v>
      </c>
      <c r="W448" s="1" t="str">
        <f t="shared" si="22"/>
        <v/>
      </c>
      <c r="X448" s="1"/>
      <c r="Y448" s="1"/>
      <c r="Z448" s="1"/>
      <c r="AA448" s="1"/>
      <c r="AB448" s="1"/>
      <c r="AC448" s="1"/>
      <c r="AD448" s="1">
        <f>IF($C448="",0,SUMPRODUCT((AY_SONU!$O$7:$O$42="Evet")*(AY_SONU!$B$7:$B$42=DATE(YEAR($C448),MONTH($C448),1))))</f>
        <v>0</v>
      </c>
      <c r="AE448" s="1" t="str">
        <f>IF($E448="","",$E448&amp;"|"&amp;COUNTIFS($E$7:$E448,$E448))</f>
        <v/>
      </c>
    </row>
    <row r="449" spans="1:31" ht="18" customHeight="1" x14ac:dyDescent="0.3">
      <c r="A449" s="2"/>
      <c r="B449" s="65" t="str">
        <f>IF($C449="","","GG"&amp;TEXT(ROW()-6,"00000"))</f>
        <v/>
      </c>
      <c r="C449" s="66"/>
      <c r="D449" s="60"/>
      <c r="E449" s="61"/>
      <c r="F449" s="61"/>
      <c r="G449" s="67"/>
      <c r="H449" s="60"/>
      <c r="I449" s="60"/>
      <c r="J449" s="61"/>
      <c r="K449" s="61"/>
      <c r="L449" s="60"/>
      <c r="M449" s="74" t="str">
        <f>IF($C449="","",IF($D449="Gider",$E449,IF($L449&lt;&gt;"",$L449,$H449)))</f>
        <v/>
      </c>
      <c r="N449" s="74" t="str">
        <f>IF($C449="","",IF($D449="Gider",$H449,$E449))</f>
        <v/>
      </c>
      <c r="O449" s="73" t="str">
        <f>IF($C449="","",DATE(YEAR($C449),MONTH($C449),1))</f>
        <v/>
      </c>
      <c r="P449" s="65" t="str">
        <f ca="1">IF($C449="","",IF(AND($D449="Gelir",$L449&lt;&gt;"",$T449=""),"TANIMSIZ BORÇLU",IF($T449&lt;&gt;"",IF(OR($E449="",$G449&lt;=0),"EKSİK",IF($I449="Evet","TAHAKKUK NAKİT OLAMAZ",IF($C449&gt;TODAY(),"İLERİ TARİH","TAHAKKUK"))),IF(AND($D449&lt;&gt;"",$E449&lt;&gt;"",$G449&gt;0,$H449&lt;&gt;"",$I449&lt;&gt;""),IF($C449&gt;TODAY(),"İLERİ TARİH",IF(COUNTIF($W$7:$W$3001,$W449)&gt;1,"MÜKERRER?",IF($AD449&gt;0,"KAPALI DÖNEM",IF($I449="Hayır","ÖDENECEK","UYGUN")))),"EKSİK"))))</f>
        <v/>
      </c>
      <c r="Q449" s="2"/>
      <c r="R449" s="2"/>
      <c r="S449" s="1" t="str">
        <f t="shared" si="20"/>
        <v/>
      </c>
      <c r="T449" s="1" t="str">
        <f>IF(OR($C449="",$D449&lt;&gt;"Gelir",$L449=""),"",IFERROR(INDEX(MUSTERILER!$B$7:$B$156,MATCH($S449,MUSTERILER!$T$7:$T$156,0)),""))</f>
        <v/>
      </c>
      <c r="U449" s="1" t="str">
        <f>IF($T449="","",$T449&amp;"|"&amp;COUNTIFS($T$7:$T449,$T449))</f>
        <v/>
      </c>
      <c r="V449" s="1">
        <f t="shared" si="21"/>
        <v>0</v>
      </c>
      <c r="W449" s="1" t="str">
        <f t="shared" si="22"/>
        <v/>
      </c>
      <c r="X449" s="1"/>
      <c r="Y449" s="1"/>
      <c r="Z449" s="1"/>
      <c r="AA449" s="1"/>
      <c r="AB449" s="1"/>
      <c r="AC449" s="1"/>
      <c r="AD449" s="1">
        <f>IF($C449="",0,SUMPRODUCT((AY_SONU!$O$7:$O$42="Evet")*(AY_SONU!$B$7:$B$42=DATE(YEAR($C449),MONTH($C449),1))))</f>
        <v>0</v>
      </c>
      <c r="AE449" s="1" t="str">
        <f>IF($E449="","",$E449&amp;"|"&amp;COUNTIFS($E$7:$E449,$E449))</f>
        <v/>
      </c>
    </row>
    <row r="450" spans="1:31" ht="18" customHeight="1" x14ac:dyDescent="0.3">
      <c r="A450" s="2"/>
      <c r="B450" s="65" t="str">
        <f>IF($C450="","","GG"&amp;TEXT(ROW()-6,"00000"))</f>
        <v/>
      </c>
      <c r="C450" s="66"/>
      <c r="D450" s="60"/>
      <c r="E450" s="61"/>
      <c r="F450" s="61"/>
      <c r="G450" s="67"/>
      <c r="H450" s="60"/>
      <c r="I450" s="60"/>
      <c r="J450" s="61"/>
      <c r="K450" s="61"/>
      <c r="L450" s="60"/>
      <c r="M450" s="74" t="str">
        <f>IF($C450="","",IF($D450="Gider",$E450,IF($L450&lt;&gt;"",$L450,$H450)))</f>
        <v/>
      </c>
      <c r="N450" s="74" t="str">
        <f>IF($C450="","",IF($D450="Gider",$H450,$E450))</f>
        <v/>
      </c>
      <c r="O450" s="73" t="str">
        <f>IF($C450="","",DATE(YEAR($C450),MONTH($C450),1))</f>
        <v/>
      </c>
      <c r="P450" s="65" t="str">
        <f ca="1">IF($C450="","",IF(AND($D450="Gelir",$L450&lt;&gt;"",$T450=""),"TANIMSIZ BORÇLU",IF($T450&lt;&gt;"",IF(OR($E450="",$G450&lt;=0),"EKSİK",IF($I450="Evet","TAHAKKUK NAKİT OLAMAZ",IF($C450&gt;TODAY(),"İLERİ TARİH","TAHAKKUK"))),IF(AND($D450&lt;&gt;"",$E450&lt;&gt;"",$G450&gt;0,$H450&lt;&gt;"",$I450&lt;&gt;""),IF($C450&gt;TODAY(),"İLERİ TARİH",IF(COUNTIF($W$7:$W$3001,$W450)&gt;1,"MÜKERRER?",IF($AD450&gt;0,"KAPALI DÖNEM",IF($I450="Hayır","ÖDENECEK","UYGUN")))),"EKSİK"))))</f>
        <v/>
      </c>
      <c r="Q450" s="2"/>
      <c r="R450" s="2"/>
      <c r="S450" s="1" t="str">
        <f t="shared" si="20"/>
        <v/>
      </c>
      <c r="T450" s="1" t="str">
        <f>IF(OR($C450="",$D450&lt;&gt;"Gelir",$L450=""),"",IFERROR(INDEX(MUSTERILER!$B$7:$B$156,MATCH($S450,MUSTERILER!$T$7:$T$156,0)),""))</f>
        <v/>
      </c>
      <c r="U450" s="1" t="str">
        <f>IF($T450="","",$T450&amp;"|"&amp;COUNTIFS($T$7:$T450,$T450))</f>
        <v/>
      </c>
      <c r="V450" s="1">
        <f t="shared" si="21"/>
        <v>0</v>
      </c>
      <c r="W450" s="1" t="str">
        <f t="shared" si="22"/>
        <v/>
      </c>
      <c r="X450" s="1"/>
      <c r="Y450" s="1"/>
      <c r="Z450" s="1"/>
      <c r="AA450" s="1"/>
      <c r="AB450" s="1"/>
      <c r="AC450" s="1"/>
      <c r="AD450" s="1">
        <f>IF($C450="",0,SUMPRODUCT((AY_SONU!$O$7:$O$42="Evet")*(AY_SONU!$B$7:$B$42=DATE(YEAR($C450),MONTH($C450),1))))</f>
        <v>0</v>
      </c>
      <c r="AE450" s="1" t="str">
        <f>IF($E450="","",$E450&amp;"|"&amp;COUNTIFS($E$7:$E450,$E450))</f>
        <v/>
      </c>
    </row>
    <row r="451" spans="1:31" ht="18" customHeight="1" x14ac:dyDescent="0.3">
      <c r="A451" s="2"/>
      <c r="B451" s="65" t="str">
        <f>IF($C451="","","GG"&amp;TEXT(ROW()-6,"00000"))</f>
        <v/>
      </c>
      <c r="C451" s="66"/>
      <c r="D451" s="60"/>
      <c r="E451" s="61"/>
      <c r="F451" s="61"/>
      <c r="G451" s="67"/>
      <c r="H451" s="60"/>
      <c r="I451" s="60"/>
      <c r="J451" s="61"/>
      <c r="K451" s="61"/>
      <c r="L451" s="60"/>
      <c r="M451" s="74" t="str">
        <f>IF($C451="","",IF($D451="Gider",$E451,IF($L451&lt;&gt;"",$L451,$H451)))</f>
        <v/>
      </c>
      <c r="N451" s="74" t="str">
        <f>IF($C451="","",IF($D451="Gider",$H451,$E451))</f>
        <v/>
      </c>
      <c r="O451" s="73" t="str">
        <f>IF($C451="","",DATE(YEAR($C451),MONTH($C451),1))</f>
        <v/>
      </c>
      <c r="P451" s="65" t="str">
        <f ca="1">IF($C451="","",IF(AND($D451="Gelir",$L451&lt;&gt;"",$T451=""),"TANIMSIZ BORÇLU",IF($T451&lt;&gt;"",IF(OR($E451="",$G451&lt;=0),"EKSİK",IF($I451="Evet","TAHAKKUK NAKİT OLAMAZ",IF($C451&gt;TODAY(),"İLERİ TARİH","TAHAKKUK"))),IF(AND($D451&lt;&gt;"",$E451&lt;&gt;"",$G451&gt;0,$H451&lt;&gt;"",$I451&lt;&gt;""),IF($C451&gt;TODAY(),"İLERİ TARİH",IF(COUNTIF($W$7:$W$3001,$W451)&gt;1,"MÜKERRER?",IF($AD451&gt;0,"KAPALI DÖNEM",IF($I451="Hayır","ÖDENECEK","UYGUN")))),"EKSİK"))))</f>
        <v/>
      </c>
      <c r="Q451" s="2"/>
      <c r="R451" s="2"/>
      <c r="S451" s="1" t="str">
        <f t="shared" si="20"/>
        <v/>
      </c>
      <c r="T451" s="1" t="str">
        <f>IF(OR($C451="",$D451&lt;&gt;"Gelir",$L451=""),"",IFERROR(INDEX(MUSTERILER!$B$7:$B$156,MATCH($S451,MUSTERILER!$T$7:$T$156,0)),""))</f>
        <v/>
      </c>
      <c r="U451" s="1" t="str">
        <f>IF($T451="","",$T451&amp;"|"&amp;COUNTIFS($T$7:$T451,$T451))</f>
        <v/>
      </c>
      <c r="V451" s="1">
        <f t="shared" si="21"/>
        <v>0</v>
      </c>
      <c r="W451" s="1" t="str">
        <f t="shared" si="22"/>
        <v/>
      </c>
      <c r="X451" s="1"/>
      <c r="Y451" s="1"/>
      <c r="Z451" s="1"/>
      <c r="AA451" s="1"/>
      <c r="AB451" s="1"/>
      <c r="AC451" s="1"/>
      <c r="AD451" s="1">
        <f>IF($C451="",0,SUMPRODUCT((AY_SONU!$O$7:$O$42="Evet")*(AY_SONU!$B$7:$B$42=DATE(YEAR($C451),MONTH($C451),1))))</f>
        <v>0</v>
      </c>
      <c r="AE451" s="1" t="str">
        <f>IF($E451="","",$E451&amp;"|"&amp;COUNTIFS($E$7:$E451,$E451))</f>
        <v/>
      </c>
    </row>
    <row r="452" spans="1:31" ht="18" customHeight="1" x14ac:dyDescent="0.3">
      <c r="A452" s="2"/>
      <c r="B452" s="65" t="str">
        <f>IF($C452="","","GG"&amp;TEXT(ROW()-6,"00000"))</f>
        <v/>
      </c>
      <c r="C452" s="66"/>
      <c r="D452" s="60"/>
      <c r="E452" s="61"/>
      <c r="F452" s="61"/>
      <c r="G452" s="67"/>
      <c r="H452" s="60"/>
      <c r="I452" s="60"/>
      <c r="J452" s="61"/>
      <c r="K452" s="61"/>
      <c r="L452" s="60"/>
      <c r="M452" s="74" t="str">
        <f>IF($C452="","",IF($D452="Gider",$E452,IF($L452&lt;&gt;"",$L452,$H452)))</f>
        <v/>
      </c>
      <c r="N452" s="74" t="str">
        <f>IF($C452="","",IF($D452="Gider",$H452,$E452))</f>
        <v/>
      </c>
      <c r="O452" s="73" t="str">
        <f>IF($C452="","",DATE(YEAR($C452),MONTH($C452),1))</f>
        <v/>
      </c>
      <c r="P452" s="65" t="str">
        <f ca="1">IF($C452="","",IF(AND($D452="Gelir",$L452&lt;&gt;"",$T452=""),"TANIMSIZ BORÇLU",IF($T452&lt;&gt;"",IF(OR($E452="",$G452&lt;=0),"EKSİK",IF($I452="Evet","TAHAKKUK NAKİT OLAMAZ",IF($C452&gt;TODAY(),"İLERİ TARİH","TAHAKKUK"))),IF(AND($D452&lt;&gt;"",$E452&lt;&gt;"",$G452&gt;0,$H452&lt;&gt;"",$I452&lt;&gt;""),IF($C452&gt;TODAY(),"İLERİ TARİH",IF(COUNTIF($W$7:$W$3001,$W452)&gt;1,"MÜKERRER?",IF($AD452&gt;0,"KAPALI DÖNEM",IF($I452="Hayır","ÖDENECEK","UYGUN")))),"EKSİK"))))</f>
        <v/>
      </c>
      <c r="Q452" s="2"/>
      <c r="R452" s="2"/>
      <c r="S452" s="1" t="str">
        <f t="shared" si="20"/>
        <v/>
      </c>
      <c r="T452" s="1" t="str">
        <f>IF(OR($C452="",$D452&lt;&gt;"Gelir",$L452=""),"",IFERROR(INDEX(MUSTERILER!$B$7:$B$156,MATCH($S452,MUSTERILER!$T$7:$T$156,0)),""))</f>
        <v/>
      </c>
      <c r="U452" s="1" t="str">
        <f>IF($T452="","",$T452&amp;"|"&amp;COUNTIFS($T$7:$T452,$T452))</f>
        <v/>
      </c>
      <c r="V452" s="1">
        <f t="shared" si="21"/>
        <v>0</v>
      </c>
      <c r="W452" s="1" t="str">
        <f t="shared" si="22"/>
        <v/>
      </c>
      <c r="X452" s="1"/>
      <c r="Y452" s="1"/>
      <c r="Z452" s="1"/>
      <c r="AA452" s="1"/>
      <c r="AB452" s="1"/>
      <c r="AC452" s="1"/>
      <c r="AD452" s="1">
        <f>IF($C452="",0,SUMPRODUCT((AY_SONU!$O$7:$O$42="Evet")*(AY_SONU!$B$7:$B$42=DATE(YEAR($C452),MONTH($C452),1))))</f>
        <v>0</v>
      </c>
      <c r="AE452" s="1" t="str">
        <f>IF($E452="","",$E452&amp;"|"&amp;COUNTIFS($E$7:$E452,$E452))</f>
        <v/>
      </c>
    </row>
    <row r="453" spans="1:31" ht="18" customHeight="1" x14ac:dyDescent="0.3">
      <c r="A453" s="2"/>
      <c r="B453" s="65" t="str">
        <f>IF($C453="","","GG"&amp;TEXT(ROW()-6,"00000"))</f>
        <v/>
      </c>
      <c r="C453" s="66"/>
      <c r="D453" s="60"/>
      <c r="E453" s="61"/>
      <c r="F453" s="61"/>
      <c r="G453" s="67"/>
      <c r="H453" s="60"/>
      <c r="I453" s="60"/>
      <c r="J453" s="61"/>
      <c r="K453" s="61"/>
      <c r="L453" s="60"/>
      <c r="M453" s="74" t="str">
        <f>IF($C453="","",IF($D453="Gider",$E453,IF($L453&lt;&gt;"",$L453,$H453)))</f>
        <v/>
      </c>
      <c r="N453" s="74" t="str">
        <f>IF($C453="","",IF($D453="Gider",$H453,$E453))</f>
        <v/>
      </c>
      <c r="O453" s="73" t="str">
        <f>IF($C453="","",DATE(YEAR($C453),MONTH($C453),1))</f>
        <v/>
      </c>
      <c r="P453" s="65" t="str">
        <f ca="1">IF($C453="","",IF(AND($D453="Gelir",$L453&lt;&gt;"",$T453=""),"TANIMSIZ BORÇLU",IF($T453&lt;&gt;"",IF(OR($E453="",$G453&lt;=0),"EKSİK",IF($I453="Evet","TAHAKKUK NAKİT OLAMAZ",IF($C453&gt;TODAY(),"İLERİ TARİH","TAHAKKUK"))),IF(AND($D453&lt;&gt;"",$E453&lt;&gt;"",$G453&gt;0,$H453&lt;&gt;"",$I453&lt;&gt;""),IF($C453&gt;TODAY(),"İLERİ TARİH",IF(COUNTIF($W$7:$W$3001,$W453)&gt;1,"MÜKERRER?",IF($AD453&gt;0,"KAPALI DÖNEM",IF($I453="Hayır","ÖDENECEK","UYGUN")))),"EKSİK"))))</f>
        <v/>
      </c>
      <c r="Q453" s="2"/>
      <c r="R453" s="2"/>
      <c r="S453" s="1" t="str">
        <f t="shared" ref="S453:S516" si="23"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1" t="str">
        <f>IF(OR($C453="",$D453&lt;&gt;"Gelir",$L453=""),"",IFERROR(INDEX(MUSTERILER!$B$7:$B$156,MATCH($S453,MUSTERILER!$T$7:$T$156,0)),""))</f>
        <v/>
      </c>
      <c r="U453" s="1" t="str">
        <f>IF($T453="","",$T453&amp;"|"&amp;COUNTIFS($T$7:$T453,$T453))</f>
        <v/>
      </c>
      <c r="V453" s="1">
        <f t="shared" ref="V453:V516" si="24">IF($T453="",0,1)</f>
        <v>0</v>
      </c>
      <c r="W453" s="1" t="str">
        <f t="shared" ref="W453:W516" si="25">IF($C453="","",$D453&amp;"|"&amp;$E453&amp;"|"&amp;TEXT($C453,"0")&amp;"|"&amp;TEXT($G453,"0")&amp;"|"&amp;$F453&amp;"|"&amp;$J453)</f>
        <v/>
      </c>
      <c r="X453" s="1"/>
      <c r="Y453" s="1"/>
      <c r="Z453" s="1"/>
      <c r="AA453" s="1"/>
      <c r="AB453" s="1"/>
      <c r="AC453" s="1"/>
      <c r="AD453" s="1">
        <f>IF($C453="",0,SUMPRODUCT((AY_SONU!$O$7:$O$42="Evet")*(AY_SONU!$B$7:$B$42=DATE(YEAR($C453),MONTH($C453),1))))</f>
        <v>0</v>
      </c>
      <c r="AE453" s="1" t="str">
        <f>IF($E453="","",$E453&amp;"|"&amp;COUNTIFS($E$7:$E453,$E453))</f>
        <v/>
      </c>
    </row>
    <row r="454" spans="1:31" ht="18" customHeight="1" x14ac:dyDescent="0.3">
      <c r="A454" s="2"/>
      <c r="B454" s="65" t="str">
        <f>IF($C454="","","GG"&amp;TEXT(ROW()-6,"00000"))</f>
        <v/>
      </c>
      <c r="C454" s="66"/>
      <c r="D454" s="60"/>
      <c r="E454" s="61"/>
      <c r="F454" s="61"/>
      <c r="G454" s="67"/>
      <c r="H454" s="60"/>
      <c r="I454" s="60"/>
      <c r="J454" s="61"/>
      <c r="K454" s="61"/>
      <c r="L454" s="60"/>
      <c r="M454" s="74" t="str">
        <f>IF($C454="","",IF($D454="Gider",$E454,IF($L454&lt;&gt;"",$L454,$H454)))</f>
        <v/>
      </c>
      <c r="N454" s="74" t="str">
        <f>IF($C454="","",IF($D454="Gider",$H454,$E454))</f>
        <v/>
      </c>
      <c r="O454" s="73" t="str">
        <f>IF($C454="","",DATE(YEAR($C454),MONTH($C454),1))</f>
        <v/>
      </c>
      <c r="P454" s="65" t="str">
        <f ca="1">IF($C454="","",IF(AND($D454="Gelir",$L454&lt;&gt;"",$T454=""),"TANIMSIZ BORÇLU",IF($T454&lt;&gt;"",IF(OR($E454="",$G454&lt;=0),"EKSİK",IF($I454="Evet","TAHAKKUK NAKİT OLAMAZ",IF($C454&gt;TODAY(),"İLERİ TARİH","TAHAKKUK"))),IF(AND($D454&lt;&gt;"",$E454&lt;&gt;"",$G454&gt;0,$H454&lt;&gt;"",$I454&lt;&gt;""),IF($C454&gt;TODAY(),"İLERİ TARİH",IF(COUNTIF($W$7:$W$3001,$W454)&gt;1,"MÜKERRER?",IF($AD454&gt;0,"KAPALI DÖNEM",IF($I454="Hayır","ÖDENECEK","UYGUN")))),"EKSİK"))))</f>
        <v/>
      </c>
      <c r="Q454" s="2"/>
      <c r="R454" s="2"/>
      <c r="S454" s="1" t="str">
        <f t="shared" si="23"/>
        <v/>
      </c>
      <c r="T454" s="1" t="str">
        <f>IF(OR($C454="",$D454&lt;&gt;"Gelir",$L454=""),"",IFERROR(INDEX(MUSTERILER!$B$7:$B$156,MATCH($S454,MUSTERILER!$T$7:$T$156,0)),""))</f>
        <v/>
      </c>
      <c r="U454" s="1" t="str">
        <f>IF($T454="","",$T454&amp;"|"&amp;COUNTIFS($T$7:$T454,$T454))</f>
        <v/>
      </c>
      <c r="V454" s="1">
        <f t="shared" si="24"/>
        <v>0</v>
      </c>
      <c r="W454" s="1" t="str">
        <f t="shared" si="25"/>
        <v/>
      </c>
      <c r="X454" s="1"/>
      <c r="Y454" s="1"/>
      <c r="Z454" s="1"/>
      <c r="AA454" s="1"/>
      <c r="AB454" s="1"/>
      <c r="AC454" s="1"/>
      <c r="AD454" s="1">
        <f>IF($C454="",0,SUMPRODUCT((AY_SONU!$O$7:$O$42="Evet")*(AY_SONU!$B$7:$B$42=DATE(YEAR($C454),MONTH($C454),1))))</f>
        <v>0</v>
      </c>
      <c r="AE454" s="1" t="str">
        <f>IF($E454="","",$E454&amp;"|"&amp;COUNTIFS($E$7:$E454,$E454))</f>
        <v/>
      </c>
    </row>
    <row r="455" spans="1:31" ht="18" customHeight="1" x14ac:dyDescent="0.3">
      <c r="A455" s="2"/>
      <c r="B455" s="65" t="str">
        <f>IF($C455="","","GG"&amp;TEXT(ROW()-6,"00000"))</f>
        <v/>
      </c>
      <c r="C455" s="66"/>
      <c r="D455" s="60"/>
      <c r="E455" s="61"/>
      <c r="F455" s="61"/>
      <c r="G455" s="67"/>
      <c r="H455" s="60"/>
      <c r="I455" s="60"/>
      <c r="J455" s="61"/>
      <c r="K455" s="61"/>
      <c r="L455" s="60"/>
      <c r="M455" s="74" t="str">
        <f>IF($C455="","",IF($D455="Gider",$E455,IF($L455&lt;&gt;"",$L455,$H455)))</f>
        <v/>
      </c>
      <c r="N455" s="74" t="str">
        <f>IF($C455="","",IF($D455="Gider",$H455,$E455))</f>
        <v/>
      </c>
      <c r="O455" s="73" t="str">
        <f>IF($C455="","",DATE(YEAR($C455),MONTH($C455),1))</f>
        <v/>
      </c>
      <c r="P455" s="65" t="str">
        <f ca="1"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TARİH",IF(COUNTIF($W$7:$W$3001,$W455)&gt;1,"MÜKERRER?",IF($AD455&gt;0,"KAPALI DÖNEM",IF($I455="Hayır","ÖDENECEK","UYGUN")))),"EKSİK"))))</f>
        <v/>
      </c>
      <c r="Q455" s="2"/>
      <c r="R455" s="2"/>
      <c r="S455" s="1" t="str">
        <f t="shared" si="23"/>
        <v/>
      </c>
      <c r="T455" s="1" t="str">
        <f>IF(OR($C455="",$D455&lt;&gt;"Gelir",$L455=""),"",IFERROR(INDEX(MUSTERILER!$B$7:$B$156,MATCH($S455,MUSTERILER!$T$7:$T$156,0)),""))</f>
        <v/>
      </c>
      <c r="U455" s="1" t="str">
        <f>IF($T455="","",$T455&amp;"|"&amp;COUNTIFS($T$7:$T455,$T455))</f>
        <v/>
      </c>
      <c r="V455" s="1">
        <f t="shared" si="24"/>
        <v>0</v>
      </c>
      <c r="W455" s="1" t="str">
        <f t="shared" si="25"/>
        <v/>
      </c>
      <c r="X455" s="1"/>
      <c r="Y455" s="1"/>
      <c r="Z455" s="1"/>
      <c r="AA455" s="1"/>
      <c r="AB455" s="1"/>
      <c r="AC455" s="1"/>
      <c r="AD455" s="1">
        <f>IF($C455="",0,SUMPRODUCT((AY_SONU!$O$7:$O$42="Evet")*(AY_SONU!$B$7:$B$42=DATE(YEAR($C455),MONTH($C455),1))))</f>
        <v>0</v>
      </c>
      <c r="AE455" s="1" t="str">
        <f>IF($E455="","",$E455&amp;"|"&amp;COUNTIFS($E$7:$E455,$E455))</f>
        <v/>
      </c>
    </row>
    <row r="456" spans="1:31" ht="18" customHeight="1" x14ac:dyDescent="0.3">
      <c r="A456" s="2"/>
      <c r="B456" s="65" t="str">
        <f>IF($C456="","","GG"&amp;TEXT(ROW()-6,"00000"))</f>
        <v/>
      </c>
      <c r="C456" s="66"/>
      <c r="D456" s="60"/>
      <c r="E456" s="61"/>
      <c r="F456" s="61"/>
      <c r="G456" s="67"/>
      <c r="H456" s="60"/>
      <c r="I456" s="60"/>
      <c r="J456" s="61"/>
      <c r="K456" s="61"/>
      <c r="L456" s="60"/>
      <c r="M456" s="74" t="str">
        <f>IF($C456="","",IF($D456="Gider",$E456,IF($L456&lt;&gt;"",$L456,$H456)))</f>
        <v/>
      </c>
      <c r="N456" s="74" t="str">
        <f>IF($C456="","",IF($D456="Gider",$H456,$E456))</f>
        <v/>
      </c>
      <c r="O456" s="73" t="str">
        <f>IF($C456="","",DATE(YEAR($C456),MONTH($C456),1))</f>
        <v/>
      </c>
      <c r="P456" s="65" t="str">
        <f ca="1">IF($C456="","",IF(AND($D456="Gelir",$L456&lt;&gt;"",$T456=""),"TANIMSIZ BORÇLU",IF($T456&lt;&gt;"",IF(OR($E456="",$G456&lt;=0),"EKSİK",IF($I456="Evet","TAHAKKUK NAKİT OLAMAZ",IF($C456&gt;TODAY(),"İLERİ TARİH","TAHAKKUK"))),IF(AND($D456&lt;&gt;"",$E456&lt;&gt;"",$G456&gt;0,$H456&lt;&gt;"",$I456&lt;&gt;""),IF($C456&gt;TODAY(),"İLERİ TARİH",IF(COUNTIF($W$7:$W$3001,$W456)&gt;1,"MÜKERRER?",IF($AD456&gt;0,"KAPALI DÖNEM",IF($I456="Hayır","ÖDENECEK","UYGUN")))),"EKSİK"))))</f>
        <v/>
      </c>
      <c r="Q456" s="2"/>
      <c r="R456" s="2"/>
      <c r="S456" s="1" t="str">
        <f t="shared" si="23"/>
        <v/>
      </c>
      <c r="T456" s="1" t="str">
        <f>IF(OR($C456="",$D456&lt;&gt;"Gelir",$L456=""),"",IFERROR(INDEX(MUSTERILER!$B$7:$B$156,MATCH($S456,MUSTERILER!$T$7:$T$156,0)),""))</f>
        <v/>
      </c>
      <c r="U456" s="1" t="str">
        <f>IF($T456="","",$T456&amp;"|"&amp;COUNTIFS($T$7:$T456,$T456))</f>
        <v/>
      </c>
      <c r="V456" s="1">
        <f t="shared" si="24"/>
        <v>0</v>
      </c>
      <c r="W456" s="1" t="str">
        <f t="shared" si="25"/>
        <v/>
      </c>
      <c r="X456" s="1"/>
      <c r="Y456" s="1"/>
      <c r="Z456" s="1"/>
      <c r="AA456" s="1"/>
      <c r="AB456" s="1"/>
      <c r="AC456" s="1"/>
      <c r="AD456" s="1">
        <f>IF($C456="",0,SUMPRODUCT((AY_SONU!$O$7:$O$42="Evet")*(AY_SONU!$B$7:$B$42=DATE(YEAR($C456),MONTH($C456),1))))</f>
        <v>0</v>
      </c>
      <c r="AE456" s="1" t="str">
        <f>IF($E456="","",$E456&amp;"|"&amp;COUNTIFS($E$7:$E456,$E456))</f>
        <v/>
      </c>
    </row>
    <row r="457" spans="1:31" ht="18" customHeight="1" x14ac:dyDescent="0.3">
      <c r="A457" s="2"/>
      <c r="B457" s="65" t="str">
        <f>IF($C457="","","GG"&amp;TEXT(ROW()-6,"00000"))</f>
        <v/>
      </c>
      <c r="C457" s="66"/>
      <c r="D457" s="60"/>
      <c r="E457" s="61"/>
      <c r="F457" s="61"/>
      <c r="G457" s="67"/>
      <c r="H457" s="60"/>
      <c r="I457" s="60"/>
      <c r="J457" s="61"/>
      <c r="K457" s="61"/>
      <c r="L457" s="60"/>
      <c r="M457" s="74" t="str">
        <f>IF($C457="","",IF($D457="Gider",$E457,IF($L457&lt;&gt;"",$L457,$H457)))</f>
        <v/>
      </c>
      <c r="N457" s="74" t="str">
        <f>IF($C457="","",IF($D457="Gider",$H457,$E457))</f>
        <v/>
      </c>
      <c r="O457" s="73" t="str">
        <f>IF($C457="","",DATE(YEAR($C457),MONTH($C457),1))</f>
        <v/>
      </c>
      <c r="P457" s="65" t="str">
        <f ca="1">IF($C457="","",IF(AND($D457="Gelir",$L457&lt;&gt;"",$T457=""),"TANIMSIZ BORÇLU",IF($T457&lt;&gt;"",IF(OR($E457="",$G457&lt;=0),"EKSİK",IF($I457="Evet","TAHAKKUK NAKİT OLAMAZ",IF($C457&gt;TODAY(),"İLERİ TARİH","TAHAKKUK"))),IF(AND($D457&lt;&gt;"",$E457&lt;&gt;"",$G457&gt;0,$H457&lt;&gt;"",$I457&lt;&gt;""),IF($C457&gt;TODAY(),"İLERİ TARİH",IF(COUNTIF($W$7:$W$3001,$W457)&gt;1,"MÜKERRER?",IF($AD457&gt;0,"KAPALI DÖNEM",IF($I457="Hayır","ÖDENECEK","UYGUN")))),"EKSİK"))))</f>
        <v/>
      </c>
      <c r="Q457" s="2"/>
      <c r="R457" s="2"/>
      <c r="S457" s="1" t="str">
        <f t="shared" si="23"/>
        <v/>
      </c>
      <c r="T457" s="1" t="str">
        <f>IF(OR($C457="",$D457&lt;&gt;"Gelir",$L457=""),"",IFERROR(INDEX(MUSTERILER!$B$7:$B$156,MATCH($S457,MUSTERILER!$T$7:$T$156,0)),""))</f>
        <v/>
      </c>
      <c r="U457" s="1" t="str">
        <f>IF($T457="","",$T457&amp;"|"&amp;COUNTIFS($T$7:$T457,$T457))</f>
        <v/>
      </c>
      <c r="V457" s="1">
        <f t="shared" si="24"/>
        <v>0</v>
      </c>
      <c r="W457" s="1" t="str">
        <f t="shared" si="25"/>
        <v/>
      </c>
      <c r="X457" s="1"/>
      <c r="Y457" s="1"/>
      <c r="Z457" s="1"/>
      <c r="AA457" s="1"/>
      <c r="AB457" s="1"/>
      <c r="AC457" s="1"/>
      <c r="AD457" s="1">
        <f>IF($C457="",0,SUMPRODUCT((AY_SONU!$O$7:$O$42="Evet")*(AY_SONU!$B$7:$B$42=DATE(YEAR($C457),MONTH($C457),1))))</f>
        <v>0</v>
      </c>
      <c r="AE457" s="1" t="str">
        <f>IF($E457="","",$E457&amp;"|"&amp;COUNTIFS($E$7:$E457,$E457))</f>
        <v/>
      </c>
    </row>
    <row r="458" spans="1:31" ht="18" customHeight="1" x14ac:dyDescent="0.3">
      <c r="A458" s="2"/>
      <c r="B458" s="65" t="str">
        <f>IF($C458="","","GG"&amp;TEXT(ROW()-6,"00000"))</f>
        <v/>
      </c>
      <c r="C458" s="66"/>
      <c r="D458" s="60"/>
      <c r="E458" s="61"/>
      <c r="F458" s="61"/>
      <c r="G458" s="67"/>
      <c r="H458" s="60"/>
      <c r="I458" s="60"/>
      <c r="J458" s="61"/>
      <c r="K458" s="61"/>
      <c r="L458" s="60"/>
      <c r="M458" s="74" t="str">
        <f>IF($C458="","",IF($D458="Gider",$E458,IF($L458&lt;&gt;"",$L458,$H458)))</f>
        <v/>
      </c>
      <c r="N458" s="74" t="str">
        <f>IF($C458="","",IF($D458="Gider",$H458,$E458))</f>
        <v/>
      </c>
      <c r="O458" s="73" t="str">
        <f>IF($C458="","",DATE(YEAR($C458),MONTH($C458),1))</f>
        <v/>
      </c>
      <c r="P458" s="65" t="str">
        <f ca="1">IF($C458="","",IF(AND($D458="Gelir",$L458&lt;&gt;"",$T458=""),"TANIMSIZ BORÇLU",IF($T458&lt;&gt;"",IF(OR($E458="",$G458&lt;=0),"EKSİK",IF($I458="Evet","TAHAKKUK NAKİT OLAMAZ",IF($C458&gt;TODAY(),"İLERİ TARİH","TAHAKKUK"))),IF(AND($D458&lt;&gt;"",$E458&lt;&gt;"",$G458&gt;0,$H458&lt;&gt;"",$I458&lt;&gt;""),IF($C458&gt;TODAY(),"İLERİ TARİH",IF(COUNTIF($W$7:$W$3001,$W458)&gt;1,"MÜKERRER?",IF($AD458&gt;0,"KAPALI DÖNEM",IF($I458="Hayır","ÖDENECEK","UYGUN")))),"EKSİK"))))</f>
        <v/>
      </c>
      <c r="Q458" s="2"/>
      <c r="R458" s="2"/>
      <c r="S458" s="1" t="str">
        <f t="shared" si="23"/>
        <v/>
      </c>
      <c r="T458" s="1" t="str">
        <f>IF(OR($C458="",$D458&lt;&gt;"Gelir",$L458=""),"",IFERROR(INDEX(MUSTERILER!$B$7:$B$156,MATCH($S458,MUSTERILER!$T$7:$T$156,0)),""))</f>
        <v/>
      </c>
      <c r="U458" s="1" t="str">
        <f>IF($T458="","",$T458&amp;"|"&amp;COUNTIFS($T$7:$T458,$T458))</f>
        <v/>
      </c>
      <c r="V458" s="1">
        <f t="shared" si="24"/>
        <v>0</v>
      </c>
      <c r="W458" s="1" t="str">
        <f t="shared" si="25"/>
        <v/>
      </c>
      <c r="X458" s="1"/>
      <c r="Y458" s="1"/>
      <c r="Z458" s="1"/>
      <c r="AA458" s="1"/>
      <c r="AB458" s="1"/>
      <c r="AC458" s="1"/>
      <c r="AD458" s="1">
        <f>IF($C458="",0,SUMPRODUCT((AY_SONU!$O$7:$O$42="Evet")*(AY_SONU!$B$7:$B$42=DATE(YEAR($C458),MONTH($C458),1))))</f>
        <v>0</v>
      </c>
      <c r="AE458" s="1" t="str">
        <f>IF($E458="","",$E458&amp;"|"&amp;COUNTIFS($E$7:$E458,$E458))</f>
        <v/>
      </c>
    </row>
    <row r="459" spans="1:31" ht="18" customHeight="1" x14ac:dyDescent="0.3">
      <c r="A459" s="2"/>
      <c r="B459" s="65" t="str">
        <f>IF($C459="","","GG"&amp;TEXT(ROW()-6,"00000"))</f>
        <v/>
      </c>
      <c r="C459" s="66"/>
      <c r="D459" s="60"/>
      <c r="E459" s="61"/>
      <c r="F459" s="61"/>
      <c r="G459" s="67"/>
      <c r="H459" s="60"/>
      <c r="I459" s="60"/>
      <c r="J459" s="61"/>
      <c r="K459" s="61"/>
      <c r="L459" s="60"/>
      <c r="M459" s="74" t="str">
        <f>IF($C459="","",IF($D459="Gider",$E459,IF($L459&lt;&gt;"",$L459,$H459)))</f>
        <v/>
      </c>
      <c r="N459" s="74" t="str">
        <f>IF($C459="","",IF($D459="Gider",$H459,$E459))</f>
        <v/>
      </c>
      <c r="O459" s="73" t="str">
        <f>IF($C459="","",DATE(YEAR($C459),MONTH($C459),1))</f>
        <v/>
      </c>
      <c r="P459" s="65" t="str">
        <f ca="1">IF($C459="","",IF(AND($D459="Gelir",$L459&lt;&gt;"",$T459=""),"TANIMSIZ BORÇLU",IF($T459&lt;&gt;"",IF(OR($E459="",$G459&lt;=0),"EKSİK",IF($I459="Evet","TAHAKKUK NAKİT OLAMAZ",IF($C459&gt;TODAY(),"İLERİ TARİH","TAHAKKUK"))),IF(AND($D459&lt;&gt;"",$E459&lt;&gt;"",$G459&gt;0,$H459&lt;&gt;"",$I459&lt;&gt;""),IF($C459&gt;TODAY(),"İLERİ TARİH",IF(COUNTIF($W$7:$W$3001,$W459)&gt;1,"MÜKERRER?",IF($AD459&gt;0,"KAPALI DÖNEM",IF($I459="Hayır","ÖDENECEK","UYGUN")))),"EKSİK"))))</f>
        <v/>
      </c>
      <c r="Q459" s="2"/>
      <c r="R459" s="2"/>
      <c r="S459" s="1" t="str">
        <f t="shared" si="23"/>
        <v/>
      </c>
      <c r="T459" s="1" t="str">
        <f>IF(OR($C459="",$D459&lt;&gt;"Gelir",$L459=""),"",IFERROR(INDEX(MUSTERILER!$B$7:$B$156,MATCH($S459,MUSTERILER!$T$7:$T$156,0)),""))</f>
        <v/>
      </c>
      <c r="U459" s="1" t="str">
        <f>IF($T459="","",$T459&amp;"|"&amp;COUNTIFS($T$7:$T459,$T459))</f>
        <v/>
      </c>
      <c r="V459" s="1">
        <f t="shared" si="24"/>
        <v>0</v>
      </c>
      <c r="W459" s="1" t="str">
        <f t="shared" si="25"/>
        <v/>
      </c>
      <c r="X459" s="1"/>
      <c r="Y459" s="1"/>
      <c r="Z459" s="1"/>
      <c r="AA459" s="1"/>
      <c r="AB459" s="1"/>
      <c r="AC459" s="1"/>
      <c r="AD459" s="1">
        <f>IF($C459="",0,SUMPRODUCT((AY_SONU!$O$7:$O$42="Evet")*(AY_SONU!$B$7:$B$42=DATE(YEAR($C459),MONTH($C459),1))))</f>
        <v>0</v>
      </c>
      <c r="AE459" s="1" t="str">
        <f>IF($E459="","",$E459&amp;"|"&amp;COUNTIFS($E$7:$E459,$E459))</f>
        <v/>
      </c>
    </row>
    <row r="460" spans="1:31" ht="18" customHeight="1" x14ac:dyDescent="0.3">
      <c r="A460" s="2"/>
      <c r="B460" s="65" t="str">
        <f>IF($C460="","","GG"&amp;TEXT(ROW()-6,"00000"))</f>
        <v/>
      </c>
      <c r="C460" s="66"/>
      <c r="D460" s="60"/>
      <c r="E460" s="61"/>
      <c r="F460" s="61"/>
      <c r="G460" s="67"/>
      <c r="H460" s="60"/>
      <c r="I460" s="60"/>
      <c r="J460" s="61"/>
      <c r="K460" s="61"/>
      <c r="L460" s="60"/>
      <c r="M460" s="74" t="str">
        <f>IF($C460="","",IF($D460="Gider",$E460,IF($L460&lt;&gt;"",$L460,$H460)))</f>
        <v/>
      </c>
      <c r="N460" s="74" t="str">
        <f>IF($C460="","",IF($D460="Gider",$H460,$E460))</f>
        <v/>
      </c>
      <c r="O460" s="73" t="str">
        <f>IF($C460="","",DATE(YEAR($C460),MONTH($C460),1))</f>
        <v/>
      </c>
      <c r="P460" s="65" t="str">
        <f ca="1">IF($C460="","",IF(AND($D460="Gelir",$L460&lt;&gt;"",$T460=""),"TANIMSIZ BORÇLU",IF($T460&lt;&gt;"",IF(OR($E460="",$G460&lt;=0),"EKSİK",IF($I460="Evet","TAHAKKUK NAKİT OLAMAZ",IF($C460&gt;TODAY(),"İLERİ TARİH","TAHAKKUK"))),IF(AND($D460&lt;&gt;"",$E460&lt;&gt;"",$G460&gt;0,$H460&lt;&gt;"",$I460&lt;&gt;""),IF($C460&gt;TODAY(),"İLERİ TARİH",IF(COUNTIF($W$7:$W$3001,$W460)&gt;1,"MÜKERRER?",IF($AD460&gt;0,"KAPALI DÖNEM",IF($I460="Hayır","ÖDENECEK","UYGUN")))),"EKSİK"))))</f>
        <v/>
      </c>
      <c r="Q460" s="2"/>
      <c r="R460" s="2"/>
      <c r="S460" s="1" t="str">
        <f t="shared" si="23"/>
        <v/>
      </c>
      <c r="T460" s="1" t="str">
        <f>IF(OR($C460="",$D460&lt;&gt;"Gelir",$L460=""),"",IFERROR(INDEX(MUSTERILER!$B$7:$B$156,MATCH($S460,MUSTERILER!$T$7:$T$156,0)),""))</f>
        <v/>
      </c>
      <c r="U460" s="1" t="str">
        <f>IF($T460="","",$T460&amp;"|"&amp;COUNTIFS($T$7:$T460,$T460))</f>
        <v/>
      </c>
      <c r="V460" s="1">
        <f t="shared" si="24"/>
        <v>0</v>
      </c>
      <c r="W460" s="1" t="str">
        <f t="shared" si="25"/>
        <v/>
      </c>
      <c r="X460" s="1"/>
      <c r="Y460" s="1"/>
      <c r="Z460" s="1"/>
      <c r="AA460" s="1"/>
      <c r="AB460" s="1"/>
      <c r="AC460" s="1"/>
      <c r="AD460" s="1">
        <f>IF($C460="",0,SUMPRODUCT((AY_SONU!$O$7:$O$42="Evet")*(AY_SONU!$B$7:$B$42=DATE(YEAR($C460),MONTH($C460),1))))</f>
        <v>0</v>
      </c>
      <c r="AE460" s="1" t="str">
        <f>IF($E460="","",$E460&amp;"|"&amp;COUNTIFS($E$7:$E460,$E460))</f>
        <v/>
      </c>
    </row>
    <row r="461" spans="1:31" ht="18" customHeight="1" x14ac:dyDescent="0.3">
      <c r="A461" s="2"/>
      <c r="B461" s="65" t="str">
        <f>IF($C461="","","GG"&amp;TEXT(ROW()-6,"00000"))</f>
        <v/>
      </c>
      <c r="C461" s="66"/>
      <c r="D461" s="60"/>
      <c r="E461" s="61"/>
      <c r="F461" s="61"/>
      <c r="G461" s="67"/>
      <c r="H461" s="60"/>
      <c r="I461" s="60"/>
      <c r="J461" s="61"/>
      <c r="K461" s="61"/>
      <c r="L461" s="60"/>
      <c r="M461" s="74" t="str">
        <f>IF($C461="","",IF($D461="Gider",$E461,IF($L461&lt;&gt;"",$L461,$H461)))</f>
        <v/>
      </c>
      <c r="N461" s="74" t="str">
        <f>IF($C461="","",IF($D461="Gider",$H461,$E461))</f>
        <v/>
      </c>
      <c r="O461" s="73" t="str">
        <f>IF($C461="","",DATE(YEAR($C461),MONTH($C461),1))</f>
        <v/>
      </c>
      <c r="P461" s="65" t="str">
        <f ca="1">IF($C461="","",IF(AND($D461="Gelir",$L461&lt;&gt;"",$T461=""),"TANIMSIZ BORÇLU",IF($T461&lt;&gt;"",IF(OR($E461="",$G461&lt;=0),"EKSİK",IF($I461="Evet","TAHAKKUK NAKİT OLAMAZ",IF($C461&gt;TODAY(),"İLERİ TARİH","TAHAKKUK"))),IF(AND($D461&lt;&gt;"",$E461&lt;&gt;"",$G461&gt;0,$H461&lt;&gt;"",$I461&lt;&gt;""),IF($C461&gt;TODAY(),"İLERİ TARİH",IF(COUNTIF($W$7:$W$3001,$W461)&gt;1,"MÜKERRER?",IF($AD461&gt;0,"KAPALI DÖNEM",IF($I461="Hayır","ÖDENECEK","UYGUN")))),"EKSİK"))))</f>
        <v/>
      </c>
      <c r="Q461" s="2"/>
      <c r="R461" s="2"/>
      <c r="S461" s="1" t="str">
        <f t="shared" si="23"/>
        <v/>
      </c>
      <c r="T461" s="1" t="str">
        <f>IF(OR($C461="",$D461&lt;&gt;"Gelir",$L461=""),"",IFERROR(INDEX(MUSTERILER!$B$7:$B$156,MATCH($S461,MUSTERILER!$T$7:$T$156,0)),""))</f>
        <v/>
      </c>
      <c r="U461" s="1" t="str">
        <f>IF($T461="","",$T461&amp;"|"&amp;COUNTIFS($T$7:$T461,$T461))</f>
        <v/>
      </c>
      <c r="V461" s="1">
        <f t="shared" si="24"/>
        <v>0</v>
      </c>
      <c r="W461" s="1" t="str">
        <f t="shared" si="25"/>
        <v/>
      </c>
      <c r="X461" s="1"/>
      <c r="Y461" s="1"/>
      <c r="Z461" s="1"/>
      <c r="AA461" s="1"/>
      <c r="AB461" s="1"/>
      <c r="AC461" s="1"/>
      <c r="AD461" s="1">
        <f>IF($C461="",0,SUMPRODUCT((AY_SONU!$O$7:$O$42="Evet")*(AY_SONU!$B$7:$B$42=DATE(YEAR($C461),MONTH($C461),1))))</f>
        <v>0</v>
      </c>
      <c r="AE461" s="1" t="str">
        <f>IF($E461="","",$E461&amp;"|"&amp;COUNTIFS($E$7:$E461,$E461))</f>
        <v/>
      </c>
    </row>
    <row r="462" spans="1:31" ht="18" customHeight="1" x14ac:dyDescent="0.3">
      <c r="A462" s="2"/>
      <c r="B462" s="65" t="str">
        <f>IF($C462="","","GG"&amp;TEXT(ROW()-6,"00000"))</f>
        <v/>
      </c>
      <c r="C462" s="66"/>
      <c r="D462" s="60"/>
      <c r="E462" s="61"/>
      <c r="F462" s="61"/>
      <c r="G462" s="67"/>
      <c r="H462" s="60"/>
      <c r="I462" s="60"/>
      <c r="J462" s="61"/>
      <c r="K462" s="61"/>
      <c r="L462" s="60"/>
      <c r="M462" s="74" t="str">
        <f>IF($C462="","",IF($D462="Gider",$E462,IF($L462&lt;&gt;"",$L462,$H462)))</f>
        <v/>
      </c>
      <c r="N462" s="74" t="str">
        <f>IF($C462="","",IF($D462="Gider",$H462,$E462))</f>
        <v/>
      </c>
      <c r="O462" s="73" t="str">
        <f>IF($C462="","",DATE(YEAR($C462),MONTH($C462),1))</f>
        <v/>
      </c>
      <c r="P462" s="65" t="str">
        <f ca="1">IF($C462="","",IF(AND($D462="Gelir",$L462&lt;&gt;"",$T462=""),"TANIMSIZ BORÇLU",IF($T462&lt;&gt;"",IF(OR($E462="",$G462&lt;=0),"EKSİK",IF($I462="Evet","TAHAKKUK NAKİT OLAMAZ",IF($C462&gt;TODAY(),"İLERİ TARİH","TAHAKKUK"))),IF(AND($D462&lt;&gt;"",$E462&lt;&gt;"",$G462&gt;0,$H462&lt;&gt;"",$I462&lt;&gt;""),IF($C462&gt;TODAY(),"İLERİ TARİH",IF(COUNTIF($W$7:$W$3001,$W462)&gt;1,"MÜKERRER?",IF($AD462&gt;0,"KAPALI DÖNEM",IF($I462="Hayır","ÖDENECEK","UYGUN")))),"EKSİK"))))</f>
        <v/>
      </c>
      <c r="Q462" s="2"/>
      <c r="R462" s="2"/>
      <c r="S462" s="1" t="str">
        <f t="shared" si="23"/>
        <v/>
      </c>
      <c r="T462" s="1" t="str">
        <f>IF(OR($C462="",$D462&lt;&gt;"Gelir",$L462=""),"",IFERROR(INDEX(MUSTERILER!$B$7:$B$156,MATCH($S462,MUSTERILER!$T$7:$T$156,0)),""))</f>
        <v/>
      </c>
      <c r="U462" s="1" t="str">
        <f>IF($T462="","",$T462&amp;"|"&amp;COUNTIFS($T$7:$T462,$T462))</f>
        <v/>
      </c>
      <c r="V462" s="1">
        <f t="shared" si="24"/>
        <v>0</v>
      </c>
      <c r="W462" s="1" t="str">
        <f t="shared" si="25"/>
        <v/>
      </c>
      <c r="X462" s="1"/>
      <c r="Y462" s="1"/>
      <c r="Z462" s="1"/>
      <c r="AA462" s="1"/>
      <c r="AB462" s="1"/>
      <c r="AC462" s="1"/>
      <c r="AD462" s="1">
        <f>IF($C462="",0,SUMPRODUCT((AY_SONU!$O$7:$O$42="Evet")*(AY_SONU!$B$7:$B$42=DATE(YEAR($C462),MONTH($C462),1))))</f>
        <v>0</v>
      </c>
      <c r="AE462" s="1" t="str">
        <f>IF($E462="","",$E462&amp;"|"&amp;COUNTIFS($E$7:$E462,$E462))</f>
        <v/>
      </c>
    </row>
    <row r="463" spans="1:31" ht="18" customHeight="1" x14ac:dyDescent="0.3">
      <c r="A463" s="2"/>
      <c r="B463" s="65" t="str">
        <f>IF($C463="","","GG"&amp;TEXT(ROW()-6,"00000"))</f>
        <v/>
      </c>
      <c r="C463" s="66"/>
      <c r="D463" s="60"/>
      <c r="E463" s="61"/>
      <c r="F463" s="61"/>
      <c r="G463" s="67"/>
      <c r="H463" s="60"/>
      <c r="I463" s="60"/>
      <c r="J463" s="61"/>
      <c r="K463" s="61"/>
      <c r="L463" s="60"/>
      <c r="M463" s="74" t="str">
        <f>IF($C463="","",IF($D463="Gider",$E463,IF($L463&lt;&gt;"",$L463,$H463)))</f>
        <v/>
      </c>
      <c r="N463" s="74" t="str">
        <f>IF($C463="","",IF($D463="Gider",$H463,$E463))</f>
        <v/>
      </c>
      <c r="O463" s="73" t="str">
        <f>IF($C463="","",DATE(YEAR($C463),MONTH($C463),1))</f>
        <v/>
      </c>
      <c r="P463" s="65" t="str">
        <f ca="1">IF($C463="","",IF(AND($D463="Gelir",$L463&lt;&gt;"",$T463=""),"TANIMSIZ BORÇLU",IF($T463&lt;&gt;"",IF(OR($E463="",$G463&lt;=0),"EKSİK",IF($I463="Evet","TAHAKKUK NAKİT OLAMAZ",IF($C463&gt;TODAY(),"İLERİ TARİH","TAHAKKUK"))),IF(AND($D463&lt;&gt;"",$E463&lt;&gt;"",$G463&gt;0,$H463&lt;&gt;"",$I463&lt;&gt;""),IF($C463&gt;TODAY(),"İLERİ TARİH",IF(COUNTIF($W$7:$W$3001,$W463)&gt;1,"MÜKERRER?",IF($AD463&gt;0,"KAPALI DÖNEM",IF($I463="Hayır","ÖDENECEK","UYGUN")))),"EKSİK"))))</f>
        <v/>
      </c>
      <c r="Q463" s="2"/>
      <c r="R463" s="2"/>
      <c r="S463" s="1" t="str">
        <f t="shared" si="23"/>
        <v/>
      </c>
      <c r="T463" s="1" t="str">
        <f>IF(OR($C463="",$D463&lt;&gt;"Gelir",$L463=""),"",IFERROR(INDEX(MUSTERILER!$B$7:$B$156,MATCH($S463,MUSTERILER!$T$7:$T$156,0)),""))</f>
        <v/>
      </c>
      <c r="U463" s="1" t="str">
        <f>IF($T463="","",$T463&amp;"|"&amp;COUNTIFS($T$7:$T463,$T463))</f>
        <v/>
      </c>
      <c r="V463" s="1">
        <f t="shared" si="24"/>
        <v>0</v>
      </c>
      <c r="W463" s="1" t="str">
        <f t="shared" si="25"/>
        <v/>
      </c>
      <c r="X463" s="1"/>
      <c r="Y463" s="1"/>
      <c r="Z463" s="1"/>
      <c r="AA463" s="1"/>
      <c r="AB463" s="1"/>
      <c r="AC463" s="1"/>
      <c r="AD463" s="1">
        <f>IF($C463="",0,SUMPRODUCT((AY_SONU!$O$7:$O$42="Evet")*(AY_SONU!$B$7:$B$42=DATE(YEAR($C463),MONTH($C463),1))))</f>
        <v>0</v>
      </c>
      <c r="AE463" s="1" t="str">
        <f>IF($E463="","",$E463&amp;"|"&amp;COUNTIFS($E$7:$E463,$E463))</f>
        <v/>
      </c>
    </row>
    <row r="464" spans="1:31" ht="18" customHeight="1" x14ac:dyDescent="0.3">
      <c r="A464" s="2"/>
      <c r="B464" s="65" t="str">
        <f>IF($C464="","","GG"&amp;TEXT(ROW()-6,"00000"))</f>
        <v/>
      </c>
      <c r="C464" s="66"/>
      <c r="D464" s="60"/>
      <c r="E464" s="61"/>
      <c r="F464" s="61"/>
      <c r="G464" s="67"/>
      <c r="H464" s="60"/>
      <c r="I464" s="60"/>
      <c r="J464" s="61"/>
      <c r="K464" s="61"/>
      <c r="L464" s="60"/>
      <c r="M464" s="74" t="str">
        <f>IF($C464="","",IF($D464="Gider",$E464,IF($L464&lt;&gt;"",$L464,$H464)))</f>
        <v/>
      </c>
      <c r="N464" s="74" t="str">
        <f>IF($C464="","",IF($D464="Gider",$H464,$E464))</f>
        <v/>
      </c>
      <c r="O464" s="73" t="str">
        <f>IF($C464="","",DATE(YEAR($C464),MONTH($C464),1))</f>
        <v/>
      </c>
      <c r="P464" s="65" t="str">
        <f ca="1">IF($C464="","",IF(AND($D464="Gelir",$L464&lt;&gt;"",$T464=""),"TANIMSIZ BORÇLU",IF($T464&lt;&gt;"",IF(OR($E464="",$G464&lt;=0),"EKSİK",IF($I464="Evet","TAHAKKUK NAKİT OLAMAZ",IF($C464&gt;TODAY(),"İLERİ TARİH","TAHAKKUK"))),IF(AND($D464&lt;&gt;"",$E464&lt;&gt;"",$G464&gt;0,$H464&lt;&gt;"",$I464&lt;&gt;""),IF($C464&gt;TODAY(),"İLERİ TARİH",IF(COUNTIF($W$7:$W$3001,$W464)&gt;1,"MÜKERRER?",IF($AD464&gt;0,"KAPALI DÖNEM",IF($I464="Hayır","ÖDENECEK","UYGUN")))),"EKSİK"))))</f>
        <v/>
      </c>
      <c r="Q464" s="2"/>
      <c r="R464" s="2"/>
      <c r="S464" s="1" t="str">
        <f t="shared" si="23"/>
        <v/>
      </c>
      <c r="T464" s="1" t="str">
        <f>IF(OR($C464="",$D464&lt;&gt;"Gelir",$L464=""),"",IFERROR(INDEX(MUSTERILER!$B$7:$B$156,MATCH($S464,MUSTERILER!$T$7:$T$156,0)),""))</f>
        <v/>
      </c>
      <c r="U464" s="1" t="str">
        <f>IF($T464="","",$T464&amp;"|"&amp;COUNTIFS($T$7:$T464,$T464))</f>
        <v/>
      </c>
      <c r="V464" s="1">
        <f t="shared" si="24"/>
        <v>0</v>
      </c>
      <c r="W464" s="1" t="str">
        <f t="shared" si="25"/>
        <v/>
      </c>
      <c r="X464" s="1"/>
      <c r="Y464" s="1"/>
      <c r="Z464" s="1"/>
      <c r="AA464" s="1"/>
      <c r="AB464" s="1"/>
      <c r="AC464" s="1"/>
      <c r="AD464" s="1">
        <f>IF($C464="",0,SUMPRODUCT((AY_SONU!$O$7:$O$42="Evet")*(AY_SONU!$B$7:$B$42=DATE(YEAR($C464),MONTH($C464),1))))</f>
        <v>0</v>
      </c>
      <c r="AE464" s="1" t="str">
        <f>IF($E464="","",$E464&amp;"|"&amp;COUNTIFS($E$7:$E464,$E464))</f>
        <v/>
      </c>
    </row>
    <row r="465" spans="1:31" ht="18" customHeight="1" x14ac:dyDescent="0.3">
      <c r="A465" s="2"/>
      <c r="B465" s="65" t="str">
        <f>IF($C465="","","GG"&amp;TEXT(ROW()-6,"00000"))</f>
        <v/>
      </c>
      <c r="C465" s="66"/>
      <c r="D465" s="60"/>
      <c r="E465" s="61"/>
      <c r="F465" s="61"/>
      <c r="G465" s="67"/>
      <c r="H465" s="60"/>
      <c r="I465" s="60"/>
      <c r="J465" s="61"/>
      <c r="K465" s="61"/>
      <c r="L465" s="60"/>
      <c r="M465" s="74" t="str">
        <f>IF($C465="","",IF($D465="Gider",$E465,IF($L465&lt;&gt;"",$L465,$H465)))</f>
        <v/>
      </c>
      <c r="N465" s="74" t="str">
        <f>IF($C465="","",IF($D465="Gider",$H465,$E465))</f>
        <v/>
      </c>
      <c r="O465" s="73" t="str">
        <f>IF($C465="","",DATE(YEAR($C465),MONTH($C465),1))</f>
        <v/>
      </c>
      <c r="P465" s="65" t="str">
        <f ca="1">IF($C465="","",IF(AND($D465="Gelir",$L465&lt;&gt;"",$T465=""),"TANIMSIZ BORÇLU",IF($T465&lt;&gt;"",IF(OR($E465="",$G465&lt;=0),"EKSİK",IF($I465="Evet","TAHAKKUK NAKİT OLAMAZ",IF($C465&gt;TODAY(),"İLERİ TARİH","TAHAKKUK"))),IF(AND($D465&lt;&gt;"",$E465&lt;&gt;"",$G465&gt;0,$H465&lt;&gt;"",$I465&lt;&gt;""),IF($C465&gt;TODAY(),"İLERİ TARİH",IF(COUNTIF($W$7:$W$3001,$W465)&gt;1,"MÜKERRER?",IF($AD465&gt;0,"KAPALI DÖNEM",IF($I465="Hayır","ÖDENECEK","UYGUN")))),"EKSİK"))))</f>
        <v/>
      </c>
      <c r="Q465" s="2"/>
      <c r="R465" s="2"/>
      <c r="S465" s="1" t="str">
        <f t="shared" si="23"/>
        <v/>
      </c>
      <c r="T465" s="1" t="str">
        <f>IF(OR($C465="",$D465&lt;&gt;"Gelir",$L465=""),"",IFERROR(INDEX(MUSTERILER!$B$7:$B$156,MATCH($S465,MUSTERILER!$T$7:$T$156,0)),""))</f>
        <v/>
      </c>
      <c r="U465" s="1" t="str">
        <f>IF($T465="","",$T465&amp;"|"&amp;COUNTIFS($T$7:$T465,$T465))</f>
        <v/>
      </c>
      <c r="V465" s="1">
        <f t="shared" si="24"/>
        <v>0</v>
      </c>
      <c r="W465" s="1" t="str">
        <f t="shared" si="25"/>
        <v/>
      </c>
      <c r="X465" s="1"/>
      <c r="Y465" s="1"/>
      <c r="Z465" s="1"/>
      <c r="AA465" s="1"/>
      <c r="AB465" s="1"/>
      <c r="AC465" s="1"/>
      <c r="AD465" s="1">
        <f>IF($C465="",0,SUMPRODUCT((AY_SONU!$O$7:$O$42="Evet")*(AY_SONU!$B$7:$B$42=DATE(YEAR($C465),MONTH($C465),1))))</f>
        <v>0</v>
      </c>
      <c r="AE465" s="1" t="str">
        <f>IF($E465="","",$E465&amp;"|"&amp;COUNTIFS($E$7:$E465,$E465))</f>
        <v/>
      </c>
    </row>
    <row r="466" spans="1:31" ht="18" customHeight="1" x14ac:dyDescent="0.3">
      <c r="A466" s="2"/>
      <c r="B466" s="65" t="str">
        <f>IF($C466="","","GG"&amp;TEXT(ROW()-6,"00000"))</f>
        <v/>
      </c>
      <c r="C466" s="66"/>
      <c r="D466" s="60"/>
      <c r="E466" s="61"/>
      <c r="F466" s="61"/>
      <c r="G466" s="67"/>
      <c r="H466" s="60"/>
      <c r="I466" s="60"/>
      <c r="J466" s="61"/>
      <c r="K466" s="61"/>
      <c r="L466" s="60"/>
      <c r="M466" s="74" t="str">
        <f>IF($C466="","",IF($D466="Gider",$E466,IF($L466&lt;&gt;"",$L466,$H466)))</f>
        <v/>
      </c>
      <c r="N466" s="74" t="str">
        <f>IF($C466="","",IF($D466="Gider",$H466,$E466))</f>
        <v/>
      </c>
      <c r="O466" s="73" t="str">
        <f>IF($C466="","",DATE(YEAR($C466),MONTH($C466),1))</f>
        <v/>
      </c>
      <c r="P466" s="65" t="str">
        <f ca="1">IF($C466="","",IF(AND($D466="Gelir",$L466&lt;&gt;"",$T466=""),"TANIMSIZ BORÇLU",IF($T466&lt;&gt;"",IF(OR($E466="",$G466&lt;=0),"EKSİK",IF($I466="Evet","TAHAKKUK NAKİT OLAMAZ",IF($C466&gt;TODAY(),"İLERİ TARİH","TAHAKKUK"))),IF(AND($D466&lt;&gt;"",$E466&lt;&gt;"",$G466&gt;0,$H466&lt;&gt;"",$I466&lt;&gt;""),IF($C466&gt;TODAY(),"İLERİ TARİH",IF(COUNTIF($W$7:$W$3001,$W466)&gt;1,"MÜKERRER?",IF($AD466&gt;0,"KAPALI DÖNEM",IF($I466="Hayır","ÖDENECEK","UYGUN")))),"EKSİK"))))</f>
        <v/>
      </c>
      <c r="Q466" s="2"/>
      <c r="R466" s="2"/>
      <c r="S466" s="1" t="str">
        <f t="shared" si="23"/>
        <v/>
      </c>
      <c r="T466" s="1" t="str">
        <f>IF(OR($C466="",$D466&lt;&gt;"Gelir",$L466=""),"",IFERROR(INDEX(MUSTERILER!$B$7:$B$156,MATCH($S466,MUSTERILER!$T$7:$T$156,0)),""))</f>
        <v/>
      </c>
      <c r="U466" s="1" t="str">
        <f>IF($T466="","",$T466&amp;"|"&amp;COUNTIFS($T$7:$T466,$T466))</f>
        <v/>
      </c>
      <c r="V466" s="1">
        <f t="shared" si="24"/>
        <v>0</v>
      </c>
      <c r="W466" s="1" t="str">
        <f t="shared" si="25"/>
        <v/>
      </c>
      <c r="X466" s="1"/>
      <c r="Y466" s="1"/>
      <c r="Z466" s="1"/>
      <c r="AA466" s="1"/>
      <c r="AB466" s="1"/>
      <c r="AC466" s="1"/>
      <c r="AD466" s="1">
        <f>IF($C466="",0,SUMPRODUCT((AY_SONU!$O$7:$O$42="Evet")*(AY_SONU!$B$7:$B$42=DATE(YEAR($C466),MONTH($C466),1))))</f>
        <v>0</v>
      </c>
      <c r="AE466" s="1" t="str">
        <f>IF($E466="","",$E466&amp;"|"&amp;COUNTIFS($E$7:$E466,$E466))</f>
        <v/>
      </c>
    </row>
    <row r="467" spans="1:31" ht="18" customHeight="1" x14ac:dyDescent="0.3">
      <c r="A467" s="2"/>
      <c r="B467" s="65" t="str">
        <f>IF($C467="","","GG"&amp;TEXT(ROW()-6,"00000"))</f>
        <v/>
      </c>
      <c r="C467" s="66"/>
      <c r="D467" s="60"/>
      <c r="E467" s="61"/>
      <c r="F467" s="61"/>
      <c r="G467" s="67"/>
      <c r="H467" s="60"/>
      <c r="I467" s="60"/>
      <c r="J467" s="61"/>
      <c r="K467" s="61"/>
      <c r="L467" s="60"/>
      <c r="M467" s="74" t="str">
        <f>IF($C467="","",IF($D467="Gider",$E467,IF($L467&lt;&gt;"",$L467,$H467)))</f>
        <v/>
      </c>
      <c r="N467" s="74" t="str">
        <f>IF($C467="","",IF($D467="Gider",$H467,$E467))</f>
        <v/>
      </c>
      <c r="O467" s="73" t="str">
        <f>IF($C467="","",DATE(YEAR($C467),MONTH($C467),1))</f>
        <v/>
      </c>
      <c r="P467" s="65" t="str">
        <f ca="1">IF($C467="","",IF(AND($D467="Gelir",$L467&lt;&gt;"",$T467=""),"TANIMSIZ BORÇLU",IF($T467&lt;&gt;"",IF(OR($E467="",$G467&lt;=0),"EKSİK",IF($I467="Evet","TAHAKKUK NAKİT OLAMAZ",IF($C467&gt;TODAY(),"İLERİ TARİH","TAHAKKUK"))),IF(AND($D467&lt;&gt;"",$E467&lt;&gt;"",$G467&gt;0,$H467&lt;&gt;"",$I467&lt;&gt;""),IF($C467&gt;TODAY(),"İLERİ TARİH",IF(COUNTIF($W$7:$W$3001,$W467)&gt;1,"MÜKERRER?",IF($AD467&gt;0,"KAPALI DÖNEM",IF($I467="Hayır","ÖDENECEK","UYGUN")))),"EKSİK"))))</f>
        <v/>
      </c>
      <c r="Q467" s="2"/>
      <c r="R467" s="2"/>
      <c r="S467" s="1" t="str">
        <f t="shared" si="23"/>
        <v/>
      </c>
      <c r="T467" s="1" t="str">
        <f>IF(OR($C467="",$D467&lt;&gt;"Gelir",$L467=""),"",IFERROR(INDEX(MUSTERILER!$B$7:$B$156,MATCH($S467,MUSTERILER!$T$7:$T$156,0)),""))</f>
        <v/>
      </c>
      <c r="U467" s="1" t="str">
        <f>IF($T467="","",$T467&amp;"|"&amp;COUNTIFS($T$7:$T467,$T467))</f>
        <v/>
      </c>
      <c r="V467" s="1">
        <f t="shared" si="24"/>
        <v>0</v>
      </c>
      <c r="W467" s="1" t="str">
        <f t="shared" si="25"/>
        <v/>
      </c>
      <c r="X467" s="1"/>
      <c r="Y467" s="1"/>
      <c r="Z467" s="1"/>
      <c r="AA467" s="1"/>
      <c r="AB467" s="1"/>
      <c r="AC467" s="1"/>
      <c r="AD467" s="1">
        <f>IF($C467="",0,SUMPRODUCT((AY_SONU!$O$7:$O$42="Evet")*(AY_SONU!$B$7:$B$42=DATE(YEAR($C467),MONTH($C467),1))))</f>
        <v>0</v>
      </c>
      <c r="AE467" s="1" t="str">
        <f>IF($E467="","",$E467&amp;"|"&amp;COUNTIFS($E$7:$E467,$E467))</f>
        <v/>
      </c>
    </row>
    <row r="468" spans="1:31" ht="18" customHeight="1" x14ac:dyDescent="0.3">
      <c r="A468" s="2"/>
      <c r="B468" s="65" t="str">
        <f>IF($C468="","","GG"&amp;TEXT(ROW()-6,"00000"))</f>
        <v/>
      </c>
      <c r="C468" s="66"/>
      <c r="D468" s="60"/>
      <c r="E468" s="61"/>
      <c r="F468" s="61"/>
      <c r="G468" s="67"/>
      <c r="H468" s="60"/>
      <c r="I468" s="60"/>
      <c r="J468" s="61"/>
      <c r="K468" s="61"/>
      <c r="L468" s="60"/>
      <c r="M468" s="74" t="str">
        <f>IF($C468="","",IF($D468="Gider",$E468,IF($L468&lt;&gt;"",$L468,$H468)))</f>
        <v/>
      </c>
      <c r="N468" s="74" t="str">
        <f>IF($C468="","",IF($D468="Gider",$H468,$E468))</f>
        <v/>
      </c>
      <c r="O468" s="73" t="str">
        <f>IF($C468="","",DATE(YEAR($C468),MONTH($C468),1))</f>
        <v/>
      </c>
      <c r="P468" s="65" t="str">
        <f ca="1">IF($C468="","",IF(AND($D468="Gelir",$L468&lt;&gt;"",$T468=""),"TANIMSIZ BORÇLU",IF($T468&lt;&gt;"",IF(OR($E468="",$G468&lt;=0),"EKSİK",IF($I468="Evet","TAHAKKUK NAKİT OLAMAZ",IF($C468&gt;TODAY(),"İLERİ TARİH","TAHAKKUK"))),IF(AND($D468&lt;&gt;"",$E468&lt;&gt;"",$G468&gt;0,$H468&lt;&gt;"",$I468&lt;&gt;""),IF($C468&gt;TODAY(),"İLERİ TARİH",IF(COUNTIF($W$7:$W$3001,$W468)&gt;1,"MÜKERRER?",IF($AD468&gt;0,"KAPALI DÖNEM",IF($I468="Hayır","ÖDENECEK","UYGUN")))),"EKSİK"))))</f>
        <v/>
      </c>
      <c r="Q468" s="2"/>
      <c r="R468" s="2"/>
      <c r="S468" s="1" t="str">
        <f t="shared" si="23"/>
        <v/>
      </c>
      <c r="T468" s="1" t="str">
        <f>IF(OR($C468="",$D468&lt;&gt;"Gelir",$L468=""),"",IFERROR(INDEX(MUSTERILER!$B$7:$B$156,MATCH($S468,MUSTERILER!$T$7:$T$156,0)),""))</f>
        <v/>
      </c>
      <c r="U468" s="1" t="str">
        <f>IF($T468="","",$T468&amp;"|"&amp;COUNTIFS($T$7:$T468,$T468))</f>
        <v/>
      </c>
      <c r="V468" s="1">
        <f t="shared" si="24"/>
        <v>0</v>
      </c>
      <c r="W468" s="1" t="str">
        <f t="shared" si="25"/>
        <v/>
      </c>
      <c r="X468" s="1"/>
      <c r="Y468" s="1"/>
      <c r="Z468" s="1"/>
      <c r="AA468" s="1"/>
      <c r="AB468" s="1"/>
      <c r="AC468" s="1"/>
      <c r="AD468" s="1">
        <f>IF($C468="",0,SUMPRODUCT((AY_SONU!$O$7:$O$42="Evet")*(AY_SONU!$B$7:$B$42=DATE(YEAR($C468),MONTH($C468),1))))</f>
        <v>0</v>
      </c>
      <c r="AE468" s="1" t="str">
        <f>IF($E468="","",$E468&amp;"|"&amp;COUNTIFS($E$7:$E468,$E468))</f>
        <v/>
      </c>
    </row>
    <row r="469" spans="1:31" ht="18" customHeight="1" x14ac:dyDescent="0.3">
      <c r="A469" s="2"/>
      <c r="B469" s="65" t="str">
        <f>IF($C469="","","GG"&amp;TEXT(ROW()-6,"00000"))</f>
        <v/>
      </c>
      <c r="C469" s="66"/>
      <c r="D469" s="60"/>
      <c r="E469" s="61"/>
      <c r="F469" s="61"/>
      <c r="G469" s="67"/>
      <c r="H469" s="60"/>
      <c r="I469" s="60"/>
      <c r="J469" s="61"/>
      <c r="K469" s="61"/>
      <c r="L469" s="60"/>
      <c r="M469" s="74" t="str">
        <f>IF($C469="","",IF($D469="Gider",$E469,IF($L469&lt;&gt;"",$L469,$H469)))</f>
        <v/>
      </c>
      <c r="N469" s="74" t="str">
        <f>IF($C469="","",IF($D469="Gider",$H469,$E469))</f>
        <v/>
      </c>
      <c r="O469" s="73" t="str">
        <f>IF($C469="","",DATE(YEAR($C469),MONTH($C469),1))</f>
        <v/>
      </c>
      <c r="P469" s="65" t="str">
        <f ca="1">IF($C469="","",IF(AND($D469="Gelir",$L469&lt;&gt;"",$T469=""),"TANIMSIZ BORÇLU",IF($T469&lt;&gt;"",IF(OR($E469="",$G469&lt;=0),"EKSİK",IF($I469="Evet","TAHAKKUK NAKİT OLAMAZ",IF($C469&gt;TODAY(),"İLERİ TARİH","TAHAKKUK"))),IF(AND($D469&lt;&gt;"",$E469&lt;&gt;"",$G469&gt;0,$H469&lt;&gt;"",$I469&lt;&gt;""),IF($C469&gt;TODAY(),"İLERİ TARİH",IF(COUNTIF($W$7:$W$3001,$W469)&gt;1,"MÜKERRER?",IF($AD469&gt;0,"KAPALI DÖNEM",IF($I469="Hayır","ÖDENECEK","UYGUN")))),"EKSİK"))))</f>
        <v/>
      </c>
      <c r="Q469" s="2"/>
      <c r="R469" s="2"/>
      <c r="S469" s="1" t="str">
        <f t="shared" si="23"/>
        <v/>
      </c>
      <c r="T469" s="1" t="str">
        <f>IF(OR($C469="",$D469&lt;&gt;"Gelir",$L469=""),"",IFERROR(INDEX(MUSTERILER!$B$7:$B$156,MATCH($S469,MUSTERILER!$T$7:$T$156,0)),""))</f>
        <v/>
      </c>
      <c r="U469" s="1" t="str">
        <f>IF($T469="","",$T469&amp;"|"&amp;COUNTIFS($T$7:$T469,$T469))</f>
        <v/>
      </c>
      <c r="V469" s="1">
        <f t="shared" si="24"/>
        <v>0</v>
      </c>
      <c r="W469" s="1" t="str">
        <f t="shared" si="25"/>
        <v/>
      </c>
      <c r="X469" s="1"/>
      <c r="Y469" s="1"/>
      <c r="Z469" s="1"/>
      <c r="AA469" s="1"/>
      <c r="AB469" s="1"/>
      <c r="AC469" s="1"/>
      <c r="AD469" s="1">
        <f>IF($C469="",0,SUMPRODUCT((AY_SONU!$O$7:$O$42="Evet")*(AY_SONU!$B$7:$B$42=DATE(YEAR($C469),MONTH($C469),1))))</f>
        <v>0</v>
      </c>
      <c r="AE469" s="1" t="str">
        <f>IF($E469="","",$E469&amp;"|"&amp;COUNTIFS($E$7:$E469,$E469))</f>
        <v/>
      </c>
    </row>
    <row r="470" spans="1:31" ht="18" customHeight="1" x14ac:dyDescent="0.3">
      <c r="A470" s="2"/>
      <c r="B470" s="65" t="str">
        <f>IF($C470="","","GG"&amp;TEXT(ROW()-6,"00000"))</f>
        <v/>
      </c>
      <c r="C470" s="66"/>
      <c r="D470" s="60"/>
      <c r="E470" s="61"/>
      <c r="F470" s="61"/>
      <c r="G470" s="67"/>
      <c r="H470" s="60"/>
      <c r="I470" s="60"/>
      <c r="J470" s="61"/>
      <c r="K470" s="61"/>
      <c r="L470" s="60"/>
      <c r="M470" s="74" t="str">
        <f>IF($C470="","",IF($D470="Gider",$E470,IF($L470&lt;&gt;"",$L470,$H470)))</f>
        <v/>
      </c>
      <c r="N470" s="74" t="str">
        <f>IF($C470="","",IF($D470="Gider",$H470,$E470))</f>
        <v/>
      </c>
      <c r="O470" s="73" t="str">
        <f>IF($C470="","",DATE(YEAR($C470),MONTH($C470),1))</f>
        <v/>
      </c>
      <c r="P470" s="65" t="str">
        <f ca="1">IF($C470="","",IF(AND($D470="Gelir",$L470&lt;&gt;"",$T470=""),"TANIMSIZ BORÇLU",IF($T470&lt;&gt;"",IF(OR($E470="",$G470&lt;=0),"EKSİK",IF($I470="Evet","TAHAKKUK NAKİT OLAMAZ",IF($C470&gt;TODAY(),"İLERİ TARİH","TAHAKKUK"))),IF(AND($D470&lt;&gt;"",$E470&lt;&gt;"",$G470&gt;0,$H470&lt;&gt;"",$I470&lt;&gt;""),IF($C470&gt;TODAY(),"İLERİ TARİH",IF(COUNTIF($W$7:$W$3001,$W470)&gt;1,"MÜKERRER?",IF($AD470&gt;0,"KAPALI DÖNEM",IF($I470="Hayır","ÖDENECEK","UYGUN")))),"EKSİK"))))</f>
        <v/>
      </c>
      <c r="Q470" s="2"/>
      <c r="R470" s="2"/>
      <c r="S470" s="1" t="str">
        <f t="shared" si="23"/>
        <v/>
      </c>
      <c r="T470" s="1" t="str">
        <f>IF(OR($C470="",$D470&lt;&gt;"Gelir",$L470=""),"",IFERROR(INDEX(MUSTERILER!$B$7:$B$156,MATCH($S470,MUSTERILER!$T$7:$T$156,0)),""))</f>
        <v/>
      </c>
      <c r="U470" s="1" t="str">
        <f>IF($T470="","",$T470&amp;"|"&amp;COUNTIFS($T$7:$T470,$T470))</f>
        <v/>
      </c>
      <c r="V470" s="1">
        <f t="shared" si="24"/>
        <v>0</v>
      </c>
      <c r="W470" s="1" t="str">
        <f t="shared" si="25"/>
        <v/>
      </c>
      <c r="X470" s="1"/>
      <c r="Y470" s="1"/>
      <c r="Z470" s="1"/>
      <c r="AA470" s="1"/>
      <c r="AB470" s="1"/>
      <c r="AC470" s="1"/>
      <c r="AD470" s="1">
        <f>IF($C470="",0,SUMPRODUCT((AY_SONU!$O$7:$O$42="Evet")*(AY_SONU!$B$7:$B$42=DATE(YEAR($C470),MONTH($C470),1))))</f>
        <v>0</v>
      </c>
      <c r="AE470" s="1" t="str">
        <f>IF($E470="","",$E470&amp;"|"&amp;COUNTIFS($E$7:$E470,$E470))</f>
        <v/>
      </c>
    </row>
    <row r="471" spans="1:31" ht="18" customHeight="1" x14ac:dyDescent="0.3">
      <c r="A471" s="2"/>
      <c r="B471" s="65" t="str">
        <f>IF($C471="","","GG"&amp;TEXT(ROW()-6,"00000"))</f>
        <v/>
      </c>
      <c r="C471" s="66"/>
      <c r="D471" s="60"/>
      <c r="E471" s="61"/>
      <c r="F471" s="61"/>
      <c r="G471" s="67"/>
      <c r="H471" s="60"/>
      <c r="I471" s="60"/>
      <c r="J471" s="61"/>
      <c r="K471" s="61"/>
      <c r="L471" s="60"/>
      <c r="M471" s="74" t="str">
        <f>IF($C471="","",IF($D471="Gider",$E471,IF($L471&lt;&gt;"",$L471,$H471)))</f>
        <v/>
      </c>
      <c r="N471" s="74" t="str">
        <f>IF($C471="","",IF($D471="Gider",$H471,$E471))</f>
        <v/>
      </c>
      <c r="O471" s="73" t="str">
        <f>IF($C471="","",DATE(YEAR($C471),MONTH($C471),1))</f>
        <v/>
      </c>
      <c r="P471" s="65" t="str">
        <f ca="1">IF($C471="","",IF(AND($D471="Gelir",$L471&lt;&gt;"",$T471=""),"TANIMSIZ BORÇLU",IF($T471&lt;&gt;"",IF(OR($E471="",$G471&lt;=0),"EKSİK",IF($I471="Evet","TAHAKKUK NAKİT OLAMAZ",IF($C471&gt;TODAY(),"İLERİ TARİH","TAHAKKUK"))),IF(AND($D471&lt;&gt;"",$E471&lt;&gt;"",$G471&gt;0,$H471&lt;&gt;"",$I471&lt;&gt;""),IF($C471&gt;TODAY(),"İLERİ TARİH",IF(COUNTIF($W$7:$W$3001,$W471)&gt;1,"MÜKERRER?",IF($AD471&gt;0,"KAPALI DÖNEM",IF($I471="Hayır","ÖDENECEK","UYGUN")))),"EKSİK"))))</f>
        <v/>
      </c>
      <c r="Q471" s="2"/>
      <c r="R471" s="2"/>
      <c r="S471" s="1" t="str">
        <f t="shared" si="23"/>
        <v/>
      </c>
      <c r="T471" s="1" t="str">
        <f>IF(OR($C471="",$D471&lt;&gt;"Gelir",$L471=""),"",IFERROR(INDEX(MUSTERILER!$B$7:$B$156,MATCH($S471,MUSTERILER!$T$7:$T$156,0)),""))</f>
        <v/>
      </c>
      <c r="U471" s="1" t="str">
        <f>IF($T471="","",$T471&amp;"|"&amp;COUNTIFS($T$7:$T471,$T471))</f>
        <v/>
      </c>
      <c r="V471" s="1">
        <f t="shared" si="24"/>
        <v>0</v>
      </c>
      <c r="W471" s="1" t="str">
        <f t="shared" si="25"/>
        <v/>
      </c>
      <c r="X471" s="1"/>
      <c r="Y471" s="1"/>
      <c r="Z471" s="1"/>
      <c r="AA471" s="1"/>
      <c r="AB471" s="1"/>
      <c r="AC471" s="1"/>
      <c r="AD471" s="1">
        <f>IF($C471="",0,SUMPRODUCT((AY_SONU!$O$7:$O$42="Evet")*(AY_SONU!$B$7:$B$42=DATE(YEAR($C471),MONTH($C471),1))))</f>
        <v>0</v>
      </c>
      <c r="AE471" s="1" t="str">
        <f>IF($E471="","",$E471&amp;"|"&amp;COUNTIFS($E$7:$E471,$E471))</f>
        <v/>
      </c>
    </row>
    <row r="472" spans="1:31" ht="18" customHeight="1" x14ac:dyDescent="0.3">
      <c r="A472" s="2"/>
      <c r="B472" s="65" t="str">
        <f>IF($C472="","","GG"&amp;TEXT(ROW()-6,"00000"))</f>
        <v/>
      </c>
      <c r="C472" s="66"/>
      <c r="D472" s="60"/>
      <c r="E472" s="61"/>
      <c r="F472" s="61"/>
      <c r="G472" s="67"/>
      <c r="H472" s="60"/>
      <c r="I472" s="60"/>
      <c r="J472" s="61"/>
      <c r="K472" s="61"/>
      <c r="L472" s="60"/>
      <c r="M472" s="74" t="str">
        <f>IF($C472="","",IF($D472="Gider",$E472,IF($L472&lt;&gt;"",$L472,$H472)))</f>
        <v/>
      </c>
      <c r="N472" s="74" t="str">
        <f>IF($C472="","",IF($D472="Gider",$H472,$E472))</f>
        <v/>
      </c>
      <c r="O472" s="73" t="str">
        <f>IF($C472="","",DATE(YEAR($C472),MONTH($C472),1))</f>
        <v/>
      </c>
      <c r="P472" s="65" t="str">
        <f ca="1">IF($C472="","",IF(AND($D472="Gelir",$L472&lt;&gt;"",$T472=""),"TANIMSIZ BORÇLU",IF($T472&lt;&gt;"",IF(OR($E472="",$G472&lt;=0),"EKSİK",IF($I472="Evet","TAHAKKUK NAKİT OLAMAZ",IF($C472&gt;TODAY(),"İLERİ TARİH","TAHAKKUK"))),IF(AND($D472&lt;&gt;"",$E472&lt;&gt;"",$G472&gt;0,$H472&lt;&gt;"",$I472&lt;&gt;""),IF($C472&gt;TODAY(),"İLERİ TARİH",IF(COUNTIF($W$7:$W$3001,$W472)&gt;1,"MÜKERRER?",IF($AD472&gt;0,"KAPALI DÖNEM",IF($I472="Hayır","ÖDENECEK","UYGUN")))),"EKSİK"))))</f>
        <v/>
      </c>
      <c r="Q472" s="2"/>
      <c r="R472" s="2"/>
      <c r="S472" s="1" t="str">
        <f t="shared" si="23"/>
        <v/>
      </c>
      <c r="T472" s="1" t="str">
        <f>IF(OR($C472="",$D472&lt;&gt;"Gelir",$L472=""),"",IFERROR(INDEX(MUSTERILER!$B$7:$B$156,MATCH($S472,MUSTERILER!$T$7:$T$156,0)),""))</f>
        <v/>
      </c>
      <c r="U472" s="1" t="str">
        <f>IF($T472="","",$T472&amp;"|"&amp;COUNTIFS($T$7:$T472,$T472))</f>
        <v/>
      </c>
      <c r="V472" s="1">
        <f t="shared" si="24"/>
        <v>0</v>
      </c>
      <c r="W472" s="1" t="str">
        <f t="shared" si="25"/>
        <v/>
      </c>
      <c r="X472" s="1"/>
      <c r="Y472" s="1"/>
      <c r="Z472" s="1"/>
      <c r="AA472" s="1"/>
      <c r="AB472" s="1"/>
      <c r="AC472" s="1"/>
      <c r="AD472" s="1">
        <f>IF($C472="",0,SUMPRODUCT((AY_SONU!$O$7:$O$42="Evet")*(AY_SONU!$B$7:$B$42=DATE(YEAR($C472),MONTH($C472),1))))</f>
        <v>0</v>
      </c>
      <c r="AE472" s="1" t="str">
        <f>IF($E472="","",$E472&amp;"|"&amp;COUNTIFS($E$7:$E472,$E472))</f>
        <v/>
      </c>
    </row>
    <row r="473" spans="1:31" ht="18" customHeight="1" x14ac:dyDescent="0.3">
      <c r="A473" s="2"/>
      <c r="B473" s="65" t="str">
        <f>IF($C473="","","GG"&amp;TEXT(ROW()-6,"00000"))</f>
        <v/>
      </c>
      <c r="C473" s="66"/>
      <c r="D473" s="60"/>
      <c r="E473" s="61"/>
      <c r="F473" s="61"/>
      <c r="G473" s="67"/>
      <c r="H473" s="60"/>
      <c r="I473" s="60"/>
      <c r="J473" s="61"/>
      <c r="K473" s="61"/>
      <c r="L473" s="60"/>
      <c r="M473" s="74" t="str">
        <f>IF($C473="","",IF($D473="Gider",$E473,IF($L473&lt;&gt;"",$L473,$H473)))</f>
        <v/>
      </c>
      <c r="N473" s="74" t="str">
        <f>IF($C473="","",IF($D473="Gider",$H473,$E473))</f>
        <v/>
      </c>
      <c r="O473" s="73" t="str">
        <f>IF($C473="","",DATE(YEAR($C473),MONTH($C473),1))</f>
        <v/>
      </c>
      <c r="P473" s="65" t="str">
        <f ca="1">IF($C473="","",IF(AND($D473="Gelir",$L473&lt;&gt;"",$T473=""),"TANIMSIZ BORÇLU",IF($T473&lt;&gt;"",IF(OR($E473="",$G473&lt;=0),"EKSİK",IF($I473="Evet","TAHAKKUK NAKİT OLAMAZ",IF($C473&gt;TODAY(),"İLERİ TARİH","TAHAKKUK"))),IF(AND($D473&lt;&gt;"",$E473&lt;&gt;"",$G473&gt;0,$H473&lt;&gt;"",$I473&lt;&gt;""),IF($C473&gt;TODAY(),"İLERİ TARİH",IF(COUNTIF($W$7:$W$3001,$W473)&gt;1,"MÜKERRER?",IF($AD473&gt;0,"KAPALI DÖNEM",IF($I473="Hayır","ÖDENECEK","UYGUN")))),"EKSİK"))))</f>
        <v/>
      </c>
      <c r="Q473" s="2"/>
      <c r="R473" s="2"/>
      <c r="S473" s="1" t="str">
        <f t="shared" si="23"/>
        <v/>
      </c>
      <c r="T473" s="1" t="str">
        <f>IF(OR($C473="",$D473&lt;&gt;"Gelir",$L473=""),"",IFERROR(INDEX(MUSTERILER!$B$7:$B$156,MATCH($S473,MUSTERILER!$T$7:$T$156,0)),""))</f>
        <v/>
      </c>
      <c r="U473" s="1" t="str">
        <f>IF($T473="","",$T473&amp;"|"&amp;COUNTIFS($T$7:$T473,$T473))</f>
        <v/>
      </c>
      <c r="V473" s="1">
        <f t="shared" si="24"/>
        <v>0</v>
      </c>
      <c r="W473" s="1" t="str">
        <f t="shared" si="25"/>
        <v/>
      </c>
      <c r="X473" s="1"/>
      <c r="Y473" s="1"/>
      <c r="Z473" s="1"/>
      <c r="AA473" s="1"/>
      <c r="AB473" s="1"/>
      <c r="AC473" s="1"/>
      <c r="AD473" s="1">
        <f>IF($C473="",0,SUMPRODUCT((AY_SONU!$O$7:$O$42="Evet")*(AY_SONU!$B$7:$B$42=DATE(YEAR($C473),MONTH($C473),1))))</f>
        <v>0</v>
      </c>
      <c r="AE473" s="1" t="str">
        <f>IF($E473="","",$E473&amp;"|"&amp;COUNTIFS($E$7:$E473,$E473))</f>
        <v/>
      </c>
    </row>
    <row r="474" spans="1:31" ht="18" customHeight="1" x14ac:dyDescent="0.3">
      <c r="A474" s="2"/>
      <c r="B474" s="65" t="str">
        <f>IF($C474="","","GG"&amp;TEXT(ROW()-6,"00000"))</f>
        <v/>
      </c>
      <c r="C474" s="66"/>
      <c r="D474" s="60"/>
      <c r="E474" s="61"/>
      <c r="F474" s="61"/>
      <c r="G474" s="67"/>
      <c r="H474" s="60"/>
      <c r="I474" s="60"/>
      <c r="J474" s="61"/>
      <c r="K474" s="61"/>
      <c r="L474" s="60"/>
      <c r="M474" s="74" t="str">
        <f>IF($C474="","",IF($D474="Gider",$E474,IF($L474&lt;&gt;"",$L474,$H474)))</f>
        <v/>
      </c>
      <c r="N474" s="74" t="str">
        <f>IF($C474="","",IF($D474="Gider",$H474,$E474))</f>
        <v/>
      </c>
      <c r="O474" s="73" t="str">
        <f>IF($C474="","",DATE(YEAR($C474),MONTH($C474),1))</f>
        <v/>
      </c>
      <c r="P474" s="65" t="str">
        <f ca="1">IF($C474="","",IF(AND($D474="Gelir",$L474&lt;&gt;"",$T474=""),"TANIMSIZ BORÇLU",IF($T474&lt;&gt;"",IF(OR($E474="",$G474&lt;=0),"EKSİK",IF($I474="Evet","TAHAKKUK NAKİT OLAMAZ",IF($C474&gt;TODAY(),"İLERİ TARİH","TAHAKKUK"))),IF(AND($D474&lt;&gt;"",$E474&lt;&gt;"",$G474&gt;0,$H474&lt;&gt;"",$I474&lt;&gt;""),IF($C474&gt;TODAY(),"İLERİ TARİH",IF(COUNTIF($W$7:$W$3001,$W474)&gt;1,"MÜKERRER?",IF($AD474&gt;0,"KAPALI DÖNEM",IF($I474="Hayır","ÖDENECEK","UYGUN")))),"EKSİK"))))</f>
        <v/>
      </c>
      <c r="Q474" s="2"/>
      <c r="R474" s="2"/>
      <c r="S474" s="1" t="str">
        <f t="shared" si="23"/>
        <v/>
      </c>
      <c r="T474" s="1" t="str">
        <f>IF(OR($C474="",$D474&lt;&gt;"Gelir",$L474=""),"",IFERROR(INDEX(MUSTERILER!$B$7:$B$156,MATCH($S474,MUSTERILER!$T$7:$T$156,0)),""))</f>
        <v/>
      </c>
      <c r="U474" s="1" t="str">
        <f>IF($T474="","",$T474&amp;"|"&amp;COUNTIFS($T$7:$T474,$T474))</f>
        <v/>
      </c>
      <c r="V474" s="1">
        <f t="shared" si="24"/>
        <v>0</v>
      </c>
      <c r="W474" s="1" t="str">
        <f t="shared" si="25"/>
        <v/>
      </c>
      <c r="X474" s="1"/>
      <c r="Y474" s="1"/>
      <c r="Z474" s="1"/>
      <c r="AA474" s="1"/>
      <c r="AB474" s="1"/>
      <c r="AC474" s="1"/>
      <c r="AD474" s="1">
        <f>IF($C474="",0,SUMPRODUCT((AY_SONU!$O$7:$O$42="Evet")*(AY_SONU!$B$7:$B$42=DATE(YEAR($C474),MONTH($C474),1))))</f>
        <v>0</v>
      </c>
      <c r="AE474" s="1" t="str">
        <f>IF($E474="","",$E474&amp;"|"&amp;COUNTIFS($E$7:$E474,$E474))</f>
        <v/>
      </c>
    </row>
    <row r="475" spans="1:31" ht="18" customHeight="1" x14ac:dyDescent="0.3">
      <c r="A475" s="2"/>
      <c r="B475" s="65" t="str">
        <f>IF($C475="","","GG"&amp;TEXT(ROW()-6,"00000"))</f>
        <v/>
      </c>
      <c r="C475" s="66"/>
      <c r="D475" s="60"/>
      <c r="E475" s="61"/>
      <c r="F475" s="61"/>
      <c r="G475" s="67"/>
      <c r="H475" s="60"/>
      <c r="I475" s="60"/>
      <c r="J475" s="61"/>
      <c r="K475" s="61"/>
      <c r="L475" s="60"/>
      <c r="M475" s="74" t="str">
        <f>IF($C475="","",IF($D475="Gider",$E475,IF($L475&lt;&gt;"",$L475,$H475)))</f>
        <v/>
      </c>
      <c r="N475" s="74" t="str">
        <f>IF($C475="","",IF($D475="Gider",$H475,$E475))</f>
        <v/>
      </c>
      <c r="O475" s="73" t="str">
        <f>IF($C475="","",DATE(YEAR($C475),MONTH($C475),1))</f>
        <v/>
      </c>
      <c r="P475" s="65" t="str">
        <f ca="1">IF($C475="","",IF(AND($D475="Gelir",$L475&lt;&gt;"",$T475=""),"TANIMSIZ BORÇLU",IF($T475&lt;&gt;"",IF(OR($E475="",$G475&lt;=0),"EKSİK",IF($I475="Evet","TAHAKKUK NAKİT OLAMAZ",IF($C475&gt;TODAY(),"İLERİ TARİH","TAHAKKUK"))),IF(AND($D475&lt;&gt;"",$E475&lt;&gt;"",$G475&gt;0,$H475&lt;&gt;"",$I475&lt;&gt;""),IF($C475&gt;TODAY(),"İLERİ TARİH",IF(COUNTIF($W$7:$W$3001,$W475)&gt;1,"MÜKERRER?",IF($AD475&gt;0,"KAPALI DÖNEM",IF($I475="Hayır","ÖDENECEK","UYGUN")))),"EKSİK"))))</f>
        <v/>
      </c>
      <c r="Q475" s="2"/>
      <c r="R475" s="2"/>
      <c r="S475" s="1" t="str">
        <f t="shared" si="23"/>
        <v/>
      </c>
      <c r="T475" s="1" t="str">
        <f>IF(OR($C475="",$D475&lt;&gt;"Gelir",$L475=""),"",IFERROR(INDEX(MUSTERILER!$B$7:$B$156,MATCH($S475,MUSTERILER!$T$7:$T$156,0)),""))</f>
        <v/>
      </c>
      <c r="U475" s="1" t="str">
        <f>IF($T475="","",$T475&amp;"|"&amp;COUNTIFS($T$7:$T475,$T475))</f>
        <v/>
      </c>
      <c r="V475" s="1">
        <f t="shared" si="24"/>
        <v>0</v>
      </c>
      <c r="W475" s="1" t="str">
        <f t="shared" si="25"/>
        <v/>
      </c>
      <c r="X475" s="1"/>
      <c r="Y475" s="1"/>
      <c r="Z475" s="1"/>
      <c r="AA475" s="1"/>
      <c r="AB475" s="1"/>
      <c r="AC475" s="1"/>
      <c r="AD475" s="1">
        <f>IF($C475="",0,SUMPRODUCT((AY_SONU!$O$7:$O$42="Evet")*(AY_SONU!$B$7:$B$42=DATE(YEAR($C475),MONTH($C475),1))))</f>
        <v>0</v>
      </c>
      <c r="AE475" s="1" t="str">
        <f>IF($E475="","",$E475&amp;"|"&amp;COUNTIFS($E$7:$E475,$E475))</f>
        <v/>
      </c>
    </row>
    <row r="476" spans="1:31" ht="18" customHeight="1" x14ac:dyDescent="0.3">
      <c r="A476" s="2"/>
      <c r="B476" s="65" t="str">
        <f>IF($C476="","","GG"&amp;TEXT(ROW()-6,"00000"))</f>
        <v/>
      </c>
      <c r="C476" s="66"/>
      <c r="D476" s="60"/>
      <c r="E476" s="61"/>
      <c r="F476" s="61"/>
      <c r="G476" s="67"/>
      <c r="H476" s="60"/>
      <c r="I476" s="60"/>
      <c r="J476" s="61"/>
      <c r="K476" s="61"/>
      <c r="L476" s="60"/>
      <c r="M476" s="74" t="str">
        <f>IF($C476="","",IF($D476="Gider",$E476,IF($L476&lt;&gt;"",$L476,$H476)))</f>
        <v/>
      </c>
      <c r="N476" s="74" t="str">
        <f>IF($C476="","",IF($D476="Gider",$H476,$E476))</f>
        <v/>
      </c>
      <c r="O476" s="73" t="str">
        <f>IF($C476="","",DATE(YEAR($C476),MONTH($C476),1))</f>
        <v/>
      </c>
      <c r="P476" s="65" t="str">
        <f ca="1">IF($C476="","",IF(AND($D476="Gelir",$L476&lt;&gt;"",$T476=""),"TANIMSIZ BORÇLU",IF($T476&lt;&gt;"",IF(OR($E476="",$G476&lt;=0),"EKSİK",IF($I476="Evet","TAHAKKUK NAKİT OLAMAZ",IF($C476&gt;TODAY(),"İLERİ TARİH","TAHAKKUK"))),IF(AND($D476&lt;&gt;"",$E476&lt;&gt;"",$G476&gt;0,$H476&lt;&gt;"",$I476&lt;&gt;""),IF($C476&gt;TODAY(),"İLERİ TARİH",IF(COUNTIF($W$7:$W$3001,$W476)&gt;1,"MÜKERRER?",IF($AD476&gt;0,"KAPALI DÖNEM",IF($I476="Hayır","ÖDENECEK","UYGUN")))),"EKSİK"))))</f>
        <v/>
      </c>
      <c r="Q476" s="2"/>
      <c r="R476" s="2"/>
      <c r="S476" s="1" t="str">
        <f t="shared" si="23"/>
        <v/>
      </c>
      <c r="T476" s="1" t="str">
        <f>IF(OR($C476="",$D476&lt;&gt;"Gelir",$L476=""),"",IFERROR(INDEX(MUSTERILER!$B$7:$B$156,MATCH($S476,MUSTERILER!$T$7:$T$156,0)),""))</f>
        <v/>
      </c>
      <c r="U476" s="1" t="str">
        <f>IF($T476="","",$T476&amp;"|"&amp;COUNTIFS($T$7:$T476,$T476))</f>
        <v/>
      </c>
      <c r="V476" s="1">
        <f t="shared" si="24"/>
        <v>0</v>
      </c>
      <c r="W476" s="1" t="str">
        <f t="shared" si="25"/>
        <v/>
      </c>
      <c r="X476" s="1"/>
      <c r="Y476" s="1"/>
      <c r="Z476" s="1"/>
      <c r="AA476" s="1"/>
      <c r="AB476" s="1"/>
      <c r="AC476" s="1"/>
      <c r="AD476" s="1">
        <f>IF($C476="",0,SUMPRODUCT((AY_SONU!$O$7:$O$42="Evet")*(AY_SONU!$B$7:$B$42=DATE(YEAR($C476),MONTH($C476),1))))</f>
        <v>0</v>
      </c>
      <c r="AE476" s="1" t="str">
        <f>IF($E476="","",$E476&amp;"|"&amp;COUNTIFS($E$7:$E476,$E476))</f>
        <v/>
      </c>
    </row>
    <row r="477" spans="1:31" ht="18" customHeight="1" x14ac:dyDescent="0.3">
      <c r="A477" s="2"/>
      <c r="B477" s="65" t="str">
        <f>IF($C477="","","GG"&amp;TEXT(ROW()-6,"00000"))</f>
        <v/>
      </c>
      <c r="C477" s="66"/>
      <c r="D477" s="60"/>
      <c r="E477" s="61"/>
      <c r="F477" s="61"/>
      <c r="G477" s="67"/>
      <c r="H477" s="60"/>
      <c r="I477" s="60"/>
      <c r="J477" s="61"/>
      <c r="K477" s="61"/>
      <c r="L477" s="60"/>
      <c r="M477" s="74" t="str">
        <f>IF($C477="","",IF($D477="Gider",$E477,IF($L477&lt;&gt;"",$L477,$H477)))</f>
        <v/>
      </c>
      <c r="N477" s="74" t="str">
        <f>IF($C477="","",IF($D477="Gider",$H477,$E477))</f>
        <v/>
      </c>
      <c r="O477" s="73" t="str">
        <f>IF($C477="","",DATE(YEAR($C477),MONTH($C477),1))</f>
        <v/>
      </c>
      <c r="P477" s="65" t="str">
        <f ca="1">IF($C477="","",IF(AND($D477="Gelir",$L477&lt;&gt;"",$T477=""),"TANIMSIZ BORÇLU",IF($T477&lt;&gt;"",IF(OR($E477="",$G477&lt;=0),"EKSİK",IF($I477="Evet","TAHAKKUK NAKİT OLAMAZ",IF($C477&gt;TODAY(),"İLERİ TARİH","TAHAKKUK"))),IF(AND($D477&lt;&gt;"",$E477&lt;&gt;"",$G477&gt;0,$H477&lt;&gt;"",$I477&lt;&gt;""),IF($C477&gt;TODAY(),"İLERİ TARİH",IF(COUNTIF($W$7:$W$3001,$W477)&gt;1,"MÜKERRER?",IF($AD477&gt;0,"KAPALI DÖNEM",IF($I477="Hayır","ÖDENECEK","UYGUN")))),"EKSİK"))))</f>
        <v/>
      </c>
      <c r="Q477" s="2"/>
      <c r="R477" s="2"/>
      <c r="S477" s="1" t="str">
        <f t="shared" si="23"/>
        <v/>
      </c>
      <c r="T477" s="1" t="str">
        <f>IF(OR($C477="",$D477&lt;&gt;"Gelir",$L477=""),"",IFERROR(INDEX(MUSTERILER!$B$7:$B$156,MATCH($S477,MUSTERILER!$T$7:$T$156,0)),""))</f>
        <v/>
      </c>
      <c r="U477" s="1" t="str">
        <f>IF($T477="","",$T477&amp;"|"&amp;COUNTIFS($T$7:$T477,$T477))</f>
        <v/>
      </c>
      <c r="V477" s="1">
        <f t="shared" si="24"/>
        <v>0</v>
      </c>
      <c r="W477" s="1" t="str">
        <f t="shared" si="25"/>
        <v/>
      </c>
      <c r="X477" s="1"/>
      <c r="Y477" s="1"/>
      <c r="Z477" s="1"/>
      <c r="AA477" s="1"/>
      <c r="AB477" s="1"/>
      <c r="AC477" s="1"/>
      <c r="AD477" s="1">
        <f>IF($C477="",0,SUMPRODUCT((AY_SONU!$O$7:$O$42="Evet")*(AY_SONU!$B$7:$B$42=DATE(YEAR($C477),MONTH($C477),1))))</f>
        <v>0</v>
      </c>
      <c r="AE477" s="1" t="str">
        <f>IF($E477="","",$E477&amp;"|"&amp;COUNTIFS($E$7:$E477,$E477))</f>
        <v/>
      </c>
    </row>
    <row r="478" spans="1:31" ht="18" customHeight="1" x14ac:dyDescent="0.3">
      <c r="A478" s="2"/>
      <c r="B478" s="65" t="str">
        <f>IF($C478="","","GG"&amp;TEXT(ROW()-6,"00000"))</f>
        <v/>
      </c>
      <c r="C478" s="66"/>
      <c r="D478" s="60"/>
      <c r="E478" s="61"/>
      <c r="F478" s="61"/>
      <c r="G478" s="67"/>
      <c r="H478" s="60"/>
      <c r="I478" s="60"/>
      <c r="J478" s="61"/>
      <c r="K478" s="61"/>
      <c r="L478" s="60"/>
      <c r="M478" s="74" t="str">
        <f>IF($C478="","",IF($D478="Gider",$E478,IF($L478&lt;&gt;"",$L478,$H478)))</f>
        <v/>
      </c>
      <c r="N478" s="74" t="str">
        <f>IF($C478="","",IF($D478="Gider",$H478,$E478))</f>
        <v/>
      </c>
      <c r="O478" s="73" t="str">
        <f>IF($C478="","",DATE(YEAR($C478),MONTH($C478),1))</f>
        <v/>
      </c>
      <c r="P478" s="65" t="str">
        <f ca="1">IF($C478="","",IF(AND($D478="Gelir",$L478&lt;&gt;"",$T478=""),"TANIMSIZ BORÇLU",IF($T478&lt;&gt;"",IF(OR($E478="",$G478&lt;=0),"EKSİK",IF($I478="Evet","TAHAKKUK NAKİT OLAMAZ",IF($C478&gt;TODAY(),"İLERİ TARİH","TAHAKKUK"))),IF(AND($D478&lt;&gt;"",$E478&lt;&gt;"",$G478&gt;0,$H478&lt;&gt;"",$I478&lt;&gt;""),IF($C478&gt;TODAY(),"İLERİ TARİH",IF(COUNTIF($W$7:$W$3001,$W478)&gt;1,"MÜKERRER?",IF($AD478&gt;0,"KAPALI DÖNEM",IF($I478="Hayır","ÖDENECEK","UYGUN")))),"EKSİK"))))</f>
        <v/>
      </c>
      <c r="Q478" s="2"/>
      <c r="R478" s="2"/>
      <c r="S478" s="1" t="str">
        <f t="shared" si="23"/>
        <v/>
      </c>
      <c r="T478" s="1" t="str">
        <f>IF(OR($C478="",$D478&lt;&gt;"Gelir",$L478=""),"",IFERROR(INDEX(MUSTERILER!$B$7:$B$156,MATCH($S478,MUSTERILER!$T$7:$T$156,0)),""))</f>
        <v/>
      </c>
      <c r="U478" s="1" t="str">
        <f>IF($T478="","",$T478&amp;"|"&amp;COUNTIFS($T$7:$T478,$T478))</f>
        <v/>
      </c>
      <c r="V478" s="1">
        <f t="shared" si="24"/>
        <v>0</v>
      </c>
      <c r="W478" s="1" t="str">
        <f t="shared" si="25"/>
        <v/>
      </c>
      <c r="X478" s="1"/>
      <c r="Y478" s="1"/>
      <c r="Z478" s="1"/>
      <c r="AA478" s="1"/>
      <c r="AB478" s="1"/>
      <c r="AC478" s="1"/>
      <c r="AD478" s="1">
        <f>IF($C478="",0,SUMPRODUCT((AY_SONU!$O$7:$O$42="Evet")*(AY_SONU!$B$7:$B$42=DATE(YEAR($C478),MONTH($C478),1))))</f>
        <v>0</v>
      </c>
      <c r="AE478" s="1" t="str">
        <f>IF($E478="","",$E478&amp;"|"&amp;COUNTIFS($E$7:$E478,$E478))</f>
        <v/>
      </c>
    </row>
    <row r="479" spans="1:31" ht="18" customHeight="1" x14ac:dyDescent="0.3">
      <c r="A479" s="2"/>
      <c r="B479" s="65" t="str">
        <f>IF($C479="","","GG"&amp;TEXT(ROW()-6,"00000"))</f>
        <v/>
      </c>
      <c r="C479" s="66"/>
      <c r="D479" s="60"/>
      <c r="E479" s="61"/>
      <c r="F479" s="61"/>
      <c r="G479" s="67"/>
      <c r="H479" s="60"/>
      <c r="I479" s="60"/>
      <c r="J479" s="61"/>
      <c r="K479" s="61"/>
      <c r="L479" s="60"/>
      <c r="M479" s="74" t="str">
        <f>IF($C479="","",IF($D479="Gider",$E479,IF($L479&lt;&gt;"",$L479,$H479)))</f>
        <v/>
      </c>
      <c r="N479" s="74" t="str">
        <f>IF($C479="","",IF($D479="Gider",$H479,$E479))</f>
        <v/>
      </c>
      <c r="O479" s="73" t="str">
        <f>IF($C479="","",DATE(YEAR($C479),MONTH($C479),1))</f>
        <v/>
      </c>
      <c r="P479" s="65" t="str">
        <f ca="1">IF($C479="","",IF(AND($D479="Gelir",$L479&lt;&gt;"",$T479=""),"TANIMSIZ BORÇLU",IF($T479&lt;&gt;"",IF(OR($E479="",$G479&lt;=0),"EKSİK",IF($I479="Evet","TAHAKKUK NAKİT OLAMAZ",IF($C479&gt;TODAY(),"İLERİ TARİH","TAHAKKUK"))),IF(AND($D479&lt;&gt;"",$E479&lt;&gt;"",$G479&gt;0,$H479&lt;&gt;"",$I479&lt;&gt;""),IF($C479&gt;TODAY(),"İLERİ TARİH",IF(COUNTIF($W$7:$W$3001,$W479)&gt;1,"MÜKERRER?",IF($AD479&gt;0,"KAPALI DÖNEM",IF($I479="Hayır","ÖDENECEK","UYGUN")))),"EKSİK"))))</f>
        <v/>
      </c>
      <c r="Q479" s="2"/>
      <c r="R479" s="2"/>
      <c r="S479" s="1" t="str">
        <f t="shared" si="23"/>
        <v/>
      </c>
      <c r="T479" s="1" t="str">
        <f>IF(OR($C479="",$D479&lt;&gt;"Gelir",$L479=""),"",IFERROR(INDEX(MUSTERILER!$B$7:$B$156,MATCH($S479,MUSTERILER!$T$7:$T$156,0)),""))</f>
        <v/>
      </c>
      <c r="U479" s="1" t="str">
        <f>IF($T479="","",$T479&amp;"|"&amp;COUNTIFS($T$7:$T479,$T479))</f>
        <v/>
      </c>
      <c r="V479" s="1">
        <f t="shared" si="24"/>
        <v>0</v>
      </c>
      <c r="W479" s="1" t="str">
        <f t="shared" si="25"/>
        <v/>
      </c>
      <c r="X479" s="1"/>
      <c r="Y479" s="1"/>
      <c r="Z479" s="1"/>
      <c r="AA479" s="1"/>
      <c r="AB479" s="1"/>
      <c r="AC479" s="1"/>
      <c r="AD479" s="1">
        <f>IF($C479="",0,SUMPRODUCT((AY_SONU!$O$7:$O$42="Evet")*(AY_SONU!$B$7:$B$42=DATE(YEAR($C479),MONTH($C479),1))))</f>
        <v>0</v>
      </c>
      <c r="AE479" s="1" t="str">
        <f>IF($E479="","",$E479&amp;"|"&amp;COUNTIFS($E$7:$E479,$E479))</f>
        <v/>
      </c>
    </row>
    <row r="480" spans="1:31" ht="18" customHeight="1" x14ac:dyDescent="0.3">
      <c r="A480" s="2"/>
      <c r="B480" s="65" t="str">
        <f>IF($C480="","","GG"&amp;TEXT(ROW()-6,"00000"))</f>
        <v/>
      </c>
      <c r="C480" s="66"/>
      <c r="D480" s="60"/>
      <c r="E480" s="61"/>
      <c r="F480" s="61"/>
      <c r="G480" s="67"/>
      <c r="H480" s="60"/>
      <c r="I480" s="60"/>
      <c r="J480" s="61"/>
      <c r="K480" s="61"/>
      <c r="L480" s="60"/>
      <c r="M480" s="74" t="str">
        <f>IF($C480="","",IF($D480="Gider",$E480,IF($L480&lt;&gt;"",$L480,$H480)))</f>
        <v/>
      </c>
      <c r="N480" s="74" t="str">
        <f>IF($C480="","",IF($D480="Gider",$H480,$E480))</f>
        <v/>
      </c>
      <c r="O480" s="73" t="str">
        <f>IF($C480="","",DATE(YEAR($C480),MONTH($C480),1))</f>
        <v/>
      </c>
      <c r="P480" s="65" t="str">
        <f ca="1">IF($C480="","",IF(AND($D480="Gelir",$L480&lt;&gt;"",$T480=""),"TANIMSIZ BORÇLU",IF($T480&lt;&gt;"",IF(OR($E480="",$G480&lt;=0),"EKSİK",IF($I480="Evet","TAHAKKUK NAKİT OLAMAZ",IF($C480&gt;TODAY(),"İLERİ TARİH","TAHAKKUK"))),IF(AND($D480&lt;&gt;"",$E480&lt;&gt;"",$G480&gt;0,$H480&lt;&gt;"",$I480&lt;&gt;""),IF($C480&gt;TODAY(),"İLERİ TARİH",IF(COUNTIF($W$7:$W$3001,$W480)&gt;1,"MÜKERRER?",IF($AD480&gt;0,"KAPALI DÖNEM",IF($I480="Hayır","ÖDENECEK","UYGUN")))),"EKSİK"))))</f>
        <v/>
      </c>
      <c r="Q480" s="2"/>
      <c r="R480" s="2"/>
      <c r="S480" s="1" t="str">
        <f t="shared" si="23"/>
        <v/>
      </c>
      <c r="T480" s="1" t="str">
        <f>IF(OR($C480="",$D480&lt;&gt;"Gelir",$L480=""),"",IFERROR(INDEX(MUSTERILER!$B$7:$B$156,MATCH($S480,MUSTERILER!$T$7:$T$156,0)),""))</f>
        <v/>
      </c>
      <c r="U480" s="1" t="str">
        <f>IF($T480="","",$T480&amp;"|"&amp;COUNTIFS($T$7:$T480,$T480))</f>
        <v/>
      </c>
      <c r="V480" s="1">
        <f t="shared" si="24"/>
        <v>0</v>
      </c>
      <c r="W480" s="1" t="str">
        <f t="shared" si="25"/>
        <v/>
      </c>
      <c r="X480" s="1"/>
      <c r="Y480" s="1"/>
      <c r="Z480" s="1"/>
      <c r="AA480" s="1"/>
      <c r="AB480" s="1"/>
      <c r="AC480" s="1"/>
      <c r="AD480" s="1">
        <f>IF($C480="",0,SUMPRODUCT((AY_SONU!$O$7:$O$42="Evet")*(AY_SONU!$B$7:$B$42=DATE(YEAR($C480),MONTH($C480),1))))</f>
        <v>0</v>
      </c>
      <c r="AE480" s="1" t="str">
        <f>IF($E480="","",$E480&amp;"|"&amp;COUNTIFS($E$7:$E480,$E480))</f>
        <v/>
      </c>
    </row>
    <row r="481" spans="1:31" ht="18" customHeight="1" x14ac:dyDescent="0.3">
      <c r="A481" s="2"/>
      <c r="B481" s="65" t="str">
        <f>IF($C481="","","GG"&amp;TEXT(ROW()-6,"00000"))</f>
        <v/>
      </c>
      <c r="C481" s="66"/>
      <c r="D481" s="60"/>
      <c r="E481" s="61"/>
      <c r="F481" s="61"/>
      <c r="G481" s="67"/>
      <c r="H481" s="60"/>
      <c r="I481" s="60"/>
      <c r="J481" s="61"/>
      <c r="K481" s="61"/>
      <c r="L481" s="60"/>
      <c r="M481" s="74" t="str">
        <f>IF($C481="","",IF($D481="Gider",$E481,IF($L481&lt;&gt;"",$L481,$H481)))</f>
        <v/>
      </c>
      <c r="N481" s="74" t="str">
        <f>IF($C481="","",IF($D481="Gider",$H481,$E481))</f>
        <v/>
      </c>
      <c r="O481" s="73" t="str">
        <f>IF($C481="","",DATE(YEAR($C481),MONTH($C481),1))</f>
        <v/>
      </c>
      <c r="P481" s="65" t="str">
        <f ca="1">IF($C481="","",IF(AND($D481="Gelir",$L481&lt;&gt;"",$T481=""),"TANIMSIZ BORÇLU",IF($T481&lt;&gt;"",IF(OR($E481="",$G481&lt;=0),"EKSİK",IF($I481="Evet","TAHAKKUK NAKİT OLAMAZ",IF($C481&gt;TODAY(),"İLERİ TARİH","TAHAKKUK"))),IF(AND($D481&lt;&gt;"",$E481&lt;&gt;"",$G481&gt;0,$H481&lt;&gt;"",$I481&lt;&gt;""),IF($C481&gt;TODAY(),"İLERİ TARİH",IF(COUNTIF($W$7:$W$3001,$W481)&gt;1,"MÜKERRER?",IF($AD481&gt;0,"KAPALI DÖNEM",IF($I481="Hayır","ÖDENECEK","UYGUN")))),"EKSİK"))))</f>
        <v/>
      </c>
      <c r="Q481" s="2"/>
      <c r="R481" s="2"/>
      <c r="S481" s="1" t="str">
        <f t="shared" si="23"/>
        <v/>
      </c>
      <c r="T481" s="1" t="str">
        <f>IF(OR($C481="",$D481&lt;&gt;"Gelir",$L481=""),"",IFERROR(INDEX(MUSTERILER!$B$7:$B$156,MATCH($S481,MUSTERILER!$T$7:$T$156,0)),""))</f>
        <v/>
      </c>
      <c r="U481" s="1" t="str">
        <f>IF($T481="","",$T481&amp;"|"&amp;COUNTIFS($T$7:$T481,$T481))</f>
        <v/>
      </c>
      <c r="V481" s="1">
        <f t="shared" si="24"/>
        <v>0</v>
      </c>
      <c r="W481" s="1" t="str">
        <f t="shared" si="25"/>
        <v/>
      </c>
      <c r="X481" s="1"/>
      <c r="Y481" s="1"/>
      <c r="Z481" s="1"/>
      <c r="AA481" s="1"/>
      <c r="AB481" s="1"/>
      <c r="AC481" s="1"/>
      <c r="AD481" s="1">
        <f>IF($C481="",0,SUMPRODUCT((AY_SONU!$O$7:$O$42="Evet")*(AY_SONU!$B$7:$B$42=DATE(YEAR($C481),MONTH($C481),1))))</f>
        <v>0</v>
      </c>
      <c r="AE481" s="1" t="str">
        <f>IF($E481="","",$E481&amp;"|"&amp;COUNTIFS($E$7:$E481,$E481))</f>
        <v/>
      </c>
    </row>
    <row r="482" spans="1:31" ht="18" customHeight="1" x14ac:dyDescent="0.3">
      <c r="A482" s="2"/>
      <c r="B482" s="65" t="str">
        <f>IF($C482="","","GG"&amp;TEXT(ROW()-6,"00000"))</f>
        <v/>
      </c>
      <c r="C482" s="66"/>
      <c r="D482" s="60"/>
      <c r="E482" s="61"/>
      <c r="F482" s="61"/>
      <c r="G482" s="67"/>
      <c r="H482" s="60"/>
      <c r="I482" s="60"/>
      <c r="J482" s="61"/>
      <c r="K482" s="61"/>
      <c r="L482" s="60"/>
      <c r="M482" s="74" t="str">
        <f>IF($C482="","",IF($D482="Gider",$E482,IF($L482&lt;&gt;"",$L482,$H482)))</f>
        <v/>
      </c>
      <c r="N482" s="74" t="str">
        <f>IF($C482="","",IF($D482="Gider",$H482,$E482))</f>
        <v/>
      </c>
      <c r="O482" s="73" t="str">
        <f>IF($C482="","",DATE(YEAR($C482),MONTH($C482),1))</f>
        <v/>
      </c>
      <c r="P482" s="65" t="str">
        <f ca="1">IF($C482="","",IF(AND($D482="Gelir",$L482&lt;&gt;"",$T482=""),"TANIMSIZ BORÇLU",IF($T482&lt;&gt;"",IF(OR($E482="",$G482&lt;=0),"EKSİK",IF($I482="Evet","TAHAKKUK NAKİT OLAMAZ",IF($C482&gt;TODAY(),"İLERİ TARİH","TAHAKKUK"))),IF(AND($D482&lt;&gt;"",$E482&lt;&gt;"",$G482&gt;0,$H482&lt;&gt;"",$I482&lt;&gt;""),IF($C482&gt;TODAY(),"İLERİ TARİH",IF(COUNTIF($W$7:$W$3001,$W482)&gt;1,"MÜKERRER?",IF($AD482&gt;0,"KAPALI DÖNEM",IF($I482="Hayır","ÖDENECEK","UYGUN")))),"EKSİK"))))</f>
        <v/>
      </c>
      <c r="Q482" s="2"/>
      <c r="R482" s="2"/>
      <c r="S482" s="1" t="str">
        <f t="shared" si="23"/>
        <v/>
      </c>
      <c r="T482" s="1" t="str">
        <f>IF(OR($C482="",$D482&lt;&gt;"Gelir",$L482=""),"",IFERROR(INDEX(MUSTERILER!$B$7:$B$156,MATCH($S482,MUSTERILER!$T$7:$T$156,0)),""))</f>
        <v/>
      </c>
      <c r="U482" s="1" t="str">
        <f>IF($T482="","",$T482&amp;"|"&amp;COUNTIFS($T$7:$T482,$T482))</f>
        <v/>
      </c>
      <c r="V482" s="1">
        <f t="shared" si="24"/>
        <v>0</v>
      </c>
      <c r="W482" s="1" t="str">
        <f t="shared" si="25"/>
        <v/>
      </c>
      <c r="X482" s="1"/>
      <c r="Y482" s="1"/>
      <c r="Z482" s="1"/>
      <c r="AA482" s="1"/>
      <c r="AB482" s="1"/>
      <c r="AC482" s="1"/>
      <c r="AD482" s="1">
        <f>IF($C482="",0,SUMPRODUCT((AY_SONU!$O$7:$O$42="Evet")*(AY_SONU!$B$7:$B$42=DATE(YEAR($C482),MONTH($C482),1))))</f>
        <v>0</v>
      </c>
      <c r="AE482" s="1" t="str">
        <f>IF($E482="","",$E482&amp;"|"&amp;COUNTIFS($E$7:$E482,$E482))</f>
        <v/>
      </c>
    </row>
    <row r="483" spans="1:31" ht="18" customHeight="1" x14ac:dyDescent="0.3">
      <c r="A483" s="2"/>
      <c r="B483" s="65" t="str">
        <f>IF($C483="","","GG"&amp;TEXT(ROW()-6,"00000"))</f>
        <v/>
      </c>
      <c r="C483" s="66"/>
      <c r="D483" s="60"/>
      <c r="E483" s="61"/>
      <c r="F483" s="61"/>
      <c r="G483" s="67"/>
      <c r="H483" s="60"/>
      <c r="I483" s="60"/>
      <c r="J483" s="61"/>
      <c r="K483" s="61"/>
      <c r="L483" s="60"/>
      <c r="M483" s="74" t="str">
        <f>IF($C483="","",IF($D483="Gider",$E483,IF($L483&lt;&gt;"",$L483,$H483)))</f>
        <v/>
      </c>
      <c r="N483" s="74" t="str">
        <f>IF($C483="","",IF($D483="Gider",$H483,$E483))</f>
        <v/>
      </c>
      <c r="O483" s="73" t="str">
        <f>IF($C483="","",DATE(YEAR($C483),MONTH($C483),1))</f>
        <v/>
      </c>
      <c r="P483" s="65" t="str">
        <f ca="1">IF($C483="","",IF(AND($D483="Gelir",$L483&lt;&gt;"",$T483=""),"TANIMSIZ BORÇLU",IF($T483&lt;&gt;"",IF(OR($E483="",$G483&lt;=0),"EKSİK",IF($I483="Evet","TAHAKKUK NAKİT OLAMAZ",IF($C483&gt;TODAY(),"İLERİ TARİH","TAHAKKUK"))),IF(AND($D483&lt;&gt;"",$E483&lt;&gt;"",$G483&gt;0,$H483&lt;&gt;"",$I483&lt;&gt;""),IF($C483&gt;TODAY(),"İLERİ TARİH",IF(COUNTIF($W$7:$W$3001,$W483)&gt;1,"MÜKERRER?",IF($AD483&gt;0,"KAPALI DÖNEM",IF($I483="Hayır","ÖDENECEK","UYGUN")))),"EKSİK"))))</f>
        <v/>
      </c>
      <c r="Q483" s="2"/>
      <c r="R483" s="2"/>
      <c r="S483" s="1" t="str">
        <f t="shared" si="23"/>
        <v/>
      </c>
      <c r="T483" s="1" t="str">
        <f>IF(OR($C483="",$D483&lt;&gt;"Gelir",$L483=""),"",IFERROR(INDEX(MUSTERILER!$B$7:$B$156,MATCH($S483,MUSTERILER!$T$7:$T$156,0)),""))</f>
        <v/>
      </c>
      <c r="U483" s="1" t="str">
        <f>IF($T483="","",$T483&amp;"|"&amp;COUNTIFS($T$7:$T483,$T483))</f>
        <v/>
      </c>
      <c r="V483" s="1">
        <f t="shared" si="24"/>
        <v>0</v>
      </c>
      <c r="W483" s="1" t="str">
        <f t="shared" si="25"/>
        <v/>
      </c>
      <c r="X483" s="1"/>
      <c r="Y483" s="1"/>
      <c r="Z483" s="1"/>
      <c r="AA483" s="1"/>
      <c r="AB483" s="1"/>
      <c r="AC483" s="1"/>
      <c r="AD483" s="1">
        <f>IF($C483="",0,SUMPRODUCT((AY_SONU!$O$7:$O$42="Evet")*(AY_SONU!$B$7:$B$42=DATE(YEAR($C483),MONTH($C483),1))))</f>
        <v>0</v>
      </c>
      <c r="AE483" s="1" t="str">
        <f>IF($E483="","",$E483&amp;"|"&amp;COUNTIFS($E$7:$E483,$E483))</f>
        <v/>
      </c>
    </row>
    <row r="484" spans="1:31" ht="18" customHeight="1" x14ac:dyDescent="0.3">
      <c r="A484" s="2"/>
      <c r="B484" s="65" t="str">
        <f>IF($C484="","","GG"&amp;TEXT(ROW()-6,"00000"))</f>
        <v/>
      </c>
      <c r="C484" s="66"/>
      <c r="D484" s="60"/>
      <c r="E484" s="61"/>
      <c r="F484" s="61"/>
      <c r="G484" s="67"/>
      <c r="H484" s="60"/>
      <c r="I484" s="60"/>
      <c r="J484" s="61"/>
      <c r="K484" s="61"/>
      <c r="L484" s="60"/>
      <c r="M484" s="74" t="str">
        <f>IF($C484="","",IF($D484="Gider",$E484,IF($L484&lt;&gt;"",$L484,$H484)))</f>
        <v/>
      </c>
      <c r="N484" s="74" t="str">
        <f>IF($C484="","",IF($D484="Gider",$H484,$E484))</f>
        <v/>
      </c>
      <c r="O484" s="73" t="str">
        <f>IF($C484="","",DATE(YEAR($C484),MONTH($C484),1))</f>
        <v/>
      </c>
      <c r="P484" s="65" t="str">
        <f ca="1">IF($C484="","",IF(AND($D484="Gelir",$L484&lt;&gt;"",$T484=""),"TANIMSIZ BORÇLU",IF($T484&lt;&gt;"",IF(OR($E484="",$G484&lt;=0),"EKSİK",IF($I484="Evet","TAHAKKUK NAKİT OLAMAZ",IF($C484&gt;TODAY(),"İLERİ TARİH","TAHAKKUK"))),IF(AND($D484&lt;&gt;"",$E484&lt;&gt;"",$G484&gt;0,$H484&lt;&gt;"",$I484&lt;&gt;""),IF($C484&gt;TODAY(),"İLERİ TARİH",IF(COUNTIF($W$7:$W$3001,$W484)&gt;1,"MÜKERRER?",IF($AD484&gt;0,"KAPALI DÖNEM",IF($I484="Hayır","ÖDENECEK","UYGUN")))),"EKSİK"))))</f>
        <v/>
      </c>
      <c r="Q484" s="2"/>
      <c r="R484" s="2"/>
      <c r="S484" s="1" t="str">
        <f t="shared" si="23"/>
        <v/>
      </c>
      <c r="T484" s="1" t="str">
        <f>IF(OR($C484="",$D484&lt;&gt;"Gelir",$L484=""),"",IFERROR(INDEX(MUSTERILER!$B$7:$B$156,MATCH($S484,MUSTERILER!$T$7:$T$156,0)),""))</f>
        <v/>
      </c>
      <c r="U484" s="1" t="str">
        <f>IF($T484="","",$T484&amp;"|"&amp;COUNTIFS($T$7:$T484,$T484))</f>
        <v/>
      </c>
      <c r="V484" s="1">
        <f t="shared" si="24"/>
        <v>0</v>
      </c>
      <c r="W484" s="1" t="str">
        <f t="shared" si="25"/>
        <v/>
      </c>
      <c r="X484" s="1"/>
      <c r="Y484" s="1"/>
      <c r="Z484" s="1"/>
      <c r="AA484" s="1"/>
      <c r="AB484" s="1"/>
      <c r="AC484" s="1"/>
      <c r="AD484" s="1">
        <f>IF($C484="",0,SUMPRODUCT((AY_SONU!$O$7:$O$42="Evet")*(AY_SONU!$B$7:$B$42=DATE(YEAR($C484),MONTH($C484),1))))</f>
        <v>0</v>
      </c>
      <c r="AE484" s="1" t="str">
        <f>IF($E484="","",$E484&amp;"|"&amp;COUNTIFS($E$7:$E484,$E484))</f>
        <v/>
      </c>
    </row>
    <row r="485" spans="1:31" ht="18" customHeight="1" x14ac:dyDescent="0.3">
      <c r="A485" s="2"/>
      <c r="B485" s="65" t="str">
        <f>IF($C485="","","GG"&amp;TEXT(ROW()-6,"00000"))</f>
        <v/>
      </c>
      <c r="C485" s="66"/>
      <c r="D485" s="60"/>
      <c r="E485" s="61"/>
      <c r="F485" s="61"/>
      <c r="G485" s="67"/>
      <c r="H485" s="60"/>
      <c r="I485" s="60"/>
      <c r="J485" s="61"/>
      <c r="K485" s="61"/>
      <c r="L485" s="60"/>
      <c r="M485" s="74" t="str">
        <f>IF($C485="","",IF($D485="Gider",$E485,IF($L485&lt;&gt;"",$L485,$H485)))</f>
        <v/>
      </c>
      <c r="N485" s="74" t="str">
        <f>IF($C485="","",IF($D485="Gider",$H485,$E485))</f>
        <v/>
      </c>
      <c r="O485" s="73" t="str">
        <f>IF($C485="","",DATE(YEAR($C485),MONTH($C485),1))</f>
        <v/>
      </c>
      <c r="P485" s="65" t="str">
        <f ca="1">IF($C485="","",IF(AND($D485="Gelir",$L485&lt;&gt;"",$T485=""),"TANIMSIZ BORÇLU",IF($T485&lt;&gt;"",IF(OR($E485="",$G485&lt;=0),"EKSİK",IF($I485="Evet","TAHAKKUK NAKİT OLAMAZ",IF($C485&gt;TODAY(),"İLERİ TARİH","TAHAKKUK"))),IF(AND($D485&lt;&gt;"",$E485&lt;&gt;"",$G485&gt;0,$H485&lt;&gt;"",$I485&lt;&gt;""),IF($C485&gt;TODAY(),"İLERİ TARİH",IF(COUNTIF($W$7:$W$3001,$W485)&gt;1,"MÜKERRER?",IF($AD485&gt;0,"KAPALI DÖNEM",IF($I485="Hayır","ÖDENECEK","UYGUN")))),"EKSİK"))))</f>
        <v/>
      </c>
      <c r="Q485" s="2"/>
      <c r="R485" s="2"/>
      <c r="S485" s="1" t="str">
        <f t="shared" si="23"/>
        <v/>
      </c>
      <c r="T485" s="1" t="str">
        <f>IF(OR($C485="",$D485&lt;&gt;"Gelir",$L485=""),"",IFERROR(INDEX(MUSTERILER!$B$7:$B$156,MATCH($S485,MUSTERILER!$T$7:$T$156,0)),""))</f>
        <v/>
      </c>
      <c r="U485" s="1" t="str">
        <f>IF($T485="","",$T485&amp;"|"&amp;COUNTIFS($T$7:$T485,$T485))</f>
        <v/>
      </c>
      <c r="V485" s="1">
        <f t="shared" si="24"/>
        <v>0</v>
      </c>
      <c r="W485" s="1" t="str">
        <f t="shared" si="25"/>
        <v/>
      </c>
      <c r="X485" s="1"/>
      <c r="Y485" s="1"/>
      <c r="Z485" s="1"/>
      <c r="AA485" s="1"/>
      <c r="AB485" s="1"/>
      <c r="AC485" s="1"/>
      <c r="AD485" s="1">
        <f>IF($C485="",0,SUMPRODUCT((AY_SONU!$O$7:$O$42="Evet")*(AY_SONU!$B$7:$B$42=DATE(YEAR($C485),MONTH($C485),1))))</f>
        <v>0</v>
      </c>
      <c r="AE485" s="1" t="str">
        <f>IF($E485="","",$E485&amp;"|"&amp;COUNTIFS($E$7:$E485,$E485))</f>
        <v/>
      </c>
    </row>
    <row r="486" spans="1:31" ht="18" customHeight="1" x14ac:dyDescent="0.3">
      <c r="A486" s="2"/>
      <c r="B486" s="65" t="str">
        <f>IF($C486="","","GG"&amp;TEXT(ROW()-6,"00000"))</f>
        <v/>
      </c>
      <c r="C486" s="66"/>
      <c r="D486" s="60"/>
      <c r="E486" s="61"/>
      <c r="F486" s="61"/>
      <c r="G486" s="67"/>
      <c r="H486" s="60"/>
      <c r="I486" s="60"/>
      <c r="J486" s="61"/>
      <c r="K486" s="61"/>
      <c r="L486" s="60"/>
      <c r="M486" s="74" t="str">
        <f>IF($C486="","",IF($D486="Gider",$E486,IF($L486&lt;&gt;"",$L486,$H486)))</f>
        <v/>
      </c>
      <c r="N486" s="74" t="str">
        <f>IF($C486="","",IF($D486="Gider",$H486,$E486))</f>
        <v/>
      </c>
      <c r="O486" s="73" t="str">
        <f>IF($C486="","",DATE(YEAR($C486),MONTH($C486),1))</f>
        <v/>
      </c>
      <c r="P486" s="65" t="str">
        <f ca="1">IF($C486="","",IF(AND($D486="Gelir",$L486&lt;&gt;"",$T486=""),"TANIMSIZ BORÇLU",IF($T486&lt;&gt;"",IF(OR($E486="",$G486&lt;=0),"EKSİK",IF($I486="Evet","TAHAKKUK NAKİT OLAMAZ",IF($C486&gt;TODAY(),"İLERİ TARİH","TAHAKKUK"))),IF(AND($D486&lt;&gt;"",$E486&lt;&gt;"",$G486&gt;0,$H486&lt;&gt;"",$I486&lt;&gt;""),IF($C486&gt;TODAY(),"İLERİ TARİH",IF(COUNTIF($W$7:$W$3001,$W486)&gt;1,"MÜKERRER?",IF($AD486&gt;0,"KAPALI DÖNEM",IF($I486="Hayır","ÖDENECEK","UYGUN")))),"EKSİK"))))</f>
        <v/>
      </c>
      <c r="Q486" s="2"/>
      <c r="R486" s="2"/>
      <c r="S486" s="1" t="str">
        <f t="shared" si="23"/>
        <v/>
      </c>
      <c r="T486" s="1" t="str">
        <f>IF(OR($C486="",$D486&lt;&gt;"Gelir",$L486=""),"",IFERROR(INDEX(MUSTERILER!$B$7:$B$156,MATCH($S486,MUSTERILER!$T$7:$T$156,0)),""))</f>
        <v/>
      </c>
      <c r="U486" s="1" t="str">
        <f>IF($T486="","",$T486&amp;"|"&amp;COUNTIFS($T$7:$T486,$T486))</f>
        <v/>
      </c>
      <c r="V486" s="1">
        <f t="shared" si="24"/>
        <v>0</v>
      </c>
      <c r="W486" s="1" t="str">
        <f t="shared" si="25"/>
        <v/>
      </c>
      <c r="X486" s="1"/>
      <c r="Y486" s="1"/>
      <c r="Z486" s="1"/>
      <c r="AA486" s="1"/>
      <c r="AB486" s="1"/>
      <c r="AC486" s="1"/>
      <c r="AD486" s="1">
        <f>IF($C486="",0,SUMPRODUCT((AY_SONU!$O$7:$O$42="Evet")*(AY_SONU!$B$7:$B$42=DATE(YEAR($C486),MONTH($C486),1))))</f>
        <v>0</v>
      </c>
      <c r="AE486" s="1" t="str">
        <f>IF($E486="","",$E486&amp;"|"&amp;COUNTIFS($E$7:$E486,$E486))</f>
        <v/>
      </c>
    </row>
    <row r="487" spans="1:31" ht="18" customHeight="1" x14ac:dyDescent="0.3">
      <c r="A487" s="2"/>
      <c r="B487" s="65" t="str">
        <f>IF($C487="","","GG"&amp;TEXT(ROW()-6,"00000"))</f>
        <v/>
      </c>
      <c r="C487" s="66"/>
      <c r="D487" s="60"/>
      <c r="E487" s="61"/>
      <c r="F487" s="61"/>
      <c r="G487" s="67"/>
      <c r="H487" s="60"/>
      <c r="I487" s="60"/>
      <c r="J487" s="61"/>
      <c r="K487" s="61"/>
      <c r="L487" s="60"/>
      <c r="M487" s="74" t="str">
        <f>IF($C487="","",IF($D487="Gider",$E487,IF($L487&lt;&gt;"",$L487,$H487)))</f>
        <v/>
      </c>
      <c r="N487" s="74" t="str">
        <f>IF($C487="","",IF($D487="Gider",$H487,$E487))</f>
        <v/>
      </c>
      <c r="O487" s="73" t="str">
        <f>IF($C487="","",DATE(YEAR($C487),MONTH($C487),1))</f>
        <v/>
      </c>
      <c r="P487" s="65" t="str">
        <f ca="1">IF($C487="","",IF(AND($D487="Gelir",$L487&lt;&gt;"",$T487=""),"TANIMSIZ BORÇLU",IF($T487&lt;&gt;"",IF(OR($E487="",$G487&lt;=0),"EKSİK",IF($I487="Evet","TAHAKKUK NAKİT OLAMAZ",IF($C487&gt;TODAY(),"İLERİ TARİH","TAHAKKUK"))),IF(AND($D487&lt;&gt;"",$E487&lt;&gt;"",$G487&gt;0,$H487&lt;&gt;"",$I487&lt;&gt;""),IF($C487&gt;TODAY(),"İLERİ TARİH",IF(COUNTIF($W$7:$W$3001,$W487)&gt;1,"MÜKERRER?",IF($AD487&gt;0,"KAPALI DÖNEM",IF($I487="Hayır","ÖDENECEK","UYGUN")))),"EKSİK"))))</f>
        <v/>
      </c>
      <c r="Q487" s="2"/>
      <c r="R487" s="2"/>
      <c r="S487" s="1" t="str">
        <f t="shared" si="23"/>
        <v/>
      </c>
      <c r="T487" s="1" t="str">
        <f>IF(OR($C487="",$D487&lt;&gt;"Gelir",$L487=""),"",IFERROR(INDEX(MUSTERILER!$B$7:$B$156,MATCH($S487,MUSTERILER!$T$7:$T$156,0)),""))</f>
        <v/>
      </c>
      <c r="U487" s="1" t="str">
        <f>IF($T487="","",$T487&amp;"|"&amp;COUNTIFS($T$7:$T487,$T487))</f>
        <v/>
      </c>
      <c r="V487" s="1">
        <f t="shared" si="24"/>
        <v>0</v>
      </c>
      <c r="W487" s="1" t="str">
        <f t="shared" si="25"/>
        <v/>
      </c>
      <c r="X487" s="1"/>
      <c r="Y487" s="1"/>
      <c r="Z487" s="1"/>
      <c r="AA487" s="1"/>
      <c r="AB487" s="1"/>
      <c r="AC487" s="1"/>
      <c r="AD487" s="1">
        <f>IF($C487="",0,SUMPRODUCT((AY_SONU!$O$7:$O$42="Evet")*(AY_SONU!$B$7:$B$42=DATE(YEAR($C487),MONTH($C487),1))))</f>
        <v>0</v>
      </c>
      <c r="AE487" s="1" t="str">
        <f>IF($E487="","",$E487&amp;"|"&amp;COUNTIFS($E$7:$E487,$E487))</f>
        <v/>
      </c>
    </row>
    <row r="488" spans="1:31" ht="18" customHeight="1" x14ac:dyDescent="0.3">
      <c r="A488" s="2"/>
      <c r="B488" s="65" t="str">
        <f>IF($C488="","","GG"&amp;TEXT(ROW()-6,"00000"))</f>
        <v/>
      </c>
      <c r="C488" s="66"/>
      <c r="D488" s="60"/>
      <c r="E488" s="61"/>
      <c r="F488" s="61"/>
      <c r="G488" s="67"/>
      <c r="H488" s="60"/>
      <c r="I488" s="60"/>
      <c r="J488" s="61"/>
      <c r="K488" s="61"/>
      <c r="L488" s="60"/>
      <c r="M488" s="74" t="str">
        <f>IF($C488="","",IF($D488="Gider",$E488,IF($L488&lt;&gt;"",$L488,$H488)))</f>
        <v/>
      </c>
      <c r="N488" s="74" t="str">
        <f>IF($C488="","",IF($D488="Gider",$H488,$E488))</f>
        <v/>
      </c>
      <c r="O488" s="73" t="str">
        <f>IF($C488="","",DATE(YEAR($C488),MONTH($C488),1))</f>
        <v/>
      </c>
      <c r="P488" s="65" t="str">
        <f ca="1">IF($C488="","",IF(AND($D488="Gelir",$L488&lt;&gt;"",$T488=""),"TANIMSIZ BORÇLU",IF($T488&lt;&gt;"",IF(OR($E488="",$G488&lt;=0),"EKSİK",IF($I488="Evet","TAHAKKUK NAKİT OLAMAZ",IF($C488&gt;TODAY(),"İLERİ TARİH","TAHAKKUK"))),IF(AND($D488&lt;&gt;"",$E488&lt;&gt;"",$G488&gt;0,$H488&lt;&gt;"",$I488&lt;&gt;""),IF($C488&gt;TODAY(),"İLERİ TARİH",IF(COUNTIF($W$7:$W$3001,$W488)&gt;1,"MÜKERRER?",IF($AD488&gt;0,"KAPALI DÖNEM",IF($I488="Hayır","ÖDENECEK","UYGUN")))),"EKSİK"))))</f>
        <v/>
      </c>
      <c r="Q488" s="2"/>
      <c r="R488" s="2"/>
      <c r="S488" s="1" t="str">
        <f t="shared" si="23"/>
        <v/>
      </c>
      <c r="T488" s="1" t="str">
        <f>IF(OR($C488="",$D488&lt;&gt;"Gelir",$L488=""),"",IFERROR(INDEX(MUSTERILER!$B$7:$B$156,MATCH($S488,MUSTERILER!$T$7:$T$156,0)),""))</f>
        <v/>
      </c>
      <c r="U488" s="1" t="str">
        <f>IF($T488="","",$T488&amp;"|"&amp;COUNTIFS($T$7:$T488,$T488))</f>
        <v/>
      </c>
      <c r="V488" s="1">
        <f t="shared" si="24"/>
        <v>0</v>
      </c>
      <c r="W488" s="1" t="str">
        <f t="shared" si="25"/>
        <v/>
      </c>
      <c r="X488" s="1"/>
      <c r="Y488" s="1"/>
      <c r="Z488" s="1"/>
      <c r="AA488" s="1"/>
      <c r="AB488" s="1"/>
      <c r="AC488" s="1"/>
      <c r="AD488" s="1">
        <f>IF($C488="",0,SUMPRODUCT((AY_SONU!$O$7:$O$42="Evet")*(AY_SONU!$B$7:$B$42=DATE(YEAR($C488),MONTH($C488),1))))</f>
        <v>0</v>
      </c>
      <c r="AE488" s="1" t="str">
        <f>IF($E488="","",$E488&amp;"|"&amp;COUNTIFS($E$7:$E488,$E488))</f>
        <v/>
      </c>
    </row>
    <row r="489" spans="1:31" ht="18" customHeight="1" x14ac:dyDescent="0.3">
      <c r="A489" s="2"/>
      <c r="B489" s="65" t="str">
        <f>IF($C489="","","GG"&amp;TEXT(ROW()-6,"00000"))</f>
        <v/>
      </c>
      <c r="C489" s="66"/>
      <c r="D489" s="60"/>
      <c r="E489" s="61"/>
      <c r="F489" s="61"/>
      <c r="G489" s="67"/>
      <c r="H489" s="60"/>
      <c r="I489" s="60"/>
      <c r="J489" s="61"/>
      <c r="K489" s="61"/>
      <c r="L489" s="60"/>
      <c r="M489" s="74" t="str">
        <f>IF($C489="","",IF($D489="Gider",$E489,IF($L489&lt;&gt;"",$L489,$H489)))</f>
        <v/>
      </c>
      <c r="N489" s="74" t="str">
        <f>IF($C489="","",IF($D489="Gider",$H489,$E489))</f>
        <v/>
      </c>
      <c r="O489" s="73" t="str">
        <f>IF($C489="","",DATE(YEAR($C489),MONTH($C489),1))</f>
        <v/>
      </c>
      <c r="P489" s="65" t="str">
        <f ca="1">IF($C489="","",IF(AND($D489="Gelir",$L489&lt;&gt;"",$T489=""),"TANIMSIZ BORÇLU",IF($T489&lt;&gt;"",IF(OR($E489="",$G489&lt;=0),"EKSİK",IF($I489="Evet","TAHAKKUK NAKİT OLAMAZ",IF($C489&gt;TODAY(),"İLERİ TARİH","TAHAKKUK"))),IF(AND($D489&lt;&gt;"",$E489&lt;&gt;"",$G489&gt;0,$H489&lt;&gt;"",$I489&lt;&gt;""),IF($C489&gt;TODAY(),"İLERİ TARİH",IF(COUNTIF($W$7:$W$3001,$W489)&gt;1,"MÜKERRER?",IF($AD489&gt;0,"KAPALI DÖNEM",IF($I489="Hayır","ÖDENECEK","UYGUN")))),"EKSİK"))))</f>
        <v/>
      </c>
      <c r="Q489" s="2"/>
      <c r="R489" s="2"/>
      <c r="S489" s="1" t="str">
        <f t="shared" si="23"/>
        <v/>
      </c>
      <c r="T489" s="1" t="str">
        <f>IF(OR($C489="",$D489&lt;&gt;"Gelir",$L489=""),"",IFERROR(INDEX(MUSTERILER!$B$7:$B$156,MATCH($S489,MUSTERILER!$T$7:$T$156,0)),""))</f>
        <v/>
      </c>
      <c r="U489" s="1" t="str">
        <f>IF($T489="","",$T489&amp;"|"&amp;COUNTIFS($T$7:$T489,$T489))</f>
        <v/>
      </c>
      <c r="V489" s="1">
        <f t="shared" si="24"/>
        <v>0</v>
      </c>
      <c r="W489" s="1" t="str">
        <f t="shared" si="25"/>
        <v/>
      </c>
      <c r="X489" s="1"/>
      <c r="Y489" s="1"/>
      <c r="Z489" s="1"/>
      <c r="AA489" s="1"/>
      <c r="AB489" s="1"/>
      <c r="AC489" s="1"/>
      <c r="AD489" s="1">
        <f>IF($C489="",0,SUMPRODUCT((AY_SONU!$O$7:$O$42="Evet")*(AY_SONU!$B$7:$B$42=DATE(YEAR($C489),MONTH($C489),1))))</f>
        <v>0</v>
      </c>
      <c r="AE489" s="1" t="str">
        <f>IF($E489="","",$E489&amp;"|"&amp;COUNTIFS($E$7:$E489,$E489))</f>
        <v/>
      </c>
    </row>
    <row r="490" spans="1:31" ht="18" customHeight="1" x14ac:dyDescent="0.3">
      <c r="A490" s="2"/>
      <c r="B490" s="65" t="str">
        <f>IF($C490="","","GG"&amp;TEXT(ROW()-6,"00000"))</f>
        <v/>
      </c>
      <c r="C490" s="66"/>
      <c r="D490" s="60"/>
      <c r="E490" s="61"/>
      <c r="F490" s="61"/>
      <c r="G490" s="67"/>
      <c r="H490" s="60"/>
      <c r="I490" s="60"/>
      <c r="J490" s="61"/>
      <c r="K490" s="61"/>
      <c r="L490" s="60"/>
      <c r="M490" s="74" t="str">
        <f>IF($C490="","",IF($D490="Gider",$E490,IF($L490&lt;&gt;"",$L490,$H490)))</f>
        <v/>
      </c>
      <c r="N490" s="74" t="str">
        <f>IF($C490="","",IF($D490="Gider",$H490,$E490))</f>
        <v/>
      </c>
      <c r="O490" s="73" t="str">
        <f>IF($C490="","",DATE(YEAR($C490),MONTH($C490),1))</f>
        <v/>
      </c>
      <c r="P490" s="65" t="str">
        <f ca="1">IF($C490="","",IF(AND($D490="Gelir",$L490&lt;&gt;"",$T490=""),"TANIMSIZ BORÇLU",IF($T490&lt;&gt;"",IF(OR($E490="",$G490&lt;=0),"EKSİK",IF($I490="Evet","TAHAKKUK NAKİT OLAMAZ",IF($C490&gt;TODAY(),"İLERİ TARİH","TAHAKKUK"))),IF(AND($D490&lt;&gt;"",$E490&lt;&gt;"",$G490&gt;0,$H490&lt;&gt;"",$I490&lt;&gt;""),IF($C490&gt;TODAY(),"İLERİ TARİH",IF(COUNTIF($W$7:$W$3001,$W490)&gt;1,"MÜKERRER?",IF($AD490&gt;0,"KAPALI DÖNEM",IF($I490="Hayır","ÖDENECEK","UYGUN")))),"EKSİK"))))</f>
        <v/>
      </c>
      <c r="Q490" s="2"/>
      <c r="R490" s="2"/>
      <c r="S490" s="1" t="str">
        <f t="shared" si="23"/>
        <v/>
      </c>
      <c r="T490" s="1" t="str">
        <f>IF(OR($C490="",$D490&lt;&gt;"Gelir",$L490=""),"",IFERROR(INDEX(MUSTERILER!$B$7:$B$156,MATCH($S490,MUSTERILER!$T$7:$T$156,0)),""))</f>
        <v/>
      </c>
      <c r="U490" s="1" t="str">
        <f>IF($T490="","",$T490&amp;"|"&amp;COUNTIFS($T$7:$T490,$T490))</f>
        <v/>
      </c>
      <c r="V490" s="1">
        <f t="shared" si="24"/>
        <v>0</v>
      </c>
      <c r="W490" s="1" t="str">
        <f t="shared" si="25"/>
        <v/>
      </c>
      <c r="X490" s="1"/>
      <c r="Y490" s="1"/>
      <c r="Z490" s="1"/>
      <c r="AA490" s="1"/>
      <c r="AB490" s="1"/>
      <c r="AC490" s="1"/>
      <c r="AD490" s="1">
        <f>IF($C490="",0,SUMPRODUCT((AY_SONU!$O$7:$O$42="Evet")*(AY_SONU!$B$7:$B$42=DATE(YEAR($C490),MONTH($C490),1))))</f>
        <v>0</v>
      </c>
      <c r="AE490" s="1" t="str">
        <f>IF($E490="","",$E490&amp;"|"&amp;COUNTIFS($E$7:$E490,$E490))</f>
        <v/>
      </c>
    </row>
    <row r="491" spans="1:31" ht="18" customHeight="1" x14ac:dyDescent="0.3">
      <c r="A491" s="2"/>
      <c r="B491" s="65" t="str">
        <f>IF($C491="","","GG"&amp;TEXT(ROW()-6,"00000"))</f>
        <v/>
      </c>
      <c r="C491" s="66"/>
      <c r="D491" s="60"/>
      <c r="E491" s="61"/>
      <c r="F491" s="61"/>
      <c r="G491" s="67"/>
      <c r="H491" s="60"/>
      <c r="I491" s="60"/>
      <c r="J491" s="61"/>
      <c r="K491" s="61"/>
      <c r="L491" s="60"/>
      <c r="M491" s="74" t="str">
        <f>IF($C491="","",IF($D491="Gider",$E491,IF($L491&lt;&gt;"",$L491,$H491)))</f>
        <v/>
      </c>
      <c r="N491" s="74" t="str">
        <f>IF($C491="","",IF($D491="Gider",$H491,$E491))</f>
        <v/>
      </c>
      <c r="O491" s="73" t="str">
        <f>IF($C491="","",DATE(YEAR($C491),MONTH($C491),1))</f>
        <v/>
      </c>
      <c r="P491" s="65" t="str">
        <f ca="1">IF($C491="","",IF(AND($D491="Gelir",$L491&lt;&gt;"",$T491=""),"TANIMSIZ BORÇLU",IF($T491&lt;&gt;"",IF(OR($E491="",$G491&lt;=0),"EKSİK",IF($I491="Evet","TAHAKKUK NAKİT OLAMAZ",IF($C491&gt;TODAY(),"İLERİ TARİH","TAHAKKUK"))),IF(AND($D491&lt;&gt;"",$E491&lt;&gt;"",$G491&gt;0,$H491&lt;&gt;"",$I491&lt;&gt;""),IF($C491&gt;TODAY(),"İLERİ TARİH",IF(COUNTIF($W$7:$W$3001,$W491)&gt;1,"MÜKERRER?",IF($AD491&gt;0,"KAPALI DÖNEM",IF($I491="Hayır","ÖDENECEK","UYGUN")))),"EKSİK"))))</f>
        <v/>
      </c>
      <c r="Q491" s="2"/>
      <c r="R491" s="2"/>
      <c r="S491" s="1" t="str">
        <f t="shared" si="23"/>
        <v/>
      </c>
      <c r="T491" s="1" t="str">
        <f>IF(OR($C491="",$D491&lt;&gt;"Gelir",$L491=""),"",IFERROR(INDEX(MUSTERILER!$B$7:$B$156,MATCH($S491,MUSTERILER!$T$7:$T$156,0)),""))</f>
        <v/>
      </c>
      <c r="U491" s="1" t="str">
        <f>IF($T491="","",$T491&amp;"|"&amp;COUNTIFS($T$7:$T491,$T491))</f>
        <v/>
      </c>
      <c r="V491" s="1">
        <f t="shared" si="24"/>
        <v>0</v>
      </c>
      <c r="W491" s="1" t="str">
        <f t="shared" si="25"/>
        <v/>
      </c>
      <c r="X491" s="1"/>
      <c r="Y491" s="1"/>
      <c r="Z491" s="1"/>
      <c r="AA491" s="1"/>
      <c r="AB491" s="1"/>
      <c r="AC491" s="1"/>
      <c r="AD491" s="1">
        <f>IF($C491="",0,SUMPRODUCT((AY_SONU!$O$7:$O$42="Evet")*(AY_SONU!$B$7:$B$42=DATE(YEAR($C491),MONTH($C491),1))))</f>
        <v>0</v>
      </c>
      <c r="AE491" s="1" t="str">
        <f>IF($E491="","",$E491&amp;"|"&amp;COUNTIFS($E$7:$E491,$E491))</f>
        <v/>
      </c>
    </row>
    <row r="492" spans="1:31" ht="18" customHeight="1" x14ac:dyDescent="0.3">
      <c r="A492" s="2"/>
      <c r="B492" s="65" t="str">
        <f>IF($C492="","","GG"&amp;TEXT(ROW()-6,"00000"))</f>
        <v/>
      </c>
      <c r="C492" s="66"/>
      <c r="D492" s="60"/>
      <c r="E492" s="61"/>
      <c r="F492" s="61"/>
      <c r="G492" s="67"/>
      <c r="H492" s="60"/>
      <c r="I492" s="60"/>
      <c r="J492" s="61"/>
      <c r="K492" s="61"/>
      <c r="L492" s="60"/>
      <c r="M492" s="74" t="str">
        <f>IF($C492="","",IF($D492="Gider",$E492,IF($L492&lt;&gt;"",$L492,$H492)))</f>
        <v/>
      </c>
      <c r="N492" s="74" t="str">
        <f>IF($C492="","",IF($D492="Gider",$H492,$E492))</f>
        <v/>
      </c>
      <c r="O492" s="73" t="str">
        <f>IF($C492="","",DATE(YEAR($C492),MONTH($C492),1))</f>
        <v/>
      </c>
      <c r="P492" s="65" t="str">
        <f ca="1">IF($C492="","",IF(AND($D492="Gelir",$L492&lt;&gt;"",$T492=""),"TANIMSIZ BORÇLU",IF($T492&lt;&gt;"",IF(OR($E492="",$G492&lt;=0),"EKSİK",IF($I492="Evet","TAHAKKUK NAKİT OLAMAZ",IF($C492&gt;TODAY(),"İLERİ TARİH","TAHAKKUK"))),IF(AND($D492&lt;&gt;"",$E492&lt;&gt;"",$G492&gt;0,$H492&lt;&gt;"",$I492&lt;&gt;""),IF($C492&gt;TODAY(),"İLERİ TARİH",IF(COUNTIF($W$7:$W$3001,$W492)&gt;1,"MÜKERRER?",IF($AD492&gt;0,"KAPALI DÖNEM",IF($I492="Hayır","ÖDENECEK","UYGUN")))),"EKSİK"))))</f>
        <v/>
      </c>
      <c r="Q492" s="2"/>
      <c r="R492" s="2"/>
      <c r="S492" s="1" t="str">
        <f t="shared" si="23"/>
        <v/>
      </c>
      <c r="T492" s="1" t="str">
        <f>IF(OR($C492="",$D492&lt;&gt;"Gelir",$L492=""),"",IFERROR(INDEX(MUSTERILER!$B$7:$B$156,MATCH($S492,MUSTERILER!$T$7:$T$156,0)),""))</f>
        <v/>
      </c>
      <c r="U492" s="1" t="str">
        <f>IF($T492="","",$T492&amp;"|"&amp;COUNTIFS($T$7:$T492,$T492))</f>
        <v/>
      </c>
      <c r="V492" s="1">
        <f t="shared" si="24"/>
        <v>0</v>
      </c>
      <c r="W492" s="1" t="str">
        <f t="shared" si="25"/>
        <v/>
      </c>
      <c r="X492" s="1"/>
      <c r="Y492" s="1"/>
      <c r="Z492" s="1"/>
      <c r="AA492" s="1"/>
      <c r="AB492" s="1"/>
      <c r="AC492" s="1"/>
      <c r="AD492" s="1">
        <f>IF($C492="",0,SUMPRODUCT((AY_SONU!$O$7:$O$42="Evet")*(AY_SONU!$B$7:$B$42=DATE(YEAR($C492),MONTH($C492),1))))</f>
        <v>0</v>
      </c>
      <c r="AE492" s="1" t="str">
        <f>IF($E492="","",$E492&amp;"|"&amp;COUNTIFS($E$7:$E492,$E492))</f>
        <v/>
      </c>
    </row>
    <row r="493" spans="1:31" ht="18" customHeight="1" x14ac:dyDescent="0.3">
      <c r="A493" s="2"/>
      <c r="B493" s="65" t="str">
        <f>IF($C493="","","GG"&amp;TEXT(ROW()-6,"00000"))</f>
        <v/>
      </c>
      <c r="C493" s="66"/>
      <c r="D493" s="60"/>
      <c r="E493" s="61"/>
      <c r="F493" s="61"/>
      <c r="G493" s="67"/>
      <c r="H493" s="60"/>
      <c r="I493" s="60"/>
      <c r="J493" s="61"/>
      <c r="K493" s="61"/>
      <c r="L493" s="60"/>
      <c r="M493" s="74" t="str">
        <f>IF($C493="","",IF($D493="Gider",$E493,IF($L493&lt;&gt;"",$L493,$H493)))</f>
        <v/>
      </c>
      <c r="N493" s="74" t="str">
        <f>IF($C493="","",IF($D493="Gider",$H493,$E493))</f>
        <v/>
      </c>
      <c r="O493" s="73" t="str">
        <f>IF($C493="","",DATE(YEAR($C493),MONTH($C493),1))</f>
        <v/>
      </c>
      <c r="P493" s="65" t="str">
        <f ca="1">IF($C493="","",IF(AND($D493="Gelir",$L493&lt;&gt;"",$T493=""),"TANIMSIZ BORÇLU",IF($T493&lt;&gt;"",IF(OR($E493="",$G493&lt;=0),"EKSİK",IF($I493="Evet","TAHAKKUK NAKİT OLAMAZ",IF($C493&gt;TODAY(),"İLERİ TARİH","TAHAKKUK"))),IF(AND($D493&lt;&gt;"",$E493&lt;&gt;"",$G493&gt;0,$H493&lt;&gt;"",$I493&lt;&gt;""),IF($C493&gt;TODAY(),"İLERİ TARİH",IF(COUNTIF($W$7:$W$3001,$W493)&gt;1,"MÜKERRER?",IF($AD493&gt;0,"KAPALI DÖNEM",IF($I493="Hayır","ÖDENECEK","UYGUN")))),"EKSİK"))))</f>
        <v/>
      </c>
      <c r="Q493" s="2"/>
      <c r="R493" s="2"/>
      <c r="S493" s="1" t="str">
        <f t="shared" si="23"/>
        <v/>
      </c>
      <c r="T493" s="1" t="str">
        <f>IF(OR($C493="",$D493&lt;&gt;"Gelir",$L493=""),"",IFERROR(INDEX(MUSTERILER!$B$7:$B$156,MATCH($S493,MUSTERILER!$T$7:$T$156,0)),""))</f>
        <v/>
      </c>
      <c r="U493" s="1" t="str">
        <f>IF($T493="","",$T493&amp;"|"&amp;COUNTIFS($T$7:$T493,$T493))</f>
        <v/>
      </c>
      <c r="V493" s="1">
        <f t="shared" si="24"/>
        <v>0</v>
      </c>
      <c r="W493" s="1" t="str">
        <f t="shared" si="25"/>
        <v/>
      </c>
      <c r="X493" s="1"/>
      <c r="Y493" s="1"/>
      <c r="Z493" s="1"/>
      <c r="AA493" s="1"/>
      <c r="AB493" s="1"/>
      <c r="AC493" s="1"/>
      <c r="AD493" s="1">
        <f>IF($C493="",0,SUMPRODUCT((AY_SONU!$O$7:$O$42="Evet")*(AY_SONU!$B$7:$B$42=DATE(YEAR($C493),MONTH($C493),1))))</f>
        <v>0</v>
      </c>
      <c r="AE493" s="1" t="str">
        <f>IF($E493="","",$E493&amp;"|"&amp;COUNTIFS($E$7:$E493,$E493))</f>
        <v/>
      </c>
    </row>
    <row r="494" spans="1:31" ht="18" customHeight="1" x14ac:dyDescent="0.3">
      <c r="A494" s="2"/>
      <c r="B494" s="65" t="str">
        <f>IF($C494="","","GG"&amp;TEXT(ROW()-6,"00000"))</f>
        <v/>
      </c>
      <c r="C494" s="66"/>
      <c r="D494" s="60"/>
      <c r="E494" s="61"/>
      <c r="F494" s="61"/>
      <c r="G494" s="67"/>
      <c r="H494" s="60"/>
      <c r="I494" s="60"/>
      <c r="J494" s="61"/>
      <c r="K494" s="61"/>
      <c r="L494" s="60"/>
      <c r="M494" s="74" t="str">
        <f>IF($C494="","",IF($D494="Gider",$E494,IF($L494&lt;&gt;"",$L494,$H494)))</f>
        <v/>
      </c>
      <c r="N494" s="74" t="str">
        <f>IF($C494="","",IF($D494="Gider",$H494,$E494))</f>
        <v/>
      </c>
      <c r="O494" s="73" t="str">
        <f>IF($C494="","",DATE(YEAR($C494),MONTH($C494),1))</f>
        <v/>
      </c>
      <c r="P494" s="65" t="str">
        <f ca="1">IF($C494="","",IF(AND($D494="Gelir",$L494&lt;&gt;"",$T494=""),"TANIMSIZ BORÇLU",IF($T494&lt;&gt;"",IF(OR($E494="",$G494&lt;=0),"EKSİK",IF($I494="Evet","TAHAKKUK NAKİT OLAMAZ",IF($C494&gt;TODAY(),"İLERİ TARİH","TAHAKKUK"))),IF(AND($D494&lt;&gt;"",$E494&lt;&gt;"",$G494&gt;0,$H494&lt;&gt;"",$I494&lt;&gt;""),IF($C494&gt;TODAY(),"İLERİ TARİH",IF(COUNTIF($W$7:$W$3001,$W494)&gt;1,"MÜKERRER?",IF($AD494&gt;0,"KAPALI DÖNEM",IF($I494="Hayır","ÖDENECEK","UYGUN")))),"EKSİK"))))</f>
        <v/>
      </c>
      <c r="Q494" s="2"/>
      <c r="R494" s="2"/>
      <c r="S494" s="1" t="str">
        <f t="shared" si="23"/>
        <v/>
      </c>
      <c r="T494" s="1" t="str">
        <f>IF(OR($C494="",$D494&lt;&gt;"Gelir",$L494=""),"",IFERROR(INDEX(MUSTERILER!$B$7:$B$156,MATCH($S494,MUSTERILER!$T$7:$T$156,0)),""))</f>
        <v/>
      </c>
      <c r="U494" s="1" t="str">
        <f>IF($T494="","",$T494&amp;"|"&amp;COUNTIFS($T$7:$T494,$T494))</f>
        <v/>
      </c>
      <c r="V494" s="1">
        <f t="shared" si="24"/>
        <v>0</v>
      </c>
      <c r="W494" s="1" t="str">
        <f t="shared" si="25"/>
        <v/>
      </c>
      <c r="X494" s="1"/>
      <c r="Y494" s="1"/>
      <c r="Z494" s="1"/>
      <c r="AA494" s="1"/>
      <c r="AB494" s="1"/>
      <c r="AC494" s="1"/>
      <c r="AD494" s="1">
        <f>IF($C494="",0,SUMPRODUCT((AY_SONU!$O$7:$O$42="Evet")*(AY_SONU!$B$7:$B$42=DATE(YEAR($C494),MONTH($C494),1))))</f>
        <v>0</v>
      </c>
      <c r="AE494" s="1" t="str">
        <f>IF($E494="","",$E494&amp;"|"&amp;COUNTIFS($E$7:$E494,$E494))</f>
        <v/>
      </c>
    </row>
    <row r="495" spans="1:31" ht="18" customHeight="1" x14ac:dyDescent="0.3">
      <c r="A495" s="2"/>
      <c r="B495" s="65" t="str">
        <f>IF($C495="","","GG"&amp;TEXT(ROW()-6,"00000"))</f>
        <v/>
      </c>
      <c r="C495" s="66"/>
      <c r="D495" s="60"/>
      <c r="E495" s="61"/>
      <c r="F495" s="61"/>
      <c r="G495" s="67"/>
      <c r="H495" s="60"/>
      <c r="I495" s="60"/>
      <c r="J495" s="61"/>
      <c r="K495" s="61"/>
      <c r="L495" s="60"/>
      <c r="M495" s="74" t="str">
        <f>IF($C495="","",IF($D495="Gider",$E495,IF($L495&lt;&gt;"",$L495,$H495)))</f>
        <v/>
      </c>
      <c r="N495" s="74" t="str">
        <f>IF($C495="","",IF($D495="Gider",$H495,$E495))</f>
        <v/>
      </c>
      <c r="O495" s="73" t="str">
        <f>IF($C495="","",DATE(YEAR($C495),MONTH($C495),1))</f>
        <v/>
      </c>
      <c r="P495" s="65" t="str">
        <f ca="1">IF($C495="","",IF(AND($D495="Gelir",$L495&lt;&gt;"",$T495=""),"TANIMSIZ BORÇLU",IF($T495&lt;&gt;"",IF(OR($E495="",$G495&lt;=0),"EKSİK",IF($I495="Evet","TAHAKKUK NAKİT OLAMAZ",IF($C495&gt;TODAY(),"İLERİ TARİH","TAHAKKUK"))),IF(AND($D495&lt;&gt;"",$E495&lt;&gt;"",$G495&gt;0,$H495&lt;&gt;"",$I495&lt;&gt;""),IF($C495&gt;TODAY(),"İLERİ TARİH",IF(COUNTIF($W$7:$W$3001,$W495)&gt;1,"MÜKERRER?",IF($AD495&gt;0,"KAPALI DÖNEM",IF($I495="Hayır","ÖDENECEK","UYGUN")))),"EKSİK"))))</f>
        <v/>
      </c>
      <c r="Q495" s="2"/>
      <c r="R495" s="2"/>
      <c r="S495" s="1" t="str">
        <f t="shared" si="23"/>
        <v/>
      </c>
      <c r="T495" s="1" t="str">
        <f>IF(OR($C495="",$D495&lt;&gt;"Gelir",$L495=""),"",IFERROR(INDEX(MUSTERILER!$B$7:$B$156,MATCH($S495,MUSTERILER!$T$7:$T$156,0)),""))</f>
        <v/>
      </c>
      <c r="U495" s="1" t="str">
        <f>IF($T495="","",$T495&amp;"|"&amp;COUNTIFS($T$7:$T495,$T495))</f>
        <v/>
      </c>
      <c r="V495" s="1">
        <f t="shared" si="24"/>
        <v>0</v>
      </c>
      <c r="W495" s="1" t="str">
        <f t="shared" si="25"/>
        <v/>
      </c>
      <c r="X495" s="1"/>
      <c r="Y495" s="1"/>
      <c r="Z495" s="1"/>
      <c r="AA495" s="1"/>
      <c r="AB495" s="1"/>
      <c r="AC495" s="1"/>
      <c r="AD495" s="1">
        <f>IF($C495="",0,SUMPRODUCT((AY_SONU!$O$7:$O$42="Evet")*(AY_SONU!$B$7:$B$42=DATE(YEAR($C495),MONTH($C495),1))))</f>
        <v>0</v>
      </c>
      <c r="AE495" s="1" t="str">
        <f>IF($E495="","",$E495&amp;"|"&amp;COUNTIFS($E$7:$E495,$E495))</f>
        <v/>
      </c>
    </row>
    <row r="496" spans="1:31" ht="18" customHeight="1" x14ac:dyDescent="0.3">
      <c r="A496" s="2"/>
      <c r="B496" s="65" t="str">
        <f>IF($C496="","","GG"&amp;TEXT(ROW()-6,"00000"))</f>
        <v/>
      </c>
      <c r="C496" s="66"/>
      <c r="D496" s="60"/>
      <c r="E496" s="61"/>
      <c r="F496" s="61"/>
      <c r="G496" s="67"/>
      <c r="H496" s="60"/>
      <c r="I496" s="60"/>
      <c r="J496" s="61"/>
      <c r="K496" s="61"/>
      <c r="L496" s="60"/>
      <c r="M496" s="74" t="str">
        <f>IF($C496="","",IF($D496="Gider",$E496,IF($L496&lt;&gt;"",$L496,$H496)))</f>
        <v/>
      </c>
      <c r="N496" s="74" t="str">
        <f>IF($C496="","",IF($D496="Gider",$H496,$E496))</f>
        <v/>
      </c>
      <c r="O496" s="73" t="str">
        <f>IF($C496="","",DATE(YEAR($C496),MONTH($C496),1))</f>
        <v/>
      </c>
      <c r="P496" s="65" t="str">
        <f ca="1">IF($C496="","",IF(AND($D496="Gelir",$L496&lt;&gt;"",$T496=""),"TANIMSIZ BORÇLU",IF($T496&lt;&gt;"",IF(OR($E496="",$G496&lt;=0),"EKSİK",IF($I496="Evet","TAHAKKUK NAKİT OLAMAZ",IF($C496&gt;TODAY(),"İLERİ TARİH","TAHAKKUK"))),IF(AND($D496&lt;&gt;"",$E496&lt;&gt;"",$G496&gt;0,$H496&lt;&gt;"",$I496&lt;&gt;""),IF($C496&gt;TODAY(),"İLERİ TARİH",IF(COUNTIF($W$7:$W$3001,$W496)&gt;1,"MÜKERRER?",IF($AD496&gt;0,"KAPALI DÖNEM",IF($I496="Hayır","ÖDENECEK","UYGUN")))),"EKSİK"))))</f>
        <v/>
      </c>
      <c r="Q496" s="2"/>
      <c r="R496" s="2"/>
      <c r="S496" s="1" t="str">
        <f t="shared" si="23"/>
        <v/>
      </c>
      <c r="T496" s="1" t="str">
        <f>IF(OR($C496="",$D496&lt;&gt;"Gelir",$L496=""),"",IFERROR(INDEX(MUSTERILER!$B$7:$B$156,MATCH($S496,MUSTERILER!$T$7:$T$156,0)),""))</f>
        <v/>
      </c>
      <c r="U496" s="1" t="str">
        <f>IF($T496="","",$T496&amp;"|"&amp;COUNTIFS($T$7:$T496,$T496))</f>
        <v/>
      </c>
      <c r="V496" s="1">
        <f t="shared" si="24"/>
        <v>0</v>
      </c>
      <c r="W496" s="1" t="str">
        <f t="shared" si="25"/>
        <v/>
      </c>
      <c r="X496" s="1"/>
      <c r="Y496" s="1"/>
      <c r="Z496" s="1"/>
      <c r="AA496" s="1"/>
      <c r="AB496" s="1"/>
      <c r="AC496" s="1"/>
      <c r="AD496" s="1">
        <f>IF($C496="",0,SUMPRODUCT((AY_SONU!$O$7:$O$42="Evet")*(AY_SONU!$B$7:$B$42=DATE(YEAR($C496),MONTH($C496),1))))</f>
        <v>0</v>
      </c>
      <c r="AE496" s="1" t="str">
        <f>IF($E496="","",$E496&amp;"|"&amp;COUNTIFS($E$7:$E496,$E496))</f>
        <v/>
      </c>
    </row>
    <row r="497" spans="1:31" ht="18" customHeight="1" x14ac:dyDescent="0.3">
      <c r="A497" s="2"/>
      <c r="B497" s="65" t="str">
        <f>IF($C497="","","GG"&amp;TEXT(ROW()-6,"00000"))</f>
        <v/>
      </c>
      <c r="C497" s="66"/>
      <c r="D497" s="60"/>
      <c r="E497" s="61"/>
      <c r="F497" s="61"/>
      <c r="G497" s="67"/>
      <c r="H497" s="60"/>
      <c r="I497" s="60"/>
      <c r="J497" s="61"/>
      <c r="K497" s="61"/>
      <c r="L497" s="60"/>
      <c r="M497" s="74" t="str">
        <f>IF($C497="","",IF($D497="Gider",$E497,IF($L497&lt;&gt;"",$L497,$H497)))</f>
        <v/>
      </c>
      <c r="N497" s="74" t="str">
        <f>IF($C497="","",IF($D497="Gider",$H497,$E497))</f>
        <v/>
      </c>
      <c r="O497" s="73" t="str">
        <f>IF($C497="","",DATE(YEAR($C497),MONTH($C497),1))</f>
        <v/>
      </c>
      <c r="P497" s="65" t="str">
        <f ca="1">IF($C497="","",IF(AND($D497="Gelir",$L497&lt;&gt;"",$T497=""),"TANIMSIZ BORÇLU",IF($T497&lt;&gt;"",IF(OR($E497="",$G497&lt;=0),"EKSİK",IF($I497="Evet","TAHAKKUK NAKİT OLAMAZ",IF($C497&gt;TODAY(),"İLERİ TARİH","TAHAKKUK"))),IF(AND($D497&lt;&gt;"",$E497&lt;&gt;"",$G497&gt;0,$H497&lt;&gt;"",$I497&lt;&gt;""),IF($C497&gt;TODAY(),"İLERİ TARİH",IF(COUNTIF($W$7:$W$3001,$W497)&gt;1,"MÜKERRER?",IF($AD497&gt;0,"KAPALI DÖNEM",IF($I497="Hayır","ÖDENECEK","UYGUN")))),"EKSİK"))))</f>
        <v/>
      </c>
      <c r="Q497" s="2"/>
      <c r="R497" s="2"/>
      <c r="S497" s="1" t="str">
        <f t="shared" si="23"/>
        <v/>
      </c>
      <c r="T497" s="1" t="str">
        <f>IF(OR($C497="",$D497&lt;&gt;"Gelir",$L497=""),"",IFERROR(INDEX(MUSTERILER!$B$7:$B$156,MATCH($S497,MUSTERILER!$T$7:$T$156,0)),""))</f>
        <v/>
      </c>
      <c r="U497" s="1" t="str">
        <f>IF($T497="","",$T497&amp;"|"&amp;COUNTIFS($T$7:$T497,$T497))</f>
        <v/>
      </c>
      <c r="V497" s="1">
        <f t="shared" si="24"/>
        <v>0</v>
      </c>
      <c r="W497" s="1" t="str">
        <f t="shared" si="25"/>
        <v/>
      </c>
      <c r="X497" s="1"/>
      <c r="Y497" s="1"/>
      <c r="Z497" s="1"/>
      <c r="AA497" s="1"/>
      <c r="AB497" s="1"/>
      <c r="AC497" s="1"/>
      <c r="AD497" s="1">
        <f>IF($C497="",0,SUMPRODUCT((AY_SONU!$O$7:$O$42="Evet")*(AY_SONU!$B$7:$B$42=DATE(YEAR($C497),MONTH($C497),1))))</f>
        <v>0</v>
      </c>
      <c r="AE497" s="1" t="str">
        <f>IF($E497="","",$E497&amp;"|"&amp;COUNTIFS($E$7:$E497,$E497))</f>
        <v/>
      </c>
    </row>
    <row r="498" spans="1:31" ht="18" customHeight="1" x14ac:dyDescent="0.3">
      <c r="A498" s="2"/>
      <c r="B498" s="65" t="str">
        <f>IF($C498="","","GG"&amp;TEXT(ROW()-6,"00000"))</f>
        <v/>
      </c>
      <c r="C498" s="66"/>
      <c r="D498" s="60"/>
      <c r="E498" s="61"/>
      <c r="F498" s="61"/>
      <c r="G498" s="67"/>
      <c r="H498" s="60"/>
      <c r="I498" s="60"/>
      <c r="J498" s="61"/>
      <c r="K498" s="61"/>
      <c r="L498" s="60"/>
      <c r="M498" s="74" t="str">
        <f>IF($C498="","",IF($D498="Gider",$E498,IF($L498&lt;&gt;"",$L498,$H498)))</f>
        <v/>
      </c>
      <c r="N498" s="74" t="str">
        <f>IF($C498="","",IF($D498="Gider",$H498,$E498))</f>
        <v/>
      </c>
      <c r="O498" s="73" t="str">
        <f>IF($C498="","",DATE(YEAR($C498),MONTH($C498),1))</f>
        <v/>
      </c>
      <c r="P498" s="65" t="str">
        <f ca="1">IF($C498="","",IF(AND($D498="Gelir",$L498&lt;&gt;"",$T498=""),"TANIMSIZ BORÇLU",IF($T498&lt;&gt;"",IF(OR($E498="",$G498&lt;=0),"EKSİK",IF($I498="Evet","TAHAKKUK NAKİT OLAMAZ",IF($C498&gt;TODAY(),"İLERİ TARİH","TAHAKKUK"))),IF(AND($D498&lt;&gt;"",$E498&lt;&gt;"",$G498&gt;0,$H498&lt;&gt;"",$I498&lt;&gt;""),IF($C498&gt;TODAY(),"İLERİ TARİH",IF(COUNTIF($W$7:$W$3001,$W498)&gt;1,"MÜKERRER?",IF($AD498&gt;0,"KAPALI DÖNEM",IF($I498="Hayır","ÖDENECEK","UYGUN")))),"EKSİK"))))</f>
        <v/>
      </c>
      <c r="Q498" s="2"/>
      <c r="R498" s="2"/>
      <c r="S498" s="1" t="str">
        <f t="shared" si="23"/>
        <v/>
      </c>
      <c r="T498" s="1" t="str">
        <f>IF(OR($C498="",$D498&lt;&gt;"Gelir",$L498=""),"",IFERROR(INDEX(MUSTERILER!$B$7:$B$156,MATCH($S498,MUSTERILER!$T$7:$T$156,0)),""))</f>
        <v/>
      </c>
      <c r="U498" s="1" t="str">
        <f>IF($T498="","",$T498&amp;"|"&amp;COUNTIFS($T$7:$T498,$T498))</f>
        <v/>
      </c>
      <c r="V498" s="1">
        <f t="shared" si="24"/>
        <v>0</v>
      </c>
      <c r="W498" s="1" t="str">
        <f t="shared" si="25"/>
        <v/>
      </c>
      <c r="X498" s="1"/>
      <c r="Y498" s="1"/>
      <c r="Z498" s="1"/>
      <c r="AA498" s="1"/>
      <c r="AB498" s="1"/>
      <c r="AC498" s="1"/>
      <c r="AD498" s="1">
        <f>IF($C498="",0,SUMPRODUCT((AY_SONU!$O$7:$O$42="Evet")*(AY_SONU!$B$7:$B$42=DATE(YEAR($C498),MONTH($C498),1))))</f>
        <v>0</v>
      </c>
      <c r="AE498" s="1" t="str">
        <f>IF($E498="","",$E498&amp;"|"&amp;COUNTIFS($E$7:$E498,$E498))</f>
        <v/>
      </c>
    </row>
    <row r="499" spans="1:31" ht="18" customHeight="1" x14ac:dyDescent="0.3">
      <c r="A499" s="2"/>
      <c r="B499" s="65" t="str">
        <f>IF($C499="","","GG"&amp;TEXT(ROW()-6,"00000"))</f>
        <v/>
      </c>
      <c r="C499" s="66"/>
      <c r="D499" s="60"/>
      <c r="E499" s="61"/>
      <c r="F499" s="61"/>
      <c r="G499" s="67"/>
      <c r="H499" s="60"/>
      <c r="I499" s="60"/>
      <c r="J499" s="61"/>
      <c r="K499" s="61"/>
      <c r="L499" s="60"/>
      <c r="M499" s="74" t="str">
        <f>IF($C499="","",IF($D499="Gider",$E499,IF($L499&lt;&gt;"",$L499,$H499)))</f>
        <v/>
      </c>
      <c r="N499" s="74" t="str">
        <f>IF($C499="","",IF($D499="Gider",$H499,$E499))</f>
        <v/>
      </c>
      <c r="O499" s="73" t="str">
        <f>IF($C499="","",DATE(YEAR($C499),MONTH($C499),1))</f>
        <v/>
      </c>
      <c r="P499" s="65" t="str">
        <f ca="1">IF($C499="","",IF(AND($D499="Gelir",$L499&lt;&gt;"",$T499=""),"TANIMSIZ BORÇLU",IF($T499&lt;&gt;"",IF(OR($E499="",$G499&lt;=0),"EKSİK",IF($I499="Evet","TAHAKKUK NAKİT OLAMAZ",IF($C499&gt;TODAY(),"İLERİ TARİH","TAHAKKUK"))),IF(AND($D499&lt;&gt;"",$E499&lt;&gt;"",$G499&gt;0,$H499&lt;&gt;"",$I499&lt;&gt;""),IF($C499&gt;TODAY(),"İLERİ TARİH",IF(COUNTIF($W$7:$W$3001,$W499)&gt;1,"MÜKERRER?",IF($AD499&gt;0,"KAPALI DÖNEM",IF($I499="Hayır","ÖDENECEK","UYGUN")))),"EKSİK"))))</f>
        <v/>
      </c>
      <c r="Q499" s="2"/>
      <c r="R499" s="2"/>
      <c r="S499" s="1" t="str">
        <f t="shared" si="23"/>
        <v/>
      </c>
      <c r="T499" s="1" t="str">
        <f>IF(OR($C499="",$D499&lt;&gt;"Gelir",$L499=""),"",IFERROR(INDEX(MUSTERILER!$B$7:$B$156,MATCH($S499,MUSTERILER!$T$7:$T$156,0)),""))</f>
        <v/>
      </c>
      <c r="U499" s="1" t="str">
        <f>IF($T499="","",$T499&amp;"|"&amp;COUNTIFS($T$7:$T499,$T499))</f>
        <v/>
      </c>
      <c r="V499" s="1">
        <f t="shared" si="24"/>
        <v>0</v>
      </c>
      <c r="W499" s="1" t="str">
        <f t="shared" si="25"/>
        <v/>
      </c>
      <c r="X499" s="1"/>
      <c r="Y499" s="1"/>
      <c r="Z499" s="1"/>
      <c r="AA499" s="1"/>
      <c r="AB499" s="1"/>
      <c r="AC499" s="1"/>
      <c r="AD499" s="1">
        <f>IF($C499="",0,SUMPRODUCT((AY_SONU!$O$7:$O$42="Evet")*(AY_SONU!$B$7:$B$42=DATE(YEAR($C499),MONTH($C499),1))))</f>
        <v>0</v>
      </c>
      <c r="AE499" s="1" t="str">
        <f>IF($E499="","",$E499&amp;"|"&amp;COUNTIFS($E$7:$E499,$E499))</f>
        <v/>
      </c>
    </row>
    <row r="500" spans="1:31" ht="18" customHeight="1" x14ac:dyDescent="0.3">
      <c r="A500" s="2"/>
      <c r="B500" s="65" t="str">
        <f>IF($C500="","","GG"&amp;TEXT(ROW()-6,"00000"))</f>
        <v/>
      </c>
      <c r="C500" s="66"/>
      <c r="D500" s="60"/>
      <c r="E500" s="61"/>
      <c r="F500" s="61"/>
      <c r="G500" s="67"/>
      <c r="H500" s="60"/>
      <c r="I500" s="60"/>
      <c r="J500" s="61"/>
      <c r="K500" s="61"/>
      <c r="L500" s="60"/>
      <c r="M500" s="74" t="str">
        <f>IF($C500="","",IF($D500="Gider",$E500,IF($L500&lt;&gt;"",$L500,$H500)))</f>
        <v/>
      </c>
      <c r="N500" s="74" t="str">
        <f>IF($C500="","",IF($D500="Gider",$H500,$E500))</f>
        <v/>
      </c>
      <c r="O500" s="73" t="str">
        <f>IF($C500="","",DATE(YEAR($C500),MONTH($C500),1))</f>
        <v/>
      </c>
      <c r="P500" s="65" t="str">
        <f ca="1">IF($C500="","",IF(AND($D500="Gelir",$L500&lt;&gt;"",$T500=""),"TANIMSIZ BORÇLU",IF($T500&lt;&gt;"",IF(OR($E500="",$G500&lt;=0),"EKSİK",IF($I500="Evet","TAHAKKUK NAKİT OLAMAZ",IF($C500&gt;TODAY(),"İLERİ TARİH","TAHAKKUK"))),IF(AND($D500&lt;&gt;"",$E500&lt;&gt;"",$G500&gt;0,$H500&lt;&gt;"",$I500&lt;&gt;""),IF($C500&gt;TODAY(),"İLERİ TARİH",IF(COUNTIF($W$7:$W$3001,$W500)&gt;1,"MÜKERRER?",IF($AD500&gt;0,"KAPALI DÖNEM",IF($I500="Hayır","ÖDENECEK","UYGUN")))),"EKSİK"))))</f>
        <v/>
      </c>
      <c r="Q500" s="2"/>
      <c r="R500" s="2"/>
      <c r="S500" s="1" t="str">
        <f t="shared" si="23"/>
        <v/>
      </c>
      <c r="T500" s="1" t="str">
        <f>IF(OR($C500="",$D500&lt;&gt;"Gelir",$L500=""),"",IFERROR(INDEX(MUSTERILER!$B$7:$B$156,MATCH($S500,MUSTERILER!$T$7:$T$156,0)),""))</f>
        <v/>
      </c>
      <c r="U500" s="1" t="str">
        <f>IF($T500="","",$T500&amp;"|"&amp;COUNTIFS($T$7:$T500,$T500))</f>
        <v/>
      </c>
      <c r="V500" s="1">
        <f t="shared" si="24"/>
        <v>0</v>
      </c>
      <c r="W500" s="1" t="str">
        <f t="shared" si="25"/>
        <v/>
      </c>
      <c r="X500" s="1"/>
      <c r="Y500" s="1"/>
      <c r="Z500" s="1"/>
      <c r="AA500" s="1"/>
      <c r="AB500" s="1"/>
      <c r="AC500" s="1"/>
      <c r="AD500" s="1">
        <f>IF($C500="",0,SUMPRODUCT((AY_SONU!$O$7:$O$42="Evet")*(AY_SONU!$B$7:$B$42=DATE(YEAR($C500),MONTH($C500),1))))</f>
        <v>0</v>
      </c>
      <c r="AE500" s="1" t="str">
        <f>IF($E500="","",$E500&amp;"|"&amp;COUNTIFS($E$7:$E500,$E500))</f>
        <v/>
      </c>
    </row>
    <row r="501" spans="1:31" ht="18" customHeight="1" x14ac:dyDescent="0.3">
      <c r="A501" s="2"/>
      <c r="B501" s="65" t="str">
        <f>IF($C501="","","GG"&amp;TEXT(ROW()-6,"00000"))</f>
        <v/>
      </c>
      <c r="C501" s="66"/>
      <c r="D501" s="60"/>
      <c r="E501" s="61"/>
      <c r="F501" s="61"/>
      <c r="G501" s="67"/>
      <c r="H501" s="60"/>
      <c r="I501" s="60"/>
      <c r="J501" s="61"/>
      <c r="K501" s="61"/>
      <c r="L501" s="60"/>
      <c r="M501" s="74" t="str">
        <f>IF($C501="","",IF($D501="Gider",$E501,IF($L501&lt;&gt;"",$L501,$H501)))</f>
        <v/>
      </c>
      <c r="N501" s="74" t="str">
        <f>IF($C501="","",IF($D501="Gider",$H501,$E501))</f>
        <v/>
      </c>
      <c r="O501" s="73" t="str">
        <f>IF($C501="","",DATE(YEAR($C501),MONTH($C501),1))</f>
        <v/>
      </c>
      <c r="P501" s="65" t="str">
        <f ca="1">IF($C501="","",IF(AND($D501="Gelir",$L501&lt;&gt;"",$T501=""),"TANIMSIZ BORÇLU",IF($T501&lt;&gt;"",IF(OR($E501="",$G501&lt;=0),"EKSİK",IF($I501="Evet","TAHAKKUK NAKİT OLAMAZ",IF($C501&gt;TODAY(),"İLERİ TARİH","TAHAKKUK"))),IF(AND($D501&lt;&gt;"",$E501&lt;&gt;"",$G501&gt;0,$H501&lt;&gt;"",$I501&lt;&gt;""),IF($C501&gt;TODAY(),"İLERİ TARİH",IF(COUNTIF($W$7:$W$3001,$W501)&gt;1,"MÜKERRER?",IF($AD501&gt;0,"KAPALI DÖNEM",IF($I501="Hayır","ÖDENECEK","UYGUN")))),"EKSİK"))))</f>
        <v/>
      </c>
      <c r="Q501" s="2"/>
      <c r="R501" s="2"/>
      <c r="S501" s="1" t="str">
        <f t="shared" si="23"/>
        <v/>
      </c>
      <c r="T501" s="1" t="str">
        <f>IF(OR($C501="",$D501&lt;&gt;"Gelir",$L501=""),"",IFERROR(INDEX(MUSTERILER!$B$7:$B$156,MATCH($S501,MUSTERILER!$T$7:$T$156,0)),""))</f>
        <v/>
      </c>
      <c r="U501" s="1" t="str">
        <f>IF($T501="","",$T501&amp;"|"&amp;COUNTIFS($T$7:$T501,$T501))</f>
        <v/>
      </c>
      <c r="V501" s="1">
        <f t="shared" si="24"/>
        <v>0</v>
      </c>
      <c r="W501" s="1" t="str">
        <f t="shared" si="25"/>
        <v/>
      </c>
      <c r="X501" s="1"/>
      <c r="Y501" s="1"/>
      <c r="Z501" s="1"/>
      <c r="AA501" s="1"/>
      <c r="AB501" s="1"/>
      <c r="AC501" s="1"/>
      <c r="AD501" s="1">
        <f>IF($C501="",0,SUMPRODUCT((AY_SONU!$O$7:$O$42="Evet")*(AY_SONU!$B$7:$B$42=DATE(YEAR($C501),MONTH($C501),1))))</f>
        <v>0</v>
      </c>
      <c r="AE501" s="1" t="str">
        <f>IF($E501="","",$E501&amp;"|"&amp;COUNTIFS($E$7:$E501,$E501))</f>
        <v/>
      </c>
    </row>
    <row r="502" spans="1:31" ht="18" customHeight="1" x14ac:dyDescent="0.3">
      <c r="A502" s="2"/>
      <c r="B502" s="65" t="str">
        <f>IF($C502="","","GG"&amp;TEXT(ROW()-6,"00000"))</f>
        <v/>
      </c>
      <c r="C502" s="66"/>
      <c r="D502" s="60"/>
      <c r="E502" s="61"/>
      <c r="F502" s="61"/>
      <c r="G502" s="67"/>
      <c r="H502" s="60"/>
      <c r="I502" s="60"/>
      <c r="J502" s="61"/>
      <c r="K502" s="61"/>
      <c r="L502" s="60"/>
      <c r="M502" s="74" t="str">
        <f>IF($C502="","",IF($D502="Gider",$E502,IF($L502&lt;&gt;"",$L502,$H502)))</f>
        <v/>
      </c>
      <c r="N502" s="74" t="str">
        <f>IF($C502="","",IF($D502="Gider",$H502,$E502))</f>
        <v/>
      </c>
      <c r="O502" s="73" t="str">
        <f>IF($C502="","",DATE(YEAR($C502),MONTH($C502),1))</f>
        <v/>
      </c>
      <c r="P502" s="65" t="str">
        <f ca="1">IF($C502="","",IF(AND($D502="Gelir",$L502&lt;&gt;"",$T502=""),"TANIMSIZ BORÇLU",IF($T502&lt;&gt;"",IF(OR($E502="",$G502&lt;=0),"EKSİK",IF($I502="Evet","TAHAKKUK NAKİT OLAMAZ",IF($C502&gt;TODAY(),"İLERİ TARİH","TAHAKKUK"))),IF(AND($D502&lt;&gt;"",$E502&lt;&gt;"",$G502&gt;0,$H502&lt;&gt;"",$I502&lt;&gt;""),IF($C502&gt;TODAY(),"İLERİ TARİH",IF(COUNTIF($W$7:$W$3001,$W502)&gt;1,"MÜKERRER?",IF($AD502&gt;0,"KAPALI DÖNEM",IF($I502="Hayır","ÖDENECEK","UYGUN")))),"EKSİK"))))</f>
        <v/>
      </c>
      <c r="Q502" s="2"/>
      <c r="R502" s="2"/>
      <c r="S502" s="1" t="str">
        <f t="shared" si="23"/>
        <v/>
      </c>
      <c r="T502" s="1" t="str">
        <f>IF(OR($C502="",$D502&lt;&gt;"Gelir",$L502=""),"",IFERROR(INDEX(MUSTERILER!$B$7:$B$156,MATCH($S502,MUSTERILER!$T$7:$T$156,0)),""))</f>
        <v/>
      </c>
      <c r="U502" s="1" t="str">
        <f>IF($T502="","",$T502&amp;"|"&amp;COUNTIFS($T$7:$T502,$T502))</f>
        <v/>
      </c>
      <c r="V502" s="1">
        <f t="shared" si="24"/>
        <v>0</v>
      </c>
      <c r="W502" s="1" t="str">
        <f t="shared" si="25"/>
        <v/>
      </c>
      <c r="X502" s="1"/>
      <c r="Y502" s="1"/>
      <c r="Z502" s="1"/>
      <c r="AA502" s="1"/>
      <c r="AB502" s="1"/>
      <c r="AC502" s="1"/>
      <c r="AD502" s="1">
        <f>IF($C502="",0,SUMPRODUCT((AY_SONU!$O$7:$O$42="Evet")*(AY_SONU!$B$7:$B$42=DATE(YEAR($C502),MONTH($C502),1))))</f>
        <v>0</v>
      </c>
      <c r="AE502" s="1" t="str">
        <f>IF($E502="","",$E502&amp;"|"&amp;COUNTIFS($E$7:$E502,$E502))</f>
        <v/>
      </c>
    </row>
    <row r="503" spans="1:31" ht="18" customHeight="1" x14ac:dyDescent="0.3">
      <c r="A503" s="2"/>
      <c r="B503" s="65" t="str">
        <f>IF($C503="","","GG"&amp;TEXT(ROW()-6,"00000"))</f>
        <v/>
      </c>
      <c r="C503" s="66"/>
      <c r="D503" s="60"/>
      <c r="E503" s="61"/>
      <c r="F503" s="61"/>
      <c r="G503" s="67"/>
      <c r="H503" s="60"/>
      <c r="I503" s="60"/>
      <c r="J503" s="61"/>
      <c r="K503" s="61"/>
      <c r="L503" s="60"/>
      <c r="M503" s="74" t="str">
        <f>IF($C503="","",IF($D503="Gider",$E503,IF($L503&lt;&gt;"",$L503,$H503)))</f>
        <v/>
      </c>
      <c r="N503" s="74" t="str">
        <f>IF($C503="","",IF($D503="Gider",$H503,$E503))</f>
        <v/>
      </c>
      <c r="O503" s="73" t="str">
        <f>IF($C503="","",DATE(YEAR($C503),MONTH($C503),1))</f>
        <v/>
      </c>
      <c r="P503" s="65" t="str">
        <f ca="1">IF($C503="","",IF(AND($D503="Gelir",$L503&lt;&gt;"",$T503=""),"TANIMSIZ BORÇLU",IF($T503&lt;&gt;"",IF(OR($E503="",$G503&lt;=0),"EKSİK",IF($I503="Evet","TAHAKKUK NAKİT OLAMAZ",IF($C503&gt;TODAY(),"İLERİ TARİH","TAHAKKUK"))),IF(AND($D503&lt;&gt;"",$E503&lt;&gt;"",$G503&gt;0,$H503&lt;&gt;"",$I503&lt;&gt;""),IF($C503&gt;TODAY(),"İLERİ TARİH",IF(COUNTIF($W$7:$W$3001,$W503)&gt;1,"MÜKERRER?",IF($AD503&gt;0,"KAPALI DÖNEM",IF($I503="Hayır","ÖDENECEK","UYGUN")))),"EKSİK"))))</f>
        <v/>
      </c>
      <c r="Q503" s="2"/>
      <c r="R503" s="2"/>
      <c r="S503" s="1" t="str">
        <f t="shared" si="23"/>
        <v/>
      </c>
      <c r="T503" s="1" t="str">
        <f>IF(OR($C503="",$D503&lt;&gt;"Gelir",$L503=""),"",IFERROR(INDEX(MUSTERILER!$B$7:$B$156,MATCH($S503,MUSTERILER!$T$7:$T$156,0)),""))</f>
        <v/>
      </c>
      <c r="U503" s="1" t="str">
        <f>IF($T503="","",$T503&amp;"|"&amp;COUNTIFS($T$7:$T503,$T503))</f>
        <v/>
      </c>
      <c r="V503" s="1">
        <f t="shared" si="24"/>
        <v>0</v>
      </c>
      <c r="W503" s="1" t="str">
        <f t="shared" si="25"/>
        <v/>
      </c>
      <c r="X503" s="1"/>
      <c r="Y503" s="1"/>
      <c r="Z503" s="1"/>
      <c r="AA503" s="1"/>
      <c r="AB503" s="1"/>
      <c r="AC503" s="1"/>
      <c r="AD503" s="1">
        <f>IF($C503="",0,SUMPRODUCT((AY_SONU!$O$7:$O$42="Evet")*(AY_SONU!$B$7:$B$42=DATE(YEAR($C503),MONTH($C503),1))))</f>
        <v>0</v>
      </c>
      <c r="AE503" s="1" t="str">
        <f>IF($E503="","",$E503&amp;"|"&amp;COUNTIFS($E$7:$E503,$E503))</f>
        <v/>
      </c>
    </row>
    <row r="504" spans="1:31" ht="18" customHeight="1" x14ac:dyDescent="0.3">
      <c r="A504" s="2"/>
      <c r="B504" s="65" t="str">
        <f>IF($C504="","","GG"&amp;TEXT(ROW()-6,"00000"))</f>
        <v/>
      </c>
      <c r="C504" s="66"/>
      <c r="D504" s="60"/>
      <c r="E504" s="61"/>
      <c r="F504" s="61"/>
      <c r="G504" s="67"/>
      <c r="H504" s="60"/>
      <c r="I504" s="60"/>
      <c r="J504" s="61"/>
      <c r="K504" s="61"/>
      <c r="L504" s="60"/>
      <c r="M504" s="74" t="str">
        <f>IF($C504="","",IF($D504="Gider",$E504,IF($L504&lt;&gt;"",$L504,$H504)))</f>
        <v/>
      </c>
      <c r="N504" s="74" t="str">
        <f>IF($C504="","",IF($D504="Gider",$H504,$E504))</f>
        <v/>
      </c>
      <c r="O504" s="73" t="str">
        <f>IF($C504="","",DATE(YEAR($C504),MONTH($C504),1))</f>
        <v/>
      </c>
      <c r="P504" s="65" t="str">
        <f ca="1">IF($C504="","",IF(AND($D504="Gelir",$L504&lt;&gt;"",$T504=""),"TANIMSIZ BORÇLU",IF($T504&lt;&gt;"",IF(OR($E504="",$G504&lt;=0),"EKSİK",IF($I504="Evet","TAHAKKUK NAKİT OLAMAZ",IF($C504&gt;TODAY(),"İLERİ TARİH","TAHAKKUK"))),IF(AND($D504&lt;&gt;"",$E504&lt;&gt;"",$G504&gt;0,$H504&lt;&gt;"",$I504&lt;&gt;""),IF($C504&gt;TODAY(),"İLERİ TARİH",IF(COUNTIF($W$7:$W$3001,$W504)&gt;1,"MÜKERRER?",IF($AD504&gt;0,"KAPALI DÖNEM",IF($I504="Hayır","ÖDENECEK","UYGUN")))),"EKSİK"))))</f>
        <v/>
      </c>
      <c r="Q504" s="2"/>
      <c r="R504" s="2"/>
      <c r="S504" s="1" t="str">
        <f t="shared" si="23"/>
        <v/>
      </c>
      <c r="T504" s="1" t="str">
        <f>IF(OR($C504="",$D504&lt;&gt;"Gelir",$L504=""),"",IFERROR(INDEX(MUSTERILER!$B$7:$B$156,MATCH($S504,MUSTERILER!$T$7:$T$156,0)),""))</f>
        <v/>
      </c>
      <c r="U504" s="1" t="str">
        <f>IF($T504="","",$T504&amp;"|"&amp;COUNTIFS($T$7:$T504,$T504))</f>
        <v/>
      </c>
      <c r="V504" s="1">
        <f t="shared" si="24"/>
        <v>0</v>
      </c>
      <c r="W504" s="1" t="str">
        <f t="shared" si="25"/>
        <v/>
      </c>
      <c r="X504" s="1"/>
      <c r="Y504" s="1"/>
      <c r="Z504" s="1"/>
      <c r="AA504" s="1"/>
      <c r="AB504" s="1"/>
      <c r="AC504" s="1"/>
      <c r="AD504" s="1">
        <f>IF($C504="",0,SUMPRODUCT((AY_SONU!$O$7:$O$42="Evet")*(AY_SONU!$B$7:$B$42=DATE(YEAR($C504),MONTH($C504),1))))</f>
        <v>0</v>
      </c>
      <c r="AE504" s="1" t="str">
        <f>IF($E504="","",$E504&amp;"|"&amp;COUNTIFS($E$7:$E504,$E504))</f>
        <v/>
      </c>
    </row>
    <row r="505" spans="1:31" ht="18" customHeight="1" x14ac:dyDescent="0.3">
      <c r="A505" s="2"/>
      <c r="B505" s="65" t="str">
        <f>IF($C505="","","GG"&amp;TEXT(ROW()-6,"00000"))</f>
        <v/>
      </c>
      <c r="C505" s="66"/>
      <c r="D505" s="60"/>
      <c r="E505" s="61"/>
      <c r="F505" s="61"/>
      <c r="G505" s="67"/>
      <c r="H505" s="60"/>
      <c r="I505" s="60"/>
      <c r="J505" s="61"/>
      <c r="K505" s="61"/>
      <c r="L505" s="60"/>
      <c r="M505" s="74" t="str">
        <f>IF($C505="","",IF($D505="Gider",$E505,IF($L505&lt;&gt;"",$L505,$H505)))</f>
        <v/>
      </c>
      <c r="N505" s="74" t="str">
        <f>IF($C505="","",IF($D505="Gider",$H505,$E505))</f>
        <v/>
      </c>
      <c r="O505" s="73" t="str">
        <f>IF($C505="","",DATE(YEAR($C505),MONTH($C505),1))</f>
        <v/>
      </c>
      <c r="P505" s="65" t="str">
        <f ca="1">IF($C505="","",IF(AND($D505="Gelir",$L505&lt;&gt;"",$T505=""),"TANIMSIZ BORÇLU",IF($T505&lt;&gt;"",IF(OR($E505="",$G505&lt;=0),"EKSİK",IF($I505="Evet","TAHAKKUK NAKİT OLAMAZ",IF($C505&gt;TODAY(),"İLERİ TARİH","TAHAKKUK"))),IF(AND($D505&lt;&gt;"",$E505&lt;&gt;"",$G505&gt;0,$H505&lt;&gt;"",$I505&lt;&gt;""),IF($C505&gt;TODAY(),"İLERİ TARİH",IF(COUNTIF($W$7:$W$3001,$W505)&gt;1,"MÜKERRER?",IF($AD505&gt;0,"KAPALI DÖNEM",IF($I505="Hayır","ÖDENECEK","UYGUN")))),"EKSİK"))))</f>
        <v/>
      </c>
      <c r="Q505" s="2"/>
      <c r="R505" s="2"/>
      <c r="S505" s="1" t="str">
        <f t="shared" si="23"/>
        <v/>
      </c>
      <c r="T505" s="1" t="str">
        <f>IF(OR($C505="",$D505&lt;&gt;"Gelir",$L505=""),"",IFERROR(INDEX(MUSTERILER!$B$7:$B$156,MATCH($S505,MUSTERILER!$T$7:$T$156,0)),""))</f>
        <v/>
      </c>
      <c r="U505" s="1" t="str">
        <f>IF($T505="","",$T505&amp;"|"&amp;COUNTIFS($T$7:$T505,$T505))</f>
        <v/>
      </c>
      <c r="V505" s="1">
        <f t="shared" si="24"/>
        <v>0</v>
      </c>
      <c r="W505" s="1" t="str">
        <f t="shared" si="25"/>
        <v/>
      </c>
      <c r="X505" s="1"/>
      <c r="Y505" s="1"/>
      <c r="Z505" s="1"/>
      <c r="AA505" s="1"/>
      <c r="AB505" s="1"/>
      <c r="AC505" s="1"/>
      <c r="AD505" s="1">
        <f>IF($C505="",0,SUMPRODUCT((AY_SONU!$O$7:$O$42="Evet")*(AY_SONU!$B$7:$B$42=DATE(YEAR($C505),MONTH($C505),1))))</f>
        <v>0</v>
      </c>
      <c r="AE505" s="1" t="str">
        <f>IF($E505="","",$E505&amp;"|"&amp;COUNTIFS($E$7:$E505,$E505))</f>
        <v/>
      </c>
    </row>
    <row r="506" spans="1:31" ht="18" customHeight="1" x14ac:dyDescent="0.3">
      <c r="A506" s="2"/>
      <c r="B506" s="65" t="str">
        <f>IF($C506="","","GG"&amp;TEXT(ROW()-6,"00000"))</f>
        <v/>
      </c>
      <c r="C506" s="66"/>
      <c r="D506" s="60"/>
      <c r="E506" s="61"/>
      <c r="F506" s="61"/>
      <c r="G506" s="67"/>
      <c r="H506" s="60"/>
      <c r="I506" s="60"/>
      <c r="J506" s="61"/>
      <c r="K506" s="61"/>
      <c r="L506" s="60"/>
      <c r="M506" s="74" t="str">
        <f>IF($C506="","",IF($D506="Gider",$E506,IF($L506&lt;&gt;"",$L506,$H506)))</f>
        <v/>
      </c>
      <c r="N506" s="74" t="str">
        <f>IF($C506="","",IF($D506="Gider",$H506,$E506))</f>
        <v/>
      </c>
      <c r="O506" s="73" t="str">
        <f>IF($C506="","",DATE(YEAR($C506),MONTH($C506),1))</f>
        <v/>
      </c>
      <c r="P506" s="65" t="str">
        <f ca="1">IF($C506="","",IF(AND($D506="Gelir",$L506&lt;&gt;"",$T506=""),"TANIMSIZ BORÇLU",IF($T506&lt;&gt;"",IF(OR($E506="",$G506&lt;=0),"EKSİK",IF($I506="Evet","TAHAKKUK NAKİT OLAMAZ",IF($C506&gt;TODAY(),"İLERİ TARİH","TAHAKKUK"))),IF(AND($D506&lt;&gt;"",$E506&lt;&gt;"",$G506&gt;0,$H506&lt;&gt;"",$I506&lt;&gt;""),IF($C506&gt;TODAY(),"İLERİ TARİH",IF(COUNTIF($W$7:$W$3001,$W506)&gt;1,"MÜKERRER?",IF($AD506&gt;0,"KAPALI DÖNEM",IF($I506="Hayır","ÖDENECEK","UYGUN")))),"EKSİK"))))</f>
        <v/>
      </c>
      <c r="Q506" s="2"/>
      <c r="R506" s="2"/>
      <c r="S506" s="1" t="str">
        <f t="shared" si="23"/>
        <v/>
      </c>
      <c r="T506" s="1" t="str">
        <f>IF(OR($C506="",$D506&lt;&gt;"Gelir",$L506=""),"",IFERROR(INDEX(MUSTERILER!$B$7:$B$156,MATCH($S506,MUSTERILER!$T$7:$T$156,0)),""))</f>
        <v/>
      </c>
      <c r="U506" s="1" t="str">
        <f>IF($T506="","",$T506&amp;"|"&amp;COUNTIFS($T$7:$T506,$T506))</f>
        <v/>
      </c>
      <c r="V506" s="1">
        <f t="shared" si="24"/>
        <v>0</v>
      </c>
      <c r="W506" s="1" t="str">
        <f t="shared" si="25"/>
        <v/>
      </c>
      <c r="X506" s="1"/>
      <c r="Y506" s="1"/>
      <c r="Z506" s="1"/>
      <c r="AA506" s="1"/>
      <c r="AB506" s="1"/>
      <c r="AC506" s="1"/>
      <c r="AD506" s="1">
        <f>IF($C506="",0,SUMPRODUCT((AY_SONU!$O$7:$O$42="Evet")*(AY_SONU!$B$7:$B$42=DATE(YEAR($C506),MONTH($C506),1))))</f>
        <v>0</v>
      </c>
      <c r="AE506" s="1" t="str">
        <f>IF($E506="","",$E506&amp;"|"&amp;COUNTIFS($E$7:$E506,$E506))</f>
        <v/>
      </c>
    </row>
    <row r="507" spans="1:31" ht="18" customHeight="1" x14ac:dyDescent="0.3">
      <c r="A507" s="2"/>
      <c r="B507" s="65" t="str">
        <f>IF($C507="","","GG"&amp;TEXT(ROW()-6,"00000"))</f>
        <v/>
      </c>
      <c r="C507" s="66"/>
      <c r="D507" s="60"/>
      <c r="E507" s="61"/>
      <c r="F507" s="61"/>
      <c r="G507" s="67"/>
      <c r="H507" s="60"/>
      <c r="I507" s="60"/>
      <c r="J507" s="61"/>
      <c r="K507" s="61"/>
      <c r="L507" s="60"/>
      <c r="M507" s="74" t="str">
        <f>IF($C507="","",IF($D507="Gider",$E507,IF($L507&lt;&gt;"",$L507,$H507)))</f>
        <v/>
      </c>
      <c r="N507" s="74" t="str">
        <f>IF($C507="","",IF($D507="Gider",$H507,$E507))</f>
        <v/>
      </c>
      <c r="O507" s="73" t="str">
        <f>IF($C507="","",DATE(YEAR($C507),MONTH($C507),1))</f>
        <v/>
      </c>
      <c r="P507" s="65" t="str">
        <f ca="1">IF($C507="","",IF(AND($D507="Gelir",$L507&lt;&gt;"",$T507=""),"TANIMSIZ BORÇLU",IF($T507&lt;&gt;"",IF(OR($E507="",$G507&lt;=0),"EKSİK",IF($I507="Evet","TAHAKKUK NAKİT OLAMAZ",IF($C507&gt;TODAY(),"İLERİ TARİH","TAHAKKUK"))),IF(AND($D507&lt;&gt;"",$E507&lt;&gt;"",$G507&gt;0,$H507&lt;&gt;"",$I507&lt;&gt;""),IF($C507&gt;TODAY(),"İLERİ TARİH",IF(COUNTIF($W$7:$W$3001,$W507)&gt;1,"MÜKERRER?",IF($AD507&gt;0,"KAPALI DÖNEM",IF($I507="Hayır","ÖDENECEK","UYGUN")))),"EKSİK"))))</f>
        <v/>
      </c>
      <c r="Q507" s="2"/>
      <c r="R507" s="2"/>
      <c r="S507" s="1" t="str">
        <f t="shared" si="23"/>
        <v/>
      </c>
      <c r="T507" s="1" t="str">
        <f>IF(OR($C507="",$D507&lt;&gt;"Gelir",$L507=""),"",IFERROR(INDEX(MUSTERILER!$B$7:$B$156,MATCH($S507,MUSTERILER!$T$7:$T$156,0)),""))</f>
        <v/>
      </c>
      <c r="U507" s="1" t="str">
        <f>IF($T507="","",$T507&amp;"|"&amp;COUNTIFS($T$7:$T507,$T507))</f>
        <v/>
      </c>
      <c r="V507" s="1">
        <f t="shared" si="24"/>
        <v>0</v>
      </c>
      <c r="W507" s="1" t="str">
        <f t="shared" si="25"/>
        <v/>
      </c>
      <c r="X507" s="1"/>
      <c r="Y507" s="1"/>
      <c r="Z507" s="1"/>
      <c r="AA507" s="1"/>
      <c r="AB507" s="1"/>
      <c r="AC507" s="1"/>
      <c r="AD507" s="1">
        <f>IF($C507="",0,SUMPRODUCT((AY_SONU!$O$7:$O$42="Evet")*(AY_SONU!$B$7:$B$42=DATE(YEAR($C507),MONTH($C507),1))))</f>
        <v>0</v>
      </c>
      <c r="AE507" s="1" t="str">
        <f>IF($E507="","",$E507&amp;"|"&amp;COUNTIFS($E$7:$E507,$E507))</f>
        <v/>
      </c>
    </row>
    <row r="508" spans="1:31" ht="18" customHeight="1" x14ac:dyDescent="0.3">
      <c r="A508" s="2"/>
      <c r="B508" s="65" t="str">
        <f>IF($C508="","","GG"&amp;TEXT(ROW()-6,"00000"))</f>
        <v/>
      </c>
      <c r="C508" s="66"/>
      <c r="D508" s="60"/>
      <c r="E508" s="61"/>
      <c r="F508" s="61"/>
      <c r="G508" s="67"/>
      <c r="H508" s="60"/>
      <c r="I508" s="60"/>
      <c r="J508" s="61"/>
      <c r="K508" s="61"/>
      <c r="L508" s="60"/>
      <c r="M508" s="74" t="str">
        <f>IF($C508="","",IF($D508="Gider",$E508,IF($L508&lt;&gt;"",$L508,$H508)))</f>
        <v/>
      </c>
      <c r="N508" s="74" t="str">
        <f>IF($C508="","",IF($D508="Gider",$H508,$E508))</f>
        <v/>
      </c>
      <c r="O508" s="73" t="str">
        <f>IF($C508="","",DATE(YEAR($C508),MONTH($C508),1))</f>
        <v/>
      </c>
      <c r="P508" s="65" t="str">
        <f ca="1">IF($C508="","",IF(AND($D508="Gelir",$L508&lt;&gt;"",$T508=""),"TANIMSIZ BORÇLU",IF($T508&lt;&gt;"",IF(OR($E508="",$G508&lt;=0),"EKSİK",IF($I508="Evet","TAHAKKUK NAKİT OLAMAZ",IF($C508&gt;TODAY(),"İLERİ TARİH","TAHAKKUK"))),IF(AND($D508&lt;&gt;"",$E508&lt;&gt;"",$G508&gt;0,$H508&lt;&gt;"",$I508&lt;&gt;""),IF($C508&gt;TODAY(),"İLERİ TARİH",IF(COUNTIF($W$7:$W$3001,$W508)&gt;1,"MÜKERRER?",IF($AD508&gt;0,"KAPALI DÖNEM",IF($I508="Hayır","ÖDENECEK","UYGUN")))),"EKSİK"))))</f>
        <v/>
      </c>
      <c r="Q508" s="2"/>
      <c r="R508" s="2"/>
      <c r="S508" s="1" t="str">
        <f t="shared" si="23"/>
        <v/>
      </c>
      <c r="T508" s="1" t="str">
        <f>IF(OR($C508="",$D508&lt;&gt;"Gelir",$L508=""),"",IFERROR(INDEX(MUSTERILER!$B$7:$B$156,MATCH($S508,MUSTERILER!$T$7:$T$156,0)),""))</f>
        <v/>
      </c>
      <c r="U508" s="1" t="str">
        <f>IF($T508="","",$T508&amp;"|"&amp;COUNTIFS($T$7:$T508,$T508))</f>
        <v/>
      </c>
      <c r="V508" s="1">
        <f t="shared" si="24"/>
        <v>0</v>
      </c>
      <c r="W508" s="1" t="str">
        <f t="shared" si="25"/>
        <v/>
      </c>
      <c r="X508" s="1"/>
      <c r="Y508" s="1"/>
      <c r="Z508" s="1"/>
      <c r="AA508" s="1"/>
      <c r="AB508" s="1"/>
      <c r="AC508" s="1"/>
      <c r="AD508" s="1">
        <f>IF($C508="",0,SUMPRODUCT((AY_SONU!$O$7:$O$42="Evet")*(AY_SONU!$B$7:$B$42=DATE(YEAR($C508),MONTH($C508),1))))</f>
        <v>0</v>
      </c>
      <c r="AE508" s="1" t="str">
        <f>IF($E508="","",$E508&amp;"|"&amp;COUNTIFS($E$7:$E508,$E508))</f>
        <v/>
      </c>
    </row>
    <row r="509" spans="1:31" ht="18" customHeight="1" x14ac:dyDescent="0.3">
      <c r="A509" s="2"/>
      <c r="B509" s="65" t="str">
        <f>IF($C509="","","GG"&amp;TEXT(ROW()-6,"00000"))</f>
        <v/>
      </c>
      <c r="C509" s="66"/>
      <c r="D509" s="60"/>
      <c r="E509" s="61"/>
      <c r="F509" s="61"/>
      <c r="G509" s="67"/>
      <c r="H509" s="60"/>
      <c r="I509" s="60"/>
      <c r="J509" s="61"/>
      <c r="K509" s="61"/>
      <c r="L509" s="60"/>
      <c r="M509" s="74" t="str">
        <f>IF($C509="","",IF($D509="Gider",$E509,IF($L509&lt;&gt;"",$L509,$H509)))</f>
        <v/>
      </c>
      <c r="N509" s="74" t="str">
        <f>IF($C509="","",IF($D509="Gider",$H509,$E509))</f>
        <v/>
      </c>
      <c r="O509" s="73" t="str">
        <f>IF($C509="","",DATE(YEAR($C509),MONTH($C509),1))</f>
        <v/>
      </c>
      <c r="P509" s="65" t="str">
        <f ca="1">IF($C509="","",IF(AND($D509="Gelir",$L509&lt;&gt;"",$T509=""),"TANIMSIZ BORÇLU",IF($T509&lt;&gt;"",IF(OR($E509="",$G509&lt;=0),"EKSİK",IF($I509="Evet","TAHAKKUK NAKİT OLAMAZ",IF($C509&gt;TODAY(),"İLERİ TARİH","TAHAKKUK"))),IF(AND($D509&lt;&gt;"",$E509&lt;&gt;"",$G509&gt;0,$H509&lt;&gt;"",$I509&lt;&gt;""),IF($C509&gt;TODAY(),"İLERİ TARİH",IF(COUNTIF($W$7:$W$3001,$W509)&gt;1,"MÜKERRER?",IF($AD509&gt;0,"KAPALI DÖNEM",IF($I509="Hayır","ÖDENECEK","UYGUN")))),"EKSİK"))))</f>
        <v/>
      </c>
      <c r="Q509" s="2"/>
      <c r="R509" s="2"/>
      <c r="S509" s="1" t="str">
        <f t="shared" si="23"/>
        <v/>
      </c>
      <c r="T509" s="1" t="str">
        <f>IF(OR($C509="",$D509&lt;&gt;"Gelir",$L509=""),"",IFERROR(INDEX(MUSTERILER!$B$7:$B$156,MATCH($S509,MUSTERILER!$T$7:$T$156,0)),""))</f>
        <v/>
      </c>
      <c r="U509" s="1" t="str">
        <f>IF($T509="","",$T509&amp;"|"&amp;COUNTIFS($T$7:$T509,$T509))</f>
        <v/>
      </c>
      <c r="V509" s="1">
        <f t="shared" si="24"/>
        <v>0</v>
      </c>
      <c r="W509" s="1" t="str">
        <f t="shared" si="25"/>
        <v/>
      </c>
      <c r="X509" s="1"/>
      <c r="Y509" s="1"/>
      <c r="Z509" s="1"/>
      <c r="AA509" s="1"/>
      <c r="AB509" s="1"/>
      <c r="AC509" s="1"/>
      <c r="AD509" s="1">
        <f>IF($C509="",0,SUMPRODUCT((AY_SONU!$O$7:$O$42="Evet")*(AY_SONU!$B$7:$B$42=DATE(YEAR($C509),MONTH($C509),1))))</f>
        <v>0</v>
      </c>
      <c r="AE509" s="1" t="str">
        <f>IF($E509="","",$E509&amp;"|"&amp;COUNTIFS($E$7:$E509,$E509))</f>
        <v/>
      </c>
    </row>
    <row r="510" spans="1:31" ht="18" customHeight="1" x14ac:dyDescent="0.3">
      <c r="A510" s="2"/>
      <c r="B510" s="65" t="str">
        <f>IF($C510="","","GG"&amp;TEXT(ROW()-6,"00000"))</f>
        <v/>
      </c>
      <c r="C510" s="66"/>
      <c r="D510" s="60"/>
      <c r="E510" s="61"/>
      <c r="F510" s="61"/>
      <c r="G510" s="67"/>
      <c r="H510" s="60"/>
      <c r="I510" s="60"/>
      <c r="J510" s="61"/>
      <c r="K510" s="61"/>
      <c r="L510" s="60"/>
      <c r="M510" s="74" t="str">
        <f>IF($C510="","",IF($D510="Gider",$E510,IF($L510&lt;&gt;"",$L510,$H510)))</f>
        <v/>
      </c>
      <c r="N510" s="74" t="str">
        <f>IF($C510="","",IF($D510="Gider",$H510,$E510))</f>
        <v/>
      </c>
      <c r="O510" s="73" t="str">
        <f>IF($C510="","",DATE(YEAR($C510),MONTH($C510),1))</f>
        <v/>
      </c>
      <c r="P510" s="65" t="str">
        <f ca="1">IF($C510="","",IF(AND($D510="Gelir",$L510&lt;&gt;"",$T510=""),"TANIMSIZ BORÇLU",IF($T510&lt;&gt;"",IF(OR($E510="",$G510&lt;=0),"EKSİK",IF($I510="Evet","TAHAKKUK NAKİT OLAMAZ",IF($C510&gt;TODAY(),"İLERİ TARİH","TAHAKKUK"))),IF(AND($D510&lt;&gt;"",$E510&lt;&gt;"",$G510&gt;0,$H510&lt;&gt;"",$I510&lt;&gt;""),IF($C510&gt;TODAY(),"İLERİ TARİH",IF(COUNTIF($W$7:$W$3001,$W510)&gt;1,"MÜKERRER?",IF($AD510&gt;0,"KAPALI DÖNEM",IF($I510="Hayır","ÖDENECEK","UYGUN")))),"EKSİK"))))</f>
        <v/>
      </c>
      <c r="Q510" s="2"/>
      <c r="R510" s="2"/>
      <c r="S510" s="1" t="str">
        <f t="shared" si="23"/>
        <v/>
      </c>
      <c r="T510" s="1" t="str">
        <f>IF(OR($C510="",$D510&lt;&gt;"Gelir",$L510=""),"",IFERROR(INDEX(MUSTERILER!$B$7:$B$156,MATCH($S510,MUSTERILER!$T$7:$T$156,0)),""))</f>
        <v/>
      </c>
      <c r="U510" s="1" t="str">
        <f>IF($T510="","",$T510&amp;"|"&amp;COUNTIFS($T$7:$T510,$T510))</f>
        <v/>
      </c>
      <c r="V510" s="1">
        <f t="shared" si="24"/>
        <v>0</v>
      </c>
      <c r="W510" s="1" t="str">
        <f t="shared" si="25"/>
        <v/>
      </c>
      <c r="X510" s="1"/>
      <c r="Y510" s="1"/>
      <c r="Z510" s="1"/>
      <c r="AA510" s="1"/>
      <c r="AB510" s="1"/>
      <c r="AC510" s="1"/>
      <c r="AD510" s="1">
        <f>IF($C510="",0,SUMPRODUCT((AY_SONU!$O$7:$O$42="Evet")*(AY_SONU!$B$7:$B$42=DATE(YEAR($C510),MONTH($C510),1))))</f>
        <v>0</v>
      </c>
      <c r="AE510" s="1" t="str">
        <f>IF($E510="","",$E510&amp;"|"&amp;COUNTIFS($E$7:$E510,$E510))</f>
        <v/>
      </c>
    </row>
    <row r="511" spans="1:31" ht="18" customHeight="1" x14ac:dyDescent="0.3">
      <c r="A511" s="2"/>
      <c r="B511" s="65" t="str">
        <f>IF($C511="","","GG"&amp;TEXT(ROW()-6,"00000"))</f>
        <v/>
      </c>
      <c r="C511" s="66"/>
      <c r="D511" s="60"/>
      <c r="E511" s="61"/>
      <c r="F511" s="61"/>
      <c r="G511" s="67"/>
      <c r="H511" s="60"/>
      <c r="I511" s="60"/>
      <c r="J511" s="61"/>
      <c r="K511" s="61"/>
      <c r="L511" s="60"/>
      <c r="M511" s="74" t="str">
        <f>IF($C511="","",IF($D511="Gider",$E511,IF($L511&lt;&gt;"",$L511,$H511)))</f>
        <v/>
      </c>
      <c r="N511" s="74" t="str">
        <f>IF($C511="","",IF($D511="Gider",$H511,$E511))</f>
        <v/>
      </c>
      <c r="O511" s="73" t="str">
        <f>IF($C511="","",DATE(YEAR($C511),MONTH($C511),1))</f>
        <v/>
      </c>
      <c r="P511" s="65" t="str">
        <f ca="1">IF($C511="","",IF(AND($D511="Gelir",$L511&lt;&gt;"",$T511=""),"TANIMSIZ BORÇLU",IF($T511&lt;&gt;"",IF(OR($E511="",$G511&lt;=0),"EKSİK",IF($I511="Evet","TAHAKKUK NAKİT OLAMAZ",IF($C511&gt;TODAY(),"İLERİ TARİH","TAHAKKUK"))),IF(AND($D511&lt;&gt;"",$E511&lt;&gt;"",$G511&gt;0,$H511&lt;&gt;"",$I511&lt;&gt;""),IF($C511&gt;TODAY(),"İLERİ TARİH",IF(COUNTIF($W$7:$W$3001,$W511)&gt;1,"MÜKERRER?",IF($AD511&gt;0,"KAPALI DÖNEM",IF($I511="Hayır","ÖDENECEK","UYGUN")))),"EKSİK"))))</f>
        <v/>
      </c>
      <c r="Q511" s="2"/>
      <c r="R511" s="2"/>
      <c r="S511" s="1" t="str">
        <f t="shared" si="23"/>
        <v/>
      </c>
      <c r="T511" s="1" t="str">
        <f>IF(OR($C511="",$D511&lt;&gt;"Gelir",$L511=""),"",IFERROR(INDEX(MUSTERILER!$B$7:$B$156,MATCH($S511,MUSTERILER!$T$7:$T$156,0)),""))</f>
        <v/>
      </c>
      <c r="U511" s="1" t="str">
        <f>IF($T511="","",$T511&amp;"|"&amp;COUNTIFS($T$7:$T511,$T511))</f>
        <v/>
      </c>
      <c r="V511" s="1">
        <f t="shared" si="24"/>
        <v>0</v>
      </c>
      <c r="W511" s="1" t="str">
        <f t="shared" si="25"/>
        <v/>
      </c>
      <c r="X511" s="1"/>
      <c r="Y511" s="1"/>
      <c r="Z511" s="1"/>
      <c r="AA511" s="1"/>
      <c r="AB511" s="1"/>
      <c r="AC511" s="1"/>
      <c r="AD511" s="1">
        <f>IF($C511="",0,SUMPRODUCT((AY_SONU!$O$7:$O$42="Evet")*(AY_SONU!$B$7:$B$42=DATE(YEAR($C511),MONTH($C511),1))))</f>
        <v>0</v>
      </c>
      <c r="AE511" s="1" t="str">
        <f>IF($E511="","",$E511&amp;"|"&amp;COUNTIFS($E$7:$E511,$E511))</f>
        <v/>
      </c>
    </row>
    <row r="512" spans="1:31" ht="18" customHeight="1" x14ac:dyDescent="0.3">
      <c r="A512" s="2"/>
      <c r="B512" s="65" t="str">
        <f>IF($C512="","","GG"&amp;TEXT(ROW()-6,"00000"))</f>
        <v/>
      </c>
      <c r="C512" s="66"/>
      <c r="D512" s="60"/>
      <c r="E512" s="61"/>
      <c r="F512" s="61"/>
      <c r="G512" s="67"/>
      <c r="H512" s="60"/>
      <c r="I512" s="60"/>
      <c r="J512" s="61"/>
      <c r="K512" s="61"/>
      <c r="L512" s="60"/>
      <c r="M512" s="74" t="str">
        <f>IF($C512="","",IF($D512="Gider",$E512,IF($L512&lt;&gt;"",$L512,$H512)))</f>
        <v/>
      </c>
      <c r="N512" s="74" t="str">
        <f>IF($C512="","",IF($D512="Gider",$H512,$E512))</f>
        <v/>
      </c>
      <c r="O512" s="73" t="str">
        <f>IF($C512="","",DATE(YEAR($C512),MONTH($C512),1))</f>
        <v/>
      </c>
      <c r="P512" s="65" t="str">
        <f ca="1">IF($C512="","",IF(AND($D512="Gelir",$L512&lt;&gt;"",$T512=""),"TANIMSIZ BORÇLU",IF($T512&lt;&gt;"",IF(OR($E512="",$G512&lt;=0),"EKSİK",IF($I512="Evet","TAHAKKUK NAKİT OLAMAZ",IF($C512&gt;TODAY(),"İLERİ TARİH","TAHAKKUK"))),IF(AND($D512&lt;&gt;"",$E512&lt;&gt;"",$G512&gt;0,$H512&lt;&gt;"",$I512&lt;&gt;""),IF($C512&gt;TODAY(),"İLERİ TARİH",IF(COUNTIF($W$7:$W$3001,$W512)&gt;1,"MÜKERRER?",IF($AD512&gt;0,"KAPALI DÖNEM",IF($I512="Hayır","ÖDENECEK","UYGUN")))),"EKSİK"))))</f>
        <v/>
      </c>
      <c r="Q512" s="2"/>
      <c r="R512" s="2"/>
      <c r="S512" s="1" t="str">
        <f t="shared" si="23"/>
        <v/>
      </c>
      <c r="T512" s="1" t="str">
        <f>IF(OR($C512="",$D512&lt;&gt;"Gelir",$L512=""),"",IFERROR(INDEX(MUSTERILER!$B$7:$B$156,MATCH($S512,MUSTERILER!$T$7:$T$156,0)),""))</f>
        <v/>
      </c>
      <c r="U512" s="1" t="str">
        <f>IF($T512="","",$T512&amp;"|"&amp;COUNTIFS($T$7:$T512,$T512))</f>
        <v/>
      </c>
      <c r="V512" s="1">
        <f t="shared" si="24"/>
        <v>0</v>
      </c>
      <c r="W512" s="1" t="str">
        <f t="shared" si="25"/>
        <v/>
      </c>
      <c r="X512" s="1"/>
      <c r="Y512" s="1"/>
      <c r="Z512" s="1"/>
      <c r="AA512" s="1"/>
      <c r="AB512" s="1"/>
      <c r="AC512" s="1"/>
      <c r="AD512" s="1">
        <f>IF($C512="",0,SUMPRODUCT((AY_SONU!$O$7:$O$42="Evet")*(AY_SONU!$B$7:$B$42=DATE(YEAR($C512),MONTH($C512),1))))</f>
        <v>0</v>
      </c>
      <c r="AE512" s="1" t="str">
        <f>IF($E512="","",$E512&amp;"|"&amp;COUNTIFS($E$7:$E512,$E512))</f>
        <v/>
      </c>
    </row>
    <row r="513" spans="1:31" ht="18" customHeight="1" x14ac:dyDescent="0.3">
      <c r="A513" s="2"/>
      <c r="B513" s="65" t="str">
        <f>IF($C513="","","GG"&amp;TEXT(ROW()-6,"00000"))</f>
        <v/>
      </c>
      <c r="C513" s="66"/>
      <c r="D513" s="60"/>
      <c r="E513" s="61"/>
      <c r="F513" s="61"/>
      <c r="G513" s="67"/>
      <c r="H513" s="60"/>
      <c r="I513" s="60"/>
      <c r="J513" s="61"/>
      <c r="K513" s="61"/>
      <c r="L513" s="60"/>
      <c r="M513" s="74" t="str">
        <f>IF($C513="","",IF($D513="Gider",$E513,IF($L513&lt;&gt;"",$L513,$H513)))</f>
        <v/>
      </c>
      <c r="N513" s="74" t="str">
        <f>IF($C513="","",IF($D513="Gider",$H513,$E513))</f>
        <v/>
      </c>
      <c r="O513" s="73" t="str">
        <f>IF($C513="","",DATE(YEAR($C513),MONTH($C513),1))</f>
        <v/>
      </c>
      <c r="P513" s="65" t="str">
        <f ca="1">IF($C513="","",IF(AND($D513="Gelir",$L513&lt;&gt;"",$T513=""),"TANIMSIZ BORÇLU",IF($T513&lt;&gt;"",IF(OR($E513="",$G513&lt;=0),"EKSİK",IF($I513="Evet","TAHAKKUK NAKİT OLAMAZ",IF($C513&gt;TODAY(),"İLERİ TARİH","TAHAKKUK"))),IF(AND($D513&lt;&gt;"",$E513&lt;&gt;"",$G513&gt;0,$H513&lt;&gt;"",$I513&lt;&gt;""),IF($C513&gt;TODAY(),"İLERİ TARİH",IF(COUNTIF($W$7:$W$3001,$W513)&gt;1,"MÜKERRER?",IF($AD513&gt;0,"KAPALI DÖNEM",IF($I513="Hayır","ÖDENECEK","UYGUN")))),"EKSİK"))))</f>
        <v/>
      </c>
      <c r="Q513" s="2"/>
      <c r="R513" s="2"/>
      <c r="S513" s="1" t="str">
        <f t="shared" si="23"/>
        <v/>
      </c>
      <c r="T513" s="1" t="str">
        <f>IF(OR($C513="",$D513&lt;&gt;"Gelir",$L513=""),"",IFERROR(INDEX(MUSTERILER!$B$7:$B$156,MATCH($S513,MUSTERILER!$T$7:$T$156,0)),""))</f>
        <v/>
      </c>
      <c r="U513" s="1" t="str">
        <f>IF($T513="","",$T513&amp;"|"&amp;COUNTIFS($T$7:$T513,$T513))</f>
        <v/>
      </c>
      <c r="V513" s="1">
        <f t="shared" si="24"/>
        <v>0</v>
      </c>
      <c r="W513" s="1" t="str">
        <f t="shared" si="25"/>
        <v/>
      </c>
      <c r="X513" s="1"/>
      <c r="Y513" s="1"/>
      <c r="Z513" s="1"/>
      <c r="AA513" s="1"/>
      <c r="AB513" s="1"/>
      <c r="AC513" s="1"/>
      <c r="AD513" s="1">
        <f>IF($C513="",0,SUMPRODUCT((AY_SONU!$O$7:$O$42="Evet")*(AY_SONU!$B$7:$B$42=DATE(YEAR($C513),MONTH($C513),1))))</f>
        <v>0</v>
      </c>
      <c r="AE513" s="1" t="str">
        <f>IF($E513="","",$E513&amp;"|"&amp;COUNTIFS($E$7:$E513,$E513))</f>
        <v/>
      </c>
    </row>
    <row r="514" spans="1:31" ht="18" customHeight="1" x14ac:dyDescent="0.3">
      <c r="A514" s="2"/>
      <c r="B514" s="65" t="str">
        <f>IF($C514="","","GG"&amp;TEXT(ROW()-6,"00000"))</f>
        <v/>
      </c>
      <c r="C514" s="66"/>
      <c r="D514" s="60"/>
      <c r="E514" s="61"/>
      <c r="F514" s="61"/>
      <c r="G514" s="67"/>
      <c r="H514" s="60"/>
      <c r="I514" s="60"/>
      <c r="J514" s="61"/>
      <c r="K514" s="61"/>
      <c r="L514" s="60"/>
      <c r="M514" s="74" t="str">
        <f>IF($C514="","",IF($D514="Gider",$E514,IF($L514&lt;&gt;"",$L514,$H514)))</f>
        <v/>
      </c>
      <c r="N514" s="74" t="str">
        <f>IF($C514="","",IF($D514="Gider",$H514,$E514))</f>
        <v/>
      </c>
      <c r="O514" s="73" t="str">
        <f>IF($C514="","",DATE(YEAR($C514),MONTH($C514),1))</f>
        <v/>
      </c>
      <c r="P514" s="65" t="str">
        <f ca="1">IF($C514="","",IF(AND($D514="Gelir",$L514&lt;&gt;"",$T514=""),"TANIMSIZ BORÇLU",IF($T514&lt;&gt;"",IF(OR($E514="",$G514&lt;=0),"EKSİK",IF($I514="Evet","TAHAKKUK NAKİT OLAMAZ",IF($C514&gt;TODAY(),"İLERİ TARİH","TAHAKKUK"))),IF(AND($D514&lt;&gt;"",$E514&lt;&gt;"",$G514&gt;0,$H514&lt;&gt;"",$I514&lt;&gt;""),IF($C514&gt;TODAY(),"İLERİ TARİH",IF(COUNTIF($W$7:$W$3001,$W514)&gt;1,"MÜKERRER?",IF($AD514&gt;0,"KAPALI DÖNEM",IF($I514="Hayır","ÖDENECEK","UYGUN")))),"EKSİK"))))</f>
        <v/>
      </c>
      <c r="Q514" s="2"/>
      <c r="R514" s="2"/>
      <c r="S514" s="1" t="str">
        <f t="shared" si="23"/>
        <v/>
      </c>
      <c r="T514" s="1" t="str">
        <f>IF(OR($C514="",$D514&lt;&gt;"Gelir",$L514=""),"",IFERROR(INDEX(MUSTERILER!$B$7:$B$156,MATCH($S514,MUSTERILER!$T$7:$T$156,0)),""))</f>
        <v/>
      </c>
      <c r="U514" s="1" t="str">
        <f>IF($T514="","",$T514&amp;"|"&amp;COUNTIFS($T$7:$T514,$T514))</f>
        <v/>
      </c>
      <c r="V514" s="1">
        <f t="shared" si="24"/>
        <v>0</v>
      </c>
      <c r="W514" s="1" t="str">
        <f t="shared" si="25"/>
        <v/>
      </c>
      <c r="X514" s="1"/>
      <c r="Y514" s="1"/>
      <c r="Z514" s="1"/>
      <c r="AA514" s="1"/>
      <c r="AB514" s="1"/>
      <c r="AC514" s="1"/>
      <c r="AD514" s="1">
        <f>IF($C514="",0,SUMPRODUCT((AY_SONU!$O$7:$O$42="Evet")*(AY_SONU!$B$7:$B$42=DATE(YEAR($C514),MONTH($C514),1))))</f>
        <v>0</v>
      </c>
      <c r="AE514" s="1" t="str">
        <f>IF($E514="","",$E514&amp;"|"&amp;COUNTIFS($E$7:$E514,$E514))</f>
        <v/>
      </c>
    </row>
    <row r="515" spans="1:31" ht="18" customHeight="1" x14ac:dyDescent="0.3">
      <c r="A515" s="2"/>
      <c r="B515" s="65" t="str">
        <f>IF($C515="","","GG"&amp;TEXT(ROW()-6,"00000"))</f>
        <v/>
      </c>
      <c r="C515" s="66"/>
      <c r="D515" s="60"/>
      <c r="E515" s="61"/>
      <c r="F515" s="61"/>
      <c r="G515" s="67"/>
      <c r="H515" s="60"/>
      <c r="I515" s="60"/>
      <c r="J515" s="61"/>
      <c r="K515" s="61"/>
      <c r="L515" s="60"/>
      <c r="M515" s="74" t="str">
        <f>IF($C515="","",IF($D515="Gider",$E515,IF($L515&lt;&gt;"",$L515,$H515)))</f>
        <v/>
      </c>
      <c r="N515" s="74" t="str">
        <f>IF($C515="","",IF($D515="Gider",$H515,$E515))</f>
        <v/>
      </c>
      <c r="O515" s="73" t="str">
        <f>IF($C515="","",DATE(YEAR($C515),MONTH($C515),1))</f>
        <v/>
      </c>
      <c r="P515" s="65" t="str">
        <f ca="1">IF($C515="","",IF(AND($D515="Gelir",$L515&lt;&gt;"",$T515=""),"TANIMSIZ BORÇLU",IF($T515&lt;&gt;"",IF(OR($E515="",$G515&lt;=0),"EKSİK",IF($I515="Evet","TAHAKKUK NAKİT OLAMAZ",IF($C515&gt;TODAY(),"İLERİ TARİH","TAHAKKUK"))),IF(AND($D515&lt;&gt;"",$E515&lt;&gt;"",$G515&gt;0,$H515&lt;&gt;"",$I515&lt;&gt;""),IF($C515&gt;TODAY(),"İLERİ TARİH",IF(COUNTIF($W$7:$W$3001,$W515)&gt;1,"MÜKERRER?",IF($AD515&gt;0,"KAPALI DÖNEM",IF($I515="Hayır","ÖDENECEK","UYGUN")))),"EKSİK"))))</f>
        <v/>
      </c>
      <c r="Q515" s="2"/>
      <c r="R515" s="2"/>
      <c r="S515" s="1" t="str">
        <f t="shared" si="23"/>
        <v/>
      </c>
      <c r="T515" s="1" t="str">
        <f>IF(OR($C515="",$D515&lt;&gt;"Gelir",$L515=""),"",IFERROR(INDEX(MUSTERILER!$B$7:$B$156,MATCH($S515,MUSTERILER!$T$7:$T$156,0)),""))</f>
        <v/>
      </c>
      <c r="U515" s="1" t="str">
        <f>IF($T515="","",$T515&amp;"|"&amp;COUNTIFS($T$7:$T515,$T515))</f>
        <v/>
      </c>
      <c r="V515" s="1">
        <f t="shared" si="24"/>
        <v>0</v>
      </c>
      <c r="W515" s="1" t="str">
        <f t="shared" si="25"/>
        <v/>
      </c>
      <c r="X515" s="1"/>
      <c r="Y515" s="1"/>
      <c r="Z515" s="1"/>
      <c r="AA515" s="1"/>
      <c r="AB515" s="1"/>
      <c r="AC515" s="1"/>
      <c r="AD515" s="1">
        <f>IF($C515="",0,SUMPRODUCT((AY_SONU!$O$7:$O$42="Evet")*(AY_SONU!$B$7:$B$42=DATE(YEAR($C515),MONTH($C515),1))))</f>
        <v>0</v>
      </c>
      <c r="AE515" s="1" t="str">
        <f>IF($E515="","",$E515&amp;"|"&amp;COUNTIFS($E$7:$E515,$E515))</f>
        <v/>
      </c>
    </row>
    <row r="516" spans="1:31" ht="18" customHeight="1" x14ac:dyDescent="0.3">
      <c r="A516" s="2"/>
      <c r="B516" s="65" t="str">
        <f>IF($C516="","","GG"&amp;TEXT(ROW()-6,"00000"))</f>
        <v/>
      </c>
      <c r="C516" s="66"/>
      <c r="D516" s="60"/>
      <c r="E516" s="61"/>
      <c r="F516" s="61"/>
      <c r="G516" s="67"/>
      <c r="H516" s="60"/>
      <c r="I516" s="60"/>
      <c r="J516" s="61"/>
      <c r="K516" s="61"/>
      <c r="L516" s="60"/>
      <c r="M516" s="74" t="str">
        <f>IF($C516="","",IF($D516="Gider",$E516,IF($L516&lt;&gt;"",$L516,$H516)))</f>
        <v/>
      </c>
      <c r="N516" s="74" t="str">
        <f>IF($C516="","",IF($D516="Gider",$H516,$E516))</f>
        <v/>
      </c>
      <c r="O516" s="73" t="str">
        <f>IF($C516="","",DATE(YEAR($C516),MONTH($C516),1))</f>
        <v/>
      </c>
      <c r="P516" s="65" t="str">
        <f ca="1">IF($C516="","",IF(AND($D516="Gelir",$L516&lt;&gt;"",$T516=""),"TANIMSIZ BORÇLU",IF($T516&lt;&gt;"",IF(OR($E516="",$G516&lt;=0),"EKSİK",IF($I516="Evet","TAHAKKUK NAKİT OLAMAZ",IF($C516&gt;TODAY(),"İLERİ TARİH","TAHAKKUK"))),IF(AND($D516&lt;&gt;"",$E516&lt;&gt;"",$G516&gt;0,$H516&lt;&gt;"",$I516&lt;&gt;""),IF($C516&gt;TODAY(),"İLERİ TARİH",IF(COUNTIF($W$7:$W$3001,$W516)&gt;1,"MÜKERRER?",IF($AD516&gt;0,"KAPALI DÖNEM",IF($I516="Hayır","ÖDENECEK","UYGUN")))),"EKSİK"))))</f>
        <v/>
      </c>
      <c r="Q516" s="2"/>
      <c r="R516" s="2"/>
      <c r="S516" s="1" t="str">
        <f t="shared" si="23"/>
        <v/>
      </c>
      <c r="T516" s="1" t="str">
        <f>IF(OR($C516="",$D516&lt;&gt;"Gelir",$L516=""),"",IFERROR(INDEX(MUSTERILER!$B$7:$B$156,MATCH($S516,MUSTERILER!$T$7:$T$156,0)),""))</f>
        <v/>
      </c>
      <c r="U516" s="1" t="str">
        <f>IF($T516="","",$T516&amp;"|"&amp;COUNTIFS($T$7:$T516,$T516))</f>
        <v/>
      </c>
      <c r="V516" s="1">
        <f t="shared" si="24"/>
        <v>0</v>
      </c>
      <c r="W516" s="1" t="str">
        <f t="shared" si="25"/>
        <v/>
      </c>
      <c r="X516" s="1"/>
      <c r="Y516" s="1"/>
      <c r="Z516" s="1"/>
      <c r="AA516" s="1"/>
      <c r="AB516" s="1"/>
      <c r="AC516" s="1"/>
      <c r="AD516" s="1">
        <f>IF($C516="",0,SUMPRODUCT((AY_SONU!$O$7:$O$42="Evet")*(AY_SONU!$B$7:$B$42=DATE(YEAR($C516),MONTH($C516),1))))</f>
        <v>0</v>
      </c>
      <c r="AE516" s="1" t="str">
        <f>IF($E516="","",$E516&amp;"|"&amp;COUNTIFS($E$7:$E516,$E516))</f>
        <v/>
      </c>
    </row>
    <row r="517" spans="1:31" ht="18" customHeight="1" x14ac:dyDescent="0.3">
      <c r="A517" s="2"/>
      <c r="B517" s="65" t="str">
        <f>IF($C517="","","GG"&amp;TEXT(ROW()-6,"00000"))</f>
        <v/>
      </c>
      <c r="C517" s="66"/>
      <c r="D517" s="60"/>
      <c r="E517" s="61"/>
      <c r="F517" s="61"/>
      <c r="G517" s="67"/>
      <c r="H517" s="60"/>
      <c r="I517" s="60"/>
      <c r="J517" s="61"/>
      <c r="K517" s="61"/>
      <c r="L517" s="60"/>
      <c r="M517" s="74" t="str">
        <f>IF($C517="","",IF($D517="Gider",$E517,IF($L517&lt;&gt;"",$L517,$H517)))</f>
        <v/>
      </c>
      <c r="N517" s="74" t="str">
        <f>IF($C517="","",IF($D517="Gider",$H517,$E517))</f>
        <v/>
      </c>
      <c r="O517" s="73" t="str">
        <f>IF($C517="","",DATE(YEAR($C517),MONTH($C517),1))</f>
        <v/>
      </c>
      <c r="P517" s="65" t="str">
        <f ca="1">IF($C517="","",IF(AND($D517="Gelir",$L517&lt;&gt;"",$T517=""),"TANIMSIZ BORÇLU",IF($T517&lt;&gt;"",IF(OR($E517="",$G517&lt;=0),"EKSİK",IF($I517="Evet","TAHAKKUK NAKİT OLAMAZ",IF($C517&gt;TODAY(),"İLERİ TARİH","TAHAKKUK"))),IF(AND($D517&lt;&gt;"",$E517&lt;&gt;"",$G517&gt;0,$H517&lt;&gt;"",$I517&lt;&gt;""),IF($C517&gt;TODAY(),"İLERİ TARİH",IF(COUNTIF($W$7:$W$3001,$W517)&gt;1,"MÜKERRER?",IF($AD517&gt;0,"KAPALI DÖNEM",IF($I517="Hayır","ÖDENECEK","UYGUN")))),"EKSİK"))))</f>
        <v/>
      </c>
      <c r="Q517" s="2"/>
      <c r="R517" s="2"/>
      <c r="S517" s="1" t="str">
        <f t="shared" ref="S517:S580" si="26"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1" t="str">
        <f>IF(OR($C517="",$D517&lt;&gt;"Gelir",$L517=""),"",IFERROR(INDEX(MUSTERILER!$B$7:$B$156,MATCH($S517,MUSTERILER!$T$7:$T$156,0)),""))</f>
        <v/>
      </c>
      <c r="U517" s="1" t="str">
        <f>IF($T517="","",$T517&amp;"|"&amp;COUNTIFS($T$7:$T517,$T517))</f>
        <v/>
      </c>
      <c r="V517" s="1">
        <f t="shared" ref="V517:V580" si="27">IF($T517="",0,1)</f>
        <v>0</v>
      </c>
      <c r="W517" s="1" t="str">
        <f t="shared" ref="W517:W580" si="28">IF($C517="","",$D517&amp;"|"&amp;$E517&amp;"|"&amp;TEXT($C517,"0")&amp;"|"&amp;TEXT($G517,"0")&amp;"|"&amp;$F517&amp;"|"&amp;$J517)</f>
        <v/>
      </c>
      <c r="X517" s="1"/>
      <c r="Y517" s="1"/>
      <c r="Z517" s="1"/>
      <c r="AA517" s="1"/>
      <c r="AB517" s="1"/>
      <c r="AC517" s="1"/>
      <c r="AD517" s="1">
        <f>IF($C517="",0,SUMPRODUCT((AY_SONU!$O$7:$O$42="Evet")*(AY_SONU!$B$7:$B$42=DATE(YEAR($C517),MONTH($C517),1))))</f>
        <v>0</v>
      </c>
      <c r="AE517" s="1" t="str">
        <f>IF($E517="","",$E517&amp;"|"&amp;COUNTIFS($E$7:$E517,$E517))</f>
        <v/>
      </c>
    </row>
    <row r="518" spans="1:31" ht="18" customHeight="1" x14ac:dyDescent="0.3">
      <c r="A518" s="2"/>
      <c r="B518" s="65" t="str">
        <f>IF($C518="","","GG"&amp;TEXT(ROW()-6,"00000"))</f>
        <v/>
      </c>
      <c r="C518" s="66"/>
      <c r="D518" s="60"/>
      <c r="E518" s="61"/>
      <c r="F518" s="61"/>
      <c r="G518" s="67"/>
      <c r="H518" s="60"/>
      <c r="I518" s="60"/>
      <c r="J518" s="61"/>
      <c r="K518" s="61"/>
      <c r="L518" s="60"/>
      <c r="M518" s="74" t="str">
        <f>IF($C518="","",IF($D518="Gider",$E518,IF($L518&lt;&gt;"",$L518,$H518)))</f>
        <v/>
      </c>
      <c r="N518" s="74" t="str">
        <f>IF($C518="","",IF($D518="Gider",$H518,$E518))</f>
        <v/>
      </c>
      <c r="O518" s="73" t="str">
        <f>IF($C518="","",DATE(YEAR($C518),MONTH($C518),1))</f>
        <v/>
      </c>
      <c r="P518" s="65" t="str">
        <f ca="1">IF($C518="","",IF(AND($D518="Gelir",$L518&lt;&gt;"",$T518=""),"TANIMSIZ BORÇLU",IF($T518&lt;&gt;"",IF(OR($E518="",$G518&lt;=0),"EKSİK",IF($I518="Evet","TAHAKKUK NAKİT OLAMAZ",IF($C518&gt;TODAY(),"İLERİ TARİH","TAHAKKUK"))),IF(AND($D518&lt;&gt;"",$E518&lt;&gt;"",$G518&gt;0,$H518&lt;&gt;"",$I518&lt;&gt;""),IF($C518&gt;TODAY(),"İLERİ TARİH",IF(COUNTIF($W$7:$W$3001,$W518)&gt;1,"MÜKERRER?",IF($AD518&gt;0,"KAPALI DÖNEM",IF($I518="Hayır","ÖDENECEK","UYGUN")))),"EKSİK"))))</f>
        <v/>
      </c>
      <c r="Q518" s="2"/>
      <c r="R518" s="2"/>
      <c r="S518" s="1" t="str">
        <f t="shared" si="26"/>
        <v/>
      </c>
      <c r="T518" s="1" t="str">
        <f>IF(OR($C518="",$D518&lt;&gt;"Gelir",$L518=""),"",IFERROR(INDEX(MUSTERILER!$B$7:$B$156,MATCH($S518,MUSTERILER!$T$7:$T$156,0)),""))</f>
        <v/>
      </c>
      <c r="U518" s="1" t="str">
        <f>IF($T518="","",$T518&amp;"|"&amp;COUNTIFS($T$7:$T518,$T518))</f>
        <v/>
      </c>
      <c r="V518" s="1">
        <f t="shared" si="27"/>
        <v>0</v>
      </c>
      <c r="W518" s="1" t="str">
        <f t="shared" si="28"/>
        <v/>
      </c>
      <c r="X518" s="1"/>
      <c r="Y518" s="1"/>
      <c r="Z518" s="1"/>
      <c r="AA518" s="1"/>
      <c r="AB518" s="1"/>
      <c r="AC518" s="1"/>
      <c r="AD518" s="1">
        <f>IF($C518="",0,SUMPRODUCT((AY_SONU!$O$7:$O$42="Evet")*(AY_SONU!$B$7:$B$42=DATE(YEAR($C518),MONTH($C518),1))))</f>
        <v>0</v>
      </c>
      <c r="AE518" s="1" t="str">
        <f>IF($E518="","",$E518&amp;"|"&amp;COUNTIFS($E$7:$E518,$E518))</f>
        <v/>
      </c>
    </row>
    <row r="519" spans="1:31" ht="18" customHeight="1" x14ac:dyDescent="0.3">
      <c r="A519" s="2"/>
      <c r="B519" s="65" t="str">
        <f>IF($C519="","","GG"&amp;TEXT(ROW()-6,"00000"))</f>
        <v/>
      </c>
      <c r="C519" s="66"/>
      <c r="D519" s="60"/>
      <c r="E519" s="61"/>
      <c r="F519" s="61"/>
      <c r="G519" s="67"/>
      <c r="H519" s="60"/>
      <c r="I519" s="60"/>
      <c r="J519" s="61"/>
      <c r="K519" s="61"/>
      <c r="L519" s="60"/>
      <c r="M519" s="74" t="str">
        <f>IF($C519="","",IF($D519="Gider",$E519,IF($L519&lt;&gt;"",$L519,$H519)))</f>
        <v/>
      </c>
      <c r="N519" s="74" t="str">
        <f>IF($C519="","",IF($D519="Gider",$H519,$E519))</f>
        <v/>
      </c>
      <c r="O519" s="73" t="str">
        <f>IF($C519="","",DATE(YEAR($C519),MONTH($C519),1))</f>
        <v/>
      </c>
      <c r="P519" s="65" t="str">
        <f ca="1"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TARİH",IF(COUNTIF($W$7:$W$3001,$W519)&gt;1,"MÜKERRER?",IF($AD519&gt;0,"KAPALI DÖNEM",IF($I519="Hayır","ÖDENECEK","UYGUN")))),"EKSİK"))))</f>
        <v/>
      </c>
      <c r="Q519" s="2"/>
      <c r="R519" s="2"/>
      <c r="S519" s="1" t="str">
        <f t="shared" si="26"/>
        <v/>
      </c>
      <c r="T519" s="1" t="str">
        <f>IF(OR($C519="",$D519&lt;&gt;"Gelir",$L519=""),"",IFERROR(INDEX(MUSTERILER!$B$7:$B$156,MATCH($S519,MUSTERILER!$T$7:$T$156,0)),""))</f>
        <v/>
      </c>
      <c r="U519" s="1" t="str">
        <f>IF($T519="","",$T519&amp;"|"&amp;COUNTIFS($T$7:$T519,$T519))</f>
        <v/>
      </c>
      <c r="V519" s="1">
        <f t="shared" si="27"/>
        <v>0</v>
      </c>
      <c r="W519" s="1" t="str">
        <f t="shared" si="28"/>
        <v/>
      </c>
      <c r="X519" s="1"/>
      <c r="Y519" s="1"/>
      <c r="Z519" s="1"/>
      <c r="AA519" s="1"/>
      <c r="AB519" s="1"/>
      <c r="AC519" s="1"/>
      <c r="AD519" s="1">
        <f>IF($C519="",0,SUMPRODUCT((AY_SONU!$O$7:$O$42="Evet")*(AY_SONU!$B$7:$B$42=DATE(YEAR($C519),MONTH($C519),1))))</f>
        <v>0</v>
      </c>
      <c r="AE519" s="1" t="str">
        <f>IF($E519="","",$E519&amp;"|"&amp;COUNTIFS($E$7:$E519,$E519))</f>
        <v/>
      </c>
    </row>
    <row r="520" spans="1:31" ht="18" customHeight="1" x14ac:dyDescent="0.3">
      <c r="A520" s="2"/>
      <c r="B520" s="65" t="str">
        <f>IF($C520="","","GG"&amp;TEXT(ROW()-6,"00000"))</f>
        <v/>
      </c>
      <c r="C520" s="66"/>
      <c r="D520" s="60"/>
      <c r="E520" s="61"/>
      <c r="F520" s="61"/>
      <c r="G520" s="67"/>
      <c r="H520" s="60"/>
      <c r="I520" s="60"/>
      <c r="J520" s="61"/>
      <c r="K520" s="61"/>
      <c r="L520" s="60"/>
      <c r="M520" s="74" t="str">
        <f>IF($C520="","",IF($D520="Gider",$E520,IF($L520&lt;&gt;"",$L520,$H520)))</f>
        <v/>
      </c>
      <c r="N520" s="74" t="str">
        <f>IF($C520="","",IF($D520="Gider",$H520,$E520))</f>
        <v/>
      </c>
      <c r="O520" s="73" t="str">
        <f>IF($C520="","",DATE(YEAR($C520),MONTH($C520),1))</f>
        <v/>
      </c>
      <c r="P520" s="65" t="str">
        <f ca="1">IF($C520="","",IF(AND($D520="Gelir",$L520&lt;&gt;"",$T520=""),"TANIMSIZ BORÇLU",IF($T520&lt;&gt;"",IF(OR($E520="",$G520&lt;=0),"EKSİK",IF($I520="Evet","TAHAKKUK NAKİT OLAMAZ",IF($C520&gt;TODAY(),"İLERİ TARİH","TAHAKKUK"))),IF(AND($D520&lt;&gt;"",$E520&lt;&gt;"",$G520&gt;0,$H520&lt;&gt;"",$I520&lt;&gt;""),IF($C520&gt;TODAY(),"İLERİ TARİH",IF(COUNTIF($W$7:$W$3001,$W520)&gt;1,"MÜKERRER?",IF($AD520&gt;0,"KAPALI DÖNEM",IF($I520="Hayır","ÖDENECEK","UYGUN")))),"EKSİK"))))</f>
        <v/>
      </c>
      <c r="Q520" s="2"/>
      <c r="R520" s="2"/>
      <c r="S520" s="1" t="str">
        <f t="shared" si="26"/>
        <v/>
      </c>
      <c r="T520" s="1" t="str">
        <f>IF(OR($C520="",$D520&lt;&gt;"Gelir",$L520=""),"",IFERROR(INDEX(MUSTERILER!$B$7:$B$156,MATCH($S520,MUSTERILER!$T$7:$T$156,0)),""))</f>
        <v/>
      </c>
      <c r="U520" s="1" t="str">
        <f>IF($T520="","",$T520&amp;"|"&amp;COUNTIFS($T$7:$T520,$T520))</f>
        <v/>
      </c>
      <c r="V520" s="1">
        <f t="shared" si="27"/>
        <v>0</v>
      </c>
      <c r="W520" s="1" t="str">
        <f t="shared" si="28"/>
        <v/>
      </c>
      <c r="X520" s="1"/>
      <c r="Y520" s="1"/>
      <c r="Z520" s="1"/>
      <c r="AA520" s="1"/>
      <c r="AB520" s="1"/>
      <c r="AC520" s="1"/>
      <c r="AD520" s="1">
        <f>IF($C520="",0,SUMPRODUCT((AY_SONU!$O$7:$O$42="Evet")*(AY_SONU!$B$7:$B$42=DATE(YEAR($C520),MONTH($C520),1))))</f>
        <v>0</v>
      </c>
      <c r="AE520" s="1" t="str">
        <f>IF($E520="","",$E520&amp;"|"&amp;COUNTIFS($E$7:$E520,$E520))</f>
        <v/>
      </c>
    </row>
    <row r="521" spans="1:31" ht="18" customHeight="1" x14ac:dyDescent="0.3">
      <c r="A521" s="2"/>
      <c r="B521" s="65" t="str">
        <f>IF($C521="","","GG"&amp;TEXT(ROW()-6,"00000"))</f>
        <v/>
      </c>
      <c r="C521" s="66"/>
      <c r="D521" s="60"/>
      <c r="E521" s="61"/>
      <c r="F521" s="61"/>
      <c r="G521" s="67"/>
      <c r="H521" s="60"/>
      <c r="I521" s="60"/>
      <c r="J521" s="61"/>
      <c r="K521" s="61"/>
      <c r="L521" s="60"/>
      <c r="M521" s="74" t="str">
        <f>IF($C521="","",IF($D521="Gider",$E521,IF($L521&lt;&gt;"",$L521,$H521)))</f>
        <v/>
      </c>
      <c r="N521" s="74" t="str">
        <f>IF($C521="","",IF($D521="Gider",$H521,$E521))</f>
        <v/>
      </c>
      <c r="O521" s="73" t="str">
        <f>IF($C521="","",DATE(YEAR($C521),MONTH($C521),1))</f>
        <v/>
      </c>
      <c r="P521" s="65" t="str">
        <f ca="1">IF($C521="","",IF(AND($D521="Gelir",$L521&lt;&gt;"",$T521=""),"TANIMSIZ BORÇLU",IF($T521&lt;&gt;"",IF(OR($E521="",$G521&lt;=0),"EKSİK",IF($I521="Evet","TAHAKKUK NAKİT OLAMAZ",IF($C521&gt;TODAY(),"İLERİ TARİH","TAHAKKUK"))),IF(AND($D521&lt;&gt;"",$E521&lt;&gt;"",$G521&gt;0,$H521&lt;&gt;"",$I521&lt;&gt;""),IF($C521&gt;TODAY(),"İLERİ TARİH",IF(COUNTIF($W$7:$W$3001,$W521)&gt;1,"MÜKERRER?",IF($AD521&gt;0,"KAPALI DÖNEM",IF($I521="Hayır","ÖDENECEK","UYGUN")))),"EKSİK"))))</f>
        <v/>
      </c>
      <c r="Q521" s="2"/>
      <c r="R521" s="2"/>
      <c r="S521" s="1" t="str">
        <f t="shared" si="26"/>
        <v/>
      </c>
      <c r="T521" s="1" t="str">
        <f>IF(OR($C521="",$D521&lt;&gt;"Gelir",$L521=""),"",IFERROR(INDEX(MUSTERILER!$B$7:$B$156,MATCH($S521,MUSTERILER!$T$7:$T$156,0)),""))</f>
        <v/>
      </c>
      <c r="U521" s="1" t="str">
        <f>IF($T521="","",$T521&amp;"|"&amp;COUNTIFS($T$7:$T521,$T521))</f>
        <v/>
      </c>
      <c r="V521" s="1">
        <f t="shared" si="27"/>
        <v>0</v>
      </c>
      <c r="W521" s="1" t="str">
        <f t="shared" si="28"/>
        <v/>
      </c>
      <c r="X521" s="1"/>
      <c r="Y521" s="1"/>
      <c r="Z521" s="1"/>
      <c r="AA521" s="1"/>
      <c r="AB521" s="1"/>
      <c r="AC521" s="1"/>
      <c r="AD521" s="1">
        <f>IF($C521="",0,SUMPRODUCT((AY_SONU!$O$7:$O$42="Evet")*(AY_SONU!$B$7:$B$42=DATE(YEAR($C521),MONTH($C521),1))))</f>
        <v>0</v>
      </c>
      <c r="AE521" s="1" t="str">
        <f>IF($E521="","",$E521&amp;"|"&amp;COUNTIFS($E$7:$E521,$E521))</f>
        <v/>
      </c>
    </row>
    <row r="522" spans="1:31" ht="18" customHeight="1" x14ac:dyDescent="0.3">
      <c r="A522" s="2"/>
      <c r="B522" s="65" t="str">
        <f>IF($C522="","","GG"&amp;TEXT(ROW()-6,"00000"))</f>
        <v/>
      </c>
      <c r="C522" s="66"/>
      <c r="D522" s="60"/>
      <c r="E522" s="61"/>
      <c r="F522" s="61"/>
      <c r="G522" s="67"/>
      <c r="H522" s="60"/>
      <c r="I522" s="60"/>
      <c r="J522" s="61"/>
      <c r="K522" s="61"/>
      <c r="L522" s="60"/>
      <c r="M522" s="74" t="str">
        <f>IF($C522="","",IF($D522="Gider",$E522,IF($L522&lt;&gt;"",$L522,$H522)))</f>
        <v/>
      </c>
      <c r="N522" s="74" t="str">
        <f>IF($C522="","",IF($D522="Gider",$H522,$E522))</f>
        <v/>
      </c>
      <c r="O522" s="73" t="str">
        <f>IF($C522="","",DATE(YEAR($C522),MONTH($C522),1))</f>
        <v/>
      </c>
      <c r="P522" s="65" t="str">
        <f ca="1">IF($C522="","",IF(AND($D522="Gelir",$L522&lt;&gt;"",$T522=""),"TANIMSIZ BORÇLU",IF($T522&lt;&gt;"",IF(OR($E522="",$G522&lt;=0),"EKSİK",IF($I522="Evet","TAHAKKUK NAKİT OLAMAZ",IF($C522&gt;TODAY(),"İLERİ TARİH","TAHAKKUK"))),IF(AND($D522&lt;&gt;"",$E522&lt;&gt;"",$G522&gt;0,$H522&lt;&gt;"",$I522&lt;&gt;""),IF($C522&gt;TODAY(),"İLERİ TARİH",IF(COUNTIF($W$7:$W$3001,$W522)&gt;1,"MÜKERRER?",IF($AD522&gt;0,"KAPALI DÖNEM",IF($I522="Hayır","ÖDENECEK","UYGUN")))),"EKSİK"))))</f>
        <v/>
      </c>
      <c r="Q522" s="2"/>
      <c r="R522" s="2"/>
      <c r="S522" s="1" t="str">
        <f t="shared" si="26"/>
        <v/>
      </c>
      <c r="T522" s="1" t="str">
        <f>IF(OR($C522="",$D522&lt;&gt;"Gelir",$L522=""),"",IFERROR(INDEX(MUSTERILER!$B$7:$B$156,MATCH($S522,MUSTERILER!$T$7:$T$156,0)),""))</f>
        <v/>
      </c>
      <c r="U522" s="1" t="str">
        <f>IF($T522="","",$T522&amp;"|"&amp;COUNTIFS($T$7:$T522,$T522))</f>
        <v/>
      </c>
      <c r="V522" s="1">
        <f t="shared" si="27"/>
        <v>0</v>
      </c>
      <c r="W522" s="1" t="str">
        <f t="shared" si="28"/>
        <v/>
      </c>
      <c r="X522" s="1"/>
      <c r="Y522" s="1"/>
      <c r="Z522" s="1"/>
      <c r="AA522" s="1"/>
      <c r="AB522" s="1"/>
      <c r="AC522" s="1"/>
      <c r="AD522" s="1">
        <f>IF($C522="",0,SUMPRODUCT((AY_SONU!$O$7:$O$42="Evet")*(AY_SONU!$B$7:$B$42=DATE(YEAR($C522),MONTH($C522),1))))</f>
        <v>0</v>
      </c>
      <c r="AE522" s="1" t="str">
        <f>IF($E522="","",$E522&amp;"|"&amp;COUNTIFS($E$7:$E522,$E522))</f>
        <v/>
      </c>
    </row>
    <row r="523" spans="1:31" ht="18" customHeight="1" x14ac:dyDescent="0.3">
      <c r="A523" s="2"/>
      <c r="B523" s="65" t="str">
        <f>IF($C523="","","GG"&amp;TEXT(ROW()-6,"00000"))</f>
        <v/>
      </c>
      <c r="C523" s="66"/>
      <c r="D523" s="60"/>
      <c r="E523" s="61"/>
      <c r="F523" s="61"/>
      <c r="G523" s="67"/>
      <c r="H523" s="60"/>
      <c r="I523" s="60"/>
      <c r="J523" s="61"/>
      <c r="K523" s="61"/>
      <c r="L523" s="60"/>
      <c r="M523" s="74" t="str">
        <f>IF($C523="","",IF($D523="Gider",$E523,IF($L523&lt;&gt;"",$L523,$H523)))</f>
        <v/>
      </c>
      <c r="N523" s="74" t="str">
        <f>IF($C523="","",IF($D523="Gider",$H523,$E523))</f>
        <v/>
      </c>
      <c r="O523" s="73" t="str">
        <f>IF($C523="","",DATE(YEAR($C523),MONTH($C523),1))</f>
        <v/>
      </c>
      <c r="P523" s="65" t="str">
        <f ca="1">IF($C523="","",IF(AND($D523="Gelir",$L523&lt;&gt;"",$T523=""),"TANIMSIZ BORÇLU",IF($T523&lt;&gt;"",IF(OR($E523="",$G523&lt;=0),"EKSİK",IF($I523="Evet","TAHAKKUK NAKİT OLAMAZ",IF($C523&gt;TODAY(),"İLERİ TARİH","TAHAKKUK"))),IF(AND($D523&lt;&gt;"",$E523&lt;&gt;"",$G523&gt;0,$H523&lt;&gt;"",$I523&lt;&gt;""),IF($C523&gt;TODAY(),"İLERİ TARİH",IF(COUNTIF($W$7:$W$3001,$W523)&gt;1,"MÜKERRER?",IF($AD523&gt;0,"KAPALI DÖNEM",IF($I523="Hayır","ÖDENECEK","UYGUN")))),"EKSİK"))))</f>
        <v/>
      </c>
      <c r="Q523" s="2"/>
      <c r="R523" s="2"/>
      <c r="S523" s="1" t="str">
        <f t="shared" si="26"/>
        <v/>
      </c>
      <c r="T523" s="1" t="str">
        <f>IF(OR($C523="",$D523&lt;&gt;"Gelir",$L523=""),"",IFERROR(INDEX(MUSTERILER!$B$7:$B$156,MATCH($S523,MUSTERILER!$T$7:$T$156,0)),""))</f>
        <v/>
      </c>
      <c r="U523" s="1" t="str">
        <f>IF($T523="","",$T523&amp;"|"&amp;COUNTIFS($T$7:$T523,$T523))</f>
        <v/>
      </c>
      <c r="V523" s="1">
        <f t="shared" si="27"/>
        <v>0</v>
      </c>
      <c r="W523" s="1" t="str">
        <f t="shared" si="28"/>
        <v/>
      </c>
      <c r="X523" s="1"/>
      <c r="Y523" s="1"/>
      <c r="Z523" s="1"/>
      <c r="AA523" s="1"/>
      <c r="AB523" s="1"/>
      <c r="AC523" s="1"/>
      <c r="AD523" s="1">
        <f>IF($C523="",0,SUMPRODUCT((AY_SONU!$O$7:$O$42="Evet")*(AY_SONU!$B$7:$B$42=DATE(YEAR($C523),MONTH($C523),1))))</f>
        <v>0</v>
      </c>
      <c r="AE523" s="1" t="str">
        <f>IF($E523="","",$E523&amp;"|"&amp;COUNTIFS($E$7:$E523,$E523))</f>
        <v/>
      </c>
    </row>
    <row r="524" spans="1:31" ht="18" customHeight="1" x14ac:dyDescent="0.3">
      <c r="A524" s="2"/>
      <c r="B524" s="65" t="str">
        <f>IF($C524="","","GG"&amp;TEXT(ROW()-6,"00000"))</f>
        <v/>
      </c>
      <c r="C524" s="66"/>
      <c r="D524" s="60"/>
      <c r="E524" s="61"/>
      <c r="F524" s="61"/>
      <c r="G524" s="67"/>
      <c r="H524" s="60"/>
      <c r="I524" s="60"/>
      <c r="J524" s="61"/>
      <c r="K524" s="61"/>
      <c r="L524" s="60"/>
      <c r="M524" s="74" t="str">
        <f>IF($C524="","",IF($D524="Gider",$E524,IF($L524&lt;&gt;"",$L524,$H524)))</f>
        <v/>
      </c>
      <c r="N524" s="74" t="str">
        <f>IF($C524="","",IF($D524="Gider",$H524,$E524))</f>
        <v/>
      </c>
      <c r="O524" s="73" t="str">
        <f>IF($C524="","",DATE(YEAR($C524),MONTH($C524),1))</f>
        <v/>
      </c>
      <c r="P524" s="65" t="str">
        <f ca="1">IF($C524="","",IF(AND($D524="Gelir",$L524&lt;&gt;"",$T524=""),"TANIMSIZ BORÇLU",IF($T524&lt;&gt;"",IF(OR($E524="",$G524&lt;=0),"EKSİK",IF($I524="Evet","TAHAKKUK NAKİT OLAMAZ",IF($C524&gt;TODAY(),"İLERİ TARİH","TAHAKKUK"))),IF(AND($D524&lt;&gt;"",$E524&lt;&gt;"",$G524&gt;0,$H524&lt;&gt;"",$I524&lt;&gt;""),IF($C524&gt;TODAY(),"İLERİ TARİH",IF(COUNTIF($W$7:$W$3001,$W524)&gt;1,"MÜKERRER?",IF($AD524&gt;0,"KAPALI DÖNEM",IF($I524="Hayır","ÖDENECEK","UYGUN")))),"EKSİK"))))</f>
        <v/>
      </c>
      <c r="Q524" s="2"/>
      <c r="R524" s="2"/>
      <c r="S524" s="1" t="str">
        <f t="shared" si="26"/>
        <v/>
      </c>
      <c r="T524" s="1" t="str">
        <f>IF(OR($C524="",$D524&lt;&gt;"Gelir",$L524=""),"",IFERROR(INDEX(MUSTERILER!$B$7:$B$156,MATCH($S524,MUSTERILER!$T$7:$T$156,0)),""))</f>
        <v/>
      </c>
      <c r="U524" s="1" t="str">
        <f>IF($T524="","",$T524&amp;"|"&amp;COUNTIFS($T$7:$T524,$T524))</f>
        <v/>
      </c>
      <c r="V524" s="1">
        <f t="shared" si="27"/>
        <v>0</v>
      </c>
      <c r="W524" s="1" t="str">
        <f t="shared" si="28"/>
        <v/>
      </c>
      <c r="X524" s="1"/>
      <c r="Y524" s="1"/>
      <c r="Z524" s="1"/>
      <c r="AA524" s="1"/>
      <c r="AB524" s="1"/>
      <c r="AC524" s="1"/>
      <c r="AD524" s="1">
        <f>IF($C524="",0,SUMPRODUCT((AY_SONU!$O$7:$O$42="Evet")*(AY_SONU!$B$7:$B$42=DATE(YEAR($C524),MONTH($C524),1))))</f>
        <v>0</v>
      </c>
      <c r="AE524" s="1" t="str">
        <f>IF($E524="","",$E524&amp;"|"&amp;COUNTIFS($E$7:$E524,$E524))</f>
        <v/>
      </c>
    </row>
    <row r="525" spans="1:31" ht="18" customHeight="1" x14ac:dyDescent="0.3">
      <c r="A525" s="2"/>
      <c r="B525" s="65" t="str">
        <f>IF($C525="","","GG"&amp;TEXT(ROW()-6,"00000"))</f>
        <v/>
      </c>
      <c r="C525" s="66"/>
      <c r="D525" s="60"/>
      <c r="E525" s="61"/>
      <c r="F525" s="61"/>
      <c r="G525" s="67"/>
      <c r="H525" s="60"/>
      <c r="I525" s="60"/>
      <c r="J525" s="61"/>
      <c r="K525" s="61"/>
      <c r="L525" s="60"/>
      <c r="M525" s="74" t="str">
        <f>IF($C525="","",IF($D525="Gider",$E525,IF($L525&lt;&gt;"",$L525,$H525)))</f>
        <v/>
      </c>
      <c r="N525" s="74" t="str">
        <f>IF($C525="","",IF($D525="Gider",$H525,$E525))</f>
        <v/>
      </c>
      <c r="O525" s="73" t="str">
        <f>IF($C525="","",DATE(YEAR($C525),MONTH($C525),1))</f>
        <v/>
      </c>
      <c r="P525" s="65" t="str">
        <f ca="1">IF($C525="","",IF(AND($D525="Gelir",$L525&lt;&gt;"",$T525=""),"TANIMSIZ BORÇLU",IF($T525&lt;&gt;"",IF(OR($E525="",$G525&lt;=0),"EKSİK",IF($I525="Evet","TAHAKKUK NAKİT OLAMAZ",IF($C525&gt;TODAY(),"İLERİ TARİH","TAHAKKUK"))),IF(AND($D525&lt;&gt;"",$E525&lt;&gt;"",$G525&gt;0,$H525&lt;&gt;"",$I525&lt;&gt;""),IF($C525&gt;TODAY(),"İLERİ TARİH",IF(COUNTIF($W$7:$W$3001,$W525)&gt;1,"MÜKERRER?",IF($AD525&gt;0,"KAPALI DÖNEM",IF($I525="Hayır","ÖDENECEK","UYGUN")))),"EKSİK"))))</f>
        <v/>
      </c>
      <c r="Q525" s="2"/>
      <c r="R525" s="2"/>
      <c r="S525" s="1" t="str">
        <f t="shared" si="26"/>
        <v/>
      </c>
      <c r="T525" s="1" t="str">
        <f>IF(OR($C525="",$D525&lt;&gt;"Gelir",$L525=""),"",IFERROR(INDEX(MUSTERILER!$B$7:$B$156,MATCH($S525,MUSTERILER!$T$7:$T$156,0)),""))</f>
        <v/>
      </c>
      <c r="U525" s="1" t="str">
        <f>IF($T525="","",$T525&amp;"|"&amp;COUNTIFS($T$7:$T525,$T525))</f>
        <v/>
      </c>
      <c r="V525" s="1">
        <f t="shared" si="27"/>
        <v>0</v>
      </c>
      <c r="W525" s="1" t="str">
        <f t="shared" si="28"/>
        <v/>
      </c>
      <c r="X525" s="1"/>
      <c r="Y525" s="1"/>
      <c r="Z525" s="1"/>
      <c r="AA525" s="1"/>
      <c r="AB525" s="1"/>
      <c r="AC525" s="1"/>
      <c r="AD525" s="1">
        <f>IF($C525="",0,SUMPRODUCT((AY_SONU!$O$7:$O$42="Evet")*(AY_SONU!$B$7:$B$42=DATE(YEAR($C525),MONTH($C525),1))))</f>
        <v>0</v>
      </c>
      <c r="AE525" s="1" t="str">
        <f>IF($E525="","",$E525&amp;"|"&amp;COUNTIFS($E$7:$E525,$E525))</f>
        <v/>
      </c>
    </row>
    <row r="526" spans="1:31" ht="18" customHeight="1" x14ac:dyDescent="0.3">
      <c r="A526" s="2"/>
      <c r="B526" s="65" t="str">
        <f>IF($C526="","","GG"&amp;TEXT(ROW()-6,"00000"))</f>
        <v/>
      </c>
      <c r="C526" s="66"/>
      <c r="D526" s="60"/>
      <c r="E526" s="61"/>
      <c r="F526" s="61"/>
      <c r="G526" s="67"/>
      <c r="H526" s="60"/>
      <c r="I526" s="60"/>
      <c r="J526" s="61"/>
      <c r="K526" s="61"/>
      <c r="L526" s="60"/>
      <c r="M526" s="74" t="str">
        <f>IF($C526="","",IF($D526="Gider",$E526,IF($L526&lt;&gt;"",$L526,$H526)))</f>
        <v/>
      </c>
      <c r="N526" s="74" t="str">
        <f>IF($C526="","",IF($D526="Gider",$H526,$E526))</f>
        <v/>
      </c>
      <c r="O526" s="73" t="str">
        <f>IF($C526="","",DATE(YEAR($C526),MONTH($C526),1))</f>
        <v/>
      </c>
      <c r="P526" s="65" t="str">
        <f ca="1">IF($C526="","",IF(AND($D526="Gelir",$L526&lt;&gt;"",$T526=""),"TANIMSIZ BORÇLU",IF($T526&lt;&gt;"",IF(OR($E526="",$G526&lt;=0),"EKSİK",IF($I526="Evet","TAHAKKUK NAKİT OLAMAZ",IF($C526&gt;TODAY(),"İLERİ TARİH","TAHAKKUK"))),IF(AND($D526&lt;&gt;"",$E526&lt;&gt;"",$G526&gt;0,$H526&lt;&gt;"",$I526&lt;&gt;""),IF($C526&gt;TODAY(),"İLERİ TARİH",IF(COUNTIF($W$7:$W$3001,$W526)&gt;1,"MÜKERRER?",IF($AD526&gt;0,"KAPALI DÖNEM",IF($I526="Hayır","ÖDENECEK","UYGUN")))),"EKSİK"))))</f>
        <v/>
      </c>
      <c r="Q526" s="2"/>
      <c r="R526" s="2"/>
      <c r="S526" s="1" t="str">
        <f t="shared" si="26"/>
        <v/>
      </c>
      <c r="T526" s="1" t="str">
        <f>IF(OR($C526="",$D526&lt;&gt;"Gelir",$L526=""),"",IFERROR(INDEX(MUSTERILER!$B$7:$B$156,MATCH($S526,MUSTERILER!$T$7:$T$156,0)),""))</f>
        <v/>
      </c>
      <c r="U526" s="1" t="str">
        <f>IF($T526="","",$T526&amp;"|"&amp;COUNTIFS($T$7:$T526,$T526))</f>
        <v/>
      </c>
      <c r="V526" s="1">
        <f t="shared" si="27"/>
        <v>0</v>
      </c>
      <c r="W526" s="1" t="str">
        <f t="shared" si="28"/>
        <v/>
      </c>
      <c r="X526" s="1"/>
      <c r="Y526" s="1"/>
      <c r="Z526" s="1"/>
      <c r="AA526" s="1"/>
      <c r="AB526" s="1"/>
      <c r="AC526" s="1"/>
      <c r="AD526" s="1">
        <f>IF($C526="",0,SUMPRODUCT((AY_SONU!$O$7:$O$42="Evet")*(AY_SONU!$B$7:$B$42=DATE(YEAR($C526),MONTH($C526),1))))</f>
        <v>0</v>
      </c>
      <c r="AE526" s="1" t="str">
        <f>IF($E526="","",$E526&amp;"|"&amp;COUNTIFS($E$7:$E526,$E526))</f>
        <v/>
      </c>
    </row>
    <row r="527" spans="1:31" ht="18" customHeight="1" x14ac:dyDescent="0.3">
      <c r="A527" s="2"/>
      <c r="B527" s="65" t="str">
        <f>IF($C527="","","GG"&amp;TEXT(ROW()-6,"00000"))</f>
        <v/>
      </c>
      <c r="C527" s="66"/>
      <c r="D527" s="60"/>
      <c r="E527" s="61"/>
      <c r="F527" s="61"/>
      <c r="G527" s="67"/>
      <c r="H527" s="60"/>
      <c r="I527" s="60"/>
      <c r="J527" s="61"/>
      <c r="K527" s="61"/>
      <c r="L527" s="60"/>
      <c r="M527" s="74" t="str">
        <f>IF($C527="","",IF($D527="Gider",$E527,IF($L527&lt;&gt;"",$L527,$H527)))</f>
        <v/>
      </c>
      <c r="N527" s="74" t="str">
        <f>IF($C527="","",IF($D527="Gider",$H527,$E527))</f>
        <v/>
      </c>
      <c r="O527" s="73" t="str">
        <f>IF($C527="","",DATE(YEAR($C527),MONTH($C527),1))</f>
        <v/>
      </c>
      <c r="P527" s="65" t="str">
        <f ca="1">IF($C527="","",IF(AND($D527="Gelir",$L527&lt;&gt;"",$T527=""),"TANIMSIZ BORÇLU",IF($T527&lt;&gt;"",IF(OR($E527="",$G527&lt;=0),"EKSİK",IF($I527="Evet","TAHAKKUK NAKİT OLAMAZ",IF($C527&gt;TODAY(),"İLERİ TARİH","TAHAKKUK"))),IF(AND($D527&lt;&gt;"",$E527&lt;&gt;"",$G527&gt;0,$H527&lt;&gt;"",$I527&lt;&gt;""),IF($C527&gt;TODAY(),"İLERİ TARİH",IF(COUNTIF($W$7:$W$3001,$W527)&gt;1,"MÜKERRER?",IF($AD527&gt;0,"KAPALI DÖNEM",IF($I527="Hayır","ÖDENECEK","UYGUN")))),"EKSİK"))))</f>
        <v/>
      </c>
      <c r="Q527" s="2"/>
      <c r="R527" s="2"/>
      <c r="S527" s="1" t="str">
        <f t="shared" si="26"/>
        <v/>
      </c>
      <c r="T527" s="1" t="str">
        <f>IF(OR($C527="",$D527&lt;&gt;"Gelir",$L527=""),"",IFERROR(INDEX(MUSTERILER!$B$7:$B$156,MATCH($S527,MUSTERILER!$T$7:$T$156,0)),""))</f>
        <v/>
      </c>
      <c r="U527" s="1" t="str">
        <f>IF($T527="","",$T527&amp;"|"&amp;COUNTIFS($T$7:$T527,$T527))</f>
        <v/>
      </c>
      <c r="V527" s="1">
        <f t="shared" si="27"/>
        <v>0</v>
      </c>
      <c r="W527" s="1" t="str">
        <f t="shared" si="28"/>
        <v/>
      </c>
      <c r="X527" s="1"/>
      <c r="Y527" s="1"/>
      <c r="Z527" s="1"/>
      <c r="AA527" s="1"/>
      <c r="AB527" s="1"/>
      <c r="AC527" s="1"/>
      <c r="AD527" s="1">
        <f>IF($C527="",0,SUMPRODUCT((AY_SONU!$O$7:$O$42="Evet")*(AY_SONU!$B$7:$B$42=DATE(YEAR($C527),MONTH($C527),1))))</f>
        <v>0</v>
      </c>
      <c r="AE527" s="1" t="str">
        <f>IF($E527="","",$E527&amp;"|"&amp;COUNTIFS($E$7:$E527,$E527))</f>
        <v/>
      </c>
    </row>
    <row r="528" spans="1:31" ht="18" customHeight="1" x14ac:dyDescent="0.3">
      <c r="A528" s="2"/>
      <c r="B528" s="65" t="str">
        <f>IF($C528="","","GG"&amp;TEXT(ROW()-6,"00000"))</f>
        <v/>
      </c>
      <c r="C528" s="66"/>
      <c r="D528" s="60"/>
      <c r="E528" s="61"/>
      <c r="F528" s="61"/>
      <c r="G528" s="67"/>
      <c r="H528" s="60"/>
      <c r="I528" s="60"/>
      <c r="J528" s="61"/>
      <c r="K528" s="61"/>
      <c r="L528" s="60"/>
      <c r="M528" s="74" t="str">
        <f>IF($C528="","",IF($D528="Gider",$E528,IF($L528&lt;&gt;"",$L528,$H528)))</f>
        <v/>
      </c>
      <c r="N528" s="74" t="str">
        <f>IF($C528="","",IF($D528="Gider",$H528,$E528))</f>
        <v/>
      </c>
      <c r="O528" s="73" t="str">
        <f>IF($C528="","",DATE(YEAR($C528),MONTH($C528),1))</f>
        <v/>
      </c>
      <c r="P528" s="65" t="str">
        <f ca="1">IF($C528="","",IF(AND($D528="Gelir",$L528&lt;&gt;"",$T528=""),"TANIMSIZ BORÇLU",IF($T528&lt;&gt;"",IF(OR($E528="",$G528&lt;=0),"EKSİK",IF($I528="Evet","TAHAKKUK NAKİT OLAMAZ",IF($C528&gt;TODAY(),"İLERİ TARİH","TAHAKKUK"))),IF(AND($D528&lt;&gt;"",$E528&lt;&gt;"",$G528&gt;0,$H528&lt;&gt;"",$I528&lt;&gt;""),IF($C528&gt;TODAY(),"İLERİ TARİH",IF(COUNTIF($W$7:$W$3001,$W528)&gt;1,"MÜKERRER?",IF($AD528&gt;0,"KAPALI DÖNEM",IF($I528="Hayır","ÖDENECEK","UYGUN")))),"EKSİK"))))</f>
        <v/>
      </c>
      <c r="Q528" s="2"/>
      <c r="R528" s="2"/>
      <c r="S528" s="1" t="str">
        <f t="shared" si="26"/>
        <v/>
      </c>
      <c r="T528" s="1" t="str">
        <f>IF(OR($C528="",$D528&lt;&gt;"Gelir",$L528=""),"",IFERROR(INDEX(MUSTERILER!$B$7:$B$156,MATCH($S528,MUSTERILER!$T$7:$T$156,0)),""))</f>
        <v/>
      </c>
      <c r="U528" s="1" t="str">
        <f>IF($T528="","",$T528&amp;"|"&amp;COUNTIFS($T$7:$T528,$T528))</f>
        <v/>
      </c>
      <c r="V528" s="1">
        <f t="shared" si="27"/>
        <v>0</v>
      </c>
      <c r="W528" s="1" t="str">
        <f t="shared" si="28"/>
        <v/>
      </c>
      <c r="X528" s="1"/>
      <c r="Y528" s="1"/>
      <c r="Z528" s="1"/>
      <c r="AA528" s="1"/>
      <c r="AB528" s="1"/>
      <c r="AC528" s="1"/>
      <c r="AD528" s="1">
        <f>IF($C528="",0,SUMPRODUCT((AY_SONU!$O$7:$O$42="Evet")*(AY_SONU!$B$7:$B$42=DATE(YEAR($C528),MONTH($C528),1))))</f>
        <v>0</v>
      </c>
      <c r="AE528" s="1" t="str">
        <f>IF($E528="","",$E528&amp;"|"&amp;COUNTIFS($E$7:$E528,$E528))</f>
        <v/>
      </c>
    </row>
    <row r="529" spans="1:31" ht="18" customHeight="1" x14ac:dyDescent="0.3">
      <c r="A529" s="2"/>
      <c r="B529" s="65" t="str">
        <f>IF($C529="","","GG"&amp;TEXT(ROW()-6,"00000"))</f>
        <v/>
      </c>
      <c r="C529" s="66"/>
      <c r="D529" s="60"/>
      <c r="E529" s="61"/>
      <c r="F529" s="61"/>
      <c r="G529" s="67"/>
      <c r="H529" s="60"/>
      <c r="I529" s="60"/>
      <c r="J529" s="61"/>
      <c r="K529" s="61"/>
      <c r="L529" s="60"/>
      <c r="M529" s="74" t="str">
        <f>IF($C529="","",IF($D529="Gider",$E529,IF($L529&lt;&gt;"",$L529,$H529)))</f>
        <v/>
      </c>
      <c r="N529" s="74" t="str">
        <f>IF($C529="","",IF($D529="Gider",$H529,$E529))</f>
        <v/>
      </c>
      <c r="O529" s="73" t="str">
        <f>IF($C529="","",DATE(YEAR($C529),MONTH($C529),1))</f>
        <v/>
      </c>
      <c r="P529" s="65" t="str">
        <f ca="1">IF($C529="","",IF(AND($D529="Gelir",$L529&lt;&gt;"",$T529=""),"TANIMSIZ BORÇLU",IF($T529&lt;&gt;"",IF(OR($E529="",$G529&lt;=0),"EKSİK",IF($I529="Evet","TAHAKKUK NAKİT OLAMAZ",IF($C529&gt;TODAY(),"İLERİ TARİH","TAHAKKUK"))),IF(AND($D529&lt;&gt;"",$E529&lt;&gt;"",$G529&gt;0,$H529&lt;&gt;"",$I529&lt;&gt;""),IF($C529&gt;TODAY(),"İLERİ TARİH",IF(COUNTIF($W$7:$W$3001,$W529)&gt;1,"MÜKERRER?",IF($AD529&gt;0,"KAPALI DÖNEM",IF($I529="Hayır","ÖDENECEK","UYGUN")))),"EKSİK"))))</f>
        <v/>
      </c>
      <c r="Q529" s="2"/>
      <c r="R529" s="2"/>
      <c r="S529" s="1" t="str">
        <f t="shared" si="26"/>
        <v/>
      </c>
      <c r="T529" s="1" t="str">
        <f>IF(OR($C529="",$D529&lt;&gt;"Gelir",$L529=""),"",IFERROR(INDEX(MUSTERILER!$B$7:$B$156,MATCH($S529,MUSTERILER!$T$7:$T$156,0)),""))</f>
        <v/>
      </c>
      <c r="U529" s="1" t="str">
        <f>IF($T529="","",$T529&amp;"|"&amp;COUNTIFS($T$7:$T529,$T529))</f>
        <v/>
      </c>
      <c r="V529" s="1">
        <f t="shared" si="27"/>
        <v>0</v>
      </c>
      <c r="W529" s="1" t="str">
        <f t="shared" si="28"/>
        <v/>
      </c>
      <c r="X529" s="1"/>
      <c r="Y529" s="1"/>
      <c r="Z529" s="1"/>
      <c r="AA529" s="1"/>
      <c r="AB529" s="1"/>
      <c r="AC529" s="1"/>
      <c r="AD529" s="1">
        <f>IF($C529="",0,SUMPRODUCT((AY_SONU!$O$7:$O$42="Evet")*(AY_SONU!$B$7:$B$42=DATE(YEAR($C529),MONTH($C529),1))))</f>
        <v>0</v>
      </c>
      <c r="AE529" s="1" t="str">
        <f>IF($E529="","",$E529&amp;"|"&amp;COUNTIFS($E$7:$E529,$E529))</f>
        <v/>
      </c>
    </row>
    <row r="530" spans="1:31" ht="18" customHeight="1" x14ac:dyDescent="0.3">
      <c r="A530" s="2"/>
      <c r="B530" s="65" t="str">
        <f>IF($C530="","","GG"&amp;TEXT(ROW()-6,"00000"))</f>
        <v/>
      </c>
      <c r="C530" s="66"/>
      <c r="D530" s="60"/>
      <c r="E530" s="61"/>
      <c r="F530" s="61"/>
      <c r="G530" s="67"/>
      <c r="H530" s="60"/>
      <c r="I530" s="60"/>
      <c r="J530" s="61"/>
      <c r="K530" s="61"/>
      <c r="L530" s="60"/>
      <c r="M530" s="74" t="str">
        <f>IF($C530="","",IF($D530="Gider",$E530,IF($L530&lt;&gt;"",$L530,$H530)))</f>
        <v/>
      </c>
      <c r="N530" s="74" t="str">
        <f>IF($C530="","",IF($D530="Gider",$H530,$E530))</f>
        <v/>
      </c>
      <c r="O530" s="73" t="str">
        <f>IF($C530="","",DATE(YEAR($C530),MONTH($C530),1))</f>
        <v/>
      </c>
      <c r="P530" s="65" t="str">
        <f ca="1">IF($C530="","",IF(AND($D530="Gelir",$L530&lt;&gt;"",$T530=""),"TANIMSIZ BORÇLU",IF($T530&lt;&gt;"",IF(OR($E530="",$G530&lt;=0),"EKSİK",IF($I530="Evet","TAHAKKUK NAKİT OLAMAZ",IF($C530&gt;TODAY(),"İLERİ TARİH","TAHAKKUK"))),IF(AND($D530&lt;&gt;"",$E530&lt;&gt;"",$G530&gt;0,$H530&lt;&gt;"",$I530&lt;&gt;""),IF($C530&gt;TODAY(),"İLERİ TARİH",IF(COUNTIF($W$7:$W$3001,$W530)&gt;1,"MÜKERRER?",IF($AD530&gt;0,"KAPALI DÖNEM",IF($I530="Hayır","ÖDENECEK","UYGUN")))),"EKSİK"))))</f>
        <v/>
      </c>
      <c r="Q530" s="2"/>
      <c r="R530" s="2"/>
      <c r="S530" s="1" t="str">
        <f t="shared" si="26"/>
        <v/>
      </c>
      <c r="T530" s="1" t="str">
        <f>IF(OR($C530="",$D530&lt;&gt;"Gelir",$L530=""),"",IFERROR(INDEX(MUSTERILER!$B$7:$B$156,MATCH($S530,MUSTERILER!$T$7:$T$156,0)),""))</f>
        <v/>
      </c>
      <c r="U530" s="1" t="str">
        <f>IF($T530="","",$T530&amp;"|"&amp;COUNTIFS($T$7:$T530,$T530))</f>
        <v/>
      </c>
      <c r="V530" s="1">
        <f t="shared" si="27"/>
        <v>0</v>
      </c>
      <c r="W530" s="1" t="str">
        <f t="shared" si="28"/>
        <v/>
      </c>
      <c r="X530" s="1"/>
      <c r="Y530" s="1"/>
      <c r="Z530" s="1"/>
      <c r="AA530" s="1"/>
      <c r="AB530" s="1"/>
      <c r="AC530" s="1"/>
      <c r="AD530" s="1">
        <f>IF($C530="",0,SUMPRODUCT((AY_SONU!$O$7:$O$42="Evet")*(AY_SONU!$B$7:$B$42=DATE(YEAR($C530),MONTH($C530),1))))</f>
        <v>0</v>
      </c>
      <c r="AE530" s="1" t="str">
        <f>IF($E530="","",$E530&amp;"|"&amp;COUNTIFS($E$7:$E530,$E530))</f>
        <v/>
      </c>
    </row>
    <row r="531" spans="1:31" ht="18" customHeight="1" x14ac:dyDescent="0.3">
      <c r="A531" s="2"/>
      <c r="B531" s="65" t="str">
        <f>IF($C531="","","GG"&amp;TEXT(ROW()-6,"00000"))</f>
        <v/>
      </c>
      <c r="C531" s="66"/>
      <c r="D531" s="60"/>
      <c r="E531" s="61"/>
      <c r="F531" s="61"/>
      <c r="G531" s="67"/>
      <c r="H531" s="60"/>
      <c r="I531" s="60"/>
      <c r="J531" s="61"/>
      <c r="K531" s="61"/>
      <c r="L531" s="60"/>
      <c r="M531" s="74" t="str">
        <f>IF($C531="","",IF($D531="Gider",$E531,IF($L531&lt;&gt;"",$L531,$H531)))</f>
        <v/>
      </c>
      <c r="N531" s="74" t="str">
        <f>IF($C531="","",IF($D531="Gider",$H531,$E531))</f>
        <v/>
      </c>
      <c r="O531" s="73" t="str">
        <f>IF($C531="","",DATE(YEAR($C531),MONTH($C531),1))</f>
        <v/>
      </c>
      <c r="P531" s="65" t="str">
        <f ca="1">IF($C531="","",IF(AND($D531="Gelir",$L531&lt;&gt;"",$T531=""),"TANIMSIZ BORÇLU",IF($T531&lt;&gt;"",IF(OR($E531="",$G531&lt;=0),"EKSİK",IF($I531="Evet","TAHAKKUK NAKİT OLAMAZ",IF($C531&gt;TODAY(),"İLERİ TARİH","TAHAKKUK"))),IF(AND($D531&lt;&gt;"",$E531&lt;&gt;"",$G531&gt;0,$H531&lt;&gt;"",$I531&lt;&gt;""),IF($C531&gt;TODAY(),"İLERİ TARİH",IF(COUNTIF($W$7:$W$3001,$W531)&gt;1,"MÜKERRER?",IF($AD531&gt;0,"KAPALI DÖNEM",IF($I531="Hayır","ÖDENECEK","UYGUN")))),"EKSİK"))))</f>
        <v/>
      </c>
      <c r="Q531" s="2"/>
      <c r="R531" s="2"/>
      <c r="S531" s="1" t="str">
        <f t="shared" si="26"/>
        <v/>
      </c>
      <c r="T531" s="1" t="str">
        <f>IF(OR($C531="",$D531&lt;&gt;"Gelir",$L531=""),"",IFERROR(INDEX(MUSTERILER!$B$7:$B$156,MATCH($S531,MUSTERILER!$T$7:$T$156,0)),""))</f>
        <v/>
      </c>
      <c r="U531" s="1" t="str">
        <f>IF($T531="","",$T531&amp;"|"&amp;COUNTIFS($T$7:$T531,$T531))</f>
        <v/>
      </c>
      <c r="V531" s="1">
        <f t="shared" si="27"/>
        <v>0</v>
      </c>
      <c r="W531" s="1" t="str">
        <f t="shared" si="28"/>
        <v/>
      </c>
      <c r="X531" s="1"/>
      <c r="Y531" s="1"/>
      <c r="Z531" s="1"/>
      <c r="AA531" s="1"/>
      <c r="AB531" s="1"/>
      <c r="AC531" s="1"/>
      <c r="AD531" s="1">
        <f>IF($C531="",0,SUMPRODUCT((AY_SONU!$O$7:$O$42="Evet")*(AY_SONU!$B$7:$B$42=DATE(YEAR($C531),MONTH($C531),1))))</f>
        <v>0</v>
      </c>
      <c r="AE531" s="1" t="str">
        <f>IF($E531="","",$E531&amp;"|"&amp;COUNTIFS($E$7:$E531,$E531))</f>
        <v/>
      </c>
    </row>
    <row r="532" spans="1:31" ht="18" customHeight="1" x14ac:dyDescent="0.3">
      <c r="A532" s="2"/>
      <c r="B532" s="65" t="str">
        <f>IF($C532="","","GG"&amp;TEXT(ROW()-6,"00000"))</f>
        <v/>
      </c>
      <c r="C532" s="66"/>
      <c r="D532" s="60"/>
      <c r="E532" s="61"/>
      <c r="F532" s="61"/>
      <c r="G532" s="67"/>
      <c r="H532" s="60"/>
      <c r="I532" s="60"/>
      <c r="J532" s="61"/>
      <c r="K532" s="61"/>
      <c r="L532" s="60"/>
      <c r="M532" s="74" t="str">
        <f>IF($C532="","",IF($D532="Gider",$E532,IF($L532&lt;&gt;"",$L532,$H532)))</f>
        <v/>
      </c>
      <c r="N532" s="74" t="str">
        <f>IF($C532="","",IF($D532="Gider",$H532,$E532))</f>
        <v/>
      </c>
      <c r="O532" s="73" t="str">
        <f>IF($C532="","",DATE(YEAR($C532),MONTH($C532),1))</f>
        <v/>
      </c>
      <c r="P532" s="65" t="str">
        <f ca="1">IF($C532="","",IF(AND($D532="Gelir",$L532&lt;&gt;"",$T532=""),"TANIMSIZ BORÇLU",IF($T532&lt;&gt;"",IF(OR($E532="",$G532&lt;=0),"EKSİK",IF($I532="Evet","TAHAKKUK NAKİT OLAMAZ",IF($C532&gt;TODAY(),"İLERİ TARİH","TAHAKKUK"))),IF(AND($D532&lt;&gt;"",$E532&lt;&gt;"",$G532&gt;0,$H532&lt;&gt;"",$I532&lt;&gt;""),IF($C532&gt;TODAY(),"İLERİ TARİH",IF(COUNTIF($W$7:$W$3001,$W532)&gt;1,"MÜKERRER?",IF($AD532&gt;0,"KAPALI DÖNEM",IF($I532="Hayır","ÖDENECEK","UYGUN")))),"EKSİK"))))</f>
        <v/>
      </c>
      <c r="Q532" s="2"/>
      <c r="R532" s="2"/>
      <c r="S532" s="1" t="str">
        <f t="shared" si="26"/>
        <v/>
      </c>
      <c r="T532" s="1" t="str">
        <f>IF(OR($C532="",$D532&lt;&gt;"Gelir",$L532=""),"",IFERROR(INDEX(MUSTERILER!$B$7:$B$156,MATCH($S532,MUSTERILER!$T$7:$T$156,0)),""))</f>
        <v/>
      </c>
      <c r="U532" s="1" t="str">
        <f>IF($T532="","",$T532&amp;"|"&amp;COUNTIFS($T$7:$T532,$T532))</f>
        <v/>
      </c>
      <c r="V532" s="1">
        <f t="shared" si="27"/>
        <v>0</v>
      </c>
      <c r="W532" s="1" t="str">
        <f t="shared" si="28"/>
        <v/>
      </c>
      <c r="X532" s="1"/>
      <c r="Y532" s="1"/>
      <c r="Z532" s="1"/>
      <c r="AA532" s="1"/>
      <c r="AB532" s="1"/>
      <c r="AC532" s="1"/>
      <c r="AD532" s="1">
        <f>IF($C532="",0,SUMPRODUCT((AY_SONU!$O$7:$O$42="Evet")*(AY_SONU!$B$7:$B$42=DATE(YEAR($C532),MONTH($C532),1))))</f>
        <v>0</v>
      </c>
      <c r="AE532" s="1" t="str">
        <f>IF($E532="","",$E532&amp;"|"&amp;COUNTIFS($E$7:$E532,$E532))</f>
        <v/>
      </c>
    </row>
    <row r="533" spans="1:31" ht="18" customHeight="1" x14ac:dyDescent="0.3">
      <c r="A533" s="2"/>
      <c r="B533" s="65" t="str">
        <f>IF($C533="","","GG"&amp;TEXT(ROW()-6,"00000"))</f>
        <v/>
      </c>
      <c r="C533" s="66"/>
      <c r="D533" s="60"/>
      <c r="E533" s="61"/>
      <c r="F533" s="61"/>
      <c r="G533" s="67"/>
      <c r="H533" s="60"/>
      <c r="I533" s="60"/>
      <c r="J533" s="61"/>
      <c r="K533" s="61"/>
      <c r="L533" s="60"/>
      <c r="M533" s="74" t="str">
        <f>IF($C533="","",IF($D533="Gider",$E533,IF($L533&lt;&gt;"",$L533,$H533)))</f>
        <v/>
      </c>
      <c r="N533" s="74" t="str">
        <f>IF($C533="","",IF($D533="Gider",$H533,$E533))</f>
        <v/>
      </c>
      <c r="O533" s="73" t="str">
        <f>IF($C533="","",DATE(YEAR($C533),MONTH($C533),1))</f>
        <v/>
      </c>
      <c r="P533" s="65" t="str">
        <f ca="1">IF($C533="","",IF(AND($D533="Gelir",$L533&lt;&gt;"",$T533=""),"TANIMSIZ BORÇLU",IF($T533&lt;&gt;"",IF(OR($E533="",$G533&lt;=0),"EKSİK",IF($I533="Evet","TAHAKKUK NAKİT OLAMAZ",IF($C533&gt;TODAY(),"İLERİ TARİH","TAHAKKUK"))),IF(AND($D533&lt;&gt;"",$E533&lt;&gt;"",$G533&gt;0,$H533&lt;&gt;"",$I533&lt;&gt;""),IF($C533&gt;TODAY(),"İLERİ TARİH",IF(COUNTIF($W$7:$W$3001,$W533)&gt;1,"MÜKERRER?",IF($AD533&gt;0,"KAPALI DÖNEM",IF($I533="Hayır","ÖDENECEK","UYGUN")))),"EKSİK"))))</f>
        <v/>
      </c>
      <c r="Q533" s="2"/>
      <c r="R533" s="2"/>
      <c r="S533" s="1" t="str">
        <f t="shared" si="26"/>
        <v/>
      </c>
      <c r="T533" s="1" t="str">
        <f>IF(OR($C533="",$D533&lt;&gt;"Gelir",$L533=""),"",IFERROR(INDEX(MUSTERILER!$B$7:$B$156,MATCH($S533,MUSTERILER!$T$7:$T$156,0)),""))</f>
        <v/>
      </c>
      <c r="U533" s="1" t="str">
        <f>IF($T533="","",$T533&amp;"|"&amp;COUNTIFS($T$7:$T533,$T533))</f>
        <v/>
      </c>
      <c r="V533" s="1">
        <f t="shared" si="27"/>
        <v>0</v>
      </c>
      <c r="W533" s="1" t="str">
        <f t="shared" si="28"/>
        <v/>
      </c>
      <c r="X533" s="1"/>
      <c r="Y533" s="1"/>
      <c r="Z533" s="1"/>
      <c r="AA533" s="1"/>
      <c r="AB533" s="1"/>
      <c r="AC533" s="1"/>
      <c r="AD533" s="1">
        <f>IF($C533="",0,SUMPRODUCT((AY_SONU!$O$7:$O$42="Evet")*(AY_SONU!$B$7:$B$42=DATE(YEAR($C533),MONTH($C533),1))))</f>
        <v>0</v>
      </c>
      <c r="AE533" s="1" t="str">
        <f>IF($E533="","",$E533&amp;"|"&amp;COUNTIFS($E$7:$E533,$E533))</f>
        <v/>
      </c>
    </row>
    <row r="534" spans="1:31" ht="18" customHeight="1" x14ac:dyDescent="0.3">
      <c r="A534" s="2"/>
      <c r="B534" s="65" t="str">
        <f>IF($C534="","","GG"&amp;TEXT(ROW()-6,"00000"))</f>
        <v/>
      </c>
      <c r="C534" s="66"/>
      <c r="D534" s="60"/>
      <c r="E534" s="61"/>
      <c r="F534" s="61"/>
      <c r="G534" s="67"/>
      <c r="H534" s="60"/>
      <c r="I534" s="60"/>
      <c r="J534" s="61"/>
      <c r="K534" s="61"/>
      <c r="L534" s="60"/>
      <c r="M534" s="74" t="str">
        <f>IF($C534="","",IF($D534="Gider",$E534,IF($L534&lt;&gt;"",$L534,$H534)))</f>
        <v/>
      </c>
      <c r="N534" s="74" t="str">
        <f>IF($C534="","",IF($D534="Gider",$H534,$E534))</f>
        <v/>
      </c>
      <c r="O534" s="73" t="str">
        <f>IF($C534="","",DATE(YEAR($C534),MONTH($C534),1))</f>
        <v/>
      </c>
      <c r="P534" s="65" t="str">
        <f ca="1">IF($C534="","",IF(AND($D534="Gelir",$L534&lt;&gt;"",$T534=""),"TANIMSIZ BORÇLU",IF($T534&lt;&gt;"",IF(OR($E534="",$G534&lt;=0),"EKSİK",IF($I534="Evet","TAHAKKUK NAKİT OLAMAZ",IF($C534&gt;TODAY(),"İLERİ TARİH","TAHAKKUK"))),IF(AND($D534&lt;&gt;"",$E534&lt;&gt;"",$G534&gt;0,$H534&lt;&gt;"",$I534&lt;&gt;""),IF($C534&gt;TODAY(),"İLERİ TARİH",IF(COUNTIF($W$7:$W$3001,$W534)&gt;1,"MÜKERRER?",IF($AD534&gt;0,"KAPALI DÖNEM",IF($I534="Hayır","ÖDENECEK","UYGUN")))),"EKSİK"))))</f>
        <v/>
      </c>
      <c r="Q534" s="2"/>
      <c r="R534" s="2"/>
      <c r="S534" s="1" t="str">
        <f t="shared" si="26"/>
        <v/>
      </c>
      <c r="T534" s="1" t="str">
        <f>IF(OR($C534="",$D534&lt;&gt;"Gelir",$L534=""),"",IFERROR(INDEX(MUSTERILER!$B$7:$B$156,MATCH($S534,MUSTERILER!$T$7:$T$156,0)),""))</f>
        <v/>
      </c>
      <c r="U534" s="1" t="str">
        <f>IF($T534="","",$T534&amp;"|"&amp;COUNTIFS($T$7:$T534,$T534))</f>
        <v/>
      </c>
      <c r="V534" s="1">
        <f t="shared" si="27"/>
        <v>0</v>
      </c>
      <c r="W534" s="1" t="str">
        <f t="shared" si="28"/>
        <v/>
      </c>
      <c r="X534" s="1"/>
      <c r="Y534" s="1"/>
      <c r="Z534" s="1"/>
      <c r="AA534" s="1"/>
      <c r="AB534" s="1"/>
      <c r="AC534" s="1"/>
      <c r="AD534" s="1">
        <f>IF($C534="",0,SUMPRODUCT((AY_SONU!$O$7:$O$42="Evet")*(AY_SONU!$B$7:$B$42=DATE(YEAR($C534),MONTH($C534),1))))</f>
        <v>0</v>
      </c>
      <c r="AE534" s="1" t="str">
        <f>IF($E534="","",$E534&amp;"|"&amp;COUNTIFS($E$7:$E534,$E534))</f>
        <v/>
      </c>
    </row>
    <row r="535" spans="1:31" ht="18" customHeight="1" x14ac:dyDescent="0.3">
      <c r="A535" s="2"/>
      <c r="B535" s="65" t="str">
        <f>IF($C535="","","GG"&amp;TEXT(ROW()-6,"00000"))</f>
        <v/>
      </c>
      <c r="C535" s="66"/>
      <c r="D535" s="60"/>
      <c r="E535" s="61"/>
      <c r="F535" s="61"/>
      <c r="G535" s="67"/>
      <c r="H535" s="60"/>
      <c r="I535" s="60"/>
      <c r="J535" s="61"/>
      <c r="K535" s="61"/>
      <c r="L535" s="60"/>
      <c r="M535" s="74" t="str">
        <f>IF($C535="","",IF($D535="Gider",$E535,IF($L535&lt;&gt;"",$L535,$H535)))</f>
        <v/>
      </c>
      <c r="N535" s="74" t="str">
        <f>IF($C535="","",IF($D535="Gider",$H535,$E535))</f>
        <v/>
      </c>
      <c r="O535" s="73" t="str">
        <f>IF($C535="","",DATE(YEAR($C535),MONTH($C535),1))</f>
        <v/>
      </c>
      <c r="P535" s="65" t="str">
        <f ca="1">IF($C535="","",IF(AND($D535="Gelir",$L535&lt;&gt;"",$T535=""),"TANIMSIZ BORÇLU",IF($T535&lt;&gt;"",IF(OR($E535="",$G535&lt;=0),"EKSİK",IF($I535="Evet","TAHAKKUK NAKİT OLAMAZ",IF($C535&gt;TODAY(),"İLERİ TARİH","TAHAKKUK"))),IF(AND($D535&lt;&gt;"",$E535&lt;&gt;"",$G535&gt;0,$H535&lt;&gt;"",$I535&lt;&gt;""),IF($C535&gt;TODAY(),"İLERİ TARİH",IF(COUNTIF($W$7:$W$3001,$W535)&gt;1,"MÜKERRER?",IF($AD535&gt;0,"KAPALI DÖNEM",IF($I535="Hayır","ÖDENECEK","UYGUN")))),"EKSİK"))))</f>
        <v/>
      </c>
      <c r="Q535" s="2"/>
      <c r="R535" s="2"/>
      <c r="S535" s="1" t="str">
        <f t="shared" si="26"/>
        <v/>
      </c>
      <c r="T535" s="1" t="str">
        <f>IF(OR($C535="",$D535&lt;&gt;"Gelir",$L535=""),"",IFERROR(INDEX(MUSTERILER!$B$7:$B$156,MATCH($S535,MUSTERILER!$T$7:$T$156,0)),""))</f>
        <v/>
      </c>
      <c r="U535" s="1" t="str">
        <f>IF($T535="","",$T535&amp;"|"&amp;COUNTIFS($T$7:$T535,$T535))</f>
        <v/>
      </c>
      <c r="V535" s="1">
        <f t="shared" si="27"/>
        <v>0</v>
      </c>
      <c r="W535" s="1" t="str">
        <f t="shared" si="28"/>
        <v/>
      </c>
      <c r="X535" s="1"/>
      <c r="Y535" s="1"/>
      <c r="Z535" s="1"/>
      <c r="AA535" s="1"/>
      <c r="AB535" s="1"/>
      <c r="AC535" s="1"/>
      <c r="AD535" s="1">
        <f>IF($C535="",0,SUMPRODUCT((AY_SONU!$O$7:$O$42="Evet")*(AY_SONU!$B$7:$B$42=DATE(YEAR($C535),MONTH($C535),1))))</f>
        <v>0</v>
      </c>
      <c r="AE535" s="1" t="str">
        <f>IF($E535="","",$E535&amp;"|"&amp;COUNTIFS($E$7:$E535,$E535))</f>
        <v/>
      </c>
    </row>
    <row r="536" spans="1:31" ht="18" customHeight="1" x14ac:dyDescent="0.3">
      <c r="A536" s="2"/>
      <c r="B536" s="65" t="str">
        <f>IF($C536="","","GG"&amp;TEXT(ROW()-6,"00000"))</f>
        <v/>
      </c>
      <c r="C536" s="66"/>
      <c r="D536" s="60"/>
      <c r="E536" s="61"/>
      <c r="F536" s="61"/>
      <c r="G536" s="67"/>
      <c r="H536" s="60"/>
      <c r="I536" s="60"/>
      <c r="J536" s="61"/>
      <c r="K536" s="61"/>
      <c r="L536" s="60"/>
      <c r="M536" s="74" t="str">
        <f>IF($C536="","",IF($D536="Gider",$E536,IF($L536&lt;&gt;"",$L536,$H536)))</f>
        <v/>
      </c>
      <c r="N536" s="74" t="str">
        <f>IF($C536="","",IF($D536="Gider",$H536,$E536))</f>
        <v/>
      </c>
      <c r="O536" s="73" t="str">
        <f>IF($C536="","",DATE(YEAR($C536),MONTH($C536),1))</f>
        <v/>
      </c>
      <c r="P536" s="65" t="str">
        <f ca="1">IF($C536="","",IF(AND($D536="Gelir",$L536&lt;&gt;"",$T536=""),"TANIMSIZ BORÇLU",IF($T536&lt;&gt;"",IF(OR($E536="",$G536&lt;=0),"EKSİK",IF($I536="Evet","TAHAKKUK NAKİT OLAMAZ",IF($C536&gt;TODAY(),"İLERİ TARİH","TAHAKKUK"))),IF(AND($D536&lt;&gt;"",$E536&lt;&gt;"",$G536&gt;0,$H536&lt;&gt;"",$I536&lt;&gt;""),IF($C536&gt;TODAY(),"İLERİ TARİH",IF(COUNTIF($W$7:$W$3001,$W536)&gt;1,"MÜKERRER?",IF($AD536&gt;0,"KAPALI DÖNEM",IF($I536="Hayır","ÖDENECEK","UYGUN")))),"EKSİK"))))</f>
        <v/>
      </c>
      <c r="Q536" s="2"/>
      <c r="R536" s="2"/>
      <c r="S536" s="1" t="str">
        <f t="shared" si="26"/>
        <v/>
      </c>
      <c r="T536" s="1" t="str">
        <f>IF(OR($C536="",$D536&lt;&gt;"Gelir",$L536=""),"",IFERROR(INDEX(MUSTERILER!$B$7:$B$156,MATCH($S536,MUSTERILER!$T$7:$T$156,0)),""))</f>
        <v/>
      </c>
      <c r="U536" s="1" t="str">
        <f>IF($T536="","",$T536&amp;"|"&amp;COUNTIFS($T$7:$T536,$T536))</f>
        <v/>
      </c>
      <c r="V536" s="1">
        <f t="shared" si="27"/>
        <v>0</v>
      </c>
      <c r="W536" s="1" t="str">
        <f t="shared" si="28"/>
        <v/>
      </c>
      <c r="X536" s="1"/>
      <c r="Y536" s="1"/>
      <c r="Z536" s="1"/>
      <c r="AA536" s="1"/>
      <c r="AB536" s="1"/>
      <c r="AC536" s="1"/>
      <c r="AD536" s="1">
        <f>IF($C536="",0,SUMPRODUCT((AY_SONU!$O$7:$O$42="Evet")*(AY_SONU!$B$7:$B$42=DATE(YEAR($C536),MONTH($C536),1))))</f>
        <v>0</v>
      </c>
      <c r="AE536" s="1" t="str">
        <f>IF($E536="","",$E536&amp;"|"&amp;COUNTIFS($E$7:$E536,$E536))</f>
        <v/>
      </c>
    </row>
    <row r="537" spans="1:31" ht="18" customHeight="1" x14ac:dyDescent="0.3">
      <c r="A537" s="2"/>
      <c r="B537" s="65" t="str">
        <f>IF($C537="","","GG"&amp;TEXT(ROW()-6,"00000"))</f>
        <v/>
      </c>
      <c r="C537" s="66"/>
      <c r="D537" s="60"/>
      <c r="E537" s="61"/>
      <c r="F537" s="61"/>
      <c r="G537" s="67"/>
      <c r="H537" s="60"/>
      <c r="I537" s="60"/>
      <c r="J537" s="61"/>
      <c r="K537" s="61"/>
      <c r="L537" s="60"/>
      <c r="M537" s="74" t="str">
        <f>IF($C537="","",IF($D537="Gider",$E537,IF($L537&lt;&gt;"",$L537,$H537)))</f>
        <v/>
      </c>
      <c r="N537" s="74" t="str">
        <f>IF($C537="","",IF($D537="Gider",$H537,$E537))</f>
        <v/>
      </c>
      <c r="O537" s="73" t="str">
        <f>IF($C537="","",DATE(YEAR($C537),MONTH($C537),1))</f>
        <v/>
      </c>
      <c r="P537" s="65" t="str">
        <f ca="1">IF($C537="","",IF(AND($D537="Gelir",$L537&lt;&gt;"",$T537=""),"TANIMSIZ BORÇLU",IF($T537&lt;&gt;"",IF(OR($E537="",$G537&lt;=0),"EKSİK",IF($I537="Evet","TAHAKKUK NAKİT OLAMAZ",IF($C537&gt;TODAY(),"İLERİ TARİH","TAHAKKUK"))),IF(AND($D537&lt;&gt;"",$E537&lt;&gt;"",$G537&gt;0,$H537&lt;&gt;"",$I537&lt;&gt;""),IF($C537&gt;TODAY(),"İLERİ TARİH",IF(COUNTIF($W$7:$W$3001,$W537)&gt;1,"MÜKERRER?",IF($AD537&gt;0,"KAPALI DÖNEM",IF($I537="Hayır","ÖDENECEK","UYGUN")))),"EKSİK"))))</f>
        <v/>
      </c>
      <c r="Q537" s="2"/>
      <c r="R537" s="2"/>
      <c r="S537" s="1" t="str">
        <f t="shared" si="26"/>
        <v/>
      </c>
      <c r="T537" s="1" t="str">
        <f>IF(OR($C537="",$D537&lt;&gt;"Gelir",$L537=""),"",IFERROR(INDEX(MUSTERILER!$B$7:$B$156,MATCH($S537,MUSTERILER!$T$7:$T$156,0)),""))</f>
        <v/>
      </c>
      <c r="U537" s="1" t="str">
        <f>IF($T537="","",$T537&amp;"|"&amp;COUNTIFS($T$7:$T537,$T537))</f>
        <v/>
      </c>
      <c r="V537" s="1">
        <f t="shared" si="27"/>
        <v>0</v>
      </c>
      <c r="W537" s="1" t="str">
        <f t="shared" si="28"/>
        <v/>
      </c>
      <c r="X537" s="1"/>
      <c r="Y537" s="1"/>
      <c r="Z537" s="1"/>
      <c r="AA537" s="1"/>
      <c r="AB537" s="1"/>
      <c r="AC537" s="1"/>
      <c r="AD537" s="1">
        <f>IF($C537="",0,SUMPRODUCT((AY_SONU!$O$7:$O$42="Evet")*(AY_SONU!$B$7:$B$42=DATE(YEAR($C537),MONTH($C537),1))))</f>
        <v>0</v>
      </c>
      <c r="AE537" s="1" t="str">
        <f>IF($E537="","",$E537&amp;"|"&amp;COUNTIFS($E$7:$E537,$E537))</f>
        <v/>
      </c>
    </row>
    <row r="538" spans="1:31" ht="18" customHeight="1" x14ac:dyDescent="0.3">
      <c r="A538" s="2"/>
      <c r="B538" s="65" t="str">
        <f>IF($C538="","","GG"&amp;TEXT(ROW()-6,"00000"))</f>
        <v/>
      </c>
      <c r="C538" s="66"/>
      <c r="D538" s="60"/>
      <c r="E538" s="61"/>
      <c r="F538" s="61"/>
      <c r="G538" s="67"/>
      <c r="H538" s="60"/>
      <c r="I538" s="60"/>
      <c r="J538" s="61"/>
      <c r="K538" s="61"/>
      <c r="L538" s="60"/>
      <c r="M538" s="74" t="str">
        <f>IF($C538="","",IF($D538="Gider",$E538,IF($L538&lt;&gt;"",$L538,$H538)))</f>
        <v/>
      </c>
      <c r="N538" s="74" t="str">
        <f>IF($C538="","",IF($D538="Gider",$H538,$E538))</f>
        <v/>
      </c>
      <c r="O538" s="73" t="str">
        <f>IF($C538="","",DATE(YEAR($C538),MONTH($C538),1))</f>
        <v/>
      </c>
      <c r="P538" s="65" t="str">
        <f ca="1">IF($C538="","",IF(AND($D538="Gelir",$L538&lt;&gt;"",$T538=""),"TANIMSIZ BORÇLU",IF($T538&lt;&gt;"",IF(OR($E538="",$G538&lt;=0),"EKSİK",IF($I538="Evet","TAHAKKUK NAKİT OLAMAZ",IF($C538&gt;TODAY(),"İLERİ TARİH","TAHAKKUK"))),IF(AND($D538&lt;&gt;"",$E538&lt;&gt;"",$G538&gt;0,$H538&lt;&gt;"",$I538&lt;&gt;""),IF($C538&gt;TODAY(),"İLERİ TARİH",IF(COUNTIF($W$7:$W$3001,$W538)&gt;1,"MÜKERRER?",IF($AD538&gt;0,"KAPALI DÖNEM",IF($I538="Hayır","ÖDENECEK","UYGUN")))),"EKSİK"))))</f>
        <v/>
      </c>
      <c r="Q538" s="2"/>
      <c r="R538" s="2"/>
      <c r="S538" s="1" t="str">
        <f t="shared" si="26"/>
        <v/>
      </c>
      <c r="T538" s="1" t="str">
        <f>IF(OR($C538="",$D538&lt;&gt;"Gelir",$L538=""),"",IFERROR(INDEX(MUSTERILER!$B$7:$B$156,MATCH($S538,MUSTERILER!$T$7:$T$156,0)),""))</f>
        <v/>
      </c>
      <c r="U538" s="1" t="str">
        <f>IF($T538="","",$T538&amp;"|"&amp;COUNTIFS($T$7:$T538,$T538))</f>
        <v/>
      </c>
      <c r="V538" s="1">
        <f t="shared" si="27"/>
        <v>0</v>
      </c>
      <c r="W538" s="1" t="str">
        <f t="shared" si="28"/>
        <v/>
      </c>
      <c r="X538" s="1"/>
      <c r="Y538" s="1"/>
      <c r="Z538" s="1"/>
      <c r="AA538" s="1"/>
      <c r="AB538" s="1"/>
      <c r="AC538" s="1"/>
      <c r="AD538" s="1">
        <f>IF($C538="",0,SUMPRODUCT((AY_SONU!$O$7:$O$42="Evet")*(AY_SONU!$B$7:$B$42=DATE(YEAR($C538),MONTH($C538),1))))</f>
        <v>0</v>
      </c>
      <c r="AE538" s="1" t="str">
        <f>IF($E538="","",$E538&amp;"|"&amp;COUNTIFS($E$7:$E538,$E538))</f>
        <v/>
      </c>
    </row>
    <row r="539" spans="1:31" ht="18" customHeight="1" x14ac:dyDescent="0.3">
      <c r="A539" s="2"/>
      <c r="B539" s="65" t="str">
        <f>IF($C539="","","GG"&amp;TEXT(ROW()-6,"00000"))</f>
        <v/>
      </c>
      <c r="C539" s="66"/>
      <c r="D539" s="60"/>
      <c r="E539" s="61"/>
      <c r="F539" s="61"/>
      <c r="G539" s="67"/>
      <c r="H539" s="60"/>
      <c r="I539" s="60"/>
      <c r="J539" s="61"/>
      <c r="K539" s="61"/>
      <c r="L539" s="60"/>
      <c r="M539" s="74" t="str">
        <f>IF($C539="","",IF($D539="Gider",$E539,IF($L539&lt;&gt;"",$L539,$H539)))</f>
        <v/>
      </c>
      <c r="N539" s="74" t="str">
        <f>IF($C539="","",IF($D539="Gider",$H539,$E539))</f>
        <v/>
      </c>
      <c r="O539" s="73" t="str">
        <f>IF($C539="","",DATE(YEAR($C539),MONTH($C539),1))</f>
        <v/>
      </c>
      <c r="P539" s="65" t="str">
        <f ca="1">IF($C539="","",IF(AND($D539="Gelir",$L539&lt;&gt;"",$T539=""),"TANIMSIZ BORÇLU",IF($T539&lt;&gt;"",IF(OR($E539="",$G539&lt;=0),"EKSİK",IF($I539="Evet","TAHAKKUK NAKİT OLAMAZ",IF($C539&gt;TODAY(),"İLERİ TARİH","TAHAKKUK"))),IF(AND($D539&lt;&gt;"",$E539&lt;&gt;"",$G539&gt;0,$H539&lt;&gt;"",$I539&lt;&gt;""),IF($C539&gt;TODAY(),"İLERİ TARİH",IF(COUNTIF($W$7:$W$3001,$W539)&gt;1,"MÜKERRER?",IF($AD539&gt;0,"KAPALI DÖNEM",IF($I539="Hayır","ÖDENECEK","UYGUN")))),"EKSİK"))))</f>
        <v/>
      </c>
      <c r="Q539" s="2"/>
      <c r="R539" s="2"/>
      <c r="S539" s="1" t="str">
        <f t="shared" si="26"/>
        <v/>
      </c>
      <c r="T539" s="1" t="str">
        <f>IF(OR($C539="",$D539&lt;&gt;"Gelir",$L539=""),"",IFERROR(INDEX(MUSTERILER!$B$7:$B$156,MATCH($S539,MUSTERILER!$T$7:$T$156,0)),""))</f>
        <v/>
      </c>
      <c r="U539" s="1" t="str">
        <f>IF($T539="","",$T539&amp;"|"&amp;COUNTIFS($T$7:$T539,$T539))</f>
        <v/>
      </c>
      <c r="V539" s="1">
        <f t="shared" si="27"/>
        <v>0</v>
      </c>
      <c r="W539" s="1" t="str">
        <f t="shared" si="28"/>
        <v/>
      </c>
      <c r="X539" s="1"/>
      <c r="Y539" s="1"/>
      <c r="Z539" s="1"/>
      <c r="AA539" s="1"/>
      <c r="AB539" s="1"/>
      <c r="AC539" s="1"/>
      <c r="AD539" s="1">
        <f>IF($C539="",0,SUMPRODUCT((AY_SONU!$O$7:$O$42="Evet")*(AY_SONU!$B$7:$B$42=DATE(YEAR($C539),MONTH($C539),1))))</f>
        <v>0</v>
      </c>
      <c r="AE539" s="1" t="str">
        <f>IF($E539="","",$E539&amp;"|"&amp;COUNTIFS($E$7:$E539,$E539))</f>
        <v/>
      </c>
    </row>
    <row r="540" spans="1:31" ht="18" customHeight="1" x14ac:dyDescent="0.3">
      <c r="A540" s="2"/>
      <c r="B540" s="65" t="str">
        <f>IF($C540="","","GG"&amp;TEXT(ROW()-6,"00000"))</f>
        <v/>
      </c>
      <c r="C540" s="66"/>
      <c r="D540" s="60"/>
      <c r="E540" s="61"/>
      <c r="F540" s="61"/>
      <c r="G540" s="67"/>
      <c r="H540" s="60"/>
      <c r="I540" s="60"/>
      <c r="J540" s="61"/>
      <c r="K540" s="61"/>
      <c r="L540" s="60"/>
      <c r="M540" s="74" t="str">
        <f>IF($C540="","",IF($D540="Gider",$E540,IF($L540&lt;&gt;"",$L540,$H540)))</f>
        <v/>
      </c>
      <c r="N540" s="74" t="str">
        <f>IF($C540="","",IF($D540="Gider",$H540,$E540))</f>
        <v/>
      </c>
      <c r="O540" s="73" t="str">
        <f>IF($C540="","",DATE(YEAR($C540),MONTH($C540),1))</f>
        <v/>
      </c>
      <c r="P540" s="65" t="str">
        <f ca="1">IF($C540="","",IF(AND($D540="Gelir",$L540&lt;&gt;"",$T540=""),"TANIMSIZ BORÇLU",IF($T540&lt;&gt;"",IF(OR($E540="",$G540&lt;=0),"EKSİK",IF($I540="Evet","TAHAKKUK NAKİT OLAMAZ",IF($C540&gt;TODAY(),"İLERİ TARİH","TAHAKKUK"))),IF(AND($D540&lt;&gt;"",$E540&lt;&gt;"",$G540&gt;0,$H540&lt;&gt;"",$I540&lt;&gt;""),IF($C540&gt;TODAY(),"İLERİ TARİH",IF(COUNTIF($W$7:$W$3001,$W540)&gt;1,"MÜKERRER?",IF($AD540&gt;0,"KAPALI DÖNEM",IF($I540="Hayır","ÖDENECEK","UYGUN")))),"EKSİK"))))</f>
        <v/>
      </c>
      <c r="Q540" s="2"/>
      <c r="R540" s="2"/>
      <c r="S540" s="1" t="str">
        <f t="shared" si="26"/>
        <v/>
      </c>
      <c r="T540" s="1" t="str">
        <f>IF(OR($C540="",$D540&lt;&gt;"Gelir",$L540=""),"",IFERROR(INDEX(MUSTERILER!$B$7:$B$156,MATCH($S540,MUSTERILER!$T$7:$T$156,0)),""))</f>
        <v/>
      </c>
      <c r="U540" s="1" t="str">
        <f>IF($T540="","",$T540&amp;"|"&amp;COUNTIFS($T$7:$T540,$T540))</f>
        <v/>
      </c>
      <c r="V540" s="1">
        <f t="shared" si="27"/>
        <v>0</v>
      </c>
      <c r="W540" s="1" t="str">
        <f t="shared" si="28"/>
        <v/>
      </c>
      <c r="X540" s="1"/>
      <c r="Y540" s="1"/>
      <c r="Z540" s="1"/>
      <c r="AA540" s="1"/>
      <c r="AB540" s="1"/>
      <c r="AC540" s="1"/>
      <c r="AD540" s="1">
        <f>IF($C540="",0,SUMPRODUCT((AY_SONU!$O$7:$O$42="Evet")*(AY_SONU!$B$7:$B$42=DATE(YEAR($C540),MONTH($C540),1))))</f>
        <v>0</v>
      </c>
      <c r="AE540" s="1" t="str">
        <f>IF($E540="","",$E540&amp;"|"&amp;COUNTIFS($E$7:$E540,$E540))</f>
        <v/>
      </c>
    </row>
    <row r="541" spans="1:31" ht="18" customHeight="1" x14ac:dyDescent="0.3">
      <c r="A541" s="2"/>
      <c r="B541" s="65" t="str">
        <f>IF($C541="","","GG"&amp;TEXT(ROW()-6,"00000"))</f>
        <v/>
      </c>
      <c r="C541" s="66"/>
      <c r="D541" s="60"/>
      <c r="E541" s="61"/>
      <c r="F541" s="61"/>
      <c r="G541" s="67"/>
      <c r="H541" s="60"/>
      <c r="I541" s="60"/>
      <c r="J541" s="61"/>
      <c r="K541" s="61"/>
      <c r="L541" s="60"/>
      <c r="M541" s="74" t="str">
        <f>IF($C541="","",IF($D541="Gider",$E541,IF($L541&lt;&gt;"",$L541,$H541)))</f>
        <v/>
      </c>
      <c r="N541" s="74" t="str">
        <f>IF($C541="","",IF($D541="Gider",$H541,$E541))</f>
        <v/>
      </c>
      <c r="O541" s="73" t="str">
        <f>IF($C541="","",DATE(YEAR($C541),MONTH($C541),1))</f>
        <v/>
      </c>
      <c r="P541" s="65" t="str">
        <f ca="1">IF($C541="","",IF(AND($D541="Gelir",$L541&lt;&gt;"",$T541=""),"TANIMSIZ BORÇLU",IF($T541&lt;&gt;"",IF(OR($E541="",$G541&lt;=0),"EKSİK",IF($I541="Evet","TAHAKKUK NAKİT OLAMAZ",IF($C541&gt;TODAY(),"İLERİ TARİH","TAHAKKUK"))),IF(AND($D541&lt;&gt;"",$E541&lt;&gt;"",$G541&gt;0,$H541&lt;&gt;"",$I541&lt;&gt;""),IF($C541&gt;TODAY(),"İLERİ TARİH",IF(COUNTIF($W$7:$W$3001,$W541)&gt;1,"MÜKERRER?",IF($AD541&gt;0,"KAPALI DÖNEM",IF($I541="Hayır","ÖDENECEK","UYGUN")))),"EKSİK"))))</f>
        <v/>
      </c>
      <c r="Q541" s="2"/>
      <c r="R541" s="2"/>
      <c r="S541" s="1" t="str">
        <f t="shared" si="26"/>
        <v/>
      </c>
      <c r="T541" s="1" t="str">
        <f>IF(OR($C541="",$D541&lt;&gt;"Gelir",$L541=""),"",IFERROR(INDEX(MUSTERILER!$B$7:$B$156,MATCH($S541,MUSTERILER!$T$7:$T$156,0)),""))</f>
        <v/>
      </c>
      <c r="U541" s="1" t="str">
        <f>IF($T541="","",$T541&amp;"|"&amp;COUNTIFS($T$7:$T541,$T541))</f>
        <v/>
      </c>
      <c r="V541" s="1">
        <f t="shared" si="27"/>
        <v>0</v>
      </c>
      <c r="W541" s="1" t="str">
        <f t="shared" si="28"/>
        <v/>
      </c>
      <c r="X541" s="1"/>
      <c r="Y541" s="1"/>
      <c r="Z541" s="1"/>
      <c r="AA541" s="1"/>
      <c r="AB541" s="1"/>
      <c r="AC541" s="1"/>
      <c r="AD541" s="1">
        <f>IF($C541="",0,SUMPRODUCT((AY_SONU!$O$7:$O$42="Evet")*(AY_SONU!$B$7:$B$42=DATE(YEAR($C541),MONTH($C541),1))))</f>
        <v>0</v>
      </c>
      <c r="AE541" s="1" t="str">
        <f>IF($E541="","",$E541&amp;"|"&amp;COUNTIFS($E$7:$E541,$E541))</f>
        <v/>
      </c>
    </row>
    <row r="542" spans="1:31" ht="18" customHeight="1" x14ac:dyDescent="0.3">
      <c r="A542" s="2"/>
      <c r="B542" s="65" t="str">
        <f>IF($C542="","","GG"&amp;TEXT(ROW()-6,"00000"))</f>
        <v/>
      </c>
      <c r="C542" s="66"/>
      <c r="D542" s="60"/>
      <c r="E542" s="61"/>
      <c r="F542" s="61"/>
      <c r="G542" s="67"/>
      <c r="H542" s="60"/>
      <c r="I542" s="60"/>
      <c r="J542" s="61"/>
      <c r="K542" s="61"/>
      <c r="L542" s="60"/>
      <c r="M542" s="74" t="str">
        <f>IF($C542="","",IF($D542="Gider",$E542,IF($L542&lt;&gt;"",$L542,$H542)))</f>
        <v/>
      </c>
      <c r="N542" s="74" t="str">
        <f>IF($C542="","",IF($D542="Gider",$H542,$E542))</f>
        <v/>
      </c>
      <c r="O542" s="73" t="str">
        <f>IF($C542="","",DATE(YEAR($C542),MONTH($C542),1))</f>
        <v/>
      </c>
      <c r="P542" s="65" t="str">
        <f ca="1">IF($C542="","",IF(AND($D542="Gelir",$L542&lt;&gt;"",$T542=""),"TANIMSIZ BORÇLU",IF($T542&lt;&gt;"",IF(OR($E542="",$G542&lt;=0),"EKSİK",IF($I542="Evet","TAHAKKUK NAKİT OLAMAZ",IF($C542&gt;TODAY(),"İLERİ TARİH","TAHAKKUK"))),IF(AND($D542&lt;&gt;"",$E542&lt;&gt;"",$G542&gt;0,$H542&lt;&gt;"",$I542&lt;&gt;""),IF($C542&gt;TODAY(),"İLERİ TARİH",IF(COUNTIF($W$7:$W$3001,$W542)&gt;1,"MÜKERRER?",IF($AD542&gt;0,"KAPALI DÖNEM",IF($I542="Hayır","ÖDENECEK","UYGUN")))),"EKSİK"))))</f>
        <v/>
      </c>
      <c r="Q542" s="2"/>
      <c r="R542" s="2"/>
      <c r="S542" s="1" t="str">
        <f t="shared" si="26"/>
        <v/>
      </c>
      <c r="T542" s="1" t="str">
        <f>IF(OR($C542="",$D542&lt;&gt;"Gelir",$L542=""),"",IFERROR(INDEX(MUSTERILER!$B$7:$B$156,MATCH($S542,MUSTERILER!$T$7:$T$156,0)),""))</f>
        <v/>
      </c>
      <c r="U542" s="1" t="str">
        <f>IF($T542="","",$T542&amp;"|"&amp;COUNTIFS($T$7:$T542,$T542))</f>
        <v/>
      </c>
      <c r="V542" s="1">
        <f t="shared" si="27"/>
        <v>0</v>
      </c>
      <c r="W542" s="1" t="str">
        <f t="shared" si="28"/>
        <v/>
      </c>
      <c r="X542" s="1"/>
      <c r="Y542" s="1"/>
      <c r="Z542" s="1"/>
      <c r="AA542" s="1"/>
      <c r="AB542" s="1"/>
      <c r="AC542" s="1"/>
      <c r="AD542" s="1">
        <f>IF($C542="",0,SUMPRODUCT((AY_SONU!$O$7:$O$42="Evet")*(AY_SONU!$B$7:$B$42=DATE(YEAR($C542),MONTH($C542),1))))</f>
        <v>0</v>
      </c>
      <c r="AE542" s="1" t="str">
        <f>IF($E542="","",$E542&amp;"|"&amp;COUNTIFS($E$7:$E542,$E542))</f>
        <v/>
      </c>
    </row>
    <row r="543" spans="1:31" ht="18" customHeight="1" x14ac:dyDescent="0.3">
      <c r="A543" s="2"/>
      <c r="B543" s="65" t="str">
        <f>IF($C543="","","GG"&amp;TEXT(ROW()-6,"00000"))</f>
        <v/>
      </c>
      <c r="C543" s="66"/>
      <c r="D543" s="60"/>
      <c r="E543" s="61"/>
      <c r="F543" s="61"/>
      <c r="G543" s="67"/>
      <c r="H543" s="60"/>
      <c r="I543" s="60"/>
      <c r="J543" s="61"/>
      <c r="K543" s="61"/>
      <c r="L543" s="60"/>
      <c r="M543" s="74" t="str">
        <f>IF($C543="","",IF($D543="Gider",$E543,IF($L543&lt;&gt;"",$L543,$H543)))</f>
        <v/>
      </c>
      <c r="N543" s="74" t="str">
        <f>IF($C543="","",IF($D543="Gider",$H543,$E543))</f>
        <v/>
      </c>
      <c r="O543" s="73" t="str">
        <f>IF($C543="","",DATE(YEAR($C543),MONTH($C543),1))</f>
        <v/>
      </c>
      <c r="P543" s="65" t="str">
        <f ca="1">IF($C543="","",IF(AND($D543="Gelir",$L543&lt;&gt;"",$T543=""),"TANIMSIZ BORÇLU",IF($T543&lt;&gt;"",IF(OR($E543="",$G543&lt;=0),"EKSİK",IF($I543="Evet","TAHAKKUK NAKİT OLAMAZ",IF($C543&gt;TODAY(),"İLERİ TARİH","TAHAKKUK"))),IF(AND($D543&lt;&gt;"",$E543&lt;&gt;"",$G543&gt;0,$H543&lt;&gt;"",$I543&lt;&gt;""),IF($C543&gt;TODAY(),"İLERİ TARİH",IF(COUNTIF($W$7:$W$3001,$W543)&gt;1,"MÜKERRER?",IF($AD543&gt;0,"KAPALI DÖNEM",IF($I543="Hayır","ÖDENECEK","UYGUN")))),"EKSİK"))))</f>
        <v/>
      </c>
      <c r="Q543" s="2"/>
      <c r="R543" s="2"/>
      <c r="S543" s="1" t="str">
        <f t="shared" si="26"/>
        <v/>
      </c>
      <c r="T543" s="1" t="str">
        <f>IF(OR($C543="",$D543&lt;&gt;"Gelir",$L543=""),"",IFERROR(INDEX(MUSTERILER!$B$7:$B$156,MATCH($S543,MUSTERILER!$T$7:$T$156,0)),""))</f>
        <v/>
      </c>
      <c r="U543" s="1" t="str">
        <f>IF($T543="","",$T543&amp;"|"&amp;COUNTIFS($T$7:$T543,$T543))</f>
        <v/>
      </c>
      <c r="V543" s="1">
        <f t="shared" si="27"/>
        <v>0</v>
      </c>
      <c r="W543" s="1" t="str">
        <f t="shared" si="28"/>
        <v/>
      </c>
      <c r="X543" s="1"/>
      <c r="Y543" s="1"/>
      <c r="Z543" s="1"/>
      <c r="AA543" s="1"/>
      <c r="AB543" s="1"/>
      <c r="AC543" s="1"/>
      <c r="AD543" s="1">
        <f>IF($C543="",0,SUMPRODUCT((AY_SONU!$O$7:$O$42="Evet")*(AY_SONU!$B$7:$B$42=DATE(YEAR($C543),MONTH($C543),1))))</f>
        <v>0</v>
      </c>
      <c r="AE543" s="1" t="str">
        <f>IF($E543="","",$E543&amp;"|"&amp;COUNTIFS($E$7:$E543,$E543))</f>
        <v/>
      </c>
    </row>
    <row r="544" spans="1:31" ht="18" customHeight="1" x14ac:dyDescent="0.3">
      <c r="A544" s="2"/>
      <c r="B544" s="65" t="str">
        <f>IF($C544="","","GG"&amp;TEXT(ROW()-6,"00000"))</f>
        <v/>
      </c>
      <c r="C544" s="66"/>
      <c r="D544" s="60"/>
      <c r="E544" s="61"/>
      <c r="F544" s="61"/>
      <c r="G544" s="67"/>
      <c r="H544" s="60"/>
      <c r="I544" s="60"/>
      <c r="J544" s="61"/>
      <c r="K544" s="61"/>
      <c r="L544" s="60"/>
      <c r="M544" s="74" t="str">
        <f>IF($C544="","",IF($D544="Gider",$E544,IF($L544&lt;&gt;"",$L544,$H544)))</f>
        <v/>
      </c>
      <c r="N544" s="74" t="str">
        <f>IF($C544="","",IF($D544="Gider",$H544,$E544))</f>
        <v/>
      </c>
      <c r="O544" s="73" t="str">
        <f>IF($C544="","",DATE(YEAR($C544),MONTH($C544),1))</f>
        <v/>
      </c>
      <c r="P544" s="65" t="str">
        <f ca="1">IF($C544="","",IF(AND($D544="Gelir",$L544&lt;&gt;"",$T544=""),"TANIMSIZ BORÇLU",IF($T544&lt;&gt;"",IF(OR($E544="",$G544&lt;=0),"EKSİK",IF($I544="Evet","TAHAKKUK NAKİT OLAMAZ",IF($C544&gt;TODAY(),"İLERİ TARİH","TAHAKKUK"))),IF(AND($D544&lt;&gt;"",$E544&lt;&gt;"",$G544&gt;0,$H544&lt;&gt;"",$I544&lt;&gt;""),IF($C544&gt;TODAY(),"İLERİ TARİH",IF(COUNTIF($W$7:$W$3001,$W544)&gt;1,"MÜKERRER?",IF($AD544&gt;0,"KAPALI DÖNEM",IF($I544="Hayır","ÖDENECEK","UYGUN")))),"EKSİK"))))</f>
        <v/>
      </c>
      <c r="Q544" s="2"/>
      <c r="R544" s="2"/>
      <c r="S544" s="1" t="str">
        <f t="shared" si="26"/>
        <v/>
      </c>
      <c r="T544" s="1" t="str">
        <f>IF(OR($C544="",$D544&lt;&gt;"Gelir",$L544=""),"",IFERROR(INDEX(MUSTERILER!$B$7:$B$156,MATCH($S544,MUSTERILER!$T$7:$T$156,0)),""))</f>
        <v/>
      </c>
      <c r="U544" s="1" t="str">
        <f>IF($T544="","",$T544&amp;"|"&amp;COUNTIFS($T$7:$T544,$T544))</f>
        <v/>
      </c>
      <c r="V544" s="1">
        <f t="shared" si="27"/>
        <v>0</v>
      </c>
      <c r="W544" s="1" t="str">
        <f t="shared" si="28"/>
        <v/>
      </c>
      <c r="X544" s="1"/>
      <c r="Y544" s="1"/>
      <c r="Z544" s="1"/>
      <c r="AA544" s="1"/>
      <c r="AB544" s="1"/>
      <c r="AC544" s="1"/>
      <c r="AD544" s="1">
        <f>IF($C544="",0,SUMPRODUCT((AY_SONU!$O$7:$O$42="Evet")*(AY_SONU!$B$7:$B$42=DATE(YEAR($C544),MONTH($C544),1))))</f>
        <v>0</v>
      </c>
      <c r="AE544" s="1" t="str">
        <f>IF($E544="","",$E544&amp;"|"&amp;COUNTIFS($E$7:$E544,$E544))</f>
        <v/>
      </c>
    </row>
    <row r="545" spans="1:31" ht="18" customHeight="1" x14ac:dyDescent="0.3">
      <c r="A545" s="2"/>
      <c r="B545" s="65" t="str">
        <f>IF($C545="","","GG"&amp;TEXT(ROW()-6,"00000"))</f>
        <v/>
      </c>
      <c r="C545" s="66"/>
      <c r="D545" s="60"/>
      <c r="E545" s="61"/>
      <c r="F545" s="61"/>
      <c r="G545" s="67"/>
      <c r="H545" s="60"/>
      <c r="I545" s="60"/>
      <c r="J545" s="61"/>
      <c r="K545" s="61"/>
      <c r="L545" s="60"/>
      <c r="M545" s="74" t="str">
        <f>IF($C545="","",IF($D545="Gider",$E545,IF($L545&lt;&gt;"",$L545,$H545)))</f>
        <v/>
      </c>
      <c r="N545" s="74" t="str">
        <f>IF($C545="","",IF($D545="Gider",$H545,$E545))</f>
        <v/>
      </c>
      <c r="O545" s="73" t="str">
        <f>IF($C545="","",DATE(YEAR($C545),MONTH($C545),1))</f>
        <v/>
      </c>
      <c r="P545" s="65" t="str">
        <f ca="1">IF($C545="","",IF(AND($D545="Gelir",$L545&lt;&gt;"",$T545=""),"TANIMSIZ BORÇLU",IF($T545&lt;&gt;"",IF(OR($E545="",$G545&lt;=0),"EKSİK",IF($I545="Evet","TAHAKKUK NAKİT OLAMAZ",IF($C545&gt;TODAY(),"İLERİ TARİH","TAHAKKUK"))),IF(AND($D545&lt;&gt;"",$E545&lt;&gt;"",$G545&gt;0,$H545&lt;&gt;"",$I545&lt;&gt;""),IF($C545&gt;TODAY(),"İLERİ TARİH",IF(COUNTIF($W$7:$W$3001,$W545)&gt;1,"MÜKERRER?",IF($AD545&gt;0,"KAPALI DÖNEM",IF($I545="Hayır","ÖDENECEK","UYGUN")))),"EKSİK"))))</f>
        <v/>
      </c>
      <c r="Q545" s="2"/>
      <c r="R545" s="2"/>
      <c r="S545" s="1" t="str">
        <f t="shared" si="26"/>
        <v/>
      </c>
      <c r="T545" s="1" t="str">
        <f>IF(OR($C545="",$D545&lt;&gt;"Gelir",$L545=""),"",IFERROR(INDEX(MUSTERILER!$B$7:$B$156,MATCH($S545,MUSTERILER!$T$7:$T$156,0)),""))</f>
        <v/>
      </c>
      <c r="U545" s="1" t="str">
        <f>IF($T545="","",$T545&amp;"|"&amp;COUNTIFS($T$7:$T545,$T545))</f>
        <v/>
      </c>
      <c r="V545" s="1">
        <f t="shared" si="27"/>
        <v>0</v>
      </c>
      <c r="W545" s="1" t="str">
        <f t="shared" si="28"/>
        <v/>
      </c>
      <c r="X545" s="1"/>
      <c r="Y545" s="1"/>
      <c r="Z545" s="1"/>
      <c r="AA545" s="1"/>
      <c r="AB545" s="1"/>
      <c r="AC545" s="1"/>
      <c r="AD545" s="1">
        <f>IF($C545="",0,SUMPRODUCT((AY_SONU!$O$7:$O$42="Evet")*(AY_SONU!$B$7:$B$42=DATE(YEAR($C545),MONTH($C545),1))))</f>
        <v>0</v>
      </c>
      <c r="AE545" s="1" t="str">
        <f>IF($E545="","",$E545&amp;"|"&amp;COUNTIFS($E$7:$E545,$E545))</f>
        <v/>
      </c>
    </row>
    <row r="546" spans="1:31" ht="18" customHeight="1" x14ac:dyDescent="0.3">
      <c r="A546" s="2"/>
      <c r="B546" s="65" t="str">
        <f>IF($C546="","","GG"&amp;TEXT(ROW()-6,"00000"))</f>
        <v/>
      </c>
      <c r="C546" s="66"/>
      <c r="D546" s="60"/>
      <c r="E546" s="61"/>
      <c r="F546" s="61"/>
      <c r="G546" s="67"/>
      <c r="H546" s="60"/>
      <c r="I546" s="60"/>
      <c r="J546" s="61"/>
      <c r="K546" s="61"/>
      <c r="L546" s="60"/>
      <c r="M546" s="74" t="str">
        <f>IF($C546="","",IF($D546="Gider",$E546,IF($L546&lt;&gt;"",$L546,$H546)))</f>
        <v/>
      </c>
      <c r="N546" s="74" t="str">
        <f>IF($C546="","",IF($D546="Gider",$H546,$E546))</f>
        <v/>
      </c>
      <c r="O546" s="73" t="str">
        <f>IF($C546="","",DATE(YEAR($C546),MONTH($C546),1))</f>
        <v/>
      </c>
      <c r="P546" s="65" t="str">
        <f ca="1">IF($C546="","",IF(AND($D546="Gelir",$L546&lt;&gt;"",$T546=""),"TANIMSIZ BORÇLU",IF($T546&lt;&gt;"",IF(OR($E546="",$G546&lt;=0),"EKSİK",IF($I546="Evet","TAHAKKUK NAKİT OLAMAZ",IF($C546&gt;TODAY(),"İLERİ TARİH","TAHAKKUK"))),IF(AND($D546&lt;&gt;"",$E546&lt;&gt;"",$G546&gt;0,$H546&lt;&gt;"",$I546&lt;&gt;""),IF($C546&gt;TODAY(),"İLERİ TARİH",IF(COUNTIF($W$7:$W$3001,$W546)&gt;1,"MÜKERRER?",IF($AD546&gt;0,"KAPALI DÖNEM",IF($I546="Hayır","ÖDENECEK","UYGUN")))),"EKSİK"))))</f>
        <v/>
      </c>
      <c r="Q546" s="2"/>
      <c r="R546" s="2"/>
      <c r="S546" s="1" t="str">
        <f t="shared" si="26"/>
        <v/>
      </c>
      <c r="T546" s="1" t="str">
        <f>IF(OR($C546="",$D546&lt;&gt;"Gelir",$L546=""),"",IFERROR(INDEX(MUSTERILER!$B$7:$B$156,MATCH($S546,MUSTERILER!$T$7:$T$156,0)),""))</f>
        <v/>
      </c>
      <c r="U546" s="1" t="str">
        <f>IF($T546="","",$T546&amp;"|"&amp;COUNTIFS($T$7:$T546,$T546))</f>
        <v/>
      </c>
      <c r="V546" s="1">
        <f t="shared" si="27"/>
        <v>0</v>
      </c>
      <c r="W546" s="1" t="str">
        <f t="shared" si="28"/>
        <v/>
      </c>
      <c r="X546" s="1"/>
      <c r="Y546" s="1"/>
      <c r="Z546" s="1"/>
      <c r="AA546" s="1"/>
      <c r="AB546" s="1"/>
      <c r="AC546" s="1"/>
      <c r="AD546" s="1">
        <f>IF($C546="",0,SUMPRODUCT((AY_SONU!$O$7:$O$42="Evet")*(AY_SONU!$B$7:$B$42=DATE(YEAR($C546),MONTH($C546),1))))</f>
        <v>0</v>
      </c>
      <c r="AE546" s="1" t="str">
        <f>IF($E546="","",$E546&amp;"|"&amp;COUNTIFS($E$7:$E546,$E546))</f>
        <v/>
      </c>
    </row>
    <row r="547" spans="1:31" ht="18" customHeight="1" x14ac:dyDescent="0.3">
      <c r="A547" s="2"/>
      <c r="B547" s="65" t="str">
        <f>IF($C547="","","GG"&amp;TEXT(ROW()-6,"00000"))</f>
        <v/>
      </c>
      <c r="C547" s="66"/>
      <c r="D547" s="60"/>
      <c r="E547" s="61"/>
      <c r="F547" s="61"/>
      <c r="G547" s="67"/>
      <c r="H547" s="60"/>
      <c r="I547" s="60"/>
      <c r="J547" s="61"/>
      <c r="K547" s="61"/>
      <c r="L547" s="60"/>
      <c r="M547" s="74" t="str">
        <f>IF($C547="","",IF($D547="Gider",$E547,IF($L547&lt;&gt;"",$L547,$H547)))</f>
        <v/>
      </c>
      <c r="N547" s="74" t="str">
        <f>IF($C547="","",IF($D547="Gider",$H547,$E547))</f>
        <v/>
      </c>
      <c r="O547" s="73" t="str">
        <f>IF($C547="","",DATE(YEAR($C547),MONTH($C547),1))</f>
        <v/>
      </c>
      <c r="P547" s="65" t="str">
        <f ca="1">IF($C547="","",IF(AND($D547="Gelir",$L547&lt;&gt;"",$T547=""),"TANIMSIZ BORÇLU",IF($T547&lt;&gt;"",IF(OR($E547="",$G547&lt;=0),"EKSİK",IF($I547="Evet","TAHAKKUK NAKİT OLAMAZ",IF($C547&gt;TODAY(),"İLERİ TARİH","TAHAKKUK"))),IF(AND($D547&lt;&gt;"",$E547&lt;&gt;"",$G547&gt;0,$H547&lt;&gt;"",$I547&lt;&gt;""),IF($C547&gt;TODAY(),"İLERİ TARİH",IF(COUNTIF($W$7:$W$3001,$W547)&gt;1,"MÜKERRER?",IF($AD547&gt;0,"KAPALI DÖNEM",IF($I547="Hayır","ÖDENECEK","UYGUN")))),"EKSİK"))))</f>
        <v/>
      </c>
      <c r="Q547" s="2"/>
      <c r="R547" s="2"/>
      <c r="S547" s="1" t="str">
        <f t="shared" si="26"/>
        <v/>
      </c>
      <c r="T547" s="1" t="str">
        <f>IF(OR($C547="",$D547&lt;&gt;"Gelir",$L547=""),"",IFERROR(INDEX(MUSTERILER!$B$7:$B$156,MATCH($S547,MUSTERILER!$T$7:$T$156,0)),""))</f>
        <v/>
      </c>
      <c r="U547" s="1" t="str">
        <f>IF($T547="","",$T547&amp;"|"&amp;COUNTIFS($T$7:$T547,$T547))</f>
        <v/>
      </c>
      <c r="V547" s="1">
        <f t="shared" si="27"/>
        <v>0</v>
      </c>
      <c r="W547" s="1" t="str">
        <f t="shared" si="28"/>
        <v/>
      </c>
      <c r="X547" s="1"/>
      <c r="Y547" s="1"/>
      <c r="Z547" s="1"/>
      <c r="AA547" s="1"/>
      <c r="AB547" s="1"/>
      <c r="AC547" s="1"/>
      <c r="AD547" s="1">
        <f>IF($C547="",0,SUMPRODUCT((AY_SONU!$O$7:$O$42="Evet")*(AY_SONU!$B$7:$B$42=DATE(YEAR($C547),MONTH($C547),1))))</f>
        <v>0</v>
      </c>
      <c r="AE547" s="1" t="str">
        <f>IF($E547="","",$E547&amp;"|"&amp;COUNTIFS($E$7:$E547,$E547))</f>
        <v/>
      </c>
    </row>
    <row r="548" spans="1:31" ht="18" customHeight="1" x14ac:dyDescent="0.3">
      <c r="A548" s="2"/>
      <c r="B548" s="65" t="str">
        <f>IF($C548="","","GG"&amp;TEXT(ROW()-6,"00000"))</f>
        <v/>
      </c>
      <c r="C548" s="66"/>
      <c r="D548" s="60"/>
      <c r="E548" s="61"/>
      <c r="F548" s="61"/>
      <c r="G548" s="67"/>
      <c r="H548" s="60"/>
      <c r="I548" s="60"/>
      <c r="J548" s="61"/>
      <c r="K548" s="61"/>
      <c r="L548" s="60"/>
      <c r="M548" s="74" t="str">
        <f>IF($C548="","",IF($D548="Gider",$E548,IF($L548&lt;&gt;"",$L548,$H548)))</f>
        <v/>
      </c>
      <c r="N548" s="74" t="str">
        <f>IF($C548="","",IF($D548="Gider",$H548,$E548))</f>
        <v/>
      </c>
      <c r="O548" s="73" t="str">
        <f>IF($C548="","",DATE(YEAR($C548),MONTH($C548),1))</f>
        <v/>
      </c>
      <c r="P548" s="65" t="str">
        <f ca="1">IF($C548="","",IF(AND($D548="Gelir",$L548&lt;&gt;"",$T548=""),"TANIMSIZ BORÇLU",IF($T548&lt;&gt;"",IF(OR($E548="",$G548&lt;=0),"EKSİK",IF($I548="Evet","TAHAKKUK NAKİT OLAMAZ",IF($C548&gt;TODAY(),"İLERİ TARİH","TAHAKKUK"))),IF(AND($D548&lt;&gt;"",$E548&lt;&gt;"",$G548&gt;0,$H548&lt;&gt;"",$I548&lt;&gt;""),IF($C548&gt;TODAY(),"İLERİ TARİH",IF(COUNTIF($W$7:$W$3001,$W548)&gt;1,"MÜKERRER?",IF($AD548&gt;0,"KAPALI DÖNEM",IF($I548="Hayır","ÖDENECEK","UYGUN")))),"EKSİK"))))</f>
        <v/>
      </c>
      <c r="Q548" s="2"/>
      <c r="R548" s="2"/>
      <c r="S548" s="1" t="str">
        <f t="shared" si="26"/>
        <v/>
      </c>
      <c r="T548" s="1" t="str">
        <f>IF(OR($C548="",$D548&lt;&gt;"Gelir",$L548=""),"",IFERROR(INDEX(MUSTERILER!$B$7:$B$156,MATCH($S548,MUSTERILER!$T$7:$T$156,0)),""))</f>
        <v/>
      </c>
      <c r="U548" s="1" t="str">
        <f>IF($T548="","",$T548&amp;"|"&amp;COUNTIFS($T$7:$T548,$T548))</f>
        <v/>
      </c>
      <c r="V548" s="1">
        <f t="shared" si="27"/>
        <v>0</v>
      </c>
      <c r="W548" s="1" t="str">
        <f t="shared" si="28"/>
        <v/>
      </c>
      <c r="X548" s="1"/>
      <c r="Y548" s="1"/>
      <c r="Z548" s="1"/>
      <c r="AA548" s="1"/>
      <c r="AB548" s="1"/>
      <c r="AC548" s="1"/>
      <c r="AD548" s="1">
        <f>IF($C548="",0,SUMPRODUCT((AY_SONU!$O$7:$O$42="Evet")*(AY_SONU!$B$7:$B$42=DATE(YEAR($C548),MONTH($C548),1))))</f>
        <v>0</v>
      </c>
      <c r="AE548" s="1" t="str">
        <f>IF($E548="","",$E548&amp;"|"&amp;COUNTIFS($E$7:$E548,$E548))</f>
        <v/>
      </c>
    </row>
    <row r="549" spans="1:31" ht="18" customHeight="1" x14ac:dyDescent="0.3">
      <c r="A549" s="2"/>
      <c r="B549" s="65" t="str">
        <f>IF($C549="","","GG"&amp;TEXT(ROW()-6,"00000"))</f>
        <v/>
      </c>
      <c r="C549" s="66"/>
      <c r="D549" s="60"/>
      <c r="E549" s="61"/>
      <c r="F549" s="61"/>
      <c r="G549" s="67"/>
      <c r="H549" s="60"/>
      <c r="I549" s="60"/>
      <c r="J549" s="61"/>
      <c r="K549" s="61"/>
      <c r="L549" s="60"/>
      <c r="M549" s="74" t="str">
        <f>IF($C549="","",IF($D549="Gider",$E549,IF($L549&lt;&gt;"",$L549,$H549)))</f>
        <v/>
      </c>
      <c r="N549" s="74" t="str">
        <f>IF($C549="","",IF($D549="Gider",$H549,$E549))</f>
        <v/>
      </c>
      <c r="O549" s="73" t="str">
        <f>IF($C549="","",DATE(YEAR($C549),MONTH($C549),1))</f>
        <v/>
      </c>
      <c r="P549" s="65" t="str">
        <f ca="1">IF($C549="","",IF(AND($D549="Gelir",$L549&lt;&gt;"",$T549=""),"TANIMSIZ BORÇLU",IF($T549&lt;&gt;"",IF(OR($E549="",$G549&lt;=0),"EKSİK",IF($I549="Evet","TAHAKKUK NAKİT OLAMAZ",IF($C549&gt;TODAY(),"İLERİ TARİH","TAHAKKUK"))),IF(AND($D549&lt;&gt;"",$E549&lt;&gt;"",$G549&gt;0,$H549&lt;&gt;"",$I549&lt;&gt;""),IF($C549&gt;TODAY(),"İLERİ TARİH",IF(COUNTIF($W$7:$W$3001,$W549)&gt;1,"MÜKERRER?",IF($AD549&gt;0,"KAPALI DÖNEM",IF($I549="Hayır","ÖDENECEK","UYGUN")))),"EKSİK"))))</f>
        <v/>
      </c>
      <c r="Q549" s="2"/>
      <c r="R549" s="2"/>
      <c r="S549" s="1" t="str">
        <f t="shared" si="26"/>
        <v/>
      </c>
      <c r="T549" s="1" t="str">
        <f>IF(OR($C549="",$D549&lt;&gt;"Gelir",$L549=""),"",IFERROR(INDEX(MUSTERILER!$B$7:$B$156,MATCH($S549,MUSTERILER!$T$7:$T$156,0)),""))</f>
        <v/>
      </c>
      <c r="U549" s="1" t="str">
        <f>IF($T549="","",$T549&amp;"|"&amp;COUNTIFS($T$7:$T549,$T549))</f>
        <v/>
      </c>
      <c r="V549" s="1">
        <f t="shared" si="27"/>
        <v>0</v>
      </c>
      <c r="W549" s="1" t="str">
        <f t="shared" si="28"/>
        <v/>
      </c>
      <c r="X549" s="1"/>
      <c r="Y549" s="1"/>
      <c r="Z549" s="1"/>
      <c r="AA549" s="1"/>
      <c r="AB549" s="1"/>
      <c r="AC549" s="1"/>
      <c r="AD549" s="1">
        <f>IF($C549="",0,SUMPRODUCT((AY_SONU!$O$7:$O$42="Evet")*(AY_SONU!$B$7:$B$42=DATE(YEAR($C549),MONTH($C549),1))))</f>
        <v>0</v>
      </c>
      <c r="AE549" s="1" t="str">
        <f>IF($E549="","",$E549&amp;"|"&amp;COUNTIFS($E$7:$E549,$E549))</f>
        <v/>
      </c>
    </row>
    <row r="550" spans="1:31" ht="18" customHeight="1" x14ac:dyDescent="0.3">
      <c r="A550" s="2"/>
      <c r="B550" s="65" t="str">
        <f>IF($C550="","","GG"&amp;TEXT(ROW()-6,"00000"))</f>
        <v/>
      </c>
      <c r="C550" s="66"/>
      <c r="D550" s="60"/>
      <c r="E550" s="61"/>
      <c r="F550" s="61"/>
      <c r="G550" s="67"/>
      <c r="H550" s="60"/>
      <c r="I550" s="60"/>
      <c r="J550" s="61"/>
      <c r="K550" s="61"/>
      <c r="L550" s="60"/>
      <c r="M550" s="74" t="str">
        <f>IF($C550="","",IF($D550="Gider",$E550,IF($L550&lt;&gt;"",$L550,$H550)))</f>
        <v/>
      </c>
      <c r="N550" s="74" t="str">
        <f>IF($C550="","",IF($D550="Gider",$H550,$E550))</f>
        <v/>
      </c>
      <c r="O550" s="73" t="str">
        <f>IF($C550="","",DATE(YEAR($C550),MONTH($C550),1))</f>
        <v/>
      </c>
      <c r="P550" s="65" t="str">
        <f ca="1">IF($C550="","",IF(AND($D550="Gelir",$L550&lt;&gt;"",$T550=""),"TANIMSIZ BORÇLU",IF($T550&lt;&gt;"",IF(OR($E550="",$G550&lt;=0),"EKSİK",IF($I550="Evet","TAHAKKUK NAKİT OLAMAZ",IF($C550&gt;TODAY(),"İLERİ TARİH","TAHAKKUK"))),IF(AND($D550&lt;&gt;"",$E550&lt;&gt;"",$G550&gt;0,$H550&lt;&gt;"",$I550&lt;&gt;""),IF($C550&gt;TODAY(),"İLERİ TARİH",IF(COUNTIF($W$7:$W$3001,$W550)&gt;1,"MÜKERRER?",IF($AD550&gt;0,"KAPALI DÖNEM",IF($I550="Hayır","ÖDENECEK","UYGUN")))),"EKSİK"))))</f>
        <v/>
      </c>
      <c r="Q550" s="2"/>
      <c r="R550" s="2"/>
      <c r="S550" s="1" t="str">
        <f t="shared" si="26"/>
        <v/>
      </c>
      <c r="T550" s="1" t="str">
        <f>IF(OR($C550="",$D550&lt;&gt;"Gelir",$L550=""),"",IFERROR(INDEX(MUSTERILER!$B$7:$B$156,MATCH($S550,MUSTERILER!$T$7:$T$156,0)),""))</f>
        <v/>
      </c>
      <c r="U550" s="1" t="str">
        <f>IF($T550="","",$T550&amp;"|"&amp;COUNTIFS($T$7:$T550,$T550))</f>
        <v/>
      </c>
      <c r="V550" s="1">
        <f t="shared" si="27"/>
        <v>0</v>
      </c>
      <c r="W550" s="1" t="str">
        <f t="shared" si="28"/>
        <v/>
      </c>
      <c r="X550" s="1"/>
      <c r="Y550" s="1"/>
      <c r="Z550" s="1"/>
      <c r="AA550" s="1"/>
      <c r="AB550" s="1"/>
      <c r="AC550" s="1"/>
      <c r="AD550" s="1">
        <f>IF($C550="",0,SUMPRODUCT((AY_SONU!$O$7:$O$42="Evet")*(AY_SONU!$B$7:$B$42=DATE(YEAR($C550),MONTH($C550),1))))</f>
        <v>0</v>
      </c>
      <c r="AE550" s="1" t="str">
        <f>IF($E550="","",$E550&amp;"|"&amp;COUNTIFS($E$7:$E550,$E550))</f>
        <v/>
      </c>
    </row>
    <row r="551" spans="1:31" ht="18" customHeight="1" x14ac:dyDescent="0.3">
      <c r="A551" s="2"/>
      <c r="B551" s="65" t="str">
        <f>IF($C551="","","GG"&amp;TEXT(ROW()-6,"00000"))</f>
        <v/>
      </c>
      <c r="C551" s="66"/>
      <c r="D551" s="60"/>
      <c r="E551" s="61"/>
      <c r="F551" s="61"/>
      <c r="G551" s="67"/>
      <c r="H551" s="60"/>
      <c r="I551" s="60"/>
      <c r="J551" s="61"/>
      <c r="K551" s="61"/>
      <c r="L551" s="60"/>
      <c r="M551" s="74" t="str">
        <f>IF($C551="","",IF($D551="Gider",$E551,IF($L551&lt;&gt;"",$L551,$H551)))</f>
        <v/>
      </c>
      <c r="N551" s="74" t="str">
        <f>IF($C551="","",IF($D551="Gider",$H551,$E551))</f>
        <v/>
      </c>
      <c r="O551" s="73" t="str">
        <f>IF($C551="","",DATE(YEAR($C551),MONTH($C551),1))</f>
        <v/>
      </c>
      <c r="P551" s="65" t="str">
        <f ca="1">IF($C551="","",IF(AND($D551="Gelir",$L551&lt;&gt;"",$T551=""),"TANIMSIZ BORÇLU",IF($T551&lt;&gt;"",IF(OR($E551="",$G551&lt;=0),"EKSİK",IF($I551="Evet","TAHAKKUK NAKİT OLAMAZ",IF($C551&gt;TODAY(),"İLERİ TARİH","TAHAKKUK"))),IF(AND($D551&lt;&gt;"",$E551&lt;&gt;"",$G551&gt;0,$H551&lt;&gt;"",$I551&lt;&gt;""),IF($C551&gt;TODAY(),"İLERİ TARİH",IF(COUNTIF($W$7:$W$3001,$W551)&gt;1,"MÜKERRER?",IF($AD551&gt;0,"KAPALI DÖNEM",IF($I551="Hayır","ÖDENECEK","UYGUN")))),"EKSİK"))))</f>
        <v/>
      </c>
      <c r="Q551" s="2"/>
      <c r="R551" s="2"/>
      <c r="S551" s="1" t="str">
        <f t="shared" si="26"/>
        <v/>
      </c>
      <c r="T551" s="1" t="str">
        <f>IF(OR($C551="",$D551&lt;&gt;"Gelir",$L551=""),"",IFERROR(INDEX(MUSTERILER!$B$7:$B$156,MATCH($S551,MUSTERILER!$T$7:$T$156,0)),""))</f>
        <v/>
      </c>
      <c r="U551" s="1" t="str">
        <f>IF($T551="","",$T551&amp;"|"&amp;COUNTIFS($T$7:$T551,$T551))</f>
        <v/>
      </c>
      <c r="V551" s="1">
        <f t="shared" si="27"/>
        <v>0</v>
      </c>
      <c r="W551" s="1" t="str">
        <f t="shared" si="28"/>
        <v/>
      </c>
      <c r="X551" s="1"/>
      <c r="Y551" s="1"/>
      <c r="Z551" s="1"/>
      <c r="AA551" s="1"/>
      <c r="AB551" s="1"/>
      <c r="AC551" s="1"/>
      <c r="AD551" s="1">
        <f>IF($C551="",0,SUMPRODUCT((AY_SONU!$O$7:$O$42="Evet")*(AY_SONU!$B$7:$B$42=DATE(YEAR($C551),MONTH($C551),1))))</f>
        <v>0</v>
      </c>
      <c r="AE551" s="1" t="str">
        <f>IF($E551="","",$E551&amp;"|"&amp;COUNTIFS($E$7:$E551,$E551))</f>
        <v/>
      </c>
    </row>
    <row r="552" spans="1:31" ht="18" customHeight="1" x14ac:dyDescent="0.3">
      <c r="A552" s="2"/>
      <c r="B552" s="65" t="str">
        <f>IF($C552="","","GG"&amp;TEXT(ROW()-6,"00000"))</f>
        <v/>
      </c>
      <c r="C552" s="66"/>
      <c r="D552" s="60"/>
      <c r="E552" s="61"/>
      <c r="F552" s="61"/>
      <c r="G552" s="67"/>
      <c r="H552" s="60"/>
      <c r="I552" s="60"/>
      <c r="J552" s="61"/>
      <c r="K552" s="61"/>
      <c r="L552" s="60"/>
      <c r="M552" s="74" t="str">
        <f>IF($C552="","",IF($D552="Gider",$E552,IF($L552&lt;&gt;"",$L552,$H552)))</f>
        <v/>
      </c>
      <c r="N552" s="74" t="str">
        <f>IF($C552="","",IF($D552="Gider",$H552,$E552))</f>
        <v/>
      </c>
      <c r="O552" s="73" t="str">
        <f>IF($C552="","",DATE(YEAR($C552),MONTH($C552),1))</f>
        <v/>
      </c>
      <c r="P552" s="65" t="str">
        <f ca="1">IF($C552="","",IF(AND($D552="Gelir",$L552&lt;&gt;"",$T552=""),"TANIMSIZ BORÇLU",IF($T552&lt;&gt;"",IF(OR($E552="",$G552&lt;=0),"EKSİK",IF($I552="Evet","TAHAKKUK NAKİT OLAMAZ",IF($C552&gt;TODAY(),"İLERİ TARİH","TAHAKKUK"))),IF(AND($D552&lt;&gt;"",$E552&lt;&gt;"",$G552&gt;0,$H552&lt;&gt;"",$I552&lt;&gt;""),IF($C552&gt;TODAY(),"İLERİ TARİH",IF(COUNTIF($W$7:$W$3001,$W552)&gt;1,"MÜKERRER?",IF($AD552&gt;0,"KAPALI DÖNEM",IF($I552="Hayır","ÖDENECEK","UYGUN")))),"EKSİK"))))</f>
        <v/>
      </c>
      <c r="Q552" s="2"/>
      <c r="R552" s="2"/>
      <c r="S552" s="1" t="str">
        <f t="shared" si="26"/>
        <v/>
      </c>
      <c r="T552" s="1" t="str">
        <f>IF(OR($C552="",$D552&lt;&gt;"Gelir",$L552=""),"",IFERROR(INDEX(MUSTERILER!$B$7:$B$156,MATCH($S552,MUSTERILER!$T$7:$T$156,0)),""))</f>
        <v/>
      </c>
      <c r="U552" s="1" t="str">
        <f>IF($T552="","",$T552&amp;"|"&amp;COUNTIFS($T$7:$T552,$T552))</f>
        <v/>
      </c>
      <c r="V552" s="1">
        <f t="shared" si="27"/>
        <v>0</v>
      </c>
      <c r="W552" s="1" t="str">
        <f t="shared" si="28"/>
        <v/>
      </c>
      <c r="X552" s="1"/>
      <c r="Y552" s="1"/>
      <c r="Z552" s="1"/>
      <c r="AA552" s="1"/>
      <c r="AB552" s="1"/>
      <c r="AC552" s="1"/>
      <c r="AD552" s="1">
        <f>IF($C552="",0,SUMPRODUCT((AY_SONU!$O$7:$O$42="Evet")*(AY_SONU!$B$7:$B$42=DATE(YEAR($C552),MONTH($C552),1))))</f>
        <v>0</v>
      </c>
      <c r="AE552" s="1" t="str">
        <f>IF($E552="","",$E552&amp;"|"&amp;COUNTIFS($E$7:$E552,$E552))</f>
        <v/>
      </c>
    </row>
    <row r="553" spans="1:31" ht="18" customHeight="1" x14ac:dyDescent="0.3">
      <c r="A553" s="2"/>
      <c r="B553" s="65" t="str">
        <f>IF($C553="","","GG"&amp;TEXT(ROW()-6,"00000"))</f>
        <v/>
      </c>
      <c r="C553" s="66"/>
      <c r="D553" s="60"/>
      <c r="E553" s="61"/>
      <c r="F553" s="61"/>
      <c r="G553" s="67"/>
      <c r="H553" s="60"/>
      <c r="I553" s="60"/>
      <c r="J553" s="61"/>
      <c r="K553" s="61"/>
      <c r="L553" s="60"/>
      <c r="M553" s="74" t="str">
        <f>IF($C553="","",IF($D553="Gider",$E553,IF($L553&lt;&gt;"",$L553,$H553)))</f>
        <v/>
      </c>
      <c r="N553" s="74" t="str">
        <f>IF($C553="","",IF($D553="Gider",$H553,$E553))</f>
        <v/>
      </c>
      <c r="O553" s="73" t="str">
        <f>IF($C553="","",DATE(YEAR($C553),MONTH($C553),1))</f>
        <v/>
      </c>
      <c r="P553" s="65" t="str">
        <f ca="1">IF($C553="","",IF(AND($D553="Gelir",$L553&lt;&gt;"",$T553=""),"TANIMSIZ BORÇLU",IF($T553&lt;&gt;"",IF(OR($E553="",$G553&lt;=0),"EKSİK",IF($I553="Evet","TAHAKKUK NAKİT OLAMAZ",IF($C553&gt;TODAY(),"İLERİ TARİH","TAHAKKUK"))),IF(AND($D553&lt;&gt;"",$E553&lt;&gt;"",$G553&gt;0,$H553&lt;&gt;"",$I553&lt;&gt;""),IF($C553&gt;TODAY(),"İLERİ TARİH",IF(COUNTIF($W$7:$W$3001,$W553)&gt;1,"MÜKERRER?",IF($AD553&gt;0,"KAPALI DÖNEM",IF($I553="Hayır","ÖDENECEK","UYGUN")))),"EKSİK"))))</f>
        <v/>
      </c>
      <c r="Q553" s="2"/>
      <c r="R553" s="2"/>
      <c r="S553" s="1" t="str">
        <f t="shared" si="26"/>
        <v/>
      </c>
      <c r="T553" s="1" t="str">
        <f>IF(OR($C553="",$D553&lt;&gt;"Gelir",$L553=""),"",IFERROR(INDEX(MUSTERILER!$B$7:$B$156,MATCH($S553,MUSTERILER!$T$7:$T$156,0)),""))</f>
        <v/>
      </c>
      <c r="U553" s="1" t="str">
        <f>IF($T553="","",$T553&amp;"|"&amp;COUNTIFS($T$7:$T553,$T553))</f>
        <v/>
      </c>
      <c r="V553" s="1">
        <f t="shared" si="27"/>
        <v>0</v>
      </c>
      <c r="W553" s="1" t="str">
        <f t="shared" si="28"/>
        <v/>
      </c>
      <c r="X553" s="1"/>
      <c r="Y553" s="1"/>
      <c r="Z553" s="1"/>
      <c r="AA553" s="1"/>
      <c r="AB553" s="1"/>
      <c r="AC553" s="1"/>
      <c r="AD553" s="1">
        <f>IF($C553="",0,SUMPRODUCT((AY_SONU!$O$7:$O$42="Evet")*(AY_SONU!$B$7:$B$42=DATE(YEAR($C553),MONTH($C553),1))))</f>
        <v>0</v>
      </c>
      <c r="AE553" s="1" t="str">
        <f>IF($E553="","",$E553&amp;"|"&amp;COUNTIFS($E$7:$E553,$E553))</f>
        <v/>
      </c>
    </row>
    <row r="554" spans="1:31" ht="18" customHeight="1" x14ac:dyDescent="0.3">
      <c r="A554" s="2"/>
      <c r="B554" s="65" t="str">
        <f>IF($C554="","","GG"&amp;TEXT(ROW()-6,"00000"))</f>
        <v/>
      </c>
      <c r="C554" s="66"/>
      <c r="D554" s="60"/>
      <c r="E554" s="61"/>
      <c r="F554" s="61"/>
      <c r="G554" s="67"/>
      <c r="H554" s="60"/>
      <c r="I554" s="60"/>
      <c r="J554" s="61"/>
      <c r="K554" s="61"/>
      <c r="L554" s="60"/>
      <c r="M554" s="74" t="str">
        <f>IF($C554="","",IF($D554="Gider",$E554,IF($L554&lt;&gt;"",$L554,$H554)))</f>
        <v/>
      </c>
      <c r="N554" s="74" t="str">
        <f>IF($C554="","",IF($D554="Gider",$H554,$E554))</f>
        <v/>
      </c>
      <c r="O554" s="73" t="str">
        <f>IF($C554="","",DATE(YEAR($C554),MONTH($C554),1))</f>
        <v/>
      </c>
      <c r="P554" s="65" t="str">
        <f ca="1">IF($C554="","",IF(AND($D554="Gelir",$L554&lt;&gt;"",$T554=""),"TANIMSIZ BORÇLU",IF($T554&lt;&gt;"",IF(OR($E554="",$G554&lt;=0),"EKSİK",IF($I554="Evet","TAHAKKUK NAKİT OLAMAZ",IF($C554&gt;TODAY(),"İLERİ TARİH","TAHAKKUK"))),IF(AND($D554&lt;&gt;"",$E554&lt;&gt;"",$G554&gt;0,$H554&lt;&gt;"",$I554&lt;&gt;""),IF($C554&gt;TODAY(),"İLERİ TARİH",IF(COUNTIF($W$7:$W$3001,$W554)&gt;1,"MÜKERRER?",IF($AD554&gt;0,"KAPALI DÖNEM",IF($I554="Hayır","ÖDENECEK","UYGUN")))),"EKSİK"))))</f>
        <v/>
      </c>
      <c r="Q554" s="2"/>
      <c r="R554" s="2"/>
      <c r="S554" s="1" t="str">
        <f t="shared" si="26"/>
        <v/>
      </c>
      <c r="T554" s="1" t="str">
        <f>IF(OR($C554="",$D554&lt;&gt;"Gelir",$L554=""),"",IFERROR(INDEX(MUSTERILER!$B$7:$B$156,MATCH($S554,MUSTERILER!$T$7:$T$156,0)),""))</f>
        <v/>
      </c>
      <c r="U554" s="1" t="str">
        <f>IF($T554="","",$T554&amp;"|"&amp;COUNTIFS($T$7:$T554,$T554))</f>
        <v/>
      </c>
      <c r="V554" s="1">
        <f t="shared" si="27"/>
        <v>0</v>
      </c>
      <c r="W554" s="1" t="str">
        <f t="shared" si="28"/>
        <v/>
      </c>
      <c r="X554" s="1"/>
      <c r="Y554" s="1"/>
      <c r="Z554" s="1"/>
      <c r="AA554" s="1"/>
      <c r="AB554" s="1"/>
      <c r="AC554" s="1"/>
      <c r="AD554" s="1">
        <f>IF($C554="",0,SUMPRODUCT((AY_SONU!$O$7:$O$42="Evet")*(AY_SONU!$B$7:$B$42=DATE(YEAR($C554),MONTH($C554),1))))</f>
        <v>0</v>
      </c>
      <c r="AE554" s="1" t="str">
        <f>IF($E554="","",$E554&amp;"|"&amp;COUNTIFS($E$7:$E554,$E554))</f>
        <v/>
      </c>
    </row>
    <row r="555" spans="1:31" ht="18" customHeight="1" x14ac:dyDescent="0.3">
      <c r="A555" s="2"/>
      <c r="B555" s="65" t="str">
        <f>IF($C555="","","GG"&amp;TEXT(ROW()-6,"00000"))</f>
        <v/>
      </c>
      <c r="C555" s="66"/>
      <c r="D555" s="60"/>
      <c r="E555" s="61"/>
      <c r="F555" s="61"/>
      <c r="G555" s="67"/>
      <c r="H555" s="60"/>
      <c r="I555" s="60"/>
      <c r="J555" s="61"/>
      <c r="K555" s="61"/>
      <c r="L555" s="60"/>
      <c r="M555" s="74" t="str">
        <f>IF($C555="","",IF($D555="Gider",$E555,IF($L555&lt;&gt;"",$L555,$H555)))</f>
        <v/>
      </c>
      <c r="N555" s="74" t="str">
        <f>IF($C555="","",IF($D555="Gider",$H555,$E555))</f>
        <v/>
      </c>
      <c r="O555" s="73" t="str">
        <f>IF($C555="","",DATE(YEAR($C555),MONTH($C555),1))</f>
        <v/>
      </c>
      <c r="P555" s="65" t="str">
        <f ca="1">IF($C555="","",IF(AND($D555="Gelir",$L555&lt;&gt;"",$T555=""),"TANIMSIZ BORÇLU",IF($T555&lt;&gt;"",IF(OR($E555="",$G555&lt;=0),"EKSİK",IF($I555="Evet","TAHAKKUK NAKİT OLAMAZ",IF($C555&gt;TODAY(),"İLERİ TARİH","TAHAKKUK"))),IF(AND($D555&lt;&gt;"",$E555&lt;&gt;"",$G555&gt;0,$H555&lt;&gt;"",$I555&lt;&gt;""),IF($C555&gt;TODAY(),"İLERİ TARİH",IF(COUNTIF($W$7:$W$3001,$W555)&gt;1,"MÜKERRER?",IF($AD555&gt;0,"KAPALI DÖNEM",IF($I555="Hayır","ÖDENECEK","UYGUN")))),"EKSİK"))))</f>
        <v/>
      </c>
      <c r="Q555" s="2"/>
      <c r="R555" s="2"/>
      <c r="S555" s="1" t="str">
        <f t="shared" si="26"/>
        <v/>
      </c>
      <c r="T555" s="1" t="str">
        <f>IF(OR($C555="",$D555&lt;&gt;"Gelir",$L555=""),"",IFERROR(INDEX(MUSTERILER!$B$7:$B$156,MATCH($S555,MUSTERILER!$T$7:$T$156,0)),""))</f>
        <v/>
      </c>
      <c r="U555" s="1" t="str">
        <f>IF($T555="","",$T555&amp;"|"&amp;COUNTIFS($T$7:$T555,$T555))</f>
        <v/>
      </c>
      <c r="V555" s="1">
        <f t="shared" si="27"/>
        <v>0</v>
      </c>
      <c r="W555" s="1" t="str">
        <f t="shared" si="28"/>
        <v/>
      </c>
      <c r="X555" s="1"/>
      <c r="Y555" s="1"/>
      <c r="Z555" s="1"/>
      <c r="AA555" s="1"/>
      <c r="AB555" s="1"/>
      <c r="AC555" s="1"/>
      <c r="AD555" s="1">
        <f>IF($C555="",0,SUMPRODUCT((AY_SONU!$O$7:$O$42="Evet")*(AY_SONU!$B$7:$B$42=DATE(YEAR($C555),MONTH($C555),1))))</f>
        <v>0</v>
      </c>
      <c r="AE555" s="1" t="str">
        <f>IF($E555="","",$E555&amp;"|"&amp;COUNTIFS($E$7:$E555,$E555))</f>
        <v/>
      </c>
    </row>
    <row r="556" spans="1:31" ht="18" customHeight="1" x14ac:dyDescent="0.3">
      <c r="A556" s="2"/>
      <c r="B556" s="65" t="str">
        <f>IF($C556="","","GG"&amp;TEXT(ROW()-6,"00000"))</f>
        <v/>
      </c>
      <c r="C556" s="66"/>
      <c r="D556" s="60"/>
      <c r="E556" s="61"/>
      <c r="F556" s="61"/>
      <c r="G556" s="67"/>
      <c r="H556" s="60"/>
      <c r="I556" s="60"/>
      <c r="J556" s="61"/>
      <c r="K556" s="61"/>
      <c r="L556" s="60"/>
      <c r="M556" s="74" t="str">
        <f>IF($C556="","",IF($D556="Gider",$E556,IF($L556&lt;&gt;"",$L556,$H556)))</f>
        <v/>
      </c>
      <c r="N556" s="74" t="str">
        <f>IF($C556="","",IF($D556="Gider",$H556,$E556))</f>
        <v/>
      </c>
      <c r="O556" s="73" t="str">
        <f>IF($C556="","",DATE(YEAR($C556),MONTH($C556),1))</f>
        <v/>
      </c>
      <c r="P556" s="65" t="str">
        <f ca="1">IF($C556="","",IF(AND($D556="Gelir",$L556&lt;&gt;"",$T556=""),"TANIMSIZ BORÇLU",IF($T556&lt;&gt;"",IF(OR($E556="",$G556&lt;=0),"EKSİK",IF($I556="Evet","TAHAKKUK NAKİT OLAMAZ",IF($C556&gt;TODAY(),"İLERİ TARİH","TAHAKKUK"))),IF(AND($D556&lt;&gt;"",$E556&lt;&gt;"",$G556&gt;0,$H556&lt;&gt;"",$I556&lt;&gt;""),IF($C556&gt;TODAY(),"İLERİ TARİH",IF(COUNTIF($W$7:$W$3001,$W556)&gt;1,"MÜKERRER?",IF($AD556&gt;0,"KAPALI DÖNEM",IF($I556="Hayır","ÖDENECEK","UYGUN")))),"EKSİK"))))</f>
        <v/>
      </c>
      <c r="Q556" s="2"/>
      <c r="R556" s="2"/>
      <c r="S556" s="1" t="str">
        <f t="shared" si="26"/>
        <v/>
      </c>
      <c r="T556" s="1" t="str">
        <f>IF(OR($C556="",$D556&lt;&gt;"Gelir",$L556=""),"",IFERROR(INDEX(MUSTERILER!$B$7:$B$156,MATCH($S556,MUSTERILER!$T$7:$T$156,0)),""))</f>
        <v/>
      </c>
      <c r="U556" s="1" t="str">
        <f>IF($T556="","",$T556&amp;"|"&amp;COUNTIFS($T$7:$T556,$T556))</f>
        <v/>
      </c>
      <c r="V556" s="1">
        <f t="shared" si="27"/>
        <v>0</v>
      </c>
      <c r="W556" s="1" t="str">
        <f t="shared" si="28"/>
        <v/>
      </c>
      <c r="X556" s="1"/>
      <c r="Y556" s="1"/>
      <c r="Z556" s="1"/>
      <c r="AA556" s="1"/>
      <c r="AB556" s="1"/>
      <c r="AC556" s="1"/>
      <c r="AD556" s="1">
        <f>IF($C556="",0,SUMPRODUCT((AY_SONU!$O$7:$O$42="Evet")*(AY_SONU!$B$7:$B$42=DATE(YEAR($C556),MONTH($C556),1))))</f>
        <v>0</v>
      </c>
      <c r="AE556" s="1" t="str">
        <f>IF($E556="","",$E556&amp;"|"&amp;COUNTIFS($E$7:$E556,$E556))</f>
        <v/>
      </c>
    </row>
    <row r="557" spans="1:31" ht="18" customHeight="1" x14ac:dyDescent="0.3">
      <c r="A557" s="2"/>
      <c r="B557" s="65" t="str">
        <f>IF($C557="","","GG"&amp;TEXT(ROW()-6,"00000"))</f>
        <v/>
      </c>
      <c r="C557" s="66"/>
      <c r="D557" s="60"/>
      <c r="E557" s="61"/>
      <c r="F557" s="61"/>
      <c r="G557" s="67"/>
      <c r="H557" s="60"/>
      <c r="I557" s="60"/>
      <c r="J557" s="61"/>
      <c r="K557" s="61"/>
      <c r="L557" s="60"/>
      <c r="M557" s="74" t="str">
        <f>IF($C557="","",IF($D557="Gider",$E557,IF($L557&lt;&gt;"",$L557,$H557)))</f>
        <v/>
      </c>
      <c r="N557" s="74" t="str">
        <f>IF($C557="","",IF($D557="Gider",$H557,$E557))</f>
        <v/>
      </c>
      <c r="O557" s="73" t="str">
        <f>IF($C557="","",DATE(YEAR($C557),MONTH($C557),1))</f>
        <v/>
      </c>
      <c r="P557" s="65" t="str">
        <f ca="1">IF($C557="","",IF(AND($D557="Gelir",$L557&lt;&gt;"",$T557=""),"TANIMSIZ BORÇLU",IF($T557&lt;&gt;"",IF(OR($E557="",$G557&lt;=0),"EKSİK",IF($I557="Evet","TAHAKKUK NAKİT OLAMAZ",IF($C557&gt;TODAY(),"İLERİ TARİH","TAHAKKUK"))),IF(AND($D557&lt;&gt;"",$E557&lt;&gt;"",$G557&gt;0,$H557&lt;&gt;"",$I557&lt;&gt;""),IF($C557&gt;TODAY(),"İLERİ TARİH",IF(COUNTIF($W$7:$W$3001,$W557)&gt;1,"MÜKERRER?",IF($AD557&gt;0,"KAPALI DÖNEM",IF($I557="Hayır","ÖDENECEK","UYGUN")))),"EKSİK"))))</f>
        <v/>
      </c>
      <c r="Q557" s="2"/>
      <c r="R557" s="2"/>
      <c r="S557" s="1" t="str">
        <f t="shared" si="26"/>
        <v/>
      </c>
      <c r="T557" s="1" t="str">
        <f>IF(OR($C557="",$D557&lt;&gt;"Gelir",$L557=""),"",IFERROR(INDEX(MUSTERILER!$B$7:$B$156,MATCH($S557,MUSTERILER!$T$7:$T$156,0)),""))</f>
        <v/>
      </c>
      <c r="U557" s="1" t="str">
        <f>IF($T557="","",$T557&amp;"|"&amp;COUNTIFS($T$7:$T557,$T557))</f>
        <v/>
      </c>
      <c r="V557" s="1">
        <f t="shared" si="27"/>
        <v>0</v>
      </c>
      <c r="W557" s="1" t="str">
        <f t="shared" si="28"/>
        <v/>
      </c>
      <c r="X557" s="1"/>
      <c r="Y557" s="1"/>
      <c r="Z557" s="1"/>
      <c r="AA557" s="1"/>
      <c r="AB557" s="1"/>
      <c r="AC557" s="1"/>
      <c r="AD557" s="1">
        <f>IF($C557="",0,SUMPRODUCT((AY_SONU!$O$7:$O$42="Evet")*(AY_SONU!$B$7:$B$42=DATE(YEAR($C557),MONTH($C557),1))))</f>
        <v>0</v>
      </c>
      <c r="AE557" s="1" t="str">
        <f>IF($E557="","",$E557&amp;"|"&amp;COUNTIFS($E$7:$E557,$E557))</f>
        <v/>
      </c>
    </row>
    <row r="558" spans="1:31" ht="18" customHeight="1" x14ac:dyDescent="0.3">
      <c r="A558" s="2"/>
      <c r="B558" s="65" t="str">
        <f>IF($C558="","","GG"&amp;TEXT(ROW()-6,"00000"))</f>
        <v/>
      </c>
      <c r="C558" s="66"/>
      <c r="D558" s="60"/>
      <c r="E558" s="61"/>
      <c r="F558" s="61"/>
      <c r="G558" s="67"/>
      <c r="H558" s="60"/>
      <c r="I558" s="60"/>
      <c r="J558" s="61"/>
      <c r="K558" s="61"/>
      <c r="L558" s="60"/>
      <c r="M558" s="74" t="str">
        <f>IF($C558="","",IF($D558="Gider",$E558,IF($L558&lt;&gt;"",$L558,$H558)))</f>
        <v/>
      </c>
      <c r="N558" s="74" t="str">
        <f>IF($C558="","",IF($D558="Gider",$H558,$E558))</f>
        <v/>
      </c>
      <c r="O558" s="73" t="str">
        <f>IF($C558="","",DATE(YEAR($C558),MONTH($C558),1))</f>
        <v/>
      </c>
      <c r="P558" s="65" t="str">
        <f ca="1">IF($C558="","",IF(AND($D558="Gelir",$L558&lt;&gt;"",$T558=""),"TANIMSIZ BORÇLU",IF($T558&lt;&gt;"",IF(OR($E558="",$G558&lt;=0),"EKSİK",IF($I558="Evet","TAHAKKUK NAKİT OLAMAZ",IF($C558&gt;TODAY(),"İLERİ TARİH","TAHAKKUK"))),IF(AND($D558&lt;&gt;"",$E558&lt;&gt;"",$G558&gt;0,$H558&lt;&gt;"",$I558&lt;&gt;""),IF($C558&gt;TODAY(),"İLERİ TARİH",IF(COUNTIF($W$7:$W$3001,$W558)&gt;1,"MÜKERRER?",IF($AD558&gt;0,"KAPALI DÖNEM",IF($I558="Hayır","ÖDENECEK","UYGUN")))),"EKSİK"))))</f>
        <v/>
      </c>
      <c r="Q558" s="2"/>
      <c r="R558" s="2"/>
      <c r="S558" s="1" t="str">
        <f t="shared" si="26"/>
        <v/>
      </c>
      <c r="T558" s="1" t="str">
        <f>IF(OR($C558="",$D558&lt;&gt;"Gelir",$L558=""),"",IFERROR(INDEX(MUSTERILER!$B$7:$B$156,MATCH($S558,MUSTERILER!$T$7:$T$156,0)),""))</f>
        <v/>
      </c>
      <c r="U558" s="1" t="str">
        <f>IF($T558="","",$T558&amp;"|"&amp;COUNTIFS($T$7:$T558,$T558))</f>
        <v/>
      </c>
      <c r="V558" s="1">
        <f t="shared" si="27"/>
        <v>0</v>
      </c>
      <c r="W558" s="1" t="str">
        <f t="shared" si="28"/>
        <v/>
      </c>
      <c r="X558" s="1"/>
      <c r="Y558" s="1"/>
      <c r="Z558" s="1"/>
      <c r="AA558" s="1"/>
      <c r="AB558" s="1"/>
      <c r="AC558" s="1"/>
      <c r="AD558" s="1">
        <f>IF($C558="",0,SUMPRODUCT((AY_SONU!$O$7:$O$42="Evet")*(AY_SONU!$B$7:$B$42=DATE(YEAR($C558),MONTH($C558),1))))</f>
        <v>0</v>
      </c>
      <c r="AE558" s="1" t="str">
        <f>IF($E558="","",$E558&amp;"|"&amp;COUNTIFS($E$7:$E558,$E558))</f>
        <v/>
      </c>
    </row>
    <row r="559" spans="1:31" ht="18" customHeight="1" x14ac:dyDescent="0.3">
      <c r="A559" s="2"/>
      <c r="B559" s="65" t="str">
        <f>IF($C559="","","GG"&amp;TEXT(ROW()-6,"00000"))</f>
        <v/>
      </c>
      <c r="C559" s="66"/>
      <c r="D559" s="60"/>
      <c r="E559" s="61"/>
      <c r="F559" s="61"/>
      <c r="G559" s="67"/>
      <c r="H559" s="60"/>
      <c r="I559" s="60"/>
      <c r="J559" s="61"/>
      <c r="K559" s="61"/>
      <c r="L559" s="60"/>
      <c r="M559" s="74" t="str">
        <f>IF($C559="","",IF($D559="Gider",$E559,IF($L559&lt;&gt;"",$L559,$H559)))</f>
        <v/>
      </c>
      <c r="N559" s="74" t="str">
        <f>IF($C559="","",IF($D559="Gider",$H559,$E559))</f>
        <v/>
      </c>
      <c r="O559" s="73" t="str">
        <f>IF($C559="","",DATE(YEAR($C559),MONTH($C559),1))</f>
        <v/>
      </c>
      <c r="P559" s="65" t="str">
        <f ca="1">IF($C559="","",IF(AND($D559="Gelir",$L559&lt;&gt;"",$T559=""),"TANIMSIZ BORÇLU",IF($T559&lt;&gt;"",IF(OR($E559="",$G559&lt;=0),"EKSİK",IF($I559="Evet","TAHAKKUK NAKİT OLAMAZ",IF($C559&gt;TODAY(),"İLERİ TARİH","TAHAKKUK"))),IF(AND($D559&lt;&gt;"",$E559&lt;&gt;"",$G559&gt;0,$H559&lt;&gt;"",$I559&lt;&gt;""),IF($C559&gt;TODAY(),"İLERİ TARİH",IF(COUNTIF($W$7:$W$3001,$W559)&gt;1,"MÜKERRER?",IF($AD559&gt;0,"KAPALI DÖNEM",IF($I559="Hayır","ÖDENECEK","UYGUN")))),"EKSİK"))))</f>
        <v/>
      </c>
      <c r="Q559" s="2"/>
      <c r="R559" s="2"/>
      <c r="S559" s="1" t="str">
        <f t="shared" si="26"/>
        <v/>
      </c>
      <c r="T559" s="1" t="str">
        <f>IF(OR($C559="",$D559&lt;&gt;"Gelir",$L559=""),"",IFERROR(INDEX(MUSTERILER!$B$7:$B$156,MATCH($S559,MUSTERILER!$T$7:$T$156,0)),""))</f>
        <v/>
      </c>
      <c r="U559" s="1" t="str">
        <f>IF($T559="","",$T559&amp;"|"&amp;COUNTIFS($T$7:$T559,$T559))</f>
        <v/>
      </c>
      <c r="V559" s="1">
        <f t="shared" si="27"/>
        <v>0</v>
      </c>
      <c r="W559" s="1" t="str">
        <f t="shared" si="28"/>
        <v/>
      </c>
      <c r="X559" s="1"/>
      <c r="Y559" s="1"/>
      <c r="Z559" s="1"/>
      <c r="AA559" s="1"/>
      <c r="AB559" s="1"/>
      <c r="AC559" s="1"/>
      <c r="AD559" s="1">
        <f>IF($C559="",0,SUMPRODUCT((AY_SONU!$O$7:$O$42="Evet")*(AY_SONU!$B$7:$B$42=DATE(YEAR($C559),MONTH($C559),1))))</f>
        <v>0</v>
      </c>
      <c r="AE559" s="1" t="str">
        <f>IF($E559="","",$E559&amp;"|"&amp;COUNTIFS($E$7:$E559,$E559))</f>
        <v/>
      </c>
    </row>
    <row r="560" spans="1:31" ht="18" customHeight="1" x14ac:dyDescent="0.3">
      <c r="A560" s="2"/>
      <c r="B560" s="65" t="str">
        <f>IF($C560="","","GG"&amp;TEXT(ROW()-6,"00000"))</f>
        <v/>
      </c>
      <c r="C560" s="66"/>
      <c r="D560" s="60"/>
      <c r="E560" s="61"/>
      <c r="F560" s="61"/>
      <c r="G560" s="67"/>
      <c r="H560" s="60"/>
      <c r="I560" s="60"/>
      <c r="J560" s="61"/>
      <c r="K560" s="61"/>
      <c r="L560" s="60"/>
      <c r="M560" s="74" t="str">
        <f>IF($C560="","",IF($D560="Gider",$E560,IF($L560&lt;&gt;"",$L560,$H560)))</f>
        <v/>
      </c>
      <c r="N560" s="74" t="str">
        <f>IF($C560="","",IF($D560="Gider",$H560,$E560))</f>
        <v/>
      </c>
      <c r="O560" s="73" t="str">
        <f>IF($C560="","",DATE(YEAR($C560),MONTH($C560),1))</f>
        <v/>
      </c>
      <c r="P560" s="65" t="str">
        <f ca="1">IF($C560="","",IF(AND($D560="Gelir",$L560&lt;&gt;"",$T560=""),"TANIMSIZ BORÇLU",IF($T560&lt;&gt;"",IF(OR($E560="",$G560&lt;=0),"EKSİK",IF($I560="Evet","TAHAKKUK NAKİT OLAMAZ",IF($C560&gt;TODAY(),"İLERİ TARİH","TAHAKKUK"))),IF(AND($D560&lt;&gt;"",$E560&lt;&gt;"",$G560&gt;0,$H560&lt;&gt;"",$I560&lt;&gt;""),IF($C560&gt;TODAY(),"İLERİ TARİH",IF(COUNTIF($W$7:$W$3001,$W560)&gt;1,"MÜKERRER?",IF($AD560&gt;0,"KAPALI DÖNEM",IF($I560="Hayır","ÖDENECEK","UYGUN")))),"EKSİK"))))</f>
        <v/>
      </c>
      <c r="Q560" s="2"/>
      <c r="R560" s="2"/>
      <c r="S560" s="1" t="str">
        <f t="shared" si="26"/>
        <v/>
      </c>
      <c r="T560" s="1" t="str">
        <f>IF(OR($C560="",$D560&lt;&gt;"Gelir",$L560=""),"",IFERROR(INDEX(MUSTERILER!$B$7:$B$156,MATCH($S560,MUSTERILER!$T$7:$T$156,0)),""))</f>
        <v/>
      </c>
      <c r="U560" s="1" t="str">
        <f>IF($T560="","",$T560&amp;"|"&amp;COUNTIFS($T$7:$T560,$T560))</f>
        <v/>
      </c>
      <c r="V560" s="1">
        <f t="shared" si="27"/>
        <v>0</v>
      </c>
      <c r="W560" s="1" t="str">
        <f t="shared" si="28"/>
        <v/>
      </c>
      <c r="X560" s="1"/>
      <c r="Y560" s="1"/>
      <c r="Z560" s="1"/>
      <c r="AA560" s="1"/>
      <c r="AB560" s="1"/>
      <c r="AC560" s="1"/>
      <c r="AD560" s="1">
        <f>IF($C560="",0,SUMPRODUCT((AY_SONU!$O$7:$O$42="Evet")*(AY_SONU!$B$7:$B$42=DATE(YEAR($C560),MONTH($C560),1))))</f>
        <v>0</v>
      </c>
      <c r="AE560" s="1" t="str">
        <f>IF($E560="","",$E560&amp;"|"&amp;COUNTIFS($E$7:$E560,$E560))</f>
        <v/>
      </c>
    </row>
    <row r="561" spans="1:31" ht="18" customHeight="1" x14ac:dyDescent="0.3">
      <c r="A561" s="2"/>
      <c r="B561" s="65" t="str">
        <f>IF($C561="","","GG"&amp;TEXT(ROW()-6,"00000"))</f>
        <v/>
      </c>
      <c r="C561" s="66"/>
      <c r="D561" s="60"/>
      <c r="E561" s="61"/>
      <c r="F561" s="61"/>
      <c r="G561" s="67"/>
      <c r="H561" s="60"/>
      <c r="I561" s="60"/>
      <c r="J561" s="61"/>
      <c r="K561" s="61"/>
      <c r="L561" s="60"/>
      <c r="M561" s="74" t="str">
        <f>IF($C561="","",IF($D561="Gider",$E561,IF($L561&lt;&gt;"",$L561,$H561)))</f>
        <v/>
      </c>
      <c r="N561" s="74" t="str">
        <f>IF($C561="","",IF($D561="Gider",$H561,$E561))</f>
        <v/>
      </c>
      <c r="O561" s="73" t="str">
        <f>IF($C561="","",DATE(YEAR($C561),MONTH($C561),1))</f>
        <v/>
      </c>
      <c r="P561" s="65" t="str">
        <f ca="1">IF($C561="","",IF(AND($D561="Gelir",$L561&lt;&gt;"",$T561=""),"TANIMSIZ BORÇLU",IF($T561&lt;&gt;"",IF(OR($E561="",$G561&lt;=0),"EKSİK",IF($I561="Evet","TAHAKKUK NAKİT OLAMAZ",IF($C561&gt;TODAY(),"İLERİ TARİH","TAHAKKUK"))),IF(AND($D561&lt;&gt;"",$E561&lt;&gt;"",$G561&gt;0,$H561&lt;&gt;"",$I561&lt;&gt;""),IF($C561&gt;TODAY(),"İLERİ TARİH",IF(COUNTIF($W$7:$W$3001,$W561)&gt;1,"MÜKERRER?",IF($AD561&gt;0,"KAPALI DÖNEM",IF($I561="Hayır","ÖDENECEK","UYGUN")))),"EKSİK"))))</f>
        <v/>
      </c>
      <c r="Q561" s="2"/>
      <c r="R561" s="2"/>
      <c r="S561" s="1" t="str">
        <f t="shared" si="26"/>
        <v/>
      </c>
      <c r="T561" s="1" t="str">
        <f>IF(OR($C561="",$D561&lt;&gt;"Gelir",$L561=""),"",IFERROR(INDEX(MUSTERILER!$B$7:$B$156,MATCH($S561,MUSTERILER!$T$7:$T$156,0)),""))</f>
        <v/>
      </c>
      <c r="U561" s="1" t="str">
        <f>IF($T561="","",$T561&amp;"|"&amp;COUNTIFS($T$7:$T561,$T561))</f>
        <v/>
      </c>
      <c r="V561" s="1">
        <f t="shared" si="27"/>
        <v>0</v>
      </c>
      <c r="W561" s="1" t="str">
        <f t="shared" si="28"/>
        <v/>
      </c>
      <c r="X561" s="1"/>
      <c r="Y561" s="1"/>
      <c r="Z561" s="1"/>
      <c r="AA561" s="1"/>
      <c r="AB561" s="1"/>
      <c r="AC561" s="1"/>
      <c r="AD561" s="1">
        <f>IF($C561="",0,SUMPRODUCT((AY_SONU!$O$7:$O$42="Evet")*(AY_SONU!$B$7:$B$42=DATE(YEAR($C561),MONTH($C561),1))))</f>
        <v>0</v>
      </c>
      <c r="AE561" s="1" t="str">
        <f>IF($E561="","",$E561&amp;"|"&amp;COUNTIFS($E$7:$E561,$E561))</f>
        <v/>
      </c>
    </row>
    <row r="562" spans="1:31" ht="18" customHeight="1" x14ac:dyDescent="0.3">
      <c r="A562" s="2"/>
      <c r="B562" s="65" t="str">
        <f>IF($C562="","","GG"&amp;TEXT(ROW()-6,"00000"))</f>
        <v/>
      </c>
      <c r="C562" s="66"/>
      <c r="D562" s="60"/>
      <c r="E562" s="61"/>
      <c r="F562" s="61"/>
      <c r="G562" s="67"/>
      <c r="H562" s="60"/>
      <c r="I562" s="60"/>
      <c r="J562" s="61"/>
      <c r="K562" s="61"/>
      <c r="L562" s="60"/>
      <c r="M562" s="74" t="str">
        <f>IF($C562="","",IF($D562="Gider",$E562,IF($L562&lt;&gt;"",$L562,$H562)))</f>
        <v/>
      </c>
      <c r="N562" s="74" t="str">
        <f>IF($C562="","",IF($D562="Gider",$H562,$E562))</f>
        <v/>
      </c>
      <c r="O562" s="73" t="str">
        <f>IF($C562="","",DATE(YEAR($C562),MONTH($C562),1))</f>
        <v/>
      </c>
      <c r="P562" s="65" t="str">
        <f ca="1">IF($C562="","",IF(AND($D562="Gelir",$L562&lt;&gt;"",$T562=""),"TANIMSIZ BORÇLU",IF($T562&lt;&gt;"",IF(OR($E562="",$G562&lt;=0),"EKSİK",IF($I562="Evet","TAHAKKUK NAKİT OLAMAZ",IF($C562&gt;TODAY(),"İLERİ TARİH","TAHAKKUK"))),IF(AND($D562&lt;&gt;"",$E562&lt;&gt;"",$G562&gt;0,$H562&lt;&gt;"",$I562&lt;&gt;""),IF($C562&gt;TODAY(),"İLERİ TARİH",IF(COUNTIF($W$7:$W$3001,$W562)&gt;1,"MÜKERRER?",IF($AD562&gt;0,"KAPALI DÖNEM",IF($I562="Hayır","ÖDENECEK","UYGUN")))),"EKSİK"))))</f>
        <v/>
      </c>
      <c r="Q562" s="2"/>
      <c r="R562" s="2"/>
      <c r="S562" s="1" t="str">
        <f t="shared" si="26"/>
        <v/>
      </c>
      <c r="T562" s="1" t="str">
        <f>IF(OR($C562="",$D562&lt;&gt;"Gelir",$L562=""),"",IFERROR(INDEX(MUSTERILER!$B$7:$B$156,MATCH($S562,MUSTERILER!$T$7:$T$156,0)),""))</f>
        <v/>
      </c>
      <c r="U562" s="1" t="str">
        <f>IF($T562="","",$T562&amp;"|"&amp;COUNTIFS($T$7:$T562,$T562))</f>
        <v/>
      </c>
      <c r="V562" s="1">
        <f t="shared" si="27"/>
        <v>0</v>
      </c>
      <c r="W562" s="1" t="str">
        <f t="shared" si="28"/>
        <v/>
      </c>
      <c r="X562" s="1"/>
      <c r="Y562" s="1"/>
      <c r="Z562" s="1"/>
      <c r="AA562" s="1"/>
      <c r="AB562" s="1"/>
      <c r="AC562" s="1"/>
      <c r="AD562" s="1">
        <f>IF($C562="",0,SUMPRODUCT((AY_SONU!$O$7:$O$42="Evet")*(AY_SONU!$B$7:$B$42=DATE(YEAR($C562),MONTH($C562),1))))</f>
        <v>0</v>
      </c>
      <c r="AE562" s="1" t="str">
        <f>IF($E562="","",$E562&amp;"|"&amp;COUNTIFS($E$7:$E562,$E562))</f>
        <v/>
      </c>
    </row>
    <row r="563" spans="1:31" ht="18" customHeight="1" x14ac:dyDescent="0.3">
      <c r="A563" s="2"/>
      <c r="B563" s="65" t="str">
        <f>IF($C563="","","GG"&amp;TEXT(ROW()-6,"00000"))</f>
        <v/>
      </c>
      <c r="C563" s="66"/>
      <c r="D563" s="60"/>
      <c r="E563" s="61"/>
      <c r="F563" s="61"/>
      <c r="G563" s="67"/>
      <c r="H563" s="60"/>
      <c r="I563" s="60"/>
      <c r="J563" s="61"/>
      <c r="K563" s="61"/>
      <c r="L563" s="60"/>
      <c r="M563" s="74" t="str">
        <f>IF($C563="","",IF($D563="Gider",$E563,IF($L563&lt;&gt;"",$L563,$H563)))</f>
        <v/>
      </c>
      <c r="N563" s="74" t="str">
        <f>IF($C563="","",IF($D563="Gider",$H563,$E563))</f>
        <v/>
      </c>
      <c r="O563" s="73" t="str">
        <f>IF($C563="","",DATE(YEAR($C563),MONTH($C563),1))</f>
        <v/>
      </c>
      <c r="P563" s="65" t="str">
        <f ca="1">IF($C563="","",IF(AND($D563="Gelir",$L563&lt;&gt;"",$T563=""),"TANIMSIZ BORÇLU",IF($T563&lt;&gt;"",IF(OR($E563="",$G563&lt;=0),"EKSİK",IF($I563="Evet","TAHAKKUK NAKİT OLAMAZ",IF($C563&gt;TODAY(),"İLERİ TARİH","TAHAKKUK"))),IF(AND($D563&lt;&gt;"",$E563&lt;&gt;"",$G563&gt;0,$H563&lt;&gt;"",$I563&lt;&gt;""),IF($C563&gt;TODAY(),"İLERİ TARİH",IF(COUNTIF($W$7:$W$3001,$W563)&gt;1,"MÜKERRER?",IF($AD563&gt;0,"KAPALI DÖNEM",IF($I563="Hayır","ÖDENECEK","UYGUN")))),"EKSİK"))))</f>
        <v/>
      </c>
      <c r="Q563" s="2"/>
      <c r="R563" s="2"/>
      <c r="S563" s="1" t="str">
        <f t="shared" si="26"/>
        <v/>
      </c>
      <c r="T563" s="1" t="str">
        <f>IF(OR($C563="",$D563&lt;&gt;"Gelir",$L563=""),"",IFERROR(INDEX(MUSTERILER!$B$7:$B$156,MATCH($S563,MUSTERILER!$T$7:$T$156,0)),""))</f>
        <v/>
      </c>
      <c r="U563" s="1" t="str">
        <f>IF($T563="","",$T563&amp;"|"&amp;COUNTIFS($T$7:$T563,$T563))</f>
        <v/>
      </c>
      <c r="V563" s="1">
        <f t="shared" si="27"/>
        <v>0</v>
      </c>
      <c r="W563" s="1" t="str">
        <f t="shared" si="28"/>
        <v/>
      </c>
      <c r="X563" s="1"/>
      <c r="Y563" s="1"/>
      <c r="Z563" s="1"/>
      <c r="AA563" s="1"/>
      <c r="AB563" s="1"/>
      <c r="AC563" s="1"/>
      <c r="AD563" s="1">
        <f>IF($C563="",0,SUMPRODUCT((AY_SONU!$O$7:$O$42="Evet")*(AY_SONU!$B$7:$B$42=DATE(YEAR($C563),MONTH($C563),1))))</f>
        <v>0</v>
      </c>
      <c r="AE563" s="1" t="str">
        <f>IF($E563="","",$E563&amp;"|"&amp;COUNTIFS($E$7:$E563,$E563))</f>
        <v/>
      </c>
    </row>
    <row r="564" spans="1:31" ht="18" customHeight="1" x14ac:dyDescent="0.3">
      <c r="A564" s="2"/>
      <c r="B564" s="65" t="str">
        <f>IF($C564="","","GG"&amp;TEXT(ROW()-6,"00000"))</f>
        <v/>
      </c>
      <c r="C564" s="66"/>
      <c r="D564" s="60"/>
      <c r="E564" s="61"/>
      <c r="F564" s="61"/>
      <c r="G564" s="67"/>
      <c r="H564" s="60"/>
      <c r="I564" s="60"/>
      <c r="J564" s="61"/>
      <c r="K564" s="61"/>
      <c r="L564" s="60"/>
      <c r="M564" s="74" t="str">
        <f>IF($C564="","",IF($D564="Gider",$E564,IF($L564&lt;&gt;"",$L564,$H564)))</f>
        <v/>
      </c>
      <c r="N564" s="74" t="str">
        <f>IF($C564="","",IF($D564="Gider",$H564,$E564))</f>
        <v/>
      </c>
      <c r="O564" s="73" t="str">
        <f>IF($C564="","",DATE(YEAR($C564),MONTH($C564),1))</f>
        <v/>
      </c>
      <c r="P564" s="65" t="str">
        <f ca="1">IF($C564="","",IF(AND($D564="Gelir",$L564&lt;&gt;"",$T564=""),"TANIMSIZ BORÇLU",IF($T564&lt;&gt;"",IF(OR($E564="",$G564&lt;=0),"EKSİK",IF($I564="Evet","TAHAKKUK NAKİT OLAMAZ",IF($C564&gt;TODAY(),"İLERİ TARİH","TAHAKKUK"))),IF(AND($D564&lt;&gt;"",$E564&lt;&gt;"",$G564&gt;0,$H564&lt;&gt;"",$I564&lt;&gt;""),IF($C564&gt;TODAY(),"İLERİ TARİH",IF(COUNTIF($W$7:$W$3001,$W564)&gt;1,"MÜKERRER?",IF($AD564&gt;0,"KAPALI DÖNEM",IF($I564="Hayır","ÖDENECEK","UYGUN")))),"EKSİK"))))</f>
        <v/>
      </c>
      <c r="Q564" s="2"/>
      <c r="R564" s="2"/>
      <c r="S564" s="1" t="str">
        <f t="shared" si="26"/>
        <v/>
      </c>
      <c r="T564" s="1" t="str">
        <f>IF(OR($C564="",$D564&lt;&gt;"Gelir",$L564=""),"",IFERROR(INDEX(MUSTERILER!$B$7:$B$156,MATCH($S564,MUSTERILER!$T$7:$T$156,0)),""))</f>
        <v/>
      </c>
      <c r="U564" s="1" t="str">
        <f>IF($T564="","",$T564&amp;"|"&amp;COUNTIFS($T$7:$T564,$T564))</f>
        <v/>
      </c>
      <c r="V564" s="1">
        <f t="shared" si="27"/>
        <v>0</v>
      </c>
      <c r="W564" s="1" t="str">
        <f t="shared" si="28"/>
        <v/>
      </c>
      <c r="X564" s="1"/>
      <c r="Y564" s="1"/>
      <c r="Z564" s="1"/>
      <c r="AA564" s="1"/>
      <c r="AB564" s="1"/>
      <c r="AC564" s="1"/>
      <c r="AD564" s="1">
        <f>IF($C564="",0,SUMPRODUCT((AY_SONU!$O$7:$O$42="Evet")*(AY_SONU!$B$7:$B$42=DATE(YEAR($C564),MONTH($C564),1))))</f>
        <v>0</v>
      </c>
      <c r="AE564" s="1" t="str">
        <f>IF($E564="","",$E564&amp;"|"&amp;COUNTIFS($E$7:$E564,$E564))</f>
        <v/>
      </c>
    </row>
    <row r="565" spans="1:31" ht="18" customHeight="1" x14ac:dyDescent="0.3">
      <c r="A565" s="2"/>
      <c r="B565" s="65" t="str">
        <f>IF($C565="","","GG"&amp;TEXT(ROW()-6,"00000"))</f>
        <v/>
      </c>
      <c r="C565" s="66"/>
      <c r="D565" s="60"/>
      <c r="E565" s="61"/>
      <c r="F565" s="61"/>
      <c r="G565" s="67"/>
      <c r="H565" s="60"/>
      <c r="I565" s="60"/>
      <c r="J565" s="61"/>
      <c r="K565" s="61"/>
      <c r="L565" s="60"/>
      <c r="M565" s="74" t="str">
        <f>IF($C565="","",IF($D565="Gider",$E565,IF($L565&lt;&gt;"",$L565,$H565)))</f>
        <v/>
      </c>
      <c r="N565" s="74" t="str">
        <f>IF($C565="","",IF($D565="Gider",$H565,$E565))</f>
        <v/>
      </c>
      <c r="O565" s="73" t="str">
        <f>IF($C565="","",DATE(YEAR($C565),MONTH($C565),1))</f>
        <v/>
      </c>
      <c r="P565" s="65" t="str">
        <f ca="1">IF($C565="","",IF(AND($D565="Gelir",$L565&lt;&gt;"",$T565=""),"TANIMSIZ BORÇLU",IF($T565&lt;&gt;"",IF(OR($E565="",$G565&lt;=0),"EKSİK",IF($I565="Evet","TAHAKKUK NAKİT OLAMAZ",IF($C565&gt;TODAY(),"İLERİ TARİH","TAHAKKUK"))),IF(AND($D565&lt;&gt;"",$E565&lt;&gt;"",$G565&gt;0,$H565&lt;&gt;"",$I565&lt;&gt;""),IF($C565&gt;TODAY(),"İLERİ TARİH",IF(COUNTIF($W$7:$W$3001,$W565)&gt;1,"MÜKERRER?",IF($AD565&gt;0,"KAPALI DÖNEM",IF($I565="Hayır","ÖDENECEK","UYGUN")))),"EKSİK"))))</f>
        <v/>
      </c>
      <c r="Q565" s="2"/>
      <c r="R565" s="2"/>
      <c r="S565" s="1" t="str">
        <f t="shared" si="26"/>
        <v/>
      </c>
      <c r="T565" s="1" t="str">
        <f>IF(OR($C565="",$D565&lt;&gt;"Gelir",$L565=""),"",IFERROR(INDEX(MUSTERILER!$B$7:$B$156,MATCH($S565,MUSTERILER!$T$7:$T$156,0)),""))</f>
        <v/>
      </c>
      <c r="U565" s="1" t="str">
        <f>IF($T565="","",$T565&amp;"|"&amp;COUNTIFS($T$7:$T565,$T565))</f>
        <v/>
      </c>
      <c r="V565" s="1">
        <f t="shared" si="27"/>
        <v>0</v>
      </c>
      <c r="W565" s="1" t="str">
        <f t="shared" si="28"/>
        <v/>
      </c>
      <c r="X565" s="1"/>
      <c r="Y565" s="1"/>
      <c r="Z565" s="1"/>
      <c r="AA565" s="1"/>
      <c r="AB565" s="1"/>
      <c r="AC565" s="1"/>
      <c r="AD565" s="1">
        <f>IF($C565="",0,SUMPRODUCT((AY_SONU!$O$7:$O$42="Evet")*(AY_SONU!$B$7:$B$42=DATE(YEAR($C565),MONTH($C565),1))))</f>
        <v>0</v>
      </c>
      <c r="AE565" s="1" t="str">
        <f>IF($E565="","",$E565&amp;"|"&amp;COUNTIFS($E$7:$E565,$E565))</f>
        <v/>
      </c>
    </row>
    <row r="566" spans="1:31" ht="18" customHeight="1" x14ac:dyDescent="0.3">
      <c r="A566" s="2"/>
      <c r="B566" s="65" t="str">
        <f>IF($C566="","","GG"&amp;TEXT(ROW()-6,"00000"))</f>
        <v/>
      </c>
      <c r="C566" s="66"/>
      <c r="D566" s="60"/>
      <c r="E566" s="61"/>
      <c r="F566" s="61"/>
      <c r="G566" s="67"/>
      <c r="H566" s="60"/>
      <c r="I566" s="60"/>
      <c r="J566" s="61"/>
      <c r="K566" s="61"/>
      <c r="L566" s="60"/>
      <c r="M566" s="74" t="str">
        <f>IF($C566="","",IF($D566="Gider",$E566,IF($L566&lt;&gt;"",$L566,$H566)))</f>
        <v/>
      </c>
      <c r="N566" s="74" t="str">
        <f>IF($C566="","",IF($D566="Gider",$H566,$E566))</f>
        <v/>
      </c>
      <c r="O566" s="73" t="str">
        <f>IF($C566="","",DATE(YEAR($C566),MONTH($C566),1))</f>
        <v/>
      </c>
      <c r="P566" s="65" t="str">
        <f ca="1">IF($C566="","",IF(AND($D566="Gelir",$L566&lt;&gt;"",$T566=""),"TANIMSIZ BORÇLU",IF($T566&lt;&gt;"",IF(OR($E566="",$G566&lt;=0),"EKSİK",IF($I566="Evet","TAHAKKUK NAKİT OLAMAZ",IF($C566&gt;TODAY(),"İLERİ TARİH","TAHAKKUK"))),IF(AND($D566&lt;&gt;"",$E566&lt;&gt;"",$G566&gt;0,$H566&lt;&gt;"",$I566&lt;&gt;""),IF($C566&gt;TODAY(),"İLERİ TARİH",IF(COUNTIF($W$7:$W$3001,$W566)&gt;1,"MÜKERRER?",IF($AD566&gt;0,"KAPALI DÖNEM",IF($I566="Hayır","ÖDENECEK","UYGUN")))),"EKSİK"))))</f>
        <v/>
      </c>
      <c r="Q566" s="2"/>
      <c r="R566" s="2"/>
      <c r="S566" s="1" t="str">
        <f t="shared" si="26"/>
        <v/>
      </c>
      <c r="T566" s="1" t="str">
        <f>IF(OR($C566="",$D566&lt;&gt;"Gelir",$L566=""),"",IFERROR(INDEX(MUSTERILER!$B$7:$B$156,MATCH($S566,MUSTERILER!$T$7:$T$156,0)),""))</f>
        <v/>
      </c>
      <c r="U566" s="1" t="str">
        <f>IF($T566="","",$T566&amp;"|"&amp;COUNTIFS($T$7:$T566,$T566))</f>
        <v/>
      </c>
      <c r="V566" s="1">
        <f t="shared" si="27"/>
        <v>0</v>
      </c>
      <c r="W566" s="1" t="str">
        <f t="shared" si="28"/>
        <v/>
      </c>
      <c r="X566" s="1"/>
      <c r="Y566" s="1"/>
      <c r="Z566" s="1"/>
      <c r="AA566" s="1"/>
      <c r="AB566" s="1"/>
      <c r="AC566" s="1"/>
      <c r="AD566" s="1">
        <f>IF($C566="",0,SUMPRODUCT((AY_SONU!$O$7:$O$42="Evet")*(AY_SONU!$B$7:$B$42=DATE(YEAR($C566),MONTH($C566),1))))</f>
        <v>0</v>
      </c>
      <c r="AE566" s="1" t="str">
        <f>IF($E566="","",$E566&amp;"|"&amp;COUNTIFS($E$7:$E566,$E566))</f>
        <v/>
      </c>
    </row>
    <row r="567" spans="1:31" ht="18" customHeight="1" x14ac:dyDescent="0.3">
      <c r="A567" s="2"/>
      <c r="B567" s="65" t="str">
        <f>IF($C567="","","GG"&amp;TEXT(ROW()-6,"00000"))</f>
        <v/>
      </c>
      <c r="C567" s="66"/>
      <c r="D567" s="60"/>
      <c r="E567" s="61"/>
      <c r="F567" s="61"/>
      <c r="G567" s="67"/>
      <c r="H567" s="60"/>
      <c r="I567" s="60"/>
      <c r="J567" s="61"/>
      <c r="K567" s="61"/>
      <c r="L567" s="60"/>
      <c r="M567" s="74" t="str">
        <f>IF($C567="","",IF($D567="Gider",$E567,IF($L567&lt;&gt;"",$L567,$H567)))</f>
        <v/>
      </c>
      <c r="N567" s="74" t="str">
        <f>IF($C567="","",IF($D567="Gider",$H567,$E567))</f>
        <v/>
      </c>
      <c r="O567" s="73" t="str">
        <f>IF($C567="","",DATE(YEAR($C567),MONTH($C567),1))</f>
        <v/>
      </c>
      <c r="P567" s="65" t="str">
        <f ca="1">IF($C567="","",IF(AND($D567="Gelir",$L567&lt;&gt;"",$T567=""),"TANIMSIZ BORÇLU",IF($T567&lt;&gt;"",IF(OR($E567="",$G567&lt;=0),"EKSİK",IF($I567="Evet","TAHAKKUK NAKİT OLAMAZ",IF($C567&gt;TODAY(),"İLERİ TARİH","TAHAKKUK"))),IF(AND($D567&lt;&gt;"",$E567&lt;&gt;"",$G567&gt;0,$H567&lt;&gt;"",$I567&lt;&gt;""),IF($C567&gt;TODAY(),"İLERİ TARİH",IF(COUNTIF($W$7:$W$3001,$W567)&gt;1,"MÜKERRER?",IF($AD567&gt;0,"KAPALI DÖNEM",IF($I567="Hayır","ÖDENECEK","UYGUN")))),"EKSİK"))))</f>
        <v/>
      </c>
      <c r="Q567" s="2"/>
      <c r="R567" s="2"/>
      <c r="S567" s="1" t="str">
        <f t="shared" si="26"/>
        <v/>
      </c>
      <c r="T567" s="1" t="str">
        <f>IF(OR($C567="",$D567&lt;&gt;"Gelir",$L567=""),"",IFERROR(INDEX(MUSTERILER!$B$7:$B$156,MATCH($S567,MUSTERILER!$T$7:$T$156,0)),""))</f>
        <v/>
      </c>
      <c r="U567" s="1" t="str">
        <f>IF($T567="","",$T567&amp;"|"&amp;COUNTIFS($T$7:$T567,$T567))</f>
        <v/>
      </c>
      <c r="V567" s="1">
        <f t="shared" si="27"/>
        <v>0</v>
      </c>
      <c r="W567" s="1" t="str">
        <f t="shared" si="28"/>
        <v/>
      </c>
      <c r="X567" s="1"/>
      <c r="Y567" s="1"/>
      <c r="Z567" s="1"/>
      <c r="AA567" s="1"/>
      <c r="AB567" s="1"/>
      <c r="AC567" s="1"/>
      <c r="AD567" s="1">
        <f>IF($C567="",0,SUMPRODUCT((AY_SONU!$O$7:$O$42="Evet")*(AY_SONU!$B$7:$B$42=DATE(YEAR($C567),MONTH($C567),1))))</f>
        <v>0</v>
      </c>
      <c r="AE567" s="1" t="str">
        <f>IF($E567="","",$E567&amp;"|"&amp;COUNTIFS($E$7:$E567,$E567))</f>
        <v/>
      </c>
    </row>
    <row r="568" spans="1:31" ht="18" customHeight="1" x14ac:dyDescent="0.3">
      <c r="A568" s="2"/>
      <c r="B568" s="65" t="str">
        <f>IF($C568="","","GG"&amp;TEXT(ROW()-6,"00000"))</f>
        <v/>
      </c>
      <c r="C568" s="66"/>
      <c r="D568" s="60"/>
      <c r="E568" s="61"/>
      <c r="F568" s="61"/>
      <c r="G568" s="67"/>
      <c r="H568" s="60"/>
      <c r="I568" s="60"/>
      <c r="J568" s="61"/>
      <c r="K568" s="61"/>
      <c r="L568" s="60"/>
      <c r="M568" s="74" t="str">
        <f>IF($C568="","",IF($D568="Gider",$E568,IF($L568&lt;&gt;"",$L568,$H568)))</f>
        <v/>
      </c>
      <c r="N568" s="74" t="str">
        <f>IF($C568="","",IF($D568="Gider",$H568,$E568))</f>
        <v/>
      </c>
      <c r="O568" s="73" t="str">
        <f>IF($C568="","",DATE(YEAR($C568),MONTH($C568),1))</f>
        <v/>
      </c>
      <c r="P568" s="65" t="str">
        <f ca="1">IF($C568="","",IF(AND($D568="Gelir",$L568&lt;&gt;"",$T568=""),"TANIMSIZ BORÇLU",IF($T568&lt;&gt;"",IF(OR($E568="",$G568&lt;=0),"EKSİK",IF($I568="Evet","TAHAKKUK NAKİT OLAMAZ",IF($C568&gt;TODAY(),"İLERİ TARİH","TAHAKKUK"))),IF(AND($D568&lt;&gt;"",$E568&lt;&gt;"",$G568&gt;0,$H568&lt;&gt;"",$I568&lt;&gt;""),IF($C568&gt;TODAY(),"İLERİ TARİH",IF(COUNTIF($W$7:$W$3001,$W568)&gt;1,"MÜKERRER?",IF($AD568&gt;0,"KAPALI DÖNEM",IF($I568="Hayır","ÖDENECEK","UYGUN")))),"EKSİK"))))</f>
        <v/>
      </c>
      <c r="Q568" s="2"/>
      <c r="R568" s="2"/>
      <c r="S568" s="1" t="str">
        <f t="shared" si="26"/>
        <v/>
      </c>
      <c r="T568" s="1" t="str">
        <f>IF(OR($C568="",$D568&lt;&gt;"Gelir",$L568=""),"",IFERROR(INDEX(MUSTERILER!$B$7:$B$156,MATCH($S568,MUSTERILER!$T$7:$T$156,0)),""))</f>
        <v/>
      </c>
      <c r="U568" s="1" t="str">
        <f>IF($T568="","",$T568&amp;"|"&amp;COUNTIFS($T$7:$T568,$T568))</f>
        <v/>
      </c>
      <c r="V568" s="1">
        <f t="shared" si="27"/>
        <v>0</v>
      </c>
      <c r="W568" s="1" t="str">
        <f t="shared" si="28"/>
        <v/>
      </c>
      <c r="X568" s="1"/>
      <c r="Y568" s="1"/>
      <c r="Z568" s="1"/>
      <c r="AA568" s="1"/>
      <c r="AB568" s="1"/>
      <c r="AC568" s="1"/>
      <c r="AD568" s="1">
        <f>IF($C568="",0,SUMPRODUCT((AY_SONU!$O$7:$O$42="Evet")*(AY_SONU!$B$7:$B$42=DATE(YEAR($C568),MONTH($C568),1))))</f>
        <v>0</v>
      </c>
      <c r="AE568" s="1" t="str">
        <f>IF($E568="","",$E568&amp;"|"&amp;COUNTIFS($E$7:$E568,$E568))</f>
        <v/>
      </c>
    </row>
    <row r="569" spans="1:31" ht="18" customHeight="1" x14ac:dyDescent="0.3">
      <c r="A569" s="2"/>
      <c r="B569" s="65" t="str">
        <f>IF($C569="","","GG"&amp;TEXT(ROW()-6,"00000"))</f>
        <v/>
      </c>
      <c r="C569" s="66"/>
      <c r="D569" s="60"/>
      <c r="E569" s="61"/>
      <c r="F569" s="61"/>
      <c r="G569" s="67"/>
      <c r="H569" s="60"/>
      <c r="I569" s="60"/>
      <c r="J569" s="61"/>
      <c r="K569" s="61"/>
      <c r="L569" s="60"/>
      <c r="M569" s="74" t="str">
        <f>IF($C569="","",IF($D569="Gider",$E569,IF($L569&lt;&gt;"",$L569,$H569)))</f>
        <v/>
      </c>
      <c r="N569" s="74" t="str">
        <f>IF($C569="","",IF($D569="Gider",$H569,$E569))</f>
        <v/>
      </c>
      <c r="O569" s="73" t="str">
        <f>IF($C569="","",DATE(YEAR($C569),MONTH($C569),1))</f>
        <v/>
      </c>
      <c r="P569" s="65" t="str">
        <f ca="1">IF($C569="","",IF(AND($D569="Gelir",$L569&lt;&gt;"",$T569=""),"TANIMSIZ BORÇLU",IF($T569&lt;&gt;"",IF(OR($E569="",$G569&lt;=0),"EKSİK",IF($I569="Evet","TAHAKKUK NAKİT OLAMAZ",IF($C569&gt;TODAY(),"İLERİ TARİH","TAHAKKUK"))),IF(AND($D569&lt;&gt;"",$E569&lt;&gt;"",$G569&gt;0,$H569&lt;&gt;"",$I569&lt;&gt;""),IF($C569&gt;TODAY(),"İLERİ TARİH",IF(COUNTIF($W$7:$W$3001,$W569)&gt;1,"MÜKERRER?",IF($AD569&gt;0,"KAPALI DÖNEM",IF($I569="Hayır","ÖDENECEK","UYGUN")))),"EKSİK"))))</f>
        <v/>
      </c>
      <c r="Q569" s="2"/>
      <c r="R569" s="2"/>
      <c r="S569" s="1" t="str">
        <f t="shared" si="26"/>
        <v/>
      </c>
      <c r="T569" s="1" t="str">
        <f>IF(OR($C569="",$D569&lt;&gt;"Gelir",$L569=""),"",IFERROR(INDEX(MUSTERILER!$B$7:$B$156,MATCH($S569,MUSTERILER!$T$7:$T$156,0)),""))</f>
        <v/>
      </c>
      <c r="U569" s="1" t="str">
        <f>IF($T569="","",$T569&amp;"|"&amp;COUNTIFS($T$7:$T569,$T569))</f>
        <v/>
      </c>
      <c r="V569" s="1">
        <f t="shared" si="27"/>
        <v>0</v>
      </c>
      <c r="W569" s="1" t="str">
        <f t="shared" si="28"/>
        <v/>
      </c>
      <c r="X569" s="1"/>
      <c r="Y569" s="1"/>
      <c r="Z569" s="1"/>
      <c r="AA569" s="1"/>
      <c r="AB569" s="1"/>
      <c r="AC569" s="1"/>
      <c r="AD569" s="1">
        <f>IF($C569="",0,SUMPRODUCT((AY_SONU!$O$7:$O$42="Evet")*(AY_SONU!$B$7:$B$42=DATE(YEAR($C569),MONTH($C569),1))))</f>
        <v>0</v>
      </c>
      <c r="AE569" s="1" t="str">
        <f>IF($E569="","",$E569&amp;"|"&amp;COUNTIFS($E$7:$E569,$E569))</f>
        <v/>
      </c>
    </row>
    <row r="570" spans="1:31" ht="18" customHeight="1" x14ac:dyDescent="0.3">
      <c r="A570" s="2"/>
      <c r="B570" s="65" t="str">
        <f>IF($C570="","","GG"&amp;TEXT(ROW()-6,"00000"))</f>
        <v/>
      </c>
      <c r="C570" s="66"/>
      <c r="D570" s="60"/>
      <c r="E570" s="61"/>
      <c r="F570" s="61"/>
      <c r="G570" s="67"/>
      <c r="H570" s="60"/>
      <c r="I570" s="60"/>
      <c r="J570" s="61"/>
      <c r="K570" s="61"/>
      <c r="L570" s="60"/>
      <c r="M570" s="74" t="str">
        <f>IF($C570="","",IF($D570="Gider",$E570,IF($L570&lt;&gt;"",$L570,$H570)))</f>
        <v/>
      </c>
      <c r="N570" s="74" t="str">
        <f>IF($C570="","",IF($D570="Gider",$H570,$E570))</f>
        <v/>
      </c>
      <c r="O570" s="73" t="str">
        <f>IF($C570="","",DATE(YEAR($C570),MONTH($C570),1))</f>
        <v/>
      </c>
      <c r="P570" s="65" t="str">
        <f ca="1">IF($C570="","",IF(AND($D570="Gelir",$L570&lt;&gt;"",$T570=""),"TANIMSIZ BORÇLU",IF($T570&lt;&gt;"",IF(OR($E570="",$G570&lt;=0),"EKSİK",IF($I570="Evet","TAHAKKUK NAKİT OLAMAZ",IF($C570&gt;TODAY(),"İLERİ TARİH","TAHAKKUK"))),IF(AND($D570&lt;&gt;"",$E570&lt;&gt;"",$G570&gt;0,$H570&lt;&gt;"",$I570&lt;&gt;""),IF($C570&gt;TODAY(),"İLERİ TARİH",IF(COUNTIF($W$7:$W$3001,$W570)&gt;1,"MÜKERRER?",IF($AD570&gt;0,"KAPALI DÖNEM",IF($I570="Hayır","ÖDENECEK","UYGUN")))),"EKSİK"))))</f>
        <v/>
      </c>
      <c r="Q570" s="2"/>
      <c r="R570" s="2"/>
      <c r="S570" s="1" t="str">
        <f t="shared" si="26"/>
        <v/>
      </c>
      <c r="T570" s="1" t="str">
        <f>IF(OR($C570="",$D570&lt;&gt;"Gelir",$L570=""),"",IFERROR(INDEX(MUSTERILER!$B$7:$B$156,MATCH($S570,MUSTERILER!$T$7:$T$156,0)),""))</f>
        <v/>
      </c>
      <c r="U570" s="1" t="str">
        <f>IF($T570="","",$T570&amp;"|"&amp;COUNTIFS($T$7:$T570,$T570))</f>
        <v/>
      </c>
      <c r="V570" s="1">
        <f t="shared" si="27"/>
        <v>0</v>
      </c>
      <c r="W570" s="1" t="str">
        <f t="shared" si="28"/>
        <v/>
      </c>
      <c r="X570" s="1"/>
      <c r="Y570" s="1"/>
      <c r="Z570" s="1"/>
      <c r="AA570" s="1"/>
      <c r="AB570" s="1"/>
      <c r="AC570" s="1"/>
      <c r="AD570" s="1">
        <f>IF($C570="",0,SUMPRODUCT((AY_SONU!$O$7:$O$42="Evet")*(AY_SONU!$B$7:$B$42=DATE(YEAR($C570),MONTH($C570),1))))</f>
        <v>0</v>
      </c>
      <c r="AE570" s="1" t="str">
        <f>IF($E570="","",$E570&amp;"|"&amp;COUNTIFS($E$7:$E570,$E570))</f>
        <v/>
      </c>
    </row>
    <row r="571" spans="1:31" ht="18" customHeight="1" x14ac:dyDescent="0.3">
      <c r="A571" s="2"/>
      <c r="B571" s="65" t="str">
        <f>IF($C571="","","GG"&amp;TEXT(ROW()-6,"00000"))</f>
        <v/>
      </c>
      <c r="C571" s="66"/>
      <c r="D571" s="60"/>
      <c r="E571" s="61"/>
      <c r="F571" s="61"/>
      <c r="G571" s="67"/>
      <c r="H571" s="60"/>
      <c r="I571" s="60"/>
      <c r="J571" s="61"/>
      <c r="K571" s="61"/>
      <c r="L571" s="60"/>
      <c r="M571" s="74" t="str">
        <f>IF($C571="","",IF($D571="Gider",$E571,IF($L571&lt;&gt;"",$L571,$H571)))</f>
        <v/>
      </c>
      <c r="N571" s="74" t="str">
        <f>IF($C571="","",IF($D571="Gider",$H571,$E571))</f>
        <v/>
      </c>
      <c r="O571" s="73" t="str">
        <f>IF($C571="","",DATE(YEAR($C571),MONTH($C571),1))</f>
        <v/>
      </c>
      <c r="P571" s="65" t="str">
        <f ca="1">IF($C571="","",IF(AND($D571="Gelir",$L571&lt;&gt;"",$T571=""),"TANIMSIZ BORÇLU",IF($T571&lt;&gt;"",IF(OR($E571="",$G571&lt;=0),"EKSİK",IF($I571="Evet","TAHAKKUK NAKİT OLAMAZ",IF($C571&gt;TODAY(),"İLERİ TARİH","TAHAKKUK"))),IF(AND($D571&lt;&gt;"",$E571&lt;&gt;"",$G571&gt;0,$H571&lt;&gt;"",$I571&lt;&gt;""),IF($C571&gt;TODAY(),"İLERİ TARİH",IF(COUNTIF($W$7:$W$3001,$W571)&gt;1,"MÜKERRER?",IF($AD571&gt;0,"KAPALI DÖNEM",IF($I571="Hayır","ÖDENECEK","UYGUN")))),"EKSİK"))))</f>
        <v/>
      </c>
      <c r="Q571" s="2"/>
      <c r="R571" s="2"/>
      <c r="S571" s="1" t="str">
        <f t="shared" si="26"/>
        <v/>
      </c>
      <c r="T571" s="1" t="str">
        <f>IF(OR($C571="",$D571&lt;&gt;"Gelir",$L571=""),"",IFERROR(INDEX(MUSTERILER!$B$7:$B$156,MATCH($S571,MUSTERILER!$T$7:$T$156,0)),""))</f>
        <v/>
      </c>
      <c r="U571" s="1" t="str">
        <f>IF($T571="","",$T571&amp;"|"&amp;COUNTIFS($T$7:$T571,$T571))</f>
        <v/>
      </c>
      <c r="V571" s="1">
        <f t="shared" si="27"/>
        <v>0</v>
      </c>
      <c r="W571" s="1" t="str">
        <f t="shared" si="28"/>
        <v/>
      </c>
      <c r="X571" s="1"/>
      <c r="Y571" s="1"/>
      <c r="Z571" s="1"/>
      <c r="AA571" s="1"/>
      <c r="AB571" s="1"/>
      <c r="AC571" s="1"/>
      <c r="AD571" s="1">
        <f>IF($C571="",0,SUMPRODUCT((AY_SONU!$O$7:$O$42="Evet")*(AY_SONU!$B$7:$B$42=DATE(YEAR($C571),MONTH($C571),1))))</f>
        <v>0</v>
      </c>
      <c r="AE571" s="1" t="str">
        <f>IF($E571="","",$E571&amp;"|"&amp;COUNTIFS($E$7:$E571,$E571))</f>
        <v/>
      </c>
    </row>
    <row r="572" spans="1:31" ht="18" customHeight="1" x14ac:dyDescent="0.3">
      <c r="A572" s="2"/>
      <c r="B572" s="65" t="str">
        <f>IF($C572="","","GG"&amp;TEXT(ROW()-6,"00000"))</f>
        <v/>
      </c>
      <c r="C572" s="66"/>
      <c r="D572" s="60"/>
      <c r="E572" s="61"/>
      <c r="F572" s="61"/>
      <c r="G572" s="67"/>
      <c r="H572" s="60"/>
      <c r="I572" s="60"/>
      <c r="J572" s="61"/>
      <c r="K572" s="61"/>
      <c r="L572" s="60"/>
      <c r="M572" s="74" t="str">
        <f>IF($C572="","",IF($D572="Gider",$E572,IF($L572&lt;&gt;"",$L572,$H572)))</f>
        <v/>
      </c>
      <c r="N572" s="74" t="str">
        <f>IF($C572="","",IF($D572="Gider",$H572,$E572))</f>
        <v/>
      </c>
      <c r="O572" s="73" t="str">
        <f>IF($C572="","",DATE(YEAR($C572),MONTH($C572),1))</f>
        <v/>
      </c>
      <c r="P572" s="65" t="str">
        <f ca="1">IF($C572="","",IF(AND($D572="Gelir",$L572&lt;&gt;"",$T572=""),"TANIMSIZ BORÇLU",IF($T572&lt;&gt;"",IF(OR($E572="",$G572&lt;=0),"EKSİK",IF($I572="Evet","TAHAKKUK NAKİT OLAMAZ",IF($C572&gt;TODAY(),"İLERİ TARİH","TAHAKKUK"))),IF(AND($D572&lt;&gt;"",$E572&lt;&gt;"",$G572&gt;0,$H572&lt;&gt;"",$I572&lt;&gt;""),IF($C572&gt;TODAY(),"İLERİ TARİH",IF(COUNTIF($W$7:$W$3001,$W572)&gt;1,"MÜKERRER?",IF($AD572&gt;0,"KAPALI DÖNEM",IF($I572="Hayır","ÖDENECEK","UYGUN")))),"EKSİK"))))</f>
        <v/>
      </c>
      <c r="Q572" s="2"/>
      <c r="R572" s="2"/>
      <c r="S572" s="1" t="str">
        <f t="shared" si="26"/>
        <v/>
      </c>
      <c r="T572" s="1" t="str">
        <f>IF(OR($C572="",$D572&lt;&gt;"Gelir",$L572=""),"",IFERROR(INDEX(MUSTERILER!$B$7:$B$156,MATCH($S572,MUSTERILER!$T$7:$T$156,0)),""))</f>
        <v/>
      </c>
      <c r="U572" s="1" t="str">
        <f>IF($T572="","",$T572&amp;"|"&amp;COUNTIFS($T$7:$T572,$T572))</f>
        <v/>
      </c>
      <c r="V572" s="1">
        <f t="shared" si="27"/>
        <v>0</v>
      </c>
      <c r="W572" s="1" t="str">
        <f t="shared" si="28"/>
        <v/>
      </c>
      <c r="X572" s="1"/>
      <c r="Y572" s="1"/>
      <c r="Z572" s="1"/>
      <c r="AA572" s="1"/>
      <c r="AB572" s="1"/>
      <c r="AC572" s="1"/>
      <c r="AD572" s="1">
        <f>IF($C572="",0,SUMPRODUCT((AY_SONU!$O$7:$O$42="Evet")*(AY_SONU!$B$7:$B$42=DATE(YEAR($C572),MONTH($C572),1))))</f>
        <v>0</v>
      </c>
      <c r="AE572" s="1" t="str">
        <f>IF($E572="","",$E572&amp;"|"&amp;COUNTIFS($E$7:$E572,$E572))</f>
        <v/>
      </c>
    </row>
    <row r="573" spans="1:31" ht="18" customHeight="1" x14ac:dyDescent="0.3">
      <c r="A573" s="2"/>
      <c r="B573" s="65" t="str">
        <f>IF($C573="","","GG"&amp;TEXT(ROW()-6,"00000"))</f>
        <v/>
      </c>
      <c r="C573" s="66"/>
      <c r="D573" s="60"/>
      <c r="E573" s="61"/>
      <c r="F573" s="61"/>
      <c r="G573" s="67"/>
      <c r="H573" s="60"/>
      <c r="I573" s="60"/>
      <c r="J573" s="61"/>
      <c r="K573" s="61"/>
      <c r="L573" s="60"/>
      <c r="M573" s="74" t="str">
        <f>IF($C573="","",IF($D573="Gider",$E573,IF($L573&lt;&gt;"",$L573,$H573)))</f>
        <v/>
      </c>
      <c r="N573" s="74" t="str">
        <f>IF($C573="","",IF($D573="Gider",$H573,$E573))</f>
        <v/>
      </c>
      <c r="O573" s="73" t="str">
        <f>IF($C573="","",DATE(YEAR($C573),MONTH($C573),1))</f>
        <v/>
      </c>
      <c r="P573" s="65" t="str">
        <f ca="1">IF($C573="","",IF(AND($D573="Gelir",$L573&lt;&gt;"",$T573=""),"TANIMSIZ BORÇLU",IF($T573&lt;&gt;"",IF(OR($E573="",$G573&lt;=0),"EKSİK",IF($I573="Evet","TAHAKKUK NAKİT OLAMAZ",IF($C573&gt;TODAY(),"İLERİ TARİH","TAHAKKUK"))),IF(AND($D573&lt;&gt;"",$E573&lt;&gt;"",$G573&gt;0,$H573&lt;&gt;"",$I573&lt;&gt;""),IF($C573&gt;TODAY(),"İLERİ TARİH",IF(COUNTIF($W$7:$W$3001,$W573)&gt;1,"MÜKERRER?",IF($AD573&gt;0,"KAPALI DÖNEM",IF($I573="Hayır","ÖDENECEK","UYGUN")))),"EKSİK"))))</f>
        <v/>
      </c>
      <c r="Q573" s="2"/>
      <c r="R573" s="2"/>
      <c r="S573" s="1" t="str">
        <f t="shared" si="26"/>
        <v/>
      </c>
      <c r="T573" s="1" t="str">
        <f>IF(OR($C573="",$D573&lt;&gt;"Gelir",$L573=""),"",IFERROR(INDEX(MUSTERILER!$B$7:$B$156,MATCH($S573,MUSTERILER!$T$7:$T$156,0)),""))</f>
        <v/>
      </c>
      <c r="U573" s="1" t="str">
        <f>IF($T573="","",$T573&amp;"|"&amp;COUNTIFS($T$7:$T573,$T573))</f>
        <v/>
      </c>
      <c r="V573" s="1">
        <f t="shared" si="27"/>
        <v>0</v>
      </c>
      <c r="W573" s="1" t="str">
        <f t="shared" si="28"/>
        <v/>
      </c>
      <c r="X573" s="1"/>
      <c r="Y573" s="1"/>
      <c r="Z573" s="1"/>
      <c r="AA573" s="1"/>
      <c r="AB573" s="1"/>
      <c r="AC573" s="1"/>
      <c r="AD573" s="1">
        <f>IF($C573="",0,SUMPRODUCT((AY_SONU!$O$7:$O$42="Evet")*(AY_SONU!$B$7:$B$42=DATE(YEAR($C573),MONTH($C573),1))))</f>
        <v>0</v>
      </c>
      <c r="AE573" s="1" t="str">
        <f>IF($E573="","",$E573&amp;"|"&amp;COUNTIFS($E$7:$E573,$E573))</f>
        <v/>
      </c>
    </row>
    <row r="574" spans="1:31" ht="18" customHeight="1" x14ac:dyDescent="0.3">
      <c r="A574" s="2"/>
      <c r="B574" s="65" t="str">
        <f>IF($C574="","","GG"&amp;TEXT(ROW()-6,"00000"))</f>
        <v/>
      </c>
      <c r="C574" s="66"/>
      <c r="D574" s="60"/>
      <c r="E574" s="61"/>
      <c r="F574" s="61"/>
      <c r="G574" s="67"/>
      <c r="H574" s="60"/>
      <c r="I574" s="60"/>
      <c r="J574" s="61"/>
      <c r="K574" s="61"/>
      <c r="L574" s="60"/>
      <c r="M574" s="74" t="str">
        <f>IF($C574="","",IF($D574="Gider",$E574,IF($L574&lt;&gt;"",$L574,$H574)))</f>
        <v/>
      </c>
      <c r="N574" s="74" t="str">
        <f>IF($C574="","",IF($D574="Gider",$H574,$E574))</f>
        <v/>
      </c>
      <c r="O574" s="73" t="str">
        <f>IF($C574="","",DATE(YEAR($C574),MONTH($C574),1))</f>
        <v/>
      </c>
      <c r="P574" s="65" t="str">
        <f ca="1">IF($C574="","",IF(AND($D574="Gelir",$L574&lt;&gt;"",$T574=""),"TANIMSIZ BORÇLU",IF($T574&lt;&gt;"",IF(OR($E574="",$G574&lt;=0),"EKSİK",IF($I574="Evet","TAHAKKUK NAKİT OLAMAZ",IF($C574&gt;TODAY(),"İLERİ TARİH","TAHAKKUK"))),IF(AND($D574&lt;&gt;"",$E574&lt;&gt;"",$G574&gt;0,$H574&lt;&gt;"",$I574&lt;&gt;""),IF($C574&gt;TODAY(),"İLERİ TARİH",IF(COUNTIF($W$7:$W$3001,$W574)&gt;1,"MÜKERRER?",IF($AD574&gt;0,"KAPALI DÖNEM",IF($I574="Hayır","ÖDENECEK","UYGUN")))),"EKSİK"))))</f>
        <v/>
      </c>
      <c r="Q574" s="2"/>
      <c r="R574" s="2"/>
      <c r="S574" s="1" t="str">
        <f t="shared" si="26"/>
        <v/>
      </c>
      <c r="T574" s="1" t="str">
        <f>IF(OR($C574="",$D574&lt;&gt;"Gelir",$L574=""),"",IFERROR(INDEX(MUSTERILER!$B$7:$B$156,MATCH($S574,MUSTERILER!$T$7:$T$156,0)),""))</f>
        <v/>
      </c>
      <c r="U574" s="1" t="str">
        <f>IF($T574="","",$T574&amp;"|"&amp;COUNTIFS($T$7:$T574,$T574))</f>
        <v/>
      </c>
      <c r="V574" s="1">
        <f t="shared" si="27"/>
        <v>0</v>
      </c>
      <c r="W574" s="1" t="str">
        <f t="shared" si="28"/>
        <v/>
      </c>
      <c r="X574" s="1"/>
      <c r="Y574" s="1"/>
      <c r="Z574" s="1"/>
      <c r="AA574" s="1"/>
      <c r="AB574" s="1"/>
      <c r="AC574" s="1"/>
      <c r="AD574" s="1">
        <f>IF($C574="",0,SUMPRODUCT((AY_SONU!$O$7:$O$42="Evet")*(AY_SONU!$B$7:$B$42=DATE(YEAR($C574),MONTH($C574),1))))</f>
        <v>0</v>
      </c>
      <c r="AE574" s="1" t="str">
        <f>IF($E574="","",$E574&amp;"|"&amp;COUNTIFS($E$7:$E574,$E574))</f>
        <v/>
      </c>
    </row>
    <row r="575" spans="1:31" ht="18" customHeight="1" x14ac:dyDescent="0.3">
      <c r="A575" s="2"/>
      <c r="B575" s="65" t="str">
        <f>IF($C575="","","GG"&amp;TEXT(ROW()-6,"00000"))</f>
        <v/>
      </c>
      <c r="C575" s="66"/>
      <c r="D575" s="60"/>
      <c r="E575" s="61"/>
      <c r="F575" s="61"/>
      <c r="G575" s="67"/>
      <c r="H575" s="60"/>
      <c r="I575" s="60"/>
      <c r="J575" s="61"/>
      <c r="K575" s="61"/>
      <c r="L575" s="60"/>
      <c r="M575" s="74" t="str">
        <f>IF($C575="","",IF($D575="Gider",$E575,IF($L575&lt;&gt;"",$L575,$H575)))</f>
        <v/>
      </c>
      <c r="N575" s="74" t="str">
        <f>IF($C575="","",IF($D575="Gider",$H575,$E575))</f>
        <v/>
      </c>
      <c r="O575" s="73" t="str">
        <f>IF($C575="","",DATE(YEAR($C575),MONTH($C575),1))</f>
        <v/>
      </c>
      <c r="P575" s="65" t="str">
        <f ca="1">IF($C575="","",IF(AND($D575="Gelir",$L575&lt;&gt;"",$T575=""),"TANIMSIZ BORÇLU",IF($T575&lt;&gt;"",IF(OR($E575="",$G575&lt;=0),"EKSİK",IF($I575="Evet","TAHAKKUK NAKİT OLAMAZ",IF($C575&gt;TODAY(),"İLERİ TARİH","TAHAKKUK"))),IF(AND($D575&lt;&gt;"",$E575&lt;&gt;"",$G575&gt;0,$H575&lt;&gt;"",$I575&lt;&gt;""),IF($C575&gt;TODAY(),"İLERİ TARİH",IF(COUNTIF($W$7:$W$3001,$W575)&gt;1,"MÜKERRER?",IF($AD575&gt;0,"KAPALI DÖNEM",IF($I575="Hayır","ÖDENECEK","UYGUN")))),"EKSİK"))))</f>
        <v/>
      </c>
      <c r="Q575" s="2"/>
      <c r="R575" s="2"/>
      <c r="S575" s="1" t="str">
        <f t="shared" si="26"/>
        <v/>
      </c>
      <c r="T575" s="1" t="str">
        <f>IF(OR($C575="",$D575&lt;&gt;"Gelir",$L575=""),"",IFERROR(INDEX(MUSTERILER!$B$7:$B$156,MATCH($S575,MUSTERILER!$T$7:$T$156,0)),""))</f>
        <v/>
      </c>
      <c r="U575" s="1" t="str">
        <f>IF($T575="","",$T575&amp;"|"&amp;COUNTIFS($T$7:$T575,$T575))</f>
        <v/>
      </c>
      <c r="V575" s="1">
        <f t="shared" si="27"/>
        <v>0</v>
      </c>
      <c r="W575" s="1" t="str">
        <f t="shared" si="28"/>
        <v/>
      </c>
      <c r="X575" s="1"/>
      <c r="Y575" s="1"/>
      <c r="Z575" s="1"/>
      <c r="AA575" s="1"/>
      <c r="AB575" s="1"/>
      <c r="AC575" s="1"/>
      <c r="AD575" s="1">
        <f>IF($C575="",0,SUMPRODUCT((AY_SONU!$O$7:$O$42="Evet")*(AY_SONU!$B$7:$B$42=DATE(YEAR($C575),MONTH($C575),1))))</f>
        <v>0</v>
      </c>
      <c r="AE575" s="1" t="str">
        <f>IF($E575="","",$E575&amp;"|"&amp;COUNTIFS($E$7:$E575,$E575))</f>
        <v/>
      </c>
    </row>
    <row r="576" spans="1:31" ht="18" customHeight="1" x14ac:dyDescent="0.3">
      <c r="A576" s="2"/>
      <c r="B576" s="65" t="str">
        <f>IF($C576="","","GG"&amp;TEXT(ROW()-6,"00000"))</f>
        <v/>
      </c>
      <c r="C576" s="66"/>
      <c r="D576" s="60"/>
      <c r="E576" s="61"/>
      <c r="F576" s="61"/>
      <c r="G576" s="67"/>
      <c r="H576" s="60"/>
      <c r="I576" s="60"/>
      <c r="J576" s="61"/>
      <c r="K576" s="61"/>
      <c r="L576" s="60"/>
      <c r="M576" s="74" t="str">
        <f>IF($C576="","",IF($D576="Gider",$E576,IF($L576&lt;&gt;"",$L576,$H576)))</f>
        <v/>
      </c>
      <c r="N576" s="74" t="str">
        <f>IF($C576="","",IF($D576="Gider",$H576,$E576))</f>
        <v/>
      </c>
      <c r="O576" s="73" t="str">
        <f>IF($C576="","",DATE(YEAR($C576),MONTH($C576),1))</f>
        <v/>
      </c>
      <c r="P576" s="65" t="str">
        <f ca="1">IF($C576="","",IF(AND($D576="Gelir",$L576&lt;&gt;"",$T576=""),"TANIMSIZ BORÇLU",IF($T576&lt;&gt;"",IF(OR($E576="",$G576&lt;=0),"EKSİK",IF($I576="Evet","TAHAKKUK NAKİT OLAMAZ",IF($C576&gt;TODAY(),"İLERİ TARİH","TAHAKKUK"))),IF(AND($D576&lt;&gt;"",$E576&lt;&gt;"",$G576&gt;0,$H576&lt;&gt;"",$I576&lt;&gt;""),IF($C576&gt;TODAY(),"İLERİ TARİH",IF(COUNTIF($W$7:$W$3001,$W576)&gt;1,"MÜKERRER?",IF($AD576&gt;0,"KAPALI DÖNEM",IF($I576="Hayır","ÖDENECEK","UYGUN")))),"EKSİK"))))</f>
        <v/>
      </c>
      <c r="Q576" s="2"/>
      <c r="R576" s="2"/>
      <c r="S576" s="1" t="str">
        <f t="shared" si="26"/>
        <v/>
      </c>
      <c r="T576" s="1" t="str">
        <f>IF(OR($C576="",$D576&lt;&gt;"Gelir",$L576=""),"",IFERROR(INDEX(MUSTERILER!$B$7:$B$156,MATCH($S576,MUSTERILER!$T$7:$T$156,0)),""))</f>
        <v/>
      </c>
      <c r="U576" s="1" t="str">
        <f>IF($T576="","",$T576&amp;"|"&amp;COUNTIFS($T$7:$T576,$T576))</f>
        <v/>
      </c>
      <c r="V576" s="1">
        <f t="shared" si="27"/>
        <v>0</v>
      </c>
      <c r="W576" s="1" t="str">
        <f t="shared" si="28"/>
        <v/>
      </c>
      <c r="X576" s="1"/>
      <c r="Y576" s="1"/>
      <c r="Z576" s="1"/>
      <c r="AA576" s="1"/>
      <c r="AB576" s="1"/>
      <c r="AC576" s="1"/>
      <c r="AD576" s="1">
        <f>IF($C576="",0,SUMPRODUCT((AY_SONU!$O$7:$O$42="Evet")*(AY_SONU!$B$7:$B$42=DATE(YEAR($C576),MONTH($C576),1))))</f>
        <v>0</v>
      </c>
      <c r="AE576" s="1" t="str">
        <f>IF($E576="","",$E576&amp;"|"&amp;COUNTIFS($E$7:$E576,$E576))</f>
        <v/>
      </c>
    </row>
    <row r="577" spans="1:31" ht="18" customHeight="1" x14ac:dyDescent="0.3">
      <c r="A577" s="2"/>
      <c r="B577" s="65" t="str">
        <f>IF($C577="","","GG"&amp;TEXT(ROW()-6,"00000"))</f>
        <v/>
      </c>
      <c r="C577" s="66"/>
      <c r="D577" s="60"/>
      <c r="E577" s="61"/>
      <c r="F577" s="61"/>
      <c r="G577" s="67"/>
      <c r="H577" s="60"/>
      <c r="I577" s="60"/>
      <c r="J577" s="61"/>
      <c r="K577" s="61"/>
      <c r="L577" s="60"/>
      <c r="M577" s="74" t="str">
        <f>IF($C577="","",IF($D577="Gider",$E577,IF($L577&lt;&gt;"",$L577,$H577)))</f>
        <v/>
      </c>
      <c r="N577" s="74" t="str">
        <f>IF($C577="","",IF($D577="Gider",$H577,$E577))</f>
        <v/>
      </c>
      <c r="O577" s="73" t="str">
        <f>IF($C577="","",DATE(YEAR($C577),MONTH($C577),1))</f>
        <v/>
      </c>
      <c r="P577" s="65" t="str">
        <f ca="1">IF($C577="","",IF(AND($D577="Gelir",$L577&lt;&gt;"",$T577=""),"TANIMSIZ BORÇLU",IF($T577&lt;&gt;"",IF(OR($E577="",$G577&lt;=0),"EKSİK",IF($I577="Evet","TAHAKKUK NAKİT OLAMAZ",IF($C577&gt;TODAY(),"İLERİ TARİH","TAHAKKUK"))),IF(AND($D577&lt;&gt;"",$E577&lt;&gt;"",$G577&gt;0,$H577&lt;&gt;"",$I577&lt;&gt;""),IF($C577&gt;TODAY(),"İLERİ TARİH",IF(COUNTIF($W$7:$W$3001,$W577)&gt;1,"MÜKERRER?",IF($AD577&gt;0,"KAPALI DÖNEM",IF($I577="Hayır","ÖDENECEK","UYGUN")))),"EKSİK"))))</f>
        <v/>
      </c>
      <c r="Q577" s="2"/>
      <c r="R577" s="2"/>
      <c r="S577" s="1" t="str">
        <f t="shared" si="26"/>
        <v/>
      </c>
      <c r="T577" s="1" t="str">
        <f>IF(OR($C577="",$D577&lt;&gt;"Gelir",$L577=""),"",IFERROR(INDEX(MUSTERILER!$B$7:$B$156,MATCH($S577,MUSTERILER!$T$7:$T$156,0)),""))</f>
        <v/>
      </c>
      <c r="U577" s="1" t="str">
        <f>IF($T577="","",$T577&amp;"|"&amp;COUNTIFS($T$7:$T577,$T577))</f>
        <v/>
      </c>
      <c r="V577" s="1">
        <f t="shared" si="27"/>
        <v>0</v>
      </c>
      <c r="W577" s="1" t="str">
        <f t="shared" si="28"/>
        <v/>
      </c>
      <c r="X577" s="1"/>
      <c r="Y577" s="1"/>
      <c r="Z577" s="1"/>
      <c r="AA577" s="1"/>
      <c r="AB577" s="1"/>
      <c r="AC577" s="1"/>
      <c r="AD577" s="1">
        <f>IF($C577="",0,SUMPRODUCT((AY_SONU!$O$7:$O$42="Evet")*(AY_SONU!$B$7:$B$42=DATE(YEAR($C577),MONTH($C577),1))))</f>
        <v>0</v>
      </c>
      <c r="AE577" s="1" t="str">
        <f>IF($E577="","",$E577&amp;"|"&amp;COUNTIFS($E$7:$E577,$E577))</f>
        <v/>
      </c>
    </row>
    <row r="578" spans="1:31" ht="18" customHeight="1" x14ac:dyDescent="0.3">
      <c r="A578" s="2"/>
      <c r="B578" s="65" t="str">
        <f>IF($C578="","","GG"&amp;TEXT(ROW()-6,"00000"))</f>
        <v/>
      </c>
      <c r="C578" s="66"/>
      <c r="D578" s="60"/>
      <c r="E578" s="61"/>
      <c r="F578" s="61"/>
      <c r="G578" s="67"/>
      <c r="H578" s="60"/>
      <c r="I578" s="60"/>
      <c r="J578" s="61"/>
      <c r="K578" s="61"/>
      <c r="L578" s="60"/>
      <c r="M578" s="74" t="str">
        <f>IF($C578="","",IF($D578="Gider",$E578,IF($L578&lt;&gt;"",$L578,$H578)))</f>
        <v/>
      </c>
      <c r="N578" s="74" t="str">
        <f>IF($C578="","",IF($D578="Gider",$H578,$E578))</f>
        <v/>
      </c>
      <c r="O578" s="73" t="str">
        <f>IF($C578="","",DATE(YEAR($C578),MONTH($C578),1))</f>
        <v/>
      </c>
      <c r="P578" s="65" t="str">
        <f ca="1">IF($C578="","",IF(AND($D578="Gelir",$L578&lt;&gt;"",$T578=""),"TANIMSIZ BORÇLU",IF($T578&lt;&gt;"",IF(OR($E578="",$G578&lt;=0),"EKSİK",IF($I578="Evet","TAHAKKUK NAKİT OLAMAZ",IF($C578&gt;TODAY(),"İLERİ TARİH","TAHAKKUK"))),IF(AND($D578&lt;&gt;"",$E578&lt;&gt;"",$G578&gt;0,$H578&lt;&gt;"",$I578&lt;&gt;""),IF($C578&gt;TODAY(),"İLERİ TARİH",IF(COUNTIF($W$7:$W$3001,$W578)&gt;1,"MÜKERRER?",IF($AD578&gt;0,"KAPALI DÖNEM",IF($I578="Hayır","ÖDENECEK","UYGUN")))),"EKSİK"))))</f>
        <v/>
      </c>
      <c r="Q578" s="2"/>
      <c r="R578" s="2"/>
      <c r="S578" s="1" t="str">
        <f t="shared" si="26"/>
        <v/>
      </c>
      <c r="T578" s="1" t="str">
        <f>IF(OR($C578="",$D578&lt;&gt;"Gelir",$L578=""),"",IFERROR(INDEX(MUSTERILER!$B$7:$B$156,MATCH($S578,MUSTERILER!$T$7:$T$156,0)),""))</f>
        <v/>
      </c>
      <c r="U578" s="1" t="str">
        <f>IF($T578="","",$T578&amp;"|"&amp;COUNTIFS($T$7:$T578,$T578))</f>
        <v/>
      </c>
      <c r="V578" s="1">
        <f t="shared" si="27"/>
        <v>0</v>
      </c>
      <c r="W578" s="1" t="str">
        <f t="shared" si="28"/>
        <v/>
      </c>
      <c r="X578" s="1"/>
      <c r="Y578" s="1"/>
      <c r="Z578" s="1"/>
      <c r="AA578" s="1"/>
      <c r="AB578" s="1"/>
      <c r="AC578" s="1"/>
      <c r="AD578" s="1">
        <f>IF($C578="",0,SUMPRODUCT((AY_SONU!$O$7:$O$42="Evet")*(AY_SONU!$B$7:$B$42=DATE(YEAR($C578),MONTH($C578),1))))</f>
        <v>0</v>
      </c>
      <c r="AE578" s="1" t="str">
        <f>IF($E578="","",$E578&amp;"|"&amp;COUNTIFS($E$7:$E578,$E578))</f>
        <v/>
      </c>
    </row>
    <row r="579" spans="1:31" ht="18" customHeight="1" x14ac:dyDescent="0.3">
      <c r="A579" s="2"/>
      <c r="B579" s="65" t="str">
        <f>IF($C579="","","GG"&amp;TEXT(ROW()-6,"00000"))</f>
        <v/>
      </c>
      <c r="C579" s="66"/>
      <c r="D579" s="60"/>
      <c r="E579" s="61"/>
      <c r="F579" s="61"/>
      <c r="G579" s="67"/>
      <c r="H579" s="60"/>
      <c r="I579" s="60"/>
      <c r="J579" s="61"/>
      <c r="K579" s="61"/>
      <c r="L579" s="60"/>
      <c r="M579" s="74" t="str">
        <f>IF($C579="","",IF($D579="Gider",$E579,IF($L579&lt;&gt;"",$L579,$H579)))</f>
        <v/>
      </c>
      <c r="N579" s="74" t="str">
        <f>IF($C579="","",IF($D579="Gider",$H579,$E579))</f>
        <v/>
      </c>
      <c r="O579" s="73" t="str">
        <f>IF($C579="","",DATE(YEAR($C579),MONTH($C579),1))</f>
        <v/>
      </c>
      <c r="P579" s="65" t="str">
        <f ca="1">IF($C579="","",IF(AND($D579="Gelir",$L579&lt;&gt;"",$T579=""),"TANIMSIZ BORÇLU",IF($T579&lt;&gt;"",IF(OR($E579="",$G579&lt;=0),"EKSİK",IF($I579="Evet","TAHAKKUK NAKİT OLAMAZ",IF($C579&gt;TODAY(),"İLERİ TARİH","TAHAKKUK"))),IF(AND($D579&lt;&gt;"",$E579&lt;&gt;"",$G579&gt;0,$H579&lt;&gt;"",$I579&lt;&gt;""),IF($C579&gt;TODAY(),"İLERİ TARİH",IF(COUNTIF($W$7:$W$3001,$W579)&gt;1,"MÜKERRER?",IF($AD579&gt;0,"KAPALI DÖNEM",IF($I579="Hayır","ÖDENECEK","UYGUN")))),"EKSİK"))))</f>
        <v/>
      </c>
      <c r="Q579" s="2"/>
      <c r="R579" s="2"/>
      <c r="S579" s="1" t="str">
        <f t="shared" si="26"/>
        <v/>
      </c>
      <c r="T579" s="1" t="str">
        <f>IF(OR($C579="",$D579&lt;&gt;"Gelir",$L579=""),"",IFERROR(INDEX(MUSTERILER!$B$7:$B$156,MATCH($S579,MUSTERILER!$T$7:$T$156,0)),""))</f>
        <v/>
      </c>
      <c r="U579" s="1" t="str">
        <f>IF($T579="","",$T579&amp;"|"&amp;COUNTIFS($T$7:$T579,$T579))</f>
        <v/>
      </c>
      <c r="V579" s="1">
        <f t="shared" si="27"/>
        <v>0</v>
      </c>
      <c r="W579" s="1" t="str">
        <f t="shared" si="28"/>
        <v/>
      </c>
      <c r="X579" s="1"/>
      <c r="Y579" s="1"/>
      <c r="Z579" s="1"/>
      <c r="AA579" s="1"/>
      <c r="AB579" s="1"/>
      <c r="AC579" s="1"/>
      <c r="AD579" s="1">
        <f>IF($C579="",0,SUMPRODUCT((AY_SONU!$O$7:$O$42="Evet")*(AY_SONU!$B$7:$B$42=DATE(YEAR($C579),MONTH($C579),1))))</f>
        <v>0</v>
      </c>
      <c r="AE579" s="1" t="str">
        <f>IF($E579="","",$E579&amp;"|"&amp;COUNTIFS($E$7:$E579,$E579))</f>
        <v/>
      </c>
    </row>
    <row r="580" spans="1:31" ht="18" customHeight="1" x14ac:dyDescent="0.3">
      <c r="A580" s="2"/>
      <c r="B580" s="65" t="str">
        <f>IF($C580="","","GG"&amp;TEXT(ROW()-6,"00000"))</f>
        <v/>
      </c>
      <c r="C580" s="66"/>
      <c r="D580" s="60"/>
      <c r="E580" s="61"/>
      <c r="F580" s="61"/>
      <c r="G580" s="67"/>
      <c r="H580" s="60"/>
      <c r="I580" s="60"/>
      <c r="J580" s="61"/>
      <c r="K580" s="61"/>
      <c r="L580" s="60"/>
      <c r="M580" s="74" t="str">
        <f>IF($C580="","",IF($D580="Gider",$E580,IF($L580&lt;&gt;"",$L580,$H580)))</f>
        <v/>
      </c>
      <c r="N580" s="74" t="str">
        <f>IF($C580="","",IF($D580="Gider",$H580,$E580))</f>
        <v/>
      </c>
      <c r="O580" s="73" t="str">
        <f>IF($C580="","",DATE(YEAR($C580),MONTH($C580),1))</f>
        <v/>
      </c>
      <c r="P580" s="65" t="str">
        <f ca="1">IF($C580="","",IF(AND($D580="Gelir",$L580&lt;&gt;"",$T580=""),"TANIMSIZ BORÇLU",IF($T580&lt;&gt;"",IF(OR($E580="",$G580&lt;=0),"EKSİK",IF($I580="Evet","TAHAKKUK NAKİT OLAMAZ",IF($C580&gt;TODAY(),"İLERİ TARİH","TAHAKKUK"))),IF(AND($D580&lt;&gt;"",$E580&lt;&gt;"",$G580&gt;0,$H580&lt;&gt;"",$I580&lt;&gt;""),IF($C580&gt;TODAY(),"İLERİ TARİH",IF(COUNTIF($W$7:$W$3001,$W580)&gt;1,"MÜKERRER?",IF($AD580&gt;0,"KAPALI DÖNEM",IF($I580="Hayır","ÖDENECEK","UYGUN")))),"EKSİK"))))</f>
        <v/>
      </c>
      <c r="Q580" s="2"/>
      <c r="R580" s="2"/>
      <c r="S580" s="1" t="str">
        <f t="shared" si="26"/>
        <v/>
      </c>
      <c r="T580" s="1" t="str">
        <f>IF(OR($C580="",$D580&lt;&gt;"Gelir",$L580=""),"",IFERROR(INDEX(MUSTERILER!$B$7:$B$156,MATCH($S580,MUSTERILER!$T$7:$T$156,0)),""))</f>
        <v/>
      </c>
      <c r="U580" s="1" t="str">
        <f>IF($T580="","",$T580&amp;"|"&amp;COUNTIFS($T$7:$T580,$T580))</f>
        <v/>
      </c>
      <c r="V580" s="1">
        <f t="shared" si="27"/>
        <v>0</v>
      </c>
      <c r="W580" s="1" t="str">
        <f t="shared" si="28"/>
        <v/>
      </c>
      <c r="X580" s="1"/>
      <c r="Y580" s="1"/>
      <c r="Z580" s="1"/>
      <c r="AA580" s="1"/>
      <c r="AB580" s="1"/>
      <c r="AC580" s="1"/>
      <c r="AD580" s="1">
        <f>IF($C580="",0,SUMPRODUCT((AY_SONU!$O$7:$O$42="Evet")*(AY_SONU!$B$7:$B$42=DATE(YEAR($C580),MONTH($C580),1))))</f>
        <v>0</v>
      </c>
      <c r="AE580" s="1" t="str">
        <f>IF($E580="","",$E580&amp;"|"&amp;COUNTIFS($E$7:$E580,$E580))</f>
        <v/>
      </c>
    </row>
    <row r="581" spans="1:31" ht="18" customHeight="1" x14ac:dyDescent="0.3">
      <c r="A581" s="2"/>
      <c r="B581" s="65" t="str">
        <f>IF($C581="","","GG"&amp;TEXT(ROW()-6,"00000"))</f>
        <v/>
      </c>
      <c r="C581" s="66"/>
      <c r="D581" s="60"/>
      <c r="E581" s="61"/>
      <c r="F581" s="61"/>
      <c r="G581" s="67"/>
      <c r="H581" s="60"/>
      <c r="I581" s="60"/>
      <c r="J581" s="61"/>
      <c r="K581" s="61"/>
      <c r="L581" s="60"/>
      <c r="M581" s="74" t="str">
        <f>IF($C581="","",IF($D581="Gider",$E581,IF($L581&lt;&gt;"",$L581,$H581)))</f>
        <v/>
      </c>
      <c r="N581" s="74" t="str">
        <f>IF($C581="","",IF($D581="Gider",$H581,$E581))</f>
        <v/>
      </c>
      <c r="O581" s="73" t="str">
        <f>IF($C581="","",DATE(YEAR($C581),MONTH($C581),1))</f>
        <v/>
      </c>
      <c r="P581" s="65" t="str">
        <f ca="1">IF($C581="","",IF(AND($D581="Gelir",$L581&lt;&gt;"",$T581=""),"TANIMSIZ BORÇLU",IF($T581&lt;&gt;"",IF(OR($E581="",$G581&lt;=0),"EKSİK",IF($I581="Evet","TAHAKKUK NAKİT OLAMAZ",IF($C581&gt;TODAY(),"İLERİ TARİH","TAHAKKUK"))),IF(AND($D581&lt;&gt;"",$E581&lt;&gt;"",$G581&gt;0,$H581&lt;&gt;"",$I581&lt;&gt;""),IF($C581&gt;TODAY(),"İLERİ TARİH",IF(COUNTIF($W$7:$W$3001,$W581)&gt;1,"MÜKERRER?",IF($AD581&gt;0,"KAPALI DÖNEM",IF($I581="Hayır","ÖDENECEK","UYGUN")))),"EKSİK"))))</f>
        <v/>
      </c>
      <c r="Q581" s="2"/>
      <c r="R581" s="2"/>
      <c r="S581" s="1" t="str">
        <f t="shared" ref="S581:S644" si="29"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1" t="str">
        <f>IF(OR($C581="",$D581&lt;&gt;"Gelir",$L581=""),"",IFERROR(INDEX(MUSTERILER!$B$7:$B$156,MATCH($S581,MUSTERILER!$T$7:$T$156,0)),""))</f>
        <v/>
      </c>
      <c r="U581" s="1" t="str">
        <f>IF($T581="","",$T581&amp;"|"&amp;COUNTIFS($T$7:$T581,$T581))</f>
        <v/>
      </c>
      <c r="V581" s="1">
        <f t="shared" ref="V581:V644" si="30">IF($T581="",0,1)</f>
        <v>0</v>
      </c>
      <c r="W581" s="1" t="str">
        <f t="shared" ref="W581:W644" si="31">IF($C581="","",$D581&amp;"|"&amp;$E581&amp;"|"&amp;TEXT($C581,"0")&amp;"|"&amp;TEXT($G581,"0")&amp;"|"&amp;$F581&amp;"|"&amp;$J581)</f>
        <v/>
      </c>
      <c r="X581" s="1"/>
      <c r="Y581" s="1"/>
      <c r="Z581" s="1"/>
      <c r="AA581" s="1"/>
      <c r="AB581" s="1"/>
      <c r="AC581" s="1"/>
      <c r="AD581" s="1">
        <f>IF($C581="",0,SUMPRODUCT((AY_SONU!$O$7:$O$42="Evet")*(AY_SONU!$B$7:$B$42=DATE(YEAR($C581),MONTH($C581),1))))</f>
        <v>0</v>
      </c>
      <c r="AE581" s="1" t="str">
        <f>IF($E581="","",$E581&amp;"|"&amp;COUNTIFS($E$7:$E581,$E581))</f>
        <v/>
      </c>
    </row>
    <row r="582" spans="1:31" ht="18" customHeight="1" x14ac:dyDescent="0.3">
      <c r="A582" s="2"/>
      <c r="B582" s="65" t="str">
        <f>IF($C582="","","GG"&amp;TEXT(ROW()-6,"00000"))</f>
        <v/>
      </c>
      <c r="C582" s="66"/>
      <c r="D582" s="60"/>
      <c r="E582" s="61"/>
      <c r="F582" s="61"/>
      <c r="G582" s="67"/>
      <c r="H582" s="60"/>
      <c r="I582" s="60"/>
      <c r="J582" s="61"/>
      <c r="K582" s="61"/>
      <c r="L582" s="60"/>
      <c r="M582" s="74" t="str">
        <f>IF($C582="","",IF($D582="Gider",$E582,IF($L582&lt;&gt;"",$L582,$H582)))</f>
        <v/>
      </c>
      <c r="N582" s="74" t="str">
        <f>IF($C582="","",IF($D582="Gider",$H582,$E582))</f>
        <v/>
      </c>
      <c r="O582" s="73" t="str">
        <f>IF($C582="","",DATE(YEAR($C582),MONTH($C582),1))</f>
        <v/>
      </c>
      <c r="P582" s="65" t="str">
        <f ca="1">IF($C582="","",IF(AND($D582="Gelir",$L582&lt;&gt;"",$T582=""),"TANIMSIZ BORÇLU",IF($T582&lt;&gt;"",IF(OR($E582="",$G582&lt;=0),"EKSİK",IF($I582="Evet","TAHAKKUK NAKİT OLAMAZ",IF($C582&gt;TODAY(),"İLERİ TARİH","TAHAKKUK"))),IF(AND($D582&lt;&gt;"",$E582&lt;&gt;"",$G582&gt;0,$H582&lt;&gt;"",$I582&lt;&gt;""),IF($C582&gt;TODAY(),"İLERİ TARİH",IF(COUNTIF($W$7:$W$3001,$W582)&gt;1,"MÜKERRER?",IF($AD582&gt;0,"KAPALI DÖNEM",IF($I582="Hayır","ÖDENECEK","UYGUN")))),"EKSİK"))))</f>
        <v/>
      </c>
      <c r="Q582" s="2"/>
      <c r="R582" s="2"/>
      <c r="S582" s="1" t="str">
        <f t="shared" si="29"/>
        <v/>
      </c>
      <c r="T582" s="1" t="str">
        <f>IF(OR($C582="",$D582&lt;&gt;"Gelir",$L582=""),"",IFERROR(INDEX(MUSTERILER!$B$7:$B$156,MATCH($S582,MUSTERILER!$T$7:$T$156,0)),""))</f>
        <v/>
      </c>
      <c r="U582" s="1" t="str">
        <f>IF($T582="","",$T582&amp;"|"&amp;COUNTIFS($T$7:$T582,$T582))</f>
        <v/>
      </c>
      <c r="V582" s="1">
        <f t="shared" si="30"/>
        <v>0</v>
      </c>
      <c r="W582" s="1" t="str">
        <f t="shared" si="31"/>
        <v/>
      </c>
      <c r="X582" s="1"/>
      <c r="Y582" s="1"/>
      <c r="Z582" s="1"/>
      <c r="AA582" s="1"/>
      <c r="AB582" s="1"/>
      <c r="AC582" s="1"/>
      <c r="AD582" s="1">
        <f>IF($C582="",0,SUMPRODUCT((AY_SONU!$O$7:$O$42="Evet")*(AY_SONU!$B$7:$B$42=DATE(YEAR($C582),MONTH($C582),1))))</f>
        <v>0</v>
      </c>
      <c r="AE582" s="1" t="str">
        <f>IF($E582="","",$E582&amp;"|"&amp;COUNTIFS($E$7:$E582,$E582))</f>
        <v/>
      </c>
    </row>
    <row r="583" spans="1:31" ht="18" customHeight="1" x14ac:dyDescent="0.3">
      <c r="A583" s="2"/>
      <c r="B583" s="65" t="str">
        <f>IF($C583="","","GG"&amp;TEXT(ROW()-6,"00000"))</f>
        <v/>
      </c>
      <c r="C583" s="66"/>
      <c r="D583" s="60"/>
      <c r="E583" s="61"/>
      <c r="F583" s="61"/>
      <c r="G583" s="67"/>
      <c r="H583" s="60"/>
      <c r="I583" s="60"/>
      <c r="J583" s="61"/>
      <c r="K583" s="61"/>
      <c r="L583" s="60"/>
      <c r="M583" s="74" t="str">
        <f>IF($C583="","",IF($D583="Gider",$E583,IF($L583&lt;&gt;"",$L583,$H583)))</f>
        <v/>
      </c>
      <c r="N583" s="74" t="str">
        <f>IF($C583="","",IF($D583="Gider",$H583,$E583))</f>
        <v/>
      </c>
      <c r="O583" s="73" t="str">
        <f>IF($C583="","",DATE(YEAR($C583),MONTH($C583),1))</f>
        <v/>
      </c>
      <c r="P583" s="65" t="str">
        <f ca="1"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TARİH",IF(COUNTIF($W$7:$W$3001,$W583)&gt;1,"MÜKERRER?",IF($AD583&gt;0,"KAPALI DÖNEM",IF($I583="Hayır","ÖDENECEK","UYGUN")))),"EKSİK"))))</f>
        <v/>
      </c>
      <c r="Q583" s="2"/>
      <c r="R583" s="2"/>
      <c r="S583" s="1" t="str">
        <f t="shared" si="29"/>
        <v/>
      </c>
      <c r="T583" s="1" t="str">
        <f>IF(OR($C583="",$D583&lt;&gt;"Gelir",$L583=""),"",IFERROR(INDEX(MUSTERILER!$B$7:$B$156,MATCH($S583,MUSTERILER!$T$7:$T$156,0)),""))</f>
        <v/>
      </c>
      <c r="U583" s="1" t="str">
        <f>IF($T583="","",$T583&amp;"|"&amp;COUNTIFS($T$7:$T583,$T583))</f>
        <v/>
      </c>
      <c r="V583" s="1">
        <f t="shared" si="30"/>
        <v>0</v>
      </c>
      <c r="W583" s="1" t="str">
        <f t="shared" si="31"/>
        <v/>
      </c>
      <c r="X583" s="1"/>
      <c r="Y583" s="1"/>
      <c r="Z583" s="1"/>
      <c r="AA583" s="1"/>
      <c r="AB583" s="1"/>
      <c r="AC583" s="1"/>
      <c r="AD583" s="1">
        <f>IF($C583="",0,SUMPRODUCT((AY_SONU!$O$7:$O$42="Evet")*(AY_SONU!$B$7:$B$42=DATE(YEAR($C583),MONTH($C583),1))))</f>
        <v>0</v>
      </c>
      <c r="AE583" s="1" t="str">
        <f>IF($E583="","",$E583&amp;"|"&amp;COUNTIFS($E$7:$E583,$E583))</f>
        <v/>
      </c>
    </row>
    <row r="584" spans="1:31" ht="18" customHeight="1" x14ac:dyDescent="0.3">
      <c r="A584" s="2"/>
      <c r="B584" s="65" t="str">
        <f>IF($C584="","","GG"&amp;TEXT(ROW()-6,"00000"))</f>
        <v/>
      </c>
      <c r="C584" s="66"/>
      <c r="D584" s="60"/>
      <c r="E584" s="61"/>
      <c r="F584" s="61"/>
      <c r="G584" s="67"/>
      <c r="H584" s="60"/>
      <c r="I584" s="60"/>
      <c r="J584" s="61"/>
      <c r="K584" s="61"/>
      <c r="L584" s="60"/>
      <c r="M584" s="74" t="str">
        <f>IF($C584="","",IF($D584="Gider",$E584,IF($L584&lt;&gt;"",$L584,$H584)))</f>
        <v/>
      </c>
      <c r="N584" s="74" t="str">
        <f>IF($C584="","",IF($D584="Gider",$H584,$E584))</f>
        <v/>
      </c>
      <c r="O584" s="73" t="str">
        <f>IF($C584="","",DATE(YEAR($C584),MONTH($C584),1))</f>
        <v/>
      </c>
      <c r="P584" s="65" t="str">
        <f ca="1">IF($C584="","",IF(AND($D584="Gelir",$L584&lt;&gt;"",$T584=""),"TANIMSIZ BORÇLU",IF($T584&lt;&gt;"",IF(OR($E584="",$G584&lt;=0),"EKSİK",IF($I584="Evet","TAHAKKUK NAKİT OLAMAZ",IF($C584&gt;TODAY(),"İLERİ TARİH","TAHAKKUK"))),IF(AND($D584&lt;&gt;"",$E584&lt;&gt;"",$G584&gt;0,$H584&lt;&gt;"",$I584&lt;&gt;""),IF($C584&gt;TODAY(),"İLERİ TARİH",IF(COUNTIF($W$7:$W$3001,$W584)&gt;1,"MÜKERRER?",IF($AD584&gt;0,"KAPALI DÖNEM",IF($I584="Hayır","ÖDENECEK","UYGUN")))),"EKSİK"))))</f>
        <v/>
      </c>
      <c r="Q584" s="2"/>
      <c r="R584" s="2"/>
      <c r="S584" s="1" t="str">
        <f t="shared" si="29"/>
        <v/>
      </c>
      <c r="T584" s="1" t="str">
        <f>IF(OR($C584="",$D584&lt;&gt;"Gelir",$L584=""),"",IFERROR(INDEX(MUSTERILER!$B$7:$B$156,MATCH($S584,MUSTERILER!$T$7:$T$156,0)),""))</f>
        <v/>
      </c>
      <c r="U584" s="1" t="str">
        <f>IF($T584="","",$T584&amp;"|"&amp;COUNTIFS($T$7:$T584,$T584))</f>
        <v/>
      </c>
      <c r="V584" s="1">
        <f t="shared" si="30"/>
        <v>0</v>
      </c>
      <c r="W584" s="1" t="str">
        <f t="shared" si="31"/>
        <v/>
      </c>
      <c r="X584" s="1"/>
      <c r="Y584" s="1"/>
      <c r="Z584" s="1"/>
      <c r="AA584" s="1"/>
      <c r="AB584" s="1"/>
      <c r="AC584" s="1"/>
      <c r="AD584" s="1">
        <f>IF($C584="",0,SUMPRODUCT((AY_SONU!$O$7:$O$42="Evet")*(AY_SONU!$B$7:$B$42=DATE(YEAR($C584),MONTH($C584),1))))</f>
        <v>0</v>
      </c>
      <c r="AE584" s="1" t="str">
        <f>IF($E584="","",$E584&amp;"|"&amp;COUNTIFS($E$7:$E584,$E584))</f>
        <v/>
      </c>
    </row>
    <row r="585" spans="1:31" ht="18" customHeight="1" x14ac:dyDescent="0.3">
      <c r="A585" s="2"/>
      <c r="B585" s="65" t="str">
        <f>IF($C585="","","GG"&amp;TEXT(ROW()-6,"00000"))</f>
        <v/>
      </c>
      <c r="C585" s="66"/>
      <c r="D585" s="60"/>
      <c r="E585" s="61"/>
      <c r="F585" s="61"/>
      <c r="G585" s="67"/>
      <c r="H585" s="60"/>
      <c r="I585" s="60"/>
      <c r="J585" s="61"/>
      <c r="K585" s="61"/>
      <c r="L585" s="60"/>
      <c r="M585" s="74" t="str">
        <f>IF($C585="","",IF($D585="Gider",$E585,IF($L585&lt;&gt;"",$L585,$H585)))</f>
        <v/>
      </c>
      <c r="N585" s="74" t="str">
        <f>IF($C585="","",IF($D585="Gider",$H585,$E585))</f>
        <v/>
      </c>
      <c r="O585" s="73" t="str">
        <f>IF($C585="","",DATE(YEAR($C585),MONTH($C585),1))</f>
        <v/>
      </c>
      <c r="P585" s="65" t="str">
        <f ca="1">IF($C585="","",IF(AND($D585="Gelir",$L585&lt;&gt;"",$T585=""),"TANIMSIZ BORÇLU",IF($T585&lt;&gt;"",IF(OR($E585="",$G585&lt;=0),"EKSİK",IF($I585="Evet","TAHAKKUK NAKİT OLAMAZ",IF($C585&gt;TODAY(),"İLERİ TARİH","TAHAKKUK"))),IF(AND($D585&lt;&gt;"",$E585&lt;&gt;"",$G585&gt;0,$H585&lt;&gt;"",$I585&lt;&gt;""),IF($C585&gt;TODAY(),"İLERİ TARİH",IF(COUNTIF($W$7:$W$3001,$W585)&gt;1,"MÜKERRER?",IF($AD585&gt;0,"KAPALI DÖNEM",IF($I585="Hayır","ÖDENECEK","UYGUN")))),"EKSİK"))))</f>
        <v/>
      </c>
      <c r="Q585" s="2"/>
      <c r="R585" s="2"/>
      <c r="S585" s="1" t="str">
        <f t="shared" si="29"/>
        <v/>
      </c>
      <c r="T585" s="1" t="str">
        <f>IF(OR($C585="",$D585&lt;&gt;"Gelir",$L585=""),"",IFERROR(INDEX(MUSTERILER!$B$7:$B$156,MATCH($S585,MUSTERILER!$T$7:$T$156,0)),""))</f>
        <v/>
      </c>
      <c r="U585" s="1" t="str">
        <f>IF($T585="","",$T585&amp;"|"&amp;COUNTIFS($T$7:$T585,$T585))</f>
        <v/>
      </c>
      <c r="V585" s="1">
        <f t="shared" si="30"/>
        <v>0</v>
      </c>
      <c r="W585" s="1" t="str">
        <f t="shared" si="31"/>
        <v/>
      </c>
      <c r="X585" s="1"/>
      <c r="Y585" s="1"/>
      <c r="Z585" s="1"/>
      <c r="AA585" s="1"/>
      <c r="AB585" s="1"/>
      <c r="AC585" s="1"/>
      <c r="AD585" s="1">
        <f>IF($C585="",0,SUMPRODUCT((AY_SONU!$O$7:$O$42="Evet")*(AY_SONU!$B$7:$B$42=DATE(YEAR($C585),MONTH($C585),1))))</f>
        <v>0</v>
      </c>
      <c r="AE585" s="1" t="str">
        <f>IF($E585="","",$E585&amp;"|"&amp;COUNTIFS($E$7:$E585,$E585))</f>
        <v/>
      </c>
    </row>
    <row r="586" spans="1:31" ht="18" customHeight="1" x14ac:dyDescent="0.3">
      <c r="A586" s="2"/>
      <c r="B586" s="65" t="str">
        <f>IF($C586="","","GG"&amp;TEXT(ROW()-6,"00000"))</f>
        <v/>
      </c>
      <c r="C586" s="66"/>
      <c r="D586" s="60"/>
      <c r="E586" s="61"/>
      <c r="F586" s="61"/>
      <c r="G586" s="67"/>
      <c r="H586" s="60"/>
      <c r="I586" s="60"/>
      <c r="J586" s="61"/>
      <c r="K586" s="61"/>
      <c r="L586" s="60"/>
      <c r="M586" s="74" t="str">
        <f>IF($C586="","",IF($D586="Gider",$E586,IF($L586&lt;&gt;"",$L586,$H586)))</f>
        <v/>
      </c>
      <c r="N586" s="74" t="str">
        <f>IF($C586="","",IF($D586="Gider",$H586,$E586))</f>
        <v/>
      </c>
      <c r="O586" s="73" t="str">
        <f>IF($C586="","",DATE(YEAR($C586),MONTH($C586),1))</f>
        <v/>
      </c>
      <c r="P586" s="65" t="str">
        <f ca="1">IF($C586="","",IF(AND($D586="Gelir",$L586&lt;&gt;"",$T586=""),"TANIMSIZ BORÇLU",IF($T586&lt;&gt;"",IF(OR($E586="",$G586&lt;=0),"EKSİK",IF($I586="Evet","TAHAKKUK NAKİT OLAMAZ",IF($C586&gt;TODAY(),"İLERİ TARİH","TAHAKKUK"))),IF(AND($D586&lt;&gt;"",$E586&lt;&gt;"",$G586&gt;0,$H586&lt;&gt;"",$I586&lt;&gt;""),IF($C586&gt;TODAY(),"İLERİ TARİH",IF(COUNTIF($W$7:$W$3001,$W586)&gt;1,"MÜKERRER?",IF($AD586&gt;0,"KAPALI DÖNEM",IF($I586="Hayır","ÖDENECEK","UYGUN")))),"EKSİK"))))</f>
        <v/>
      </c>
      <c r="Q586" s="2"/>
      <c r="R586" s="2"/>
      <c r="S586" s="1" t="str">
        <f t="shared" si="29"/>
        <v/>
      </c>
      <c r="T586" s="1" t="str">
        <f>IF(OR($C586="",$D586&lt;&gt;"Gelir",$L586=""),"",IFERROR(INDEX(MUSTERILER!$B$7:$B$156,MATCH($S586,MUSTERILER!$T$7:$T$156,0)),""))</f>
        <v/>
      </c>
      <c r="U586" s="1" t="str">
        <f>IF($T586="","",$T586&amp;"|"&amp;COUNTIFS($T$7:$T586,$T586))</f>
        <v/>
      </c>
      <c r="V586" s="1">
        <f t="shared" si="30"/>
        <v>0</v>
      </c>
      <c r="W586" s="1" t="str">
        <f t="shared" si="31"/>
        <v/>
      </c>
      <c r="X586" s="1"/>
      <c r="Y586" s="1"/>
      <c r="Z586" s="1"/>
      <c r="AA586" s="1"/>
      <c r="AB586" s="1"/>
      <c r="AC586" s="1"/>
      <c r="AD586" s="1">
        <f>IF($C586="",0,SUMPRODUCT((AY_SONU!$O$7:$O$42="Evet")*(AY_SONU!$B$7:$B$42=DATE(YEAR($C586),MONTH($C586),1))))</f>
        <v>0</v>
      </c>
      <c r="AE586" s="1" t="str">
        <f>IF($E586="","",$E586&amp;"|"&amp;COUNTIFS($E$7:$E586,$E586))</f>
        <v/>
      </c>
    </row>
    <row r="587" spans="1:31" ht="18" customHeight="1" x14ac:dyDescent="0.3">
      <c r="A587" s="2"/>
      <c r="B587" s="65" t="str">
        <f>IF($C587="","","GG"&amp;TEXT(ROW()-6,"00000"))</f>
        <v/>
      </c>
      <c r="C587" s="66"/>
      <c r="D587" s="60"/>
      <c r="E587" s="61"/>
      <c r="F587" s="61"/>
      <c r="G587" s="67"/>
      <c r="H587" s="60"/>
      <c r="I587" s="60"/>
      <c r="J587" s="61"/>
      <c r="K587" s="61"/>
      <c r="L587" s="60"/>
      <c r="M587" s="74" t="str">
        <f>IF($C587="","",IF($D587="Gider",$E587,IF($L587&lt;&gt;"",$L587,$H587)))</f>
        <v/>
      </c>
      <c r="N587" s="74" t="str">
        <f>IF($C587="","",IF($D587="Gider",$H587,$E587))</f>
        <v/>
      </c>
      <c r="O587" s="73" t="str">
        <f>IF($C587="","",DATE(YEAR($C587),MONTH($C587),1))</f>
        <v/>
      </c>
      <c r="P587" s="65" t="str">
        <f ca="1">IF($C587="","",IF(AND($D587="Gelir",$L587&lt;&gt;"",$T587=""),"TANIMSIZ BORÇLU",IF($T587&lt;&gt;"",IF(OR($E587="",$G587&lt;=0),"EKSİK",IF($I587="Evet","TAHAKKUK NAKİT OLAMAZ",IF($C587&gt;TODAY(),"İLERİ TARİH","TAHAKKUK"))),IF(AND($D587&lt;&gt;"",$E587&lt;&gt;"",$G587&gt;0,$H587&lt;&gt;"",$I587&lt;&gt;""),IF($C587&gt;TODAY(),"İLERİ TARİH",IF(COUNTIF($W$7:$W$3001,$W587)&gt;1,"MÜKERRER?",IF($AD587&gt;0,"KAPALI DÖNEM",IF($I587="Hayır","ÖDENECEK","UYGUN")))),"EKSİK"))))</f>
        <v/>
      </c>
      <c r="Q587" s="2"/>
      <c r="R587" s="2"/>
      <c r="S587" s="1" t="str">
        <f t="shared" si="29"/>
        <v/>
      </c>
      <c r="T587" s="1" t="str">
        <f>IF(OR($C587="",$D587&lt;&gt;"Gelir",$L587=""),"",IFERROR(INDEX(MUSTERILER!$B$7:$B$156,MATCH($S587,MUSTERILER!$T$7:$T$156,0)),""))</f>
        <v/>
      </c>
      <c r="U587" s="1" t="str">
        <f>IF($T587="","",$T587&amp;"|"&amp;COUNTIFS($T$7:$T587,$T587))</f>
        <v/>
      </c>
      <c r="V587" s="1">
        <f t="shared" si="30"/>
        <v>0</v>
      </c>
      <c r="W587" s="1" t="str">
        <f t="shared" si="31"/>
        <v/>
      </c>
      <c r="X587" s="1"/>
      <c r="Y587" s="1"/>
      <c r="Z587" s="1"/>
      <c r="AA587" s="1"/>
      <c r="AB587" s="1"/>
      <c r="AC587" s="1"/>
      <c r="AD587" s="1">
        <f>IF($C587="",0,SUMPRODUCT((AY_SONU!$O$7:$O$42="Evet")*(AY_SONU!$B$7:$B$42=DATE(YEAR($C587),MONTH($C587),1))))</f>
        <v>0</v>
      </c>
      <c r="AE587" s="1" t="str">
        <f>IF($E587="","",$E587&amp;"|"&amp;COUNTIFS($E$7:$E587,$E587))</f>
        <v/>
      </c>
    </row>
    <row r="588" spans="1:31" ht="18" customHeight="1" x14ac:dyDescent="0.3">
      <c r="A588" s="2"/>
      <c r="B588" s="65" t="str">
        <f>IF($C588="","","GG"&amp;TEXT(ROW()-6,"00000"))</f>
        <v/>
      </c>
      <c r="C588" s="66"/>
      <c r="D588" s="60"/>
      <c r="E588" s="61"/>
      <c r="F588" s="61"/>
      <c r="G588" s="67"/>
      <c r="H588" s="60"/>
      <c r="I588" s="60"/>
      <c r="J588" s="61"/>
      <c r="K588" s="61"/>
      <c r="L588" s="60"/>
      <c r="M588" s="74" t="str">
        <f>IF($C588="","",IF($D588="Gider",$E588,IF($L588&lt;&gt;"",$L588,$H588)))</f>
        <v/>
      </c>
      <c r="N588" s="74" t="str">
        <f>IF($C588="","",IF($D588="Gider",$H588,$E588))</f>
        <v/>
      </c>
      <c r="O588" s="73" t="str">
        <f>IF($C588="","",DATE(YEAR($C588),MONTH($C588),1))</f>
        <v/>
      </c>
      <c r="P588" s="65" t="str">
        <f ca="1">IF($C588="","",IF(AND($D588="Gelir",$L588&lt;&gt;"",$T588=""),"TANIMSIZ BORÇLU",IF($T588&lt;&gt;"",IF(OR($E588="",$G588&lt;=0),"EKSİK",IF($I588="Evet","TAHAKKUK NAKİT OLAMAZ",IF($C588&gt;TODAY(),"İLERİ TARİH","TAHAKKUK"))),IF(AND($D588&lt;&gt;"",$E588&lt;&gt;"",$G588&gt;0,$H588&lt;&gt;"",$I588&lt;&gt;""),IF($C588&gt;TODAY(),"İLERİ TARİH",IF(COUNTIF($W$7:$W$3001,$W588)&gt;1,"MÜKERRER?",IF($AD588&gt;0,"KAPALI DÖNEM",IF($I588="Hayır","ÖDENECEK","UYGUN")))),"EKSİK"))))</f>
        <v/>
      </c>
      <c r="Q588" s="2"/>
      <c r="R588" s="2"/>
      <c r="S588" s="1" t="str">
        <f t="shared" si="29"/>
        <v/>
      </c>
      <c r="T588" s="1" t="str">
        <f>IF(OR($C588="",$D588&lt;&gt;"Gelir",$L588=""),"",IFERROR(INDEX(MUSTERILER!$B$7:$B$156,MATCH($S588,MUSTERILER!$T$7:$T$156,0)),""))</f>
        <v/>
      </c>
      <c r="U588" s="1" t="str">
        <f>IF($T588="","",$T588&amp;"|"&amp;COUNTIFS($T$7:$T588,$T588))</f>
        <v/>
      </c>
      <c r="V588" s="1">
        <f t="shared" si="30"/>
        <v>0</v>
      </c>
      <c r="W588" s="1" t="str">
        <f t="shared" si="31"/>
        <v/>
      </c>
      <c r="X588" s="1"/>
      <c r="Y588" s="1"/>
      <c r="Z588" s="1"/>
      <c r="AA588" s="1"/>
      <c r="AB588" s="1"/>
      <c r="AC588" s="1"/>
      <c r="AD588" s="1">
        <f>IF($C588="",0,SUMPRODUCT((AY_SONU!$O$7:$O$42="Evet")*(AY_SONU!$B$7:$B$42=DATE(YEAR($C588),MONTH($C588),1))))</f>
        <v>0</v>
      </c>
      <c r="AE588" s="1" t="str">
        <f>IF($E588="","",$E588&amp;"|"&amp;COUNTIFS($E$7:$E588,$E588))</f>
        <v/>
      </c>
    </row>
    <row r="589" spans="1:31" ht="18" customHeight="1" x14ac:dyDescent="0.3">
      <c r="A589" s="2"/>
      <c r="B589" s="65" t="str">
        <f>IF($C589="","","GG"&amp;TEXT(ROW()-6,"00000"))</f>
        <v/>
      </c>
      <c r="C589" s="66"/>
      <c r="D589" s="60"/>
      <c r="E589" s="61"/>
      <c r="F589" s="61"/>
      <c r="G589" s="67"/>
      <c r="H589" s="60"/>
      <c r="I589" s="60"/>
      <c r="J589" s="61"/>
      <c r="K589" s="61"/>
      <c r="L589" s="60"/>
      <c r="M589" s="74" t="str">
        <f>IF($C589="","",IF($D589="Gider",$E589,IF($L589&lt;&gt;"",$L589,$H589)))</f>
        <v/>
      </c>
      <c r="N589" s="74" t="str">
        <f>IF($C589="","",IF($D589="Gider",$H589,$E589))</f>
        <v/>
      </c>
      <c r="O589" s="73" t="str">
        <f>IF($C589="","",DATE(YEAR($C589),MONTH($C589),1))</f>
        <v/>
      </c>
      <c r="P589" s="65" t="str">
        <f ca="1">IF($C589="","",IF(AND($D589="Gelir",$L589&lt;&gt;"",$T589=""),"TANIMSIZ BORÇLU",IF($T589&lt;&gt;"",IF(OR($E589="",$G589&lt;=0),"EKSİK",IF($I589="Evet","TAHAKKUK NAKİT OLAMAZ",IF($C589&gt;TODAY(),"İLERİ TARİH","TAHAKKUK"))),IF(AND($D589&lt;&gt;"",$E589&lt;&gt;"",$G589&gt;0,$H589&lt;&gt;"",$I589&lt;&gt;""),IF($C589&gt;TODAY(),"İLERİ TARİH",IF(COUNTIF($W$7:$W$3001,$W589)&gt;1,"MÜKERRER?",IF($AD589&gt;0,"KAPALI DÖNEM",IF($I589="Hayır","ÖDENECEK","UYGUN")))),"EKSİK"))))</f>
        <v/>
      </c>
      <c r="Q589" s="2"/>
      <c r="R589" s="2"/>
      <c r="S589" s="1" t="str">
        <f t="shared" si="29"/>
        <v/>
      </c>
      <c r="T589" s="1" t="str">
        <f>IF(OR($C589="",$D589&lt;&gt;"Gelir",$L589=""),"",IFERROR(INDEX(MUSTERILER!$B$7:$B$156,MATCH($S589,MUSTERILER!$T$7:$T$156,0)),""))</f>
        <v/>
      </c>
      <c r="U589" s="1" t="str">
        <f>IF($T589="","",$T589&amp;"|"&amp;COUNTIFS($T$7:$T589,$T589))</f>
        <v/>
      </c>
      <c r="V589" s="1">
        <f t="shared" si="30"/>
        <v>0</v>
      </c>
      <c r="W589" s="1" t="str">
        <f t="shared" si="31"/>
        <v/>
      </c>
      <c r="X589" s="1"/>
      <c r="Y589" s="1"/>
      <c r="Z589" s="1"/>
      <c r="AA589" s="1"/>
      <c r="AB589" s="1"/>
      <c r="AC589" s="1"/>
      <c r="AD589" s="1">
        <f>IF($C589="",0,SUMPRODUCT((AY_SONU!$O$7:$O$42="Evet")*(AY_SONU!$B$7:$B$42=DATE(YEAR($C589),MONTH($C589),1))))</f>
        <v>0</v>
      </c>
      <c r="AE589" s="1" t="str">
        <f>IF($E589="","",$E589&amp;"|"&amp;COUNTIFS($E$7:$E589,$E589))</f>
        <v/>
      </c>
    </row>
    <row r="590" spans="1:31" ht="18" customHeight="1" x14ac:dyDescent="0.3">
      <c r="A590" s="2"/>
      <c r="B590" s="65" t="str">
        <f>IF($C590="","","GG"&amp;TEXT(ROW()-6,"00000"))</f>
        <v/>
      </c>
      <c r="C590" s="66"/>
      <c r="D590" s="60"/>
      <c r="E590" s="61"/>
      <c r="F590" s="61"/>
      <c r="G590" s="67"/>
      <c r="H590" s="60"/>
      <c r="I590" s="60"/>
      <c r="J590" s="61"/>
      <c r="K590" s="61"/>
      <c r="L590" s="60"/>
      <c r="M590" s="74" t="str">
        <f>IF($C590="","",IF($D590="Gider",$E590,IF($L590&lt;&gt;"",$L590,$H590)))</f>
        <v/>
      </c>
      <c r="N590" s="74" t="str">
        <f>IF($C590="","",IF($D590="Gider",$H590,$E590))</f>
        <v/>
      </c>
      <c r="O590" s="73" t="str">
        <f>IF($C590="","",DATE(YEAR($C590),MONTH($C590),1))</f>
        <v/>
      </c>
      <c r="P590" s="65" t="str">
        <f ca="1">IF($C590="","",IF(AND($D590="Gelir",$L590&lt;&gt;"",$T590=""),"TANIMSIZ BORÇLU",IF($T590&lt;&gt;"",IF(OR($E590="",$G590&lt;=0),"EKSİK",IF($I590="Evet","TAHAKKUK NAKİT OLAMAZ",IF($C590&gt;TODAY(),"İLERİ TARİH","TAHAKKUK"))),IF(AND($D590&lt;&gt;"",$E590&lt;&gt;"",$G590&gt;0,$H590&lt;&gt;"",$I590&lt;&gt;""),IF($C590&gt;TODAY(),"İLERİ TARİH",IF(COUNTIF($W$7:$W$3001,$W590)&gt;1,"MÜKERRER?",IF($AD590&gt;0,"KAPALI DÖNEM",IF($I590="Hayır","ÖDENECEK","UYGUN")))),"EKSİK"))))</f>
        <v/>
      </c>
      <c r="Q590" s="2"/>
      <c r="R590" s="2"/>
      <c r="S590" s="1" t="str">
        <f t="shared" si="29"/>
        <v/>
      </c>
      <c r="T590" s="1" t="str">
        <f>IF(OR($C590="",$D590&lt;&gt;"Gelir",$L590=""),"",IFERROR(INDEX(MUSTERILER!$B$7:$B$156,MATCH($S590,MUSTERILER!$T$7:$T$156,0)),""))</f>
        <v/>
      </c>
      <c r="U590" s="1" t="str">
        <f>IF($T590="","",$T590&amp;"|"&amp;COUNTIFS($T$7:$T590,$T590))</f>
        <v/>
      </c>
      <c r="V590" s="1">
        <f t="shared" si="30"/>
        <v>0</v>
      </c>
      <c r="W590" s="1" t="str">
        <f t="shared" si="31"/>
        <v/>
      </c>
      <c r="X590" s="1"/>
      <c r="Y590" s="1"/>
      <c r="Z590" s="1"/>
      <c r="AA590" s="1"/>
      <c r="AB590" s="1"/>
      <c r="AC590" s="1"/>
      <c r="AD590" s="1">
        <f>IF($C590="",0,SUMPRODUCT((AY_SONU!$O$7:$O$42="Evet")*(AY_SONU!$B$7:$B$42=DATE(YEAR($C590),MONTH($C590),1))))</f>
        <v>0</v>
      </c>
      <c r="AE590" s="1" t="str">
        <f>IF($E590="","",$E590&amp;"|"&amp;COUNTIFS($E$7:$E590,$E590))</f>
        <v/>
      </c>
    </row>
    <row r="591" spans="1:31" ht="18" customHeight="1" x14ac:dyDescent="0.3">
      <c r="A591" s="2"/>
      <c r="B591" s="65" t="str">
        <f>IF($C591="","","GG"&amp;TEXT(ROW()-6,"00000"))</f>
        <v/>
      </c>
      <c r="C591" s="66"/>
      <c r="D591" s="60"/>
      <c r="E591" s="61"/>
      <c r="F591" s="61"/>
      <c r="G591" s="67"/>
      <c r="H591" s="60"/>
      <c r="I591" s="60"/>
      <c r="J591" s="61"/>
      <c r="K591" s="61"/>
      <c r="L591" s="60"/>
      <c r="M591" s="74" t="str">
        <f>IF($C591="","",IF($D591="Gider",$E591,IF($L591&lt;&gt;"",$L591,$H591)))</f>
        <v/>
      </c>
      <c r="N591" s="74" t="str">
        <f>IF($C591="","",IF($D591="Gider",$H591,$E591))</f>
        <v/>
      </c>
      <c r="O591" s="73" t="str">
        <f>IF($C591="","",DATE(YEAR($C591),MONTH($C591),1))</f>
        <v/>
      </c>
      <c r="P591" s="65" t="str">
        <f ca="1">IF($C591="","",IF(AND($D591="Gelir",$L591&lt;&gt;"",$T591=""),"TANIMSIZ BORÇLU",IF($T591&lt;&gt;"",IF(OR($E591="",$G591&lt;=0),"EKSİK",IF($I591="Evet","TAHAKKUK NAKİT OLAMAZ",IF($C591&gt;TODAY(),"İLERİ TARİH","TAHAKKUK"))),IF(AND($D591&lt;&gt;"",$E591&lt;&gt;"",$G591&gt;0,$H591&lt;&gt;"",$I591&lt;&gt;""),IF($C591&gt;TODAY(),"İLERİ TARİH",IF(COUNTIF($W$7:$W$3001,$W591)&gt;1,"MÜKERRER?",IF($AD591&gt;0,"KAPALI DÖNEM",IF($I591="Hayır","ÖDENECEK","UYGUN")))),"EKSİK"))))</f>
        <v/>
      </c>
      <c r="Q591" s="2"/>
      <c r="R591" s="2"/>
      <c r="S591" s="1" t="str">
        <f t="shared" si="29"/>
        <v/>
      </c>
      <c r="T591" s="1" t="str">
        <f>IF(OR($C591="",$D591&lt;&gt;"Gelir",$L591=""),"",IFERROR(INDEX(MUSTERILER!$B$7:$B$156,MATCH($S591,MUSTERILER!$T$7:$T$156,0)),""))</f>
        <v/>
      </c>
      <c r="U591" s="1" t="str">
        <f>IF($T591="","",$T591&amp;"|"&amp;COUNTIFS($T$7:$T591,$T591))</f>
        <v/>
      </c>
      <c r="V591" s="1">
        <f t="shared" si="30"/>
        <v>0</v>
      </c>
      <c r="W591" s="1" t="str">
        <f t="shared" si="31"/>
        <v/>
      </c>
      <c r="X591" s="1"/>
      <c r="Y591" s="1"/>
      <c r="Z591" s="1"/>
      <c r="AA591" s="1"/>
      <c r="AB591" s="1"/>
      <c r="AC591" s="1"/>
      <c r="AD591" s="1">
        <f>IF($C591="",0,SUMPRODUCT((AY_SONU!$O$7:$O$42="Evet")*(AY_SONU!$B$7:$B$42=DATE(YEAR($C591),MONTH($C591),1))))</f>
        <v>0</v>
      </c>
      <c r="AE591" s="1" t="str">
        <f>IF($E591="","",$E591&amp;"|"&amp;COUNTIFS($E$7:$E591,$E591))</f>
        <v/>
      </c>
    </row>
    <row r="592" spans="1:31" ht="18" customHeight="1" x14ac:dyDescent="0.3">
      <c r="A592" s="2"/>
      <c r="B592" s="65" t="str">
        <f>IF($C592="","","GG"&amp;TEXT(ROW()-6,"00000"))</f>
        <v/>
      </c>
      <c r="C592" s="66"/>
      <c r="D592" s="60"/>
      <c r="E592" s="61"/>
      <c r="F592" s="61"/>
      <c r="G592" s="67"/>
      <c r="H592" s="60"/>
      <c r="I592" s="60"/>
      <c r="J592" s="61"/>
      <c r="K592" s="61"/>
      <c r="L592" s="60"/>
      <c r="M592" s="74" t="str">
        <f>IF($C592="","",IF($D592="Gider",$E592,IF($L592&lt;&gt;"",$L592,$H592)))</f>
        <v/>
      </c>
      <c r="N592" s="74" t="str">
        <f>IF($C592="","",IF($D592="Gider",$H592,$E592))</f>
        <v/>
      </c>
      <c r="O592" s="73" t="str">
        <f>IF($C592="","",DATE(YEAR($C592),MONTH($C592),1))</f>
        <v/>
      </c>
      <c r="P592" s="65" t="str">
        <f ca="1">IF($C592="","",IF(AND($D592="Gelir",$L592&lt;&gt;"",$T592=""),"TANIMSIZ BORÇLU",IF($T592&lt;&gt;"",IF(OR($E592="",$G592&lt;=0),"EKSİK",IF($I592="Evet","TAHAKKUK NAKİT OLAMAZ",IF($C592&gt;TODAY(),"İLERİ TARİH","TAHAKKUK"))),IF(AND($D592&lt;&gt;"",$E592&lt;&gt;"",$G592&gt;0,$H592&lt;&gt;"",$I592&lt;&gt;""),IF($C592&gt;TODAY(),"İLERİ TARİH",IF(COUNTIF($W$7:$W$3001,$W592)&gt;1,"MÜKERRER?",IF($AD592&gt;0,"KAPALI DÖNEM",IF($I592="Hayır","ÖDENECEK","UYGUN")))),"EKSİK"))))</f>
        <v/>
      </c>
      <c r="Q592" s="2"/>
      <c r="R592" s="2"/>
      <c r="S592" s="1" t="str">
        <f t="shared" si="29"/>
        <v/>
      </c>
      <c r="T592" s="1" t="str">
        <f>IF(OR($C592="",$D592&lt;&gt;"Gelir",$L592=""),"",IFERROR(INDEX(MUSTERILER!$B$7:$B$156,MATCH($S592,MUSTERILER!$T$7:$T$156,0)),""))</f>
        <v/>
      </c>
      <c r="U592" s="1" t="str">
        <f>IF($T592="","",$T592&amp;"|"&amp;COUNTIFS($T$7:$T592,$T592))</f>
        <v/>
      </c>
      <c r="V592" s="1">
        <f t="shared" si="30"/>
        <v>0</v>
      </c>
      <c r="W592" s="1" t="str">
        <f t="shared" si="31"/>
        <v/>
      </c>
      <c r="X592" s="1"/>
      <c r="Y592" s="1"/>
      <c r="Z592" s="1"/>
      <c r="AA592" s="1"/>
      <c r="AB592" s="1"/>
      <c r="AC592" s="1"/>
      <c r="AD592" s="1">
        <f>IF($C592="",0,SUMPRODUCT((AY_SONU!$O$7:$O$42="Evet")*(AY_SONU!$B$7:$B$42=DATE(YEAR($C592),MONTH($C592),1))))</f>
        <v>0</v>
      </c>
      <c r="AE592" s="1" t="str">
        <f>IF($E592="","",$E592&amp;"|"&amp;COUNTIFS($E$7:$E592,$E592))</f>
        <v/>
      </c>
    </row>
    <row r="593" spans="1:31" ht="18" customHeight="1" x14ac:dyDescent="0.3">
      <c r="A593" s="2"/>
      <c r="B593" s="65" t="str">
        <f>IF($C593="","","GG"&amp;TEXT(ROW()-6,"00000"))</f>
        <v/>
      </c>
      <c r="C593" s="66"/>
      <c r="D593" s="60"/>
      <c r="E593" s="61"/>
      <c r="F593" s="61"/>
      <c r="G593" s="67"/>
      <c r="H593" s="60"/>
      <c r="I593" s="60"/>
      <c r="J593" s="61"/>
      <c r="K593" s="61"/>
      <c r="L593" s="60"/>
      <c r="M593" s="74" t="str">
        <f>IF($C593="","",IF($D593="Gider",$E593,IF($L593&lt;&gt;"",$L593,$H593)))</f>
        <v/>
      </c>
      <c r="N593" s="74" t="str">
        <f>IF($C593="","",IF($D593="Gider",$H593,$E593))</f>
        <v/>
      </c>
      <c r="O593" s="73" t="str">
        <f>IF($C593="","",DATE(YEAR($C593),MONTH($C593),1))</f>
        <v/>
      </c>
      <c r="P593" s="65" t="str">
        <f ca="1">IF($C593="","",IF(AND($D593="Gelir",$L593&lt;&gt;"",$T593=""),"TANIMSIZ BORÇLU",IF($T593&lt;&gt;"",IF(OR($E593="",$G593&lt;=0),"EKSİK",IF($I593="Evet","TAHAKKUK NAKİT OLAMAZ",IF($C593&gt;TODAY(),"İLERİ TARİH","TAHAKKUK"))),IF(AND($D593&lt;&gt;"",$E593&lt;&gt;"",$G593&gt;0,$H593&lt;&gt;"",$I593&lt;&gt;""),IF($C593&gt;TODAY(),"İLERİ TARİH",IF(COUNTIF($W$7:$W$3001,$W593)&gt;1,"MÜKERRER?",IF($AD593&gt;0,"KAPALI DÖNEM",IF($I593="Hayır","ÖDENECEK","UYGUN")))),"EKSİK"))))</f>
        <v/>
      </c>
      <c r="Q593" s="2"/>
      <c r="R593" s="2"/>
      <c r="S593" s="1" t="str">
        <f t="shared" si="29"/>
        <v/>
      </c>
      <c r="T593" s="1" t="str">
        <f>IF(OR($C593="",$D593&lt;&gt;"Gelir",$L593=""),"",IFERROR(INDEX(MUSTERILER!$B$7:$B$156,MATCH($S593,MUSTERILER!$T$7:$T$156,0)),""))</f>
        <v/>
      </c>
      <c r="U593" s="1" t="str">
        <f>IF($T593="","",$T593&amp;"|"&amp;COUNTIFS($T$7:$T593,$T593))</f>
        <v/>
      </c>
      <c r="V593" s="1">
        <f t="shared" si="30"/>
        <v>0</v>
      </c>
      <c r="W593" s="1" t="str">
        <f t="shared" si="31"/>
        <v/>
      </c>
      <c r="X593" s="1"/>
      <c r="Y593" s="1"/>
      <c r="Z593" s="1"/>
      <c r="AA593" s="1"/>
      <c r="AB593" s="1"/>
      <c r="AC593" s="1"/>
      <c r="AD593" s="1">
        <f>IF($C593="",0,SUMPRODUCT((AY_SONU!$O$7:$O$42="Evet")*(AY_SONU!$B$7:$B$42=DATE(YEAR($C593),MONTH($C593),1))))</f>
        <v>0</v>
      </c>
      <c r="AE593" s="1" t="str">
        <f>IF($E593="","",$E593&amp;"|"&amp;COUNTIFS($E$7:$E593,$E593))</f>
        <v/>
      </c>
    </row>
    <row r="594" spans="1:31" ht="18" customHeight="1" x14ac:dyDescent="0.3">
      <c r="A594" s="2"/>
      <c r="B594" s="65" t="str">
        <f>IF($C594="","","GG"&amp;TEXT(ROW()-6,"00000"))</f>
        <v/>
      </c>
      <c r="C594" s="66"/>
      <c r="D594" s="60"/>
      <c r="E594" s="61"/>
      <c r="F594" s="61"/>
      <c r="G594" s="67"/>
      <c r="H594" s="60"/>
      <c r="I594" s="60"/>
      <c r="J594" s="61"/>
      <c r="K594" s="61"/>
      <c r="L594" s="60"/>
      <c r="M594" s="74" t="str">
        <f>IF($C594="","",IF($D594="Gider",$E594,IF($L594&lt;&gt;"",$L594,$H594)))</f>
        <v/>
      </c>
      <c r="N594" s="74" t="str">
        <f>IF($C594="","",IF($D594="Gider",$H594,$E594))</f>
        <v/>
      </c>
      <c r="O594" s="73" t="str">
        <f>IF($C594="","",DATE(YEAR($C594),MONTH($C594),1))</f>
        <v/>
      </c>
      <c r="P594" s="65" t="str">
        <f ca="1">IF($C594="","",IF(AND($D594="Gelir",$L594&lt;&gt;"",$T594=""),"TANIMSIZ BORÇLU",IF($T594&lt;&gt;"",IF(OR($E594="",$G594&lt;=0),"EKSİK",IF($I594="Evet","TAHAKKUK NAKİT OLAMAZ",IF($C594&gt;TODAY(),"İLERİ TARİH","TAHAKKUK"))),IF(AND($D594&lt;&gt;"",$E594&lt;&gt;"",$G594&gt;0,$H594&lt;&gt;"",$I594&lt;&gt;""),IF($C594&gt;TODAY(),"İLERİ TARİH",IF(COUNTIF($W$7:$W$3001,$W594)&gt;1,"MÜKERRER?",IF($AD594&gt;0,"KAPALI DÖNEM",IF($I594="Hayır","ÖDENECEK","UYGUN")))),"EKSİK"))))</f>
        <v/>
      </c>
      <c r="Q594" s="2"/>
      <c r="R594" s="2"/>
      <c r="S594" s="1" t="str">
        <f t="shared" si="29"/>
        <v/>
      </c>
      <c r="T594" s="1" t="str">
        <f>IF(OR($C594="",$D594&lt;&gt;"Gelir",$L594=""),"",IFERROR(INDEX(MUSTERILER!$B$7:$B$156,MATCH($S594,MUSTERILER!$T$7:$T$156,0)),""))</f>
        <v/>
      </c>
      <c r="U594" s="1" t="str">
        <f>IF($T594="","",$T594&amp;"|"&amp;COUNTIFS($T$7:$T594,$T594))</f>
        <v/>
      </c>
      <c r="V594" s="1">
        <f t="shared" si="30"/>
        <v>0</v>
      </c>
      <c r="W594" s="1" t="str">
        <f t="shared" si="31"/>
        <v/>
      </c>
      <c r="X594" s="1"/>
      <c r="Y594" s="1"/>
      <c r="Z594" s="1"/>
      <c r="AA594" s="1"/>
      <c r="AB594" s="1"/>
      <c r="AC594" s="1"/>
      <c r="AD594" s="1">
        <f>IF($C594="",0,SUMPRODUCT((AY_SONU!$O$7:$O$42="Evet")*(AY_SONU!$B$7:$B$42=DATE(YEAR($C594),MONTH($C594),1))))</f>
        <v>0</v>
      </c>
      <c r="AE594" s="1" t="str">
        <f>IF($E594="","",$E594&amp;"|"&amp;COUNTIFS($E$7:$E594,$E594))</f>
        <v/>
      </c>
    </row>
    <row r="595" spans="1:31" ht="18" customHeight="1" x14ac:dyDescent="0.3">
      <c r="A595" s="2"/>
      <c r="B595" s="65" t="str">
        <f>IF($C595="","","GG"&amp;TEXT(ROW()-6,"00000"))</f>
        <v/>
      </c>
      <c r="C595" s="66"/>
      <c r="D595" s="60"/>
      <c r="E595" s="61"/>
      <c r="F595" s="61"/>
      <c r="G595" s="67"/>
      <c r="H595" s="60"/>
      <c r="I595" s="60"/>
      <c r="J595" s="61"/>
      <c r="K595" s="61"/>
      <c r="L595" s="60"/>
      <c r="M595" s="74" t="str">
        <f>IF($C595="","",IF($D595="Gider",$E595,IF($L595&lt;&gt;"",$L595,$H595)))</f>
        <v/>
      </c>
      <c r="N595" s="74" t="str">
        <f>IF($C595="","",IF($D595="Gider",$H595,$E595))</f>
        <v/>
      </c>
      <c r="O595" s="73" t="str">
        <f>IF($C595="","",DATE(YEAR($C595),MONTH($C595),1))</f>
        <v/>
      </c>
      <c r="P595" s="65" t="str">
        <f ca="1">IF($C595="","",IF(AND($D595="Gelir",$L595&lt;&gt;"",$T595=""),"TANIMSIZ BORÇLU",IF($T595&lt;&gt;"",IF(OR($E595="",$G595&lt;=0),"EKSİK",IF($I595="Evet","TAHAKKUK NAKİT OLAMAZ",IF($C595&gt;TODAY(),"İLERİ TARİH","TAHAKKUK"))),IF(AND($D595&lt;&gt;"",$E595&lt;&gt;"",$G595&gt;0,$H595&lt;&gt;"",$I595&lt;&gt;""),IF($C595&gt;TODAY(),"İLERİ TARİH",IF(COUNTIF($W$7:$W$3001,$W595)&gt;1,"MÜKERRER?",IF($AD595&gt;0,"KAPALI DÖNEM",IF($I595="Hayır","ÖDENECEK","UYGUN")))),"EKSİK"))))</f>
        <v/>
      </c>
      <c r="Q595" s="2"/>
      <c r="R595" s="2"/>
      <c r="S595" s="1" t="str">
        <f t="shared" si="29"/>
        <v/>
      </c>
      <c r="T595" s="1" t="str">
        <f>IF(OR($C595="",$D595&lt;&gt;"Gelir",$L595=""),"",IFERROR(INDEX(MUSTERILER!$B$7:$B$156,MATCH($S595,MUSTERILER!$T$7:$T$156,0)),""))</f>
        <v/>
      </c>
      <c r="U595" s="1" t="str">
        <f>IF($T595="","",$T595&amp;"|"&amp;COUNTIFS($T$7:$T595,$T595))</f>
        <v/>
      </c>
      <c r="V595" s="1">
        <f t="shared" si="30"/>
        <v>0</v>
      </c>
      <c r="W595" s="1" t="str">
        <f t="shared" si="31"/>
        <v/>
      </c>
      <c r="X595" s="1"/>
      <c r="Y595" s="1"/>
      <c r="Z595" s="1"/>
      <c r="AA595" s="1"/>
      <c r="AB595" s="1"/>
      <c r="AC595" s="1"/>
      <c r="AD595" s="1">
        <f>IF($C595="",0,SUMPRODUCT((AY_SONU!$O$7:$O$42="Evet")*(AY_SONU!$B$7:$B$42=DATE(YEAR($C595),MONTH($C595),1))))</f>
        <v>0</v>
      </c>
      <c r="AE595" s="1" t="str">
        <f>IF($E595="","",$E595&amp;"|"&amp;COUNTIFS($E$7:$E595,$E595))</f>
        <v/>
      </c>
    </row>
    <row r="596" spans="1:31" ht="18" customHeight="1" x14ac:dyDescent="0.3">
      <c r="A596" s="2"/>
      <c r="B596" s="65" t="str">
        <f>IF($C596="","","GG"&amp;TEXT(ROW()-6,"00000"))</f>
        <v/>
      </c>
      <c r="C596" s="66"/>
      <c r="D596" s="60"/>
      <c r="E596" s="61"/>
      <c r="F596" s="61"/>
      <c r="G596" s="67"/>
      <c r="H596" s="60"/>
      <c r="I596" s="60"/>
      <c r="J596" s="61"/>
      <c r="K596" s="61"/>
      <c r="L596" s="60"/>
      <c r="M596" s="74" t="str">
        <f>IF($C596="","",IF($D596="Gider",$E596,IF($L596&lt;&gt;"",$L596,$H596)))</f>
        <v/>
      </c>
      <c r="N596" s="74" t="str">
        <f>IF($C596="","",IF($D596="Gider",$H596,$E596))</f>
        <v/>
      </c>
      <c r="O596" s="73" t="str">
        <f>IF($C596="","",DATE(YEAR($C596),MONTH($C596),1))</f>
        <v/>
      </c>
      <c r="P596" s="65" t="str">
        <f ca="1">IF($C596="","",IF(AND($D596="Gelir",$L596&lt;&gt;"",$T596=""),"TANIMSIZ BORÇLU",IF($T596&lt;&gt;"",IF(OR($E596="",$G596&lt;=0),"EKSİK",IF($I596="Evet","TAHAKKUK NAKİT OLAMAZ",IF($C596&gt;TODAY(),"İLERİ TARİH","TAHAKKUK"))),IF(AND($D596&lt;&gt;"",$E596&lt;&gt;"",$G596&gt;0,$H596&lt;&gt;"",$I596&lt;&gt;""),IF($C596&gt;TODAY(),"İLERİ TARİH",IF(COUNTIF($W$7:$W$3001,$W596)&gt;1,"MÜKERRER?",IF($AD596&gt;0,"KAPALI DÖNEM",IF($I596="Hayır","ÖDENECEK","UYGUN")))),"EKSİK"))))</f>
        <v/>
      </c>
      <c r="Q596" s="2"/>
      <c r="R596" s="2"/>
      <c r="S596" s="1" t="str">
        <f t="shared" si="29"/>
        <v/>
      </c>
      <c r="T596" s="1" t="str">
        <f>IF(OR($C596="",$D596&lt;&gt;"Gelir",$L596=""),"",IFERROR(INDEX(MUSTERILER!$B$7:$B$156,MATCH($S596,MUSTERILER!$T$7:$T$156,0)),""))</f>
        <v/>
      </c>
      <c r="U596" s="1" t="str">
        <f>IF($T596="","",$T596&amp;"|"&amp;COUNTIFS($T$7:$T596,$T596))</f>
        <v/>
      </c>
      <c r="V596" s="1">
        <f t="shared" si="30"/>
        <v>0</v>
      </c>
      <c r="W596" s="1" t="str">
        <f t="shared" si="31"/>
        <v/>
      </c>
      <c r="X596" s="1"/>
      <c r="Y596" s="1"/>
      <c r="Z596" s="1"/>
      <c r="AA596" s="1"/>
      <c r="AB596" s="1"/>
      <c r="AC596" s="1"/>
      <c r="AD596" s="1">
        <f>IF($C596="",0,SUMPRODUCT((AY_SONU!$O$7:$O$42="Evet")*(AY_SONU!$B$7:$B$42=DATE(YEAR($C596),MONTH($C596),1))))</f>
        <v>0</v>
      </c>
      <c r="AE596" s="1" t="str">
        <f>IF($E596="","",$E596&amp;"|"&amp;COUNTIFS($E$7:$E596,$E596))</f>
        <v/>
      </c>
    </row>
    <row r="597" spans="1:31" ht="18" customHeight="1" x14ac:dyDescent="0.3">
      <c r="A597" s="2"/>
      <c r="B597" s="65" t="str">
        <f>IF($C597="","","GG"&amp;TEXT(ROW()-6,"00000"))</f>
        <v/>
      </c>
      <c r="C597" s="66"/>
      <c r="D597" s="60"/>
      <c r="E597" s="61"/>
      <c r="F597" s="61"/>
      <c r="G597" s="67"/>
      <c r="H597" s="60"/>
      <c r="I597" s="60"/>
      <c r="J597" s="61"/>
      <c r="K597" s="61"/>
      <c r="L597" s="60"/>
      <c r="M597" s="74" t="str">
        <f>IF($C597="","",IF($D597="Gider",$E597,IF($L597&lt;&gt;"",$L597,$H597)))</f>
        <v/>
      </c>
      <c r="N597" s="74" t="str">
        <f>IF($C597="","",IF($D597="Gider",$H597,$E597))</f>
        <v/>
      </c>
      <c r="O597" s="73" t="str">
        <f>IF($C597="","",DATE(YEAR($C597),MONTH($C597),1))</f>
        <v/>
      </c>
      <c r="P597" s="65" t="str">
        <f ca="1">IF($C597="","",IF(AND($D597="Gelir",$L597&lt;&gt;"",$T597=""),"TANIMSIZ BORÇLU",IF($T597&lt;&gt;"",IF(OR($E597="",$G597&lt;=0),"EKSİK",IF($I597="Evet","TAHAKKUK NAKİT OLAMAZ",IF($C597&gt;TODAY(),"İLERİ TARİH","TAHAKKUK"))),IF(AND($D597&lt;&gt;"",$E597&lt;&gt;"",$G597&gt;0,$H597&lt;&gt;"",$I597&lt;&gt;""),IF($C597&gt;TODAY(),"İLERİ TARİH",IF(COUNTIF($W$7:$W$3001,$W597)&gt;1,"MÜKERRER?",IF($AD597&gt;0,"KAPALI DÖNEM",IF($I597="Hayır","ÖDENECEK","UYGUN")))),"EKSİK"))))</f>
        <v/>
      </c>
      <c r="Q597" s="2"/>
      <c r="R597" s="2"/>
      <c r="S597" s="1" t="str">
        <f t="shared" si="29"/>
        <v/>
      </c>
      <c r="T597" s="1" t="str">
        <f>IF(OR($C597="",$D597&lt;&gt;"Gelir",$L597=""),"",IFERROR(INDEX(MUSTERILER!$B$7:$B$156,MATCH($S597,MUSTERILER!$T$7:$T$156,0)),""))</f>
        <v/>
      </c>
      <c r="U597" s="1" t="str">
        <f>IF($T597="","",$T597&amp;"|"&amp;COUNTIFS($T$7:$T597,$T597))</f>
        <v/>
      </c>
      <c r="V597" s="1">
        <f t="shared" si="30"/>
        <v>0</v>
      </c>
      <c r="W597" s="1" t="str">
        <f t="shared" si="31"/>
        <v/>
      </c>
      <c r="X597" s="1"/>
      <c r="Y597" s="1"/>
      <c r="Z597" s="1"/>
      <c r="AA597" s="1"/>
      <c r="AB597" s="1"/>
      <c r="AC597" s="1"/>
      <c r="AD597" s="1">
        <f>IF($C597="",0,SUMPRODUCT((AY_SONU!$O$7:$O$42="Evet")*(AY_SONU!$B$7:$B$42=DATE(YEAR($C597),MONTH($C597),1))))</f>
        <v>0</v>
      </c>
      <c r="AE597" s="1" t="str">
        <f>IF($E597="","",$E597&amp;"|"&amp;COUNTIFS($E$7:$E597,$E597))</f>
        <v/>
      </c>
    </row>
    <row r="598" spans="1:31" ht="18" customHeight="1" x14ac:dyDescent="0.3">
      <c r="A598" s="2"/>
      <c r="B598" s="65" t="str">
        <f>IF($C598="","","GG"&amp;TEXT(ROW()-6,"00000"))</f>
        <v/>
      </c>
      <c r="C598" s="66"/>
      <c r="D598" s="60"/>
      <c r="E598" s="61"/>
      <c r="F598" s="61"/>
      <c r="G598" s="67"/>
      <c r="H598" s="60"/>
      <c r="I598" s="60"/>
      <c r="J598" s="61"/>
      <c r="K598" s="61"/>
      <c r="L598" s="60"/>
      <c r="M598" s="74" t="str">
        <f>IF($C598="","",IF($D598="Gider",$E598,IF($L598&lt;&gt;"",$L598,$H598)))</f>
        <v/>
      </c>
      <c r="N598" s="74" t="str">
        <f>IF($C598="","",IF($D598="Gider",$H598,$E598))</f>
        <v/>
      </c>
      <c r="O598" s="73" t="str">
        <f>IF($C598="","",DATE(YEAR($C598),MONTH($C598),1))</f>
        <v/>
      </c>
      <c r="P598" s="65" t="str">
        <f ca="1">IF($C598="","",IF(AND($D598="Gelir",$L598&lt;&gt;"",$T598=""),"TANIMSIZ BORÇLU",IF($T598&lt;&gt;"",IF(OR($E598="",$G598&lt;=0),"EKSİK",IF($I598="Evet","TAHAKKUK NAKİT OLAMAZ",IF($C598&gt;TODAY(),"İLERİ TARİH","TAHAKKUK"))),IF(AND($D598&lt;&gt;"",$E598&lt;&gt;"",$G598&gt;0,$H598&lt;&gt;"",$I598&lt;&gt;""),IF($C598&gt;TODAY(),"İLERİ TARİH",IF(COUNTIF($W$7:$W$3001,$W598)&gt;1,"MÜKERRER?",IF($AD598&gt;0,"KAPALI DÖNEM",IF($I598="Hayır","ÖDENECEK","UYGUN")))),"EKSİK"))))</f>
        <v/>
      </c>
      <c r="Q598" s="2"/>
      <c r="R598" s="2"/>
      <c r="S598" s="1" t="str">
        <f t="shared" si="29"/>
        <v/>
      </c>
      <c r="T598" s="1" t="str">
        <f>IF(OR($C598="",$D598&lt;&gt;"Gelir",$L598=""),"",IFERROR(INDEX(MUSTERILER!$B$7:$B$156,MATCH($S598,MUSTERILER!$T$7:$T$156,0)),""))</f>
        <v/>
      </c>
      <c r="U598" s="1" t="str">
        <f>IF($T598="","",$T598&amp;"|"&amp;COUNTIFS($T$7:$T598,$T598))</f>
        <v/>
      </c>
      <c r="V598" s="1">
        <f t="shared" si="30"/>
        <v>0</v>
      </c>
      <c r="W598" s="1" t="str">
        <f t="shared" si="31"/>
        <v/>
      </c>
      <c r="X598" s="1"/>
      <c r="Y598" s="1"/>
      <c r="Z598" s="1"/>
      <c r="AA598" s="1"/>
      <c r="AB598" s="1"/>
      <c r="AC598" s="1"/>
      <c r="AD598" s="1">
        <f>IF($C598="",0,SUMPRODUCT((AY_SONU!$O$7:$O$42="Evet")*(AY_SONU!$B$7:$B$42=DATE(YEAR($C598),MONTH($C598),1))))</f>
        <v>0</v>
      </c>
      <c r="AE598" s="1" t="str">
        <f>IF($E598="","",$E598&amp;"|"&amp;COUNTIFS($E$7:$E598,$E598))</f>
        <v/>
      </c>
    </row>
    <row r="599" spans="1:31" ht="18" customHeight="1" x14ac:dyDescent="0.3">
      <c r="A599" s="2"/>
      <c r="B599" s="65" t="str">
        <f>IF($C599="","","GG"&amp;TEXT(ROW()-6,"00000"))</f>
        <v/>
      </c>
      <c r="C599" s="66"/>
      <c r="D599" s="60"/>
      <c r="E599" s="61"/>
      <c r="F599" s="61"/>
      <c r="G599" s="67"/>
      <c r="H599" s="60"/>
      <c r="I599" s="60"/>
      <c r="J599" s="61"/>
      <c r="K599" s="61"/>
      <c r="L599" s="60"/>
      <c r="M599" s="74" t="str">
        <f>IF($C599="","",IF($D599="Gider",$E599,IF($L599&lt;&gt;"",$L599,$H599)))</f>
        <v/>
      </c>
      <c r="N599" s="74" t="str">
        <f>IF($C599="","",IF($D599="Gider",$H599,$E599))</f>
        <v/>
      </c>
      <c r="O599" s="73" t="str">
        <f>IF($C599="","",DATE(YEAR($C599),MONTH($C599),1))</f>
        <v/>
      </c>
      <c r="P599" s="65" t="str">
        <f ca="1">IF($C599="","",IF(AND($D599="Gelir",$L599&lt;&gt;"",$T599=""),"TANIMSIZ BORÇLU",IF($T599&lt;&gt;"",IF(OR($E599="",$G599&lt;=0),"EKSİK",IF($I599="Evet","TAHAKKUK NAKİT OLAMAZ",IF($C599&gt;TODAY(),"İLERİ TARİH","TAHAKKUK"))),IF(AND($D599&lt;&gt;"",$E599&lt;&gt;"",$G599&gt;0,$H599&lt;&gt;"",$I599&lt;&gt;""),IF($C599&gt;TODAY(),"İLERİ TARİH",IF(COUNTIF($W$7:$W$3001,$W599)&gt;1,"MÜKERRER?",IF($AD599&gt;0,"KAPALI DÖNEM",IF($I599="Hayır","ÖDENECEK","UYGUN")))),"EKSİK"))))</f>
        <v/>
      </c>
      <c r="Q599" s="2"/>
      <c r="R599" s="2"/>
      <c r="S599" s="1" t="str">
        <f t="shared" si="29"/>
        <v/>
      </c>
      <c r="T599" s="1" t="str">
        <f>IF(OR($C599="",$D599&lt;&gt;"Gelir",$L599=""),"",IFERROR(INDEX(MUSTERILER!$B$7:$B$156,MATCH($S599,MUSTERILER!$T$7:$T$156,0)),""))</f>
        <v/>
      </c>
      <c r="U599" s="1" t="str">
        <f>IF($T599="","",$T599&amp;"|"&amp;COUNTIFS($T$7:$T599,$T599))</f>
        <v/>
      </c>
      <c r="V599" s="1">
        <f t="shared" si="30"/>
        <v>0</v>
      </c>
      <c r="W599" s="1" t="str">
        <f t="shared" si="31"/>
        <v/>
      </c>
      <c r="X599" s="1"/>
      <c r="Y599" s="1"/>
      <c r="Z599" s="1"/>
      <c r="AA599" s="1"/>
      <c r="AB599" s="1"/>
      <c r="AC599" s="1"/>
      <c r="AD599" s="1">
        <f>IF($C599="",0,SUMPRODUCT((AY_SONU!$O$7:$O$42="Evet")*(AY_SONU!$B$7:$B$42=DATE(YEAR($C599),MONTH($C599),1))))</f>
        <v>0</v>
      </c>
      <c r="AE599" s="1" t="str">
        <f>IF($E599="","",$E599&amp;"|"&amp;COUNTIFS($E$7:$E599,$E599))</f>
        <v/>
      </c>
    </row>
    <row r="600" spans="1:31" ht="18" customHeight="1" x14ac:dyDescent="0.3">
      <c r="A600" s="2"/>
      <c r="B600" s="65" t="str">
        <f>IF($C600="","","GG"&amp;TEXT(ROW()-6,"00000"))</f>
        <v/>
      </c>
      <c r="C600" s="66"/>
      <c r="D600" s="60"/>
      <c r="E600" s="61"/>
      <c r="F600" s="61"/>
      <c r="G600" s="67"/>
      <c r="H600" s="60"/>
      <c r="I600" s="60"/>
      <c r="J600" s="61"/>
      <c r="K600" s="61"/>
      <c r="L600" s="60"/>
      <c r="M600" s="74" t="str">
        <f>IF($C600="","",IF($D600="Gider",$E600,IF($L600&lt;&gt;"",$L600,$H600)))</f>
        <v/>
      </c>
      <c r="N600" s="74" t="str">
        <f>IF($C600="","",IF($D600="Gider",$H600,$E600))</f>
        <v/>
      </c>
      <c r="O600" s="73" t="str">
        <f>IF($C600="","",DATE(YEAR($C600),MONTH($C600),1))</f>
        <v/>
      </c>
      <c r="P600" s="65" t="str">
        <f ca="1">IF($C600="","",IF(AND($D600="Gelir",$L600&lt;&gt;"",$T600=""),"TANIMSIZ BORÇLU",IF($T600&lt;&gt;"",IF(OR($E600="",$G600&lt;=0),"EKSİK",IF($I600="Evet","TAHAKKUK NAKİT OLAMAZ",IF($C600&gt;TODAY(),"İLERİ TARİH","TAHAKKUK"))),IF(AND($D600&lt;&gt;"",$E600&lt;&gt;"",$G600&gt;0,$H600&lt;&gt;"",$I600&lt;&gt;""),IF($C600&gt;TODAY(),"İLERİ TARİH",IF(COUNTIF($W$7:$W$3001,$W600)&gt;1,"MÜKERRER?",IF($AD600&gt;0,"KAPALI DÖNEM",IF($I600="Hayır","ÖDENECEK","UYGUN")))),"EKSİK"))))</f>
        <v/>
      </c>
      <c r="Q600" s="2"/>
      <c r="R600" s="2"/>
      <c r="S600" s="1" t="str">
        <f t="shared" si="29"/>
        <v/>
      </c>
      <c r="T600" s="1" t="str">
        <f>IF(OR($C600="",$D600&lt;&gt;"Gelir",$L600=""),"",IFERROR(INDEX(MUSTERILER!$B$7:$B$156,MATCH($S600,MUSTERILER!$T$7:$T$156,0)),""))</f>
        <v/>
      </c>
      <c r="U600" s="1" t="str">
        <f>IF($T600="","",$T600&amp;"|"&amp;COUNTIFS($T$7:$T600,$T600))</f>
        <v/>
      </c>
      <c r="V600" s="1">
        <f t="shared" si="30"/>
        <v>0</v>
      </c>
      <c r="W600" s="1" t="str">
        <f t="shared" si="31"/>
        <v/>
      </c>
      <c r="X600" s="1"/>
      <c r="Y600" s="1"/>
      <c r="Z600" s="1"/>
      <c r="AA600" s="1"/>
      <c r="AB600" s="1"/>
      <c r="AC600" s="1"/>
      <c r="AD600" s="1">
        <f>IF($C600="",0,SUMPRODUCT((AY_SONU!$O$7:$O$42="Evet")*(AY_SONU!$B$7:$B$42=DATE(YEAR($C600),MONTH($C600),1))))</f>
        <v>0</v>
      </c>
      <c r="AE600" s="1" t="str">
        <f>IF($E600="","",$E600&amp;"|"&amp;COUNTIFS($E$7:$E600,$E600))</f>
        <v/>
      </c>
    </row>
    <row r="601" spans="1:31" ht="18" customHeight="1" x14ac:dyDescent="0.3">
      <c r="A601" s="2"/>
      <c r="B601" s="65" t="str">
        <f>IF($C601="","","GG"&amp;TEXT(ROW()-6,"00000"))</f>
        <v/>
      </c>
      <c r="C601" s="66"/>
      <c r="D601" s="60"/>
      <c r="E601" s="61"/>
      <c r="F601" s="61"/>
      <c r="G601" s="67"/>
      <c r="H601" s="60"/>
      <c r="I601" s="60"/>
      <c r="J601" s="61"/>
      <c r="K601" s="61"/>
      <c r="L601" s="60"/>
      <c r="M601" s="74" t="str">
        <f>IF($C601="","",IF($D601="Gider",$E601,IF($L601&lt;&gt;"",$L601,$H601)))</f>
        <v/>
      </c>
      <c r="N601" s="74" t="str">
        <f>IF($C601="","",IF($D601="Gider",$H601,$E601))</f>
        <v/>
      </c>
      <c r="O601" s="73" t="str">
        <f>IF($C601="","",DATE(YEAR($C601),MONTH($C601),1))</f>
        <v/>
      </c>
      <c r="P601" s="65" t="str">
        <f ca="1">IF($C601="","",IF(AND($D601="Gelir",$L601&lt;&gt;"",$T601=""),"TANIMSIZ BORÇLU",IF($T601&lt;&gt;"",IF(OR($E601="",$G601&lt;=0),"EKSİK",IF($I601="Evet","TAHAKKUK NAKİT OLAMAZ",IF($C601&gt;TODAY(),"İLERİ TARİH","TAHAKKUK"))),IF(AND($D601&lt;&gt;"",$E601&lt;&gt;"",$G601&gt;0,$H601&lt;&gt;"",$I601&lt;&gt;""),IF($C601&gt;TODAY(),"İLERİ TARİH",IF(COUNTIF($W$7:$W$3001,$W601)&gt;1,"MÜKERRER?",IF($AD601&gt;0,"KAPALI DÖNEM",IF($I601="Hayır","ÖDENECEK","UYGUN")))),"EKSİK"))))</f>
        <v/>
      </c>
      <c r="Q601" s="2"/>
      <c r="R601" s="2"/>
      <c r="S601" s="1" t="str">
        <f t="shared" si="29"/>
        <v/>
      </c>
      <c r="T601" s="1" t="str">
        <f>IF(OR($C601="",$D601&lt;&gt;"Gelir",$L601=""),"",IFERROR(INDEX(MUSTERILER!$B$7:$B$156,MATCH($S601,MUSTERILER!$T$7:$T$156,0)),""))</f>
        <v/>
      </c>
      <c r="U601" s="1" t="str">
        <f>IF($T601="","",$T601&amp;"|"&amp;COUNTIFS($T$7:$T601,$T601))</f>
        <v/>
      </c>
      <c r="V601" s="1">
        <f t="shared" si="30"/>
        <v>0</v>
      </c>
      <c r="W601" s="1" t="str">
        <f t="shared" si="31"/>
        <v/>
      </c>
      <c r="X601" s="1"/>
      <c r="Y601" s="1"/>
      <c r="Z601" s="1"/>
      <c r="AA601" s="1"/>
      <c r="AB601" s="1"/>
      <c r="AC601" s="1"/>
      <c r="AD601" s="1">
        <f>IF($C601="",0,SUMPRODUCT((AY_SONU!$O$7:$O$42="Evet")*(AY_SONU!$B$7:$B$42=DATE(YEAR($C601),MONTH($C601),1))))</f>
        <v>0</v>
      </c>
      <c r="AE601" s="1" t="str">
        <f>IF($E601="","",$E601&amp;"|"&amp;COUNTIFS($E$7:$E601,$E601))</f>
        <v/>
      </c>
    </row>
    <row r="602" spans="1:31" ht="18" customHeight="1" x14ac:dyDescent="0.3">
      <c r="A602" s="2"/>
      <c r="B602" s="65" t="str">
        <f>IF($C602="","","GG"&amp;TEXT(ROW()-6,"00000"))</f>
        <v/>
      </c>
      <c r="C602" s="66"/>
      <c r="D602" s="60"/>
      <c r="E602" s="61"/>
      <c r="F602" s="61"/>
      <c r="G602" s="67"/>
      <c r="H602" s="60"/>
      <c r="I602" s="60"/>
      <c r="J602" s="61"/>
      <c r="K602" s="61"/>
      <c r="L602" s="60"/>
      <c r="M602" s="74" t="str">
        <f>IF($C602="","",IF($D602="Gider",$E602,IF($L602&lt;&gt;"",$L602,$H602)))</f>
        <v/>
      </c>
      <c r="N602" s="74" t="str">
        <f>IF($C602="","",IF($D602="Gider",$H602,$E602))</f>
        <v/>
      </c>
      <c r="O602" s="73" t="str">
        <f>IF($C602="","",DATE(YEAR($C602),MONTH($C602),1))</f>
        <v/>
      </c>
      <c r="P602" s="65" t="str">
        <f ca="1">IF($C602="","",IF(AND($D602="Gelir",$L602&lt;&gt;"",$T602=""),"TANIMSIZ BORÇLU",IF($T602&lt;&gt;"",IF(OR($E602="",$G602&lt;=0),"EKSİK",IF($I602="Evet","TAHAKKUK NAKİT OLAMAZ",IF($C602&gt;TODAY(),"İLERİ TARİH","TAHAKKUK"))),IF(AND($D602&lt;&gt;"",$E602&lt;&gt;"",$G602&gt;0,$H602&lt;&gt;"",$I602&lt;&gt;""),IF($C602&gt;TODAY(),"İLERİ TARİH",IF(COUNTIF($W$7:$W$3001,$W602)&gt;1,"MÜKERRER?",IF($AD602&gt;0,"KAPALI DÖNEM",IF($I602="Hayır","ÖDENECEK","UYGUN")))),"EKSİK"))))</f>
        <v/>
      </c>
      <c r="Q602" s="2"/>
      <c r="R602" s="2"/>
      <c r="S602" s="1" t="str">
        <f t="shared" si="29"/>
        <v/>
      </c>
      <c r="T602" s="1" t="str">
        <f>IF(OR($C602="",$D602&lt;&gt;"Gelir",$L602=""),"",IFERROR(INDEX(MUSTERILER!$B$7:$B$156,MATCH($S602,MUSTERILER!$T$7:$T$156,0)),""))</f>
        <v/>
      </c>
      <c r="U602" s="1" t="str">
        <f>IF($T602="","",$T602&amp;"|"&amp;COUNTIFS($T$7:$T602,$T602))</f>
        <v/>
      </c>
      <c r="V602" s="1">
        <f t="shared" si="30"/>
        <v>0</v>
      </c>
      <c r="W602" s="1" t="str">
        <f t="shared" si="31"/>
        <v/>
      </c>
      <c r="X602" s="1"/>
      <c r="Y602" s="1"/>
      <c r="Z602" s="1"/>
      <c r="AA602" s="1"/>
      <c r="AB602" s="1"/>
      <c r="AC602" s="1"/>
      <c r="AD602" s="1">
        <f>IF($C602="",0,SUMPRODUCT((AY_SONU!$O$7:$O$42="Evet")*(AY_SONU!$B$7:$B$42=DATE(YEAR($C602),MONTH($C602),1))))</f>
        <v>0</v>
      </c>
      <c r="AE602" s="1" t="str">
        <f>IF($E602="","",$E602&amp;"|"&amp;COUNTIFS($E$7:$E602,$E602))</f>
        <v/>
      </c>
    </row>
    <row r="603" spans="1:31" ht="18" customHeight="1" x14ac:dyDescent="0.3">
      <c r="A603" s="2"/>
      <c r="B603" s="65" t="str">
        <f>IF($C603="","","GG"&amp;TEXT(ROW()-6,"00000"))</f>
        <v/>
      </c>
      <c r="C603" s="66"/>
      <c r="D603" s="60"/>
      <c r="E603" s="61"/>
      <c r="F603" s="61"/>
      <c r="G603" s="67"/>
      <c r="H603" s="60"/>
      <c r="I603" s="60"/>
      <c r="J603" s="61"/>
      <c r="K603" s="61"/>
      <c r="L603" s="60"/>
      <c r="M603" s="74" t="str">
        <f>IF($C603="","",IF($D603="Gider",$E603,IF($L603&lt;&gt;"",$L603,$H603)))</f>
        <v/>
      </c>
      <c r="N603" s="74" t="str">
        <f>IF($C603="","",IF($D603="Gider",$H603,$E603))</f>
        <v/>
      </c>
      <c r="O603" s="73" t="str">
        <f>IF($C603="","",DATE(YEAR($C603),MONTH($C603),1))</f>
        <v/>
      </c>
      <c r="P603" s="65" t="str">
        <f ca="1">IF($C603="","",IF(AND($D603="Gelir",$L603&lt;&gt;"",$T603=""),"TANIMSIZ BORÇLU",IF($T603&lt;&gt;"",IF(OR($E603="",$G603&lt;=0),"EKSİK",IF($I603="Evet","TAHAKKUK NAKİT OLAMAZ",IF($C603&gt;TODAY(),"İLERİ TARİH","TAHAKKUK"))),IF(AND($D603&lt;&gt;"",$E603&lt;&gt;"",$G603&gt;0,$H603&lt;&gt;"",$I603&lt;&gt;""),IF($C603&gt;TODAY(),"İLERİ TARİH",IF(COUNTIF($W$7:$W$3001,$W603)&gt;1,"MÜKERRER?",IF($AD603&gt;0,"KAPALI DÖNEM",IF($I603="Hayır","ÖDENECEK","UYGUN")))),"EKSİK"))))</f>
        <v/>
      </c>
      <c r="Q603" s="2"/>
      <c r="R603" s="2"/>
      <c r="S603" s="1" t="str">
        <f t="shared" si="29"/>
        <v/>
      </c>
      <c r="T603" s="1" t="str">
        <f>IF(OR($C603="",$D603&lt;&gt;"Gelir",$L603=""),"",IFERROR(INDEX(MUSTERILER!$B$7:$B$156,MATCH($S603,MUSTERILER!$T$7:$T$156,0)),""))</f>
        <v/>
      </c>
      <c r="U603" s="1" t="str">
        <f>IF($T603="","",$T603&amp;"|"&amp;COUNTIFS($T$7:$T603,$T603))</f>
        <v/>
      </c>
      <c r="V603" s="1">
        <f t="shared" si="30"/>
        <v>0</v>
      </c>
      <c r="W603" s="1" t="str">
        <f t="shared" si="31"/>
        <v/>
      </c>
      <c r="X603" s="1"/>
      <c r="Y603" s="1"/>
      <c r="Z603" s="1"/>
      <c r="AA603" s="1"/>
      <c r="AB603" s="1"/>
      <c r="AC603" s="1"/>
      <c r="AD603" s="1">
        <f>IF($C603="",0,SUMPRODUCT((AY_SONU!$O$7:$O$42="Evet")*(AY_SONU!$B$7:$B$42=DATE(YEAR($C603),MONTH($C603),1))))</f>
        <v>0</v>
      </c>
      <c r="AE603" s="1" t="str">
        <f>IF($E603="","",$E603&amp;"|"&amp;COUNTIFS($E$7:$E603,$E603))</f>
        <v/>
      </c>
    </row>
    <row r="604" spans="1:31" ht="18" customHeight="1" x14ac:dyDescent="0.3">
      <c r="A604" s="2"/>
      <c r="B604" s="65" t="str">
        <f>IF($C604="","","GG"&amp;TEXT(ROW()-6,"00000"))</f>
        <v/>
      </c>
      <c r="C604" s="66"/>
      <c r="D604" s="60"/>
      <c r="E604" s="61"/>
      <c r="F604" s="61"/>
      <c r="G604" s="67"/>
      <c r="H604" s="60"/>
      <c r="I604" s="60"/>
      <c r="J604" s="61"/>
      <c r="K604" s="61"/>
      <c r="L604" s="60"/>
      <c r="M604" s="74" t="str">
        <f>IF($C604="","",IF($D604="Gider",$E604,IF($L604&lt;&gt;"",$L604,$H604)))</f>
        <v/>
      </c>
      <c r="N604" s="74" t="str">
        <f>IF($C604="","",IF($D604="Gider",$H604,$E604))</f>
        <v/>
      </c>
      <c r="O604" s="73" t="str">
        <f>IF($C604="","",DATE(YEAR($C604),MONTH($C604),1))</f>
        <v/>
      </c>
      <c r="P604" s="65" t="str">
        <f ca="1">IF($C604="","",IF(AND($D604="Gelir",$L604&lt;&gt;"",$T604=""),"TANIMSIZ BORÇLU",IF($T604&lt;&gt;"",IF(OR($E604="",$G604&lt;=0),"EKSİK",IF($I604="Evet","TAHAKKUK NAKİT OLAMAZ",IF($C604&gt;TODAY(),"İLERİ TARİH","TAHAKKUK"))),IF(AND($D604&lt;&gt;"",$E604&lt;&gt;"",$G604&gt;0,$H604&lt;&gt;"",$I604&lt;&gt;""),IF($C604&gt;TODAY(),"İLERİ TARİH",IF(COUNTIF($W$7:$W$3001,$W604)&gt;1,"MÜKERRER?",IF($AD604&gt;0,"KAPALI DÖNEM",IF($I604="Hayır","ÖDENECEK","UYGUN")))),"EKSİK"))))</f>
        <v/>
      </c>
      <c r="Q604" s="2"/>
      <c r="R604" s="2"/>
      <c r="S604" s="1" t="str">
        <f t="shared" si="29"/>
        <v/>
      </c>
      <c r="T604" s="1" t="str">
        <f>IF(OR($C604="",$D604&lt;&gt;"Gelir",$L604=""),"",IFERROR(INDEX(MUSTERILER!$B$7:$B$156,MATCH($S604,MUSTERILER!$T$7:$T$156,0)),""))</f>
        <v/>
      </c>
      <c r="U604" s="1" t="str">
        <f>IF($T604="","",$T604&amp;"|"&amp;COUNTIFS($T$7:$T604,$T604))</f>
        <v/>
      </c>
      <c r="V604" s="1">
        <f t="shared" si="30"/>
        <v>0</v>
      </c>
      <c r="W604" s="1" t="str">
        <f t="shared" si="31"/>
        <v/>
      </c>
      <c r="X604" s="1"/>
      <c r="Y604" s="1"/>
      <c r="Z604" s="1"/>
      <c r="AA604" s="1"/>
      <c r="AB604" s="1"/>
      <c r="AC604" s="1"/>
      <c r="AD604" s="1">
        <f>IF($C604="",0,SUMPRODUCT((AY_SONU!$O$7:$O$42="Evet")*(AY_SONU!$B$7:$B$42=DATE(YEAR($C604),MONTH($C604),1))))</f>
        <v>0</v>
      </c>
      <c r="AE604" s="1" t="str">
        <f>IF($E604="","",$E604&amp;"|"&amp;COUNTIFS($E$7:$E604,$E604))</f>
        <v/>
      </c>
    </row>
    <row r="605" spans="1:31" ht="18" customHeight="1" x14ac:dyDescent="0.3">
      <c r="A605" s="2"/>
      <c r="B605" s="65" t="str">
        <f>IF($C605="","","GG"&amp;TEXT(ROW()-6,"00000"))</f>
        <v/>
      </c>
      <c r="C605" s="66"/>
      <c r="D605" s="60"/>
      <c r="E605" s="61"/>
      <c r="F605" s="61"/>
      <c r="G605" s="67"/>
      <c r="H605" s="60"/>
      <c r="I605" s="60"/>
      <c r="J605" s="61"/>
      <c r="K605" s="61"/>
      <c r="L605" s="60"/>
      <c r="M605" s="74" t="str">
        <f>IF($C605="","",IF($D605="Gider",$E605,IF($L605&lt;&gt;"",$L605,$H605)))</f>
        <v/>
      </c>
      <c r="N605" s="74" t="str">
        <f>IF($C605="","",IF($D605="Gider",$H605,$E605))</f>
        <v/>
      </c>
      <c r="O605" s="73" t="str">
        <f>IF($C605="","",DATE(YEAR($C605),MONTH($C605),1))</f>
        <v/>
      </c>
      <c r="P605" s="65" t="str">
        <f ca="1">IF($C605="","",IF(AND($D605="Gelir",$L605&lt;&gt;"",$T605=""),"TANIMSIZ BORÇLU",IF($T605&lt;&gt;"",IF(OR($E605="",$G605&lt;=0),"EKSİK",IF($I605="Evet","TAHAKKUK NAKİT OLAMAZ",IF($C605&gt;TODAY(),"İLERİ TARİH","TAHAKKUK"))),IF(AND($D605&lt;&gt;"",$E605&lt;&gt;"",$G605&gt;0,$H605&lt;&gt;"",$I605&lt;&gt;""),IF($C605&gt;TODAY(),"İLERİ TARİH",IF(COUNTIF($W$7:$W$3001,$W605)&gt;1,"MÜKERRER?",IF($AD605&gt;0,"KAPALI DÖNEM",IF($I605="Hayır","ÖDENECEK","UYGUN")))),"EKSİK"))))</f>
        <v/>
      </c>
      <c r="Q605" s="2"/>
      <c r="R605" s="2"/>
      <c r="S605" s="1" t="str">
        <f t="shared" si="29"/>
        <v/>
      </c>
      <c r="T605" s="1" t="str">
        <f>IF(OR($C605="",$D605&lt;&gt;"Gelir",$L605=""),"",IFERROR(INDEX(MUSTERILER!$B$7:$B$156,MATCH($S605,MUSTERILER!$T$7:$T$156,0)),""))</f>
        <v/>
      </c>
      <c r="U605" s="1" t="str">
        <f>IF($T605="","",$T605&amp;"|"&amp;COUNTIFS($T$7:$T605,$T605))</f>
        <v/>
      </c>
      <c r="V605" s="1">
        <f t="shared" si="30"/>
        <v>0</v>
      </c>
      <c r="W605" s="1" t="str">
        <f t="shared" si="31"/>
        <v/>
      </c>
      <c r="X605" s="1"/>
      <c r="Y605" s="1"/>
      <c r="Z605" s="1"/>
      <c r="AA605" s="1"/>
      <c r="AB605" s="1"/>
      <c r="AC605" s="1"/>
      <c r="AD605" s="1">
        <f>IF($C605="",0,SUMPRODUCT((AY_SONU!$O$7:$O$42="Evet")*(AY_SONU!$B$7:$B$42=DATE(YEAR($C605),MONTH($C605),1))))</f>
        <v>0</v>
      </c>
      <c r="AE605" s="1" t="str">
        <f>IF($E605="","",$E605&amp;"|"&amp;COUNTIFS($E$7:$E605,$E605))</f>
        <v/>
      </c>
    </row>
    <row r="606" spans="1:31" ht="18" customHeight="1" x14ac:dyDescent="0.3">
      <c r="A606" s="2"/>
      <c r="B606" s="65" t="str">
        <f>IF($C606="","","GG"&amp;TEXT(ROW()-6,"00000"))</f>
        <v/>
      </c>
      <c r="C606" s="66"/>
      <c r="D606" s="60"/>
      <c r="E606" s="61"/>
      <c r="F606" s="61"/>
      <c r="G606" s="67"/>
      <c r="H606" s="60"/>
      <c r="I606" s="60"/>
      <c r="J606" s="61"/>
      <c r="K606" s="61"/>
      <c r="L606" s="60"/>
      <c r="M606" s="74" t="str">
        <f>IF($C606="","",IF($D606="Gider",$E606,IF($L606&lt;&gt;"",$L606,$H606)))</f>
        <v/>
      </c>
      <c r="N606" s="74" t="str">
        <f>IF($C606="","",IF($D606="Gider",$H606,$E606))</f>
        <v/>
      </c>
      <c r="O606" s="73" t="str">
        <f>IF($C606="","",DATE(YEAR($C606),MONTH($C606),1))</f>
        <v/>
      </c>
      <c r="P606" s="65" t="str">
        <f ca="1">IF($C606="","",IF(AND($D606="Gelir",$L606&lt;&gt;"",$T606=""),"TANIMSIZ BORÇLU",IF($T606&lt;&gt;"",IF(OR($E606="",$G606&lt;=0),"EKSİK",IF($I606="Evet","TAHAKKUK NAKİT OLAMAZ",IF($C606&gt;TODAY(),"İLERİ TARİH","TAHAKKUK"))),IF(AND($D606&lt;&gt;"",$E606&lt;&gt;"",$G606&gt;0,$H606&lt;&gt;"",$I606&lt;&gt;""),IF($C606&gt;TODAY(),"İLERİ TARİH",IF(COUNTIF($W$7:$W$3001,$W606)&gt;1,"MÜKERRER?",IF($AD606&gt;0,"KAPALI DÖNEM",IF($I606="Hayır","ÖDENECEK","UYGUN")))),"EKSİK"))))</f>
        <v/>
      </c>
      <c r="Q606" s="2"/>
      <c r="R606" s="2"/>
      <c r="S606" s="1" t="str">
        <f t="shared" si="29"/>
        <v/>
      </c>
      <c r="T606" s="1" t="str">
        <f>IF(OR($C606="",$D606&lt;&gt;"Gelir",$L606=""),"",IFERROR(INDEX(MUSTERILER!$B$7:$B$156,MATCH($S606,MUSTERILER!$T$7:$T$156,0)),""))</f>
        <v/>
      </c>
      <c r="U606" s="1" t="str">
        <f>IF($T606="","",$T606&amp;"|"&amp;COUNTIFS($T$7:$T606,$T606))</f>
        <v/>
      </c>
      <c r="V606" s="1">
        <f t="shared" si="30"/>
        <v>0</v>
      </c>
      <c r="W606" s="1" t="str">
        <f t="shared" si="31"/>
        <v/>
      </c>
      <c r="X606" s="1"/>
      <c r="Y606" s="1"/>
      <c r="Z606" s="1"/>
      <c r="AA606" s="1"/>
      <c r="AB606" s="1"/>
      <c r="AC606" s="1"/>
      <c r="AD606" s="1">
        <f>IF($C606="",0,SUMPRODUCT((AY_SONU!$O$7:$O$42="Evet")*(AY_SONU!$B$7:$B$42=DATE(YEAR($C606),MONTH($C606),1))))</f>
        <v>0</v>
      </c>
      <c r="AE606" s="1" t="str">
        <f>IF($E606="","",$E606&amp;"|"&amp;COUNTIFS($E$7:$E606,$E606))</f>
        <v/>
      </c>
    </row>
    <row r="607" spans="1:31" ht="18" customHeight="1" x14ac:dyDescent="0.3">
      <c r="A607" s="2"/>
      <c r="B607" s="65" t="str">
        <f>IF($C607="","","GG"&amp;TEXT(ROW()-6,"00000"))</f>
        <v/>
      </c>
      <c r="C607" s="66"/>
      <c r="D607" s="60"/>
      <c r="E607" s="61"/>
      <c r="F607" s="61"/>
      <c r="G607" s="67"/>
      <c r="H607" s="60"/>
      <c r="I607" s="60"/>
      <c r="J607" s="61"/>
      <c r="K607" s="61"/>
      <c r="L607" s="60"/>
      <c r="M607" s="74" t="str">
        <f>IF($C607="","",IF($D607="Gider",$E607,IF($L607&lt;&gt;"",$L607,$H607)))</f>
        <v/>
      </c>
      <c r="N607" s="74" t="str">
        <f>IF($C607="","",IF($D607="Gider",$H607,$E607))</f>
        <v/>
      </c>
      <c r="O607" s="73" t="str">
        <f>IF($C607="","",DATE(YEAR($C607),MONTH($C607),1))</f>
        <v/>
      </c>
      <c r="P607" s="65" t="str">
        <f ca="1">IF($C607="","",IF(AND($D607="Gelir",$L607&lt;&gt;"",$T607=""),"TANIMSIZ BORÇLU",IF($T607&lt;&gt;"",IF(OR($E607="",$G607&lt;=0),"EKSİK",IF($I607="Evet","TAHAKKUK NAKİT OLAMAZ",IF($C607&gt;TODAY(),"İLERİ TARİH","TAHAKKUK"))),IF(AND($D607&lt;&gt;"",$E607&lt;&gt;"",$G607&gt;0,$H607&lt;&gt;"",$I607&lt;&gt;""),IF($C607&gt;TODAY(),"İLERİ TARİH",IF(COUNTIF($W$7:$W$3001,$W607)&gt;1,"MÜKERRER?",IF($AD607&gt;0,"KAPALI DÖNEM",IF($I607="Hayır","ÖDENECEK","UYGUN")))),"EKSİK"))))</f>
        <v/>
      </c>
      <c r="Q607" s="2"/>
      <c r="R607" s="2"/>
      <c r="S607" s="1" t="str">
        <f t="shared" si="29"/>
        <v/>
      </c>
      <c r="T607" s="1" t="str">
        <f>IF(OR($C607="",$D607&lt;&gt;"Gelir",$L607=""),"",IFERROR(INDEX(MUSTERILER!$B$7:$B$156,MATCH($S607,MUSTERILER!$T$7:$T$156,0)),""))</f>
        <v/>
      </c>
      <c r="U607" s="1" t="str">
        <f>IF($T607="","",$T607&amp;"|"&amp;COUNTIFS($T$7:$T607,$T607))</f>
        <v/>
      </c>
      <c r="V607" s="1">
        <f t="shared" si="30"/>
        <v>0</v>
      </c>
      <c r="W607" s="1" t="str">
        <f t="shared" si="31"/>
        <v/>
      </c>
      <c r="X607" s="1"/>
      <c r="Y607" s="1"/>
      <c r="Z607" s="1"/>
      <c r="AA607" s="1"/>
      <c r="AB607" s="1"/>
      <c r="AC607" s="1"/>
      <c r="AD607" s="1">
        <f>IF($C607="",0,SUMPRODUCT((AY_SONU!$O$7:$O$42="Evet")*(AY_SONU!$B$7:$B$42=DATE(YEAR($C607),MONTH($C607),1))))</f>
        <v>0</v>
      </c>
      <c r="AE607" s="1" t="str">
        <f>IF($E607="","",$E607&amp;"|"&amp;COUNTIFS($E$7:$E607,$E607))</f>
        <v/>
      </c>
    </row>
    <row r="608" spans="1:31" ht="18" customHeight="1" x14ac:dyDescent="0.3">
      <c r="A608" s="2"/>
      <c r="B608" s="65" t="str">
        <f>IF($C608="","","GG"&amp;TEXT(ROW()-6,"00000"))</f>
        <v/>
      </c>
      <c r="C608" s="66"/>
      <c r="D608" s="60"/>
      <c r="E608" s="61"/>
      <c r="F608" s="61"/>
      <c r="G608" s="67"/>
      <c r="H608" s="60"/>
      <c r="I608" s="60"/>
      <c r="J608" s="61"/>
      <c r="K608" s="61"/>
      <c r="L608" s="60"/>
      <c r="M608" s="74" t="str">
        <f>IF($C608="","",IF($D608="Gider",$E608,IF($L608&lt;&gt;"",$L608,$H608)))</f>
        <v/>
      </c>
      <c r="N608" s="74" t="str">
        <f>IF($C608="","",IF($D608="Gider",$H608,$E608))</f>
        <v/>
      </c>
      <c r="O608" s="73" t="str">
        <f>IF($C608="","",DATE(YEAR($C608),MONTH($C608),1))</f>
        <v/>
      </c>
      <c r="P608" s="65" t="str">
        <f ca="1">IF($C608="","",IF(AND($D608="Gelir",$L608&lt;&gt;"",$T608=""),"TANIMSIZ BORÇLU",IF($T608&lt;&gt;"",IF(OR($E608="",$G608&lt;=0),"EKSİK",IF($I608="Evet","TAHAKKUK NAKİT OLAMAZ",IF($C608&gt;TODAY(),"İLERİ TARİH","TAHAKKUK"))),IF(AND($D608&lt;&gt;"",$E608&lt;&gt;"",$G608&gt;0,$H608&lt;&gt;"",$I608&lt;&gt;""),IF($C608&gt;TODAY(),"İLERİ TARİH",IF(COUNTIF($W$7:$W$3001,$W608)&gt;1,"MÜKERRER?",IF($AD608&gt;0,"KAPALI DÖNEM",IF($I608="Hayır","ÖDENECEK","UYGUN")))),"EKSİK"))))</f>
        <v/>
      </c>
      <c r="Q608" s="2"/>
      <c r="R608" s="2"/>
      <c r="S608" s="1" t="str">
        <f t="shared" si="29"/>
        <v/>
      </c>
      <c r="T608" s="1" t="str">
        <f>IF(OR($C608="",$D608&lt;&gt;"Gelir",$L608=""),"",IFERROR(INDEX(MUSTERILER!$B$7:$B$156,MATCH($S608,MUSTERILER!$T$7:$T$156,0)),""))</f>
        <v/>
      </c>
      <c r="U608" s="1" t="str">
        <f>IF($T608="","",$T608&amp;"|"&amp;COUNTIFS($T$7:$T608,$T608))</f>
        <v/>
      </c>
      <c r="V608" s="1">
        <f t="shared" si="30"/>
        <v>0</v>
      </c>
      <c r="W608" s="1" t="str">
        <f t="shared" si="31"/>
        <v/>
      </c>
      <c r="X608" s="1"/>
      <c r="Y608" s="1"/>
      <c r="Z608" s="1"/>
      <c r="AA608" s="1"/>
      <c r="AB608" s="1"/>
      <c r="AC608" s="1"/>
      <c r="AD608" s="1">
        <f>IF($C608="",0,SUMPRODUCT((AY_SONU!$O$7:$O$42="Evet")*(AY_SONU!$B$7:$B$42=DATE(YEAR($C608),MONTH($C608),1))))</f>
        <v>0</v>
      </c>
      <c r="AE608" s="1" t="str">
        <f>IF($E608="","",$E608&amp;"|"&amp;COUNTIFS($E$7:$E608,$E608))</f>
        <v/>
      </c>
    </row>
    <row r="609" spans="1:31" ht="18" customHeight="1" x14ac:dyDescent="0.3">
      <c r="A609" s="2"/>
      <c r="B609" s="65" t="str">
        <f>IF($C609="","","GG"&amp;TEXT(ROW()-6,"00000"))</f>
        <v/>
      </c>
      <c r="C609" s="66"/>
      <c r="D609" s="60"/>
      <c r="E609" s="61"/>
      <c r="F609" s="61"/>
      <c r="G609" s="67"/>
      <c r="H609" s="60"/>
      <c r="I609" s="60"/>
      <c r="J609" s="61"/>
      <c r="K609" s="61"/>
      <c r="L609" s="60"/>
      <c r="M609" s="74" t="str">
        <f>IF($C609="","",IF($D609="Gider",$E609,IF($L609&lt;&gt;"",$L609,$H609)))</f>
        <v/>
      </c>
      <c r="N609" s="74" t="str">
        <f>IF($C609="","",IF($D609="Gider",$H609,$E609))</f>
        <v/>
      </c>
      <c r="O609" s="73" t="str">
        <f>IF($C609="","",DATE(YEAR($C609),MONTH($C609),1))</f>
        <v/>
      </c>
      <c r="P609" s="65" t="str">
        <f ca="1">IF($C609="","",IF(AND($D609="Gelir",$L609&lt;&gt;"",$T609=""),"TANIMSIZ BORÇLU",IF($T609&lt;&gt;"",IF(OR($E609="",$G609&lt;=0),"EKSİK",IF($I609="Evet","TAHAKKUK NAKİT OLAMAZ",IF($C609&gt;TODAY(),"İLERİ TARİH","TAHAKKUK"))),IF(AND($D609&lt;&gt;"",$E609&lt;&gt;"",$G609&gt;0,$H609&lt;&gt;"",$I609&lt;&gt;""),IF($C609&gt;TODAY(),"İLERİ TARİH",IF(COUNTIF($W$7:$W$3001,$W609)&gt;1,"MÜKERRER?",IF($AD609&gt;0,"KAPALI DÖNEM",IF($I609="Hayır","ÖDENECEK","UYGUN")))),"EKSİK"))))</f>
        <v/>
      </c>
      <c r="Q609" s="2"/>
      <c r="R609" s="2"/>
      <c r="S609" s="1" t="str">
        <f t="shared" si="29"/>
        <v/>
      </c>
      <c r="T609" s="1" t="str">
        <f>IF(OR($C609="",$D609&lt;&gt;"Gelir",$L609=""),"",IFERROR(INDEX(MUSTERILER!$B$7:$B$156,MATCH($S609,MUSTERILER!$T$7:$T$156,0)),""))</f>
        <v/>
      </c>
      <c r="U609" s="1" t="str">
        <f>IF($T609="","",$T609&amp;"|"&amp;COUNTIFS($T$7:$T609,$T609))</f>
        <v/>
      </c>
      <c r="V609" s="1">
        <f t="shared" si="30"/>
        <v>0</v>
      </c>
      <c r="W609" s="1" t="str">
        <f t="shared" si="31"/>
        <v/>
      </c>
      <c r="X609" s="1"/>
      <c r="Y609" s="1"/>
      <c r="Z609" s="1"/>
      <c r="AA609" s="1"/>
      <c r="AB609" s="1"/>
      <c r="AC609" s="1"/>
      <c r="AD609" s="1">
        <f>IF($C609="",0,SUMPRODUCT((AY_SONU!$O$7:$O$42="Evet")*(AY_SONU!$B$7:$B$42=DATE(YEAR($C609),MONTH($C609),1))))</f>
        <v>0</v>
      </c>
      <c r="AE609" s="1" t="str">
        <f>IF($E609="","",$E609&amp;"|"&amp;COUNTIFS($E$7:$E609,$E609))</f>
        <v/>
      </c>
    </row>
    <row r="610" spans="1:31" ht="18" customHeight="1" x14ac:dyDescent="0.3">
      <c r="A610" s="2"/>
      <c r="B610" s="65" t="str">
        <f>IF($C610="","","GG"&amp;TEXT(ROW()-6,"00000"))</f>
        <v/>
      </c>
      <c r="C610" s="66"/>
      <c r="D610" s="60"/>
      <c r="E610" s="61"/>
      <c r="F610" s="61"/>
      <c r="G610" s="67"/>
      <c r="H610" s="60"/>
      <c r="I610" s="60"/>
      <c r="J610" s="61"/>
      <c r="K610" s="61"/>
      <c r="L610" s="60"/>
      <c r="M610" s="74" t="str">
        <f>IF($C610="","",IF($D610="Gider",$E610,IF($L610&lt;&gt;"",$L610,$H610)))</f>
        <v/>
      </c>
      <c r="N610" s="74" t="str">
        <f>IF($C610="","",IF($D610="Gider",$H610,$E610))</f>
        <v/>
      </c>
      <c r="O610" s="73" t="str">
        <f>IF($C610="","",DATE(YEAR($C610),MONTH($C610),1))</f>
        <v/>
      </c>
      <c r="P610" s="65" t="str">
        <f ca="1">IF($C610="","",IF(AND($D610="Gelir",$L610&lt;&gt;"",$T610=""),"TANIMSIZ BORÇLU",IF($T610&lt;&gt;"",IF(OR($E610="",$G610&lt;=0),"EKSİK",IF($I610="Evet","TAHAKKUK NAKİT OLAMAZ",IF($C610&gt;TODAY(),"İLERİ TARİH","TAHAKKUK"))),IF(AND($D610&lt;&gt;"",$E610&lt;&gt;"",$G610&gt;0,$H610&lt;&gt;"",$I610&lt;&gt;""),IF($C610&gt;TODAY(),"İLERİ TARİH",IF(COUNTIF($W$7:$W$3001,$W610)&gt;1,"MÜKERRER?",IF($AD610&gt;0,"KAPALI DÖNEM",IF($I610="Hayır","ÖDENECEK","UYGUN")))),"EKSİK"))))</f>
        <v/>
      </c>
      <c r="Q610" s="2"/>
      <c r="R610" s="2"/>
      <c r="S610" s="1" t="str">
        <f t="shared" si="29"/>
        <v/>
      </c>
      <c r="T610" s="1" t="str">
        <f>IF(OR($C610="",$D610&lt;&gt;"Gelir",$L610=""),"",IFERROR(INDEX(MUSTERILER!$B$7:$B$156,MATCH($S610,MUSTERILER!$T$7:$T$156,0)),""))</f>
        <v/>
      </c>
      <c r="U610" s="1" t="str">
        <f>IF($T610="","",$T610&amp;"|"&amp;COUNTIFS($T$7:$T610,$T610))</f>
        <v/>
      </c>
      <c r="V610" s="1">
        <f t="shared" si="30"/>
        <v>0</v>
      </c>
      <c r="W610" s="1" t="str">
        <f t="shared" si="31"/>
        <v/>
      </c>
      <c r="X610" s="1"/>
      <c r="Y610" s="1"/>
      <c r="Z610" s="1"/>
      <c r="AA610" s="1"/>
      <c r="AB610" s="1"/>
      <c r="AC610" s="1"/>
      <c r="AD610" s="1">
        <f>IF($C610="",0,SUMPRODUCT((AY_SONU!$O$7:$O$42="Evet")*(AY_SONU!$B$7:$B$42=DATE(YEAR($C610),MONTH($C610),1))))</f>
        <v>0</v>
      </c>
      <c r="AE610" s="1" t="str">
        <f>IF($E610="","",$E610&amp;"|"&amp;COUNTIFS($E$7:$E610,$E610))</f>
        <v/>
      </c>
    </row>
    <row r="611" spans="1:31" ht="18" customHeight="1" x14ac:dyDescent="0.3">
      <c r="A611" s="2"/>
      <c r="B611" s="65" t="str">
        <f>IF($C611="","","GG"&amp;TEXT(ROW()-6,"00000"))</f>
        <v/>
      </c>
      <c r="C611" s="66"/>
      <c r="D611" s="60"/>
      <c r="E611" s="61"/>
      <c r="F611" s="61"/>
      <c r="G611" s="67"/>
      <c r="H611" s="60"/>
      <c r="I611" s="60"/>
      <c r="J611" s="61"/>
      <c r="K611" s="61"/>
      <c r="L611" s="60"/>
      <c r="M611" s="74" t="str">
        <f>IF($C611="","",IF($D611="Gider",$E611,IF($L611&lt;&gt;"",$L611,$H611)))</f>
        <v/>
      </c>
      <c r="N611" s="74" t="str">
        <f>IF($C611="","",IF($D611="Gider",$H611,$E611))</f>
        <v/>
      </c>
      <c r="O611" s="73" t="str">
        <f>IF($C611="","",DATE(YEAR($C611),MONTH($C611),1))</f>
        <v/>
      </c>
      <c r="P611" s="65" t="str">
        <f ca="1">IF($C611="","",IF(AND($D611="Gelir",$L611&lt;&gt;"",$T611=""),"TANIMSIZ BORÇLU",IF($T611&lt;&gt;"",IF(OR($E611="",$G611&lt;=0),"EKSİK",IF($I611="Evet","TAHAKKUK NAKİT OLAMAZ",IF($C611&gt;TODAY(),"İLERİ TARİH","TAHAKKUK"))),IF(AND($D611&lt;&gt;"",$E611&lt;&gt;"",$G611&gt;0,$H611&lt;&gt;"",$I611&lt;&gt;""),IF($C611&gt;TODAY(),"İLERİ TARİH",IF(COUNTIF($W$7:$W$3001,$W611)&gt;1,"MÜKERRER?",IF($AD611&gt;0,"KAPALI DÖNEM",IF($I611="Hayır","ÖDENECEK","UYGUN")))),"EKSİK"))))</f>
        <v/>
      </c>
      <c r="Q611" s="2"/>
      <c r="R611" s="2"/>
      <c r="S611" s="1" t="str">
        <f t="shared" si="29"/>
        <v/>
      </c>
      <c r="T611" s="1" t="str">
        <f>IF(OR($C611="",$D611&lt;&gt;"Gelir",$L611=""),"",IFERROR(INDEX(MUSTERILER!$B$7:$B$156,MATCH($S611,MUSTERILER!$T$7:$T$156,0)),""))</f>
        <v/>
      </c>
      <c r="U611" s="1" t="str">
        <f>IF($T611="","",$T611&amp;"|"&amp;COUNTIFS($T$7:$T611,$T611))</f>
        <v/>
      </c>
      <c r="V611" s="1">
        <f t="shared" si="30"/>
        <v>0</v>
      </c>
      <c r="W611" s="1" t="str">
        <f t="shared" si="31"/>
        <v/>
      </c>
      <c r="X611" s="1"/>
      <c r="Y611" s="1"/>
      <c r="Z611" s="1"/>
      <c r="AA611" s="1"/>
      <c r="AB611" s="1"/>
      <c r="AC611" s="1"/>
      <c r="AD611" s="1">
        <f>IF($C611="",0,SUMPRODUCT((AY_SONU!$O$7:$O$42="Evet")*(AY_SONU!$B$7:$B$42=DATE(YEAR($C611),MONTH($C611),1))))</f>
        <v>0</v>
      </c>
      <c r="AE611" s="1" t="str">
        <f>IF($E611="","",$E611&amp;"|"&amp;COUNTIFS($E$7:$E611,$E611))</f>
        <v/>
      </c>
    </row>
    <row r="612" spans="1:31" ht="18" customHeight="1" x14ac:dyDescent="0.3">
      <c r="A612" s="2"/>
      <c r="B612" s="65" t="str">
        <f>IF($C612="","","GG"&amp;TEXT(ROW()-6,"00000"))</f>
        <v/>
      </c>
      <c r="C612" s="66"/>
      <c r="D612" s="60"/>
      <c r="E612" s="61"/>
      <c r="F612" s="61"/>
      <c r="G612" s="67"/>
      <c r="H612" s="60"/>
      <c r="I612" s="60"/>
      <c r="J612" s="61"/>
      <c r="K612" s="61"/>
      <c r="L612" s="60"/>
      <c r="M612" s="74" t="str">
        <f>IF($C612="","",IF($D612="Gider",$E612,IF($L612&lt;&gt;"",$L612,$H612)))</f>
        <v/>
      </c>
      <c r="N612" s="74" t="str">
        <f>IF($C612="","",IF($D612="Gider",$H612,$E612))</f>
        <v/>
      </c>
      <c r="O612" s="73" t="str">
        <f>IF($C612="","",DATE(YEAR($C612),MONTH($C612),1))</f>
        <v/>
      </c>
      <c r="P612" s="65" t="str">
        <f ca="1">IF($C612="","",IF(AND($D612="Gelir",$L612&lt;&gt;"",$T612=""),"TANIMSIZ BORÇLU",IF($T612&lt;&gt;"",IF(OR($E612="",$G612&lt;=0),"EKSİK",IF($I612="Evet","TAHAKKUK NAKİT OLAMAZ",IF($C612&gt;TODAY(),"İLERİ TARİH","TAHAKKUK"))),IF(AND($D612&lt;&gt;"",$E612&lt;&gt;"",$G612&gt;0,$H612&lt;&gt;"",$I612&lt;&gt;""),IF($C612&gt;TODAY(),"İLERİ TARİH",IF(COUNTIF($W$7:$W$3001,$W612)&gt;1,"MÜKERRER?",IF($AD612&gt;0,"KAPALI DÖNEM",IF($I612="Hayır","ÖDENECEK","UYGUN")))),"EKSİK"))))</f>
        <v/>
      </c>
      <c r="Q612" s="2"/>
      <c r="R612" s="2"/>
      <c r="S612" s="1" t="str">
        <f t="shared" si="29"/>
        <v/>
      </c>
      <c r="T612" s="1" t="str">
        <f>IF(OR($C612="",$D612&lt;&gt;"Gelir",$L612=""),"",IFERROR(INDEX(MUSTERILER!$B$7:$B$156,MATCH($S612,MUSTERILER!$T$7:$T$156,0)),""))</f>
        <v/>
      </c>
      <c r="U612" s="1" t="str">
        <f>IF($T612="","",$T612&amp;"|"&amp;COUNTIFS($T$7:$T612,$T612))</f>
        <v/>
      </c>
      <c r="V612" s="1">
        <f t="shared" si="30"/>
        <v>0</v>
      </c>
      <c r="W612" s="1" t="str">
        <f t="shared" si="31"/>
        <v/>
      </c>
      <c r="X612" s="1"/>
      <c r="Y612" s="1"/>
      <c r="Z612" s="1"/>
      <c r="AA612" s="1"/>
      <c r="AB612" s="1"/>
      <c r="AC612" s="1"/>
      <c r="AD612" s="1">
        <f>IF($C612="",0,SUMPRODUCT((AY_SONU!$O$7:$O$42="Evet")*(AY_SONU!$B$7:$B$42=DATE(YEAR($C612),MONTH($C612),1))))</f>
        <v>0</v>
      </c>
      <c r="AE612" s="1" t="str">
        <f>IF($E612="","",$E612&amp;"|"&amp;COUNTIFS($E$7:$E612,$E612))</f>
        <v/>
      </c>
    </row>
    <row r="613" spans="1:31" ht="18" customHeight="1" x14ac:dyDescent="0.3">
      <c r="A613" s="2"/>
      <c r="B613" s="65" t="str">
        <f>IF($C613="","","GG"&amp;TEXT(ROW()-6,"00000"))</f>
        <v/>
      </c>
      <c r="C613" s="66"/>
      <c r="D613" s="60"/>
      <c r="E613" s="61"/>
      <c r="F613" s="61"/>
      <c r="G613" s="67"/>
      <c r="H613" s="60"/>
      <c r="I613" s="60"/>
      <c r="J613" s="61"/>
      <c r="K613" s="61"/>
      <c r="L613" s="60"/>
      <c r="M613" s="74" t="str">
        <f>IF($C613="","",IF($D613="Gider",$E613,IF($L613&lt;&gt;"",$L613,$H613)))</f>
        <v/>
      </c>
      <c r="N613" s="74" t="str">
        <f>IF($C613="","",IF($D613="Gider",$H613,$E613))</f>
        <v/>
      </c>
      <c r="O613" s="73" t="str">
        <f>IF($C613="","",DATE(YEAR($C613),MONTH($C613),1))</f>
        <v/>
      </c>
      <c r="P613" s="65" t="str">
        <f ca="1">IF($C613="","",IF(AND($D613="Gelir",$L613&lt;&gt;"",$T613=""),"TANIMSIZ BORÇLU",IF($T613&lt;&gt;"",IF(OR($E613="",$G613&lt;=0),"EKSİK",IF($I613="Evet","TAHAKKUK NAKİT OLAMAZ",IF($C613&gt;TODAY(),"İLERİ TARİH","TAHAKKUK"))),IF(AND($D613&lt;&gt;"",$E613&lt;&gt;"",$G613&gt;0,$H613&lt;&gt;"",$I613&lt;&gt;""),IF($C613&gt;TODAY(),"İLERİ TARİH",IF(COUNTIF($W$7:$W$3001,$W613)&gt;1,"MÜKERRER?",IF($AD613&gt;0,"KAPALI DÖNEM",IF($I613="Hayır","ÖDENECEK","UYGUN")))),"EKSİK"))))</f>
        <v/>
      </c>
      <c r="Q613" s="2"/>
      <c r="R613" s="2"/>
      <c r="S613" s="1" t="str">
        <f t="shared" si="29"/>
        <v/>
      </c>
      <c r="T613" s="1" t="str">
        <f>IF(OR($C613="",$D613&lt;&gt;"Gelir",$L613=""),"",IFERROR(INDEX(MUSTERILER!$B$7:$B$156,MATCH($S613,MUSTERILER!$T$7:$T$156,0)),""))</f>
        <v/>
      </c>
      <c r="U613" s="1" t="str">
        <f>IF($T613="","",$T613&amp;"|"&amp;COUNTIFS($T$7:$T613,$T613))</f>
        <v/>
      </c>
      <c r="V613" s="1">
        <f t="shared" si="30"/>
        <v>0</v>
      </c>
      <c r="W613" s="1" t="str">
        <f t="shared" si="31"/>
        <v/>
      </c>
      <c r="X613" s="1"/>
      <c r="Y613" s="1"/>
      <c r="Z613" s="1"/>
      <c r="AA613" s="1"/>
      <c r="AB613" s="1"/>
      <c r="AC613" s="1"/>
      <c r="AD613" s="1">
        <f>IF($C613="",0,SUMPRODUCT((AY_SONU!$O$7:$O$42="Evet")*(AY_SONU!$B$7:$B$42=DATE(YEAR($C613),MONTH($C613),1))))</f>
        <v>0</v>
      </c>
      <c r="AE613" s="1" t="str">
        <f>IF($E613="","",$E613&amp;"|"&amp;COUNTIFS($E$7:$E613,$E613))</f>
        <v/>
      </c>
    </row>
    <row r="614" spans="1:31" ht="18" customHeight="1" x14ac:dyDescent="0.3">
      <c r="A614" s="2"/>
      <c r="B614" s="65" t="str">
        <f>IF($C614="","","GG"&amp;TEXT(ROW()-6,"00000"))</f>
        <v/>
      </c>
      <c r="C614" s="66"/>
      <c r="D614" s="60"/>
      <c r="E614" s="61"/>
      <c r="F614" s="61"/>
      <c r="G614" s="67"/>
      <c r="H614" s="60"/>
      <c r="I614" s="60"/>
      <c r="J614" s="61"/>
      <c r="K614" s="61"/>
      <c r="L614" s="60"/>
      <c r="M614" s="74" t="str">
        <f>IF($C614="","",IF($D614="Gider",$E614,IF($L614&lt;&gt;"",$L614,$H614)))</f>
        <v/>
      </c>
      <c r="N614" s="74" t="str">
        <f>IF($C614="","",IF($D614="Gider",$H614,$E614))</f>
        <v/>
      </c>
      <c r="O614" s="73" t="str">
        <f>IF($C614="","",DATE(YEAR($C614),MONTH($C614),1))</f>
        <v/>
      </c>
      <c r="P614" s="65" t="str">
        <f ca="1">IF($C614="","",IF(AND($D614="Gelir",$L614&lt;&gt;"",$T614=""),"TANIMSIZ BORÇLU",IF($T614&lt;&gt;"",IF(OR($E614="",$G614&lt;=0),"EKSİK",IF($I614="Evet","TAHAKKUK NAKİT OLAMAZ",IF($C614&gt;TODAY(),"İLERİ TARİH","TAHAKKUK"))),IF(AND($D614&lt;&gt;"",$E614&lt;&gt;"",$G614&gt;0,$H614&lt;&gt;"",$I614&lt;&gt;""),IF($C614&gt;TODAY(),"İLERİ TARİH",IF(COUNTIF($W$7:$W$3001,$W614)&gt;1,"MÜKERRER?",IF($AD614&gt;0,"KAPALI DÖNEM",IF($I614="Hayır","ÖDENECEK","UYGUN")))),"EKSİK"))))</f>
        <v/>
      </c>
      <c r="Q614" s="2"/>
      <c r="R614" s="2"/>
      <c r="S614" s="1" t="str">
        <f t="shared" si="29"/>
        <v/>
      </c>
      <c r="T614" s="1" t="str">
        <f>IF(OR($C614="",$D614&lt;&gt;"Gelir",$L614=""),"",IFERROR(INDEX(MUSTERILER!$B$7:$B$156,MATCH($S614,MUSTERILER!$T$7:$T$156,0)),""))</f>
        <v/>
      </c>
      <c r="U614" s="1" t="str">
        <f>IF($T614="","",$T614&amp;"|"&amp;COUNTIFS($T$7:$T614,$T614))</f>
        <v/>
      </c>
      <c r="V614" s="1">
        <f t="shared" si="30"/>
        <v>0</v>
      </c>
      <c r="W614" s="1" t="str">
        <f t="shared" si="31"/>
        <v/>
      </c>
      <c r="X614" s="1"/>
      <c r="Y614" s="1"/>
      <c r="Z614" s="1"/>
      <c r="AA614" s="1"/>
      <c r="AB614" s="1"/>
      <c r="AC614" s="1"/>
      <c r="AD614" s="1">
        <f>IF($C614="",0,SUMPRODUCT((AY_SONU!$O$7:$O$42="Evet")*(AY_SONU!$B$7:$B$42=DATE(YEAR($C614),MONTH($C614),1))))</f>
        <v>0</v>
      </c>
      <c r="AE614" s="1" t="str">
        <f>IF($E614="","",$E614&amp;"|"&amp;COUNTIFS($E$7:$E614,$E614))</f>
        <v/>
      </c>
    </row>
    <row r="615" spans="1:31" ht="18" customHeight="1" x14ac:dyDescent="0.3">
      <c r="A615" s="2"/>
      <c r="B615" s="65" t="str">
        <f>IF($C615="","","GG"&amp;TEXT(ROW()-6,"00000"))</f>
        <v/>
      </c>
      <c r="C615" s="66"/>
      <c r="D615" s="60"/>
      <c r="E615" s="61"/>
      <c r="F615" s="61"/>
      <c r="G615" s="67"/>
      <c r="H615" s="60"/>
      <c r="I615" s="60"/>
      <c r="J615" s="61"/>
      <c r="K615" s="61"/>
      <c r="L615" s="60"/>
      <c r="M615" s="74" t="str">
        <f>IF($C615="","",IF($D615="Gider",$E615,IF($L615&lt;&gt;"",$L615,$H615)))</f>
        <v/>
      </c>
      <c r="N615" s="74" t="str">
        <f>IF($C615="","",IF($D615="Gider",$H615,$E615))</f>
        <v/>
      </c>
      <c r="O615" s="73" t="str">
        <f>IF($C615="","",DATE(YEAR($C615),MONTH($C615),1))</f>
        <v/>
      </c>
      <c r="P615" s="65" t="str">
        <f ca="1">IF($C615="","",IF(AND($D615="Gelir",$L615&lt;&gt;"",$T615=""),"TANIMSIZ BORÇLU",IF($T615&lt;&gt;"",IF(OR($E615="",$G615&lt;=0),"EKSİK",IF($I615="Evet","TAHAKKUK NAKİT OLAMAZ",IF($C615&gt;TODAY(),"İLERİ TARİH","TAHAKKUK"))),IF(AND($D615&lt;&gt;"",$E615&lt;&gt;"",$G615&gt;0,$H615&lt;&gt;"",$I615&lt;&gt;""),IF($C615&gt;TODAY(),"İLERİ TARİH",IF(COUNTIF($W$7:$W$3001,$W615)&gt;1,"MÜKERRER?",IF($AD615&gt;0,"KAPALI DÖNEM",IF($I615="Hayır","ÖDENECEK","UYGUN")))),"EKSİK"))))</f>
        <v/>
      </c>
      <c r="Q615" s="2"/>
      <c r="R615" s="2"/>
      <c r="S615" s="1" t="str">
        <f t="shared" si="29"/>
        <v/>
      </c>
      <c r="T615" s="1" t="str">
        <f>IF(OR($C615="",$D615&lt;&gt;"Gelir",$L615=""),"",IFERROR(INDEX(MUSTERILER!$B$7:$B$156,MATCH($S615,MUSTERILER!$T$7:$T$156,0)),""))</f>
        <v/>
      </c>
      <c r="U615" s="1" t="str">
        <f>IF($T615="","",$T615&amp;"|"&amp;COUNTIFS($T$7:$T615,$T615))</f>
        <v/>
      </c>
      <c r="V615" s="1">
        <f t="shared" si="30"/>
        <v>0</v>
      </c>
      <c r="W615" s="1" t="str">
        <f t="shared" si="31"/>
        <v/>
      </c>
      <c r="X615" s="1"/>
      <c r="Y615" s="1"/>
      <c r="Z615" s="1"/>
      <c r="AA615" s="1"/>
      <c r="AB615" s="1"/>
      <c r="AC615" s="1"/>
      <c r="AD615" s="1">
        <f>IF($C615="",0,SUMPRODUCT((AY_SONU!$O$7:$O$42="Evet")*(AY_SONU!$B$7:$B$42=DATE(YEAR($C615),MONTH($C615),1))))</f>
        <v>0</v>
      </c>
      <c r="AE615" s="1" t="str">
        <f>IF($E615="","",$E615&amp;"|"&amp;COUNTIFS($E$7:$E615,$E615))</f>
        <v/>
      </c>
    </row>
    <row r="616" spans="1:31" ht="18" customHeight="1" x14ac:dyDescent="0.3">
      <c r="A616" s="2"/>
      <c r="B616" s="65" t="str">
        <f>IF($C616="","","GG"&amp;TEXT(ROW()-6,"00000"))</f>
        <v/>
      </c>
      <c r="C616" s="66"/>
      <c r="D616" s="60"/>
      <c r="E616" s="61"/>
      <c r="F616" s="61"/>
      <c r="G616" s="67"/>
      <c r="H616" s="60"/>
      <c r="I616" s="60"/>
      <c r="J616" s="61"/>
      <c r="K616" s="61"/>
      <c r="L616" s="60"/>
      <c r="M616" s="74" t="str">
        <f>IF($C616="","",IF($D616="Gider",$E616,IF($L616&lt;&gt;"",$L616,$H616)))</f>
        <v/>
      </c>
      <c r="N616" s="74" t="str">
        <f>IF($C616="","",IF($D616="Gider",$H616,$E616))</f>
        <v/>
      </c>
      <c r="O616" s="73" t="str">
        <f>IF($C616="","",DATE(YEAR($C616),MONTH($C616),1))</f>
        <v/>
      </c>
      <c r="P616" s="65" t="str">
        <f ca="1">IF($C616="","",IF(AND($D616="Gelir",$L616&lt;&gt;"",$T616=""),"TANIMSIZ BORÇLU",IF($T616&lt;&gt;"",IF(OR($E616="",$G616&lt;=0),"EKSİK",IF($I616="Evet","TAHAKKUK NAKİT OLAMAZ",IF($C616&gt;TODAY(),"İLERİ TARİH","TAHAKKUK"))),IF(AND($D616&lt;&gt;"",$E616&lt;&gt;"",$G616&gt;0,$H616&lt;&gt;"",$I616&lt;&gt;""),IF($C616&gt;TODAY(),"İLERİ TARİH",IF(COUNTIF($W$7:$W$3001,$W616)&gt;1,"MÜKERRER?",IF($AD616&gt;0,"KAPALI DÖNEM",IF($I616="Hayır","ÖDENECEK","UYGUN")))),"EKSİK"))))</f>
        <v/>
      </c>
      <c r="Q616" s="2"/>
      <c r="R616" s="2"/>
      <c r="S616" s="1" t="str">
        <f t="shared" si="29"/>
        <v/>
      </c>
      <c r="T616" s="1" t="str">
        <f>IF(OR($C616="",$D616&lt;&gt;"Gelir",$L616=""),"",IFERROR(INDEX(MUSTERILER!$B$7:$B$156,MATCH($S616,MUSTERILER!$T$7:$T$156,0)),""))</f>
        <v/>
      </c>
      <c r="U616" s="1" t="str">
        <f>IF($T616="","",$T616&amp;"|"&amp;COUNTIFS($T$7:$T616,$T616))</f>
        <v/>
      </c>
      <c r="V616" s="1">
        <f t="shared" si="30"/>
        <v>0</v>
      </c>
      <c r="W616" s="1" t="str">
        <f t="shared" si="31"/>
        <v/>
      </c>
      <c r="X616" s="1"/>
      <c r="Y616" s="1"/>
      <c r="Z616" s="1"/>
      <c r="AA616" s="1"/>
      <c r="AB616" s="1"/>
      <c r="AC616" s="1"/>
      <c r="AD616" s="1">
        <f>IF($C616="",0,SUMPRODUCT((AY_SONU!$O$7:$O$42="Evet")*(AY_SONU!$B$7:$B$42=DATE(YEAR($C616),MONTH($C616),1))))</f>
        <v>0</v>
      </c>
      <c r="AE616" s="1" t="str">
        <f>IF($E616="","",$E616&amp;"|"&amp;COUNTIFS($E$7:$E616,$E616))</f>
        <v/>
      </c>
    </row>
    <row r="617" spans="1:31" ht="18" customHeight="1" x14ac:dyDescent="0.3">
      <c r="A617" s="2"/>
      <c r="B617" s="65" t="str">
        <f>IF($C617="","","GG"&amp;TEXT(ROW()-6,"00000"))</f>
        <v/>
      </c>
      <c r="C617" s="66"/>
      <c r="D617" s="60"/>
      <c r="E617" s="61"/>
      <c r="F617" s="61"/>
      <c r="G617" s="67"/>
      <c r="H617" s="60"/>
      <c r="I617" s="60"/>
      <c r="J617" s="61"/>
      <c r="K617" s="61"/>
      <c r="L617" s="60"/>
      <c r="M617" s="74" t="str">
        <f>IF($C617="","",IF($D617="Gider",$E617,IF($L617&lt;&gt;"",$L617,$H617)))</f>
        <v/>
      </c>
      <c r="N617" s="74" t="str">
        <f>IF($C617="","",IF($D617="Gider",$H617,$E617))</f>
        <v/>
      </c>
      <c r="O617" s="73" t="str">
        <f>IF($C617="","",DATE(YEAR($C617),MONTH($C617),1))</f>
        <v/>
      </c>
      <c r="P617" s="65" t="str">
        <f ca="1">IF($C617="","",IF(AND($D617="Gelir",$L617&lt;&gt;"",$T617=""),"TANIMSIZ BORÇLU",IF($T617&lt;&gt;"",IF(OR($E617="",$G617&lt;=0),"EKSİK",IF($I617="Evet","TAHAKKUK NAKİT OLAMAZ",IF($C617&gt;TODAY(),"İLERİ TARİH","TAHAKKUK"))),IF(AND($D617&lt;&gt;"",$E617&lt;&gt;"",$G617&gt;0,$H617&lt;&gt;"",$I617&lt;&gt;""),IF($C617&gt;TODAY(),"İLERİ TARİH",IF(COUNTIF($W$7:$W$3001,$W617)&gt;1,"MÜKERRER?",IF($AD617&gt;0,"KAPALI DÖNEM",IF($I617="Hayır","ÖDENECEK","UYGUN")))),"EKSİK"))))</f>
        <v/>
      </c>
      <c r="Q617" s="2"/>
      <c r="R617" s="2"/>
      <c r="S617" s="1" t="str">
        <f t="shared" si="29"/>
        <v/>
      </c>
      <c r="T617" s="1" t="str">
        <f>IF(OR($C617="",$D617&lt;&gt;"Gelir",$L617=""),"",IFERROR(INDEX(MUSTERILER!$B$7:$B$156,MATCH($S617,MUSTERILER!$T$7:$T$156,0)),""))</f>
        <v/>
      </c>
      <c r="U617" s="1" t="str">
        <f>IF($T617="","",$T617&amp;"|"&amp;COUNTIFS($T$7:$T617,$T617))</f>
        <v/>
      </c>
      <c r="V617" s="1">
        <f t="shared" si="30"/>
        <v>0</v>
      </c>
      <c r="W617" s="1" t="str">
        <f t="shared" si="31"/>
        <v/>
      </c>
      <c r="X617" s="1"/>
      <c r="Y617" s="1"/>
      <c r="Z617" s="1"/>
      <c r="AA617" s="1"/>
      <c r="AB617" s="1"/>
      <c r="AC617" s="1"/>
      <c r="AD617" s="1">
        <f>IF($C617="",0,SUMPRODUCT((AY_SONU!$O$7:$O$42="Evet")*(AY_SONU!$B$7:$B$42=DATE(YEAR($C617),MONTH($C617),1))))</f>
        <v>0</v>
      </c>
      <c r="AE617" s="1" t="str">
        <f>IF($E617="","",$E617&amp;"|"&amp;COUNTIFS($E$7:$E617,$E617))</f>
        <v/>
      </c>
    </row>
    <row r="618" spans="1:31" ht="18" customHeight="1" x14ac:dyDescent="0.3">
      <c r="A618" s="2"/>
      <c r="B618" s="65" t="str">
        <f>IF($C618="","","GG"&amp;TEXT(ROW()-6,"00000"))</f>
        <v/>
      </c>
      <c r="C618" s="66"/>
      <c r="D618" s="60"/>
      <c r="E618" s="61"/>
      <c r="F618" s="61"/>
      <c r="G618" s="67"/>
      <c r="H618" s="60"/>
      <c r="I618" s="60"/>
      <c r="J618" s="61"/>
      <c r="K618" s="61"/>
      <c r="L618" s="60"/>
      <c r="M618" s="74" t="str">
        <f>IF($C618="","",IF($D618="Gider",$E618,IF($L618&lt;&gt;"",$L618,$H618)))</f>
        <v/>
      </c>
      <c r="N618" s="74" t="str">
        <f>IF($C618="","",IF($D618="Gider",$H618,$E618))</f>
        <v/>
      </c>
      <c r="O618" s="73" t="str">
        <f>IF($C618="","",DATE(YEAR($C618),MONTH($C618),1))</f>
        <v/>
      </c>
      <c r="P618" s="65" t="str">
        <f ca="1">IF($C618="","",IF(AND($D618="Gelir",$L618&lt;&gt;"",$T618=""),"TANIMSIZ BORÇLU",IF($T618&lt;&gt;"",IF(OR($E618="",$G618&lt;=0),"EKSİK",IF($I618="Evet","TAHAKKUK NAKİT OLAMAZ",IF($C618&gt;TODAY(),"İLERİ TARİH","TAHAKKUK"))),IF(AND($D618&lt;&gt;"",$E618&lt;&gt;"",$G618&gt;0,$H618&lt;&gt;"",$I618&lt;&gt;""),IF($C618&gt;TODAY(),"İLERİ TARİH",IF(COUNTIF($W$7:$W$3001,$W618)&gt;1,"MÜKERRER?",IF($AD618&gt;0,"KAPALI DÖNEM",IF($I618="Hayır","ÖDENECEK","UYGUN")))),"EKSİK"))))</f>
        <v/>
      </c>
      <c r="Q618" s="2"/>
      <c r="R618" s="2"/>
      <c r="S618" s="1" t="str">
        <f t="shared" si="29"/>
        <v/>
      </c>
      <c r="T618" s="1" t="str">
        <f>IF(OR($C618="",$D618&lt;&gt;"Gelir",$L618=""),"",IFERROR(INDEX(MUSTERILER!$B$7:$B$156,MATCH($S618,MUSTERILER!$T$7:$T$156,0)),""))</f>
        <v/>
      </c>
      <c r="U618" s="1" t="str">
        <f>IF($T618="","",$T618&amp;"|"&amp;COUNTIFS($T$7:$T618,$T618))</f>
        <v/>
      </c>
      <c r="V618" s="1">
        <f t="shared" si="30"/>
        <v>0</v>
      </c>
      <c r="W618" s="1" t="str">
        <f t="shared" si="31"/>
        <v/>
      </c>
      <c r="X618" s="1"/>
      <c r="Y618" s="1"/>
      <c r="Z618" s="1"/>
      <c r="AA618" s="1"/>
      <c r="AB618" s="1"/>
      <c r="AC618" s="1"/>
      <c r="AD618" s="1">
        <f>IF($C618="",0,SUMPRODUCT((AY_SONU!$O$7:$O$42="Evet")*(AY_SONU!$B$7:$B$42=DATE(YEAR($C618),MONTH($C618),1))))</f>
        <v>0</v>
      </c>
      <c r="AE618" s="1" t="str">
        <f>IF($E618="","",$E618&amp;"|"&amp;COUNTIFS($E$7:$E618,$E618))</f>
        <v/>
      </c>
    </row>
    <row r="619" spans="1:31" ht="18" customHeight="1" x14ac:dyDescent="0.3">
      <c r="A619" s="2"/>
      <c r="B619" s="65" t="str">
        <f>IF($C619="","","GG"&amp;TEXT(ROW()-6,"00000"))</f>
        <v/>
      </c>
      <c r="C619" s="66"/>
      <c r="D619" s="60"/>
      <c r="E619" s="61"/>
      <c r="F619" s="61"/>
      <c r="G619" s="67"/>
      <c r="H619" s="60"/>
      <c r="I619" s="60"/>
      <c r="J619" s="61"/>
      <c r="K619" s="61"/>
      <c r="L619" s="60"/>
      <c r="M619" s="74" t="str">
        <f>IF($C619="","",IF($D619="Gider",$E619,IF($L619&lt;&gt;"",$L619,$H619)))</f>
        <v/>
      </c>
      <c r="N619" s="74" t="str">
        <f>IF($C619="","",IF($D619="Gider",$H619,$E619))</f>
        <v/>
      </c>
      <c r="O619" s="73" t="str">
        <f>IF($C619="","",DATE(YEAR($C619),MONTH($C619),1))</f>
        <v/>
      </c>
      <c r="P619" s="65" t="str">
        <f ca="1">IF($C619="","",IF(AND($D619="Gelir",$L619&lt;&gt;"",$T619=""),"TANIMSIZ BORÇLU",IF($T619&lt;&gt;"",IF(OR($E619="",$G619&lt;=0),"EKSİK",IF($I619="Evet","TAHAKKUK NAKİT OLAMAZ",IF($C619&gt;TODAY(),"İLERİ TARİH","TAHAKKUK"))),IF(AND($D619&lt;&gt;"",$E619&lt;&gt;"",$G619&gt;0,$H619&lt;&gt;"",$I619&lt;&gt;""),IF($C619&gt;TODAY(),"İLERİ TARİH",IF(COUNTIF($W$7:$W$3001,$W619)&gt;1,"MÜKERRER?",IF($AD619&gt;0,"KAPALI DÖNEM",IF($I619="Hayır","ÖDENECEK","UYGUN")))),"EKSİK"))))</f>
        <v/>
      </c>
      <c r="Q619" s="2"/>
      <c r="R619" s="2"/>
      <c r="S619" s="1" t="str">
        <f t="shared" si="29"/>
        <v/>
      </c>
      <c r="T619" s="1" t="str">
        <f>IF(OR($C619="",$D619&lt;&gt;"Gelir",$L619=""),"",IFERROR(INDEX(MUSTERILER!$B$7:$B$156,MATCH($S619,MUSTERILER!$T$7:$T$156,0)),""))</f>
        <v/>
      </c>
      <c r="U619" s="1" t="str">
        <f>IF($T619="","",$T619&amp;"|"&amp;COUNTIFS($T$7:$T619,$T619))</f>
        <v/>
      </c>
      <c r="V619" s="1">
        <f t="shared" si="30"/>
        <v>0</v>
      </c>
      <c r="W619" s="1" t="str">
        <f t="shared" si="31"/>
        <v/>
      </c>
      <c r="X619" s="1"/>
      <c r="Y619" s="1"/>
      <c r="Z619" s="1"/>
      <c r="AA619" s="1"/>
      <c r="AB619" s="1"/>
      <c r="AC619" s="1"/>
      <c r="AD619" s="1">
        <f>IF($C619="",0,SUMPRODUCT((AY_SONU!$O$7:$O$42="Evet")*(AY_SONU!$B$7:$B$42=DATE(YEAR($C619),MONTH($C619),1))))</f>
        <v>0</v>
      </c>
      <c r="AE619" s="1" t="str">
        <f>IF($E619="","",$E619&amp;"|"&amp;COUNTIFS($E$7:$E619,$E619))</f>
        <v/>
      </c>
    </row>
    <row r="620" spans="1:31" ht="18" customHeight="1" x14ac:dyDescent="0.3">
      <c r="A620" s="2"/>
      <c r="B620" s="65" t="str">
        <f>IF($C620="","","GG"&amp;TEXT(ROW()-6,"00000"))</f>
        <v/>
      </c>
      <c r="C620" s="66"/>
      <c r="D620" s="60"/>
      <c r="E620" s="61"/>
      <c r="F620" s="61"/>
      <c r="G620" s="67"/>
      <c r="H620" s="60"/>
      <c r="I620" s="60"/>
      <c r="J620" s="61"/>
      <c r="K620" s="61"/>
      <c r="L620" s="60"/>
      <c r="M620" s="74" t="str">
        <f>IF($C620="","",IF($D620="Gider",$E620,IF($L620&lt;&gt;"",$L620,$H620)))</f>
        <v/>
      </c>
      <c r="N620" s="74" t="str">
        <f>IF($C620="","",IF($D620="Gider",$H620,$E620))</f>
        <v/>
      </c>
      <c r="O620" s="73" t="str">
        <f>IF($C620="","",DATE(YEAR($C620),MONTH($C620),1))</f>
        <v/>
      </c>
      <c r="P620" s="65" t="str">
        <f ca="1">IF($C620="","",IF(AND($D620="Gelir",$L620&lt;&gt;"",$T620=""),"TANIMSIZ BORÇLU",IF($T620&lt;&gt;"",IF(OR($E620="",$G620&lt;=0),"EKSİK",IF($I620="Evet","TAHAKKUK NAKİT OLAMAZ",IF($C620&gt;TODAY(),"İLERİ TARİH","TAHAKKUK"))),IF(AND($D620&lt;&gt;"",$E620&lt;&gt;"",$G620&gt;0,$H620&lt;&gt;"",$I620&lt;&gt;""),IF($C620&gt;TODAY(),"İLERİ TARİH",IF(COUNTIF($W$7:$W$3001,$W620)&gt;1,"MÜKERRER?",IF($AD620&gt;0,"KAPALI DÖNEM",IF($I620="Hayır","ÖDENECEK","UYGUN")))),"EKSİK"))))</f>
        <v/>
      </c>
      <c r="Q620" s="2"/>
      <c r="R620" s="2"/>
      <c r="S620" s="1" t="str">
        <f t="shared" si="29"/>
        <v/>
      </c>
      <c r="T620" s="1" t="str">
        <f>IF(OR($C620="",$D620&lt;&gt;"Gelir",$L620=""),"",IFERROR(INDEX(MUSTERILER!$B$7:$B$156,MATCH($S620,MUSTERILER!$T$7:$T$156,0)),""))</f>
        <v/>
      </c>
      <c r="U620" s="1" t="str">
        <f>IF($T620="","",$T620&amp;"|"&amp;COUNTIFS($T$7:$T620,$T620))</f>
        <v/>
      </c>
      <c r="V620" s="1">
        <f t="shared" si="30"/>
        <v>0</v>
      </c>
      <c r="W620" s="1" t="str">
        <f t="shared" si="31"/>
        <v/>
      </c>
      <c r="X620" s="1"/>
      <c r="Y620" s="1"/>
      <c r="Z620" s="1"/>
      <c r="AA620" s="1"/>
      <c r="AB620" s="1"/>
      <c r="AC620" s="1"/>
      <c r="AD620" s="1">
        <f>IF($C620="",0,SUMPRODUCT((AY_SONU!$O$7:$O$42="Evet")*(AY_SONU!$B$7:$B$42=DATE(YEAR($C620),MONTH($C620),1))))</f>
        <v>0</v>
      </c>
      <c r="AE620" s="1" t="str">
        <f>IF($E620="","",$E620&amp;"|"&amp;COUNTIFS($E$7:$E620,$E620))</f>
        <v/>
      </c>
    </row>
    <row r="621" spans="1:31" ht="18" customHeight="1" x14ac:dyDescent="0.3">
      <c r="A621" s="2"/>
      <c r="B621" s="65" t="str">
        <f>IF($C621="","","GG"&amp;TEXT(ROW()-6,"00000"))</f>
        <v/>
      </c>
      <c r="C621" s="66"/>
      <c r="D621" s="60"/>
      <c r="E621" s="61"/>
      <c r="F621" s="61"/>
      <c r="G621" s="67"/>
      <c r="H621" s="60"/>
      <c r="I621" s="60"/>
      <c r="J621" s="61"/>
      <c r="K621" s="61"/>
      <c r="L621" s="60"/>
      <c r="M621" s="74" t="str">
        <f>IF($C621="","",IF($D621="Gider",$E621,IF($L621&lt;&gt;"",$L621,$H621)))</f>
        <v/>
      </c>
      <c r="N621" s="74" t="str">
        <f>IF($C621="","",IF($D621="Gider",$H621,$E621))</f>
        <v/>
      </c>
      <c r="O621" s="73" t="str">
        <f>IF($C621="","",DATE(YEAR($C621),MONTH($C621),1))</f>
        <v/>
      </c>
      <c r="P621" s="65" t="str">
        <f ca="1">IF($C621="","",IF(AND($D621="Gelir",$L621&lt;&gt;"",$T621=""),"TANIMSIZ BORÇLU",IF($T621&lt;&gt;"",IF(OR($E621="",$G621&lt;=0),"EKSİK",IF($I621="Evet","TAHAKKUK NAKİT OLAMAZ",IF($C621&gt;TODAY(),"İLERİ TARİH","TAHAKKUK"))),IF(AND($D621&lt;&gt;"",$E621&lt;&gt;"",$G621&gt;0,$H621&lt;&gt;"",$I621&lt;&gt;""),IF($C621&gt;TODAY(),"İLERİ TARİH",IF(COUNTIF($W$7:$W$3001,$W621)&gt;1,"MÜKERRER?",IF($AD621&gt;0,"KAPALI DÖNEM",IF($I621="Hayır","ÖDENECEK","UYGUN")))),"EKSİK"))))</f>
        <v/>
      </c>
      <c r="Q621" s="2"/>
      <c r="R621" s="2"/>
      <c r="S621" s="1" t="str">
        <f t="shared" si="29"/>
        <v/>
      </c>
      <c r="T621" s="1" t="str">
        <f>IF(OR($C621="",$D621&lt;&gt;"Gelir",$L621=""),"",IFERROR(INDEX(MUSTERILER!$B$7:$B$156,MATCH($S621,MUSTERILER!$T$7:$T$156,0)),""))</f>
        <v/>
      </c>
      <c r="U621" s="1" t="str">
        <f>IF($T621="","",$T621&amp;"|"&amp;COUNTIFS($T$7:$T621,$T621))</f>
        <v/>
      </c>
      <c r="V621" s="1">
        <f t="shared" si="30"/>
        <v>0</v>
      </c>
      <c r="W621" s="1" t="str">
        <f t="shared" si="31"/>
        <v/>
      </c>
      <c r="X621" s="1"/>
      <c r="Y621" s="1"/>
      <c r="Z621" s="1"/>
      <c r="AA621" s="1"/>
      <c r="AB621" s="1"/>
      <c r="AC621" s="1"/>
      <c r="AD621" s="1">
        <f>IF($C621="",0,SUMPRODUCT((AY_SONU!$O$7:$O$42="Evet")*(AY_SONU!$B$7:$B$42=DATE(YEAR($C621),MONTH($C621),1))))</f>
        <v>0</v>
      </c>
      <c r="AE621" s="1" t="str">
        <f>IF($E621="","",$E621&amp;"|"&amp;COUNTIFS($E$7:$E621,$E621))</f>
        <v/>
      </c>
    </row>
    <row r="622" spans="1:31" ht="18" customHeight="1" x14ac:dyDescent="0.3">
      <c r="A622" s="2"/>
      <c r="B622" s="65" t="str">
        <f>IF($C622="","","GG"&amp;TEXT(ROW()-6,"00000"))</f>
        <v/>
      </c>
      <c r="C622" s="66"/>
      <c r="D622" s="60"/>
      <c r="E622" s="61"/>
      <c r="F622" s="61"/>
      <c r="G622" s="67"/>
      <c r="H622" s="60"/>
      <c r="I622" s="60"/>
      <c r="J622" s="61"/>
      <c r="K622" s="61"/>
      <c r="L622" s="60"/>
      <c r="M622" s="74" t="str">
        <f>IF($C622="","",IF($D622="Gider",$E622,IF($L622&lt;&gt;"",$L622,$H622)))</f>
        <v/>
      </c>
      <c r="N622" s="74" t="str">
        <f>IF($C622="","",IF($D622="Gider",$H622,$E622))</f>
        <v/>
      </c>
      <c r="O622" s="73" t="str">
        <f>IF($C622="","",DATE(YEAR($C622),MONTH($C622),1))</f>
        <v/>
      </c>
      <c r="P622" s="65" t="str">
        <f ca="1">IF($C622="","",IF(AND($D622="Gelir",$L622&lt;&gt;"",$T622=""),"TANIMSIZ BORÇLU",IF($T622&lt;&gt;"",IF(OR($E622="",$G622&lt;=0),"EKSİK",IF($I622="Evet","TAHAKKUK NAKİT OLAMAZ",IF($C622&gt;TODAY(),"İLERİ TARİH","TAHAKKUK"))),IF(AND($D622&lt;&gt;"",$E622&lt;&gt;"",$G622&gt;0,$H622&lt;&gt;"",$I622&lt;&gt;""),IF($C622&gt;TODAY(),"İLERİ TARİH",IF(COUNTIF($W$7:$W$3001,$W622)&gt;1,"MÜKERRER?",IF($AD622&gt;0,"KAPALI DÖNEM",IF($I622="Hayır","ÖDENECEK","UYGUN")))),"EKSİK"))))</f>
        <v/>
      </c>
      <c r="Q622" s="2"/>
      <c r="R622" s="2"/>
      <c r="S622" s="1" t="str">
        <f t="shared" si="29"/>
        <v/>
      </c>
      <c r="T622" s="1" t="str">
        <f>IF(OR($C622="",$D622&lt;&gt;"Gelir",$L622=""),"",IFERROR(INDEX(MUSTERILER!$B$7:$B$156,MATCH($S622,MUSTERILER!$T$7:$T$156,0)),""))</f>
        <v/>
      </c>
      <c r="U622" s="1" t="str">
        <f>IF($T622="","",$T622&amp;"|"&amp;COUNTIFS($T$7:$T622,$T622))</f>
        <v/>
      </c>
      <c r="V622" s="1">
        <f t="shared" si="30"/>
        <v>0</v>
      </c>
      <c r="W622" s="1" t="str">
        <f t="shared" si="31"/>
        <v/>
      </c>
      <c r="X622" s="1"/>
      <c r="Y622" s="1"/>
      <c r="Z622" s="1"/>
      <c r="AA622" s="1"/>
      <c r="AB622" s="1"/>
      <c r="AC622" s="1"/>
      <c r="AD622" s="1">
        <f>IF($C622="",0,SUMPRODUCT((AY_SONU!$O$7:$O$42="Evet")*(AY_SONU!$B$7:$B$42=DATE(YEAR($C622),MONTH($C622),1))))</f>
        <v>0</v>
      </c>
      <c r="AE622" s="1" t="str">
        <f>IF($E622="","",$E622&amp;"|"&amp;COUNTIFS($E$7:$E622,$E622))</f>
        <v/>
      </c>
    </row>
    <row r="623" spans="1:31" ht="18" customHeight="1" x14ac:dyDescent="0.3">
      <c r="A623" s="2"/>
      <c r="B623" s="65" t="str">
        <f>IF($C623="","","GG"&amp;TEXT(ROW()-6,"00000"))</f>
        <v/>
      </c>
      <c r="C623" s="66"/>
      <c r="D623" s="60"/>
      <c r="E623" s="61"/>
      <c r="F623" s="61"/>
      <c r="G623" s="67"/>
      <c r="H623" s="60"/>
      <c r="I623" s="60"/>
      <c r="J623" s="61"/>
      <c r="K623" s="61"/>
      <c r="L623" s="60"/>
      <c r="M623" s="74" t="str">
        <f>IF($C623="","",IF($D623="Gider",$E623,IF($L623&lt;&gt;"",$L623,$H623)))</f>
        <v/>
      </c>
      <c r="N623" s="74" t="str">
        <f>IF($C623="","",IF($D623="Gider",$H623,$E623))</f>
        <v/>
      </c>
      <c r="O623" s="73" t="str">
        <f>IF($C623="","",DATE(YEAR($C623),MONTH($C623),1))</f>
        <v/>
      </c>
      <c r="P623" s="65" t="str">
        <f ca="1">IF($C623="","",IF(AND($D623="Gelir",$L623&lt;&gt;"",$T623=""),"TANIMSIZ BORÇLU",IF($T623&lt;&gt;"",IF(OR($E623="",$G623&lt;=0),"EKSİK",IF($I623="Evet","TAHAKKUK NAKİT OLAMAZ",IF($C623&gt;TODAY(),"İLERİ TARİH","TAHAKKUK"))),IF(AND($D623&lt;&gt;"",$E623&lt;&gt;"",$G623&gt;0,$H623&lt;&gt;"",$I623&lt;&gt;""),IF($C623&gt;TODAY(),"İLERİ TARİH",IF(COUNTIF($W$7:$W$3001,$W623)&gt;1,"MÜKERRER?",IF($AD623&gt;0,"KAPALI DÖNEM",IF($I623="Hayır","ÖDENECEK","UYGUN")))),"EKSİK"))))</f>
        <v/>
      </c>
      <c r="Q623" s="2"/>
      <c r="R623" s="2"/>
      <c r="S623" s="1" t="str">
        <f t="shared" si="29"/>
        <v/>
      </c>
      <c r="T623" s="1" t="str">
        <f>IF(OR($C623="",$D623&lt;&gt;"Gelir",$L623=""),"",IFERROR(INDEX(MUSTERILER!$B$7:$B$156,MATCH($S623,MUSTERILER!$T$7:$T$156,0)),""))</f>
        <v/>
      </c>
      <c r="U623" s="1" t="str">
        <f>IF($T623="","",$T623&amp;"|"&amp;COUNTIFS($T$7:$T623,$T623))</f>
        <v/>
      </c>
      <c r="V623" s="1">
        <f t="shared" si="30"/>
        <v>0</v>
      </c>
      <c r="W623" s="1" t="str">
        <f t="shared" si="31"/>
        <v/>
      </c>
      <c r="X623" s="1"/>
      <c r="Y623" s="1"/>
      <c r="Z623" s="1"/>
      <c r="AA623" s="1"/>
      <c r="AB623" s="1"/>
      <c r="AC623" s="1"/>
      <c r="AD623" s="1">
        <f>IF($C623="",0,SUMPRODUCT((AY_SONU!$O$7:$O$42="Evet")*(AY_SONU!$B$7:$B$42=DATE(YEAR($C623),MONTH($C623),1))))</f>
        <v>0</v>
      </c>
      <c r="AE623" s="1" t="str">
        <f>IF($E623="","",$E623&amp;"|"&amp;COUNTIFS($E$7:$E623,$E623))</f>
        <v/>
      </c>
    </row>
    <row r="624" spans="1:31" ht="18" customHeight="1" x14ac:dyDescent="0.3">
      <c r="A624" s="2"/>
      <c r="B624" s="65" t="str">
        <f>IF($C624="","","GG"&amp;TEXT(ROW()-6,"00000"))</f>
        <v/>
      </c>
      <c r="C624" s="66"/>
      <c r="D624" s="60"/>
      <c r="E624" s="61"/>
      <c r="F624" s="61"/>
      <c r="G624" s="67"/>
      <c r="H624" s="60"/>
      <c r="I624" s="60"/>
      <c r="J624" s="61"/>
      <c r="K624" s="61"/>
      <c r="L624" s="60"/>
      <c r="M624" s="74" t="str">
        <f>IF($C624="","",IF($D624="Gider",$E624,IF($L624&lt;&gt;"",$L624,$H624)))</f>
        <v/>
      </c>
      <c r="N624" s="74" t="str">
        <f>IF($C624="","",IF($D624="Gider",$H624,$E624))</f>
        <v/>
      </c>
      <c r="O624" s="73" t="str">
        <f>IF($C624="","",DATE(YEAR($C624),MONTH($C624),1))</f>
        <v/>
      </c>
      <c r="P624" s="65" t="str">
        <f ca="1">IF($C624="","",IF(AND($D624="Gelir",$L624&lt;&gt;"",$T624=""),"TANIMSIZ BORÇLU",IF($T624&lt;&gt;"",IF(OR($E624="",$G624&lt;=0),"EKSİK",IF($I624="Evet","TAHAKKUK NAKİT OLAMAZ",IF($C624&gt;TODAY(),"İLERİ TARİH","TAHAKKUK"))),IF(AND($D624&lt;&gt;"",$E624&lt;&gt;"",$G624&gt;0,$H624&lt;&gt;"",$I624&lt;&gt;""),IF($C624&gt;TODAY(),"İLERİ TARİH",IF(COUNTIF($W$7:$W$3001,$W624)&gt;1,"MÜKERRER?",IF($AD624&gt;0,"KAPALI DÖNEM",IF($I624="Hayır","ÖDENECEK","UYGUN")))),"EKSİK"))))</f>
        <v/>
      </c>
      <c r="Q624" s="2"/>
      <c r="R624" s="2"/>
      <c r="S624" s="1" t="str">
        <f t="shared" si="29"/>
        <v/>
      </c>
      <c r="T624" s="1" t="str">
        <f>IF(OR($C624="",$D624&lt;&gt;"Gelir",$L624=""),"",IFERROR(INDEX(MUSTERILER!$B$7:$B$156,MATCH($S624,MUSTERILER!$T$7:$T$156,0)),""))</f>
        <v/>
      </c>
      <c r="U624" s="1" t="str">
        <f>IF($T624="","",$T624&amp;"|"&amp;COUNTIFS($T$7:$T624,$T624))</f>
        <v/>
      </c>
      <c r="V624" s="1">
        <f t="shared" si="30"/>
        <v>0</v>
      </c>
      <c r="W624" s="1" t="str">
        <f t="shared" si="31"/>
        <v/>
      </c>
      <c r="X624" s="1"/>
      <c r="Y624" s="1"/>
      <c r="Z624" s="1"/>
      <c r="AA624" s="1"/>
      <c r="AB624" s="1"/>
      <c r="AC624" s="1"/>
      <c r="AD624" s="1">
        <f>IF($C624="",0,SUMPRODUCT((AY_SONU!$O$7:$O$42="Evet")*(AY_SONU!$B$7:$B$42=DATE(YEAR($C624),MONTH($C624),1))))</f>
        <v>0</v>
      </c>
      <c r="AE624" s="1" t="str">
        <f>IF($E624="","",$E624&amp;"|"&amp;COUNTIFS($E$7:$E624,$E624))</f>
        <v/>
      </c>
    </row>
    <row r="625" spans="1:31" ht="18" customHeight="1" x14ac:dyDescent="0.3">
      <c r="A625" s="2"/>
      <c r="B625" s="65" t="str">
        <f>IF($C625="","","GG"&amp;TEXT(ROW()-6,"00000"))</f>
        <v/>
      </c>
      <c r="C625" s="66"/>
      <c r="D625" s="60"/>
      <c r="E625" s="61"/>
      <c r="F625" s="61"/>
      <c r="G625" s="67"/>
      <c r="H625" s="60"/>
      <c r="I625" s="60"/>
      <c r="J625" s="61"/>
      <c r="K625" s="61"/>
      <c r="L625" s="60"/>
      <c r="M625" s="74" t="str">
        <f>IF($C625="","",IF($D625="Gider",$E625,IF($L625&lt;&gt;"",$L625,$H625)))</f>
        <v/>
      </c>
      <c r="N625" s="74" t="str">
        <f>IF($C625="","",IF($D625="Gider",$H625,$E625))</f>
        <v/>
      </c>
      <c r="O625" s="73" t="str">
        <f>IF($C625="","",DATE(YEAR($C625),MONTH($C625),1))</f>
        <v/>
      </c>
      <c r="P625" s="65" t="str">
        <f ca="1">IF($C625="","",IF(AND($D625="Gelir",$L625&lt;&gt;"",$T625=""),"TANIMSIZ BORÇLU",IF($T625&lt;&gt;"",IF(OR($E625="",$G625&lt;=0),"EKSİK",IF($I625="Evet","TAHAKKUK NAKİT OLAMAZ",IF($C625&gt;TODAY(),"İLERİ TARİH","TAHAKKUK"))),IF(AND($D625&lt;&gt;"",$E625&lt;&gt;"",$G625&gt;0,$H625&lt;&gt;"",$I625&lt;&gt;""),IF($C625&gt;TODAY(),"İLERİ TARİH",IF(COUNTIF($W$7:$W$3001,$W625)&gt;1,"MÜKERRER?",IF($AD625&gt;0,"KAPALI DÖNEM",IF($I625="Hayır","ÖDENECEK","UYGUN")))),"EKSİK"))))</f>
        <v/>
      </c>
      <c r="Q625" s="2"/>
      <c r="R625" s="2"/>
      <c r="S625" s="1" t="str">
        <f t="shared" si="29"/>
        <v/>
      </c>
      <c r="T625" s="1" t="str">
        <f>IF(OR($C625="",$D625&lt;&gt;"Gelir",$L625=""),"",IFERROR(INDEX(MUSTERILER!$B$7:$B$156,MATCH($S625,MUSTERILER!$T$7:$T$156,0)),""))</f>
        <v/>
      </c>
      <c r="U625" s="1" t="str">
        <f>IF($T625="","",$T625&amp;"|"&amp;COUNTIFS($T$7:$T625,$T625))</f>
        <v/>
      </c>
      <c r="V625" s="1">
        <f t="shared" si="30"/>
        <v>0</v>
      </c>
      <c r="W625" s="1" t="str">
        <f t="shared" si="31"/>
        <v/>
      </c>
      <c r="X625" s="1"/>
      <c r="Y625" s="1"/>
      <c r="Z625" s="1"/>
      <c r="AA625" s="1"/>
      <c r="AB625" s="1"/>
      <c r="AC625" s="1"/>
      <c r="AD625" s="1">
        <f>IF($C625="",0,SUMPRODUCT((AY_SONU!$O$7:$O$42="Evet")*(AY_SONU!$B$7:$B$42=DATE(YEAR($C625),MONTH($C625),1))))</f>
        <v>0</v>
      </c>
      <c r="AE625" s="1" t="str">
        <f>IF($E625="","",$E625&amp;"|"&amp;COUNTIFS($E$7:$E625,$E625))</f>
        <v/>
      </c>
    </row>
    <row r="626" spans="1:31" ht="18" customHeight="1" x14ac:dyDescent="0.3">
      <c r="A626" s="2"/>
      <c r="B626" s="65" t="str">
        <f>IF($C626="","","GG"&amp;TEXT(ROW()-6,"00000"))</f>
        <v/>
      </c>
      <c r="C626" s="66"/>
      <c r="D626" s="60"/>
      <c r="E626" s="61"/>
      <c r="F626" s="61"/>
      <c r="G626" s="67"/>
      <c r="H626" s="60"/>
      <c r="I626" s="60"/>
      <c r="J626" s="61"/>
      <c r="K626" s="61"/>
      <c r="L626" s="60"/>
      <c r="M626" s="74" t="str">
        <f>IF($C626="","",IF($D626="Gider",$E626,IF($L626&lt;&gt;"",$L626,$H626)))</f>
        <v/>
      </c>
      <c r="N626" s="74" t="str">
        <f>IF($C626="","",IF($D626="Gider",$H626,$E626))</f>
        <v/>
      </c>
      <c r="O626" s="73" t="str">
        <f>IF($C626="","",DATE(YEAR($C626),MONTH($C626),1))</f>
        <v/>
      </c>
      <c r="P626" s="65" t="str">
        <f ca="1">IF($C626="","",IF(AND($D626="Gelir",$L626&lt;&gt;"",$T626=""),"TANIMSIZ BORÇLU",IF($T626&lt;&gt;"",IF(OR($E626="",$G626&lt;=0),"EKSİK",IF($I626="Evet","TAHAKKUK NAKİT OLAMAZ",IF($C626&gt;TODAY(),"İLERİ TARİH","TAHAKKUK"))),IF(AND($D626&lt;&gt;"",$E626&lt;&gt;"",$G626&gt;0,$H626&lt;&gt;"",$I626&lt;&gt;""),IF($C626&gt;TODAY(),"İLERİ TARİH",IF(COUNTIF($W$7:$W$3001,$W626)&gt;1,"MÜKERRER?",IF($AD626&gt;0,"KAPALI DÖNEM",IF($I626="Hayır","ÖDENECEK","UYGUN")))),"EKSİK"))))</f>
        <v/>
      </c>
      <c r="Q626" s="2"/>
      <c r="R626" s="2"/>
      <c r="S626" s="1" t="str">
        <f t="shared" si="29"/>
        <v/>
      </c>
      <c r="T626" s="1" t="str">
        <f>IF(OR($C626="",$D626&lt;&gt;"Gelir",$L626=""),"",IFERROR(INDEX(MUSTERILER!$B$7:$B$156,MATCH($S626,MUSTERILER!$T$7:$T$156,0)),""))</f>
        <v/>
      </c>
      <c r="U626" s="1" t="str">
        <f>IF($T626="","",$T626&amp;"|"&amp;COUNTIFS($T$7:$T626,$T626))</f>
        <v/>
      </c>
      <c r="V626" s="1">
        <f t="shared" si="30"/>
        <v>0</v>
      </c>
      <c r="W626" s="1" t="str">
        <f t="shared" si="31"/>
        <v/>
      </c>
      <c r="X626" s="1"/>
      <c r="Y626" s="1"/>
      <c r="Z626" s="1"/>
      <c r="AA626" s="1"/>
      <c r="AB626" s="1"/>
      <c r="AC626" s="1"/>
      <c r="AD626" s="1">
        <f>IF($C626="",0,SUMPRODUCT((AY_SONU!$O$7:$O$42="Evet")*(AY_SONU!$B$7:$B$42=DATE(YEAR($C626),MONTH($C626),1))))</f>
        <v>0</v>
      </c>
      <c r="AE626" s="1" t="str">
        <f>IF($E626="","",$E626&amp;"|"&amp;COUNTIFS($E$7:$E626,$E626))</f>
        <v/>
      </c>
    </row>
    <row r="627" spans="1:31" ht="18" customHeight="1" x14ac:dyDescent="0.3">
      <c r="A627" s="2"/>
      <c r="B627" s="65" t="str">
        <f>IF($C627="","","GG"&amp;TEXT(ROW()-6,"00000"))</f>
        <v/>
      </c>
      <c r="C627" s="66"/>
      <c r="D627" s="60"/>
      <c r="E627" s="61"/>
      <c r="F627" s="61"/>
      <c r="G627" s="67"/>
      <c r="H627" s="60"/>
      <c r="I627" s="60"/>
      <c r="J627" s="61"/>
      <c r="K627" s="61"/>
      <c r="L627" s="60"/>
      <c r="M627" s="74" t="str">
        <f>IF($C627="","",IF($D627="Gider",$E627,IF($L627&lt;&gt;"",$L627,$H627)))</f>
        <v/>
      </c>
      <c r="N627" s="74" t="str">
        <f>IF($C627="","",IF($D627="Gider",$H627,$E627))</f>
        <v/>
      </c>
      <c r="O627" s="73" t="str">
        <f>IF($C627="","",DATE(YEAR($C627),MONTH($C627),1))</f>
        <v/>
      </c>
      <c r="P627" s="65" t="str">
        <f ca="1">IF($C627="","",IF(AND($D627="Gelir",$L627&lt;&gt;"",$T627=""),"TANIMSIZ BORÇLU",IF($T627&lt;&gt;"",IF(OR($E627="",$G627&lt;=0),"EKSİK",IF($I627="Evet","TAHAKKUK NAKİT OLAMAZ",IF($C627&gt;TODAY(),"İLERİ TARİH","TAHAKKUK"))),IF(AND($D627&lt;&gt;"",$E627&lt;&gt;"",$G627&gt;0,$H627&lt;&gt;"",$I627&lt;&gt;""),IF($C627&gt;TODAY(),"İLERİ TARİH",IF(COUNTIF($W$7:$W$3001,$W627)&gt;1,"MÜKERRER?",IF($AD627&gt;0,"KAPALI DÖNEM",IF($I627="Hayır","ÖDENECEK","UYGUN")))),"EKSİK"))))</f>
        <v/>
      </c>
      <c r="Q627" s="2"/>
      <c r="R627" s="2"/>
      <c r="S627" s="1" t="str">
        <f t="shared" si="29"/>
        <v/>
      </c>
      <c r="T627" s="1" t="str">
        <f>IF(OR($C627="",$D627&lt;&gt;"Gelir",$L627=""),"",IFERROR(INDEX(MUSTERILER!$B$7:$B$156,MATCH($S627,MUSTERILER!$T$7:$T$156,0)),""))</f>
        <v/>
      </c>
      <c r="U627" s="1" t="str">
        <f>IF($T627="","",$T627&amp;"|"&amp;COUNTIFS($T$7:$T627,$T627))</f>
        <v/>
      </c>
      <c r="V627" s="1">
        <f t="shared" si="30"/>
        <v>0</v>
      </c>
      <c r="W627" s="1" t="str">
        <f t="shared" si="31"/>
        <v/>
      </c>
      <c r="X627" s="1"/>
      <c r="Y627" s="1"/>
      <c r="Z627" s="1"/>
      <c r="AA627" s="1"/>
      <c r="AB627" s="1"/>
      <c r="AC627" s="1"/>
      <c r="AD627" s="1">
        <f>IF($C627="",0,SUMPRODUCT((AY_SONU!$O$7:$O$42="Evet")*(AY_SONU!$B$7:$B$42=DATE(YEAR($C627),MONTH($C627),1))))</f>
        <v>0</v>
      </c>
      <c r="AE627" s="1" t="str">
        <f>IF($E627="","",$E627&amp;"|"&amp;COUNTIFS($E$7:$E627,$E627))</f>
        <v/>
      </c>
    </row>
    <row r="628" spans="1:31" ht="18" customHeight="1" x14ac:dyDescent="0.3">
      <c r="A628" s="2"/>
      <c r="B628" s="65" t="str">
        <f>IF($C628="","","GG"&amp;TEXT(ROW()-6,"00000"))</f>
        <v/>
      </c>
      <c r="C628" s="66"/>
      <c r="D628" s="60"/>
      <c r="E628" s="61"/>
      <c r="F628" s="61"/>
      <c r="G628" s="67"/>
      <c r="H628" s="60"/>
      <c r="I628" s="60"/>
      <c r="J628" s="61"/>
      <c r="K628" s="61"/>
      <c r="L628" s="60"/>
      <c r="M628" s="74" t="str">
        <f>IF($C628="","",IF($D628="Gider",$E628,IF($L628&lt;&gt;"",$L628,$H628)))</f>
        <v/>
      </c>
      <c r="N628" s="74" t="str">
        <f>IF($C628="","",IF($D628="Gider",$H628,$E628))</f>
        <v/>
      </c>
      <c r="O628" s="73" t="str">
        <f>IF($C628="","",DATE(YEAR($C628),MONTH($C628),1))</f>
        <v/>
      </c>
      <c r="P628" s="65" t="str">
        <f ca="1">IF($C628="","",IF(AND($D628="Gelir",$L628&lt;&gt;"",$T628=""),"TANIMSIZ BORÇLU",IF($T628&lt;&gt;"",IF(OR($E628="",$G628&lt;=0),"EKSİK",IF($I628="Evet","TAHAKKUK NAKİT OLAMAZ",IF($C628&gt;TODAY(),"İLERİ TARİH","TAHAKKUK"))),IF(AND($D628&lt;&gt;"",$E628&lt;&gt;"",$G628&gt;0,$H628&lt;&gt;"",$I628&lt;&gt;""),IF($C628&gt;TODAY(),"İLERİ TARİH",IF(COUNTIF($W$7:$W$3001,$W628)&gt;1,"MÜKERRER?",IF($AD628&gt;0,"KAPALI DÖNEM",IF($I628="Hayır","ÖDENECEK","UYGUN")))),"EKSİK"))))</f>
        <v/>
      </c>
      <c r="Q628" s="2"/>
      <c r="R628" s="2"/>
      <c r="S628" s="1" t="str">
        <f t="shared" si="29"/>
        <v/>
      </c>
      <c r="T628" s="1" t="str">
        <f>IF(OR($C628="",$D628&lt;&gt;"Gelir",$L628=""),"",IFERROR(INDEX(MUSTERILER!$B$7:$B$156,MATCH($S628,MUSTERILER!$T$7:$T$156,0)),""))</f>
        <v/>
      </c>
      <c r="U628" s="1" t="str">
        <f>IF($T628="","",$T628&amp;"|"&amp;COUNTIFS($T$7:$T628,$T628))</f>
        <v/>
      </c>
      <c r="V628" s="1">
        <f t="shared" si="30"/>
        <v>0</v>
      </c>
      <c r="W628" s="1" t="str">
        <f t="shared" si="31"/>
        <v/>
      </c>
      <c r="X628" s="1"/>
      <c r="Y628" s="1"/>
      <c r="Z628" s="1"/>
      <c r="AA628" s="1"/>
      <c r="AB628" s="1"/>
      <c r="AC628" s="1"/>
      <c r="AD628" s="1">
        <f>IF($C628="",0,SUMPRODUCT((AY_SONU!$O$7:$O$42="Evet")*(AY_SONU!$B$7:$B$42=DATE(YEAR($C628),MONTH($C628),1))))</f>
        <v>0</v>
      </c>
      <c r="AE628" s="1" t="str">
        <f>IF($E628="","",$E628&amp;"|"&amp;COUNTIFS($E$7:$E628,$E628))</f>
        <v/>
      </c>
    </row>
    <row r="629" spans="1:31" ht="18" customHeight="1" x14ac:dyDescent="0.3">
      <c r="A629" s="2"/>
      <c r="B629" s="65" t="str">
        <f>IF($C629="","","GG"&amp;TEXT(ROW()-6,"00000"))</f>
        <v/>
      </c>
      <c r="C629" s="66"/>
      <c r="D629" s="60"/>
      <c r="E629" s="61"/>
      <c r="F629" s="61"/>
      <c r="G629" s="67"/>
      <c r="H629" s="60"/>
      <c r="I629" s="60"/>
      <c r="J629" s="61"/>
      <c r="K629" s="61"/>
      <c r="L629" s="60"/>
      <c r="M629" s="74" t="str">
        <f>IF($C629="","",IF($D629="Gider",$E629,IF($L629&lt;&gt;"",$L629,$H629)))</f>
        <v/>
      </c>
      <c r="N629" s="74" t="str">
        <f>IF($C629="","",IF($D629="Gider",$H629,$E629))</f>
        <v/>
      </c>
      <c r="O629" s="73" t="str">
        <f>IF($C629="","",DATE(YEAR($C629),MONTH($C629),1))</f>
        <v/>
      </c>
      <c r="P629" s="65" t="str">
        <f ca="1">IF($C629="","",IF(AND($D629="Gelir",$L629&lt;&gt;"",$T629=""),"TANIMSIZ BORÇLU",IF($T629&lt;&gt;"",IF(OR($E629="",$G629&lt;=0),"EKSİK",IF($I629="Evet","TAHAKKUK NAKİT OLAMAZ",IF($C629&gt;TODAY(),"İLERİ TARİH","TAHAKKUK"))),IF(AND($D629&lt;&gt;"",$E629&lt;&gt;"",$G629&gt;0,$H629&lt;&gt;"",$I629&lt;&gt;""),IF($C629&gt;TODAY(),"İLERİ TARİH",IF(COUNTIF($W$7:$W$3001,$W629)&gt;1,"MÜKERRER?",IF($AD629&gt;0,"KAPALI DÖNEM",IF($I629="Hayır","ÖDENECEK","UYGUN")))),"EKSİK"))))</f>
        <v/>
      </c>
      <c r="Q629" s="2"/>
      <c r="R629" s="2"/>
      <c r="S629" s="1" t="str">
        <f t="shared" si="29"/>
        <v/>
      </c>
      <c r="T629" s="1" t="str">
        <f>IF(OR($C629="",$D629&lt;&gt;"Gelir",$L629=""),"",IFERROR(INDEX(MUSTERILER!$B$7:$B$156,MATCH($S629,MUSTERILER!$T$7:$T$156,0)),""))</f>
        <v/>
      </c>
      <c r="U629" s="1" t="str">
        <f>IF($T629="","",$T629&amp;"|"&amp;COUNTIFS($T$7:$T629,$T629))</f>
        <v/>
      </c>
      <c r="V629" s="1">
        <f t="shared" si="30"/>
        <v>0</v>
      </c>
      <c r="W629" s="1" t="str">
        <f t="shared" si="31"/>
        <v/>
      </c>
      <c r="X629" s="1"/>
      <c r="Y629" s="1"/>
      <c r="Z629" s="1"/>
      <c r="AA629" s="1"/>
      <c r="AB629" s="1"/>
      <c r="AC629" s="1"/>
      <c r="AD629" s="1">
        <f>IF($C629="",0,SUMPRODUCT((AY_SONU!$O$7:$O$42="Evet")*(AY_SONU!$B$7:$B$42=DATE(YEAR($C629),MONTH($C629),1))))</f>
        <v>0</v>
      </c>
      <c r="AE629" s="1" t="str">
        <f>IF($E629="","",$E629&amp;"|"&amp;COUNTIFS($E$7:$E629,$E629))</f>
        <v/>
      </c>
    </row>
    <row r="630" spans="1:31" ht="18" customHeight="1" x14ac:dyDescent="0.3">
      <c r="A630" s="2"/>
      <c r="B630" s="65" t="str">
        <f>IF($C630="","","GG"&amp;TEXT(ROW()-6,"00000"))</f>
        <v/>
      </c>
      <c r="C630" s="66"/>
      <c r="D630" s="60"/>
      <c r="E630" s="61"/>
      <c r="F630" s="61"/>
      <c r="G630" s="67"/>
      <c r="H630" s="60"/>
      <c r="I630" s="60"/>
      <c r="J630" s="61"/>
      <c r="K630" s="61"/>
      <c r="L630" s="60"/>
      <c r="M630" s="74" t="str">
        <f>IF($C630="","",IF($D630="Gider",$E630,IF($L630&lt;&gt;"",$L630,$H630)))</f>
        <v/>
      </c>
      <c r="N630" s="74" t="str">
        <f>IF($C630="","",IF($D630="Gider",$H630,$E630))</f>
        <v/>
      </c>
      <c r="O630" s="73" t="str">
        <f>IF($C630="","",DATE(YEAR($C630),MONTH($C630),1))</f>
        <v/>
      </c>
      <c r="P630" s="65" t="str">
        <f ca="1">IF($C630="","",IF(AND($D630="Gelir",$L630&lt;&gt;"",$T630=""),"TANIMSIZ BORÇLU",IF($T630&lt;&gt;"",IF(OR($E630="",$G630&lt;=0),"EKSİK",IF($I630="Evet","TAHAKKUK NAKİT OLAMAZ",IF($C630&gt;TODAY(),"İLERİ TARİH","TAHAKKUK"))),IF(AND($D630&lt;&gt;"",$E630&lt;&gt;"",$G630&gt;0,$H630&lt;&gt;"",$I630&lt;&gt;""),IF($C630&gt;TODAY(),"İLERİ TARİH",IF(COUNTIF($W$7:$W$3001,$W630)&gt;1,"MÜKERRER?",IF($AD630&gt;0,"KAPALI DÖNEM",IF($I630="Hayır","ÖDENECEK","UYGUN")))),"EKSİK"))))</f>
        <v/>
      </c>
      <c r="Q630" s="2"/>
      <c r="R630" s="2"/>
      <c r="S630" s="1" t="str">
        <f t="shared" si="29"/>
        <v/>
      </c>
      <c r="T630" s="1" t="str">
        <f>IF(OR($C630="",$D630&lt;&gt;"Gelir",$L630=""),"",IFERROR(INDEX(MUSTERILER!$B$7:$B$156,MATCH($S630,MUSTERILER!$T$7:$T$156,0)),""))</f>
        <v/>
      </c>
      <c r="U630" s="1" t="str">
        <f>IF($T630="","",$T630&amp;"|"&amp;COUNTIFS($T$7:$T630,$T630))</f>
        <v/>
      </c>
      <c r="V630" s="1">
        <f t="shared" si="30"/>
        <v>0</v>
      </c>
      <c r="W630" s="1" t="str">
        <f t="shared" si="31"/>
        <v/>
      </c>
      <c r="X630" s="1"/>
      <c r="Y630" s="1"/>
      <c r="Z630" s="1"/>
      <c r="AA630" s="1"/>
      <c r="AB630" s="1"/>
      <c r="AC630" s="1"/>
      <c r="AD630" s="1">
        <f>IF($C630="",0,SUMPRODUCT((AY_SONU!$O$7:$O$42="Evet")*(AY_SONU!$B$7:$B$42=DATE(YEAR($C630),MONTH($C630),1))))</f>
        <v>0</v>
      </c>
      <c r="AE630" s="1" t="str">
        <f>IF($E630="","",$E630&amp;"|"&amp;COUNTIFS($E$7:$E630,$E630))</f>
        <v/>
      </c>
    </row>
    <row r="631" spans="1:31" ht="18" customHeight="1" x14ac:dyDescent="0.3">
      <c r="A631" s="2"/>
      <c r="B631" s="65" t="str">
        <f>IF($C631="","","GG"&amp;TEXT(ROW()-6,"00000"))</f>
        <v/>
      </c>
      <c r="C631" s="66"/>
      <c r="D631" s="60"/>
      <c r="E631" s="61"/>
      <c r="F631" s="61"/>
      <c r="G631" s="67"/>
      <c r="H631" s="60"/>
      <c r="I631" s="60"/>
      <c r="J631" s="61"/>
      <c r="K631" s="61"/>
      <c r="L631" s="60"/>
      <c r="M631" s="74" t="str">
        <f>IF($C631="","",IF($D631="Gider",$E631,IF($L631&lt;&gt;"",$L631,$H631)))</f>
        <v/>
      </c>
      <c r="N631" s="74" t="str">
        <f>IF($C631="","",IF($D631="Gider",$H631,$E631))</f>
        <v/>
      </c>
      <c r="O631" s="73" t="str">
        <f>IF($C631="","",DATE(YEAR($C631),MONTH($C631),1))</f>
        <v/>
      </c>
      <c r="P631" s="65" t="str">
        <f ca="1">IF($C631="","",IF(AND($D631="Gelir",$L631&lt;&gt;"",$T631=""),"TANIMSIZ BORÇLU",IF($T631&lt;&gt;"",IF(OR($E631="",$G631&lt;=0),"EKSİK",IF($I631="Evet","TAHAKKUK NAKİT OLAMAZ",IF($C631&gt;TODAY(),"İLERİ TARİH","TAHAKKUK"))),IF(AND($D631&lt;&gt;"",$E631&lt;&gt;"",$G631&gt;0,$H631&lt;&gt;"",$I631&lt;&gt;""),IF($C631&gt;TODAY(),"İLERİ TARİH",IF(COUNTIF($W$7:$W$3001,$W631)&gt;1,"MÜKERRER?",IF($AD631&gt;0,"KAPALI DÖNEM",IF($I631="Hayır","ÖDENECEK","UYGUN")))),"EKSİK"))))</f>
        <v/>
      </c>
      <c r="Q631" s="2"/>
      <c r="R631" s="2"/>
      <c r="S631" s="1" t="str">
        <f t="shared" si="29"/>
        <v/>
      </c>
      <c r="T631" s="1" t="str">
        <f>IF(OR($C631="",$D631&lt;&gt;"Gelir",$L631=""),"",IFERROR(INDEX(MUSTERILER!$B$7:$B$156,MATCH($S631,MUSTERILER!$T$7:$T$156,0)),""))</f>
        <v/>
      </c>
      <c r="U631" s="1" t="str">
        <f>IF($T631="","",$T631&amp;"|"&amp;COUNTIFS($T$7:$T631,$T631))</f>
        <v/>
      </c>
      <c r="V631" s="1">
        <f t="shared" si="30"/>
        <v>0</v>
      </c>
      <c r="W631" s="1" t="str">
        <f t="shared" si="31"/>
        <v/>
      </c>
      <c r="X631" s="1"/>
      <c r="Y631" s="1"/>
      <c r="Z631" s="1"/>
      <c r="AA631" s="1"/>
      <c r="AB631" s="1"/>
      <c r="AC631" s="1"/>
      <c r="AD631" s="1">
        <f>IF($C631="",0,SUMPRODUCT((AY_SONU!$O$7:$O$42="Evet")*(AY_SONU!$B$7:$B$42=DATE(YEAR($C631),MONTH($C631),1))))</f>
        <v>0</v>
      </c>
      <c r="AE631" s="1" t="str">
        <f>IF($E631="","",$E631&amp;"|"&amp;COUNTIFS($E$7:$E631,$E631))</f>
        <v/>
      </c>
    </row>
    <row r="632" spans="1:31" ht="18" customHeight="1" x14ac:dyDescent="0.3">
      <c r="A632" s="2"/>
      <c r="B632" s="65" t="str">
        <f>IF($C632="","","GG"&amp;TEXT(ROW()-6,"00000"))</f>
        <v/>
      </c>
      <c r="C632" s="66"/>
      <c r="D632" s="60"/>
      <c r="E632" s="61"/>
      <c r="F632" s="61"/>
      <c r="G632" s="67"/>
      <c r="H632" s="60"/>
      <c r="I632" s="60"/>
      <c r="J632" s="61"/>
      <c r="K632" s="61"/>
      <c r="L632" s="60"/>
      <c r="M632" s="74" t="str">
        <f>IF($C632="","",IF($D632="Gider",$E632,IF($L632&lt;&gt;"",$L632,$H632)))</f>
        <v/>
      </c>
      <c r="N632" s="74" t="str">
        <f>IF($C632="","",IF($D632="Gider",$H632,$E632))</f>
        <v/>
      </c>
      <c r="O632" s="73" t="str">
        <f>IF($C632="","",DATE(YEAR($C632),MONTH($C632),1))</f>
        <v/>
      </c>
      <c r="P632" s="65" t="str">
        <f ca="1">IF($C632="","",IF(AND($D632="Gelir",$L632&lt;&gt;"",$T632=""),"TANIMSIZ BORÇLU",IF($T632&lt;&gt;"",IF(OR($E632="",$G632&lt;=0),"EKSİK",IF($I632="Evet","TAHAKKUK NAKİT OLAMAZ",IF($C632&gt;TODAY(),"İLERİ TARİH","TAHAKKUK"))),IF(AND($D632&lt;&gt;"",$E632&lt;&gt;"",$G632&gt;0,$H632&lt;&gt;"",$I632&lt;&gt;""),IF($C632&gt;TODAY(),"İLERİ TARİH",IF(COUNTIF($W$7:$W$3001,$W632)&gt;1,"MÜKERRER?",IF($AD632&gt;0,"KAPALI DÖNEM",IF($I632="Hayır","ÖDENECEK","UYGUN")))),"EKSİK"))))</f>
        <v/>
      </c>
      <c r="Q632" s="2"/>
      <c r="R632" s="2"/>
      <c r="S632" s="1" t="str">
        <f t="shared" si="29"/>
        <v/>
      </c>
      <c r="T632" s="1" t="str">
        <f>IF(OR($C632="",$D632&lt;&gt;"Gelir",$L632=""),"",IFERROR(INDEX(MUSTERILER!$B$7:$B$156,MATCH($S632,MUSTERILER!$T$7:$T$156,0)),""))</f>
        <v/>
      </c>
      <c r="U632" s="1" t="str">
        <f>IF($T632="","",$T632&amp;"|"&amp;COUNTIFS($T$7:$T632,$T632))</f>
        <v/>
      </c>
      <c r="V632" s="1">
        <f t="shared" si="30"/>
        <v>0</v>
      </c>
      <c r="W632" s="1" t="str">
        <f t="shared" si="31"/>
        <v/>
      </c>
      <c r="X632" s="1"/>
      <c r="Y632" s="1"/>
      <c r="Z632" s="1"/>
      <c r="AA632" s="1"/>
      <c r="AB632" s="1"/>
      <c r="AC632" s="1"/>
      <c r="AD632" s="1">
        <f>IF($C632="",0,SUMPRODUCT((AY_SONU!$O$7:$O$42="Evet")*(AY_SONU!$B$7:$B$42=DATE(YEAR($C632),MONTH($C632),1))))</f>
        <v>0</v>
      </c>
      <c r="AE632" s="1" t="str">
        <f>IF($E632="","",$E632&amp;"|"&amp;COUNTIFS($E$7:$E632,$E632))</f>
        <v/>
      </c>
    </row>
    <row r="633" spans="1:31" ht="18" customHeight="1" x14ac:dyDescent="0.3">
      <c r="A633" s="2"/>
      <c r="B633" s="65" t="str">
        <f>IF($C633="","","GG"&amp;TEXT(ROW()-6,"00000"))</f>
        <v/>
      </c>
      <c r="C633" s="66"/>
      <c r="D633" s="60"/>
      <c r="E633" s="61"/>
      <c r="F633" s="61"/>
      <c r="G633" s="67"/>
      <c r="H633" s="60"/>
      <c r="I633" s="60"/>
      <c r="J633" s="61"/>
      <c r="K633" s="61"/>
      <c r="L633" s="60"/>
      <c r="M633" s="74" t="str">
        <f>IF($C633="","",IF($D633="Gider",$E633,IF($L633&lt;&gt;"",$L633,$H633)))</f>
        <v/>
      </c>
      <c r="N633" s="74" t="str">
        <f>IF($C633="","",IF($D633="Gider",$H633,$E633))</f>
        <v/>
      </c>
      <c r="O633" s="73" t="str">
        <f>IF($C633="","",DATE(YEAR($C633),MONTH($C633),1))</f>
        <v/>
      </c>
      <c r="P633" s="65" t="str">
        <f ca="1">IF($C633="","",IF(AND($D633="Gelir",$L633&lt;&gt;"",$T633=""),"TANIMSIZ BORÇLU",IF($T633&lt;&gt;"",IF(OR($E633="",$G633&lt;=0),"EKSİK",IF($I633="Evet","TAHAKKUK NAKİT OLAMAZ",IF($C633&gt;TODAY(),"İLERİ TARİH","TAHAKKUK"))),IF(AND($D633&lt;&gt;"",$E633&lt;&gt;"",$G633&gt;0,$H633&lt;&gt;"",$I633&lt;&gt;""),IF($C633&gt;TODAY(),"İLERİ TARİH",IF(COUNTIF($W$7:$W$3001,$W633)&gt;1,"MÜKERRER?",IF($AD633&gt;0,"KAPALI DÖNEM",IF($I633="Hayır","ÖDENECEK","UYGUN")))),"EKSİK"))))</f>
        <v/>
      </c>
      <c r="Q633" s="2"/>
      <c r="R633" s="2"/>
      <c r="S633" s="1" t="str">
        <f t="shared" si="29"/>
        <v/>
      </c>
      <c r="T633" s="1" t="str">
        <f>IF(OR($C633="",$D633&lt;&gt;"Gelir",$L633=""),"",IFERROR(INDEX(MUSTERILER!$B$7:$B$156,MATCH($S633,MUSTERILER!$T$7:$T$156,0)),""))</f>
        <v/>
      </c>
      <c r="U633" s="1" t="str">
        <f>IF($T633="","",$T633&amp;"|"&amp;COUNTIFS($T$7:$T633,$T633))</f>
        <v/>
      </c>
      <c r="V633" s="1">
        <f t="shared" si="30"/>
        <v>0</v>
      </c>
      <c r="W633" s="1" t="str">
        <f t="shared" si="31"/>
        <v/>
      </c>
      <c r="X633" s="1"/>
      <c r="Y633" s="1"/>
      <c r="Z633" s="1"/>
      <c r="AA633" s="1"/>
      <c r="AB633" s="1"/>
      <c r="AC633" s="1"/>
      <c r="AD633" s="1">
        <f>IF($C633="",0,SUMPRODUCT((AY_SONU!$O$7:$O$42="Evet")*(AY_SONU!$B$7:$B$42=DATE(YEAR($C633),MONTH($C633),1))))</f>
        <v>0</v>
      </c>
      <c r="AE633" s="1" t="str">
        <f>IF($E633="","",$E633&amp;"|"&amp;COUNTIFS($E$7:$E633,$E633))</f>
        <v/>
      </c>
    </row>
    <row r="634" spans="1:31" ht="18" customHeight="1" x14ac:dyDescent="0.3">
      <c r="A634" s="2"/>
      <c r="B634" s="65" t="str">
        <f>IF($C634="","","GG"&amp;TEXT(ROW()-6,"00000"))</f>
        <v/>
      </c>
      <c r="C634" s="66"/>
      <c r="D634" s="60"/>
      <c r="E634" s="61"/>
      <c r="F634" s="61"/>
      <c r="G634" s="67"/>
      <c r="H634" s="60"/>
      <c r="I634" s="60"/>
      <c r="J634" s="61"/>
      <c r="K634" s="61"/>
      <c r="L634" s="60"/>
      <c r="M634" s="74" t="str">
        <f>IF($C634="","",IF($D634="Gider",$E634,IF($L634&lt;&gt;"",$L634,$H634)))</f>
        <v/>
      </c>
      <c r="N634" s="74" t="str">
        <f>IF($C634="","",IF($D634="Gider",$H634,$E634))</f>
        <v/>
      </c>
      <c r="O634" s="73" t="str">
        <f>IF($C634="","",DATE(YEAR($C634),MONTH($C634),1))</f>
        <v/>
      </c>
      <c r="P634" s="65" t="str">
        <f ca="1">IF($C634="","",IF(AND($D634="Gelir",$L634&lt;&gt;"",$T634=""),"TANIMSIZ BORÇLU",IF($T634&lt;&gt;"",IF(OR($E634="",$G634&lt;=0),"EKSİK",IF($I634="Evet","TAHAKKUK NAKİT OLAMAZ",IF($C634&gt;TODAY(),"İLERİ TARİH","TAHAKKUK"))),IF(AND($D634&lt;&gt;"",$E634&lt;&gt;"",$G634&gt;0,$H634&lt;&gt;"",$I634&lt;&gt;""),IF($C634&gt;TODAY(),"İLERİ TARİH",IF(COUNTIF($W$7:$W$3001,$W634)&gt;1,"MÜKERRER?",IF($AD634&gt;0,"KAPALI DÖNEM",IF($I634="Hayır","ÖDENECEK","UYGUN")))),"EKSİK"))))</f>
        <v/>
      </c>
      <c r="Q634" s="2"/>
      <c r="R634" s="2"/>
      <c r="S634" s="1" t="str">
        <f t="shared" si="29"/>
        <v/>
      </c>
      <c r="T634" s="1" t="str">
        <f>IF(OR($C634="",$D634&lt;&gt;"Gelir",$L634=""),"",IFERROR(INDEX(MUSTERILER!$B$7:$B$156,MATCH($S634,MUSTERILER!$T$7:$T$156,0)),""))</f>
        <v/>
      </c>
      <c r="U634" s="1" t="str">
        <f>IF($T634="","",$T634&amp;"|"&amp;COUNTIFS($T$7:$T634,$T634))</f>
        <v/>
      </c>
      <c r="V634" s="1">
        <f t="shared" si="30"/>
        <v>0</v>
      </c>
      <c r="W634" s="1" t="str">
        <f t="shared" si="31"/>
        <v/>
      </c>
      <c r="X634" s="1"/>
      <c r="Y634" s="1"/>
      <c r="Z634" s="1"/>
      <c r="AA634" s="1"/>
      <c r="AB634" s="1"/>
      <c r="AC634" s="1"/>
      <c r="AD634" s="1">
        <f>IF($C634="",0,SUMPRODUCT((AY_SONU!$O$7:$O$42="Evet")*(AY_SONU!$B$7:$B$42=DATE(YEAR($C634),MONTH($C634),1))))</f>
        <v>0</v>
      </c>
      <c r="AE634" s="1" t="str">
        <f>IF($E634="","",$E634&amp;"|"&amp;COUNTIFS($E$7:$E634,$E634))</f>
        <v/>
      </c>
    </row>
    <row r="635" spans="1:31" ht="18" customHeight="1" x14ac:dyDescent="0.3">
      <c r="A635" s="2"/>
      <c r="B635" s="65" t="str">
        <f>IF($C635="","","GG"&amp;TEXT(ROW()-6,"00000"))</f>
        <v/>
      </c>
      <c r="C635" s="66"/>
      <c r="D635" s="60"/>
      <c r="E635" s="61"/>
      <c r="F635" s="61"/>
      <c r="G635" s="67"/>
      <c r="H635" s="60"/>
      <c r="I635" s="60"/>
      <c r="J635" s="61"/>
      <c r="K635" s="61"/>
      <c r="L635" s="60"/>
      <c r="M635" s="74" t="str">
        <f>IF($C635="","",IF($D635="Gider",$E635,IF($L635&lt;&gt;"",$L635,$H635)))</f>
        <v/>
      </c>
      <c r="N635" s="74" t="str">
        <f>IF($C635="","",IF($D635="Gider",$H635,$E635))</f>
        <v/>
      </c>
      <c r="O635" s="73" t="str">
        <f>IF($C635="","",DATE(YEAR($C635),MONTH($C635),1))</f>
        <v/>
      </c>
      <c r="P635" s="65" t="str">
        <f ca="1">IF($C635="","",IF(AND($D635="Gelir",$L635&lt;&gt;"",$T635=""),"TANIMSIZ BORÇLU",IF($T635&lt;&gt;"",IF(OR($E635="",$G635&lt;=0),"EKSİK",IF($I635="Evet","TAHAKKUK NAKİT OLAMAZ",IF($C635&gt;TODAY(),"İLERİ TARİH","TAHAKKUK"))),IF(AND($D635&lt;&gt;"",$E635&lt;&gt;"",$G635&gt;0,$H635&lt;&gt;"",$I635&lt;&gt;""),IF($C635&gt;TODAY(),"İLERİ TARİH",IF(COUNTIF($W$7:$W$3001,$W635)&gt;1,"MÜKERRER?",IF($AD635&gt;0,"KAPALI DÖNEM",IF($I635="Hayır","ÖDENECEK","UYGUN")))),"EKSİK"))))</f>
        <v/>
      </c>
      <c r="Q635" s="2"/>
      <c r="R635" s="2"/>
      <c r="S635" s="1" t="str">
        <f t="shared" si="29"/>
        <v/>
      </c>
      <c r="T635" s="1" t="str">
        <f>IF(OR($C635="",$D635&lt;&gt;"Gelir",$L635=""),"",IFERROR(INDEX(MUSTERILER!$B$7:$B$156,MATCH($S635,MUSTERILER!$T$7:$T$156,0)),""))</f>
        <v/>
      </c>
      <c r="U635" s="1" t="str">
        <f>IF($T635="","",$T635&amp;"|"&amp;COUNTIFS($T$7:$T635,$T635))</f>
        <v/>
      </c>
      <c r="V635" s="1">
        <f t="shared" si="30"/>
        <v>0</v>
      </c>
      <c r="W635" s="1" t="str">
        <f t="shared" si="31"/>
        <v/>
      </c>
      <c r="X635" s="1"/>
      <c r="Y635" s="1"/>
      <c r="Z635" s="1"/>
      <c r="AA635" s="1"/>
      <c r="AB635" s="1"/>
      <c r="AC635" s="1"/>
      <c r="AD635" s="1">
        <f>IF($C635="",0,SUMPRODUCT((AY_SONU!$O$7:$O$42="Evet")*(AY_SONU!$B$7:$B$42=DATE(YEAR($C635),MONTH($C635),1))))</f>
        <v>0</v>
      </c>
      <c r="AE635" s="1" t="str">
        <f>IF($E635="","",$E635&amp;"|"&amp;COUNTIFS($E$7:$E635,$E635))</f>
        <v/>
      </c>
    </row>
    <row r="636" spans="1:31" ht="18" customHeight="1" x14ac:dyDescent="0.3">
      <c r="A636" s="2"/>
      <c r="B636" s="65" t="str">
        <f>IF($C636="","","GG"&amp;TEXT(ROW()-6,"00000"))</f>
        <v/>
      </c>
      <c r="C636" s="66"/>
      <c r="D636" s="60"/>
      <c r="E636" s="61"/>
      <c r="F636" s="61"/>
      <c r="G636" s="67"/>
      <c r="H636" s="60"/>
      <c r="I636" s="60"/>
      <c r="J636" s="61"/>
      <c r="K636" s="61"/>
      <c r="L636" s="60"/>
      <c r="M636" s="74" t="str">
        <f>IF($C636="","",IF($D636="Gider",$E636,IF($L636&lt;&gt;"",$L636,$H636)))</f>
        <v/>
      </c>
      <c r="N636" s="74" t="str">
        <f>IF($C636="","",IF($D636="Gider",$H636,$E636))</f>
        <v/>
      </c>
      <c r="O636" s="73" t="str">
        <f>IF($C636="","",DATE(YEAR($C636),MONTH($C636),1))</f>
        <v/>
      </c>
      <c r="P636" s="65" t="str">
        <f ca="1">IF($C636="","",IF(AND($D636="Gelir",$L636&lt;&gt;"",$T636=""),"TANIMSIZ BORÇLU",IF($T636&lt;&gt;"",IF(OR($E636="",$G636&lt;=0),"EKSİK",IF($I636="Evet","TAHAKKUK NAKİT OLAMAZ",IF($C636&gt;TODAY(),"İLERİ TARİH","TAHAKKUK"))),IF(AND($D636&lt;&gt;"",$E636&lt;&gt;"",$G636&gt;0,$H636&lt;&gt;"",$I636&lt;&gt;""),IF($C636&gt;TODAY(),"İLERİ TARİH",IF(COUNTIF($W$7:$W$3001,$W636)&gt;1,"MÜKERRER?",IF($AD636&gt;0,"KAPALI DÖNEM",IF($I636="Hayır","ÖDENECEK","UYGUN")))),"EKSİK"))))</f>
        <v/>
      </c>
      <c r="Q636" s="2"/>
      <c r="R636" s="2"/>
      <c r="S636" s="1" t="str">
        <f t="shared" si="29"/>
        <v/>
      </c>
      <c r="T636" s="1" t="str">
        <f>IF(OR($C636="",$D636&lt;&gt;"Gelir",$L636=""),"",IFERROR(INDEX(MUSTERILER!$B$7:$B$156,MATCH($S636,MUSTERILER!$T$7:$T$156,0)),""))</f>
        <v/>
      </c>
      <c r="U636" s="1" t="str">
        <f>IF($T636="","",$T636&amp;"|"&amp;COUNTIFS($T$7:$T636,$T636))</f>
        <v/>
      </c>
      <c r="V636" s="1">
        <f t="shared" si="30"/>
        <v>0</v>
      </c>
      <c r="W636" s="1" t="str">
        <f t="shared" si="31"/>
        <v/>
      </c>
      <c r="X636" s="1"/>
      <c r="Y636" s="1"/>
      <c r="Z636" s="1"/>
      <c r="AA636" s="1"/>
      <c r="AB636" s="1"/>
      <c r="AC636" s="1"/>
      <c r="AD636" s="1">
        <f>IF($C636="",0,SUMPRODUCT((AY_SONU!$O$7:$O$42="Evet")*(AY_SONU!$B$7:$B$42=DATE(YEAR($C636),MONTH($C636),1))))</f>
        <v>0</v>
      </c>
      <c r="AE636" s="1" t="str">
        <f>IF($E636="","",$E636&amp;"|"&amp;COUNTIFS($E$7:$E636,$E636))</f>
        <v/>
      </c>
    </row>
    <row r="637" spans="1:31" ht="18" customHeight="1" x14ac:dyDescent="0.3">
      <c r="A637" s="2"/>
      <c r="B637" s="65" t="str">
        <f>IF($C637="","","GG"&amp;TEXT(ROW()-6,"00000"))</f>
        <v/>
      </c>
      <c r="C637" s="66"/>
      <c r="D637" s="60"/>
      <c r="E637" s="61"/>
      <c r="F637" s="61"/>
      <c r="G637" s="67"/>
      <c r="H637" s="60"/>
      <c r="I637" s="60"/>
      <c r="J637" s="61"/>
      <c r="K637" s="61"/>
      <c r="L637" s="60"/>
      <c r="M637" s="74" t="str">
        <f>IF($C637="","",IF($D637="Gider",$E637,IF($L637&lt;&gt;"",$L637,$H637)))</f>
        <v/>
      </c>
      <c r="N637" s="74" t="str">
        <f>IF($C637="","",IF($D637="Gider",$H637,$E637))</f>
        <v/>
      </c>
      <c r="O637" s="73" t="str">
        <f>IF($C637="","",DATE(YEAR($C637),MONTH($C637),1))</f>
        <v/>
      </c>
      <c r="P637" s="65" t="str">
        <f ca="1">IF($C637="","",IF(AND($D637="Gelir",$L637&lt;&gt;"",$T637=""),"TANIMSIZ BORÇLU",IF($T637&lt;&gt;"",IF(OR($E637="",$G637&lt;=0),"EKSİK",IF($I637="Evet","TAHAKKUK NAKİT OLAMAZ",IF($C637&gt;TODAY(),"İLERİ TARİH","TAHAKKUK"))),IF(AND($D637&lt;&gt;"",$E637&lt;&gt;"",$G637&gt;0,$H637&lt;&gt;"",$I637&lt;&gt;""),IF($C637&gt;TODAY(),"İLERİ TARİH",IF(COUNTIF($W$7:$W$3001,$W637)&gt;1,"MÜKERRER?",IF($AD637&gt;0,"KAPALI DÖNEM",IF($I637="Hayır","ÖDENECEK","UYGUN")))),"EKSİK"))))</f>
        <v/>
      </c>
      <c r="Q637" s="2"/>
      <c r="R637" s="2"/>
      <c r="S637" s="1" t="str">
        <f t="shared" si="29"/>
        <v/>
      </c>
      <c r="T637" s="1" t="str">
        <f>IF(OR($C637="",$D637&lt;&gt;"Gelir",$L637=""),"",IFERROR(INDEX(MUSTERILER!$B$7:$B$156,MATCH($S637,MUSTERILER!$T$7:$T$156,0)),""))</f>
        <v/>
      </c>
      <c r="U637" s="1" t="str">
        <f>IF($T637="","",$T637&amp;"|"&amp;COUNTIFS($T$7:$T637,$T637))</f>
        <v/>
      </c>
      <c r="V637" s="1">
        <f t="shared" si="30"/>
        <v>0</v>
      </c>
      <c r="W637" s="1" t="str">
        <f t="shared" si="31"/>
        <v/>
      </c>
      <c r="X637" s="1"/>
      <c r="Y637" s="1"/>
      <c r="Z637" s="1"/>
      <c r="AA637" s="1"/>
      <c r="AB637" s="1"/>
      <c r="AC637" s="1"/>
      <c r="AD637" s="1">
        <f>IF($C637="",0,SUMPRODUCT((AY_SONU!$O$7:$O$42="Evet")*(AY_SONU!$B$7:$B$42=DATE(YEAR($C637),MONTH($C637),1))))</f>
        <v>0</v>
      </c>
      <c r="AE637" s="1" t="str">
        <f>IF($E637="","",$E637&amp;"|"&amp;COUNTIFS($E$7:$E637,$E637))</f>
        <v/>
      </c>
    </row>
    <row r="638" spans="1:31" ht="18" customHeight="1" x14ac:dyDescent="0.3">
      <c r="A638" s="2"/>
      <c r="B638" s="65" t="str">
        <f>IF($C638="","","GG"&amp;TEXT(ROW()-6,"00000"))</f>
        <v/>
      </c>
      <c r="C638" s="66"/>
      <c r="D638" s="60"/>
      <c r="E638" s="61"/>
      <c r="F638" s="61"/>
      <c r="G638" s="67"/>
      <c r="H638" s="60"/>
      <c r="I638" s="60"/>
      <c r="J638" s="61"/>
      <c r="K638" s="61"/>
      <c r="L638" s="60"/>
      <c r="M638" s="74" t="str">
        <f>IF($C638="","",IF($D638="Gider",$E638,IF($L638&lt;&gt;"",$L638,$H638)))</f>
        <v/>
      </c>
      <c r="N638" s="74" t="str">
        <f>IF($C638="","",IF($D638="Gider",$H638,$E638))</f>
        <v/>
      </c>
      <c r="O638" s="73" t="str">
        <f>IF($C638="","",DATE(YEAR($C638),MONTH($C638),1))</f>
        <v/>
      </c>
      <c r="P638" s="65" t="str">
        <f ca="1">IF($C638="","",IF(AND($D638="Gelir",$L638&lt;&gt;"",$T638=""),"TANIMSIZ BORÇLU",IF($T638&lt;&gt;"",IF(OR($E638="",$G638&lt;=0),"EKSİK",IF($I638="Evet","TAHAKKUK NAKİT OLAMAZ",IF($C638&gt;TODAY(),"İLERİ TARİH","TAHAKKUK"))),IF(AND($D638&lt;&gt;"",$E638&lt;&gt;"",$G638&gt;0,$H638&lt;&gt;"",$I638&lt;&gt;""),IF($C638&gt;TODAY(),"İLERİ TARİH",IF(COUNTIF($W$7:$W$3001,$W638)&gt;1,"MÜKERRER?",IF($AD638&gt;0,"KAPALI DÖNEM",IF($I638="Hayır","ÖDENECEK","UYGUN")))),"EKSİK"))))</f>
        <v/>
      </c>
      <c r="Q638" s="2"/>
      <c r="R638" s="2"/>
      <c r="S638" s="1" t="str">
        <f t="shared" si="29"/>
        <v/>
      </c>
      <c r="T638" s="1" t="str">
        <f>IF(OR($C638="",$D638&lt;&gt;"Gelir",$L638=""),"",IFERROR(INDEX(MUSTERILER!$B$7:$B$156,MATCH($S638,MUSTERILER!$T$7:$T$156,0)),""))</f>
        <v/>
      </c>
      <c r="U638" s="1" t="str">
        <f>IF($T638="","",$T638&amp;"|"&amp;COUNTIFS($T$7:$T638,$T638))</f>
        <v/>
      </c>
      <c r="V638" s="1">
        <f t="shared" si="30"/>
        <v>0</v>
      </c>
      <c r="W638" s="1" t="str">
        <f t="shared" si="31"/>
        <v/>
      </c>
      <c r="X638" s="1"/>
      <c r="Y638" s="1"/>
      <c r="Z638" s="1"/>
      <c r="AA638" s="1"/>
      <c r="AB638" s="1"/>
      <c r="AC638" s="1"/>
      <c r="AD638" s="1">
        <f>IF($C638="",0,SUMPRODUCT((AY_SONU!$O$7:$O$42="Evet")*(AY_SONU!$B$7:$B$42=DATE(YEAR($C638),MONTH($C638),1))))</f>
        <v>0</v>
      </c>
      <c r="AE638" s="1" t="str">
        <f>IF($E638="","",$E638&amp;"|"&amp;COUNTIFS($E$7:$E638,$E638))</f>
        <v/>
      </c>
    </row>
    <row r="639" spans="1:31" ht="18" customHeight="1" x14ac:dyDescent="0.3">
      <c r="A639" s="2"/>
      <c r="B639" s="65" t="str">
        <f>IF($C639="","","GG"&amp;TEXT(ROW()-6,"00000"))</f>
        <v/>
      </c>
      <c r="C639" s="66"/>
      <c r="D639" s="60"/>
      <c r="E639" s="61"/>
      <c r="F639" s="61"/>
      <c r="G639" s="67"/>
      <c r="H639" s="60"/>
      <c r="I639" s="60"/>
      <c r="J639" s="61"/>
      <c r="K639" s="61"/>
      <c r="L639" s="60"/>
      <c r="M639" s="74" t="str">
        <f>IF($C639="","",IF($D639="Gider",$E639,IF($L639&lt;&gt;"",$L639,$H639)))</f>
        <v/>
      </c>
      <c r="N639" s="74" t="str">
        <f>IF($C639="","",IF($D639="Gider",$H639,$E639))</f>
        <v/>
      </c>
      <c r="O639" s="73" t="str">
        <f>IF($C639="","",DATE(YEAR($C639),MONTH($C639),1))</f>
        <v/>
      </c>
      <c r="P639" s="65" t="str">
        <f ca="1">IF($C639="","",IF(AND($D639="Gelir",$L639&lt;&gt;"",$T639=""),"TANIMSIZ BORÇLU",IF($T639&lt;&gt;"",IF(OR($E639="",$G639&lt;=0),"EKSİK",IF($I639="Evet","TAHAKKUK NAKİT OLAMAZ",IF($C639&gt;TODAY(),"İLERİ TARİH","TAHAKKUK"))),IF(AND($D639&lt;&gt;"",$E639&lt;&gt;"",$G639&gt;0,$H639&lt;&gt;"",$I639&lt;&gt;""),IF($C639&gt;TODAY(),"İLERİ TARİH",IF(COUNTIF($W$7:$W$3001,$W639)&gt;1,"MÜKERRER?",IF($AD639&gt;0,"KAPALI DÖNEM",IF($I639="Hayır","ÖDENECEK","UYGUN")))),"EKSİK"))))</f>
        <v/>
      </c>
      <c r="Q639" s="2"/>
      <c r="R639" s="2"/>
      <c r="S639" s="1" t="str">
        <f t="shared" si="29"/>
        <v/>
      </c>
      <c r="T639" s="1" t="str">
        <f>IF(OR($C639="",$D639&lt;&gt;"Gelir",$L639=""),"",IFERROR(INDEX(MUSTERILER!$B$7:$B$156,MATCH($S639,MUSTERILER!$T$7:$T$156,0)),""))</f>
        <v/>
      </c>
      <c r="U639" s="1" t="str">
        <f>IF($T639="","",$T639&amp;"|"&amp;COUNTIFS($T$7:$T639,$T639))</f>
        <v/>
      </c>
      <c r="V639" s="1">
        <f t="shared" si="30"/>
        <v>0</v>
      </c>
      <c r="W639" s="1" t="str">
        <f t="shared" si="31"/>
        <v/>
      </c>
      <c r="X639" s="1"/>
      <c r="Y639" s="1"/>
      <c r="Z639" s="1"/>
      <c r="AA639" s="1"/>
      <c r="AB639" s="1"/>
      <c r="AC639" s="1"/>
      <c r="AD639" s="1">
        <f>IF($C639="",0,SUMPRODUCT((AY_SONU!$O$7:$O$42="Evet")*(AY_SONU!$B$7:$B$42=DATE(YEAR($C639),MONTH($C639),1))))</f>
        <v>0</v>
      </c>
      <c r="AE639" s="1" t="str">
        <f>IF($E639="","",$E639&amp;"|"&amp;COUNTIFS($E$7:$E639,$E639))</f>
        <v/>
      </c>
    </row>
    <row r="640" spans="1:31" ht="18" customHeight="1" x14ac:dyDescent="0.3">
      <c r="A640" s="2"/>
      <c r="B640" s="65" t="str">
        <f>IF($C640="","","GG"&amp;TEXT(ROW()-6,"00000"))</f>
        <v/>
      </c>
      <c r="C640" s="66"/>
      <c r="D640" s="60"/>
      <c r="E640" s="61"/>
      <c r="F640" s="61"/>
      <c r="G640" s="67"/>
      <c r="H640" s="60"/>
      <c r="I640" s="60"/>
      <c r="J640" s="61"/>
      <c r="K640" s="61"/>
      <c r="L640" s="60"/>
      <c r="M640" s="74" t="str">
        <f>IF($C640="","",IF($D640="Gider",$E640,IF($L640&lt;&gt;"",$L640,$H640)))</f>
        <v/>
      </c>
      <c r="N640" s="74" t="str">
        <f>IF($C640="","",IF($D640="Gider",$H640,$E640))</f>
        <v/>
      </c>
      <c r="O640" s="73" t="str">
        <f>IF($C640="","",DATE(YEAR($C640),MONTH($C640),1))</f>
        <v/>
      </c>
      <c r="P640" s="65" t="str">
        <f ca="1">IF($C640="","",IF(AND($D640="Gelir",$L640&lt;&gt;"",$T640=""),"TANIMSIZ BORÇLU",IF($T640&lt;&gt;"",IF(OR($E640="",$G640&lt;=0),"EKSİK",IF($I640="Evet","TAHAKKUK NAKİT OLAMAZ",IF($C640&gt;TODAY(),"İLERİ TARİH","TAHAKKUK"))),IF(AND($D640&lt;&gt;"",$E640&lt;&gt;"",$G640&gt;0,$H640&lt;&gt;"",$I640&lt;&gt;""),IF($C640&gt;TODAY(),"İLERİ TARİH",IF(COUNTIF($W$7:$W$3001,$W640)&gt;1,"MÜKERRER?",IF($AD640&gt;0,"KAPALI DÖNEM",IF($I640="Hayır","ÖDENECEK","UYGUN")))),"EKSİK"))))</f>
        <v/>
      </c>
      <c r="Q640" s="2"/>
      <c r="R640" s="2"/>
      <c r="S640" s="1" t="str">
        <f t="shared" si="29"/>
        <v/>
      </c>
      <c r="T640" s="1" t="str">
        <f>IF(OR($C640="",$D640&lt;&gt;"Gelir",$L640=""),"",IFERROR(INDEX(MUSTERILER!$B$7:$B$156,MATCH($S640,MUSTERILER!$T$7:$T$156,0)),""))</f>
        <v/>
      </c>
      <c r="U640" s="1" t="str">
        <f>IF($T640="","",$T640&amp;"|"&amp;COUNTIFS($T$7:$T640,$T640))</f>
        <v/>
      </c>
      <c r="V640" s="1">
        <f t="shared" si="30"/>
        <v>0</v>
      </c>
      <c r="W640" s="1" t="str">
        <f t="shared" si="31"/>
        <v/>
      </c>
      <c r="X640" s="1"/>
      <c r="Y640" s="1"/>
      <c r="Z640" s="1"/>
      <c r="AA640" s="1"/>
      <c r="AB640" s="1"/>
      <c r="AC640" s="1"/>
      <c r="AD640" s="1">
        <f>IF($C640="",0,SUMPRODUCT((AY_SONU!$O$7:$O$42="Evet")*(AY_SONU!$B$7:$B$42=DATE(YEAR($C640),MONTH($C640),1))))</f>
        <v>0</v>
      </c>
      <c r="AE640" s="1" t="str">
        <f>IF($E640="","",$E640&amp;"|"&amp;COUNTIFS($E$7:$E640,$E640))</f>
        <v/>
      </c>
    </row>
    <row r="641" spans="1:31" ht="18" customHeight="1" x14ac:dyDescent="0.3">
      <c r="A641" s="2"/>
      <c r="B641" s="65" t="str">
        <f>IF($C641="","","GG"&amp;TEXT(ROW()-6,"00000"))</f>
        <v/>
      </c>
      <c r="C641" s="66"/>
      <c r="D641" s="60"/>
      <c r="E641" s="61"/>
      <c r="F641" s="61"/>
      <c r="G641" s="67"/>
      <c r="H641" s="60"/>
      <c r="I641" s="60"/>
      <c r="J641" s="61"/>
      <c r="K641" s="61"/>
      <c r="L641" s="60"/>
      <c r="M641" s="74" t="str">
        <f>IF($C641="","",IF($D641="Gider",$E641,IF($L641&lt;&gt;"",$L641,$H641)))</f>
        <v/>
      </c>
      <c r="N641" s="74" t="str">
        <f>IF($C641="","",IF($D641="Gider",$H641,$E641))</f>
        <v/>
      </c>
      <c r="O641" s="73" t="str">
        <f>IF($C641="","",DATE(YEAR($C641),MONTH($C641),1))</f>
        <v/>
      </c>
      <c r="P641" s="65" t="str">
        <f ca="1">IF($C641="","",IF(AND($D641="Gelir",$L641&lt;&gt;"",$T641=""),"TANIMSIZ BORÇLU",IF($T641&lt;&gt;"",IF(OR($E641="",$G641&lt;=0),"EKSİK",IF($I641="Evet","TAHAKKUK NAKİT OLAMAZ",IF($C641&gt;TODAY(),"İLERİ TARİH","TAHAKKUK"))),IF(AND($D641&lt;&gt;"",$E641&lt;&gt;"",$G641&gt;0,$H641&lt;&gt;"",$I641&lt;&gt;""),IF($C641&gt;TODAY(),"İLERİ TARİH",IF(COUNTIF($W$7:$W$3001,$W641)&gt;1,"MÜKERRER?",IF($AD641&gt;0,"KAPALI DÖNEM",IF($I641="Hayır","ÖDENECEK","UYGUN")))),"EKSİK"))))</f>
        <v/>
      </c>
      <c r="Q641" s="2"/>
      <c r="R641" s="2"/>
      <c r="S641" s="1" t="str">
        <f t="shared" si="29"/>
        <v/>
      </c>
      <c r="T641" s="1" t="str">
        <f>IF(OR($C641="",$D641&lt;&gt;"Gelir",$L641=""),"",IFERROR(INDEX(MUSTERILER!$B$7:$B$156,MATCH($S641,MUSTERILER!$T$7:$T$156,0)),""))</f>
        <v/>
      </c>
      <c r="U641" s="1" t="str">
        <f>IF($T641="","",$T641&amp;"|"&amp;COUNTIFS($T$7:$T641,$T641))</f>
        <v/>
      </c>
      <c r="V641" s="1">
        <f t="shared" si="30"/>
        <v>0</v>
      </c>
      <c r="W641" s="1" t="str">
        <f t="shared" si="31"/>
        <v/>
      </c>
      <c r="X641" s="1"/>
      <c r="Y641" s="1"/>
      <c r="Z641" s="1"/>
      <c r="AA641" s="1"/>
      <c r="AB641" s="1"/>
      <c r="AC641" s="1"/>
      <c r="AD641" s="1">
        <f>IF($C641="",0,SUMPRODUCT((AY_SONU!$O$7:$O$42="Evet")*(AY_SONU!$B$7:$B$42=DATE(YEAR($C641),MONTH($C641),1))))</f>
        <v>0</v>
      </c>
      <c r="AE641" s="1" t="str">
        <f>IF($E641="","",$E641&amp;"|"&amp;COUNTIFS($E$7:$E641,$E641))</f>
        <v/>
      </c>
    </row>
    <row r="642" spans="1:31" ht="18" customHeight="1" x14ac:dyDescent="0.3">
      <c r="A642" s="2"/>
      <c r="B642" s="65" t="str">
        <f>IF($C642="","","GG"&amp;TEXT(ROW()-6,"00000"))</f>
        <v/>
      </c>
      <c r="C642" s="66"/>
      <c r="D642" s="60"/>
      <c r="E642" s="61"/>
      <c r="F642" s="61"/>
      <c r="G642" s="67"/>
      <c r="H642" s="60"/>
      <c r="I642" s="60"/>
      <c r="J642" s="61"/>
      <c r="K642" s="61"/>
      <c r="L642" s="60"/>
      <c r="M642" s="74" t="str">
        <f>IF($C642="","",IF($D642="Gider",$E642,IF($L642&lt;&gt;"",$L642,$H642)))</f>
        <v/>
      </c>
      <c r="N642" s="74" t="str">
        <f>IF($C642="","",IF($D642="Gider",$H642,$E642))</f>
        <v/>
      </c>
      <c r="O642" s="73" t="str">
        <f>IF($C642="","",DATE(YEAR($C642),MONTH($C642),1))</f>
        <v/>
      </c>
      <c r="P642" s="65" t="str">
        <f ca="1">IF($C642="","",IF(AND($D642="Gelir",$L642&lt;&gt;"",$T642=""),"TANIMSIZ BORÇLU",IF($T642&lt;&gt;"",IF(OR($E642="",$G642&lt;=0),"EKSİK",IF($I642="Evet","TAHAKKUK NAKİT OLAMAZ",IF($C642&gt;TODAY(),"İLERİ TARİH","TAHAKKUK"))),IF(AND($D642&lt;&gt;"",$E642&lt;&gt;"",$G642&gt;0,$H642&lt;&gt;"",$I642&lt;&gt;""),IF($C642&gt;TODAY(),"İLERİ TARİH",IF(COUNTIF($W$7:$W$3001,$W642)&gt;1,"MÜKERRER?",IF($AD642&gt;0,"KAPALI DÖNEM",IF($I642="Hayır","ÖDENECEK","UYGUN")))),"EKSİK"))))</f>
        <v/>
      </c>
      <c r="Q642" s="2"/>
      <c r="R642" s="2"/>
      <c r="S642" s="1" t="str">
        <f t="shared" si="29"/>
        <v/>
      </c>
      <c r="T642" s="1" t="str">
        <f>IF(OR($C642="",$D642&lt;&gt;"Gelir",$L642=""),"",IFERROR(INDEX(MUSTERILER!$B$7:$B$156,MATCH($S642,MUSTERILER!$T$7:$T$156,0)),""))</f>
        <v/>
      </c>
      <c r="U642" s="1" t="str">
        <f>IF($T642="","",$T642&amp;"|"&amp;COUNTIFS($T$7:$T642,$T642))</f>
        <v/>
      </c>
      <c r="V642" s="1">
        <f t="shared" si="30"/>
        <v>0</v>
      </c>
      <c r="W642" s="1" t="str">
        <f t="shared" si="31"/>
        <v/>
      </c>
      <c r="X642" s="1"/>
      <c r="Y642" s="1"/>
      <c r="Z642" s="1"/>
      <c r="AA642" s="1"/>
      <c r="AB642" s="1"/>
      <c r="AC642" s="1"/>
      <c r="AD642" s="1">
        <f>IF($C642="",0,SUMPRODUCT((AY_SONU!$O$7:$O$42="Evet")*(AY_SONU!$B$7:$B$42=DATE(YEAR($C642),MONTH($C642),1))))</f>
        <v>0</v>
      </c>
      <c r="AE642" s="1" t="str">
        <f>IF($E642="","",$E642&amp;"|"&amp;COUNTIFS($E$7:$E642,$E642))</f>
        <v/>
      </c>
    </row>
    <row r="643" spans="1:31" ht="18" customHeight="1" x14ac:dyDescent="0.3">
      <c r="A643" s="2"/>
      <c r="B643" s="65" t="str">
        <f>IF($C643="","","GG"&amp;TEXT(ROW()-6,"00000"))</f>
        <v/>
      </c>
      <c r="C643" s="66"/>
      <c r="D643" s="60"/>
      <c r="E643" s="61"/>
      <c r="F643" s="61"/>
      <c r="G643" s="67"/>
      <c r="H643" s="60"/>
      <c r="I643" s="60"/>
      <c r="J643" s="61"/>
      <c r="K643" s="61"/>
      <c r="L643" s="60"/>
      <c r="M643" s="74" t="str">
        <f>IF($C643="","",IF($D643="Gider",$E643,IF($L643&lt;&gt;"",$L643,$H643)))</f>
        <v/>
      </c>
      <c r="N643" s="74" t="str">
        <f>IF($C643="","",IF($D643="Gider",$H643,$E643))</f>
        <v/>
      </c>
      <c r="O643" s="73" t="str">
        <f>IF($C643="","",DATE(YEAR($C643),MONTH($C643),1))</f>
        <v/>
      </c>
      <c r="P643" s="65" t="str">
        <f ca="1">IF($C643="","",IF(AND($D643="Gelir",$L643&lt;&gt;"",$T643=""),"TANIMSIZ BORÇLU",IF($T643&lt;&gt;"",IF(OR($E643="",$G643&lt;=0),"EKSİK",IF($I643="Evet","TAHAKKUK NAKİT OLAMAZ",IF($C643&gt;TODAY(),"İLERİ TARİH","TAHAKKUK"))),IF(AND($D643&lt;&gt;"",$E643&lt;&gt;"",$G643&gt;0,$H643&lt;&gt;"",$I643&lt;&gt;""),IF($C643&gt;TODAY(),"İLERİ TARİH",IF(COUNTIF($W$7:$W$3001,$W643)&gt;1,"MÜKERRER?",IF($AD643&gt;0,"KAPALI DÖNEM",IF($I643="Hayır","ÖDENECEK","UYGUN")))),"EKSİK"))))</f>
        <v/>
      </c>
      <c r="Q643" s="2"/>
      <c r="R643" s="2"/>
      <c r="S643" s="1" t="str">
        <f t="shared" si="29"/>
        <v/>
      </c>
      <c r="T643" s="1" t="str">
        <f>IF(OR($C643="",$D643&lt;&gt;"Gelir",$L643=""),"",IFERROR(INDEX(MUSTERILER!$B$7:$B$156,MATCH($S643,MUSTERILER!$T$7:$T$156,0)),""))</f>
        <v/>
      </c>
      <c r="U643" s="1" t="str">
        <f>IF($T643="","",$T643&amp;"|"&amp;COUNTIFS($T$7:$T643,$T643))</f>
        <v/>
      </c>
      <c r="V643" s="1">
        <f t="shared" si="30"/>
        <v>0</v>
      </c>
      <c r="W643" s="1" t="str">
        <f t="shared" si="31"/>
        <v/>
      </c>
      <c r="X643" s="1"/>
      <c r="Y643" s="1"/>
      <c r="Z643" s="1"/>
      <c r="AA643" s="1"/>
      <c r="AB643" s="1"/>
      <c r="AC643" s="1"/>
      <c r="AD643" s="1">
        <f>IF($C643="",0,SUMPRODUCT((AY_SONU!$O$7:$O$42="Evet")*(AY_SONU!$B$7:$B$42=DATE(YEAR($C643),MONTH($C643),1))))</f>
        <v>0</v>
      </c>
      <c r="AE643" s="1" t="str">
        <f>IF($E643="","",$E643&amp;"|"&amp;COUNTIFS($E$7:$E643,$E643))</f>
        <v/>
      </c>
    </row>
    <row r="644" spans="1:31" ht="18" customHeight="1" x14ac:dyDescent="0.3">
      <c r="A644" s="2"/>
      <c r="B644" s="65" t="str">
        <f>IF($C644="","","GG"&amp;TEXT(ROW()-6,"00000"))</f>
        <v/>
      </c>
      <c r="C644" s="66"/>
      <c r="D644" s="60"/>
      <c r="E644" s="61"/>
      <c r="F644" s="61"/>
      <c r="G644" s="67"/>
      <c r="H644" s="60"/>
      <c r="I644" s="60"/>
      <c r="J644" s="61"/>
      <c r="K644" s="61"/>
      <c r="L644" s="60"/>
      <c r="M644" s="74" t="str">
        <f>IF($C644="","",IF($D644="Gider",$E644,IF($L644&lt;&gt;"",$L644,$H644)))</f>
        <v/>
      </c>
      <c r="N644" s="74" t="str">
        <f>IF($C644="","",IF($D644="Gider",$H644,$E644))</f>
        <v/>
      </c>
      <c r="O644" s="73" t="str">
        <f>IF($C644="","",DATE(YEAR($C644),MONTH($C644),1))</f>
        <v/>
      </c>
      <c r="P644" s="65" t="str">
        <f ca="1">IF($C644="","",IF(AND($D644="Gelir",$L644&lt;&gt;"",$T644=""),"TANIMSIZ BORÇLU",IF($T644&lt;&gt;"",IF(OR($E644="",$G644&lt;=0),"EKSİK",IF($I644="Evet","TAHAKKUK NAKİT OLAMAZ",IF($C644&gt;TODAY(),"İLERİ TARİH","TAHAKKUK"))),IF(AND($D644&lt;&gt;"",$E644&lt;&gt;"",$G644&gt;0,$H644&lt;&gt;"",$I644&lt;&gt;""),IF($C644&gt;TODAY(),"İLERİ TARİH",IF(COUNTIF($W$7:$W$3001,$W644)&gt;1,"MÜKERRER?",IF($AD644&gt;0,"KAPALI DÖNEM",IF($I644="Hayır","ÖDENECEK","UYGUN")))),"EKSİK"))))</f>
        <v/>
      </c>
      <c r="Q644" s="2"/>
      <c r="R644" s="2"/>
      <c r="S644" s="1" t="str">
        <f t="shared" si="29"/>
        <v/>
      </c>
      <c r="T644" s="1" t="str">
        <f>IF(OR($C644="",$D644&lt;&gt;"Gelir",$L644=""),"",IFERROR(INDEX(MUSTERILER!$B$7:$B$156,MATCH($S644,MUSTERILER!$T$7:$T$156,0)),""))</f>
        <v/>
      </c>
      <c r="U644" s="1" t="str">
        <f>IF($T644="","",$T644&amp;"|"&amp;COUNTIFS($T$7:$T644,$T644))</f>
        <v/>
      </c>
      <c r="V644" s="1">
        <f t="shared" si="30"/>
        <v>0</v>
      </c>
      <c r="W644" s="1" t="str">
        <f t="shared" si="31"/>
        <v/>
      </c>
      <c r="X644" s="1"/>
      <c r="Y644" s="1"/>
      <c r="Z644" s="1"/>
      <c r="AA644" s="1"/>
      <c r="AB644" s="1"/>
      <c r="AC644" s="1"/>
      <c r="AD644" s="1">
        <f>IF($C644="",0,SUMPRODUCT((AY_SONU!$O$7:$O$42="Evet")*(AY_SONU!$B$7:$B$42=DATE(YEAR($C644),MONTH($C644),1))))</f>
        <v>0</v>
      </c>
      <c r="AE644" s="1" t="str">
        <f>IF($E644="","",$E644&amp;"|"&amp;COUNTIFS($E$7:$E644,$E644))</f>
        <v/>
      </c>
    </row>
    <row r="645" spans="1:31" ht="18" customHeight="1" x14ac:dyDescent="0.3">
      <c r="A645" s="2"/>
      <c r="B645" s="65" t="str">
        <f>IF($C645="","","GG"&amp;TEXT(ROW()-6,"00000"))</f>
        <v/>
      </c>
      <c r="C645" s="66"/>
      <c r="D645" s="60"/>
      <c r="E645" s="61"/>
      <c r="F645" s="61"/>
      <c r="G645" s="67"/>
      <c r="H645" s="60"/>
      <c r="I645" s="60"/>
      <c r="J645" s="61"/>
      <c r="K645" s="61"/>
      <c r="L645" s="60"/>
      <c r="M645" s="74" t="str">
        <f>IF($C645="","",IF($D645="Gider",$E645,IF($L645&lt;&gt;"",$L645,$H645)))</f>
        <v/>
      </c>
      <c r="N645" s="74" t="str">
        <f>IF($C645="","",IF($D645="Gider",$H645,$E645))</f>
        <v/>
      </c>
      <c r="O645" s="73" t="str">
        <f>IF($C645="","",DATE(YEAR($C645),MONTH($C645),1))</f>
        <v/>
      </c>
      <c r="P645" s="65" t="str">
        <f ca="1">IF($C645="","",IF(AND($D645="Gelir",$L645&lt;&gt;"",$T645=""),"TANIMSIZ BORÇLU",IF($T645&lt;&gt;"",IF(OR($E645="",$G645&lt;=0),"EKSİK",IF($I645="Evet","TAHAKKUK NAKİT OLAMAZ",IF($C645&gt;TODAY(),"İLERİ TARİH","TAHAKKUK"))),IF(AND($D645&lt;&gt;"",$E645&lt;&gt;"",$G645&gt;0,$H645&lt;&gt;"",$I645&lt;&gt;""),IF($C645&gt;TODAY(),"İLERİ TARİH",IF(COUNTIF($W$7:$W$3001,$W645)&gt;1,"MÜKERRER?",IF($AD645&gt;0,"KAPALI DÖNEM",IF($I645="Hayır","ÖDENECEK","UYGUN")))),"EKSİK"))))</f>
        <v/>
      </c>
      <c r="Q645" s="2"/>
      <c r="R645" s="2"/>
      <c r="S645" s="1" t="str">
        <f t="shared" ref="S645:S708" si="32"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1" t="str">
        <f>IF(OR($C645="",$D645&lt;&gt;"Gelir",$L645=""),"",IFERROR(INDEX(MUSTERILER!$B$7:$B$156,MATCH($S645,MUSTERILER!$T$7:$T$156,0)),""))</f>
        <v/>
      </c>
      <c r="U645" s="1" t="str">
        <f>IF($T645="","",$T645&amp;"|"&amp;COUNTIFS($T$7:$T645,$T645))</f>
        <v/>
      </c>
      <c r="V645" s="1">
        <f t="shared" ref="V645:V708" si="33">IF($T645="",0,1)</f>
        <v>0</v>
      </c>
      <c r="W645" s="1" t="str">
        <f t="shared" ref="W645:W708" si="34">IF($C645="","",$D645&amp;"|"&amp;$E645&amp;"|"&amp;TEXT($C645,"0")&amp;"|"&amp;TEXT($G645,"0")&amp;"|"&amp;$F645&amp;"|"&amp;$J645)</f>
        <v/>
      </c>
      <c r="X645" s="1"/>
      <c r="Y645" s="1"/>
      <c r="Z645" s="1"/>
      <c r="AA645" s="1"/>
      <c r="AB645" s="1"/>
      <c r="AC645" s="1"/>
      <c r="AD645" s="1">
        <f>IF($C645="",0,SUMPRODUCT((AY_SONU!$O$7:$O$42="Evet")*(AY_SONU!$B$7:$B$42=DATE(YEAR($C645),MONTH($C645),1))))</f>
        <v>0</v>
      </c>
      <c r="AE645" s="1" t="str">
        <f>IF($E645="","",$E645&amp;"|"&amp;COUNTIFS($E$7:$E645,$E645))</f>
        <v/>
      </c>
    </row>
    <row r="646" spans="1:31" ht="18" customHeight="1" x14ac:dyDescent="0.3">
      <c r="A646" s="2"/>
      <c r="B646" s="65" t="str">
        <f>IF($C646="","","GG"&amp;TEXT(ROW()-6,"00000"))</f>
        <v/>
      </c>
      <c r="C646" s="66"/>
      <c r="D646" s="60"/>
      <c r="E646" s="61"/>
      <c r="F646" s="61"/>
      <c r="G646" s="67"/>
      <c r="H646" s="60"/>
      <c r="I646" s="60"/>
      <c r="J646" s="61"/>
      <c r="K646" s="61"/>
      <c r="L646" s="60"/>
      <c r="M646" s="74" t="str">
        <f>IF($C646="","",IF($D646="Gider",$E646,IF($L646&lt;&gt;"",$L646,$H646)))</f>
        <v/>
      </c>
      <c r="N646" s="74" t="str">
        <f>IF($C646="","",IF($D646="Gider",$H646,$E646))</f>
        <v/>
      </c>
      <c r="O646" s="73" t="str">
        <f>IF($C646="","",DATE(YEAR($C646),MONTH($C646),1))</f>
        <v/>
      </c>
      <c r="P646" s="65" t="str">
        <f ca="1">IF($C646="","",IF(AND($D646="Gelir",$L646&lt;&gt;"",$T646=""),"TANIMSIZ BORÇLU",IF($T646&lt;&gt;"",IF(OR($E646="",$G646&lt;=0),"EKSİK",IF($I646="Evet","TAHAKKUK NAKİT OLAMAZ",IF($C646&gt;TODAY(),"İLERİ TARİH","TAHAKKUK"))),IF(AND($D646&lt;&gt;"",$E646&lt;&gt;"",$G646&gt;0,$H646&lt;&gt;"",$I646&lt;&gt;""),IF($C646&gt;TODAY(),"İLERİ TARİH",IF(COUNTIF($W$7:$W$3001,$W646)&gt;1,"MÜKERRER?",IF($AD646&gt;0,"KAPALI DÖNEM",IF($I646="Hayır","ÖDENECEK","UYGUN")))),"EKSİK"))))</f>
        <v/>
      </c>
      <c r="Q646" s="2"/>
      <c r="R646" s="2"/>
      <c r="S646" s="1" t="str">
        <f t="shared" si="32"/>
        <v/>
      </c>
      <c r="T646" s="1" t="str">
        <f>IF(OR($C646="",$D646&lt;&gt;"Gelir",$L646=""),"",IFERROR(INDEX(MUSTERILER!$B$7:$B$156,MATCH($S646,MUSTERILER!$T$7:$T$156,0)),""))</f>
        <v/>
      </c>
      <c r="U646" s="1" t="str">
        <f>IF($T646="","",$T646&amp;"|"&amp;COUNTIFS($T$7:$T646,$T646))</f>
        <v/>
      </c>
      <c r="V646" s="1">
        <f t="shared" si="33"/>
        <v>0</v>
      </c>
      <c r="W646" s="1" t="str">
        <f t="shared" si="34"/>
        <v/>
      </c>
      <c r="X646" s="1"/>
      <c r="Y646" s="1"/>
      <c r="Z646" s="1"/>
      <c r="AA646" s="1"/>
      <c r="AB646" s="1"/>
      <c r="AC646" s="1"/>
      <c r="AD646" s="1">
        <f>IF($C646="",0,SUMPRODUCT((AY_SONU!$O$7:$O$42="Evet")*(AY_SONU!$B$7:$B$42=DATE(YEAR($C646),MONTH($C646),1))))</f>
        <v>0</v>
      </c>
      <c r="AE646" s="1" t="str">
        <f>IF($E646="","",$E646&amp;"|"&amp;COUNTIFS($E$7:$E646,$E646))</f>
        <v/>
      </c>
    </row>
    <row r="647" spans="1:31" ht="18" customHeight="1" x14ac:dyDescent="0.3">
      <c r="A647" s="2"/>
      <c r="B647" s="65" t="str">
        <f>IF($C647="","","GG"&amp;TEXT(ROW()-6,"00000"))</f>
        <v/>
      </c>
      <c r="C647" s="66"/>
      <c r="D647" s="60"/>
      <c r="E647" s="61"/>
      <c r="F647" s="61"/>
      <c r="G647" s="67"/>
      <c r="H647" s="60"/>
      <c r="I647" s="60"/>
      <c r="J647" s="61"/>
      <c r="K647" s="61"/>
      <c r="L647" s="60"/>
      <c r="M647" s="74" t="str">
        <f>IF($C647="","",IF($D647="Gider",$E647,IF($L647&lt;&gt;"",$L647,$H647)))</f>
        <v/>
      </c>
      <c r="N647" s="74" t="str">
        <f>IF($C647="","",IF($D647="Gider",$H647,$E647))</f>
        <v/>
      </c>
      <c r="O647" s="73" t="str">
        <f>IF($C647="","",DATE(YEAR($C647),MONTH($C647),1))</f>
        <v/>
      </c>
      <c r="P647" s="65" t="str">
        <f ca="1"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TARİH",IF(COUNTIF($W$7:$W$3001,$W647)&gt;1,"MÜKERRER?",IF($AD647&gt;0,"KAPALI DÖNEM",IF($I647="Hayır","ÖDENECEK","UYGUN")))),"EKSİK"))))</f>
        <v/>
      </c>
      <c r="Q647" s="2"/>
      <c r="R647" s="2"/>
      <c r="S647" s="1" t="str">
        <f t="shared" si="32"/>
        <v/>
      </c>
      <c r="T647" s="1" t="str">
        <f>IF(OR($C647="",$D647&lt;&gt;"Gelir",$L647=""),"",IFERROR(INDEX(MUSTERILER!$B$7:$B$156,MATCH($S647,MUSTERILER!$T$7:$T$156,0)),""))</f>
        <v/>
      </c>
      <c r="U647" s="1" t="str">
        <f>IF($T647="","",$T647&amp;"|"&amp;COUNTIFS($T$7:$T647,$T647))</f>
        <v/>
      </c>
      <c r="V647" s="1">
        <f t="shared" si="33"/>
        <v>0</v>
      </c>
      <c r="W647" s="1" t="str">
        <f t="shared" si="34"/>
        <v/>
      </c>
      <c r="X647" s="1"/>
      <c r="Y647" s="1"/>
      <c r="Z647" s="1"/>
      <c r="AA647" s="1"/>
      <c r="AB647" s="1"/>
      <c r="AC647" s="1"/>
      <c r="AD647" s="1">
        <f>IF($C647="",0,SUMPRODUCT((AY_SONU!$O$7:$O$42="Evet")*(AY_SONU!$B$7:$B$42=DATE(YEAR($C647),MONTH($C647),1))))</f>
        <v>0</v>
      </c>
      <c r="AE647" s="1" t="str">
        <f>IF($E647="","",$E647&amp;"|"&amp;COUNTIFS($E$7:$E647,$E647))</f>
        <v/>
      </c>
    </row>
    <row r="648" spans="1:31" ht="18" customHeight="1" x14ac:dyDescent="0.3">
      <c r="A648" s="2"/>
      <c r="B648" s="65" t="str">
        <f>IF($C648="","","GG"&amp;TEXT(ROW()-6,"00000"))</f>
        <v/>
      </c>
      <c r="C648" s="66"/>
      <c r="D648" s="60"/>
      <c r="E648" s="61"/>
      <c r="F648" s="61"/>
      <c r="G648" s="67"/>
      <c r="H648" s="60"/>
      <c r="I648" s="60"/>
      <c r="J648" s="61"/>
      <c r="K648" s="61"/>
      <c r="L648" s="60"/>
      <c r="M648" s="74" t="str">
        <f>IF($C648="","",IF($D648="Gider",$E648,IF($L648&lt;&gt;"",$L648,$H648)))</f>
        <v/>
      </c>
      <c r="N648" s="74" t="str">
        <f>IF($C648="","",IF($D648="Gider",$H648,$E648))</f>
        <v/>
      </c>
      <c r="O648" s="73" t="str">
        <f>IF($C648="","",DATE(YEAR($C648),MONTH($C648),1))</f>
        <v/>
      </c>
      <c r="P648" s="65" t="str">
        <f ca="1">IF($C648="","",IF(AND($D648="Gelir",$L648&lt;&gt;"",$T648=""),"TANIMSIZ BORÇLU",IF($T648&lt;&gt;"",IF(OR($E648="",$G648&lt;=0),"EKSİK",IF($I648="Evet","TAHAKKUK NAKİT OLAMAZ",IF($C648&gt;TODAY(),"İLERİ TARİH","TAHAKKUK"))),IF(AND($D648&lt;&gt;"",$E648&lt;&gt;"",$G648&gt;0,$H648&lt;&gt;"",$I648&lt;&gt;""),IF($C648&gt;TODAY(),"İLERİ TARİH",IF(COUNTIF($W$7:$W$3001,$W648)&gt;1,"MÜKERRER?",IF($AD648&gt;0,"KAPALI DÖNEM",IF($I648="Hayır","ÖDENECEK","UYGUN")))),"EKSİK"))))</f>
        <v/>
      </c>
      <c r="Q648" s="2"/>
      <c r="R648" s="2"/>
      <c r="S648" s="1" t="str">
        <f t="shared" si="32"/>
        <v/>
      </c>
      <c r="T648" s="1" t="str">
        <f>IF(OR($C648="",$D648&lt;&gt;"Gelir",$L648=""),"",IFERROR(INDEX(MUSTERILER!$B$7:$B$156,MATCH($S648,MUSTERILER!$T$7:$T$156,0)),""))</f>
        <v/>
      </c>
      <c r="U648" s="1" t="str">
        <f>IF($T648="","",$T648&amp;"|"&amp;COUNTIFS($T$7:$T648,$T648))</f>
        <v/>
      </c>
      <c r="V648" s="1">
        <f t="shared" si="33"/>
        <v>0</v>
      </c>
      <c r="W648" s="1" t="str">
        <f t="shared" si="34"/>
        <v/>
      </c>
      <c r="X648" s="1"/>
      <c r="Y648" s="1"/>
      <c r="Z648" s="1"/>
      <c r="AA648" s="1"/>
      <c r="AB648" s="1"/>
      <c r="AC648" s="1"/>
      <c r="AD648" s="1">
        <f>IF($C648="",0,SUMPRODUCT((AY_SONU!$O$7:$O$42="Evet")*(AY_SONU!$B$7:$B$42=DATE(YEAR($C648),MONTH($C648),1))))</f>
        <v>0</v>
      </c>
      <c r="AE648" s="1" t="str">
        <f>IF($E648="","",$E648&amp;"|"&amp;COUNTIFS($E$7:$E648,$E648))</f>
        <v/>
      </c>
    </row>
    <row r="649" spans="1:31" ht="18" customHeight="1" x14ac:dyDescent="0.3">
      <c r="A649" s="2"/>
      <c r="B649" s="65" t="str">
        <f>IF($C649="","","GG"&amp;TEXT(ROW()-6,"00000"))</f>
        <v/>
      </c>
      <c r="C649" s="66"/>
      <c r="D649" s="60"/>
      <c r="E649" s="61"/>
      <c r="F649" s="61"/>
      <c r="G649" s="67"/>
      <c r="H649" s="60"/>
      <c r="I649" s="60"/>
      <c r="J649" s="61"/>
      <c r="K649" s="61"/>
      <c r="L649" s="60"/>
      <c r="M649" s="74" t="str">
        <f>IF($C649="","",IF($D649="Gider",$E649,IF($L649&lt;&gt;"",$L649,$H649)))</f>
        <v/>
      </c>
      <c r="N649" s="74" t="str">
        <f>IF($C649="","",IF($D649="Gider",$H649,$E649))</f>
        <v/>
      </c>
      <c r="O649" s="73" t="str">
        <f>IF($C649="","",DATE(YEAR($C649),MONTH($C649),1))</f>
        <v/>
      </c>
      <c r="P649" s="65" t="str">
        <f ca="1">IF($C649="","",IF(AND($D649="Gelir",$L649&lt;&gt;"",$T649=""),"TANIMSIZ BORÇLU",IF($T649&lt;&gt;"",IF(OR($E649="",$G649&lt;=0),"EKSİK",IF($I649="Evet","TAHAKKUK NAKİT OLAMAZ",IF($C649&gt;TODAY(),"İLERİ TARİH","TAHAKKUK"))),IF(AND($D649&lt;&gt;"",$E649&lt;&gt;"",$G649&gt;0,$H649&lt;&gt;"",$I649&lt;&gt;""),IF($C649&gt;TODAY(),"İLERİ TARİH",IF(COUNTIF($W$7:$W$3001,$W649)&gt;1,"MÜKERRER?",IF($AD649&gt;0,"KAPALI DÖNEM",IF($I649="Hayır","ÖDENECEK","UYGUN")))),"EKSİK"))))</f>
        <v/>
      </c>
      <c r="Q649" s="2"/>
      <c r="R649" s="2"/>
      <c r="S649" s="1" t="str">
        <f t="shared" si="32"/>
        <v/>
      </c>
      <c r="T649" s="1" t="str">
        <f>IF(OR($C649="",$D649&lt;&gt;"Gelir",$L649=""),"",IFERROR(INDEX(MUSTERILER!$B$7:$B$156,MATCH($S649,MUSTERILER!$T$7:$T$156,0)),""))</f>
        <v/>
      </c>
      <c r="U649" s="1" t="str">
        <f>IF($T649="","",$T649&amp;"|"&amp;COUNTIFS($T$7:$T649,$T649))</f>
        <v/>
      </c>
      <c r="V649" s="1">
        <f t="shared" si="33"/>
        <v>0</v>
      </c>
      <c r="W649" s="1" t="str">
        <f t="shared" si="34"/>
        <v/>
      </c>
      <c r="X649" s="1"/>
      <c r="Y649" s="1"/>
      <c r="Z649" s="1"/>
      <c r="AA649" s="1"/>
      <c r="AB649" s="1"/>
      <c r="AC649" s="1"/>
      <c r="AD649" s="1">
        <f>IF($C649="",0,SUMPRODUCT((AY_SONU!$O$7:$O$42="Evet")*(AY_SONU!$B$7:$B$42=DATE(YEAR($C649),MONTH($C649),1))))</f>
        <v>0</v>
      </c>
      <c r="AE649" s="1" t="str">
        <f>IF($E649="","",$E649&amp;"|"&amp;COUNTIFS($E$7:$E649,$E649))</f>
        <v/>
      </c>
    </row>
    <row r="650" spans="1:31" ht="18" customHeight="1" x14ac:dyDescent="0.3">
      <c r="A650" s="2"/>
      <c r="B650" s="65" t="str">
        <f>IF($C650="","","GG"&amp;TEXT(ROW()-6,"00000"))</f>
        <v/>
      </c>
      <c r="C650" s="66"/>
      <c r="D650" s="60"/>
      <c r="E650" s="61"/>
      <c r="F650" s="61"/>
      <c r="G650" s="67"/>
      <c r="H650" s="60"/>
      <c r="I650" s="60"/>
      <c r="J650" s="61"/>
      <c r="K650" s="61"/>
      <c r="L650" s="60"/>
      <c r="M650" s="74" t="str">
        <f>IF($C650="","",IF($D650="Gider",$E650,IF($L650&lt;&gt;"",$L650,$H650)))</f>
        <v/>
      </c>
      <c r="N650" s="74" t="str">
        <f>IF($C650="","",IF($D650="Gider",$H650,$E650))</f>
        <v/>
      </c>
      <c r="O650" s="73" t="str">
        <f>IF($C650="","",DATE(YEAR($C650),MONTH($C650),1))</f>
        <v/>
      </c>
      <c r="P650" s="65" t="str">
        <f ca="1">IF($C650="","",IF(AND($D650="Gelir",$L650&lt;&gt;"",$T650=""),"TANIMSIZ BORÇLU",IF($T650&lt;&gt;"",IF(OR($E650="",$G650&lt;=0),"EKSİK",IF($I650="Evet","TAHAKKUK NAKİT OLAMAZ",IF($C650&gt;TODAY(),"İLERİ TARİH","TAHAKKUK"))),IF(AND($D650&lt;&gt;"",$E650&lt;&gt;"",$G650&gt;0,$H650&lt;&gt;"",$I650&lt;&gt;""),IF($C650&gt;TODAY(),"İLERİ TARİH",IF(COUNTIF($W$7:$W$3001,$W650)&gt;1,"MÜKERRER?",IF($AD650&gt;0,"KAPALI DÖNEM",IF($I650="Hayır","ÖDENECEK","UYGUN")))),"EKSİK"))))</f>
        <v/>
      </c>
      <c r="Q650" s="2"/>
      <c r="R650" s="2"/>
      <c r="S650" s="1" t="str">
        <f t="shared" si="32"/>
        <v/>
      </c>
      <c r="T650" s="1" t="str">
        <f>IF(OR($C650="",$D650&lt;&gt;"Gelir",$L650=""),"",IFERROR(INDEX(MUSTERILER!$B$7:$B$156,MATCH($S650,MUSTERILER!$T$7:$T$156,0)),""))</f>
        <v/>
      </c>
      <c r="U650" s="1" t="str">
        <f>IF($T650="","",$T650&amp;"|"&amp;COUNTIFS($T$7:$T650,$T650))</f>
        <v/>
      </c>
      <c r="V650" s="1">
        <f t="shared" si="33"/>
        <v>0</v>
      </c>
      <c r="W650" s="1" t="str">
        <f t="shared" si="34"/>
        <v/>
      </c>
      <c r="X650" s="1"/>
      <c r="Y650" s="1"/>
      <c r="Z650" s="1"/>
      <c r="AA650" s="1"/>
      <c r="AB650" s="1"/>
      <c r="AC650" s="1"/>
      <c r="AD650" s="1">
        <f>IF($C650="",0,SUMPRODUCT((AY_SONU!$O$7:$O$42="Evet")*(AY_SONU!$B$7:$B$42=DATE(YEAR($C650),MONTH($C650),1))))</f>
        <v>0</v>
      </c>
      <c r="AE650" s="1" t="str">
        <f>IF($E650="","",$E650&amp;"|"&amp;COUNTIFS($E$7:$E650,$E650))</f>
        <v/>
      </c>
    </row>
    <row r="651" spans="1:31" ht="18" customHeight="1" x14ac:dyDescent="0.3">
      <c r="A651" s="2"/>
      <c r="B651" s="65" t="str">
        <f>IF($C651="","","GG"&amp;TEXT(ROW()-6,"00000"))</f>
        <v/>
      </c>
      <c r="C651" s="66"/>
      <c r="D651" s="60"/>
      <c r="E651" s="61"/>
      <c r="F651" s="61"/>
      <c r="G651" s="67"/>
      <c r="H651" s="60"/>
      <c r="I651" s="60"/>
      <c r="J651" s="61"/>
      <c r="K651" s="61"/>
      <c r="L651" s="60"/>
      <c r="M651" s="74" t="str">
        <f>IF($C651="","",IF($D651="Gider",$E651,IF($L651&lt;&gt;"",$L651,$H651)))</f>
        <v/>
      </c>
      <c r="N651" s="74" t="str">
        <f>IF($C651="","",IF($D651="Gider",$H651,$E651))</f>
        <v/>
      </c>
      <c r="O651" s="73" t="str">
        <f>IF($C651="","",DATE(YEAR($C651),MONTH($C651),1))</f>
        <v/>
      </c>
      <c r="P651" s="65" t="str">
        <f ca="1">IF($C651="","",IF(AND($D651="Gelir",$L651&lt;&gt;"",$T651=""),"TANIMSIZ BORÇLU",IF($T651&lt;&gt;"",IF(OR($E651="",$G651&lt;=0),"EKSİK",IF($I651="Evet","TAHAKKUK NAKİT OLAMAZ",IF($C651&gt;TODAY(),"İLERİ TARİH","TAHAKKUK"))),IF(AND($D651&lt;&gt;"",$E651&lt;&gt;"",$G651&gt;0,$H651&lt;&gt;"",$I651&lt;&gt;""),IF($C651&gt;TODAY(),"İLERİ TARİH",IF(COUNTIF($W$7:$W$3001,$W651)&gt;1,"MÜKERRER?",IF($AD651&gt;0,"KAPALI DÖNEM",IF($I651="Hayır","ÖDENECEK","UYGUN")))),"EKSİK"))))</f>
        <v/>
      </c>
      <c r="Q651" s="2"/>
      <c r="R651" s="2"/>
      <c r="S651" s="1" t="str">
        <f t="shared" si="32"/>
        <v/>
      </c>
      <c r="T651" s="1" t="str">
        <f>IF(OR($C651="",$D651&lt;&gt;"Gelir",$L651=""),"",IFERROR(INDEX(MUSTERILER!$B$7:$B$156,MATCH($S651,MUSTERILER!$T$7:$T$156,0)),""))</f>
        <v/>
      </c>
      <c r="U651" s="1" t="str">
        <f>IF($T651="","",$T651&amp;"|"&amp;COUNTIFS($T$7:$T651,$T651))</f>
        <v/>
      </c>
      <c r="V651" s="1">
        <f t="shared" si="33"/>
        <v>0</v>
      </c>
      <c r="W651" s="1" t="str">
        <f t="shared" si="34"/>
        <v/>
      </c>
      <c r="X651" s="1"/>
      <c r="Y651" s="1"/>
      <c r="Z651" s="1"/>
      <c r="AA651" s="1"/>
      <c r="AB651" s="1"/>
      <c r="AC651" s="1"/>
      <c r="AD651" s="1">
        <f>IF($C651="",0,SUMPRODUCT((AY_SONU!$O$7:$O$42="Evet")*(AY_SONU!$B$7:$B$42=DATE(YEAR($C651),MONTH($C651),1))))</f>
        <v>0</v>
      </c>
      <c r="AE651" s="1" t="str">
        <f>IF($E651="","",$E651&amp;"|"&amp;COUNTIFS($E$7:$E651,$E651))</f>
        <v/>
      </c>
    </row>
    <row r="652" spans="1:31" ht="18" customHeight="1" x14ac:dyDescent="0.3">
      <c r="A652" s="2"/>
      <c r="B652" s="65" t="str">
        <f>IF($C652="","","GG"&amp;TEXT(ROW()-6,"00000"))</f>
        <v/>
      </c>
      <c r="C652" s="66"/>
      <c r="D652" s="60"/>
      <c r="E652" s="61"/>
      <c r="F652" s="61"/>
      <c r="G652" s="67"/>
      <c r="H652" s="60"/>
      <c r="I652" s="60"/>
      <c r="J652" s="61"/>
      <c r="K652" s="61"/>
      <c r="L652" s="60"/>
      <c r="M652" s="74" t="str">
        <f>IF($C652="","",IF($D652="Gider",$E652,IF($L652&lt;&gt;"",$L652,$H652)))</f>
        <v/>
      </c>
      <c r="N652" s="74" t="str">
        <f>IF($C652="","",IF($D652="Gider",$H652,$E652))</f>
        <v/>
      </c>
      <c r="O652" s="73" t="str">
        <f>IF($C652="","",DATE(YEAR($C652),MONTH($C652),1))</f>
        <v/>
      </c>
      <c r="P652" s="65" t="str">
        <f ca="1">IF($C652="","",IF(AND($D652="Gelir",$L652&lt;&gt;"",$T652=""),"TANIMSIZ BORÇLU",IF($T652&lt;&gt;"",IF(OR($E652="",$G652&lt;=0),"EKSİK",IF($I652="Evet","TAHAKKUK NAKİT OLAMAZ",IF($C652&gt;TODAY(),"İLERİ TARİH","TAHAKKUK"))),IF(AND($D652&lt;&gt;"",$E652&lt;&gt;"",$G652&gt;0,$H652&lt;&gt;"",$I652&lt;&gt;""),IF($C652&gt;TODAY(),"İLERİ TARİH",IF(COUNTIF($W$7:$W$3001,$W652)&gt;1,"MÜKERRER?",IF($AD652&gt;0,"KAPALI DÖNEM",IF($I652="Hayır","ÖDENECEK","UYGUN")))),"EKSİK"))))</f>
        <v/>
      </c>
      <c r="Q652" s="2"/>
      <c r="R652" s="2"/>
      <c r="S652" s="1" t="str">
        <f t="shared" si="32"/>
        <v/>
      </c>
      <c r="T652" s="1" t="str">
        <f>IF(OR($C652="",$D652&lt;&gt;"Gelir",$L652=""),"",IFERROR(INDEX(MUSTERILER!$B$7:$B$156,MATCH($S652,MUSTERILER!$T$7:$T$156,0)),""))</f>
        <v/>
      </c>
      <c r="U652" s="1" t="str">
        <f>IF($T652="","",$T652&amp;"|"&amp;COUNTIFS($T$7:$T652,$T652))</f>
        <v/>
      </c>
      <c r="V652" s="1">
        <f t="shared" si="33"/>
        <v>0</v>
      </c>
      <c r="W652" s="1" t="str">
        <f t="shared" si="34"/>
        <v/>
      </c>
      <c r="X652" s="1"/>
      <c r="Y652" s="1"/>
      <c r="Z652" s="1"/>
      <c r="AA652" s="1"/>
      <c r="AB652" s="1"/>
      <c r="AC652" s="1"/>
      <c r="AD652" s="1">
        <f>IF($C652="",0,SUMPRODUCT((AY_SONU!$O$7:$O$42="Evet")*(AY_SONU!$B$7:$B$42=DATE(YEAR($C652),MONTH($C652),1))))</f>
        <v>0</v>
      </c>
      <c r="AE652" s="1" t="str">
        <f>IF($E652="","",$E652&amp;"|"&amp;COUNTIFS($E$7:$E652,$E652))</f>
        <v/>
      </c>
    </row>
    <row r="653" spans="1:31" ht="18" customHeight="1" x14ac:dyDescent="0.3">
      <c r="A653" s="2"/>
      <c r="B653" s="65" t="str">
        <f>IF($C653="","","GG"&amp;TEXT(ROW()-6,"00000"))</f>
        <v/>
      </c>
      <c r="C653" s="66"/>
      <c r="D653" s="60"/>
      <c r="E653" s="61"/>
      <c r="F653" s="61"/>
      <c r="G653" s="67"/>
      <c r="H653" s="60"/>
      <c r="I653" s="60"/>
      <c r="J653" s="61"/>
      <c r="K653" s="61"/>
      <c r="L653" s="60"/>
      <c r="M653" s="74" t="str">
        <f>IF($C653="","",IF($D653="Gider",$E653,IF($L653&lt;&gt;"",$L653,$H653)))</f>
        <v/>
      </c>
      <c r="N653" s="74" t="str">
        <f>IF($C653="","",IF($D653="Gider",$H653,$E653))</f>
        <v/>
      </c>
      <c r="O653" s="73" t="str">
        <f>IF($C653="","",DATE(YEAR($C653),MONTH($C653),1))</f>
        <v/>
      </c>
      <c r="P653" s="65" t="str">
        <f ca="1">IF($C653="","",IF(AND($D653="Gelir",$L653&lt;&gt;"",$T653=""),"TANIMSIZ BORÇLU",IF($T653&lt;&gt;"",IF(OR($E653="",$G653&lt;=0),"EKSİK",IF($I653="Evet","TAHAKKUK NAKİT OLAMAZ",IF($C653&gt;TODAY(),"İLERİ TARİH","TAHAKKUK"))),IF(AND($D653&lt;&gt;"",$E653&lt;&gt;"",$G653&gt;0,$H653&lt;&gt;"",$I653&lt;&gt;""),IF($C653&gt;TODAY(),"İLERİ TARİH",IF(COUNTIF($W$7:$W$3001,$W653)&gt;1,"MÜKERRER?",IF($AD653&gt;0,"KAPALI DÖNEM",IF($I653="Hayır","ÖDENECEK","UYGUN")))),"EKSİK"))))</f>
        <v/>
      </c>
      <c r="Q653" s="2"/>
      <c r="R653" s="2"/>
      <c r="S653" s="1" t="str">
        <f t="shared" si="32"/>
        <v/>
      </c>
      <c r="T653" s="1" t="str">
        <f>IF(OR($C653="",$D653&lt;&gt;"Gelir",$L653=""),"",IFERROR(INDEX(MUSTERILER!$B$7:$B$156,MATCH($S653,MUSTERILER!$T$7:$T$156,0)),""))</f>
        <v/>
      </c>
      <c r="U653" s="1" t="str">
        <f>IF($T653="","",$T653&amp;"|"&amp;COUNTIFS($T$7:$T653,$T653))</f>
        <v/>
      </c>
      <c r="V653" s="1">
        <f t="shared" si="33"/>
        <v>0</v>
      </c>
      <c r="W653" s="1" t="str">
        <f t="shared" si="34"/>
        <v/>
      </c>
      <c r="X653" s="1"/>
      <c r="Y653" s="1"/>
      <c r="Z653" s="1"/>
      <c r="AA653" s="1"/>
      <c r="AB653" s="1"/>
      <c r="AC653" s="1"/>
      <c r="AD653" s="1">
        <f>IF($C653="",0,SUMPRODUCT((AY_SONU!$O$7:$O$42="Evet")*(AY_SONU!$B$7:$B$42=DATE(YEAR($C653),MONTH($C653),1))))</f>
        <v>0</v>
      </c>
      <c r="AE653" s="1" t="str">
        <f>IF($E653="","",$E653&amp;"|"&amp;COUNTIFS($E$7:$E653,$E653))</f>
        <v/>
      </c>
    </row>
    <row r="654" spans="1:31" ht="18" customHeight="1" x14ac:dyDescent="0.3">
      <c r="A654" s="2"/>
      <c r="B654" s="65" t="str">
        <f>IF($C654="","","GG"&amp;TEXT(ROW()-6,"00000"))</f>
        <v/>
      </c>
      <c r="C654" s="66"/>
      <c r="D654" s="60"/>
      <c r="E654" s="61"/>
      <c r="F654" s="61"/>
      <c r="G654" s="67"/>
      <c r="H654" s="60"/>
      <c r="I654" s="60"/>
      <c r="J654" s="61"/>
      <c r="K654" s="61"/>
      <c r="L654" s="60"/>
      <c r="M654" s="74" t="str">
        <f>IF($C654="","",IF($D654="Gider",$E654,IF($L654&lt;&gt;"",$L654,$H654)))</f>
        <v/>
      </c>
      <c r="N654" s="74" t="str">
        <f>IF($C654="","",IF($D654="Gider",$H654,$E654))</f>
        <v/>
      </c>
      <c r="O654" s="73" t="str">
        <f>IF($C654="","",DATE(YEAR($C654),MONTH($C654),1))</f>
        <v/>
      </c>
      <c r="P654" s="65" t="str">
        <f ca="1">IF($C654="","",IF(AND($D654="Gelir",$L654&lt;&gt;"",$T654=""),"TANIMSIZ BORÇLU",IF($T654&lt;&gt;"",IF(OR($E654="",$G654&lt;=0),"EKSİK",IF($I654="Evet","TAHAKKUK NAKİT OLAMAZ",IF($C654&gt;TODAY(),"İLERİ TARİH","TAHAKKUK"))),IF(AND($D654&lt;&gt;"",$E654&lt;&gt;"",$G654&gt;0,$H654&lt;&gt;"",$I654&lt;&gt;""),IF($C654&gt;TODAY(),"İLERİ TARİH",IF(COUNTIF($W$7:$W$3001,$W654)&gt;1,"MÜKERRER?",IF($AD654&gt;0,"KAPALI DÖNEM",IF($I654="Hayır","ÖDENECEK","UYGUN")))),"EKSİK"))))</f>
        <v/>
      </c>
      <c r="Q654" s="2"/>
      <c r="R654" s="2"/>
      <c r="S654" s="1" t="str">
        <f t="shared" si="32"/>
        <v/>
      </c>
      <c r="T654" s="1" t="str">
        <f>IF(OR($C654="",$D654&lt;&gt;"Gelir",$L654=""),"",IFERROR(INDEX(MUSTERILER!$B$7:$B$156,MATCH($S654,MUSTERILER!$T$7:$T$156,0)),""))</f>
        <v/>
      </c>
      <c r="U654" s="1" t="str">
        <f>IF($T654="","",$T654&amp;"|"&amp;COUNTIFS($T$7:$T654,$T654))</f>
        <v/>
      </c>
      <c r="V654" s="1">
        <f t="shared" si="33"/>
        <v>0</v>
      </c>
      <c r="W654" s="1" t="str">
        <f t="shared" si="34"/>
        <v/>
      </c>
      <c r="X654" s="1"/>
      <c r="Y654" s="1"/>
      <c r="Z654" s="1"/>
      <c r="AA654" s="1"/>
      <c r="AB654" s="1"/>
      <c r="AC654" s="1"/>
      <c r="AD654" s="1">
        <f>IF($C654="",0,SUMPRODUCT((AY_SONU!$O$7:$O$42="Evet")*(AY_SONU!$B$7:$B$42=DATE(YEAR($C654),MONTH($C654),1))))</f>
        <v>0</v>
      </c>
      <c r="AE654" s="1" t="str">
        <f>IF($E654="","",$E654&amp;"|"&amp;COUNTIFS($E$7:$E654,$E654))</f>
        <v/>
      </c>
    </row>
    <row r="655" spans="1:31" ht="18" customHeight="1" x14ac:dyDescent="0.3">
      <c r="A655" s="2"/>
      <c r="B655" s="65" t="str">
        <f>IF($C655="","","GG"&amp;TEXT(ROW()-6,"00000"))</f>
        <v/>
      </c>
      <c r="C655" s="66"/>
      <c r="D655" s="60"/>
      <c r="E655" s="61"/>
      <c r="F655" s="61"/>
      <c r="G655" s="67"/>
      <c r="H655" s="60"/>
      <c r="I655" s="60"/>
      <c r="J655" s="61"/>
      <c r="K655" s="61"/>
      <c r="L655" s="60"/>
      <c r="M655" s="74" t="str">
        <f>IF($C655="","",IF($D655="Gider",$E655,IF($L655&lt;&gt;"",$L655,$H655)))</f>
        <v/>
      </c>
      <c r="N655" s="74" t="str">
        <f>IF($C655="","",IF($D655="Gider",$H655,$E655))</f>
        <v/>
      </c>
      <c r="O655" s="73" t="str">
        <f>IF($C655="","",DATE(YEAR($C655),MONTH($C655),1))</f>
        <v/>
      </c>
      <c r="P655" s="65" t="str">
        <f ca="1">IF($C655="","",IF(AND($D655="Gelir",$L655&lt;&gt;"",$T655=""),"TANIMSIZ BORÇLU",IF($T655&lt;&gt;"",IF(OR($E655="",$G655&lt;=0),"EKSİK",IF($I655="Evet","TAHAKKUK NAKİT OLAMAZ",IF($C655&gt;TODAY(),"İLERİ TARİH","TAHAKKUK"))),IF(AND($D655&lt;&gt;"",$E655&lt;&gt;"",$G655&gt;0,$H655&lt;&gt;"",$I655&lt;&gt;""),IF($C655&gt;TODAY(),"İLERİ TARİH",IF(COUNTIF($W$7:$W$3001,$W655)&gt;1,"MÜKERRER?",IF($AD655&gt;0,"KAPALI DÖNEM",IF($I655="Hayır","ÖDENECEK","UYGUN")))),"EKSİK"))))</f>
        <v/>
      </c>
      <c r="Q655" s="2"/>
      <c r="R655" s="2"/>
      <c r="S655" s="1" t="str">
        <f t="shared" si="32"/>
        <v/>
      </c>
      <c r="T655" s="1" t="str">
        <f>IF(OR($C655="",$D655&lt;&gt;"Gelir",$L655=""),"",IFERROR(INDEX(MUSTERILER!$B$7:$B$156,MATCH($S655,MUSTERILER!$T$7:$T$156,0)),""))</f>
        <v/>
      </c>
      <c r="U655" s="1" t="str">
        <f>IF($T655="","",$T655&amp;"|"&amp;COUNTIFS($T$7:$T655,$T655))</f>
        <v/>
      </c>
      <c r="V655" s="1">
        <f t="shared" si="33"/>
        <v>0</v>
      </c>
      <c r="W655" s="1" t="str">
        <f t="shared" si="34"/>
        <v/>
      </c>
      <c r="X655" s="1"/>
      <c r="Y655" s="1"/>
      <c r="Z655" s="1"/>
      <c r="AA655" s="1"/>
      <c r="AB655" s="1"/>
      <c r="AC655" s="1"/>
      <c r="AD655" s="1">
        <f>IF($C655="",0,SUMPRODUCT((AY_SONU!$O$7:$O$42="Evet")*(AY_SONU!$B$7:$B$42=DATE(YEAR($C655),MONTH($C655),1))))</f>
        <v>0</v>
      </c>
      <c r="AE655" s="1" t="str">
        <f>IF($E655="","",$E655&amp;"|"&amp;COUNTIFS($E$7:$E655,$E655))</f>
        <v/>
      </c>
    </row>
    <row r="656" spans="1:31" ht="18" customHeight="1" x14ac:dyDescent="0.3">
      <c r="A656" s="2"/>
      <c r="B656" s="65" t="str">
        <f>IF($C656="","","GG"&amp;TEXT(ROW()-6,"00000"))</f>
        <v/>
      </c>
      <c r="C656" s="66"/>
      <c r="D656" s="60"/>
      <c r="E656" s="61"/>
      <c r="F656" s="61"/>
      <c r="G656" s="67"/>
      <c r="H656" s="60"/>
      <c r="I656" s="60"/>
      <c r="J656" s="61"/>
      <c r="K656" s="61"/>
      <c r="L656" s="60"/>
      <c r="M656" s="74" t="str">
        <f>IF($C656="","",IF($D656="Gider",$E656,IF($L656&lt;&gt;"",$L656,$H656)))</f>
        <v/>
      </c>
      <c r="N656" s="74" t="str">
        <f>IF($C656="","",IF($D656="Gider",$H656,$E656))</f>
        <v/>
      </c>
      <c r="O656" s="73" t="str">
        <f>IF($C656="","",DATE(YEAR($C656),MONTH($C656),1))</f>
        <v/>
      </c>
      <c r="P656" s="65" t="str">
        <f ca="1">IF($C656="","",IF(AND($D656="Gelir",$L656&lt;&gt;"",$T656=""),"TANIMSIZ BORÇLU",IF($T656&lt;&gt;"",IF(OR($E656="",$G656&lt;=0),"EKSİK",IF($I656="Evet","TAHAKKUK NAKİT OLAMAZ",IF($C656&gt;TODAY(),"İLERİ TARİH","TAHAKKUK"))),IF(AND($D656&lt;&gt;"",$E656&lt;&gt;"",$G656&gt;0,$H656&lt;&gt;"",$I656&lt;&gt;""),IF($C656&gt;TODAY(),"İLERİ TARİH",IF(COUNTIF($W$7:$W$3001,$W656)&gt;1,"MÜKERRER?",IF($AD656&gt;0,"KAPALI DÖNEM",IF($I656="Hayır","ÖDENECEK","UYGUN")))),"EKSİK"))))</f>
        <v/>
      </c>
      <c r="Q656" s="2"/>
      <c r="R656" s="2"/>
      <c r="S656" s="1" t="str">
        <f t="shared" si="32"/>
        <v/>
      </c>
      <c r="T656" s="1" t="str">
        <f>IF(OR($C656="",$D656&lt;&gt;"Gelir",$L656=""),"",IFERROR(INDEX(MUSTERILER!$B$7:$B$156,MATCH($S656,MUSTERILER!$T$7:$T$156,0)),""))</f>
        <v/>
      </c>
      <c r="U656" s="1" t="str">
        <f>IF($T656="","",$T656&amp;"|"&amp;COUNTIFS($T$7:$T656,$T656))</f>
        <v/>
      </c>
      <c r="V656" s="1">
        <f t="shared" si="33"/>
        <v>0</v>
      </c>
      <c r="W656" s="1" t="str">
        <f t="shared" si="34"/>
        <v/>
      </c>
      <c r="X656" s="1"/>
      <c r="Y656" s="1"/>
      <c r="Z656" s="1"/>
      <c r="AA656" s="1"/>
      <c r="AB656" s="1"/>
      <c r="AC656" s="1"/>
      <c r="AD656" s="1">
        <f>IF($C656="",0,SUMPRODUCT((AY_SONU!$O$7:$O$42="Evet")*(AY_SONU!$B$7:$B$42=DATE(YEAR($C656),MONTH($C656),1))))</f>
        <v>0</v>
      </c>
      <c r="AE656" s="1" t="str">
        <f>IF($E656="","",$E656&amp;"|"&amp;COUNTIFS($E$7:$E656,$E656))</f>
        <v/>
      </c>
    </row>
    <row r="657" spans="1:31" ht="18" customHeight="1" x14ac:dyDescent="0.3">
      <c r="A657" s="2"/>
      <c r="B657" s="65" t="str">
        <f>IF($C657="","","GG"&amp;TEXT(ROW()-6,"00000"))</f>
        <v/>
      </c>
      <c r="C657" s="66"/>
      <c r="D657" s="60"/>
      <c r="E657" s="61"/>
      <c r="F657" s="61"/>
      <c r="G657" s="67"/>
      <c r="H657" s="60"/>
      <c r="I657" s="60"/>
      <c r="J657" s="61"/>
      <c r="K657" s="61"/>
      <c r="L657" s="60"/>
      <c r="M657" s="74" t="str">
        <f>IF($C657="","",IF($D657="Gider",$E657,IF($L657&lt;&gt;"",$L657,$H657)))</f>
        <v/>
      </c>
      <c r="N657" s="74" t="str">
        <f>IF($C657="","",IF($D657="Gider",$H657,$E657))</f>
        <v/>
      </c>
      <c r="O657" s="73" t="str">
        <f>IF($C657="","",DATE(YEAR($C657),MONTH($C657),1))</f>
        <v/>
      </c>
      <c r="P657" s="65" t="str">
        <f ca="1">IF($C657="","",IF(AND($D657="Gelir",$L657&lt;&gt;"",$T657=""),"TANIMSIZ BORÇLU",IF($T657&lt;&gt;"",IF(OR($E657="",$G657&lt;=0),"EKSİK",IF($I657="Evet","TAHAKKUK NAKİT OLAMAZ",IF($C657&gt;TODAY(),"İLERİ TARİH","TAHAKKUK"))),IF(AND($D657&lt;&gt;"",$E657&lt;&gt;"",$G657&gt;0,$H657&lt;&gt;"",$I657&lt;&gt;""),IF($C657&gt;TODAY(),"İLERİ TARİH",IF(COUNTIF($W$7:$W$3001,$W657)&gt;1,"MÜKERRER?",IF($AD657&gt;0,"KAPALI DÖNEM",IF($I657="Hayır","ÖDENECEK","UYGUN")))),"EKSİK"))))</f>
        <v/>
      </c>
      <c r="Q657" s="2"/>
      <c r="R657" s="2"/>
      <c r="S657" s="1" t="str">
        <f t="shared" si="32"/>
        <v/>
      </c>
      <c r="T657" s="1" t="str">
        <f>IF(OR($C657="",$D657&lt;&gt;"Gelir",$L657=""),"",IFERROR(INDEX(MUSTERILER!$B$7:$B$156,MATCH($S657,MUSTERILER!$T$7:$T$156,0)),""))</f>
        <v/>
      </c>
      <c r="U657" s="1" t="str">
        <f>IF($T657="","",$T657&amp;"|"&amp;COUNTIFS($T$7:$T657,$T657))</f>
        <v/>
      </c>
      <c r="V657" s="1">
        <f t="shared" si="33"/>
        <v>0</v>
      </c>
      <c r="W657" s="1" t="str">
        <f t="shared" si="34"/>
        <v/>
      </c>
      <c r="X657" s="1"/>
      <c r="Y657" s="1"/>
      <c r="Z657" s="1"/>
      <c r="AA657" s="1"/>
      <c r="AB657" s="1"/>
      <c r="AC657" s="1"/>
      <c r="AD657" s="1">
        <f>IF($C657="",0,SUMPRODUCT((AY_SONU!$O$7:$O$42="Evet")*(AY_SONU!$B$7:$B$42=DATE(YEAR($C657),MONTH($C657),1))))</f>
        <v>0</v>
      </c>
      <c r="AE657" s="1" t="str">
        <f>IF($E657="","",$E657&amp;"|"&amp;COUNTIFS($E$7:$E657,$E657))</f>
        <v/>
      </c>
    </row>
    <row r="658" spans="1:31" ht="18" customHeight="1" x14ac:dyDescent="0.3">
      <c r="A658" s="2"/>
      <c r="B658" s="65" t="str">
        <f>IF($C658="","","GG"&amp;TEXT(ROW()-6,"00000"))</f>
        <v/>
      </c>
      <c r="C658" s="66"/>
      <c r="D658" s="60"/>
      <c r="E658" s="61"/>
      <c r="F658" s="61"/>
      <c r="G658" s="67"/>
      <c r="H658" s="60"/>
      <c r="I658" s="60"/>
      <c r="J658" s="61"/>
      <c r="K658" s="61"/>
      <c r="L658" s="60"/>
      <c r="M658" s="74" t="str">
        <f>IF($C658="","",IF($D658="Gider",$E658,IF($L658&lt;&gt;"",$L658,$H658)))</f>
        <v/>
      </c>
      <c r="N658" s="74" t="str">
        <f>IF($C658="","",IF($D658="Gider",$H658,$E658))</f>
        <v/>
      </c>
      <c r="O658" s="73" t="str">
        <f>IF($C658="","",DATE(YEAR($C658),MONTH($C658),1))</f>
        <v/>
      </c>
      <c r="P658" s="65" t="str">
        <f ca="1">IF($C658="","",IF(AND($D658="Gelir",$L658&lt;&gt;"",$T658=""),"TANIMSIZ BORÇLU",IF($T658&lt;&gt;"",IF(OR($E658="",$G658&lt;=0),"EKSİK",IF($I658="Evet","TAHAKKUK NAKİT OLAMAZ",IF($C658&gt;TODAY(),"İLERİ TARİH","TAHAKKUK"))),IF(AND($D658&lt;&gt;"",$E658&lt;&gt;"",$G658&gt;0,$H658&lt;&gt;"",$I658&lt;&gt;""),IF($C658&gt;TODAY(),"İLERİ TARİH",IF(COUNTIF($W$7:$W$3001,$W658)&gt;1,"MÜKERRER?",IF($AD658&gt;0,"KAPALI DÖNEM",IF($I658="Hayır","ÖDENECEK","UYGUN")))),"EKSİK"))))</f>
        <v/>
      </c>
      <c r="Q658" s="2"/>
      <c r="R658" s="2"/>
      <c r="S658" s="1" t="str">
        <f t="shared" si="32"/>
        <v/>
      </c>
      <c r="T658" s="1" t="str">
        <f>IF(OR($C658="",$D658&lt;&gt;"Gelir",$L658=""),"",IFERROR(INDEX(MUSTERILER!$B$7:$B$156,MATCH($S658,MUSTERILER!$T$7:$T$156,0)),""))</f>
        <v/>
      </c>
      <c r="U658" s="1" t="str">
        <f>IF($T658="","",$T658&amp;"|"&amp;COUNTIFS($T$7:$T658,$T658))</f>
        <v/>
      </c>
      <c r="V658" s="1">
        <f t="shared" si="33"/>
        <v>0</v>
      </c>
      <c r="W658" s="1" t="str">
        <f t="shared" si="34"/>
        <v/>
      </c>
      <c r="X658" s="1"/>
      <c r="Y658" s="1"/>
      <c r="Z658" s="1"/>
      <c r="AA658" s="1"/>
      <c r="AB658" s="1"/>
      <c r="AC658" s="1"/>
      <c r="AD658" s="1">
        <f>IF($C658="",0,SUMPRODUCT((AY_SONU!$O$7:$O$42="Evet")*(AY_SONU!$B$7:$B$42=DATE(YEAR($C658),MONTH($C658),1))))</f>
        <v>0</v>
      </c>
      <c r="AE658" s="1" t="str">
        <f>IF($E658="","",$E658&amp;"|"&amp;COUNTIFS($E$7:$E658,$E658))</f>
        <v/>
      </c>
    </row>
    <row r="659" spans="1:31" ht="18" customHeight="1" x14ac:dyDescent="0.3">
      <c r="A659" s="2"/>
      <c r="B659" s="65" t="str">
        <f>IF($C659="","","GG"&amp;TEXT(ROW()-6,"00000"))</f>
        <v/>
      </c>
      <c r="C659" s="66"/>
      <c r="D659" s="60"/>
      <c r="E659" s="61"/>
      <c r="F659" s="61"/>
      <c r="G659" s="67"/>
      <c r="H659" s="60"/>
      <c r="I659" s="60"/>
      <c r="J659" s="61"/>
      <c r="K659" s="61"/>
      <c r="L659" s="60"/>
      <c r="M659" s="74" t="str">
        <f>IF($C659="","",IF($D659="Gider",$E659,IF($L659&lt;&gt;"",$L659,$H659)))</f>
        <v/>
      </c>
      <c r="N659" s="74" t="str">
        <f>IF($C659="","",IF($D659="Gider",$H659,$E659))</f>
        <v/>
      </c>
      <c r="O659" s="73" t="str">
        <f>IF($C659="","",DATE(YEAR($C659),MONTH($C659),1))</f>
        <v/>
      </c>
      <c r="P659" s="65" t="str">
        <f ca="1">IF($C659="","",IF(AND($D659="Gelir",$L659&lt;&gt;"",$T659=""),"TANIMSIZ BORÇLU",IF($T659&lt;&gt;"",IF(OR($E659="",$G659&lt;=0),"EKSİK",IF($I659="Evet","TAHAKKUK NAKİT OLAMAZ",IF($C659&gt;TODAY(),"İLERİ TARİH","TAHAKKUK"))),IF(AND($D659&lt;&gt;"",$E659&lt;&gt;"",$G659&gt;0,$H659&lt;&gt;"",$I659&lt;&gt;""),IF($C659&gt;TODAY(),"İLERİ TARİH",IF(COUNTIF($W$7:$W$3001,$W659)&gt;1,"MÜKERRER?",IF($AD659&gt;0,"KAPALI DÖNEM",IF($I659="Hayır","ÖDENECEK","UYGUN")))),"EKSİK"))))</f>
        <v/>
      </c>
      <c r="Q659" s="2"/>
      <c r="R659" s="2"/>
      <c r="S659" s="1" t="str">
        <f t="shared" si="32"/>
        <v/>
      </c>
      <c r="T659" s="1" t="str">
        <f>IF(OR($C659="",$D659&lt;&gt;"Gelir",$L659=""),"",IFERROR(INDEX(MUSTERILER!$B$7:$B$156,MATCH($S659,MUSTERILER!$T$7:$T$156,0)),""))</f>
        <v/>
      </c>
      <c r="U659" s="1" t="str">
        <f>IF($T659="","",$T659&amp;"|"&amp;COUNTIFS($T$7:$T659,$T659))</f>
        <v/>
      </c>
      <c r="V659" s="1">
        <f t="shared" si="33"/>
        <v>0</v>
      </c>
      <c r="W659" s="1" t="str">
        <f t="shared" si="34"/>
        <v/>
      </c>
      <c r="X659" s="1"/>
      <c r="Y659" s="1"/>
      <c r="Z659" s="1"/>
      <c r="AA659" s="1"/>
      <c r="AB659" s="1"/>
      <c r="AC659" s="1"/>
      <c r="AD659" s="1">
        <f>IF($C659="",0,SUMPRODUCT((AY_SONU!$O$7:$O$42="Evet")*(AY_SONU!$B$7:$B$42=DATE(YEAR($C659),MONTH($C659),1))))</f>
        <v>0</v>
      </c>
      <c r="AE659" s="1" t="str">
        <f>IF($E659="","",$E659&amp;"|"&amp;COUNTIFS($E$7:$E659,$E659))</f>
        <v/>
      </c>
    </row>
    <row r="660" spans="1:31" ht="18" customHeight="1" x14ac:dyDescent="0.3">
      <c r="A660" s="2"/>
      <c r="B660" s="65" t="str">
        <f>IF($C660="","","GG"&amp;TEXT(ROW()-6,"00000"))</f>
        <v/>
      </c>
      <c r="C660" s="66"/>
      <c r="D660" s="60"/>
      <c r="E660" s="61"/>
      <c r="F660" s="61"/>
      <c r="G660" s="67"/>
      <c r="H660" s="60"/>
      <c r="I660" s="60"/>
      <c r="J660" s="61"/>
      <c r="K660" s="61"/>
      <c r="L660" s="60"/>
      <c r="M660" s="74" t="str">
        <f>IF($C660="","",IF($D660="Gider",$E660,IF($L660&lt;&gt;"",$L660,$H660)))</f>
        <v/>
      </c>
      <c r="N660" s="74" t="str">
        <f>IF($C660="","",IF($D660="Gider",$H660,$E660))</f>
        <v/>
      </c>
      <c r="O660" s="73" t="str">
        <f>IF($C660="","",DATE(YEAR($C660),MONTH($C660),1))</f>
        <v/>
      </c>
      <c r="P660" s="65" t="str">
        <f ca="1">IF($C660="","",IF(AND($D660="Gelir",$L660&lt;&gt;"",$T660=""),"TANIMSIZ BORÇLU",IF($T660&lt;&gt;"",IF(OR($E660="",$G660&lt;=0),"EKSİK",IF($I660="Evet","TAHAKKUK NAKİT OLAMAZ",IF($C660&gt;TODAY(),"İLERİ TARİH","TAHAKKUK"))),IF(AND($D660&lt;&gt;"",$E660&lt;&gt;"",$G660&gt;0,$H660&lt;&gt;"",$I660&lt;&gt;""),IF($C660&gt;TODAY(),"İLERİ TARİH",IF(COUNTIF($W$7:$W$3001,$W660)&gt;1,"MÜKERRER?",IF($AD660&gt;0,"KAPALI DÖNEM",IF($I660="Hayır","ÖDENECEK","UYGUN")))),"EKSİK"))))</f>
        <v/>
      </c>
      <c r="Q660" s="2"/>
      <c r="R660" s="2"/>
      <c r="S660" s="1" t="str">
        <f t="shared" si="32"/>
        <v/>
      </c>
      <c r="T660" s="1" t="str">
        <f>IF(OR($C660="",$D660&lt;&gt;"Gelir",$L660=""),"",IFERROR(INDEX(MUSTERILER!$B$7:$B$156,MATCH($S660,MUSTERILER!$T$7:$T$156,0)),""))</f>
        <v/>
      </c>
      <c r="U660" s="1" t="str">
        <f>IF($T660="","",$T660&amp;"|"&amp;COUNTIFS($T$7:$T660,$T660))</f>
        <v/>
      </c>
      <c r="V660" s="1">
        <f t="shared" si="33"/>
        <v>0</v>
      </c>
      <c r="W660" s="1" t="str">
        <f t="shared" si="34"/>
        <v/>
      </c>
      <c r="X660" s="1"/>
      <c r="Y660" s="1"/>
      <c r="Z660" s="1"/>
      <c r="AA660" s="1"/>
      <c r="AB660" s="1"/>
      <c r="AC660" s="1"/>
      <c r="AD660" s="1">
        <f>IF($C660="",0,SUMPRODUCT((AY_SONU!$O$7:$O$42="Evet")*(AY_SONU!$B$7:$B$42=DATE(YEAR($C660),MONTH($C660),1))))</f>
        <v>0</v>
      </c>
      <c r="AE660" s="1" t="str">
        <f>IF($E660="","",$E660&amp;"|"&amp;COUNTIFS($E$7:$E660,$E660))</f>
        <v/>
      </c>
    </row>
    <row r="661" spans="1:31" ht="18" customHeight="1" x14ac:dyDescent="0.3">
      <c r="A661" s="2"/>
      <c r="B661" s="65" t="str">
        <f>IF($C661="","","GG"&amp;TEXT(ROW()-6,"00000"))</f>
        <v/>
      </c>
      <c r="C661" s="66"/>
      <c r="D661" s="60"/>
      <c r="E661" s="61"/>
      <c r="F661" s="61"/>
      <c r="G661" s="67"/>
      <c r="H661" s="60"/>
      <c r="I661" s="60"/>
      <c r="J661" s="61"/>
      <c r="K661" s="61"/>
      <c r="L661" s="60"/>
      <c r="M661" s="74" t="str">
        <f>IF($C661="","",IF($D661="Gider",$E661,IF($L661&lt;&gt;"",$L661,$H661)))</f>
        <v/>
      </c>
      <c r="N661" s="74" t="str">
        <f>IF($C661="","",IF($D661="Gider",$H661,$E661))</f>
        <v/>
      </c>
      <c r="O661" s="73" t="str">
        <f>IF($C661="","",DATE(YEAR($C661),MONTH($C661),1))</f>
        <v/>
      </c>
      <c r="P661" s="65" t="str">
        <f ca="1">IF($C661="","",IF(AND($D661="Gelir",$L661&lt;&gt;"",$T661=""),"TANIMSIZ BORÇLU",IF($T661&lt;&gt;"",IF(OR($E661="",$G661&lt;=0),"EKSİK",IF($I661="Evet","TAHAKKUK NAKİT OLAMAZ",IF($C661&gt;TODAY(),"İLERİ TARİH","TAHAKKUK"))),IF(AND($D661&lt;&gt;"",$E661&lt;&gt;"",$G661&gt;0,$H661&lt;&gt;"",$I661&lt;&gt;""),IF($C661&gt;TODAY(),"İLERİ TARİH",IF(COUNTIF($W$7:$W$3001,$W661)&gt;1,"MÜKERRER?",IF($AD661&gt;0,"KAPALI DÖNEM",IF($I661="Hayır","ÖDENECEK","UYGUN")))),"EKSİK"))))</f>
        <v/>
      </c>
      <c r="Q661" s="2"/>
      <c r="R661" s="2"/>
      <c r="S661" s="1" t="str">
        <f t="shared" si="32"/>
        <v/>
      </c>
      <c r="T661" s="1" t="str">
        <f>IF(OR($C661="",$D661&lt;&gt;"Gelir",$L661=""),"",IFERROR(INDEX(MUSTERILER!$B$7:$B$156,MATCH($S661,MUSTERILER!$T$7:$T$156,0)),""))</f>
        <v/>
      </c>
      <c r="U661" s="1" t="str">
        <f>IF($T661="","",$T661&amp;"|"&amp;COUNTIFS($T$7:$T661,$T661))</f>
        <v/>
      </c>
      <c r="V661" s="1">
        <f t="shared" si="33"/>
        <v>0</v>
      </c>
      <c r="W661" s="1" t="str">
        <f t="shared" si="34"/>
        <v/>
      </c>
      <c r="X661" s="1"/>
      <c r="Y661" s="1"/>
      <c r="Z661" s="1"/>
      <c r="AA661" s="1"/>
      <c r="AB661" s="1"/>
      <c r="AC661" s="1"/>
      <c r="AD661" s="1">
        <f>IF($C661="",0,SUMPRODUCT((AY_SONU!$O$7:$O$42="Evet")*(AY_SONU!$B$7:$B$42=DATE(YEAR($C661),MONTH($C661),1))))</f>
        <v>0</v>
      </c>
      <c r="AE661" s="1" t="str">
        <f>IF($E661="","",$E661&amp;"|"&amp;COUNTIFS($E$7:$E661,$E661))</f>
        <v/>
      </c>
    </row>
    <row r="662" spans="1:31" ht="18" customHeight="1" x14ac:dyDescent="0.3">
      <c r="A662" s="2"/>
      <c r="B662" s="65" t="str">
        <f>IF($C662="","","GG"&amp;TEXT(ROW()-6,"00000"))</f>
        <v/>
      </c>
      <c r="C662" s="66"/>
      <c r="D662" s="60"/>
      <c r="E662" s="61"/>
      <c r="F662" s="61"/>
      <c r="G662" s="67"/>
      <c r="H662" s="60"/>
      <c r="I662" s="60"/>
      <c r="J662" s="61"/>
      <c r="K662" s="61"/>
      <c r="L662" s="60"/>
      <c r="M662" s="74" t="str">
        <f>IF($C662="","",IF($D662="Gider",$E662,IF($L662&lt;&gt;"",$L662,$H662)))</f>
        <v/>
      </c>
      <c r="N662" s="74" t="str">
        <f>IF($C662="","",IF($D662="Gider",$H662,$E662))</f>
        <v/>
      </c>
      <c r="O662" s="73" t="str">
        <f>IF($C662="","",DATE(YEAR($C662),MONTH($C662),1))</f>
        <v/>
      </c>
      <c r="P662" s="65" t="str">
        <f ca="1">IF($C662="","",IF(AND($D662="Gelir",$L662&lt;&gt;"",$T662=""),"TANIMSIZ BORÇLU",IF($T662&lt;&gt;"",IF(OR($E662="",$G662&lt;=0),"EKSİK",IF($I662="Evet","TAHAKKUK NAKİT OLAMAZ",IF($C662&gt;TODAY(),"İLERİ TARİH","TAHAKKUK"))),IF(AND($D662&lt;&gt;"",$E662&lt;&gt;"",$G662&gt;0,$H662&lt;&gt;"",$I662&lt;&gt;""),IF($C662&gt;TODAY(),"İLERİ TARİH",IF(COUNTIF($W$7:$W$3001,$W662)&gt;1,"MÜKERRER?",IF($AD662&gt;0,"KAPALI DÖNEM",IF($I662="Hayır","ÖDENECEK","UYGUN")))),"EKSİK"))))</f>
        <v/>
      </c>
      <c r="Q662" s="2"/>
      <c r="R662" s="2"/>
      <c r="S662" s="1" t="str">
        <f t="shared" si="32"/>
        <v/>
      </c>
      <c r="T662" s="1" t="str">
        <f>IF(OR($C662="",$D662&lt;&gt;"Gelir",$L662=""),"",IFERROR(INDEX(MUSTERILER!$B$7:$B$156,MATCH($S662,MUSTERILER!$T$7:$T$156,0)),""))</f>
        <v/>
      </c>
      <c r="U662" s="1" t="str">
        <f>IF($T662="","",$T662&amp;"|"&amp;COUNTIFS($T$7:$T662,$T662))</f>
        <v/>
      </c>
      <c r="V662" s="1">
        <f t="shared" si="33"/>
        <v>0</v>
      </c>
      <c r="W662" s="1" t="str">
        <f t="shared" si="34"/>
        <v/>
      </c>
      <c r="X662" s="1"/>
      <c r="Y662" s="1"/>
      <c r="Z662" s="1"/>
      <c r="AA662" s="1"/>
      <c r="AB662" s="1"/>
      <c r="AC662" s="1"/>
      <c r="AD662" s="1">
        <f>IF($C662="",0,SUMPRODUCT((AY_SONU!$O$7:$O$42="Evet")*(AY_SONU!$B$7:$B$42=DATE(YEAR($C662),MONTH($C662),1))))</f>
        <v>0</v>
      </c>
      <c r="AE662" s="1" t="str">
        <f>IF($E662="","",$E662&amp;"|"&amp;COUNTIFS($E$7:$E662,$E662))</f>
        <v/>
      </c>
    </row>
    <row r="663" spans="1:31" ht="18" customHeight="1" x14ac:dyDescent="0.3">
      <c r="A663" s="2"/>
      <c r="B663" s="65" t="str">
        <f>IF($C663="","","GG"&amp;TEXT(ROW()-6,"00000"))</f>
        <v/>
      </c>
      <c r="C663" s="66"/>
      <c r="D663" s="60"/>
      <c r="E663" s="61"/>
      <c r="F663" s="61"/>
      <c r="G663" s="67"/>
      <c r="H663" s="60"/>
      <c r="I663" s="60"/>
      <c r="J663" s="61"/>
      <c r="K663" s="61"/>
      <c r="L663" s="60"/>
      <c r="M663" s="74" t="str">
        <f>IF($C663="","",IF($D663="Gider",$E663,IF($L663&lt;&gt;"",$L663,$H663)))</f>
        <v/>
      </c>
      <c r="N663" s="74" t="str">
        <f>IF($C663="","",IF($D663="Gider",$H663,$E663))</f>
        <v/>
      </c>
      <c r="O663" s="73" t="str">
        <f>IF($C663="","",DATE(YEAR($C663),MONTH($C663),1))</f>
        <v/>
      </c>
      <c r="P663" s="65" t="str">
        <f ca="1">IF($C663="","",IF(AND($D663="Gelir",$L663&lt;&gt;"",$T663=""),"TANIMSIZ BORÇLU",IF($T663&lt;&gt;"",IF(OR($E663="",$G663&lt;=0),"EKSİK",IF($I663="Evet","TAHAKKUK NAKİT OLAMAZ",IF($C663&gt;TODAY(),"İLERİ TARİH","TAHAKKUK"))),IF(AND($D663&lt;&gt;"",$E663&lt;&gt;"",$G663&gt;0,$H663&lt;&gt;"",$I663&lt;&gt;""),IF($C663&gt;TODAY(),"İLERİ TARİH",IF(COUNTIF($W$7:$W$3001,$W663)&gt;1,"MÜKERRER?",IF($AD663&gt;0,"KAPALI DÖNEM",IF($I663="Hayır","ÖDENECEK","UYGUN")))),"EKSİK"))))</f>
        <v/>
      </c>
      <c r="Q663" s="2"/>
      <c r="R663" s="2"/>
      <c r="S663" s="1" t="str">
        <f t="shared" si="32"/>
        <v/>
      </c>
      <c r="T663" s="1" t="str">
        <f>IF(OR($C663="",$D663&lt;&gt;"Gelir",$L663=""),"",IFERROR(INDEX(MUSTERILER!$B$7:$B$156,MATCH($S663,MUSTERILER!$T$7:$T$156,0)),""))</f>
        <v/>
      </c>
      <c r="U663" s="1" t="str">
        <f>IF($T663="","",$T663&amp;"|"&amp;COUNTIFS($T$7:$T663,$T663))</f>
        <v/>
      </c>
      <c r="V663" s="1">
        <f t="shared" si="33"/>
        <v>0</v>
      </c>
      <c r="W663" s="1" t="str">
        <f t="shared" si="34"/>
        <v/>
      </c>
      <c r="X663" s="1"/>
      <c r="Y663" s="1"/>
      <c r="Z663" s="1"/>
      <c r="AA663" s="1"/>
      <c r="AB663" s="1"/>
      <c r="AC663" s="1"/>
      <c r="AD663" s="1">
        <f>IF($C663="",0,SUMPRODUCT((AY_SONU!$O$7:$O$42="Evet")*(AY_SONU!$B$7:$B$42=DATE(YEAR($C663),MONTH($C663),1))))</f>
        <v>0</v>
      </c>
      <c r="AE663" s="1" t="str">
        <f>IF($E663="","",$E663&amp;"|"&amp;COUNTIFS($E$7:$E663,$E663))</f>
        <v/>
      </c>
    </row>
    <row r="664" spans="1:31" ht="18" customHeight="1" x14ac:dyDescent="0.3">
      <c r="A664" s="2"/>
      <c r="B664" s="65" t="str">
        <f>IF($C664="","","GG"&amp;TEXT(ROW()-6,"00000"))</f>
        <v/>
      </c>
      <c r="C664" s="66"/>
      <c r="D664" s="60"/>
      <c r="E664" s="61"/>
      <c r="F664" s="61"/>
      <c r="G664" s="67"/>
      <c r="H664" s="60"/>
      <c r="I664" s="60"/>
      <c r="J664" s="61"/>
      <c r="K664" s="61"/>
      <c r="L664" s="60"/>
      <c r="M664" s="74" t="str">
        <f>IF($C664="","",IF($D664="Gider",$E664,IF($L664&lt;&gt;"",$L664,$H664)))</f>
        <v/>
      </c>
      <c r="N664" s="74" t="str">
        <f>IF($C664="","",IF($D664="Gider",$H664,$E664))</f>
        <v/>
      </c>
      <c r="O664" s="73" t="str">
        <f>IF($C664="","",DATE(YEAR($C664),MONTH($C664),1))</f>
        <v/>
      </c>
      <c r="P664" s="65" t="str">
        <f ca="1">IF($C664="","",IF(AND($D664="Gelir",$L664&lt;&gt;"",$T664=""),"TANIMSIZ BORÇLU",IF($T664&lt;&gt;"",IF(OR($E664="",$G664&lt;=0),"EKSİK",IF($I664="Evet","TAHAKKUK NAKİT OLAMAZ",IF($C664&gt;TODAY(),"İLERİ TARİH","TAHAKKUK"))),IF(AND($D664&lt;&gt;"",$E664&lt;&gt;"",$G664&gt;0,$H664&lt;&gt;"",$I664&lt;&gt;""),IF($C664&gt;TODAY(),"İLERİ TARİH",IF(COUNTIF($W$7:$W$3001,$W664)&gt;1,"MÜKERRER?",IF($AD664&gt;0,"KAPALI DÖNEM",IF($I664="Hayır","ÖDENECEK","UYGUN")))),"EKSİK"))))</f>
        <v/>
      </c>
      <c r="Q664" s="2"/>
      <c r="R664" s="2"/>
      <c r="S664" s="1" t="str">
        <f t="shared" si="32"/>
        <v/>
      </c>
      <c r="T664" s="1" t="str">
        <f>IF(OR($C664="",$D664&lt;&gt;"Gelir",$L664=""),"",IFERROR(INDEX(MUSTERILER!$B$7:$B$156,MATCH($S664,MUSTERILER!$T$7:$T$156,0)),""))</f>
        <v/>
      </c>
      <c r="U664" s="1" t="str">
        <f>IF($T664="","",$T664&amp;"|"&amp;COUNTIFS($T$7:$T664,$T664))</f>
        <v/>
      </c>
      <c r="V664" s="1">
        <f t="shared" si="33"/>
        <v>0</v>
      </c>
      <c r="W664" s="1" t="str">
        <f t="shared" si="34"/>
        <v/>
      </c>
      <c r="X664" s="1"/>
      <c r="Y664" s="1"/>
      <c r="Z664" s="1"/>
      <c r="AA664" s="1"/>
      <c r="AB664" s="1"/>
      <c r="AC664" s="1"/>
      <c r="AD664" s="1">
        <f>IF($C664="",0,SUMPRODUCT((AY_SONU!$O$7:$O$42="Evet")*(AY_SONU!$B$7:$B$42=DATE(YEAR($C664),MONTH($C664),1))))</f>
        <v>0</v>
      </c>
      <c r="AE664" s="1" t="str">
        <f>IF($E664="","",$E664&amp;"|"&amp;COUNTIFS($E$7:$E664,$E664))</f>
        <v/>
      </c>
    </row>
    <row r="665" spans="1:31" ht="18" customHeight="1" x14ac:dyDescent="0.3">
      <c r="A665" s="2"/>
      <c r="B665" s="65" t="str">
        <f>IF($C665="","","GG"&amp;TEXT(ROW()-6,"00000"))</f>
        <v/>
      </c>
      <c r="C665" s="66"/>
      <c r="D665" s="60"/>
      <c r="E665" s="61"/>
      <c r="F665" s="61"/>
      <c r="G665" s="67"/>
      <c r="H665" s="60"/>
      <c r="I665" s="60"/>
      <c r="J665" s="61"/>
      <c r="K665" s="61"/>
      <c r="L665" s="60"/>
      <c r="M665" s="74" t="str">
        <f>IF($C665="","",IF($D665="Gider",$E665,IF($L665&lt;&gt;"",$L665,$H665)))</f>
        <v/>
      </c>
      <c r="N665" s="74" t="str">
        <f>IF($C665="","",IF($D665="Gider",$H665,$E665))</f>
        <v/>
      </c>
      <c r="O665" s="73" t="str">
        <f>IF($C665="","",DATE(YEAR($C665),MONTH($C665),1))</f>
        <v/>
      </c>
      <c r="P665" s="65" t="str">
        <f ca="1">IF($C665="","",IF(AND($D665="Gelir",$L665&lt;&gt;"",$T665=""),"TANIMSIZ BORÇLU",IF($T665&lt;&gt;"",IF(OR($E665="",$G665&lt;=0),"EKSİK",IF($I665="Evet","TAHAKKUK NAKİT OLAMAZ",IF($C665&gt;TODAY(),"İLERİ TARİH","TAHAKKUK"))),IF(AND($D665&lt;&gt;"",$E665&lt;&gt;"",$G665&gt;0,$H665&lt;&gt;"",$I665&lt;&gt;""),IF($C665&gt;TODAY(),"İLERİ TARİH",IF(COUNTIF($W$7:$W$3001,$W665)&gt;1,"MÜKERRER?",IF($AD665&gt;0,"KAPALI DÖNEM",IF($I665="Hayır","ÖDENECEK","UYGUN")))),"EKSİK"))))</f>
        <v/>
      </c>
      <c r="Q665" s="2"/>
      <c r="R665" s="2"/>
      <c r="S665" s="1" t="str">
        <f t="shared" si="32"/>
        <v/>
      </c>
      <c r="T665" s="1" t="str">
        <f>IF(OR($C665="",$D665&lt;&gt;"Gelir",$L665=""),"",IFERROR(INDEX(MUSTERILER!$B$7:$B$156,MATCH($S665,MUSTERILER!$T$7:$T$156,0)),""))</f>
        <v/>
      </c>
      <c r="U665" s="1" t="str">
        <f>IF($T665="","",$T665&amp;"|"&amp;COUNTIFS($T$7:$T665,$T665))</f>
        <v/>
      </c>
      <c r="V665" s="1">
        <f t="shared" si="33"/>
        <v>0</v>
      </c>
      <c r="W665" s="1" t="str">
        <f t="shared" si="34"/>
        <v/>
      </c>
      <c r="X665" s="1"/>
      <c r="Y665" s="1"/>
      <c r="Z665" s="1"/>
      <c r="AA665" s="1"/>
      <c r="AB665" s="1"/>
      <c r="AC665" s="1"/>
      <c r="AD665" s="1">
        <f>IF($C665="",0,SUMPRODUCT((AY_SONU!$O$7:$O$42="Evet")*(AY_SONU!$B$7:$B$42=DATE(YEAR($C665),MONTH($C665),1))))</f>
        <v>0</v>
      </c>
      <c r="AE665" s="1" t="str">
        <f>IF($E665="","",$E665&amp;"|"&amp;COUNTIFS($E$7:$E665,$E665))</f>
        <v/>
      </c>
    </row>
    <row r="666" spans="1:31" ht="18" customHeight="1" x14ac:dyDescent="0.3">
      <c r="A666" s="2"/>
      <c r="B666" s="65" t="str">
        <f>IF($C666="","","GG"&amp;TEXT(ROW()-6,"00000"))</f>
        <v/>
      </c>
      <c r="C666" s="66"/>
      <c r="D666" s="60"/>
      <c r="E666" s="61"/>
      <c r="F666" s="61"/>
      <c r="G666" s="67"/>
      <c r="H666" s="60"/>
      <c r="I666" s="60"/>
      <c r="J666" s="61"/>
      <c r="K666" s="61"/>
      <c r="L666" s="60"/>
      <c r="M666" s="74" t="str">
        <f>IF($C666="","",IF($D666="Gider",$E666,IF($L666&lt;&gt;"",$L666,$H666)))</f>
        <v/>
      </c>
      <c r="N666" s="74" t="str">
        <f>IF($C666="","",IF($D666="Gider",$H666,$E666))</f>
        <v/>
      </c>
      <c r="O666" s="73" t="str">
        <f>IF($C666="","",DATE(YEAR($C666),MONTH($C666),1))</f>
        <v/>
      </c>
      <c r="P666" s="65" t="str">
        <f ca="1">IF($C666="","",IF(AND($D666="Gelir",$L666&lt;&gt;"",$T666=""),"TANIMSIZ BORÇLU",IF($T666&lt;&gt;"",IF(OR($E666="",$G666&lt;=0),"EKSİK",IF($I666="Evet","TAHAKKUK NAKİT OLAMAZ",IF($C666&gt;TODAY(),"İLERİ TARİH","TAHAKKUK"))),IF(AND($D666&lt;&gt;"",$E666&lt;&gt;"",$G666&gt;0,$H666&lt;&gt;"",$I666&lt;&gt;""),IF($C666&gt;TODAY(),"İLERİ TARİH",IF(COUNTIF($W$7:$W$3001,$W666)&gt;1,"MÜKERRER?",IF($AD666&gt;0,"KAPALI DÖNEM",IF($I666="Hayır","ÖDENECEK","UYGUN")))),"EKSİK"))))</f>
        <v/>
      </c>
      <c r="Q666" s="2"/>
      <c r="R666" s="2"/>
      <c r="S666" s="1" t="str">
        <f t="shared" si="32"/>
        <v/>
      </c>
      <c r="T666" s="1" t="str">
        <f>IF(OR($C666="",$D666&lt;&gt;"Gelir",$L666=""),"",IFERROR(INDEX(MUSTERILER!$B$7:$B$156,MATCH($S666,MUSTERILER!$T$7:$T$156,0)),""))</f>
        <v/>
      </c>
      <c r="U666" s="1" t="str">
        <f>IF($T666="","",$T666&amp;"|"&amp;COUNTIFS($T$7:$T666,$T666))</f>
        <v/>
      </c>
      <c r="V666" s="1">
        <f t="shared" si="33"/>
        <v>0</v>
      </c>
      <c r="W666" s="1" t="str">
        <f t="shared" si="34"/>
        <v/>
      </c>
      <c r="X666" s="1"/>
      <c r="Y666" s="1"/>
      <c r="Z666" s="1"/>
      <c r="AA666" s="1"/>
      <c r="AB666" s="1"/>
      <c r="AC666" s="1"/>
      <c r="AD666" s="1">
        <f>IF($C666="",0,SUMPRODUCT((AY_SONU!$O$7:$O$42="Evet")*(AY_SONU!$B$7:$B$42=DATE(YEAR($C666),MONTH($C666),1))))</f>
        <v>0</v>
      </c>
      <c r="AE666" s="1" t="str">
        <f>IF($E666="","",$E666&amp;"|"&amp;COUNTIFS($E$7:$E666,$E666))</f>
        <v/>
      </c>
    </row>
    <row r="667" spans="1:31" ht="18" customHeight="1" x14ac:dyDescent="0.3">
      <c r="A667" s="2"/>
      <c r="B667" s="65" t="str">
        <f>IF($C667="","","GG"&amp;TEXT(ROW()-6,"00000"))</f>
        <v/>
      </c>
      <c r="C667" s="66"/>
      <c r="D667" s="60"/>
      <c r="E667" s="61"/>
      <c r="F667" s="61"/>
      <c r="G667" s="67"/>
      <c r="H667" s="60"/>
      <c r="I667" s="60"/>
      <c r="J667" s="61"/>
      <c r="K667" s="61"/>
      <c r="L667" s="60"/>
      <c r="M667" s="74" t="str">
        <f>IF($C667="","",IF($D667="Gider",$E667,IF($L667&lt;&gt;"",$L667,$H667)))</f>
        <v/>
      </c>
      <c r="N667" s="74" t="str">
        <f>IF($C667="","",IF($D667="Gider",$H667,$E667))</f>
        <v/>
      </c>
      <c r="O667" s="73" t="str">
        <f>IF($C667="","",DATE(YEAR($C667),MONTH($C667),1))</f>
        <v/>
      </c>
      <c r="P667" s="65" t="str">
        <f ca="1">IF($C667="","",IF(AND($D667="Gelir",$L667&lt;&gt;"",$T667=""),"TANIMSIZ BORÇLU",IF($T667&lt;&gt;"",IF(OR($E667="",$G667&lt;=0),"EKSİK",IF($I667="Evet","TAHAKKUK NAKİT OLAMAZ",IF($C667&gt;TODAY(),"İLERİ TARİH","TAHAKKUK"))),IF(AND($D667&lt;&gt;"",$E667&lt;&gt;"",$G667&gt;0,$H667&lt;&gt;"",$I667&lt;&gt;""),IF($C667&gt;TODAY(),"İLERİ TARİH",IF(COUNTIF($W$7:$W$3001,$W667)&gt;1,"MÜKERRER?",IF($AD667&gt;0,"KAPALI DÖNEM",IF($I667="Hayır","ÖDENECEK","UYGUN")))),"EKSİK"))))</f>
        <v/>
      </c>
      <c r="Q667" s="2"/>
      <c r="R667" s="2"/>
      <c r="S667" s="1" t="str">
        <f t="shared" si="32"/>
        <v/>
      </c>
      <c r="T667" s="1" t="str">
        <f>IF(OR($C667="",$D667&lt;&gt;"Gelir",$L667=""),"",IFERROR(INDEX(MUSTERILER!$B$7:$B$156,MATCH($S667,MUSTERILER!$T$7:$T$156,0)),""))</f>
        <v/>
      </c>
      <c r="U667" s="1" t="str">
        <f>IF($T667="","",$T667&amp;"|"&amp;COUNTIFS($T$7:$T667,$T667))</f>
        <v/>
      </c>
      <c r="V667" s="1">
        <f t="shared" si="33"/>
        <v>0</v>
      </c>
      <c r="W667" s="1" t="str">
        <f t="shared" si="34"/>
        <v/>
      </c>
      <c r="X667" s="1"/>
      <c r="Y667" s="1"/>
      <c r="Z667" s="1"/>
      <c r="AA667" s="1"/>
      <c r="AB667" s="1"/>
      <c r="AC667" s="1"/>
      <c r="AD667" s="1">
        <f>IF($C667="",0,SUMPRODUCT((AY_SONU!$O$7:$O$42="Evet")*(AY_SONU!$B$7:$B$42=DATE(YEAR($C667),MONTH($C667),1))))</f>
        <v>0</v>
      </c>
      <c r="AE667" s="1" t="str">
        <f>IF($E667="","",$E667&amp;"|"&amp;COUNTIFS($E$7:$E667,$E667))</f>
        <v/>
      </c>
    </row>
    <row r="668" spans="1:31" ht="18" customHeight="1" x14ac:dyDescent="0.3">
      <c r="A668" s="2"/>
      <c r="B668" s="65" t="str">
        <f>IF($C668="","","GG"&amp;TEXT(ROW()-6,"00000"))</f>
        <v/>
      </c>
      <c r="C668" s="66"/>
      <c r="D668" s="60"/>
      <c r="E668" s="61"/>
      <c r="F668" s="61"/>
      <c r="G668" s="67"/>
      <c r="H668" s="60"/>
      <c r="I668" s="60"/>
      <c r="J668" s="61"/>
      <c r="K668" s="61"/>
      <c r="L668" s="60"/>
      <c r="M668" s="74" t="str">
        <f>IF($C668="","",IF($D668="Gider",$E668,IF($L668&lt;&gt;"",$L668,$H668)))</f>
        <v/>
      </c>
      <c r="N668" s="74" t="str">
        <f>IF($C668="","",IF($D668="Gider",$H668,$E668))</f>
        <v/>
      </c>
      <c r="O668" s="73" t="str">
        <f>IF($C668="","",DATE(YEAR($C668),MONTH($C668),1))</f>
        <v/>
      </c>
      <c r="P668" s="65" t="str">
        <f ca="1">IF($C668="","",IF(AND($D668="Gelir",$L668&lt;&gt;"",$T668=""),"TANIMSIZ BORÇLU",IF($T668&lt;&gt;"",IF(OR($E668="",$G668&lt;=0),"EKSİK",IF($I668="Evet","TAHAKKUK NAKİT OLAMAZ",IF($C668&gt;TODAY(),"İLERİ TARİH","TAHAKKUK"))),IF(AND($D668&lt;&gt;"",$E668&lt;&gt;"",$G668&gt;0,$H668&lt;&gt;"",$I668&lt;&gt;""),IF($C668&gt;TODAY(),"İLERİ TARİH",IF(COUNTIF($W$7:$W$3001,$W668)&gt;1,"MÜKERRER?",IF($AD668&gt;0,"KAPALI DÖNEM",IF($I668="Hayır","ÖDENECEK","UYGUN")))),"EKSİK"))))</f>
        <v/>
      </c>
      <c r="Q668" s="2"/>
      <c r="R668" s="2"/>
      <c r="S668" s="1" t="str">
        <f t="shared" si="32"/>
        <v/>
      </c>
      <c r="T668" s="1" t="str">
        <f>IF(OR($C668="",$D668&lt;&gt;"Gelir",$L668=""),"",IFERROR(INDEX(MUSTERILER!$B$7:$B$156,MATCH($S668,MUSTERILER!$T$7:$T$156,0)),""))</f>
        <v/>
      </c>
      <c r="U668" s="1" t="str">
        <f>IF($T668="","",$T668&amp;"|"&amp;COUNTIFS($T$7:$T668,$T668))</f>
        <v/>
      </c>
      <c r="V668" s="1">
        <f t="shared" si="33"/>
        <v>0</v>
      </c>
      <c r="W668" s="1" t="str">
        <f t="shared" si="34"/>
        <v/>
      </c>
      <c r="X668" s="1"/>
      <c r="Y668" s="1"/>
      <c r="Z668" s="1"/>
      <c r="AA668" s="1"/>
      <c r="AB668" s="1"/>
      <c r="AC668" s="1"/>
      <c r="AD668" s="1">
        <f>IF($C668="",0,SUMPRODUCT((AY_SONU!$O$7:$O$42="Evet")*(AY_SONU!$B$7:$B$42=DATE(YEAR($C668),MONTH($C668),1))))</f>
        <v>0</v>
      </c>
      <c r="AE668" s="1" t="str">
        <f>IF($E668="","",$E668&amp;"|"&amp;COUNTIFS($E$7:$E668,$E668))</f>
        <v/>
      </c>
    </row>
    <row r="669" spans="1:31" ht="18" customHeight="1" x14ac:dyDescent="0.3">
      <c r="A669" s="2"/>
      <c r="B669" s="65" t="str">
        <f>IF($C669="","","GG"&amp;TEXT(ROW()-6,"00000"))</f>
        <v/>
      </c>
      <c r="C669" s="66"/>
      <c r="D669" s="60"/>
      <c r="E669" s="61"/>
      <c r="F669" s="61"/>
      <c r="G669" s="67"/>
      <c r="H669" s="60"/>
      <c r="I669" s="60"/>
      <c r="J669" s="61"/>
      <c r="K669" s="61"/>
      <c r="L669" s="60"/>
      <c r="M669" s="74" t="str">
        <f>IF($C669="","",IF($D669="Gider",$E669,IF($L669&lt;&gt;"",$L669,$H669)))</f>
        <v/>
      </c>
      <c r="N669" s="74" t="str">
        <f>IF($C669="","",IF($D669="Gider",$H669,$E669))</f>
        <v/>
      </c>
      <c r="O669" s="73" t="str">
        <f>IF($C669="","",DATE(YEAR($C669),MONTH($C669),1))</f>
        <v/>
      </c>
      <c r="P669" s="65" t="str">
        <f ca="1">IF($C669="","",IF(AND($D669="Gelir",$L669&lt;&gt;"",$T669=""),"TANIMSIZ BORÇLU",IF($T669&lt;&gt;"",IF(OR($E669="",$G669&lt;=0),"EKSİK",IF($I669="Evet","TAHAKKUK NAKİT OLAMAZ",IF($C669&gt;TODAY(),"İLERİ TARİH","TAHAKKUK"))),IF(AND($D669&lt;&gt;"",$E669&lt;&gt;"",$G669&gt;0,$H669&lt;&gt;"",$I669&lt;&gt;""),IF($C669&gt;TODAY(),"İLERİ TARİH",IF(COUNTIF($W$7:$W$3001,$W669)&gt;1,"MÜKERRER?",IF($AD669&gt;0,"KAPALI DÖNEM",IF($I669="Hayır","ÖDENECEK","UYGUN")))),"EKSİK"))))</f>
        <v/>
      </c>
      <c r="Q669" s="2"/>
      <c r="R669" s="2"/>
      <c r="S669" s="1" t="str">
        <f t="shared" si="32"/>
        <v/>
      </c>
      <c r="T669" s="1" t="str">
        <f>IF(OR($C669="",$D669&lt;&gt;"Gelir",$L669=""),"",IFERROR(INDEX(MUSTERILER!$B$7:$B$156,MATCH($S669,MUSTERILER!$T$7:$T$156,0)),""))</f>
        <v/>
      </c>
      <c r="U669" s="1" t="str">
        <f>IF($T669="","",$T669&amp;"|"&amp;COUNTIFS($T$7:$T669,$T669))</f>
        <v/>
      </c>
      <c r="V669" s="1">
        <f t="shared" si="33"/>
        <v>0</v>
      </c>
      <c r="W669" s="1" t="str">
        <f t="shared" si="34"/>
        <v/>
      </c>
      <c r="X669" s="1"/>
      <c r="Y669" s="1"/>
      <c r="Z669" s="1"/>
      <c r="AA669" s="1"/>
      <c r="AB669" s="1"/>
      <c r="AC669" s="1"/>
      <c r="AD669" s="1">
        <f>IF($C669="",0,SUMPRODUCT((AY_SONU!$O$7:$O$42="Evet")*(AY_SONU!$B$7:$B$42=DATE(YEAR($C669),MONTH($C669),1))))</f>
        <v>0</v>
      </c>
      <c r="AE669" s="1" t="str">
        <f>IF($E669="","",$E669&amp;"|"&amp;COUNTIFS($E$7:$E669,$E669))</f>
        <v/>
      </c>
    </row>
    <row r="670" spans="1:31" ht="18" customHeight="1" x14ac:dyDescent="0.3">
      <c r="A670" s="2"/>
      <c r="B670" s="65" t="str">
        <f>IF($C670="","","GG"&amp;TEXT(ROW()-6,"00000"))</f>
        <v/>
      </c>
      <c r="C670" s="66"/>
      <c r="D670" s="60"/>
      <c r="E670" s="61"/>
      <c r="F670" s="61"/>
      <c r="G670" s="67"/>
      <c r="H670" s="60"/>
      <c r="I670" s="60"/>
      <c r="J670" s="61"/>
      <c r="K670" s="61"/>
      <c r="L670" s="60"/>
      <c r="M670" s="74" t="str">
        <f>IF($C670="","",IF($D670="Gider",$E670,IF($L670&lt;&gt;"",$L670,$H670)))</f>
        <v/>
      </c>
      <c r="N670" s="74" t="str">
        <f>IF($C670="","",IF($D670="Gider",$H670,$E670))</f>
        <v/>
      </c>
      <c r="O670" s="73" t="str">
        <f>IF($C670="","",DATE(YEAR($C670),MONTH($C670),1))</f>
        <v/>
      </c>
      <c r="P670" s="65" t="str">
        <f ca="1">IF($C670="","",IF(AND($D670="Gelir",$L670&lt;&gt;"",$T670=""),"TANIMSIZ BORÇLU",IF($T670&lt;&gt;"",IF(OR($E670="",$G670&lt;=0),"EKSİK",IF($I670="Evet","TAHAKKUK NAKİT OLAMAZ",IF($C670&gt;TODAY(),"İLERİ TARİH","TAHAKKUK"))),IF(AND($D670&lt;&gt;"",$E670&lt;&gt;"",$G670&gt;0,$H670&lt;&gt;"",$I670&lt;&gt;""),IF($C670&gt;TODAY(),"İLERİ TARİH",IF(COUNTIF($W$7:$W$3001,$W670)&gt;1,"MÜKERRER?",IF($AD670&gt;0,"KAPALI DÖNEM",IF($I670="Hayır","ÖDENECEK","UYGUN")))),"EKSİK"))))</f>
        <v/>
      </c>
      <c r="Q670" s="2"/>
      <c r="R670" s="2"/>
      <c r="S670" s="1" t="str">
        <f t="shared" si="32"/>
        <v/>
      </c>
      <c r="T670" s="1" t="str">
        <f>IF(OR($C670="",$D670&lt;&gt;"Gelir",$L670=""),"",IFERROR(INDEX(MUSTERILER!$B$7:$B$156,MATCH($S670,MUSTERILER!$T$7:$T$156,0)),""))</f>
        <v/>
      </c>
      <c r="U670" s="1" t="str">
        <f>IF($T670="","",$T670&amp;"|"&amp;COUNTIFS($T$7:$T670,$T670))</f>
        <v/>
      </c>
      <c r="V670" s="1">
        <f t="shared" si="33"/>
        <v>0</v>
      </c>
      <c r="W670" s="1" t="str">
        <f t="shared" si="34"/>
        <v/>
      </c>
      <c r="X670" s="1"/>
      <c r="Y670" s="1"/>
      <c r="Z670" s="1"/>
      <c r="AA670" s="1"/>
      <c r="AB670" s="1"/>
      <c r="AC670" s="1"/>
      <c r="AD670" s="1">
        <f>IF($C670="",0,SUMPRODUCT((AY_SONU!$O$7:$O$42="Evet")*(AY_SONU!$B$7:$B$42=DATE(YEAR($C670),MONTH($C670),1))))</f>
        <v>0</v>
      </c>
      <c r="AE670" s="1" t="str">
        <f>IF($E670="","",$E670&amp;"|"&amp;COUNTIFS($E$7:$E670,$E670))</f>
        <v/>
      </c>
    </row>
    <row r="671" spans="1:31" ht="18" customHeight="1" x14ac:dyDescent="0.3">
      <c r="A671" s="2"/>
      <c r="B671" s="65" t="str">
        <f>IF($C671="","","GG"&amp;TEXT(ROW()-6,"00000"))</f>
        <v/>
      </c>
      <c r="C671" s="66"/>
      <c r="D671" s="60"/>
      <c r="E671" s="61"/>
      <c r="F671" s="61"/>
      <c r="G671" s="67"/>
      <c r="H671" s="60"/>
      <c r="I671" s="60"/>
      <c r="J671" s="61"/>
      <c r="K671" s="61"/>
      <c r="L671" s="60"/>
      <c r="M671" s="74" t="str">
        <f>IF($C671="","",IF($D671="Gider",$E671,IF($L671&lt;&gt;"",$L671,$H671)))</f>
        <v/>
      </c>
      <c r="N671" s="74" t="str">
        <f>IF($C671="","",IF($D671="Gider",$H671,$E671))</f>
        <v/>
      </c>
      <c r="O671" s="73" t="str">
        <f>IF($C671="","",DATE(YEAR($C671),MONTH($C671),1))</f>
        <v/>
      </c>
      <c r="P671" s="65" t="str">
        <f ca="1">IF($C671="","",IF(AND($D671="Gelir",$L671&lt;&gt;"",$T671=""),"TANIMSIZ BORÇLU",IF($T671&lt;&gt;"",IF(OR($E671="",$G671&lt;=0),"EKSİK",IF($I671="Evet","TAHAKKUK NAKİT OLAMAZ",IF($C671&gt;TODAY(),"İLERİ TARİH","TAHAKKUK"))),IF(AND($D671&lt;&gt;"",$E671&lt;&gt;"",$G671&gt;0,$H671&lt;&gt;"",$I671&lt;&gt;""),IF($C671&gt;TODAY(),"İLERİ TARİH",IF(COUNTIF($W$7:$W$3001,$W671)&gt;1,"MÜKERRER?",IF($AD671&gt;0,"KAPALI DÖNEM",IF($I671="Hayır","ÖDENECEK","UYGUN")))),"EKSİK"))))</f>
        <v/>
      </c>
      <c r="Q671" s="2"/>
      <c r="R671" s="2"/>
      <c r="S671" s="1" t="str">
        <f t="shared" si="32"/>
        <v/>
      </c>
      <c r="T671" s="1" t="str">
        <f>IF(OR($C671="",$D671&lt;&gt;"Gelir",$L671=""),"",IFERROR(INDEX(MUSTERILER!$B$7:$B$156,MATCH($S671,MUSTERILER!$T$7:$T$156,0)),""))</f>
        <v/>
      </c>
      <c r="U671" s="1" t="str">
        <f>IF($T671="","",$T671&amp;"|"&amp;COUNTIFS($T$7:$T671,$T671))</f>
        <v/>
      </c>
      <c r="V671" s="1">
        <f t="shared" si="33"/>
        <v>0</v>
      </c>
      <c r="W671" s="1" t="str">
        <f t="shared" si="34"/>
        <v/>
      </c>
      <c r="X671" s="1"/>
      <c r="Y671" s="1"/>
      <c r="Z671" s="1"/>
      <c r="AA671" s="1"/>
      <c r="AB671" s="1"/>
      <c r="AC671" s="1"/>
      <c r="AD671" s="1">
        <f>IF($C671="",0,SUMPRODUCT((AY_SONU!$O$7:$O$42="Evet")*(AY_SONU!$B$7:$B$42=DATE(YEAR($C671),MONTH($C671),1))))</f>
        <v>0</v>
      </c>
      <c r="AE671" s="1" t="str">
        <f>IF($E671="","",$E671&amp;"|"&amp;COUNTIFS($E$7:$E671,$E671))</f>
        <v/>
      </c>
    </row>
    <row r="672" spans="1:31" ht="18" customHeight="1" x14ac:dyDescent="0.3">
      <c r="A672" s="2"/>
      <c r="B672" s="65" t="str">
        <f>IF($C672="","","GG"&amp;TEXT(ROW()-6,"00000"))</f>
        <v/>
      </c>
      <c r="C672" s="66"/>
      <c r="D672" s="60"/>
      <c r="E672" s="61"/>
      <c r="F672" s="61"/>
      <c r="G672" s="67"/>
      <c r="H672" s="60"/>
      <c r="I672" s="60"/>
      <c r="J672" s="61"/>
      <c r="K672" s="61"/>
      <c r="L672" s="60"/>
      <c r="M672" s="74" t="str">
        <f>IF($C672="","",IF($D672="Gider",$E672,IF($L672&lt;&gt;"",$L672,$H672)))</f>
        <v/>
      </c>
      <c r="N672" s="74" t="str">
        <f>IF($C672="","",IF($D672="Gider",$H672,$E672))</f>
        <v/>
      </c>
      <c r="O672" s="73" t="str">
        <f>IF($C672="","",DATE(YEAR($C672),MONTH($C672),1))</f>
        <v/>
      </c>
      <c r="P672" s="65" t="str">
        <f ca="1">IF($C672="","",IF(AND($D672="Gelir",$L672&lt;&gt;"",$T672=""),"TANIMSIZ BORÇLU",IF($T672&lt;&gt;"",IF(OR($E672="",$G672&lt;=0),"EKSİK",IF($I672="Evet","TAHAKKUK NAKİT OLAMAZ",IF($C672&gt;TODAY(),"İLERİ TARİH","TAHAKKUK"))),IF(AND($D672&lt;&gt;"",$E672&lt;&gt;"",$G672&gt;0,$H672&lt;&gt;"",$I672&lt;&gt;""),IF($C672&gt;TODAY(),"İLERİ TARİH",IF(COUNTIF($W$7:$W$3001,$W672)&gt;1,"MÜKERRER?",IF($AD672&gt;0,"KAPALI DÖNEM",IF($I672="Hayır","ÖDENECEK","UYGUN")))),"EKSİK"))))</f>
        <v/>
      </c>
      <c r="Q672" s="2"/>
      <c r="R672" s="2"/>
      <c r="S672" s="1" t="str">
        <f t="shared" si="32"/>
        <v/>
      </c>
      <c r="T672" s="1" t="str">
        <f>IF(OR($C672="",$D672&lt;&gt;"Gelir",$L672=""),"",IFERROR(INDEX(MUSTERILER!$B$7:$B$156,MATCH($S672,MUSTERILER!$T$7:$T$156,0)),""))</f>
        <v/>
      </c>
      <c r="U672" s="1" t="str">
        <f>IF($T672="","",$T672&amp;"|"&amp;COUNTIFS($T$7:$T672,$T672))</f>
        <v/>
      </c>
      <c r="V672" s="1">
        <f t="shared" si="33"/>
        <v>0</v>
      </c>
      <c r="W672" s="1" t="str">
        <f t="shared" si="34"/>
        <v/>
      </c>
      <c r="X672" s="1"/>
      <c r="Y672" s="1"/>
      <c r="Z672" s="1"/>
      <c r="AA672" s="1"/>
      <c r="AB672" s="1"/>
      <c r="AC672" s="1"/>
      <c r="AD672" s="1">
        <f>IF($C672="",0,SUMPRODUCT((AY_SONU!$O$7:$O$42="Evet")*(AY_SONU!$B$7:$B$42=DATE(YEAR($C672),MONTH($C672),1))))</f>
        <v>0</v>
      </c>
      <c r="AE672" s="1" t="str">
        <f>IF($E672="","",$E672&amp;"|"&amp;COUNTIFS($E$7:$E672,$E672))</f>
        <v/>
      </c>
    </row>
    <row r="673" spans="1:31" ht="18" customHeight="1" x14ac:dyDescent="0.3">
      <c r="A673" s="2"/>
      <c r="B673" s="65" t="str">
        <f>IF($C673="","","GG"&amp;TEXT(ROW()-6,"00000"))</f>
        <v/>
      </c>
      <c r="C673" s="66"/>
      <c r="D673" s="60"/>
      <c r="E673" s="61"/>
      <c r="F673" s="61"/>
      <c r="G673" s="67"/>
      <c r="H673" s="60"/>
      <c r="I673" s="60"/>
      <c r="J673" s="61"/>
      <c r="K673" s="61"/>
      <c r="L673" s="60"/>
      <c r="M673" s="74" t="str">
        <f>IF($C673="","",IF($D673="Gider",$E673,IF($L673&lt;&gt;"",$L673,$H673)))</f>
        <v/>
      </c>
      <c r="N673" s="74" t="str">
        <f>IF($C673="","",IF($D673="Gider",$H673,$E673))</f>
        <v/>
      </c>
      <c r="O673" s="73" t="str">
        <f>IF($C673="","",DATE(YEAR($C673),MONTH($C673),1))</f>
        <v/>
      </c>
      <c r="P673" s="65" t="str">
        <f ca="1">IF($C673="","",IF(AND($D673="Gelir",$L673&lt;&gt;"",$T673=""),"TANIMSIZ BORÇLU",IF($T673&lt;&gt;"",IF(OR($E673="",$G673&lt;=0),"EKSİK",IF($I673="Evet","TAHAKKUK NAKİT OLAMAZ",IF($C673&gt;TODAY(),"İLERİ TARİH","TAHAKKUK"))),IF(AND($D673&lt;&gt;"",$E673&lt;&gt;"",$G673&gt;0,$H673&lt;&gt;"",$I673&lt;&gt;""),IF($C673&gt;TODAY(),"İLERİ TARİH",IF(COUNTIF($W$7:$W$3001,$W673)&gt;1,"MÜKERRER?",IF($AD673&gt;0,"KAPALI DÖNEM",IF($I673="Hayır","ÖDENECEK","UYGUN")))),"EKSİK"))))</f>
        <v/>
      </c>
      <c r="Q673" s="2"/>
      <c r="R673" s="2"/>
      <c r="S673" s="1" t="str">
        <f t="shared" si="32"/>
        <v/>
      </c>
      <c r="T673" s="1" t="str">
        <f>IF(OR($C673="",$D673&lt;&gt;"Gelir",$L673=""),"",IFERROR(INDEX(MUSTERILER!$B$7:$B$156,MATCH($S673,MUSTERILER!$T$7:$T$156,0)),""))</f>
        <v/>
      </c>
      <c r="U673" s="1" t="str">
        <f>IF($T673="","",$T673&amp;"|"&amp;COUNTIFS($T$7:$T673,$T673))</f>
        <v/>
      </c>
      <c r="V673" s="1">
        <f t="shared" si="33"/>
        <v>0</v>
      </c>
      <c r="W673" s="1" t="str">
        <f t="shared" si="34"/>
        <v/>
      </c>
      <c r="X673" s="1"/>
      <c r="Y673" s="1"/>
      <c r="Z673" s="1"/>
      <c r="AA673" s="1"/>
      <c r="AB673" s="1"/>
      <c r="AC673" s="1"/>
      <c r="AD673" s="1">
        <f>IF($C673="",0,SUMPRODUCT((AY_SONU!$O$7:$O$42="Evet")*(AY_SONU!$B$7:$B$42=DATE(YEAR($C673),MONTH($C673),1))))</f>
        <v>0</v>
      </c>
      <c r="AE673" s="1" t="str">
        <f>IF($E673="","",$E673&amp;"|"&amp;COUNTIFS($E$7:$E673,$E673))</f>
        <v/>
      </c>
    </row>
    <row r="674" spans="1:31" ht="18" customHeight="1" x14ac:dyDescent="0.3">
      <c r="A674" s="2"/>
      <c r="B674" s="65" t="str">
        <f>IF($C674="","","GG"&amp;TEXT(ROW()-6,"00000"))</f>
        <v/>
      </c>
      <c r="C674" s="66"/>
      <c r="D674" s="60"/>
      <c r="E674" s="61"/>
      <c r="F674" s="61"/>
      <c r="G674" s="67"/>
      <c r="H674" s="60"/>
      <c r="I674" s="60"/>
      <c r="J674" s="61"/>
      <c r="K674" s="61"/>
      <c r="L674" s="60"/>
      <c r="M674" s="74" t="str">
        <f>IF($C674="","",IF($D674="Gider",$E674,IF($L674&lt;&gt;"",$L674,$H674)))</f>
        <v/>
      </c>
      <c r="N674" s="74" t="str">
        <f>IF($C674="","",IF($D674="Gider",$H674,$E674))</f>
        <v/>
      </c>
      <c r="O674" s="73" t="str">
        <f>IF($C674="","",DATE(YEAR($C674),MONTH($C674),1))</f>
        <v/>
      </c>
      <c r="P674" s="65" t="str">
        <f ca="1">IF($C674="","",IF(AND($D674="Gelir",$L674&lt;&gt;"",$T674=""),"TANIMSIZ BORÇLU",IF($T674&lt;&gt;"",IF(OR($E674="",$G674&lt;=0),"EKSİK",IF($I674="Evet","TAHAKKUK NAKİT OLAMAZ",IF($C674&gt;TODAY(),"İLERİ TARİH","TAHAKKUK"))),IF(AND($D674&lt;&gt;"",$E674&lt;&gt;"",$G674&gt;0,$H674&lt;&gt;"",$I674&lt;&gt;""),IF($C674&gt;TODAY(),"İLERİ TARİH",IF(COUNTIF($W$7:$W$3001,$W674)&gt;1,"MÜKERRER?",IF($AD674&gt;0,"KAPALI DÖNEM",IF($I674="Hayır","ÖDENECEK","UYGUN")))),"EKSİK"))))</f>
        <v/>
      </c>
      <c r="Q674" s="2"/>
      <c r="R674" s="2"/>
      <c r="S674" s="1" t="str">
        <f t="shared" si="32"/>
        <v/>
      </c>
      <c r="T674" s="1" t="str">
        <f>IF(OR($C674="",$D674&lt;&gt;"Gelir",$L674=""),"",IFERROR(INDEX(MUSTERILER!$B$7:$B$156,MATCH($S674,MUSTERILER!$T$7:$T$156,0)),""))</f>
        <v/>
      </c>
      <c r="U674" s="1" t="str">
        <f>IF($T674="","",$T674&amp;"|"&amp;COUNTIFS($T$7:$T674,$T674))</f>
        <v/>
      </c>
      <c r="V674" s="1">
        <f t="shared" si="33"/>
        <v>0</v>
      </c>
      <c r="W674" s="1" t="str">
        <f t="shared" si="34"/>
        <v/>
      </c>
      <c r="X674" s="1"/>
      <c r="Y674" s="1"/>
      <c r="Z674" s="1"/>
      <c r="AA674" s="1"/>
      <c r="AB674" s="1"/>
      <c r="AC674" s="1"/>
      <c r="AD674" s="1">
        <f>IF($C674="",0,SUMPRODUCT((AY_SONU!$O$7:$O$42="Evet")*(AY_SONU!$B$7:$B$42=DATE(YEAR($C674),MONTH($C674),1))))</f>
        <v>0</v>
      </c>
      <c r="AE674" s="1" t="str">
        <f>IF($E674="","",$E674&amp;"|"&amp;COUNTIFS($E$7:$E674,$E674))</f>
        <v/>
      </c>
    </row>
    <row r="675" spans="1:31" ht="18" customHeight="1" x14ac:dyDescent="0.3">
      <c r="A675" s="2"/>
      <c r="B675" s="65" t="str">
        <f>IF($C675="","","GG"&amp;TEXT(ROW()-6,"00000"))</f>
        <v/>
      </c>
      <c r="C675" s="66"/>
      <c r="D675" s="60"/>
      <c r="E675" s="61"/>
      <c r="F675" s="61"/>
      <c r="G675" s="67"/>
      <c r="H675" s="60"/>
      <c r="I675" s="60"/>
      <c r="J675" s="61"/>
      <c r="K675" s="61"/>
      <c r="L675" s="60"/>
      <c r="M675" s="74" t="str">
        <f>IF($C675="","",IF($D675="Gider",$E675,IF($L675&lt;&gt;"",$L675,$H675)))</f>
        <v/>
      </c>
      <c r="N675" s="74" t="str">
        <f>IF($C675="","",IF($D675="Gider",$H675,$E675))</f>
        <v/>
      </c>
      <c r="O675" s="73" t="str">
        <f>IF($C675="","",DATE(YEAR($C675),MONTH($C675),1))</f>
        <v/>
      </c>
      <c r="P675" s="65" t="str">
        <f ca="1">IF($C675="","",IF(AND($D675="Gelir",$L675&lt;&gt;"",$T675=""),"TANIMSIZ BORÇLU",IF($T675&lt;&gt;"",IF(OR($E675="",$G675&lt;=0),"EKSİK",IF($I675="Evet","TAHAKKUK NAKİT OLAMAZ",IF($C675&gt;TODAY(),"İLERİ TARİH","TAHAKKUK"))),IF(AND($D675&lt;&gt;"",$E675&lt;&gt;"",$G675&gt;0,$H675&lt;&gt;"",$I675&lt;&gt;""),IF($C675&gt;TODAY(),"İLERİ TARİH",IF(COUNTIF($W$7:$W$3001,$W675)&gt;1,"MÜKERRER?",IF($AD675&gt;0,"KAPALI DÖNEM",IF($I675="Hayır","ÖDENECEK","UYGUN")))),"EKSİK"))))</f>
        <v/>
      </c>
      <c r="Q675" s="2"/>
      <c r="R675" s="2"/>
      <c r="S675" s="1" t="str">
        <f t="shared" si="32"/>
        <v/>
      </c>
      <c r="T675" s="1" t="str">
        <f>IF(OR($C675="",$D675&lt;&gt;"Gelir",$L675=""),"",IFERROR(INDEX(MUSTERILER!$B$7:$B$156,MATCH($S675,MUSTERILER!$T$7:$T$156,0)),""))</f>
        <v/>
      </c>
      <c r="U675" s="1" t="str">
        <f>IF($T675="","",$T675&amp;"|"&amp;COUNTIFS($T$7:$T675,$T675))</f>
        <v/>
      </c>
      <c r="V675" s="1">
        <f t="shared" si="33"/>
        <v>0</v>
      </c>
      <c r="W675" s="1" t="str">
        <f t="shared" si="34"/>
        <v/>
      </c>
      <c r="X675" s="1"/>
      <c r="Y675" s="1"/>
      <c r="Z675" s="1"/>
      <c r="AA675" s="1"/>
      <c r="AB675" s="1"/>
      <c r="AC675" s="1"/>
      <c r="AD675" s="1">
        <f>IF($C675="",0,SUMPRODUCT((AY_SONU!$O$7:$O$42="Evet")*(AY_SONU!$B$7:$B$42=DATE(YEAR($C675),MONTH($C675),1))))</f>
        <v>0</v>
      </c>
      <c r="AE675" s="1" t="str">
        <f>IF($E675="","",$E675&amp;"|"&amp;COUNTIFS($E$7:$E675,$E675))</f>
        <v/>
      </c>
    </row>
    <row r="676" spans="1:31" ht="18" customHeight="1" x14ac:dyDescent="0.3">
      <c r="A676" s="2"/>
      <c r="B676" s="65" t="str">
        <f>IF($C676="","","GG"&amp;TEXT(ROW()-6,"00000"))</f>
        <v/>
      </c>
      <c r="C676" s="66"/>
      <c r="D676" s="60"/>
      <c r="E676" s="61"/>
      <c r="F676" s="61"/>
      <c r="G676" s="67"/>
      <c r="H676" s="60"/>
      <c r="I676" s="60"/>
      <c r="J676" s="61"/>
      <c r="K676" s="61"/>
      <c r="L676" s="60"/>
      <c r="M676" s="74" t="str">
        <f>IF($C676="","",IF($D676="Gider",$E676,IF($L676&lt;&gt;"",$L676,$H676)))</f>
        <v/>
      </c>
      <c r="N676" s="74" t="str">
        <f>IF($C676="","",IF($D676="Gider",$H676,$E676))</f>
        <v/>
      </c>
      <c r="O676" s="73" t="str">
        <f>IF($C676="","",DATE(YEAR($C676),MONTH($C676),1))</f>
        <v/>
      </c>
      <c r="P676" s="65" t="str">
        <f ca="1">IF($C676="","",IF(AND($D676="Gelir",$L676&lt;&gt;"",$T676=""),"TANIMSIZ BORÇLU",IF($T676&lt;&gt;"",IF(OR($E676="",$G676&lt;=0),"EKSİK",IF($I676="Evet","TAHAKKUK NAKİT OLAMAZ",IF($C676&gt;TODAY(),"İLERİ TARİH","TAHAKKUK"))),IF(AND($D676&lt;&gt;"",$E676&lt;&gt;"",$G676&gt;0,$H676&lt;&gt;"",$I676&lt;&gt;""),IF($C676&gt;TODAY(),"İLERİ TARİH",IF(COUNTIF($W$7:$W$3001,$W676)&gt;1,"MÜKERRER?",IF($AD676&gt;0,"KAPALI DÖNEM",IF($I676="Hayır","ÖDENECEK","UYGUN")))),"EKSİK"))))</f>
        <v/>
      </c>
      <c r="Q676" s="2"/>
      <c r="R676" s="2"/>
      <c r="S676" s="1" t="str">
        <f t="shared" si="32"/>
        <v/>
      </c>
      <c r="T676" s="1" t="str">
        <f>IF(OR($C676="",$D676&lt;&gt;"Gelir",$L676=""),"",IFERROR(INDEX(MUSTERILER!$B$7:$B$156,MATCH($S676,MUSTERILER!$T$7:$T$156,0)),""))</f>
        <v/>
      </c>
      <c r="U676" s="1" t="str">
        <f>IF($T676="","",$T676&amp;"|"&amp;COUNTIFS($T$7:$T676,$T676))</f>
        <v/>
      </c>
      <c r="V676" s="1">
        <f t="shared" si="33"/>
        <v>0</v>
      </c>
      <c r="W676" s="1" t="str">
        <f t="shared" si="34"/>
        <v/>
      </c>
      <c r="X676" s="1"/>
      <c r="Y676" s="1"/>
      <c r="Z676" s="1"/>
      <c r="AA676" s="1"/>
      <c r="AB676" s="1"/>
      <c r="AC676" s="1"/>
      <c r="AD676" s="1">
        <f>IF($C676="",0,SUMPRODUCT((AY_SONU!$O$7:$O$42="Evet")*(AY_SONU!$B$7:$B$42=DATE(YEAR($C676),MONTH($C676),1))))</f>
        <v>0</v>
      </c>
      <c r="AE676" s="1" t="str">
        <f>IF($E676="","",$E676&amp;"|"&amp;COUNTIFS($E$7:$E676,$E676))</f>
        <v/>
      </c>
    </row>
    <row r="677" spans="1:31" ht="18" customHeight="1" x14ac:dyDescent="0.3">
      <c r="A677" s="2"/>
      <c r="B677" s="65" t="str">
        <f>IF($C677="","","GG"&amp;TEXT(ROW()-6,"00000"))</f>
        <v/>
      </c>
      <c r="C677" s="66"/>
      <c r="D677" s="60"/>
      <c r="E677" s="61"/>
      <c r="F677" s="61"/>
      <c r="G677" s="67"/>
      <c r="H677" s="60"/>
      <c r="I677" s="60"/>
      <c r="J677" s="61"/>
      <c r="K677" s="61"/>
      <c r="L677" s="60"/>
      <c r="M677" s="74" t="str">
        <f>IF($C677="","",IF($D677="Gider",$E677,IF($L677&lt;&gt;"",$L677,$H677)))</f>
        <v/>
      </c>
      <c r="N677" s="74" t="str">
        <f>IF($C677="","",IF($D677="Gider",$H677,$E677))</f>
        <v/>
      </c>
      <c r="O677" s="73" t="str">
        <f>IF($C677="","",DATE(YEAR($C677),MONTH($C677),1))</f>
        <v/>
      </c>
      <c r="P677" s="65" t="str">
        <f ca="1">IF($C677="","",IF(AND($D677="Gelir",$L677&lt;&gt;"",$T677=""),"TANIMSIZ BORÇLU",IF($T677&lt;&gt;"",IF(OR($E677="",$G677&lt;=0),"EKSİK",IF($I677="Evet","TAHAKKUK NAKİT OLAMAZ",IF($C677&gt;TODAY(),"İLERİ TARİH","TAHAKKUK"))),IF(AND($D677&lt;&gt;"",$E677&lt;&gt;"",$G677&gt;0,$H677&lt;&gt;"",$I677&lt;&gt;""),IF($C677&gt;TODAY(),"İLERİ TARİH",IF(COUNTIF($W$7:$W$3001,$W677)&gt;1,"MÜKERRER?",IF($AD677&gt;0,"KAPALI DÖNEM",IF($I677="Hayır","ÖDENECEK","UYGUN")))),"EKSİK"))))</f>
        <v/>
      </c>
      <c r="Q677" s="2"/>
      <c r="R677" s="2"/>
      <c r="S677" s="1" t="str">
        <f t="shared" si="32"/>
        <v/>
      </c>
      <c r="T677" s="1" t="str">
        <f>IF(OR($C677="",$D677&lt;&gt;"Gelir",$L677=""),"",IFERROR(INDEX(MUSTERILER!$B$7:$B$156,MATCH($S677,MUSTERILER!$T$7:$T$156,0)),""))</f>
        <v/>
      </c>
      <c r="U677" s="1" t="str">
        <f>IF($T677="","",$T677&amp;"|"&amp;COUNTIFS($T$7:$T677,$T677))</f>
        <v/>
      </c>
      <c r="V677" s="1">
        <f t="shared" si="33"/>
        <v>0</v>
      </c>
      <c r="W677" s="1" t="str">
        <f t="shared" si="34"/>
        <v/>
      </c>
      <c r="X677" s="1"/>
      <c r="Y677" s="1"/>
      <c r="Z677" s="1"/>
      <c r="AA677" s="1"/>
      <c r="AB677" s="1"/>
      <c r="AC677" s="1"/>
      <c r="AD677" s="1">
        <f>IF($C677="",0,SUMPRODUCT((AY_SONU!$O$7:$O$42="Evet")*(AY_SONU!$B$7:$B$42=DATE(YEAR($C677),MONTH($C677),1))))</f>
        <v>0</v>
      </c>
      <c r="AE677" s="1" t="str">
        <f>IF($E677="","",$E677&amp;"|"&amp;COUNTIFS($E$7:$E677,$E677))</f>
        <v/>
      </c>
    </row>
    <row r="678" spans="1:31" ht="18" customHeight="1" x14ac:dyDescent="0.3">
      <c r="A678" s="2"/>
      <c r="B678" s="65" t="str">
        <f>IF($C678="","","GG"&amp;TEXT(ROW()-6,"00000"))</f>
        <v/>
      </c>
      <c r="C678" s="66"/>
      <c r="D678" s="60"/>
      <c r="E678" s="61"/>
      <c r="F678" s="61"/>
      <c r="G678" s="67"/>
      <c r="H678" s="60"/>
      <c r="I678" s="60"/>
      <c r="J678" s="61"/>
      <c r="K678" s="61"/>
      <c r="L678" s="60"/>
      <c r="M678" s="74" t="str">
        <f>IF($C678="","",IF($D678="Gider",$E678,IF($L678&lt;&gt;"",$L678,$H678)))</f>
        <v/>
      </c>
      <c r="N678" s="74" t="str">
        <f>IF($C678="","",IF($D678="Gider",$H678,$E678))</f>
        <v/>
      </c>
      <c r="O678" s="73" t="str">
        <f>IF($C678="","",DATE(YEAR($C678),MONTH($C678),1))</f>
        <v/>
      </c>
      <c r="P678" s="65" t="str">
        <f ca="1">IF($C678="","",IF(AND($D678="Gelir",$L678&lt;&gt;"",$T678=""),"TANIMSIZ BORÇLU",IF($T678&lt;&gt;"",IF(OR($E678="",$G678&lt;=0),"EKSİK",IF($I678="Evet","TAHAKKUK NAKİT OLAMAZ",IF($C678&gt;TODAY(),"İLERİ TARİH","TAHAKKUK"))),IF(AND($D678&lt;&gt;"",$E678&lt;&gt;"",$G678&gt;0,$H678&lt;&gt;"",$I678&lt;&gt;""),IF($C678&gt;TODAY(),"İLERİ TARİH",IF(COUNTIF($W$7:$W$3001,$W678)&gt;1,"MÜKERRER?",IF($AD678&gt;0,"KAPALI DÖNEM",IF($I678="Hayır","ÖDENECEK","UYGUN")))),"EKSİK"))))</f>
        <v/>
      </c>
      <c r="Q678" s="2"/>
      <c r="R678" s="2"/>
      <c r="S678" s="1" t="str">
        <f t="shared" si="32"/>
        <v/>
      </c>
      <c r="T678" s="1" t="str">
        <f>IF(OR($C678="",$D678&lt;&gt;"Gelir",$L678=""),"",IFERROR(INDEX(MUSTERILER!$B$7:$B$156,MATCH($S678,MUSTERILER!$T$7:$T$156,0)),""))</f>
        <v/>
      </c>
      <c r="U678" s="1" t="str">
        <f>IF($T678="","",$T678&amp;"|"&amp;COUNTIFS($T$7:$T678,$T678))</f>
        <v/>
      </c>
      <c r="V678" s="1">
        <f t="shared" si="33"/>
        <v>0</v>
      </c>
      <c r="W678" s="1" t="str">
        <f t="shared" si="34"/>
        <v/>
      </c>
      <c r="X678" s="1"/>
      <c r="Y678" s="1"/>
      <c r="Z678" s="1"/>
      <c r="AA678" s="1"/>
      <c r="AB678" s="1"/>
      <c r="AC678" s="1"/>
      <c r="AD678" s="1">
        <f>IF($C678="",0,SUMPRODUCT((AY_SONU!$O$7:$O$42="Evet")*(AY_SONU!$B$7:$B$42=DATE(YEAR($C678),MONTH($C678),1))))</f>
        <v>0</v>
      </c>
      <c r="AE678" s="1" t="str">
        <f>IF($E678="","",$E678&amp;"|"&amp;COUNTIFS($E$7:$E678,$E678))</f>
        <v/>
      </c>
    </row>
    <row r="679" spans="1:31" ht="18" customHeight="1" x14ac:dyDescent="0.3">
      <c r="A679" s="2"/>
      <c r="B679" s="65" t="str">
        <f>IF($C679="","","GG"&amp;TEXT(ROW()-6,"00000"))</f>
        <v/>
      </c>
      <c r="C679" s="66"/>
      <c r="D679" s="60"/>
      <c r="E679" s="61"/>
      <c r="F679" s="61"/>
      <c r="G679" s="67"/>
      <c r="H679" s="60"/>
      <c r="I679" s="60"/>
      <c r="J679" s="61"/>
      <c r="K679" s="61"/>
      <c r="L679" s="60"/>
      <c r="M679" s="74" t="str">
        <f>IF($C679="","",IF($D679="Gider",$E679,IF($L679&lt;&gt;"",$L679,$H679)))</f>
        <v/>
      </c>
      <c r="N679" s="74" t="str">
        <f>IF($C679="","",IF($D679="Gider",$H679,$E679))</f>
        <v/>
      </c>
      <c r="O679" s="73" t="str">
        <f>IF($C679="","",DATE(YEAR($C679),MONTH($C679),1))</f>
        <v/>
      </c>
      <c r="P679" s="65" t="str">
        <f ca="1">IF($C679="","",IF(AND($D679="Gelir",$L679&lt;&gt;"",$T679=""),"TANIMSIZ BORÇLU",IF($T679&lt;&gt;"",IF(OR($E679="",$G679&lt;=0),"EKSİK",IF($I679="Evet","TAHAKKUK NAKİT OLAMAZ",IF($C679&gt;TODAY(),"İLERİ TARİH","TAHAKKUK"))),IF(AND($D679&lt;&gt;"",$E679&lt;&gt;"",$G679&gt;0,$H679&lt;&gt;"",$I679&lt;&gt;""),IF($C679&gt;TODAY(),"İLERİ TARİH",IF(COUNTIF($W$7:$W$3001,$W679)&gt;1,"MÜKERRER?",IF($AD679&gt;0,"KAPALI DÖNEM",IF($I679="Hayır","ÖDENECEK","UYGUN")))),"EKSİK"))))</f>
        <v/>
      </c>
      <c r="Q679" s="2"/>
      <c r="R679" s="2"/>
      <c r="S679" s="1" t="str">
        <f t="shared" si="32"/>
        <v/>
      </c>
      <c r="T679" s="1" t="str">
        <f>IF(OR($C679="",$D679&lt;&gt;"Gelir",$L679=""),"",IFERROR(INDEX(MUSTERILER!$B$7:$B$156,MATCH($S679,MUSTERILER!$T$7:$T$156,0)),""))</f>
        <v/>
      </c>
      <c r="U679" s="1" t="str">
        <f>IF($T679="","",$T679&amp;"|"&amp;COUNTIFS($T$7:$T679,$T679))</f>
        <v/>
      </c>
      <c r="V679" s="1">
        <f t="shared" si="33"/>
        <v>0</v>
      </c>
      <c r="W679" s="1" t="str">
        <f t="shared" si="34"/>
        <v/>
      </c>
      <c r="X679" s="1"/>
      <c r="Y679" s="1"/>
      <c r="Z679" s="1"/>
      <c r="AA679" s="1"/>
      <c r="AB679" s="1"/>
      <c r="AC679" s="1"/>
      <c r="AD679" s="1">
        <f>IF($C679="",0,SUMPRODUCT((AY_SONU!$O$7:$O$42="Evet")*(AY_SONU!$B$7:$B$42=DATE(YEAR($C679),MONTH($C679),1))))</f>
        <v>0</v>
      </c>
      <c r="AE679" s="1" t="str">
        <f>IF($E679="","",$E679&amp;"|"&amp;COUNTIFS($E$7:$E679,$E679))</f>
        <v/>
      </c>
    </row>
    <row r="680" spans="1:31" ht="18" customHeight="1" x14ac:dyDescent="0.3">
      <c r="A680" s="2"/>
      <c r="B680" s="65" t="str">
        <f>IF($C680="","","GG"&amp;TEXT(ROW()-6,"00000"))</f>
        <v/>
      </c>
      <c r="C680" s="66"/>
      <c r="D680" s="60"/>
      <c r="E680" s="61"/>
      <c r="F680" s="61"/>
      <c r="G680" s="67"/>
      <c r="H680" s="60"/>
      <c r="I680" s="60"/>
      <c r="J680" s="61"/>
      <c r="K680" s="61"/>
      <c r="L680" s="60"/>
      <c r="M680" s="74" t="str">
        <f>IF($C680="","",IF($D680="Gider",$E680,IF($L680&lt;&gt;"",$L680,$H680)))</f>
        <v/>
      </c>
      <c r="N680" s="74" t="str">
        <f>IF($C680="","",IF($D680="Gider",$H680,$E680))</f>
        <v/>
      </c>
      <c r="O680" s="73" t="str">
        <f>IF($C680="","",DATE(YEAR($C680),MONTH($C680),1))</f>
        <v/>
      </c>
      <c r="P680" s="65" t="str">
        <f ca="1">IF($C680="","",IF(AND($D680="Gelir",$L680&lt;&gt;"",$T680=""),"TANIMSIZ BORÇLU",IF($T680&lt;&gt;"",IF(OR($E680="",$G680&lt;=0),"EKSİK",IF($I680="Evet","TAHAKKUK NAKİT OLAMAZ",IF($C680&gt;TODAY(),"İLERİ TARİH","TAHAKKUK"))),IF(AND($D680&lt;&gt;"",$E680&lt;&gt;"",$G680&gt;0,$H680&lt;&gt;"",$I680&lt;&gt;""),IF($C680&gt;TODAY(),"İLERİ TARİH",IF(COUNTIF($W$7:$W$3001,$W680)&gt;1,"MÜKERRER?",IF($AD680&gt;0,"KAPALI DÖNEM",IF($I680="Hayır","ÖDENECEK","UYGUN")))),"EKSİK"))))</f>
        <v/>
      </c>
      <c r="Q680" s="2"/>
      <c r="R680" s="2"/>
      <c r="S680" s="1" t="str">
        <f t="shared" si="32"/>
        <v/>
      </c>
      <c r="T680" s="1" t="str">
        <f>IF(OR($C680="",$D680&lt;&gt;"Gelir",$L680=""),"",IFERROR(INDEX(MUSTERILER!$B$7:$B$156,MATCH($S680,MUSTERILER!$T$7:$T$156,0)),""))</f>
        <v/>
      </c>
      <c r="U680" s="1" t="str">
        <f>IF($T680="","",$T680&amp;"|"&amp;COUNTIFS($T$7:$T680,$T680))</f>
        <v/>
      </c>
      <c r="V680" s="1">
        <f t="shared" si="33"/>
        <v>0</v>
      </c>
      <c r="W680" s="1" t="str">
        <f t="shared" si="34"/>
        <v/>
      </c>
      <c r="X680" s="1"/>
      <c r="Y680" s="1"/>
      <c r="Z680" s="1"/>
      <c r="AA680" s="1"/>
      <c r="AB680" s="1"/>
      <c r="AC680" s="1"/>
      <c r="AD680" s="1">
        <f>IF($C680="",0,SUMPRODUCT((AY_SONU!$O$7:$O$42="Evet")*(AY_SONU!$B$7:$B$42=DATE(YEAR($C680),MONTH($C680),1))))</f>
        <v>0</v>
      </c>
      <c r="AE680" s="1" t="str">
        <f>IF($E680="","",$E680&amp;"|"&amp;COUNTIFS($E$7:$E680,$E680))</f>
        <v/>
      </c>
    </row>
    <row r="681" spans="1:31" ht="18" customHeight="1" x14ac:dyDescent="0.3">
      <c r="A681" s="2"/>
      <c r="B681" s="65" t="str">
        <f>IF($C681="","","GG"&amp;TEXT(ROW()-6,"00000"))</f>
        <v/>
      </c>
      <c r="C681" s="66"/>
      <c r="D681" s="60"/>
      <c r="E681" s="61"/>
      <c r="F681" s="61"/>
      <c r="G681" s="67"/>
      <c r="H681" s="60"/>
      <c r="I681" s="60"/>
      <c r="J681" s="61"/>
      <c r="K681" s="61"/>
      <c r="L681" s="60"/>
      <c r="M681" s="74" t="str">
        <f>IF($C681="","",IF($D681="Gider",$E681,IF($L681&lt;&gt;"",$L681,$H681)))</f>
        <v/>
      </c>
      <c r="N681" s="74" t="str">
        <f>IF($C681="","",IF($D681="Gider",$H681,$E681))</f>
        <v/>
      </c>
      <c r="O681" s="73" t="str">
        <f>IF($C681="","",DATE(YEAR($C681),MONTH($C681),1))</f>
        <v/>
      </c>
      <c r="P681" s="65" t="str">
        <f ca="1">IF($C681="","",IF(AND($D681="Gelir",$L681&lt;&gt;"",$T681=""),"TANIMSIZ BORÇLU",IF($T681&lt;&gt;"",IF(OR($E681="",$G681&lt;=0),"EKSİK",IF($I681="Evet","TAHAKKUK NAKİT OLAMAZ",IF($C681&gt;TODAY(),"İLERİ TARİH","TAHAKKUK"))),IF(AND($D681&lt;&gt;"",$E681&lt;&gt;"",$G681&gt;0,$H681&lt;&gt;"",$I681&lt;&gt;""),IF($C681&gt;TODAY(),"İLERİ TARİH",IF(COUNTIF($W$7:$W$3001,$W681)&gt;1,"MÜKERRER?",IF($AD681&gt;0,"KAPALI DÖNEM",IF($I681="Hayır","ÖDENECEK","UYGUN")))),"EKSİK"))))</f>
        <v/>
      </c>
      <c r="Q681" s="2"/>
      <c r="R681" s="2"/>
      <c r="S681" s="1" t="str">
        <f t="shared" si="32"/>
        <v/>
      </c>
      <c r="T681" s="1" t="str">
        <f>IF(OR($C681="",$D681&lt;&gt;"Gelir",$L681=""),"",IFERROR(INDEX(MUSTERILER!$B$7:$B$156,MATCH($S681,MUSTERILER!$T$7:$T$156,0)),""))</f>
        <v/>
      </c>
      <c r="U681" s="1" t="str">
        <f>IF($T681="","",$T681&amp;"|"&amp;COUNTIFS($T$7:$T681,$T681))</f>
        <v/>
      </c>
      <c r="V681" s="1">
        <f t="shared" si="33"/>
        <v>0</v>
      </c>
      <c r="W681" s="1" t="str">
        <f t="shared" si="34"/>
        <v/>
      </c>
      <c r="X681" s="1"/>
      <c r="Y681" s="1"/>
      <c r="Z681" s="1"/>
      <c r="AA681" s="1"/>
      <c r="AB681" s="1"/>
      <c r="AC681" s="1"/>
      <c r="AD681" s="1">
        <f>IF($C681="",0,SUMPRODUCT((AY_SONU!$O$7:$O$42="Evet")*(AY_SONU!$B$7:$B$42=DATE(YEAR($C681),MONTH($C681),1))))</f>
        <v>0</v>
      </c>
      <c r="AE681" s="1" t="str">
        <f>IF($E681="","",$E681&amp;"|"&amp;COUNTIFS($E$7:$E681,$E681))</f>
        <v/>
      </c>
    </row>
    <row r="682" spans="1:31" ht="18" customHeight="1" x14ac:dyDescent="0.3">
      <c r="A682" s="2"/>
      <c r="B682" s="65" t="str">
        <f>IF($C682="","","GG"&amp;TEXT(ROW()-6,"00000"))</f>
        <v/>
      </c>
      <c r="C682" s="66"/>
      <c r="D682" s="60"/>
      <c r="E682" s="61"/>
      <c r="F682" s="61"/>
      <c r="G682" s="67"/>
      <c r="H682" s="60"/>
      <c r="I682" s="60"/>
      <c r="J682" s="61"/>
      <c r="K682" s="61"/>
      <c r="L682" s="60"/>
      <c r="M682" s="74" t="str">
        <f>IF($C682="","",IF($D682="Gider",$E682,IF($L682&lt;&gt;"",$L682,$H682)))</f>
        <v/>
      </c>
      <c r="N682" s="74" t="str">
        <f>IF($C682="","",IF($D682="Gider",$H682,$E682))</f>
        <v/>
      </c>
      <c r="O682" s="73" t="str">
        <f>IF($C682="","",DATE(YEAR($C682),MONTH($C682),1))</f>
        <v/>
      </c>
      <c r="P682" s="65" t="str">
        <f ca="1">IF($C682="","",IF(AND($D682="Gelir",$L682&lt;&gt;"",$T682=""),"TANIMSIZ BORÇLU",IF($T682&lt;&gt;"",IF(OR($E682="",$G682&lt;=0),"EKSİK",IF($I682="Evet","TAHAKKUK NAKİT OLAMAZ",IF($C682&gt;TODAY(),"İLERİ TARİH","TAHAKKUK"))),IF(AND($D682&lt;&gt;"",$E682&lt;&gt;"",$G682&gt;0,$H682&lt;&gt;"",$I682&lt;&gt;""),IF($C682&gt;TODAY(),"İLERİ TARİH",IF(COUNTIF($W$7:$W$3001,$W682)&gt;1,"MÜKERRER?",IF($AD682&gt;0,"KAPALI DÖNEM",IF($I682="Hayır","ÖDENECEK","UYGUN")))),"EKSİK"))))</f>
        <v/>
      </c>
      <c r="Q682" s="2"/>
      <c r="R682" s="2"/>
      <c r="S682" s="1" t="str">
        <f t="shared" si="32"/>
        <v/>
      </c>
      <c r="T682" s="1" t="str">
        <f>IF(OR($C682="",$D682&lt;&gt;"Gelir",$L682=""),"",IFERROR(INDEX(MUSTERILER!$B$7:$B$156,MATCH($S682,MUSTERILER!$T$7:$T$156,0)),""))</f>
        <v/>
      </c>
      <c r="U682" s="1" t="str">
        <f>IF($T682="","",$T682&amp;"|"&amp;COUNTIFS($T$7:$T682,$T682))</f>
        <v/>
      </c>
      <c r="V682" s="1">
        <f t="shared" si="33"/>
        <v>0</v>
      </c>
      <c r="W682" s="1" t="str">
        <f t="shared" si="34"/>
        <v/>
      </c>
      <c r="X682" s="1"/>
      <c r="Y682" s="1"/>
      <c r="Z682" s="1"/>
      <c r="AA682" s="1"/>
      <c r="AB682" s="1"/>
      <c r="AC682" s="1"/>
      <c r="AD682" s="1">
        <f>IF($C682="",0,SUMPRODUCT((AY_SONU!$O$7:$O$42="Evet")*(AY_SONU!$B$7:$B$42=DATE(YEAR($C682),MONTH($C682),1))))</f>
        <v>0</v>
      </c>
      <c r="AE682" s="1" t="str">
        <f>IF($E682="","",$E682&amp;"|"&amp;COUNTIFS($E$7:$E682,$E682))</f>
        <v/>
      </c>
    </row>
    <row r="683" spans="1:31" ht="18" customHeight="1" x14ac:dyDescent="0.3">
      <c r="A683" s="2"/>
      <c r="B683" s="65" t="str">
        <f>IF($C683="","","GG"&amp;TEXT(ROW()-6,"00000"))</f>
        <v/>
      </c>
      <c r="C683" s="66"/>
      <c r="D683" s="60"/>
      <c r="E683" s="61"/>
      <c r="F683" s="61"/>
      <c r="G683" s="67"/>
      <c r="H683" s="60"/>
      <c r="I683" s="60"/>
      <c r="J683" s="61"/>
      <c r="K683" s="61"/>
      <c r="L683" s="60"/>
      <c r="M683" s="74" t="str">
        <f>IF($C683="","",IF($D683="Gider",$E683,IF($L683&lt;&gt;"",$L683,$H683)))</f>
        <v/>
      </c>
      <c r="N683" s="74" t="str">
        <f>IF($C683="","",IF($D683="Gider",$H683,$E683))</f>
        <v/>
      </c>
      <c r="O683" s="73" t="str">
        <f>IF($C683="","",DATE(YEAR($C683),MONTH($C683),1))</f>
        <v/>
      </c>
      <c r="P683" s="65" t="str">
        <f ca="1">IF($C683="","",IF(AND($D683="Gelir",$L683&lt;&gt;"",$T683=""),"TANIMSIZ BORÇLU",IF($T683&lt;&gt;"",IF(OR($E683="",$G683&lt;=0),"EKSİK",IF($I683="Evet","TAHAKKUK NAKİT OLAMAZ",IF($C683&gt;TODAY(),"İLERİ TARİH","TAHAKKUK"))),IF(AND($D683&lt;&gt;"",$E683&lt;&gt;"",$G683&gt;0,$H683&lt;&gt;"",$I683&lt;&gt;""),IF($C683&gt;TODAY(),"İLERİ TARİH",IF(COUNTIF($W$7:$W$3001,$W683)&gt;1,"MÜKERRER?",IF($AD683&gt;0,"KAPALI DÖNEM",IF($I683="Hayır","ÖDENECEK","UYGUN")))),"EKSİK"))))</f>
        <v/>
      </c>
      <c r="Q683" s="2"/>
      <c r="R683" s="2"/>
      <c r="S683" s="1" t="str">
        <f t="shared" si="32"/>
        <v/>
      </c>
      <c r="T683" s="1" t="str">
        <f>IF(OR($C683="",$D683&lt;&gt;"Gelir",$L683=""),"",IFERROR(INDEX(MUSTERILER!$B$7:$B$156,MATCH($S683,MUSTERILER!$T$7:$T$156,0)),""))</f>
        <v/>
      </c>
      <c r="U683" s="1" t="str">
        <f>IF($T683="","",$T683&amp;"|"&amp;COUNTIFS($T$7:$T683,$T683))</f>
        <v/>
      </c>
      <c r="V683" s="1">
        <f t="shared" si="33"/>
        <v>0</v>
      </c>
      <c r="W683" s="1" t="str">
        <f t="shared" si="34"/>
        <v/>
      </c>
      <c r="X683" s="1"/>
      <c r="Y683" s="1"/>
      <c r="Z683" s="1"/>
      <c r="AA683" s="1"/>
      <c r="AB683" s="1"/>
      <c r="AC683" s="1"/>
      <c r="AD683" s="1">
        <f>IF($C683="",0,SUMPRODUCT((AY_SONU!$O$7:$O$42="Evet")*(AY_SONU!$B$7:$B$42=DATE(YEAR($C683),MONTH($C683),1))))</f>
        <v>0</v>
      </c>
      <c r="AE683" s="1" t="str">
        <f>IF($E683="","",$E683&amp;"|"&amp;COUNTIFS($E$7:$E683,$E683))</f>
        <v/>
      </c>
    </row>
    <row r="684" spans="1:31" ht="18" customHeight="1" x14ac:dyDescent="0.3">
      <c r="A684" s="2"/>
      <c r="B684" s="65" t="str">
        <f>IF($C684="","","GG"&amp;TEXT(ROW()-6,"00000"))</f>
        <v/>
      </c>
      <c r="C684" s="66"/>
      <c r="D684" s="60"/>
      <c r="E684" s="61"/>
      <c r="F684" s="61"/>
      <c r="G684" s="67"/>
      <c r="H684" s="60"/>
      <c r="I684" s="60"/>
      <c r="J684" s="61"/>
      <c r="K684" s="61"/>
      <c r="L684" s="60"/>
      <c r="M684" s="74" t="str">
        <f>IF($C684="","",IF($D684="Gider",$E684,IF($L684&lt;&gt;"",$L684,$H684)))</f>
        <v/>
      </c>
      <c r="N684" s="74" t="str">
        <f>IF($C684="","",IF($D684="Gider",$H684,$E684))</f>
        <v/>
      </c>
      <c r="O684" s="73" t="str">
        <f>IF($C684="","",DATE(YEAR($C684),MONTH($C684),1))</f>
        <v/>
      </c>
      <c r="P684" s="65" t="str">
        <f ca="1">IF($C684="","",IF(AND($D684="Gelir",$L684&lt;&gt;"",$T684=""),"TANIMSIZ BORÇLU",IF($T684&lt;&gt;"",IF(OR($E684="",$G684&lt;=0),"EKSİK",IF($I684="Evet","TAHAKKUK NAKİT OLAMAZ",IF($C684&gt;TODAY(),"İLERİ TARİH","TAHAKKUK"))),IF(AND($D684&lt;&gt;"",$E684&lt;&gt;"",$G684&gt;0,$H684&lt;&gt;"",$I684&lt;&gt;""),IF($C684&gt;TODAY(),"İLERİ TARİH",IF(COUNTIF($W$7:$W$3001,$W684)&gt;1,"MÜKERRER?",IF($AD684&gt;0,"KAPALI DÖNEM",IF($I684="Hayır","ÖDENECEK","UYGUN")))),"EKSİK"))))</f>
        <v/>
      </c>
      <c r="Q684" s="2"/>
      <c r="R684" s="2"/>
      <c r="S684" s="1" t="str">
        <f t="shared" si="32"/>
        <v/>
      </c>
      <c r="T684" s="1" t="str">
        <f>IF(OR($C684="",$D684&lt;&gt;"Gelir",$L684=""),"",IFERROR(INDEX(MUSTERILER!$B$7:$B$156,MATCH($S684,MUSTERILER!$T$7:$T$156,0)),""))</f>
        <v/>
      </c>
      <c r="U684" s="1" t="str">
        <f>IF($T684="","",$T684&amp;"|"&amp;COUNTIFS($T$7:$T684,$T684))</f>
        <v/>
      </c>
      <c r="V684" s="1">
        <f t="shared" si="33"/>
        <v>0</v>
      </c>
      <c r="W684" s="1" t="str">
        <f t="shared" si="34"/>
        <v/>
      </c>
      <c r="X684" s="1"/>
      <c r="Y684" s="1"/>
      <c r="Z684" s="1"/>
      <c r="AA684" s="1"/>
      <c r="AB684" s="1"/>
      <c r="AC684" s="1"/>
      <c r="AD684" s="1">
        <f>IF($C684="",0,SUMPRODUCT((AY_SONU!$O$7:$O$42="Evet")*(AY_SONU!$B$7:$B$42=DATE(YEAR($C684),MONTH($C684),1))))</f>
        <v>0</v>
      </c>
      <c r="AE684" s="1" t="str">
        <f>IF($E684="","",$E684&amp;"|"&amp;COUNTIFS($E$7:$E684,$E684))</f>
        <v/>
      </c>
    </row>
    <row r="685" spans="1:31" ht="18" customHeight="1" x14ac:dyDescent="0.3">
      <c r="A685" s="2"/>
      <c r="B685" s="65" t="str">
        <f>IF($C685="","","GG"&amp;TEXT(ROW()-6,"00000"))</f>
        <v/>
      </c>
      <c r="C685" s="66"/>
      <c r="D685" s="60"/>
      <c r="E685" s="61"/>
      <c r="F685" s="61"/>
      <c r="G685" s="67"/>
      <c r="H685" s="60"/>
      <c r="I685" s="60"/>
      <c r="J685" s="61"/>
      <c r="K685" s="61"/>
      <c r="L685" s="60"/>
      <c r="M685" s="74" t="str">
        <f>IF($C685="","",IF($D685="Gider",$E685,IF($L685&lt;&gt;"",$L685,$H685)))</f>
        <v/>
      </c>
      <c r="N685" s="74" t="str">
        <f>IF($C685="","",IF($D685="Gider",$H685,$E685))</f>
        <v/>
      </c>
      <c r="O685" s="73" t="str">
        <f>IF($C685="","",DATE(YEAR($C685),MONTH($C685),1))</f>
        <v/>
      </c>
      <c r="P685" s="65" t="str">
        <f ca="1">IF($C685="","",IF(AND($D685="Gelir",$L685&lt;&gt;"",$T685=""),"TANIMSIZ BORÇLU",IF($T685&lt;&gt;"",IF(OR($E685="",$G685&lt;=0),"EKSİK",IF($I685="Evet","TAHAKKUK NAKİT OLAMAZ",IF($C685&gt;TODAY(),"İLERİ TARİH","TAHAKKUK"))),IF(AND($D685&lt;&gt;"",$E685&lt;&gt;"",$G685&gt;0,$H685&lt;&gt;"",$I685&lt;&gt;""),IF($C685&gt;TODAY(),"İLERİ TARİH",IF(COUNTIF($W$7:$W$3001,$W685)&gt;1,"MÜKERRER?",IF($AD685&gt;0,"KAPALI DÖNEM",IF($I685="Hayır","ÖDENECEK","UYGUN")))),"EKSİK"))))</f>
        <v/>
      </c>
      <c r="Q685" s="2"/>
      <c r="R685" s="2"/>
      <c r="S685" s="1" t="str">
        <f t="shared" si="32"/>
        <v/>
      </c>
      <c r="T685" s="1" t="str">
        <f>IF(OR($C685="",$D685&lt;&gt;"Gelir",$L685=""),"",IFERROR(INDEX(MUSTERILER!$B$7:$B$156,MATCH($S685,MUSTERILER!$T$7:$T$156,0)),""))</f>
        <v/>
      </c>
      <c r="U685" s="1" t="str">
        <f>IF($T685="","",$T685&amp;"|"&amp;COUNTIFS($T$7:$T685,$T685))</f>
        <v/>
      </c>
      <c r="V685" s="1">
        <f t="shared" si="33"/>
        <v>0</v>
      </c>
      <c r="W685" s="1" t="str">
        <f t="shared" si="34"/>
        <v/>
      </c>
      <c r="X685" s="1"/>
      <c r="Y685" s="1"/>
      <c r="Z685" s="1"/>
      <c r="AA685" s="1"/>
      <c r="AB685" s="1"/>
      <c r="AC685" s="1"/>
      <c r="AD685" s="1">
        <f>IF($C685="",0,SUMPRODUCT((AY_SONU!$O$7:$O$42="Evet")*(AY_SONU!$B$7:$B$42=DATE(YEAR($C685),MONTH($C685),1))))</f>
        <v>0</v>
      </c>
      <c r="AE685" s="1" t="str">
        <f>IF($E685="","",$E685&amp;"|"&amp;COUNTIFS($E$7:$E685,$E685))</f>
        <v/>
      </c>
    </row>
    <row r="686" spans="1:31" ht="18" customHeight="1" x14ac:dyDescent="0.3">
      <c r="A686" s="2"/>
      <c r="B686" s="65" t="str">
        <f>IF($C686="","","GG"&amp;TEXT(ROW()-6,"00000"))</f>
        <v/>
      </c>
      <c r="C686" s="66"/>
      <c r="D686" s="60"/>
      <c r="E686" s="61"/>
      <c r="F686" s="61"/>
      <c r="G686" s="67"/>
      <c r="H686" s="60"/>
      <c r="I686" s="60"/>
      <c r="J686" s="61"/>
      <c r="K686" s="61"/>
      <c r="L686" s="60"/>
      <c r="M686" s="74" t="str">
        <f>IF($C686="","",IF($D686="Gider",$E686,IF($L686&lt;&gt;"",$L686,$H686)))</f>
        <v/>
      </c>
      <c r="N686" s="74" t="str">
        <f>IF($C686="","",IF($D686="Gider",$H686,$E686))</f>
        <v/>
      </c>
      <c r="O686" s="73" t="str">
        <f>IF($C686="","",DATE(YEAR($C686),MONTH($C686),1))</f>
        <v/>
      </c>
      <c r="P686" s="65" t="str">
        <f ca="1">IF($C686="","",IF(AND($D686="Gelir",$L686&lt;&gt;"",$T686=""),"TANIMSIZ BORÇLU",IF($T686&lt;&gt;"",IF(OR($E686="",$G686&lt;=0),"EKSİK",IF($I686="Evet","TAHAKKUK NAKİT OLAMAZ",IF($C686&gt;TODAY(),"İLERİ TARİH","TAHAKKUK"))),IF(AND($D686&lt;&gt;"",$E686&lt;&gt;"",$G686&gt;0,$H686&lt;&gt;"",$I686&lt;&gt;""),IF($C686&gt;TODAY(),"İLERİ TARİH",IF(COUNTIF($W$7:$W$3001,$W686)&gt;1,"MÜKERRER?",IF($AD686&gt;0,"KAPALI DÖNEM",IF($I686="Hayır","ÖDENECEK","UYGUN")))),"EKSİK"))))</f>
        <v/>
      </c>
      <c r="Q686" s="2"/>
      <c r="R686" s="2"/>
      <c r="S686" s="1" t="str">
        <f t="shared" si="32"/>
        <v/>
      </c>
      <c r="T686" s="1" t="str">
        <f>IF(OR($C686="",$D686&lt;&gt;"Gelir",$L686=""),"",IFERROR(INDEX(MUSTERILER!$B$7:$B$156,MATCH($S686,MUSTERILER!$T$7:$T$156,0)),""))</f>
        <v/>
      </c>
      <c r="U686" s="1" t="str">
        <f>IF($T686="","",$T686&amp;"|"&amp;COUNTIFS($T$7:$T686,$T686))</f>
        <v/>
      </c>
      <c r="V686" s="1">
        <f t="shared" si="33"/>
        <v>0</v>
      </c>
      <c r="W686" s="1" t="str">
        <f t="shared" si="34"/>
        <v/>
      </c>
      <c r="X686" s="1"/>
      <c r="Y686" s="1"/>
      <c r="Z686" s="1"/>
      <c r="AA686" s="1"/>
      <c r="AB686" s="1"/>
      <c r="AC686" s="1"/>
      <c r="AD686" s="1">
        <f>IF($C686="",0,SUMPRODUCT((AY_SONU!$O$7:$O$42="Evet")*(AY_SONU!$B$7:$B$42=DATE(YEAR($C686),MONTH($C686),1))))</f>
        <v>0</v>
      </c>
      <c r="AE686" s="1" t="str">
        <f>IF($E686="","",$E686&amp;"|"&amp;COUNTIFS($E$7:$E686,$E686))</f>
        <v/>
      </c>
    </row>
    <row r="687" spans="1:31" ht="18" customHeight="1" x14ac:dyDescent="0.3">
      <c r="A687" s="2"/>
      <c r="B687" s="65" t="str">
        <f>IF($C687="","","GG"&amp;TEXT(ROW()-6,"00000"))</f>
        <v/>
      </c>
      <c r="C687" s="66"/>
      <c r="D687" s="60"/>
      <c r="E687" s="61"/>
      <c r="F687" s="61"/>
      <c r="G687" s="67"/>
      <c r="H687" s="60"/>
      <c r="I687" s="60"/>
      <c r="J687" s="61"/>
      <c r="K687" s="61"/>
      <c r="L687" s="60"/>
      <c r="M687" s="74" t="str">
        <f>IF($C687="","",IF($D687="Gider",$E687,IF($L687&lt;&gt;"",$L687,$H687)))</f>
        <v/>
      </c>
      <c r="N687" s="74" t="str">
        <f>IF($C687="","",IF($D687="Gider",$H687,$E687))</f>
        <v/>
      </c>
      <c r="O687" s="73" t="str">
        <f>IF($C687="","",DATE(YEAR($C687),MONTH($C687),1))</f>
        <v/>
      </c>
      <c r="P687" s="65" t="str">
        <f ca="1">IF($C687="","",IF(AND($D687="Gelir",$L687&lt;&gt;"",$T687=""),"TANIMSIZ BORÇLU",IF($T687&lt;&gt;"",IF(OR($E687="",$G687&lt;=0),"EKSİK",IF($I687="Evet","TAHAKKUK NAKİT OLAMAZ",IF($C687&gt;TODAY(),"İLERİ TARİH","TAHAKKUK"))),IF(AND($D687&lt;&gt;"",$E687&lt;&gt;"",$G687&gt;0,$H687&lt;&gt;"",$I687&lt;&gt;""),IF($C687&gt;TODAY(),"İLERİ TARİH",IF(COUNTIF($W$7:$W$3001,$W687)&gt;1,"MÜKERRER?",IF($AD687&gt;0,"KAPALI DÖNEM",IF($I687="Hayır","ÖDENECEK","UYGUN")))),"EKSİK"))))</f>
        <v/>
      </c>
      <c r="Q687" s="2"/>
      <c r="R687" s="2"/>
      <c r="S687" s="1" t="str">
        <f t="shared" si="32"/>
        <v/>
      </c>
      <c r="T687" s="1" t="str">
        <f>IF(OR($C687="",$D687&lt;&gt;"Gelir",$L687=""),"",IFERROR(INDEX(MUSTERILER!$B$7:$B$156,MATCH($S687,MUSTERILER!$T$7:$T$156,0)),""))</f>
        <v/>
      </c>
      <c r="U687" s="1" t="str">
        <f>IF($T687="","",$T687&amp;"|"&amp;COUNTIFS($T$7:$T687,$T687))</f>
        <v/>
      </c>
      <c r="V687" s="1">
        <f t="shared" si="33"/>
        <v>0</v>
      </c>
      <c r="W687" s="1" t="str">
        <f t="shared" si="34"/>
        <v/>
      </c>
      <c r="X687" s="1"/>
      <c r="Y687" s="1"/>
      <c r="Z687" s="1"/>
      <c r="AA687" s="1"/>
      <c r="AB687" s="1"/>
      <c r="AC687" s="1"/>
      <c r="AD687" s="1">
        <f>IF($C687="",0,SUMPRODUCT((AY_SONU!$O$7:$O$42="Evet")*(AY_SONU!$B$7:$B$42=DATE(YEAR($C687),MONTH($C687),1))))</f>
        <v>0</v>
      </c>
      <c r="AE687" s="1" t="str">
        <f>IF($E687="","",$E687&amp;"|"&amp;COUNTIFS($E$7:$E687,$E687))</f>
        <v/>
      </c>
    </row>
    <row r="688" spans="1:31" ht="18" customHeight="1" x14ac:dyDescent="0.3">
      <c r="A688" s="2"/>
      <c r="B688" s="65" t="str">
        <f>IF($C688="","","GG"&amp;TEXT(ROW()-6,"00000"))</f>
        <v/>
      </c>
      <c r="C688" s="66"/>
      <c r="D688" s="60"/>
      <c r="E688" s="61"/>
      <c r="F688" s="61"/>
      <c r="G688" s="67"/>
      <c r="H688" s="60"/>
      <c r="I688" s="60"/>
      <c r="J688" s="61"/>
      <c r="K688" s="61"/>
      <c r="L688" s="60"/>
      <c r="M688" s="74" t="str">
        <f>IF($C688="","",IF($D688="Gider",$E688,IF($L688&lt;&gt;"",$L688,$H688)))</f>
        <v/>
      </c>
      <c r="N688" s="74" t="str">
        <f>IF($C688="","",IF($D688="Gider",$H688,$E688))</f>
        <v/>
      </c>
      <c r="O688" s="73" t="str">
        <f>IF($C688="","",DATE(YEAR($C688),MONTH($C688),1))</f>
        <v/>
      </c>
      <c r="P688" s="65" t="str">
        <f ca="1">IF($C688="","",IF(AND($D688="Gelir",$L688&lt;&gt;"",$T688=""),"TANIMSIZ BORÇLU",IF($T688&lt;&gt;"",IF(OR($E688="",$G688&lt;=0),"EKSİK",IF($I688="Evet","TAHAKKUK NAKİT OLAMAZ",IF($C688&gt;TODAY(),"İLERİ TARİH","TAHAKKUK"))),IF(AND($D688&lt;&gt;"",$E688&lt;&gt;"",$G688&gt;0,$H688&lt;&gt;"",$I688&lt;&gt;""),IF($C688&gt;TODAY(),"İLERİ TARİH",IF(COUNTIF($W$7:$W$3001,$W688)&gt;1,"MÜKERRER?",IF($AD688&gt;0,"KAPALI DÖNEM",IF($I688="Hayır","ÖDENECEK","UYGUN")))),"EKSİK"))))</f>
        <v/>
      </c>
      <c r="Q688" s="2"/>
      <c r="R688" s="2"/>
      <c r="S688" s="1" t="str">
        <f t="shared" si="32"/>
        <v/>
      </c>
      <c r="T688" s="1" t="str">
        <f>IF(OR($C688="",$D688&lt;&gt;"Gelir",$L688=""),"",IFERROR(INDEX(MUSTERILER!$B$7:$B$156,MATCH($S688,MUSTERILER!$T$7:$T$156,0)),""))</f>
        <v/>
      </c>
      <c r="U688" s="1" t="str">
        <f>IF($T688="","",$T688&amp;"|"&amp;COUNTIFS($T$7:$T688,$T688))</f>
        <v/>
      </c>
      <c r="V688" s="1">
        <f t="shared" si="33"/>
        <v>0</v>
      </c>
      <c r="W688" s="1" t="str">
        <f t="shared" si="34"/>
        <v/>
      </c>
      <c r="X688" s="1"/>
      <c r="Y688" s="1"/>
      <c r="Z688" s="1"/>
      <c r="AA688" s="1"/>
      <c r="AB688" s="1"/>
      <c r="AC688" s="1"/>
      <c r="AD688" s="1">
        <f>IF($C688="",0,SUMPRODUCT((AY_SONU!$O$7:$O$42="Evet")*(AY_SONU!$B$7:$B$42=DATE(YEAR($C688),MONTH($C688),1))))</f>
        <v>0</v>
      </c>
      <c r="AE688" s="1" t="str">
        <f>IF($E688="","",$E688&amp;"|"&amp;COUNTIFS($E$7:$E688,$E688))</f>
        <v/>
      </c>
    </row>
    <row r="689" spans="1:31" ht="18" customHeight="1" x14ac:dyDescent="0.3">
      <c r="A689" s="2"/>
      <c r="B689" s="65" t="str">
        <f>IF($C689="","","GG"&amp;TEXT(ROW()-6,"00000"))</f>
        <v/>
      </c>
      <c r="C689" s="66"/>
      <c r="D689" s="60"/>
      <c r="E689" s="61"/>
      <c r="F689" s="61"/>
      <c r="G689" s="67"/>
      <c r="H689" s="60"/>
      <c r="I689" s="60"/>
      <c r="J689" s="61"/>
      <c r="K689" s="61"/>
      <c r="L689" s="60"/>
      <c r="M689" s="74" t="str">
        <f>IF($C689="","",IF($D689="Gider",$E689,IF($L689&lt;&gt;"",$L689,$H689)))</f>
        <v/>
      </c>
      <c r="N689" s="74" t="str">
        <f>IF($C689="","",IF($D689="Gider",$H689,$E689))</f>
        <v/>
      </c>
      <c r="O689" s="73" t="str">
        <f>IF($C689="","",DATE(YEAR($C689),MONTH($C689),1))</f>
        <v/>
      </c>
      <c r="P689" s="65" t="str">
        <f ca="1">IF($C689="","",IF(AND($D689="Gelir",$L689&lt;&gt;"",$T689=""),"TANIMSIZ BORÇLU",IF($T689&lt;&gt;"",IF(OR($E689="",$G689&lt;=0),"EKSİK",IF($I689="Evet","TAHAKKUK NAKİT OLAMAZ",IF($C689&gt;TODAY(),"İLERİ TARİH","TAHAKKUK"))),IF(AND($D689&lt;&gt;"",$E689&lt;&gt;"",$G689&gt;0,$H689&lt;&gt;"",$I689&lt;&gt;""),IF($C689&gt;TODAY(),"İLERİ TARİH",IF(COUNTIF($W$7:$W$3001,$W689)&gt;1,"MÜKERRER?",IF($AD689&gt;0,"KAPALI DÖNEM",IF($I689="Hayır","ÖDENECEK","UYGUN")))),"EKSİK"))))</f>
        <v/>
      </c>
      <c r="Q689" s="2"/>
      <c r="R689" s="2"/>
      <c r="S689" s="1" t="str">
        <f t="shared" si="32"/>
        <v/>
      </c>
      <c r="T689" s="1" t="str">
        <f>IF(OR($C689="",$D689&lt;&gt;"Gelir",$L689=""),"",IFERROR(INDEX(MUSTERILER!$B$7:$B$156,MATCH($S689,MUSTERILER!$T$7:$T$156,0)),""))</f>
        <v/>
      </c>
      <c r="U689" s="1" t="str">
        <f>IF($T689="","",$T689&amp;"|"&amp;COUNTIFS($T$7:$T689,$T689))</f>
        <v/>
      </c>
      <c r="V689" s="1">
        <f t="shared" si="33"/>
        <v>0</v>
      </c>
      <c r="W689" s="1" t="str">
        <f t="shared" si="34"/>
        <v/>
      </c>
      <c r="X689" s="1"/>
      <c r="Y689" s="1"/>
      <c r="Z689" s="1"/>
      <c r="AA689" s="1"/>
      <c r="AB689" s="1"/>
      <c r="AC689" s="1"/>
      <c r="AD689" s="1">
        <f>IF($C689="",0,SUMPRODUCT((AY_SONU!$O$7:$O$42="Evet")*(AY_SONU!$B$7:$B$42=DATE(YEAR($C689),MONTH($C689),1))))</f>
        <v>0</v>
      </c>
      <c r="AE689" s="1" t="str">
        <f>IF($E689="","",$E689&amp;"|"&amp;COUNTIFS($E$7:$E689,$E689))</f>
        <v/>
      </c>
    </row>
    <row r="690" spans="1:31" ht="18" customHeight="1" x14ac:dyDescent="0.3">
      <c r="A690" s="2"/>
      <c r="B690" s="65" t="str">
        <f>IF($C690="","","GG"&amp;TEXT(ROW()-6,"00000"))</f>
        <v/>
      </c>
      <c r="C690" s="66"/>
      <c r="D690" s="60"/>
      <c r="E690" s="61"/>
      <c r="F690" s="61"/>
      <c r="G690" s="67"/>
      <c r="H690" s="60"/>
      <c r="I690" s="60"/>
      <c r="J690" s="61"/>
      <c r="K690" s="61"/>
      <c r="L690" s="60"/>
      <c r="M690" s="74" t="str">
        <f>IF($C690="","",IF($D690="Gider",$E690,IF($L690&lt;&gt;"",$L690,$H690)))</f>
        <v/>
      </c>
      <c r="N690" s="74" t="str">
        <f>IF($C690="","",IF($D690="Gider",$H690,$E690))</f>
        <v/>
      </c>
      <c r="O690" s="73" t="str">
        <f>IF($C690="","",DATE(YEAR($C690),MONTH($C690),1))</f>
        <v/>
      </c>
      <c r="P690" s="65" t="str">
        <f ca="1">IF($C690="","",IF(AND($D690="Gelir",$L690&lt;&gt;"",$T690=""),"TANIMSIZ BORÇLU",IF($T690&lt;&gt;"",IF(OR($E690="",$G690&lt;=0),"EKSİK",IF($I690="Evet","TAHAKKUK NAKİT OLAMAZ",IF($C690&gt;TODAY(),"İLERİ TARİH","TAHAKKUK"))),IF(AND($D690&lt;&gt;"",$E690&lt;&gt;"",$G690&gt;0,$H690&lt;&gt;"",$I690&lt;&gt;""),IF($C690&gt;TODAY(),"İLERİ TARİH",IF(COUNTIF($W$7:$W$3001,$W690)&gt;1,"MÜKERRER?",IF($AD690&gt;0,"KAPALI DÖNEM",IF($I690="Hayır","ÖDENECEK","UYGUN")))),"EKSİK"))))</f>
        <v/>
      </c>
      <c r="Q690" s="2"/>
      <c r="R690" s="2"/>
      <c r="S690" s="1" t="str">
        <f t="shared" si="32"/>
        <v/>
      </c>
      <c r="T690" s="1" t="str">
        <f>IF(OR($C690="",$D690&lt;&gt;"Gelir",$L690=""),"",IFERROR(INDEX(MUSTERILER!$B$7:$B$156,MATCH($S690,MUSTERILER!$T$7:$T$156,0)),""))</f>
        <v/>
      </c>
      <c r="U690" s="1" t="str">
        <f>IF($T690="","",$T690&amp;"|"&amp;COUNTIFS($T$7:$T690,$T690))</f>
        <v/>
      </c>
      <c r="V690" s="1">
        <f t="shared" si="33"/>
        <v>0</v>
      </c>
      <c r="W690" s="1" t="str">
        <f t="shared" si="34"/>
        <v/>
      </c>
      <c r="X690" s="1"/>
      <c r="Y690" s="1"/>
      <c r="Z690" s="1"/>
      <c r="AA690" s="1"/>
      <c r="AB690" s="1"/>
      <c r="AC690" s="1"/>
      <c r="AD690" s="1">
        <f>IF($C690="",0,SUMPRODUCT((AY_SONU!$O$7:$O$42="Evet")*(AY_SONU!$B$7:$B$42=DATE(YEAR($C690),MONTH($C690),1))))</f>
        <v>0</v>
      </c>
      <c r="AE690" s="1" t="str">
        <f>IF($E690="","",$E690&amp;"|"&amp;COUNTIFS($E$7:$E690,$E690))</f>
        <v/>
      </c>
    </row>
    <row r="691" spans="1:31" ht="18" customHeight="1" x14ac:dyDescent="0.3">
      <c r="A691" s="2"/>
      <c r="B691" s="65" t="str">
        <f>IF($C691="","","GG"&amp;TEXT(ROW()-6,"00000"))</f>
        <v/>
      </c>
      <c r="C691" s="66"/>
      <c r="D691" s="60"/>
      <c r="E691" s="61"/>
      <c r="F691" s="61"/>
      <c r="G691" s="67"/>
      <c r="H691" s="60"/>
      <c r="I691" s="60"/>
      <c r="J691" s="61"/>
      <c r="K691" s="61"/>
      <c r="L691" s="60"/>
      <c r="M691" s="74" t="str">
        <f>IF($C691="","",IF($D691="Gider",$E691,IF($L691&lt;&gt;"",$L691,$H691)))</f>
        <v/>
      </c>
      <c r="N691" s="74" t="str">
        <f>IF($C691="","",IF($D691="Gider",$H691,$E691))</f>
        <v/>
      </c>
      <c r="O691" s="73" t="str">
        <f>IF($C691="","",DATE(YEAR($C691),MONTH($C691),1))</f>
        <v/>
      </c>
      <c r="P691" s="65" t="str">
        <f ca="1">IF($C691="","",IF(AND($D691="Gelir",$L691&lt;&gt;"",$T691=""),"TANIMSIZ BORÇLU",IF($T691&lt;&gt;"",IF(OR($E691="",$G691&lt;=0),"EKSİK",IF($I691="Evet","TAHAKKUK NAKİT OLAMAZ",IF($C691&gt;TODAY(),"İLERİ TARİH","TAHAKKUK"))),IF(AND($D691&lt;&gt;"",$E691&lt;&gt;"",$G691&gt;0,$H691&lt;&gt;"",$I691&lt;&gt;""),IF($C691&gt;TODAY(),"İLERİ TARİH",IF(COUNTIF($W$7:$W$3001,$W691)&gt;1,"MÜKERRER?",IF($AD691&gt;0,"KAPALI DÖNEM",IF($I691="Hayır","ÖDENECEK","UYGUN")))),"EKSİK"))))</f>
        <v/>
      </c>
      <c r="Q691" s="2"/>
      <c r="R691" s="2"/>
      <c r="S691" s="1" t="str">
        <f t="shared" si="32"/>
        <v/>
      </c>
      <c r="T691" s="1" t="str">
        <f>IF(OR($C691="",$D691&lt;&gt;"Gelir",$L691=""),"",IFERROR(INDEX(MUSTERILER!$B$7:$B$156,MATCH($S691,MUSTERILER!$T$7:$T$156,0)),""))</f>
        <v/>
      </c>
      <c r="U691" s="1" t="str">
        <f>IF($T691="","",$T691&amp;"|"&amp;COUNTIFS($T$7:$T691,$T691))</f>
        <v/>
      </c>
      <c r="V691" s="1">
        <f t="shared" si="33"/>
        <v>0</v>
      </c>
      <c r="W691" s="1" t="str">
        <f t="shared" si="34"/>
        <v/>
      </c>
      <c r="X691" s="1"/>
      <c r="Y691" s="1"/>
      <c r="Z691" s="1"/>
      <c r="AA691" s="1"/>
      <c r="AB691" s="1"/>
      <c r="AC691" s="1"/>
      <c r="AD691" s="1">
        <f>IF($C691="",0,SUMPRODUCT((AY_SONU!$O$7:$O$42="Evet")*(AY_SONU!$B$7:$B$42=DATE(YEAR($C691),MONTH($C691),1))))</f>
        <v>0</v>
      </c>
      <c r="AE691" s="1" t="str">
        <f>IF($E691="","",$E691&amp;"|"&amp;COUNTIFS($E$7:$E691,$E691))</f>
        <v/>
      </c>
    </row>
    <row r="692" spans="1:31" ht="18" customHeight="1" x14ac:dyDescent="0.3">
      <c r="A692" s="2"/>
      <c r="B692" s="65" t="str">
        <f>IF($C692="","","GG"&amp;TEXT(ROW()-6,"00000"))</f>
        <v/>
      </c>
      <c r="C692" s="66"/>
      <c r="D692" s="60"/>
      <c r="E692" s="61"/>
      <c r="F692" s="61"/>
      <c r="G692" s="67"/>
      <c r="H692" s="60"/>
      <c r="I692" s="60"/>
      <c r="J692" s="61"/>
      <c r="K692" s="61"/>
      <c r="L692" s="60"/>
      <c r="M692" s="74" t="str">
        <f>IF($C692="","",IF($D692="Gider",$E692,IF($L692&lt;&gt;"",$L692,$H692)))</f>
        <v/>
      </c>
      <c r="N692" s="74" t="str">
        <f>IF($C692="","",IF($D692="Gider",$H692,$E692))</f>
        <v/>
      </c>
      <c r="O692" s="73" t="str">
        <f>IF($C692="","",DATE(YEAR($C692),MONTH($C692),1))</f>
        <v/>
      </c>
      <c r="P692" s="65" t="str">
        <f ca="1">IF($C692="","",IF(AND($D692="Gelir",$L692&lt;&gt;"",$T692=""),"TANIMSIZ BORÇLU",IF($T692&lt;&gt;"",IF(OR($E692="",$G692&lt;=0),"EKSİK",IF($I692="Evet","TAHAKKUK NAKİT OLAMAZ",IF($C692&gt;TODAY(),"İLERİ TARİH","TAHAKKUK"))),IF(AND($D692&lt;&gt;"",$E692&lt;&gt;"",$G692&gt;0,$H692&lt;&gt;"",$I692&lt;&gt;""),IF($C692&gt;TODAY(),"İLERİ TARİH",IF(COUNTIF($W$7:$W$3001,$W692)&gt;1,"MÜKERRER?",IF($AD692&gt;0,"KAPALI DÖNEM",IF($I692="Hayır","ÖDENECEK","UYGUN")))),"EKSİK"))))</f>
        <v/>
      </c>
      <c r="Q692" s="2"/>
      <c r="R692" s="2"/>
      <c r="S692" s="1" t="str">
        <f t="shared" si="32"/>
        <v/>
      </c>
      <c r="T692" s="1" t="str">
        <f>IF(OR($C692="",$D692&lt;&gt;"Gelir",$L692=""),"",IFERROR(INDEX(MUSTERILER!$B$7:$B$156,MATCH($S692,MUSTERILER!$T$7:$T$156,0)),""))</f>
        <v/>
      </c>
      <c r="U692" s="1" t="str">
        <f>IF($T692="","",$T692&amp;"|"&amp;COUNTIFS($T$7:$T692,$T692))</f>
        <v/>
      </c>
      <c r="V692" s="1">
        <f t="shared" si="33"/>
        <v>0</v>
      </c>
      <c r="W692" s="1" t="str">
        <f t="shared" si="34"/>
        <v/>
      </c>
      <c r="X692" s="1"/>
      <c r="Y692" s="1"/>
      <c r="Z692" s="1"/>
      <c r="AA692" s="1"/>
      <c r="AB692" s="1"/>
      <c r="AC692" s="1"/>
      <c r="AD692" s="1">
        <f>IF($C692="",0,SUMPRODUCT((AY_SONU!$O$7:$O$42="Evet")*(AY_SONU!$B$7:$B$42=DATE(YEAR($C692),MONTH($C692),1))))</f>
        <v>0</v>
      </c>
      <c r="AE692" s="1" t="str">
        <f>IF($E692="","",$E692&amp;"|"&amp;COUNTIFS($E$7:$E692,$E692))</f>
        <v/>
      </c>
    </row>
    <row r="693" spans="1:31" ht="18" customHeight="1" x14ac:dyDescent="0.3">
      <c r="A693" s="2"/>
      <c r="B693" s="65" t="str">
        <f>IF($C693="","","GG"&amp;TEXT(ROW()-6,"00000"))</f>
        <v/>
      </c>
      <c r="C693" s="66"/>
      <c r="D693" s="60"/>
      <c r="E693" s="61"/>
      <c r="F693" s="61"/>
      <c r="G693" s="67"/>
      <c r="H693" s="60"/>
      <c r="I693" s="60"/>
      <c r="J693" s="61"/>
      <c r="K693" s="61"/>
      <c r="L693" s="60"/>
      <c r="M693" s="74" t="str">
        <f>IF($C693="","",IF($D693="Gider",$E693,IF($L693&lt;&gt;"",$L693,$H693)))</f>
        <v/>
      </c>
      <c r="N693" s="74" t="str">
        <f>IF($C693="","",IF($D693="Gider",$H693,$E693))</f>
        <v/>
      </c>
      <c r="O693" s="73" t="str">
        <f>IF($C693="","",DATE(YEAR($C693),MONTH($C693),1))</f>
        <v/>
      </c>
      <c r="P693" s="65" t="str">
        <f ca="1">IF($C693="","",IF(AND($D693="Gelir",$L693&lt;&gt;"",$T693=""),"TANIMSIZ BORÇLU",IF($T693&lt;&gt;"",IF(OR($E693="",$G693&lt;=0),"EKSİK",IF($I693="Evet","TAHAKKUK NAKİT OLAMAZ",IF($C693&gt;TODAY(),"İLERİ TARİH","TAHAKKUK"))),IF(AND($D693&lt;&gt;"",$E693&lt;&gt;"",$G693&gt;0,$H693&lt;&gt;"",$I693&lt;&gt;""),IF($C693&gt;TODAY(),"İLERİ TARİH",IF(COUNTIF($W$7:$W$3001,$W693)&gt;1,"MÜKERRER?",IF($AD693&gt;0,"KAPALI DÖNEM",IF($I693="Hayır","ÖDENECEK","UYGUN")))),"EKSİK"))))</f>
        <v/>
      </c>
      <c r="Q693" s="2"/>
      <c r="R693" s="2"/>
      <c r="S693" s="1" t="str">
        <f t="shared" si="32"/>
        <v/>
      </c>
      <c r="T693" s="1" t="str">
        <f>IF(OR($C693="",$D693&lt;&gt;"Gelir",$L693=""),"",IFERROR(INDEX(MUSTERILER!$B$7:$B$156,MATCH($S693,MUSTERILER!$T$7:$T$156,0)),""))</f>
        <v/>
      </c>
      <c r="U693" s="1" t="str">
        <f>IF($T693="","",$T693&amp;"|"&amp;COUNTIFS($T$7:$T693,$T693))</f>
        <v/>
      </c>
      <c r="V693" s="1">
        <f t="shared" si="33"/>
        <v>0</v>
      </c>
      <c r="W693" s="1" t="str">
        <f t="shared" si="34"/>
        <v/>
      </c>
      <c r="X693" s="1"/>
      <c r="Y693" s="1"/>
      <c r="Z693" s="1"/>
      <c r="AA693" s="1"/>
      <c r="AB693" s="1"/>
      <c r="AC693" s="1"/>
      <c r="AD693" s="1">
        <f>IF($C693="",0,SUMPRODUCT((AY_SONU!$O$7:$O$42="Evet")*(AY_SONU!$B$7:$B$42=DATE(YEAR($C693),MONTH($C693),1))))</f>
        <v>0</v>
      </c>
      <c r="AE693" s="1" t="str">
        <f>IF($E693="","",$E693&amp;"|"&amp;COUNTIFS($E$7:$E693,$E693))</f>
        <v/>
      </c>
    </row>
    <row r="694" spans="1:31" ht="18" customHeight="1" x14ac:dyDescent="0.3">
      <c r="A694" s="2"/>
      <c r="B694" s="65" t="str">
        <f>IF($C694="","","GG"&amp;TEXT(ROW()-6,"00000"))</f>
        <v/>
      </c>
      <c r="C694" s="66"/>
      <c r="D694" s="60"/>
      <c r="E694" s="61"/>
      <c r="F694" s="61"/>
      <c r="G694" s="67"/>
      <c r="H694" s="60"/>
      <c r="I694" s="60"/>
      <c r="J694" s="61"/>
      <c r="K694" s="61"/>
      <c r="L694" s="60"/>
      <c r="M694" s="74" t="str">
        <f>IF($C694="","",IF($D694="Gider",$E694,IF($L694&lt;&gt;"",$L694,$H694)))</f>
        <v/>
      </c>
      <c r="N694" s="74" t="str">
        <f>IF($C694="","",IF($D694="Gider",$H694,$E694))</f>
        <v/>
      </c>
      <c r="O694" s="73" t="str">
        <f>IF($C694="","",DATE(YEAR($C694),MONTH($C694),1))</f>
        <v/>
      </c>
      <c r="P694" s="65" t="str">
        <f ca="1">IF($C694="","",IF(AND($D694="Gelir",$L694&lt;&gt;"",$T694=""),"TANIMSIZ BORÇLU",IF($T694&lt;&gt;"",IF(OR($E694="",$G694&lt;=0),"EKSİK",IF($I694="Evet","TAHAKKUK NAKİT OLAMAZ",IF($C694&gt;TODAY(),"İLERİ TARİH","TAHAKKUK"))),IF(AND($D694&lt;&gt;"",$E694&lt;&gt;"",$G694&gt;0,$H694&lt;&gt;"",$I694&lt;&gt;""),IF($C694&gt;TODAY(),"İLERİ TARİH",IF(COUNTIF($W$7:$W$3001,$W694)&gt;1,"MÜKERRER?",IF($AD694&gt;0,"KAPALI DÖNEM",IF($I694="Hayır","ÖDENECEK","UYGUN")))),"EKSİK"))))</f>
        <v/>
      </c>
      <c r="Q694" s="2"/>
      <c r="R694" s="2"/>
      <c r="S694" s="1" t="str">
        <f t="shared" si="32"/>
        <v/>
      </c>
      <c r="T694" s="1" t="str">
        <f>IF(OR($C694="",$D694&lt;&gt;"Gelir",$L694=""),"",IFERROR(INDEX(MUSTERILER!$B$7:$B$156,MATCH($S694,MUSTERILER!$T$7:$T$156,0)),""))</f>
        <v/>
      </c>
      <c r="U694" s="1" t="str">
        <f>IF($T694="","",$T694&amp;"|"&amp;COUNTIFS($T$7:$T694,$T694))</f>
        <v/>
      </c>
      <c r="V694" s="1">
        <f t="shared" si="33"/>
        <v>0</v>
      </c>
      <c r="W694" s="1" t="str">
        <f t="shared" si="34"/>
        <v/>
      </c>
      <c r="X694" s="1"/>
      <c r="Y694" s="1"/>
      <c r="Z694" s="1"/>
      <c r="AA694" s="1"/>
      <c r="AB694" s="1"/>
      <c r="AC694" s="1"/>
      <c r="AD694" s="1">
        <f>IF($C694="",0,SUMPRODUCT((AY_SONU!$O$7:$O$42="Evet")*(AY_SONU!$B$7:$B$42=DATE(YEAR($C694),MONTH($C694),1))))</f>
        <v>0</v>
      </c>
      <c r="AE694" s="1" t="str">
        <f>IF($E694="","",$E694&amp;"|"&amp;COUNTIFS($E$7:$E694,$E694))</f>
        <v/>
      </c>
    </row>
    <row r="695" spans="1:31" ht="18" customHeight="1" x14ac:dyDescent="0.3">
      <c r="A695" s="2"/>
      <c r="B695" s="65" t="str">
        <f>IF($C695="","","GG"&amp;TEXT(ROW()-6,"00000"))</f>
        <v/>
      </c>
      <c r="C695" s="66"/>
      <c r="D695" s="60"/>
      <c r="E695" s="61"/>
      <c r="F695" s="61"/>
      <c r="G695" s="67"/>
      <c r="H695" s="60"/>
      <c r="I695" s="60"/>
      <c r="J695" s="61"/>
      <c r="K695" s="61"/>
      <c r="L695" s="60"/>
      <c r="M695" s="74" t="str">
        <f>IF($C695="","",IF($D695="Gider",$E695,IF($L695&lt;&gt;"",$L695,$H695)))</f>
        <v/>
      </c>
      <c r="N695" s="74" t="str">
        <f>IF($C695="","",IF($D695="Gider",$H695,$E695))</f>
        <v/>
      </c>
      <c r="O695" s="73" t="str">
        <f>IF($C695="","",DATE(YEAR($C695),MONTH($C695),1))</f>
        <v/>
      </c>
      <c r="P695" s="65" t="str">
        <f ca="1">IF($C695="","",IF(AND($D695="Gelir",$L695&lt;&gt;"",$T695=""),"TANIMSIZ BORÇLU",IF($T695&lt;&gt;"",IF(OR($E695="",$G695&lt;=0),"EKSİK",IF($I695="Evet","TAHAKKUK NAKİT OLAMAZ",IF($C695&gt;TODAY(),"İLERİ TARİH","TAHAKKUK"))),IF(AND($D695&lt;&gt;"",$E695&lt;&gt;"",$G695&gt;0,$H695&lt;&gt;"",$I695&lt;&gt;""),IF($C695&gt;TODAY(),"İLERİ TARİH",IF(COUNTIF($W$7:$W$3001,$W695)&gt;1,"MÜKERRER?",IF($AD695&gt;0,"KAPALI DÖNEM",IF($I695="Hayır","ÖDENECEK","UYGUN")))),"EKSİK"))))</f>
        <v/>
      </c>
      <c r="Q695" s="2"/>
      <c r="R695" s="2"/>
      <c r="S695" s="1" t="str">
        <f t="shared" si="32"/>
        <v/>
      </c>
      <c r="T695" s="1" t="str">
        <f>IF(OR($C695="",$D695&lt;&gt;"Gelir",$L695=""),"",IFERROR(INDEX(MUSTERILER!$B$7:$B$156,MATCH($S695,MUSTERILER!$T$7:$T$156,0)),""))</f>
        <v/>
      </c>
      <c r="U695" s="1" t="str">
        <f>IF($T695="","",$T695&amp;"|"&amp;COUNTIFS($T$7:$T695,$T695))</f>
        <v/>
      </c>
      <c r="V695" s="1">
        <f t="shared" si="33"/>
        <v>0</v>
      </c>
      <c r="W695" s="1" t="str">
        <f t="shared" si="34"/>
        <v/>
      </c>
      <c r="X695" s="1"/>
      <c r="Y695" s="1"/>
      <c r="Z695" s="1"/>
      <c r="AA695" s="1"/>
      <c r="AB695" s="1"/>
      <c r="AC695" s="1"/>
      <c r="AD695" s="1">
        <f>IF($C695="",0,SUMPRODUCT((AY_SONU!$O$7:$O$42="Evet")*(AY_SONU!$B$7:$B$42=DATE(YEAR($C695),MONTH($C695),1))))</f>
        <v>0</v>
      </c>
      <c r="AE695" s="1" t="str">
        <f>IF($E695="","",$E695&amp;"|"&amp;COUNTIFS($E$7:$E695,$E695))</f>
        <v/>
      </c>
    </row>
    <row r="696" spans="1:31" ht="18" customHeight="1" x14ac:dyDescent="0.3">
      <c r="A696" s="2"/>
      <c r="B696" s="65" t="str">
        <f>IF($C696="","","GG"&amp;TEXT(ROW()-6,"00000"))</f>
        <v/>
      </c>
      <c r="C696" s="66"/>
      <c r="D696" s="60"/>
      <c r="E696" s="61"/>
      <c r="F696" s="61"/>
      <c r="G696" s="67"/>
      <c r="H696" s="60"/>
      <c r="I696" s="60"/>
      <c r="J696" s="61"/>
      <c r="K696" s="61"/>
      <c r="L696" s="60"/>
      <c r="M696" s="74" t="str">
        <f>IF($C696="","",IF($D696="Gider",$E696,IF($L696&lt;&gt;"",$L696,$H696)))</f>
        <v/>
      </c>
      <c r="N696" s="74" t="str">
        <f>IF($C696="","",IF($D696="Gider",$H696,$E696))</f>
        <v/>
      </c>
      <c r="O696" s="73" t="str">
        <f>IF($C696="","",DATE(YEAR($C696),MONTH($C696),1))</f>
        <v/>
      </c>
      <c r="P696" s="65" t="str">
        <f ca="1">IF($C696="","",IF(AND($D696="Gelir",$L696&lt;&gt;"",$T696=""),"TANIMSIZ BORÇLU",IF($T696&lt;&gt;"",IF(OR($E696="",$G696&lt;=0),"EKSİK",IF($I696="Evet","TAHAKKUK NAKİT OLAMAZ",IF($C696&gt;TODAY(),"İLERİ TARİH","TAHAKKUK"))),IF(AND($D696&lt;&gt;"",$E696&lt;&gt;"",$G696&gt;0,$H696&lt;&gt;"",$I696&lt;&gt;""),IF($C696&gt;TODAY(),"İLERİ TARİH",IF(COUNTIF($W$7:$W$3001,$W696)&gt;1,"MÜKERRER?",IF($AD696&gt;0,"KAPALI DÖNEM",IF($I696="Hayır","ÖDENECEK","UYGUN")))),"EKSİK"))))</f>
        <v/>
      </c>
      <c r="Q696" s="2"/>
      <c r="R696" s="2"/>
      <c r="S696" s="1" t="str">
        <f t="shared" si="32"/>
        <v/>
      </c>
      <c r="T696" s="1" t="str">
        <f>IF(OR($C696="",$D696&lt;&gt;"Gelir",$L696=""),"",IFERROR(INDEX(MUSTERILER!$B$7:$B$156,MATCH($S696,MUSTERILER!$T$7:$T$156,0)),""))</f>
        <v/>
      </c>
      <c r="U696" s="1" t="str">
        <f>IF($T696="","",$T696&amp;"|"&amp;COUNTIFS($T$7:$T696,$T696))</f>
        <v/>
      </c>
      <c r="V696" s="1">
        <f t="shared" si="33"/>
        <v>0</v>
      </c>
      <c r="W696" s="1" t="str">
        <f t="shared" si="34"/>
        <v/>
      </c>
      <c r="X696" s="1"/>
      <c r="Y696" s="1"/>
      <c r="Z696" s="1"/>
      <c r="AA696" s="1"/>
      <c r="AB696" s="1"/>
      <c r="AC696" s="1"/>
      <c r="AD696" s="1">
        <f>IF($C696="",0,SUMPRODUCT((AY_SONU!$O$7:$O$42="Evet")*(AY_SONU!$B$7:$B$42=DATE(YEAR($C696),MONTH($C696),1))))</f>
        <v>0</v>
      </c>
      <c r="AE696" s="1" t="str">
        <f>IF($E696="","",$E696&amp;"|"&amp;COUNTIFS($E$7:$E696,$E696))</f>
        <v/>
      </c>
    </row>
    <row r="697" spans="1:31" ht="18" customHeight="1" x14ac:dyDescent="0.3">
      <c r="A697" s="2"/>
      <c r="B697" s="65" t="str">
        <f>IF($C697="","","GG"&amp;TEXT(ROW()-6,"00000"))</f>
        <v/>
      </c>
      <c r="C697" s="66"/>
      <c r="D697" s="60"/>
      <c r="E697" s="61"/>
      <c r="F697" s="61"/>
      <c r="G697" s="67"/>
      <c r="H697" s="60"/>
      <c r="I697" s="60"/>
      <c r="J697" s="61"/>
      <c r="K697" s="61"/>
      <c r="L697" s="60"/>
      <c r="M697" s="74" t="str">
        <f>IF($C697="","",IF($D697="Gider",$E697,IF($L697&lt;&gt;"",$L697,$H697)))</f>
        <v/>
      </c>
      <c r="N697" s="74" t="str">
        <f>IF($C697="","",IF($D697="Gider",$H697,$E697))</f>
        <v/>
      </c>
      <c r="O697" s="73" t="str">
        <f>IF($C697="","",DATE(YEAR($C697),MONTH($C697),1))</f>
        <v/>
      </c>
      <c r="P697" s="65" t="str">
        <f ca="1">IF($C697="","",IF(AND($D697="Gelir",$L697&lt;&gt;"",$T697=""),"TANIMSIZ BORÇLU",IF($T697&lt;&gt;"",IF(OR($E697="",$G697&lt;=0),"EKSİK",IF($I697="Evet","TAHAKKUK NAKİT OLAMAZ",IF($C697&gt;TODAY(),"İLERİ TARİH","TAHAKKUK"))),IF(AND($D697&lt;&gt;"",$E697&lt;&gt;"",$G697&gt;0,$H697&lt;&gt;"",$I697&lt;&gt;""),IF($C697&gt;TODAY(),"İLERİ TARİH",IF(COUNTIF($W$7:$W$3001,$W697)&gt;1,"MÜKERRER?",IF($AD697&gt;0,"KAPALI DÖNEM",IF($I697="Hayır","ÖDENECEK","UYGUN")))),"EKSİK"))))</f>
        <v/>
      </c>
      <c r="Q697" s="2"/>
      <c r="R697" s="2"/>
      <c r="S697" s="1" t="str">
        <f t="shared" si="32"/>
        <v/>
      </c>
      <c r="T697" s="1" t="str">
        <f>IF(OR($C697="",$D697&lt;&gt;"Gelir",$L697=""),"",IFERROR(INDEX(MUSTERILER!$B$7:$B$156,MATCH($S697,MUSTERILER!$T$7:$T$156,0)),""))</f>
        <v/>
      </c>
      <c r="U697" s="1" t="str">
        <f>IF($T697="","",$T697&amp;"|"&amp;COUNTIFS($T$7:$T697,$T697))</f>
        <v/>
      </c>
      <c r="V697" s="1">
        <f t="shared" si="33"/>
        <v>0</v>
      </c>
      <c r="W697" s="1" t="str">
        <f t="shared" si="34"/>
        <v/>
      </c>
      <c r="X697" s="1"/>
      <c r="Y697" s="1"/>
      <c r="Z697" s="1"/>
      <c r="AA697" s="1"/>
      <c r="AB697" s="1"/>
      <c r="AC697" s="1"/>
      <c r="AD697" s="1">
        <f>IF($C697="",0,SUMPRODUCT((AY_SONU!$O$7:$O$42="Evet")*(AY_SONU!$B$7:$B$42=DATE(YEAR($C697),MONTH($C697),1))))</f>
        <v>0</v>
      </c>
      <c r="AE697" s="1" t="str">
        <f>IF($E697="","",$E697&amp;"|"&amp;COUNTIFS($E$7:$E697,$E697))</f>
        <v/>
      </c>
    </row>
    <row r="698" spans="1:31" ht="18" customHeight="1" x14ac:dyDescent="0.3">
      <c r="A698" s="2"/>
      <c r="B698" s="65" t="str">
        <f>IF($C698="","","GG"&amp;TEXT(ROW()-6,"00000"))</f>
        <v/>
      </c>
      <c r="C698" s="66"/>
      <c r="D698" s="60"/>
      <c r="E698" s="61"/>
      <c r="F698" s="61"/>
      <c r="G698" s="67"/>
      <c r="H698" s="60"/>
      <c r="I698" s="60"/>
      <c r="J698" s="61"/>
      <c r="K698" s="61"/>
      <c r="L698" s="60"/>
      <c r="M698" s="74" t="str">
        <f>IF($C698="","",IF($D698="Gider",$E698,IF($L698&lt;&gt;"",$L698,$H698)))</f>
        <v/>
      </c>
      <c r="N698" s="74" t="str">
        <f>IF($C698="","",IF($D698="Gider",$H698,$E698))</f>
        <v/>
      </c>
      <c r="O698" s="73" t="str">
        <f>IF($C698="","",DATE(YEAR($C698),MONTH($C698),1))</f>
        <v/>
      </c>
      <c r="P698" s="65" t="str">
        <f ca="1">IF($C698="","",IF(AND($D698="Gelir",$L698&lt;&gt;"",$T698=""),"TANIMSIZ BORÇLU",IF($T698&lt;&gt;"",IF(OR($E698="",$G698&lt;=0),"EKSİK",IF($I698="Evet","TAHAKKUK NAKİT OLAMAZ",IF($C698&gt;TODAY(),"İLERİ TARİH","TAHAKKUK"))),IF(AND($D698&lt;&gt;"",$E698&lt;&gt;"",$G698&gt;0,$H698&lt;&gt;"",$I698&lt;&gt;""),IF($C698&gt;TODAY(),"İLERİ TARİH",IF(COUNTIF($W$7:$W$3001,$W698)&gt;1,"MÜKERRER?",IF($AD698&gt;0,"KAPALI DÖNEM",IF($I698="Hayır","ÖDENECEK","UYGUN")))),"EKSİK"))))</f>
        <v/>
      </c>
      <c r="Q698" s="2"/>
      <c r="R698" s="2"/>
      <c r="S698" s="1" t="str">
        <f t="shared" si="32"/>
        <v/>
      </c>
      <c r="T698" s="1" t="str">
        <f>IF(OR($C698="",$D698&lt;&gt;"Gelir",$L698=""),"",IFERROR(INDEX(MUSTERILER!$B$7:$B$156,MATCH($S698,MUSTERILER!$T$7:$T$156,0)),""))</f>
        <v/>
      </c>
      <c r="U698" s="1" t="str">
        <f>IF($T698="","",$T698&amp;"|"&amp;COUNTIFS($T$7:$T698,$T698))</f>
        <v/>
      </c>
      <c r="V698" s="1">
        <f t="shared" si="33"/>
        <v>0</v>
      </c>
      <c r="W698" s="1" t="str">
        <f t="shared" si="34"/>
        <v/>
      </c>
      <c r="X698" s="1"/>
      <c r="Y698" s="1"/>
      <c r="Z698" s="1"/>
      <c r="AA698" s="1"/>
      <c r="AB698" s="1"/>
      <c r="AC698" s="1"/>
      <c r="AD698" s="1">
        <f>IF($C698="",0,SUMPRODUCT((AY_SONU!$O$7:$O$42="Evet")*(AY_SONU!$B$7:$B$42=DATE(YEAR($C698),MONTH($C698),1))))</f>
        <v>0</v>
      </c>
      <c r="AE698" s="1" t="str">
        <f>IF($E698="","",$E698&amp;"|"&amp;COUNTIFS($E$7:$E698,$E698))</f>
        <v/>
      </c>
    </row>
    <row r="699" spans="1:31" ht="18" customHeight="1" x14ac:dyDescent="0.3">
      <c r="A699" s="2"/>
      <c r="B699" s="65" t="str">
        <f>IF($C699="","","GG"&amp;TEXT(ROW()-6,"00000"))</f>
        <v/>
      </c>
      <c r="C699" s="66"/>
      <c r="D699" s="60"/>
      <c r="E699" s="61"/>
      <c r="F699" s="61"/>
      <c r="G699" s="67"/>
      <c r="H699" s="60"/>
      <c r="I699" s="60"/>
      <c r="J699" s="61"/>
      <c r="K699" s="61"/>
      <c r="L699" s="60"/>
      <c r="M699" s="74" t="str">
        <f>IF($C699="","",IF($D699="Gider",$E699,IF($L699&lt;&gt;"",$L699,$H699)))</f>
        <v/>
      </c>
      <c r="N699" s="74" t="str">
        <f>IF($C699="","",IF($D699="Gider",$H699,$E699))</f>
        <v/>
      </c>
      <c r="O699" s="73" t="str">
        <f>IF($C699="","",DATE(YEAR($C699),MONTH($C699),1))</f>
        <v/>
      </c>
      <c r="P699" s="65" t="str">
        <f ca="1">IF($C699="","",IF(AND($D699="Gelir",$L699&lt;&gt;"",$T699=""),"TANIMSIZ BORÇLU",IF($T699&lt;&gt;"",IF(OR($E699="",$G699&lt;=0),"EKSİK",IF($I699="Evet","TAHAKKUK NAKİT OLAMAZ",IF($C699&gt;TODAY(),"İLERİ TARİH","TAHAKKUK"))),IF(AND($D699&lt;&gt;"",$E699&lt;&gt;"",$G699&gt;0,$H699&lt;&gt;"",$I699&lt;&gt;""),IF($C699&gt;TODAY(),"İLERİ TARİH",IF(COUNTIF($W$7:$W$3001,$W699)&gt;1,"MÜKERRER?",IF($AD699&gt;0,"KAPALI DÖNEM",IF($I699="Hayır","ÖDENECEK","UYGUN")))),"EKSİK"))))</f>
        <v/>
      </c>
      <c r="Q699" s="2"/>
      <c r="R699" s="2"/>
      <c r="S699" s="1" t="str">
        <f t="shared" si="32"/>
        <v/>
      </c>
      <c r="T699" s="1" t="str">
        <f>IF(OR($C699="",$D699&lt;&gt;"Gelir",$L699=""),"",IFERROR(INDEX(MUSTERILER!$B$7:$B$156,MATCH($S699,MUSTERILER!$T$7:$T$156,0)),""))</f>
        <v/>
      </c>
      <c r="U699" s="1" t="str">
        <f>IF($T699="","",$T699&amp;"|"&amp;COUNTIFS($T$7:$T699,$T699))</f>
        <v/>
      </c>
      <c r="V699" s="1">
        <f t="shared" si="33"/>
        <v>0</v>
      </c>
      <c r="W699" s="1" t="str">
        <f t="shared" si="34"/>
        <v/>
      </c>
      <c r="X699" s="1"/>
      <c r="Y699" s="1"/>
      <c r="Z699" s="1"/>
      <c r="AA699" s="1"/>
      <c r="AB699" s="1"/>
      <c r="AC699" s="1"/>
      <c r="AD699" s="1">
        <f>IF($C699="",0,SUMPRODUCT((AY_SONU!$O$7:$O$42="Evet")*(AY_SONU!$B$7:$B$42=DATE(YEAR($C699),MONTH($C699),1))))</f>
        <v>0</v>
      </c>
      <c r="AE699" s="1" t="str">
        <f>IF($E699="","",$E699&amp;"|"&amp;COUNTIFS($E$7:$E699,$E699))</f>
        <v/>
      </c>
    </row>
    <row r="700" spans="1:31" ht="18" customHeight="1" x14ac:dyDescent="0.3">
      <c r="A700" s="2"/>
      <c r="B700" s="65" t="str">
        <f>IF($C700="","","GG"&amp;TEXT(ROW()-6,"00000"))</f>
        <v/>
      </c>
      <c r="C700" s="66"/>
      <c r="D700" s="60"/>
      <c r="E700" s="61"/>
      <c r="F700" s="61"/>
      <c r="G700" s="67"/>
      <c r="H700" s="60"/>
      <c r="I700" s="60"/>
      <c r="J700" s="61"/>
      <c r="K700" s="61"/>
      <c r="L700" s="60"/>
      <c r="M700" s="74" t="str">
        <f>IF($C700="","",IF($D700="Gider",$E700,IF($L700&lt;&gt;"",$L700,$H700)))</f>
        <v/>
      </c>
      <c r="N700" s="74" t="str">
        <f>IF($C700="","",IF($D700="Gider",$H700,$E700))</f>
        <v/>
      </c>
      <c r="O700" s="73" t="str">
        <f>IF($C700="","",DATE(YEAR($C700),MONTH($C700),1))</f>
        <v/>
      </c>
      <c r="P700" s="65" t="str">
        <f ca="1">IF($C700="","",IF(AND($D700="Gelir",$L700&lt;&gt;"",$T700=""),"TANIMSIZ BORÇLU",IF($T700&lt;&gt;"",IF(OR($E700="",$G700&lt;=0),"EKSİK",IF($I700="Evet","TAHAKKUK NAKİT OLAMAZ",IF($C700&gt;TODAY(),"İLERİ TARİH","TAHAKKUK"))),IF(AND($D700&lt;&gt;"",$E700&lt;&gt;"",$G700&gt;0,$H700&lt;&gt;"",$I700&lt;&gt;""),IF($C700&gt;TODAY(),"İLERİ TARİH",IF(COUNTIF($W$7:$W$3001,$W700)&gt;1,"MÜKERRER?",IF($AD700&gt;0,"KAPALI DÖNEM",IF($I700="Hayır","ÖDENECEK","UYGUN")))),"EKSİK"))))</f>
        <v/>
      </c>
      <c r="Q700" s="2"/>
      <c r="R700" s="2"/>
      <c r="S700" s="1" t="str">
        <f t="shared" si="32"/>
        <v/>
      </c>
      <c r="T700" s="1" t="str">
        <f>IF(OR($C700="",$D700&lt;&gt;"Gelir",$L700=""),"",IFERROR(INDEX(MUSTERILER!$B$7:$B$156,MATCH($S700,MUSTERILER!$T$7:$T$156,0)),""))</f>
        <v/>
      </c>
      <c r="U700" s="1" t="str">
        <f>IF($T700="","",$T700&amp;"|"&amp;COUNTIFS($T$7:$T700,$T700))</f>
        <v/>
      </c>
      <c r="V700" s="1">
        <f t="shared" si="33"/>
        <v>0</v>
      </c>
      <c r="W700" s="1" t="str">
        <f t="shared" si="34"/>
        <v/>
      </c>
      <c r="X700" s="1"/>
      <c r="Y700" s="1"/>
      <c r="Z700" s="1"/>
      <c r="AA700" s="1"/>
      <c r="AB700" s="1"/>
      <c r="AC700" s="1"/>
      <c r="AD700" s="1">
        <f>IF($C700="",0,SUMPRODUCT((AY_SONU!$O$7:$O$42="Evet")*(AY_SONU!$B$7:$B$42=DATE(YEAR($C700),MONTH($C700),1))))</f>
        <v>0</v>
      </c>
      <c r="AE700" s="1" t="str">
        <f>IF($E700="","",$E700&amp;"|"&amp;COUNTIFS($E$7:$E700,$E700))</f>
        <v/>
      </c>
    </row>
    <row r="701" spans="1:31" ht="18" customHeight="1" x14ac:dyDescent="0.3">
      <c r="A701" s="2"/>
      <c r="B701" s="65" t="str">
        <f>IF($C701="","","GG"&amp;TEXT(ROW()-6,"00000"))</f>
        <v/>
      </c>
      <c r="C701" s="66"/>
      <c r="D701" s="60"/>
      <c r="E701" s="61"/>
      <c r="F701" s="61"/>
      <c r="G701" s="67"/>
      <c r="H701" s="60"/>
      <c r="I701" s="60"/>
      <c r="J701" s="61"/>
      <c r="K701" s="61"/>
      <c r="L701" s="60"/>
      <c r="M701" s="74" t="str">
        <f>IF($C701="","",IF($D701="Gider",$E701,IF($L701&lt;&gt;"",$L701,$H701)))</f>
        <v/>
      </c>
      <c r="N701" s="74" t="str">
        <f>IF($C701="","",IF($D701="Gider",$H701,$E701))</f>
        <v/>
      </c>
      <c r="O701" s="73" t="str">
        <f>IF($C701="","",DATE(YEAR($C701),MONTH($C701),1))</f>
        <v/>
      </c>
      <c r="P701" s="65" t="str">
        <f ca="1">IF($C701="","",IF(AND($D701="Gelir",$L701&lt;&gt;"",$T701=""),"TANIMSIZ BORÇLU",IF($T701&lt;&gt;"",IF(OR($E701="",$G701&lt;=0),"EKSİK",IF($I701="Evet","TAHAKKUK NAKİT OLAMAZ",IF($C701&gt;TODAY(),"İLERİ TARİH","TAHAKKUK"))),IF(AND($D701&lt;&gt;"",$E701&lt;&gt;"",$G701&gt;0,$H701&lt;&gt;"",$I701&lt;&gt;""),IF($C701&gt;TODAY(),"İLERİ TARİH",IF(COUNTIF($W$7:$W$3001,$W701)&gt;1,"MÜKERRER?",IF($AD701&gt;0,"KAPALI DÖNEM",IF($I701="Hayır","ÖDENECEK","UYGUN")))),"EKSİK"))))</f>
        <v/>
      </c>
      <c r="Q701" s="2"/>
      <c r="R701" s="2"/>
      <c r="S701" s="1" t="str">
        <f t="shared" si="32"/>
        <v/>
      </c>
      <c r="T701" s="1" t="str">
        <f>IF(OR($C701="",$D701&lt;&gt;"Gelir",$L701=""),"",IFERROR(INDEX(MUSTERILER!$B$7:$B$156,MATCH($S701,MUSTERILER!$T$7:$T$156,0)),""))</f>
        <v/>
      </c>
      <c r="U701" s="1" t="str">
        <f>IF($T701="","",$T701&amp;"|"&amp;COUNTIFS($T$7:$T701,$T701))</f>
        <v/>
      </c>
      <c r="V701" s="1">
        <f t="shared" si="33"/>
        <v>0</v>
      </c>
      <c r="W701" s="1" t="str">
        <f t="shared" si="34"/>
        <v/>
      </c>
      <c r="X701" s="1"/>
      <c r="Y701" s="1"/>
      <c r="Z701" s="1"/>
      <c r="AA701" s="1"/>
      <c r="AB701" s="1"/>
      <c r="AC701" s="1"/>
      <c r="AD701" s="1">
        <f>IF($C701="",0,SUMPRODUCT((AY_SONU!$O$7:$O$42="Evet")*(AY_SONU!$B$7:$B$42=DATE(YEAR($C701),MONTH($C701),1))))</f>
        <v>0</v>
      </c>
      <c r="AE701" s="1" t="str">
        <f>IF($E701="","",$E701&amp;"|"&amp;COUNTIFS($E$7:$E701,$E701))</f>
        <v/>
      </c>
    </row>
    <row r="702" spans="1:31" ht="18" customHeight="1" x14ac:dyDescent="0.3">
      <c r="A702" s="2"/>
      <c r="B702" s="65" t="str">
        <f>IF($C702="","","GG"&amp;TEXT(ROW()-6,"00000"))</f>
        <v/>
      </c>
      <c r="C702" s="66"/>
      <c r="D702" s="60"/>
      <c r="E702" s="61"/>
      <c r="F702" s="61"/>
      <c r="G702" s="67"/>
      <c r="H702" s="60"/>
      <c r="I702" s="60"/>
      <c r="J702" s="61"/>
      <c r="K702" s="61"/>
      <c r="L702" s="60"/>
      <c r="M702" s="74" t="str">
        <f>IF($C702="","",IF($D702="Gider",$E702,IF($L702&lt;&gt;"",$L702,$H702)))</f>
        <v/>
      </c>
      <c r="N702" s="74" t="str">
        <f>IF($C702="","",IF($D702="Gider",$H702,$E702))</f>
        <v/>
      </c>
      <c r="O702" s="73" t="str">
        <f>IF($C702="","",DATE(YEAR($C702),MONTH($C702),1))</f>
        <v/>
      </c>
      <c r="P702" s="65" t="str">
        <f ca="1">IF($C702="","",IF(AND($D702="Gelir",$L702&lt;&gt;"",$T702=""),"TANIMSIZ BORÇLU",IF($T702&lt;&gt;"",IF(OR($E702="",$G702&lt;=0),"EKSİK",IF($I702="Evet","TAHAKKUK NAKİT OLAMAZ",IF($C702&gt;TODAY(),"İLERİ TARİH","TAHAKKUK"))),IF(AND($D702&lt;&gt;"",$E702&lt;&gt;"",$G702&gt;0,$H702&lt;&gt;"",$I702&lt;&gt;""),IF($C702&gt;TODAY(),"İLERİ TARİH",IF(COUNTIF($W$7:$W$3001,$W702)&gt;1,"MÜKERRER?",IF($AD702&gt;0,"KAPALI DÖNEM",IF($I702="Hayır","ÖDENECEK","UYGUN")))),"EKSİK"))))</f>
        <v/>
      </c>
      <c r="Q702" s="2"/>
      <c r="R702" s="2"/>
      <c r="S702" s="1" t="str">
        <f t="shared" si="32"/>
        <v/>
      </c>
      <c r="T702" s="1" t="str">
        <f>IF(OR($C702="",$D702&lt;&gt;"Gelir",$L702=""),"",IFERROR(INDEX(MUSTERILER!$B$7:$B$156,MATCH($S702,MUSTERILER!$T$7:$T$156,0)),""))</f>
        <v/>
      </c>
      <c r="U702" s="1" t="str">
        <f>IF($T702="","",$T702&amp;"|"&amp;COUNTIFS($T$7:$T702,$T702))</f>
        <v/>
      </c>
      <c r="V702" s="1">
        <f t="shared" si="33"/>
        <v>0</v>
      </c>
      <c r="W702" s="1" t="str">
        <f t="shared" si="34"/>
        <v/>
      </c>
      <c r="X702" s="1"/>
      <c r="Y702" s="1"/>
      <c r="Z702" s="1"/>
      <c r="AA702" s="1"/>
      <c r="AB702" s="1"/>
      <c r="AC702" s="1"/>
      <c r="AD702" s="1">
        <f>IF($C702="",0,SUMPRODUCT((AY_SONU!$O$7:$O$42="Evet")*(AY_SONU!$B$7:$B$42=DATE(YEAR($C702),MONTH($C702),1))))</f>
        <v>0</v>
      </c>
      <c r="AE702" s="1" t="str">
        <f>IF($E702="","",$E702&amp;"|"&amp;COUNTIFS($E$7:$E702,$E702))</f>
        <v/>
      </c>
    </row>
    <row r="703" spans="1:31" ht="18" customHeight="1" x14ac:dyDescent="0.3">
      <c r="A703" s="2"/>
      <c r="B703" s="65" t="str">
        <f>IF($C703="","","GG"&amp;TEXT(ROW()-6,"00000"))</f>
        <v/>
      </c>
      <c r="C703" s="66"/>
      <c r="D703" s="60"/>
      <c r="E703" s="61"/>
      <c r="F703" s="61"/>
      <c r="G703" s="67"/>
      <c r="H703" s="60"/>
      <c r="I703" s="60"/>
      <c r="J703" s="61"/>
      <c r="K703" s="61"/>
      <c r="L703" s="60"/>
      <c r="M703" s="74" t="str">
        <f>IF($C703="","",IF($D703="Gider",$E703,IF($L703&lt;&gt;"",$L703,$H703)))</f>
        <v/>
      </c>
      <c r="N703" s="74" t="str">
        <f>IF($C703="","",IF($D703="Gider",$H703,$E703))</f>
        <v/>
      </c>
      <c r="O703" s="73" t="str">
        <f>IF($C703="","",DATE(YEAR($C703),MONTH($C703),1))</f>
        <v/>
      </c>
      <c r="P703" s="65" t="str">
        <f ca="1">IF($C703="","",IF(AND($D703="Gelir",$L703&lt;&gt;"",$T703=""),"TANIMSIZ BORÇLU",IF($T703&lt;&gt;"",IF(OR($E703="",$G703&lt;=0),"EKSİK",IF($I703="Evet","TAHAKKUK NAKİT OLAMAZ",IF($C703&gt;TODAY(),"İLERİ TARİH","TAHAKKUK"))),IF(AND($D703&lt;&gt;"",$E703&lt;&gt;"",$G703&gt;0,$H703&lt;&gt;"",$I703&lt;&gt;""),IF($C703&gt;TODAY(),"İLERİ TARİH",IF(COUNTIF($W$7:$W$3001,$W703)&gt;1,"MÜKERRER?",IF($AD703&gt;0,"KAPALI DÖNEM",IF($I703="Hayır","ÖDENECEK","UYGUN")))),"EKSİK"))))</f>
        <v/>
      </c>
      <c r="Q703" s="2"/>
      <c r="R703" s="2"/>
      <c r="S703" s="1" t="str">
        <f t="shared" si="32"/>
        <v/>
      </c>
      <c r="T703" s="1" t="str">
        <f>IF(OR($C703="",$D703&lt;&gt;"Gelir",$L703=""),"",IFERROR(INDEX(MUSTERILER!$B$7:$B$156,MATCH($S703,MUSTERILER!$T$7:$T$156,0)),""))</f>
        <v/>
      </c>
      <c r="U703" s="1" t="str">
        <f>IF($T703="","",$T703&amp;"|"&amp;COUNTIFS($T$7:$T703,$T703))</f>
        <v/>
      </c>
      <c r="V703" s="1">
        <f t="shared" si="33"/>
        <v>0</v>
      </c>
      <c r="W703" s="1" t="str">
        <f t="shared" si="34"/>
        <v/>
      </c>
      <c r="X703" s="1"/>
      <c r="Y703" s="1"/>
      <c r="Z703" s="1"/>
      <c r="AA703" s="1"/>
      <c r="AB703" s="1"/>
      <c r="AC703" s="1"/>
      <c r="AD703" s="1">
        <f>IF($C703="",0,SUMPRODUCT((AY_SONU!$O$7:$O$42="Evet")*(AY_SONU!$B$7:$B$42=DATE(YEAR($C703),MONTH($C703),1))))</f>
        <v>0</v>
      </c>
      <c r="AE703" s="1" t="str">
        <f>IF($E703="","",$E703&amp;"|"&amp;COUNTIFS($E$7:$E703,$E703))</f>
        <v/>
      </c>
    </row>
    <row r="704" spans="1:31" ht="18" customHeight="1" x14ac:dyDescent="0.3">
      <c r="A704" s="2"/>
      <c r="B704" s="65" t="str">
        <f>IF($C704="","","GG"&amp;TEXT(ROW()-6,"00000"))</f>
        <v/>
      </c>
      <c r="C704" s="66"/>
      <c r="D704" s="60"/>
      <c r="E704" s="61"/>
      <c r="F704" s="61"/>
      <c r="G704" s="67"/>
      <c r="H704" s="60"/>
      <c r="I704" s="60"/>
      <c r="J704" s="61"/>
      <c r="K704" s="61"/>
      <c r="L704" s="60"/>
      <c r="M704" s="74" t="str">
        <f>IF($C704="","",IF($D704="Gider",$E704,IF($L704&lt;&gt;"",$L704,$H704)))</f>
        <v/>
      </c>
      <c r="N704" s="74" t="str">
        <f>IF($C704="","",IF($D704="Gider",$H704,$E704))</f>
        <v/>
      </c>
      <c r="O704" s="73" t="str">
        <f>IF($C704="","",DATE(YEAR($C704),MONTH($C704),1))</f>
        <v/>
      </c>
      <c r="P704" s="65" t="str">
        <f ca="1">IF($C704="","",IF(AND($D704="Gelir",$L704&lt;&gt;"",$T704=""),"TANIMSIZ BORÇLU",IF($T704&lt;&gt;"",IF(OR($E704="",$G704&lt;=0),"EKSİK",IF($I704="Evet","TAHAKKUK NAKİT OLAMAZ",IF($C704&gt;TODAY(),"İLERİ TARİH","TAHAKKUK"))),IF(AND($D704&lt;&gt;"",$E704&lt;&gt;"",$G704&gt;0,$H704&lt;&gt;"",$I704&lt;&gt;""),IF($C704&gt;TODAY(),"İLERİ TARİH",IF(COUNTIF($W$7:$W$3001,$W704)&gt;1,"MÜKERRER?",IF($AD704&gt;0,"KAPALI DÖNEM",IF($I704="Hayır","ÖDENECEK","UYGUN")))),"EKSİK"))))</f>
        <v/>
      </c>
      <c r="Q704" s="2"/>
      <c r="R704" s="2"/>
      <c r="S704" s="1" t="str">
        <f t="shared" si="32"/>
        <v/>
      </c>
      <c r="T704" s="1" t="str">
        <f>IF(OR($C704="",$D704&lt;&gt;"Gelir",$L704=""),"",IFERROR(INDEX(MUSTERILER!$B$7:$B$156,MATCH($S704,MUSTERILER!$T$7:$T$156,0)),""))</f>
        <v/>
      </c>
      <c r="U704" s="1" t="str">
        <f>IF($T704="","",$T704&amp;"|"&amp;COUNTIFS($T$7:$T704,$T704))</f>
        <v/>
      </c>
      <c r="V704" s="1">
        <f t="shared" si="33"/>
        <v>0</v>
      </c>
      <c r="W704" s="1" t="str">
        <f t="shared" si="34"/>
        <v/>
      </c>
      <c r="X704" s="1"/>
      <c r="Y704" s="1"/>
      <c r="Z704" s="1"/>
      <c r="AA704" s="1"/>
      <c r="AB704" s="1"/>
      <c r="AC704" s="1"/>
      <c r="AD704" s="1">
        <f>IF($C704="",0,SUMPRODUCT((AY_SONU!$O$7:$O$42="Evet")*(AY_SONU!$B$7:$B$42=DATE(YEAR($C704),MONTH($C704),1))))</f>
        <v>0</v>
      </c>
      <c r="AE704" s="1" t="str">
        <f>IF($E704="","",$E704&amp;"|"&amp;COUNTIFS($E$7:$E704,$E704))</f>
        <v/>
      </c>
    </row>
    <row r="705" spans="1:31" ht="18" customHeight="1" x14ac:dyDescent="0.3">
      <c r="A705" s="2"/>
      <c r="B705" s="65" t="str">
        <f>IF($C705="","","GG"&amp;TEXT(ROW()-6,"00000"))</f>
        <v/>
      </c>
      <c r="C705" s="66"/>
      <c r="D705" s="60"/>
      <c r="E705" s="61"/>
      <c r="F705" s="61"/>
      <c r="G705" s="67"/>
      <c r="H705" s="60"/>
      <c r="I705" s="60"/>
      <c r="J705" s="61"/>
      <c r="K705" s="61"/>
      <c r="L705" s="60"/>
      <c r="M705" s="74" t="str">
        <f>IF($C705="","",IF($D705="Gider",$E705,IF($L705&lt;&gt;"",$L705,$H705)))</f>
        <v/>
      </c>
      <c r="N705" s="74" t="str">
        <f>IF($C705="","",IF($D705="Gider",$H705,$E705))</f>
        <v/>
      </c>
      <c r="O705" s="73" t="str">
        <f>IF($C705="","",DATE(YEAR($C705),MONTH($C705),1))</f>
        <v/>
      </c>
      <c r="P705" s="65" t="str">
        <f ca="1">IF($C705="","",IF(AND($D705="Gelir",$L705&lt;&gt;"",$T705=""),"TANIMSIZ BORÇLU",IF($T705&lt;&gt;"",IF(OR($E705="",$G705&lt;=0),"EKSİK",IF($I705="Evet","TAHAKKUK NAKİT OLAMAZ",IF($C705&gt;TODAY(),"İLERİ TARİH","TAHAKKUK"))),IF(AND($D705&lt;&gt;"",$E705&lt;&gt;"",$G705&gt;0,$H705&lt;&gt;"",$I705&lt;&gt;""),IF($C705&gt;TODAY(),"İLERİ TARİH",IF(COUNTIF($W$7:$W$3001,$W705)&gt;1,"MÜKERRER?",IF($AD705&gt;0,"KAPALI DÖNEM",IF($I705="Hayır","ÖDENECEK","UYGUN")))),"EKSİK"))))</f>
        <v/>
      </c>
      <c r="Q705" s="2"/>
      <c r="R705" s="2"/>
      <c r="S705" s="1" t="str">
        <f t="shared" si="32"/>
        <v/>
      </c>
      <c r="T705" s="1" t="str">
        <f>IF(OR($C705="",$D705&lt;&gt;"Gelir",$L705=""),"",IFERROR(INDEX(MUSTERILER!$B$7:$B$156,MATCH($S705,MUSTERILER!$T$7:$T$156,0)),""))</f>
        <v/>
      </c>
      <c r="U705" s="1" t="str">
        <f>IF($T705="","",$T705&amp;"|"&amp;COUNTIFS($T$7:$T705,$T705))</f>
        <v/>
      </c>
      <c r="V705" s="1">
        <f t="shared" si="33"/>
        <v>0</v>
      </c>
      <c r="W705" s="1" t="str">
        <f t="shared" si="34"/>
        <v/>
      </c>
      <c r="X705" s="1"/>
      <c r="Y705" s="1"/>
      <c r="Z705" s="1"/>
      <c r="AA705" s="1"/>
      <c r="AB705" s="1"/>
      <c r="AC705" s="1"/>
      <c r="AD705" s="1">
        <f>IF($C705="",0,SUMPRODUCT((AY_SONU!$O$7:$O$42="Evet")*(AY_SONU!$B$7:$B$42=DATE(YEAR($C705),MONTH($C705),1))))</f>
        <v>0</v>
      </c>
      <c r="AE705" s="1" t="str">
        <f>IF($E705="","",$E705&amp;"|"&amp;COUNTIFS($E$7:$E705,$E705))</f>
        <v/>
      </c>
    </row>
    <row r="706" spans="1:31" ht="18" customHeight="1" x14ac:dyDescent="0.3">
      <c r="A706" s="2"/>
      <c r="B706" s="65" t="str">
        <f>IF($C706="","","GG"&amp;TEXT(ROW()-6,"00000"))</f>
        <v/>
      </c>
      <c r="C706" s="66"/>
      <c r="D706" s="60"/>
      <c r="E706" s="61"/>
      <c r="F706" s="61"/>
      <c r="G706" s="67"/>
      <c r="H706" s="60"/>
      <c r="I706" s="60"/>
      <c r="J706" s="61"/>
      <c r="K706" s="61"/>
      <c r="L706" s="60"/>
      <c r="M706" s="74" t="str">
        <f>IF($C706="","",IF($D706="Gider",$E706,IF($L706&lt;&gt;"",$L706,$H706)))</f>
        <v/>
      </c>
      <c r="N706" s="74" t="str">
        <f>IF($C706="","",IF($D706="Gider",$H706,$E706))</f>
        <v/>
      </c>
      <c r="O706" s="73" t="str">
        <f>IF($C706="","",DATE(YEAR($C706),MONTH($C706),1))</f>
        <v/>
      </c>
      <c r="P706" s="65" t="str">
        <f ca="1">IF($C706="","",IF(AND($D706="Gelir",$L706&lt;&gt;"",$T706=""),"TANIMSIZ BORÇLU",IF($T706&lt;&gt;"",IF(OR($E706="",$G706&lt;=0),"EKSİK",IF($I706="Evet","TAHAKKUK NAKİT OLAMAZ",IF($C706&gt;TODAY(),"İLERİ TARİH","TAHAKKUK"))),IF(AND($D706&lt;&gt;"",$E706&lt;&gt;"",$G706&gt;0,$H706&lt;&gt;"",$I706&lt;&gt;""),IF($C706&gt;TODAY(),"İLERİ TARİH",IF(COUNTIF($W$7:$W$3001,$W706)&gt;1,"MÜKERRER?",IF($AD706&gt;0,"KAPALI DÖNEM",IF($I706="Hayır","ÖDENECEK","UYGUN")))),"EKSİK"))))</f>
        <v/>
      </c>
      <c r="Q706" s="2"/>
      <c r="R706" s="2"/>
      <c r="S706" s="1" t="str">
        <f t="shared" si="32"/>
        <v/>
      </c>
      <c r="T706" s="1" t="str">
        <f>IF(OR($C706="",$D706&lt;&gt;"Gelir",$L706=""),"",IFERROR(INDEX(MUSTERILER!$B$7:$B$156,MATCH($S706,MUSTERILER!$T$7:$T$156,0)),""))</f>
        <v/>
      </c>
      <c r="U706" s="1" t="str">
        <f>IF($T706="","",$T706&amp;"|"&amp;COUNTIFS($T$7:$T706,$T706))</f>
        <v/>
      </c>
      <c r="V706" s="1">
        <f t="shared" si="33"/>
        <v>0</v>
      </c>
      <c r="W706" s="1" t="str">
        <f t="shared" si="34"/>
        <v/>
      </c>
      <c r="X706" s="1"/>
      <c r="Y706" s="1"/>
      <c r="Z706" s="1"/>
      <c r="AA706" s="1"/>
      <c r="AB706" s="1"/>
      <c r="AC706" s="1"/>
      <c r="AD706" s="1">
        <f>IF($C706="",0,SUMPRODUCT((AY_SONU!$O$7:$O$42="Evet")*(AY_SONU!$B$7:$B$42=DATE(YEAR($C706),MONTH($C706),1))))</f>
        <v>0</v>
      </c>
      <c r="AE706" s="1" t="str">
        <f>IF($E706="","",$E706&amp;"|"&amp;COUNTIFS($E$7:$E706,$E706))</f>
        <v/>
      </c>
    </row>
    <row r="707" spans="1:31" ht="18" customHeight="1" x14ac:dyDescent="0.3">
      <c r="A707" s="2"/>
      <c r="B707" s="65" t="str">
        <f>IF($C707="","","GG"&amp;TEXT(ROW()-6,"00000"))</f>
        <v/>
      </c>
      <c r="C707" s="66"/>
      <c r="D707" s="60"/>
      <c r="E707" s="61"/>
      <c r="F707" s="61"/>
      <c r="G707" s="67"/>
      <c r="H707" s="60"/>
      <c r="I707" s="60"/>
      <c r="J707" s="61"/>
      <c r="K707" s="61"/>
      <c r="L707" s="60"/>
      <c r="M707" s="74" t="str">
        <f>IF($C707="","",IF($D707="Gider",$E707,IF($L707&lt;&gt;"",$L707,$H707)))</f>
        <v/>
      </c>
      <c r="N707" s="74" t="str">
        <f>IF($C707="","",IF($D707="Gider",$H707,$E707))</f>
        <v/>
      </c>
      <c r="O707" s="73" t="str">
        <f>IF($C707="","",DATE(YEAR($C707),MONTH($C707),1))</f>
        <v/>
      </c>
      <c r="P707" s="65" t="str">
        <f ca="1">IF($C707="","",IF(AND($D707="Gelir",$L707&lt;&gt;"",$T707=""),"TANIMSIZ BORÇLU",IF($T707&lt;&gt;"",IF(OR($E707="",$G707&lt;=0),"EKSİK",IF($I707="Evet","TAHAKKUK NAKİT OLAMAZ",IF($C707&gt;TODAY(),"İLERİ TARİH","TAHAKKUK"))),IF(AND($D707&lt;&gt;"",$E707&lt;&gt;"",$G707&gt;0,$H707&lt;&gt;"",$I707&lt;&gt;""),IF($C707&gt;TODAY(),"İLERİ TARİH",IF(COUNTIF($W$7:$W$3001,$W707)&gt;1,"MÜKERRER?",IF($AD707&gt;0,"KAPALI DÖNEM",IF($I707="Hayır","ÖDENECEK","UYGUN")))),"EKSİK"))))</f>
        <v/>
      </c>
      <c r="Q707" s="2"/>
      <c r="R707" s="2"/>
      <c r="S707" s="1" t="str">
        <f t="shared" si="32"/>
        <v/>
      </c>
      <c r="T707" s="1" t="str">
        <f>IF(OR($C707="",$D707&lt;&gt;"Gelir",$L707=""),"",IFERROR(INDEX(MUSTERILER!$B$7:$B$156,MATCH($S707,MUSTERILER!$T$7:$T$156,0)),""))</f>
        <v/>
      </c>
      <c r="U707" s="1" t="str">
        <f>IF($T707="","",$T707&amp;"|"&amp;COUNTIFS($T$7:$T707,$T707))</f>
        <v/>
      </c>
      <c r="V707" s="1">
        <f t="shared" si="33"/>
        <v>0</v>
      </c>
      <c r="W707" s="1" t="str">
        <f t="shared" si="34"/>
        <v/>
      </c>
      <c r="X707" s="1"/>
      <c r="Y707" s="1"/>
      <c r="Z707" s="1"/>
      <c r="AA707" s="1"/>
      <c r="AB707" s="1"/>
      <c r="AC707" s="1"/>
      <c r="AD707" s="1">
        <f>IF($C707="",0,SUMPRODUCT((AY_SONU!$O$7:$O$42="Evet")*(AY_SONU!$B$7:$B$42=DATE(YEAR($C707),MONTH($C707),1))))</f>
        <v>0</v>
      </c>
      <c r="AE707" s="1" t="str">
        <f>IF($E707="","",$E707&amp;"|"&amp;COUNTIFS($E$7:$E707,$E707))</f>
        <v/>
      </c>
    </row>
    <row r="708" spans="1:31" ht="18" customHeight="1" x14ac:dyDescent="0.3">
      <c r="A708" s="2"/>
      <c r="B708" s="65" t="str">
        <f>IF($C708="","","GG"&amp;TEXT(ROW()-6,"00000"))</f>
        <v/>
      </c>
      <c r="C708" s="66"/>
      <c r="D708" s="60"/>
      <c r="E708" s="61"/>
      <c r="F708" s="61"/>
      <c r="G708" s="67"/>
      <c r="H708" s="60"/>
      <c r="I708" s="60"/>
      <c r="J708" s="61"/>
      <c r="K708" s="61"/>
      <c r="L708" s="60"/>
      <c r="M708" s="74" t="str">
        <f>IF($C708="","",IF($D708="Gider",$E708,IF($L708&lt;&gt;"",$L708,$H708)))</f>
        <v/>
      </c>
      <c r="N708" s="74" t="str">
        <f>IF($C708="","",IF($D708="Gider",$H708,$E708))</f>
        <v/>
      </c>
      <c r="O708" s="73" t="str">
        <f>IF($C708="","",DATE(YEAR($C708),MONTH($C708),1))</f>
        <v/>
      </c>
      <c r="P708" s="65" t="str">
        <f ca="1">IF($C708="","",IF(AND($D708="Gelir",$L708&lt;&gt;"",$T708=""),"TANIMSIZ BORÇLU",IF($T708&lt;&gt;"",IF(OR($E708="",$G708&lt;=0),"EKSİK",IF($I708="Evet","TAHAKKUK NAKİT OLAMAZ",IF($C708&gt;TODAY(),"İLERİ TARİH","TAHAKKUK"))),IF(AND($D708&lt;&gt;"",$E708&lt;&gt;"",$G708&gt;0,$H708&lt;&gt;"",$I708&lt;&gt;""),IF($C708&gt;TODAY(),"İLERİ TARİH",IF(COUNTIF($W$7:$W$3001,$W708)&gt;1,"MÜKERRER?",IF($AD708&gt;0,"KAPALI DÖNEM",IF($I708="Hayır","ÖDENECEK","UYGUN")))),"EKSİK"))))</f>
        <v/>
      </c>
      <c r="Q708" s="2"/>
      <c r="R708" s="2"/>
      <c r="S708" s="1" t="str">
        <f t="shared" si="32"/>
        <v/>
      </c>
      <c r="T708" s="1" t="str">
        <f>IF(OR($C708="",$D708&lt;&gt;"Gelir",$L708=""),"",IFERROR(INDEX(MUSTERILER!$B$7:$B$156,MATCH($S708,MUSTERILER!$T$7:$T$156,0)),""))</f>
        <v/>
      </c>
      <c r="U708" s="1" t="str">
        <f>IF($T708="","",$T708&amp;"|"&amp;COUNTIFS($T$7:$T708,$T708))</f>
        <v/>
      </c>
      <c r="V708" s="1">
        <f t="shared" si="33"/>
        <v>0</v>
      </c>
      <c r="W708" s="1" t="str">
        <f t="shared" si="34"/>
        <v/>
      </c>
      <c r="X708" s="1"/>
      <c r="Y708" s="1"/>
      <c r="Z708" s="1"/>
      <c r="AA708" s="1"/>
      <c r="AB708" s="1"/>
      <c r="AC708" s="1"/>
      <c r="AD708" s="1">
        <f>IF($C708="",0,SUMPRODUCT((AY_SONU!$O$7:$O$42="Evet")*(AY_SONU!$B$7:$B$42=DATE(YEAR($C708),MONTH($C708),1))))</f>
        <v>0</v>
      </c>
      <c r="AE708" s="1" t="str">
        <f>IF($E708="","",$E708&amp;"|"&amp;COUNTIFS($E$7:$E708,$E708))</f>
        <v/>
      </c>
    </row>
    <row r="709" spans="1:31" ht="18" customHeight="1" x14ac:dyDescent="0.3">
      <c r="A709" s="2"/>
      <c r="B709" s="65" t="str">
        <f>IF($C709="","","GG"&amp;TEXT(ROW()-6,"00000"))</f>
        <v/>
      </c>
      <c r="C709" s="66"/>
      <c r="D709" s="60"/>
      <c r="E709" s="61"/>
      <c r="F709" s="61"/>
      <c r="G709" s="67"/>
      <c r="H709" s="60"/>
      <c r="I709" s="60"/>
      <c r="J709" s="61"/>
      <c r="K709" s="61"/>
      <c r="L709" s="60"/>
      <c r="M709" s="74" t="str">
        <f>IF($C709="","",IF($D709="Gider",$E709,IF($L709&lt;&gt;"",$L709,$H709)))</f>
        <v/>
      </c>
      <c r="N709" s="74" t="str">
        <f>IF($C709="","",IF($D709="Gider",$H709,$E709))</f>
        <v/>
      </c>
      <c r="O709" s="73" t="str">
        <f>IF($C709="","",DATE(YEAR($C709),MONTH($C709),1))</f>
        <v/>
      </c>
      <c r="P709" s="65" t="str">
        <f ca="1">IF($C709="","",IF(AND($D709="Gelir",$L709&lt;&gt;"",$T709=""),"TANIMSIZ BORÇLU",IF($T709&lt;&gt;"",IF(OR($E709="",$G709&lt;=0),"EKSİK",IF($I709="Evet","TAHAKKUK NAKİT OLAMAZ",IF($C709&gt;TODAY(),"İLERİ TARİH","TAHAKKUK"))),IF(AND($D709&lt;&gt;"",$E709&lt;&gt;"",$G709&gt;0,$H709&lt;&gt;"",$I709&lt;&gt;""),IF($C709&gt;TODAY(),"İLERİ TARİH",IF(COUNTIF($W$7:$W$3001,$W709)&gt;1,"MÜKERRER?",IF($AD709&gt;0,"KAPALI DÖNEM",IF($I709="Hayır","ÖDENECEK","UYGUN")))),"EKSİK"))))</f>
        <v/>
      </c>
      <c r="Q709" s="2"/>
      <c r="R709" s="2"/>
      <c r="S709" s="1" t="str">
        <f t="shared" ref="S709:S772" si="35"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1" t="str">
        <f>IF(OR($C709="",$D709&lt;&gt;"Gelir",$L709=""),"",IFERROR(INDEX(MUSTERILER!$B$7:$B$156,MATCH($S709,MUSTERILER!$T$7:$T$156,0)),""))</f>
        <v/>
      </c>
      <c r="U709" s="1" t="str">
        <f>IF($T709="","",$T709&amp;"|"&amp;COUNTIFS($T$7:$T709,$T709))</f>
        <v/>
      </c>
      <c r="V709" s="1">
        <f t="shared" ref="V709:V772" si="36">IF($T709="",0,1)</f>
        <v>0</v>
      </c>
      <c r="W709" s="1" t="str">
        <f t="shared" ref="W709:W772" si="37">IF($C709="","",$D709&amp;"|"&amp;$E709&amp;"|"&amp;TEXT($C709,"0")&amp;"|"&amp;TEXT($G709,"0")&amp;"|"&amp;$F709&amp;"|"&amp;$J709)</f>
        <v/>
      </c>
      <c r="X709" s="1"/>
      <c r="Y709" s="1"/>
      <c r="Z709" s="1"/>
      <c r="AA709" s="1"/>
      <c r="AB709" s="1"/>
      <c r="AC709" s="1"/>
      <c r="AD709" s="1">
        <f>IF($C709="",0,SUMPRODUCT((AY_SONU!$O$7:$O$42="Evet")*(AY_SONU!$B$7:$B$42=DATE(YEAR($C709),MONTH($C709),1))))</f>
        <v>0</v>
      </c>
      <c r="AE709" s="1" t="str">
        <f>IF($E709="","",$E709&amp;"|"&amp;COUNTIFS($E$7:$E709,$E709))</f>
        <v/>
      </c>
    </row>
    <row r="710" spans="1:31" ht="18" customHeight="1" x14ac:dyDescent="0.3">
      <c r="A710" s="2"/>
      <c r="B710" s="65" t="str">
        <f>IF($C710="","","GG"&amp;TEXT(ROW()-6,"00000"))</f>
        <v/>
      </c>
      <c r="C710" s="66"/>
      <c r="D710" s="60"/>
      <c r="E710" s="61"/>
      <c r="F710" s="61"/>
      <c r="G710" s="67"/>
      <c r="H710" s="60"/>
      <c r="I710" s="60"/>
      <c r="J710" s="61"/>
      <c r="K710" s="61"/>
      <c r="L710" s="60"/>
      <c r="M710" s="74" t="str">
        <f>IF($C710="","",IF($D710="Gider",$E710,IF($L710&lt;&gt;"",$L710,$H710)))</f>
        <v/>
      </c>
      <c r="N710" s="74" t="str">
        <f>IF($C710="","",IF($D710="Gider",$H710,$E710))</f>
        <v/>
      </c>
      <c r="O710" s="73" t="str">
        <f>IF($C710="","",DATE(YEAR($C710),MONTH($C710),1))</f>
        <v/>
      </c>
      <c r="P710" s="65" t="str">
        <f ca="1">IF($C710="","",IF(AND($D710="Gelir",$L710&lt;&gt;"",$T710=""),"TANIMSIZ BORÇLU",IF($T710&lt;&gt;"",IF(OR($E710="",$G710&lt;=0),"EKSİK",IF($I710="Evet","TAHAKKUK NAKİT OLAMAZ",IF($C710&gt;TODAY(),"İLERİ TARİH","TAHAKKUK"))),IF(AND($D710&lt;&gt;"",$E710&lt;&gt;"",$G710&gt;0,$H710&lt;&gt;"",$I710&lt;&gt;""),IF($C710&gt;TODAY(),"İLERİ TARİH",IF(COUNTIF($W$7:$W$3001,$W710)&gt;1,"MÜKERRER?",IF($AD710&gt;0,"KAPALI DÖNEM",IF($I710="Hayır","ÖDENECEK","UYGUN")))),"EKSİK"))))</f>
        <v/>
      </c>
      <c r="Q710" s="2"/>
      <c r="R710" s="2"/>
      <c r="S710" s="1" t="str">
        <f t="shared" si="35"/>
        <v/>
      </c>
      <c r="T710" s="1" t="str">
        <f>IF(OR($C710="",$D710&lt;&gt;"Gelir",$L710=""),"",IFERROR(INDEX(MUSTERILER!$B$7:$B$156,MATCH($S710,MUSTERILER!$T$7:$T$156,0)),""))</f>
        <v/>
      </c>
      <c r="U710" s="1" t="str">
        <f>IF($T710="","",$T710&amp;"|"&amp;COUNTIFS($T$7:$T710,$T710))</f>
        <v/>
      </c>
      <c r="V710" s="1">
        <f t="shared" si="36"/>
        <v>0</v>
      </c>
      <c r="W710" s="1" t="str">
        <f t="shared" si="37"/>
        <v/>
      </c>
      <c r="X710" s="1"/>
      <c r="Y710" s="1"/>
      <c r="Z710" s="1"/>
      <c r="AA710" s="1"/>
      <c r="AB710" s="1"/>
      <c r="AC710" s="1"/>
      <c r="AD710" s="1">
        <f>IF($C710="",0,SUMPRODUCT((AY_SONU!$O$7:$O$42="Evet")*(AY_SONU!$B$7:$B$42=DATE(YEAR($C710),MONTH($C710),1))))</f>
        <v>0</v>
      </c>
      <c r="AE710" s="1" t="str">
        <f>IF($E710="","",$E710&amp;"|"&amp;COUNTIFS($E$7:$E710,$E710))</f>
        <v/>
      </c>
    </row>
    <row r="711" spans="1:31" ht="18" customHeight="1" x14ac:dyDescent="0.3">
      <c r="A711" s="2"/>
      <c r="B711" s="65" t="str">
        <f>IF($C711="","","GG"&amp;TEXT(ROW()-6,"00000"))</f>
        <v/>
      </c>
      <c r="C711" s="66"/>
      <c r="D711" s="60"/>
      <c r="E711" s="61"/>
      <c r="F711" s="61"/>
      <c r="G711" s="67"/>
      <c r="H711" s="60"/>
      <c r="I711" s="60"/>
      <c r="J711" s="61"/>
      <c r="K711" s="61"/>
      <c r="L711" s="60"/>
      <c r="M711" s="74" t="str">
        <f>IF($C711="","",IF($D711="Gider",$E711,IF($L711&lt;&gt;"",$L711,$H711)))</f>
        <v/>
      </c>
      <c r="N711" s="74" t="str">
        <f>IF($C711="","",IF($D711="Gider",$H711,$E711))</f>
        <v/>
      </c>
      <c r="O711" s="73" t="str">
        <f>IF($C711="","",DATE(YEAR($C711),MONTH($C711),1))</f>
        <v/>
      </c>
      <c r="P711" s="65" t="str">
        <f ca="1"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TARİH",IF(COUNTIF($W$7:$W$3001,$W711)&gt;1,"MÜKERRER?",IF($AD711&gt;0,"KAPALI DÖNEM",IF($I711="Hayır","ÖDENECEK","UYGUN")))),"EKSİK"))))</f>
        <v/>
      </c>
      <c r="Q711" s="2"/>
      <c r="R711" s="2"/>
      <c r="S711" s="1" t="str">
        <f t="shared" si="35"/>
        <v/>
      </c>
      <c r="T711" s="1" t="str">
        <f>IF(OR($C711="",$D711&lt;&gt;"Gelir",$L711=""),"",IFERROR(INDEX(MUSTERILER!$B$7:$B$156,MATCH($S711,MUSTERILER!$T$7:$T$156,0)),""))</f>
        <v/>
      </c>
      <c r="U711" s="1" t="str">
        <f>IF($T711="","",$T711&amp;"|"&amp;COUNTIFS($T$7:$T711,$T711))</f>
        <v/>
      </c>
      <c r="V711" s="1">
        <f t="shared" si="36"/>
        <v>0</v>
      </c>
      <c r="W711" s="1" t="str">
        <f t="shared" si="37"/>
        <v/>
      </c>
      <c r="X711" s="1"/>
      <c r="Y711" s="1"/>
      <c r="Z711" s="1"/>
      <c r="AA711" s="1"/>
      <c r="AB711" s="1"/>
      <c r="AC711" s="1"/>
      <c r="AD711" s="1">
        <f>IF($C711="",0,SUMPRODUCT((AY_SONU!$O$7:$O$42="Evet")*(AY_SONU!$B$7:$B$42=DATE(YEAR($C711),MONTH($C711),1))))</f>
        <v>0</v>
      </c>
      <c r="AE711" s="1" t="str">
        <f>IF($E711="","",$E711&amp;"|"&amp;COUNTIFS($E$7:$E711,$E711))</f>
        <v/>
      </c>
    </row>
    <row r="712" spans="1:31" ht="18" customHeight="1" x14ac:dyDescent="0.3">
      <c r="A712" s="2"/>
      <c r="B712" s="65" t="str">
        <f>IF($C712="","","GG"&amp;TEXT(ROW()-6,"00000"))</f>
        <v/>
      </c>
      <c r="C712" s="66"/>
      <c r="D712" s="60"/>
      <c r="E712" s="61"/>
      <c r="F712" s="61"/>
      <c r="G712" s="67"/>
      <c r="H712" s="60"/>
      <c r="I712" s="60"/>
      <c r="J712" s="61"/>
      <c r="K712" s="61"/>
      <c r="L712" s="60"/>
      <c r="M712" s="74" t="str">
        <f>IF($C712="","",IF($D712="Gider",$E712,IF($L712&lt;&gt;"",$L712,$H712)))</f>
        <v/>
      </c>
      <c r="N712" s="74" t="str">
        <f>IF($C712="","",IF($D712="Gider",$H712,$E712))</f>
        <v/>
      </c>
      <c r="O712" s="73" t="str">
        <f>IF($C712="","",DATE(YEAR($C712),MONTH($C712),1))</f>
        <v/>
      </c>
      <c r="P712" s="65" t="str">
        <f ca="1">IF($C712="","",IF(AND($D712="Gelir",$L712&lt;&gt;"",$T712=""),"TANIMSIZ BORÇLU",IF($T712&lt;&gt;"",IF(OR($E712="",$G712&lt;=0),"EKSİK",IF($I712="Evet","TAHAKKUK NAKİT OLAMAZ",IF($C712&gt;TODAY(),"İLERİ TARİH","TAHAKKUK"))),IF(AND($D712&lt;&gt;"",$E712&lt;&gt;"",$G712&gt;0,$H712&lt;&gt;"",$I712&lt;&gt;""),IF($C712&gt;TODAY(),"İLERİ TARİH",IF(COUNTIF($W$7:$W$3001,$W712)&gt;1,"MÜKERRER?",IF($AD712&gt;0,"KAPALI DÖNEM",IF($I712="Hayır","ÖDENECEK","UYGUN")))),"EKSİK"))))</f>
        <v/>
      </c>
      <c r="Q712" s="2"/>
      <c r="R712" s="2"/>
      <c r="S712" s="1" t="str">
        <f t="shared" si="35"/>
        <v/>
      </c>
      <c r="T712" s="1" t="str">
        <f>IF(OR($C712="",$D712&lt;&gt;"Gelir",$L712=""),"",IFERROR(INDEX(MUSTERILER!$B$7:$B$156,MATCH($S712,MUSTERILER!$T$7:$T$156,0)),""))</f>
        <v/>
      </c>
      <c r="U712" s="1" t="str">
        <f>IF($T712="","",$T712&amp;"|"&amp;COUNTIFS($T$7:$T712,$T712))</f>
        <v/>
      </c>
      <c r="V712" s="1">
        <f t="shared" si="36"/>
        <v>0</v>
      </c>
      <c r="W712" s="1" t="str">
        <f t="shared" si="37"/>
        <v/>
      </c>
      <c r="X712" s="1"/>
      <c r="Y712" s="1"/>
      <c r="Z712" s="1"/>
      <c r="AA712" s="1"/>
      <c r="AB712" s="1"/>
      <c r="AC712" s="1"/>
      <c r="AD712" s="1">
        <f>IF($C712="",0,SUMPRODUCT((AY_SONU!$O$7:$O$42="Evet")*(AY_SONU!$B$7:$B$42=DATE(YEAR($C712),MONTH($C712),1))))</f>
        <v>0</v>
      </c>
      <c r="AE712" s="1" t="str">
        <f>IF($E712="","",$E712&amp;"|"&amp;COUNTIFS($E$7:$E712,$E712))</f>
        <v/>
      </c>
    </row>
    <row r="713" spans="1:31" ht="18" customHeight="1" x14ac:dyDescent="0.3">
      <c r="A713" s="2"/>
      <c r="B713" s="65" t="str">
        <f>IF($C713="","","GG"&amp;TEXT(ROW()-6,"00000"))</f>
        <v/>
      </c>
      <c r="C713" s="66"/>
      <c r="D713" s="60"/>
      <c r="E713" s="61"/>
      <c r="F713" s="61"/>
      <c r="G713" s="67"/>
      <c r="H713" s="60"/>
      <c r="I713" s="60"/>
      <c r="J713" s="61"/>
      <c r="K713" s="61"/>
      <c r="L713" s="60"/>
      <c r="M713" s="74" t="str">
        <f>IF($C713="","",IF($D713="Gider",$E713,IF($L713&lt;&gt;"",$L713,$H713)))</f>
        <v/>
      </c>
      <c r="N713" s="74" t="str">
        <f>IF($C713="","",IF($D713="Gider",$H713,$E713))</f>
        <v/>
      </c>
      <c r="O713" s="73" t="str">
        <f>IF($C713="","",DATE(YEAR($C713),MONTH($C713),1))</f>
        <v/>
      </c>
      <c r="P713" s="65" t="str">
        <f ca="1">IF($C713="","",IF(AND($D713="Gelir",$L713&lt;&gt;"",$T713=""),"TANIMSIZ BORÇLU",IF($T713&lt;&gt;"",IF(OR($E713="",$G713&lt;=0),"EKSİK",IF($I713="Evet","TAHAKKUK NAKİT OLAMAZ",IF($C713&gt;TODAY(),"İLERİ TARİH","TAHAKKUK"))),IF(AND($D713&lt;&gt;"",$E713&lt;&gt;"",$G713&gt;0,$H713&lt;&gt;"",$I713&lt;&gt;""),IF($C713&gt;TODAY(),"İLERİ TARİH",IF(COUNTIF($W$7:$W$3001,$W713)&gt;1,"MÜKERRER?",IF($AD713&gt;0,"KAPALI DÖNEM",IF($I713="Hayır","ÖDENECEK","UYGUN")))),"EKSİK"))))</f>
        <v/>
      </c>
      <c r="Q713" s="2"/>
      <c r="R713" s="2"/>
      <c r="S713" s="1" t="str">
        <f t="shared" si="35"/>
        <v/>
      </c>
      <c r="T713" s="1" t="str">
        <f>IF(OR($C713="",$D713&lt;&gt;"Gelir",$L713=""),"",IFERROR(INDEX(MUSTERILER!$B$7:$B$156,MATCH($S713,MUSTERILER!$T$7:$T$156,0)),""))</f>
        <v/>
      </c>
      <c r="U713" s="1" t="str">
        <f>IF($T713="","",$T713&amp;"|"&amp;COUNTIFS($T$7:$T713,$T713))</f>
        <v/>
      </c>
      <c r="V713" s="1">
        <f t="shared" si="36"/>
        <v>0</v>
      </c>
      <c r="W713" s="1" t="str">
        <f t="shared" si="37"/>
        <v/>
      </c>
      <c r="X713" s="1"/>
      <c r="Y713" s="1"/>
      <c r="Z713" s="1"/>
      <c r="AA713" s="1"/>
      <c r="AB713" s="1"/>
      <c r="AC713" s="1"/>
      <c r="AD713" s="1">
        <f>IF($C713="",0,SUMPRODUCT((AY_SONU!$O$7:$O$42="Evet")*(AY_SONU!$B$7:$B$42=DATE(YEAR($C713),MONTH($C713),1))))</f>
        <v>0</v>
      </c>
      <c r="AE713" s="1" t="str">
        <f>IF($E713="","",$E713&amp;"|"&amp;COUNTIFS($E$7:$E713,$E713))</f>
        <v/>
      </c>
    </row>
    <row r="714" spans="1:31" ht="18" customHeight="1" x14ac:dyDescent="0.3">
      <c r="A714" s="2"/>
      <c r="B714" s="65" t="str">
        <f>IF($C714="","","GG"&amp;TEXT(ROW()-6,"00000"))</f>
        <v/>
      </c>
      <c r="C714" s="66"/>
      <c r="D714" s="60"/>
      <c r="E714" s="61"/>
      <c r="F714" s="61"/>
      <c r="G714" s="67"/>
      <c r="H714" s="60"/>
      <c r="I714" s="60"/>
      <c r="J714" s="61"/>
      <c r="K714" s="61"/>
      <c r="L714" s="60"/>
      <c r="M714" s="74" t="str">
        <f>IF($C714="","",IF($D714="Gider",$E714,IF($L714&lt;&gt;"",$L714,$H714)))</f>
        <v/>
      </c>
      <c r="N714" s="74" t="str">
        <f>IF($C714="","",IF($D714="Gider",$H714,$E714))</f>
        <v/>
      </c>
      <c r="O714" s="73" t="str">
        <f>IF($C714="","",DATE(YEAR($C714),MONTH($C714),1))</f>
        <v/>
      </c>
      <c r="P714" s="65" t="str">
        <f ca="1">IF($C714="","",IF(AND($D714="Gelir",$L714&lt;&gt;"",$T714=""),"TANIMSIZ BORÇLU",IF($T714&lt;&gt;"",IF(OR($E714="",$G714&lt;=0),"EKSİK",IF($I714="Evet","TAHAKKUK NAKİT OLAMAZ",IF($C714&gt;TODAY(),"İLERİ TARİH","TAHAKKUK"))),IF(AND($D714&lt;&gt;"",$E714&lt;&gt;"",$G714&gt;0,$H714&lt;&gt;"",$I714&lt;&gt;""),IF($C714&gt;TODAY(),"İLERİ TARİH",IF(COUNTIF($W$7:$W$3001,$W714)&gt;1,"MÜKERRER?",IF($AD714&gt;0,"KAPALI DÖNEM",IF($I714="Hayır","ÖDENECEK","UYGUN")))),"EKSİK"))))</f>
        <v/>
      </c>
      <c r="Q714" s="2"/>
      <c r="R714" s="2"/>
      <c r="S714" s="1" t="str">
        <f t="shared" si="35"/>
        <v/>
      </c>
      <c r="T714" s="1" t="str">
        <f>IF(OR($C714="",$D714&lt;&gt;"Gelir",$L714=""),"",IFERROR(INDEX(MUSTERILER!$B$7:$B$156,MATCH($S714,MUSTERILER!$T$7:$T$156,0)),""))</f>
        <v/>
      </c>
      <c r="U714" s="1" t="str">
        <f>IF($T714="","",$T714&amp;"|"&amp;COUNTIFS($T$7:$T714,$T714))</f>
        <v/>
      </c>
      <c r="V714" s="1">
        <f t="shared" si="36"/>
        <v>0</v>
      </c>
      <c r="W714" s="1" t="str">
        <f t="shared" si="37"/>
        <v/>
      </c>
      <c r="X714" s="1"/>
      <c r="Y714" s="1"/>
      <c r="Z714" s="1"/>
      <c r="AA714" s="1"/>
      <c r="AB714" s="1"/>
      <c r="AC714" s="1"/>
      <c r="AD714" s="1">
        <f>IF($C714="",0,SUMPRODUCT((AY_SONU!$O$7:$O$42="Evet")*(AY_SONU!$B$7:$B$42=DATE(YEAR($C714),MONTH($C714),1))))</f>
        <v>0</v>
      </c>
      <c r="AE714" s="1" t="str">
        <f>IF($E714="","",$E714&amp;"|"&amp;COUNTIFS($E$7:$E714,$E714))</f>
        <v/>
      </c>
    </row>
    <row r="715" spans="1:31" ht="18" customHeight="1" x14ac:dyDescent="0.3">
      <c r="A715" s="2"/>
      <c r="B715" s="65" t="str">
        <f>IF($C715="","","GG"&amp;TEXT(ROW()-6,"00000"))</f>
        <v/>
      </c>
      <c r="C715" s="66"/>
      <c r="D715" s="60"/>
      <c r="E715" s="61"/>
      <c r="F715" s="61"/>
      <c r="G715" s="67"/>
      <c r="H715" s="60"/>
      <c r="I715" s="60"/>
      <c r="J715" s="61"/>
      <c r="K715" s="61"/>
      <c r="L715" s="60"/>
      <c r="M715" s="74" t="str">
        <f>IF($C715="","",IF($D715="Gider",$E715,IF($L715&lt;&gt;"",$L715,$H715)))</f>
        <v/>
      </c>
      <c r="N715" s="74" t="str">
        <f>IF($C715="","",IF($D715="Gider",$H715,$E715))</f>
        <v/>
      </c>
      <c r="O715" s="73" t="str">
        <f>IF($C715="","",DATE(YEAR($C715),MONTH($C715),1))</f>
        <v/>
      </c>
      <c r="P715" s="65" t="str">
        <f ca="1">IF($C715="","",IF(AND($D715="Gelir",$L715&lt;&gt;"",$T715=""),"TANIMSIZ BORÇLU",IF($T715&lt;&gt;"",IF(OR($E715="",$G715&lt;=0),"EKSİK",IF($I715="Evet","TAHAKKUK NAKİT OLAMAZ",IF($C715&gt;TODAY(),"İLERİ TARİH","TAHAKKUK"))),IF(AND($D715&lt;&gt;"",$E715&lt;&gt;"",$G715&gt;0,$H715&lt;&gt;"",$I715&lt;&gt;""),IF($C715&gt;TODAY(),"İLERİ TARİH",IF(COUNTIF($W$7:$W$3001,$W715)&gt;1,"MÜKERRER?",IF($AD715&gt;0,"KAPALI DÖNEM",IF($I715="Hayır","ÖDENECEK","UYGUN")))),"EKSİK"))))</f>
        <v/>
      </c>
      <c r="Q715" s="2"/>
      <c r="R715" s="2"/>
      <c r="S715" s="1" t="str">
        <f t="shared" si="35"/>
        <v/>
      </c>
      <c r="T715" s="1" t="str">
        <f>IF(OR($C715="",$D715&lt;&gt;"Gelir",$L715=""),"",IFERROR(INDEX(MUSTERILER!$B$7:$B$156,MATCH($S715,MUSTERILER!$T$7:$T$156,0)),""))</f>
        <v/>
      </c>
      <c r="U715" s="1" t="str">
        <f>IF($T715="","",$T715&amp;"|"&amp;COUNTIFS($T$7:$T715,$T715))</f>
        <v/>
      </c>
      <c r="V715" s="1">
        <f t="shared" si="36"/>
        <v>0</v>
      </c>
      <c r="W715" s="1" t="str">
        <f t="shared" si="37"/>
        <v/>
      </c>
      <c r="X715" s="1"/>
      <c r="Y715" s="1"/>
      <c r="Z715" s="1"/>
      <c r="AA715" s="1"/>
      <c r="AB715" s="1"/>
      <c r="AC715" s="1"/>
      <c r="AD715" s="1">
        <f>IF($C715="",0,SUMPRODUCT((AY_SONU!$O$7:$O$42="Evet")*(AY_SONU!$B$7:$B$42=DATE(YEAR($C715),MONTH($C715),1))))</f>
        <v>0</v>
      </c>
      <c r="AE715" s="1" t="str">
        <f>IF($E715="","",$E715&amp;"|"&amp;COUNTIFS($E$7:$E715,$E715))</f>
        <v/>
      </c>
    </row>
    <row r="716" spans="1:31" ht="18" customHeight="1" x14ac:dyDescent="0.3">
      <c r="A716" s="2"/>
      <c r="B716" s="65" t="str">
        <f>IF($C716="","","GG"&amp;TEXT(ROW()-6,"00000"))</f>
        <v/>
      </c>
      <c r="C716" s="66"/>
      <c r="D716" s="60"/>
      <c r="E716" s="61"/>
      <c r="F716" s="61"/>
      <c r="G716" s="67"/>
      <c r="H716" s="60"/>
      <c r="I716" s="60"/>
      <c r="J716" s="61"/>
      <c r="K716" s="61"/>
      <c r="L716" s="60"/>
      <c r="M716" s="74" t="str">
        <f>IF($C716="","",IF($D716="Gider",$E716,IF($L716&lt;&gt;"",$L716,$H716)))</f>
        <v/>
      </c>
      <c r="N716" s="74" t="str">
        <f>IF($C716="","",IF($D716="Gider",$H716,$E716))</f>
        <v/>
      </c>
      <c r="O716" s="73" t="str">
        <f>IF($C716="","",DATE(YEAR($C716),MONTH($C716),1))</f>
        <v/>
      </c>
      <c r="P716" s="65" t="str">
        <f ca="1">IF($C716="","",IF(AND($D716="Gelir",$L716&lt;&gt;"",$T716=""),"TANIMSIZ BORÇLU",IF($T716&lt;&gt;"",IF(OR($E716="",$G716&lt;=0),"EKSİK",IF($I716="Evet","TAHAKKUK NAKİT OLAMAZ",IF($C716&gt;TODAY(),"İLERİ TARİH","TAHAKKUK"))),IF(AND($D716&lt;&gt;"",$E716&lt;&gt;"",$G716&gt;0,$H716&lt;&gt;"",$I716&lt;&gt;""),IF($C716&gt;TODAY(),"İLERİ TARİH",IF(COUNTIF($W$7:$W$3001,$W716)&gt;1,"MÜKERRER?",IF($AD716&gt;0,"KAPALI DÖNEM",IF($I716="Hayır","ÖDENECEK","UYGUN")))),"EKSİK"))))</f>
        <v/>
      </c>
      <c r="Q716" s="2"/>
      <c r="R716" s="2"/>
      <c r="S716" s="1" t="str">
        <f t="shared" si="35"/>
        <v/>
      </c>
      <c r="T716" s="1" t="str">
        <f>IF(OR($C716="",$D716&lt;&gt;"Gelir",$L716=""),"",IFERROR(INDEX(MUSTERILER!$B$7:$B$156,MATCH($S716,MUSTERILER!$T$7:$T$156,0)),""))</f>
        <v/>
      </c>
      <c r="U716" s="1" t="str">
        <f>IF($T716="","",$T716&amp;"|"&amp;COUNTIFS($T$7:$T716,$T716))</f>
        <v/>
      </c>
      <c r="V716" s="1">
        <f t="shared" si="36"/>
        <v>0</v>
      </c>
      <c r="W716" s="1" t="str">
        <f t="shared" si="37"/>
        <v/>
      </c>
      <c r="X716" s="1"/>
      <c r="Y716" s="1"/>
      <c r="Z716" s="1"/>
      <c r="AA716" s="1"/>
      <c r="AB716" s="1"/>
      <c r="AC716" s="1"/>
      <c r="AD716" s="1">
        <f>IF($C716="",0,SUMPRODUCT((AY_SONU!$O$7:$O$42="Evet")*(AY_SONU!$B$7:$B$42=DATE(YEAR($C716),MONTH($C716),1))))</f>
        <v>0</v>
      </c>
      <c r="AE716" s="1" t="str">
        <f>IF($E716="","",$E716&amp;"|"&amp;COUNTIFS($E$7:$E716,$E716))</f>
        <v/>
      </c>
    </row>
    <row r="717" spans="1:31" ht="18" customHeight="1" x14ac:dyDescent="0.3">
      <c r="A717" s="2"/>
      <c r="B717" s="65" t="str">
        <f>IF($C717="","","GG"&amp;TEXT(ROW()-6,"00000"))</f>
        <v/>
      </c>
      <c r="C717" s="66"/>
      <c r="D717" s="60"/>
      <c r="E717" s="61"/>
      <c r="F717" s="61"/>
      <c r="G717" s="67"/>
      <c r="H717" s="60"/>
      <c r="I717" s="60"/>
      <c r="J717" s="61"/>
      <c r="K717" s="61"/>
      <c r="L717" s="60"/>
      <c r="M717" s="74" t="str">
        <f>IF($C717="","",IF($D717="Gider",$E717,IF($L717&lt;&gt;"",$L717,$H717)))</f>
        <v/>
      </c>
      <c r="N717" s="74" t="str">
        <f>IF($C717="","",IF($D717="Gider",$H717,$E717))</f>
        <v/>
      </c>
      <c r="O717" s="73" t="str">
        <f>IF($C717="","",DATE(YEAR($C717),MONTH($C717),1))</f>
        <v/>
      </c>
      <c r="P717" s="65" t="str">
        <f ca="1">IF($C717="","",IF(AND($D717="Gelir",$L717&lt;&gt;"",$T717=""),"TANIMSIZ BORÇLU",IF($T717&lt;&gt;"",IF(OR($E717="",$G717&lt;=0),"EKSİK",IF($I717="Evet","TAHAKKUK NAKİT OLAMAZ",IF($C717&gt;TODAY(),"İLERİ TARİH","TAHAKKUK"))),IF(AND($D717&lt;&gt;"",$E717&lt;&gt;"",$G717&gt;0,$H717&lt;&gt;"",$I717&lt;&gt;""),IF($C717&gt;TODAY(),"İLERİ TARİH",IF(COUNTIF($W$7:$W$3001,$W717)&gt;1,"MÜKERRER?",IF($AD717&gt;0,"KAPALI DÖNEM",IF($I717="Hayır","ÖDENECEK","UYGUN")))),"EKSİK"))))</f>
        <v/>
      </c>
      <c r="Q717" s="2"/>
      <c r="R717" s="2"/>
      <c r="S717" s="1" t="str">
        <f t="shared" si="35"/>
        <v/>
      </c>
      <c r="T717" s="1" t="str">
        <f>IF(OR($C717="",$D717&lt;&gt;"Gelir",$L717=""),"",IFERROR(INDEX(MUSTERILER!$B$7:$B$156,MATCH($S717,MUSTERILER!$T$7:$T$156,0)),""))</f>
        <v/>
      </c>
      <c r="U717" s="1" t="str">
        <f>IF($T717="","",$T717&amp;"|"&amp;COUNTIFS($T$7:$T717,$T717))</f>
        <v/>
      </c>
      <c r="V717" s="1">
        <f t="shared" si="36"/>
        <v>0</v>
      </c>
      <c r="W717" s="1" t="str">
        <f t="shared" si="37"/>
        <v/>
      </c>
      <c r="X717" s="1"/>
      <c r="Y717" s="1"/>
      <c r="Z717" s="1"/>
      <c r="AA717" s="1"/>
      <c r="AB717" s="1"/>
      <c r="AC717" s="1"/>
      <c r="AD717" s="1">
        <f>IF($C717="",0,SUMPRODUCT((AY_SONU!$O$7:$O$42="Evet")*(AY_SONU!$B$7:$B$42=DATE(YEAR($C717),MONTH($C717),1))))</f>
        <v>0</v>
      </c>
      <c r="AE717" s="1" t="str">
        <f>IF($E717="","",$E717&amp;"|"&amp;COUNTIFS($E$7:$E717,$E717))</f>
        <v/>
      </c>
    </row>
    <row r="718" spans="1:31" ht="18" customHeight="1" x14ac:dyDescent="0.3">
      <c r="A718" s="2"/>
      <c r="B718" s="65" t="str">
        <f>IF($C718="","","GG"&amp;TEXT(ROW()-6,"00000"))</f>
        <v/>
      </c>
      <c r="C718" s="66"/>
      <c r="D718" s="60"/>
      <c r="E718" s="61"/>
      <c r="F718" s="61"/>
      <c r="G718" s="67"/>
      <c r="H718" s="60"/>
      <c r="I718" s="60"/>
      <c r="J718" s="61"/>
      <c r="K718" s="61"/>
      <c r="L718" s="60"/>
      <c r="M718" s="74" t="str">
        <f>IF($C718="","",IF($D718="Gider",$E718,IF($L718&lt;&gt;"",$L718,$H718)))</f>
        <v/>
      </c>
      <c r="N718" s="74" t="str">
        <f>IF($C718="","",IF($D718="Gider",$H718,$E718))</f>
        <v/>
      </c>
      <c r="O718" s="73" t="str">
        <f>IF($C718="","",DATE(YEAR($C718),MONTH($C718),1))</f>
        <v/>
      </c>
      <c r="P718" s="65" t="str">
        <f ca="1">IF($C718="","",IF(AND($D718="Gelir",$L718&lt;&gt;"",$T718=""),"TANIMSIZ BORÇLU",IF($T718&lt;&gt;"",IF(OR($E718="",$G718&lt;=0),"EKSİK",IF($I718="Evet","TAHAKKUK NAKİT OLAMAZ",IF($C718&gt;TODAY(),"İLERİ TARİH","TAHAKKUK"))),IF(AND($D718&lt;&gt;"",$E718&lt;&gt;"",$G718&gt;0,$H718&lt;&gt;"",$I718&lt;&gt;""),IF($C718&gt;TODAY(),"İLERİ TARİH",IF(COUNTIF($W$7:$W$3001,$W718)&gt;1,"MÜKERRER?",IF($AD718&gt;0,"KAPALI DÖNEM",IF($I718="Hayır","ÖDENECEK","UYGUN")))),"EKSİK"))))</f>
        <v/>
      </c>
      <c r="Q718" s="2"/>
      <c r="R718" s="2"/>
      <c r="S718" s="1" t="str">
        <f t="shared" si="35"/>
        <v/>
      </c>
      <c r="T718" s="1" t="str">
        <f>IF(OR($C718="",$D718&lt;&gt;"Gelir",$L718=""),"",IFERROR(INDEX(MUSTERILER!$B$7:$B$156,MATCH($S718,MUSTERILER!$T$7:$T$156,0)),""))</f>
        <v/>
      </c>
      <c r="U718" s="1" t="str">
        <f>IF($T718="","",$T718&amp;"|"&amp;COUNTIFS($T$7:$T718,$T718))</f>
        <v/>
      </c>
      <c r="V718" s="1">
        <f t="shared" si="36"/>
        <v>0</v>
      </c>
      <c r="W718" s="1" t="str">
        <f t="shared" si="37"/>
        <v/>
      </c>
      <c r="X718" s="1"/>
      <c r="Y718" s="1"/>
      <c r="Z718" s="1"/>
      <c r="AA718" s="1"/>
      <c r="AB718" s="1"/>
      <c r="AC718" s="1"/>
      <c r="AD718" s="1">
        <f>IF($C718="",0,SUMPRODUCT((AY_SONU!$O$7:$O$42="Evet")*(AY_SONU!$B$7:$B$42=DATE(YEAR($C718),MONTH($C718),1))))</f>
        <v>0</v>
      </c>
      <c r="AE718" s="1" t="str">
        <f>IF($E718="","",$E718&amp;"|"&amp;COUNTIFS($E$7:$E718,$E718))</f>
        <v/>
      </c>
    </row>
    <row r="719" spans="1:31" ht="18" customHeight="1" x14ac:dyDescent="0.3">
      <c r="A719" s="2"/>
      <c r="B719" s="65" t="str">
        <f>IF($C719="","","GG"&amp;TEXT(ROW()-6,"00000"))</f>
        <v/>
      </c>
      <c r="C719" s="66"/>
      <c r="D719" s="60"/>
      <c r="E719" s="61"/>
      <c r="F719" s="61"/>
      <c r="G719" s="67"/>
      <c r="H719" s="60"/>
      <c r="I719" s="60"/>
      <c r="J719" s="61"/>
      <c r="K719" s="61"/>
      <c r="L719" s="60"/>
      <c r="M719" s="74" t="str">
        <f>IF($C719="","",IF($D719="Gider",$E719,IF($L719&lt;&gt;"",$L719,$H719)))</f>
        <v/>
      </c>
      <c r="N719" s="74" t="str">
        <f>IF($C719="","",IF($D719="Gider",$H719,$E719))</f>
        <v/>
      </c>
      <c r="O719" s="73" t="str">
        <f>IF($C719="","",DATE(YEAR($C719),MONTH($C719),1))</f>
        <v/>
      </c>
      <c r="P719" s="65" t="str">
        <f ca="1">IF($C719="","",IF(AND($D719="Gelir",$L719&lt;&gt;"",$T719=""),"TANIMSIZ BORÇLU",IF($T719&lt;&gt;"",IF(OR($E719="",$G719&lt;=0),"EKSİK",IF($I719="Evet","TAHAKKUK NAKİT OLAMAZ",IF($C719&gt;TODAY(),"İLERİ TARİH","TAHAKKUK"))),IF(AND($D719&lt;&gt;"",$E719&lt;&gt;"",$G719&gt;0,$H719&lt;&gt;"",$I719&lt;&gt;""),IF($C719&gt;TODAY(),"İLERİ TARİH",IF(COUNTIF($W$7:$W$3001,$W719)&gt;1,"MÜKERRER?",IF($AD719&gt;0,"KAPALI DÖNEM",IF($I719="Hayır","ÖDENECEK","UYGUN")))),"EKSİK"))))</f>
        <v/>
      </c>
      <c r="Q719" s="2"/>
      <c r="R719" s="2"/>
      <c r="S719" s="1" t="str">
        <f t="shared" si="35"/>
        <v/>
      </c>
      <c r="T719" s="1" t="str">
        <f>IF(OR($C719="",$D719&lt;&gt;"Gelir",$L719=""),"",IFERROR(INDEX(MUSTERILER!$B$7:$B$156,MATCH($S719,MUSTERILER!$T$7:$T$156,0)),""))</f>
        <v/>
      </c>
      <c r="U719" s="1" t="str">
        <f>IF($T719="","",$T719&amp;"|"&amp;COUNTIFS($T$7:$T719,$T719))</f>
        <v/>
      </c>
      <c r="V719" s="1">
        <f t="shared" si="36"/>
        <v>0</v>
      </c>
      <c r="W719" s="1" t="str">
        <f t="shared" si="37"/>
        <v/>
      </c>
      <c r="X719" s="1"/>
      <c r="Y719" s="1"/>
      <c r="Z719" s="1"/>
      <c r="AA719" s="1"/>
      <c r="AB719" s="1"/>
      <c r="AC719" s="1"/>
      <c r="AD719" s="1">
        <f>IF($C719="",0,SUMPRODUCT((AY_SONU!$O$7:$O$42="Evet")*(AY_SONU!$B$7:$B$42=DATE(YEAR($C719),MONTH($C719),1))))</f>
        <v>0</v>
      </c>
      <c r="AE719" s="1" t="str">
        <f>IF($E719="","",$E719&amp;"|"&amp;COUNTIFS($E$7:$E719,$E719))</f>
        <v/>
      </c>
    </row>
    <row r="720" spans="1:31" ht="18" customHeight="1" x14ac:dyDescent="0.3">
      <c r="A720" s="2"/>
      <c r="B720" s="65" t="str">
        <f>IF($C720="","","GG"&amp;TEXT(ROW()-6,"00000"))</f>
        <v/>
      </c>
      <c r="C720" s="66"/>
      <c r="D720" s="60"/>
      <c r="E720" s="61"/>
      <c r="F720" s="61"/>
      <c r="G720" s="67"/>
      <c r="H720" s="60"/>
      <c r="I720" s="60"/>
      <c r="J720" s="61"/>
      <c r="K720" s="61"/>
      <c r="L720" s="60"/>
      <c r="M720" s="74" t="str">
        <f>IF($C720="","",IF($D720="Gider",$E720,IF($L720&lt;&gt;"",$L720,$H720)))</f>
        <v/>
      </c>
      <c r="N720" s="74" t="str">
        <f>IF($C720="","",IF($D720="Gider",$H720,$E720))</f>
        <v/>
      </c>
      <c r="O720" s="73" t="str">
        <f>IF($C720="","",DATE(YEAR($C720),MONTH($C720),1))</f>
        <v/>
      </c>
      <c r="P720" s="65" t="str">
        <f ca="1">IF($C720="","",IF(AND($D720="Gelir",$L720&lt;&gt;"",$T720=""),"TANIMSIZ BORÇLU",IF($T720&lt;&gt;"",IF(OR($E720="",$G720&lt;=0),"EKSİK",IF($I720="Evet","TAHAKKUK NAKİT OLAMAZ",IF($C720&gt;TODAY(),"İLERİ TARİH","TAHAKKUK"))),IF(AND($D720&lt;&gt;"",$E720&lt;&gt;"",$G720&gt;0,$H720&lt;&gt;"",$I720&lt;&gt;""),IF($C720&gt;TODAY(),"İLERİ TARİH",IF(COUNTIF($W$7:$W$3001,$W720)&gt;1,"MÜKERRER?",IF($AD720&gt;0,"KAPALI DÖNEM",IF($I720="Hayır","ÖDENECEK","UYGUN")))),"EKSİK"))))</f>
        <v/>
      </c>
      <c r="Q720" s="2"/>
      <c r="R720" s="2"/>
      <c r="S720" s="1" t="str">
        <f t="shared" si="35"/>
        <v/>
      </c>
      <c r="T720" s="1" t="str">
        <f>IF(OR($C720="",$D720&lt;&gt;"Gelir",$L720=""),"",IFERROR(INDEX(MUSTERILER!$B$7:$B$156,MATCH($S720,MUSTERILER!$T$7:$T$156,0)),""))</f>
        <v/>
      </c>
      <c r="U720" s="1" t="str">
        <f>IF($T720="","",$T720&amp;"|"&amp;COUNTIFS($T$7:$T720,$T720))</f>
        <v/>
      </c>
      <c r="V720" s="1">
        <f t="shared" si="36"/>
        <v>0</v>
      </c>
      <c r="W720" s="1" t="str">
        <f t="shared" si="37"/>
        <v/>
      </c>
      <c r="X720" s="1"/>
      <c r="Y720" s="1"/>
      <c r="Z720" s="1"/>
      <c r="AA720" s="1"/>
      <c r="AB720" s="1"/>
      <c r="AC720" s="1"/>
      <c r="AD720" s="1">
        <f>IF($C720="",0,SUMPRODUCT((AY_SONU!$O$7:$O$42="Evet")*(AY_SONU!$B$7:$B$42=DATE(YEAR($C720),MONTH($C720),1))))</f>
        <v>0</v>
      </c>
      <c r="AE720" s="1" t="str">
        <f>IF($E720="","",$E720&amp;"|"&amp;COUNTIFS($E$7:$E720,$E720))</f>
        <v/>
      </c>
    </row>
    <row r="721" spans="1:31" ht="18" customHeight="1" x14ac:dyDescent="0.3">
      <c r="A721" s="2"/>
      <c r="B721" s="65" t="str">
        <f>IF($C721="","","GG"&amp;TEXT(ROW()-6,"00000"))</f>
        <v/>
      </c>
      <c r="C721" s="66"/>
      <c r="D721" s="60"/>
      <c r="E721" s="61"/>
      <c r="F721" s="61"/>
      <c r="G721" s="67"/>
      <c r="H721" s="60"/>
      <c r="I721" s="60"/>
      <c r="J721" s="61"/>
      <c r="K721" s="61"/>
      <c r="L721" s="60"/>
      <c r="M721" s="74" t="str">
        <f>IF($C721="","",IF($D721="Gider",$E721,IF($L721&lt;&gt;"",$L721,$H721)))</f>
        <v/>
      </c>
      <c r="N721" s="74" t="str">
        <f>IF($C721="","",IF($D721="Gider",$H721,$E721))</f>
        <v/>
      </c>
      <c r="O721" s="73" t="str">
        <f>IF($C721="","",DATE(YEAR($C721),MONTH($C721),1))</f>
        <v/>
      </c>
      <c r="P721" s="65" t="str">
        <f ca="1">IF($C721="","",IF(AND($D721="Gelir",$L721&lt;&gt;"",$T721=""),"TANIMSIZ BORÇLU",IF($T721&lt;&gt;"",IF(OR($E721="",$G721&lt;=0),"EKSİK",IF($I721="Evet","TAHAKKUK NAKİT OLAMAZ",IF($C721&gt;TODAY(),"İLERİ TARİH","TAHAKKUK"))),IF(AND($D721&lt;&gt;"",$E721&lt;&gt;"",$G721&gt;0,$H721&lt;&gt;"",$I721&lt;&gt;""),IF($C721&gt;TODAY(),"İLERİ TARİH",IF(COUNTIF($W$7:$W$3001,$W721)&gt;1,"MÜKERRER?",IF($AD721&gt;0,"KAPALI DÖNEM",IF($I721="Hayır","ÖDENECEK","UYGUN")))),"EKSİK"))))</f>
        <v/>
      </c>
      <c r="Q721" s="2"/>
      <c r="R721" s="2"/>
      <c r="S721" s="1" t="str">
        <f t="shared" si="35"/>
        <v/>
      </c>
      <c r="T721" s="1" t="str">
        <f>IF(OR($C721="",$D721&lt;&gt;"Gelir",$L721=""),"",IFERROR(INDEX(MUSTERILER!$B$7:$B$156,MATCH($S721,MUSTERILER!$T$7:$T$156,0)),""))</f>
        <v/>
      </c>
      <c r="U721" s="1" t="str">
        <f>IF($T721="","",$T721&amp;"|"&amp;COUNTIFS($T$7:$T721,$T721))</f>
        <v/>
      </c>
      <c r="V721" s="1">
        <f t="shared" si="36"/>
        <v>0</v>
      </c>
      <c r="W721" s="1" t="str">
        <f t="shared" si="37"/>
        <v/>
      </c>
      <c r="X721" s="1"/>
      <c r="Y721" s="1"/>
      <c r="Z721" s="1"/>
      <c r="AA721" s="1"/>
      <c r="AB721" s="1"/>
      <c r="AC721" s="1"/>
      <c r="AD721" s="1">
        <f>IF($C721="",0,SUMPRODUCT((AY_SONU!$O$7:$O$42="Evet")*(AY_SONU!$B$7:$B$42=DATE(YEAR($C721),MONTH($C721),1))))</f>
        <v>0</v>
      </c>
      <c r="AE721" s="1" t="str">
        <f>IF($E721="","",$E721&amp;"|"&amp;COUNTIFS($E$7:$E721,$E721))</f>
        <v/>
      </c>
    </row>
    <row r="722" spans="1:31" ht="18" customHeight="1" x14ac:dyDescent="0.3">
      <c r="A722" s="2"/>
      <c r="B722" s="65" t="str">
        <f>IF($C722="","","GG"&amp;TEXT(ROW()-6,"00000"))</f>
        <v/>
      </c>
      <c r="C722" s="66"/>
      <c r="D722" s="60"/>
      <c r="E722" s="61"/>
      <c r="F722" s="61"/>
      <c r="G722" s="67"/>
      <c r="H722" s="60"/>
      <c r="I722" s="60"/>
      <c r="J722" s="61"/>
      <c r="K722" s="61"/>
      <c r="L722" s="60"/>
      <c r="M722" s="74" t="str">
        <f>IF($C722="","",IF($D722="Gider",$E722,IF($L722&lt;&gt;"",$L722,$H722)))</f>
        <v/>
      </c>
      <c r="N722" s="74" t="str">
        <f>IF($C722="","",IF($D722="Gider",$H722,$E722))</f>
        <v/>
      </c>
      <c r="O722" s="73" t="str">
        <f>IF($C722="","",DATE(YEAR($C722),MONTH($C722),1))</f>
        <v/>
      </c>
      <c r="P722" s="65" t="str">
        <f ca="1">IF($C722="","",IF(AND($D722="Gelir",$L722&lt;&gt;"",$T722=""),"TANIMSIZ BORÇLU",IF($T722&lt;&gt;"",IF(OR($E722="",$G722&lt;=0),"EKSİK",IF($I722="Evet","TAHAKKUK NAKİT OLAMAZ",IF($C722&gt;TODAY(),"İLERİ TARİH","TAHAKKUK"))),IF(AND($D722&lt;&gt;"",$E722&lt;&gt;"",$G722&gt;0,$H722&lt;&gt;"",$I722&lt;&gt;""),IF($C722&gt;TODAY(),"İLERİ TARİH",IF(COUNTIF($W$7:$W$3001,$W722)&gt;1,"MÜKERRER?",IF($AD722&gt;0,"KAPALI DÖNEM",IF($I722="Hayır","ÖDENECEK","UYGUN")))),"EKSİK"))))</f>
        <v/>
      </c>
      <c r="Q722" s="2"/>
      <c r="R722" s="2"/>
      <c r="S722" s="1" t="str">
        <f t="shared" si="35"/>
        <v/>
      </c>
      <c r="T722" s="1" t="str">
        <f>IF(OR($C722="",$D722&lt;&gt;"Gelir",$L722=""),"",IFERROR(INDEX(MUSTERILER!$B$7:$B$156,MATCH($S722,MUSTERILER!$T$7:$T$156,0)),""))</f>
        <v/>
      </c>
      <c r="U722" s="1" t="str">
        <f>IF($T722="","",$T722&amp;"|"&amp;COUNTIFS($T$7:$T722,$T722))</f>
        <v/>
      </c>
      <c r="V722" s="1">
        <f t="shared" si="36"/>
        <v>0</v>
      </c>
      <c r="W722" s="1" t="str">
        <f t="shared" si="37"/>
        <v/>
      </c>
      <c r="X722" s="1"/>
      <c r="Y722" s="1"/>
      <c r="Z722" s="1"/>
      <c r="AA722" s="1"/>
      <c r="AB722" s="1"/>
      <c r="AC722" s="1"/>
      <c r="AD722" s="1">
        <f>IF($C722="",0,SUMPRODUCT((AY_SONU!$O$7:$O$42="Evet")*(AY_SONU!$B$7:$B$42=DATE(YEAR($C722),MONTH($C722),1))))</f>
        <v>0</v>
      </c>
      <c r="AE722" s="1" t="str">
        <f>IF($E722="","",$E722&amp;"|"&amp;COUNTIFS($E$7:$E722,$E722))</f>
        <v/>
      </c>
    </row>
    <row r="723" spans="1:31" ht="18" customHeight="1" x14ac:dyDescent="0.3">
      <c r="A723" s="2"/>
      <c r="B723" s="65" t="str">
        <f>IF($C723="","","GG"&amp;TEXT(ROW()-6,"00000"))</f>
        <v/>
      </c>
      <c r="C723" s="66"/>
      <c r="D723" s="60"/>
      <c r="E723" s="61"/>
      <c r="F723" s="61"/>
      <c r="G723" s="67"/>
      <c r="H723" s="60"/>
      <c r="I723" s="60"/>
      <c r="J723" s="61"/>
      <c r="K723" s="61"/>
      <c r="L723" s="60"/>
      <c r="M723" s="74" t="str">
        <f>IF($C723="","",IF($D723="Gider",$E723,IF($L723&lt;&gt;"",$L723,$H723)))</f>
        <v/>
      </c>
      <c r="N723" s="74" t="str">
        <f>IF($C723="","",IF($D723="Gider",$H723,$E723))</f>
        <v/>
      </c>
      <c r="O723" s="73" t="str">
        <f>IF($C723="","",DATE(YEAR($C723),MONTH($C723),1))</f>
        <v/>
      </c>
      <c r="P723" s="65" t="str">
        <f ca="1">IF($C723="","",IF(AND($D723="Gelir",$L723&lt;&gt;"",$T723=""),"TANIMSIZ BORÇLU",IF($T723&lt;&gt;"",IF(OR($E723="",$G723&lt;=0),"EKSİK",IF($I723="Evet","TAHAKKUK NAKİT OLAMAZ",IF($C723&gt;TODAY(),"İLERİ TARİH","TAHAKKUK"))),IF(AND($D723&lt;&gt;"",$E723&lt;&gt;"",$G723&gt;0,$H723&lt;&gt;"",$I723&lt;&gt;""),IF($C723&gt;TODAY(),"İLERİ TARİH",IF(COUNTIF($W$7:$W$3001,$W723)&gt;1,"MÜKERRER?",IF($AD723&gt;0,"KAPALI DÖNEM",IF($I723="Hayır","ÖDENECEK","UYGUN")))),"EKSİK"))))</f>
        <v/>
      </c>
      <c r="Q723" s="2"/>
      <c r="R723" s="2"/>
      <c r="S723" s="1" t="str">
        <f t="shared" si="35"/>
        <v/>
      </c>
      <c r="T723" s="1" t="str">
        <f>IF(OR($C723="",$D723&lt;&gt;"Gelir",$L723=""),"",IFERROR(INDEX(MUSTERILER!$B$7:$B$156,MATCH($S723,MUSTERILER!$T$7:$T$156,0)),""))</f>
        <v/>
      </c>
      <c r="U723" s="1" t="str">
        <f>IF($T723="","",$T723&amp;"|"&amp;COUNTIFS($T$7:$T723,$T723))</f>
        <v/>
      </c>
      <c r="V723" s="1">
        <f t="shared" si="36"/>
        <v>0</v>
      </c>
      <c r="W723" s="1" t="str">
        <f t="shared" si="37"/>
        <v/>
      </c>
      <c r="X723" s="1"/>
      <c r="Y723" s="1"/>
      <c r="Z723" s="1"/>
      <c r="AA723" s="1"/>
      <c r="AB723" s="1"/>
      <c r="AC723" s="1"/>
      <c r="AD723" s="1">
        <f>IF($C723="",0,SUMPRODUCT((AY_SONU!$O$7:$O$42="Evet")*(AY_SONU!$B$7:$B$42=DATE(YEAR($C723),MONTH($C723),1))))</f>
        <v>0</v>
      </c>
      <c r="AE723" s="1" t="str">
        <f>IF($E723="","",$E723&amp;"|"&amp;COUNTIFS($E$7:$E723,$E723))</f>
        <v/>
      </c>
    </row>
    <row r="724" spans="1:31" ht="18" customHeight="1" x14ac:dyDescent="0.3">
      <c r="A724" s="2"/>
      <c r="B724" s="65" t="str">
        <f>IF($C724="","","GG"&amp;TEXT(ROW()-6,"00000"))</f>
        <v/>
      </c>
      <c r="C724" s="66"/>
      <c r="D724" s="60"/>
      <c r="E724" s="61"/>
      <c r="F724" s="61"/>
      <c r="G724" s="67"/>
      <c r="H724" s="60"/>
      <c r="I724" s="60"/>
      <c r="J724" s="61"/>
      <c r="K724" s="61"/>
      <c r="L724" s="60"/>
      <c r="M724" s="74" t="str">
        <f>IF($C724="","",IF($D724="Gider",$E724,IF($L724&lt;&gt;"",$L724,$H724)))</f>
        <v/>
      </c>
      <c r="N724" s="74" t="str">
        <f>IF($C724="","",IF($D724="Gider",$H724,$E724))</f>
        <v/>
      </c>
      <c r="O724" s="73" t="str">
        <f>IF($C724="","",DATE(YEAR($C724),MONTH($C724),1))</f>
        <v/>
      </c>
      <c r="P724" s="65" t="str">
        <f ca="1">IF($C724="","",IF(AND($D724="Gelir",$L724&lt;&gt;"",$T724=""),"TANIMSIZ BORÇLU",IF($T724&lt;&gt;"",IF(OR($E724="",$G724&lt;=0),"EKSİK",IF($I724="Evet","TAHAKKUK NAKİT OLAMAZ",IF($C724&gt;TODAY(),"İLERİ TARİH","TAHAKKUK"))),IF(AND($D724&lt;&gt;"",$E724&lt;&gt;"",$G724&gt;0,$H724&lt;&gt;"",$I724&lt;&gt;""),IF($C724&gt;TODAY(),"İLERİ TARİH",IF(COUNTIF($W$7:$W$3001,$W724)&gt;1,"MÜKERRER?",IF($AD724&gt;0,"KAPALI DÖNEM",IF($I724="Hayır","ÖDENECEK","UYGUN")))),"EKSİK"))))</f>
        <v/>
      </c>
      <c r="Q724" s="2"/>
      <c r="R724" s="2"/>
      <c r="S724" s="1" t="str">
        <f t="shared" si="35"/>
        <v/>
      </c>
      <c r="T724" s="1" t="str">
        <f>IF(OR($C724="",$D724&lt;&gt;"Gelir",$L724=""),"",IFERROR(INDEX(MUSTERILER!$B$7:$B$156,MATCH($S724,MUSTERILER!$T$7:$T$156,0)),""))</f>
        <v/>
      </c>
      <c r="U724" s="1" t="str">
        <f>IF($T724="","",$T724&amp;"|"&amp;COUNTIFS($T$7:$T724,$T724))</f>
        <v/>
      </c>
      <c r="V724" s="1">
        <f t="shared" si="36"/>
        <v>0</v>
      </c>
      <c r="W724" s="1" t="str">
        <f t="shared" si="37"/>
        <v/>
      </c>
      <c r="X724" s="1"/>
      <c r="Y724" s="1"/>
      <c r="Z724" s="1"/>
      <c r="AA724" s="1"/>
      <c r="AB724" s="1"/>
      <c r="AC724" s="1"/>
      <c r="AD724" s="1">
        <f>IF($C724="",0,SUMPRODUCT((AY_SONU!$O$7:$O$42="Evet")*(AY_SONU!$B$7:$B$42=DATE(YEAR($C724),MONTH($C724),1))))</f>
        <v>0</v>
      </c>
      <c r="AE724" s="1" t="str">
        <f>IF($E724="","",$E724&amp;"|"&amp;COUNTIFS($E$7:$E724,$E724))</f>
        <v/>
      </c>
    </row>
    <row r="725" spans="1:31" ht="18" customHeight="1" x14ac:dyDescent="0.3">
      <c r="A725" s="2"/>
      <c r="B725" s="65" t="str">
        <f>IF($C725="","","GG"&amp;TEXT(ROW()-6,"00000"))</f>
        <v/>
      </c>
      <c r="C725" s="66"/>
      <c r="D725" s="60"/>
      <c r="E725" s="61"/>
      <c r="F725" s="61"/>
      <c r="G725" s="67"/>
      <c r="H725" s="60"/>
      <c r="I725" s="60"/>
      <c r="J725" s="61"/>
      <c r="K725" s="61"/>
      <c r="L725" s="60"/>
      <c r="M725" s="74" t="str">
        <f>IF($C725="","",IF($D725="Gider",$E725,IF($L725&lt;&gt;"",$L725,$H725)))</f>
        <v/>
      </c>
      <c r="N725" s="74" t="str">
        <f>IF($C725="","",IF($D725="Gider",$H725,$E725))</f>
        <v/>
      </c>
      <c r="O725" s="73" t="str">
        <f>IF($C725="","",DATE(YEAR($C725),MONTH($C725),1))</f>
        <v/>
      </c>
      <c r="P725" s="65" t="str">
        <f ca="1">IF($C725="","",IF(AND($D725="Gelir",$L725&lt;&gt;"",$T725=""),"TANIMSIZ BORÇLU",IF($T725&lt;&gt;"",IF(OR($E725="",$G725&lt;=0),"EKSİK",IF($I725="Evet","TAHAKKUK NAKİT OLAMAZ",IF($C725&gt;TODAY(),"İLERİ TARİH","TAHAKKUK"))),IF(AND($D725&lt;&gt;"",$E725&lt;&gt;"",$G725&gt;0,$H725&lt;&gt;"",$I725&lt;&gt;""),IF($C725&gt;TODAY(),"İLERİ TARİH",IF(COUNTIF($W$7:$W$3001,$W725)&gt;1,"MÜKERRER?",IF($AD725&gt;0,"KAPALI DÖNEM",IF($I725="Hayır","ÖDENECEK","UYGUN")))),"EKSİK"))))</f>
        <v/>
      </c>
      <c r="Q725" s="2"/>
      <c r="R725" s="2"/>
      <c r="S725" s="1" t="str">
        <f t="shared" si="35"/>
        <v/>
      </c>
      <c r="T725" s="1" t="str">
        <f>IF(OR($C725="",$D725&lt;&gt;"Gelir",$L725=""),"",IFERROR(INDEX(MUSTERILER!$B$7:$B$156,MATCH($S725,MUSTERILER!$T$7:$T$156,0)),""))</f>
        <v/>
      </c>
      <c r="U725" s="1" t="str">
        <f>IF($T725="","",$T725&amp;"|"&amp;COUNTIFS($T$7:$T725,$T725))</f>
        <v/>
      </c>
      <c r="V725" s="1">
        <f t="shared" si="36"/>
        <v>0</v>
      </c>
      <c r="W725" s="1" t="str">
        <f t="shared" si="37"/>
        <v/>
      </c>
      <c r="X725" s="1"/>
      <c r="Y725" s="1"/>
      <c r="Z725" s="1"/>
      <c r="AA725" s="1"/>
      <c r="AB725" s="1"/>
      <c r="AC725" s="1"/>
      <c r="AD725" s="1">
        <f>IF($C725="",0,SUMPRODUCT((AY_SONU!$O$7:$O$42="Evet")*(AY_SONU!$B$7:$B$42=DATE(YEAR($C725),MONTH($C725),1))))</f>
        <v>0</v>
      </c>
      <c r="AE725" s="1" t="str">
        <f>IF($E725="","",$E725&amp;"|"&amp;COUNTIFS($E$7:$E725,$E725))</f>
        <v/>
      </c>
    </row>
    <row r="726" spans="1:31" ht="18" customHeight="1" x14ac:dyDescent="0.3">
      <c r="A726" s="2"/>
      <c r="B726" s="65" t="str">
        <f>IF($C726="","","GG"&amp;TEXT(ROW()-6,"00000"))</f>
        <v/>
      </c>
      <c r="C726" s="66"/>
      <c r="D726" s="60"/>
      <c r="E726" s="61"/>
      <c r="F726" s="61"/>
      <c r="G726" s="67"/>
      <c r="H726" s="60"/>
      <c r="I726" s="60"/>
      <c r="J726" s="61"/>
      <c r="K726" s="61"/>
      <c r="L726" s="60"/>
      <c r="M726" s="74" t="str">
        <f>IF($C726="","",IF($D726="Gider",$E726,IF($L726&lt;&gt;"",$L726,$H726)))</f>
        <v/>
      </c>
      <c r="N726" s="74" t="str">
        <f>IF($C726="","",IF($D726="Gider",$H726,$E726))</f>
        <v/>
      </c>
      <c r="O726" s="73" t="str">
        <f>IF($C726="","",DATE(YEAR($C726),MONTH($C726),1))</f>
        <v/>
      </c>
      <c r="P726" s="65" t="str">
        <f ca="1">IF($C726="","",IF(AND($D726="Gelir",$L726&lt;&gt;"",$T726=""),"TANIMSIZ BORÇLU",IF($T726&lt;&gt;"",IF(OR($E726="",$G726&lt;=0),"EKSİK",IF($I726="Evet","TAHAKKUK NAKİT OLAMAZ",IF($C726&gt;TODAY(),"İLERİ TARİH","TAHAKKUK"))),IF(AND($D726&lt;&gt;"",$E726&lt;&gt;"",$G726&gt;0,$H726&lt;&gt;"",$I726&lt;&gt;""),IF($C726&gt;TODAY(),"İLERİ TARİH",IF(COUNTIF($W$7:$W$3001,$W726)&gt;1,"MÜKERRER?",IF($AD726&gt;0,"KAPALI DÖNEM",IF($I726="Hayır","ÖDENECEK","UYGUN")))),"EKSİK"))))</f>
        <v/>
      </c>
      <c r="Q726" s="2"/>
      <c r="R726" s="2"/>
      <c r="S726" s="1" t="str">
        <f t="shared" si="35"/>
        <v/>
      </c>
      <c r="T726" s="1" t="str">
        <f>IF(OR($C726="",$D726&lt;&gt;"Gelir",$L726=""),"",IFERROR(INDEX(MUSTERILER!$B$7:$B$156,MATCH($S726,MUSTERILER!$T$7:$T$156,0)),""))</f>
        <v/>
      </c>
      <c r="U726" s="1" t="str">
        <f>IF($T726="","",$T726&amp;"|"&amp;COUNTIFS($T$7:$T726,$T726))</f>
        <v/>
      </c>
      <c r="V726" s="1">
        <f t="shared" si="36"/>
        <v>0</v>
      </c>
      <c r="W726" s="1" t="str">
        <f t="shared" si="37"/>
        <v/>
      </c>
      <c r="X726" s="1"/>
      <c r="Y726" s="1"/>
      <c r="Z726" s="1"/>
      <c r="AA726" s="1"/>
      <c r="AB726" s="1"/>
      <c r="AC726" s="1"/>
      <c r="AD726" s="1">
        <f>IF($C726="",0,SUMPRODUCT((AY_SONU!$O$7:$O$42="Evet")*(AY_SONU!$B$7:$B$42=DATE(YEAR($C726),MONTH($C726),1))))</f>
        <v>0</v>
      </c>
      <c r="AE726" s="1" t="str">
        <f>IF($E726="","",$E726&amp;"|"&amp;COUNTIFS($E$7:$E726,$E726))</f>
        <v/>
      </c>
    </row>
    <row r="727" spans="1:31" ht="18" customHeight="1" x14ac:dyDescent="0.3">
      <c r="A727" s="2"/>
      <c r="B727" s="65" t="str">
        <f>IF($C727="","","GG"&amp;TEXT(ROW()-6,"00000"))</f>
        <v/>
      </c>
      <c r="C727" s="66"/>
      <c r="D727" s="60"/>
      <c r="E727" s="61"/>
      <c r="F727" s="61"/>
      <c r="G727" s="67"/>
      <c r="H727" s="60"/>
      <c r="I727" s="60"/>
      <c r="J727" s="61"/>
      <c r="K727" s="61"/>
      <c r="L727" s="60"/>
      <c r="M727" s="74" t="str">
        <f>IF($C727="","",IF($D727="Gider",$E727,IF($L727&lt;&gt;"",$L727,$H727)))</f>
        <v/>
      </c>
      <c r="N727" s="74" t="str">
        <f>IF($C727="","",IF($D727="Gider",$H727,$E727))</f>
        <v/>
      </c>
      <c r="O727" s="73" t="str">
        <f>IF($C727="","",DATE(YEAR($C727),MONTH($C727),1))</f>
        <v/>
      </c>
      <c r="P727" s="65" t="str">
        <f ca="1">IF($C727="","",IF(AND($D727="Gelir",$L727&lt;&gt;"",$T727=""),"TANIMSIZ BORÇLU",IF($T727&lt;&gt;"",IF(OR($E727="",$G727&lt;=0),"EKSİK",IF($I727="Evet","TAHAKKUK NAKİT OLAMAZ",IF($C727&gt;TODAY(),"İLERİ TARİH","TAHAKKUK"))),IF(AND($D727&lt;&gt;"",$E727&lt;&gt;"",$G727&gt;0,$H727&lt;&gt;"",$I727&lt;&gt;""),IF($C727&gt;TODAY(),"İLERİ TARİH",IF(COUNTIF($W$7:$W$3001,$W727)&gt;1,"MÜKERRER?",IF($AD727&gt;0,"KAPALI DÖNEM",IF($I727="Hayır","ÖDENECEK","UYGUN")))),"EKSİK"))))</f>
        <v/>
      </c>
      <c r="Q727" s="2"/>
      <c r="R727" s="2"/>
      <c r="S727" s="1" t="str">
        <f t="shared" si="35"/>
        <v/>
      </c>
      <c r="T727" s="1" t="str">
        <f>IF(OR($C727="",$D727&lt;&gt;"Gelir",$L727=""),"",IFERROR(INDEX(MUSTERILER!$B$7:$B$156,MATCH($S727,MUSTERILER!$T$7:$T$156,0)),""))</f>
        <v/>
      </c>
      <c r="U727" s="1" t="str">
        <f>IF($T727="","",$T727&amp;"|"&amp;COUNTIFS($T$7:$T727,$T727))</f>
        <v/>
      </c>
      <c r="V727" s="1">
        <f t="shared" si="36"/>
        <v>0</v>
      </c>
      <c r="W727" s="1" t="str">
        <f t="shared" si="37"/>
        <v/>
      </c>
      <c r="X727" s="1"/>
      <c r="Y727" s="1"/>
      <c r="Z727" s="1"/>
      <c r="AA727" s="1"/>
      <c r="AB727" s="1"/>
      <c r="AC727" s="1"/>
      <c r="AD727" s="1">
        <f>IF($C727="",0,SUMPRODUCT((AY_SONU!$O$7:$O$42="Evet")*(AY_SONU!$B$7:$B$42=DATE(YEAR($C727),MONTH($C727),1))))</f>
        <v>0</v>
      </c>
      <c r="AE727" s="1" t="str">
        <f>IF($E727="","",$E727&amp;"|"&amp;COUNTIFS($E$7:$E727,$E727))</f>
        <v/>
      </c>
    </row>
    <row r="728" spans="1:31" ht="18" customHeight="1" x14ac:dyDescent="0.3">
      <c r="A728" s="2"/>
      <c r="B728" s="65" t="str">
        <f>IF($C728="","","GG"&amp;TEXT(ROW()-6,"00000"))</f>
        <v/>
      </c>
      <c r="C728" s="66"/>
      <c r="D728" s="60"/>
      <c r="E728" s="61"/>
      <c r="F728" s="61"/>
      <c r="G728" s="67"/>
      <c r="H728" s="60"/>
      <c r="I728" s="60"/>
      <c r="J728" s="61"/>
      <c r="K728" s="61"/>
      <c r="L728" s="60"/>
      <c r="M728" s="74" t="str">
        <f>IF($C728="","",IF($D728="Gider",$E728,IF($L728&lt;&gt;"",$L728,$H728)))</f>
        <v/>
      </c>
      <c r="N728" s="74" t="str">
        <f>IF($C728="","",IF($D728="Gider",$H728,$E728))</f>
        <v/>
      </c>
      <c r="O728" s="73" t="str">
        <f>IF($C728="","",DATE(YEAR($C728),MONTH($C728),1))</f>
        <v/>
      </c>
      <c r="P728" s="65" t="str">
        <f ca="1">IF($C728="","",IF(AND($D728="Gelir",$L728&lt;&gt;"",$T728=""),"TANIMSIZ BORÇLU",IF($T728&lt;&gt;"",IF(OR($E728="",$G728&lt;=0),"EKSİK",IF($I728="Evet","TAHAKKUK NAKİT OLAMAZ",IF($C728&gt;TODAY(),"İLERİ TARİH","TAHAKKUK"))),IF(AND($D728&lt;&gt;"",$E728&lt;&gt;"",$G728&gt;0,$H728&lt;&gt;"",$I728&lt;&gt;""),IF($C728&gt;TODAY(),"İLERİ TARİH",IF(COUNTIF($W$7:$W$3001,$W728)&gt;1,"MÜKERRER?",IF($AD728&gt;0,"KAPALI DÖNEM",IF($I728="Hayır","ÖDENECEK","UYGUN")))),"EKSİK"))))</f>
        <v/>
      </c>
      <c r="Q728" s="2"/>
      <c r="R728" s="2"/>
      <c r="S728" s="1" t="str">
        <f t="shared" si="35"/>
        <v/>
      </c>
      <c r="T728" s="1" t="str">
        <f>IF(OR($C728="",$D728&lt;&gt;"Gelir",$L728=""),"",IFERROR(INDEX(MUSTERILER!$B$7:$B$156,MATCH($S728,MUSTERILER!$T$7:$T$156,0)),""))</f>
        <v/>
      </c>
      <c r="U728" s="1" t="str">
        <f>IF($T728="","",$T728&amp;"|"&amp;COUNTIFS($T$7:$T728,$T728))</f>
        <v/>
      </c>
      <c r="V728" s="1">
        <f t="shared" si="36"/>
        <v>0</v>
      </c>
      <c r="W728" s="1" t="str">
        <f t="shared" si="37"/>
        <v/>
      </c>
      <c r="X728" s="1"/>
      <c r="Y728" s="1"/>
      <c r="Z728" s="1"/>
      <c r="AA728" s="1"/>
      <c r="AB728" s="1"/>
      <c r="AC728" s="1"/>
      <c r="AD728" s="1">
        <f>IF($C728="",0,SUMPRODUCT((AY_SONU!$O$7:$O$42="Evet")*(AY_SONU!$B$7:$B$42=DATE(YEAR($C728),MONTH($C728),1))))</f>
        <v>0</v>
      </c>
      <c r="AE728" s="1" t="str">
        <f>IF($E728="","",$E728&amp;"|"&amp;COUNTIFS($E$7:$E728,$E728))</f>
        <v/>
      </c>
    </row>
    <row r="729" spans="1:31" ht="18" customHeight="1" x14ac:dyDescent="0.3">
      <c r="A729" s="2"/>
      <c r="B729" s="65" t="str">
        <f>IF($C729="","","GG"&amp;TEXT(ROW()-6,"00000"))</f>
        <v/>
      </c>
      <c r="C729" s="66"/>
      <c r="D729" s="60"/>
      <c r="E729" s="61"/>
      <c r="F729" s="61"/>
      <c r="G729" s="67"/>
      <c r="H729" s="60"/>
      <c r="I729" s="60"/>
      <c r="J729" s="61"/>
      <c r="K729" s="61"/>
      <c r="L729" s="60"/>
      <c r="M729" s="74" t="str">
        <f>IF($C729="","",IF($D729="Gider",$E729,IF($L729&lt;&gt;"",$L729,$H729)))</f>
        <v/>
      </c>
      <c r="N729" s="74" t="str">
        <f>IF($C729="","",IF($D729="Gider",$H729,$E729))</f>
        <v/>
      </c>
      <c r="O729" s="73" t="str">
        <f>IF($C729="","",DATE(YEAR($C729),MONTH($C729),1))</f>
        <v/>
      </c>
      <c r="P729" s="65" t="str">
        <f ca="1">IF($C729="","",IF(AND($D729="Gelir",$L729&lt;&gt;"",$T729=""),"TANIMSIZ BORÇLU",IF($T729&lt;&gt;"",IF(OR($E729="",$G729&lt;=0),"EKSİK",IF($I729="Evet","TAHAKKUK NAKİT OLAMAZ",IF($C729&gt;TODAY(),"İLERİ TARİH","TAHAKKUK"))),IF(AND($D729&lt;&gt;"",$E729&lt;&gt;"",$G729&gt;0,$H729&lt;&gt;"",$I729&lt;&gt;""),IF($C729&gt;TODAY(),"İLERİ TARİH",IF(COUNTIF($W$7:$W$3001,$W729)&gt;1,"MÜKERRER?",IF($AD729&gt;0,"KAPALI DÖNEM",IF($I729="Hayır","ÖDENECEK","UYGUN")))),"EKSİK"))))</f>
        <v/>
      </c>
      <c r="Q729" s="2"/>
      <c r="R729" s="2"/>
      <c r="S729" s="1" t="str">
        <f t="shared" si="35"/>
        <v/>
      </c>
      <c r="T729" s="1" t="str">
        <f>IF(OR($C729="",$D729&lt;&gt;"Gelir",$L729=""),"",IFERROR(INDEX(MUSTERILER!$B$7:$B$156,MATCH($S729,MUSTERILER!$T$7:$T$156,0)),""))</f>
        <v/>
      </c>
      <c r="U729" s="1" t="str">
        <f>IF($T729="","",$T729&amp;"|"&amp;COUNTIFS($T$7:$T729,$T729))</f>
        <v/>
      </c>
      <c r="V729" s="1">
        <f t="shared" si="36"/>
        <v>0</v>
      </c>
      <c r="W729" s="1" t="str">
        <f t="shared" si="37"/>
        <v/>
      </c>
      <c r="X729" s="1"/>
      <c r="Y729" s="1"/>
      <c r="Z729" s="1"/>
      <c r="AA729" s="1"/>
      <c r="AB729" s="1"/>
      <c r="AC729" s="1"/>
      <c r="AD729" s="1">
        <f>IF($C729="",0,SUMPRODUCT((AY_SONU!$O$7:$O$42="Evet")*(AY_SONU!$B$7:$B$42=DATE(YEAR($C729),MONTH($C729),1))))</f>
        <v>0</v>
      </c>
      <c r="AE729" s="1" t="str">
        <f>IF($E729="","",$E729&amp;"|"&amp;COUNTIFS($E$7:$E729,$E729))</f>
        <v/>
      </c>
    </row>
    <row r="730" spans="1:31" ht="18" customHeight="1" x14ac:dyDescent="0.3">
      <c r="A730" s="2"/>
      <c r="B730" s="65" t="str">
        <f>IF($C730="","","GG"&amp;TEXT(ROW()-6,"00000"))</f>
        <v/>
      </c>
      <c r="C730" s="66"/>
      <c r="D730" s="60"/>
      <c r="E730" s="61"/>
      <c r="F730" s="61"/>
      <c r="G730" s="67"/>
      <c r="H730" s="60"/>
      <c r="I730" s="60"/>
      <c r="J730" s="61"/>
      <c r="K730" s="61"/>
      <c r="L730" s="60"/>
      <c r="M730" s="74" t="str">
        <f>IF($C730="","",IF($D730="Gider",$E730,IF($L730&lt;&gt;"",$L730,$H730)))</f>
        <v/>
      </c>
      <c r="N730" s="74" t="str">
        <f>IF($C730="","",IF($D730="Gider",$H730,$E730))</f>
        <v/>
      </c>
      <c r="O730" s="73" t="str">
        <f>IF($C730="","",DATE(YEAR($C730),MONTH($C730),1))</f>
        <v/>
      </c>
      <c r="P730" s="65" t="str">
        <f ca="1">IF($C730="","",IF(AND($D730="Gelir",$L730&lt;&gt;"",$T730=""),"TANIMSIZ BORÇLU",IF($T730&lt;&gt;"",IF(OR($E730="",$G730&lt;=0),"EKSİK",IF($I730="Evet","TAHAKKUK NAKİT OLAMAZ",IF($C730&gt;TODAY(),"İLERİ TARİH","TAHAKKUK"))),IF(AND($D730&lt;&gt;"",$E730&lt;&gt;"",$G730&gt;0,$H730&lt;&gt;"",$I730&lt;&gt;""),IF($C730&gt;TODAY(),"İLERİ TARİH",IF(COUNTIF($W$7:$W$3001,$W730)&gt;1,"MÜKERRER?",IF($AD730&gt;0,"KAPALI DÖNEM",IF($I730="Hayır","ÖDENECEK","UYGUN")))),"EKSİK"))))</f>
        <v/>
      </c>
      <c r="Q730" s="2"/>
      <c r="R730" s="2"/>
      <c r="S730" s="1" t="str">
        <f t="shared" si="35"/>
        <v/>
      </c>
      <c r="T730" s="1" t="str">
        <f>IF(OR($C730="",$D730&lt;&gt;"Gelir",$L730=""),"",IFERROR(INDEX(MUSTERILER!$B$7:$B$156,MATCH($S730,MUSTERILER!$T$7:$T$156,0)),""))</f>
        <v/>
      </c>
      <c r="U730" s="1" t="str">
        <f>IF($T730="","",$T730&amp;"|"&amp;COUNTIFS($T$7:$T730,$T730))</f>
        <v/>
      </c>
      <c r="V730" s="1">
        <f t="shared" si="36"/>
        <v>0</v>
      </c>
      <c r="W730" s="1" t="str">
        <f t="shared" si="37"/>
        <v/>
      </c>
      <c r="X730" s="1"/>
      <c r="Y730" s="1"/>
      <c r="Z730" s="1"/>
      <c r="AA730" s="1"/>
      <c r="AB730" s="1"/>
      <c r="AC730" s="1"/>
      <c r="AD730" s="1">
        <f>IF($C730="",0,SUMPRODUCT((AY_SONU!$O$7:$O$42="Evet")*(AY_SONU!$B$7:$B$42=DATE(YEAR($C730),MONTH($C730),1))))</f>
        <v>0</v>
      </c>
      <c r="AE730" s="1" t="str">
        <f>IF($E730="","",$E730&amp;"|"&amp;COUNTIFS($E$7:$E730,$E730))</f>
        <v/>
      </c>
    </row>
    <row r="731" spans="1:31" ht="18" customHeight="1" x14ac:dyDescent="0.3">
      <c r="A731" s="2"/>
      <c r="B731" s="65" t="str">
        <f>IF($C731="","","GG"&amp;TEXT(ROW()-6,"00000"))</f>
        <v/>
      </c>
      <c r="C731" s="66"/>
      <c r="D731" s="60"/>
      <c r="E731" s="61"/>
      <c r="F731" s="61"/>
      <c r="G731" s="67"/>
      <c r="H731" s="60"/>
      <c r="I731" s="60"/>
      <c r="J731" s="61"/>
      <c r="K731" s="61"/>
      <c r="L731" s="60"/>
      <c r="M731" s="74" t="str">
        <f>IF($C731="","",IF($D731="Gider",$E731,IF($L731&lt;&gt;"",$L731,$H731)))</f>
        <v/>
      </c>
      <c r="N731" s="74" t="str">
        <f>IF($C731="","",IF($D731="Gider",$H731,$E731))</f>
        <v/>
      </c>
      <c r="O731" s="73" t="str">
        <f>IF($C731="","",DATE(YEAR($C731),MONTH($C731),1))</f>
        <v/>
      </c>
      <c r="P731" s="65" t="str">
        <f ca="1">IF($C731="","",IF(AND($D731="Gelir",$L731&lt;&gt;"",$T731=""),"TANIMSIZ BORÇLU",IF($T731&lt;&gt;"",IF(OR($E731="",$G731&lt;=0),"EKSİK",IF($I731="Evet","TAHAKKUK NAKİT OLAMAZ",IF($C731&gt;TODAY(),"İLERİ TARİH","TAHAKKUK"))),IF(AND($D731&lt;&gt;"",$E731&lt;&gt;"",$G731&gt;0,$H731&lt;&gt;"",$I731&lt;&gt;""),IF($C731&gt;TODAY(),"İLERİ TARİH",IF(COUNTIF($W$7:$W$3001,$W731)&gt;1,"MÜKERRER?",IF($AD731&gt;0,"KAPALI DÖNEM",IF($I731="Hayır","ÖDENECEK","UYGUN")))),"EKSİK"))))</f>
        <v/>
      </c>
      <c r="Q731" s="2"/>
      <c r="R731" s="2"/>
      <c r="S731" s="1" t="str">
        <f t="shared" si="35"/>
        <v/>
      </c>
      <c r="T731" s="1" t="str">
        <f>IF(OR($C731="",$D731&lt;&gt;"Gelir",$L731=""),"",IFERROR(INDEX(MUSTERILER!$B$7:$B$156,MATCH($S731,MUSTERILER!$T$7:$T$156,0)),""))</f>
        <v/>
      </c>
      <c r="U731" s="1" t="str">
        <f>IF($T731="","",$T731&amp;"|"&amp;COUNTIFS($T$7:$T731,$T731))</f>
        <v/>
      </c>
      <c r="V731" s="1">
        <f t="shared" si="36"/>
        <v>0</v>
      </c>
      <c r="W731" s="1" t="str">
        <f t="shared" si="37"/>
        <v/>
      </c>
      <c r="X731" s="1"/>
      <c r="Y731" s="1"/>
      <c r="Z731" s="1"/>
      <c r="AA731" s="1"/>
      <c r="AB731" s="1"/>
      <c r="AC731" s="1"/>
      <c r="AD731" s="1">
        <f>IF($C731="",0,SUMPRODUCT((AY_SONU!$O$7:$O$42="Evet")*(AY_SONU!$B$7:$B$42=DATE(YEAR($C731),MONTH($C731),1))))</f>
        <v>0</v>
      </c>
      <c r="AE731" s="1" t="str">
        <f>IF($E731="","",$E731&amp;"|"&amp;COUNTIFS($E$7:$E731,$E731))</f>
        <v/>
      </c>
    </row>
    <row r="732" spans="1:31" ht="18" customHeight="1" x14ac:dyDescent="0.3">
      <c r="A732" s="2"/>
      <c r="B732" s="65" t="str">
        <f>IF($C732="","","GG"&amp;TEXT(ROW()-6,"00000"))</f>
        <v/>
      </c>
      <c r="C732" s="66"/>
      <c r="D732" s="60"/>
      <c r="E732" s="61"/>
      <c r="F732" s="61"/>
      <c r="G732" s="67"/>
      <c r="H732" s="60"/>
      <c r="I732" s="60"/>
      <c r="J732" s="61"/>
      <c r="K732" s="61"/>
      <c r="L732" s="60"/>
      <c r="M732" s="74" t="str">
        <f>IF($C732="","",IF($D732="Gider",$E732,IF($L732&lt;&gt;"",$L732,$H732)))</f>
        <v/>
      </c>
      <c r="N732" s="74" t="str">
        <f>IF($C732="","",IF($D732="Gider",$H732,$E732))</f>
        <v/>
      </c>
      <c r="O732" s="73" t="str">
        <f>IF($C732="","",DATE(YEAR($C732),MONTH($C732),1))</f>
        <v/>
      </c>
      <c r="P732" s="65" t="str">
        <f ca="1">IF($C732="","",IF(AND($D732="Gelir",$L732&lt;&gt;"",$T732=""),"TANIMSIZ BORÇLU",IF($T732&lt;&gt;"",IF(OR($E732="",$G732&lt;=0),"EKSİK",IF($I732="Evet","TAHAKKUK NAKİT OLAMAZ",IF($C732&gt;TODAY(),"İLERİ TARİH","TAHAKKUK"))),IF(AND($D732&lt;&gt;"",$E732&lt;&gt;"",$G732&gt;0,$H732&lt;&gt;"",$I732&lt;&gt;""),IF($C732&gt;TODAY(),"İLERİ TARİH",IF(COUNTIF($W$7:$W$3001,$W732)&gt;1,"MÜKERRER?",IF($AD732&gt;0,"KAPALI DÖNEM",IF($I732="Hayır","ÖDENECEK","UYGUN")))),"EKSİK"))))</f>
        <v/>
      </c>
      <c r="Q732" s="2"/>
      <c r="R732" s="2"/>
      <c r="S732" s="1" t="str">
        <f t="shared" si="35"/>
        <v/>
      </c>
      <c r="T732" s="1" t="str">
        <f>IF(OR($C732="",$D732&lt;&gt;"Gelir",$L732=""),"",IFERROR(INDEX(MUSTERILER!$B$7:$B$156,MATCH($S732,MUSTERILER!$T$7:$T$156,0)),""))</f>
        <v/>
      </c>
      <c r="U732" s="1" t="str">
        <f>IF($T732="","",$T732&amp;"|"&amp;COUNTIFS($T$7:$T732,$T732))</f>
        <v/>
      </c>
      <c r="V732" s="1">
        <f t="shared" si="36"/>
        <v>0</v>
      </c>
      <c r="W732" s="1" t="str">
        <f t="shared" si="37"/>
        <v/>
      </c>
      <c r="X732" s="1"/>
      <c r="Y732" s="1"/>
      <c r="Z732" s="1"/>
      <c r="AA732" s="1"/>
      <c r="AB732" s="1"/>
      <c r="AC732" s="1"/>
      <c r="AD732" s="1">
        <f>IF($C732="",0,SUMPRODUCT((AY_SONU!$O$7:$O$42="Evet")*(AY_SONU!$B$7:$B$42=DATE(YEAR($C732),MONTH($C732),1))))</f>
        <v>0</v>
      </c>
      <c r="AE732" s="1" t="str">
        <f>IF($E732="","",$E732&amp;"|"&amp;COUNTIFS($E$7:$E732,$E732))</f>
        <v/>
      </c>
    </row>
    <row r="733" spans="1:31" ht="18" customHeight="1" x14ac:dyDescent="0.3">
      <c r="A733" s="2"/>
      <c r="B733" s="65" t="str">
        <f>IF($C733="","","GG"&amp;TEXT(ROW()-6,"00000"))</f>
        <v/>
      </c>
      <c r="C733" s="66"/>
      <c r="D733" s="60"/>
      <c r="E733" s="61"/>
      <c r="F733" s="61"/>
      <c r="G733" s="67"/>
      <c r="H733" s="60"/>
      <c r="I733" s="60"/>
      <c r="J733" s="61"/>
      <c r="K733" s="61"/>
      <c r="L733" s="60"/>
      <c r="M733" s="74" t="str">
        <f>IF($C733="","",IF($D733="Gider",$E733,IF($L733&lt;&gt;"",$L733,$H733)))</f>
        <v/>
      </c>
      <c r="N733" s="74" t="str">
        <f>IF($C733="","",IF($D733="Gider",$H733,$E733))</f>
        <v/>
      </c>
      <c r="O733" s="73" t="str">
        <f>IF($C733="","",DATE(YEAR($C733),MONTH($C733),1))</f>
        <v/>
      </c>
      <c r="P733" s="65" t="str">
        <f ca="1">IF($C733="","",IF(AND($D733="Gelir",$L733&lt;&gt;"",$T733=""),"TANIMSIZ BORÇLU",IF($T733&lt;&gt;"",IF(OR($E733="",$G733&lt;=0),"EKSİK",IF($I733="Evet","TAHAKKUK NAKİT OLAMAZ",IF($C733&gt;TODAY(),"İLERİ TARİH","TAHAKKUK"))),IF(AND($D733&lt;&gt;"",$E733&lt;&gt;"",$G733&gt;0,$H733&lt;&gt;"",$I733&lt;&gt;""),IF($C733&gt;TODAY(),"İLERİ TARİH",IF(COUNTIF($W$7:$W$3001,$W733)&gt;1,"MÜKERRER?",IF($AD733&gt;0,"KAPALI DÖNEM",IF($I733="Hayır","ÖDENECEK","UYGUN")))),"EKSİK"))))</f>
        <v/>
      </c>
      <c r="Q733" s="2"/>
      <c r="R733" s="2"/>
      <c r="S733" s="1" t="str">
        <f t="shared" si="35"/>
        <v/>
      </c>
      <c r="T733" s="1" t="str">
        <f>IF(OR($C733="",$D733&lt;&gt;"Gelir",$L733=""),"",IFERROR(INDEX(MUSTERILER!$B$7:$B$156,MATCH($S733,MUSTERILER!$T$7:$T$156,0)),""))</f>
        <v/>
      </c>
      <c r="U733" s="1" t="str">
        <f>IF($T733="","",$T733&amp;"|"&amp;COUNTIFS($T$7:$T733,$T733))</f>
        <v/>
      </c>
      <c r="V733" s="1">
        <f t="shared" si="36"/>
        <v>0</v>
      </c>
      <c r="W733" s="1" t="str">
        <f t="shared" si="37"/>
        <v/>
      </c>
      <c r="X733" s="1"/>
      <c r="Y733" s="1"/>
      <c r="Z733" s="1"/>
      <c r="AA733" s="1"/>
      <c r="AB733" s="1"/>
      <c r="AC733" s="1"/>
      <c r="AD733" s="1">
        <f>IF($C733="",0,SUMPRODUCT((AY_SONU!$O$7:$O$42="Evet")*(AY_SONU!$B$7:$B$42=DATE(YEAR($C733),MONTH($C733),1))))</f>
        <v>0</v>
      </c>
      <c r="AE733" s="1" t="str">
        <f>IF($E733="","",$E733&amp;"|"&amp;COUNTIFS($E$7:$E733,$E733))</f>
        <v/>
      </c>
    </row>
    <row r="734" spans="1:31" ht="18" customHeight="1" x14ac:dyDescent="0.3">
      <c r="A734" s="2"/>
      <c r="B734" s="65" t="str">
        <f>IF($C734="","","GG"&amp;TEXT(ROW()-6,"00000"))</f>
        <v/>
      </c>
      <c r="C734" s="66"/>
      <c r="D734" s="60"/>
      <c r="E734" s="61"/>
      <c r="F734" s="61"/>
      <c r="G734" s="67"/>
      <c r="H734" s="60"/>
      <c r="I734" s="60"/>
      <c r="J734" s="61"/>
      <c r="K734" s="61"/>
      <c r="L734" s="60"/>
      <c r="M734" s="74" t="str">
        <f>IF($C734="","",IF($D734="Gider",$E734,IF($L734&lt;&gt;"",$L734,$H734)))</f>
        <v/>
      </c>
      <c r="N734" s="74" t="str">
        <f>IF($C734="","",IF($D734="Gider",$H734,$E734))</f>
        <v/>
      </c>
      <c r="O734" s="73" t="str">
        <f>IF($C734="","",DATE(YEAR($C734),MONTH($C734),1))</f>
        <v/>
      </c>
      <c r="P734" s="65" t="str">
        <f ca="1">IF($C734="","",IF(AND($D734="Gelir",$L734&lt;&gt;"",$T734=""),"TANIMSIZ BORÇLU",IF($T734&lt;&gt;"",IF(OR($E734="",$G734&lt;=0),"EKSİK",IF($I734="Evet","TAHAKKUK NAKİT OLAMAZ",IF($C734&gt;TODAY(),"İLERİ TARİH","TAHAKKUK"))),IF(AND($D734&lt;&gt;"",$E734&lt;&gt;"",$G734&gt;0,$H734&lt;&gt;"",$I734&lt;&gt;""),IF($C734&gt;TODAY(),"İLERİ TARİH",IF(COUNTIF($W$7:$W$3001,$W734)&gt;1,"MÜKERRER?",IF($AD734&gt;0,"KAPALI DÖNEM",IF($I734="Hayır","ÖDENECEK","UYGUN")))),"EKSİK"))))</f>
        <v/>
      </c>
      <c r="Q734" s="2"/>
      <c r="R734" s="2"/>
      <c r="S734" s="1" t="str">
        <f t="shared" si="35"/>
        <v/>
      </c>
      <c r="T734" s="1" t="str">
        <f>IF(OR($C734="",$D734&lt;&gt;"Gelir",$L734=""),"",IFERROR(INDEX(MUSTERILER!$B$7:$B$156,MATCH($S734,MUSTERILER!$T$7:$T$156,0)),""))</f>
        <v/>
      </c>
      <c r="U734" s="1" t="str">
        <f>IF($T734="","",$T734&amp;"|"&amp;COUNTIFS($T$7:$T734,$T734))</f>
        <v/>
      </c>
      <c r="V734" s="1">
        <f t="shared" si="36"/>
        <v>0</v>
      </c>
      <c r="W734" s="1" t="str">
        <f t="shared" si="37"/>
        <v/>
      </c>
      <c r="X734" s="1"/>
      <c r="Y734" s="1"/>
      <c r="Z734" s="1"/>
      <c r="AA734" s="1"/>
      <c r="AB734" s="1"/>
      <c r="AC734" s="1"/>
      <c r="AD734" s="1">
        <f>IF($C734="",0,SUMPRODUCT((AY_SONU!$O$7:$O$42="Evet")*(AY_SONU!$B$7:$B$42=DATE(YEAR($C734),MONTH($C734),1))))</f>
        <v>0</v>
      </c>
      <c r="AE734" s="1" t="str">
        <f>IF($E734="","",$E734&amp;"|"&amp;COUNTIFS($E$7:$E734,$E734))</f>
        <v/>
      </c>
    </row>
    <row r="735" spans="1:31" ht="18" customHeight="1" x14ac:dyDescent="0.3">
      <c r="A735" s="2"/>
      <c r="B735" s="65" t="str">
        <f>IF($C735="","","GG"&amp;TEXT(ROW()-6,"00000"))</f>
        <v/>
      </c>
      <c r="C735" s="66"/>
      <c r="D735" s="60"/>
      <c r="E735" s="61"/>
      <c r="F735" s="61"/>
      <c r="G735" s="67"/>
      <c r="H735" s="60"/>
      <c r="I735" s="60"/>
      <c r="J735" s="61"/>
      <c r="K735" s="61"/>
      <c r="L735" s="60"/>
      <c r="M735" s="74" t="str">
        <f>IF($C735="","",IF($D735="Gider",$E735,IF($L735&lt;&gt;"",$L735,$H735)))</f>
        <v/>
      </c>
      <c r="N735" s="74" t="str">
        <f>IF($C735="","",IF($D735="Gider",$H735,$E735))</f>
        <v/>
      </c>
      <c r="O735" s="73" t="str">
        <f>IF($C735="","",DATE(YEAR($C735),MONTH($C735),1))</f>
        <v/>
      </c>
      <c r="P735" s="65" t="str">
        <f ca="1">IF($C735="","",IF(AND($D735="Gelir",$L735&lt;&gt;"",$T735=""),"TANIMSIZ BORÇLU",IF($T735&lt;&gt;"",IF(OR($E735="",$G735&lt;=0),"EKSİK",IF($I735="Evet","TAHAKKUK NAKİT OLAMAZ",IF($C735&gt;TODAY(),"İLERİ TARİH","TAHAKKUK"))),IF(AND($D735&lt;&gt;"",$E735&lt;&gt;"",$G735&gt;0,$H735&lt;&gt;"",$I735&lt;&gt;""),IF($C735&gt;TODAY(),"İLERİ TARİH",IF(COUNTIF($W$7:$W$3001,$W735)&gt;1,"MÜKERRER?",IF($AD735&gt;0,"KAPALI DÖNEM",IF($I735="Hayır","ÖDENECEK","UYGUN")))),"EKSİK"))))</f>
        <v/>
      </c>
      <c r="Q735" s="2"/>
      <c r="R735" s="2"/>
      <c r="S735" s="1" t="str">
        <f t="shared" si="35"/>
        <v/>
      </c>
      <c r="T735" s="1" t="str">
        <f>IF(OR($C735="",$D735&lt;&gt;"Gelir",$L735=""),"",IFERROR(INDEX(MUSTERILER!$B$7:$B$156,MATCH($S735,MUSTERILER!$T$7:$T$156,0)),""))</f>
        <v/>
      </c>
      <c r="U735" s="1" t="str">
        <f>IF($T735="","",$T735&amp;"|"&amp;COUNTIFS($T$7:$T735,$T735))</f>
        <v/>
      </c>
      <c r="V735" s="1">
        <f t="shared" si="36"/>
        <v>0</v>
      </c>
      <c r="W735" s="1" t="str">
        <f t="shared" si="37"/>
        <v/>
      </c>
      <c r="X735" s="1"/>
      <c r="Y735" s="1"/>
      <c r="Z735" s="1"/>
      <c r="AA735" s="1"/>
      <c r="AB735" s="1"/>
      <c r="AC735" s="1"/>
      <c r="AD735" s="1">
        <f>IF($C735="",0,SUMPRODUCT((AY_SONU!$O$7:$O$42="Evet")*(AY_SONU!$B$7:$B$42=DATE(YEAR($C735),MONTH($C735),1))))</f>
        <v>0</v>
      </c>
      <c r="AE735" s="1" t="str">
        <f>IF($E735="","",$E735&amp;"|"&amp;COUNTIFS($E$7:$E735,$E735))</f>
        <v/>
      </c>
    </row>
    <row r="736" spans="1:31" ht="18" customHeight="1" x14ac:dyDescent="0.3">
      <c r="A736" s="2"/>
      <c r="B736" s="65" t="str">
        <f>IF($C736="","","GG"&amp;TEXT(ROW()-6,"00000"))</f>
        <v/>
      </c>
      <c r="C736" s="66"/>
      <c r="D736" s="60"/>
      <c r="E736" s="61"/>
      <c r="F736" s="61"/>
      <c r="G736" s="67"/>
      <c r="H736" s="60"/>
      <c r="I736" s="60"/>
      <c r="J736" s="61"/>
      <c r="K736" s="61"/>
      <c r="L736" s="60"/>
      <c r="M736" s="74" t="str">
        <f>IF($C736="","",IF($D736="Gider",$E736,IF($L736&lt;&gt;"",$L736,$H736)))</f>
        <v/>
      </c>
      <c r="N736" s="74" t="str">
        <f>IF($C736="","",IF($D736="Gider",$H736,$E736))</f>
        <v/>
      </c>
      <c r="O736" s="73" t="str">
        <f>IF($C736="","",DATE(YEAR($C736),MONTH($C736),1))</f>
        <v/>
      </c>
      <c r="P736" s="65" t="str">
        <f ca="1">IF($C736="","",IF(AND($D736="Gelir",$L736&lt;&gt;"",$T736=""),"TANIMSIZ BORÇLU",IF($T736&lt;&gt;"",IF(OR($E736="",$G736&lt;=0),"EKSİK",IF($I736="Evet","TAHAKKUK NAKİT OLAMAZ",IF($C736&gt;TODAY(),"İLERİ TARİH","TAHAKKUK"))),IF(AND($D736&lt;&gt;"",$E736&lt;&gt;"",$G736&gt;0,$H736&lt;&gt;"",$I736&lt;&gt;""),IF($C736&gt;TODAY(),"İLERİ TARİH",IF(COUNTIF($W$7:$W$3001,$W736)&gt;1,"MÜKERRER?",IF($AD736&gt;0,"KAPALI DÖNEM",IF($I736="Hayır","ÖDENECEK","UYGUN")))),"EKSİK"))))</f>
        <v/>
      </c>
      <c r="Q736" s="2"/>
      <c r="R736" s="2"/>
      <c r="S736" s="1" t="str">
        <f t="shared" si="35"/>
        <v/>
      </c>
      <c r="T736" s="1" t="str">
        <f>IF(OR($C736="",$D736&lt;&gt;"Gelir",$L736=""),"",IFERROR(INDEX(MUSTERILER!$B$7:$B$156,MATCH($S736,MUSTERILER!$T$7:$T$156,0)),""))</f>
        <v/>
      </c>
      <c r="U736" s="1" t="str">
        <f>IF($T736="","",$T736&amp;"|"&amp;COUNTIFS($T$7:$T736,$T736))</f>
        <v/>
      </c>
      <c r="V736" s="1">
        <f t="shared" si="36"/>
        <v>0</v>
      </c>
      <c r="W736" s="1" t="str">
        <f t="shared" si="37"/>
        <v/>
      </c>
      <c r="X736" s="1"/>
      <c r="Y736" s="1"/>
      <c r="Z736" s="1"/>
      <c r="AA736" s="1"/>
      <c r="AB736" s="1"/>
      <c r="AC736" s="1"/>
      <c r="AD736" s="1">
        <f>IF($C736="",0,SUMPRODUCT((AY_SONU!$O$7:$O$42="Evet")*(AY_SONU!$B$7:$B$42=DATE(YEAR($C736),MONTH($C736),1))))</f>
        <v>0</v>
      </c>
      <c r="AE736" s="1" t="str">
        <f>IF($E736="","",$E736&amp;"|"&amp;COUNTIFS($E$7:$E736,$E736))</f>
        <v/>
      </c>
    </row>
    <row r="737" spans="1:31" ht="18" customHeight="1" x14ac:dyDescent="0.3">
      <c r="A737" s="2"/>
      <c r="B737" s="65" t="str">
        <f>IF($C737="","","GG"&amp;TEXT(ROW()-6,"00000"))</f>
        <v/>
      </c>
      <c r="C737" s="66"/>
      <c r="D737" s="60"/>
      <c r="E737" s="61"/>
      <c r="F737" s="61"/>
      <c r="G737" s="67"/>
      <c r="H737" s="60"/>
      <c r="I737" s="60"/>
      <c r="J737" s="61"/>
      <c r="K737" s="61"/>
      <c r="L737" s="60"/>
      <c r="M737" s="74" t="str">
        <f>IF($C737="","",IF($D737="Gider",$E737,IF($L737&lt;&gt;"",$L737,$H737)))</f>
        <v/>
      </c>
      <c r="N737" s="74" t="str">
        <f>IF($C737="","",IF($D737="Gider",$H737,$E737))</f>
        <v/>
      </c>
      <c r="O737" s="73" t="str">
        <f>IF($C737="","",DATE(YEAR($C737),MONTH($C737),1))</f>
        <v/>
      </c>
      <c r="P737" s="65" t="str">
        <f ca="1">IF($C737="","",IF(AND($D737="Gelir",$L737&lt;&gt;"",$T737=""),"TANIMSIZ BORÇLU",IF($T737&lt;&gt;"",IF(OR($E737="",$G737&lt;=0),"EKSİK",IF($I737="Evet","TAHAKKUK NAKİT OLAMAZ",IF($C737&gt;TODAY(),"İLERİ TARİH","TAHAKKUK"))),IF(AND($D737&lt;&gt;"",$E737&lt;&gt;"",$G737&gt;0,$H737&lt;&gt;"",$I737&lt;&gt;""),IF($C737&gt;TODAY(),"İLERİ TARİH",IF(COUNTIF($W$7:$W$3001,$W737)&gt;1,"MÜKERRER?",IF($AD737&gt;0,"KAPALI DÖNEM",IF($I737="Hayır","ÖDENECEK","UYGUN")))),"EKSİK"))))</f>
        <v/>
      </c>
      <c r="Q737" s="2"/>
      <c r="R737" s="2"/>
      <c r="S737" s="1" t="str">
        <f t="shared" si="35"/>
        <v/>
      </c>
      <c r="T737" s="1" t="str">
        <f>IF(OR($C737="",$D737&lt;&gt;"Gelir",$L737=""),"",IFERROR(INDEX(MUSTERILER!$B$7:$B$156,MATCH($S737,MUSTERILER!$T$7:$T$156,0)),""))</f>
        <v/>
      </c>
      <c r="U737" s="1" t="str">
        <f>IF($T737="","",$T737&amp;"|"&amp;COUNTIFS($T$7:$T737,$T737))</f>
        <v/>
      </c>
      <c r="V737" s="1">
        <f t="shared" si="36"/>
        <v>0</v>
      </c>
      <c r="W737" s="1" t="str">
        <f t="shared" si="37"/>
        <v/>
      </c>
      <c r="X737" s="1"/>
      <c r="Y737" s="1"/>
      <c r="Z737" s="1"/>
      <c r="AA737" s="1"/>
      <c r="AB737" s="1"/>
      <c r="AC737" s="1"/>
      <c r="AD737" s="1">
        <f>IF($C737="",0,SUMPRODUCT((AY_SONU!$O$7:$O$42="Evet")*(AY_SONU!$B$7:$B$42=DATE(YEAR($C737),MONTH($C737),1))))</f>
        <v>0</v>
      </c>
      <c r="AE737" s="1" t="str">
        <f>IF($E737="","",$E737&amp;"|"&amp;COUNTIFS($E$7:$E737,$E737))</f>
        <v/>
      </c>
    </row>
    <row r="738" spans="1:31" ht="18" customHeight="1" x14ac:dyDescent="0.3">
      <c r="A738" s="2"/>
      <c r="B738" s="65" t="str">
        <f>IF($C738="","","GG"&amp;TEXT(ROW()-6,"00000"))</f>
        <v/>
      </c>
      <c r="C738" s="66"/>
      <c r="D738" s="60"/>
      <c r="E738" s="61"/>
      <c r="F738" s="61"/>
      <c r="G738" s="67"/>
      <c r="H738" s="60"/>
      <c r="I738" s="60"/>
      <c r="J738" s="61"/>
      <c r="K738" s="61"/>
      <c r="L738" s="60"/>
      <c r="M738" s="74" t="str">
        <f>IF($C738="","",IF($D738="Gider",$E738,IF($L738&lt;&gt;"",$L738,$H738)))</f>
        <v/>
      </c>
      <c r="N738" s="74" t="str">
        <f>IF($C738="","",IF($D738="Gider",$H738,$E738))</f>
        <v/>
      </c>
      <c r="O738" s="73" t="str">
        <f>IF($C738="","",DATE(YEAR($C738),MONTH($C738),1))</f>
        <v/>
      </c>
      <c r="P738" s="65" t="str">
        <f ca="1">IF($C738="","",IF(AND($D738="Gelir",$L738&lt;&gt;"",$T738=""),"TANIMSIZ BORÇLU",IF($T738&lt;&gt;"",IF(OR($E738="",$G738&lt;=0),"EKSİK",IF($I738="Evet","TAHAKKUK NAKİT OLAMAZ",IF($C738&gt;TODAY(),"İLERİ TARİH","TAHAKKUK"))),IF(AND($D738&lt;&gt;"",$E738&lt;&gt;"",$G738&gt;0,$H738&lt;&gt;"",$I738&lt;&gt;""),IF($C738&gt;TODAY(),"İLERİ TARİH",IF(COUNTIF($W$7:$W$3001,$W738)&gt;1,"MÜKERRER?",IF($AD738&gt;0,"KAPALI DÖNEM",IF($I738="Hayır","ÖDENECEK","UYGUN")))),"EKSİK"))))</f>
        <v/>
      </c>
      <c r="Q738" s="2"/>
      <c r="R738" s="2"/>
      <c r="S738" s="1" t="str">
        <f t="shared" si="35"/>
        <v/>
      </c>
      <c r="T738" s="1" t="str">
        <f>IF(OR($C738="",$D738&lt;&gt;"Gelir",$L738=""),"",IFERROR(INDEX(MUSTERILER!$B$7:$B$156,MATCH($S738,MUSTERILER!$T$7:$T$156,0)),""))</f>
        <v/>
      </c>
      <c r="U738" s="1" t="str">
        <f>IF($T738="","",$T738&amp;"|"&amp;COUNTIFS($T$7:$T738,$T738))</f>
        <v/>
      </c>
      <c r="V738" s="1">
        <f t="shared" si="36"/>
        <v>0</v>
      </c>
      <c r="W738" s="1" t="str">
        <f t="shared" si="37"/>
        <v/>
      </c>
      <c r="X738" s="1"/>
      <c r="Y738" s="1"/>
      <c r="Z738" s="1"/>
      <c r="AA738" s="1"/>
      <c r="AB738" s="1"/>
      <c r="AC738" s="1"/>
      <c r="AD738" s="1">
        <f>IF($C738="",0,SUMPRODUCT((AY_SONU!$O$7:$O$42="Evet")*(AY_SONU!$B$7:$B$42=DATE(YEAR($C738),MONTH($C738),1))))</f>
        <v>0</v>
      </c>
      <c r="AE738" s="1" t="str">
        <f>IF($E738="","",$E738&amp;"|"&amp;COUNTIFS($E$7:$E738,$E738))</f>
        <v/>
      </c>
    </row>
    <row r="739" spans="1:31" ht="18" customHeight="1" x14ac:dyDescent="0.3">
      <c r="A739" s="2"/>
      <c r="B739" s="65" t="str">
        <f>IF($C739="","","GG"&amp;TEXT(ROW()-6,"00000"))</f>
        <v/>
      </c>
      <c r="C739" s="66"/>
      <c r="D739" s="60"/>
      <c r="E739" s="61"/>
      <c r="F739" s="61"/>
      <c r="G739" s="67"/>
      <c r="H739" s="60"/>
      <c r="I739" s="60"/>
      <c r="J739" s="61"/>
      <c r="K739" s="61"/>
      <c r="L739" s="60"/>
      <c r="M739" s="74" t="str">
        <f>IF($C739="","",IF($D739="Gider",$E739,IF($L739&lt;&gt;"",$L739,$H739)))</f>
        <v/>
      </c>
      <c r="N739" s="74" t="str">
        <f>IF($C739="","",IF($D739="Gider",$H739,$E739))</f>
        <v/>
      </c>
      <c r="O739" s="73" t="str">
        <f>IF($C739="","",DATE(YEAR($C739),MONTH($C739),1))</f>
        <v/>
      </c>
      <c r="P739" s="65" t="str">
        <f ca="1">IF($C739="","",IF(AND($D739="Gelir",$L739&lt;&gt;"",$T739=""),"TANIMSIZ BORÇLU",IF($T739&lt;&gt;"",IF(OR($E739="",$G739&lt;=0),"EKSİK",IF($I739="Evet","TAHAKKUK NAKİT OLAMAZ",IF($C739&gt;TODAY(),"İLERİ TARİH","TAHAKKUK"))),IF(AND($D739&lt;&gt;"",$E739&lt;&gt;"",$G739&gt;0,$H739&lt;&gt;"",$I739&lt;&gt;""),IF($C739&gt;TODAY(),"İLERİ TARİH",IF(COUNTIF($W$7:$W$3001,$W739)&gt;1,"MÜKERRER?",IF($AD739&gt;0,"KAPALI DÖNEM",IF($I739="Hayır","ÖDENECEK","UYGUN")))),"EKSİK"))))</f>
        <v/>
      </c>
      <c r="Q739" s="2"/>
      <c r="R739" s="2"/>
      <c r="S739" s="1" t="str">
        <f t="shared" si="35"/>
        <v/>
      </c>
      <c r="T739" s="1" t="str">
        <f>IF(OR($C739="",$D739&lt;&gt;"Gelir",$L739=""),"",IFERROR(INDEX(MUSTERILER!$B$7:$B$156,MATCH($S739,MUSTERILER!$T$7:$T$156,0)),""))</f>
        <v/>
      </c>
      <c r="U739" s="1" t="str">
        <f>IF($T739="","",$T739&amp;"|"&amp;COUNTIFS($T$7:$T739,$T739))</f>
        <v/>
      </c>
      <c r="V739" s="1">
        <f t="shared" si="36"/>
        <v>0</v>
      </c>
      <c r="W739" s="1" t="str">
        <f t="shared" si="37"/>
        <v/>
      </c>
      <c r="X739" s="1"/>
      <c r="Y739" s="1"/>
      <c r="Z739" s="1"/>
      <c r="AA739" s="1"/>
      <c r="AB739" s="1"/>
      <c r="AC739" s="1"/>
      <c r="AD739" s="1">
        <f>IF($C739="",0,SUMPRODUCT((AY_SONU!$O$7:$O$42="Evet")*(AY_SONU!$B$7:$B$42=DATE(YEAR($C739),MONTH($C739),1))))</f>
        <v>0</v>
      </c>
      <c r="AE739" s="1" t="str">
        <f>IF($E739="","",$E739&amp;"|"&amp;COUNTIFS($E$7:$E739,$E739))</f>
        <v/>
      </c>
    </row>
    <row r="740" spans="1:31" ht="18" customHeight="1" x14ac:dyDescent="0.3">
      <c r="A740" s="2"/>
      <c r="B740" s="65" t="str">
        <f>IF($C740="","","GG"&amp;TEXT(ROW()-6,"00000"))</f>
        <v/>
      </c>
      <c r="C740" s="66"/>
      <c r="D740" s="60"/>
      <c r="E740" s="61"/>
      <c r="F740" s="61"/>
      <c r="G740" s="67"/>
      <c r="H740" s="60"/>
      <c r="I740" s="60"/>
      <c r="J740" s="61"/>
      <c r="K740" s="61"/>
      <c r="L740" s="60"/>
      <c r="M740" s="74" t="str">
        <f>IF($C740="","",IF($D740="Gider",$E740,IF($L740&lt;&gt;"",$L740,$H740)))</f>
        <v/>
      </c>
      <c r="N740" s="74" t="str">
        <f>IF($C740="","",IF($D740="Gider",$H740,$E740))</f>
        <v/>
      </c>
      <c r="O740" s="73" t="str">
        <f>IF($C740="","",DATE(YEAR($C740),MONTH($C740),1))</f>
        <v/>
      </c>
      <c r="P740" s="65" t="str">
        <f ca="1">IF($C740="","",IF(AND($D740="Gelir",$L740&lt;&gt;"",$T740=""),"TANIMSIZ BORÇLU",IF($T740&lt;&gt;"",IF(OR($E740="",$G740&lt;=0),"EKSİK",IF($I740="Evet","TAHAKKUK NAKİT OLAMAZ",IF($C740&gt;TODAY(),"İLERİ TARİH","TAHAKKUK"))),IF(AND($D740&lt;&gt;"",$E740&lt;&gt;"",$G740&gt;0,$H740&lt;&gt;"",$I740&lt;&gt;""),IF($C740&gt;TODAY(),"İLERİ TARİH",IF(COUNTIF($W$7:$W$3001,$W740)&gt;1,"MÜKERRER?",IF($AD740&gt;0,"KAPALI DÖNEM",IF($I740="Hayır","ÖDENECEK","UYGUN")))),"EKSİK"))))</f>
        <v/>
      </c>
      <c r="Q740" s="2"/>
      <c r="R740" s="2"/>
      <c r="S740" s="1" t="str">
        <f t="shared" si="35"/>
        <v/>
      </c>
      <c r="T740" s="1" t="str">
        <f>IF(OR($C740="",$D740&lt;&gt;"Gelir",$L740=""),"",IFERROR(INDEX(MUSTERILER!$B$7:$B$156,MATCH($S740,MUSTERILER!$T$7:$T$156,0)),""))</f>
        <v/>
      </c>
      <c r="U740" s="1" t="str">
        <f>IF($T740="","",$T740&amp;"|"&amp;COUNTIFS($T$7:$T740,$T740))</f>
        <v/>
      </c>
      <c r="V740" s="1">
        <f t="shared" si="36"/>
        <v>0</v>
      </c>
      <c r="W740" s="1" t="str">
        <f t="shared" si="37"/>
        <v/>
      </c>
      <c r="X740" s="1"/>
      <c r="Y740" s="1"/>
      <c r="Z740" s="1"/>
      <c r="AA740" s="1"/>
      <c r="AB740" s="1"/>
      <c r="AC740" s="1"/>
      <c r="AD740" s="1">
        <f>IF($C740="",0,SUMPRODUCT((AY_SONU!$O$7:$O$42="Evet")*(AY_SONU!$B$7:$B$42=DATE(YEAR($C740),MONTH($C740),1))))</f>
        <v>0</v>
      </c>
      <c r="AE740" s="1" t="str">
        <f>IF($E740="","",$E740&amp;"|"&amp;COUNTIFS($E$7:$E740,$E740))</f>
        <v/>
      </c>
    </row>
    <row r="741" spans="1:31" ht="18" customHeight="1" x14ac:dyDescent="0.3">
      <c r="A741" s="2"/>
      <c r="B741" s="65" t="str">
        <f>IF($C741="","","GG"&amp;TEXT(ROW()-6,"00000"))</f>
        <v/>
      </c>
      <c r="C741" s="66"/>
      <c r="D741" s="60"/>
      <c r="E741" s="61"/>
      <c r="F741" s="61"/>
      <c r="G741" s="67"/>
      <c r="H741" s="60"/>
      <c r="I741" s="60"/>
      <c r="J741" s="61"/>
      <c r="K741" s="61"/>
      <c r="L741" s="60"/>
      <c r="M741" s="74" t="str">
        <f>IF($C741="","",IF($D741="Gider",$E741,IF($L741&lt;&gt;"",$L741,$H741)))</f>
        <v/>
      </c>
      <c r="N741" s="74" t="str">
        <f>IF($C741="","",IF($D741="Gider",$H741,$E741))</f>
        <v/>
      </c>
      <c r="O741" s="73" t="str">
        <f>IF($C741="","",DATE(YEAR($C741),MONTH($C741),1))</f>
        <v/>
      </c>
      <c r="P741" s="65" t="str">
        <f ca="1">IF($C741="","",IF(AND($D741="Gelir",$L741&lt;&gt;"",$T741=""),"TANIMSIZ BORÇLU",IF($T741&lt;&gt;"",IF(OR($E741="",$G741&lt;=0),"EKSİK",IF($I741="Evet","TAHAKKUK NAKİT OLAMAZ",IF($C741&gt;TODAY(),"İLERİ TARİH","TAHAKKUK"))),IF(AND($D741&lt;&gt;"",$E741&lt;&gt;"",$G741&gt;0,$H741&lt;&gt;"",$I741&lt;&gt;""),IF($C741&gt;TODAY(),"İLERİ TARİH",IF(COUNTIF($W$7:$W$3001,$W741)&gt;1,"MÜKERRER?",IF($AD741&gt;0,"KAPALI DÖNEM",IF($I741="Hayır","ÖDENECEK","UYGUN")))),"EKSİK"))))</f>
        <v/>
      </c>
      <c r="Q741" s="2"/>
      <c r="R741" s="2"/>
      <c r="S741" s="1" t="str">
        <f t="shared" si="35"/>
        <v/>
      </c>
      <c r="T741" s="1" t="str">
        <f>IF(OR($C741="",$D741&lt;&gt;"Gelir",$L741=""),"",IFERROR(INDEX(MUSTERILER!$B$7:$B$156,MATCH($S741,MUSTERILER!$T$7:$T$156,0)),""))</f>
        <v/>
      </c>
      <c r="U741" s="1" t="str">
        <f>IF($T741="","",$T741&amp;"|"&amp;COUNTIFS($T$7:$T741,$T741))</f>
        <v/>
      </c>
      <c r="V741" s="1">
        <f t="shared" si="36"/>
        <v>0</v>
      </c>
      <c r="W741" s="1" t="str">
        <f t="shared" si="37"/>
        <v/>
      </c>
      <c r="X741" s="1"/>
      <c r="Y741" s="1"/>
      <c r="Z741" s="1"/>
      <c r="AA741" s="1"/>
      <c r="AB741" s="1"/>
      <c r="AC741" s="1"/>
      <c r="AD741" s="1">
        <f>IF($C741="",0,SUMPRODUCT((AY_SONU!$O$7:$O$42="Evet")*(AY_SONU!$B$7:$B$42=DATE(YEAR($C741),MONTH($C741),1))))</f>
        <v>0</v>
      </c>
      <c r="AE741" s="1" t="str">
        <f>IF($E741="","",$E741&amp;"|"&amp;COUNTIFS($E$7:$E741,$E741))</f>
        <v/>
      </c>
    </row>
    <row r="742" spans="1:31" ht="18" customHeight="1" x14ac:dyDescent="0.3">
      <c r="A742" s="2"/>
      <c r="B742" s="65" t="str">
        <f>IF($C742="","","GG"&amp;TEXT(ROW()-6,"00000"))</f>
        <v/>
      </c>
      <c r="C742" s="66"/>
      <c r="D742" s="60"/>
      <c r="E742" s="61"/>
      <c r="F742" s="61"/>
      <c r="G742" s="67"/>
      <c r="H742" s="60"/>
      <c r="I742" s="60"/>
      <c r="J742" s="61"/>
      <c r="K742" s="61"/>
      <c r="L742" s="60"/>
      <c r="M742" s="74" t="str">
        <f>IF($C742="","",IF($D742="Gider",$E742,IF($L742&lt;&gt;"",$L742,$H742)))</f>
        <v/>
      </c>
      <c r="N742" s="74" t="str">
        <f>IF($C742="","",IF($D742="Gider",$H742,$E742))</f>
        <v/>
      </c>
      <c r="O742" s="73" t="str">
        <f>IF($C742="","",DATE(YEAR($C742),MONTH($C742),1))</f>
        <v/>
      </c>
      <c r="P742" s="65" t="str">
        <f ca="1">IF($C742="","",IF(AND($D742="Gelir",$L742&lt;&gt;"",$T742=""),"TANIMSIZ BORÇLU",IF($T742&lt;&gt;"",IF(OR($E742="",$G742&lt;=0),"EKSİK",IF($I742="Evet","TAHAKKUK NAKİT OLAMAZ",IF($C742&gt;TODAY(),"İLERİ TARİH","TAHAKKUK"))),IF(AND($D742&lt;&gt;"",$E742&lt;&gt;"",$G742&gt;0,$H742&lt;&gt;"",$I742&lt;&gt;""),IF($C742&gt;TODAY(),"İLERİ TARİH",IF(COUNTIF($W$7:$W$3001,$W742)&gt;1,"MÜKERRER?",IF($AD742&gt;0,"KAPALI DÖNEM",IF($I742="Hayır","ÖDENECEK","UYGUN")))),"EKSİK"))))</f>
        <v/>
      </c>
      <c r="Q742" s="2"/>
      <c r="R742" s="2"/>
      <c r="S742" s="1" t="str">
        <f t="shared" si="35"/>
        <v/>
      </c>
      <c r="T742" s="1" t="str">
        <f>IF(OR($C742="",$D742&lt;&gt;"Gelir",$L742=""),"",IFERROR(INDEX(MUSTERILER!$B$7:$B$156,MATCH($S742,MUSTERILER!$T$7:$T$156,0)),""))</f>
        <v/>
      </c>
      <c r="U742" s="1" t="str">
        <f>IF($T742="","",$T742&amp;"|"&amp;COUNTIFS($T$7:$T742,$T742))</f>
        <v/>
      </c>
      <c r="V742" s="1">
        <f t="shared" si="36"/>
        <v>0</v>
      </c>
      <c r="W742" s="1" t="str">
        <f t="shared" si="37"/>
        <v/>
      </c>
      <c r="X742" s="1"/>
      <c r="Y742" s="1"/>
      <c r="Z742" s="1"/>
      <c r="AA742" s="1"/>
      <c r="AB742" s="1"/>
      <c r="AC742" s="1"/>
      <c r="AD742" s="1">
        <f>IF($C742="",0,SUMPRODUCT((AY_SONU!$O$7:$O$42="Evet")*(AY_SONU!$B$7:$B$42=DATE(YEAR($C742),MONTH($C742),1))))</f>
        <v>0</v>
      </c>
      <c r="AE742" s="1" t="str">
        <f>IF($E742="","",$E742&amp;"|"&amp;COUNTIFS($E$7:$E742,$E742))</f>
        <v/>
      </c>
    </row>
    <row r="743" spans="1:31" ht="18" customHeight="1" x14ac:dyDescent="0.3">
      <c r="A743" s="2"/>
      <c r="B743" s="65" t="str">
        <f>IF($C743="","","GG"&amp;TEXT(ROW()-6,"00000"))</f>
        <v/>
      </c>
      <c r="C743" s="66"/>
      <c r="D743" s="60"/>
      <c r="E743" s="61"/>
      <c r="F743" s="61"/>
      <c r="G743" s="67"/>
      <c r="H743" s="60"/>
      <c r="I743" s="60"/>
      <c r="J743" s="61"/>
      <c r="K743" s="61"/>
      <c r="L743" s="60"/>
      <c r="M743" s="74" t="str">
        <f>IF($C743="","",IF($D743="Gider",$E743,IF($L743&lt;&gt;"",$L743,$H743)))</f>
        <v/>
      </c>
      <c r="N743" s="74" t="str">
        <f>IF($C743="","",IF($D743="Gider",$H743,$E743))</f>
        <v/>
      </c>
      <c r="O743" s="73" t="str">
        <f>IF($C743="","",DATE(YEAR($C743),MONTH($C743),1))</f>
        <v/>
      </c>
      <c r="P743" s="65" t="str">
        <f ca="1">IF($C743="","",IF(AND($D743="Gelir",$L743&lt;&gt;"",$T743=""),"TANIMSIZ BORÇLU",IF($T743&lt;&gt;"",IF(OR($E743="",$G743&lt;=0),"EKSİK",IF($I743="Evet","TAHAKKUK NAKİT OLAMAZ",IF($C743&gt;TODAY(),"İLERİ TARİH","TAHAKKUK"))),IF(AND($D743&lt;&gt;"",$E743&lt;&gt;"",$G743&gt;0,$H743&lt;&gt;"",$I743&lt;&gt;""),IF($C743&gt;TODAY(),"İLERİ TARİH",IF(COUNTIF($W$7:$W$3001,$W743)&gt;1,"MÜKERRER?",IF($AD743&gt;0,"KAPALI DÖNEM",IF($I743="Hayır","ÖDENECEK","UYGUN")))),"EKSİK"))))</f>
        <v/>
      </c>
      <c r="Q743" s="2"/>
      <c r="R743" s="2"/>
      <c r="S743" s="1" t="str">
        <f t="shared" si="35"/>
        <v/>
      </c>
      <c r="T743" s="1" t="str">
        <f>IF(OR($C743="",$D743&lt;&gt;"Gelir",$L743=""),"",IFERROR(INDEX(MUSTERILER!$B$7:$B$156,MATCH($S743,MUSTERILER!$T$7:$T$156,0)),""))</f>
        <v/>
      </c>
      <c r="U743" s="1" t="str">
        <f>IF($T743="","",$T743&amp;"|"&amp;COUNTIFS($T$7:$T743,$T743))</f>
        <v/>
      </c>
      <c r="V743" s="1">
        <f t="shared" si="36"/>
        <v>0</v>
      </c>
      <c r="W743" s="1" t="str">
        <f t="shared" si="37"/>
        <v/>
      </c>
      <c r="X743" s="1"/>
      <c r="Y743" s="1"/>
      <c r="Z743" s="1"/>
      <c r="AA743" s="1"/>
      <c r="AB743" s="1"/>
      <c r="AC743" s="1"/>
      <c r="AD743" s="1">
        <f>IF($C743="",0,SUMPRODUCT((AY_SONU!$O$7:$O$42="Evet")*(AY_SONU!$B$7:$B$42=DATE(YEAR($C743),MONTH($C743),1))))</f>
        <v>0</v>
      </c>
      <c r="AE743" s="1" t="str">
        <f>IF($E743="","",$E743&amp;"|"&amp;COUNTIFS($E$7:$E743,$E743))</f>
        <v/>
      </c>
    </row>
    <row r="744" spans="1:31" ht="18" customHeight="1" x14ac:dyDescent="0.3">
      <c r="A744" s="2"/>
      <c r="B744" s="65" t="str">
        <f>IF($C744="","","GG"&amp;TEXT(ROW()-6,"00000"))</f>
        <v/>
      </c>
      <c r="C744" s="66"/>
      <c r="D744" s="60"/>
      <c r="E744" s="61"/>
      <c r="F744" s="61"/>
      <c r="G744" s="67"/>
      <c r="H744" s="60"/>
      <c r="I744" s="60"/>
      <c r="J744" s="61"/>
      <c r="K744" s="61"/>
      <c r="L744" s="60"/>
      <c r="M744" s="74" t="str">
        <f>IF($C744="","",IF($D744="Gider",$E744,IF($L744&lt;&gt;"",$L744,$H744)))</f>
        <v/>
      </c>
      <c r="N744" s="74" t="str">
        <f>IF($C744="","",IF($D744="Gider",$H744,$E744))</f>
        <v/>
      </c>
      <c r="O744" s="73" t="str">
        <f>IF($C744="","",DATE(YEAR($C744),MONTH($C744),1))</f>
        <v/>
      </c>
      <c r="P744" s="65" t="str">
        <f ca="1">IF($C744="","",IF(AND($D744="Gelir",$L744&lt;&gt;"",$T744=""),"TANIMSIZ BORÇLU",IF($T744&lt;&gt;"",IF(OR($E744="",$G744&lt;=0),"EKSİK",IF($I744="Evet","TAHAKKUK NAKİT OLAMAZ",IF($C744&gt;TODAY(),"İLERİ TARİH","TAHAKKUK"))),IF(AND($D744&lt;&gt;"",$E744&lt;&gt;"",$G744&gt;0,$H744&lt;&gt;"",$I744&lt;&gt;""),IF($C744&gt;TODAY(),"İLERİ TARİH",IF(COUNTIF($W$7:$W$3001,$W744)&gt;1,"MÜKERRER?",IF($AD744&gt;0,"KAPALI DÖNEM",IF($I744="Hayır","ÖDENECEK","UYGUN")))),"EKSİK"))))</f>
        <v/>
      </c>
      <c r="Q744" s="2"/>
      <c r="R744" s="2"/>
      <c r="S744" s="1" t="str">
        <f t="shared" si="35"/>
        <v/>
      </c>
      <c r="T744" s="1" t="str">
        <f>IF(OR($C744="",$D744&lt;&gt;"Gelir",$L744=""),"",IFERROR(INDEX(MUSTERILER!$B$7:$B$156,MATCH($S744,MUSTERILER!$T$7:$T$156,0)),""))</f>
        <v/>
      </c>
      <c r="U744" s="1" t="str">
        <f>IF($T744="","",$T744&amp;"|"&amp;COUNTIFS($T$7:$T744,$T744))</f>
        <v/>
      </c>
      <c r="V744" s="1">
        <f t="shared" si="36"/>
        <v>0</v>
      </c>
      <c r="W744" s="1" t="str">
        <f t="shared" si="37"/>
        <v/>
      </c>
      <c r="X744" s="1"/>
      <c r="Y744" s="1"/>
      <c r="Z744" s="1"/>
      <c r="AA744" s="1"/>
      <c r="AB744" s="1"/>
      <c r="AC744" s="1"/>
      <c r="AD744" s="1">
        <f>IF($C744="",0,SUMPRODUCT((AY_SONU!$O$7:$O$42="Evet")*(AY_SONU!$B$7:$B$42=DATE(YEAR($C744),MONTH($C744),1))))</f>
        <v>0</v>
      </c>
      <c r="AE744" s="1" t="str">
        <f>IF($E744="","",$E744&amp;"|"&amp;COUNTIFS($E$7:$E744,$E744))</f>
        <v/>
      </c>
    </row>
    <row r="745" spans="1:31" ht="18" customHeight="1" x14ac:dyDescent="0.3">
      <c r="A745" s="2"/>
      <c r="B745" s="65" t="str">
        <f>IF($C745="","","GG"&amp;TEXT(ROW()-6,"00000"))</f>
        <v/>
      </c>
      <c r="C745" s="66"/>
      <c r="D745" s="60"/>
      <c r="E745" s="61"/>
      <c r="F745" s="61"/>
      <c r="G745" s="67"/>
      <c r="H745" s="60"/>
      <c r="I745" s="60"/>
      <c r="J745" s="61"/>
      <c r="K745" s="61"/>
      <c r="L745" s="60"/>
      <c r="M745" s="74" t="str">
        <f>IF($C745="","",IF($D745="Gider",$E745,IF($L745&lt;&gt;"",$L745,$H745)))</f>
        <v/>
      </c>
      <c r="N745" s="74" t="str">
        <f>IF($C745="","",IF($D745="Gider",$H745,$E745))</f>
        <v/>
      </c>
      <c r="O745" s="73" t="str">
        <f>IF($C745="","",DATE(YEAR($C745),MONTH($C745),1))</f>
        <v/>
      </c>
      <c r="P745" s="65" t="str">
        <f ca="1">IF($C745="","",IF(AND($D745="Gelir",$L745&lt;&gt;"",$T745=""),"TANIMSIZ BORÇLU",IF($T745&lt;&gt;"",IF(OR($E745="",$G745&lt;=0),"EKSİK",IF($I745="Evet","TAHAKKUK NAKİT OLAMAZ",IF($C745&gt;TODAY(),"İLERİ TARİH","TAHAKKUK"))),IF(AND($D745&lt;&gt;"",$E745&lt;&gt;"",$G745&gt;0,$H745&lt;&gt;"",$I745&lt;&gt;""),IF($C745&gt;TODAY(),"İLERİ TARİH",IF(COUNTIF($W$7:$W$3001,$W745)&gt;1,"MÜKERRER?",IF($AD745&gt;0,"KAPALI DÖNEM",IF($I745="Hayır","ÖDENECEK","UYGUN")))),"EKSİK"))))</f>
        <v/>
      </c>
      <c r="Q745" s="2"/>
      <c r="R745" s="2"/>
      <c r="S745" s="1" t="str">
        <f t="shared" si="35"/>
        <v/>
      </c>
      <c r="T745" s="1" t="str">
        <f>IF(OR($C745="",$D745&lt;&gt;"Gelir",$L745=""),"",IFERROR(INDEX(MUSTERILER!$B$7:$B$156,MATCH($S745,MUSTERILER!$T$7:$T$156,0)),""))</f>
        <v/>
      </c>
      <c r="U745" s="1" t="str">
        <f>IF($T745="","",$T745&amp;"|"&amp;COUNTIFS($T$7:$T745,$T745))</f>
        <v/>
      </c>
      <c r="V745" s="1">
        <f t="shared" si="36"/>
        <v>0</v>
      </c>
      <c r="W745" s="1" t="str">
        <f t="shared" si="37"/>
        <v/>
      </c>
      <c r="X745" s="1"/>
      <c r="Y745" s="1"/>
      <c r="Z745" s="1"/>
      <c r="AA745" s="1"/>
      <c r="AB745" s="1"/>
      <c r="AC745" s="1"/>
      <c r="AD745" s="1">
        <f>IF($C745="",0,SUMPRODUCT((AY_SONU!$O$7:$O$42="Evet")*(AY_SONU!$B$7:$B$42=DATE(YEAR($C745),MONTH($C745),1))))</f>
        <v>0</v>
      </c>
      <c r="AE745" s="1" t="str">
        <f>IF($E745="","",$E745&amp;"|"&amp;COUNTIFS($E$7:$E745,$E745))</f>
        <v/>
      </c>
    </row>
    <row r="746" spans="1:31" ht="18" customHeight="1" x14ac:dyDescent="0.3">
      <c r="A746" s="2"/>
      <c r="B746" s="65" t="str">
        <f>IF($C746="","","GG"&amp;TEXT(ROW()-6,"00000"))</f>
        <v/>
      </c>
      <c r="C746" s="66"/>
      <c r="D746" s="60"/>
      <c r="E746" s="61"/>
      <c r="F746" s="61"/>
      <c r="G746" s="67"/>
      <c r="H746" s="60"/>
      <c r="I746" s="60"/>
      <c r="J746" s="61"/>
      <c r="K746" s="61"/>
      <c r="L746" s="60"/>
      <c r="M746" s="74" t="str">
        <f>IF($C746="","",IF($D746="Gider",$E746,IF($L746&lt;&gt;"",$L746,$H746)))</f>
        <v/>
      </c>
      <c r="N746" s="74" t="str">
        <f>IF($C746="","",IF($D746="Gider",$H746,$E746))</f>
        <v/>
      </c>
      <c r="O746" s="73" t="str">
        <f>IF($C746="","",DATE(YEAR($C746),MONTH($C746),1))</f>
        <v/>
      </c>
      <c r="P746" s="65" t="str">
        <f ca="1">IF($C746="","",IF(AND($D746="Gelir",$L746&lt;&gt;"",$T746=""),"TANIMSIZ BORÇLU",IF($T746&lt;&gt;"",IF(OR($E746="",$G746&lt;=0),"EKSİK",IF($I746="Evet","TAHAKKUK NAKİT OLAMAZ",IF($C746&gt;TODAY(),"İLERİ TARİH","TAHAKKUK"))),IF(AND($D746&lt;&gt;"",$E746&lt;&gt;"",$G746&gt;0,$H746&lt;&gt;"",$I746&lt;&gt;""),IF($C746&gt;TODAY(),"İLERİ TARİH",IF(COUNTIF($W$7:$W$3001,$W746)&gt;1,"MÜKERRER?",IF($AD746&gt;0,"KAPALI DÖNEM",IF($I746="Hayır","ÖDENECEK","UYGUN")))),"EKSİK"))))</f>
        <v/>
      </c>
      <c r="Q746" s="2"/>
      <c r="R746" s="2"/>
      <c r="S746" s="1" t="str">
        <f t="shared" si="35"/>
        <v/>
      </c>
      <c r="T746" s="1" t="str">
        <f>IF(OR($C746="",$D746&lt;&gt;"Gelir",$L746=""),"",IFERROR(INDEX(MUSTERILER!$B$7:$B$156,MATCH($S746,MUSTERILER!$T$7:$T$156,0)),""))</f>
        <v/>
      </c>
      <c r="U746" s="1" t="str">
        <f>IF($T746="","",$T746&amp;"|"&amp;COUNTIFS($T$7:$T746,$T746))</f>
        <v/>
      </c>
      <c r="V746" s="1">
        <f t="shared" si="36"/>
        <v>0</v>
      </c>
      <c r="W746" s="1" t="str">
        <f t="shared" si="37"/>
        <v/>
      </c>
      <c r="X746" s="1"/>
      <c r="Y746" s="1"/>
      <c r="Z746" s="1"/>
      <c r="AA746" s="1"/>
      <c r="AB746" s="1"/>
      <c r="AC746" s="1"/>
      <c r="AD746" s="1">
        <f>IF($C746="",0,SUMPRODUCT((AY_SONU!$O$7:$O$42="Evet")*(AY_SONU!$B$7:$B$42=DATE(YEAR($C746),MONTH($C746),1))))</f>
        <v>0</v>
      </c>
      <c r="AE746" s="1" t="str">
        <f>IF($E746="","",$E746&amp;"|"&amp;COUNTIFS($E$7:$E746,$E746))</f>
        <v/>
      </c>
    </row>
    <row r="747" spans="1:31" ht="18" customHeight="1" x14ac:dyDescent="0.3">
      <c r="A747" s="2"/>
      <c r="B747" s="65" t="str">
        <f>IF($C747="","","GG"&amp;TEXT(ROW()-6,"00000"))</f>
        <v/>
      </c>
      <c r="C747" s="66"/>
      <c r="D747" s="60"/>
      <c r="E747" s="61"/>
      <c r="F747" s="61"/>
      <c r="G747" s="67"/>
      <c r="H747" s="60"/>
      <c r="I747" s="60"/>
      <c r="J747" s="61"/>
      <c r="K747" s="61"/>
      <c r="L747" s="60"/>
      <c r="M747" s="74" t="str">
        <f>IF($C747="","",IF($D747="Gider",$E747,IF($L747&lt;&gt;"",$L747,$H747)))</f>
        <v/>
      </c>
      <c r="N747" s="74" t="str">
        <f>IF($C747="","",IF($D747="Gider",$H747,$E747))</f>
        <v/>
      </c>
      <c r="O747" s="73" t="str">
        <f>IF($C747="","",DATE(YEAR($C747),MONTH($C747),1))</f>
        <v/>
      </c>
      <c r="P747" s="65" t="str">
        <f ca="1">IF($C747="","",IF(AND($D747="Gelir",$L747&lt;&gt;"",$T747=""),"TANIMSIZ BORÇLU",IF($T747&lt;&gt;"",IF(OR($E747="",$G747&lt;=0),"EKSİK",IF($I747="Evet","TAHAKKUK NAKİT OLAMAZ",IF($C747&gt;TODAY(),"İLERİ TARİH","TAHAKKUK"))),IF(AND($D747&lt;&gt;"",$E747&lt;&gt;"",$G747&gt;0,$H747&lt;&gt;"",$I747&lt;&gt;""),IF($C747&gt;TODAY(),"İLERİ TARİH",IF(COUNTIF($W$7:$W$3001,$W747)&gt;1,"MÜKERRER?",IF($AD747&gt;0,"KAPALI DÖNEM",IF($I747="Hayır","ÖDENECEK","UYGUN")))),"EKSİK"))))</f>
        <v/>
      </c>
      <c r="Q747" s="2"/>
      <c r="R747" s="2"/>
      <c r="S747" s="1" t="str">
        <f t="shared" si="35"/>
        <v/>
      </c>
      <c r="T747" s="1" t="str">
        <f>IF(OR($C747="",$D747&lt;&gt;"Gelir",$L747=""),"",IFERROR(INDEX(MUSTERILER!$B$7:$B$156,MATCH($S747,MUSTERILER!$T$7:$T$156,0)),""))</f>
        <v/>
      </c>
      <c r="U747" s="1" t="str">
        <f>IF($T747="","",$T747&amp;"|"&amp;COUNTIFS($T$7:$T747,$T747))</f>
        <v/>
      </c>
      <c r="V747" s="1">
        <f t="shared" si="36"/>
        <v>0</v>
      </c>
      <c r="W747" s="1" t="str">
        <f t="shared" si="37"/>
        <v/>
      </c>
      <c r="X747" s="1"/>
      <c r="Y747" s="1"/>
      <c r="Z747" s="1"/>
      <c r="AA747" s="1"/>
      <c r="AB747" s="1"/>
      <c r="AC747" s="1"/>
      <c r="AD747" s="1">
        <f>IF($C747="",0,SUMPRODUCT((AY_SONU!$O$7:$O$42="Evet")*(AY_SONU!$B$7:$B$42=DATE(YEAR($C747),MONTH($C747),1))))</f>
        <v>0</v>
      </c>
      <c r="AE747" s="1" t="str">
        <f>IF($E747="","",$E747&amp;"|"&amp;COUNTIFS($E$7:$E747,$E747))</f>
        <v/>
      </c>
    </row>
    <row r="748" spans="1:31" ht="18" customHeight="1" x14ac:dyDescent="0.3">
      <c r="A748" s="2"/>
      <c r="B748" s="65" t="str">
        <f>IF($C748="","","GG"&amp;TEXT(ROW()-6,"00000"))</f>
        <v/>
      </c>
      <c r="C748" s="66"/>
      <c r="D748" s="60"/>
      <c r="E748" s="61"/>
      <c r="F748" s="61"/>
      <c r="G748" s="67"/>
      <c r="H748" s="60"/>
      <c r="I748" s="60"/>
      <c r="J748" s="61"/>
      <c r="K748" s="61"/>
      <c r="L748" s="60"/>
      <c r="M748" s="74" t="str">
        <f>IF($C748="","",IF($D748="Gider",$E748,IF($L748&lt;&gt;"",$L748,$H748)))</f>
        <v/>
      </c>
      <c r="N748" s="74" t="str">
        <f>IF($C748="","",IF($D748="Gider",$H748,$E748))</f>
        <v/>
      </c>
      <c r="O748" s="73" t="str">
        <f>IF($C748="","",DATE(YEAR($C748),MONTH($C748),1))</f>
        <v/>
      </c>
      <c r="P748" s="65" t="str">
        <f ca="1">IF($C748="","",IF(AND($D748="Gelir",$L748&lt;&gt;"",$T748=""),"TANIMSIZ BORÇLU",IF($T748&lt;&gt;"",IF(OR($E748="",$G748&lt;=0),"EKSİK",IF($I748="Evet","TAHAKKUK NAKİT OLAMAZ",IF($C748&gt;TODAY(),"İLERİ TARİH","TAHAKKUK"))),IF(AND($D748&lt;&gt;"",$E748&lt;&gt;"",$G748&gt;0,$H748&lt;&gt;"",$I748&lt;&gt;""),IF($C748&gt;TODAY(),"İLERİ TARİH",IF(COUNTIF($W$7:$W$3001,$W748)&gt;1,"MÜKERRER?",IF($AD748&gt;0,"KAPALI DÖNEM",IF($I748="Hayır","ÖDENECEK","UYGUN")))),"EKSİK"))))</f>
        <v/>
      </c>
      <c r="Q748" s="2"/>
      <c r="R748" s="2"/>
      <c r="S748" s="1" t="str">
        <f t="shared" si="35"/>
        <v/>
      </c>
      <c r="T748" s="1" t="str">
        <f>IF(OR($C748="",$D748&lt;&gt;"Gelir",$L748=""),"",IFERROR(INDEX(MUSTERILER!$B$7:$B$156,MATCH($S748,MUSTERILER!$T$7:$T$156,0)),""))</f>
        <v/>
      </c>
      <c r="U748" s="1" t="str">
        <f>IF($T748="","",$T748&amp;"|"&amp;COUNTIFS($T$7:$T748,$T748))</f>
        <v/>
      </c>
      <c r="V748" s="1">
        <f t="shared" si="36"/>
        <v>0</v>
      </c>
      <c r="W748" s="1" t="str">
        <f t="shared" si="37"/>
        <v/>
      </c>
      <c r="X748" s="1"/>
      <c r="Y748" s="1"/>
      <c r="Z748" s="1"/>
      <c r="AA748" s="1"/>
      <c r="AB748" s="1"/>
      <c r="AC748" s="1"/>
      <c r="AD748" s="1">
        <f>IF($C748="",0,SUMPRODUCT((AY_SONU!$O$7:$O$42="Evet")*(AY_SONU!$B$7:$B$42=DATE(YEAR($C748),MONTH($C748),1))))</f>
        <v>0</v>
      </c>
      <c r="AE748" s="1" t="str">
        <f>IF($E748="","",$E748&amp;"|"&amp;COUNTIFS($E$7:$E748,$E748))</f>
        <v/>
      </c>
    </row>
    <row r="749" spans="1:31" ht="18" customHeight="1" x14ac:dyDescent="0.3">
      <c r="A749" s="2"/>
      <c r="B749" s="65" t="str">
        <f>IF($C749="","","GG"&amp;TEXT(ROW()-6,"00000"))</f>
        <v/>
      </c>
      <c r="C749" s="66"/>
      <c r="D749" s="60"/>
      <c r="E749" s="61"/>
      <c r="F749" s="61"/>
      <c r="G749" s="67"/>
      <c r="H749" s="60"/>
      <c r="I749" s="60"/>
      <c r="J749" s="61"/>
      <c r="K749" s="61"/>
      <c r="L749" s="60"/>
      <c r="M749" s="74" t="str">
        <f>IF($C749="","",IF($D749="Gider",$E749,IF($L749&lt;&gt;"",$L749,$H749)))</f>
        <v/>
      </c>
      <c r="N749" s="74" t="str">
        <f>IF($C749="","",IF($D749="Gider",$H749,$E749))</f>
        <v/>
      </c>
      <c r="O749" s="73" t="str">
        <f>IF($C749="","",DATE(YEAR($C749),MONTH($C749),1))</f>
        <v/>
      </c>
      <c r="P749" s="65" t="str">
        <f ca="1">IF($C749="","",IF(AND($D749="Gelir",$L749&lt;&gt;"",$T749=""),"TANIMSIZ BORÇLU",IF($T749&lt;&gt;"",IF(OR($E749="",$G749&lt;=0),"EKSİK",IF($I749="Evet","TAHAKKUK NAKİT OLAMAZ",IF($C749&gt;TODAY(),"İLERİ TARİH","TAHAKKUK"))),IF(AND($D749&lt;&gt;"",$E749&lt;&gt;"",$G749&gt;0,$H749&lt;&gt;"",$I749&lt;&gt;""),IF($C749&gt;TODAY(),"İLERİ TARİH",IF(COUNTIF($W$7:$W$3001,$W749)&gt;1,"MÜKERRER?",IF($AD749&gt;0,"KAPALI DÖNEM",IF($I749="Hayır","ÖDENECEK","UYGUN")))),"EKSİK"))))</f>
        <v/>
      </c>
      <c r="Q749" s="2"/>
      <c r="R749" s="2"/>
      <c r="S749" s="1" t="str">
        <f t="shared" si="35"/>
        <v/>
      </c>
      <c r="T749" s="1" t="str">
        <f>IF(OR($C749="",$D749&lt;&gt;"Gelir",$L749=""),"",IFERROR(INDEX(MUSTERILER!$B$7:$B$156,MATCH($S749,MUSTERILER!$T$7:$T$156,0)),""))</f>
        <v/>
      </c>
      <c r="U749" s="1" t="str">
        <f>IF($T749="","",$T749&amp;"|"&amp;COUNTIFS($T$7:$T749,$T749))</f>
        <v/>
      </c>
      <c r="V749" s="1">
        <f t="shared" si="36"/>
        <v>0</v>
      </c>
      <c r="W749" s="1" t="str">
        <f t="shared" si="37"/>
        <v/>
      </c>
      <c r="X749" s="1"/>
      <c r="Y749" s="1"/>
      <c r="Z749" s="1"/>
      <c r="AA749" s="1"/>
      <c r="AB749" s="1"/>
      <c r="AC749" s="1"/>
      <c r="AD749" s="1">
        <f>IF($C749="",0,SUMPRODUCT((AY_SONU!$O$7:$O$42="Evet")*(AY_SONU!$B$7:$B$42=DATE(YEAR($C749),MONTH($C749),1))))</f>
        <v>0</v>
      </c>
      <c r="AE749" s="1" t="str">
        <f>IF($E749="","",$E749&amp;"|"&amp;COUNTIFS($E$7:$E749,$E749))</f>
        <v/>
      </c>
    </row>
    <row r="750" spans="1:31" ht="18" customHeight="1" x14ac:dyDescent="0.3">
      <c r="A750" s="2"/>
      <c r="B750" s="65" t="str">
        <f>IF($C750="","","GG"&amp;TEXT(ROW()-6,"00000"))</f>
        <v/>
      </c>
      <c r="C750" s="66"/>
      <c r="D750" s="60"/>
      <c r="E750" s="61"/>
      <c r="F750" s="61"/>
      <c r="G750" s="67"/>
      <c r="H750" s="60"/>
      <c r="I750" s="60"/>
      <c r="J750" s="61"/>
      <c r="K750" s="61"/>
      <c r="L750" s="60"/>
      <c r="M750" s="74" t="str">
        <f>IF($C750="","",IF($D750="Gider",$E750,IF($L750&lt;&gt;"",$L750,$H750)))</f>
        <v/>
      </c>
      <c r="N750" s="74" t="str">
        <f>IF($C750="","",IF($D750="Gider",$H750,$E750))</f>
        <v/>
      </c>
      <c r="O750" s="73" t="str">
        <f>IF($C750="","",DATE(YEAR($C750),MONTH($C750),1))</f>
        <v/>
      </c>
      <c r="P750" s="65" t="str">
        <f ca="1">IF($C750="","",IF(AND($D750="Gelir",$L750&lt;&gt;"",$T750=""),"TANIMSIZ BORÇLU",IF($T750&lt;&gt;"",IF(OR($E750="",$G750&lt;=0),"EKSİK",IF($I750="Evet","TAHAKKUK NAKİT OLAMAZ",IF($C750&gt;TODAY(),"İLERİ TARİH","TAHAKKUK"))),IF(AND($D750&lt;&gt;"",$E750&lt;&gt;"",$G750&gt;0,$H750&lt;&gt;"",$I750&lt;&gt;""),IF($C750&gt;TODAY(),"İLERİ TARİH",IF(COUNTIF($W$7:$W$3001,$W750)&gt;1,"MÜKERRER?",IF($AD750&gt;0,"KAPALI DÖNEM",IF($I750="Hayır","ÖDENECEK","UYGUN")))),"EKSİK"))))</f>
        <v/>
      </c>
      <c r="Q750" s="2"/>
      <c r="R750" s="2"/>
      <c r="S750" s="1" t="str">
        <f t="shared" si="35"/>
        <v/>
      </c>
      <c r="T750" s="1" t="str">
        <f>IF(OR($C750="",$D750&lt;&gt;"Gelir",$L750=""),"",IFERROR(INDEX(MUSTERILER!$B$7:$B$156,MATCH($S750,MUSTERILER!$T$7:$T$156,0)),""))</f>
        <v/>
      </c>
      <c r="U750" s="1" t="str">
        <f>IF($T750="","",$T750&amp;"|"&amp;COUNTIFS($T$7:$T750,$T750))</f>
        <v/>
      </c>
      <c r="V750" s="1">
        <f t="shared" si="36"/>
        <v>0</v>
      </c>
      <c r="W750" s="1" t="str">
        <f t="shared" si="37"/>
        <v/>
      </c>
      <c r="X750" s="1"/>
      <c r="Y750" s="1"/>
      <c r="Z750" s="1"/>
      <c r="AA750" s="1"/>
      <c r="AB750" s="1"/>
      <c r="AC750" s="1"/>
      <c r="AD750" s="1">
        <f>IF($C750="",0,SUMPRODUCT((AY_SONU!$O$7:$O$42="Evet")*(AY_SONU!$B$7:$B$42=DATE(YEAR($C750),MONTH($C750),1))))</f>
        <v>0</v>
      </c>
      <c r="AE750" s="1" t="str">
        <f>IF($E750="","",$E750&amp;"|"&amp;COUNTIFS($E$7:$E750,$E750))</f>
        <v/>
      </c>
    </row>
    <row r="751" spans="1:31" ht="18" customHeight="1" x14ac:dyDescent="0.3">
      <c r="A751" s="2"/>
      <c r="B751" s="65" t="str">
        <f>IF($C751="","","GG"&amp;TEXT(ROW()-6,"00000"))</f>
        <v/>
      </c>
      <c r="C751" s="66"/>
      <c r="D751" s="60"/>
      <c r="E751" s="61"/>
      <c r="F751" s="61"/>
      <c r="G751" s="67"/>
      <c r="H751" s="60"/>
      <c r="I751" s="60"/>
      <c r="J751" s="61"/>
      <c r="K751" s="61"/>
      <c r="L751" s="60"/>
      <c r="M751" s="74" t="str">
        <f>IF($C751="","",IF($D751="Gider",$E751,IF($L751&lt;&gt;"",$L751,$H751)))</f>
        <v/>
      </c>
      <c r="N751" s="74" t="str">
        <f>IF($C751="","",IF($D751="Gider",$H751,$E751))</f>
        <v/>
      </c>
      <c r="O751" s="73" t="str">
        <f>IF($C751="","",DATE(YEAR($C751),MONTH($C751),1))</f>
        <v/>
      </c>
      <c r="P751" s="65" t="str">
        <f ca="1">IF($C751="","",IF(AND($D751="Gelir",$L751&lt;&gt;"",$T751=""),"TANIMSIZ BORÇLU",IF($T751&lt;&gt;"",IF(OR($E751="",$G751&lt;=0),"EKSİK",IF($I751="Evet","TAHAKKUK NAKİT OLAMAZ",IF($C751&gt;TODAY(),"İLERİ TARİH","TAHAKKUK"))),IF(AND($D751&lt;&gt;"",$E751&lt;&gt;"",$G751&gt;0,$H751&lt;&gt;"",$I751&lt;&gt;""),IF($C751&gt;TODAY(),"İLERİ TARİH",IF(COUNTIF($W$7:$W$3001,$W751)&gt;1,"MÜKERRER?",IF($AD751&gt;0,"KAPALI DÖNEM",IF($I751="Hayır","ÖDENECEK","UYGUN")))),"EKSİK"))))</f>
        <v/>
      </c>
      <c r="Q751" s="2"/>
      <c r="R751" s="2"/>
      <c r="S751" s="1" t="str">
        <f t="shared" si="35"/>
        <v/>
      </c>
      <c r="T751" s="1" t="str">
        <f>IF(OR($C751="",$D751&lt;&gt;"Gelir",$L751=""),"",IFERROR(INDEX(MUSTERILER!$B$7:$B$156,MATCH($S751,MUSTERILER!$T$7:$T$156,0)),""))</f>
        <v/>
      </c>
      <c r="U751" s="1" t="str">
        <f>IF($T751="","",$T751&amp;"|"&amp;COUNTIFS($T$7:$T751,$T751))</f>
        <v/>
      </c>
      <c r="V751" s="1">
        <f t="shared" si="36"/>
        <v>0</v>
      </c>
      <c r="W751" s="1" t="str">
        <f t="shared" si="37"/>
        <v/>
      </c>
      <c r="X751" s="1"/>
      <c r="Y751" s="1"/>
      <c r="Z751" s="1"/>
      <c r="AA751" s="1"/>
      <c r="AB751" s="1"/>
      <c r="AC751" s="1"/>
      <c r="AD751" s="1">
        <f>IF($C751="",0,SUMPRODUCT((AY_SONU!$O$7:$O$42="Evet")*(AY_SONU!$B$7:$B$42=DATE(YEAR($C751),MONTH($C751),1))))</f>
        <v>0</v>
      </c>
      <c r="AE751" s="1" t="str">
        <f>IF($E751="","",$E751&amp;"|"&amp;COUNTIFS($E$7:$E751,$E751))</f>
        <v/>
      </c>
    </row>
    <row r="752" spans="1:31" ht="18" customHeight="1" x14ac:dyDescent="0.3">
      <c r="A752" s="2"/>
      <c r="B752" s="65" t="str">
        <f>IF($C752="","","GG"&amp;TEXT(ROW()-6,"00000"))</f>
        <v/>
      </c>
      <c r="C752" s="66"/>
      <c r="D752" s="60"/>
      <c r="E752" s="61"/>
      <c r="F752" s="61"/>
      <c r="G752" s="67"/>
      <c r="H752" s="60"/>
      <c r="I752" s="60"/>
      <c r="J752" s="61"/>
      <c r="K752" s="61"/>
      <c r="L752" s="60"/>
      <c r="M752" s="74" t="str">
        <f>IF($C752="","",IF($D752="Gider",$E752,IF($L752&lt;&gt;"",$L752,$H752)))</f>
        <v/>
      </c>
      <c r="N752" s="74" t="str">
        <f>IF($C752="","",IF($D752="Gider",$H752,$E752))</f>
        <v/>
      </c>
      <c r="O752" s="73" t="str">
        <f>IF($C752="","",DATE(YEAR($C752),MONTH($C752),1))</f>
        <v/>
      </c>
      <c r="P752" s="65" t="str">
        <f ca="1">IF($C752="","",IF(AND($D752="Gelir",$L752&lt;&gt;"",$T752=""),"TANIMSIZ BORÇLU",IF($T752&lt;&gt;"",IF(OR($E752="",$G752&lt;=0),"EKSİK",IF($I752="Evet","TAHAKKUK NAKİT OLAMAZ",IF($C752&gt;TODAY(),"İLERİ TARİH","TAHAKKUK"))),IF(AND($D752&lt;&gt;"",$E752&lt;&gt;"",$G752&gt;0,$H752&lt;&gt;"",$I752&lt;&gt;""),IF($C752&gt;TODAY(),"İLERİ TARİH",IF(COUNTIF($W$7:$W$3001,$W752)&gt;1,"MÜKERRER?",IF($AD752&gt;0,"KAPALI DÖNEM",IF($I752="Hayır","ÖDENECEK","UYGUN")))),"EKSİK"))))</f>
        <v/>
      </c>
      <c r="Q752" s="2"/>
      <c r="R752" s="2"/>
      <c r="S752" s="1" t="str">
        <f t="shared" si="35"/>
        <v/>
      </c>
      <c r="T752" s="1" t="str">
        <f>IF(OR($C752="",$D752&lt;&gt;"Gelir",$L752=""),"",IFERROR(INDEX(MUSTERILER!$B$7:$B$156,MATCH($S752,MUSTERILER!$T$7:$T$156,0)),""))</f>
        <v/>
      </c>
      <c r="U752" s="1" t="str">
        <f>IF($T752="","",$T752&amp;"|"&amp;COUNTIFS($T$7:$T752,$T752))</f>
        <v/>
      </c>
      <c r="V752" s="1">
        <f t="shared" si="36"/>
        <v>0</v>
      </c>
      <c r="W752" s="1" t="str">
        <f t="shared" si="37"/>
        <v/>
      </c>
      <c r="X752" s="1"/>
      <c r="Y752" s="1"/>
      <c r="Z752" s="1"/>
      <c r="AA752" s="1"/>
      <c r="AB752" s="1"/>
      <c r="AC752" s="1"/>
      <c r="AD752" s="1">
        <f>IF($C752="",0,SUMPRODUCT((AY_SONU!$O$7:$O$42="Evet")*(AY_SONU!$B$7:$B$42=DATE(YEAR($C752),MONTH($C752),1))))</f>
        <v>0</v>
      </c>
      <c r="AE752" s="1" t="str">
        <f>IF($E752="","",$E752&amp;"|"&amp;COUNTIFS($E$7:$E752,$E752))</f>
        <v/>
      </c>
    </row>
    <row r="753" spans="1:31" ht="18" customHeight="1" x14ac:dyDescent="0.3">
      <c r="A753" s="2"/>
      <c r="B753" s="65" t="str">
        <f>IF($C753="","","GG"&amp;TEXT(ROW()-6,"00000"))</f>
        <v/>
      </c>
      <c r="C753" s="66"/>
      <c r="D753" s="60"/>
      <c r="E753" s="61"/>
      <c r="F753" s="61"/>
      <c r="G753" s="67"/>
      <c r="H753" s="60"/>
      <c r="I753" s="60"/>
      <c r="J753" s="61"/>
      <c r="K753" s="61"/>
      <c r="L753" s="60"/>
      <c r="M753" s="74" t="str">
        <f>IF($C753="","",IF($D753="Gider",$E753,IF($L753&lt;&gt;"",$L753,$H753)))</f>
        <v/>
      </c>
      <c r="N753" s="74" t="str">
        <f>IF($C753="","",IF($D753="Gider",$H753,$E753))</f>
        <v/>
      </c>
      <c r="O753" s="73" t="str">
        <f>IF($C753="","",DATE(YEAR($C753),MONTH($C753),1))</f>
        <v/>
      </c>
      <c r="P753" s="65" t="str">
        <f ca="1">IF($C753="","",IF(AND($D753="Gelir",$L753&lt;&gt;"",$T753=""),"TANIMSIZ BORÇLU",IF($T753&lt;&gt;"",IF(OR($E753="",$G753&lt;=0),"EKSİK",IF($I753="Evet","TAHAKKUK NAKİT OLAMAZ",IF($C753&gt;TODAY(),"İLERİ TARİH","TAHAKKUK"))),IF(AND($D753&lt;&gt;"",$E753&lt;&gt;"",$G753&gt;0,$H753&lt;&gt;"",$I753&lt;&gt;""),IF($C753&gt;TODAY(),"İLERİ TARİH",IF(COUNTIF($W$7:$W$3001,$W753)&gt;1,"MÜKERRER?",IF($AD753&gt;0,"KAPALI DÖNEM",IF($I753="Hayır","ÖDENECEK","UYGUN")))),"EKSİK"))))</f>
        <v/>
      </c>
      <c r="Q753" s="2"/>
      <c r="R753" s="2"/>
      <c r="S753" s="1" t="str">
        <f t="shared" si="35"/>
        <v/>
      </c>
      <c r="T753" s="1" t="str">
        <f>IF(OR($C753="",$D753&lt;&gt;"Gelir",$L753=""),"",IFERROR(INDEX(MUSTERILER!$B$7:$B$156,MATCH($S753,MUSTERILER!$T$7:$T$156,0)),""))</f>
        <v/>
      </c>
      <c r="U753" s="1" t="str">
        <f>IF($T753="","",$T753&amp;"|"&amp;COUNTIFS($T$7:$T753,$T753))</f>
        <v/>
      </c>
      <c r="V753" s="1">
        <f t="shared" si="36"/>
        <v>0</v>
      </c>
      <c r="W753" s="1" t="str">
        <f t="shared" si="37"/>
        <v/>
      </c>
      <c r="X753" s="1"/>
      <c r="Y753" s="1"/>
      <c r="Z753" s="1"/>
      <c r="AA753" s="1"/>
      <c r="AB753" s="1"/>
      <c r="AC753" s="1"/>
      <c r="AD753" s="1">
        <f>IF($C753="",0,SUMPRODUCT((AY_SONU!$O$7:$O$42="Evet")*(AY_SONU!$B$7:$B$42=DATE(YEAR($C753),MONTH($C753),1))))</f>
        <v>0</v>
      </c>
      <c r="AE753" s="1" t="str">
        <f>IF($E753="","",$E753&amp;"|"&amp;COUNTIFS($E$7:$E753,$E753))</f>
        <v/>
      </c>
    </row>
    <row r="754" spans="1:31" ht="18" customHeight="1" x14ac:dyDescent="0.3">
      <c r="A754" s="2"/>
      <c r="B754" s="65" t="str">
        <f>IF($C754="","","GG"&amp;TEXT(ROW()-6,"00000"))</f>
        <v/>
      </c>
      <c r="C754" s="66"/>
      <c r="D754" s="60"/>
      <c r="E754" s="61"/>
      <c r="F754" s="61"/>
      <c r="G754" s="67"/>
      <c r="H754" s="60"/>
      <c r="I754" s="60"/>
      <c r="J754" s="61"/>
      <c r="K754" s="61"/>
      <c r="L754" s="60"/>
      <c r="M754" s="74" t="str">
        <f>IF($C754="","",IF($D754="Gider",$E754,IF($L754&lt;&gt;"",$L754,$H754)))</f>
        <v/>
      </c>
      <c r="N754" s="74" t="str">
        <f>IF($C754="","",IF($D754="Gider",$H754,$E754))</f>
        <v/>
      </c>
      <c r="O754" s="73" t="str">
        <f>IF($C754="","",DATE(YEAR($C754),MONTH($C754),1))</f>
        <v/>
      </c>
      <c r="P754" s="65" t="str">
        <f ca="1">IF($C754="","",IF(AND($D754="Gelir",$L754&lt;&gt;"",$T754=""),"TANIMSIZ BORÇLU",IF($T754&lt;&gt;"",IF(OR($E754="",$G754&lt;=0),"EKSİK",IF($I754="Evet","TAHAKKUK NAKİT OLAMAZ",IF($C754&gt;TODAY(),"İLERİ TARİH","TAHAKKUK"))),IF(AND($D754&lt;&gt;"",$E754&lt;&gt;"",$G754&gt;0,$H754&lt;&gt;"",$I754&lt;&gt;""),IF($C754&gt;TODAY(),"İLERİ TARİH",IF(COUNTIF($W$7:$W$3001,$W754)&gt;1,"MÜKERRER?",IF($AD754&gt;0,"KAPALI DÖNEM",IF($I754="Hayır","ÖDENECEK","UYGUN")))),"EKSİK"))))</f>
        <v/>
      </c>
      <c r="Q754" s="2"/>
      <c r="R754" s="2"/>
      <c r="S754" s="1" t="str">
        <f t="shared" si="35"/>
        <v/>
      </c>
      <c r="T754" s="1" t="str">
        <f>IF(OR($C754="",$D754&lt;&gt;"Gelir",$L754=""),"",IFERROR(INDEX(MUSTERILER!$B$7:$B$156,MATCH($S754,MUSTERILER!$T$7:$T$156,0)),""))</f>
        <v/>
      </c>
      <c r="U754" s="1" t="str">
        <f>IF($T754="","",$T754&amp;"|"&amp;COUNTIFS($T$7:$T754,$T754))</f>
        <v/>
      </c>
      <c r="V754" s="1">
        <f t="shared" si="36"/>
        <v>0</v>
      </c>
      <c r="W754" s="1" t="str">
        <f t="shared" si="37"/>
        <v/>
      </c>
      <c r="X754" s="1"/>
      <c r="Y754" s="1"/>
      <c r="Z754" s="1"/>
      <c r="AA754" s="1"/>
      <c r="AB754" s="1"/>
      <c r="AC754" s="1"/>
      <c r="AD754" s="1">
        <f>IF($C754="",0,SUMPRODUCT((AY_SONU!$O$7:$O$42="Evet")*(AY_SONU!$B$7:$B$42=DATE(YEAR($C754),MONTH($C754),1))))</f>
        <v>0</v>
      </c>
      <c r="AE754" s="1" t="str">
        <f>IF($E754="","",$E754&amp;"|"&amp;COUNTIFS($E$7:$E754,$E754))</f>
        <v/>
      </c>
    </row>
    <row r="755" spans="1:31" ht="18" customHeight="1" x14ac:dyDescent="0.3">
      <c r="A755" s="2"/>
      <c r="B755" s="65" t="str">
        <f>IF($C755="","","GG"&amp;TEXT(ROW()-6,"00000"))</f>
        <v/>
      </c>
      <c r="C755" s="66"/>
      <c r="D755" s="60"/>
      <c r="E755" s="61"/>
      <c r="F755" s="61"/>
      <c r="G755" s="67"/>
      <c r="H755" s="60"/>
      <c r="I755" s="60"/>
      <c r="J755" s="61"/>
      <c r="K755" s="61"/>
      <c r="L755" s="60"/>
      <c r="M755" s="74" t="str">
        <f>IF($C755="","",IF($D755="Gider",$E755,IF($L755&lt;&gt;"",$L755,$H755)))</f>
        <v/>
      </c>
      <c r="N755" s="74" t="str">
        <f>IF($C755="","",IF($D755="Gider",$H755,$E755))</f>
        <v/>
      </c>
      <c r="O755" s="73" t="str">
        <f>IF($C755="","",DATE(YEAR($C755),MONTH($C755),1))</f>
        <v/>
      </c>
      <c r="P755" s="65" t="str">
        <f ca="1">IF($C755="","",IF(AND($D755="Gelir",$L755&lt;&gt;"",$T755=""),"TANIMSIZ BORÇLU",IF($T755&lt;&gt;"",IF(OR($E755="",$G755&lt;=0),"EKSİK",IF($I755="Evet","TAHAKKUK NAKİT OLAMAZ",IF($C755&gt;TODAY(),"İLERİ TARİH","TAHAKKUK"))),IF(AND($D755&lt;&gt;"",$E755&lt;&gt;"",$G755&gt;0,$H755&lt;&gt;"",$I755&lt;&gt;""),IF($C755&gt;TODAY(),"İLERİ TARİH",IF(COUNTIF($W$7:$W$3001,$W755)&gt;1,"MÜKERRER?",IF($AD755&gt;0,"KAPALI DÖNEM",IF($I755="Hayır","ÖDENECEK","UYGUN")))),"EKSİK"))))</f>
        <v/>
      </c>
      <c r="Q755" s="2"/>
      <c r="R755" s="2"/>
      <c r="S755" s="1" t="str">
        <f t="shared" si="35"/>
        <v/>
      </c>
      <c r="T755" s="1" t="str">
        <f>IF(OR($C755="",$D755&lt;&gt;"Gelir",$L755=""),"",IFERROR(INDEX(MUSTERILER!$B$7:$B$156,MATCH($S755,MUSTERILER!$T$7:$T$156,0)),""))</f>
        <v/>
      </c>
      <c r="U755" s="1" t="str">
        <f>IF($T755="","",$T755&amp;"|"&amp;COUNTIFS($T$7:$T755,$T755))</f>
        <v/>
      </c>
      <c r="V755" s="1">
        <f t="shared" si="36"/>
        <v>0</v>
      </c>
      <c r="W755" s="1" t="str">
        <f t="shared" si="37"/>
        <v/>
      </c>
      <c r="X755" s="1"/>
      <c r="Y755" s="1"/>
      <c r="Z755" s="1"/>
      <c r="AA755" s="1"/>
      <c r="AB755" s="1"/>
      <c r="AC755" s="1"/>
      <c r="AD755" s="1">
        <f>IF($C755="",0,SUMPRODUCT((AY_SONU!$O$7:$O$42="Evet")*(AY_SONU!$B$7:$B$42=DATE(YEAR($C755),MONTH($C755),1))))</f>
        <v>0</v>
      </c>
      <c r="AE755" s="1" t="str">
        <f>IF($E755="","",$E755&amp;"|"&amp;COUNTIFS($E$7:$E755,$E755))</f>
        <v/>
      </c>
    </row>
    <row r="756" spans="1:31" ht="18" customHeight="1" x14ac:dyDescent="0.3">
      <c r="A756" s="2"/>
      <c r="B756" s="65" t="str">
        <f>IF($C756="","","GG"&amp;TEXT(ROW()-6,"00000"))</f>
        <v/>
      </c>
      <c r="C756" s="66"/>
      <c r="D756" s="60"/>
      <c r="E756" s="61"/>
      <c r="F756" s="61"/>
      <c r="G756" s="67"/>
      <c r="H756" s="60"/>
      <c r="I756" s="60"/>
      <c r="J756" s="61"/>
      <c r="K756" s="61"/>
      <c r="L756" s="60"/>
      <c r="M756" s="74" t="str">
        <f>IF($C756="","",IF($D756="Gider",$E756,IF($L756&lt;&gt;"",$L756,$H756)))</f>
        <v/>
      </c>
      <c r="N756" s="74" t="str">
        <f>IF($C756="","",IF($D756="Gider",$H756,$E756))</f>
        <v/>
      </c>
      <c r="O756" s="73" t="str">
        <f>IF($C756="","",DATE(YEAR($C756),MONTH($C756),1))</f>
        <v/>
      </c>
      <c r="P756" s="65" t="str">
        <f ca="1">IF($C756="","",IF(AND($D756="Gelir",$L756&lt;&gt;"",$T756=""),"TANIMSIZ BORÇLU",IF($T756&lt;&gt;"",IF(OR($E756="",$G756&lt;=0),"EKSİK",IF($I756="Evet","TAHAKKUK NAKİT OLAMAZ",IF($C756&gt;TODAY(),"İLERİ TARİH","TAHAKKUK"))),IF(AND($D756&lt;&gt;"",$E756&lt;&gt;"",$G756&gt;0,$H756&lt;&gt;"",$I756&lt;&gt;""),IF($C756&gt;TODAY(),"İLERİ TARİH",IF(COUNTIF($W$7:$W$3001,$W756)&gt;1,"MÜKERRER?",IF($AD756&gt;0,"KAPALI DÖNEM",IF($I756="Hayır","ÖDENECEK","UYGUN")))),"EKSİK"))))</f>
        <v/>
      </c>
      <c r="Q756" s="2"/>
      <c r="R756" s="2"/>
      <c r="S756" s="1" t="str">
        <f t="shared" si="35"/>
        <v/>
      </c>
      <c r="T756" s="1" t="str">
        <f>IF(OR($C756="",$D756&lt;&gt;"Gelir",$L756=""),"",IFERROR(INDEX(MUSTERILER!$B$7:$B$156,MATCH($S756,MUSTERILER!$T$7:$T$156,0)),""))</f>
        <v/>
      </c>
      <c r="U756" s="1" t="str">
        <f>IF($T756="","",$T756&amp;"|"&amp;COUNTIFS($T$7:$T756,$T756))</f>
        <v/>
      </c>
      <c r="V756" s="1">
        <f t="shared" si="36"/>
        <v>0</v>
      </c>
      <c r="W756" s="1" t="str">
        <f t="shared" si="37"/>
        <v/>
      </c>
      <c r="X756" s="1"/>
      <c r="Y756" s="1"/>
      <c r="Z756" s="1"/>
      <c r="AA756" s="1"/>
      <c r="AB756" s="1"/>
      <c r="AC756" s="1"/>
      <c r="AD756" s="1">
        <f>IF($C756="",0,SUMPRODUCT((AY_SONU!$O$7:$O$42="Evet")*(AY_SONU!$B$7:$B$42=DATE(YEAR($C756),MONTH($C756),1))))</f>
        <v>0</v>
      </c>
      <c r="AE756" s="1" t="str">
        <f>IF($E756="","",$E756&amp;"|"&amp;COUNTIFS($E$7:$E756,$E756))</f>
        <v/>
      </c>
    </row>
    <row r="757" spans="1:31" ht="18" customHeight="1" x14ac:dyDescent="0.3">
      <c r="A757" s="2"/>
      <c r="B757" s="65" t="str">
        <f>IF($C757="","","GG"&amp;TEXT(ROW()-6,"00000"))</f>
        <v/>
      </c>
      <c r="C757" s="66"/>
      <c r="D757" s="60"/>
      <c r="E757" s="61"/>
      <c r="F757" s="61"/>
      <c r="G757" s="67"/>
      <c r="H757" s="60"/>
      <c r="I757" s="60"/>
      <c r="J757" s="61"/>
      <c r="K757" s="61"/>
      <c r="L757" s="60"/>
      <c r="M757" s="74" t="str">
        <f>IF($C757="","",IF($D757="Gider",$E757,IF($L757&lt;&gt;"",$L757,$H757)))</f>
        <v/>
      </c>
      <c r="N757" s="74" t="str">
        <f>IF($C757="","",IF($D757="Gider",$H757,$E757))</f>
        <v/>
      </c>
      <c r="O757" s="73" t="str">
        <f>IF($C757="","",DATE(YEAR($C757),MONTH($C757),1))</f>
        <v/>
      </c>
      <c r="P757" s="65" t="str">
        <f ca="1">IF($C757="","",IF(AND($D757="Gelir",$L757&lt;&gt;"",$T757=""),"TANIMSIZ BORÇLU",IF($T757&lt;&gt;"",IF(OR($E757="",$G757&lt;=0),"EKSİK",IF($I757="Evet","TAHAKKUK NAKİT OLAMAZ",IF($C757&gt;TODAY(),"İLERİ TARİH","TAHAKKUK"))),IF(AND($D757&lt;&gt;"",$E757&lt;&gt;"",$G757&gt;0,$H757&lt;&gt;"",$I757&lt;&gt;""),IF($C757&gt;TODAY(),"İLERİ TARİH",IF(COUNTIF($W$7:$W$3001,$W757)&gt;1,"MÜKERRER?",IF($AD757&gt;0,"KAPALI DÖNEM",IF($I757="Hayır","ÖDENECEK","UYGUN")))),"EKSİK"))))</f>
        <v/>
      </c>
      <c r="Q757" s="2"/>
      <c r="R757" s="2"/>
      <c r="S757" s="1" t="str">
        <f t="shared" si="35"/>
        <v/>
      </c>
      <c r="T757" s="1" t="str">
        <f>IF(OR($C757="",$D757&lt;&gt;"Gelir",$L757=""),"",IFERROR(INDEX(MUSTERILER!$B$7:$B$156,MATCH($S757,MUSTERILER!$T$7:$T$156,0)),""))</f>
        <v/>
      </c>
      <c r="U757" s="1" t="str">
        <f>IF($T757="","",$T757&amp;"|"&amp;COUNTIFS($T$7:$T757,$T757))</f>
        <v/>
      </c>
      <c r="V757" s="1">
        <f t="shared" si="36"/>
        <v>0</v>
      </c>
      <c r="W757" s="1" t="str">
        <f t="shared" si="37"/>
        <v/>
      </c>
      <c r="X757" s="1"/>
      <c r="Y757" s="1"/>
      <c r="Z757" s="1"/>
      <c r="AA757" s="1"/>
      <c r="AB757" s="1"/>
      <c r="AC757" s="1"/>
      <c r="AD757" s="1">
        <f>IF($C757="",0,SUMPRODUCT((AY_SONU!$O$7:$O$42="Evet")*(AY_SONU!$B$7:$B$42=DATE(YEAR($C757),MONTH($C757),1))))</f>
        <v>0</v>
      </c>
      <c r="AE757" s="1" t="str">
        <f>IF($E757="","",$E757&amp;"|"&amp;COUNTIFS($E$7:$E757,$E757))</f>
        <v/>
      </c>
    </row>
    <row r="758" spans="1:31" ht="18" customHeight="1" x14ac:dyDescent="0.3">
      <c r="A758" s="2"/>
      <c r="B758" s="65" t="str">
        <f>IF($C758="","","GG"&amp;TEXT(ROW()-6,"00000"))</f>
        <v/>
      </c>
      <c r="C758" s="66"/>
      <c r="D758" s="60"/>
      <c r="E758" s="61"/>
      <c r="F758" s="61"/>
      <c r="G758" s="67"/>
      <c r="H758" s="60"/>
      <c r="I758" s="60"/>
      <c r="J758" s="61"/>
      <c r="K758" s="61"/>
      <c r="L758" s="60"/>
      <c r="M758" s="74" t="str">
        <f>IF($C758="","",IF($D758="Gider",$E758,IF($L758&lt;&gt;"",$L758,$H758)))</f>
        <v/>
      </c>
      <c r="N758" s="74" t="str">
        <f>IF($C758="","",IF($D758="Gider",$H758,$E758))</f>
        <v/>
      </c>
      <c r="O758" s="73" t="str">
        <f>IF($C758="","",DATE(YEAR($C758),MONTH($C758),1))</f>
        <v/>
      </c>
      <c r="P758" s="65" t="str">
        <f ca="1">IF($C758="","",IF(AND($D758="Gelir",$L758&lt;&gt;"",$T758=""),"TANIMSIZ BORÇLU",IF($T758&lt;&gt;"",IF(OR($E758="",$G758&lt;=0),"EKSİK",IF($I758="Evet","TAHAKKUK NAKİT OLAMAZ",IF($C758&gt;TODAY(),"İLERİ TARİH","TAHAKKUK"))),IF(AND($D758&lt;&gt;"",$E758&lt;&gt;"",$G758&gt;0,$H758&lt;&gt;"",$I758&lt;&gt;""),IF($C758&gt;TODAY(),"İLERİ TARİH",IF(COUNTIF($W$7:$W$3001,$W758)&gt;1,"MÜKERRER?",IF($AD758&gt;0,"KAPALI DÖNEM",IF($I758="Hayır","ÖDENECEK","UYGUN")))),"EKSİK"))))</f>
        <v/>
      </c>
      <c r="Q758" s="2"/>
      <c r="R758" s="2"/>
      <c r="S758" s="1" t="str">
        <f t="shared" si="35"/>
        <v/>
      </c>
      <c r="T758" s="1" t="str">
        <f>IF(OR($C758="",$D758&lt;&gt;"Gelir",$L758=""),"",IFERROR(INDEX(MUSTERILER!$B$7:$B$156,MATCH($S758,MUSTERILER!$T$7:$T$156,0)),""))</f>
        <v/>
      </c>
      <c r="U758" s="1" t="str">
        <f>IF($T758="","",$T758&amp;"|"&amp;COUNTIFS($T$7:$T758,$T758))</f>
        <v/>
      </c>
      <c r="V758" s="1">
        <f t="shared" si="36"/>
        <v>0</v>
      </c>
      <c r="W758" s="1" t="str">
        <f t="shared" si="37"/>
        <v/>
      </c>
      <c r="X758" s="1"/>
      <c r="Y758" s="1"/>
      <c r="Z758" s="1"/>
      <c r="AA758" s="1"/>
      <c r="AB758" s="1"/>
      <c r="AC758" s="1"/>
      <c r="AD758" s="1">
        <f>IF($C758="",0,SUMPRODUCT((AY_SONU!$O$7:$O$42="Evet")*(AY_SONU!$B$7:$B$42=DATE(YEAR($C758),MONTH($C758),1))))</f>
        <v>0</v>
      </c>
      <c r="AE758" s="1" t="str">
        <f>IF($E758="","",$E758&amp;"|"&amp;COUNTIFS($E$7:$E758,$E758))</f>
        <v/>
      </c>
    </row>
    <row r="759" spans="1:31" ht="18" customHeight="1" x14ac:dyDescent="0.3">
      <c r="A759" s="2"/>
      <c r="B759" s="65" t="str">
        <f>IF($C759="","","GG"&amp;TEXT(ROW()-6,"00000"))</f>
        <v/>
      </c>
      <c r="C759" s="66"/>
      <c r="D759" s="60"/>
      <c r="E759" s="61"/>
      <c r="F759" s="61"/>
      <c r="G759" s="67"/>
      <c r="H759" s="60"/>
      <c r="I759" s="60"/>
      <c r="J759" s="61"/>
      <c r="K759" s="61"/>
      <c r="L759" s="60"/>
      <c r="M759" s="74" t="str">
        <f>IF($C759="","",IF($D759="Gider",$E759,IF($L759&lt;&gt;"",$L759,$H759)))</f>
        <v/>
      </c>
      <c r="N759" s="74" t="str">
        <f>IF($C759="","",IF($D759="Gider",$H759,$E759))</f>
        <v/>
      </c>
      <c r="O759" s="73" t="str">
        <f>IF($C759="","",DATE(YEAR($C759),MONTH($C759),1))</f>
        <v/>
      </c>
      <c r="P759" s="65" t="str">
        <f ca="1">IF($C759="","",IF(AND($D759="Gelir",$L759&lt;&gt;"",$T759=""),"TANIMSIZ BORÇLU",IF($T759&lt;&gt;"",IF(OR($E759="",$G759&lt;=0),"EKSİK",IF($I759="Evet","TAHAKKUK NAKİT OLAMAZ",IF($C759&gt;TODAY(),"İLERİ TARİH","TAHAKKUK"))),IF(AND($D759&lt;&gt;"",$E759&lt;&gt;"",$G759&gt;0,$H759&lt;&gt;"",$I759&lt;&gt;""),IF($C759&gt;TODAY(),"İLERİ TARİH",IF(COUNTIF($W$7:$W$3001,$W759)&gt;1,"MÜKERRER?",IF($AD759&gt;0,"KAPALI DÖNEM",IF($I759="Hayır","ÖDENECEK","UYGUN")))),"EKSİK"))))</f>
        <v/>
      </c>
      <c r="Q759" s="2"/>
      <c r="R759" s="2"/>
      <c r="S759" s="1" t="str">
        <f t="shared" si="35"/>
        <v/>
      </c>
      <c r="T759" s="1" t="str">
        <f>IF(OR($C759="",$D759&lt;&gt;"Gelir",$L759=""),"",IFERROR(INDEX(MUSTERILER!$B$7:$B$156,MATCH($S759,MUSTERILER!$T$7:$T$156,0)),""))</f>
        <v/>
      </c>
      <c r="U759" s="1" t="str">
        <f>IF($T759="","",$T759&amp;"|"&amp;COUNTIFS($T$7:$T759,$T759))</f>
        <v/>
      </c>
      <c r="V759" s="1">
        <f t="shared" si="36"/>
        <v>0</v>
      </c>
      <c r="W759" s="1" t="str">
        <f t="shared" si="37"/>
        <v/>
      </c>
      <c r="X759" s="1"/>
      <c r="Y759" s="1"/>
      <c r="Z759" s="1"/>
      <c r="AA759" s="1"/>
      <c r="AB759" s="1"/>
      <c r="AC759" s="1"/>
      <c r="AD759" s="1">
        <f>IF($C759="",0,SUMPRODUCT((AY_SONU!$O$7:$O$42="Evet")*(AY_SONU!$B$7:$B$42=DATE(YEAR($C759),MONTH($C759),1))))</f>
        <v>0</v>
      </c>
      <c r="AE759" s="1" t="str">
        <f>IF($E759="","",$E759&amp;"|"&amp;COUNTIFS($E$7:$E759,$E759))</f>
        <v/>
      </c>
    </row>
    <row r="760" spans="1:31" ht="18" customHeight="1" x14ac:dyDescent="0.3">
      <c r="A760" s="2"/>
      <c r="B760" s="65" t="str">
        <f>IF($C760="","","GG"&amp;TEXT(ROW()-6,"00000"))</f>
        <v/>
      </c>
      <c r="C760" s="66"/>
      <c r="D760" s="60"/>
      <c r="E760" s="61"/>
      <c r="F760" s="61"/>
      <c r="G760" s="67"/>
      <c r="H760" s="60"/>
      <c r="I760" s="60"/>
      <c r="J760" s="61"/>
      <c r="K760" s="61"/>
      <c r="L760" s="60"/>
      <c r="M760" s="74" t="str">
        <f>IF($C760="","",IF($D760="Gider",$E760,IF($L760&lt;&gt;"",$L760,$H760)))</f>
        <v/>
      </c>
      <c r="N760" s="74" t="str">
        <f>IF($C760="","",IF($D760="Gider",$H760,$E760))</f>
        <v/>
      </c>
      <c r="O760" s="73" t="str">
        <f>IF($C760="","",DATE(YEAR($C760),MONTH($C760),1))</f>
        <v/>
      </c>
      <c r="P760" s="65" t="str">
        <f ca="1">IF($C760="","",IF(AND($D760="Gelir",$L760&lt;&gt;"",$T760=""),"TANIMSIZ BORÇLU",IF($T760&lt;&gt;"",IF(OR($E760="",$G760&lt;=0),"EKSİK",IF($I760="Evet","TAHAKKUK NAKİT OLAMAZ",IF($C760&gt;TODAY(),"İLERİ TARİH","TAHAKKUK"))),IF(AND($D760&lt;&gt;"",$E760&lt;&gt;"",$G760&gt;0,$H760&lt;&gt;"",$I760&lt;&gt;""),IF($C760&gt;TODAY(),"İLERİ TARİH",IF(COUNTIF($W$7:$W$3001,$W760)&gt;1,"MÜKERRER?",IF($AD760&gt;0,"KAPALI DÖNEM",IF($I760="Hayır","ÖDENECEK","UYGUN")))),"EKSİK"))))</f>
        <v/>
      </c>
      <c r="Q760" s="2"/>
      <c r="R760" s="2"/>
      <c r="S760" s="1" t="str">
        <f t="shared" si="35"/>
        <v/>
      </c>
      <c r="T760" s="1" t="str">
        <f>IF(OR($C760="",$D760&lt;&gt;"Gelir",$L760=""),"",IFERROR(INDEX(MUSTERILER!$B$7:$B$156,MATCH($S760,MUSTERILER!$T$7:$T$156,0)),""))</f>
        <v/>
      </c>
      <c r="U760" s="1" t="str">
        <f>IF($T760="","",$T760&amp;"|"&amp;COUNTIFS($T$7:$T760,$T760))</f>
        <v/>
      </c>
      <c r="V760" s="1">
        <f t="shared" si="36"/>
        <v>0</v>
      </c>
      <c r="W760" s="1" t="str">
        <f t="shared" si="37"/>
        <v/>
      </c>
      <c r="X760" s="1"/>
      <c r="Y760" s="1"/>
      <c r="Z760" s="1"/>
      <c r="AA760" s="1"/>
      <c r="AB760" s="1"/>
      <c r="AC760" s="1"/>
      <c r="AD760" s="1">
        <f>IF($C760="",0,SUMPRODUCT((AY_SONU!$O$7:$O$42="Evet")*(AY_SONU!$B$7:$B$42=DATE(YEAR($C760),MONTH($C760),1))))</f>
        <v>0</v>
      </c>
      <c r="AE760" s="1" t="str">
        <f>IF($E760="","",$E760&amp;"|"&amp;COUNTIFS($E$7:$E760,$E760))</f>
        <v/>
      </c>
    </row>
    <row r="761" spans="1:31" ht="18" customHeight="1" x14ac:dyDescent="0.3">
      <c r="A761" s="2"/>
      <c r="B761" s="65" t="str">
        <f>IF($C761="","","GG"&amp;TEXT(ROW()-6,"00000"))</f>
        <v/>
      </c>
      <c r="C761" s="66"/>
      <c r="D761" s="60"/>
      <c r="E761" s="61"/>
      <c r="F761" s="61"/>
      <c r="G761" s="67"/>
      <c r="H761" s="60"/>
      <c r="I761" s="60"/>
      <c r="J761" s="61"/>
      <c r="K761" s="61"/>
      <c r="L761" s="60"/>
      <c r="M761" s="74" t="str">
        <f>IF($C761="","",IF($D761="Gider",$E761,IF($L761&lt;&gt;"",$L761,$H761)))</f>
        <v/>
      </c>
      <c r="N761" s="74" t="str">
        <f>IF($C761="","",IF($D761="Gider",$H761,$E761))</f>
        <v/>
      </c>
      <c r="O761" s="73" t="str">
        <f>IF($C761="","",DATE(YEAR($C761),MONTH($C761),1))</f>
        <v/>
      </c>
      <c r="P761" s="65" t="str">
        <f ca="1">IF($C761="","",IF(AND($D761="Gelir",$L761&lt;&gt;"",$T761=""),"TANIMSIZ BORÇLU",IF($T761&lt;&gt;"",IF(OR($E761="",$G761&lt;=0),"EKSİK",IF($I761="Evet","TAHAKKUK NAKİT OLAMAZ",IF($C761&gt;TODAY(),"İLERİ TARİH","TAHAKKUK"))),IF(AND($D761&lt;&gt;"",$E761&lt;&gt;"",$G761&gt;0,$H761&lt;&gt;"",$I761&lt;&gt;""),IF($C761&gt;TODAY(),"İLERİ TARİH",IF(COUNTIF($W$7:$W$3001,$W761)&gt;1,"MÜKERRER?",IF($AD761&gt;0,"KAPALI DÖNEM",IF($I761="Hayır","ÖDENECEK","UYGUN")))),"EKSİK"))))</f>
        <v/>
      </c>
      <c r="Q761" s="2"/>
      <c r="R761" s="2"/>
      <c r="S761" s="1" t="str">
        <f t="shared" si="35"/>
        <v/>
      </c>
      <c r="T761" s="1" t="str">
        <f>IF(OR($C761="",$D761&lt;&gt;"Gelir",$L761=""),"",IFERROR(INDEX(MUSTERILER!$B$7:$B$156,MATCH($S761,MUSTERILER!$T$7:$T$156,0)),""))</f>
        <v/>
      </c>
      <c r="U761" s="1" t="str">
        <f>IF($T761="","",$T761&amp;"|"&amp;COUNTIFS($T$7:$T761,$T761))</f>
        <v/>
      </c>
      <c r="V761" s="1">
        <f t="shared" si="36"/>
        <v>0</v>
      </c>
      <c r="W761" s="1" t="str">
        <f t="shared" si="37"/>
        <v/>
      </c>
      <c r="X761" s="1"/>
      <c r="Y761" s="1"/>
      <c r="Z761" s="1"/>
      <c r="AA761" s="1"/>
      <c r="AB761" s="1"/>
      <c r="AC761" s="1"/>
      <c r="AD761" s="1">
        <f>IF($C761="",0,SUMPRODUCT((AY_SONU!$O$7:$O$42="Evet")*(AY_SONU!$B$7:$B$42=DATE(YEAR($C761),MONTH($C761),1))))</f>
        <v>0</v>
      </c>
      <c r="AE761" s="1" t="str">
        <f>IF($E761="","",$E761&amp;"|"&amp;COUNTIFS($E$7:$E761,$E761))</f>
        <v/>
      </c>
    </row>
    <row r="762" spans="1:31" ht="18" customHeight="1" x14ac:dyDescent="0.3">
      <c r="A762" s="2"/>
      <c r="B762" s="65" t="str">
        <f>IF($C762="","","GG"&amp;TEXT(ROW()-6,"00000"))</f>
        <v/>
      </c>
      <c r="C762" s="66"/>
      <c r="D762" s="60"/>
      <c r="E762" s="61"/>
      <c r="F762" s="61"/>
      <c r="G762" s="67"/>
      <c r="H762" s="60"/>
      <c r="I762" s="60"/>
      <c r="J762" s="61"/>
      <c r="K762" s="61"/>
      <c r="L762" s="60"/>
      <c r="M762" s="74" t="str">
        <f>IF($C762="","",IF($D762="Gider",$E762,IF($L762&lt;&gt;"",$L762,$H762)))</f>
        <v/>
      </c>
      <c r="N762" s="74" t="str">
        <f>IF($C762="","",IF($D762="Gider",$H762,$E762))</f>
        <v/>
      </c>
      <c r="O762" s="73" t="str">
        <f>IF($C762="","",DATE(YEAR($C762),MONTH($C762),1))</f>
        <v/>
      </c>
      <c r="P762" s="65" t="str">
        <f ca="1">IF($C762="","",IF(AND($D762="Gelir",$L762&lt;&gt;"",$T762=""),"TANIMSIZ BORÇLU",IF($T762&lt;&gt;"",IF(OR($E762="",$G762&lt;=0),"EKSİK",IF($I762="Evet","TAHAKKUK NAKİT OLAMAZ",IF($C762&gt;TODAY(),"İLERİ TARİH","TAHAKKUK"))),IF(AND($D762&lt;&gt;"",$E762&lt;&gt;"",$G762&gt;0,$H762&lt;&gt;"",$I762&lt;&gt;""),IF($C762&gt;TODAY(),"İLERİ TARİH",IF(COUNTIF($W$7:$W$3001,$W762)&gt;1,"MÜKERRER?",IF($AD762&gt;0,"KAPALI DÖNEM",IF($I762="Hayır","ÖDENECEK","UYGUN")))),"EKSİK"))))</f>
        <v/>
      </c>
      <c r="Q762" s="2"/>
      <c r="R762" s="2"/>
      <c r="S762" s="1" t="str">
        <f t="shared" si="35"/>
        <v/>
      </c>
      <c r="T762" s="1" t="str">
        <f>IF(OR($C762="",$D762&lt;&gt;"Gelir",$L762=""),"",IFERROR(INDEX(MUSTERILER!$B$7:$B$156,MATCH($S762,MUSTERILER!$T$7:$T$156,0)),""))</f>
        <v/>
      </c>
      <c r="U762" s="1" t="str">
        <f>IF($T762="","",$T762&amp;"|"&amp;COUNTIFS($T$7:$T762,$T762))</f>
        <v/>
      </c>
      <c r="V762" s="1">
        <f t="shared" si="36"/>
        <v>0</v>
      </c>
      <c r="W762" s="1" t="str">
        <f t="shared" si="37"/>
        <v/>
      </c>
      <c r="X762" s="1"/>
      <c r="Y762" s="1"/>
      <c r="Z762" s="1"/>
      <c r="AA762" s="1"/>
      <c r="AB762" s="1"/>
      <c r="AC762" s="1"/>
      <c r="AD762" s="1">
        <f>IF($C762="",0,SUMPRODUCT((AY_SONU!$O$7:$O$42="Evet")*(AY_SONU!$B$7:$B$42=DATE(YEAR($C762),MONTH($C762),1))))</f>
        <v>0</v>
      </c>
      <c r="AE762" s="1" t="str">
        <f>IF($E762="","",$E762&amp;"|"&amp;COUNTIFS($E$7:$E762,$E762))</f>
        <v/>
      </c>
    </row>
    <row r="763" spans="1:31" ht="18" customHeight="1" x14ac:dyDescent="0.3">
      <c r="A763" s="2"/>
      <c r="B763" s="65" t="str">
        <f>IF($C763="","","GG"&amp;TEXT(ROW()-6,"00000"))</f>
        <v/>
      </c>
      <c r="C763" s="66"/>
      <c r="D763" s="60"/>
      <c r="E763" s="61"/>
      <c r="F763" s="61"/>
      <c r="G763" s="67"/>
      <c r="H763" s="60"/>
      <c r="I763" s="60"/>
      <c r="J763" s="61"/>
      <c r="K763" s="61"/>
      <c r="L763" s="60"/>
      <c r="M763" s="74" t="str">
        <f>IF($C763="","",IF($D763="Gider",$E763,IF($L763&lt;&gt;"",$L763,$H763)))</f>
        <v/>
      </c>
      <c r="N763" s="74" t="str">
        <f>IF($C763="","",IF($D763="Gider",$H763,$E763))</f>
        <v/>
      </c>
      <c r="O763" s="73" t="str">
        <f>IF($C763="","",DATE(YEAR($C763),MONTH($C763),1))</f>
        <v/>
      </c>
      <c r="P763" s="65" t="str">
        <f ca="1">IF($C763="","",IF(AND($D763="Gelir",$L763&lt;&gt;"",$T763=""),"TANIMSIZ BORÇLU",IF($T763&lt;&gt;"",IF(OR($E763="",$G763&lt;=0),"EKSİK",IF($I763="Evet","TAHAKKUK NAKİT OLAMAZ",IF($C763&gt;TODAY(),"İLERİ TARİH","TAHAKKUK"))),IF(AND($D763&lt;&gt;"",$E763&lt;&gt;"",$G763&gt;0,$H763&lt;&gt;"",$I763&lt;&gt;""),IF($C763&gt;TODAY(),"İLERİ TARİH",IF(COUNTIF($W$7:$W$3001,$W763)&gt;1,"MÜKERRER?",IF($AD763&gt;0,"KAPALI DÖNEM",IF($I763="Hayır","ÖDENECEK","UYGUN")))),"EKSİK"))))</f>
        <v/>
      </c>
      <c r="Q763" s="2"/>
      <c r="R763" s="2"/>
      <c r="S763" s="1" t="str">
        <f t="shared" si="35"/>
        <v/>
      </c>
      <c r="T763" s="1" t="str">
        <f>IF(OR($C763="",$D763&lt;&gt;"Gelir",$L763=""),"",IFERROR(INDEX(MUSTERILER!$B$7:$B$156,MATCH($S763,MUSTERILER!$T$7:$T$156,0)),""))</f>
        <v/>
      </c>
      <c r="U763" s="1" t="str">
        <f>IF($T763="","",$T763&amp;"|"&amp;COUNTIFS($T$7:$T763,$T763))</f>
        <v/>
      </c>
      <c r="V763" s="1">
        <f t="shared" si="36"/>
        <v>0</v>
      </c>
      <c r="W763" s="1" t="str">
        <f t="shared" si="37"/>
        <v/>
      </c>
      <c r="X763" s="1"/>
      <c r="Y763" s="1"/>
      <c r="Z763" s="1"/>
      <c r="AA763" s="1"/>
      <c r="AB763" s="1"/>
      <c r="AC763" s="1"/>
      <c r="AD763" s="1">
        <f>IF($C763="",0,SUMPRODUCT((AY_SONU!$O$7:$O$42="Evet")*(AY_SONU!$B$7:$B$42=DATE(YEAR($C763),MONTH($C763),1))))</f>
        <v>0</v>
      </c>
      <c r="AE763" s="1" t="str">
        <f>IF($E763="","",$E763&amp;"|"&amp;COUNTIFS($E$7:$E763,$E763))</f>
        <v/>
      </c>
    </row>
    <row r="764" spans="1:31" ht="18" customHeight="1" x14ac:dyDescent="0.3">
      <c r="A764" s="2"/>
      <c r="B764" s="65" t="str">
        <f>IF($C764="","","GG"&amp;TEXT(ROW()-6,"00000"))</f>
        <v/>
      </c>
      <c r="C764" s="66"/>
      <c r="D764" s="60"/>
      <c r="E764" s="61"/>
      <c r="F764" s="61"/>
      <c r="G764" s="67"/>
      <c r="H764" s="60"/>
      <c r="I764" s="60"/>
      <c r="J764" s="61"/>
      <c r="K764" s="61"/>
      <c r="L764" s="60"/>
      <c r="M764" s="74" t="str">
        <f>IF($C764="","",IF($D764="Gider",$E764,IF($L764&lt;&gt;"",$L764,$H764)))</f>
        <v/>
      </c>
      <c r="N764" s="74" t="str">
        <f>IF($C764="","",IF($D764="Gider",$H764,$E764))</f>
        <v/>
      </c>
      <c r="O764" s="73" t="str">
        <f>IF($C764="","",DATE(YEAR($C764),MONTH($C764),1))</f>
        <v/>
      </c>
      <c r="P764" s="65" t="str">
        <f ca="1">IF($C764="","",IF(AND($D764="Gelir",$L764&lt;&gt;"",$T764=""),"TANIMSIZ BORÇLU",IF($T764&lt;&gt;"",IF(OR($E764="",$G764&lt;=0),"EKSİK",IF($I764="Evet","TAHAKKUK NAKİT OLAMAZ",IF($C764&gt;TODAY(),"İLERİ TARİH","TAHAKKUK"))),IF(AND($D764&lt;&gt;"",$E764&lt;&gt;"",$G764&gt;0,$H764&lt;&gt;"",$I764&lt;&gt;""),IF($C764&gt;TODAY(),"İLERİ TARİH",IF(COUNTIF($W$7:$W$3001,$W764)&gt;1,"MÜKERRER?",IF($AD764&gt;0,"KAPALI DÖNEM",IF($I764="Hayır","ÖDENECEK","UYGUN")))),"EKSİK"))))</f>
        <v/>
      </c>
      <c r="Q764" s="2"/>
      <c r="R764" s="2"/>
      <c r="S764" s="1" t="str">
        <f t="shared" si="35"/>
        <v/>
      </c>
      <c r="T764" s="1" t="str">
        <f>IF(OR($C764="",$D764&lt;&gt;"Gelir",$L764=""),"",IFERROR(INDEX(MUSTERILER!$B$7:$B$156,MATCH($S764,MUSTERILER!$T$7:$T$156,0)),""))</f>
        <v/>
      </c>
      <c r="U764" s="1" t="str">
        <f>IF($T764="","",$T764&amp;"|"&amp;COUNTIFS($T$7:$T764,$T764))</f>
        <v/>
      </c>
      <c r="V764" s="1">
        <f t="shared" si="36"/>
        <v>0</v>
      </c>
      <c r="W764" s="1" t="str">
        <f t="shared" si="37"/>
        <v/>
      </c>
      <c r="X764" s="1"/>
      <c r="Y764" s="1"/>
      <c r="Z764" s="1"/>
      <c r="AA764" s="1"/>
      <c r="AB764" s="1"/>
      <c r="AC764" s="1"/>
      <c r="AD764" s="1">
        <f>IF($C764="",0,SUMPRODUCT((AY_SONU!$O$7:$O$42="Evet")*(AY_SONU!$B$7:$B$42=DATE(YEAR($C764),MONTH($C764),1))))</f>
        <v>0</v>
      </c>
      <c r="AE764" s="1" t="str">
        <f>IF($E764="","",$E764&amp;"|"&amp;COUNTIFS($E$7:$E764,$E764))</f>
        <v/>
      </c>
    </row>
    <row r="765" spans="1:31" ht="18" customHeight="1" x14ac:dyDescent="0.3">
      <c r="A765" s="2"/>
      <c r="B765" s="65" t="str">
        <f>IF($C765="","","GG"&amp;TEXT(ROW()-6,"00000"))</f>
        <v/>
      </c>
      <c r="C765" s="66"/>
      <c r="D765" s="60"/>
      <c r="E765" s="61"/>
      <c r="F765" s="61"/>
      <c r="G765" s="67"/>
      <c r="H765" s="60"/>
      <c r="I765" s="60"/>
      <c r="J765" s="61"/>
      <c r="K765" s="61"/>
      <c r="L765" s="60"/>
      <c r="M765" s="74" t="str">
        <f>IF($C765="","",IF($D765="Gider",$E765,IF($L765&lt;&gt;"",$L765,$H765)))</f>
        <v/>
      </c>
      <c r="N765" s="74" t="str">
        <f>IF($C765="","",IF($D765="Gider",$H765,$E765))</f>
        <v/>
      </c>
      <c r="O765" s="73" t="str">
        <f>IF($C765="","",DATE(YEAR($C765),MONTH($C765),1))</f>
        <v/>
      </c>
      <c r="P765" s="65" t="str">
        <f ca="1">IF($C765="","",IF(AND($D765="Gelir",$L765&lt;&gt;"",$T765=""),"TANIMSIZ BORÇLU",IF($T765&lt;&gt;"",IF(OR($E765="",$G765&lt;=0),"EKSİK",IF($I765="Evet","TAHAKKUK NAKİT OLAMAZ",IF($C765&gt;TODAY(),"İLERİ TARİH","TAHAKKUK"))),IF(AND($D765&lt;&gt;"",$E765&lt;&gt;"",$G765&gt;0,$H765&lt;&gt;"",$I765&lt;&gt;""),IF($C765&gt;TODAY(),"İLERİ TARİH",IF(COUNTIF($W$7:$W$3001,$W765)&gt;1,"MÜKERRER?",IF($AD765&gt;0,"KAPALI DÖNEM",IF($I765="Hayır","ÖDENECEK","UYGUN")))),"EKSİK"))))</f>
        <v/>
      </c>
      <c r="Q765" s="2"/>
      <c r="R765" s="2"/>
      <c r="S765" s="1" t="str">
        <f t="shared" si="35"/>
        <v/>
      </c>
      <c r="T765" s="1" t="str">
        <f>IF(OR($C765="",$D765&lt;&gt;"Gelir",$L765=""),"",IFERROR(INDEX(MUSTERILER!$B$7:$B$156,MATCH($S765,MUSTERILER!$T$7:$T$156,0)),""))</f>
        <v/>
      </c>
      <c r="U765" s="1" t="str">
        <f>IF($T765="","",$T765&amp;"|"&amp;COUNTIFS($T$7:$T765,$T765))</f>
        <v/>
      </c>
      <c r="V765" s="1">
        <f t="shared" si="36"/>
        <v>0</v>
      </c>
      <c r="W765" s="1" t="str">
        <f t="shared" si="37"/>
        <v/>
      </c>
      <c r="X765" s="1"/>
      <c r="Y765" s="1"/>
      <c r="Z765" s="1"/>
      <c r="AA765" s="1"/>
      <c r="AB765" s="1"/>
      <c r="AC765" s="1"/>
      <c r="AD765" s="1">
        <f>IF($C765="",0,SUMPRODUCT((AY_SONU!$O$7:$O$42="Evet")*(AY_SONU!$B$7:$B$42=DATE(YEAR($C765),MONTH($C765),1))))</f>
        <v>0</v>
      </c>
      <c r="AE765" s="1" t="str">
        <f>IF($E765="","",$E765&amp;"|"&amp;COUNTIFS($E$7:$E765,$E765))</f>
        <v/>
      </c>
    </row>
    <row r="766" spans="1:31" ht="18" customHeight="1" x14ac:dyDescent="0.3">
      <c r="A766" s="2"/>
      <c r="B766" s="65" t="str">
        <f>IF($C766="","","GG"&amp;TEXT(ROW()-6,"00000"))</f>
        <v/>
      </c>
      <c r="C766" s="66"/>
      <c r="D766" s="60"/>
      <c r="E766" s="61"/>
      <c r="F766" s="61"/>
      <c r="G766" s="67"/>
      <c r="H766" s="60"/>
      <c r="I766" s="60"/>
      <c r="J766" s="61"/>
      <c r="K766" s="61"/>
      <c r="L766" s="60"/>
      <c r="M766" s="74" t="str">
        <f>IF($C766="","",IF($D766="Gider",$E766,IF($L766&lt;&gt;"",$L766,$H766)))</f>
        <v/>
      </c>
      <c r="N766" s="74" t="str">
        <f>IF($C766="","",IF($D766="Gider",$H766,$E766))</f>
        <v/>
      </c>
      <c r="O766" s="73" t="str">
        <f>IF($C766="","",DATE(YEAR($C766),MONTH($C766),1))</f>
        <v/>
      </c>
      <c r="P766" s="65" t="str">
        <f ca="1">IF($C766="","",IF(AND($D766="Gelir",$L766&lt;&gt;"",$T766=""),"TANIMSIZ BORÇLU",IF($T766&lt;&gt;"",IF(OR($E766="",$G766&lt;=0),"EKSİK",IF($I766="Evet","TAHAKKUK NAKİT OLAMAZ",IF($C766&gt;TODAY(),"İLERİ TARİH","TAHAKKUK"))),IF(AND($D766&lt;&gt;"",$E766&lt;&gt;"",$G766&gt;0,$H766&lt;&gt;"",$I766&lt;&gt;""),IF($C766&gt;TODAY(),"İLERİ TARİH",IF(COUNTIF($W$7:$W$3001,$W766)&gt;1,"MÜKERRER?",IF($AD766&gt;0,"KAPALI DÖNEM",IF($I766="Hayır","ÖDENECEK","UYGUN")))),"EKSİK"))))</f>
        <v/>
      </c>
      <c r="Q766" s="2"/>
      <c r="R766" s="2"/>
      <c r="S766" s="1" t="str">
        <f t="shared" si="35"/>
        <v/>
      </c>
      <c r="T766" s="1" t="str">
        <f>IF(OR($C766="",$D766&lt;&gt;"Gelir",$L766=""),"",IFERROR(INDEX(MUSTERILER!$B$7:$B$156,MATCH($S766,MUSTERILER!$T$7:$T$156,0)),""))</f>
        <v/>
      </c>
      <c r="U766" s="1" t="str">
        <f>IF($T766="","",$T766&amp;"|"&amp;COUNTIFS($T$7:$T766,$T766))</f>
        <v/>
      </c>
      <c r="V766" s="1">
        <f t="shared" si="36"/>
        <v>0</v>
      </c>
      <c r="W766" s="1" t="str">
        <f t="shared" si="37"/>
        <v/>
      </c>
      <c r="X766" s="1"/>
      <c r="Y766" s="1"/>
      <c r="Z766" s="1"/>
      <c r="AA766" s="1"/>
      <c r="AB766" s="1"/>
      <c r="AC766" s="1"/>
      <c r="AD766" s="1">
        <f>IF($C766="",0,SUMPRODUCT((AY_SONU!$O$7:$O$42="Evet")*(AY_SONU!$B$7:$B$42=DATE(YEAR($C766),MONTH($C766),1))))</f>
        <v>0</v>
      </c>
      <c r="AE766" s="1" t="str">
        <f>IF($E766="","",$E766&amp;"|"&amp;COUNTIFS($E$7:$E766,$E766))</f>
        <v/>
      </c>
    </row>
    <row r="767" spans="1:31" ht="18" customHeight="1" x14ac:dyDescent="0.3">
      <c r="A767" s="2"/>
      <c r="B767" s="65" t="str">
        <f>IF($C767="","","GG"&amp;TEXT(ROW()-6,"00000"))</f>
        <v/>
      </c>
      <c r="C767" s="66"/>
      <c r="D767" s="60"/>
      <c r="E767" s="61"/>
      <c r="F767" s="61"/>
      <c r="G767" s="67"/>
      <c r="H767" s="60"/>
      <c r="I767" s="60"/>
      <c r="J767" s="61"/>
      <c r="K767" s="61"/>
      <c r="L767" s="60"/>
      <c r="M767" s="74" t="str">
        <f>IF($C767="","",IF($D767="Gider",$E767,IF($L767&lt;&gt;"",$L767,$H767)))</f>
        <v/>
      </c>
      <c r="N767" s="74" t="str">
        <f>IF($C767="","",IF($D767="Gider",$H767,$E767))</f>
        <v/>
      </c>
      <c r="O767" s="73" t="str">
        <f>IF($C767="","",DATE(YEAR($C767),MONTH($C767),1))</f>
        <v/>
      </c>
      <c r="P767" s="65" t="str">
        <f ca="1">IF($C767="","",IF(AND($D767="Gelir",$L767&lt;&gt;"",$T767=""),"TANIMSIZ BORÇLU",IF($T767&lt;&gt;"",IF(OR($E767="",$G767&lt;=0),"EKSİK",IF($I767="Evet","TAHAKKUK NAKİT OLAMAZ",IF($C767&gt;TODAY(),"İLERİ TARİH","TAHAKKUK"))),IF(AND($D767&lt;&gt;"",$E767&lt;&gt;"",$G767&gt;0,$H767&lt;&gt;"",$I767&lt;&gt;""),IF($C767&gt;TODAY(),"İLERİ TARİH",IF(COUNTIF($W$7:$W$3001,$W767)&gt;1,"MÜKERRER?",IF($AD767&gt;0,"KAPALI DÖNEM",IF($I767="Hayır","ÖDENECEK","UYGUN")))),"EKSİK"))))</f>
        <v/>
      </c>
      <c r="Q767" s="2"/>
      <c r="R767" s="2"/>
      <c r="S767" s="1" t="str">
        <f t="shared" si="35"/>
        <v/>
      </c>
      <c r="T767" s="1" t="str">
        <f>IF(OR($C767="",$D767&lt;&gt;"Gelir",$L767=""),"",IFERROR(INDEX(MUSTERILER!$B$7:$B$156,MATCH($S767,MUSTERILER!$T$7:$T$156,0)),""))</f>
        <v/>
      </c>
      <c r="U767" s="1" t="str">
        <f>IF($T767="","",$T767&amp;"|"&amp;COUNTIFS($T$7:$T767,$T767))</f>
        <v/>
      </c>
      <c r="V767" s="1">
        <f t="shared" si="36"/>
        <v>0</v>
      </c>
      <c r="W767" s="1" t="str">
        <f t="shared" si="37"/>
        <v/>
      </c>
      <c r="X767" s="1"/>
      <c r="Y767" s="1"/>
      <c r="Z767" s="1"/>
      <c r="AA767" s="1"/>
      <c r="AB767" s="1"/>
      <c r="AC767" s="1"/>
      <c r="AD767" s="1">
        <f>IF($C767="",0,SUMPRODUCT((AY_SONU!$O$7:$O$42="Evet")*(AY_SONU!$B$7:$B$42=DATE(YEAR($C767),MONTH($C767),1))))</f>
        <v>0</v>
      </c>
      <c r="AE767" s="1" t="str">
        <f>IF($E767="","",$E767&amp;"|"&amp;COUNTIFS($E$7:$E767,$E767))</f>
        <v/>
      </c>
    </row>
    <row r="768" spans="1:31" ht="18" customHeight="1" x14ac:dyDescent="0.3">
      <c r="A768" s="2"/>
      <c r="B768" s="65" t="str">
        <f>IF($C768="","","GG"&amp;TEXT(ROW()-6,"00000"))</f>
        <v/>
      </c>
      <c r="C768" s="66"/>
      <c r="D768" s="60"/>
      <c r="E768" s="61"/>
      <c r="F768" s="61"/>
      <c r="G768" s="67"/>
      <c r="H768" s="60"/>
      <c r="I768" s="60"/>
      <c r="J768" s="61"/>
      <c r="K768" s="61"/>
      <c r="L768" s="60"/>
      <c r="M768" s="74" t="str">
        <f>IF($C768="","",IF($D768="Gider",$E768,IF($L768&lt;&gt;"",$L768,$H768)))</f>
        <v/>
      </c>
      <c r="N768" s="74" t="str">
        <f>IF($C768="","",IF($D768="Gider",$H768,$E768))</f>
        <v/>
      </c>
      <c r="O768" s="73" t="str">
        <f>IF($C768="","",DATE(YEAR($C768),MONTH($C768),1))</f>
        <v/>
      </c>
      <c r="P768" s="65" t="str">
        <f ca="1">IF($C768="","",IF(AND($D768="Gelir",$L768&lt;&gt;"",$T768=""),"TANIMSIZ BORÇLU",IF($T768&lt;&gt;"",IF(OR($E768="",$G768&lt;=0),"EKSİK",IF($I768="Evet","TAHAKKUK NAKİT OLAMAZ",IF($C768&gt;TODAY(),"İLERİ TARİH","TAHAKKUK"))),IF(AND($D768&lt;&gt;"",$E768&lt;&gt;"",$G768&gt;0,$H768&lt;&gt;"",$I768&lt;&gt;""),IF($C768&gt;TODAY(),"İLERİ TARİH",IF(COUNTIF($W$7:$W$3001,$W768)&gt;1,"MÜKERRER?",IF($AD768&gt;0,"KAPALI DÖNEM",IF($I768="Hayır","ÖDENECEK","UYGUN")))),"EKSİK"))))</f>
        <v/>
      </c>
      <c r="Q768" s="2"/>
      <c r="R768" s="2"/>
      <c r="S768" s="1" t="str">
        <f t="shared" si="35"/>
        <v/>
      </c>
      <c r="T768" s="1" t="str">
        <f>IF(OR($C768="",$D768&lt;&gt;"Gelir",$L768=""),"",IFERROR(INDEX(MUSTERILER!$B$7:$B$156,MATCH($S768,MUSTERILER!$T$7:$T$156,0)),""))</f>
        <v/>
      </c>
      <c r="U768" s="1" t="str">
        <f>IF($T768="","",$T768&amp;"|"&amp;COUNTIFS($T$7:$T768,$T768))</f>
        <v/>
      </c>
      <c r="V768" s="1">
        <f t="shared" si="36"/>
        <v>0</v>
      </c>
      <c r="W768" s="1" t="str">
        <f t="shared" si="37"/>
        <v/>
      </c>
      <c r="X768" s="1"/>
      <c r="Y768" s="1"/>
      <c r="Z768" s="1"/>
      <c r="AA768" s="1"/>
      <c r="AB768" s="1"/>
      <c r="AC768" s="1"/>
      <c r="AD768" s="1">
        <f>IF($C768="",0,SUMPRODUCT((AY_SONU!$O$7:$O$42="Evet")*(AY_SONU!$B$7:$B$42=DATE(YEAR($C768),MONTH($C768),1))))</f>
        <v>0</v>
      </c>
      <c r="AE768" s="1" t="str">
        <f>IF($E768="","",$E768&amp;"|"&amp;COUNTIFS($E$7:$E768,$E768))</f>
        <v/>
      </c>
    </row>
    <row r="769" spans="1:31" ht="18" customHeight="1" x14ac:dyDescent="0.3">
      <c r="A769" s="2"/>
      <c r="B769" s="65" t="str">
        <f>IF($C769="","","GG"&amp;TEXT(ROW()-6,"00000"))</f>
        <v/>
      </c>
      <c r="C769" s="66"/>
      <c r="D769" s="60"/>
      <c r="E769" s="61"/>
      <c r="F769" s="61"/>
      <c r="G769" s="67"/>
      <c r="H769" s="60"/>
      <c r="I769" s="60"/>
      <c r="J769" s="61"/>
      <c r="K769" s="61"/>
      <c r="L769" s="60"/>
      <c r="M769" s="74" t="str">
        <f>IF($C769="","",IF($D769="Gider",$E769,IF($L769&lt;&gt;"",$L769,$H769)))</f>
        <v/>
      </c>
      <c r="N769" s="74" t="str">
        <f>IF($C769="","",IF($D769="Gider",$H769,$E769))</f>
        <v/>
      </c>
      <c r="O769" s="73" t="str">
        <f>IF($C769="","",DATE(YEAR($C769),MONTH($C769),1))</f>
        <v/>
      </c>
      <c r="P769" s="65" t="str">
        <f ca="1">IF($C769="","",IF(AND($D769="Gelir",$L769&lt;&gt;"",$T769=""),"TANIMSIZ BORÇLU",IF($T769&lt;&gt;"",IF(OR($E769="",$G769&lt;=0),"EKSİK",IF($I769="Evet","TAHAKKUK NAKİT OLAMAZ",IF($C769&gt;TODAY(),"İLERİ TARİH","TAHAKKUK"))),IF(AND($D769&lt;&gt;"",$E769&lt;&gt;"",$G769&gt;0,$H769&lt;&gt;"",$I769&lt;&gt;""),IF($C769&gt;TODAY(),"İLERİ TARİH",IF(COUNTIF($W$7:$W$3001,$W769)&gt;1,"MÜKERRER?",IF($AD769&gt;0,"KAPALI DÖNEM",IF($I769="Hayır","ÖDENECEK","UYGUN")))),"EKSİK"))))</f>
        <v/>
      </c>
      <c r="Q769" s="2"/>
      <c r="R769" s="2"/>
      <c r="S769" s="1" t="str">
        <f t="shared" si="35"/>
        <v/>
      </c>
      <c r="T769" s="1" t="str">
        <f>IF(OR($C769="",$D769&lt;&gt;"Gelir",$L769=""),"",IFERROR(INDEX(MUSTERILER!$B$7:$B$156,MATCH($S769,MUSTERILER!$T$7:$T$156,0)),""))</f>
        <v/>
      </c>
      <c r="U769" s="1" t="str">
        <f>IF($T769="","",$T769&amp;"|"&amp;COUNTIFS($T$7:$T769,$T769))</f>
        <v/>
      </c>
      <c r="V769" s="1">
        <f t="shared" si="36"/>
        <v>0</v>
      </c>
      <c r="W769" s="1" t="str">
        <f t="shared" si="37"/>
        <v/>
      </c>
      <c r="X769" s="1"/>
      <c r="Y769" s="1"/>
      <c r="Z769" s="1"/>
      <c r="AA769" s="1"/>
      <c r="AB769" s="1"/>
      <c r="AC769" s="1"/>
      <c r="AD769" s="1">
        <f>IF($C769="",0,SUMPRODUCT((AY_SONU!$O$7:$O$42="Evet")*(AY_SONU!$B$7:$B$42=DATE(YEAR($C769),MONTH($C769),1))))</f>
        <v>0</v>
      </c>
      <c r="AE769" s="1" t="str">
        <f>IF($E769="","",$E769&amp;"|"&amp;COUNTIFS($E$7:$E769,$E769))</f>
        <v/>
      </c>
    </row>
    <row r="770" spans="1:31" ht="18" customHeight="1" x14ac:dyDescent="0.3">
      <c r="A770" s="2"/>
      <c r="B770" s="65" t="str">
        <f>IF($C770="","","GG"&amp;TEXT(ROW()-6,"00000"))</f>
        <v/>
      </c>
      <c r="C770" s="66"/>
      <c r="D770" s="60"/>
      <c r="E770" s="61"/>
      <c r="F770" s="61"/>
      <c r="G770" s="67"/>
      <c r="H770" s="60"/>
      <c r="I770" s="60"/>
      <c r="J770" s="61"/>
      <c r="K770" s="61"/>
      <c r="L770" s="60"/>
      <c r="M770" s="74" t="str">
        <f>IF($C770="","",IF($D770="Gider",$E770,IF($L770&lt;&gt;"",$L770,$H770)))</f>
        <v/>
      </c>
      <c r="N770" s="74" t="str">
        <f>IF($C770="","",IF($D770="Gider",$H770,$E770))</f>
        <v/>
      </c>
      <c r="O770" s="73" t="str">
        <f>IF($C770="","",DATE(YEAR($C770),MONTH($C770),1))</f>
        <v/>
      </c>
      <c r="P770" s="65" t="str">
        <f ca="1">IF($C770="","",IF(AND($D770="Gelir",$L770&lt;&gt;"",$T770=""),"TANIMSIZ BORÇLU",IF($T770&lt;&gt;"",IF(OR($E770="",$G770&lt;=0),"EKSİK",IF($I770="Evet","TAHAKKUK NAKİT OLAMAZ",IF($C770&gt;TODAY(),"İLERİ TARİH","TAHAKKUK"))),IF(AND($D770&lt;&gt;"",$E770&lt;&gt;"",$G770&gt;0,$H770&lt;&gt;"",$I770&lt;&gt;""),IF($C770&gt;TODAY(),"İLERİ TARİH",IF(COUNTIF($W$7:$W$3001,$W770)&gt;1,"MÜKERRER?",IF($AD770&gt;0,"KAPALI DÖNEM",IF($I770="Hayır","ÖDENECEK","UYGUN")))),"EKSİK"))))</f>
        <v/>
      </c>
      <c r="Q770" s="2"/>
      <c r="R770" s="2"/>
      <c r="S770" s="1" t="str">
        <f t="shared" si="35"/>
        <v/>
      </c>
      <c r="T770" s="1" t="str">
        <f>IF(OR($C770="",$D770&lt;&gt;"Gelir",$L770=""),"",IFERROR(INDEX(MUSTERILER!$B$7:$B$156,MATCH($S770,MUSTERILER!$T$7:$T$156,0)),""))</f>
        <v/>
      </c>
      <c r="U770" s="1" t="str">
        <f>IF($T770="","",$T770&amp;"|"&amp;COUNTIFS($T$7:$T770,$T770))</f>
        <v/>
      </c>
      <c r="V770" s="1">
        <f t="shared" si="36"/>
        <v>0</v>
      </c>
      <c r="W770" s="1" t="str">
        <f t="shared" si="37"/>
        <v/>
      </c>
      <c r="X770" s="1"/>
      <c r="Y770" s="1"/>
      <c r="Z770" s="1"/>
      <c r="AA770" s="1"/>
      <c r="AB770" s="1"/>
      <c r="AC770" s="1"/>
      <c r="AD770" s="1">
        <f>IF($C770="",0,SUMPRODUCT((AY_SONU!$O$7:$O$42="Evet")*(AY_SONU!$B$7:$B$42=DATE(YEAR($C770),MONTH($C770),1))))</f>
        <v>0</v>
      </c>
      <c r="AE770" s="1" t="str">
        <f>IF($E770="","",$E770&amp;"|"&amp;COUNTIFS($E$7:$E770,$E770))</f>
        <v/>
      </c>
    </row>
    <row r="771" spans="1:31" ht="18" customHeight="1" x14ac:dyDescent="0.3">
      <c r="A771" s="2"/>
      <c r="B771" s="65" t="str">
        <f>IF($C771="","","GG"&amp;TEXT(ROW()-6,"00000"))</f>
        <v/>
      </c>
      <c r="C771" s="66"/>
      <c r="D771" s="60"/>
      <c r="E771" s="61"/>
      <c r="F771" s="61"/>
      <c r="G771" s="67"/>
      <c r="H771" s="60"/>
      <c r="I771" s="60"/>
      <c r="J771" s="61"/>
      <c r="K771" s="61"/>
      <c r="L771" s="60"/>
      <c r="M771" s="74" t="str">
        <f>IF($C771="","",IF($D771="Gider",$E771,IF($L771&lt;&gt;"",$L771,$H771)))</f>
        <v/>
      </c>
      <c r="N771" s="74" t="str">
        <f>IF($C771="","",IF($D771="Gider",$H771,$E771))</f>
        <v/>
      </c>
      <c r="O771" s="73" t="str">
        <f>IF($C771="","",DATE(YEAR($C771),MONTH($C771),1))</f>
        <v/>
      </c>
      <c r="P771" s="65" t="str">
        <f ca="1">IF($C771="","",IF(AND($D771="Gelir",$L771&lt;&gt;"",$T771=""),"TANIMSIZ BORÇLU",IF($T771&lt;&gt;"",IF(OR($E771="",$G771&lt;=0),"EKSİK",IF($I771="Evet","TAHAKKUK NAKİT OLAMAZ",IF($C771&gt;TODAY(),"İLERİ TARİH","TAHAKKUK"))),IF(AND($D771&lt;&gt;"",$E771&lt;&gt;"",$G771&gt;0,$H771&lt;&gt;"",$I771&lt;&gt;""),IF($C771&gt;TODAY(),"İLERİ TARİH",IF(COUNTIF($W$7:$W$3001,$W771)&gt;1,"MÜKERRER?",IF($AD771&gt;0,"KAPALI DÖNEM",IF($I771="Hayır","ÖDENECEK","UYGUN")))),"EKSİK"))))</f>
        <v/>
      </c>
      <c r="Q771" s="2"/>
      <c r="R771" s="2"/>
      <c r="S771" s="1" t="str">
        <f t="shared" si="35"/>
        <v/>
      </c>
      <c r="T771" s="1" t="str">
        <f>IF(OR($C771="",$D771&lt;&gt;"Gelir",$L771=""),"",IFERROR(INDEX(MUSTERILER!$B$7:$B$156,MATCH($S771,MUSTERILER!$T$7:$T$156,0)),""))</f>
        <v/>
      </c>
      <c r="U771" s="1" t="str">
        <f>IF($T771="","",$T771&amp;"|"&amp;COUNTIFS($T$7:$T771,$T771))</f>
        <v/>
      </c>
      <c r="V771" s="1">
        <f t="shared" si="36"/>
        <v>0</v>
      </c>
      <c r="W771" s="1" t="str">
        <f t="shared" si="37"/>
        <v/>
      </c>
      <c r="X771" s="1"/>
      <c r="Y771" s="1"/>
      <c r="Z771" s="1"/>
      <c r="AA771" s="1"/>
      <c r="AB771" s="1"/>
      <c r="AC771" s="1"/>
      <c r="AD771" s="1">
        <f>IF($C771="",0,SUMPRODUCT((AY_SONU!$O$7:$O$42="Evet")*(AY_SONU!$B$7:$B$42=DATE(YEAR($C771),MONTH($C771),1))))</f>
        <v>0</v>
      </c>
      <c r="AE771" s="1" t="str">
        <f>IF($E771="","",$E771&amp;"|"&amp;COUNTIFS($E$7:$E771,$E771))</f>
        <v/>
      </c>
    </row>
    <row r="772" spans="1:31" ht="18" customHeight="1" x14ac:dyDescent="0.3">
      <c r="A772" s="2"/>
      <c r="B772" s="65" t="str">
        <f>IF($C772="","","GG"&amp;TEXT(ROW()-6,"00000"))</f>
        <v/>
      </c>
      <c r="C772" s="66"/>
      <c r="D772" s="60"/>
      <c r="E772" s="61"/>
      <c r="F772" s="61"/>
      <c r="G772" s="67"/>
      <c r="H772" s="60"/>
      <c r="I772" s="60"/>
      <c r="J772" s="61"/>
      <c r="K772" s="61"/>
      <c r="L772" s="60"/>
      <c r="M772" s="74" t="str">
        <f>IF($C772="","",IF($D772="Gider",$E772,IF($L772&lt;&gt;"",$L772,$H772)))</f>
        <v/>
      </c>
      <c r="N772" s="74" t="str">
        <f>IF($C772="","",IF($D772="Gider",$H772,$E772))</f>
        <v/>
      </c>
      <c r="O772" s="73" t="str">
        <f>IF($C772="","",DATE(YEAR($C772),MONTH($C772),1))</f>
        <v/>
      </c>
      <c r="P772" s="65" t="str">
        <f ca="1">IF($C772="","",IF(AND($D772="Gelir",$L772&lt;&gt;"",$T772=""),"TANIMSIZ BORÇLU",IF($T772&lt;&gt;"",IF(OR($E772="",$G772&lt;=0),"EKSİK",IF($I772="Evet","TAHAKKUK NAKİT OLAMAZ",IF($C772&gt;TODAY(),"İLERİ TARİH","TAHAKKUK"))),IF(AND($D772&lt;&gt;"",$E772&lt;&gt;"",$G772&gt;0,$H772&lt;&gt;"",$I772&lt;&gt;""),IF($C772&gt;TODAY(),"İLERİ TARİH",IF(COUNTIF($W$7:$W$3001,$W772)&gt;1,"MÜKERRER?",IF($AD772&gt;0,"KAPALI DÖNEM",IF($I772="Hayır","ÖDENECEK","UYGUN")))),"EKSİK"))))</f>
        <v/>
      </c>
      <c r="Q772" s="2"/>
      <c r="R772" s="2"/>
      <c r="S772" s="1" t="str">
        <f t="shared" si="35"/>
        <v/>
      </c>
      <c r="T772" s="1" t="str">
        <f>IF(OR($C772="",$D772&lt;&gt;"Gelir",$L772=""),"",IFERROR(INDEX(MUSTERILER!$B$7:$B$156,MATCH($S772,MUSTERILER!$T$7:$T$156,0)),""))</f>
        <v/>
      </c>
      <c r="U772" s="1" t="str">
        <f>IF($T772="","",$T772&amp;"|"&amp;COUNTIFS($T$7:$T772,$T772))</f>
        <v/>
      </c>
      <c r="V772" s="1">
        <f t="shared" si="36"/>
        <v>0</v>
      </c>
      <c r="W772" s="1" t="str">
        <f t="shared" si="37"/>
        <v/>
      </c>
      <c r="X772" s="1"/>
      <c r="Y772" s="1"/>
      <c r="Z772" s="1"/>
      <c r="AA772" s="1"/>
      <c r="AB772" s="1"/>
      <c r="AC772" s="1"/>
      <c r="AD772" s="1">
        <f>IF($C772="",0,SUMPRODUCT((AY_SONU!$O$7:$O$42="Evet")*(AY_SONU!$B$7:$B$42=DATE(YEAR($C772),MONTH($C772),1))))</f>
        <v>0</v>
      </c>
      <c r="AE772" s="1" t="str">
        <f>IF($E772="","",$E772&amp;"|"&amp;COUNTIFS($E$7:$E772,$E772))</f>
        <v/>
      </c>
    </row>
    <row r="773" spans="1:31" ht="18" customHeight="1" x14ac:dyDescent="0.3">
      <c r="A773" s="2"/>
      <c r="B773" s="65" t="str">
        <f>IF($C773="","","GG"&amp;TEXT(ROW()-6,"00000"))</f>
        <v/>
      </c>
      <c r="C773" s="66"/>
      <c r="D773" s="60"/>
      <c r="E773" s="61"/>
      <c r="F773" s="61"/>
      <c r="G773" s="67"/>
      <c r="H773" s="60"/>
      <c r="I773" s="60"/>
      <c r="J773" s="61"/>
      <c r="K773" s="61"/>
      <c r="L773" s="60"/>
      <c r="M773" s="74" t="str">
        <f>IF($C773="","",IF($D773="Gider",$E773,IF($L773&lt;&gt;"",$L773,$H773)))</f>
        <v/>
      </c>
      <c r="N773" s="74" t="str">
        <f>IF($C773="","",IF($D773="Gider",$H773,$E773))</f>
        <v/>
      </c>
      <c r="O773" s="73" t="str">
        <f>IF($C773="","",DATE(YEAR($C773),MONTH($C773),1))</f>
        <v/>
      </c>
      <c r="P773" s="65" t="str">
        <f ca="1">IF($C773="","",IF(AND($D773="Gelir",$L773&lt;&gt;"",$T773=""),"TANIMSIZ BORÇLU",IF($T773&lt;&gt;"",IF(OR($E773="",$G773&lt;=0),"EKSİK",IF($I773="Evet","TAHAKKUK NAKİT OLAMAZ",IF($C773&gt;TODAY(),"İLERİ TARİH","TAHAKKUK"))),IF(AND($D773&lt;&gt;"",$E773&lt;&gt;"",$G773&gt;0,$H773&lt;&gt;"",$I773&lt;&gt;""),IF($C773&gt;TODAY(),"İLERİ TARİH",IF(COUNTIF($W$7:$W$3001,$W773)&gt;1,"MÜKERRER?",IF($AD773&gt;0,"KAPALI DÖNEM",IF($I773="Hayır","ÖDENECEK","UYGUN")))),"EKSİK"))))</f>
        <v/>
      </c>
      <c r="Q773" s="2"/>
      <c r="R773" s="2"/>
      <c r="S773" s="1" t="str">
        <f t="shared" ref="S773:S836" si="38"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1" t="str">
        <f>IF(OR($C773="",$D773&lt;&gt;"Gelir",$L773=""),"",IFERROR(INDEX(MUSTERILER!$B$7:$B$156,MATCH($S773,MUSTERILER!$T$7:$T$156,0)),""))</f>
        <v/>
      </c>
      <c r="U773" s="1" t="str">
        <f>IF($T773="","",$T773&amp;"|"&amp;COUNTIFS($T$7:$T773,$T773))</f>
        <v/>
      </c>
      <c r="V773" s="1">
        <f t="shared" ref="V773:V836" si="39">IF($T773="",0,1)</f>
        <v>0</v>
      </c>
      <c r="W773" s="1" t="str">
        <f t="shared" ref="W773:W836" si="40">IF($C773="","",$D773&amp;"|"&amp;$E773&amp;"|"&amp;TEXT($C773,"0")&amp;"|"&amp;TEXT($G773,"0")&amp;"|"&amp;$F773&amp;"|"&amp;$J773)</f>
        <v/>
      </c>
      <c r="X773" s="1"/>
      <c r="Y773" s="1"/>
      <c r="Z773" s="1"/>
      <c r="AA773" s="1"/>
      <c r="AB773" s="1"/>
      <c r="AC773" s="1"/>
      <c r="AD773" s="1">
        <f>IF($C773="",0,SUMPRODUCT((AY_SONU!$O$7:$O$42="Evet")*(AY_SONU!$B$7:$B$42=DATE(YEAR($C773),MONTH($C773),1))))</f>
        <v>0</v>
      </c>
      <c r="AE773" s="1" t="str">
        <f>IF($E773="","",$E773&amp;"|"&amp;COUNTIFS($E$7:$E773,$E773))</f>
        <v/>
      </c>
    </row>
    <row r="774" spans="1:31" ht="18" customHeight="1" x14ac:dyDescent="0.3">
      <c r="A774" s="2"/>
      <c r="B774" s="65" t="str">
        <f>IF($C774="","","GG"&amp;TEXT(ROW()-6,"00000"))</f>
        <v/>
      </c>
      <c r="C774" s="66"/>
      <c r="D774" s="60"/>
      <c r="E774" s="61"/>
      <c r="F774" s="61"/>
      <c r="G774" s="67"/>
      <c r="H774" s="60"/>
      <c r="I774" s="60"/>
      <c r="J774" s="61"/>
      <c r="K774" s="61"/>
      <c r="L774" s="60"/>
      <c r="M774" s="74" t="str">
        <f>IF($C774="","",IF($D774="Gider",$E774,IF($L774&lt;&gt;"",$L774,$H774)))</f>
        <v/>
      </c>
      <c r="N774" s="74" t="str">
        <f>IF($C774="","",IF($D774="Gider",$H774,$E774))</f>
        <v/>
      </c>
      <c r="O774" s="73" t="str">
        <f>IF($C774="","",DATE(YEAR($C774),MONTH($C774),1))</f>
        <v/>
      </c>
      <c r="P774" s="65" t="str">
        <f ca="1">IF($C774="","",IF(AND($D774="Gelir",$L774&lt;&gt;"",$T774=""),"TANIMSIZ BORÇLU",IF($T774&lt;&gt;"",IF(OR($E774="",$G774&lt;=0),"EKSİK",IF($I774="Evet","TAHAKKUK NAKİT OLAMAZ",IF($C774&gt;TODAY(),"İLERİ TARİH","TAHAKKUK"))),IF(AND($D774&lt;&gt;"",$E774&lt;&gt;"",$G774&gt;0,$H774&lt;&gt;"",$I774&lt;&gt;""),IF($C774&gt;TODAY(),"İLERİ TARİH",IF(COUNTIF($W$7:$W$3001,$W774)&gt;1,"MÜKERRER?",IF($AD774&gt;0,"KAPALI DÖNEM",IF($I774="Hayır","ÖDENECEK","UYGUN")))),"EKSİK"))))</f>
        <v/>
      </c>
      <c r="Q774" s="2"/>
      <c r="R774" s="2"/>
      <c r="S774" s="1" t="str">
        <f t="shared" si="38"/>
        <v/>
      </c>
      <c r="T774" s="1" t="str">
        <f>IF(OR($C774="",$D774&lt;&gt;"Gelir",$L774=""),"",IFERROR(INDEX(MUSTERILER!$B$7:$B$156,MATCH($S774,MUSTERILER!$T$7:$T$156,0)),""))</f>
        <v/>
      </c>
      <c r="U774" s="1" t="str">
        <f>IF($T774="","",$T774&amp;"|"&amp;COUNTIFS($T$7:$T774,$T774))</f>
        <v/>
      </c>
      <c r="V774" s="1">
        <f t="shared" si="39"/>
        <v>0</v>
      </c>
      <c r="W774" s="1" t="str">
        <f t="shared" si="40"/>
        <v/>
      </c>
      <c r="X774" s="1"/>
      <c r="Y774" s="1"/>
      <c r="Z774" s="1"/>
      <c r="AA774" s="1"/>
      <c r="AB774" s="1"/>
      <c r="AC774" s="1"/>
      <c r="AD774" s="1">
        <f>IF($C774="",0,SUMPRODUCT((AY_SONU!$O$7:$O$42="Evet")*(AY_SONU!$B$7:$B$42=DATE(YEAR($C774),MONTH($C774),1))))</f>
        <v>0</v>
      </c>
      <c r="AE774" s="1" t="str">
        <f>IF($E774="","",$E774&amp;"|"&amp;COUNTIFS($E$7:$E774,$E774))</f>
        <v/>
      </c>
    </row>
    <row r="775" spans="1:31" ht="18" customHeight="1" x14ac:dyDescent="0.3">
      <c r="A775" s="2"/>
      <c r="B775" s="65" t="str">
        <f>IF($C775="","","GG"&amp;TEXT(ROW()-6,"00000"))</f>
        <v/>
      </c>
      <c r="C775" s="66"/>
      <c r="D775" s="60"/>
      <c r="E775" s="61"/>
      <c r="F775" s="61"/>
      <c r="G775" s="67"/>
      <c r="H775" s="60"/>
      <c r="I775" s="60"/>
      <c r="J775" s="61"/>
      <c r="K775" s="61"/>
      <c r="L775" s="60"/>
      <c r="M775" s="74" t="str">
        <f>IF($C775="","",IF($D775="Gider",$E775,IF($L775&lt;&gt;"",$L775,$H775)))</f>
        <v/>
      </c>
      <c r="N775" s="74" t="str">
        <f>IF($C775="","",IF($D775="Gider",$H775,$E775))</f>
        <v/>
      </c>
      <c r="O775" s="73" t="str">
        <f>IF($C775="","",DATE(YEAR($C775),MONTH($C775),1))</f>
        <v/>
      </c>
      <c r="P775" s="65" t="str">
        <f ca="1"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TARİH",IF(COUNTIF($W$7:$W$3001,$W775)&gt;1,"MÜKERRER?",IF($AD775&gt;0,"KAPALI DÖNEM",IF($I775="Hayır","ÖDENECEK","UYGUN")))),"EKSİK"))))</f>
        <v/>
      </c>
      <c r="Q775" s="2"/>
      <c r="R775" s="2"/>
      <c r="S775" s="1" t="str">
        <f t="shared" si="38"/>
        <v/>
      </c>
      <c r="T775" s="1" t="str">
        <f>IF(OR($C775="",$D775&lt;&gt;"Gelir",$L775=""),"",IFERROR(INDEX(MUSTERILER!$B$7:$B$156,MATCH($S775,MUSTERILER!$T$7:$T$156,0)),""))</f>
        <v/>
      </c>
      <c r="U775" s="1" t="str">
        <f>IF($T775="","",$T775&amp;"|"&amp;COUNTIFS($T$7:$T775,$T775))</f>
        <v/>
      </c>
      <c r="V775" s="1">
        <f t="shared" si="39"/>
        <v>0</v>
      </c>
      <c r="W775" s="1" t="str">
        <f t="shared" si="40"/>
        <v/>
      </c>
      <c r="X775" s="1"/>
      <c r="Y775" s="1"/>
      <c r="Z775" s="1"/>
      <c r="AA775" s="1"/>
      <c r="AB775" s="1"/>
      <c r="AC775" s="1"/>
      <c r="AD775" s="1">
        <f>IF($C775="",0,SUMPRODUCT((AY_SONU!$O$7:$O$42="Evet")*(AY_SONU!$B$7:$B$42=DATE(YEAR($C775),MONTH($C775),1))))</f>
        <v>0</v>
      </c>
      <c r="AE775" s="1" t="str">
        <f>IF($E775="","",$E775&amp;"|"&amp;COUNTIFS($E$7:$E775,$E775))</f>
        <v/>
      </c>
    </row>
    <row r="776" spans="1:31" ht="18" customHeight="1" x14ac:dyDescent="0.3">
      <c r="A776" s="2"/>
      <c r="B776" s="65" t="str">
        <f>IF($C776="","","GG"&amp;TEXT(ROW()-6,"00000"))</f>
        <v/>
      </c>
      <c r="C776" s="66"/>
      <c r="D776" s="60"/>
      <c r="E776" s="61"/>
      <c r="F776" s="61"/>
      <c r="G776" s="67"/>
      <c r="H776" s="60"/>
      <c r="I776" s="60"/>
      <c r="J776" s="61"/>
      <c r="K776" s="61"/>
      <c r="L776" s="60"/>
      <c r="M776" s="74" t="str">
        <f>IF($C776="","",IF($D776="Gider",$E776,IF($L776&lt;&gt;"",$L776,$H776)))</f>
        <v/>
      </c>
      <c r="N776" s="74" t="str">
        <f>IF($C776="","",IF($D776="Gider",$H776,$E776))</f>
        <v/>
      </c>
      <c r="O776" s="73" t="str">
        <f>IF($C776="","",DATE(YEAR($C776),MONTH($C776),1))</f>
        <v/>
      </c>
      <c r="P776" s="65" t="str">
        <f ca="1">IF($C776="","",IF(AND($D776="Gelir",$L776&lt;&gt;"",$T776=""),"TANIMSIZ BORÇLU",IF($T776&lt;&gt;"",IF(OR($E776="",$G776&lt;=0),"EKSİK",IF($I776="Evet","TAHAKKUK NAKİT OLAMAZ",IF($C776&gt;TODAY(),"İLERİ TARİH","TAHAKKUK"))),IF(AND($D776&lt;&gt;"",$E776&lt;&gt;"",$G776&gt;0,$H776&lt;&gt;"",$I776&lt;&gt;""),IF($C776&gt;TODAY(),"İLERİ TARİH",IF(COUNTIF($W$7:$W$3001,$W776)&gt;1,"MÜKERRER?",IF($AD776&gt;0,"KAPALI DÖNEM",IF($I776="Hayır","ÖDENECEK","UYGUN")))),"EKSİK"))))</f>
        <v/>
      </c>
      <c r="Q776" s="2"/>
      <c r="R776" s="2"/>
      <c r="S776" s="1" t="str">
        <f t="shared" si="38"/>
        <v/>
      </c>
      <c r="T776" s="1" t="str">
        <f>IF(OR($C776="",$D776&lt;&gt;"Gelir",$L776=""),"",IFERROR(INDEX(MUSTERILER!$B$7:$B$156,MATCH($S776,MUSTERILER!$T$7:$T$156,0)),""))</f>
        <v/>
      </c>
      <c r="U776" s="1" t="str">
        <f>IF($T776="","",$T776&amp;"|"&amp;COUNTIFS($T$7:$T776,$T776))</f>
        <v/>
      </c>
      <c r="V776" s="1">
        <f t="shared" si="39"/>
        <v>0</v>
      </c>
      <c r="W776" s="1" t="str">
        <f t="shared" si="40"/>
        <v/>
      </c>
      <c r="X776" s="1"/>
      <c r="Y776" s="1"/>
      <c r="Z776" s="1"/>
      <c r="AA776" s="1"/>
      <c r="AB776" s="1"/>
      <c r="AC776" s="1"/>
      <c r="AD776" s="1">
        <f>IF($C776="",0,SUMPRODUCT((AY_SONU!$O$7:$O$42="Evet")*(AY_SONU!$B$7:$B$42=DATE(YEAR($C776),MONTH($C776),1))))</f>
        <v>0</v>
      </c>
      <c r="AE776" s="1" t="str">
        <f>IF($E776="","",$E776&amp;"|"&amp;COUNTIFS($E$7:$E776,$E776))</f>
        <v/>
      </c>
    </row>
    <row r="777" spans="1:31" ht="18" customHeight="1" x14ac:dyDescent="0.3">
      <c r="A777" s="2"/>
      <c r="B777" s="65" t="str">
        <f>IF($C777="","","GG"&amp;TEXT(ROW()-6,"00000"))</f>
        <v/>
      </c>
      <c r="C777" s="66"/>
      <c r="D777" s="60"/>
      <c r="E777" s="61"/>
      <c r="F777" s="61"/>
      <c r="G777" s="67"/>
      <c r="H777" s="60"/>
      <c r="I777" s="60"/>
      <c r="J777" s="61"/>
      <c r="K777" s="61"/>
      <c r="L777" s="60"/>
      <c r="M777" s="74" t="str">
        <f>IF($C777="","",IF($D777="Gider",$E777,IF($L777&lt;&gt;"",$L777,$H777)))</f>
        <v/>
      </c>
      <c r="N777" s="74" t="str">
        <f>IF($C777="","",IF($D777="Gider",$H777,$E777))</f>
        <v/>
      </c>
      <c r="O777" s="73" t="str">
        <f>IF($C777="","",DATE(YEAR($C777),MONTH($C777),1))</f>
        <v/>
      </c>
      <c r="P777" s="65" t="str">
        <f ca="1">IF($C777="","",IF(AND($D777="Gelir",$L777&lt;&gt;"",$T777=""),"TANIMSIZ BORÇLU",IF($T777&lt;&gt;"",IF(OR($E777="",$G777&lt;=0),"EKSİK",IF($I777="Evet","TAHAKKUK NAKİT OLAMAZ",IF($C777&gt;TODAY(),"İLERİ TARİH","TAHAKKUK"))),IF(AND($D777&lt;&gt;"",$E777&lt;&gt;"",$G777&gt;0,$H777&lt;&gt;"",$I777&lt;&gt;""),IF($C777&gt;TODAY(),"İLERİ TARİH",IF(COUNTIF($W$7:$W$3001,$W777)&gt;1,"MÜKERRER?",IF($AD777&gt;0,"KAPALI DÖNEM",IF($I777="Hayır","ÖDENECEK","UYGUN")))),"EKSİK"))))</f>
        <v/>
      </c>
      <c r="Q777" s="2"/>
      <c r="R777" s="2"/>
      <c r="S777" s="1" t="str">
        <f t="shared" si="38"/>
        <v/>
      </c>
      <c r="T777" s="1" t="str">
        <f>IF(OR($C777="",$D777&lt;&gt;"Gelir",$L777=""),"",IFERROR(INDEX(MUSTERILER!$B$7:$B$156,MATCH($S777,MUSTERILER!$T$7:$T$156,0)),""))</f>
        <v/>
      </c>
      <c r="U777" s="1" t="str">
        <f>IF($T777="","",$T777&amp;"|"&amp;COUNTIFS($T$7:$T777,$T777))</f>
        <v/>
      </c>
      <c r="V777" s="1">
        <f t="shared" si="39"/>
        <v>0</v>
      </c>
      <c r="W777" s="1" t="str">
        <f t="shared" si="40"/>
        <v/>
      </c>
      <c r="X777" s="1"/>
      <c r="Y777" s="1"/>
      <c r="Z777" s="1"/>
      <c r="AA777" s="1"/>
      <c r="AB777" s="1"/>
      <c r="AC777" s="1"/>
      <c r="AD777" s="1">
        <f>IF($C777="",0,SUMPRODUCT((AY_SONU!$O$7:$O$42="Evet")*(AY_SONU!$B$7:$B$42=DATE(YEAR($C777),MONTH($C777),1))))</f>
        <v>0</v>
      </c>
      <c r="AE777" s="1" t="str">
        <f>IF($E777="","",$E777&amp;"|"&amp;COUNTIFS($E$7:$E777,$E777))</f>
        <v/>
      </c>
    </row>
    <row r="778" spans="1:31" ht="18" customHeight="1" x14ac:dyDescent="0.3">
      <c r="A778" s="2"/>
      <c r="B778" s="65" t="str">
        <f>IF($C778="","","GG"&amp;TEXT(ROW()-6,"00000"))</f>
        <v/>
      </c>
      <c r="C778" s="66"/>
      <c r="D778" s="60"/>
      <c r="E778" s="61"/>
      <c r="F778" s="61"/>
      <c r="G778" s="67"/>
      <c r="H778" s="60"/>
      <c r="I778" s="60"/>
      <c r="J778" s="61"/>
      <c r="K778" s="61"/>
      <c r="L778" s="60"/>
      <c r="M778" s="74" t="str">
        <f>IF($C778="","",IF($D778="Gider",$E778,IF($L778&lt;&gt;"",$L778,$H778)))</f>
        <v/>
      </c>
      <c r="N778" s="74" t="str">
        <f>IF($C778="","",IF($D778="Gider",$H778,$E778))</f>
        <v/>
      </c>
      <c r="O778" s="73" t="str">
        <f>IF($C778="","",DATE(YEAR($C778),MONTH($C778),1))</f>
        <v/>
      </c>
      <c r="P778" s="65" t="str">
        <f ca="1">IF($C778="","",IF(AND($D778="Gelir",$L778&lt;&gt;"",$T778=""),"TANIMSIZ BORÇLU",IF($T778&lt;&gt;"",IF(OR($E778="",$G778&lt;=0),"EKSİK",IF($I778="Evet","TAHAKKUK NAKİT OLAMAZ",IF($C778&gt;TODAY(),"İLERİ TARİH","TAHAKKUK"))),IF(AND($D778&lt;&gt;"",$E778&lt;&gt;"",$G778&gt;0,$H778&lt;&gt;"",$I778&lt;&gt;""),IF($C778&gt;TODAY(),"İLERİ TARİH",IF(COUNTIF($W$7:$W$3001,$W778)&gt;1,"MÜKERRER?",IF($AD778&gt;0,"KAPALI DÖNEM",IF($I778="Hayır","ÖDENECEK","UYGUN")))),"EKSİK"))))</f>
        <v/>
      </c>
      <c r="Q778" s="2"/>
      <c r="R778" s="2"/>
      <c r="S778" s="1" t="str">
        <f t="shared" si="38"/>
        <v/>
      </c>
      <c r="T778" s="1" t="str">
        <f>IF(OR($C778="",$D778&lt;&gt;"Gelir",$L778=""),"",IFERROR(INDEX(MUSTERILER!$B$7:$B$156,MATCH($S778,MUSTERILER!$T$7:$T$156,0)),""))</f>
        <v/>
      </c>
      <c r="U778" s="1" t="str">
        <f>IF($T778="","",$T778&amp;"|"&amp;COUNTIFS($T$7:$T778,$T778))</f>
        <v/>
      </c>
      <c r="V778" s="1">
        <f t="shared" si="39"/>
        <v>0</v>
      </c>
      <c r="W778" s="1" t="str">
        <f t="shared" si="40"/>
        <v/>
      </c>
      <c r="X778" s="1"/>
      <c r="Y778" s="1"/>
      <c r="Z778" s="1"/>
      <c r="AA778" s="1"/>
      <c r="AB778" s="1"/>
      <c r="AC778" s="1"/>
      <c r="AD778" s="1">
        <f>IF($C778="",0,SUMPRODUCT((AY_SONU!$O$7:$O$42="Evet")*(AY_SONU!$B$7:$B$42=DATE(YEAR($C778),MONTH($C778),1))))</f>
        <v>0</v>
      </c>
      <c r="AE778" s="1" t="str">
        <f>IF($E778="","",$E778&amp;"|"&amp;COUNTIFS($E$7:$E778,$E778))</f>
        <v/>
      </c>
    </row>
    <row r="779" spans="1:31" ht="18" customHeight="1" x14ac:dyDescent="0.3">
      <c r="A779" s="2"/>
      <c r="B779" s="65" t="str">
        <f>IF($C779="","","GG"&amp;TEXT(ROW()-6,"00000"))</f>
        <v/>
      </c>
      <c r="C779" s="66"/>
      <c r="D779" s="60"/>
      <c r="E779" s="61"/>
      <c r="F779" s="61"/>
      <c r="G779" s="67"/>
      <c r="H779" s="60"/>
      <c r="I779" s="60"/>
      <c r="J779" s="61"/>
      <c r="K779" s="61"/>
      <c r="L779" s="60"/>
      <c r="M779" s="74" t="str">
        <f>IF($C779="","",IF($D779="Gider",$E779,IF($L779&lt;&gt;"",$L779,$H779)))</f>
        <v/>
      </c>
      <c r="N779" s="74" t="str">
        <f>IF($C779="","",IF($D779="Gider",$H779,$E779))</f>
        <v/>
      </c>
      <c r="O779" s="73" t="str">
        <f>IF($C779="","",DATE(YEAR($C779),MONTH($C779),1))</f>
        <v/>
      </c>
      <c r="P779" s="65" t="str">
        <f ca="1">IF($C779="","",IF(AND($D779="Gelir",$L779&lt;&gt;"",$T779=""),"TANIMSIZ BORÇLU",IF($T779&lt;&gt;"",IF(OR($E779="",$G779&lt;=0),"EKSİK",IF($I779="Evet","TAHAKKUK NAKİT OLAMAZ",IF($C779&gt;TODAY(),"İLERİ TARİH","TAHAKKUK"))),IF(AND($D779&lt;&gt;"",$E779&lt;&gt;"",$G779&gt;0,$H779&lt;&gt;"",$I779&lt;&gt;""),IF($C779&gt;TODAY(),"İLERİ TARİH",IF(COUNTIF($W$7:$W$3001,$W779)&gt;1,"MÜKERRER?",IF($AD779&gt;0,"KAPALI DÖNEM",IF($I779="Hayır","ÖDENECEK","UYGUN")))),"EKSİK"))))</f>
        <v/>
      </c>
      <c r="Q779" s="2"/>
      <c r="R779" s="2"/>
      <c r="S779" s="1" t="str">
        <f t="shared" si="38"/>
        <v/>
      </c>
      <c r="T779" s="1" t="str">
        <f>IF(OR($C779="",$D779&lt;&gt;"Gelir",$L779=""),"",IFERROR(INDEX(MUSTERILER!$B$7:$B$156,MATCH($S779,MUSTERILER!$T$7:$T$156,0)),""))</f>
        <v/>
      </c>
      <c r="U779" s="1" t="str">
        <f>IF($T779="","",$T779&amp;"|"&amp;COUNTIFS($T$7:$T779,$T779))</f>
        <v/>
      </c>
      <c r="V779" s="1">
        <f t="shared" si="39"/>
        <v>0</v>
      </c>
      <c r="W779" s="1" t="str">
        <f t="shared" si="40"/>
        <v/>
      </c>
      <c r="X779" s="1"/>
      <c r="Y779" s="1"/>
      <c r="Z779" s="1"/>
      <c r="AA779" s="1"/>
      <c r="AB779" s="1"/>
      <c r="AC779" s="1"/>
      <c r="AD779" s="1">
        <f>IF($C779="",0,SUMPRODUCT((AY_SONU!$O$7:$O$42="Evet")*(AY_SONU!$B$7:$B$42=DATE(YEAR($C779),MONTH($C779),1))))</f>
        <v>0</v>
      </c>
      <c r="AE779" s="1" t="str">
        <f>IF($E779="","",$E779&amp;"|"&amp;COUNTIFS($E$7:$E779,$E779))</f>
        <v/>
      </c>
    </row>
    <row r="780" spans="1:31" ht="18" customHeight="1" x14ac:dyDescent="0.3">
      <c r="A780" s="2"/>
      <c r="B780" s="65" t="str">
        <f>IF($C780="","","GG"&amp;TEXT(ROW()-6,"00000"))</f>
        <v/>
      </c>
      <c r="C780" s="66"/>
      <c r="D780" s="60"/>
      <c r="E780" s="61"/>
      <c r="F780" s="61"/>
      <c r="G780" s="67"/>
      <c r="H780" s="60"/>
      <c r="I780" s="60"/>
      <c r="J780" s="61"/>
      <c r="K780" s="61"/>
      <c r="L780" s="60"/>
      <c r="M780" s="74" t="str">
        <f>IF($C780="","",IF($D780="Gider",$E780,IF($L780&lt;&gt;"",$L780,$H780)))</f>
        <v/>
      </c>
      <c r="N780" s="74" t="str">
        <f>IF($C780="","",IF($D780="Gider",$H780,$E780))</f>
        <v/>
      </c>
      <c r="O780" s="73" t="str">
        <f>IF($C780="","",DATE(YEAR($C780),MONTH($C780),1))</f>
        <v/>
      </c>
      <c r="P780" s="65" t="str">
        <f ca="1">IF($C780="","",IF(AND($D780="Gelir",$L780&lt;&gt;"",$T780=""),"TANIMSIZ BORÇLU",IF($T780&lt;&gt;"",IF(OR($E780="",$G780&lt;=0),"EKSİK",IF($I780="Evet","TAHAKKUK NAKİT OLAMAZ",IF($C780&gt;TODAY(),"İLERİ TARİH","TAHAKKUK"))),IF(AND($D780&lt;&gt;"",$E780&lt;&gt;"",$G780&gt;0,$H780&lt;&gt;"",$I780&lt;&gt;""),IF($C780&gt;TODAY(),"İLERİ TARİH",IF(COUNTIF($W$7:$W$3001,$W780)&gt;1,"MÜKERRER?",IF($AD780&gt;0,"KAPALI DÖNEM",IF($I780="Hayır","ÖDENECEK","UYGUN")))),"EKSİK"))))</f>
        <v/>
      </c>
      <c r="Q780" s="2"/>
      <c r="R780" s="2"/>
      <c r="S780" s="1" t="str">
        <f t="shared" si="38"/>
        <v/>
      </c>
      <c r="T780" s="1" t="str">
        <f>IF(OR($C780="",$D780&lt;&gt;"Gelir",$L780=""),"",IFERROR(INDEX(MUSTERILER!$B$7:$B$156,MATCH($S780,MUSTERILER!$T$7:$T$156,0)),""))</f>
        <v/>
      </c>
      <c r="U780" s="1" t="str">
        <f>IF($T780="","",$T780&amp;"|"&amp;COUNTIFS($T$7:$T780,$T780))</f>
        <v/>
      </c>
      <c r="V780" s="1">
        <f t="shared" si="39"/>
        <v>0</v>
      </c>
      <c r="W780" s="1" t="str">
        <f t="shared" si="40"/>
        <v/>
      </c>
      <c r="X780" s="1"/>
      <c r="Y780" s="1"/>
      <c r="Z780" s="1"/>
      <c r="AA780" s="1"/>
      <c r="AB780" s="1"/>
      <c r="AC780" s="1"/>
      <c r="AD780" s="1">
        <f>IF($C780="",0,SUMPRODUCT((AY_SONU!$O$7:$O$42="Evet")*(AY_SONU!$B$7:$B$42=DATE(YEAR($C780),MONTH($C780),1))))</f>
        <v>0</v>
      </c>
      <c r="AE780" s="1" t="str">
        <f>IF($E780="","",$E780&amp;"|"&amp;COUNTIFS($E$7:$E780,$E780))</f>
        <v/>
      </c>
    </row>
    <row r="781" spans="1:31" ht="18" customHeight="1" x14ac:dyDescent="0.3">
      <c r="A781" s="2"/>
      <c r="B781" s="65" t="str">
        <f>IF($C781="","","GG"&amp;TEXT(ROW()-6,"00000"))</f>
        <v/>
      </c>
      <c r="C781" s="66"/>
      <c r="D781" s="60"/>
      <c r="E781" s="61"/>
      <c r="F781" s="61"/>
      <c r="G781" s="67"/>
      <c r="H781" s="60"/>
      <c r="I781" s="60"/>
      <c r="J781" s="61"/>
      <c r="K781" s="61"/>
      <c r="L781" s="60"/>
      <c r="M781" s="74" t="str">
        <f>IF($C781="","",IF($D781="Gider",$E781,IF($L781&lt;&gt;"",$L781,$H781)))</f>
        <v/>
      </c>
      <c r="N781" s="74" t="str">
        <f>IF($C781="","",IF($D781="Gider",$H781,$E781))</f>
        <v/>
      </c>
      <c r="O781" s="73" t="str">
        <f>IF($C781="","",DATE(YEAR($C781),MONTH($C781),1))</f>
        <v/>
      </c>
      <c r="P781" s="65" t="str">
        <f ca="1">IF($C781="","",IF(AND($D781="Gelir",$L781&lt;&gt;"",$T781=""),"TANIMSIZ BORÇLU",IF($T781&lt;&gt;"",IF(OR($E781="",$G781&lt;=0),"EKSİK",IF($I781="Evet","TAHAKKUK NAKİT OLAMAZ",IF($C781&gt;TODAY(),"İLERİ TARİH","TAHAKKUK"))),IF(AND($D781&lt;&gt;"",$E781&lt;&gt;"",$G781&gt;0,$H781&lt;&gt;"",$I781&lt;&gt;""),IF($C781&gt;TODAY(),"İLERİ TARİH",IF(COUNTIF($W$7:$W$3001,$W781)&gt;1,"MÜKERRER?",IF($AD781&gt;0,"KAPALI DÖNEM",IF($I781="Hayır","ÖDENECEK","UYGUN")))),"EKSİK"))))</f>
        <v/>
      </c>
      <c r="Q781" s="2"/>
      <c r="R781" s="2"/>
      <c r="S781" s="1" t="str">
        <f t="shared" si="38"/>
        <v/>
      </c>
      <c r="T781" s="1" t="str">
        <f>IF(OR($C781="",$D781&lt;&gt;"Gelir",$L781=""),"",IFERROR(INDEX(MUSTERILER!$B$7:$B$156,MATCH($S781,MUSTERILER!$T$7:$T$156,0)),""))</f>
        <v/>
      </c>
      <c r="U781" s="1" t="str">
        <f>IF($T781="","",$T781&amp;"|"&amp;COUNTIFS($T$7:$T781,$T781))</f>
        <v/>
      </c>
      <c r="V781" s="1">
        <f t="shared" si="39"/>
        <v>0</v>
      </c>
      <c r="W781" s="1" t="str">
        <f t="shared" si="40"/>
        <v/>
      </c>
      <c r="X781" s="1"/>
      <c r="Y781" s="1"/>
      <c r="Z781" s="1"/>
      <c r="AA781" s="1"/>
      <c r="AB781" s="1"/>
      <c r="AC781" s="1"/>
      <c r="AD781" s="1">
        <f>IF($C781="",0,SUMPRODUCT((AY_SONU!$O$7:$O$42="Evet")*(AY_SONU!$B$7:$B$42=DATE(YEAR($C781),MONTH($C781),1))))</f>
        <v>0</v>
      </c>
      <c r="AE781" s="1" t="str">
        <f>IF($E781="","",$E781&amp;"|"&amp;COUNTIFS($E$7:$E781,$E781))</f>
        <v/>
      </c>
    </row>
    <row r="782" spans="1:31" ht="18" customHeight="1" x14ac:dyDescent="0.3">
      <c r="A782" s="2"/>
      <c r="B782" s="65" t="str">
        <f>IF($C782="","","GG"&amp;TEXT(ROW()-6,"00000"))</f>
        <v/>
      </c>
      <c r="C782" s="66"/>
      <c r="D782" s="60"/>
      <c r="E782" s="61"/>
      <c r="F782" s="61"/>
      <c r="G782" s="67"/>
      <c r="H782" s="60"/>
      <c r="I782" s="60"/>
      <c r="J782" s="61"/>
      <c r="K782" s="61"/>
      <c r="L782" s="60"/>
      <c r="M782" s="74" t="str">
        <f>IF($C782="","",IF($D782="Gider",$E782,IF($L782&lt;&gt;"",$L782,$H782)))</f>
        <v/>
      </c>
      <c r="N782" s="74" t="str">
        <f>IF($C782="","",IF($D782="Gider",$H782,$E782))</f>
        <v/>
      </c>
      <c r="O782" s="73" t="str">
        <f>IF($C782="","",DATE(YEAR($C782),MONTH($C782),1))</f>
        <v/>
      </c>
      <c r="P782" s="65" t="str">
        <f ca="1">IF($C782="","",IF(AND($D782="Gelir",$L782&lt;&gt;"",$T782=""),"TANIMSIZ BORÇLU",IF($T782&lt;&gt;"",IF(OR($E782="",$G782&lt;=0),"EKSİK",IF($I782="Evet","TAHAKKUK NAKİT OLAMAZ",IF($C782&gt;TODAY(),"İLERİ TARİH","TAHAKKUK"))),IF(AND($D782&lt;&gt;"",$E782&lt;&gt;"",$G782&gt;0,$H782&lt;&gt;"",$I782&lt;&gt;""),IF($C782&gt;TODAY(),"İLERİ TARİH",IF(COUNTIF($W$7:$W$3001,$W782)&gt;1,"MÜKERRER?",IF($AD782&gt;0,"KAPALI DÖNEM",IF($I782="Hayır","ÖDENECEK","UYGUN")))),"EKSİK"))))</f>
        <v/>
      </c>
      <c r="Q782" s="2"/>
      <c r="R782" s="2"/>
      <c r="S782" s="1" t="str">
        <f t="shared" si="38"/>
        <v/>
      </c>
      <c r="T782" s="1" t="str">
        <f>IF(OR($C782="",$D782&lt;&gt;"Gelir",$L782=""),"",IFERROR(INDEX(MUSTERILER!$B$7:$B$156,MATCH($S782,MUSTERILER!$T$7:$T$156,0)),""))</f>
        <v/>
      </c>
      <c r="U782" s="1" t="str">
        <f>IF($T782="","",$T782&amp;"|"&amp;COUNTIFS($T$7:$T782,$T782))</f>
        <v/>
      </c>
      <c r="V782" s="1">
        <f t="shared" si="39"/>
        <v>0</v>
      </c>
      <c r="W782" s="1" t="str">
        <f t="shared" si="40"/>
        <v/>
      </c>
      <c r="X782" s="1"/>
      <c r="Y782" s="1"/>
      <c r="Z782" s="1"/>
      <c r="AA782" s="1"/>
      <c r="AB782" s="1"/>
      <c r="AC782" s="1"/>
      <c r="AD782" s="1">
        <f>IF($C782="",0,SUMPRODUCT((AY_SONU!$O$7:$O$42="Evet")*(AY_SONU!$B$7:$B$42=DATE(YEAR($C782),MONTH($C782),1))))</f>
        <v>0</v>
      </c>
      <c r="AE782" s="1" t="str">
        <f>IF($E782="","",$E782&amp;"|"&amp;COUNTIFS($E$7:$E782,$E782))</f>
        <v/>
      </c>
    </row>
    <row r="783" spans="1:31" ht="18" customHeight="1" x14ac:dyDescent="0.3">
      <c r="A783" s="2"/>
      <c r="B783" s="65" t="str">
        <f>IF($C783="","","GG"&amp;TEXT(ROW()-6,"00000"))</f>
        <v/>
      </c>
      <c r="C783" s="66"/>
      <c r="D783" s="60"/>
      <c r="E783" s="61"/>
      <c r="F783" s="61"/>
      <c r="G783" s="67"/>
      <c r="H783" s="60"/>
      <c r="I783" s="60"/>
      <c r="J783" s="61"/>
      <c r="K783" s="61"/>
      <c r="L783" s="60"/>
      <c r="M783" s="74" t="str">
        <f>IF($C783="","",IF($D783="Gider",$E783,IF($L783&lt;&gt;"",$L783,$H783)))</f>
        <v/>
      </c>
      <c r="N783" s="74" t="str">
        <f>IF($C783="","",IF($D783="Gider",$H783,$E783))</f>
        <v/>
      </c>
      <c r="O783" s="73" t="str">
        <f>IF($C783="","",DATE(YEAR($C783),MONTH($C783),1))</f>
        <v/>
      </c>
      <c r="P783" s="65" t="str">
        <f ca="1">IF($C783="","",IF(AND($D783="Gelir",$L783&lt;&gt;"",$T783=""),"TANIMSIZ BORÇLU",IF($T783&lt;&gt;"",IF(OR($E783="",$G783&lt;=0),"EKSİK",IF($I783="Evet","TAHAKKUK NAKİT OLAMAZ",IF($C783&gt;TODAY(),"İLERİ TARİH","TAHAKKUK"))),IF(AND($D783&lt;&gt;"",$E783&lt;&gt;"",$G783&gt;0,$H783&lt;&gt;"",$I783&lt;&gt;""),IF($C783&gt;TODAY(),"İLERİ TARİH",IF(COUNTIF($W$7:$W$3001,$W783)&gt;1,"MÜKERRER?",IF($AD783&gt;0,"KAPALI DÖNEM",IF($I783="Hayır","ÖDENECEK","UYGUN")))),"EKSİK"))))</f>
        <v/>
      </c>
      <c r="Q783" s="2"/>
      <c r="R783" s="2"/>
      <c r="S783" s="1" t="str">
        <f t="shared" si="38"/>
        <v/>
      </c>
      <c r="T783" s="1" t="str">
        <f>IF(OR($C783="",$D783&lt;&gt;"Gelir",$L783=""),"",IFERROR(INDEX(MUSTERILER!$B$7:$B$156,MATCH($S783,MUSTERILER!$T$7:$T$156,0)),""))</f>
        <v/>
      </c>
      <c r="U783" s="1" t="str">
        <f>IF($T783="","",$T783&amp;"|"&amp;COUNTIFS($T$7:$T783,$T783))</f>
        <v/>
      </c>
      <c r="V783" s="1">
        <f t="shared" si="39"/>
        <v>0</v>
      </c>
      <c r="W783" s="1" t="str">
        <f t="shared" si="40"/>
        <v/>
      </c>
      <c r="X783" s="1"/>
      <c r="Y783" s="1"/>
      <c r="Z783" s="1"/>
      <c r="AA783" s="1"/>
      <c r="AB783" s="1"/>
      <c r="AC783" s="1"/>
      <c r="AD783" s="1">
        <f>IF($C783="",0,SUMPRODUCT((AY_SONU!$O$7:$O$42="Evet")*(AY_SONU!$B$7:$B$42=DATE(YEAR($C783),MONTH($C783),1))))</f>
        <v>0</v>
      </c>
      <c r="AE783" s="1" t="str">
        <f>IF($E783="","",$E783&amp;"|"&amp;COUNTIFS($E$7:$E783,$E783))</f>
        <v/>
      </c>
    </row>
    <row r="784" spans="1:31" ht="18" customHeight="1" x14ac:dyDescent="0.3">
      <c r="A784" s="2"/>
      <c r="B784" s="65" t="str">
        <f>IF($C784="","","GG"&amp;TEXT(ROW()-6,"00000"))</f>
        <v/>
      </c>
      <c r="C784" s="66"/>
      <c r="D784" s="60"/>
      <c r="E784" s="61"/>
      <c r="F784" s="61"/>
      <c r="G784" s="67"/>
      <c r="H784" s="60"/>
      <c r="I784" s="60"/>
      <c r="J784" s="61"/>
      <c r="K784" s="61"/>
      <c r="L784" s="60"/>
      <c r="M784" s="74" t="str">
        <f>IF($C784="","",IF($D784="Gider",$E784,IF($L784&lt;&gt;"",$L784,$H784)))</f>
        <v/>
      </c>
      <c r="N784" s="74" t="str">
        <f>IF($C784="","",IF($D784="Gider",$H784,$E784))</f>
        <v/>
      </c>
      <c r="O784" s="73" t="str">
        <f>IF($C784="","",DATE(YEAR($C784),MONTH($C784),1))</f>
        <v/>
      </c>
      <c r="P784" s="65" t="str">
        <f ca="1">IF($C784="","",IF(AND($D784="Gelir",$L784&lt;&gt;"",$T784=""),"TANIMSIZ BORÇLU",IF($T784&lt;&gt;"",IF(OR($E784="",$G784&lt;=0),"EKSİK",IF($I784="Evet","TAHAKKUK NAKİT OLAMAZ",IF($C784&gt;TODAY(),"İLERİ TARİH","TAHAKKUK"))),IF(AND($D784&lt;&gt;"",$E784&lt;&gt;"",$G784&gt;0,$H784&lt;&gt;"",$I784&lt;&gt;""),IF($C784&gt;TODAY(),"İLERİ TARİH",IF(COUNTIF($W$7:$W$3001,$W784)&gt;1,"MÜKERRER?",IF($AD784&gt;0,"KAPALI DÖNEM",IF($I784="Hayır","ÖDENECEK","UYGUN")))),"EKSİK"))))</f>
        <v/>
      </c>
      <c r="Q784" s="2"/>
      <c r="R784" s="2"/>
      <c r="S784" s="1" t="str">
        <f t="shared" si="38"/>
        <v/>
      </c>
      <c r="T784" s="1" t="str">
        <f>IF(OR($C784="",$D784&lt;&gt;"Gelir",$L784=""),"",IFERROR(INDEX(MUSTERILER!$B$7:$B$156,MATCH($S784,MUSTERILER!$T$7:$T$156,0)),""))</f>
        <v/>
      </c>
      <c r="U784" s="1" t="str">
        <f>IF($T784="","",$T784&amp;"|"&amp;COUNTIFS($T$7:$T784,$T784))</f>
        <v/>
      </c>
      <c r="V784" s="1">
        <f t="shared" si="39"/>
        <v>0</v>
      </c>
      <c r="W784" s="1" t="str">
        <f t="shared" si="40"/>
        <v/>
      </c>
      <c r="X784" s="1"/>
      <c r="Y784" s="1"/>
      <c r="Z784" s="1"/>
      <c r="AA784" s="1"/>
      <c r="AB784" s="1"/>
      <c r="AC784" s="1"/>
      <c r="AD784" s="1">
        <f>IF($C784="",0,SUMPRODUCT((AY_SONU!$O$7:$O$42="Evet")*(AY_SONU!$B$7:$B$42=DATE(YEAR($C784),MONTH($C784),1))))</f>
        <v>0</v>
      </c>
      <c r="AE784" s="1" t="str">
        <f>IF($E784="","",$E784&amp;"|"&amp;COUNTIFS($E$7:$E784,$E784))</f>
        <v/>
      </c>
    </row>
    <row r="785" spans="1:31" ht="18" customHeight="1" x14ac:dyDescent="0.3">
      <c r="A785" s="2"/>
      <c r="B785" s="65" t="str">
        <f>IF($C785="","","GG"&amp;TEXT(ROW()-6,"00000"))</f>
        <v/>
      </c>
      <c r="C785" s="66"/>
      <c r="D785" s="60"/>
      <c r="E785" s="61"/>
      <c r="F785" s="61"/>
      <c r="G785" s="67"/>
      <c r="H785" s="60"/>
      <c r="I785" s="60"/>
      <c r="J785" s="61"/>
      <c r="K785" s="61"/>
      <c r="L785" s="60"/>
      <c r="M785" s="74" t="str">
        <f>IF($C785="","",IF($D785="Gider",$E785,IF($L785&lt;&gt;"",$L785,$H785)))</f>
        <v/>
      </c>
      <c r="N785" s="74" t="str">
        <f>IF($C785="","",IF($D785="Gider",$H785,$E785))</f>
        <v/>
      </c>
      <c r="O785" s="73" t="str">
        <f>IF($C785="","",DATE(YEAR($C785),MONTH($C785),1))</f>
        <v/>
      </c>
      <c r="P785" s="65" t="str">
        <f ca="1">IF($C785="","",IF(AND($D785="Gelir",$L785&lt;&gt;"",$T785=""),"TANIMSIZ BORÇLU",IF($T785&lt;&gt;"",IF(OR($E785="",$G785&lt;=0),"EKSİK",IF($I785="Evet","TAHAKKUK NAKİT OLAMAZ",IF($C785&gt;TODAY(),"İLERİ TARİH","TAHAKKUK"))),IF(AND($D785&lt;&gt;"",$E785&lt;&gt;"",$G785&gt;0,$H785&lt;&gt;"",$I785&lt;&gt;""),IF($C785&gt;TODAY(),"İLERİ TARİH",IF(COUNTIF($W$7:$W$3001,$W785)&gt;1,"MÜKERRER?",IF($AD785&gt;0,"KAPALI DÖNEM",IF($I785="Hayır","ÖDENECEK","UYGUN")))),"EKSİK"))))</f>
        <v/>
      </c>
      <c r="Q785" s="2"/>
      <c r="R785" s="2"/>
      <c r="S785" s="1" t="str">
        <f t="shared" si="38"/>
        <v/>
      </c>
      <c r="T785" s="1" t="str">
        <f>IF(OR($C785="",$D785&lt;&gt;"Gelir",$L785=""),"",IFERROR(INDEX(MUSTERILER!$B$7:$B$156,MATCH($S785,MUSTERILER!$T$7:$T$156,0)),""))</f>
        <v/>
      </c>
      <c r="U785" s="1" t="str">
        <f>IF($T785="","",$T785&amp;"|"&amp;COUNTIFS($T$7:$T785,$T785))</f>
        <v/>
      </c>
      <c r="V785" s="1">
        <f t="shared" si="39"/>
        <v>0</v>
      </c>
      <c r="W785" s="1" t="str">
        <f t="shared" si="40"/>
        <v/>
      </c>
      <c r="X785" s="1"/>
      <c r="Y785" s="1"/>
      <c r="Z785" s="1"/>
      <c r="AA785" s="1"/>
      <c r="AB785" s="1"/>
      <c r="AC785" s="1"/>
      <c r="AD785" s="1">
        <f>IF($C785="",0,SUMPRODUCT((AY_SONU!$O$7:$O$42="Evet")*(AY_SONU!$B$7:$B$42=DATE(YEAR($C785),MONTH($C785),1))))</f>
        <v>0</v>
      </c>
      <c r="AE785" s="1" t="str">
        <f>IF($E785="","",$E785&amp;"|"&amp;COUNTIFS($E$7:$E785,$E785))</f>
        <v/>
      </c>
    </row>
    <row r="786" spans="1:31" ht="18" customHeight="1" x14ac:dyDescent="0.3">
      <c r="A786" s="2"/>
      <c r="B786" s="65" t="str">
        <f>IF($C786="","","GG"&amp;TEXT(ROW()-6,"00000"))</f>
        <v/>
      </c>
      <c r="C786" s="66"/>
      <c r="D786" s="60"/>
      <c r="E786" s="61"/>
      <c r="F786" s="61"/>
      <c r="G786" s="67"/>
      <c r="H786" s="60"/>
      <c r="I786" s="60"/>
      <c r="J786" s="61"/>
      <c r="K786" s="61"/>
      <c r="L786" s="60"/>
      <c r="M786" s="74" t="str">
        <f>IF($C786="","",IF($D786="Gider",$E786,IF($L786&lt;&gt;"",$L786,$H786)))</f>
        <v/>
      </c>
      <c r="N786" s="74" t="str">
        <f>IF($C786="","",IF($D786="Gider",$H786,$E786))</f>
        <v/>
      </c>
      <c r="O786" s="73" t="str">
        <f>IF($C786="","",DATE(YEAR($C786),MONTH($C786),1))</f>
        <v/>
      </c>
      <c r="P786" s="65" t="str">
        <f ca="1">IF($C786="","",IF(AND($D786="Gelir",$L786&lt;&gt;"",$T786=""),"TANIMSIZ BORÇLU",IF($T786&lt;&gt;"",IF(OR($E786="",$G786&lt;=0),"EKSİK",IF($I786="Evet","TAHAKKUK NAKİT OLAMAZ",IF($C786&gt;TODAY(),"İLERİ TARİH","TAHAKKUK"))),IF(AND($D786&lt;&gt;"",$E786&lt;&gt;"",$G786&gt;0,$H786&lt;&gt;"",$I786&lt;&gt;""),IF($C786&gt;TODAY(),"İLERİ TARİH",IF(COUNTIF($W$7:$W$3001,$W786)&gt;1,"MÜKERRER?",IF($AD786&gt;0,"KAPALI DÖNEM",IF($I786="Hayır","ÖDENECEK","UYGUN")))),"EKSİK"))))</f>
        <v/>
      </c>
      <c r="Q786" s="2"/>
      <c r="R786" s="2"/>
      <c r="S786" s="1" t="str">
        <f t="shared" si="38"/>
        <v/>
      </c>
      <c r="T786" s="1" t="str">
        <f>IF(OR($C786="",$D786&lt;&gt;"Gelir",$L786=""),"",IFERROR(INDEX(MUSTERILER!$B$7:$B$156,MATCH($S786,MUSTERILER!$T$7:$T$156,0)),""))</f>
        <v/>
      </c>
      <c r="U786" s="1" t="str">
        <f>IF($T786="","",$T786&amp;"|"&amp;COUNTIFS($T$7:$T786,$T786))</f>
        <v/>
      </c>
      <c r="V786" s="1">
        <f t="shared" si="39"/>
        <v>0</v>
      </c>
      <c r="W786" s="1" t="str">
        <f t="shared" si="40"/>
        <v/>
      </c>
      <c r="X786" s="1"/>
      <c r="Y786" s="1"/>
      <c r="Z786" s="1"/>
      <c r="AA786" s="1"/>
      <c r="AB786" s="1"/>
      <c r="AC786" s="1"/>
      <c r="AD786" s="1">
        <f>IF($C786="",0,SUMPRODUCT((AY_SONU!$O$7:$O$42="Evet")*(AY_SONU!$B$7:$B$42=DATE(YEAR($C786),MONTH($C786),1))))</f>
        <v>0</v>
      </c>
      <c r="AE786" s="1" t="str">
        <f>IF($E786="","",$E786&amp;"|"&amp;COUNTIFS($E$7:$E786,$E786))</f>
        <v/>
      </c>
    </row>
    <row r="787" spans="1:31" ht="18" customHeight="1" x14ac:dyDescent="0.3">
      <c r="A787" s="2"/>
      <c r="B787" s="65" t="str">
        <f>IF($C787="","","GG"&amp;TEXT(ROW()-6,"00000"))</f>
        <v/>
      </c>
      <c r="C787" s="66"/>
      <c r="D787" s="60"/>
      <c r="E787" s="61"/>
      <c r="F787" s="61"/>
      <c r="G787" s="67"/>
      <c r="H787" s="60"/>
      <c r="I787" s="60"/>
      <c r="J787" s="61"/>
      <c r="K787" s="61"/>
      <c r="L787" s="60"/>
      <c r="M787" s="74" t="str">
        <f>IF($C787="","",IF($D787="Gider",$E787,IF($L787&lt;&gt;"",$L787,$H787)))</f>
        <v/>
      </c>
      <c r="N787" s="74" t="str">
        <f>IF($C787="","",IF($D787="Gider",$H787,$E787))</f>
        <v/>
      </c>
      <c r="O787" s="73" t="str">
        <f>IF($C787="","",DATE(YEAR($C787),MONTH($C787),1))</f>
        <v/>
      </c>
      <c r="P787" s="65" t="str">
        <f ca="1">IF($C787="","",IF(AND($D787="Gelir",$L787&lt;&gt;"",$T787=""),"TANIMSIZ BORÇLU",IF($T787&lt;&gt;"",IF(OR($E787="",$G787&lt;=0),"EKSİK",IF($I787="Evet","TAHAKKUK NAKİT OLAMAZ",IF($C787&gt;TODAY(),"İLERİ TARİH","TAHAKKUK"))),IF(AND($D787&lt;&gt;"",$E787&lt;&gt;"",$G787&gt;0,$H787&lt;&gt;"",$I787&lt;&gt;""),IF($C787&gt;TODAY(),"İLERİ TARİH",IF(COUNTIF($W$7:$W$3001,$W787)&gt;1,"MÜKERRER?",IF($AD787&gt;0,"KAPALI DÖNEM",IF($I787="Hayır","ÖDENECEK","UYGUN")))),"EKSİK"))))</f>
        <v/>
      </c>
      <c r="Q787" s="2"/>
      <c r="R787" s="2"/>
      <c r="S787" s="1" t="str">
        <f t="shared" si="38"/>
        <v/>
      </c>
      <c r="T787" s="1" t="str">
        <f>IF(OR($C787="",$D787&lt;&gt;"Gelir",$L787=""),"",IFERROR(INDEX(MUSTERILER!$B$7:$B$156,MATCH($S787,MUSTERILER!$T$7:$T$156,0)),""))</f>
        <v/>
      </c>
      <c r="U787" s="1" t="str">
        <f>IF($T787="","",$T787&amp;"|"&amp;COUNTIFS($T$7:$T787,$T787))</f>
        <v/>
      </c>
      <c r="V787" s="1">
        <f t="shared" si="39"/>
        <v>0</v>
      </c>
      <c r="W787" s="1" t="str">
        <f t="shared" si="40"/>
        <v/>
      </c>
      <c r="X787" s="1"/>
      <c r="Y787" s="1"/>
      <c r="Z787" s="1"/>
      <c r="AA787" s="1"/>
      <c r="AB787" s="1"/>
      <c r="AC787" s="1"/>
      <c r="AD787" s="1">
        <f>IF($C787="",0,SUMPRODUCT((AY_SONU!$O$7:$O$42="Evet")*(AY_SONU!$B$7:$B$42=DATE(YEAR($C787),MONTH($C787),1))))</f>
        <v>0</v>
      </c>
      <c r="AE787" s="1" t="str">
        <f>IF($E787="","",$E787&amp;"|"&amp;COUNTIFS($E$7:$E787,$E787))</f>
        <v/>
      </c>
    </row>
    <row r="788" spans="1:31" ht="18" customHeight="1" x14ac:dyDescent="0.3">
      <c r="A788" s="2"/>
      <c r="B788" s="65" t="str">
        <f>IF($C788="","","GG"&amp;TEXT(ROW()-6,"00000"))</f>
        <v/>
      </c>
      <c r="C788" s="66"/>
      <c r="D788" s="60"/>
      <c r="E788" s="61"/>
      <c r="F788" s="61"/>
      <c r="G788" s="67"/>
      <c r="H788" s="60"/>
      <c r="I788" s="60"/>
      <c r="J788" s="61"/>
      <c r="K788" s="61"/>
      <c r="L788" s="60"/>
      <c r="M788" s="74" t="str">
        <f>IF($C788="","",IF($D788="Gider",$E788,IF($L788&lt;&gt;"",$L788,$H788)))</f>
        <v/>
      </c>
      <c r="N788" s="74" t="str">
        <f>IF($C788="","",IF($D788="Gider",$H788,$E788))</f>
        <v/>
      </c>
      <c r="O788" s="73" t="str">
        <f>IF($C788="","",DATE(YEAR($C788),MONTH($C788),1))</f>
        <v/>
      </c>
      <c r="P788" s="65" t="str">
        <f ca="1">IF($C788="","",IF(AND($D788="Gelir",$L788&lt;&gt;"",$T788=""),"TANIMSIZ BORÇLU",IF($T788&lt;&gt;"",IF(OR($E788="",$G788&lt;=0),"EKSİK",IF($I788="Evet","TAHAKKUK NAKİT OLAMAZ",IF($C788&gt;TODAY(),"İLERİ TARİH","TAHAKKUK"))),IF(AND($D788&lt;&gt;"",$E788&lt;&gt;"",$G788&gt;0,$H788&lt;&gt;"",$I788&lt;&gt;""),IF($C788&gt;TODAY(),"İLERİ TARİH",IF(COUNTIF($W$7:$W$3001,$W788)&gt;1,"MÜKERRER?",IF($AD788&gt;0,"KAPALI DÖNEM",IF($I788="Hayır","ÖDENECEK","UYGUN")))),"EKSİK"))))</f>
        <v/>
      </c>
      <c r="Q788" s="2"/>
      <c r="R788" s="2"/>
      <c r="S788" s="1" t="str">
        <f t="shared" si="38"/>
        <v/>
      </c>
      <c r="T788" s="1" t="str">
        <f>IF(OR($C788="",$D788&lt;&gt;"Gelir",$L788=""),"",IFERROR(INDEX(MUSTERILER!$B$7:$B$156,MATCH($S788,MUSTERILER!$T$7:$T$156,0)),""))</f>
        <v/>
      </c>
      <c r="U788" s="1" t="str">
        <f>IF($T788="","",$T788&amp;"|"&amp;COUNTIFS($T$7:$T788,$T788))</f>
        <v/>
      </c>
      <c r="V788" s="1">
        <f t="shared" si="39"/>
        <v>0</v>
      </c>
      <c r="W788" s="1" t="str">
        <f t="shared" si="40"/>
        <v/>
      </c>
      <c r="X788" s="1"/>
      <c r="Y788" s="1"/>
      <c r="Z788" s="1"/>
      <c r="AA788" s="1"/>
      <c r="AB788" s="1"/>
      <c r="AC788" s="1"/>
      <c r="AD788" s="1">
        <f>IF($C788="",0,SUMPRODUCT((AY_SONU!$O$7:$O$42="Evet")*(AY_SONU!$B$7:$B$42=DATE(YEAR($C788),MONTH($C788),1))))</f>
        <v>0</v>
      </c>
      <c r="AE788" s="1" t="str">
        <f>IF($E788="","",$E788&amp;"|"&amp;COUNTIFS($E$7:$E788,$E788))</f>
        <v/>
      </c>
    </row>
    <row r="789" spans="1:31" ht="18" customHeight="1" x14ac:dyDescent="0.3">
      <c r="A789" s="2"/>
      <c r="B789" s="65" t="str">
        <f>IF($C789="","","GG"&amp;TEXT(ROW()-6,"00000"))</f>
        <v/>
      </c>
      <c r="C789" s="66"/>
      <c r="D789" s="60"/>
      <c r="E789" s="61"/>
      <c r="F789" s="61"/>
      <c r="G789" s="67"/>
      <c r="H789" s="60"/>
      <c r="I789" s="60"/>
      <c r="J789" s="61"/>
      <c r="K789" s="61"/>
      <c r="L789" s="60"/>
      <c r="M789" s="74" t="str">
        <f>IF($C789="","",IF($D789="Gider",$E789,IF($L789&lt;&gt;"",$L789,$H789)))</f>
        <v/>
      </c>
      <c r="N789" s="74" t="str">
        <f>IF($C789="","",IF($D789="Gider",$H789,$E789))</f>
        <v/>
      </c>
      <c r="O789" s="73" t="str">
        <f>IF($C789="","",DATE(YEAR($C789),MONTH($C789),1))</f>
        <v/>
      </c>
      <c r="P789" s="65" t="str">
        <f ca="1">IF($C789="","",IF(AND($D789="Gelir",$L789&lt;&gt;"",$T789=""),"TANIMSIZ BORÇLU",IF($T789&lt;&gt;"",IF(OR($E789="",$G789&lt;=0),"EKSİK",IF($I789="Evet","TAHAKKUK NAKİT OLAMAZ",IF($C789&gt;TODAY(),"İLERİ TARİH","TAHAKKUK"))),IF(AND($D789&lt;&gt;"",$E789&lt;&gt;"",$G789&gt;0,$H789&lt;&gt;"",$I789&lt;&gt;""),IF($C789&gt;TODAY(),"İLERİ TARİH",IF(COUNTIF($W$7:$W$3001,$W789)&gt;1,"MÜKERRER?",IF($AD789&gt;0,"KAPALI DÖNEM",IF($I789="Hayır","ÖDENECEK","UYGUN")))),"EKSİK"))))</f>
        <v/>
      </c>
      <c r="Q789" s="2"/>
      <c r="R789" s="2"/>
      <c r="S789" s="1" t="str">
        <f t="shared" si="38"/>
        <v/>
      </c>
      <c r="T789" s="1" t="str">
        <f>IF(OR($C789="",$D789&lt;&gt;"Gelir",$L789=""),"",IFERROR(INDEX(MUSTERILER!$B$7:$B$156,MATCH($S789,MUSTERILER!$T$7:$T$156,0)),""))</f>
        <v/>
      </c>
      <c r="U789" s="1" t="str">
        <f>IF($T789="","",$T789&amp;"|"&amp;COUNTIFS($T$7:$T789,$T789))</f>
        <v/>
      </c>
      <c r="V789" s="1">
        <f t="shared" si="39"/>
        <v>0</v>
      </c>
      <c r="W789" s="1" t="str">
        <f t="shared" si="40"/>
        <v/>
      </c>
      <c r="X789" s="1"/>
      <c r="Y789" s="1"/>
      <c r="Z789" s="1"/>
      <c r="AA789" s="1"/>
      <c r="AB789" s="1"/>
      <c r="AC789" s="1"/>
      <c r="AD789" s="1">
        <f>IF($C789="",0,SUMPRODUCT((AY_SONU!$O$7:$O$42="Evet")*(AY_SONU!$B$7:$B$42=DATE(YEAR($C789),MONTH($C789),1))))</f>
        <v>0</v>
      </c>
      <c r="AE789" s="1" t="str">
        <f>IF($E789="","",$E789&amp;"|"&amp;COUNTIFS($E$7:$E789,$E789))</f>
        <v/>
      </c>
    </row>
    <row r="790" spans="1:31" ht="18" customHeight="1" x14ac:dyDescent="0.3">
      <c r="A790" s="2"/>
      <c r="B790" s="65" t="str">
        <f>IF($C790="","","GG"&amp;TEXT(ROW()-6,"00000"))</f>
        <v/>
      </c>
      <c r="C790" s="66"/>
      <c r="D790" s="60"/>
      <c r="E790" s="61"/>
      <c r="F790" s="61"/>
      <c r="G790" s="67"/>
      <c r="H790" s="60"/>
      <c r="I790" s="60"/>
      <c r="J790" s="61"/>
      <c r="K790" s="61"/>
      <c r="L790" s="60"/>
      <c r="M790" s="74" t="str">
        <f>IF($C790="","",IF($D790="Gider",$E790,IF($L790&lt;&gt;"",$L790,$H790)))</f>
        <v/>
      </c>
      <c r="N790" s="74" t="str">
        <f>IF($C790="","",IF($D790="Gider",$H790,$E790))</f>
        <v/>
      </c>
      <c r="O790" s="73" t="str">
        <f>IF($C790="","",DATE(YEAR($C790),MONTH($C790),1))</f>
        <v/>
      </c>
      <c r="P790" s="65" t="str">
        <f ca="1">IF($C790="","",IF(AND($D790="Gelir",$L790&lt;&gt;"",$T790=""),"TANIMSIZ BORÇLU",IF($T790&lt;&gt;"",IF(OR($E790="",$G790&lt;=0),"EKSİK",IF($I790="Evet","TAHAKKUK NAKİT OLAMAZ",IF($C790&gt;TODAY(),"İLERİ TARİH","TAHAKKUK"))),IF(AND($D790&lt;&gt;"",$E790&lt;&gt;"",$G790&gt;0,$H790&lt;&gt;"",$I790&lt;&gt;""),IF($C790&gt;TODAY(),"İLERİ TARİH",IF(COUNTIF($W$7:$W$3001,$W790)&gt;1,"MÜKERRER?",IF($AD790&gt;0,"KAPALI DÖNEM",IF($I790="Hayır","ÖDENECEK","UYGUN")))),"EKSİK"))))</f>
        <v/>
      </c>
      <c r="Q790" s="2"/>
      <c r="R790" s="2"/>
      <c r="S790" s="1" t="str">
        <f t="shared" si="38"/>
        <v/>
      </c>
      <c r="T790" s="1" t="str">
        <f>IF(OR($C790="",$D790&lt;&gt;"Gelir",$L790=""),"",IFERROR(INDEX(MUSTERILER!$B$7:$B$156,MATCH($S790,MUSTERILER!$T$7:$T$156,0)),""))</f>
        <v/>
      </c>
      <c r="U790" s="1" t="str">
        <f>IF($T790="","",$T790&amp;"|"&amp;COUNTIFS($T$7:$T790,$T790))</f>
        <v/>
      </c>
      <c r="V790" s="1">
        <f t="shared" si="39"/>
        <v>0</v>
      </c>
      <c r="W790" s="1" t="str">
        <f t="shared" si="40"/>
        <v/>
      </c>
      <c r="X790" s="1"/>
      <c r="Y790" s="1"/>
      <c r="Z790" s="1"/>
      <c r="AA790" s="1"/>
      <c r="AB790" s="1"/>
      <c r="AC790" s="1"/>
      <c r="AD790" s="1">
        <f>IF($C790="",0,SUMPRODUCT((AY_SONU!$O$7:$O$42="Evet")*(AY_SONU!$B$7:$B$42=DATE(YEAR($C790),MONTH($C790),1))))</f>
        <v>0</v>
      </c>
      <c r="AE790" s="1" t="str">
        <f>IF($E790="","",$E790&amp;"|"&amp;COUNTIFS($E$7:$E790,$E790))</f>
        <v/>
      </c>
    </row>
    <row r="791" spans="1:31" ht="18" customHeight="1" x14ac:dyDescent="0.3">
      <c r="A791" s="2"/>
      <c r="B791" s="65" t="str">
        <f>IF($C791="","","GG"&amp;TEXT(ROW()-6,"00000"))</f>
        <v/>
      </c>
      <c r="C791" s="66"/>
      <c r="D791" s="60"/>
      <c r="E791" s="61"/>
      <c r="F791" s="61"/>
      <c r="G791" s="67"/>
      <c r="H791" s="60"/>
      <c r="I791" s="60"/>
      <c r="J791" s="61"/>
      <c r="K791" s="61"/>
      <c r="L791" s="60"/>
      <c r="M791" s="74" t="str">
        <f>IF($C791="","",IF($D791="Gider",$E791,IF($L791&lt;&gt;"",$L791,$H791)))</f>
        <v/>
      </c>
      <c r="N791" s="74" t="str">
        <f>IF($C791="","",IF($D791="Gider",$H791,$E791))</f>
        <v/>
      </c>
      <c r="O791" s="73" t="str">
        <f>IF($C791="","",DATE(YEAR($C791),MONTH($C791),1))</f>
        <v/>
      </c>
      <c r="P791" s="65" t="str">
        <f ca="1">IF($C791="","",IF(AND($D791="Gelir",$L791&lt;&gt;"",$T791=""),"TANIMSIZ BORÇLU",IF($T791&lt;&gt;"",IF(OR($E791="",$G791&lt;=0),"EKSİK",IF($I791="Evet","TAHAKKUK NAKİT OLAMAZ",IF($C791&gt;TODAY(),"İLERİ TARİH","TAHAKKUK"))),IF(AND($D791&lt;&gt;"",$E791&lt;&gt;"",$G791&gt;0,$H791&lt;&gt;"",$I791&lt;&gt;""),IF($C791&gt;TODAY(),"İLERİ TARİH",IF(COUNTIF($W$7:$W$3001,$W791)&gt;1,"MÜKERRER?",IF($AD791&gt;0,"KAPALI DÖNEM",IF($I791="Hayır","ÖDENECEK","UYGUN")))),"EKSİK"))))</f>
        <v/>
      </c>
      <c r="Q791" s="2"/>
      <c r="R791" s="2"/>
      <c r="S791" s="1" t="str">
        <f t="shared" si="38"/>
        <v/>
      </c>
      <c r="T791" s="1" t="str">
        <f>IF(OR($C791="",$D791&lt;&gt;"Gelir",$L791=""),"",IFERROR(INDEX(MUSTERILER!$B$7:$B$156,MATCH($S791,MUSTERILER!$T$7:$T$156,0)),""))</f>
        <v/>
      </c>
      <c r="U791" s="1" t="str">
        <f>IF($T791="","",$T791&amp;"|"&amp;COUNTIFS($T$7:$T791,$T791))</f>
        <v/>
      </c>
      <c r="V791" s="1">
        <f t="shared" si="39"/>
        <v>0</v>
      </c>
      <c r="W791" s="1" t="str">
        <f t="shared" si="40"/>
        <v/>
      </c>
      <c r="X791" s="1"/>
      <c r="Y791" s="1"/>
      <c r="Z791" s="1"/>
      <c r="AA791" s="1"/>
      <c r="AB791" s="1"/>
      <c r="AC791" s="1"/>
      <c r="AD791" s="1">
        <f>IF($C791="",0,SUMPRODUCT((AY_SONU!$O$7:$O$42="Evet")*(AY_SONU!$B$7:$B$42=DATE(YEAR($C791),MONTH($C791),1))))</f>
        <v>0</v>
      </c>
      <c r="AE791" s="1" t="str">
        <f>IF($E791="","",$E791&amp;"|"&amp;COUNTIFS($E$7:$E791,$E791))</f>
        <v/>
      </c>
    </row>
    <row r="792" spans="1:31" ht="18" customHeight="1" x14ac:dyDescent="0.3">
      <c r="A792" s="2"/>
      <c r="B792" s="65" t="str">
        <f>IF($C792="","","GG"&amp;TEXT(ROW()-6,"00000"))</f>
        <v/>
      </c>
      <c r="C792" s="66"/>
      <c r="D792" s="60"/>
      <c r="E792" s="61"/>
      <c r="F792" s="61"/>
      <c r="G792" s="67"/>
      <c r="H792" s="60"/>
      <c r="I792" s="60"/>
      <c r="J792" s="61"/>
      <c r="K792" s="61"/>
      <c r="L792" s="60"/>
      <c r="M792" s="74" t="str">
        <f>IF($C792="","",IF($D792="Gider",$E792,IF($L792&lt;&gt;"",$L792,$H792)))</f>
        <v/>
      </c>
      <c r="N792" s="74" t="str">
        <f>IF($C792="","",IF($D792="Gider",$H792,$E792))</f>
        <v/>
      </c>
      <c r="O792" s="73" t="str">
        <f>IF($C792="","",DATE(YEAR($C792),MONTH($C792),1))</f>
        <v/>
      </c>
      <c r="P792" s="65" t="str">
        <f ca="1">IF($C792="","",IF(AND($D792="Gelir",$L792&lt;&gt;"",$T792=""),"TANIMSIZ BORÇLU",IF($T792&lt;&gt;"",IF(OR($E792="",$G792&lt;=0),"EKSİK",IF($I792="Evet","TAHAKKUK NAKİT OLAMAZ",IF($C792&gt;TODAY(),"İLERİ TARİH","TAHAKKUK"))),IF(AND($D792&lt;&gt;"",$E792&lt;&gt;"",$G792&gt;0,$H792&lt;&gt;"",$I792&lt;&gt;""),IF($C792&gt;TODAY(),"İLERİ TARİH",IF(COUNTIF($W$7:$W$3001,$W792)&gt;1,"MÜKERRER?",IF($AD792&gt;0,"KAPALI DÖNEM",IF($I792="Hayır","ÖDENECEK","UYGUN")))),"EKSİK"))))</f>
        <v/>
      </c>
      <c r="Q792" s="2"/>
      <c r="R792" s="2"/>
      <c r="S792" s="1" t="str">
        <f t="shared" si="38"/>
        <v/>
      </c>
      <c r="T792" s="1" t="str">
        <f>IF(OR($C792="",$D792&lt;&gt;"Gelir",$L792=""),"",IFERROR(INDEX(MUSTERILER!$B$7:$B$156,MATCH($S792,MUSTERILER!$T$7:$T$156,0)),""))</f>
        <v/>
      </c>
      <c r="U792" s="1" t="str">
        <f>IF($T792="","",$T792&amp;"|"&amp;COUNTIFS($T$7:$T792,$T792))</f>
        <v/>
      </c>
      <c r="V792" s="1">
        <f t="shared" si="39"/>
        <v>0</v>
      </c>
      <c r="W792" s="1" t="str">
        <f t="shared" si="40"/>
        <v/>
      </c>
      <c r="X792" s="1"/>
      <c r="Y792" s="1"/>
      <c r="Z792" s="1"/>
      <c r="AA792" s="1"/>
      <c r="AB792" s="1"/>
      <c r="AC792" s="1"/>
      <c r="AD792" s="1">
        <f>IF($C792="",0,SUMPRODUCT((AY_SONU!$O$7:$O$42="Evet")*(AY_SONU!$B$7:$B$42=DATE(YEAR($C792),MONTH($C792),1))))</f>
        <v>0</v>
      </c>
      <c r="AE792" s="1" t="str">
        <f>IF($E792="","",$E792&amp;"|"&amp;COUNTIFS($E$7:$E792,$E792))</f>
        <v/>
      </c>
    </row>
    <row r="793" spans="1:31" ht="18" customHeight="1" x14ac:dyDescent="0.3">
      <c r="A793" s="2"/>
      <c r="B793" s="65" t="str">
        <f>IF($C793="","","GG"&amp;TEXT(ROW()-6,"00000"))</f>
        <v/>
      </c>
      <c r="C793" s="66"/>
      <c r="D793" s="60"/>
      <c r="E793" s="61"/>
      <c r="F793" s="61"/>
      <c r="G793" s="67"/>
      <c r="H793" s="60"/>
      <c r="I793" s="60"/>
      <c r="J793" s="61"/>
      <c r="K793" s="61"/>
      <c r="L793" s="60"/>
      <c r="M793" s="74" t="str">
        <f>IF($C793="","",IF($D793="Gider",$E793,IF($L793&lt;&gt;"",$L793,$H793)))</f>
        <v/>
      </c>
      <c r="N793" s="74" t="str">
        <f>IF($C793="","",IF($D793="Gider",$H793,$E793))</f>
        <v/>
      </c>
      <c r="O793" s="73" t="str">
        <f>IF($C793="","",DATE(YEAR($C793),MONTH($C793),1))</f>
        <v/>
      </c>
      <c r="P793" s="65" t="str">
        <f ca="1">IF($C793="","",IF(AND($D793="Gelir",$L793&lt;&gt;"",$T793=""),"TANIMSIZ BORÇLU",IF($T793&lt;&gt;"",IF(OR($E793="",$G793&lt;=0),"EKSİK",IF($I793="Evet","TAHAKKUK NAKİT OLAMAZ",IF($C793&gt;TODAY(),"İLERİ TARİH","TAHAKKUK"))),IF(AND($D793&lt;&gt;"",$E793&lt;&gt;"",$G793&gt;0,$H793&lt;&gt;"",$I793&lt;&gt;""),IF($C793&gt;TODAY(),"İLERİ TARİH",IF(COUNTIF($W$7:$W$3001,$W793)&gt;1,"MÜKERRER?",IF($AD793&gt;0,"KAPALI DÖNEM",IF($I793="Hayır","ÖDENECEK","UYGUN")))),"EKSİK"))))</f>
        <v/>
      </c>
      <c r="Q793" s="2"/>
      <c r="R793" s="2"/>
      <c r="S793" s="1" t="str">
        <f t="shared" si="38"/>
        <v/>
      </c>
      <c r="T793" s="1" t="str">
        <f>IF(OR($C793="",$D793&lt;&gt;"Gelir",$L793=""),"",IFERROR(INDEX(MUSTERILER!$B$7:$B$156,MATCH($S793,MUSTERILER!$T$7:$T$156,0)),""))</f>
        <v/>
      </c>
      <c r="U793" s="1" t="str">
        <f>IF($T793="","",$T793&amp;"|"&amp;COUNTIFS($T$7:$T793,$T793))</f>
        <v/>
      </c>
      <c r="V793" s="1">
        <f t="shared" si="39"/>
        <v>0</v>
      </c>
      <c r="W793" s="1" t="str">
        <f t="shared" si="40"/>
        <v/>
      </c>
      <c r="X793" s="1"/>
      <c r="Y793" s="1"/>
      <c r="Z793" s="1"/>
      <c r="AA793" s="1"/>
      <c r="AB793" s="1"/>
      <c r="AC793" s="1"/>
      <c r="AD793" s="1">
        <f>IF($C793="",0,SUMPRODUCT((AY_SONU!$O$7:$O$42="Evet")*(AY_SONU!$B$7:$B$42=DATE(YEAR($C793),MONTH($C793),1))))</f>
        <v>0</v>
      </c>
      <c r="AE793" s="1" t="str">
        <f>IF($E793="","",$E793&amp;"|"&amp;COUNTIFS($E$7:$E793,$E793))</f>
        <v/>
      </c>
    </row>
    <row r="794" spans="1:31" ht="18" customHeight="1" x14ac:dyDescent="0.3">
      <c r="A794" s="2"/>
      <c r="B794" s="65" t="str">
        <f>IF($C794="","","GG"&amp;TEXT(ROW()-6,"00000"))</f>
        <v/>
      </c>
      <c r="C794" s="66"/>
      <c r="D794" s="60"/>
      <c r="E794" s="61"/>
      <c r="F794" s="61"/>
      <c r="G794" s="67"/>
      <c r="H794" s="60"/>
      <c r="I794" s="60"/>
      <c r="J794" s="61"/>
      <c r="K794" s="61"/>
      <c r="L794" s="60"/>
      <c r="M794" s="74" t="str">
        <f>IF($C794="","",IF($D794="Gider",$E794,IF($L794&lt;&gt;"",$L794,$H794)))</f>
        <v/>
      </c>
      <c r="N794" s="74" t="str">
        <f>IF($C794="","",IF($D794="Gider",$H794,$E794))</f>
        <v/>
      </c>
      <c r="O794" s="73" t="str">
        <f>IF($C794="","",DATE(YEAR($C794),MONTH($C794),1))</f>
        <v/>
      </c>
      <c r="P794" s="65" t="str">
        <f ca="1">IF($C794="","",IF(AND($D794="Gelir",$L794&lt;&gt;"",$T794=""),"TANIMSIZ BORÇLU",IF($T794&lt;&gt;"",IF(OR($E794="",$G794&lt;=0),"EKSİK",IF($I794="Evet","TAHAKKUK NAKİT OLAMAZ",IF($C794&gt;TODAY(),"İLERİ TARİH","TAHAKKUK"))),IF(AND($D794&lt;&gt;"",$E794&lt;&gt;"",$G794&gt;0,$H794&lt;&gt;"",$I794&lt;&gt;""),IF($C794&gt;TODAY(),"İLERİ TARİH",IF(COUNTIF($W$7:$W$3001,$W794)&gt;1,"MÜKERRER?",IF($AD794&gt;0,"KAPALI DÖNEM",IF($I794="Hayır","ÖDENECEK","UYGUN")))),"EKSİK"))))</f>
        <v/>
      </c>
      <c r="Q794" s="2"/>
      <c r="R794" s="2"/>
      <c r="S794" s="1" t="str">
        <f t="shared" si="38"/>
        <v/>
      </c>
      <c r="T794" s="1" t="str">
        <f>IF(OR($C794="",$D794&lt;&gt;"Gelir",$L794=""),"",IFERROR(INDEX(MUSTERILER!$B$7:$B$156,MATCH($S794,MUSTERILER!$T$7:$T$156,0)),""))</f>
        <v/>
      </c>
      <c r="U794" s="1" t="str">
        <f>IF($T794="","",$T794&amp;"|"&amp;COUNTIFS($T$7:$T794,$T794))</f>
        <v/>
      </c>
      <c r="V794" s="1">
        <f t="shared" si="39"/>
        <v>0</v>
      </c>
      <c r="W794" s="1" t="str">
        <f t="shared" si="40"/>
        <v/>
      </c>
      <c r="X794" s="1"/>
      <c r="Y794" s="1"/>
      <c r="Z794" s="1"/>
      <c r="AA794" s="1"/>
      <c r="AB794" s="1"/>
      <c r="AC794" s="1"/>
      <c r="AD794" s="1">
        <f>IF($C794="",0,SUMPRODUCT((AY_SONU!$O$7:$O$42="Evet")*(AY_SONU!$B$7:$B$42=DATE(YEAR($C794),MONTH($C794),1))))</f>
        <v>0</v>
      </c>
      <c r="AE794" s="1" t="str">
        <f>IF($E794="","",$E794&amp;"|"&amp;COUNTIFS($E$7:$E794,$E794))</f>
        <v/>
      </c>
    </row>
    <row r="795" spans="1:31" ht="18" customHeight="1" x14ac:dyDescent="0.3">
      <c r="A795" s="2"/>
      <c r="B795" s="65" t="str">
        <f>IF($C795="","","GG"&amp;TEXT(ROW()-6,"00000"))</f>
        <v/>
      </c>
      <c r="C795" s="66"/>
      <c r="D795" s="60"/>
      <c r="E795" s="61"/>
      <c r="F795" s="61"/>
      <c r="G795" s="67"/>
      <c r="H795" s="60"/>
      <c r="I795" s="60"/>
      <c r="J795" s="61"/>
      <c r="K795" s="61"/>
      <c r="L795" s="60"/>
      <c r="M795" s="74" t="str">
        <f>IF($C795="","",IF($D795="Gider",$E795,IF($L795&lt;&gt;"",$L795,$H795)))</f>
        <v/>
      </c>
      <c r="N795" s="74" t="str">
        <f>IF($C795="","",IF($D795="Gider",$H795,$E795))</f>
        <v/>
      </c>
      <c r="O795" s="73" t="str">
        <f>IF($C795="","",DATE(YEAR($C795),MONTH($C795),1))</f>
        <v/>
      </c>
      <c r="P795" s="65" t="str">
        <f ca="1">IF($C795="","",IF(AND($D795="Gelir",$L795&lt;&gt;"",$T795=""),"TANIMSIZ BORÇLU",IF($T795&lt;&gt;"",IF(OR($E795="",$G795&lt;=0),"EKSİK",IF($I795="Evet","TAHAKKUK NAKİT OLAMAZ",IF($C795&gt;TODAY(),"İLERİ TARİH","TAHAKKUK"))),IF(AND($D795&lt;&gt;"",$E795&lt;&gt;"",$G795&gt;0,$H795&lt;&gt;"",$I795&lt;&gt;""),IF($C795&gt;TODAY(),"İLERİ TARİH",IF(COUNTIF($W$7:$W$3001,$W795)&gt;1,"MÜKERRER?",IF($AD795&gt;0,"KAPALI DÖNEM",IF($I795="Hayır","ÖDENECEK","UYGUN")))),"EKSİK"))))</f>
        <v/>
      </c>
      <c r="Q795" s="2"/>
      <c r="R795" s="2"/>
      <c r="S795" s="1" t="str">
        <f t="shared" si="38"/>
        <v/>
      </c>
      <c r="T795" s="1" t="str">
        <f>IF(OR($C795="",$D795&lt;&gt;"Gelir",$L795=""),"",IFERROR(INDEX(MUSTERILER!$B$7:$B$156,MATCH($S795,MUSTERILER!$T$7:$T$156,0)),""))</f>
        <v/>
      </c>
      <c r="U795" s="1" t="str">
        <f>IF($T795="","",$T795&amp;"|"&amp;COUNTIFS($T$7:$T795,$T795))</f>
        <v/>
      </c>
      <c r="V795" s="1">
        <f t="shared" si="39"/>
        <v>0</v>
      </c>
      <c r="W795" s="1" t="str">
        <f t="shared" si="40"/>
        <v/>
      </c>
      <c r="X795" s="1"/>
      <c r="Y795" s="1"/>
      <c r="Z795" s="1"/>
      <c r="AA795" s="1"/>
      <c r="AB795" s="1"/>
      <c r="AC795" s="1"/>
      <c r="AD795" s="1">
        <f>IF($C795="",0,SUMPRODUCT((AY_SONU!$O$7:$O$42="Evet")*(AY_SONU!$B$7:$B$42=DATE(YEAR($C795),MONTH($C795),1))))</f>
        <v>0</v>
      </c>
      <c r="AE795" s="1" t="str">
        <f>IF($E795="","",$E795&amp;"|"&amp;COUNTIFS($E$7:$E795,$E795))</f>
        <v/>
      </c>
    </row>
    <row r="796" spans="1:31" ht="18" customHeight="1" x14ac:dyDescent="0.3">
      <c r="A796" s="2"/>
      <c r="B796" s="65" t="str">
        <f>IF($C796="","","GG"&amp;TEXT(ROW()-6,"00000"))</f>
        <v/>
      </c>
      <c r="C796" s="66"/>
      <c r="D796" s="60"/>
      <c r="E796" s="61"/>
      <c r="F796" s="61"/>
      <c r="G796" s="67"/>
      <c r="H796" s="60"/>
      <c r="I796" s="60"/>
      <c r="J796" s="61"/>
      <c r="K796" s="61"/>
      <c r="L796" s="60"/>
      <c r="M796" s="74" t="str">
        <f>IF($C796="","",IF($D796="Gider",$E796,IF($L796&lt;&gt;"",$L796,$H796)))</f>
        <v/>
      </c>
      <c r="N796" s="74" t="str">
        <f>IF($C796="","",IF($D796="Gider",$H796,$E796))</f>
        <v/>
      </c>
      <c r="O796" s="73" t="str">
        <f>IF($C796="","",DATE(YEAR($C796),MONTH($C796),1))</f>
        <v/>
      </c>
      <c r="P796" s="65" t="str">
        <f ca="1">IF($C796="","",IF(AND($D796="Gelir",$L796&lt;&gt;"",$T796=""),"TANIMSIZ BORÇLU",IF($T796&lt;&gt;"",IF(OR($E796="",$G796&lt;=0),"EKSİK",IF($I796="Evet","TAHAKKUK NAKİT OLAMAZ",IF($C796&gt;TODAY(),"İLERİ TARİH","TAHAKKUK"))),IF(AND($D796&lt;&gt;"",$E796&lt;&gt;"",$G796&gt;0,$H796&lt;&gt;"",$I796&lt;&gt;""),IF($C796&gt;TODAY(),"İLERİ TARİH",IF(COUNTIF($W$7:$W$3001,$W796)&gt;1,"MÜKERRER?",IF($AD796&gt;0,"KAPALI DÖNEM",IF($I796="Hayır","ÖDENECEK","UYGUN")))),"EKSİK"))))</f>
        <v/>
      </c>
      <c r="Q796" s="2"/>
      <c r="R796" s="2"/>
      <c r="S796" s="1" t="str">
        <f t="shared" si="38"/>
        <v/>
      </c>
      <c r="T796" s="1" t="str">
        <f>IF(OR($C796="",$D796&lt;&gt;"Gelir",$L796=""),"",IFERROR(INDEX(MUSTERILER!$B$7:$B$156,MATCH($S796,MUSTERILER!$T$7:$T$156,0)),""))</f>
        <v/>
      </c>
      <c r="U796" s="1" t="str">
        <f>IF($T796="","",$T796&amp;"|"&amp;COUNTIFS($T$7:$T796,$T796))</f>
        <v/>
      </c>
      <c r="V796" s="1">
        <f t="shared" si="39"/>
        <v>0</v>
      </c>
      <c r="W796" s="1" t="str">
        <f t="shared" si="40"/>
        <v/>
      </c>
      <c r="X796" s="1"/>
      <c r="Y796" s="1"/>
      <c r="Z796" s="1"/>
      <c r="AA796" s="1"/>
      <c r="AB796" s="1"/>
      <c r="AC796" s="1"/>
      <c r="AD796" s="1">
        <f>IF($C796="",0,SUMPRODUCT((AY_SONU!$O$7:$O$42="Evet")*(AY_SONU!$B$7:$B$42=DATE(YEAR($C796),MONTH($C796),1))))</f>
        <v>0</v>
      </c>
      <c r="AE796" s="1" t="str">
        <f>IF($E796="","",$E796&amp;"|"&amp;COUNTIFS($E$7:$E796,$E796))</f>
        <v/>
      </c>
    </row>
    <row r="797" spans="1:31" ht="18" customHeight="1" x14ac:dyDescent="0.3">
      <c r="A797" s="2"/>
      <c r="B797" s="65" t="str">
        <f>IF($C797="","","GG"&amp;TEXT(ROW()-6,"00000"))</f>
        <v/>
      </c>
      <c r="C797" s="66"/>
      <c r="D797" s="60"/>
      <c r="E797" s="61"/>
      <c r="F797" s="61"/>
      <c r="G797" s="67"/>
      <c r="H797" s="60"/>
      <c r="I797" s="60"/>
      <c r="J797" s="61"/>
      <c r="K797" s="61"/>
      <c r="L797" s="60"/>
      <c r="M797" s="74" t="str">
        <f>IF($C797="","",IF($D797="Gider",$E797,IF($L797&lt;&gt;"",$L797,$H797)))</f>
        <v/>
      </c>
      <c r="N797" s="74" t="str">
        <f>IF($C797="","",IF($D797="Gider",$H797,$E797))</f>
        <v/>
      </c>
      <c r="O797" s="73" t="str">
        <f>IF($C797="","",DATE(YEAR($C797),MONTH($C797),1))</f>
        <v/>
      </c>
      <c r="P797" s="65" t="str">
        <f ca="1">IF($C797="","",IF(AND($D797="Gelir",$L797&lt;&gt;"",$T797=""),"TANIMSIZ BORÇLU",IF($T797&lt;&gt;"",IF(OR($E797="",$G797&lt;=0),"EKSİK",IF($I797="Evet","TAHAKKUK NAKİT OLAMAZ",IF($C797&gt;TODAY(),"İLERİ TARİH","TAHAKKUK"))),IF(AND($D797&lt;&gt;"",$E797&lt;&gt;"",$G797&gt;0,$H797&lt;&gt;"",$I797&lt;&gt;""),IF($C797&gt;TODAY(),"İLERİ TARİH",IF(COUNTIF($W$7:$W$3001,$W797)&gt;1,"MÜKERRER?",IF($AD797&gt;0,"KAPALI DÖNEM",IF($I797="Hayır","ÖDENECEK","UYGUN")))),"EKSİK"))))</f>
        <v/>
      </c>
      <c r="Q797" s="2"/>
      <c r="R797" s="2"/>
      <c r="S797" s="1" t="str">
        <f t="shared" si="38"/>
        <v/>
      </c>
      <c r="T797" s="1" t="str">
        <f>IF(OR($C797="",$D797&lt;&gt;"Gelir",$L797=""),"",IFERROR(INDEX(MUSTERILER!$B$7:$B$156,MATCH($S797,MUSTERILER!$T$7:$T$156,0)),""))</f>
        <v/>
      </c>
      <c r="U797" s="1" t="str">
        <f>IF($T797="","",$T797&amp;"|"&amp;COUNTIFS($T$7:$T797,$T797))</f>
        <v/>
      </c>
      <c r="V797" s="1">
        <f t="shared" si="39"/>
        <v>0</v>
      </c>
      <c r="W797" s="1" t="str">
        <f t="shared" si="40"/>
        <v/>
      </c>
      <c r="X797" s="1"/>
      <c r="Y797" s="1"/>
      <c r="Z797" s="1"/>
      <c r="AA797" s="1"/>
      <c r="AB797" s="1"/>
      <c r="AC797" s="1"/>
      <c r="AD797" s="1">
        <f>IF($C797="",0,SUMPRODUCT((AY_SONU!$O$7:$O$42="Evet")*(AY_SONU!$B$7:$B$42=DATE(YEAR($C797),MONTH($C797),1))))</f>
        <v>0</v>
      </c>
      <c r="AE797" s="1" t="str">
        <f>IF($E797="","",$E797&amp;"|"&amp;COUNTIFS($E$7:$E797,$E797))</f>
        <v/>
      </c>
    </row>
    <row r="798" spans="1:31" ht="18" customHeight="1" x14ac:dyDescent="0.3">
      <c r="A798" s="2"/>
      <c r="B798" s="65" t="str">
        <f>IF($C798="","","GG"&amp;TEXT(ROW()-6,"00000"))</f>
        <v/>
      </c>
      <c r="C798" s="66"/>
      <c r="D798" s="60"/>
      <c r="E798" s="61"/>
      <c r="F798" s="61"/>
      <c r="G798" s="67"/>
      <c r="H798" s="60"/>
      <c r="I798" s="60"/>
      <c r="J798" s="61"/>
      <c r="K798" s="61"/>
      <c r="L798" s="60"/>
      <c r="M798" s="74" t="str">
        <f>IF($C798="","",IF($D798="Gider",$E798,IF($L798&lt;&gt;"",$L798,$H798)))</f>
        <v/>
      </c>
      <c r="N798" s="74" t="str">
        <f>IF($C798="","",IF($D798="Gider",$H798,$E798))</f>
        <v/>
      </c>
      <c r="O798" s="73" t="str">
        <f>IF($C798="","",DATE(YEAR($C798),MONTH($C798),1))</f>
        <v/>
      </c>
      <c r="P798" s="65" t="str">
        <f ca="1">IF($C798="","",IF(AND($D798="Gelir",$L798&lt;&gt;"",$T798=""),"TANIMSIZ BORÇLU",IF($T798&lt;&gt;"",IF(OR($E798="",$G798&lt;=0),"EKSİK",IF($I798="Evet","TAHAKKUK NAKİT OLAMAZ",IF($C798&gt;TODAY(),"İLERİ TARİH","TAHAKKUK"))),IF(AND($D798&lt;&gt;"",$E798&lt;&gt;"",$G798&gt;0,$H798&lt;&gt;"",$I798&lt;&gt;""),IF($C798&gt;TODAY(),"İLERİ TARİH",IF(COUNTIF($W$7:$W$3001,$W798)&gt;1,"MÜKERRER?",IF($AD798&gt;0,"KAPALI DÖNEM",IF($I798="Hayır","ÖDENECEK","UYGUN")))),"EKSİK"))))</f>
        <v/>
      </c>
      <c r="Q798" s="2"/>
      <c r="R798" s="2"/>
      <c r="S798" s="1" t="str">
        <f t="shared" si="38"/>
        <v/>
      </c>
      <c r="T798" s="1" t="str">
        <f>IF(OR($C798="",$D798&lt;&gt;"Gelir",$L798=""),"",IFERROR(INDEX(MUSTERILER!$B$7:$B$156,MATCH($S798,MUSTERILER!$T$7:$T$156,0)),""))</f>
        <v/>
      </c>
      <c r="U798" s="1" t="str">
        <f>IF($T798="","",$T798&amp;"|"&amp;COUNTIFS($T$7:$T798,$T798))</f>
        <v/>
      </c>
      <c r="V798" s="1">
        <f t="shared" si="39"/>
        <v>0</v>
      </c>
      <c r="W798" s="1" t="str">
        <f t="shared" si="40"/>
        <v/>
      </c>
      <c r="X798" s="1"/>
      <c r="Y798" s="1"/>
      <c r="Z798" s="1"/>
      <c r="AA798" s="1"/>
      <c r="AB798" s="1"/>
      <c r="AC798" s="1"/>
      <c r="AD798" s="1">
        <f>IF($C798="",0,SUMPRODUCT((AY_SONU!$O$7:$O$42="Evet")*(AY_SONU!$B$7:$B$42=DATE(YEAR($C798),MONTH($C798),1))))</f>
        <v>0</v>
      </c>
      <c r="AE798" s="1" t="str">
        <f>IF($E798="","",$E798&amp;"|"&amp;COUNTIFS($E$7:$E798,$E798))</f>
        <v/>
      </c>
    </row>
    <row r="799" spans="1:31" ht="18" customHeight="1" x14ac:dyDescent="0.3">
      <c r="A799" s="2"/>
      <c r="B799" s="65" t="str">
        <f>IF($C799="","","GG"&amp;TEXT(ROW()-6,"00000"))</f>
        <v/>
      </c>
      <c r="C799" s="66"/>
      <c r="D799" s="60"/>
      <c r="E799" s="61"/>
      <c r="F799" s="61"/>
      <c r="G799" s="67"/>
      <c r="H799" s="60"/>
      <c r="I799" s="60"/>
      <c r="J799" s="61"/>
      <c r="K799" s="61"/>
      <c r="L799" s="60"/>
      <c r="M799" s="74" t="str">
        <f>IF($C799="","",IF($D799="Gider",$E799,IF($L799&lt;&gt;"",$L799,$H799)))</f>
        <v/>
      </c>
      <c r="N799" s="74" t="str">
        <f>IF($C799="","",IF($D799="Gider",$H799,$E799))</f>
        <v/>
      </c>
      <c r="O799" s="73" t="str">
        <f>IF($C799="","",DATE(YEAR($C799),MONTH($C799),1))</f>
        <v/>
      </c>
      <c r="P799" s="65" t="str">
        <f ca="1">IF($C799="","",IF(AND($D799="Gelir",$L799&lt;&gt;"",$T799=""),"TANIMSIZ BORÇLU",IF($T799&lt;&gt;"",IF(OR($E799="",$G799&lt;=0),"EKSİK",IF($I799="Evet","TAHAKKUK NAKİT OLAMAZ",IF($C799&gt;TODAY(),"İLERİ TARİH","TAHAKKUK"))),IF(AND($D799&lt;&gt;"",$E799&lt;&gt;"",$G799&gt;0,$H799&lt;&gt;"",$I799&lt;&gt;""),IF($C799&gt;TODAY(),"İLERİ TARİH",IF(COUNTIF($W$7:$W$3001,$W799)&gt;1,"MÜKERRER?",IF($AD799&gt;0,"KAPALI DÖNEM",IF($I799="Hayır","ÖDENECEK","UYGUN")))),"EKSİK"))))</f>
        <v/>
      </c>
      <c r="Q799" s="2"/>
      <c r="R799" s="2"/>
      <c r="S799" s="1" t="str">
        <f t="shared" si="38"/>
        <v/>
      </c>
      <c r="T799" s="1" t="str">
        <f>IF(OR($C799="",$D799&lt;&gt;"Gelir",$L799=""),"",IFERROR(INDEX(MUSTERILER!$B$7:$B$156,MATCH($S799,MUSTERILER!$T$7:$T$156,0)),""))</f>
        <v/>
      </c>
      <c r="U799" s="1" t="str">
        <f>IF($T799="","",$T799&amp;"|"&amp;COUNTIFS($T$7:$T799,$T799))</f>
        <v/>
      </c>
      <c r="V799" s="1">
        <f t="shared" si="39"/>
        <v>0</v>
      </c>
      <c r="W799" s="1" t="str">
        <f t="shared" si="40"/>
        <v/>
      </c>
      <c r="X799" s="1"/>
      <c r="Y799" s="1"/>
      <c r="Z799" s="1"/>
      <c r="AA799" s="1"/>
      <c r="AB799" s="1"/>
      <c r="AC799" s="1"/>
      <c r="AD799" s="1">
        <f>IF($C799="",0,SUMPRODUCT((AY_SONU!$O$7:$O$42="Evet")*(AY_SONU!$B$7:$B$42=DATE(YEAR($C799),MONTH($C799),1))))</f>
        <v>0</v>
      </c>
      <c r="AE799" s="1" t="str">
        <f>IF($E799="","",$E799&amp;"|"&amp;COUNTIFS($E$7:$E799,$E799))</f>
        <v/>
      </c>
    </row>
    <row r="800" spans="1:31" ht="18" customHeight="1" x14ac:dyDescent="0.3">
      <c r="A800" s="2"/>
      <c r="B800" s="65" t="str">
        <f>IF($C800="","","GG"&amp;TEXT(ROW()-6,"00000"))</f>
        <v/>
      </c>
      <c r="C800" s="66"/>
      <c r="D800" s="60"/>
      <c r="E800" s="61"/>
      <c r="F800" s="61"/>
      <c r="G800" s="67"/>
      <c r="H800" s="60"/>
      <c r="I800" s="60"/>
      <c r="J800" s="61"/>
      <c r="K800" s="61"/>
      <c r="L800" s="60"/>
      <c r="M800" s="74" t="str">
        <f>IF($C800="","",IF($D800="Gider",$E800,IF($L800&lt;&gt;"",$L800,$H800)))</f>
        <v/>
      </c>
      <c r="N800" s="74" t="str">
        <f>IF($C800="","",IF($D800="Gider",$H800,$E800))</f>
        <v/>
      </c>
      <c r="O800" s="73" t="str">
        <f>IF($C800="","",DATE(YEAR($C800),MONTH($C800),1))</f>
        <v/>
      </c>
      <c r="P800" s="65" t="str">
        <f ca="1">IF($C800="","",IF(AND($D800="Gelir",$L800&lt;&gt;"",$T800=""),"TANIMSIZ BORÇLU",IF($T800&lt;&gt;"",IF(OR($E800="",$G800&lt;=0),"EKSİK",IF($I800="Evet","TAHAKKUK NAKİT OLAMAZ",IF($C800&gt;TODAY(),"İLERİ TARİH","TAHAKKUK"))),IF(AND($D800&lt;&gt;"",$E800&lt;&gt;"",$G800&gt;0,$H800&lt;&gt;"",$I800&lt;&gt;""),IF($C800&gt;TODAY(),"İLERİ TARİH",IF(COUNTIF($W$7:$W$3001,$W800)&gt;1,"MÜKERRER?",IF($AD800&gt;0,"KAPALI DÖNEM",IF($I800="Hayır","ÖDENECEK","UYGUN")))),"EKSİK"))))</f>
        <v/>
      </c>
      <c r="Q800" s="2"/>
      <c r="R800" s="2"/>
      <c r="S800" s="1" t="str">
        <f t="shared" si="38"/>
        <v/>
      </c>
      <c r="T800" s="1" t="str">
        <f>IF(OR($C800="",$D800&lt;&gt;"Gelir",$L800=""),"",IFERROR(INDEX(MUSTERILER!$B$7:$B$156,MATCH($S800,MUSTERILER!$T$7:$T$156,0)),""))</f>
        <v/>
      </c>
      <c r="U800" s="1" t="str">
        <f>IF($T800="","",$T800&amp;"|"&amp;COUNTIFS($T$7:$T800,$T800))</f>
        <v/>
      </c>
      <c r="V800" s="1">
        <f t="shared" si="39"/>
        <v>0</v>
      </c>
      <c r="W800" s="1" t="str">
        <f t="shared" si="40"/>
        <v/>
      </c>
      <c r="X800" s="1"/>
      <c r="Y800" s="1"/>
      <c r="Z800" s="1"/>
      <c r="AA800" s="1"/>
      <c r="AB800" s="1"/>
      <c r="AC800" s="1"/>
      <c r="AD800" s="1">
        <f>IF($C800="",0,SUMPRODUCT((AY_SONU!$O$7:$O$42="Evet")*(AY_SONU!$B$7:$B$42=DATE(YEAR($C800),MONTH($C800),1))))</f>
        <v>0</v>
      </c>
      <c r="AE800" s="1" t="str">
        <f>IF($E800="","",$E800&amp;"|"&amp;COUNTIFS($E$7:$E800,$E800))</f>
        <v/>
      </c>
    </row>
    <row r="801" spans="1:31" ht="18" customHeight="1" x14ac:dyDescent="0.3">
      <c r="A801" s="2"/>
      <c r="B801" s="65" t="str">
        <f>IF($C801="","","GG"&amp;TEXT(ROW()-6,"00000"))</f>
        <v/>
      </c>
      <c r="C801" s="66"/>
      <c r="D801" s="60"/>
      <c r="E801" s="61"/>
      <c r="F801" s="61"/>
      <c r="G801" s="67"/>
      <c r="H801" s="60"/>
      <c r="I801" s="60"/>
      <c r="J801" s="61"/>
      <c r="K801" s="61"/>
      <c r="L801" s="60"/>
      <c r="M801" s="74" t="str">
        <f>IF($C801="","",IF($D801="Gider",$E801,IF($L801&lt;&gt;"",$L801,$H801)))</f>
        <v/>
      </c>
      <c r="N801" s="74" t="str">
        <f>IF($C801="","",IF($D801="Gider",$H801,$E801))</f>
        <v/>
      </c>
      <c r="O801" s="73" t="str">
        <f>IF($C801="","",DATE(YEAR($C801),MONTH($C801),1))</f>
        <v/>
      </c>
      <c r="P801" s="65" t="str">
        <f ca="1">IF($C801="","",IF(AND($D801="Gelir",$L801&lt;&gt;"",$T801=""),"TANIMSIZ BORÇLU",IF($T801&lt;&gt;"",IF(OR($E801="",$G801&lt;=0),"EKSİK",IF($I801="Evet","TAHAKKUK NAKİT OLAMAZ",IF($C801&gt;TODAY(),"İLERİ TARİH","TAHAKKUK"))),IF(AND($D801&lt;&gt;"",$E801&lt;&gt;"",$G801&gt;0,$H801&lt;&gt;"",$I801&lt;&gt;""),IF($C801&gt;TODAY(),"İLERİ TARİH",IF(COUNTIF($W$7:$W$3001,$W801)&gt;1,"MÜKERRER?",IF($AD801&gt;0,"KAPALI DÖNEM",IF($I801="Hayır","ÖDENECEK","UYGUN")))),"EKSİK"))))</f>
        <v/>
      </c>
      <c r="Q801" s="2"/>
      <c r="R801" s="2"/>
      <c r="S801" s="1" t="str">
        <f t="shared" si="38"/>
        <v/>
      </c>
      <c r="T801" s="1" t="str">
        <f>IF(OR($C801="",$D801&lt;&gt;"Gelir",$L801=""),"",IFERROR(INDEX(MUSTERILER!$B$7:$B$156,MATCH($S801,MUSTERILER!$T$7:$T$156,0)),""))</f>
        <v/>
      </c>
      <c r="U801" s="1" t="str">
        <f>IF($T801="","",$T801&amp;"|"&amp;COUNTIFS($T$7:$T801,$T801))</f>
        <v/>
      </c>
      <c r="V801" s="1">
        <f t="shared" si="39"/>
        <v>0</v>
      </c>
      <c r="W801" s="1" t="str">
        <f t="shared" si="40"/>
        <v/>
      </c>
      <c r="X801" s="1"/>
      <c r="Y801" s="1"/>
      <c r="Z801" s="1"/>
      <c r="AA801" s="1"/>
      <c r="AB801" s="1"/>
      <c r="AC801" s="1"/>
      <c r="AD801" s="1">
        <f>IF($C801="",0,SUMPRODUCT((AY_SONU!$O$7:$O$42="Evet")*(AY_SONU!$B$7:$B$42=DATE(YEAR($C801),MONTH($C801),1))))</f>
        <v>0</v>
      </c>
      <c r="AE801" s="1" t="str">
        <f>IF($E801="","",$E801&amp;"|"&amp;COUNTIFS($E$7:$E801,$E801))</f>
        <v/>
      </c>
    </row>
    <row r="802" spans="1:31" ht="18" customHeight="1" x14ac:dyDescent="0.3">
      <c r="A802" s="2"/>
      <c r="B802" s="65" t="str">
        <f>IF($C802="","","GG"&amp;TEXT(ROW()-6,"00000"))</f>
        <v/>
      </c>
      <c r="C802" s="66"/>
      <c r="D802" s="60"/>
      <c r="E802" s="61"/>
      <c r="F802" s="61"/>
      <c r="G802" s="67"/>
      <c r="H802" s="60"/>
      <c r="I802" s="60"/>
      <c r="J802" s="61"/>
      <c r="K802" s="61"/>
      <c r="L802" s="60"/>
      <c r="M802" s="74" t="str">
        <f>IF($C802="","",IF($D802="Gider",$E802,IF($L802&lt;&gt;"",$L802,$H802)))</f>
        <v/>
      </c>
      <c r="N802" s="74" t="str">
        <f>IF($C802="","",IF($D802="Gider",$H802,$E802))</f>
        <v/>
      </c>
      <c r="O802" s="73" t="str">
        <f>IF($C802="","",DATE(YEAR($C802),MONTH($C802),1))</f>
        <v/>
      </c>
      <c r="P802" s="65" t="str">
        <f ca="1">IF($C802="","",IF(AND($D802="Gelir",$L802&lt;&gt;"",$T802=""),"TANIMSIZ BORÇLU",IF($T802&lt;&gt;"",IF(OR($E802="",$G802&lt;=0),"EKSİK",IF($I802="Evet","TAHAKKUK NAKİT OLAMAZ",IF($C802&gt;TODAY(),"İLERİ TARİH","TAHAKKUK"))),IF(AND($D802&lt;&gt;"",$E802&lt;&gt;"",$G802&gt;0,$H802&lt;&gt;"",$I802&lt;&gt;""),IF($C802&gt;TODAY(),"İLERİ TARİH",IF(COUNTIF($W$7:$W$3001,$W802)&gt;1,"MÜKERRER?",IF($AD802&gt;0,"KAPALI DÖNEM",IF($I802="Hayır","ÖDENECEK","UYGUN")))),"EKSİK"))))</f>
        <v/>
      </c>
      <c r="Q802" s="2"/>
      <c r="R802" s="2"/>
      <c r="S802" s="1" t="str">
        <f t="shared" si="38"/>
        <v/>
      </c>
      <c r="T802" s="1" t="str">
        <f>IF(OR($C802="",$D802&lt;&gt;"Gelir",$L802=""),"",IFERROR(INDEX(MUSTERILER!$B$7:$B$156,MATCH($S802,MUSTERILER!$T$7:$T$156,0)),""))</f>
        <v/>
      </c>
      <c r="U802" s="1" t="str">
        <f>IF($T802="","",$T802&amp;"|"&amp;COUNTIFS($T$7:$T802,$T802))</f>
        <v/>
      </c>
      <c r="V802" s="1">
        <f t="shared" si="39"/>
        <v>0</v>
      </c>
      <c r="W802" s="1" t="str">
        <f t="shared" si="40"/>
        <v/>
      </c>
      <c r="X802" s="1"/>
      <c r="Y802" s="1"/>
      <c r="Z802" s="1"/>
      <c r="AA802" s="1"/>
      <c r="AB802" s="1"/>
      <c r="AC802" s="1"/>
      <c r="AD802" s="1">
        <f>IF($C802="",0,SUMPRODUCT((AY_SONU!$O$7:$O$42="Evet")*(AY_SONU!$B$7:$B$42=DATE(YEAR($C802),MONTH($C802),1))))</f>
        <v>0</v>
      </c>
      <c r="AE802" s="1" t="str">
        <f>IF($E802="","",$E802&amp;"|"&amp;COUNTIFS($E$7:$E802,$E802))</f>
        <v/>
      </c>
    </row>
    <row r="803" spans="1:31" ht="18" customHeight="1" x14ac:dyDescent="0.3">
      <c r="A803" s="2"/>
      <c r="B803" s="65" t="str">
        <f>IF($C803="","","GG"&amp;TEXT(ROW()-6,"00000"))</f>
        <v/>
      </c>
      <c r="C803" s="66"/>
      <c r="D803" s="60"/>
      <c r="E803" s="61"/>
      <c r="F803" s="61"/>
      <c r="G803" s="67"/>
      <c r="H803" s="60"/>
      <c r="I803" s="60"/>
      <c r="J803" s="61"/>
      <c r="K803" s="61"/>
      <c r="L803" s="60"/>
      <c r="M803" s="74" t="str">
        <f>IF($C803="","",IF($D803="Gider",$E803,IF($L803&lt;&gt;"",$L803,$H803)))</f>
        <v/>
      </c>
      <c r="N803" s="74" t="str">
        <f>IF($C803="","",IF($D803="Gider",$H803,$E803))</f>
        <v/>
      </c>
      <c r="O803" s="73" t="str">
        <f>IF($C803="","",DATE(YEAR($C803),MONTH($C803),1))</f>
        <v/>
      </c>
      <c r="P803" s="65" t="str">
        <f ca="1">IF($C803="","",IF(AND($D803="Gelir",$L803&lt;&gt;"",$T803=""),"TANIMSIZ BORÇLU",IF($T803&lt;&gt;"",IF(OR($E803="",$G803&lt;=0),"EKSİK",IF($I803="Evet","TAHAKKUK NAKİT OLAMAZ",IF($C803&gt;TODAY(),"İLERİ TARİH","TAHAKKUK"))),IF(AND($D803&lt;&gt;"",$E803&lt;&gt;"",$G803&gt;0,$H803&lt;&gt;"",$I803&lt;&gt;""),IF($C803&gt;TODAY(),"İLERİ TARİH",IF(COUNTIF($W$7:$W$3001,$W803)&gt;1,"MÜKERRER?",IF($AD803&gt;0,"KAPALI DÖNEM",IF($I803="Hayır","ÖDENECEK","UYGUN")))),"EKSİK"))))</f>
        <v/>
      </c>
      <c r="Q803" s="2"/>
      <c r="R803" s="2"/>
      <c r="S803" s="1" t="str">
        <f t="shared" si="38"/>
        <v/>
      </c>
      <c r="T803" s="1" t="str">
        <f>IF(OR($C803="",$D803&lt;&gt;"Gelir",$L803=""),"",IFERROR(INDEX(MUSTERILER!$B$7:$B$156,MATCH($S803,MUSTERILER!$T$7:$T$156,0)),""))</f>
        <v/>
      </c>
      <c r="U803" s="1" t="str">
        <f>IF($T803="","",$T803&amp;"|"&amp;COUNTIFS($T$7:$T803,$T803))</f>
        <v/>
      </c>
      <c r="V803" s="1">
        <f t="shared" si="39"/>
        <v>0</v>
      </c>
      <c r="W803" s="1" t="str">
        <f t="shared" si="40"/>
        <v/>
      </c>
      <c r="X803" s="1"/>
      <c r="Y803" s="1"/>
      <c r="Z803" s="1"/>
      <c r="AA803" s="1"/>
      <c r="AB803" s="1"/>
      <c r="AC803" s="1"/>
      <c r="AD803" s="1">
        <f>IF($C803="",0,SUMPRODUCT((AY_SONU!$O$7:$O$42="Evet")*(AY_SONU!$B$7:$B$42=DATE(YEAR($C803),MONTH($C803),1))))</f>
        <v>0</v>
      </c>
      <c r="AE803" s="1" t="str">
        <f>IF($E803="","",$E803&amp;"|"&amp;COUNTIFS($E$7:$E803,$E803))</f>
        <v/>
      </c>
    </row>
    <row r="804" spans="1:31" ht="18" customHeight="1" x14ac:dyDescent="0.3">
      <c r="A804" s="2"/>
      <c r="B804" s="65" t="str">
        <f>IF($C804="","","GG"&amp;TEXT(ROW()-6,"00000"))</f>
        <v/>
      </c>
      <c r="C804" s="66"/>
      <c r="D804" s="60"/>
      <c r="E804" s="61"/>
      <c r="F804" s="61"/>
      <c r="G804" s="67"/>
      <c r="H804" s="60"/>
      <c r="I804" s="60"/>
      <c r="J804" s="61"/>
      <c r="K804" s="61"/>
      <c r="L804" s="60"/>
      <c r="M804" s="74" t="str">
        <f>IF($C804="","",IF($D804="Gider",$E804,IF($L804&lt;&gt;"",$L804,$H804)))</f>
        <v/>
      </c>
      <c r="N804" s="74" t="str">
        <f>IF($C804="","",IF($D804="Gider",$H804,$E804))</f>
        <v/>
      </c>
      <c r="O804" s="73" t="str">
        <f>IF($C804="","",DATE(YEAR($C804),MONTH($C804),1))</f>
        <v/>
      </c>
      <c r="P804" s="65" t="str">
        <f ca="1">IF($C804="","",IF(AND($D804="Gelir",$L804&lt;&gt;"",$T804=""),"TANIMSIZ BORÇLU",IF($T804&lt;&gt;"",IF(OR($E804="",$G804&lt;=0),"EKSİK",IF($I804="Evet","TAHAKKUK NAKİT OLAMAZ",IF($C804&gt;TODAY(),"İLERİ TARİH","TAHAKKUK"))),IF(AND($D804&lt;&gt;"",$E804&lt;&gt;"",$G804&gt;0,$H804&lt;&gt;"",$I804&lt;&gt;""),IF($C804&gt;TODAY(),"İLERİ TARİH",IF(COUNTIF($W$7:$W$3001,$W804)&gt;1,"MÜKERRER?",IF($AD804&gt;0,"KAPALI DÖNEM",IF($I804="Hayır","ÖDENECEK","UYGUN")))),"EKSİK"))))</f>
        <v/>
      </c>
      <c r="Q804" s="2"/>
      <c r="R804" s="2"/>
      <c r="S804" s="1" t="str">
        <f t="shared" si="38"/>
        <v/>
      </c>
      <c r="T804" s="1" t="str">
        <f>IF(OR($C804="",$D804&lt;&gt;"Gelir",$L804=""),"",IFERROR(INDEX(MUSTERILER!$B$7:$B$156,MATCH($S804,MUSTERILER!$T$7:$T$156,0)),""))</f>
        <v/>
      </c>
      <c r="U804" s="1" t="str">
        <f>IF($T804="","",$T804&amp;"|"&amp;COUNTIFS($T$7:$T804,$T804))</f>
        <v/>
      </c>
      <c r="V804" s="1">
        <f t="shared" si="39"/>
        <v>0</v>
      </c>
      <c r="W804" s="1" t="str">
        <f t="shared" si="40"/>
        <v/>
      </c>
      <c r="X804" s="1"/>
      <c r="Y804" s="1"/>
      <c r="Z804" s="1"/>
      <c r="AA804" s="1"/>
      <c r="AB804" s="1"/>
      <c r="AC804" s="1"/>
      <c r="AD804" s="1">
        <f>IF($C804="",0,SUMPRODUCT((AY_SONU!$O$7:$O$42="Evet")*(AY_SONU!$B$7:$B$42=DATE(YEAR($C804),MONTH($C804),1))))</f>
        <v>0</v>
      </c>
      <c r="AE804" s="1" t="str">
        <f>IF($E804="","",$E804&amp;"|"&amp;COUNTIFS($E$7:$E804,$E804))</f>
        <v/>
      </c>
    </row>
    <row r="805" spans="1:31" ht="18" customHeight="1" x14ac:dyDescent="0.3">
      <c r="A805" s="2"/>
      <c r="B805" s="65" t="str">
        <f>IF($C805="","","GG"&amp;TEXT(ROW()-6,"00000"))</f>
        <v/>
      </c>
      <c r="C805" s="66"/>
      <c r="D805" s="60"/>
      <c r="E805" s="61"/>
      <c r="F805" s="61"/>
      <c r="G805" s="67"/>
      <c r="H805" s="60"/>
      <c r="I805" s="60"/>
      <c r="J805" s="61"/>
      <c r="K805" s="61"/>
      <c r="L805" s="60"/>
      <c r="M805" s="74" t="str">
        <f>IF($C805="","",IF($D805="Gider",$E805,IF($L805&lt;&gt;"",$L805,$H805)))</f>
        <v/>
      </c>
      <c r="N805" s="74" t="str">
        <f>IF($C805="","",IF($D805="Gider",$H805,$E805))</f>
        <v/>
      </c>
      <c r="O805" s="73" t="str">
        <f>IF($C805="","",DATE(YEAR($C805),MONTH($C805),1))</f>
        <v/>
      </c>
      <c r="P805" s="65" t="str">
        <f ca="1">IF($C805="","",IF(AND($D805="Gelir",$L805&lt;&gt;"",$T805=""),"TANIMSIZ BORÇLU",IF($T805&lt;&gt;"",IF(OR($E805="",$G805&lt;=0),"EKSİK",IF($I805="Evet","TAHAKKUK NAKİT OLAMAZ",IF($C805&gt;TODAY(),"İLERİ TARİH","TAHAKKUK"))),IF(AND($D805&lt;&gt;"",$E805&lt;&gt;"",$G805&gt;0,$H805&lt;&gt;"",$I805&lt;&gt;""),IF($C805&gt;TODAY(),"İLERİ TARİH",IF(COUNTIF($W$7:$W$3001,$W805)&gt;1,"MÜKERRER?",IF($AD805&gt;0,"KAPALI DÖNEM",IF($I805="Hayır","ÖDENECEK","UYGUN")))),"EKSİK"))))</f>
        <v/>
      </c>
      <c r="Q805" s="2"/>
      <c r="R805" s="2"/>
      <c r="S805" s="1" t="str">
        <f t="shared" si="38"/>
        <v/>
      </c>
      <c r="T805" s="1" t="str">
        <f>IF(OR($C805="",$D805&lt;&gt;"Gelir",$L805=""),"",IFERROR(INDEX(MUSTERILER!$B$7:$B$156,MATCH($S805,MUSTERILER!$T$7:$T$156,0)),""))</f>
        <v/>
      </c>
      <c r="U805" s="1" t="str">
        <f>IF($T805="","",$T805&amp;"|"&amp;COUNTIFS($T$7:$T805,$T805))</f>
        <v/>
      </c>
      <c r="V805" s="1">
        <f t="shared" si="39"/>
        <v>0</v>
      </c>
      <c r="W805" s="1" t="str">
        <f t="shared" si="40"/>
        <v/>
      </c>
      <c r="X805" s="1"/>
      <c r="Y805" s="1"/>
      <c r="Z805" s="1"/>
      <c r="AA805" s="1"/>
      <c r="AB805" s="1"/>
      <c r="AC805" s="1"/>
      <c r="AD805" s="1">
        <f>IF($C805="",0,SUMPRODUCT((AY_SONU!$O$7:$O$42="Evet")*(AY_SONU!$B$7:$B$42=DATE(YEAR($C805),MONTH($C805),1))))</f>
        <v>0</v>
      </c>
      <c r="AE805" s="1" t="str">
        <f>IF($E805="","",$E805&amp;"|"&amp;COUNTIFS($E$7:$E805,$E805))</f>
        <v/>
      </c>
    </row>
    <row r="806" spans="1:31" ht="18" customHeight="1" x14ac:dyDescent="0.3">
      <c r="A806" s="2"/>
      <c r="B806" s="65" t="str">
        <f>IF($C806="","","GG"&amp;TEXT(ROW()-6,"00000"))</f>
        <v/>
      </c>
      <c r="C806" s="66"/>
      <c r="D806" s="60"/>
      <c r="E806" s="61"/>
      <c r="F806" s="61"/>
      <c r="G806" s="67"/>
      <c r="H806" s="60"/>
      <c r="I806" s="60"/>
      <c r="J806" s="61"/>
      <c r="K806" s="61"/>
      <c r="L806" s="60"/>
      <c r="M806" s="74" t="str">
        <f>IF($C806="","",IF($D806="Gider",$E806,IF($L806&lt;&gt;"",$L806,$H806)))</f>
        <v/>
      </c>
      <c r="N806" s="74" t="str">
        <f>IF($C806="","",IF($D806="Gider",$H806,$E806))</f>
        <v/>
      </c>
      <c r="O806" s="73" t="str">
        <f>IF($C806="","",DATE(YEAR($C806),MONTH($C806),1))</f>
        <v/>
      </c>
      <c r="P806" s="65" t="str">
        <f ca="1">IF($C806="","",IF(AND($D806="Gelir",$L806&lt;&gt;"",$T806=""),"TANIMSIZ BORÇLU",IF($T806&lt;&gt;"",IF(OR($E806="",$G806&lt;=0),"EKSİK",IF($I806="Evet","TAHAKKUK NAKİT OLAMAZ",IF($C806&gt;TODAY(),"İLERİ TARİH","TAHAKKUK"))),IF(AND($D806&lt;&gt;"",$E806&lt;&gt;"",$G806&gt;0,$H806&lt;&gt;"",$I806&lt;&gt;""),IF($C806&gt;TODAY(),"İLERİ TARİH",IF(COUNTIF($W$7:$W$3001,$W806)&gt;1,"MÜKERRER?",IF($AD806&gt;0,"KAPALI DÖNEM",IF($I806="Hayır","ÖDENECEK","UYGUN")))),"EKSİK"))))</f>
        <v/>
      </c>
      <c r="Q806" s="2"/>
      <c r="R806" s="2"/>
      <c r="S806" s="1" t="str">
        <f t="shared" si="38"/>
        <v/>
      </c>
      <c r="T806" s="1" t="str">
        <f>IF(OR($C806="",$D806&lt;&gt;"Gelir",$L806=""),"",IFERROR(INDEX(MUSTERILER!$B$7:$B$156,MATCH($S806,MUSTERILER!$T$7:$T$156,0)),""))</f>
        <v/>
      </c>
      <c r="U806" s="1" t="str">
        <f>IF($T806="","",$T806&amp;"|"&amp;COUNTIFS($T$7:$T806,$T806))</f>
        <v/>
      </c>
      <c r="V806" s="1">
        <f t="shared" si="39"/>
        <v>0</v>
      </c>
      <c r="W806" s="1" t="str">
        <f t="shared" si="40"/>
        <v/>
      </c>
      <c r="X806" s="1"/>
      <c r="Y806" s="1"/>
      <c r="Z806" s="1"/>
      <c r="AA806" s="1"/>
      <c r="AB806" s="1"/>
      <c r="AC806" s="1"/>
      <c r="AD806" s="1">
        <f>IF($C806="",0,SUMPRODUCT((AY_SONU!$O$7:$O$42="Evet")*(AY_SONU!$B$7:$B$42=DATE(YEAR($C806),MONTH($C806),1))))</f>
        <v>0</v>
      </c>
      <c r="AE806" s="1" t="str">
        <f>IF($E806="","",$E806&amp;"|"&amp;COUNTIFS($E$7:$E806,$E806))</f>
        <v/>
      </c>
    </row>
    <row r="807" spans="1:31" ht="18" customHeight="1" x14ac:dyDescent="0.3">
      <c r="A807" s="2"/>
      <c r="B807" s="65" t="str">
        <f>IF($C807="","","GG"&amp;TEXT(ROW()-6,"00000"))</f>
        <v/>
      </c>
      <c r="C807" s="66"/>
      <c r="D807" s="60"/>
      <c r="E807" s="61"/>
      <c r="F807" s="61"/>
      <c r="G807" s="67"/>
      <c r="H807" s="60"/>
      <c r="I807" s="60"/>
      <c r="J807" s="61"/>
      <c r="K807" s="61"/>
      <c r="L807" s="60"/>
      <c r="M807" s="74" t="str">
        <f>IF($C807="","",IF($D807="Gider",$E807,IF($L807&lt;&gt;"",$L807,$H807)))</f>
        <v/>
      </c>
      <c r="N807" s="74" t="str">
        <f>IF($C807="","",IF($D807="Gider",$H807,$E807))</f>
        <v/>
      </c>
      <c r="O807" s="73" t="str">
        <f>IF($C807="","",DATE(YEAR($C807),MONTH($C807),1))</f>
        <v/>
      </c>
      <c r="P807" s="65" t="str">
        <f ca="1">IF($C807="","",IF(AND($D807="Gelir",$L807&lt;&gt;"",$T807=""),"TANIMSIZ BORÇLU",IF($T807&lt;&gt;"",IF(OR($E807="",$G807&lt;=0),"EKSİK",IF($I807="Evet","TAHAKKUK NAKİT OLAMAZ",IF($C807&gt;TODAY(),"İLERİ TARİH","TAHAKKUK"))),IF(AND($D807&lt;&gt;"",$E807&lt;&gt;"",$G807&gt;0,$H807&lt;&gt;"",$I807&lt;&gt;""),IF($C807&gt;TODAY(),"İLERİ TARİH",IF(COUNTIF($W$7:$W$3001,$W807)&gt;1,"MÜKERRER?",IF($AD807&gt;0,"KAPALI DÖNEM",IF($I807="Hayır","ÖDENECEK","UYGUN")))),"EKSİK"))))</f>
        <v/>
      </c>
      <c r="Q807" s="2"/>
      <c r="R807" s="2"/>
      <c r="S807" s="1" t="str">
        <f t="shared" si="38"/>
        <v/>
      </c>
      <c r="T807" s="1" t="str">
        <f>IF(OR($C807="",$D807&lt;&gt;"Gelir",$L807=""),"",IFERROR(INDEX(MUSTERILER!$B$7:$B$156,MATCH($S807,MUSTERILER!$T$7:$T$156,0)),""))</f>
        <v/>
      </c>
      <c r="U807" s="1" t="str">
        <f>IF($T807="","",$T807&amp;"|"&amp;COUNTIFS($T$7:$T807,$T807))</f>
        <v/>
      </c>
      <c r="V807" s="1">
        <f t="shared" si="39"/>
        <v>0</v>
      </c>
      <c r="W807" s="1" t="str">
        <f t="shared" si="40"/>
        <v/>
      </c>
      <c r="X807" s="1"/>
      <c r="Y807" s="1"/>
      <c r="Z807" s="1"/>
      <c r="AA807" s="1"/>
      <c r="AB807" s="1"/>
      <c r="AC807" s="1"/>
      <c r="AD807" s="1">
        <f>IF($C807="",0,SUMPRODUCT((AY_SONU!$O$7:$O$42="Evet")*(AY_SONU!$B$7:$B$42=DATE(YEAR($C807),MONTH($C807),1))))</f>
        <v>0</v>
      </c>
      <c r="AE807" s="1" t="str">
        <f>IF($E807="","",$E807&amp;"|"&amp;COUNTIFS($E$7:$E807,$E807))</f>
        <v/>
      </c>
    </row>
    <row r="808" spans="1:31" ht="18" customHeight="1" x14ac:dyDescent="0.3">
      <c r="A808" s="2"/>
      <c r="B808" s="65" t="str">
        <f>IF($C808="","","GG"&amp;TEXT(ROW()-6,"00000"))</f>
        <v/>
      </c>
      <c r="C808" s="66"/>
      <c r="D808" s="60"/>
      <c r="E808" s="61"/>
      <c r="F808" s="61"/>
      <c r="G808" s="67"/>
      <c r="H808" s="60"/>
      <c r="I808" s="60"/>
      <c r="J808" s="61"/>
      <c r="K808" s="61"/>
      <c r="L808" s="60"/>
      <c r="M808" s="74" t="str">
        <f>IF($C808="","",IF($D808="Gider",$E808,IF($L808&lt;&gt;"",$L808,$H808)))</f>
        <v/>
      </c>
      <c r="N808" s="74" t="str">
        <f>IF($C808="","",IF($D808="Gider",$H808,$E808))</f>
        <v/>
      </c>
      <c r="O808" s="73" t="str">
        <f>IF($C808="","",DATE(YEAR($C808),MONTH($C808),1))</f>
        <v/>
      </c>
      <c r="P808" s="65" t="str">
        <f ca="1">IF($C808="","",IF(AND($D808="Gelir",$L808&lt;&gt;"",$T808=""),"TANIMSIZ BORÇLU",IF($T808&lt;&gt;"",IF(OR($E808="",$G808&lt;=0),"EKSİK",IF($I808="Evet","TAHAKKUK NAKİT OLAMAZ",IF($C808&gt;TODAY(),"İLERİ TARİH","TAHAKKUK"))),IF(AND($D808&lt;&gt;"",$E808&lt;&gt;"",$G808&gt;0,$H808&lt;&gt;"",$I808&lt;&gt;""),IF($C808&gt;TODAY(),"İLERİ TARİH",IF(COUNTIF($W$7:$W$3001,$W808)&gt;1,"MÜKERRER?",IF($AD808&gt;0,"KAPALI DÖNEM",IF($I808="Hayır","ÖDENECEK","UYGUN")))),"EKSİK"))))</f>
        <v/>
      </c>
      <c r="Q808" s="2"/>
      <c r="R808" s="2"/>
      <c r="S808" s="1" t="str">
        <f t="shared" si="38"/>
        <v/>
      </c>
      <c r="T808" s="1" t="str">
        <f>IF(OR($C808="",$D808&lt;&gt;"Gelir",$L808=""),"",IFERROR(INDEX(MUSTERILER!$B$7:$B$156,MATCH($S808,MUSTERILER!$T$7:$T$156,0)),""))</f>
        <v/>
      </c>
      <c r="U808" s="1" t="str">
        <f>IF($T808="","",$T808&amp;"|"&amp;COUNTIFS($T$7:$T808,$T808))</f>
        <v/>
      </c>
      <c r="V808" s="1">
        <f t="shared" si="39"/>
        <v>0</v>
      </c>
      <c r="W808" s="1" t="str">
        <f t="shared" si="40"/>
        <v/>
      </c>
      <c r="X808" s="1"/>
      <c r="Y808" s="1"/>
      <c r="Z808" s="1"/>
      <c r="AA808" s="1"/>
      <c r="AB808" s="1"/>
      <c r="AC808" s="1"/>
      <c r="AD808" s="1">
        <f>IF($C808="",0,SUMPRODUCT((AY_SONU!$O$7:$O$42="Evet")*(AY_SONU!$B$7:$B$42=DATE(YEAR($C808),MONTH($C808),1))))</f>
        <v>0</v>
      </c>
      <c r="AE808" s="1" t="str">
        <f>IF($E808="","",$E808&amp;"|"&amp;COUNTIFS($E$7:$E808,$E808))</f>
        <v/>
      </c>
    </row>
    <row r="809" spans="1:31" ht="18" customHeight="1" x14ac:dyDescent="0.3">
      <c r="A809" s="2"/>
      <c r="B809" s="65" t="str">
        <f>IF($C809="","","GG"&amp;TEXT(ROW()-6,"00000"))</f>
        <v/>
      </c>
      <c r="C809" s="66"/>
      <c r="D809" s="60"/>
      <c r="E809" s="61"/>
      <c r="F809" s="61"/>
      <c r="G809" s="67"/>
      <c r="H809" s="60"/>
      <c r="I809" s="60"/>
      <c r="J809" s="61"/>
      <c r="K809" s="61"/>
      <c r="L809" s="60"/>
      <c r="M809" s="74" t="str">
        <f>IF($C809="","",IF($D809="Gider",$E809,IF($L809&lt;&gt;"",$L809,$H809)))</f>
        <v/>
      </c>
      <c r="N809" s="74" t="str">
        <f>IF($C809="","",IF($D809="Gider",$H809,$E809))</f>
        <v/>
      </c>
      <c r="O809" s="73" t="str">
        <f>IF($C809="","",DATE(YEAR($C809),MONTH($C809),1))</f>
        <v/>
      </c>
      <c r="P809" s="65" t="str">
        <f ca="1">IF($C809="","",IF(AND($D809="Gelir",$L809&lt;&gt;"",$T809=""),"TANIMSIZ BORÇLU",IF($T809&lt;&gt;"",IF(OR($E809="",$G809&lt;=0),"EKSİK",IF($I809="Evet","TAHAKKUK NAKİT OLAMAZ",IF($C809&gt;TODAY(),"İLERİ TARİH","TAHAKKUK"))),IF(AND($D809&lt;&gt;"",$E809&lt;&gt;"",$G809&gt;0,$H809&lt;&gt;"",$I809&lt;&gt;""),IF($C809&gt;TODAY(),"İLERİ TARİH",IF(COUNTIF($W$7:$W$3001,$W809)&gt;1,"MÜKERRER?",IF($AD809&gt;0,"KAPALI DÖNEM",IF($I809="Hayır","ÖDENECEK","UYGUN")))),"EKSİK"))))</f>
        <v/>
      </c>
      <c r="Q809" s="2"/>
      <c r="R809" s="2"/>
      <c r="S809" s="1" t="str">
        <f t="shared" si="38"/>
        <v/>
      </c>
      <c r="T809" s="1" t="str">
        <f>IF(OR($C809="",$D809&lt;&gt;"Gelir",$L809=""),"",IFERROR(INDEX(MUSTERILER!$B$7:$B$156,MATCH($S809,MUSTERILER!$T$7:$T$156,0)),""))</f>
        <v/>
      </c>
      <c r="U809" s="1" t="str">
        <f>IF($T809="","",$T809&amp;"|"&amp;COUNTIFS($T$7:$T809,$T809))</f>
        <v/>
      </c>
      <c r="V809" s="1">
        <f t="shared" si="39"/>
        <v>0</v>
      </c>
      <c r="W809" s="1" t="str">
        <f t="shared" si="40"/>
        <v/>
      </c>
      <c r="X809" s="1"/>
      <c r="Y809" s="1"/>
      <c r="Z809" s="1"/>
      <c r="AA809" s="1"/>
      <c r="AB809" s="1"/>
      <c r="AC809" s="1"/>
      <c r="AD809" s="1">
        <f>IF($C809="",0,SUMPRODUCT((AY_SONU!$O$7:$O$42="Evet")*(AY_SONU!$B$7:$B$42=DATE(YEAR($C809),MONTH($C809),1))))</f>
        <v>0</v>
      </c>
      <c r="AE809" s="1" t="str">
        <f>IF($E809="","",$E809&amp;"|"&amp;COUNTIFS($E$7:$E809,$E809))</f>
        <v/>
      </c>
    </row>
    <row r="810" spans="1:31" ht="18" customHeight="1" x14ac:dyDescent="0.3">
      <c r="A810" s="2"/>
      <c r="B810" s="65" t="str">
        <f>IF($C810="","","GG"&amp;TEXT(ROW()-6,"00000"))</f>
        <v/>
      </c>
      <c r="C810" s="66"/>
      <c r="D810" s="60"/>
      <c r="E810" s="61"/>
      <c r="F810" s="61"/>
      <c r="G810" s="67"/>
      <c r="H810" s="60"/>
      <c r="I810" s="60"/>
      <c r="J810" s="61"/>
      <c r="K810" s="61"/>
      <c r="L810" s="60"/>
      <c r="M810" s="74" t="str">
        <f>IF($C810="","",IF($D810="Gider",$E810,IF($L810&lt;&gt;"",$L810,$H810)))</f>
        <v/>
      </c>
      <c r="N810" s="74" t="str">
        <f>IF($C810="","",IF($D810="Gider",$H810,$E810))</f>
        <v/>
      </c>
      <c r="O810" s="73" t="str">
        <f>IF($C810="","",DATE(YEAR($C810),MONTH($C810),1))</f>
        <v/>
      </c>
      <c r="P810" s="65" t="str">
        <f ca="1">IF($C810="","",IF(AND($D810="Gelir",$L810&lt;&gt;"",$T810=""),"TANIMSIZ BORÇLU",IF($T810&lt;&gt;"",IF(OR($E810="",$G810&lt;=0),"EKSİK",IF($I810="Evet","TAHAKKUK NAKİT OLAMAZ",IF($C810&gt;TODAY(),"İLERİ TARİH","TAHAKKUK"))),IF(AND($D810&lt;&gt;"",$E810&lt;&gt;"",$G810&gt;0,$H810&lt;&gt;"",$I810&lt;&gt;""),IF($C810&gt;TODAY(),"İLERİ TARİH",IF(COUNTIF($W$7:$W$3001,$W810)&gt;1,"MÜKERRER?",IF($AD810&gt;0,"KAPALI DÖNEM",IF($I810="Hayır","ÖDENECEK","UYGUN")))),"EKSİK"))))</f>
        <v/>
      </c>
      <c r="Q810" s="2"/>
      <c r="R810" s="2"/>
      <c r="S810" s="1" t="str">
        <f t="shared" si="38"/>
        <v/>
      </c>
      <c r="T810" s="1" t="str">
        <f>IF(OR($C810="",$D810&lt;&gt;"Gelir",$L810=""),"",IFERROR(INDEX(MUSTERILER!$B$7:$B$156,MATCH($S810,MUSTERILER!$T$7:$T$156,0)),""))</f>
        <v/>
      </c>
      <c r="U810" s="1" t="str">
        <f>IF($T810="","",$T810&amp;"|"&amp;COUNTIFS($T$7:$T810,$T810))</f>
        <v/>
      </c>
      <c r="V810" s="1">
        <f t="shared" si="39"/>
        <v>0</v>
      </c>
      <c r="W810" s="1" t="str">
        <f t="shared" si="40"/>
        <v/>
      </c>
      <c r="X810" s="1"/>
      <c r="Y810" s="1"/>
      <c r="Z810" s="1"/>
      <c r="AA810" s="1"/>
      <c r="AB810" s="1"/>
      <c r="AC810" s="1"/>
      <c r="AD810" s="1">
        <f>IF($C810="",0,SUMPRODUCT((AY_SONU!$O$7:$O$42="Evet")*(AY_SONU!$B$7:$B$42=DATE(YEAR($C810),MONTH($C810),1))))</f>
        <v>0</v>
      </c>
      <c r="AE810" s="1" t="str">
        <f>IF($E810="","",$E810&amp;"|"&amp;COUNTIFS($E$7:$E810,$E810))</f>
        <v/>
      </c>
    </row>
    <row r="811" spans="1:31" ht="18" customHeight="1" x14ac:dyDescent="0.3">
      <c r="A811" s="2"/>
      <c r="B811" s="65" t="str">
        <f>IF($C811="","","GG"&amp;TEXT(ROW()-6,"00000"))</f>
        <v/>
      </c>
      <c r="C811" s="66"/>
      <c r="D811" s="60"/>
      <c r="E811" s="61"/>
      <c r="F811" s="61"/>
      <c r="G811" s="67"/>
      <c r="H811" s="60"/>
      <c r="I811" s="60"/>
      <c r="J811" s="61"/>
      <c r="K811" s="61"/>
      <c r="L811" s="60"/>
      <c r="M811" s="74" t="str">
        <f>IF($C811="","",IF($D811="Gider",$E811,IF($L811&lt;&gt;"",$L811,$H811)))</f>
        <v/>
      </c>
      <c r="N811" s="74" t="str">
        <f>IF($C811="","",IF($D811="Gider",$H811,$E811))</f>
        <v/>
      </c>
      <c r="O811" s="73" t="str">
        <f>IF($C811="","",DATE(YEAR($C811),MONTH($C811),1))</f>
        <v/>
      </c>
      <c r="P811" s="65" t="str">
        <f ca="1">IF($C811="","",IF(AND($D811="Gelir",$L811&lt;&gt;"",$T811=""),"TANIMSIZ BORÇLU",IF($T811&lt;&gt;"",IF(OR($E811="",$G811&lt;=0),"EKSİK",IF($I811="Evet","TAHAKKUK NAKİT OLAMAZ",IF($C811&gt;TODAY(),"İLERİ TARİH","TAHAKKUK"))),IF(AND($D811&lt;&gt;"",$E811&lt;&gt;"",$G811&gt;0,$H811&lt;&gt;"",$I811&lt;&gt;""),IF($C811&gt;TODAY(),"İLERİ TARİH",IF(COUNTIF($W$7:$W$3001,$W811)&gt;1,"MÜKERRER?",IF($AD811&gt;0,"KAPALI DÖNEM",IF($I811="Hayır","ÖDENECEK","UYGUN")))),"EKSİK"))))</f>
        <v/>
      </c>
      <c r="Q811" s="2"/>
      <c r="R811" s="2"/>
      <c r="S811" s="1" t="str">
        <f t="shared" si="38"/>
        <v/>
      </c>
      <c r="T811" s="1" t="str">
        <f>IF(OR($C811="",$D811&lt;&gt;"Gelir",$L811=""),"",IFERROR(INDEX(MUSTERILER!$B$7:$B$156,MATCH($S811,MUSTERILER!$T$7:$T$156,0)),""))</f>
        <v/>
      </c>
      <c r="U811" s="1" t="str">
        <f>IF($T811="","",$T811&amp;"|"&amp;COUNTIFS($T$7:$T811,$T811))</f>
        <v/>
      </c>
      <c r="V811" s="1">
        <f t="shared" si="39"/>
        <v>0</v>
      </c>
      <c r="W811" s="1" t="str">
        <f t="shared" si="40"/>
        <v/>
      </c>
      <c r="X811" s="1"/>
      <c r="Y811" s="1"/>
      <c r="Z811" s="1"/>
      <c r="AA811" s="1"/>
      <c r="AB811" s="1"/>
      <c r="AC811" s="1"/>
      <c r="AD811" s="1">
        <f>IF($C811="",0,SUMPRODUCT((AY_SONU!$O$7:$O$42="Evet")*(AY_SONU!$B$7:$B$42=DATE(YEAR($C811),MONTH($C811),1))))</f>
        <v>0</v>
      </c>
      <c r="AE811" s="1" t="str">
        <f>IF($E811="","",$E811&amp;"|"&amp;COUNTIFS($E$7:$E811,$E811))</f>
        <v/>
      </c>
    </row>
    <row r="812" spans="1:31" ht="18" customHeight="1" x14ac:dyDescent="0.3">
      <c r="A812" s="2"/>
      <c r="B812" s="65" t="str">
        <f>IF($C812="","","GG"&amp;TEXT(ROW()-6,"00000"))</f>
        <v/>
      </c>
      <c r="C812" s="66"/>
      <c r="D812" s="60"/>
      <c r="E812" s="61"/>
      <c r="F812" s="61"/>
      <c r="G812" s="67"/>
      <c r="H812" s="60"/>
      <c r="I812" s="60"/>
      <c r="J812" s="61"/>
      <c r="K812" s="61"/>
      <c r="L812" s="60"/>
      <c r="M812" s="74" t="str">
        <f>IF($C812="","",IF($D812="Gider",$E812,IF($L812&lt;&gt;"",$L812,$H812)))</f>
        <v/>
      </c>
      <c r="N812" s="74" t="str">
        <f>IF($C812="","",IF($D812="Gider",$H812,$E812))</f>
        <v/>
      </c>
      <c r="O812" s="73" t="str">
        <f>IF($C812="","",DATE(YEAR($C812),MONTH($C812),1))</f>
        <v/>
      </c>
      <c r="P812" s="65" t="str">
        <f ca="1">IF($C812="","",IF(AND($D812="Gelir",$L812&lt;&gt;"",$T812=""),"TANIMSIZ BORÇLU",IF($T812&lt;&gt;"",IF(OR($E812="",$G812&lt;=0),"EKSİK",IF($I812="Evet","TAHAKKUK NAKİT OLAMAZ",IF($C812&gt;TODAY(),"İLERİ TARİH","TAHAKKUK"))),IF(AND($D812&lt;&gt;"",$E812&lt;&gt;"",$G812&gt;0,$H812&lt;&gt;"",$I812&lt;&gt;""),IF($C812&gt;TODAY(),"İLERİ TARİH",IF(COUNTIF($W$7:$W$3001,$W812)&gt;1,"MÜKERRER?",IF($AD812&gt;0,"KAPALI DÖNEM",IF($I812="Hayır","ÖDENECEK","UYGUN")))),"EKSİK"))))</f>
        <v/>
      </c>
      <c r="Q812" s="2"/>
      <c r="R812" s="2"/>
      <c r="S812" s="1" t="str">
        <f t="shared" si="38"/>
        <v/>
      </c>
      <c r="T812" s="1" t="str">
        <f>IF(OR($C812="",$D812&lt;&gt;"Gelir",$L812=""),"",IFERROR(INDEX(MUSTERILER!$B$7:$B$156,MATCH($S812,MUSTERILER!$T$7:$T$156,0)),""))</f>
        <v/>
      </c>
      <c r="U812" s="1" t="str">
        <f>IF($T812="","",$T812&amp;"|"&amp;COUNTIFS($T$7:$T812,$T812))</f>
        <v/>
      </c>
      <c r="V812" s="1">
        <f t="shared" si="39"/>
        <v>0</v>
      </c>
      <c r="W812" s="1" t="str">
        <f t="shared" si="40"/>
        <v/>
      </c>
      <c r="X812" s="1"/>
      <c r="Y812" s="1"/>
      <c r="Z812" s="1"/>
      <c r="AA812" s="1"/>
      <c r="AB812" s="1"/>
      <c r="AC812" s="1"/>
      <c r="AD812" s="1">
        <f>IF($C812="",0,SUMPRODUCT((AY_SONU!$O$7:$O$42="Evet")*(AY_SONU!$B$7:$B$42=DATE(YEAR($C812),MONTH($C812),1))))</f>
        <v>0</v>
      </c>
      <c r="AE812" s="1" t="str">
        <f>IF($E812="","",$E812&amp;"|"&amp;COUNTIFS($E$7:$E812,$E812))</f>
        <v/>
      </c>
    </row>
    <row r="813" spans="1:31" ht="18" customHeight="1" x14ac:dyDescent="0.3">
      <c r="A813" s="2"/>
      <c r="B813" s="65" t="str">
        <f>IF($C813="","","GG"&amp;TEXT(ROW()-6,"00000"))</f>
        <v/>
      </c>
      <c r="C813" s="66"/>
      <c r="D813" s="60"/>
      <c r="E813" s="61"/>
      <c r="F813" s="61"/>
      <c r="G813" s="67"/>
      <c r="H813" s="60"/>
      <c r="I813" s="60"/>
      <c r="J813" s="61"/>
      <c r="K813" s="61"/>
      <c r="L813" s="60"/>
      <c r="M813" s="74" t="str">
        <f>IF($C813="","",IF($D813="Gider",$E813,IF($L813&lt;&gt;"",$L813,$H813)))</f>
        <v/>
      </c>
      <c r="N813" s="74" t="str">
        <f>IF($C813="","",IF($D813="Gider",$H813,$E813))</f>
        <v/>
      </c>
      <c r="O813" s="73" t="str">
        <f>IF($C813="","",DATE(YEAR($C813),MONTH($C813),1))</f>
        <v/>
      </c>
      <c r="P813" s="65" t="str">
        <f ca="1">IF($C813="","",IF(AND($D813="Gelir",$L813&lt;&gt;"",$T813=""),"TANIMSIZ BORÇLU",IF($T813&lt;&gt;"",IF(OR($E813="",$G813&lt;=0),"EKSİK",IF($I813="Evet","TAHAKKUK NAKİT OLAMAZ",IF($C813&gt;TODAY(),"İLERİ TARİH","TAHAKKUK"))),IF(AND($D813&lt;&gt;"",$E813&lt;&gt;"",$G813&gt;0,$H813&lt;&gt;"",$I813&lt;&gt;""),IF($C813&gt;TODAY(),"İLERİ TARİH",IF(COUNTIF($W$7:$W$3001,$W813)&gt;1,"MÜKERRER?",IF($AD813&gt;0,"KAPALI DÖNEM",IF($I813="Hayır","ÖDENECEK","UYGUN")))),"EKSİK"))))</f>
        <v/>
      </c>
      <c r="Q813" s="2"/>
      <c r="R813" s="2"/>
      <c r="S813" s="1" t="str">
        <f t="shared" si="38"/>
        <v/>
      </c>
      <c r="T813" s="1" t="str">
        <f>IF(OR($C813="",$D813&lt;&gt;"Gelir",$L813=""),"",IFERROR(INDEX(MUSTERILER!$B$7:$B$156,MATCH($S813,MUSTERILER!$T$7:$T$156,0)),""))</f>
        <v/>
      </c>
      <c r="U813" s="1" t="str">
        <f>IF($T813="","",$T813&amp;"|"&amp;COUNTIFS($T$7:$T813,$T813))</f>
        <v/>
      </c>
      <c r="V813" s="1">
        <f t="shared" si="39"/>
        <v>0</v>
      </c>
      <c r="W813" s="1" t="str">
        <f t="shared" si="40"/>
        <v/>
      </c>
      <c r="X813" s="1"/>
      <c r="Y813" s="1"/>
      <c r="Z813" s="1"/>
      <c r="AA813" s="1"/>
      <c r="AB813" s="1"/>
      <c r="AC813" s="1"/>
      <c r="AD813" s="1">
        <f>IF($C813="",0,SUMPRODUCT((AY_SONU!$O$7:$O$42="Evet")*(AY_SONU!$B$7:$B$42=DATE(YEAR($C813),MONTH($C813),1))))</f>
        <v>0</v>
      </c>
      <c r="AE813" s="1" t="str">
        <f>IF($E813="","",$E813&amp;"|"&amp;COUNTIFS($E$7:$E813,$E813))</f>
        <v/>
      </c>
    </row>
    <row r="814" spans="1:31" ht="18" customHeight="1" x14ac:dyDescent="0.3">
      <c r="A814" s="2"/>
      <c r="B814" s="65" t="str">
        <f>IF($C814="","","GG"&amp;TEXT(ROW()-6,"00000"))</f>
        <v/>
      </c>
      <c r="C814" s="66"/>
      <c r="D814" s="60"/>
      <c r="E814" s="61"/>
      <c r="F814" s="61"/>
      <c r="G814" s="67"/>
      <c r="H814" s="60"/>
      <c r="I814" s="60"/>
      <c r="J814" s="61"/>
      <c r="K814" s="61"/>
      <c r="L814" s="60"/>
      <c r="M814" s="74" t="str">
        <f>IF($C814="","",IF($D814="Gider",$E814,IF($L814&lt;&gt;"",$L814,$H814)))</f>
        <v/>
      </c>
      <c r="N814" s="74" t="str">
        <f>IF($C814="","",IF($D814="Gider",$H814,$E814))</f>
        <v/>
      </c>
      <c r="O814" s="73" t="str">
        <f>IF($C814="","",DATE(YEAR($C814),MONTH($C814),1))</f>
        <v/>
      </c>
      <c r="P814" s="65" t="str">
        <f ca="1">IF($C814="","",IF(AND($D814="Gelir",$L814&lt;&gt;"",$T814=""),"TANIMSIZ BORÇLU",IF($T814&lt;&gt;"",IF(OR($E814="",$G814&lt;=0),"EKSİK",IF($I814="Evet","TAHAKKUK NAKİT OLAMAZ",IF($C814&gt;TODAY(),"İLERİ TARİH","TAHAKKUK"))),IF(AND($D814&lt;&gt;"",$E814&lt;&gt;"",$G814&gt;0,$H814&lt;&gt;"",$I814&lt;&gt;""),IF($C814&gt;TODAY(),"İLERİ TARİH",IF(COUNTIF($W$7:$W$3001,$W814)&gt;1,"MÜKERRER?",IF($AD814&gt;0,"KAPALI DÖNEM",IF($I814="Hayır","ÖDENECEK","UYGUN")))),"EKSİK"))))</f>
        <v/>
      </c>
      <c r="Q814" s="2"/>
      <c r="R814" s="2"/>
      <c r="S814" s="1" t="str">
        <f t="shared" si="38"/>
        <v/>
      </c>
      <c r="T814" s="1" t="str">
        <f>IF(OR($C814="",$D814&lt;&gt;"Gelir",$L814=""),"",IFERROR(INDEX(MUSTERILER!$B$7:$B$156,MATCH($S814,MUSTERILER!$T$7:$T$156,0)),""))</f>
        <v/>
      </c>
      <c r="U814" s="1" t="str">
        <f>IF($T814="","",$T814&amp;"|"&amp;COUNTIFS($T$7:$T814,$T814))</f>
        <v/>
      </c>
      <c r="V814" s="1">
        <f t="shared" si="39"/>
        <v>0</v>
      </c>
      <c r="W814" s="1" t="str">
        <f t="shared" si="40"/>
        <v/>
      </c>
      <c r="X814" s="1"/>
      <c r="Y814" s="1"/>
      <c r="Z814" s="1"/>
      <c r="AA814" s="1"/>
      <c r="AB814" s="1"/>
      <c r="AC814" s="1"/>
      <c r="AD814" s="1">
        <f>IF($C814="",0,SUMPRODUCT((AY_SONU!$O$7:$O$42="Evet")*(AY_SONU!$B$7:$B$42=DATE(YEAR($C814),MONTH($C814),1))))</f>
        <v>0</v>
      </c>
      <c r="AE814" s="1" t="str">
        <f>IF($E814="","",$E814&amp;"|"&amp;COUNTIFS($E$7:$E814,$E814))</f>
        <v/>
      </c>
    </row>
    <row r="815" spans="1:31" ht="18" customHeight="1" x14ac:dyDescent="0.3">
      <c r="A815" s="2"/>
      <c r="B815" s="65" t="str">
        <f>IF($C815="","","GG"&amp;TEXT(ROW()-6,"00000"))</f>
        <v/>
      </c>
      <c r="C815" s="66"/>
      <c r="D815" s="60"/>
      <c r="E815" s="61"/>
      <c r="F815" s="61"/>
      <c r="G815" s="67"/>
      <c r="H815" s="60"/>
      <c r="I815" s="60"/>
      <c r="J815" s="61"/>
      <c r="K815" s="61"/>
      <c r="L815" s="60"/>
      <c r="M815" s="74" t="str">
        <f>IF($C815="","",IF($D815="Gider",$E815,IF($L815&lt;&gt;"",$L815,$H815)))</f>
        <v/>
      </c>
      <c r="N815" s="74" t="str">
        <f>IF($C815="","",IF($D815="Gider",$H815,$E815))</f>
        <v/>
      </c>
      <c r="O815" s="73" t="str">
        <f>IF($C815="","",DATE(YEAR($C815),MONTH($C815),1))</f>
        <v/>
      </c>
      <c r="P815" s="65" t="str">
        <f ca="1">IF($C815="","",IF(AND($D815="Gelir",$L815&lt;&gt;"",$T815=""),"TANIMSIZ BORÇLU",IF($T815&lt;&gt;"",IF(OR($E815="",$G815&lt;=0),"EKSİK",IF($I815="Evet","TAHAKKUK NAKİT OLAMAZ",IF($C815&gt;TODAY(),"İLERİ TARİH","TAHAKKUK"))),IF(AND($D815&lt;&gt;"",$E815&lt;&gt;"",$G815&gt;0,$H815&lt;&gt;"",$I815&lt;&gt;""),IF($C815&gt;TODAY(),"İLERİ TARİH",IF(COUNTIF($W$7:$W$3001,$W815)&gt;1,"MÜKERRER?",IF($AD815&gt;0,"KAPALI DÖNEM",IF($I815="Hayır","ÖDENECEK","UYGUN")))),"EKSİK"))))</f>
        <v/>
      </c>
      <c r="Q815" s="2"/>
      <c r="R815" s="2"/>
      <c r="S815" s="1" t="str">
        <f t="shared" si="38"/>
        <v/>
      </c>
      <c r="T815" s="1" t="str">
        <f>IF(OR($C815="",$D815&lt;&gt;"Gelir",$L815=""),"",IFERROR(INDEX(MUSTERILER!$B$7:$B$156,MATCH($S815,MUSTERILER!$T$7:$T$156,0)),""))</f>
        <v/>
      </c>
      <c r="U815" s="1" t="str">
        <f>IF($T815="","",$T815&amp;"|"&amp;COUNTIFS($T$7:$T815,$T815))</f>
        <v/>
      </c>
      <c r="V815" s="1">
        <f t="shared" si="39"/>
        <v>0</v>
      </c>
      <c r="W815" s="1" t="str">
        <f t="shared" si="40"/>
        <v/>
      </c>
      <c r="X815" s="1"/>
      <c r="Y815" s="1"/>
      <c r="Z815" s="1"/>
      <c r="AA815" s="1"/>
      <c r="AB815" s="1"/>
      <c r="AC815" s="1"/>
      <c r="AD815" s="1">
        <f>IF($C815="",0,SUMPRODUCT((AY_SONU!$O$7:$O$42="Evet")*(AY_SONU!$B$7:$B$42=DATE(YEAR($C815),MONTH($C815),1))))</f>
        <v>0</v>
      </c>
      <c r="AE815" s="1" t="str">
        <f>IF($E815="","",$E815&amp;"|"&amp;COUNTIFS($E$7:$E815,$E815))</f>
        <v/>
      </c>
    </row>
    <row r="816" spans="1:31" ht="18" customHeight="1" x14ac:dyDescent="0.3">
      <c r="A816" s="2"/>
      <c r="B816" s="65" t="str">
        <f>IF($C816="","","GG"&amp;TEXT(ROW()-6,"00000"))</f>
        <v/>
      </c>
      <c r="C816" s="66"/>
      <c r="D816" s="60"/>
      <c r="E816" s="61"/>
      <c r="F816" s="61"/>
      <c r="G816" s="67"/>
      <c r="H816" s="60"/>
      <c r="I816" s="60"/>
      <c r="J816" s="61"/>
      <c r="K816" s="61"/>
      <c r="L816" s="60"/>
      <c r="M816" s="74" t="str">
        <f>IF($C816="","",IF($D816="Gider",$E816,IF($L816&lt;&gt;"",$L816,$H816)))</f>
        <v/>
      </c>
      <c r="N816" s="74" t="str">
        <f>IF($C816="","",IF($D816="Gider",$H816,$E816))</f>
        <v/>
      </c>
      <c r="O816" s="73" t="str">
        <f>IF($C816="","",DATE(YEAR($C816),MONTH($C816),1))</f>
        <v/>
      </c>
      <c r="P816" s="65" t="str">
        <f ca="1">IF($C816="","",IF(AND($D816="Gelir",$L816&lt;&gt;"",$T816=""),"TANIMSIZ BORÇLU",IF($T816&lt;&gt;"",IF(OR($E816="",$G816&lt;=0),"EKSİK",IF($I816="Evet","TAHAKKUK NAKİT OLAMAZ",IF($C816&gt;TODAY(),"İLERİ TARİH","TAHAKKUK"))),IF(AND($D816&lt;&gt;"",$E816&lt;&gt;"",$G816&gt;0,$H816&lt;&gt;"",$I816&lt;&gt;""),IF($C816&gt;TODAY(),"İLERİ TARİH",IF(COUNTIF($W$7:$W$3001,$W816)&gt;1,"MÜKERRER?",IF($AD816&gt;0,"KAPALI DÖNEM",IF($I816="Hayır","ÖDENECEK","UYGUN")))),"EKSİK"))))</f>
        <v/>
      </c>
      <c r="Q816" s="2"/>
      <c r="R816" s="2"/>
      <c r="S816" s="1" t="str">
        <f t="shared" si="38"/>
        <v/>
      </c>
      <c r="T816" s="1" t="str">
        <f>IF(OR($C816="",$D816&lt;&gt;"Gelir",$L816=""),"",IFERROR(INDEX(MUSTERILER!$B$7:$B$156,MATCH($S816,MUSTERILER!$T$7:$T$156,0)),""))</f>
        <v/>
      </c>
      <c r="U816" s="1" t="str">
        <f>IF($T816="","",$T816&amp;"|"&amp;COUNTIFS($T$7:$T816,$T816))</f>
        <v/>
      </c>
      <c r="V816" s="1">
        <f t="shared" si="39"/>
        <v>0</v>
      </c>
      <c r="W816" s="1" t="str">
        <f t="shared" si="40"/>
        <v/>
      </c>
      <c r="X816" s="1"/>
      <c r="Y816" s="1"/>
      <c r="Z816" s="1"/>
      <c r="AA816" s="1"/>
      <c r="AB816" s="1"/>
      <c r="AC816" s="1"/>
      <c r="AD816" s="1">
        <f>IF($C816="",0,SUMPRODUCT((AY_SONU!$O$7:$O$42="Evet")*(AY_SONU!$B$7:$B$42=DATE(YEAR($C816),MONTH($C816),1))))</f>
        <v>0</v>
      </c>
      <c r="AE816" s="1" t="str">
        <f>IF($E816="","",$E816&amp;"|"&amp;COUNTIFS($E$7:$E816,$E816))</f>
        <v/>
      </c>
    </row>
    <row r="817" spans="1:31" ht="18" customHeight="1" x14ac:dyDescent="0.3">
      <c r="A817" s="2"/>
      <c r="B817" s="65" t="str">
        <f>IF($C817="","","GG"&amp;TEXT(ROW()-6,"00000"))</f>
        <v/>
      </c>
      <c r="C817" s="66"/>
      <c r="D817" s="60"/>
      <c r="E817" s="61"/>
      <c r="F817" s="61"/>
      <c r="G817" s="67"/>
      <c r="H817" s="60"/>
      <c r="I817" s="60"/>
      <c r="J817" s="61"/>
      <c r="K817" s="61"/>
      <c r="L817" s="60"/>
      <c r="M817" s="74" t="str">
        <f>IF($C817="","",IF($D817="Gider",$E817,IF($L817&lt;&gt;"",$L817,$H817)))</f>
        <v/>
      </c>
      <c r="N817" s="74" t="str">
        <f>IF($C817="","",IF($D817="Gider",$H817,$E817))</f>
        <v/>
      </c>
      <c r="O817" s="73" t="str">
        <f>IF($C817="","",DATE(YEAR($C817),MONTH($C817),1))</f>
        <v/>
      </c>
      <c r="P817" s="65" t="str">
        <f ca="1">IF($C817="","",IF(AND($D817="Gelir",$L817&lt;&gt;"",$T817=""),"TANIMSIZ BORÇLU",IF($T817&lt;&gt;"",IF(OR($E817="",$G817&lt;=0),"EKSİK",IF($I817="Evet","TAHAKKUK NAKİT OLAMAZ",IF($C817&gt;TODAY(),"İLERİ TARİH","TAHAKKUK"))),IF(AND($D817&lt;&gt;"",$E817&lt;&gt;"",$G817&gt;0,$H817&lt;&gt;"",$I817&lt;&gt;""),IF($C817&gt;TODAY(),"İLERİ TARİH",IF(COUNTIF($W$7:$W$3001,$W817)&gt;1,"MÜKERRER?",IF($AD817&gt;0,"KAPALI DÖNEM",IF($I817="Hayır","ÖDENECEK","UYGUN")))),"EKSİK"))))</f>
        <v/>
      </c>
      <c r="Q817" s="2"/>
      <c r="R817" s="2"/>
      <c r="S817" s="1" t="str">
        <f t="shared" si="38"/>
        <v/>
      </c>
      <c r="T817" s="1" t="str">
        <f>IF(OR($C817="",$D817&lt;&gt;"Gelir",$L817=""),"",IFERROR(INDEX(MUSTERILER!$B$7:$B$156,MATCH($S817,MUSTERILER!$T$7:$T$156,0)),""))</f>
        <v/>
      </c>
      <c r="U817" s="1" t="str">
        <f>IF($T817="","",$T817&amp;"|"&amp;COUNTIFS($T$7:$T817,$T817))</f>
        <v/>
      </c>
      <c r="V817" s="1">
        <f t="shared" si="39"/>
        <v>0</v>
      </c>
      <c r="W817" s="1" t="str">
        <f t="shared" si="40"/>
        <v/>
      </c>
      <c r="X817" s="1"/>
      <c r="Y817" s="1"/>
      <c r="Z817" s="1"/>
      <c r="AA817" s="1"/>
      <c r="AB817" s="1"/>
      <c r="AC817" s="1"/>
      <c r="AD817" s="1">
        <f>IF($C817="",0,SUMPRODUCT((AY_SONU!$O$7:$O$42="Evet")*(AY_SONU!$B$7:$B$42=DATE(YEAR($C817),MONTH($C817),1))))</f>
        <v>0</v>
      </c>
      <c r="AE817" s="1" t="str">
        <f>IF($E817="","",$E817&amp;"|"&amp;COUNTIFS($E$7:$E817,$E817))</f>
        <v/>
      </c>
    </row>
    <row r="818" spans="1:31" ht="18" customHeight="1" x14ac:dyDescent="0.3">
      <c r="A818" s="2"/>
      <c r="B818" s="65" t="str">
        <f>IF($C818="","","GG"&amp;TEXT(ROW()-6,"00000"))</f>
        <v/>
      </c>
      <c r="C818" s="66"/>
      <c r="D818" s="60"/>
      <c r="E818" s="61"/>
      <c r="F818" s="61"/>
      <c r="G818" s="67"/>
      <c r="H818" s="60"/>
      <c r="I818" s="60"/>
      <c r="J818" s="61"/>
      <c r="K818" s="61"/>
      <c r="L818" s="60"/>
      <c r="M818" s="74" t="str">
        <f>IF($C818="","",IF($D818="Gider",$E818,IF($L818&lt;&gt;"",$L818,$H818)))</f>
        <v/>
      </c>
      <c r="N818" s="74" t="str">
        <f>IF($C818="","",IF($D818="Gider",$H818,$E818))</f>
        <v/>
      </c>
      <c r="O818" s="73" t="str">
        <f>IF($C818="","",DATE(YEAR($C818),MONTH($C818),1))</f>
        <v/>
      </c>
      <c r="P818" s="65" t="str">
        <f ca="1">IF($C818="","",IF(AND($D818="Gelir",$L818&lt;&gt;"",$T818=""),"TANIMSIZ BORÇLU",IF($T818&lt;&gt;"",IF(OR($E818="",$G818&lt;=0),"EKSİK",IF($I818="Evet","TAHAKKUK NAKİT OLAMAZ",IF($C818&gt;TODAY(),"İLERİ TARİH","TAHAKKUK"))),IF(AND($D818&lt;&gt;"",$E818&lt;&gt;"",$G818&gt;0,$H818&lt;&gt;"",$I818&lt;&gt;""),IF($C818&gt;TODAY(),"İLERİ TARİH",IF(COUNTIF($W$7:$W$3001,$W818)&gt;1,"MÜKERRER?",IF($AD818&gt;0,"KAPALI DÖNEM",IF($I818="Hayır","ÖDENECEK","UYGUN")))),"EKSİK"))))</f>
        <v/>
      </c>
      <c r="Q818" s="2"/>
      <c r="R818" s="2"/>
      <c r="S818" s="1" t="str">
        <f t="shared" si="38"/>
        <v/>
      </c>
      <c r="T818" s="1" t="str">
        <f>IF(OR($C818="",$D818&lt;&gt;"Gelir",$L818=""),"",IFERROR(INDEX(MUSTERILER!$B$7:$B$156,MATCH($S818,MUSTERILER!$T$7:$T$156,0)),""))</f>
        <v/>
      </c>
      <c r="U818" s="1" t="str">
        <f>IF($T818="","",$T818&amp;"|"&amp;COUNTIFS($T$7:$T818,$T818))</f>
        <v/>
      </c>
      <c r="V818" s="1">
        <f t="shared" si="39"/>
        <v>0</v>
      </c>
      <c r="W818" s="1" t="str">
        <f t="shared" si="40"/>
        <v/>
      </c>
      <c r="X818" s="1"/>
      <c r="Y818" s="1"/>
      <c r="Z818" s="1"/>
      <c r="AA818" s="1"/>
      <c r="AB818" s="1"/>
      <c r="AC818" s="1"/>
      <c r="AD818" s="1">
        <f>IF($C818="",0,SUMPRODUCT((AY_SONU!$O$7:$O$42="Evet")*(AY_SONU!$B$7:$B$42=DATE(YEAR($C818),MONTH($C818),1))))</f>
        <v>0</v>
      </c>
      <c r="AE818" s="1" t="str">
        <f>IF($E818="","",$E818&amp;"|"&amp;COUNTIFS($E$7:$E818,$E818))</f>
        <v/>
      </c>
    </row>
    <row r="819" spans="1:31" ht="18" customHeight="1" x14ac:dyDescent="0.3">
      <c r="A819" s="2"/>
      <c r="B819" s="65" t="str">
        <f>IF($C819="","","GG"&amp;TEXT(ROW()-6,"00000"))</f>
        <v/>
      </c>
      <c r="C819" s="66"/>
      <c r="D819" s="60"/>
      <c r="E819" s="61"/>
      <c r="F819" s="61"/>
      <c r="G819" s="67"/>
      <c r="H819" s="60"/>
      <c r="I819" s="60"/>
      <c r="J819" s="61"/>
      <c r="K819" s="61"/>
      <c r="L819" s="60"/>
      <c r="M819" s="74" t="str">
        <f>IF($C819="","",IF($D819="Gider",$E819,IF($L819&lt;&gt;"",$L819,$H819)))</f>
        <v/>
      </c>
      <c r="N819" s="74" t="str">
        <f>IF($C819="","",IF($D819="Gider",$H819,$E819))</f>
        <v/>
      </c>
      <c r="O819" s="73" t="str">
        <f>IF($C819="","",DATE(YEAR($C819),MONTH($C819),1))</f>
        <v/>
      </c>
      <c r="P819" s="65" t="str">
        <f ca="1">IF($C819="","",IF(AND($D819="Gelir",$L819&lt;&gt;"",$T819=""),"TANIMSIZ BORÇLU",IF($T819&lt;&gt;"",IF(OR($E819="",$G819&lt;=0),"EKSİK",IF($I819="Evet","TAHAKKUK NAKİT OLAMAZ",IF($C819&gt;TODAY(),"İLERİ TARİH","TAHAKKUK"))),IF(AND($D819&lt;&gt;"",$E819&lt;&gt;"",$G819&gt;0,$H819&lt;&gt;"",$I819&lt;&gt;""),IF($C819&gt;TODAY(),"İLERİ TARİH",IF(COUNTIF($W$7:$W$3001,$W819)&gt;1,"MÜKERRER?",IF($AD819&gt;0,"KAPALI DÖNEM",IF($I819="Hayır","ÖDENECEK","UYGUN")))),"EKSİK"))))</f>
        <v/>
      </c>
      <c r="Q819" s="2"/>
      <c r="R819" s="2"/>
      <c r="S819" s="1" t="str">
        <f t="shared" si="38"/>
        <v/>
      </c>
      <c r="T819" s="1" t="str">
        <f>IF(OR($C819="",$D819&lt;&gt;"Gelir",$L819=""),"",IFERROR(INDEX(MUSTERILER!$B$7:$B$156,MATCH($S819,MUSTERILER!$T$7:$T$156,0)),""))</f>
        <v/>
      </c>
      <c r="U819" s="1" t="str">
        <f>IF($T819="","",$T819&amp;"|"&amp;COUNTIFS($T$7:$T819,$T819))</f>
        <v/>
      </c>
      <c r="V819" s="1">
        <f t="shared" si="39"/>
        <v>0</v>
      </c>
      <c r="W819" s="1" t="str">
        <f t="shared" si="40"/>
        <v/>
      </c>
      <c r="X819" s="1"/>
      <c r="Y819" s="1"/>
      <c r="Z819" s="1"/>
      <c r="AA819" s="1"/>
      <c r="AB819" s="1"/>
      <c r="AC819" s="1"/>
      <c r="AD819" s="1">
        <f>IF($C819="",0,SUMPRODUCT((AY_SONU!$O$7:$O$42="Evet")*(AY_SONU!$B$7:$B$42=DATE(YEAR($C819),MONTH($C819),1))))</f>
        <v>0</v>
      </c>
      <c r="AE819" s="1" t="str">
        <f>IF($E819="","",$E819&amp;"|"&amp;COUNTIFS($E$7:$E819,$E819))</f>
        <v/>
      </c>
    </row>
    <row r="820" spans="1:31" ht="18" customHeight="1" x14ac:dyDescent="0.3">
      <c r="A820" s="2"/>
      <c r="B820" s="65" t="str">
        <f>IF($C820="","","GG"&amp;TEXT(ROW()-6,"00000"))</f>
        <v/>
      </c>
      <c r="C820" s="66"/>
      <c r="D820" s="60"/>
      <c r="E820" s="61"/>
      <c r="F820" s="61"/>
      <c r="G820" s="67"/>
      <c r="H820" s="60"/>
      <c r="I820" s="60"/>
      <c r="J820" s="61"/>
      <c r="K820" s="61"/>
      <c r="L820" s="60"/>
      <c r="M820" s="74" t="str">
        <f>IF($C820="","",IF($D820="Gider",$E820,IF($L820&lt;&gt;"",$L820,$H820)))</f>
        <v/>
      </c>
      <c r="N820" s="74" t="str">
        <f>IF($C820="","",IF($D820="Gider",$H820,$E820))</f>
        <v/>
      </c>
      <c r="O820" s="73" t="str">
        <f>IF($C820="","",DATE(YEAR($C820),MONTH($C820),1))</f>
        <v/>
      </c>
      <c r="P820" s="65" t="str">
        <f ca="1">IF($C820="","",IF(AND($D820="Gelir",$L820&lt;&gt;"",$T820=""),"TANIMSIZ BORÇLU",IF($T820&lt;&gt;"",IF(OR($E820="",$G820&lt;=0),"EKSİK",IF($I820="Evet","TAHAKKUK NAKİT OLAMAZ",IF($C820&gt;TODAY(),"İLERİ TARİH","TAHAKKUK"))),IF(AND($D820&lt;&gt;"",$E820&lt;&gt;"",$G820&gt;0,$H820&lt;&gt;"",$I820&lt;&gt;""),IF($C820&gt;TODAY(),"İLERİ TARİH",IF(COUNTIF($W$7:$W$3001,$W820)&gt;1,"MÜKERRER?",IF($AD820&gt;0,"KAPALI DÖNEM",IF($I820="Hayır","ÖDENECEK","UYGUN")))),"EKSİK"))))</f>
        <v/>
      </c>
      <c r="Q820" s="2"/>
      <c r="R820" s="2"/>
      <c r="S820" s="1" t="str">
        <f t="shared" si="38"/>
        <v/>
      </c>
      <c r="T820" s="1" t="str">
        <f>IF(OR($C820="",$D820&lt;&gt;"Gelir",$L820=""),"",IFERROR(INDEX(MUSTERILER!$B$7:$B$156,MATCH($S820,MUSTERILER!$T$7:$T$156,0)),""))</f>
        <v/>
      </c>
      <c r="U820" s="1" t="str">
        <f>IF($T820="","",$T820&amp;"|"&amp;COUNTIFS($T$7:$T820,$T820))</f>
        <v/>
      </c>
      <c r="V820" s="1">
        <f t="shared" si="39"/>
        <v>0</v>
      </c>
      <c r="W820" s="1" t="str">
        <f t="shared" si="40"/>
        <v/>
      </c>
      <c r="X820" s="1"/>
      <c r="Y820" s="1"/>
      <c r="Z820" s="1"/>
      <c r="AA820" s="1"/>
      <c r="AB820" s="1"/>
      <c r="AC820" s="1"/>
      <c r="AD820" s="1">
        <f>IF($C820="",0,SUMPRODUCT((AY_SONU!$O$7:$O$42="Evet")*(AY_SONU!$B$7:$B$42=DATE(YEAR($C820),MONTH($C820),1))))</f>
        <v>0</v>
      </c>
      <c r="AE820" s="1" t="str">
        <f>IF($E820="","",$E820&amp;"|"&amp;COUNTIFS($E$7:$E820,$E820))</f>
        <v/>
      </c>
    </row>
    <row r="821" spans="1:31" ht="18" customHeight="1" x14ac:dyDescent="0.3">
      <c r="A821" s="2"/>
      <c r="B821" s="65" t="str">
        <f>IF($C821="","","GG"&amp;TEXT(ROW()-6,"00000"))</f>
        <v/>
      </c>
      <c r="C821" s="66"/>
      <c r="D821" s="60"/>
      <c r="E821" s="61"/>
      <c r="F821" s="61"/>
      <c r="G821" s="67"/>
      <c r="H821" s="60"/>
      <c r="I821" s="60"/>
      <c r="J821" s="61"/>
      <c r="K821" s="61"/>
      <c r="L821" s="60"/>
      <c r="M821" s="74" t="str">
        <f>IF($C821="","",IF($D821="Gider",$E821,IF($L821&lt;&gt;"",$L821,$H821)))</f>
        <v/>
      </c>
      <c r="N821" s="74" t="str">
        <f>IF($C821="","",IF($D821="Gider",$H821,$E821))</f>
        <v/>
      </c>
      <c r="O821" s="73" t="str">
        <f>IF($C821="","",DATE(YEAR($C821),MONTH($C821),1))</f>
        <v/>
      </c>
      <c r="P821" s="65" t="str">
        <f ca="1">IF($C821="","",IF(AND($D821="Gelir",$L821&lt;&gt;"",$T821=""),"TANIMSIZ BORÇLU",IF($T821&lt;&gt;"",IF(OR($E821="",$G821&lt;=0),"EKSİK",IF($I821="Evet","TAHAKKUK NAKİT OLAMAZ",IF($C821&gt;TODAY(),"İLERİ TARİH","TAHAKKUK"))),IF(AND($D821&lt;&gt;"",$E821&lt;&gt;"",$G821&gt;0,$H821&lt;&gt;"",$I821&lt;&gt;""),IF($C821&gt;TODAY(),"İLERİ TARİH",IF(COUNTIF($W$7:$W$3001,$W821)&gt;1,"MÜKERRER?",IF($AD821&gt;0,"KAPALI DÖNEM",IF($I821="Hayır","ÖDENECEK","UYGUN")))),"EKSİK"))))</f>
        <v/>
      </c>
      <c r="Q821" s="2"/>
      <c r="R821" s="2"/>
      <c r="S821" s="1" t="str">
        <f t="shared" si="38"/>
        <v/>
      </c>
      <c r="T821" s="1" t="str">
        <f>IF(OR($C821="",$D821&lt;&gt;"Gelir",$L821=""),"",IFERROR(INDEX(MUSTERILER!$B$7:$B$156,MATCH($S821,MUSTERILER!$T$7:$T$156,0)),""))</f>
        <v/>
      </c>
      <c r="U821" s="1" t="str">
        <f>IF($T821="","",$T821&amp;"|"&amp;COUNTIFS($T$7:$T821,$T821))</f>
        <v/>
      </c>
      <c r="V821" s="1">
        <f t="shared" si="39"/>
        <v>0</v>
      </c>
      <c r="W821" s="1" t="str">
        <f t="shared" si="40"/>
        <v/>
      </c>
      <c r="X821" s="1"/>
      <c r="Y821" s="1"/>
      <c r="Z821" s="1"/>
      <c r="AA821" s="1"/>
      <c r="AB821" s="1"/>
      <c r="AC821" s="1"/>
      <c r="AD821" s="1">
        <f>IF($C821="",0,SUMPRODUCT((AY_SONU!$O$7:$O$42="Evet")*(AY_SONU!$B$7:$B$42=DATE(YEAR($C821),MONTH($C821),1))))</f>
        <v>0</v>
      </c>
      <c r="AE821" s="1" t="str">
        <f>IF($E821="","",$E821&amp;"|"&amp;COUNTIFS($E$7:$E821,$E821))</f>
        <v/>
      </c>
    </row>
    <row r="822" spans="1:31" ht="18" customHeight="1" x14ac:dyDescent="0.3">
      <c r="A822" s="2"/>
      <c r="B822" s="65" t="str">
        <f>IF($C822="","","GG"&amp;TEXT(ROW()-6,"00000"))</f>
        <v/>
      </c>
      <c r="C822" s="66"/>
      <c r="D822" s="60"/>
      <c r="E822" s="61"/>
      <c r="F822" s="61"/>
      <c r="G822" s="67"/>
      <c r="H822" s="60"/>
      <c r="I822" s="60"/>
      <c r="J822" s="61"/>
      <c r="K822" s="61"/>
      <c r="L822" s="60"/>
      <c r="M822" s="74" t="str">
        <f>IF($C822="","",IF($D822="Gider",$E822,IF($L822&lt;&gt;"",$L822,$H822)))</f>
        <v/>
      </c>
      <c r="N822" s="74" t="str">
        <f>IF($C822="","",IF($D822="Gider",$H822,$E822))</f>
        <v/>
      </c>
      <c r="O822" s="73" t="str">
        <f>IF($C822="","",DATE(YEAR($C822),MONTH($C822),1))</f>
        <v/>
      </c>
      <c r="P822" s="65" t="str">
        <f ca="1">IF($C822="","",IF(AND($D822="Gelir",$L822&lt;&gt;"",$T822=""),"TANIMSIZ BORÇLU",IF($T822&lt;&gt;"",IF(OR($E822="",$G822&lt;=0),"EKSİK",IF($I822="Evet","TAHAKKUK NAKİT OLAMAZ",IF($C822&gt;TODAY(),"İLERİ TARİH","TAHAKKUK"))),IF(AND($D822&lt;&gt;"",$E822&lt;&gt;"",$G822&gt;0,$H822&lt;&gt;"",$I822&lt;&gt;""),IF($C822&gt;TODAY(),"İLERİ TARİH",IF(COUNTIF($W$7:$W$3001,$W822)&gt;1,"MÜKERRER?",IF($AD822&gt;0,"KAPALI DÖNEM",IF($I822="Hayır","ÖDENECEK","UYGUN")))),"EKSİK"))))</f>
        <v/>
      </c>
      <c r="Q822" s="2"/>
      <c r="R822" s="2"/>
      <c r="S822" s="1" t="str">
        <f t="shared" si="38"/>
        <v/>
      </c>
      <c r="T822" s="1" t="str">
        <f>IF(OR($C822="",$D822&lt;&gt;"Gelir",$L822=""),"",IFERROR(INDEX(MUSTERILER!$B$7:$B$156,MATCH($S822,MUSTERILER!$T$7:$T$156,0)),""))</f>
        <v/>
      </c>
      <c r="U822" s="1" t="str">
        <f>IF($T822="","",$T822&amp;"|"&amp;COUNTIFS($T$7:$T822,$T822))</f>
        <v/>
      </c>
      <c r="V822" s="1">
        <f t="shared" si="39"/>
        <v>0</v>
      </c>
      <c r="W822" s="1" t="str">
        <f t="shared" si="40"/>
        <v/>
      </c>
      <c r="X822" s="1"/>
      <c r="Y822" s="1"/>
      <c r="Z822" s="1"/>
      <c r="AA822" s="1"/>
      <c r="AB822" s="1"/>
      <c r="AC822" s="1"/>
      <c r="AD822" s="1">
        <f>IF($C822="",0,SUMPRODUCT((AY_SONU!$O$7:$O$42="Evet")*(AY_SONU!$B$7:$B$42=DATE(YEAR($C822),MONTH($C822),1))))</f>
        <v>0</v>
      </c>
      <c r="AE822" s="1" t="str">
        <f>IF($E822="","",$E822&amp;"|"&amp;COUNTIFS($E$7:$E822,$E822))</f>
        <v/>
      </c>
    </row>
    <row r="823" spans="1:31" ht="18" customHeight="1" x14ac:dyDescent="0.3">
      <c r="A823" s="2"/>
      <c r="B823" s="65" t="str">
        <f>IF($C823="","","GG"&amp;TEXT(ROW()-6,"00000"))</f>
        <v/>
      </c>
      <c r="C823" s="66"/>
      <c r="D823" s="60"/>
      <c r="E823" s="61"/>
      <c r="F823" s="61"/>
      <c r="G823" s="67"/>
      <c r="H823" s="60"/>
      <c r="I823" s="60"/>
      <c r="J823" s="61"/>
      <c r="K823" s="61"/>
      <c r="L823" s="60"/>
      <c r="M823" s="74" t="str">
        <f>IF($C823="","",IF($D823="Gider",$E823,IF($L823&lt;&gt;"",$L823,$H823)))</f>
        <v/>
      </c>
      <c r="N823" s="74" t="str">
        <f>IF($C823="","",IF($D823="Gider",$H823,$E823))</f>
        <v/>
      </c>
      <c r="O823" s="73" t="str">
        <f>IF($C823="","",DATE(YEAR($C823),MONTH($C823),1))</f>
        <v/>
      </c>
      <c r="P823" s="65" t="str">
        <f ca="1">IF($C823="","",IF(AND($D823="Gelir",$L823&lt;&gt;"",$T823=""),"TANIMSIZ BORÇLU",IF($T823&lt;&gt;"",IF(OR($E823="",$G823&lt;=0),"EKSİK",IF($I823="Evet","TAHAKKUK NAKİT OLAMAZ",IF($C823&gt;TODAY(),"İLERİ TARİH","TAHAKKUK"))),IF(AND($D823&lt;&gt;"",$E823&lt;&gt;"",$G823&gt;0,$H823&lt;&gt;"",$I823&lt;&gt;""),IF($C823&gt;TODAY(),"İLERİ TARİH",IF(COUNTIF($W$7:$W$3001,$W823)&gt;1,"MÜKERRER?",IF($AD823&gt;0,"KAPALI DÖNEM",IF($I823="Hayır","ÖDENECEK","UYGUN")))),"EKSİK"))))</f>
        <v/>
      </c>
      <c r="Q823" s="2"/>
      <c r="R823" s="2"/>
      <c r="S823" s="1" t="str">
        <f t="shared" si="38"/>
        <v/>
      </c>
      <c r="T823" s="1" t="str">
        <f>IF(OR($C823="",$D823&lt;&gt;"Gelir",$L823=""),"",IFERROR(INDEX(MUSTERILER!$B$7:$B$156,MATCH($S823,MUSTERILER!$T$7:$T$156,0)),""))</f>
        <v/>
      </c>
      <c r="U823" s="1" t="str">
        <f>IF($T823="","",$T823&amp;"|"&amp;COUNTIFS($T$7:$T823,$T823))</f>
        <v/>
      </c>
      <c r="V823" s="1">
        <f t="shared" si="39"/>
        <v>0</v>
      </c>
      <c r="W823" s="1" t="str">
        <f t="shared" si="40"/>
        <v/>
      </c>
      <c r="X823" s="1"/>
      <c r="Y823" s="1"/>
      <c r="Z823" s="1"/>
      <c r="AA823" s="1"/>
      <c r="AB823" s="1"/>
      <c r="AC823" s="1"/>
      <c r="AD823" s="1">
        <f>IF($C823="",0,SUMPRODUCT((AY_SONU!$O$7:$O$42="Evet")*(AY_SONU!$B$7:$B$42=DATE(YEAR($C823),MONTH($C823),1))))</f>
        <v>0</v>
      </c>
      <c r="AE823" s="1" t="str">
        <f>IF($E823="","",$E823&amp;"|"&amp;COUNTIFS($E$7:$E823,$E823))</f>
        <v/>
      </c>
    </row>
    <row r="824" spans="1:31" ht="18" customHeight="1" x14ac:dyDescent="0.3">
      <c r="A824" s="2"/>
      <c r="B824" s="65" t="str">
        <f>IF($C824="","","GG"&amp;TEXT(ROW()-6,"00000"))</f>
        <v/>
      </c>
      <c r="C824" s="66"/>
      <c r="D824" s="60"/>
      <c r="E824" s="61"/>
      <c r="F824" s="61"/>
      <c r="G824" s="67"/>
      <c r="H824" s="60"/>
      <c r="I824" s="60"/>
      <c r="J824" s="61"/>
      <c r="K824" s="61"/>
      <c r="L824" s="60"/>
      <c r="M824" s="74" t="str">
        <f>IF($C824="","",IF($D824="Gider",$E824,IF($L824&lt;&gt;"",$L824,$H824)))</f>
        <v/>
      </c>
      <c r="N824" s="74" t="str">
        <f>IF($C824="","",IF($D824="Gider",$H824,$E824))</f>
        <v/>
      </c>
      <c r="O824" s="73" t="str">
        <f>IF($C824="","",DATE(YEAR($C824),MONTH($C824),1))</f>
        <v/>
      </c>
      <c r="P824" s="65" t="str">
        <f ca="1">IF($C824="","",IF(AND($D824="Gelir",$L824&lt;&gt;"",$T824=""),"TANIMSIZ BORÇLU",IF($T824&lt;&gt;"",IF(OR($E824="",$G824&lt;=0),"EKSİK",IF($I824="Evet","TAHAKKUK NAKİT OLAMAZ",IF($C824&gt;TODAY(),"İLERİ TARİH","TAHAKKUK"))),IF(AND($D824&lt;&gt;"",$E824&lt;&gt;"",$G824&gt;0,$H824&lt;&gt;"",$I824&lt;&gt;""),IF($C824&gt;TODAY(),"İLERİ TARİH",IF(COUNTIF($W$7:$W$3001,$W824)&gt;1,"MÜKERRER?",IF($AD824&gt;0,"KAPALI DÖNEM",IF($I824="Hayır","ÖDENECEK","UYGUN")))),"EKSİK"))))</f>
        <v/>
      </c>
      <c r="Q824" s="2"/>
      <c r="R824" s="2"/>
      <c r="S824" s="1" t="str">
        <f t="shared" si="38"/>
        <v/>
      </c>
      <c r="T824" s="1" t="str">
        <f>IF(OR($C824="",$D824&lt;&gt;"Gelir",$L824=""),"",IFERROR(INDEX(MUSTERILER!$B$7:$B$156,MATCH($S824,MUSTERILER!$T$7:$T$156,0)),""))</f>
        <v/>
      </c>
      <c r="U824" s="1" t="str">
        <f>IF($T824="","",$T824&amp;"|"&amp;COUNTIFS($T$7:$T824,$T824))</f>
        <v/>
      </c>
      <c r="V824" s="1">
        <f t="shared" si="39"/>
        <v>0</v>
      </c>
      <c r="W824" s="1" t="str">
        <f t="shared" si="40"/>
        <v/>
      </c>
      <c r="X824" s="1"/>
      <c r="Y824" s="1"/>
      <c r="Z824" s="1"/>
      <c r="AA824" s="1"/>
      <c r="AB824" s="1"/>
      <c r="AC824" s="1"/>
      <c r="AD824" s="1">
        <f>IF($C824="",0,SUMPRODUCT((AY_SONU!$O$7:$O$42="Evet")*(AY_SONU!$B$7:$B$42=DATE(YEAR($C824),MONTH($C824),1))))</f>
        <v>0</v>
      </c>
      <c r="AE824" s="1" t="str">
        <f>IF($E824="","",$E824&amp;"|"&amp;COUNTIFS($E$7:$E824,$E824))</f>
        <v/>
      </c>
    </row>
    <row r="825" spans="1:31" ht="18" customHeight="1" x14ac:dyDescent="0.3">
      <c r="A825" s="2"/>
      <c r="B825" s="65" t="str">
        <f>IF($C825="","","GG"&amp;TEXT(ROW()-6,"00000"))</f>
        <v/>
      </c>
      <c r="C825" s="66"/>
      <c r="D825" s="60"/>
      <c r="E825" s="61"/>
      <c r="F825" s="61"/>
      <c r="G825" s="67"/>
      <c r="H825" s="60"/>
      <c r="I825" s="60"/>
      <c r="J825" s="61"/>
      <c r="K825" s="61"/>
      <c r="L825" s="60"/>
      <c r="M825" s="74" t="str">
        <f>IF($C825="","",IF($D825="Gider",$E825,IF($L825&lt;&gt;"",$L825,$H825)))</f>
        <v/>
      </c>
      <c r="N825" s="74" t="str">
        <f>IF($C825="","",IF($D825="Gider",$H825,$E825))</f>
        <v/>
      </c>
      <c r="O825" s="73" t="str">
        <f>IF($C825="","",DATE(YEAR($C825),MONTH($C825),1))</f>
        <v/>
      </c>
      <c r="P825" s="65" t="str">
        <f ca="1">IF($C825="","",IF(AND($D825="Gelir",$L825&lt;&gt;"",$T825=""),"TANIMSIZ BORÇLU",IF($T825&lt;&gt;"",IF(OR($E825="",$G825&lt;=0),"EKSİK",IF($I825="Evet","TAHAKKUK NAKİT OLAMAZ",IF($C825&gt;TODAY(),"İLERİ TARİH","TAHAKKUK"))),IF(AND($D825&lt;&gt;"",$E825&lt;&gt;"",$G825&gt;0,$H825&lt;&gt;"",$I825&lt;&gt;""),IF($C825&gt;TODAY(),"İLERİ TARİH",IF(COUNTIF($W$7:$W$3001,$W825)&gt;1,"MÜKERRER?",IF($AD825&gt;0,"KAPALI DÖNEM",IF($I825="Hayır","ÖDENECEK","UYGUN")))),"EKSİK"))))</f>
        <v/>
      </c>
      <c r="Q825" s="2"/>
      <c r="R825" s="2"/>
      <c r="S825" s="1" t="str">
        <f t="shared" si="38"/>
        <v/>
      </c>
      <c r="T825" s="1" t="str">
        <f>IF(OR($C825="",$D825&lt;&gt;"Gelir",$L825=""),"",IFERROR(INDEX(MUSTERILER!$B$7:$B$156,MATCH($S825,MUSTERILER!$T$7:$T$156,0)),""))</f>
        <v/>
      </c>
      <c r="U825" s="1" t="str">
        <f>IF($T825="","",$T825&amp;"|"&amp;COUNTIFS($T$7:$T825,$T825))</f>
        <v/>
      </c>
      <c r="V825" s="1">
        <f t="shared" si="39"/>
        <v>0</v>
      </c>
      <c r="W825" s="1" t="str">
        <f t="shared" si="40"/>
        <v/>
      </c>
      <c r="X825" s="1"/>
      <c r="Y825" s="1"/>
      <c r="Z825" s="1"/>
      <c r="AA825" s="1"/>
      <c r="AB825" s="1"/>
      <c r="AC825" s="1"/>
      <c r="AD825" s="1">
        <f>IF($C825="",0,SUMPRODUCT((AY_SONU!$O$7:$O$42="Evet")*(AY_SONU!$B$7:$B$42=DATE(YEAR($C825),MONTH($C825),1))))</f>
        <v>0</v>
      </c>
      <c r="AE825" s="1" t="str">
        <f>IF($E825="","",$E825&amp;"|"&amp;COUNTIFS($E$7:$E825,$E825))</f>
        <v/>
      </c>
    </row>
    <row r="826" spans="1:31" ht="18" customHeight="1" x14ac:dyDescent="0.3">
      <c r="A826" s="2"/>
      <c r="B826" s="65" t="str">
        <f>IF($C826="","","GG"&amp;TEXT(ROW()-6,"00000"))</f>
        <v/>
      </c>
      <c r="C826" s="66"/>
      <c r="D826" s="60"/>
      <c r="E826" s="61"/>
      <c r="F826" s="61"/>
      <c r="G826" s="67"/>
      <c r="H826" s="60"/>
      <c r="I826" s="60"/>
      <c r="J826" s="61"/>
      <c r="K826" s="61"/>
      <c r="L826" s="60"/>
      <c r="M826" s="74" t="str">
        <f>IF($C826="","",IF($D826="Gider",$E826,IF($L826&lt;&gt;"",$L826,$H826)))</f>
        <v/>
      </c>
      <c r="N826" s="74" t="str">
        <f>IF($C826="","",IF($D826="Gider",$H826,$E826))</f>
        <v/>
      </c>
      <c r="O826" s="73" t="str">
        <f>IF($C826="","",DATE(YEAR($C826),MONTH($C826),1))</f>
        <v/>
      </c>
      <c r="P826" s="65" t="str">
        <f ca="1">IF($C826="","",IF(AND($D826="Gelir",$L826&lt;&gt;"",$T826=""),"TANIMSIZ BORÇLU",IF($T826&lt;&gt;"",IF(OR($E826="",$G826&lt;=0),"EKSİK",IF($I826="Evet","TAHAKKUK NAKİT OLAMAZ",IF($C826&gt;TODAY(),"İLERİ TARİH","TAHAKKUK"))),IF(AND($D826&lt;&gt;"",$E826&lt;&gt;"",$G826&gt;0,$H826&lt;&gt;"",$I826&lt;&gt;""),IF($C826&gt;TODAY(),"İLERİ TARİH",IF(COUNTIF($W$7:$W$3001,$W826)&gt;1,"MÜKERRER?",IF($AD826&gt;0,"KAPALI DÖNEM",IF($I826="Hayır","ÖDENECEK","UYGUN")))),"EKSİK"))))</f>
        <v/>
      </c>
      <c r="Q826" s="2"/>
      <c r="R826" s="2"/>
      <c r="S826" s="1" t="str">
        <f t="shared" si="38"/>
        <v/>
      </c>
      <c r="T826" s="1" t="str">
        <f>IF(OR($C826="",$D826&lt;&gt;"Gelir",$L826=""),"",IFERROR(INDEX(MUSTERILER!$B$7:$B$156,MATCH($S826,MUSTERILER!$T$7:$T$156,0)),""))</f>
        <v/>
      </c>
      <c r="U826" s="1" t="str">
        <f>IF($T826="","",$T826&amp;"|"&amp;COUNTIFS($T$7:$T826,$T826))</f>
        <v/>
      </c>
      <c r="V826" s="1">
        <f t="shared" si="39"/>
        <v>0</v>
      </c>
      <c r="W826" s="1" t="str">
        <f t="shared" si="40"/>
        <v/>
      </c>
      <c r="X826" s="1"/>
      <c r="Y826" s="1"/>
      <c r="Z826" s="1"/>
      <c r="AA826" s="1"/>
      <c r="AB826" s="1"/>
      <c r="AC826" s="1"/>
      <c r="AD826" s="1">
        <f>IF($C826="",0,SUMPRODUCT((AY_SONU!$O$7:$O$42="Evet")*(AY_SONU!$B$7:$B$42=DATE(YEAR($C826),MONTH($C826),1))))</f>
        <v>0</v>
      </c>
      <c r="AE826" s="1" t="str">
        <f>IF($E826="","",$E826&amp;"|"&amp;COUNTIFS($E$7:$E826,$E826))</f>
        <v/>
      </c>
    </row>
    <row r="827" spans="1:31" ht="18" customHeight="1" x14ac:dyDescent="0.3">
      <c r="A827" s="2"/>
      <c r="B827" s="65" t="str">
        <f>IF($C827="","","GG"&amp;TEXT(ROW()-6,"00000"))</f>
        <v/>
      </c>
      <c r="C827" s="66"/>
      <c r="D827" s="60"/>
      <c r="E827" s="61"/>
      <c r="F827" s="61"/>
      <c r="G827" s="67"/>
      <c r="H827" s="60"/>
      <c r="I827" s="60"/>
      <c r="J827" s="61"/>
      <c r="K827" s="61"/>
      <c r="L827" s="60"/>
      <c r="M827" s="74" t="str">
        <f>IF($C827="","",IF($D827="Gider",$E827,IF($L827&lt;&gt;"",$L827,$H827)))</f>
        <v/>
      </c>
      <c r="N827" s="74" t="str">
        <f>IF($C827="","",IF($D827="Gider",$H827,$E827))</f>
        <v/>
      </c>
      <c r="O827" s="73" t="str">
        <f>IF($C827="","",DATE(YEAR($C827),MONTH($C827),1))</f>
        <v/>
      </c>
      <c r="P827" s="65" t="str">
        <f ca="1">IF($C827="","",IF(AND($D827="Gelir",$L827&lt;&gt;"",$T827=""),"TANIMSIZ BORÇLU",IF($T827&lt;&gt;"",IF(OR($E827="",$G827&lt;=0),"EKSİK",IF($I827="Evet","TAHAKKUK NAKİT OLAMAZ",IF($C827&gt;TODAY(),"İLERİ TARİH","TAHAKKUK"))),IF(AND($D827&lt;&gt;"",$E827&lt;&gt;"",$G827&gt;0,$H827&lt;&gt;"",$I827&lt;&gt;""),IF($C827&gt;TODAY(),"İLERİ TARİH",IF(COUNTIF($W$7:$W$3001,$W827)&gt;1,"MÜKERRER?",IF($AD827&gt;0,"KAPALI DÖNEM",IF($I827="Hayır","ÖDENECEK","UYGUN")))),"EKSİK"))))</f>
        <v/>
      </c>
      <c r="Q827" s="2"/>
      <c r="R827" s="2"/>
      <c r="S827" s="1" t="str">
        <f t="shared" si="38"/>
        <v/>
      </c>
      <c r="T827" s="1" t="str">
        <f>IF(OR($C827="",$D827&lt;&gt;"Gelir",$L827=""),"",IFERROR(INDEX(MUSTERILER!$B$7:$B$156,MATCH($S827,MUSTERILER!$T$7:$T$156,0)),""))</f>
        <v/>
      </c>
      <c r="U827" s="1" t="str">
        <f>IF($T827="","",$T827&amp;"|"&amp;COUNTIFS($T$7:$T827,$T827))</f>
        <v/>
      </c>
      <c r="V827" s="1">
        <f t="shared" si="39"/>
        <v>0</v>
      </c>
      <c r="W827" s="1" t="str">
        <f t="shared" si="40"/>
        <v/>
      </c>
      <c r="X827" s="1"/>
      <c r="Y827" s="1"/>
      <c r="Z827" s="1"/>
      <c r="AA827" s="1"/>
      <c r="AB827" s="1"/>
      <c r="AC827" s="1"/>
      <c r="AD827" s="1">
        <f>IF($C827="",0,SUMPRODUCT((AY_SONU!$O$7:$O$42="Evet")*(AY_SONU!$B$7:$B$42=DATE(YEAR($C827),MONTH($C827),1))))</f>
        <v>0</v>
      </c>
      <c r="AE827" s="1" t="str">
        <f>IF($E827="","",$E827&amp;"|"&amp;COUNTIFS($E$7:$E827,$E827))</f>
        <v/>
      </c>
    </row>
    <row r="828" spans="1:31" ht="18" customHeight="1" x14ac:dyDescent="0.3">
      <c r="A828" s="2"/>
      <c r="B828" s="65" t="str">
        <f>IF($C828="","","GG"&amp;TEXT(ROW()-6,"00000"))</f>
        <v/>
      </c>
      <c r="C828" s="66"/>
      <c r="D828" s="60"/>
      <c r="E828" s="61"/>
      <c r="F828" s="61"/>
      <c r="G828" s="67"/>
      <c r="H828" s="60"/>
      <c r="I828" s="60"/>
      <c r="J828" s="61"/>
      <c r="K828" s="61"/>
      <c r="L828" s="60"/>
      <c r="M828" s="74" t="str">
        <f>IF($C828="","",IF($D828="Gider",$E828,IF($L828&lt;&gt;"",$L828,$H828)))</f>
        <v/>
      </c>
      <c r="N828" s="74" t="str">
        <f>IF($C828="","",IF($D828="Gider",$H828,$E828))</f>
        <v/>
      </c>
      <c r="O828" s="73" t="str">
        <f>IF($C828="","",DATE(YEAR($C828),MONTH($C828),1))</f>
        <v/>
      </c>
      <c r="P828" s="65" t="str">
        <f ca="1">IF($C828="","",IF(AND($D828="Gelir",$L828&lt;&gt;"",$T828=""),"TANIMSIZ BORÇLU",IF($T828&lt;&gt;"",IF(OR($E828="",$G828&lt;=0),"EKSİK",IF($I828="Evet","TAHAKKUK NAKİT OLAMAZ",IF($C828&gt;TODAY(),"İLERİ TARİH","TAHAKKUK"))),IF(AND($D828&lt;&gt;"",$E828&lt;&gt;"",$G828&gt;0,$H828&lt;&gt;"",$I828&lt;&gt;""),IF($C828&gt;TODAY(),"İLERİ TARİH",IF(COUNTIF($W$7:$W$3001,$W828)&gt;1,"MÜKERRER?",IF($AD828&gt;0,"KAPALI DÖNEM",IF($I828="Hayır","ÖDENECEK","UYGUN")))),"EKSİK"))))</f>
        <v/>
      </c>
      <c r="Q828" s="2"/>
      <c r="R828" s="2"/>
      <c r="S828" s="1" t="str">
        <f t="shared" si="38"/>
        <v/>
      </c>
      <c r="T828" s="1" t="str">
        <f>IF(OR($C828="",$D828&lt;&gt;"Gelir",$L828=""),"",IFERROR(INDEX(MUSTERILER!$B$7:$B$156,MATCH($S828,MUSTERILER!$T$7:$T$156,0)),""))</f>
        <v/>
      </c>
      <c r="U828" s="1" t="str">
        <f>IF($T828="","",$T828&amp;"|"&amp;COUNTIFS($T$7:$T828,$T828))</f>
        <v/>
      </c>
      <c r="V828" s="1">
        <f t="shared" si="39"/>
        <v>0</v>
      </c>
      <c r="W828" s="1" t="str">
        <f t="shared" si="40"/>
        <v/>
      </c>
      <c r="X828" s="1"/>
      <c r="Y828" s="1"/>
      <c r="Z828" s="1"/>
      <c r="AA828" s="1"/>
      <c r="AB828" s="1"/>
      <c r="AC828" s="1"/>
      <c r="AD828" s="1">
        <f>IF($C828="",0,SUMPRODUCT((AY_SONU!$O$7:$O$42="Evet")*(AY_SONU!$B$7:$B$42=DATE(YEAR($C828),MONTH($C828),1))))</f>
        <v>0</v>
      </c>
      <c r="AE828" s="1" t="str">
        <f>IF($E828="","",$E828&amp;"|"&amp;COUNTIFS($E$7:$E828,$E828))</f>
        <v/>
      </c>
    </row>
    <row r="829" spans="1:31" ht="18" customHeight="1" x14ac:dyDescent="0.3">
      <c r="A829" s="2"/>
      <c r="B829" s="65" t="str">
        <f>IF($C829="","","GG"&amp;TEXT(ROW()-6,"00000"))</f>
        <v/>
      </c>
      <c r="C829" s="66"/>
      <c r="D829" s="60"/>
      <c r="E829" s="61"/>
      <c r="F829" s="61"/>
      <c r="G829" s="67"/>
      <c r="H829" s="60"/>
      <c r="I829" s="60"/>
      <c r="J829" s="61"/>
      <c r="K829" s="61"/>
      <c r="L829" s="60"/>
      <c r="M829" s="74" t="str">
        <f>IF($C829="","",IF($D829="Gider",$E829,IF($L829&lt;&gt;"",$L829,$H829)))</f>
        <v/>
      </c>
      <c r="N829" s="74" t="str">
        <f>IF($C829="","",IF($D829="Gider",$H829,$E829))</f>
        <v/>
      </c>
      <c r="O829" s="73" t="str">
        <f>IF($C829="","",DATE(YEAR($C829),MONTH($C829),1))</f>
        <v/>
      </c>
      <c r="P829" s="65" t="str">
        <f ca="1">IF($C829="","",IF(AND($D829="Gelir",$L829&lt;&gt;"",$T829=""),"TANIMSIZ BORÇLU",IF($T829&lt;&gt;"",IF(OR($E829="",$G829&lt;=0),"EKSİK",IF($I829="Evet","TAHAKKUK NAKİT OLAMAZ",IF($C829&gt;TODAY(),"İLERİ TARİH","TAHAKKUK"))),IF(AND($D829&lt;&gt;"",$E829&lt;&gt;"",$G829&gt;0,$H829&lt;&gt;"",$I829&lt;&gt;""),IF($C829&gt;TODAY(),"İLERİ TARİH",IF(COUNTIF($W$7:$W$3001,$W829)&gt;1,"MÜKERRER?",IF($AD829&gt;0,"KAPALI DÖNEM",IF($I829="Hayır","ÖDENECEK","UYGUN")))),"EKSİK"))))</f>
        <v/>
      </c>
      <c r="Q829" s="2"/>
      <c r="R829" s="2"/>
      <c r="S829" s="1" t="str">
        <f t="shared" si="38"/>
        <v/>
      </c>
      <c r="T829" s="1" t="str">
        <f>IF(OR($C829="",$D829&lt;&gt;"Gelir",$L829=""),"",IFERROR(INDEX(MUSTERILER!$B$7:$B$156,MATCH($S829,MUSTERILER!$T$7:$T$156,0)),""))</f>
        <v/>
      </c>
      <c r="U829" s="1" t="str">
        <f>IF($T829="","",$T829&amp;"|"&amp;COUNTIFS($T$7:$T829,$T829))</f>
        <v/>
      </c>
      <c r="V829" s="1">
        <f t="shared" si="39"/>
        <v>0</v>
      </c>
      <c r="W829" s="1" t="str">
        <f t="shared" si="40"/>
        <v/>
      </c>
      <c r="X829" s="1"/>
      <c r="Y829" s="1"/>
      <c r="Z829" s="1"/>
      <c r="AA829" s="1"/>
      <c r="AB829" s="1"/>
      <c r="AC829" s="1"/>
      <c r="AD829" s="1">
        <f>IF($C829="",0,SUMPRODUCT((AY_SONU!$O$7:$O$42="Evet")*(AY_SONU!$B$7:$B$42=DATE(YEAR($C829),MONTH($C829),1))))</f>
        <v>0</v>
      </c>
      <c r="AE829" s="1" t="str">
        <f>IF($E829="","",$E829&amp;"|"&amp;COUNTIFS($E$7:$E829,$E829))</f>
        <v/>
      </c>
    </row>
    <row r="830" spans="1:31" ht="18" customHeight="1" x14ac:dyDescent="0.3">
      <c r="A830" s="2"/>
      <c r="B830" s="65" t="str">
        <f>IF($C830="","","GG"&amp;TEXT(ROW()-6,"00000"))</f>
        <v/>
      </c>
      <c r="C830" s="66"/>
      <c r="D830" s="60"/>
      <c r="E830" s="61"/>
      <c r="F830" s="61"/>
      <c r="G830" s="67"/>
      <c r="H830" s="60"/>
      <c r="I830" s="60"/>
      <c r="J830" s="61"/>
      <c r="K830" s="61"/>
      <c r="L830" s="60"/>
      <c r="M830" s="74" t="str">
        <f>IF($C830="","",IF($D830="Gider",$E830,IF($L830&lt;&gt;"",$L830,$H830)))</f>
        <v/>
      </c>
      <c r="N830" s="74" t="str">
        <f>IF($C830="","",IF($D830="Gider",$H830,$E830))</f>
        <v/>
      </c>
      <c r="O830" s="73" t="str">
        <f>IF($C830="","",DATE(YEAR($C830),MONTH($C830),1))</f>
        <v/>
      </c>
      <c r="P830" s="65" t="str">
        <f ca="1">IF($C830="","",IF(AND($D830="Gelir",$L830&lt;&gt;"",$T830=""),"TANIMSIZ BORÇLU",IF($T830&lt;&gt;"",IF(OR($E830="",$G830&lt;=0),"EKSİK",IF($I830="Evet","TAHAKKUK NAKİT OLAMAZ",IF($C830&gt;TODAY(),"İLERİ TARİH","TAHAKKUK"))),IF(AND($D830&lt;&gt;"",$E830&lt;&gt;"",$G830&gt;0,$H830&lt;&gt;"",$I830&lt;&gt;""),IF($C830&gt;TODAY(),"İLERİ TARİH",IF(COUNTIF($W$7:$W$3001,$W830)&gt;1,"MÜKERRER?",IF($AD830&gt;0,"KAPALI DÖNEM",IF($I830="Hayır","ÖDENECEK","UYGUN")))),"EKSİK"))))</f>
        <v/>
      </c>
      <c r="Q830" s="2"/>
      <c r="R830" s="2"/>
      <c r="S830" s="1" t="str">
        <f t="shared" si="38"/>
        <v/>
      </c>
      <c r="T830" s="1" t="str">
        <f>IF(OR($C830="",$D830&lt;&gt;"Gelir",$L830=""),"",IFERROR(INDEX(MUSTERILER!$B$7:$B$156,MATCH($S830,MUSTERILER!$T$7:$T$156,0)),""))</f>
        <v/>
      </c>
      <c r="U830" s="1" t="str">
        <f>IF($T830="","",$T830&amp;"|"&amp;COUNTIFS($T$7:$T830,$T830))</f>
        <v/>
      </c>
      <c r="V830" s="1">
        <f t="shared" si="39"/>
        <v>0</v>
      </c>
      <c r="W830" s="1" t="str">
        <f t="shared" si="40"/>
        <v/>
      </c>
      <c r="X830" s="1"/>
      <c r="Y830" s="1"/>
      <c r="Z830" s="1"/>
      <c r="AA830" s="1"/>
      <c r="AB830" s="1"/>
      <c r="AC830" s="1"/>
      <c r="AD830" s="1">
        <f>IF($C830="",0,SUMPRODUCT((AY_SONU!$O$7:$O$42="Evet")*(AY_SONU!$B$7:$B$42=DATE(YEAR($C830),MONTH($C830),1))))</f>
        <v>0</v>
      </c>
      <c r="AE830" s="1" t="str">
        <f>IF($E830="","",$E830&amp;"|"&amp;COUNTIFS($E$7:$E830,$E830))</f>
        <v/>
      </c>
    </row>
    <row r="831" spans="1:31" ht="18" customHeight="1" x14ac:dyDescent="0.3">
      <c r="A831" s="2"/>
      <c r="B831" s="65" t="str">
        <f>IF($C831="","","GG"&amp;TEXT(ROW()-6,"00000"))</f>
        <v/>
      </c>
      <c r="C831" s="66"/>
      <c r="D831" s="60"/>
      <c r="E831" s="61"/>
      <c r="F831" s="61"/>
      <c r="G831" s="67"/>
      <c r="H831" s="60"/>
      <c r="I831" s="60"/>
      <c r="J831" s="61"/>
      <c r="K831" s="61"/>
      <c r="L831" s="60"/>
      <c r="M831" s="74" t="str">
        <f>IF($C831="","",IF($D831="Gider",$E831,IF($L831&lt;&gt;"",$L831,$H831)))</f>
        <v/>
      </c>
      <c r="N831" s="74" t="str">
        <f>IF($C831="","",IF($D831="Gider",$H831,$E831))</f>
        <v/>
      </c>
      <c r="O831" s="73" t="str">
        <f>IF($C831="","",DATE(YEAR($C831),MONTH($C831),1))</f>
        <v/>
      </c>
      <c r="P831" s="65" t="str">
        <f ca="1">IF($C831="","",IF(AND($D831="Gelir",$L831&lt;&gt;"",$T831=""),"TANIMSIZ BORÇLU",IF($T831&lt;&gt;"",IF(OR($E831="",$G831&lt;=0),"EKSİK",IF($I831="Evet","TAHAKKUK NAKİT OLAMAZ",IF($C831&gt;TODAY(),"İLERİ TARİH","TAHAKKUK"))),IF(AND($D831&lt;&gt;"",$E831&lt;&gt;"",$G831&gt;0,$H831&lt;&gt;"",$I831&lt;&gt;""),IF($C831&gt;TODAY(),"İLERİ TARİH",IF(COUNTIF($W$7:$W$3001,$W831)&gt;1,"MÜKERRER?",IF($AD831&gt;0,"KAPALI DÖNEM",IF($I831="Hayır","ÖDENECEK","UYGUN")))),"EKSİK"))))</f>
        <v/>
      </c>
      <c r="Q831" s="2"/>
      <c r="R831" s="2"/>
      <c r="S831" s="1" t="str">
        <f t="shared" si="38"/>
        <v/>
      </c>
      <c r="T831" s="1" t="str">
        <f>IF(OR($C831="",$D831&lt;&gt;"Gelir",$L831=""),"",IFERROR(INDEX(MUSTERILER!$B$7:$B$156,MATCH($S831,MUSTERILER!$T$7:$T$156,0)),""))</f>
        <v/>
      </c>
      <c r="U831" s="1" t="str">
        <f>IF($T831="","",$T831&amp;"|"&amp;COUNTIFS($T$7:$T831,$T831))</f>
        <v/>
      </c>
      <c r="V831" s="1">
        <f t="shared" si="39"/>
        <v>0</v>
      </c>
      <c r="W831" s="1" t="str">
        <f t="shared" si="40"/>
        <v/>
      </c>
      <c r="X831" s="1"/>
      <c r="Y831" s="1"/>
      <c r="Z831" s="1"/>
      <c r="AA831" s="1"/>
      <c r="AB831" s="1"/>
      <c r="AC831" s="1"/>
      <c r="AD831" s="1">
        <f>IF($C831="",0,SUMPRODUCT((AY_SONU!$O$7:$O$42="Evet")*(AY_SONU!$B$7:$B$42=DATE(YEAR($C831),MONTH($C831),1))))</f>
        <v>0</v>
      </c>
      <c r="AE831" s="1" t="str">
        <f>IF($E831="","",$E831&amp;"|"&amp;COUNTIFS($E$7:$E831,$E831))</f>
        <v/>
      </c>
    </row>
    <row r="832" spans="1:31" ht="18" customHeight="1" x14ac:dyDescent="0.3">
      <c r="A832" s="2"/>
      <c r="B832" s="65" t="str">
        <f>IF($C832="","","GG"&amp;TEXT(ROW()-6,"00000"))</f>
        <v/>
      </c>
      <c r="C832" s="66"/>
      <c r="D832" s="60"/>
      <c r="E832" s="61"/>
      <c r="F832" s="61"/>
      <c r="G832" s="67"/>
      <c r="H832" s="60"/>
      <c r="I832" s="60"/>
      <c r="J832" s="61"/>
      <c r="K832" s="61"/>
      <c r="L832" s="60"/>
      <c r="M832" s="74" t="str">
        <f>IF($C832="","",IF($D832="Gider",$E832,IF($L832&lt;&gt;"",$L832,$H832)))</f>
        <v/>
      </c>
      <c r="N832" s="74" t="str">
        <f>IF($C832="","",IF($D832="Gider",$H832,$E832))</f>
        <v/>
      </c>
      <c r="O832" s="73" t="str">
        <f>IF($C832="","",DATE(YEAR($C832),MONTH($C832),1))</f>
        <v/>
      </c>
      <c r="P832" s="65" t="str">
        <f ca="1">IF($C832="","",IF(AND($D832="Gelir",$L832&lt;&gt;"",$T832=""),"TANIMSIZ BORÇLU",IF($T832&lt;&gt;"",IF(OR($E832="",$G832&lt;=0),"EKSİK",IF($I832="Evet","TAHAKKUK NAKİT OLAMAZ",IF($C832&gt;TODAY(),"İLERİ TARİH","TAHAKKUK"))),IF(AND($D832&lt;&gt;"",$E832&lt;&gt;"",$G832&gt;0,$H832&lt;&gt;"",$I832&lt;&gt;""),IF($C832&gt;TODAY(),"İLERİ TARİH",IF(COUNTIF($W$7:$W$3001,$W832)&gt;1,"MÜKERRER?",IF($AD832&gt;0,"KAPALI DÖNEM",IF($I832="Hayır","ÖDENECEK","UYGUN")))),"EKSİK"))))</f>
        <v/>
      </c>
      <c r="Q832" s="2"/>
      <c r="R832" s="2"/>
      <c r="S832" s="1" t="str">
        <f t="shared" si="38"/>
        <v/>
      </c>
      <c r="T832" s="1" t="str">
        <f>IF(OR($C832="",$D832&lt;&gt;"Gelir",$L832=""),"",IFERROR(INDEX(MUSTERILER!$B$7:$B$156,MATCH($S832,MUSTERILER!$T$7:$T$156,0)),""))</f>
        <v/>
      </c>
      <c r="U832" s="1" t="str">
        <f>IF($T832="","",$T832&amp;"|"&amp;COUNTIFS($T$7:$T832,$T832))</f>
        <v/>
      </c>
      <c r="V832" s="1">
        <f t="shared" si="39"/>
        <v>0</v>
      </c>
      <c r="W832" s="1" t="str">
        <f t="shared" si="40"/>
        <v/>
      </c>
      <c r="X832" s="1"/>
      <c r="Y832" s="1"/>
      <c r="Z832" s="1"/>
      <c r="AA832" s="1"/>
      <c r="AB832" s="1"/>
      <c r="AC832" s="1"/>
      <c r="AD832" s="1">
        <f>IF($C832="",0,SUMPRODUCT((AY_SONU!$O$7:$O$42="Evet")*(AY_SONU!$B$7:$B$42=DATE(YEAR($C832),MONTH($C832),1))))</f>
        <v>0</v>
      </c>
      <c r="AE832" s="1" t="str">
        <f>IF($E832="","",$E832&amp;"|"&amp;COUNTIFS($E$7:$E832,$E832))</f>
        <v/>
      </c>
    </row>
    <row r="833" spans="1:31" ht="18" customHeight="1" x14ac:dyDescent="0.3">
      <c r="A833" s="2"/>
      <c r="B833" s="65" t="str">
        <f>IF($C833="","","GG"&amp;TEXT(ROW()-6,"00000"))</f>
        <v/>
      </c>
      <c r="C833" s="66"/>
      <c r="D833" s="60"/>
      <c r="E833" s="61"/>
      <c r="F833" s="61"/>
      <c r="G833" s="67"/>
      <c r="H833" s="60"/>
      <c r="I833" s="60"/>
      <c r="J833" s="61"/>
      <c r="K833" s="61"/>
      <c r="L833" s="60"/>
      <c r="M833" s="74" t="str">
        <f>IF($C833="","",IF($D833="Gider",$E833,IF($L833&lt;&gt;"",$L833,$H833)))</f>
        <v/>
      </c>
      <c r="N833" s="74" t="str">
        <f>IF($C833="","",IF($D833="Gider",$H833,$E833))</f>
        <v/>
      </c>
      <c r="O833" s="73" t="str">
        <f>IF($C833="","",DATE(YEAR($C833),MONTH($C833),1))</f>
        <v/>
      </c>
      <c r="P833" s="65" t="str">
        <f ca="1">IF($C833="","",IF(AND($D833="Gelir",$L833&lt;&gt;"",$T833=""),"TANIMSIZ BORÇLU",IF($T833&lt;&gt;"",IF(OR($E833="",$G833&lt;=0),"EKSİK",IF($I833="Evet","TAHAKKUK NAKİT OLAMAZ",IF($C833&gt;TODAY(),"İLERİ TARİH","TAHAKKUK"))),IF(AND($D833&lt;&gt;"",$E833&lt;&gt;"",$G833&gt;0,$H833&lt;&gt;"",$I833&lt;&gt;""),IF($C833&gt;TODAY(),"İLERİ TARİH",IF(COUNTIF($W$7:$W$3001,$W833)&gt;1,"MÜKERRER?",IF($AD833&gt;0,"KAPALI DÖNEM",IF($I833="Hayır","ÖDENECEK","UYGUN")))),"EKSİK"))))</f>
        <v/>
      </c>
      <c r="Q833" s="2"/>
      <c r="R833" s="2"/>
      <c r="S833" s="1" t="str">
        <f t="shared" si="38"/>
        <v/>
      </c>
      <c r="T833" s="1" t="str">
        <f>IF(OR($C833="",$D833&lt;&gt;"Gelir",$L833=""),"",IFERROR(INDEX(MUSTERILER!$B$7:$B$156,MATCH($S833,MUSTERILER!$T$7:$T$156,0)),""))</f>
        <v/>
      </c>
      <c r="U833" s="1" t="str">
        <f>IF($T833="","",$T833&amp;"|"&amp;COUNTIFS($T$7:$T833,$T833))</f>
        <v/>
      </c>
      <c r="V833" s="1">
        <f t="shared" si="39"/>
        <v>0</v>
      </c>
      <c r="W833" s="1" t="str">
        <f t="shared" si="40"/>
        <v/>
      </c>
      <c r="X833" s="1"/>
      <c r="Y833" s="1"/>
      <c r="Z833" s="1"/>
      <c r="AA833" s="1"/>
      <c r="AB833" s="1"/>
      <c r="AC833" s="1"/>
      <c r="AD833" s="1">
        <f>IF($C833="",0,SUMPRODUCT((AY_SONU!$O$7:$O$42="Evet")*(AY_SONU!$B$7:$B$42=DATE(YEAR($C833),MONTH($C833),1))))</f>
        <v>0</v>
      </c>
      <c r="AE833" s="1" t="str">
        <f>IF($E833="","",$E833&amp;"|"&amp;COUNTIFS($E$7:$E833,$E833))</f>
        <v/>
      </c>
    </row>
    <row r="834" spans="1:31" ht="18" customHeight="1" x14ac:dyDescent="0.3">
      <c r="A834" s="2"/>
      <c r="B834" s="65" t="str">
        <f>IF($C834="","","GG"&amp;TEXT(ROW()-6,"00000"))</f>
        <v/>
      </c>
      <c r="C834" s="66"/>
      <c r="D834" s="60"/>
      <c r="E834" s="61"/>
      <c r="F834" s="61"/>
      <c r="G834" s="67"/>
      <c r="H834" s="60"/>
      <c r="I834" s="60"/>
      <c r="J834" s="61"/>
      <c r="K834" s="61"/>
      <c r="L834" s="60"/>
      <c r="M834" s="74" t="str">
        <f>IF($C834="","",IF($D834="Gider",$E834,IF($L834&lt;&gt;"",$L834,$H834)))</f>
        <v/>
      </c>
      <c r="N834" s="74" t="str">
        <f>IF($C834="","",IF($D834="Gider",$H834,$E834))</f>
        <v/>
      </c>
      <c r="O834" s="73" t="str">
        <f>IF($C834="","",DATE(YEAR($C834),MONTH($C834),1))</f>
        <v/>
      </c>
      <c r="P834" s="65" t="str">
        <f ca="1">IF($C834="","",IF(AND($D834="Gelir",$L834&lt;&gt;"",$T834=""),"TANIMSIZ BORÇLU",IF($T834&lt;&gt;"",IF(OR($E834="",$G834&lt;=0),"EKSİK",IF($I834="Evet","TAHAKKUK NAKİT OLAMAZ",IF($C834&gt;TODAY(),"İLERİ TARİH","TAHAKKUK"))),IF(AND($D834&lt;&gt;"",$E834&lt;&gt;"",$G834&gt;0,$H834&lt;&gt;"",$I834&lt;&gt;""),IF($C834&gt;TODAY(),"İLERİ TARİH",IF(COUNTIF($W$7:$W$3001,$W834)&gt;1,"MÜKERRER?",IF($AD834&gt;0,"KAPALI DÖNEM",IF($I834="Hayır","ÖDENECEK","UYGUN")))),"EKSİK"))))</f>
        <v/>
      </c>
      <c r="Q834" s="2"/>
      <c r="R834" s="2"/>
      <c r="S834" s="1" t="str">
        <f t="shared" si="38"/>
        <v/>
      </c>
      <c r="T834" s="1" t="str">
        <f>IF(OR($C834="",$D834&lt;&gt;"Gelir",$L834=""),"",IFERROR(INDEX(MUSTERILER!$B$7:$B$156,MATCH($S834,MUSTERILER!$T$7:$T$156,0)),""))</f>
        <v/>
      </c>
      <c r="U834" s="1" t="str">
        <f>IF($T834="","",$T834&amp;"|"&amp;COUNTIFS($T$7:$T834,$T834))</f>
        <v/>
      </c>
      <c r="V834" s="1">
        <f t="shared" si="39"/>
        <v>0</v>
      </c>
      <c r="W834" s="1" t="str">
        <f t="shared" si="40"/>
        <v/>
      </c>
      <c r="X834" s="1"/>
      <c r="Y834" s="1"/>
      <c r="Z834" s="1"/>
      <c r="AA834" s="1"/>
      <c r="AB834" s="1"/>
      <c r="AC834" s="1"/>
      <c r="AD834" s="1">
        <f>IF($C834="",0,SUMPRODUCT((AY_SONU!$O$7:$O$42="Evet")*(AY_SONU!$B$7:$B$42=DATE(YEAR($C834),MONTH($C834),1))))</f>
        <v>0</v>
      </c>
      <c r="AE834" s="1" t="str">
        <f>IF($E834="","",$E834&amp;"|"&amp;COUNTIFS($E$7:$E834,$E834))</f>
        <v/>
      </c>
    </row>
    <row r="835" spans="1:31" ht="18" customHeight="1" x14ac:dyDescent="0.3">
      <c r="A835" s="2"/>
      <c r="B835" s="65" t="str">
        <f>IF($C835="","","GG"&amp;TEXT(ROW()-6,"00000"))</f>
        <v/>
      </c>
      <c r="C835" s="66"/>
      <c r="D835" s="60"/>
      <c r="E835" s="61"/>
      <c r="F835" s="61"/>
      <c r="G835" s="67"/>
      <c r="H835" s="60"/>
      <c r="I835" s="60"/>
      <c r="J835" s="61"/>
      <c r="K835" s="61"/>
      <c r="L835" s="60"/>
      <c r="M835" s="74" t="str">
        <f>IF($C835="","",IF($D835="Gider",$E835,IF($L835&lt;&gt;"",$L835,$H835)))</f>
        <v/>
      </c>
      <c r="N835" s="74" t="str">
        <f>IF($C835="","",IF($D835="Gider",$H835,$E835))</f>
        <v/>
      </c>
      <c r="O835" s="73" t="str">
        <f>IF($C835="","",DATE(YEAR($C835),MONTH($C835),1))</f>
        <v/>
      </c>
      <c r="P835" s="65" t="str">
        <f ca="1">IF($C835="","",IF(AND($D835="Gelir",$L835&lt;&gt;"",$T835=""),"TANIMSIZ BORÇLU",IF($T835&lt;&gt;"",IF(OR($E835="",$G835&lt;=0),"EKSİK",IF($I835="Evet","TAHAKKUK NAKİT OLAMAZ",IF($C835&gt;TODAY(),"İLERİ TARİH","TAHAKKUK"))),IF(AND($D835&lt;&gt;"",$E835&lt;&gt;"",$G835&gt;0,$H835&lt;&gt;"",$I835&lt;&gt;""),IF($C835&gt;TODAY(),"İLERİ TARİH",IF(COUNTIF($W$7:$W$3001,$W835)&gt;1,"MÜKERRER?",IF($AD835&gt;0,"KAPALI DÖNEM",IF($I835="Hayır","ÖDENECEK","UYGUN")))),"EKSİK"))))</f>
        <v/>
      </c>
      <c r="Q835" s="2"/>
      <c r="R835" s="2"/>
      <c r="S835" s="1" t="str">
        <f t="shared" si="38"/>
        <v/>
      </c>
      <c r="T835" s="1" t="str">
        <f>IF(OR($C835="",$D835&lt;&gt;"Gelir",$L835=""),"",IFERROR(INDEX(MUSTERILER!$B$7:$B$156,MATCH($S835,MUSTERILER!$T$7:$T$156,0)),""))</f>
        <v/>
      </c>
      <c r="U835" s="1" t="str">
        <f>IF($T835="","",$T835&amp;"|"&amp;COUNTIFS($T$7:$T835,$T835))</f>
        <v/>
      </c>
      <c r="V835" s="1">
        <f t="shared" si="39"/>
        <v>0</v>
      </c>
      <c r="W835" s="1" t="str">
        <f t="shared" si="40"/>
        <v/>
      </c>
      <c r="X835" s="1"/>
      <c r="Y835" s="1"/>
      <c r="Z835" s="1"/>
      <c r="AA835" s="1"/>
      <c r="AB835" s="1"/>
      <c r="AC835" s="1"/>
      <c r="AD835" s="1">
        <f>IF($C835="",0,SUMPRODUCT((AY_SONU!$O$7:$O$42="Evet")*(AY_SONU!$B$7:$B$42=DATE(YEAR($C835),MONTH($C835),1))))</f>
        <v>0</v>
      </c>
      <c r="AE835" s="1" t="str">
        <f>IF($E835="","",$E835&amp;"|"&amp;COUNTIFS($E$7:$E835,$E835))</f>
        <v/>
      </c>
    </row>
    <row r="836" spans="1:31" ht="18" customHeight="1" x14ac:dyDescent="0.3">
      <c r="A836" s="2"/>
      <c r="B836" s="65" t="str">
        <f>IF($C836="","","GG"&amp;TEXT(ROW()-6,"00000"))</f>
        <v/>
      </c>
      <c r="C836" s="66"/>
      <c r="D836" s="60"/>
      <c r="E836" s="61"/>
      <c r="F836" s="61"/>
      <c r="G836" s="67"/>
      <c r="H836" s="60"/>
      <c r="I836" s="60"/>
      <c r="J836" s="61"/>
      <c r="K836" s="61"/>
      <c r="L836" s="60"/>
      <c r="M836" s="74" t="str">
        <f>IF($C836="","",IF($D836="Gider",$E836,IF($L836&lt;&gt;"",$L836,$H836)))</f>
        <v/>
      </c>
      <c r="N836" s="74" t="str">
        <f>IF($C836="","",IF($D836="Gider",$H836,$E836))</f>
        <v/>
      </c>
      <c r="O836" s="73" t="str">
        <f>IF($C836="","",DATE(YEAR($C836),MONTH($C836),1))</f>
        <v/>
      </c>
      <c r="P836" s="65" t="str">
        <f ca="1">IF($C836="","",IF(AND($D836="Gelir",$L836&lt;&gt;"",$T836=""),"TANIMSIZ BORÇLU",IF($T836&lt;&gt;"",IF(OR($E836="",$G836&lt;=0),"EKSİK",IF($I836="Evet","TAHAKKUK NAKİT OLAMAZ",IF($C836&gt;TODAY(),"İLERİ TARİH","TAHAKKUK"))),IF(AND($D836&lt;&gt;"",$E836&lt;&gt;"",$G836&gt;0,$H836&lt;&gt;"",$I836&lt;&gt;""),IF($C836&gt;TODAY(),"İLERİ TARİH",IF(COUNTIF($W$7:$W$3001,$W836)&gt;1,"MÜKERRER?",IF($AD836&gt;0,"KAPALI DÖNEM",IF($I836="Hayır","ÖDENECEK","UYGUN")))),"EKSİK"))))</f>
        <v/>
      </c>
      <c r="Q836" s="2"/>
      <c r="R836" s="2"/>
      <c r="S836" s="1" t="str">
        <f t="shared" si="38"/>
        <v/>
      </c>
      <c r="T836" s="1" t="str">
        <f>IF(OR($C836="",$D836&lt;&gt;"Gelir",$L836=""),"",IFERROR(INDEX(MUSTERILER!$B$7:$B$156,MATCH($S836,MUSTERILER!$T$7:$T$156,0)),""))</f>
        <v/>
      </c>
      <c r="U836" s="1" t="str">
        <f>IF($T836="","",$T836&amp;"|"&amp;COUNTIFS($T$7:$T836,$T836))</f>
        <v/>
      </c>
      <c r="V836" s="1">
        <f t="shared" si="39"/>
        <v>0</v>
      </c>
      <c r="W836" s="1" t="str">
        <f t="shared" si="40"/>
        <v/>
      </c>
      <c r="X836" s="1"/>
      <c r="Y836" s="1"/>
      <c r="Z836" s="1"/>
      <c r="AA836" s="1"/>
      <c r="AB836" s="1"/>
      <c r="AC836" s="1"/>
      <c r="AD836" s="1">
        <f>IF($C836="",0,SUMPRODUCT((AY_SONU!$O$7:$O$42="Evet")*(AY_SONU!$B$7:$B$42=DATE(YEAR($C836),MONTH($C836),1))))</f>
        <v>0</v>
      </c>
      <c r="AE836" s="1" t="str">
        <f>IF($E836="","",$E836&amp;"|"&amp;COUNTIFS($E$7:$E836,$E836))</f>
        <v/>
      </c>
    </row>
    <row r="837" spans="1:31" ht="18" customHeight="1" x14ac:dyDescent="0.3">
      <c r="A837" s="2"/>
      <c r="B837" s="65" t="str">
        <f>IF($C837="","","GG"&amp;TEXT(ROW()-6,"00000"))</f>
        <v/>
      </c>
      <c r="C837" s="66"/>
      <c r="D837" s="60"/>
      <c r="E837" s="61"/>
      <c r="F837" s="61"/>
      <c r="G837" s="67"/>
      <c r="H837" s="60"/>
      <c r="I837" s="60"/>
      <c r="J837" s="61"/>
      <c r="K837" s="61"/>
      <c r="L837" s="60"/>
      <c r="M837" s="74" t="str">
        <f>IF($C837="","",IF($D837="Gider",$E837,IF($L837&lt;&gt;"",$L837,$H837)))</f>
        <v/>
      </c>
      <c r="N837" s="74" t="str">
        <f>IF($C837="","",IF($D837="Gider",$H837,$E837))</f>
        <v/>
      </c>
      <c r="O837" s="73" t="str">
        <f>IF($C837="","",DATE(YEAR($C837),MONTH($C837),1))</f>
        <v/>
      </c>
      <c r="P837" s="65" t="str">
        <f ca="1">IF($C837="","",IF(AND($D837="Gelir",$L837&lt;&gt;"",$T837=""),"TANIMSIZ BORÇLU",IF($T837&lt;&gt;"",IF(OR($E837="",$G837&lt;=0),"EKSİK",IF($I837="Evet","TAHAKKUK NAKİT OLAMAZ",IF($C837&gt;TODAY(),"İLERİ TARİH","TAHAKKUK"))),IF(AND($D837&lt;&gt;"",$E837&lt;&gt;"",$G837&gt;0,$H837&lt;&gt;"",$I837&lt;&gt;""),IF($C837&gt;TODAY(),"İLERİ TARİH",IF(COUNTIF($W$7:$W$3001,$W837)&gt;1,"MÜKERRER?",IF($AD837&gt;0,"KAPALI DÖNEM",IF($I837="Hayır","ÖDENECEK","UYGUN")))),"EKSİK"))))</f>
        <v/>
      </c>
      <c r="Q837" s="2"/>
      <c r="R837" s="2"/>
      <c r="S837" s="1" t="str">
        <f t="shared" ref="S837:S900" si="41"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1" t="str">
        <f>IF(OR($C837="",$D837&lt;&gt;"Gelir",$L837=""),"",IFERROR(INDEX(MUSTERILER!$B$7:$B$156,MATCH($S837,MUSTERILER!$T$7:$T$156,0)),""))</f>
        <v/>
      </c>
      <c r="U837" s="1" t="str">
        <f>IF($T837="","",$T837&amp;"|"&amp;COUNTIFS($T$7:$T837,$T837))</f>
        <v/>
      </c>
      <c r="V837" s="1">
        <f t="shared" ref="V837:V900" si="42">IF($T837="",0,1)</f>
        <v>0</v>
      </c>
      <c r="W837" s="1" t="str">
        <f t="shared" ref="W837:W900" si="43">IF($C837="","",$D837&amp;"|"&amp;$E837&amp;"|"&amp;TEXT($C837,"0")&amp;"|"&amp;TEXT($G837,"0")&amp;"|"&amp;$F837&amp;"|"&amp;$J837)</f>
        <v/>
      </c>
      <c r="X837" s="1"/>
      <c r="Y837" s="1"/>
      <c r="Z837" s="1"/>
      <c r="AA837" s="1"/>
      <c r="AB837" s="1"/>
      <c r="AC837" s="1"/>
      <c r="AD837" s="1">
        <f>IF($C837="",0,SUMPRODUCT((AY_SONU!$O$7:$O$42="Evet")*(AY_SONU!$B$7:$B$42=DATE(YEAR($C837),MONTH($C837),1))))</f>
        <v>0</v>
      </c>
      <c r="AE837" s="1" t="str">
        <f>IF($E837="","",$E837&amp;"|"&amp;COUNTIFS($E$7:$E837,$E837))</f>
        <v/>
      </c>
    </row>
    <row r="838" spans="1:31" ht="18" customHeight="1" x14ac:dyDescent="0.3">
      <c r="A838" s="2"/>
      <c r="B838" s="65" t="str">
        <f>IF($C838="","","GG"&amp;TEXT(ROW()-6,"00000"))</f>
        <v/>
      </c>
      <c r="C838" s="66"/>
      <c r="D838" s="60"/>
      <c r="E838" s="61"/>
      <c r="F838" s="61"/>
      <c r="G838" s="67"/>
      <c r="H838" s="60"/>
      <c r="I838" s="60"/>
      <c r="J838" s="61"/>
      <c r="K838" s="61"/>
      <c r="L838" s="60"/>
      <c r="M838" s="74" t="str">
        <f>IF($C838="","",IF($D838="Gider",$E838,IF($L838&lt;&gt;"",$L838,$H838)))</f>
        <v/>
      </c>
      <c r="N838" s="74" t="str">
        <f>IF($C838="","",IF($D838="Gider",$H838,$E838))</f>
        <v/>
      </c>
      <c r="O838" s="73" t="str">
        <f>IF($C838="","",DATE(YEAR($C838),MONTH($C838),1))</f>
        <v/>
      </c>
      <c r="P838" s="65" t="str">
        <f ca="1">IF($C838="","",IF(AND($D838="Gelir",$L838&lt;&gt;"",$T838=""),"TANIMSIZ BORÇLU",IF($T838&lt;&gt;"",IF(OR($E838="",$G838&lt;=0),"EKSİK",IF($I838="Evet","TAHAKKUK NAKİT OLAMAZ",IF($C838&gt;TODAY(),"İLERİ TARİH","TAHAKKUK"))),IF(AND($D838&lt;&gt;"",$E838&lt;&gt;"",$G838&gt;0,$H838&lt;&gt;"",$I838&lt;&gt;""),IF($C838&gt;TODAY(),"İLERİ TARİH",IF(COUNTIF($W$7:$W$3001,$W838)&gt;1,"MÜKERRER?",IF($AD838&gt;0,"KAPALI DÖNEM",IF($I838="Hayır","ÖDENECEK","UYGUN")))),"EKSİK"))))</f>
        <v/>
      </c>
      <c r="Q838" s="2"/>
      <c r="R838" s="2"/>
      <c r="S838" s="1" t="str">
        <f t="shared" si="41"/>
        <v/>
      </c>
      <c r="T838" s="1" t="str">
        <f>IF(OR($C838="",$D838&lt;&gt;"Gelir",$L838=""),"",IFERROR(INDEX(MUSTERILER!$B$7:$B$156,MATCH($S838,MUSTERILER!$T$7:$T$156,0)),""))</f>
        <v/>
      </c>
      <c r="U838" s="1" t="str">
        <f>IF($T838="","",$T838&amp;"|"&amp;COUNTIFS($T$7:$T838,$T838))</f>
        <v/>
      </c>
      <c r="V838" s="1">
        <f t="shared" si="42"/>
        <v>0</v>
      </c>
      <c r="W838" s="1" t="str">
        <f t="shared" si="43"/>
        <v/>
      </c>
      <c r="X838" s="1"/>
      <c r="Y838" s="1"/>
      <c r="Z838" s="1"/>
      <c r="AA838" s="1"/>
      <c r="AB838" s="1"/>
      <c r="AC838" s="1"/>
      <c r="AD838" s="1">
        <f>IF($C838="",0,SUMPRODUCT((AY_SONU!$O$7:$O$42="Evet")*(AY_SONU!$B$7:$B$42=DATE(YEAR($C838),MONTH($C838),1))))</f>
        <v>0</v>
      </c>
      <c r="AE838" s="1" t="str">
        <f>IF($E838="","",$E838&amp;"|"&amp;COUNTIFS($E$7:$E838,$E838))</f>
        <v/>
      </c>
    </row>
    <row r="839" spans="1:31" ht="18" customHeight="1" x14ac:dyDescent="0.3">
      <c r="A839" s="2"/>
      <c r="B839" s="65" t="str">
        <f>IF($C839="","","GG"&amp;TEXT(ROW()-6,"00000"))</f>
        <v/>
      </c>
      <c r="C839" s="66"/>
      <c r="D839" s="60"/>
      <c r="E839" s="61"/>
      <c r="F839" s="61"/>
      <c r="G839" s="67"/>
      <c r="H839" s="60"/>
      <c r="I839" s="60"/>
      <c r="J839" s="61"/>
      <c r="K839" s="61"/>
      <c r="L839" s="60"/>
      <c r="M839" s="74" t="str">
        <f>IF($C839="","",IF($D839="Gider",$E839,IF($L839&lt;&gt;"",$L839,$H839)))</f>
        <v/>
      </c>
      <c r="N839" s="74" t="str">
        <f>IF($C839="","",IF($D839="Gider",$H839,$E839))</f>
        <v/>
      </c>
      <c r="O839" s="73" t="str">
        <f>IF($C839="","",DATE(YEAR($C839),MONTH($C839),1))</f>
        <v/>
      </c>
      <c r="P839" s="65" t="str">
        <f ca="1"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TARİH",IF(COUNTIF($W$7:$W$3001,$W839)&gt;1,"MÜKERRER?",IF($AD839&gt;0,"KAPALI DÖNEM",IF($I839="Hayır","ÖDENECEK","UYGUN")))),"EKSİK"))))</f>
        <v/>
      </c>
      <c r="Q839" s="2"/>
      <c r="R839" s="2"/>
      <c r="S839" s="1" t="str">
        <f t="shared" si="41"/>
        <v/>
      </c>
      <c r="T839" s="1" t="str">
        <f>IF(OR($C839="",$D839&lt;&gt;"Gelir",$L839=""),"",IFERROR(INDEX(MUSTERILER!$B$7:$B$156,MATCH($S839,MUSTERILER!$T$7:$T$156,0)),""))</f>
        <v/>
      </c>
      <c r="U839" s="1" t="str">
        <f>IF($T839="","",$T839&amp;"|"&amp;COUNTIFS($T$7:$T839,$T839))</f>
        <v/>
      </c>
      <c r="V839" s="1">
        <f t="shared" si="42"/>
        <v>0</v>
      </c>
      <c r="W839" s="1" t="str">
        <f t="shared" si="43"/>
        <v/>
      </c>
      <c r="X839" s="1"/>
      <c r="Y839" s="1"/>
      <c r="Z839" s="1"/>
      <c r="AA839" s="1"/>
      <c r="AB839" s="1"/>
      <c r="AC839" s="1"/>
      <c r="AD839" s="1">
        <f>IF($C839="",0,SUMPRODUCT((AY_SONU!$O$7:$O$42="Evet")*(AY_SONU!$B$7:$B$42=DATE(YEAR($C839),MONTH($C839),1))))</f>
        <v>0</v>
      </c>
      <c r="AE839" s="1" t="str">
        <f>IF($E839="","",$E839&amp;"|"&amp;COUNTIFS($E$7:$E839,$E839))</f>
        <v/>
      </c>
    </row>
    <row r="840" spans="1:31" ht="18" customHeight="1" x14ac:dyDescent="0.3">
      <c r="A840" s="2"/>
      <c r="B840" s="65" t="str">
        <f>IF($C840="","","GG"&amp;TEXT(ROW()-6,"00000"))</f>
        <v/>
      </c>
      <c r="C840" s="66"/>
      <c r="D840" s="60"/>
      <c r="E840" s="61"/>
      <c r="F840" s="61"/>
      <c r="G840" s="67"/>
      <c r="H840" s="60"/>
      <c r="I840" s="60"/>
      <c r="J840" s="61"/>
      <c r="K840" s="61"/>
      <c r="L840" s="60"/>
      <c r="M840" s="74" t="str">
        <f>IF($C840="","",IF($D840="Gider",$E840,IF($L840&lt;&gt;"",$L840,$H840)))</f>
        <v/>
      </c>
      <c r="N840" s="74" t="str">
        <f>IF($C840="","",IF($D840="Gider",$H840,$E840))</f>
        <v/>
      </c>
      <c r="O840" s="73" t="str">
        <f>IF($C840="","",DATE(YEAR($C840),MONTH($C840),1))</f>
        <v/>
      </c>
      <c r="P840" s="65" t="str">
        <f ca="1">IF($C840="","",IF(AND($D840="Gelir",$L840&lt;&gt;"",$T840=""),"TANIMSIZ BORÇLU",IF($T840&lt;&gt;"",IF(OR($E840="",$G840&lt;=0),"EKSİK",IF($I840="Evet","TAHAKKUK NAKİT OLAMAZ",IF($C840&gt;TODAY(),"İLERİ TARİH","TAHAKKUK"))),IF(AND($D840&lt;&gt;"",$E840&lt;&gt;"",$G840&gt;0,$H840&lt;&gt;"",$I840&lt;&gt;""),IF($C840&gt;TODAY(),"İLERİ TARİH",IF(COUNTIF($W$7:$W$3001,$W840)&gt;1,"MÜKERRER?",IF($AD840&gt;0,"KAPALI DÖNEM",IF($I840="Hayır","ÖDENECEK","UYGUN")))),"EKSİK"))))</f>
        <v/>
      </c>
      <c r="Q840" s="2"/>
      <c r="R840" s="2"/>
      <c r="S840" s="1" t="str">
        <f t="shared" si="41"/>
        <v/>
      </c>
      <c r="T840" s="1" t="str">
        <f>IF(OR($C840="",$D840&lt;&gt;"Gelir",$L840=""),"",IFERROR(INDEX(MUSTERILER!$B$7:$B$156,MATCH($S840,MUSTERILER!$T$7:$T$156,0)),""))</f>
        <v/>
      </c>
      <c r="U840" s="1" t="str">
        <f>IF($T840="","",$T840&amp;"|"&amp;COUNTIFS($T$7:$T840,$T840))</f>
        <v/>
      </c>
      <c r="V840" s="1">
        <f t="shared" si="42"/>
        <v>0</v>
      </c>
      <c r="W840" s="1" t="str">
        <f t="shared" si="43"/>
        <v/>
      </c>
      <c r="X840" s="1"/>
      <c r="Y840" s="1"/>
      <c r="Z840" s="1"/>
      <c r="AA840" s="1"/>
      <c r="AB840" s="1"/>
      <c r="AC840" s="1"/>
      <c r="AD840" s="1">
        <f>IF($C840="",0,SUMPRODUCT((AY_SONU!$O$7:$O$42="Evet")*(AY_SONU!$B$7:$B$42=DATE(YEAR($C840),MONTH($C840),1))))</f>
        <v>0</v>
      </c>
      <c r="AE840" s="1" t="str">
        <f>IF($E840="","",$E840&amp;"|"&amp;COUNTIFS($E$7:$E840,$E840))</f>
        <v/>
      </c>
    </row>
    <row r="841" spans="1:31" ht="18" customHeight="1" x14ac:dyDescent="0.3">
      <c r="A841" s="2"/>
      <c r="B841" s="65" t="str">
        <f>IF($C841="","","GG"&amp;TEXT(ROW()-6,"00000"))</f>
        <v/>
      </c>
      <c r="C841" s="66"/>
      <c r="D841" s="60"/>
      <c r="E841" s="61"/>
      <c r="F841" s="61"/>
      <c r="G841" s="67"/>
      <c r="H841" s="60"/>
      <c r="I841" s="60"/>
      <c r="J841" s="61"/>
      <c r="K841" s="61"/>
      <c r="L841" s="60"/>
      <c r="M841" s="74" t="str">
        <f>IF($C841="","",IF($D841="Gider",$E841,IF($L841&lt;&gt;"",$L841,$H841)))</f>
        <v/>
      </c>
      <c r="N841" s="74" t="str">
        <f>IF($C841="","",IF($D841="Gider",$H841,$E841))</f>
        <v/>
      </c>
      <c r="O841" s="73" t="str">
        <f>IF($C841="","",DATE(YEAR($C841),MONTH($C841),1))</f>
        <v/>
      </c>
      <c r="P841" s="65" t="str">
        <f ca="1">IF($C841="","",IF(AND($D841="Gelir",$L841&lt;&gt;"",$T841=""),"TANIMSIZ BORÇLU",IF($T841&lt;&gt;"",IF(OR($E841="",$G841&lt;=0),"EKSİK",IF($I841="Evet","TAHAKKUK NAKİT OLAMAZ",IF($C841&gt;TODAY(),"İLERİ TARİH","TAHAKKUK"))),IF(AND($D841&lt;&gt;"",$E841&lt;&gt;"",$G841&gt;0,$H841&lt;&gt;"",$I841&lt;&gt;""),IF($C841&gt;TODAY(),"İLERİ TARİH",IF(COUNTIF($W$7:$W$3001,$W841)&gt;1,"MÜKERRER?",IF($AD841&gt;0,"KAPALI DÖNEM",IF($I841="Hayır","ÖDENECEK","UYGUN")))),"EKSİK"))))</f>
        <v/>
      </c>
      <c r="Q841" s="2"/>
      <c r="R841" s="2"/>
      <c r="S841" s="1" t="str">
        <f t="shared" si="41"/>
        <v/>
      </c>
      <c r="T841" s="1" t="str">
        <f>IF(OR($C841="",$D841&lt;&gt;"Gelir",$L841=""),"",IFERROR(INDEX(MUSTERILER!$B$7:$B$156,MATCH($S841,MUSTERILER!$T$7:$T$156,0)),""))</f>
        <v/>
      </c>
      <c r="U841" s="1" t="str">
        <f>IF($T841="","",$T841&amp;"|"&amp;COUNTIFS($T$7:$T841,$T841))</f>
        <v/>
      </c>
      <c r="V841" s="1">
        <f t="shared" si="42"/>
        <v>0</v>
      </c>
      <c r="W841" s="1" t="str">
        <f t="shared" si="43"/>
        <v/>
      </c>
      <c r="X841" s="1"/>
      <c r="Y841" s="1"/>
      <c r="Z841" s="1"/>
      <c r="AA841" s="1"/>
      <c r="AB841" s="1"/>
      <c r="AC841" s="1"/>
      <c r="AD841" s="1">
        <f>IF($C841="",0,SUMPRODUCT((AY_SONU!$O$7:$O$42="Evet")*(AY_SONU!$B$7:$B$42=DATE(YEAR($C841),MONTH($C841),1))))</f>
        <v>0</v>
      </c>
      <c r="AE841" s="1" t="str">
        <f>IF($E841="","",$E841&amp;"|"&amp;COUNTIFS($E$7:$E841,$E841))</f>
        <v/>
      </c>
    </row>
    <row r="842" spans="1:31" ht="18" customHeight="1" x14ac:dyDescent="0.3">
      <c r="A842" s="2"/>
      <c r="B842" s="65" t="str">
        <f>IF($C842="","","GG"&amp;TEXT(ROW()-6,"00000"))</f>
        <v/>
      </c>
      <c r="C842" s="66"/>
      <c r="D842" s="60"/>
      <c r="E842" s="61"/>
      <c r="F842" s="61"/>
      <c r="G842" s="67"/>
      <c r="H842" s="60"/>
      <c r="I842" s="60"/>
      <c r="J842" s="61"/>
      <c r="K842" s="61"/>
      <c r="L842" s="60"/>
      <c r="M842" s="74" t="str">
        <f>IF($C842="","",IF($D842="Gider",$E842,IF($L842&lt;&gt;"",$L842,$H842)))</f>
        <v/>
      </c>
      <c r="N842" s="74" t="str">
        <f>IF($C842="","",IF($D842="Gider",$H842,$E842))</f>
        <v/>
      </c>
      <c r="O842" s="73" t="str">
        <f>IF($C842="","",DATE(YEAR($C842),MONTH($C842),1))</f>
        <v/>
      </c>
      <c r="P842" s="65" t="str">
        <f ca="1">IF($C842="","",IF(AND($D842="Gelir",$L842&lt;&gt;"",$T842=""),"TANIMSIZ BORÇLU",IF($T842&lt;&gt;"",IF(OR($E842="",$G842&lt;=0),"EKSİK",IF($I842="Evet","TAHAKKUK NAKİT OLAMAZ",IF($C842&gt;TODAY(),"İLERİ TARİH","TAHAKKUK"))),IF(AND($D842&lt;&gt;"",$E842&lt;&gt;"",$G842&gt;0,$H842&lt;&gt;"",$I842&lt;&gt;""),IF($C842&gt;TODAY(),"İLERİ TARİH",IF(COUNTIF($W$7:$W$3001,$W842)&gt;1,"MÜKERRER?",IF($AD842&gt;0,"KAPALI DÖNEM",IF($I842="Hayır","ÖDENECEK","UYGUN")))),"EKSİK"))))</f>
        <v/>
      </c>
      <c r="Q842" s="2"/>
      <c r="R842" s="2"/>
      <c r="S842" s="1" t="str">
        <f t="shared" si="41"/>
        <v/>
      </c>
      <c r="T842" s="1" t="str">
        <f>IF(OR($C842="",$D842&lt;&gt;"Gelir",$L842=""),"",IFERROR(INDEX(MUSTERILER!$B$7:$B$156,MATCH($S842,MUSTERILER!$T$7:$T$156,0)),""))</f>
        <v/>
      </c>
      <c r="U842" s="1" t="str">
        <f>IF($T842="","",$T842&amp;"|"&amp;COUNTIFS($T$7:$T842,$T842))</f>
        <v/>
      </c>
      <c r="V842" s="1">
        <f t="shared" si="42"/>
        <v>0</v>
      </c>
      <c r="W842" s="1" t="str">
        <f t="shared" si="43"/>
        <v/>
      </c>
      <c r="X842" s="1"/>
      <c r="Y842" s="1"/>
      <c r="Z842" s="1"/>
      <c r="AA842" s="1"/>
      <c r="AB842" s="1"/>
      <c r="AC842" s="1"/>
      <c r="AD842" s="1">
        <f>IF($C842="",0,SUMPRODUCT((AY_SONU!$O$7:$O$42="Evet")*(AY_SONU!$B$7:$B$42=DATE(YEAR($C842),MONTH($C842),1))))</f>
        <v>0</v>
      </c>
      <c r="AE842" s="1" t="str">
        <f>IF($E842="","",$E842&amp;"|"&amp;COUNTIFS($E$7:$E842,$E842))</f>
        <v/>
      </c>
    </row>
    <row r="843" spans="1:31" ht="18" customHeight="1" x14ac:dyDescent="0.3">
      <c r="A843" s="2"/>
      <c r="B843" s="65" t="str">
        <f>IF($C843="","","GG"&amp;TEXT(ROW()-6,"00000"))</f>
        <v/>
      </c>
      <c r="C843" s="66"/>
      <c r="D843" s="60"/>
      <c r="E843" s="61"/>
      <c r="F843" s="61"/>
      <c r="G843" s="67"/>
      <c r="H843" s="60"/>
      <c r="I843" s="60"/>
      <c r="J843" s="61"/>
      <c r="K843" s="61"/>
      <c r="L843" s="60"/>
      <c r="M843" s="74" t="str">
        <f>IF($C843="","",IF($D843="Gider",$E843,IF($L843&lt;&gt;"",$L843,$H843)))</f>
        <v/>
      </c>
      <c r="N843" s="74" t="str">
        <f>IF($C843="","",IF($D843="Gider",$H843,$E843))</f>
        <v/>
      </c>
      <c r="O843" s="73" t="str">
        <f>IF($C843="","",DATE(YEAR($C843),MONTH($C843),1))</f>
        <v/>
      </c>
      <c r="P843" s="65" t="str">
        <f ca="1">IF($C843="","",IF(AND($D843="Gelir",$L843&lt;&gt;"",$T843=""),"TANIMSIZ BORÇLU",IF($T843&lt;&gt;"",IF(OR($E843="",$G843&lt;=0),"EKSİK",IF($I843="Evet","TAHAKKUK NAKİT OLAMAZ",IF($C843&gt;TODAY(),"İLERİ TARİH","TAHAKKUK"))),IF(AND($D843&lt;&gt;"",$E843&lt;&gt;"",$G843&gt;0,$H843&lt;&gt;"",$I843&lt;&gt;""),IF($C843&gt;TODAY(),"İLERİ TARİH",IF(COUNTIF($W$7:$W$3001,$W843)&gt;1,"MÜKERRER?",IF($AD843&gt;0,"KAPALI DÖNEM",IF($I843="Hayır","ÖDENECEK","UYGUN")))),"EKSİK"))))</f>
        <v/>
      </c>
      <c r="Q843" s="2"/>
      <c r="R843" s="2"/>
      <c r="S843" s="1" t="str">
        <f t="shared" si="41"/>
        <v/>
      </c>
      <c r="T843" s="1" t="str">
        <f>IF(OR($C843="",$D843&lt;&gt;"Gelir",$L843=""),"",IFERROR(INDEX(MUSTERILER!$B$7:$B$156,MATCH($S843,MUSTERILER!$T$7:$T$156,0)),""))</f>
        <v/>
      </c>
      <c r="U843" s="1" t="str">
        <f>IF($T843="","",$T843&amp;"|"&amp;COUNTIFS($T$7:$T843,$T843))</f>
        <v/>
      </c>
      <c r="V843" s="1">
        <f t="shared" si="42"/>
        <v>0</v>
      </c>
      <c r="W843" s="1" t="str">
        <f t="shared" si="43"/>
        <v/>
      </c>
      <c r="X843" s="1"/>
      <c r="Y843" s="1"/>
      <c r="Z843" s="1"/>
      <c r="AA843" s="1"/>
      <c r="AB843" s="1"/>
      <c r="AC843" s="1"/>
      <c r="AD843" s="1">
        <f>IF($C843="",0,SUMPRODUCT((AY_SONU!$O$7:$O$42="Evet")*(AY_SONU!$B$7:$B$42=DATE(YEAR($C843),MONTH($C843),1))))</f>
        <v>0</v>
      </c>
      <c r="AE843" s="1" t="str">
        <f>IF($E843="","",$E843&amp;"|"&amp;COUNTIFS($E$7:$E843,$E843))</f>
        <v/>
      </c>
    </row>
    <row r="844" spans="1:31" ht="18" customHeight="1" x14ac:dyDescent="0.3">
      <c r="A844" s="2"/>
      <c r="B844" s="65" t="str">
        <f>IF($C844="","","GG"&amp;TEXT(ROW()-6,"00000"))</f>
        <v/>
      </c>
      <c r="C844" s="66"/>
      <c r="D844" s="60"/>
      <c r="E844" s="61"/>
      <c r="F844" s="61"/>
      <c r="G844" s="67"/>
      <c r="H844" s="60"/>
      <c r="I844" s="60"/>
      <c r="J844" s="61"/>
      <c r="K844" s="61"/>
      <c r="L844" s="60"/>
      <c r="M844" s="74" t="str">
        <f>IF($C844="","",IF($D844="Gider",$E844,IF($L844&lt;&gt;"",$L844,$H844)))</f>
        <v/>
      </c>
      <c r="N844" s="74" t="str">
        <f>IF($C844="","",IF($D844="Gider",$H844,$E844))</f>
        <v/>
      </c>
      <c r="O844" s="73" t="str">
        <f>IF($C844="","",DATE(YEAR($C844),MONTH($C844),1))</f>
        <v/>
      </c>
      <c r="P844" s="65" t="str">
        <f ca="1">IF($C844="","",IF(AND($D844="Gelir",$L844&lt;&gt;"",$T844=""),"TANIMSIZ BORÇLU",IF($T844&lt;&gt;"",IF(OR($E844="",$G844&lt;=0),"EKSİK",IF($I844="Evet","TAHAKKUK NAKİT OLAMAZ",IF($C844&gt;TODAY(),"İLERİ TARİH","TAHAKKUK"))),IF(AND($D844&lt;&gt;"",$E844&lt;&gt;"",$G844&gt;0,$H844&lt;&gt;"",$I844&lt;&gt;""),IF($C844&gt;TODAY(),"İLERİ TARİH",IF(COUNTIF($W$7:$W$3001,$W844)&gt;1,"MÜKERRER?",IF($AD844&gt;0,"KAPALI DÖNEM",IF($I844="Hayır","ÖDENECEK","UYGUN")))),"EKSİK"))))</f>
        <v/>
      </c>
      <c r="Q844" s="2"/>
      <c r="R844" s="2"/>
      <c r="S844" s="1" t="str">
        <f t="shared" si="41"/>
        <v/>
      </c>
      <c r="T844" s="1" t="str">
        <f>IF(OR($C844="",$D844&lt;&gt;"Gelir",$L844=""),"",IFERROR(INDEX(MUSTERILER!$B$7:$B$156,MATCH($S844,MUSTERILER!$T$7:$T$156,0)),""))</f>
        <v/>
      </c>
      <c r="U844" s="1" t="str">
        <f>IF($T844="","",$T844&amp;"|"&amp;COUNTIFS($T$7:$T844,$T844))</f>
        <v/>
      </c>
      <c r="V844" s="1">
        <f t="shared" si="42"/>
        <v>0</v>
      </c>
      <c r="W844" s="1" t="str">
        <f t="shared" si="43"/>
        <v/>
      </c>
      <c r="X844" s="1"/>
      <c r="Y844" s="1"/>
      <c r="Z844" s="1"/>
      <c r="AA844" s="1"/>
      <c r="AB844" s="1"/>
      <c r="AC844" s="1"/>
      <c r="AD844" s="1">
        <f>IF($C844="",0,SUMPRODUCT((AY_SONU!$O$7:$O$42="Evet")*(AY_SONU!$B$7:$B$42=DATE(YEAR($C844),MONTH($C844),1))))</f>
        <v>0</v>
      </c>
      <c r="AE844" s="1" t="str">
        <f>IF($E844="","",$E844&amp;"|"&amp;COUNTIFS($E$7:$E844,$E844))</f>
        <v/>
      </c>
    </row>
    <row r="845" spans="1:31" ht="18" customHeight="1" x14ac:dyDescent="0.3">
      <c r="A845" s="2"/>
      <c r="B845" s="65" t="str">
        <f>IF($C845="","","GG"&amp;TEXT(ROW()-6,"00000"))</f>
        <v/>
      </c>
      <c r="C845" s="66"/>
      <c r="D845" s="60"/>
      <c r="E845" s="61"/>
      <c r="F845" s="61"/>
      <c r="G845" s="67"/>
      <c r="H845" s="60"/>
      <c r="I845" s="60"/>
      <c r="J845" s="61"/>
      <c r="K845" s="61"/>
      <c r="L845" s="60"/>
      <c r="M845" s="74" t="str">
        <f>IF($C845="","",IF($D845="Gider",$E845,IF($L845&lt;&gt;"",$L845,$H845)))</f>
        <v/>
      </c>
      <c r="N845" s="74" t="str">
        <f>IF($C845="","",IF($D845="Gider",$H845,$E845))</f>
        <v/>
      </c>
      <c r="O845" s="73" t="str">
        <f>IF($C845="","",DATE(YEAR($C845),MONTH($C845),1))</f>
        <v/>
      </c>
      <c r="P845" s="65" t="str">
        <f ca="1">IF($C845="","",IF(AND($D845="Gelir",$L845&lt;&gt;"",$T845=""),"TANIMSIZ BORÇLU",IF($T845&lt;&gt;"",IF(OR($E845="",$G845&lt;=0),"EKSİK",IF($I845="Evet","TAHAKKUK NAKİT OLAMAZ",IF($C845&gt;TODAY(),"İLERİ TARİH","TAHAKKUK"))),IF(AND($D845&lt;&gt;"",$E845&lt;&gt;"",$G845&gt;0,$H845&lt;&gt;"",$I845&lt;&gt;""),IF($C845&gt;TODAY(),"İLERİ TARİH",IF(COUNTIF($W$7:$W$3001,$W845)&gt;1,"MÜKERRER?",IF($AD845&gt;0,"KAPALI DÖNEM",IF($I845="Hayır","ÖDENECEK","UYGUN")))),"EKSİK"))))</f>
        <v/>
      </c>
      <c r="Q845" s="2"/>
      <c r="R845" s="2"/>
      <c r="S845" s="1" t="str">
        <f t="shared" si="41"/>
        <v/>
      </c>
      <c r="T845" s="1" t="str">
        <f>IF(OR($C845="",$D845&lt;&gt;"Gelir",$L845=""),"",IFERROR(INDEX(MUSTERILER!$B$7:$B$156,MATCH($S845,MUSTERILER!$T$7:$T$156,0)),""))</f>
        <v/>
      </c>
      <c r="U845" s="1" t="str">
        <f>IF($T845="","",$T845&amp;"|"&amp;COUNTIFS($T$7:$T845,$T845))</f>
        <v/>
      </c>
      <c r="V845" s="1">
        <f t="shared" si="42"/>
        <v>0</v>
      </c>
      <c r="W845" s="1" t="str">
        <f t="shared" si="43"/>
        <v/>
      </c>
      <c r="X845" s="1"/>
      <c r="Y845" s="1"/>
      <c r="Z845" s="1"/>
      <c r="AA845" s="1"/>
      <c r="AB845" s="1"/>
      <c r="AC845" s="1"/>
      <c r="AD845" s="1">
        <f>IF($C845="",0,SUMPRODUCT((AY_SONU!$O$7:$O$42="Evet")*(AY_SONU!$B$7:$B$42=DATE(YEAR($C845),MONTH($C845),1))))</f>
        <v>0</v>
      </c>
      <c r="AE845" s="1" t="str">
        <f>IF($E845="","",$E845&amp;"|"&amp;COUNTIFS($E$7:$E845,$E845))</f>
        <v/>
      </c>
    </row>
    <row r="846" spans="1:31" ht="18" customHeight="1" x14ac:dyDescent="0.3">
      <c r="A846" s="2"/>
      <c r="B846" s="65" t="str">
        <f>IF($C846="","","GG"&amp;TEXT(ROW()-6,"00000"))</f>
        <v/>
      </c>
      <c r="C846" s="66"/>
      <c r="D846" s="60"/>
      <c r="E846" s="61"/>
      <c r="F846" s="61"/>
      <c r="G846" s="67"/>
      <c r="H846" s="60"/>
      <c r="I846" s="60"/>
      <c r="J846" s="61"/>
      <c r="K846" s="61"/>
      <c r="L846" s="60"/>
      <c r="M846" s="74" t="str">
        <f>IF($C846="","",IF($D846="Gider",$E846,IF($L846&lt;&gt;"",$L846,$H846)))</f>
        <v/>
      </c>
      <c r="N846" s="74" t="str">
        <f>IF($C846="","",IF($D846="Gider",$H846,$E846))</f>
        <v/>
      </c>
      <c r="O846" s="73" t="str">
        <f>IF($C846="","",DATE(YEAR($C846),MONTH($C846),1))</f>
        <v/>
      </c>
      <c r="P846" s="65" t="str">
        <f ca="1">IF($C846="","",IF(AND($D846="Gelir",$L846&lt;&gt;"",$T846=""),"TANIMSIZ BORÇLU",IF($T846&lt;&gt;"",IF(OR($E846="",$G846&lt;=0),"EKSİK",IF($I846="Evet","TAHAKKUK NAKİT OLAMAZ",IF($C846&gt;TODAY(),"İLERİ TARİH","TAHAKKUK"))),IF(AND($D846&lt;&gt;"",$E846&lt;&gt;"",$G846&gt;0,$H846&lt;&gt;"",$I846&lt;&gt;""),IF($C846&gt;TODAY(),"İLERİ TARİH",IF(COUNTIF($W$7:$W$3001,$W846)&gt;1,"MÜKERRER?",IF($AD846&gt;0,"KAPALI DÖNEM",IF($I846="Hayır","ÖDENECEK","UYGUN")))),"EKSİK"))))</f>
        <v/>
      </c>
      <c r="Q846" s="2"/>
      <c r="R846" s="2"/>
      <c r="S846" s="1" t="str">
        <f t="shared" si="41"/>
        <v/>
      </c>
      <c r="T846" s="1" t="str">
        <f>IF(OR($C846="",$D846&lt;&gt;"Gelir",$L846=""),"",IFERROR(INDEX(MUSTERILER!$B$7:$B$156,MATCH($S846,MUSTERILER!$T$7:$T$156,0)),""))</f>
        <v/>
      </c>
      <c r="U846" s="1" t="str">
        <f>IF($T846="","",$T846&amp;"|"&amp;COUNTIFS($T$7:$T846,$T846))</f>
        <v/>
      </c>
      <c r="V846" s="1">
        <f t="shared" si="42"/>
        <v>0</v>
      </c>
      <c r="W846" s="1" t="str">
        <f t="shared" si="43"/>
        <v/>
      </c>
      <c r="X846" s="1"/>
      <c r="Y846" s="1"/>
      <c r="Z846" s="1"/>
      <c r="AA846" s="1"/>
      <c r="AB846" s="1"/>
      <c r="AC846" s="1"/>
      <c r="AD846" s="1">
        <f>IF($C846="",0,SUMPRODUCT((AY_SONU!$O$7:$O$42="Evet")*(AY_SONU!$B$7:$B$42=DATE(YEAR($C846),MONTH($C846),1))))</f>
        <v>0</v>
      </c>
      <c r="AE846" s="1" t="str">
        <f>IF($E846="","",$E846&amp;"|"&amp;COUNTIFS($E$7:$E846,$E846))</f>
        <v/>
      </c>
    </row>
    <row r="847" spans="1:31" ht="18" customHeight="1" x14ac:dyDescent="0.3">
      <c r="A847" s="2"/>
      <c r="B847" s="65" t="str">
        <f>IF($C847="","","GG"&amp;TEXT(ROW()-6,"00000"))</f>
        <v/>
      </c>
      <c r="C847" s="66"/>
      <c r="D847" s="60"/>
      <c r="E847" s="61"/>
      <c r="F847" s="61"/>
      <c r="G847" s="67"/>
      <c r="H847" s="60"/>
      <c r="I847" s="60"/>
      <c r="J847" s="61"/>
      <c r="K847" s="61"/>
      <c r="L847" s="60"/>
      <c r="M847" s="74" t="str">
        <f>IF($C847="","",IF($D847="Gider",$E847,IF($L847&lt;&gt;"",$L847,$H847)))</f>
        <v/>
      </c>
      <c r="N847" s="74" t="str">
        <f>IF($C847="","",IF($D847="Gider",$H847,$E847))</f>
        <v/>
      </c>
      <c r="O847" s="73" t="str">
        <f>IF($C847="","",DATE(YEAR($C847),MONTH($C847),1))</f>
        <v/>
      </c>
      <c r="P847" s="65" t="str">
        <f ca="1">IF($C847="","",IF(AND($D847="Gelir",$L847&lt;&gt;"",$T847=""),"TANIMSIZ BORÇLU",IF($T847&lt;&gt;"",IF(OR($E847="",$G847&lt;=0),"EKSİK",IF($I847="Evet","TAHAKKUK NAKİT OLAMAZ",IF($C847&gt;TODAY(),"İLERİ TARİH","TAHAKKUK"))),IF(AND($D847&lt;&gt;"",$E847&lt;&gt;"",$G847&gt;0,$H847&lt;&gt;"",$I847&lt;&gt;""),IF($C847&gt;TODAY(),"İLERİ TARİH",IF(COUNTIF($W$7:$W$3001,$W847)&gt;1,"MÜKERRER?",IF($AD847&gt;0,"KAPALI DÖNEM",IF($I847="Hayır","ÖDENECEK","UYGUN")))),"EKSİK"))))</f>
        <v/>
      </c>
      <c r="Q847" s="2"/>
      <c r="R847" s="2"/>
      <c r="S847" s="1" t="str">
        <f t="shared" si="41"/>
        <v/>
      </c>
      <c r="T847" s="1" t="str">
        <f>IF(OR($C847="",$D847&lt;&gt;"Gelir",$L847=""),"",IFERROR(INDEX(MUSTERILER!$B$7:$B$156,MATCH($S847,MUSTERILER!$T$7:$T$156,0)),""))</f>
        <v/>
      </c>
      <c r="U847" s="1" t="str">
        <f>IF($T847="","",$T847&amp;"|"&amp;COUNTIFS($T$7:$T847,$T847))</f>
        <v/>
      </c>
      <c r="V847" s="1">
        <f t="shared" si="42"/>
        <v>0</v>
      </c>
      <c r="W847" s="1" t="str">
        <f t="shared" si="43"/>
        <v/>
      </c>
      <c r="X847" s="1"/>
      <c r="Y847" s="1"/>
      <c r="Z847" s="1"/>
      <c r="AA847" s="1"/>
      <c r="AB847" s="1"/>
      <c r="AC847" s="1"/>
      <c r="AD847" s="1">
        <f>IF($C847="",0,SUMPRODUCT((AY_SONU!$O$7:$O$42="Evet")*(AY_SONU!$B$7:$B$42=DATE(YEAR($C847),MONTH($C847),1))))</f>
        <v>0</v>
      </c>
      <c r="AE847" s="1" t="str">
        <f>IF($E847="","",$E847&amp;"|"&amp;COUNTIFS($E$7:$E847,$E847))</f>
        <v/>
      </c>
    </row>
    <row r="848" spans="1:31" ht="18" customHeight="1" x14ac:dyDescent="0.3">
      <c r="A848" s="2"/>
      <c r="B848" s="65" t="str">
        <f>IF($C848="","","GG"&amp;TEXT(ROW()-6,"00000"))</f>
        <v/>
      </c>
      <c r="C848" s="66"/>
      <c r="D848" s="60"/>
      <c r="E848" s="61"/>
      <c r="F848" s="61"/>
      <c r="G848" s="67"/>
      <c r="H848" s="60"/>
      <c r="I848" s="60"/>
      <c r="J848" s="61"/>
      <c r="K848" s="61"/>
      <c r="L848" s="60"/>
      <c r="M848" s="74" t="str">
        <f>IF($C848="","",IF($D848="Gider",$E848,IF($L848&lt;&gt;"",$L848,$H848)))</f>
        <v/>
      </c>
      <c r="N848" s="74" t="str">
        <f>IF($C848="","",IF($D848="Gider",$H848,$E848))</f>
        <v/>
      </c>
      <c r="O848" s="73" t="str">
        <f>IF($C848="","",DATE(YEAR($C848),MONTH($C848),1))</f>
        <v/>
      </c>
      <c r="P848" s="65" t="str">
        <f ca="1">IF($C848="","",IF(AND($D848="Gelir",$L848&lt;&gt;"",$T848=""),"TANIMSIZ BORÇLU",IF($T848&lt;&gt;"",IF(OR($E848="",$G848&lt;=0),"EKSİK",IF($I848="Evet","TAHAKKUK NAKİT OLAMAZ",IF($C848&gt;TODAY(),"İLERİ TARİH","TAHAKKUK"))),IF(AND($D848&lt;&gt;"",$E848&lt;&gt;"",$G848&gt;0,$H848&lt;&gt;"",$I848&lt;&gt;""),IF($C848&gt;TODAY(),"İLERİ TARİH",IF(COUNTIF($W$7:$W$3001,$W848)&gt;1,"MÜKERRER?",IF($AD848&gt;0,"KAPALI DÖNEM",IF($I848="Hayır","ÖDENECEK","UYGUN")))),"EKSİK"))))</f>
        <v/>
      </c>
      <c r="Q848" s="2"/>
      <c r="R848" s="2"/>
      <c r="S848" s="1" t="str">
        <f t="shared" si="41"/>
        <v/>
      </c>
      <c r="T848" s="1" t="str">
        <f>IF(OR($C848="",$D848&lt;&gt;"Gelir",$L848=""),"",IFERROR(INDEX(MUSTERILER!$B$7:$B$156,MATCH($S848,MUSTERILER!$T$7:$T$156,0)),""))</f>
        <v/>
      </c>
      <c r="U848" s="1" t="str">
        <f>IF($T848="","",$T848&amp;"|"&amp;COUNTIFS($T$7:$T848,$T848))</f>
        <v/>
      </c>
      <c r="V848" s="1">
        <f t="shared" si="42"/>
        <v>0</v>
      </c>
      <c r="W848" s="1" t="str">
        <f t="shared" si="43"/>
        <v/>
      </c>
      <c r="X848" s="1"/>
      <c r="Y848" s="1"/>
      <c r="Z848" s="1"/>
      <c r="AA848" s="1"/>
      <c r="AB848" s="1"/>
      <c r="AC848" s="1"/>
      <c r="AD848" s="1">
        <f>IF($C848="",0,SUMPRODUCT((AY_SONU!$O$7:$O$42="Evet")*(AY_SONU!$B$7:$B$42=DATE(YEAR($C848),MONTH($C848),1))))</f>
        <v>0</v>
      </c>
      <c r="AE848" s="1" t="str">
        <f>IF($E848="","",$E848&amp;"|"&amp;COUNTIFS($E$7:$E848,$E848))</f>
        <v/>
      </c>
    </row>
    <row r="849" spans="1:31" ht="18" customHeight="1" x14ac:dyDescent="0.3">
      <c r="A849" s="2"/>
      <c r="B849" s="65" t="str">
        <f>IF($C849="","","GG"&amp;TEXT(ROW()-6,"00000"))</f>
        <v/>
      </c>
      <c r="C849" s="66"/>
      <c r="D849" s="60"/>
      <c r="E849" s="61"/>
      <c r="F849" s="61"/>
      <c r="G849" s="67"/>
      <c r="H849" s="60"/>
      <c r="I849" s="60"/>
      <c r="J849" s="61"/>
      <c r="K849" s="61"/>
      <c r="L849" s="60"/>
      <c r="M849" s="74" t="str">
        <f>IF($C849="","",IF($D849="Gider",$E849,IF($L849&lt;&gt;"",$L849,$H849)))</f>
        <v/>
      </c>
      <c r="N849" s="74" t="str">
        <f>IF($C849="","",IF($D849="Gider",$H849,$E849))</f>
        <v/>
      </c>
      <c r="O849" s="73" t="str">
        <f>IF($C849="","",DATE(YEAR($C849),MONTH($C849),1))</f>
        <v/>
      </c>
      <c r="P849" s="65" t="str">
        <f ca="1">IF($C849="","",IF(AND($D849="Gelir",$L849&lt;&gt;"",$T849=""),"TANIMSIZ BORÇLU",IF($T849&lt;&gt;"",IF(OR($E849="",$G849&lt;=0),"EKSİK",IF($I849="Evet","TAHAKKUK NAKİT OLAMAZ",IF($C849&gt;TODAY(),"İLERİ TARİH","TAHAKKUK"))),IF(AND($D849&lt;&gt;"",$E849&lt;&gt;"",$G849&gt;0,$H849&lt;&gt;"",$I849&lt;&gt;""),IF($C849&gt;TODAY(),"İLERİ TARİH",IF(COUNTIF($W$7:$W$3001,$W849)&gt;1,"MÜKERRER?",IF($AD849&gt;0,"KAPALI DÖNEM",IF($I849="Hayır","ÖDENECEK","UYGUN")))),"EKSİK"))))</f>
        <v/>
      </c>
      <c r="Q849" s="2"/>
      <c r="R849" s="2"/>
      <c r="S849" s="1" t="str">
        <f t="shared" si="41"/>
        <v/>
      </c>
      <c r="T849" s="1" t="str">
        <f>IF(OR($C849="",$D849&lt;&gt;"Gelir",$L849=""),"",IFERROR(INDEX(MUSTERILER!$B$7:$B$156,MATCH($S849,MUSTERILER!$T$7:$T$156,0)),""))</f>
        <v/>
      </c>
      <c r="U849" s="1" t="str">
        <f>IF($T849="","",$T849&amp;"|"&amp;COUNTIFS($T$7:$T849,$T849))</f>
        <v/>
      </c>
      <c r="V849" s="1">
        <f t="shared" si="42"/>
        <v>0</v>
      </c>
      <c r="W849" s="1" t="str">
        <f t="shared" si="43"/>
        <v/>
      </c>
      <c r="X849" s="1"/>
      <c r="Y849" s="1"/>
      <c r="Z849" s="1"/>
      <c r="AA849" s="1"/>
      <c r="AB849" s="1"/>
      <c r="AC849" s="1"/>
      <c r="AD849" s="1">
        <f>IF($C849="",0,SUMPRODUCT((AY_SONU!$O$7:$O$42="Evet")*(AY_SONU!$B$7:$B$42=DATE(YEAR($C849),MONTH($C849),1))))</f>
        <v>0</v>
      </c>
      <c r="AE849" s="1" t="str">
        <f>IF($E849="","",$E849&amp;"|"&amp;COUNTIFS($E$7:$E849,$E849))</f>
        <v/>
      </c>
    </row>
    <row r="850" spans="1:31" ht="18" customHeight="1" x14ac:dyDescent="0.3">
      <c r="A850" s="2"/>
      <c r="B850" s="65" t="str">
        <f>IF($C850="","","GG"&amp;TEXT(ROW()-6,"00000"))</f>
        <v/>
      </c>
      <c r="C850" s="66"/>
      <c r="D850" s="60"/>
      <c r="E850" s="61"/>
      <c r="F850" s="61"/>
      <c r="G850" s="67"/>
      <c r="H850" s="60"/>
      <c r="I850" s="60"/>
      <c r="J850" s="61"/>
      <c r="K850" s="61"/>
      <c r="L850" s="60"/>
      <c r="M850" s="74" t="str">
        <f>IF($C850="","",IF($D850="Gider",$E850,IF($L850&lt;&gt;"",$L850,$H850)))</f>
        <v/>
      </c>
      <c r="N850" s="74" t="str">
        <f>IF($C850="","",IF($D850="Gider",$H850,$E850))</f>
        <v/>
      </c>
      <c r="O850" s="73" t="str">
        <f>IF($C850="","",DATE(YEAR($C850),MONTH($C850),1))</f>
        <v/>
      </c>
      <c r="P850" s="65" t="str">
        <f ca="1">IF($C850="","",IF(AND($D850="Gelir",$L850&lt;&gt;"",$T850=""),"TANIMSIZ BORÇLU",IF($T850&lt;&gt;"",IF(OR($E850="",$G850&lt;=0),"EKSİK",IF($I850="Evet","TAHAKKUK NAKİT OLAMAZ",IF($C850&gt;TODAY(),"İLERİ TARİH","TAHAKKUK"))),IF(AND($D850&lt;&gt;"",$E850&lt;&gt;"",$G850&gt;0,$H850&lt;&gt;"",$I850&lt;&gt;""),IF($C850&gt;TODAY(),"İLERİ TARİH",IF(COUNTIF($W$7:$W$3001,$W850)&gt;1,"MÜKERRER?",IF($AD850&gt;0,"KAPALI DÖNEM",IF($I850="Hayır","ÖDENECEK","UYGUN")))),"EKSİK"))))</f>
        <v/>
      </c>
      <c r="Q850" s="2"/>
      <c r="R850" s="2"/>
      <c r="S850" s="1" t="str">
        <f t="shared" si="41"/>
        <v/>
      </c>
      <c r="T850" s="1" t="str">
        <f>IF(OR($C850="",$D850&lt;&gt;"Gelir",$L850=""),"",IFERROR(INDEX(MUSTERILER!$B$7:$B$156,MATCH($S850,MUSTERILER!$T$7:$T$156,0)),""))</f>
        <v/>
      </c>
      <c r="U850" s="1" t="str">
        <f>IF($T850="","",$T850&amp;"|"&amp;COUNTIFS($T$7:$T850,$T850))</f>
        <v/>
      </c>
      <c r="V850" s="1">
        <f t="shared" si="42"/>
        <v>0</v>
      </c>
      <c r="W850" s="1" t="str">
        <f t="shared" si="43"/>
        <v/>
      </c>
      <c r="X850" s="1"/>
      <c r="Y850" s="1"/>
      <c r="Z850" s="1"/>
      <c r="AA850" s="1"/>
      <c r="AB850" s="1"/>
      <c r="AC850" s="1"/>
      <c r="AD850" s="1">
        <f>IF($C850="",0,SUMPRODUCT((AY_SONU!$O$7:$O$42="Evet")*(AY_SONU!$B$7:$B$42=DATE(YEAR($C850),MONTH($C850),1))))</f>
        <v>0</v>
      </c>
      <c r="AE850" s="1" t="str">
        <f>IF($E850="","",$E850&amp;"|"&amp;COUNTIFS($E$7:$E850,$E850))</f>
        <v/>
      </c>
    </row>
    <row r="851" spans="1:31" ht="18" customHeight="1" x14ac:dyDescent="0.3">
      <c r="A851" s="2"/>
      <c r="B851" s="65" t="str">
        <f>IF($C851="","","GG"&amp;TEXT(ROW()-6,"00000"))</f>
        <v/>
      </c>
      <c r="C851" s="66"/>
      <c r="D851" s="60"/>
      <c r="E851" s="61"/>
      <c r="F851" s="61"/>
      <c r="G851" s="67"/>
      <c r="H851" s="60"/>
      <c r="I851" s="60"/>
      <c r="J851" s="61"/>
      <c r="K851" s="61"/>
      <c r="L851" s="60"/>
      <c r="M851" s="74" t="str">
        <f>IF($C851="","",IF($D851="Gider",$E851,IF($L851&lt;&gt;"",$L851,$H851)))</f>
        <v/>
      </c>
      <c r="N851" s="74" t="str">
        <f>IF($C851="","",IF($D851="Gider",$H851,$E851))</f>
        <v/>
      </c>
      <c r="O851" s="73" t="str">
        <f>IF($C851="","",DATE(YEAR($C851),MONTH($C851),1))</f>
        <v/>
      </c>
      <c r="P851" s="65" t="str">
        <f ca="1">IF($C851="","",IF(AND($D851="Gelir",$L851&lt;&gt;"",$T851=""),"TANIMSIZ BORÇLU",IF($T851&lt;&gt;"",IF(OR($E851="",$G851&lt;=0),"EKSİK",IF($I851="Evet","TAHAKKUK NAKİT OLAMAZ",IF($C851&gt;TODAY(),"İLERİ TARİH","TAHAKKUK"))),IF(AND($D851&lt;&gt;"",$E851&lt;&gt;"",$G851&gt;0,$H851&lt;&gt;"",$I851&lt;&gt;""),IF($C851&gt;TODAY(),"İLERİ TARİH",IF(COUNTIF($W$7:$W$3001,$W851)&gt;1,"MÜKERRER?",IF($AD851&gt;0,"KAPALI DÖNEM",IF($I851="Hayır","ÖDENECEK","UYGUN")))),"EKSİK"))))</f>
        <v/>
      </c>
      <c r="Q851" s="2"/>
      <c r="R851" s="2"/>
      <c r="S851" s="1" t="str">
        <f t="shared" si="41"/>
        <v/>
      </c>
      <c r="T851" s="1" t="str">
        <f>IF(OR($C851="",$D851&lt;&gt;"Gelir",$L851=""),"",IFERROR(INDEX(MUSTERILER!$B$7:$B$156,MATCH($S851,MUSTERILER!$T$7:$T$156,0)),""))</f>
        <v/>
      </c>
      <c r="U851" s="1" t="str">
        <f>IF($T851="","",$T851&amp;"|"&amp;COUNTIFS($T$7:$T851,$T851))</f>
        <v/>
      </c>
      <c r="V851" s="1">
        <f t="shared" si="42"/>
        <v>0</v>
      </c>
      <c r="W851" s="1" t="str">
        <f t="shared" si="43"/>
        <v/>
      </c>
      <c r="X851" s="1"/>
      <c r="Y851" s="1"/>
      <c r="Z851" s="1"/>
      <c r="AA851" s="1"/>
      <c r="AB851" s="1"/>
      <c r="AC851" s="1"/>
      <c r="AD851" s="1">
        <f>IF($C851="",0,SUMPRODUCT((AY_SONU!$O$7:$O$42="Evet")*(AY_SONU!$B$7:$B$42=DATE(YEAR($C851),MONTH($C851),1))))</f>
        <v>0</v>
      </c>
      <c r="AE851" s="1" t="str">
        <f>IF($E851="","",$E851&amp;"|"&amp;COUNTIFS($E$7:$E851,$E851))</f>
        <v/>
      </c>
    </row>
    <row r="852" spans="1:31" ht="18" customHeight="1" x14ac:dyDescent="0.3">
      <c r="A852" s="2"/>
      <c r="B852" s="65" t="str">
        <f>IF($C852="","","GG"&amp;TEXT(ROW()-6,"00000"))</f>
        <v/>
      </c>
      <c r="C852" s="66"/>
      <c r="D852" s="60"/>
      <c r="E852" s="61"/>
      <c r="F852" s="61"/>
      <c r="G852" s="67"/>
      <c r="H852" s="60"/>
      <c r="I852" s="60"/>
      <c r="J852" s="61"/>
      <c r="K852" s="61"/>
      <c r="L852" s="60"/>
      <c r="M852" s="74" t="str">
        <f>IF($C852="","",IF($D852="Gider",$E852,IF($L852&lt;&gt;"",$L852,$H852)))</f>
        <v/>
      </c>
      <c r="N852" s="74" t="str">
        <f>IF($C852="","",IF($D852="Gider",$H852,$E852))</f>
        <v/>
      </c>
      <c r="O852" s="73" t="str">
        <f>IF($C852="","",DATE(YEAR($C852),MONTH($C852),1))</f>
        <v/>
      </c>
      <c r="P852" s="65" t="str">
        <f ca="1">IF($C852="","",IF(AND($D852="Gelir",$L852&lt;&gt;"",$T852=""),"TANIMSIZ BORÇLU",IF($T852&lt;&gt;"",IF(OR($E852="",$G852&lt;=0),"EKSİK",IF($I852="Evet","TAHAKKUK NAKİT OLAMAZ",IF($C852&gt;TODAY(),"İLERİ TARİH","TAHAKKUK"))),IF(AND($D852&lt;&gt;"",$E852&lt;&gt;"",$G852&gt;0,$H852&lt;&gt;"",$I852&lt;&gt;""),IF($C852&gt;TODAY(),"İLERİ TARİH",IF(COUNTIF($W$7:$W$3001,$W852)&gt;1,"MÜKERRER?",IF($AD852&gt;0,"KAPALI DÖNEM",IF($I852="Hayır","ÖDENECEK","UYGUN")))),"EKSİK"))))</f>
        <v/>
      </c>
      <c r="Q852" s="2"/>
      <c r="R852" s="2"/>
      <c r="S852" s="1" t="str">
        <f t="shared" si="41"/>
        <v/>
      </c>
      <c r="T852" s="1" t="str">
        <f>IF(OR($C852="",$D852&lt;&gt;"Gelir",$L852=""),"",IFERROR(INDEX(MUSTERILER!$B$7:$B$156,MATCH($S852,MUSTERILER!$T$7:$T$156,0)),""))</f>
        <v/>
      </c>
      <c r="U852" s="1" t="str">
        <f>IF($T852="","",$T852&amp;"|"&amp;COUNTIFS($T$7:$T852,$T852))</f>
        <v/>
      </c>
      <c r="V852" s="1">
        <f t="shared" si="42"/>
        <v>0</v>
      </c>
      <c r="W852" s="1" t="str">
        <f t="shared" si="43"/>
        <v/>
      </c>
      <c r="X852" s="1"/>
      <c r="Y852" s="1"/>
      <c r="Z852" s="1"/>
      <c r="AA852" s="1"/>
      <c r="AB852" s="1"/>
      <c r="AC852" s="1"/>
      <c r="AD852" s="1">
        <f>IF($C852="",0,SUMPRODUCT((AY_SONU!$O$7:$O$42="Evet")*(AY_SONU!$B$7:$B$42=DATE(YEAR($C852),MONTH($C852),1))))</f>
        <v>0</v>
      </c>
      <c r="AE852" s="1" t="str">
        <f>IF($E852="","",$E852&amp;"|"&amp;COUNTIFS($E$7:$E852,$E852))</f>
        <v/>
      </c>
    </row>
    <row r="853" spans="1:31" ht="18" customHeight="1" x14ac:dyDescent="0.3">
      <c r="A853" s="2"/>
      <c r="B853" s="65" t="str">
        <f>IF($C853="","","GG"&amp;TEXT(ROW()-6,"00000"))</f>
        <v/>
      </c>
      <c r="C853" s="66"/>
      <c r="D853" s="60"/>
      <c r="E853" s="61"/>
      <c r="F853" s="61"/>
      <c r="G853" s="67"/>
      <c r="H853" s="60"/>
      <c r="I853" s="60"/>
      <c r="J853" s="61"/>
      <c r="K853" s="61"/>
      <c r="L853" s="60"/>
      <c r="M853" s="74" t="str">
        <f>IF($C853="","",IF($D853="Gider",$E853,IF($L853&lt;&gt;"",$L853,$H853)))</f>
        <v/>
      </c>
      <c r="N853" s="74" t="str">
        <f>IF($C853="","",IF($D853="Gider",$H853,$E853))</f>
        <v/>
      </c>
      <c r="O853" s="73" t="str">
        <f>IF($C853="","",DATE(YEAR($C853),MONTH($C853),1))</f>
        <v/>
      </c>
      <c r="P853" s="65" t="str">
        <f ca="1">IF($C853="","",IF(AND($D853="Gelir",$L853&lt;&gt;"",$T853=""),"TANIMSIZ BORÇLU",IF($T853&lt;&gt;"",IF(OR($E853="",$G853&lt;=0),"EKSİK",IF($I853="Evet","TAHAKKUK NAKİT OLAMAZ",IF($C853&gt;TODAY(),"İLERİ TARİH","TAHAKKUK"))),IF(AND($D853&lt;&gt;"",$E853&lt;&gt;"",$G853&gt;0,$H853&lt;&gt;"",$I853&lt;&gt;""),IF($C853&gt;TODAY(),"İLERİ TARİH",IF(COUNTIF($W$7:$W$3001,$W853)&gt;1,"MÜKERRER?",IF($AD853&gt;0,"KAPALI DÖNEM",IF($I853="Hayır","ÖDENECEK","UYGUN")))),"EKSİK"))))</f>
        <v/>
      </c>
      <c r="Q853" s="2"/>
      <c r="R853" s="2"/>
      <c r="S853" s="1" t="str">
        <f t="shared" si="41"/>
        <v/>
      </c>
      <c r="T853" s="1" t="str">
        <f>IF(OR($C853="",$D853&lt;&gt;"Gelir",$L853=""),"",IFERROR(INDEX(MUSTERILER!$B$7:$B$156,MATCH($S853,MUSTERILER!$T$7:$T$156,0)),""))</f>
        <v/>
      </c>
      <c r="U853" s="1" t="str">
        <f>IF($T853="","",$T853&amp;"|"&amp;COUNTIFS($T$7:$T853,$T853))</f>
        <v/>
      </c>
      <c r="V853" s="1">
        <f t="shared" si="42"/>
        <v>0</v>
      </c>
      <c r="W853" s="1" t="str">
        <f t="shared" si="43"/>
        <v/>
      </c>
      <c r="X853" s="1"/>
      <c r="Y853" s="1"/>
      <c r="Z853" s="1"/>
      <c r="AA853" s="1"/>
      <c r="AB853" s="1"/>
      <c r="AC853" s="1"/>
      <c r="AD853" s="1">
        <f>IF($C853="",0,SUMPRODUCT((AY_SONU!$O$7:$O$42="Evet")*(AY_SONU!$B$7:$B$42=DATE(YEAR($C853),MONTH($C853),1))))</f>
        <v>0</v>
      </c>
      <c r="AE853" s="1" t="str">
        <f>IF($E853="","",$E853&amp;"|"&amp;COUNTIFS($E$7:$E853,$E853))</f>
        <v/>
      </c>
    </row>
    <row r="854" spans="1:31" ht="18" customHeight="1" x14ac:dyDescent="0.3">
      <c r="A854" s="2"/>
      <c r="B854" s="65" t="str">
        <f>IF($C854="","","GG"&amp;TEXT(ROW()-6,"00000"))</f>
        <v/>
      </c>
      <c r="C854" s="66"/>
      <c r="D854" s="60"/>
      <c r="E854" s="61"/>
      <c r="F854" s="61"/>
      <c r="G854" s="67"/>
      <c r="H854" s="60"/>
      <c r="I854" s="60"/>
      <c r="J854" s="61"/>
      <c r="K854" s="61"/>
      <c r="L854" s="60"/>
      <c r="M854" s="74" t="str">
        <f>IF($C854="","",IF($D854="Gider",$E854,IF($L854&lt;&gt;"",$L854,$H854)))</f>
        <v/>
      </c>
      <c r="N854" s="74" t="str">
        <f>IF($C854="","",IF($D854="Gider",$H854,$E854))</f>
        <v/>
      </c>
      <c r="O854" s="73" t="str">
        <f>IF($C854="","",DATE(YEAR($C854),MONTH($C854),1))</f>
        <v/>
      </c>
      <c r="P854" s="65" t="str">
        <f ca="1">IF($C854="","",IF(AND($D854="Gelir",$L854&lt;&gt;"",$T854=""),"TANIMSIZ BORÇLU",IF($T854&lt;&gt;"",IF(OR($E854="",$G854&lt;=0),"EKSİK",IF($I854="Evet","TAHAKKUK NAKİT OLAMAZ",IF($C854&gt;TODAY(),"İLERİ TARİH","TAHAKKUK"))),IF(AND($D854&lt;&gt;"",$E854&lt;&gt;"",$G854&gt;0,$H854&lt;&gt;"",$I854&lt;&gt;""),IF($C854&gt;TODAY(),"İLERİ TARİH",IF(COUNTIF($W$7:$W$3001,$W854)&gt;1,"MÜKERRER?",IF($AD854&gt;0,"KAPALI DÖNEM",IF($I854="Hayır","ÖDENECEK","UYGUN")))),"EKSİK"))))</f>
        <v/>
      </c>
      <c r="Q854" s="2"/>
      <c r="R854" s="2"/>
      <c r="S854" s="1" t="str">
        <f t="shared" si="41"/>
        <v/>
      </c>
      <c r="T854" s="1" t="str">
        <f>IF(OR($C854="",$D854&lt;&gt;"Gelir",$L854=""),"",IFERROR(INDEX(MUSTERILER!$B$7:$B$156,MATCH($S854,MUSTERILER!$T$7:$T$156,0)),""))</f>
        <v/>
      </c>
      <c r="U854" s="1" t="str">
        <f>IF($T854="","",$T854&amp;"|"&amp;COUNTIFS($T$7:$T854,$T854))</f>
        <v/>
      </c>
      <c r="V854" s="1">
        <f t="shared" si="42"/>
        <v>0</v>
      </c>
      <c r="W854" s="1" t="str">
        <f t="shared" si="43"/>
        <v/>
      </c>
      <c r="X854" s="1"/>
      <c r="Y854" s="1"/>
      <c r="Z854" s="1"/>
      <c r="AA854" s="1"/>
      <c r="AB854" s="1"/>
      <c r="AC854" s="1"/>
      <c r="AD854" s="1">
        <f>IF($C854="",0,SUMPRODUCT((AY_SONU!$O$7:$O$42="Evet")*(AY_SONU!$B$7:$B$42=DATE(YEAR($C854),MONTH($C854),1))))</f>
        <v>0</v>
      </c>
      <c r="AE854" s="1" t="str">
        <f>IF($E854="","",$E854&amp;"|"&amp;COUNTIFS($E$7:$E854,$E854))</f>
        <v/>
      </c>
    </row>
    <row r="855" spans="1:31" ht="18" customHeight="1" x14ac:dyDescent="0.3">
      <c r="A855" s="2"/>
      <c r="B855" s="65" t="str">
        <f>IF($C855="","","GG"&amp;TEXT(ROW()-6,"00000"))</f>
        <v/>
      </c>
      <c r="C855" s="66"/>
      <c r="D855" s="60"/>
      <c r="E855" s="61"/>
      <c r="F855" s="61"/>
      <c r="G855" s="67"/>
      <c r="H855" s="60"/>
      <c r="I855" s="60"/>
      <c r="J855" s="61"/>
      <c r="K855" s="61"/>
      <c r="L855" s="60"/>
      <c r="M855" s="74" t="str">
        <f>IF($C855="","",IF($D855="Gider",$E855,IF($L855&lt;&gt;"",$L855,$H855)))</f>
        <v/>
      </c>
      <c r="N855" s="74" t="str">
        <f>IF($C855="","",IF($D855="Gider",$H855,$E855))</f>
        <v/>
      </c>
      <c r="O855" s="73" t="str">
        <f>IF($C855="","",DATE(YEAR($C855),MONTH($C855),1))</f>
        <v/>
      </c>
      <c r="P855" s="65" t="str">
        <f ca="1">IF($C855="","",IF(AND($D855="Gelir",$L855&lt;&gt;"",$T855=""),"TANIMSIZ BORÇLU",IF($T855&lt;&gt;"",IF(OR($E855="",$G855&lt;=0),"EKSİK",IF($I855="Evet","TAHAKKUK NAKİT OLAMAZ",IF($C855&gt;TODAY(),"İLERİ TARİH","TAHAKKUK"))),IF(AND($D855&lt;&gt;"",$E855&lt;&gt;"",$G855&gt;0,$H855&lt;&gt;"",$I855&lt;&gt;""),IF($C855&gt;TODAY(),"İLERİ TARİH",IF(COUNTIF($W$7:$W$3001,$W855)&gt;1,"MÜKERRER?",IF($AD855&gt;0,"KAPALI DÖNEM",IF($I855="Hayır","ÖDENECEK","UYGUN")))),"EKSİK"))))</f>
        <v/>
      </c>
      <c r="Q855" s="2"/>
      <c r="R855" s="2"/>
      <c r="S855" s="1" t="str">
        <f t="shared" si="41"/>
        <v/>
      </c>
      <c r="T855" s="1" t="str">
        <f>IF(OR($C855="",$D855&lt;&gt;"Gelir",$L855=""),"",IFERROR(INDEX(MUSTERILER!$B$7:$B$156,MATCH($S855,MUSTERILER!$T$7:$T$156,0)),""))</f>
        <v/>
      </c>
      <c r="U855" s="1" t="str">
        <f>IF($T855="","",$T855&amp;"|"&amp;COUNTIFS($T$7:$T855,$T855))</f>
        <v/>
      </c>
      <c r="V855" s="1">
        <f t="shared" si="42"/>
        <v>0</v>
      </c>
      <c r="W855" s="1" t="str">
        <f t="shared" si="43"/>
        <v/>
      </c>
      <c r="X855" s="1"/>
      <c r="Y855" s="1"/>
      <c r="Z855" s="1"/>
      <c r="AA855" s="1"/>
      <c r="AB855" s="1"/>
      <c r="AC855" s="1"/>
      <c r="AD855" s="1">
        <f>IF($C855="",0,SUMPRODUCT((AY_SONU!$O$7:$O$42="Evet")*(AY_SONU!$B$7:$B$42=DATE(YEAR($C855),MONTH($C855),1))))</f>
        <v>0</v>
      </c>
      <c r="AE855" s="1" t="str">
        <f>IF($E855="","",$E855&amp;"|"&amp;COUNTIFS($E$7:$E855,$E855))</f>
        <v/>
      </c>
    </row>
    <row r="856" spans="1:31" ht="18" customHeight="1" x14ac:dyDescent="0.3">
      <c r="A856" s="2"/>
      <c r="B856" s="65" t="str">
        <f>IF($C856="","","GG"&amp;TEXT(ROW()-6,"00000"))</f>
        <v/>
      </c>
      <c r="C856" s="66"/>
      <c r="D856" s="60"/>
      <c r="E856" s="61"/>
      <c r="F856" s="61"/>
      <c r="G856" s="67"/>
      <c r="H856" s="60"/>
      <c r="I856" s="60"/>
      <c r="J856" s="61"/>
      <c r="K856" s="61"/>
      <c r="L856" s="60"/>
      <c r="M856" s="74" t="str">
        <f>IF($C856="","",IF($D856="Gider",$E856,IF($L856&lt;&gt;"",$L856,$H856)))</f>
        <v/>
      </c>
      <c r="N856" s="74" t="str">
        <f>IF($C856="","",IF($D856="Gider",$H856,$E856))</f>
        <v/>
      </c>
      <c r="O856" s="73" t="str">
        <f>IF($C856="","",DATE(YEAR($C856),MONTH($C856),1))</f>
        <v/>
      </c>
      <c r="P856" s="65" t="str">
        <f ca="1">IF($C856="","",IF(AND($D856="Gelir",$L856&lt;&gt;"",$T856=""),"TANIMSIZ BORÇLU",IF($T856&lt;&gt;"",IF(OR($E856="",$G856&lt;=0),"EKSİK",IF($I856="Evet","TAHAKKUK NAKİT OLAMAZ",IF($C856&gt;TODAY(),"İLERİ TARİH","TAHAKKUK"))),IF(AND($D856&lt;&gt;"",$E856&lt;&gt;"",$G856&gt;0,$H856&lt;&gt;"",$I856&lt;&gt;""),IF($C856&gt;TODAY(),"İLERİ TARİH",IF(COUNTIF($W$7:$W$3001,$W856)&gt;1,"MÜKERRER?",IF($AD856&gt;0,"KAPALI DÖNEM",IF($I856="Hayır","ÖDENECEK","UYGUN")))),"EKSİK"))))</f>
        <v/>
      </c>
      <c r="Q856" s="2"/>
      <c r="R856" s="2"/>
      <c r="S856" s="1" t="str">
        <f t="shared" si="41"/>
        <v/>
      </c>
      <c r="T856" s="1" t="str">
        <f>IF(OR($C856="",$D856&lt;&gt;"Gelir",$L856=""),"",IFERROR(INDEX(MUSTERILER!$B$7:$B$156,MATCH($S856,MUSTERILER!$T$7:$T$156,0)),""))</f>
        <v/>
      </c>
      <c r="U856" s="1" t="str">
        <f>IF($T856="","",$T856&amp;"|"&amp;COUNTIFS($T$7:$T856,$T856))</f>
        <v/>
      </c>
      <c r="V856" s="1">
        <f t="shared" si="42"/>
        <v>0</v>
      </c>
      <c r="W856" s="1" t="str">
        <f t="shared" si="43"/>
        <v/>
      </c>
      <c r="X856" s="1"/>
      <c r="Y856" s="1"/>
      <c r="Z856" s="1"/>
      <c r="AA856" s="1"/>
      <c r="AB856" s="1"/>
      <c r="AC856" s="1"/>
      <c r="AD856" s="1">
        <f>IF($C856="",0,SUMPRODUCT((AY_SONU!$O$7:$O$42="Evet")*(AY_SONU!$B$7:$B$42=DATE(YEAR($C856),MONTH($C856),1))))</f>
        <v>0</v>
      </c>
      <c r="AE856" s="1" t="str">
        <f>IF($E856="","",$E856&amp;"|"&amp;COUNTIFS($E$7:$E856,$E856))</f>
        <v/>
      </c>
    </row>
    <row r="857" spans="1:31" ht="18" customHeight="1" x14ac:dyDescent="0.3">
      <c r="A857" s="2"/>
      <c r="B857" s="65" t="str">
        <f>IF($C857="","","GG"&amp;TEXT(ROW()-6,"00000"))</f>
        <v/>
      </c>
      <c r="C857" s="66"/>
      <c r="D857" s="60"/>
      <c r="E857" s="61"/>
      <c r="F857" s="61"/>
      <c r="G857" s="67"/>
      <c r="H857" s="60"/>
      <c r="I857" s="60"/>
      <c r="J857" s="61"/>
      <c r="K857" s="61"/>
      <c r="L857" s="60"/>
      <c r="M857" s="74" t="str">
        <f>IF($C857="","",IF($D857="Gider",$E857,IF($L857&lt;&gt;"",$L857,$H857)))</f>
        <v/>
      </c>
      <c r="N857" s="74" t="str">
        <f>IF($C857="","",IF($D857="Gider",$H857,$E857))</f>
        <v/>
      </c>
      <c r="O857" s="73" t="str">
        <f>IF($C857="","",DATE(YEAR($C857),MONTH($C857),1))</f>
        <v/>
      </c>
      <c r="P857" s="65" t="str">
        <f ca="1">IF($C857="","",IF(AND($D857="Gelir",$L857&lt;&gt;"",$T857=""),"TANIMSIZ BORÇLU",IF($T857&lt;&gt;"",IF(OR($E857="",$G857&lt;=0),"EKSİK",IF($I857="Evet","TAHAKKUK NAKİT OLAMAZ",IF($C857&gt;TODAY(),"İLERİ TARİH","TAHAKKUK"))),IF(AND($D857&lt;&gt;"",$E857&lt;&gt;"",$G857&gt;0,$H857&lt;&gt;"",$I857&lt;&gt;""),IF($C857&gt;TODAY(),"İLERİ TARİH",IF(COUNTIF($W$7:$W$3001,$W857)&gt;1,"MÜKERRER?",IF($AD857&gt;0,"KAPALI DÖNEM",IF($I857="Hayır","ÖDENECEK","UYGUN")))),"EKSİK"))))</f>
        <v/>
      </c>
      <c r="Q857" s="2"/>
      <c r="R857" s="2"/>
      <c r="S857" s="1" t="str">
        <f t="shared" si="41"/>
        <v/>
      </c>
      <c r="T857" s="1" t="str">
        <f>IF(OR($C857="",$D857&lt;&gt;"Gelir",$L857=""),"",IFERROR(INDEX(MUSTERILER!$B$7:$B$156,MATCH($S857,MUSTERILER!$T$7:$T$156,0)),""))</f>
        <v/>
      </c>
      <c r="U857" s="1" t="str">
        <f>IF($T857="","",$T857&amp;"|"&amp;COUNTIFS($T$7:$T857,$T857))</f>
        <v/>
      </c>
      <c r="V857" s="1">
        <f t="shared" si="42"/>
        <v>0</v>
      </c>
      <c r="W857" s="1" t="str">
        <f t="shared" si="43"/>
        <v/>
      </c>
      <c r="X857" s="1"/>
      <c r="Y857" s="1"/>
      <c r="Z857" s="1"/>
      <c r="AA857" s="1"/>
      <c r="AB857" s="1"/>
      <c r="AC857" s="1"/>
      <c r="AD857" s="1">
        <f>IF($C857="",0,SUMPRODUCT((AY_SONU!$O$7:$O$42="Evet")*(AY_SONU!$B$7:$B$42=DATE(YEAR($C857),MONTH($C857),1))))</f>
        <v>0</v>
      </c>
      <c r="AE857" s="1" t="str">
        <f>IF($E857="","",$E857&amp;"|"&amp;COUNTIFS($E$7:$E857,$E857))</f>
        <v/>
      </c>
    </row>
    <row r="858" spans="1:31" ht="18" customHeight="1" x14ac:dyDescent="0.3">
      <c r="A858" s="2"/>
      <c r="B858" s="65" t="str">
        <f>IF($C858="","","GG"&amp;TEXT(ROW()-6,"00000"))</f>
        <v/>
      </c>
      <c r="C858" s="66"/>
      <c r="D858" s="60"/>
      <c r="E858" s="61"/>
      <c r="F858" s="61"/>
      <c r="G858" s="67"/>
      <c r="H858" s="60"/>
      <c r="I858" s="60"/>
      <c r="J858" s="61"/>
      <c r="K858" s="61"/>
      <c r="L858" s="60"/>
      <c r="M858" s="74" t="str">
        <f>IF($C858="","",IF($D858="Gider",$E858,IF($L858&lt;&gt;"",$L858,$H858)))</f>
        <v/>
      </c>
      <c r="N858" s="74" t="str">
        <f>IF($C858="","",IF($D858="Gider",$H858,$E858))</f>
        <v/>
      </c>
      <c r="O858" s="73" t="str">
        <f>IF($C858="","",DATE(YEAR($C858),MONTH($C858),1))</f>
        <v/>
      </c>
      <c r="P858" s="65" t="str">
        <f ca="1">IF($C858="","",IF(AND($D858="Gelir",$L858&lt;&gt;"",$T858=""),"TANIMSIZ BORÇLU",IF($T858&lt;&gt;"",IF(OR($E858="",$G858&lt;=0),"EKSİK",IF($I858="Evet","TAHAKKUK NAKİT OLAMAZ",IF($C858&gt;TODAY(),"İLERİ TARİH","TAHAKKUK"))),IF(AND($D858&lt;&gt;"",$E858&lt;&gt;"",$G858&gt;0,$H858&lt;&gt;"",$I858&lt;&gt;""),IF($C858&gt;TODAY(),"İLERİ TARİH",IF(COUNTIF($W$7:$W$3001,$W858)&gt;1,"MÜKERRER?",IF($AD858&gt;0,"KAPALI DÖNEM",IF($I858="Hayır","ÖDENECEK","UYGUN")))),"EKSİK"))))</f>
        <v/>
      </c>
      <c r="Q858" s="2"/>
      <c r="R858" s="2"/>
      <c r="S858" s="1" t="str">
        <f t="shared" si="41"/>
        <v/>
      </c>
      <c r="T858" s="1" t="str">
        <f>IF(OR($C858="",$D858&lt;&gt;"Gelir",$L858=""),"",IFERROR(INDEX(MUSTERILER!$B$7:$B$156,MATCH($S858,MUSTERILER!$T$7:$T$156,0)),""))</f>
        <v/>
      </c>
      <c r="U858" s="1" t="str">
        <f>IF($T858="","",$T858&amp;"|"&amp;COUNTIFS($T$7:$T858,$T858))</f>
        <v/>
      </c>
      <c r="V858" s="1">
        <f t="shared" si="42"/>
        <v>0</v>
      </c>
      <c r="W858" s="1" t="str">
        <f t="shared" si="43"/>
        <v/>
      </c>
      <c r="X858" s="1"/>
      <c r="Y858" s="1"/>
      <c r="Z858" s="1"/>
      <c r="AA858" s="1"/>
      <c r="AB858" s="1"/>
      <c r="AC858" s="1"/>
      <c r="AD858" s="1">
        <f>IF($C858="",0,SUMPRODUCT((AY_SONU!$O$7:$O$42="Evet")*(AY_SONU!$B$7:$B$42=DATE(YEAR($C858),MONTH($C858),1))))</f>
        <v>0</v>
      </c>
      <c r="AE858" s="1" t="str">
        <f>IF($E858="","",$E858&amp;"|"&amp;COUNTIFS($E$7:$E858,$E858))</f>
        <v/>
      </c>
    </row>
    <row r="859" spans="1:31" ht="18" customHeight="1" x14ac:dyDescent="0.3">
      <c r="A859" s="2"/>
      <c r="B859" s="65" t="str">
        <f>IF($C859="","","GG"&amp;TEXT(ROW()-6,"00000"))</f>
        <v/>
      </c>
      <c r="C859" s="66"/>
      <c r="D859" s="60"/>
      <c r="E859" s="61"/>
      <c r="F859" s="61"/>
      <c r="G859" s="67"/>
      <c r="H859" s="60"/>
      <c r="I859" s="60"/>
      <c r="J859" s="61"/>
      <c r="K859" s="61"/>
      <c r="L859" s="60"/>
      <c r="M859" s="74" t="str">
        <f>IF($C859="","",IF($D859="Gider",$E859,IF($L859&lt;&gt;"",$L859,$H859)))</f>
        <v/>
      </c>
      <c r="N859" s="74" t="str">
        <f>IF($C859="","",IF($D859="Gider",$H859,$E859))</f>
        <v/>
      </c>
      <c r="O859" s="73" t="str">
        <f>IF($C859="","",DATE(YEAR($C859),MONTH($C859),1))</f>
        <v/>
      </c>
      <c r="P859" s="65" t="str">
        <f ca="1">IF($C859="","",IF(AND($D859="Gelir",$L859&lt;&gt;"",$T859=""),"TANIMSIZ BORÇLU",IF($T859&lt;&gt;"",IF(OR($E859="",$G859&lt;=0),"EKSİK",IF($I859="Evet","TAHAKKUK NAKİT OLAMAZ",IF($C859&gt;TODAY(),"İLERİ TARİH","TAHAKKUK"))),IF(AND($D859&lt;&gt;"",$E859&lt;&gt;"",$G859&gt;0,$H859&lt;&gt;"",$I859&lt;&gt;""),IF($C859&gt;TODAY(),"İLERİ TARİH",IF(COUNTIF($W$7:$W$3001,$W859)&gt;1,"MÜKERRER?",IF($AD859&gt;0,"KAPALI DÖNEM",IF($I859="Hayır","ÖDENECEK","UYGUN")))),"EKSİK"))))</f>
        <v/>
      </c>
      <c r="Q859" s="2"/>
      <c r="R859" s="2"/>
      <c r="S859" s="1" t="str">
        <f t="shared" si="41"/>
        <v/>
      </c>
      <c r="T859" s="1" t="str">
        <f>IF(OR($C859="",$D859&lt;&gt;"Gelir",$L859=""),"",IFERROR(INDEX(MUSTERILER!$B$7:$B$156,MATCH($S859,MUSTERILER!$T$7:$T$156,0)),""))</f>
        <v/>
      </c>
      <c r="U859" s="1" t="str">
        <f>IF($T859="","",$T859&amp;"|"&amp;COUNTIFS($T$7:$T859,$T859))</f>
        <v/>
      </c>
      <c r="V859" s="1">
        <f t="shared" si="42"/>
        <v>0</v>
      </c>
      <c r="W859" s="1" t="str">
        <f t="shared" si="43"/>
        <v/>
      </c>
      <c r="X859" s="1"/>
      <c r="Y859" s="1"/>
      <c r="Z859" s="1"/>
      <c r="AA859" s="1"/>
      <c r="AB859" s="1"/>
      <c r="AC859" s="1"/>
      <c r="AD859" s="1">
        <f>IF($C859="",0,SUMPRODUCT((AY_SONU!$O$7:$O$42="Evet")*(AY_SONU!$B$7:$B$42=DATE(YEAR($C859),MONTH($C859),1))))</f>
        <v>0</v>
      </c>
      <c r="AE859" s="1" t="str">
        <f>IF($E859="","",$E859&amp;"|"&amp;COUNTIFS($E$7:$E859,$E859))</f>
        <v/>
      </c>
    </row>
    <row r="860" spans="1:31" ht="18" customHeight="1" x14ac:dyDescent="0.3">
      <c r="A860" s="2"/>
      <c r="B860" s="65" t="str">
        <f>IF($C860="","","GG"&amp;TEXT(ROW()-6,"00000"))</f>
        <v/>
      </c>
      <c r="C860" s="66"/>
      <c r="D860" s="60"/>
      <c r="E860" s="61"/>
      <c r="F860" s="61"/>
      <c r="G860" s="67"/>
      <c r="H860" s="60"/>
      <c r="I860" s="60"/>
      <c r="J860" s="61"/>
      <c r="K860" s="61"/>
      <c r="L860" s="60"/>
      <c r="M860" s="74" t="str">
        <f>IF($C860="","",IF($D860="Gider",$E860,IF($L860&lt;&gt;"",$L860,$H860)))</f>
        <v/>
      </c>
      <c r="N860" s="74" t="str">
        <f>IF($C860="","",IF($D860="Gider",$H860,$E860))</f>
        <v/>
      </c>
      <c r="O860" s="73" t="str">
        <f>IF($C860="","",DATE(YEAR($C860),MONTH($C860),1))</f>
        <v/>
      </c>
      <c r="P860" s="65" t="str">
        <f ca="1">IF($C860="","",IF(AND($D860="Gelir",$L860&lt;&gt;"",$T860=""),"TANIMSIZ BORÇLU",IF($T860&lt;&gt;"",IF(OR($E860="",$G860&lt;=0),"EKSİK",IF($I860="Evet","TAHAKKUK NAKİT OLAMAZ",IF($C860&gt;TODAY(),"İLERİ TARİH","TAHAKKUK"))),IF(AND($D860&lt;&gt;"",$E860&lt;&gt;"",$G860&gt;0,$H860&lt;&gt;"",$I860&lt;&gt;""),IF($C860&gt;TODAY(),"İLERİ TARİH",IF(COUNTIF($W$7:$W$3001,$W860)&gt;1,"MÜKERRER?",IF($AD860&gt;0,"KAPALI DÖNEM",IF($I860="Hayır","ÖDENECEK","UYGUN")))),"EKSİK"))))</f>
        <v/>
      </c>
      <c r="Q860" s="2"/>
      <c r="R860" s="2"/>
      <c r="S860" s="1" t="str">
        <f t="shared" si="41"/>
        <v/>
      </c>
      <c r="T860" s="1" t="str">
        <f>IF(OR($C860="",$D860&lt;&gt;"Gelir",$L860=""),"",IFERROR(INDEX(MUSTERILER!$B$7:$B$156,MATCH($S860,MUSTERILER!$T$7:$T$156,0)),""))</f>
        <v/>
      </c>
      <c r="U860" s="1" t="str">
        <f>IF($T860="","",$T860&amp;"|"&amp;COUNTIFS($T$7:$T860,$T860))</f>
        <v/>
      </c>
      <c r="V860" s="1">
        <f t="shared" si="42"/>
        <v>0</v>
      </c>
      <c r="W860" s="1" t="str">
        <f t="shared" si="43"/>
        <v/>
      </c>
      <c r="X860" s="1"/>
      <c r="Y860" s="1"/>
      <c r="Z860" s="1"/>
      <c r="AA860" s="1"/>
      <c r="AB860" s="1"/>
      <c r="AC860" s="1"/>
      <c r="AD860" s="1">
        <f>IF($C860="",0,SUMPRODUCT((AY_SONU!$O$7:$O$42="Evet")*(AY_SONU!$B$7:$B$42=DATE(YEAR($C860),MONTH($C860),1))))</f>
        <v>0</v>
      </c>
      <c r="AE860" s="1" t="str">
        <f>IF($E860="","",$E860&amp;"|"&amp;COUNTIFS($E$7:$E860,$E860))</f>
        <v/>
      </c>
    </row>
    <row r="861" spans="1:31" ht="18" customHeight="1" x14ac:dyDescent="0.3">
      <c r="A861" s="2"/>
      <c r="B861" s="65" t="str">
        <f>IF($C861="","","GG"&amp;TEXT(ROW()-6,"00000"))</f>
        <v/>
      </c>
      <c r="C861" s="66"/>
      <c r="D861" s="60"/>
      <c r="E861" s="61"/>
      <c r="F861" s="61"/>
      <c r="G861" s="67"/>
      <c r="H861" s="60"/>
      <c r="I861" s="60"/>
      <c r="J861" s="61"/>
      <c r="K861" s="61"/>
      <c r="L861" s="60"/>
      <c r="M861" s="74" t="str">
        <f>IF($C861="","",IF($D861="Gider",$E861,IF($L861&lt;&gt;"",$L861,$H861)))</f>
        <v/>
      </c>
      <c r="N861" s="74" t="str">
        <f>IF($C861="","",IF($D861="Gider",$H861,$E861))</f>
        <v/>
      </c>
      <c r="O861" s="73" t="str">
        <f>IF($C861="","",DATE(YEAR($C861),MONTH($C861),1))</f>
        <v/>
      </c>
      <c r="P861" s="65" t="str">
        <f ca="1">IF($C861="","",IF(AND($D861="Gelir",$L861&lt;&gt;"",$T861=""),"TANIMSIZ BORÇLU",IF($T861&lt;&gt;"",IF(OR($E861="",$G861&lt;=0),"EKSİK",IF($I861="Evet","TAHAKKUK NAKİT OLAMAZ",IF($C861&gt;TODAY(),"İLERİ TARİH","TAHAKKUK"))),IF(AND($D861&lt;&gt;"",$E861&lt;&gt;"",$G861&gt;0,$H861&lt;&gt;"",$I861&lt;&gt;""),IF($C861&gt;TODAY(),"İLERİ TARİH",IF(COUNTIF($W$7:$W$3001,$W861)&gt;1,"MÜKERRER?",IF($AD861&gt;0,"KAPALI DÖNEM",IF($I861="Hayır","ÖDENECEK","UYGUN")))),"EKSİK"))))</f>
        <v/>
      </c>
      <c r="Q861" s="2"/>
      <c r="R861" s="2"/>
      <c r="S861" s="1" t="str">
        <f t="shared" si="41"/>
        <v/>
      </c>
      <c r="T861" s="1" t="str">
        <f>IF(OR($C861="",$D861&lt;&gt;"Gelir",$L861=""),"",IFERROR(INDEX(MUSTERILER!$B$7:$B$156,MATCH($S861,MUSTERILER!$T$7:$T$156,0)),""))</f>
        <v/>
      </c>
      <c r="U861" s="1" t="str">
        <f>IF($T861="","",$T861&amp;"|"&amp;COUNTIFS($T$7:$T861,$T861))</f>
        <v/>
      </c>
      <c r="V861" s="1">
        <f t="shared" si="42"/>
        <v>0</v>
      </c>
      <c r="W861" s="1" t="str">
        <f t="shared" si="43"/>
        <v/>
      </c>
      <c r="X861" s="1"/>
      <c r="Y861" s="1"/>
      <c r="Z861" s="1"/>
      <c r="AA861" s="1"/>
      <c r="AB861" s="1"/>
      <c r="AC861" s="1"/>
      <c r="AD861" s="1">
        <f>IF($C861="",0,SUMPRODUCT((AY_SONU!$O$7:$O$42="Evet")*(AY_SONU!$B$7:$B$42=DATE(YEAR($C861),MONTH($C861),1))))</f>
        <v>0</v>
      </c>
      <c r="AE861" s="1" t="str">
        <f>IF($E861="","",$E861&amp;"|"&amp;COUNTIFS($E$7:$E861,$E861))</f>
        <v/>
      </c>
    </row>
    <row r="862" spans="1:31" ht="18" customHeight="1" x14ac:dyDescent="0.3">
      <c r="A862" s="2"/>
      <c r="B862" s="65" t="str">
        <f>IF($C862="","","GG"&amp;TEXT(ROW()-6,"00000"))</f>
        <v/>
      </c>
      <c r="C862" s="66"/>
      <c r="D862" s="60"/>
      <c r="E862" s="61"/>
      <c r="F862" s="61"/>
      <c r="G862" s="67"/>
      <c r="H862" s="60"/>
      <c r="I862" s="60"/>
      <c r="J862" s="61"/>
      <c r="K862" s="61"/>
      <c r="L862" s="60"/>
      <c r="M862" s="74" t="str">
        <f>IF($C862="","",IF($D862="Gider",$E862,IF($L862&lt;&gt;"",$L862,$H862)))</f>
        <v/>
      </c>
      <c r="N862" s="74" t="str">
        <f>IF($C862="","",IF($D862="Gider",$H862,$E862))</f>
        <v/>
      </c>
      <c r="O862" s="73" t="str">
        <f>IF($C862="","",DATE(YEAR($C862),MONTH($C862),1))</f>
        <v/>
      </c>
      <c r="P862" s="65" t="str">
        <f ca="1">IF($C862="","",IF(AND($D862="Gelir",$L862&lt;&gt;"",$T862=""),"TANIMSIZ BORÇLU",IF($T862&lt;&gt;"",IF(OR($E862="",$G862&lt;=0),"EKSİK",IF($I862="Evet","TAHAKKUK NAKİT OLAMAZ",IF($C862&gt;TODAY(),"İLERİ TARİH","TAHAKKUK"))),IF(AND($D862&lt;&gt;"",$E862&lt;&gt;"",$G862&gt;0,$H862&lt;&gt;"",$I862&lt;&gt;""),IF($C862&gt;TODAY(),"İLERİ TARİH",IF(COUNTIF($W$7:$W$3001,$W862)&gt;1,"MÜKERRER?",IF($AD862&gt;0,"KAPALI DÖNEM",IF($I862="Hayır","ÖDENECEK","UYGUN")))),"EKSİK"))))</f>
        <v/>
      </c>
      <c r="Q862" s="2"/>
      <c r="R862" s="2"/>
      <c r="S862" s="1" t="str">
        <f t="shared" si="41"/>
        <v/>
      </c>
      <c r="T862" s="1" t="str">
        <f>IF(OR($C862="",$D862&lt;&gt;"Gelir",$L862=""),"",IFERROR(INDEX(MUSTERILER!$B$7:$B$156,MATCH($S862,MUSTERILER!$T$7:$T$156,0)),""))</f>
        <v/>
      </c>
      <c r="U862" s="1" t="str">
        <f>IF($T862="","",$T862&amp;"|"&amp;COUNTIFS($T$7:$T862,$T862))</f>
        <v/>
      </c>
      <c r="V862" s="1">
        <f t="shared" si="42"/>
        <v>0</v>
      </c>
      <c r="W862" s="1" t="str">
        <f t="shared" si="43"/>
        <v/>
      </c>
      <c r="X862" s="1"/>
      <c r="Y862" s="1"/>
      <c r="Z862" s="1"/>
      <c r="AA862" s="1"/>
      <c r="AB862" s="1"/>
      <c r="AC862" s="1"/>
      <c r="AD862" s="1">
        <f>IF($C862="",0,SUMPRODUCT((AY_SONU!$O$7:$O$42="Evet")*(AY_SONU!$B$7:$B$42=DATE(YEAR($C862),MONTH($C862),1))))</f>
        <v>0</v>
      </c>
      <c r="AE862" s="1" t="str">
        <f>IF($E862="","",$E862&amp;"|"&amp;COUNTIFS($E$7:$E862,$E862))</f>
        <v/>
      </c>
    </row>
    <row r="863" spans="1:31" ht="18" customHeight="1" x14ac:dyDescent="0.3">
      <c r="A863" s="2"/>
      <c r="B863" s="65" t="str">
        <f>IF($C863="","","GG"&amp;TEXT(ROW()-6,"00000"))</f>
        <v/>
      </c>
      <c r="C863" s="66"/>
      <c r="D863" s="60"/>
      <c r="E863" s="61"/>
      <c r="F863" s="61"/>
      <c r="G863" s="67"/>
      <c r="H863" s="60"/>
      <c r="I863" s="60"/>
      <c r="J863" s="61"/>
      <c r="K863" s="61"/>
      <c r="L863" s="60"/>
      <c r="M863" s="74" t="str">
        <f>IF($C863="","",IF($D863="Gider",$E863,IF($L863&lt;&gt;"",$L863,$H863)))</f>
        <v/>
      </c>
      <c r="N863" s="74" t="str">
        <f>IF($C863="","",IF($D863="Gider",$H863,$E863))</f>
        <v/>
      </c>
      <c r="O863" s="73" t="str">
        <f>IF($C863="","",DATE(YEAR($C863),MONTH($C863),1))</f>
        <v/>
      </c>
      <c r="P863" s="65" t="str">
        <f ca="1">IF($C863="","",IF(AND($D863="Gelir",$L863&lt;&gt;"",$T863=""),"TANIMSIZ BORÇLU",IF($T863&lt;&gt;"",IF(OR($E863="",$G863&lt;=0),"EKSİK",IF($I863="Evet","TAHAKKUK NAKİT OLAMAZ",IF($C863&gt;TODAY(),"İLERİ TARİH","TAHAKKUK"))),IF(AND($D863&lt;&gt;"",$E863&lt;&gt;"",$G863&gt;0,$H863&lt;&gt;"",$I863&lt;&gt;""),IF($C863&gt;TODAY(),"İLERİ TARİH",IF(COUNTIF($W$7:$W$3001,$W863)&gt;1,"MÜKERRER?",IF($AD863&gt;0,"KAPALI DÖNEM",IF($I863="Hayır","ÖDENECEK","UYGUN")))),"EKSİK"))))</f>
        <v/>
      </c>
      <c r="Q863" s="2"/>
      <c r="R863" s="2"/>
      <c r="S863" s="1" t="str">
        <f t="shared" si="41"/>
        <v/>
      </c>
      <c r="T863" s="1" t="str">
        <f>IF(OR($C863="",$D863&lt;&gt;"Gelir",$L863=""),"",IFERROR(INDEX(MUSTERILER!$B$7:$B$156,MATCH($S863,MUSTERILER!$T$7:$T$156,0)),""))</f>
        <v/>
      </c>
      <c r="U863" s="1" t="str">
        <f>IF($T863="","",$T863&amp;"|"&amp;COUNTIFS($T$7:$T863,$T863))</f>
        <v/>
      </c>
      <c r="V863" s="1">
        <f t="shared" si="42"/>
        <v>0</v>
      </c>
      <c r="W863" s="1" t="str">
        <f t="shared" si="43"/>
        <v/>
      </c>
      <c r="X863" s="1"/>
      <c r="Y863" s="1"/>
      <c r="Z863" s="1"/>
      <c r="AA863" s="1"/>
      <c r="AB863" s="1"/>
      <c r="AC863" s="1"/>
      <c r="AD863" s="1">
        <f>IF($C863="",0,SUMPRODUCT((AY_SONU!$O$7:$O$42="Evet")*(AY_SONU!$B$7:$B$42=DATE(YEAR($C863),MONTH($C863),1))))</f>
        <v>0</v>
      </c>
      <c r="AE863" s="1" t="str">
        <f>IF($E863="","",$E863&amp;"|"&amp;COUNTIFS($E$7:$E863,$E863))</f>
        <v/>
      </c>
    </row>
    <row r="864" spans="1:31" ht="18" customHeight="1" x14ac:dyDescent="0.3">
      <c r="A864" s="2"/>
      <c r="B864" s="65" t="str">
        <f>IF($C864="","","GG"&amp;TEXT(ROW()-6,"00000"))</f>
        <v/>
      </c>
      <c r="C864" s="66"/>
      <c r="D864" s="60"/>
      <c r="E864" s="61"/>
      <c r="F864" s="61"/>
      <c r="G864" s="67"/>
      <c r="H864" s="60"/>
      <c r="I864" s="60"/>
      <c r="J864" s="61"/>
      <c r="K864" s="61"/>
      <c r="L864" s="60"/>
      <c r="M864" s="74" t="str">
        <f>IF($C864="","",IF($D864="Gider",$E864,IF($L864&lt;&gt;"",$L864,$H864)))</f>
        <v/>
      </c>
      <c r="N864" s="74" t="str">
        <f>IF($C864="","",IF($D864="Gider",$H864,$E864))</f>
        <v/>
      </c>
      <c r="O864" s="73" t="str">
        <f>IF($C864="","",DATE(YEAR($C864),MONTH($C864),1))</f>
        <v/>
      </c>
      <c r="P864" s="65" t="str">
        <f ca="1">IF($C864="","",IF(AND($D864="Gelir",$L864&lt;&gt;"",$T864=""),"TANIMSIZ BORÇLU",IF($T864&lt;&gt;"",IF(OR($E864="",$G864&lt;=0),"EKSİK",IF($I864="Evet","TAHAKKUK NAKİT OLAMAZ",IF($C864&gt;TODAY(),"İLERİ TARİH","TAHAKKUK"))),IF(AND($D864&lt;&gt;"",$E864&lt;&gt;"",$G864&gt;0,$H864&lt;&gt;"",$I864&lt;&gt;""),IF($C864&gt;TODAY(),"İLERİ TARİH",IF(COUNTIF($W$7:$W$3001,$W864)&gt;1,"MÜKERRER?",IF($AD864&gt;0,"KAPALI DÖNEM",IF($I864="Hayır","ÖDENECEK","UYGUN")))),"EKSİK"))))</f>
        <v/>
      </c>
      <c r="Q864" s="2"/>
      <c r="R864" s="2"/>
      <c r="S864" s="1" t="str">
        <f t="shared" si="41"/>
        <v/>
      </c>
      <c r="T864" s="1" t="str">
        <f>IF(OR($C864="",$D864&lt;&gt;"Gelir",$L864=""),"",IFERROR(INDEX(MUSTERILER!$B$7:$B$156,MATCH($S864,MUSTERILER!$T$7:$T$156,0)),""))</f>
        <v/>
      </c>
      <c r="U864" s="1" t="str">
        <f>IF($T864="","",$T864&amp;"|"&amp;COUNTIFS($T$7:$T864,$T864))</f>
        <v/>
      </c>
      <c r="V864" s="1">
        <f t="shared" si="42"/>
        <v>0</v>
      </c>
      <c r="W864" s="1" t="str">
        <f t="shared" si="43"/>
        <v/>
      </c>
      <c r="X864" s="1"/>
      <c r="Y864" s="1"/>
      <c r="Z864" s="1"/>
      <c r="AA864" s="1"/>
      <c r="AB864" s="1"/>
      <c r="AC864" s="1"/>
      <c r="AD864" s="1">
        <f>IF($C864="",0,SUMPRODUCT((AY_SONU!$O$7:$O$42="Evet")*(AY_SONU!$B$7:$B$42=DATE(YEAR($C864),MONTH($C864),1))))</f>
        <v>0</v>
      </c>
      <c r="AE864" s="1" t="str">
        <f>IF($E864="","",$E864&amp;"|"&amp;COUNTIFS($E$7:$E864,$E864))</f>
        <v/>
      </c>
    </row>
    <row r="865" spans="1:31" ht="18" customHeight="1" x14ac:dyDescent="0.3">
      <c r="A865" s="2"/>
      <c r="B865" s="65" t="str">
        <f>IF($C865="","","GG"&amp;TEXT(ROW()-6,"00000"))</f>
        <v/>
      </c>
      <c r="C865" s="66"/>
      <c r="D865" s="60"/>
      <c r="E865" s="61"/>
      <c r="F865" s="61"/>
      <c r="G865" s="67"/>
      <c r="H865" s="60"/>
      <c r="I865" s="60"/>
      <c r="J865" s="61"/>
      <c r="K865" s="61"/>
      <c r="L865" s="60"/>
      <c r="M865" s="74" t="str">
        <f>IF($C865="","",IF($D865="Gider",$E865,IF($L865&lt;&gt;"",$L865,$H865)))</f>
        <v/>
      </c>
      <c r="N865" s="74" t="str">
        <f>IF($C865="","",IF($D865="Gider",$H865,$E865))</f>
        <v/>
      </c>
      <c r="O865" s="73" t="str">
        <f>IF($C865="","",DATE(YEAR($C865),MONTH($C865),1))</f>
        <v/>
      </c>
      <c r="P865" s="65" t="str">
        <f ca="1">IF($C865="","",IF(AND($D865="Gelir",$L865&lt;&gt;"",$T865=""),"TANIMSIZ BORÇLU",IF($T865&lt;&gt;"",IF(OR($E865="",$G865&lt;=0),"EKSİK",IF($I865="Evet","TAHAKKUK NAKİT OLAMAZ",IF($C865&gt;TODAY(),"İLERİ TARİH","TAHAKKUK"))),IF(AND($D865&lt;&gt;"",$E865&lt;&gt;"",$G865&gt;0,$H865&lt;&gt;"",$I865&lt;&gt;""),IF($C865&gt;TODAY(),"İLERİ TARİH",IF(COUNTIF($W$7:$W$3001,$W865)&gt;1,"MÜKERRER?",IF($AD865&gt;0,"KAPALI DÖNEM",IF($I865="Hayır","ÖDENECEK","UYGUN")))),"EKSİK"))))</f>
        <v/>
      </c>
      <c r="Q865" s="2"/>
      <c r="R865" s="2"/>
      <c r="S865" s="1" t="str">
        <f t="shared" si="41"/>
        <v/>
      </c>
      <c r="T865" s="1" t="str">
        <f>IF(OR($C865="",$D865&lt;&gt;"Gelir",$L865=""),"",IFERROR(INDEX(MUSTERILER!$B$7:$B$156,MATCH($S865,MUSTERILER!$T$7:$T$156,0)),""))</f>
        <v/>
      </c>
      <c r="U865" s="1" t="str">
        <f>IF($T865="","",$T865&amp;"|"&amp;COUNTIFS($T$7:$T865,$T865))</f>
        <v/>
      </c>
      <c r="V865" s="1">
        <f t="shared" si="42"/>
        <v>0</v>
      </c>
      <c r="W865" s="1" t="str">
        <f t="shared" si="43"/>
        <v/>
      </c>
      <c r="X865" s="1"/>
      <c r="Y865" s="1"/>
      <c r="Z865" s="1"/>
      <c r="AA865" s="1"/>
      <c r="AB865" s="1"/>
      <c r="AC865" s="1"/>
      <c r="AD865" s="1">
        <f>IF($C865="",0,SUMPRODUCT((AY_SONU!$O$7:$O$42="Evet")*(AY_SONU!$B$7:$B$42=DATE(YEAR($C865),MONTH($C865),1))))</f>
        <v>0</v>
      </c>
      <c r="AE865" s="1" t="str">
        <f>IF($E865="","",$E865&amp;"|"&amp;COUNTIFS($E$7:$E865,$E865))</f>
        <v/>
      </c>
    </row>
    <row r="866" spans="1:31" ht="18" customHeight="1" x14ac:dyDescent="0.3">
      <c r="A866" s="2"/>
      <c r="B866" s="65" t="str">
        <f>IF($C866="","","GG"&amp;TEXT(ROW()-6,"00000"))</f>
        <v/>
      </c>
      <c r="C866" s="66"/>
      <c r="D866" s="60"/>
      <c r="E866" s="61"/>
      <c r="F866" s="61"/>
      <c r="G866" s="67"/>
      <c r="H866" s="60"/>
      <c r="I866" s="60"/>
      <c r="J866" s="61"/>
      <c r="K866" s="61"/>
      <c r="L866" s="60"/>
      <c r="M866" s="74" t="str">
        <f>IF($C866="","",IF($D866="Gider",$E866,IF($L866&lt;&gt;"",$L866,$H866)))</f>
        <v/>
      </c>
      <c r="N866" s="74" t="str">
        <f>IF($C866="","",IF($D866="Gider",$H866,$E866))</f>
        <v/>
      </c>
      <c r="O866" s="73" t="str">
        <f>IF($C866="","",DATE(YEAR($C866),MONTH($C866),1))</f>
        <v/>
      </c>
      <c r="P866" s="65" t="str">
        <f ca="1">IF($C866="","",IF(AND($D866="Gelir",$L866&lt;&gt;"",$T866=""),"TANIMSIZ BORÇLU",IF($T866&lt;&gt;"",IF(OR($E866="",$G866&lt;=0),"EKSİK",IF($I866="Evet","TAHAKKUK NAKİT OLAMAZ",IF($C866&gt;TODAY(),"İLERİ TARİH","TAHAKKUK"))),IF(AND($D866&lt;&gt;"",$E866&lt;&gt;"",$G866&gt;0,$H866&lt;&gt;"",$I866&lt;&gt;""),IF($C866&gt;TODAY(),"İLERİ TARİH",IF(COUNTIF($W$7:$W$3001,$W866)&gt;1,"MÜKERRER?",IF($AD866&gt;0,"KAPALI DÖNEM",IF($I866="Hayır","ÖDENECEK","UYGUN")))),"EKSİK"))))</f>
        <v/>
      </c>
      <c r="Q866" s="2"/>
      <c r="R866" s="2"/>
      <c r="S866" s="1" t="str">
        <f t="shared" si="41"/>
        <v/>
      </c>
      <c r="T866" s="1" t="str">
        <f>IF(OR($C866="",$D866&lt;&gt;"Gelir",$L866=""),"",IFERROR(INDEX(MUSTERILER!$B$7:$B$156,MATCH($S866,MUSTERILER!$T$7:$T$156,0)),""))</f>
        <v/>
      </c>
      <c r="U866" s="1" t="str">
        <f>IF($T866="","",$T866&amp;"|"&amp;COUNTIFS($T$7:$T866,$T866))</f>
        <v/>
      </c>
      <c r="V866" s="1">
        <f t="shared" si="42"/>
        <v>0</v>
      </c>
      <c r="W866" s="1" t="str">
        <f t="shared" si="43"/>
        <v/>
      </c>
      <c r="X866" s="1"/>
      <c r="Y866" s="1"/>
      <c r="Z866" s="1"/>
      <c r="AA866" s="1"/>
      <c r="AB866" s="1"/>
      <c r="AC866" s="1"/>
      <c r="AD866" s="1">
        <f>IF($C866="",0,SUMPRODUCT((AY_SONU!$O$7:$O$42="Evet")*(AY_SONU!$B$7:$B$42=DATE(YEAR($C866),MONTH($C866),1))))</f>
        <v>0</v>
      </c>
      <c r="AE866" s="1" t="str">
        <f>IF($E866="","",$E866&amp;"|"&amp;COUNTIFS($E$7:$E866,$E866))</f>
        <v/>
      </c>
    </row>
    <row r="867" spans="1:31" ht="18" customHeight="1" x14ac:dyDescent="0.3">
      <c r="A867" s="2"/>
      <c r="B867" s="65" t="str">
        <f>IF($C867="","","GG"&amp;TEXT(ROW()-6,"00000"))</f>
        <v/>
      </c>
      <c r="C867" s="66"/>
      <c r="D867" s="60"/>
      <c r="E867" s="61"/>
      <c r="F867" s="61"/>
      <c r="G867" s="67"/>
      <c r="H867" s="60"/>
      <c r="I867" s="60"/>
      <c r="J867" s="61"/>
      <c r="K867" s="61"/>
      <c r="L867" s="60"/>
      <c r="M867" s="74" t="str">
        <f>IF($C867="","",IF($D867="Gider",$E867,IF($L867&lt;&gt;"",$L867,$H867)))</f>
        <v/>
      </c>
      <c r="N867" s="74" t="str">
        <f>IF($C867="","",IF($D867="Gider",$H867,$E867))</f>
        <v/>
      </c>
      <c r="O867" s="73" t="str">
        <f>IF($C867="","",DATE(YEAR($C867),MONTH($C867),1))</f>
        <v/>
      </c>
      <c r="P867" s="65" t="str">
        <f ca="1">IF($C867="","",IF(AND($D867="Gelir",$L867&lt;&gt;"",$T867=""),"TANIMSIZ BORÇLU",IF($T867&lt;&gt;"",IF(OR($E867="",$G867&lt;=0),"EKSİK",IF($I867="Evet","TAHAKKUK NAKİT OLAMAZ",IF($C867&gt;TODAY(),"İLERİ TARİH","TAHAKKUK"))),IF(AND($D867&lt;&gt;"",$E867&lt;&gt;"",$G867&gt;0,$H867&lt;&gt;"",$I867&lt;&gt;""),IF($C867&gt;TODAY(),"İLERİ TARİH",IF(COUNTIF($W$7:$W$3001,$W867)&gt;1,"MÜKERRER?",IF($AD867&gt;0,"KAPALI DÖNEM",IF($I867="Hayır","ÖDENECEK","UYGUN")))),"EKSİK"))))</f>
        <v/>
      </c>
      <c r="Q867" s="2"/>
      <c r="R867" s="2"/>
      <c r="S867" s="1" t="str">
        <f t="shared" si="41"/>
        <v/>
      </c>
      <c r="T867" s="1" t="str">
        <f>IF(OR($C867="",$D867&lt;&gt;"Gelir",$L867=""),"",IFERROR(INDEX(MUSTERILER!$B$7:$B$156,MATCH($S867,MUSTERILER!$T$7:$T$156,0)),""))</f>
        <v/>
      </c>
      <c r="U867" s="1" t="str">
        <f>IF($T867="","",$T867&amp;"|"&amp;COUNTIFS($T$7:$T867,$T867))</f>
        <v/>
      </c>
      <c r="V867" s="1">
        <f t="shared" si="42"/>
        <v>0</v>
      </c>
      <c r="W867" s="1" t="str">
        <f t="shared" si="43"/>
        <v/>
      </c>
      <c r="X867" s="1"/>
      <c r="Y867" s="1"/>
      <c r="Z867" s="1"/>
      <c r="AA867" s="1"/>
      <c r="AB867" s="1"/>
      <c r="AC867" s="1"/>
      <c r="AD867" s="1">
        <f>IF($C867="",0,SUMPRODUCT((AY_SONU!$O$7:$O$42="Evet")*(AY_SONU!$B$7:$B$42=DATE(YEAR($C867),MONTH($C867),1))))</f>
        <v>0</v>
      </c>
      <c r="AE867" s="1" t="str">
        <f>IF($E867="","",$E867&amp;"|"&amp;COUNTIFS($E$7:$E867,$E867))</f>
        <v/>
      </c>
    </row>
    <row r="868" spans="1:31" ht="18" customHeight="1" x14ac:dyDescent="0.3">
      <c r="A868" s="2"/>
      <c r="B868" s="65" t="str">
        <f>IF($C868="","","GG"&amp;TEXT(ROW()-6,"00000"))</f>
        <v/>
      </c>
      <c r="C868" s="66"/>
      <c r="D868" s="60"/>
      <c r="E868" s="61"/>
      <c r="F868" s="61"/>
      <c r="G868" s="67"/>
      <c r="H868" s="60"/>
      <c r="I868" s="60"/>
      <c r="J868" s="61"/>
      <c r="K868" s="61"/>
      <c r="L868" s="60"/>
      <c r="M868" s="74" t="str">
        <f>IF($C868="","",IF($D868="Gider",$E868,IF($L868&lt;&gt;"",$L868,$H868)))</f>
        <v/>
      </c>
      <c r="N868" s="74" t="str">
        <f>IF($C868="","",IF($D868="Gider",$H868,$E868))</f>
        <v/>
      </c>
      <c r="O868" s="73" t="str">
        <f>IF($C868="","",DATE(YEAR($C868),MONTH($C868),1))</f>
        <v/>
      </c>
      <c r="P868" s="65" t="str">
        <f ca="1">IF($C868="","",IF(AND($D868="Gelir",$L868&lt;&gt;"",$T868=""),"TANIMSIZ BORÇLU",IF($T868&lt;&gt;"",IF(OR($E868="",$G868&lt;=0),"EKSİK",IF($I868="Evet","TAHAKKUK NAKİT OLAMAZ",IF($C868&gt;TODAY(),"İLERİ TARİH","TAHAKKUK"))),IF(AND($D868&lt;&gt;"",$E868&lt;&gt;"",$G868&gt;0,$H868&lt;&gt;"",$I868&lt;&gt;""),IF($C868&gt;TODAY(),"İLERİ TARİH",IF(COUNTIF($W$7:$W$3001,$W868)&gt;1,"MÜKERRER?",IF($AD868&gt;0,"KAPALI DÖNEM",IF($I868="Hayır","ÖDENECEK","UYGUN")))),"EKSİK"))))</f>
        <v/>
      </c>
      <c r="Q868" s="2"/>
      <c r="R868" s="2"/>
      <c r="S868" s="1" t="str">
        <f t="shared" si="41"/>
        <v/>
      </c>
      <c r="T868" s="1" t="str">
        <f>IF(OR($C868="",$D868&lt;&gt;"Gelir",$L868=""),"",IFERROR(INDEX(MUSTERILER!$B$7:$B$156,MATCH($S868,MUSTERILER!$T$7:$T$156,0)),""))</f>
        <v/>
      </c>
      <c r="U868" s="1" t="str">
        <f>IF($T868="","",$T868&amp;"|"&amp;COUNTIFS($T$7:$T868,$T868))</f>
        <v/>
      </c>
      <c r="V868" s="1">
        <f t="shared" si="42"/>
        <v>0</v>
      </c>
      <c r="W868" s="1" t="str">
        <f t="shared" si="43"/>
        <v/>
      </c>
      <c r="X868" s="1"/>
      <c r="Y868" s="1"/>
      <c r="Z868" s="1"/>
      <c r="AA868" s="1"/>
      <c r="AB868" s="1"/>
      <c r="AC868" s="1"/>
      <c r="AD868" s="1">
        <f>IF($C868="",0,SUMPRODUCT((AY_SONU!$O$7:$O$42="Evet")*(AY_SONU!$B$7:$B$42=DATE(YEAR($C868),MONTH($C868),1))))</f>
        <v>0</v>
      </c>
      <c r="AE868" s="1" t="str">
        <f>IF($E868="","",$E868&amp;"|"&amp;COUNTIFS($E$7:$E868,$E868))</f>
        <v/>
      </c>
    </row>
    <row r="869" spans="1:31" ht="18" customHeight="1" x14ac:dyDescent="0.3">
      <c r="A869" s="2"/>
      <c r="B869" s="65" t="str">
        <f>IF($C869="","","GG"&amp;TEXT(ROW()-6,"00000"))</f>
        <v/>
      </c>
      <c r="C869" s="66"/>
      <c r="D869" s="60"/>
      <c r="E869" s="61"/>
      <c r="F869" s="61"/>
      <c r="G869" s="67"/>
      <c r="H869" s="60"/>
      <c r="I869" s="60"/>
      <c r="J869" s="61"/>
      <c r="K869" s="61"/>
      <c r="L869" s="60"/>
      <c r="M869" s="74" t="str">
        <f>IF($C869="","",IF($D869="Gider",$E869,IF($L869&lt;&gt;"",$L869,$H869)))</f>
        <v/>
      </c>
      <c r="N869" s="74" t="str">
        <f>IF($C869="","",IF($D869="Gider",$H869,$E869))</f>
        <v/>
      </c>
      <c r="O869" s="73" t="str">
        <f>IF($C869="","",DATE(YEAR($C869),MONTH($C869),1))</f>
        <v/>
      </c>
      <c r="P869" s="65" t="str">
        <f ca="1">IF($C869="","",IF(AND($D869="Gelir",$L869&lt;&gt;"",$T869=""),"TANIMSIZ BORÇLU",IF($T869&lt;&gt;"",IF(OR($E869="",$G869&lt;=0),"EKSİK",IF($I869="Evet","TAHAKKUK NAKİT OLAMAZ",IF($C869&gt;TODAY(),"İLERİ TARİH","TAHAKKUK"))),IF(AND($D869&lt;&gt;"",$E869&lt;&gt;"",$G869&gt;0,$H869&lt;&gt;"",$I869&lt;&gt;""),IF($C869&gt;TODAY(),"İLERİ TARİH",IF(COUNTIF($W$7:$W$3001,$W869)&gt;1,"MÜKERRER?",IF($AD869&gt;0,"KAPALI DÖNEM",IF($I869="Hayır","ÖDENECEK","UYGUN")))),"EKSİK"))))</f>
        <v/>
      </c>
      <c r="Q869" s="2"/>
      <c r="R869" s="2"/>
      <c r="S869" s="1" t="str">
        <f t="shared" si="41"/>
        <v/>
      </c>
      <c r="T869" s="1" t="str">
        <f>IF(OR($C869="",$D869&lt;&gt;"Gelir",$L869=""),"",IFERROR(INDEX(MUSTERILER!$B$7:$B$156,MATCH($S869,MUSTERILER!$T$7:$T$156,0)),""))</f>
        <v/>
      </c>
      <c r="U869" s="1" t="str">
        <f>IF($T869="","",$T869&amp;"|"&amp;COUNTIFS($T$7:$T869,$T869))</f>
        <v/>
      </c>
      <c r="V869" s="1">
        <f t="shared" si="42"/>
        <v>0</v>
      </c>
      <c r="W869" s="1" t="str">
        <f t="shared" si="43"/>
        <v/>
      </c>
      <c r="X869" s="1"/>
      <c r="Y869" s="1"/>
      <c r="Z869" s="1"/>
      <c r="AA869" s="1"/>
      <c r="AB869" s="1"/>
      <c r="AC869" s="1"/>
      <c r="AD869" s="1">
        <f>IF($C869="",0,SUMPRODUCT((AY_SONU!$O$7:$O$42="Evet")*(AY_SONU!$B$7:$B$42=DATE(YEAR($C869),MONTH($C869),1))))</f>
        <v>0</v>
      </c>
      <c r="AE869" s="1" t="str">
        <f>IF($E869="","",$E869&amp;"|"&amp;COUNTIFS($E$7:$E869,$E869))</f>
        <v/>
      </c>
    </row>
    <row r="870" spans="1:31" ht="18" customHeight="1" x14ac:dyDescent="0.3">
      <c r="A870" s="2"/>
      <c r="B870" s="65" t="str">
        <f>IF($C870="","","GG"&amp;TEXT(ROW()-6,"00000"))</f>
        <v/>
      </c>
      <c r="C870" s="66"/>
      <c r="D870" s="60"/>
      <c r="E870" s="61"/>
      <c r="F870" s="61"/>
      <c r="G870" s="67"/>
      <c r="H870" s="60"/>
      <c r="I870" s="60"/>
      <c r="J870" s="61"/>
      <c r="K870" s="61"/>
      <c r="L870" s="60"/>
      <c r="M870" s="74" t="str">
        <f>IF($C870="","",IF($D870="Gider",$E870,IF($L870&lt;&gt;"",$L870,$H870)))</f>
        <v/>
      </c>
      <c r="N870" s="74" t="str">
        <f>IF($C870="","",IF($D870="Gider",$H870,$E870))</f>
        <v/>
      </c>
      <c r="O870" s="73" t="str">
        <f>IF($C870="","",DATE(YEAR($C870),MONTH($C870),1))</f>
        <v/>
      </c>
      <c r="P870" s="65" t="str">
        <f ca="1">IF($C870="","",IF(AND($D870="Gelir",$L870&lt;&gt;"",$T870=""),"TANIMSIZ BORÇLU",IF($T870&lt;&gt;"",IF(OR($E870="",$G870&lt;=0),"EKSİK",IF($I870="Evet","TAHAKKUK NAKİT OLAMAZ",IF($C870&gt;TODAY(),"İLERİ TARİH","TAHAKKUK"))),IF(AND($D870&lt;&gt;"",$E870&lt;&gt;"",$G870&gt;0,$H870&lt;&gt;"",$I870&lt;&gt;""),IF($C870&gt;TODAY(),"İLERİ TARİH",IF(COUNTIF($W$7:$W$3001,$W870)&gt;1,"MÜKERRER?",IF($AD870&gt;0,"KAPALI DÖNEM",IF($I870="Hayır","ÖDENECEK","UYGUN")))),"EKSİK"))))</f>
        <v/>
      </c>
      <c r="Q870" s="2"/>
      <c r="R870" s="2"/>
      <c r="S870" s="1" t="str">
        <f t="shared" si="41"/>
        <v/>
      </c>
      <c r="T870" s="1" t="str">
        <f>IF(OR($C870="",$D870&lt;&gt;"Gelir",$L870=""),"",IFERROR(INDEX(MUSTERILER!$B$7:$B$156,MATCH($S870,MUSTERILER!$T$7:$T$156,0)),""))</f>
        <v/>
      </c>
      <c r="U870" s="1" t="str">
        <f>IF($T870="","",$T870&amp;"|"&amp;COUNTIFS($T$7:$T870,$T870))</f>
        <v/>
      </c>
      <c r="V870" s="1">
        <f t="shared" si="42"/>
        <v>0</v>
      </c>
      <c r="W870" s="1" t="str">
        <f t="shared" si="43"/>
        <v/>
      </c>
      <c r="X870" s="1"/>
      <c r="Y870" s="1"/>
      <c r="Z870" s="1"/>
      <c r="AA870" s="1"/>
      <c r="AB870" s="1"/>
      <c r="AC870" s="1"/>
      <c r="AD870" s="1">
        <f>IF($C870="",0,SUMPRODUCT((AY_SONU!$O$7:$O$42="Evet")*(AY_SONU!$B$7:$B$42=DATE(YEAR($C870),MONTH($C870),1))))</f>
        <v>0</v>
      </c>
      <c r="AE870" s="1" t="str">
        <f>IF($E870="","",$E870&amp;"|"&amp;COUNTIFS($E$7:$E870,$E870))</f>
        <v/>
      </c>
    </row>
    <row r="871" spans="1:31" ht="18" customHeight="1" x14ac:dyDescent="0.3">
      <c r="A871" s="2"/>
      <c r="B871" s="65" t="str">
        <f>IF($C871="","","GG"&amp;TEXT(ROW()-6,"00000"))</f>
        <v/>
      </c>
      <c r="C871" s="66"/>
      <c r="D871" s="60"/>
      <c r="E871" s="61"/>
      <c r="F871" s="61"/>
      <c r="G871" s="67"/>
      <c r="H871" s="60"/>
      <c r="I871" s="60"/>
      <c r="J871" s="61"/>
      <c r="K871" s="61"/>
      <c r="L871" s="60"/>
      <c r="M871" s="74" t="str">
        <f>IF($C871="","",IF($D871="Gider",$E871,IF($L871&lt;&gt;"",$L871,$H871)))</f>
        <v/>
      </c>
      <c r="N871" s="74" t="str">
        <f>IF($C871="","",IF($D871="Gider",$H871,$E871))</f>
        <v/>
      </c>
      <c r="O871" s="73" t="str">
        <f>IF($C871="","",DATE(YEAR($C871),MONTH($C871),1))</f>
        <v/>
      </c>
      <c r="P871" s="65" t="str">
        <f ca="1">IF($C871="","",IF(AND($D871="Gelir",$L871&lt;&gt;"",$T871=""),"TANIMSIZ BORÇLU",IF($T871&lt;&gt;"",IF(OR($E871="",$G871&lt;=0),"EKSİK",IF($I871="Evet","TAHAKKUK NAKİT OLAMAZ",IF($C871&gt;TODAY(),"İLERİ TARİH","TAHAKKUK"))),IF(AND($D871&lt;&gt;"",$E871&lt;&gt;"",$G871&gt;0,$H871&lt;&gt;"",$I871&lt;&gt;""),IF($C871&gt;TODAY(),"İLERİ TARİH",IF(COUNTIF($W$7:$W$3001,$W871)&gt;1,"MÜKERRER?",IF($AD871&gt;0,"KAPALI DÖNEM",IF($I871="Hayır","ÖDENECEK","UYGUN")))),"EKSİK"))))</f>
        <v/>
      </c>
      <c r="Q871" s="2"/>
      <c r="R871" s="2"/>
      <c r="S871" s="1" t="str">
        <f t="shared" si="41"/>
        <v/>
      </c>
      <c r="T871" s="1" t="str">
        <f>IF(OR($C871="",$D871&lt;&gt;"Gelir",$L871=""),"",IFERROR(INDEX(MUSTERILER!$B$7:$B$156,MATCH($S871,MUSTERILER!$T$7:$T$156,0)),""))</f>
        <v/>
      </c>
      <c r="U871" s="1" t="str">
        <f>IF($T871="","",$T871&amp;"|"&amp;COUNTIFS($T$7:$T871,$T871))</f>
        <v/>
      </c>
      <c r="V871" s="1">
        <f t="shared" si="42"/>
        <v>0</v>
      </c>
      <c r="W871" s="1" t="str">
        <f t="shared" si="43"/>
        <v/>
      </c>
      <c r="X871" s="1"/>
      <c r="Y871" s="1"/>
      <c r="Z871" s="1"/>
      <c r="AA871" s="1"/>
      <c r="AB871" s="1"/>
      <c r="AC871" s="1"/>
      <c r="AD871" s="1">
        <f>IF($C871="",0,SUMPRODUCT((AY_SONU!$O$7:$O$42="Evet")*(AY_SONU!$B$7:$B$42=DATE(YEAR($C871),MONTH($C871),1))))</f>
        <v>0</v>
      </c>
      <c r="AE871" s="1" t="str">
        <f>IF($E871="","",$E871&amp;"|"&amp;COUNTIFS($E$7:$E871,$E871))</f>
        <v/>
      </c>
    </row>
    <row r="872" spans="1:31" ht="18" customHeight="1" x14ac:dyDescent="0.3">
      <c r="A872" s="2"/>
      <c r="B872" s="65" t="str">
        <f>IF($C872="","","GG"&amp;TEXT(ROW()-6,"00000"))</f>
        <v/>
      </c>
      <c r="C872" s="66"/>
      <c r="D872" s="60"/>
      <c r="E872" s="61"/>
      <c r="F872" s="61"/>
      <c r="G872" s="67"/>
      <c r="H872" s="60"/>
      <c r="I872" s="60"/>
      <c r="J872" s="61"/>
      <c r="K872" s="61"/>
      <c r="L872" s="60"/>
      <c r="M872" s="74" t="str">
        <f>IF($C872="","",IF($D872="Gider",$E872,IF($L872&lt;&gt;"",$L872,$H872)))</f>
        <v/>
      </c>
      <c r="N872" s="74" t="str">
        <f>IF($C872="","",IF($D872="Gider",$H872,$E872))</f>
        <v/>
      </c>
      <c r="O872" s="73" t="str">
        <f>IF($C872="","",DATE(YEAR($C872),MONTH($C872),1))</f>
        <v/>
      </c>
      <c r="P872" s="65" t="str">
        <f ca="1">IF($C872="","",IF(AND($D872="Gelir",$L872&lt;&gt;"",$T872=""),"TANIMSIZ BORÇLU",IF($T872&lt;&gt;"",IF(OR($E872="",$G872&lt;=0),"EKSİK",IF($I872="Evet","TAHAKKUK NAKİT OLAMAZ",IF($C872&gt;TODAY(),"İLERİ TARİH","TAHAKKUK"))),IF(AND($D872&lt;&gt;"",$E872&lt;&gt;"",$G872&gt;0,$H872&lt;&gt;"",$I872&lt;&gt;""),IF($C872&gt;TODAY(),"İLERİ TARİH",IF(COUNTIF($W$7:$W$3001,$W872)&gt;1,"MÜKERRER?",IF($AD872&gt;0,"KAPALI DÖNEM",IF($I872="Hayır","ÖDENECEK","UYGUN")))),"EKSİK"))))</f>
        <v/>
      </c>
      <c r="Q872" s="2"/>
      <c r="R872" s="2"/>
      <c r="S872" s="1" t="str">
        <f t="shared" si="41"/>
        <v/>
      </c>
      <c r="T872" s="1" t="str">
        <f>IF(OR($C872="",$D872&lt;&gt;"Gelir",$L872=""),"",IFERROR(INDEX(MUSTERILER!$B$7:$B$156,MATCH($S872,MUSTERILER!$T$7:$T$156,0)),""))</f>
        <v/>
      </c>
      <c r="U872" s="1" t="str">
        <f>IF($T872="","",$T872&amp;"|"&amp;COUNTIFS($T$7:$T872,$T872))</f>
        <v/>
      </c>
      <c r="V872" s="1">
        <f t="shared" si="42"/>
        <v>0</v>
      </c>
      <c r="W872" s="1" t="str">
        <f t="shared" si="43"/>
        <v/>
      </c>
      <c r="X872" s="1"/>
      <c r="Y872" s="1"/>
      <c r="Z872" s="1"/>
      <c r="AA872" s="1"/>
      <c r="AB872" s="1"/>
      <c r="AC872" s="1"/>
      <c r="AD872" s="1">
        <f>IF($C872="",0,SUMPRODUCT((AY_SONU!$O$7:$O$42="Evet")*(AY_SONU!$B$7:$B$42=DATE(YEAR($C872),MONTH($C872),1))))</f>
        <v>0</v>
      </c>
      <c r="AE872" s="1" t="str">
        <f>IF($E872="","",$E872&amp;"|"&amp;COUNTIFS($E$7:$E872,$E872))</f>
        <v/>
      </c>
    </row>
    <row r="873" spans="1:31" ht="18" customHeight="1" x14ac:dyDescent="0.3">
      <c r="A873" s="2"/>
      <c r="B873" s="65" t="str">
        <f>IF($C873="","","GG"&amp;TEXT(ROW()-6,"00000"))</f>
        <v/>
      </c>
      <c r="C873" s="66"/>
      <c r="D873" s="60"/>
      <c r="E873" s="61"/>
      <c r="F873" s="61"/>
      <c r="G873" s="67"/>
      <c r="H873" s="60"/>
      <c r="I873" s="60"/>
      <c r="J873" s="61"/>
      <c r="K873" s="61"/>
      <c r="L873" s="60"/>
      <c r="M873" s="74" t="str">
        <f>IF($C873="","",IF($D873="Gider",$E873,IF($L873&lt;&gt;"",$L873,$H873)))</f>
        <v/>
      </c>
      <c r="N873" s="74" t="str">
        <f>IF($C873="","",IF($D873="Gider",$H873,$E873))</f>
        <v/>
      </c>
      <c r="O873" s="73" t="str">
        <f>IF($C873="","",DATE(YEAR($C873),MONTH($C873),1))</f>
        <v/>
      </c>
      <c r="P873" s="65" t="str">
        <f ca="1">IF($C873="","",IF(AND($D873="Gelir",$L873&lt;&gt;"",$T873=""),"TANIMSIZ BORÇLU",IF($T873&lt;&gt;"",IF(OR($E873="",$G873&lt;=0),"EKSİK",IF($I873="Evet","TAHAKKUK NAKİT OLAMAZ",IF($C873&gt;TODAY(),"İLERİ TARİH","TAHAKKUK"))),IF(AND($D873&lt;&gt;"",$E873&lt;&gt;"",$G873&gt;0,$H873&lt;&gt;"",$I873&lt;&gt;""),IF($C873&gt;TODAY(),"İLERİ TARİH",IF(COUNTIF($W$7:$W$3001,$W873)&gt;1,"MÜKERRER?",IF($AD873&gt;0,"KAPALI DÖNEM",IF($I873="Hayır","ÖDENECEK","UYGUN")))),"EKSİK"))))</f>
        <v/>
      </c>
      <c r="Q873" s="2"/>
      <c r="R873" s="2"/>
      <c r="S873" s="1" t="str">
        <f t="shared" si="41"/>
        <v/>
      </c>
      <c r="T873" s="1" t="str">
        <f>IF(OR($C873="",$D873&lt;&gt;"Gelir",$L873=""),"",IFERROR(INDEX(MUSTERILER!$B$7:$B$156,MATCH($S873,MUSTERILER!$T$7:$T$156,0)),""))</f>
        <v/>
      </c>
      <c r="U873" s="1" t="str">
        <f>IF($T873="","",$T873&amp;"|"&amp;COUNTIFS($T$7:$T873,$T873))</f>
        <v/>
      </c>
      <c r="V873" s="1">
        <f t="shared" si="42"/>
        <v>0</v>
      </c>
      <c r="W873" s="1" t="str">
        <f t="shared" si="43"/>
        <v/>
      </c>
      <c r="X873" s="1"/>
      <c r="Y873" s="1"/>
      <c r="Z873" s="1"/>
      <c r="AA873" s="1"/>
      <c r="AB873" s="1"/>
      <c r="AC873" s="1"/>
      <c r="AD873" s="1">
        <f>IF($C873="",0,SUMPRODUCT((AY_SONU!$O$7:$O$42="Evet")*(AY_SONU!$B$7:$B$42=DATE(YEAR($C873),MONTH($C873),1))))</f>
        <v>0</v>
      </c>
      <c r="AE873" s="1" t="str">
        <f>IF($E873="","",$E873&amp;"|"&amp;COUNTIFS($E$7:$E873,$E873))</f>
        <v/>
      </c>
    </row>
    <row r="874" spans="1:31" ht="18" customHeight="1" x14ac:dyDescent="0.3">
      <c r="A874" s="2"/>
      <c r="B874" s="65" t="str">
        <f>IF($C874="","","GG"&amp;TEXT(ROW()-6,"00000"))</f>
        <v/>
      </c>
      <c r="C874" s="66"/>
      <c r="D874" s="60"/>
      <c r="E874" s="61"/>
      <c r="F874" s="61"/>
      <c r="G874" s="67"/>
      <c r="H874" s="60"/>
      <c r="I874" s="60"/>
      <c r="J874" s="61"/>
      <c r="K874" s="61"/>
      <c r="L874" s="60"/>
      <c r="M874" s="74" t="str">
        <f>IF($C874="","",IF($D874="Gider",$E874,IF($L874&lt;&gt;"",$L874,$H874)))</f>
        <v/>
      </c>
      <c r="N874" s="74" t="str">
        <f>IF($C874="","",IF($D874="Gider",$H874,$E874))</f>
        <v/>
      </c>
      <c r="O874" s="73" t="str">
        <f>IF($C874="","",DATE(YEAR($C874),MONTH($C874),1))</f>
        <v/>
      </c>
      <c r="P874" s="65" t="str">
        <f ca="1">IF($C874="","",IF(AND($D874="Gelir",$L874&lt;&gt;"",$T874=""),"TANIMSIZ BORÇLU",IF($T874&lt;&gt;"",IF(OR($E874="",$G874&lt;=0),"EKSİK",IF($I874="Evet","TAHAKKUK NAKİT OLAMAZ",IF($C874&gt;TODAY(),"İLERİ TARİH","TAHAKKUK"))),IF(AND($D874&lt;&gt;"",$E874&lt;&gt;"",$G874&gt;0,$H874&lt;&gt;"",$I874&lt;&gt;""),IF($C874&gt;TODAY(),"İLERİ TARİH",IF(COUNTIF($W$7:$W$3001,$W874)&gt;1,"MÜKERRER?",IF($AD874&gt;0,"KAPALI DÖNEM",IF($I874="Hayır","ÖDENECEK","UYGUN")))),"EKSİK"))))</f>
        <v/>
      </c>
      <c r="Q874" s="2"/>
      <c r="R874" s="2"/>
      <c r="S874" s="1" t="str">
        <f t="shared" si="41"/>
        <v/>
      </c>
      <c r="T874" s="1" t="str">
        <f>IF(OR($C874="",$D874&lt;&gt;"Gelir",$L874=""),"",IFERROR(INDEX(MUSTERILER!$B$7:$B$156,MATCH($S874,MUSTERILER!$T$7:$T$156,0)),""))</f>
        <v/>
      </c>
      <c r="U874" s="1" t="str">
        <f>IF($T874="","",$T874&amp;"|"&amp;COUNTIFS($T$7:$T874,$T874))</f>
        <v/>
      </c>
      <c r="V874" s="1">
        <f t="shared" si="42"/>
        <v>0</v>
      </c>
      <c r="W874" s="1" t="str">
        <f t="shared" si="43"/>
        <v/>
      </c>
      <c r="X874" s="1"/>
      <c r="Y874" s="1"/>
      <c r="Z874" s="1"/>
      <c r="AA874" s="1"/>
      <c r="AB874" s="1"/>
      <c r="AC874" s="1"/>
      <c r="AD874" s="1">
        <f>IF($C874="",0,SUMPRODUCT((AY_SONU!$O$7:$O$42="Evet")*(AY_SONU!$B$7:$B$42=DATE(YEAR($C874),MONTH($C874),1))))</f>
        <v>0</v>
      </c>
      <c r="AE874" s="1" t="str">
        <f>IF($E874="","",$E874&amp;"|"&amp;COUNTIFS($E$7:$E874,$E874))</f>
        <v/>
      </c>
    </row>
    <row r="875" spans="1:31" ht="18" customHeight="1" x14ac:dyDescent="0.3">
      <c r="A875" s="2"/>
      <c r="B875" s="65" t="str">
        <f>IF($C875="","","GG"&amp;TEXT(ROW()-6,"00000"))</f>
        <v/>
      </c>
      <c r="C875" s="66"/>
      <c r="D875" s="60"/>
      <c r="E875" s="61"/>
      <c r="F875" s="61"/>
      <c r="G875" s="67"/>
      <c r="H875" s="60"/>
      <c r="I875" s="60"/>
      <c r="J875" s="61"/>
      <c r="K875" s="61"/>
      <c r="L875" s="60"/>
      <c r="M875" s="74" t="str">
        <f>IF($C875="","",IF($D875="Gider",$E875,IF($L875&lt;&gt;"",$L875,$H875)))</f>
        <v/>
      </c>
      <c r="N875" s="74" t="str">
        <f>IF($C875="","",IF($D875="Gider",$H875,$E875))</f>
        <v/>
      </c>
      <c r="O875" s="73" t="str">
        <f>IF($C875="","",DATE(YEAR($C875),MONTH($C875),1))</f>
        <v/>
      </c>
      <c r="P875" s="65" t="str">
        <f ca="1">IF($C875="","",IF(AND($D875="Gelir",$L875&lt;&gt;"",$T875=""),"TANIMSIZ BORÇLU",IF($T875&lt;&gt;"",IF(OR($E875="",$G875&lt;=0),"EKSİK",IF($I875="Evet","TAHAKKUK NAKİT OLAMAZ",IF($C875&gt;TODAY(),"İLERİ TARİH","TAHAKKUK"))),IF(AND($D875&lt;&gt;"",$E875&lt;&gt;"",$G875&gt;0,$H875&lt;&gt;"",$I875&lt;&gt;""),IF($C875&gt;TODAY(),"İLERİ TARİH",IF(COUNTIF($W$7:$W$3001,$W875)&gt;1,"MÜKERRER?",IF($AD875&gt;0,"KAPALI DÖNEM",IF($I875="Hayır","ÖDENECEK","UYGUN")))),"EKSİK"))))</f>
        <v/>
      </c>
      <c r="Q875" s="2"/>
      <c r="R875" s="2"/>
      <c r="S875" s="1" t="str">
        <f t="shared" si="41"/>
        <v/>
      </c>
      <c r="T875" s="1" t="str">
        <f>IF(OR($C875="",$D875&lt;&gt;"Gelir",$L875=""),"",IFERROR(INDEX(MUSTERILER!$B$7:$B$156,MATCH($S875,MUSTERILER!$T$7:$T$156,0)),""))</f>
        <v/>
      </c>
      <c r="U875" s="1" t="str">
        <f>IF($T875="","",$T875&amp;"|"&amp;COUNTIFS($T$7:$T875,$T875))</f>
        <v/>
      </c>
      <c r="V875" s="1">
        <f t="shared" si="42"/>
        <v>0</v>
      </c>
      <c r="W875" s="1" t="str">
        <f t="shared" si="43"/>
        <v/>
      </c>
      <c r="X875" s="1"/>
      <c r="Y875" s="1"/>
      <c r="Z875" s="1"/>
      <c r="AA875" s="1"/>
      <c r="AB875" s="1"/>
      <c r="AC875" s="1"/>
      <c r="AD875" s="1">
        <f>IF($C875="",0,SUMPRODUCT((AY_SONU!$O$7:$O$42="Evet")*(AY_SONU!$B$7:$B$42=DATE(YEAR($C875),MONTH($C875),1))))</f>
        <v>0</v>
      </c>
      <c r="AE875" s="1" t="str">
        <f>IF($E875="","",$E875&amp;"|"&amp;COUNTIFS($E$7:$E875,$E875))</f>
        <v/>
      </c>
    </row>
    <row r="876" spans="1:31" ht="18" customHeight="1" x14ac:dyDescent="0.3">
      <c r="A876" s="2"/>
      <c r="B876" s="65" t="str">
        <f>IF($C876="","","GG"&amp;TEXT(ROW()-6,"00000"))</f>
        <v/>
      </c>
      <c r="C876" s="66"/>
      <c r="D876" s="60"/>
      <c r="E876" s="61"/>
      <c r="F876" s="61"/>
      <c r="G876" s="67"/>
      <c r="H876" s="60"/>
      <c r="I876" s="60"/>
      <c r="J876" s="61"/>
      <c r="K876" s="61"/>
      <c r="L876" s="60"/>
      <c r="M876" s="74" t="str">
        <f>IF($C876="","",IF($D876="Gider",$E876,IF($L876&lt;&gt;"",$L876,$H876)))</f>
        <v/>
      </c>
      <c r="N876" s="74" t="str">
        <f>IF($C876="","",IF($D876="Gider",$H876,$E876))</f>
        <v/>
      </c>
      <c r="O876" s="73" t="str">
        <f>IF($C876="","",DATE(YEAR($C876),MONTH($C876),1))</f>
        <v/>
      </c>
      <c r="P876" s="65" t="str">
        <f ca="1">IF($C876="","",IF(AND($D876="Gelir",$L876&lt;&gt;"",$T876=""),"TANIMSIZ BORÇLU",IF($T876&lt;&gt;"",IF(OR($E876="",$G876&lt;=0),"EKSİK",IF($I876="Evet","TAHAKKUK NAKİT OLAMAZ",IF($C876&gt;TODAY(),"İLERİ TARİH","TAHAKKUK"))),IF(AND($D876&lt;&gt;"",$E876&lt;&gt;"",$G876&gt;0,$H876&lt;&gt;"",$I876&lt;&gt;""),IF($C876&gt;TODAY(),"İLERİ TARİH",IF(COUNTIF($W$7:$W$3001,$W876)&gt;1,"MÜKERRER?",IF($AD876&gt;0,"KAPALI DÖNEM",IF($I876="Hayır","ÖDENECEK","UYGUN")))),"EKSİK"))))</f>
        <v/>
      </c>
      <c r="Q876" s="2"/>
      <c r="R876" s="2"/>
      <c r="S876" s="1" t="str">
        <f t="shared" si="41"/>
        <v/>
      </c>
      <c r="T876" s="1" t="str">
        <f>IF(OR($C876="",$D876&lt;&gt;"Gelir",$L876=""),"",IFERROR(INDEX(MUSTERILER!$B$7:$B$156,MATCH($S876,MUSTERILER!$T$7:$T$156,0)),""))</f>
        <v/>
      </c>
      <c r="U876" s="1" t="str">
        <f>IF($T876="","",$T876&amp;"|"&amp;COUNTIFS($T$7:$T876,$T876))</f>
        <v/>
      </c>
      <c r="V876" s="1">
        <f t="shared" si="42"/>
        <v>0</v>
      </c>
      <c r="W876" s="1" t="str">
        <f t="shared" si="43"/>
        <v/>
      </c>
      <c r="X876" s="1"/>
      <c r="Y876" s="1"/>
      <c r="Z876" s="1"/>
      <c r="AA876" s="1"/>
      <c r="AB876" s="1"/>
      <c r="AC876" s="1"/>
      <c r="AD876" s="1">
        <f>IF($C876="",0,SUMPRODUCT((AY_SONU!$O$7:$O$42="Evet")*(AY_SONU!$B$7:$B$42=DATE(YEAR($C876),MONTH($C876),1))))</f>
        <v>0</v>
      </c>
      <c r="AE876" s="1" t="str">
        <f>IF($E876="","",$E876&amp;"|"&amp;COUNTIFS($E$7:$E876,$E876))</f>
        <v/>
      </c>
    </row>
    <row r="877" spans="1:31" ht="18" customHeight="1" x14ac:dyDescent="0.3">
      <c r="A877" s="2"/>
      <c r="B877" s="65" t="str">
        <f>IF($C877="","","GG"&amp;TEXT(ROW()-6,"00000"))</f>
        <v/>
      </c>
      <c r="C877" s="66"/>
      <c r="D877" s="60"/>
      <c r="E877" s="61"/>
      <c r="F877" s="61"/>
      <c r="G877" s="67"/>
      <c r="H877" s="60"/>
      <c r="I877" s="60"/>
      <c r="J877" s="61"/>
      <c r="K877" s="61"/>
      <c r="L877" s="60"/>
      <c r="M877" s="74" t="str">
        <f>IF($C877="","",IF($D877="Gider",$E877,IF($L877&lt;&gt;"",$L877,$H877)))</f>
        <v/>
      </c>
      <c r="N877" s="74" t="str">
        <f>IF($C877="","",IF($D877="Gider",$H877,$E877))</f>
        <v/>
      </c>
      <c r="O877" s="73" t="str">
        <f>IF($C877="","",DATE(YEAR($C877),MONTH($C877),1))</f>
        <v/>
      </c>
      <c r="P877" s="65" t="str">
        <f ca="1">IF($C877="","",IF(AND($D877="Gelir",$L877&lt;&gt;"",$T877=""),"TANIMSIZ BORÇLU",IF($T877&lt;&gt;"",IF(OR($E877="",$G877&lt;=0),"EKSİK",IF($I877="Evet","TAHAKKUK NAKİT OLAMAZ",IF($C877&gt;TODAY(),"İLERİ TARİH","TAHAKKUK"))),IF(AND($D877&lt;&gt;"",$E877&lt;&gt;"",$G877&gt;0,$H877&lt;&gt;"",$I877&lt;&gt;""),IF($C877&gt;TODAY(),"İLERİ TARİH",IF(COUNTIF($W$7:$W$3001,$W877)&gt;1,"MÜKERRER?",IF($AD877&gt;0,"KAPALI DÖNEM",IF($I877="Hayır","ÖDENECEK","UYGUN")))),"EKSİK"))))</f>
        <v/>
      </c>
      <c r="Q877" s="2"/>
      <c r="R877" s="2"/>
      <c r="S877" s="1" t="str">
        <f t="shared" si="41"/>
        <v/>
      </c>
      <c r="T877" s="1" t="str">
        <f>IF(OR($C877="",$D877&lt;&gt;"Gelir",$L877=""),"",IFERROR(INDEX(MUSTERILER!$B$7:$B$156,MATCH($S877,MUSTERILER!$T$7:$T$156,0)),""))</f>
        <v/>
      </c>
      <c r="U877" s="1" t="str">
        <f>IF($T877="","",$T877&amp;"|"&amp;COUNTIFS($T$7:$T877,$T877))</f>
        <v/>
      </c>
      <c r="V877" s="1">
        <f t="shared" si="42"/>
        <v>0</v>
      </c>
      <c r="W877" s="1" t="str">
        <f t="shared" si="43"/>
        <v/>
      </c>
      <c r="X877" s="1"/>
      <c r="Y877" s="1"/>
      <c r="Z877" s="1"/>
      <c r="AA877" s="1"/>
      <c r="AB877" s="1"/>
      <c r="AC877" s="1"/>
      <c r="AD877" s="1">
        <f>IF($C877="",0,SUMPRODUCT((AY_SONU!$O$7:$O$42="Evet")*(AY_SONU!$B$7:$B$42=DATE(YEAR($C877),MONTH($C877),1))))</f>
        <v>0</v>
      </c>
      <c r="AE877" s="1" t="str">
        <f>IF($E877="","",$E877&amp;"|"&amp;COUNTIFS($E$7:$E877,$E877))</f>
        <v/>
      </c>
    </row>
    <row r="878" spans="1:31" ht="18" customHeight="1" x14ac:dyDescent="0.3">
      <c r="A878" s="2"/>
      <c r="B878" s="65" t="str">
        <f>IF($C878="","","GG"&amp;TEXT(ROW()-6,"00000"))</f>
        <v/>
      </c>
      <c r="C878" s="66"/>
      <c r="D878" s="60"/>
      <c r="E878" s="61"/>
      <c r="F878" s="61"/>
      <c r="G878" s="67"/>
      <c r="H878" s="60"/>
      <c r="I878" s="60"/>
      <c r="J878" s="61"/>
      <c r="K878" s="61"/>
      <c r="L878" s="60"/>
      <c r="M878" s="74" t="str">
        <f>IF($C878="","",IF($D878="Gider",$E878,IF($L878&lt;&gt;"",$L878,$H878)))</f>
        <v/>
      </c>
      <c r="N878" s="74" t="str">
        <f>IF($C878="","",IF($D878="Gider",$H878,$E878))</f>
        <v/>
      </c>
      <c r="O878" s="73" t="str">
        <f>IF($C878="","",DATE(YEAR($C878),MONTH($C878),1))</f>
        <v/>
      </c>
      <c r="P878" s="65" t="str">
        <f ca="1">IF($C878="","",IF(AND($D878="Gelir",$L878&lt;&gt;"",$T878=""),"TANIMSIZ BORÇLU",IF($T878&lt;&gt;"",IF(OR($E878="",$G878&lt;=0),"EKSİK",IF($I878="Evet","TAHAKKUK NAKİT OLAMAZ",IF($C878&gt;TODAY(),"İLERİ TARİH","TAHAKKUK"))),IF(AND($D878&lt;&gt;"",$E878&lt;&gt;"",$G878&gt;0,$H878&lt;&gt;"",$I878&lt;&gt;""),IF($C878&gt;TODAY(),"İLERİ TARİH",IF(COUNTIF($W$7:$W$3001,$W878)&gt;1,"MÜKERRER?",IF($AD878&gt;0,"KAPALI DÖNEM",IF($I878="Hayır","ÖDENECEK","UYGUN")))),"EKSİK"))))</f>
        <v/>
      </c>
      <c r="Q878" s="2"/>
      <c r="R878" s="2"/>
      <c r="S878" s="1" t="str">
        <f t="shared" si="41"/>
        <v/>
      </c>
      <c r="T878" s="1" t="str">
        <f>IF(OR($C878="",$D878&lt;&gt;"Gelir",$L878=""),"",IFERROR(INDEX(MUSTERILER!$B$7:$B$156,MATCH($S878,MUSTERILER!$T$7:$T$156,0)),""))</f>
        <v/>
      </c>
      <c r="U878" s="1" t="str">
        <f>IF($T878="","",$T878&amp;"|"&amp;COUNTIFS($T$7:$T878,$T878))</f>
        <v/>
      </c>
      <c r="V878" s="1">
        <f t="shared" si="42"/>
        <v>0</v>
      </c>
      <c r="W878" s="1" t="str">
        <f t="shared" si="43"/>
        <v/>
      </c>
      <c r="X878" s="1"/>
      <c r="Y878" s="1"/>
      <c r="Z878" s="1"/>
      <c r="AA878" s="1"/>
      <c r="AB878" s="1"/>
      <c r="AC878" s="1"/>
      <c r="AD878" s="1">
        <f>IF($C878="",0,SUMPRODUCT((AY_SONU!$O$7:$O$42="Evet")*(AY_SONU!$B$7:$B$42=DATE(YEAR($C878),MONTH($C878),1))))</f>
        <v>0</v>
      </c>
      <c r="AE878" s="1" t="str">
        <f>IF($E878="","",$E878&amp;"|"&amp;COUNTIFS($E$7:$E878,$E878))</f>
        <v/>
      </c>
    </row>
    <row r="879" spans="1:31" ht="18" customHeight="1" x14ac:dyDescent="0.3">
      <c r="A879" s="2"/>
      <c r="B879" s="65" t="str">
        <f>IF($C879="","","GG"&amp;TEXT(ROW()-6,"00000"))</f>
        <v/>
      </c>
      <c r="C879" s="66"/>
      <c r="D879" s="60"/>
      <c r="E879" s="61"/>
      <c r="F879" s="61"/>
      <c r="G879" s="67"/>
      <c r="H879" s="60"/>
      <c r="I879" s="60"/>
      <c r="J879" s="61"/>
      <c r="K879" s="61"/>
      <c r="L879" s="60"/>
      <c r="M879" s="74" t="str">
        <f>IF($C879="","",IF($D879="Gider",$E879,IF($L879&lt;&gt;"",$L879,$H879)))</f>
        <v/>
      </c>
      <c r="N879" s="74" t="str">
        <f>IF($C879="","",IF($D879="Gider",$H879,$E879))</f>
        <v/>
      </c>
      <c r="O879" s="73" t="str">
        <f>IF($C879="","",DATE(YEAR($C879),MONTH($C879),1))</f>
        <v/>
      </c>
      <c r="P879" s="65" t="str">
        <f ca="1">IF($C879="","",IF(AND($D879="Gelir",$L879&lt;&gt;"",$T879=""),"TANIMSIZ BORÇLU",IF($T879&lt;&gt;"",IF(OR($E879="",$G879&lt;=0),"EKSİK",IF($I879="Evet","TAHAKKUK NAKİT OLAMAZ",IF($C879&gt;TODAY(),"İLERİ TARİH","TAHAKKUK"))),IF(AND($D879&lt;&gt;"",$E879&lt;&gt;"",$G879&gt;0,$H879&lt;&gt;"",$I879&lt;&gt;""),IF($C879&gt;TODAY(),"İLERİ TARİH",IF(COUNTIF($W$7:$W$3001,$W879)&gt;1,"MÜKERRER?",IF($AD879&gt;0,"KAPALI DÖNEM",IF($I879="Hayır","ÖDENECEK","UYGUN")))),"EKSİK"))))</f>
        <v/>
      </c>
      <c r="Q879" s="2"/>
      <c r="R879" s="2"/>
      <c r="S879" s="1" t="str">
        <f t="shared" si="41"/>
        <v/>
      </c>
      <c r="T879" s="1" t="str">
        <f>IF(OR($C879="",$D879&lt;&gt;"Gelir",$L879=""),"",IFERROR(INDEX(MUSTERILER!$B$7:$B$156,MATCH($S879,MUSTERILER!$T$7:$T$156,0)),""))</f>
        <v/>
      </c>
      <c r="U879" s="1" t="str">
        <f>IF($T879="","",$T879&amp;"|"&amp;COUNTIFS($T$7:$T879,$T879))</f>
        <v/>
      </c>
      <c r="V879" s="1">
        <f t="shared" si="42"/>
        <v>0</v>
      </c>
      <c r="W879" s="1" t="str">
        <f t="shared" si="43"/>
        <v/>
      </c>
      <c r="X879" s="1"/>
      <c r="Y879" s="1"/>
      <c r="Z879" s="1"/>
      <c r="AA879" s="1"/>
      <c r="AB879" s="1"/>
      <c r="AC879" s="1"/>
      <c r="AD879" s="1">
        <f>IF($C879="",0,SUMPRODUCT((AY_SONU!$O$7:$O$42="Evet")*(AY_SONU!$B$7:$B$42=DATE(YEAR($C879),MONTH($C879),1))))</f>
        <v>0</v>
      </c>
      <c r="AE879" s="1" t="str">
        <f>IF($E879="","",$E879&amp;"|"&amp;COUNTIFS($E$7:$E879,$E879))</f>
        <v/>
      </c>
    </row>
    <row r="880" spans="1:31" ht="18" customHeight="1" x14ac:dyDescent="0.3">
      <c r="A880" s="2"/>
      <c r="B880" s="65" t="str">
        <f>IF($C880="","","GG"&amp;TEXT(ROW()-6,"00000"))</f>
        <v/>
      </c>
      <c r="C880" s="66"/>
      <c r="D880" s="60"/>
      <c r="E880" s="61"/>
      <c r="F880" s="61"/>
      <c r="G880" s="67"/>
      <c r="H880" s="60"/>
      <c r="I880" s="60"/>
      <c r="J880" s="61"/>
      <c r="K880" s="61"/>
      <c r="L880" s="60"/>
      <c r="M880" s="74" t="str">
        <f>IF($C880="","",IF($D880="Gider",$E880,IF($L880&lt;&gt;"",$L880,$H880)))</f>
        <v/>
      </c>
      <c r="N880" s="74" t="str">
        <f>IF($C880="","",IF($D880="Gider",$H880,$E880))</f>
        <v/>
      </c>
      <c r="O880" s="73" t="str">
        <f>IF($C880="","",DATE(YEAR($C880),MONTH($C880),1))</f>
        <v/>
      </c>
      <c r="P880" s="65" t="str">
        <f ca="1">IF($C880="","",IF(AND($D880="Gelir",$L880&lt;&gt;"",$T880=""),"TANIMSIZ BORÇLU",IF($T880&lt;&gt;"",IF(OR($E880="",$G880&lt;=0),"EKSİK",IF($I880="Evet","TAHAKKUK NAKİT OLAMAZ",IF($C880&gt;TODAY(),"İLERİ TARİH","TAHAKKUK"))),IF(AND($D880&lt;&gt;"",$E880&lt;&gt;"",$G880&gt;0,$H880&lt;&gt;"",$I880&lt;&gt;""),IF($C880&gt;TODAY(),"İLERİ TARİH",IF(COUNTIF($W$7:$W$3001,$W880)&gt;1,"MÜKERRER?",IF($AD880&gt;0,"KAPALI DÖNEM",IF($I880="Hayır","ÖDENECEK","UYGUN")))),"EKSİK"))))</f>
        <v/>
      </c>
      <c r="Q880" s="2"/>
      <c r="R880" s="2"/>
      <c r="S880" s="1" t="str">
        <f t="shared" si="41"/>
        <v/>
      </c>
      <c r="T880" s="1" t="str">
        <f>IF(OR($C880="",$D880&lt;&gt;"Gelir",$L880=""),"",IFERROR(INDEX(MUSTERILER!$B$7:$B$156,MATCH($S880,MUSTERILER!$T$7:$T$156,0)),""))</f>
        <v/>
      </c>
      <c r="U880" s="1" t="str">
        <f>IF($T880="","",$T880&amp;"|"&amp;COUNTIFS($T$7:$T880,$T880))</f>
        <v/>
      </c>
      <c r="V880" s="1">
        <f t="shared" si="42"/>
        <v>0</v>
      </c>
      <c r="W880" s="1" t="str">
        <f t="shared" si="43"/>
        <v/>
      </c>
      <c r="X880" s="1"/>
      <c r="Y880" s="1"/>
      <c r="Z880" s="1"/>
      <c r="AA880" s="1"/>
      <c r="AB880" s="1"/>
      <c r="AC880" s="1"/>
      <c r="AD880" s="1">
        <f>IF($C880="",0,SUMPRODUCT((AY_SONU!$O$7:$O$42="Evet")*(AY_SONU!$B$7:$B$42=DATE(YEAR($C880),MONTH($C880),1))))</f>
        <v>0</v>
      </c>
      <c r="AE880" s="1" t="str">
        <f>IF($E880="","",$E880&amp;"|"&amp;COUNTIFS($E$7:$E880,$E880))</f>
        <v/>
      </c>
    </row>
    <row r="881" spans="1:31" ht="18" customHeight="1" x14ac:dyDescent="0.3">
      <c r="A881" s="2"/>
      <c r="B881" s="65" t="str">
        <f>IF($C881="","","GG"&amp;TEXT(ROW()-6,"00000"))</f>
        <v/>
      </c>
      <c r="C881" s="66"/>
      <c r="D881" s="60"/>
      <c r="E881" s="61"/>
      <c r="F881" s="61"/>
      <c r="G881" s="67"/>
      <c r="H881" s="60"/>
      <c r="I881" s="60"/>
      <c r="J881" s="61"/>
      <c r="K881" s="61"/>
      <c r="L881" s="60"/>
      <c r="M881" s="74" t="str">
        <f>IF($C881="","",IF($D881="Gider",$E881,IF($L881&lt;&gt;"",$L881,$H881)))</f>
        <v/>
      </c>
      <c r="N881" s="74" t="str">
        <f>IF($C881="","",IF($D881="Gider",$H881,$E881))</f>
        <v/>
      </c>
      <c r="O881" s="73" t="str">
        <f>IF($C881="","",DATE(YEAR($C881),MONTH($C881),1))</f>
        <v/>
      </c>
      <c r="P881" s="65" t="str">
        <f ca="1">IF($C881="","",IF(AND($D881="Gelir",$L881&lt;&gt;"",$T881=""),"TANIMSIZ BORÇLU",IF($T881&lt;&gt;"",IF(OR($E881="",$G881&lt;=0),"EKSİK",IF($I881="Evet","TAHAKKUK NAKİT OLAMAZ",IF($C881&gt;TODAY(),"İLERİ TARİH","TAHAKKUK"))),IF(AND($D881&lt;&gt;"",$E881&lt;&gt;"",$G881&gt;0,$H881&lt;&gt;"",$I881&lt;&gt;""),IF($C881&gt;TODAY(),"İLERİ TARİH",IF(COUNTIF($W$7:$W$3001,$W881)&gt;1,"MÜKERRER?",IF($AD881&gt;0,"KAPALI DÖNEM",IF($I881="Hayır","ÖDENECEK","UYGUN")))),"EKSİK"))))</f>
        <v/>
      </c>
      <c r="Q881" s="2"/>
      <c r="R881" s="2"/>
      <c r="S881" s="1" t="str">
        <f t="shared" si="41"/>
        <v/>
      </c>
      <c r="T881" s="1" t="str">
        <f>IF(OR($C881="",$D881&lt;&gt;"Gelir",$L881=""),"",IFERROR(INDEX(MUSTERILER!$B$7:$B$156,MATCH($S881,MUSTERILER!$T$7:$T$156,0)),""))</f>
        <v/>
      </c>
      <c r="U881" s="1" t="str">
        <f>IF($T881="","",$T881&amp;"|"&amp;COUNTIFS($T$7:$T881,$T881))</f>
        <v/>
      </c>
      <c r="V881" s="1">
        <f t="shared" si="42"/>
        <v>0</v>
      </c>
      <c r="W881" s="1" t="str">
        <f t="shared" si="43"/>
        <v/>
      </c>
      <c r="X881" s="1"/>
      <c r="Y881" s="1"/>
      <c r="Z881" s="1"/>
      <c r="AA881" s="1"/>
      <c r="AB881" s="1"/>
      <c r="AC881" s="1"/>
      <c r="AD881" s="1">
        <f>IF($C881="",0,SUMPRODUCT((AY_SONU!$O$7:$O$42="Evet")*(AY_SONU!$B$7:$B$42=DATE(YEAR($C881),MONTH($C881),1))))</f>
        <v>0</v>
      </c>
      <c r="AE881" s="1" t="str">
        <f>IF($E881="","",$E881&amp;"|"&amp;COUNTIFS($E$7:$E881,$E881))</f>
        <v/>
      </c>
    </row>
    <row r="882" spans="1:31" ht="18" customHeight="1" x14ac:dyDescent="0.3">
      <c r="A882" s="2"/>
      <c r="B882" s="65" t="str">
        <f>IF($C882="","","GG"&amp;TEXT(ROW()-6,"00000"))</f>
        <v/>
      </c>
      <c r="C882" s="66"/>
      <c r="D882" s="60"/>
      <c r="E882" s="61"/>
      <c r="F882" s="61"/>
      <c r="G882" s="67"/>
      <c r="H882" s="60"/>
      <c r="I882" s="60"/>
      <c r="J882" s="61"/>
      <c r="K882" s="61"/>
      <c r="L882" s="60"/>
      <c r="M882" s="74" t="str">
        <f>IF($C882="","",IF($D882="Gider",$E882,IF($L882&lt;&gt;"",$L882,$H882)))</f>
        <v/>
      </c>
      <c r="N882" s="74" t="str">
        <f>IF($C882="","",IF($D882="Gider",$H882,$E882))</f>
        <v/>
      </c>
      <c r="O882" s="73" t="str">
        <f>IF($C882="","",DATE(YEAR($C882),MONTH($C882),1))</f>
        <v/>
      </c>
      <c r="P882" s="65" t="str">
        <f ca="1">IF($C882="","",IF(AND($D882="Gelir",$L882&lt;&gt;"",$T882=""),"TANIMSIZ BORÇLU",IF($T882&lt;&gt;"",IF(OR($E882="",$G882&lt;=0),"EKSİK",IF($I882="Evet","TAHAKKUK NAKİT OLAMAZ",IF($C882&gt;TODAY(),"İLERİ TARİH","TAHAKKUK"))),IF(AND($D882&lt;&gt;"",$E882&lt;&gt;"",$G882&gt;0,$H882&lt;&gt;"",$I882&lt;&gt;""),IF($C882&gt;TODAY(),"İLERİ TARİH",IF(COUNTIF($W$7:$W$3001,$W882)&gt;1,"MÜKERRER?",IF($AD882&gt;0,"KAPALI DÖNEM",IF($I882="Hayır","ÖDENECEK","UYGUN")))),"EKSİK"))))</f>
        <v/>
      </c>
      <c r="Q882" s="2"/>
      <c r="R882" s="2"/>
      <c r="S882" s="1" t="str">
        <f t="shared" si="41"/>
        <v/>
      </c>
      <c r="T882" s="1" t="str">
        <f>IF(OR($C882="",$D882&lt;&gt;"Gelir",$L882=""),"",IFERROR(INDEX(MUSTERILER!$B$7:$B$156,MATCH($S882,MUSTERILER!$T$7:$T$156,0)),""))</f>
        <v/>
      </c>
      <c r="U882" s="1" t="str">
        <f>IF($T882="","",$T882&amp;"|"&amp;COUNTIFS($T$7:$T882,$T882))</f>
        <v/>
      </c>
      <c r="V882" s="1">
        <f t="shared" si="42"/>
        <v>0</v>
      </c>
      <c r="W882" s="1" t="str">
        <f t="shared" si="43"/>
        <v/>
      </c>
      <c r="X882" s="1"/>
      <c r="Y882" s="1"/>
      <c r="Z882" s="1"/>
      <c r="AA882" s="1"/>
      <c r="AB882" s="1"/>
      <c r="AC882" s="1"/>
      <c r="AD882" s="1">
        <f>IF($C882="",0,SUMPRODUCT((AY_SONU!$O$7:$O$42="Evet")*(AY_SONU!$B$7:$B$42=DATE(YEAR($C882),MONTH($C882),1))))</f>
        <v>0</v>
      </c>
      <c r="AE882" s="1" t="str">
        <f>IF($E882="","",$E882&amp;"|"&amp;COUNTIFS($E$7:$E882,$E882))</f>
        <v/>
      </c>
    </row>
    <row r="883" spans="1:31" ht="18" customHeight="1" x14ac:dyDescent="0.3">
      <c r="A883" s="2"/>
      <c r="B883" s="65" t="str">
        <f>IF($C883="","","GG"&amp;TEXT(ROW()-6,"00000"))</f>
        <v/>
      </c>
      <c r="C883" s="66"/>
      <c r="D883" s="60"/>
      <c r="E883" s="61"/>
      <c r="F883" s="61"/>
      <c r="G883" s="67"/>
      <c r="H883" s="60"/>
      <c r="I883" s="60"/>
      <c r="J883" s="61"/>
      <c r="K883" s="61"/>
      <c r="L883" s="60"/>
      <c r="M883" s="74" t="str">
        <f>IF($C883="","",IF($D883="Gider",$E883,IF($L883&lt;&gt;"",$L883,$H883)))</f>
        <v/>
      </c>
      <c r="N883" s="74" t="str">
        <f>IF($C883="","",IF($D883="Gider",$H883,$E883))</f>
        <v/>
      </c>
      <c r="O883" s="73" t="str">
        <f>IF($C883="","",DATE(YEAR($C883),MONTH($C883),1))</f>
        <v/>
      </c>
      <c r="P883" s="65" t="str">
        <f ca="1">IF($C883="","",IF(AND($D883="Gelir",$L883&lt;&gt;"",$T883=""),"TANIMSIZ BORÇLU",IF($T883&lt;&gt;"",IF(OR($E883="",$G883&lt;=0),"EKSİK",IF($I883="Evet","TAHAKKUK NAKİT OLAMAZ",IF($C883&gt;TODAY(),"İLERİ TARİH","TAHAKKUK"))),IF(AND($D883&lt;&gt;"",$E883&lt;&gt;"",$G883&gt;0,$H883&lt;&gt;"",$I883&lt;&gt;""),IF($C883&gt;TODAY(),"İLERİ TARİH",IF(COUNTIF($W$7:$W$3001,$W883)&gt;1,"MÜKERRER?",IF($AD883&gt;0,"KAPALI DÖNEM",IF($I883="Hayır","ÖDENECEK","UYGUN")))),"EKSİK"))))</f>
        <v/>
      </c>
      <c r="Q883" s="2"/>
      <c r="R883" s="2"/>
      <c r="S883" s="1" t="str">
        <f t="shared" si="41"/>
        <v/>
      </c>
      <c r="T883" s="1" t="str">
        <f>IF(OR($C883="",$D883&lt;&gt;"Gelir",$L883=""),"",IFERROR(INDEX(MUSTERILER!$B$7:$B$156,MATCH($S883,MUSTERILER!$T$7:$T$156,0)),""))</f>
        <v/>
      </c>
      <c r="U883" s="1" t="str">
        <f>IF($T883="","",$T883&amp;"|"&amp;COUNTIFS($T$7:$T883,$T883))</f>
        <v/>
      </c>
      <c r="V883" s="1">
        <f t="shared" si="42"/>
        <v>0</v>
      </c>
      <c r="W883" s="1" t="str">
        <f t="shared" si="43"/>
        <v/>
      </c>
      <c r="X883" s="1"/>
      <c r="Y883" s="1"/>
      <c r="Z883" s="1"/>
      <c r="AA883" s="1"/>
      <c r="AB883" s="1"/>
      <c r="AC883" s="1"/>
      <c r="AD883" s="1">
        <f>IF($C883="",0,SUMPRODUCT((AY_SONU!$O$7:$O$42="Evet")*(AY_SONU!$B$7:$B$42=DATE(YEAR($C883),MONTH($C883),1))))</f>
        <v>0</v>
      </c>
      <c r="AE883" s="1" t="str">
        <f>IF($E883="","",$E883&amp;"|"&amp;COUNTIFS($E$7:$E883,$E883))</f>
        <v/>
      </c>
    </row>
    <row r="884" spans="1:31" ht="18" customHeight="1" x14ac:dyDescent="0.3">
      <c r="A884" s="2"/>
      <c r="B884" s="65" t="str">
        <f>IF($C884="","","GG"&amp;TEXT(ROW()-6,"00000"))</f>
        <v/>
      </c>
      <c r="C884" s="66"/>
      <c r="D884" s="60"/>
      <c r="E884" s="61"/>
      <c r="F884" s="61"/>
      <c r="G884" s="67"/>
      <c r="H884" s="60"/>
      <c r="I884" s="60"/>
      <c r="J884" s="61"/>
      <c r="K884" s="61"/>
      <c r="L884" s="60"/>
      <c r="M884" s="74" t="str">
        <f>IF($C884="","",IF($D884="Gider",$E884,IF($L884&lt;&gt;"",$L884,$H884)))</f>
        <v/>
      </c>
      <c r="N884" s="74" t="str">
        <f>IF($C884="","",IF($D884="Gider",$H884,$E884))</f>
        <v/>
      </c>
      <c r="O884" s="73" t="str">
        <f>IF($C884="","",DATE(YEAR($C884),MONTH($C884),1))</f>
        <v/>
      </c>
      <c r="P884" s="65" t="str">
        <f ca="1">IF($C884="","",IF(AND($D884="Gelir",$L884&lt;&gt;"",$T884=""),"TANIMSIZ BORÇLU",IF($T884&lt;&gt;"",IF(OR($E884="",$G884&lt;=0),"EKSİK",IF($I884="Evet","TAHAKKUK NAKİT OLAMAZ",IF($C884&gt;TODAY(),"İLERİ TARİH","TAHAKKUK"))),IF(AND($D884&lt;&gt;"",$E884&lt;&gt;"",$G884&gt;0,$H884&lt;&gt;"",$I884&lt;&gt;""),IF($C884&gt;TODAY(),"İLERİ TARİH",IF(COUNTIF($W$7:$W$3001,$W884)&gt;1,"MÜKERRER?",IF($AD884&gt;0,"KAPALI DÖNEM",IF($I884="Hayır","ÖDENECEK","UYGUN")))),"EKSİK"))))</f>
        <v/>
      </c>
      <c r="Q884" s="2"/>
      <c r="R884" s="2"/>
      <c r="S884" s="1" t="str">
        <f t="shared" si="41"/>
        <v/>
      </c>
      <c r="T884" s="1" t="str">
        <f>IF(OR($C884="",$D884&lt;&gt;"Gelir",$L884=""),"",IFERROR(INDEX(MUSTERILER!$B$7:$B$156,MATCH($S884,MUSTERILER!$T$7:$T$156,0)),""))</f>
        <v/>
      </c>
      <c r="U884" s="1" t="str">
        <f>IF($T884="","",$T884&amp;"|"&amp;COUNTIFS($T$7:$T884,$T884))</f>
        <v/>
      </c>
      <c r="V884" s="1">
        <f t="shared" si="42"/>
        <v>0</v>
      </c>
      <c r="W884" s="1" t="str">
        <f t="shared" si="43"/>
        <v/>
      </c>
      <c r="X884" s="1"/>
      <c r="Y884" s="1"/>
      <c r="Z884" s="1"/>
      <c r="AA884" s="1"/>
      <c r="AB884" s="1"/>
      <c r="AC884" s="1"/>
      <c r="AD884" s="1">
        <f>IF($C884="",0,SUMPRODUCT((AY_SONU!$O$7:$O$42="Evet")*(AY_SONU!$B$7:$B$42=DATE(YEAR($C884),MONTH($C884),1))))</f>
        <v>0</v>
      </c>
      <c r="AE884" s="1" t="str">
        <f>IF($E884="","",$E884&amp;"|"&amp;COUNTIFS($E$7:$E884,$E884))</f>
        <v/>
      </c>
    </row>
    <row r="885" spans="1:31" ht="18" customHeight="1" x14ac:dyDescent="0.3">
      <c r="A885" s="2"/>
      <c r="B885" s="65" t="str">
        <f>IF($C885="","","GG"&amp;TEXT(ROW()-6,"00000"))</f>
        <v/>
      </c>
      <c r="C885" s="66"/>
      <c r="D885" s="60"/>
      <c r="E885" s="61"/>
      <c r="F885" s="61"/>
      <c r="G885" s="67"/>
      <c r="H885" s="60"/>
      <c r="I885" s="60"/>
      <c r="J885" s="61"/>
      <c r="K885" s="61"/>
      <c r="L885" s="60"/>
      <c r="M885" s="74" t="str">
        <f>IF($C885="","",IF($D885="Gider",$E885,IF($L885&lt;&gt;"",$L885,$H885)))</f>
        <v/>
      </c>
      <c r="N885" s="74" t="str">
        <f>IF($C885="","",IF($D885="Gider",$H885,$E885))</f>
        <v/>
      </c>
      <c r="O885" s="73" t="str">
        <f>IF($C885="","",DATE(YEAR($C885),MONTH($C885),1))</f>
        <v/>
      </c>
      <c r="P885" s="65" t="str">
        <f ca="1">IF($C885="","",IF(AND($D885="Gelir",$L885&lt;&gt;"",$T885=""),"TANIMSIZ BORÇLU",IF($T885&lt;&gt;"",IF(OR($E885="",$G885&lt;=0),"EKSİK",IF($I885="Evet","TAHAKKUK NAKİT OLAMAZ",IF($C885&gt;TODAY(),"İLERİ TARİH","TAHAKKUK"))),IF(AND($D885&lt;&gt;"",$E885&lt;&gt;"",$G885&gt;0,$H885&lt;&gt;"",$I885&lt;&gt;""),IF($C885&gt;TODAY(),"İLERİ TARİH",IF(COUNTIF($W$7:$W$3001,$W885)&gt;1,"MÜKERRER?",IF($AD885&gt;0,"KAPALI DÖNEM",IF($I885="Hayır","ÖDENECEK","UYGUN")))),"EKSİK"))))</f>
        <v/>
      </c>
      <c r="Q885" s="2"/>
      <c r="R885" s="2"/>
      <c r="S885" s="1" t="str">
        <f t="shared" si="41"/>
        <v/>
      </c>
      <c r="T885" s="1" t="str">
        <f>IF(OR($C885="",$D885&lt;&gt;"Gelir",$L885=""),"",IFERROR(INDEX(MUSTERILER!$B$7:$B$156,MATCH($S885,MUSTERILER!$T$7:$T$156,0)),""))</f>
        <v/>
      </c>
      <c r="U885" s="1" t="str">
        <f>IF($T885="","",$T885&amp;"|"&amp;COUNTIFS($T$7:$T885,$T885))</f>
        <v/>
      </c>
      <c r="V885" s="1">
        <f t="shared" si="42"/>
        <v>0</v>
      </c>
      <c r="W885" s="1" t="str">
        <f t="shared" si="43"/>
        <v/>
      </c>
      <c r="X885" s="1"/>
      <c r="Y885" s="1"/>
      <c r="Z885" s="1"/>
      <c r="AA885" s="1"/>
      <c r="AB885" s="1"/>
      <c r="AC885" s="1"/>
      <c r="AD885" s="1">
        <f>IF($C885="",0,SUMPRODUCT((AY_SONU!$O$7:$O$42="Evet")*(AY_SONU!$B$7:$B$42=DATE(YEAR($C885),MONTH($C885),1))))</f>
        <v>0</v>
      </c>
      <c r="AE885" s="1" t="str">
        <f>IF($E885="","",$E885&amp;"|"&amp;COUNTIFS($E$7:$E885,$E885))</f>
        <v/>
      </c>
    </row>
    <row r="886" spans="1:31" ht="18" customHeight="1" x14ac:dyDescent="0.3">
      <c r="A886" s="2"/>
      <c r="B886" s="65" t="str">
        <f>IF($C886="","","GG"&amp;TEXT(ROW()-6,"00000"))</f>
        <v/>
      </c>
      <c r="C886" s="66"/>
      <c r="D886" s="60"/>
      <c r="E886" s="61"/>
      <c r="F886" s="61"/>
      <c r="G886" s="67"/>
      <c r="H886" s="60"/>
      <c r="I886" s="60"/>
      <c r="J886" s="61"/>
      <c r="K886" s="61"/>
      <c r="L886" s="60"/>
      <c r="M886" s="74" t="str">
        <f>IF($C886="","",IF($D886="Gider",$E886,IF($L886&lt;&gt;"",$L886,$H886)))</f>
        <v/>
      </c>
      <c r="N886" s="74" t="str">
        <f>IF($C886="","",IF($D886="Gider",$H886,$E886))</f>
        <v/>
      </c>
      <c r="O886" s="73" t="str">
        <f>IF($C886="","",DATE(YEAR($C886),MONTH($C886),1))</f>
        <v/>
      </c>
      <c r="P886" s="65" t="str">
        <f ca="1">IF($C886="","",IF(AND($D886="Gelir",$L886&lt;&gt;"",$T886=""),"TANIMSIZ BORÇLU",IF($T886&lt;&gt;"",IF(OR($E886="",$G886&lt;=0),"EKSİK",IF($I886="Evet","TAHAKKUK NAKİT OLAMAZ",IF($C886&gt;TODAY(),"İLERİ TARİH","TAHAKKUK"))),IF(AND($D886&lt;&gt;"",$E886&lt;&gt;"",$G886&gt;0,$H886&lt;&gt;"",$I886&lt;&gt;""),IF($C886&gt;TODAY(),"İLERİ TARİH",IF(COUNTIF($W$7:$W$3001,$W886)&gt;1,"MÜKERRER?",IF($AD886&gt;0,"KAPALI DÖNEM",IF($I886="Hayır","ÖDENECEK","UYGUN")))),"EKSİK"))))</f>
        <v/>
      </c>
      <c r="Q886" s="2"/>
      <c r="R886" s="2"/>
      <c r="S886" s="1" t="str">
        <f t="shared" si="41"/>
        <v/>
      </c>
      <c r="T886" s="1" t="str">
        <f>IF(OR($C886="",$D886&lt;&gt;"Gelir",$L886=""),"",IFERROR(INDEX(MUSTERILER!$B$7:$B$156,MATCH($S886,MUSTERILER!$T$7:$T$156,0)),""))</f>
        <v/>
      </c>
      <c r="U886" s="1" t="str">
        <f>IF($T886="","",$T886&amp;"|"&amp;COUNTIFS($T$7:$T886,$T886))</f>
        <v/>
      </c>
      <c r="V886" s="1">
        <f t="shared" si="42"/>
        <v>0</v>
      </c>
      <c r="W886" s="1" t="str">
        <f t="shared" si="43"/>
        <v/>
      </c>
      <c r="X886" s="1"/>
      <c r="Y886" s="1"/>
      <c r="Z886" s="1"/>
      <c r="AA886" s="1"/>
      <c r="AB886" s="1"/>
      <c r="AC886" s="1"/>
      <c r="AD886" s="1">
        <f>IF($C886="",0,SUMPRODUCT((AY_SONU!$O$7:$O$42="Evet")*(AY_SONU!$B$7:$B$42=DATE(YEAR($C886),MONTH($C886),1))))</f>
        <v>0</v>
      </c>
      <c r="AE886" s="1" t="str">
        <f>IF($E886="","",$E886&amp;"|"&amp;COUNTIFS($E$7:$E886,$E886))</f>
        <v/>
      </c>
    </row>
    <row r="887" spans="1:31" ht="18" customHeight="1" x14ac:dyDescent="0.3">
      <c r="A887" s="2"/>
      <c r="B887" s="65" t="str">
        <f>IF($C887="","","GG"&amp;TEXT(ROW()-6,"00000"))</f>
        <v/>
      </c>
      <c r="C887" s="66"/>
      <c r="D887" s="60"/>
      <c r="E887" s="61"/>
      <c r="F887" s="61"/>
      <c r="G887" s="67"/>
      <c r="H887" s="60"/>
      <c r="I887" s="60"/>
      <c r="J887" s="61"/>
      <c r="K887" s="61"/>
      <c r="L887" s="60"/>
      <c r="M887" s="74" t="str">
        <f>IF($C887="","",IF($D887="Gider",$E887,IF($L887&lt;&gt;"",$L887,$H887)))</f>
        <v/>
      </c>
      <c r="N887" s="74" t="str">
        <f>IF($C887="","",IF($D887="Gider",$H887,$E887))</f>
        <v/>
      </c>
      <c r="O887" s="73" t="str">
        <f>IF($C887="","",DATE(YEAR($C887),MONTH($C887),1))</f>
        <v/>
      </c>
      <c r="P887" s="65" t="str">
        <f ca="1">IF($C887="","",IF(AND($D887="Gelir",$L887&lt;&gt;"",$T887=""),"TANIMSIZ BORÇLU",IF($T887&lt;&gt;"",IF(OR($E887="",$G887&lt;=0),"EKSİK",IF($I887="Evet","TAHAKKUK NAKİT OLAMAZ",IF($C887&gt;TODAY(),"İLERİ TARİH","TAHAKKUK"))),IF(AND($D887&lt;&gt;"",$E887&lt;&gt;"",$G887&gt;0,$H887&lt;&gt;"",$I887&lt;&gt;""),IF($C887&gt;TODAY(),"İLERİ TARİH",IF(COUNTIF($W$7:$W$3001,$W887)&gt;1,"MÜKERRER?",IF($AD887&gt;0,"KAPALI DÖNEM",IF($I887="Hayır","ÖDENECEK","UYGUN")))),"EKSİK"))))</f>
        <v/>
      </c>
      <c r="Q887" s="2"/>
      <c r="R887" s="2"/>
      <c r="S887" s="1" t="str">
        <f t="shared" si="41"/>
        <v/>
      </c>
      <c r="T887" s="1" t="str">
        <f>IF(OR($C887="",$D887&lt;&gt;"Gelir",$L887=""),"",IFERROR(INDEX(MUSTERILER!$B$7:$B$156,MATCH($S887,MUSTERILER!$T$7:$T$156,0)),""))</f>
        <v/>
      </c>
      <c r="U887" s="1" t="str">
        <f>IF($T887="","",$T887&amp;"|"&amp;COUNTIFS($T$7:$T887,$T887))</f>
        <v/>
      </c>
      <c r="V887" s="1">
        <f t="shared" si="42"/>
        <v>0</v>
      </c>
      <c r="W887" s="1" t="str">
        <f t="shared" si="43"/>
        <v/>
      </c>
      <c r="X887" s="1"/>
      <c r="Y887" s="1"/>
      <c r="Z887" s="1"/>
      <c r="AA887" s="1"/>
      <c r="AB887" s="1"/>
      <c r="AC887" s="1"/>
      <c r="AD887" s="1">
        <f>IF($C887="",0,SUMPRODUCT((AY_SONU!$O$7:$O$42="Evet")*(AY_SONU!$B$7:$B$42=DATE(YEAR($C887),MONTH($C887),1))))</f>
        <v>0</v>
      </c>
      <c r="AE887" s="1" t="str">
        <f>IF($E887="","",$E887&amp;"|"&amp;COUNTIFS($E$7:$E887,$E887))</f>
        <v/>
      </c>
    </row>
    <row r="888" spans="1:31" ht="18" customHeight="1" x14ac:dyDescent="0.3">
      <c r="A888" s="2"/>
      <c r="B888" s="65" t="str">
        <f>IF($C888="","","GG"&amp;TEXT(ROW()-6,"00000"))</f>
        <v/>
      </c>
      <c r="C888" s="66"/>
      <c r="D888" s="60"/>
      <c r="E888" s="61"/>
      <c r="F888" s="61"/>
      <c r="G888" s="67"/>
      <c r="H888" s="60"/>
      <c r="I888" s="60"/>
      <c r="J888" s="61"/>
      <c r="K888" s="61"/>
      <c r="L888" s="60"/>
      <c r="M888" s="74" t="str">
        <f>IF($C888="","",IF($D888="Gider",$E888,IF($L888&lt;&gt;"",$L888,$H888)))</f>
        <v/>
      </c>
      <c r="N888" s="74" t="str">
        <f>IF($C888="","",IF($D888="Gider",$H888,$E888))</f>
        <v/>
      </c>
      <c r="O888" s="73" t="str">
        <f>IF($C888="","",DATE(YEAR($C888),MONTH($C888),1))</f>
        <v/>
      </c>
      <c r="P888" s="65" t="str">
        <f ca="1">IF($C888="","",IF(AND($D888="Gelir",$L888&lt;&gt;"",$T888=""),"TANIMSIZ BORÇLU",IF($T888&lt;&gt;"",IF(OR($E888="",$G888&lt;=0),"EKSİK",IF($I888="Evet","TAHAKKUK NAKİT OLAMAZ",IF($C888&gt;TODAY(),"İLERİ TARİH","TAHAKKUK"))),IF(AND($D888&lt;&gt;"",$E888&lt;&gt;"",$G888&gt;0,$H888&lt;&gt;"",$I888&lt;&gt;""),IF($C888&gt;TODAY(),"İLERİ TARİH",IF(COUNTIF($W$7:$W$3001,$W888)&gt;1,"MÜKERRER?",IF($AD888&gt;0,"KAPALI DÖNEM",IF($I888="Hayır","ÖDENECEK","UYGUN")))),"EKSİK"))))</f>
        <v/>
      </c>
      <c r="Q888" s="2"/>
      <c r="R888" s="2"/>
      <c r="S888" s="1" t="str">
        <f t="shared" si="41"/>
        <v/>
      </c>
      <c r="T888" s="1" t="str">
        <f>IF(OR($C888="",$D888&lt;&gt;"Gelir",$L888=""),"",IFERROR(INDEX(MUSTERILER!$B$7:$B$156,MATCH($S888,MUSTERILER!$T$7:$T$156,0)),""))</f>
        <v/>
      </c>
      <c r="U888" s="1" t="str">
        <f>IF($T888="","",$T888&amp;"|"&amp;COUNTIFS($T$7:$T888,$T888))</f>
        <v/>
      </c>
      <c r="V888" s="1">
        <f t="shared" si="42"/>
        <v>0</v>
      </c>
      <c r="W888" s="1" t="str">
        <f t="shared" si="43"/>
        <v/>
      </c>
      <c r="X888" s="1"/>
      <c r="Y888" s="1"/>
      <c r="Z888" s="1"/>
      <c r="AA888" s="1"/>
      <c r="AB888" s="1"/>
      <c r="AC888" s="1"/>
      <c r="AD888" s="1">
        <f>IF($C888="",0,SUMPRODUCT((AY_SONU!$O$7:$O$42="Evet")*(AY_SONU!$B$7:$B$42=DATE(YEAR($C888),MONTH($C888),1))))</f>
        <v>0</v>
      </c>
      <c r="AE888" s="1" t="str">
        <f>IF($E888="","",$E888&amp;"|"&amp;COUNTIFS($E$7:$E888,$E888))</f>
        <v/>
      </c>
    </row>
    <row r="889" spans="1:31" ht="18" customHeight="1" x14ac:dyDescent="0.3">
      <c r="A889" s="2"/>
      <c r="B889" s="65" t="str">
        <f>IF($C889="","","GG"&amp;TEXT(ROW()-6,"00000"))</f>
        <v/>
      </c>
      <c r="C889" s="66"/>
      <c r="D889" s="60"/>
      <c r="E889" s="61"/>
      <c r="F889" s="61"/>
      <c r="G889" s="67"/>
      <c r="H889" s="60"/>
      <c r="I889" s="60"/>
      <c r="J889" s="61"/>
      <c r="K889" s="61"/>
      <c r="L889" s="60"/>
      <c r="M889" s="74" t="str">
        <f>IF($C889="","",IF($D889="Gider",$E889,IF($L889&lt;&gt;"",$L889,$H889)))</f>
        <v/>
      </c>
      <c r="N889" s="74" t="str">
        <f>IF($C889="","",IF($D889="Gider",$H889,$E889))</f>
        <v/>
      </c>
      <c r="O889" s="73" t="str">
        <f>IF($C889="","",DATE(YEAR($C889),MONTH($C889),1))</f>
        <v/>
      </c>
      <c r="P889" s="65" t="str">
        <f ca="1">IF($C889="","",IF(AND($D889="Gelir",$L889&lt;&gt;"",$T889=""),"TANIMSIZ BORÇLU",IF($T889&lt;&gt;"",IF(OR($E889="",$G889&lt;=0),"EKSİK",IF($I889="Evet","TAHAKKUK NAKİT OLAMAZ",IF($C889&gt;TODAY(),"İLERİ TARİH","TAHAKKUK"))),IF(AND($D889&lt;&gt;"",$E889&lt;&gt;"",$G889&gt;0,$H889&lt;&gt;"",$I889&lt;&gt;""),IF($C889&gt;TODAY(),"İLERİ TARİH",IF(COUNTIF($W$7:$W$3001,$W889)&gt;1,"MÜKERRER?",IF($AD889&gt;0,"KAPALI DÖNEM",IF($I889="Hayır","ÖDENECEK","UYGUN")))),"EKSİK"))))</f>
        <v/>
      </c>
      <c r="Q889" s="2"/>
      <c r="R889" s="2"/>
      <c r="S889" s="1" t="str">
        <f t="shared" si="41"/>
        <v/>
      </c>
      <c r="T889" s="1" t="str">
        <f>IF(OR($C889="",$D889&lt;&gt;"Gelir",$L889=""),"",IFERROR(INDEX(MUSTERILER!$B$7:$B$156,MATCH($S889,MUSTERILER!$T$7:$T$156,0)),""))</f>
        <v/>
      </c>
      <c r="U889" s="1" t="str">
        <f>IF($T889="","",$T889&amp;"|"&amp;COUNTIFS($T$7:$T889,$T889))</f>
        <v/>
      </c>
      <c r="V889" s="1">
        <f t="shared" si="42"/>
        <v>0</v>
      </c>
      <c r="W889" s="1" t="str">
        <f t="shared" si="43"/>
        <v/>
      </c>
      <c r="X889" s="1"/>
      <c r="Y889" s="1"/>
      <c r="Z889" s="1"/>
      <c r="AA889" s="1"/>
      <c r="AB889" s="1"/>
      <c r="AC889" s="1"/>
      <c r="AD889" s="1">
        <f>IF($C889="",0,SUMPRODUCT((AY_SONU!$O$7:$O$42="Evet")*(AY_SONU!$B$7:$B$42=DATE(YEAR($C889),MONTH($C889),1))))</f>
        <v>0</v>
      </c>
      <c r="AE889" s="1" t="str">
        <f>IF($E889="","",$E889&amp;"|"&amp;COUNTIFS($E$7:$E889,$E889))</f>
        <v/>
      </c>
    </row>
    <row r="890" spans="1:31" ht="18" customHeight="1" x14ac:dyDescent="0.3">
      <c r="A890" s="2"/>
      <c r="B890" s="65" t="str">
        <f>IF($C890="","","GG"&amp;TEXT(ROW()-6,"00000"))</f>
        <v/>
      </c>
      <c r="C890" s="66"/>
      <c r="D890" s="60"/>
      <c r="E890" s="61"/>
      <c r="F890" s="61"/>
      <c r="G890" s="67"/>
      <c r="H890" s="60"/>
      <c r="I890" s="60"/>
      <c r="J890" s="61"/>
      <c r="K890" s="61"/>
      <c r="L890" s="60"/>
      <c r="M890" s="74" t="str">
        <f>IF($C890="","",IF($D890="Gider",$E890,IF($L890&lt;&gt;"",$L890,$H890)))</f>
        <v/>
      </c>
      <c r="N890" s="74" t="str">
        <f>IF($C890="","",IF($D890="Gider",$H890,$E890))</f>
        <v/>
      </c>
      <c r="O890" s="73" t="str">
        <f>IF($C890="","",DATE(YEAR($C890),MONTH($C890),1))</f>
        <v/>
      </c>
      <c r="P890" s="65" t="str">
        <f ca="1">IF($C890="","",IF(AND($D890="Gelir",$L890&lt;&gt;"",$T890=""),"TANIMSIZ BORÇLU",IF($T890&lt;&gt;"",IF(OR($E890="",$G890&lt;=0),"EKSİK",IF($I890="Evet","TAHAKKUK NAKİT OLAMAZ",IF($C890&gt;TODAY(),"İLERİ TARİH","TAHAKKUK"))),IF(AND($D890&lt;&gt;"",$E890&lt;&gt;"",$G890&gt;0,$H890&lt;&gt;"",$I890&lt;&gt;""),IF($C890&gt;TODAY(),"İLERİ TARİH",IF(COUNTIF($W$7:$W$3001,$W890)&gt;1,"MÜKERRER?",IF($AD890&gt;0,"KAPALI DÖNEM",IF($I890="Hayır","ÖDENECEK","UYGUN")))),"EKSİK"))))</f>
        <v/>
      </c>
      <c r="Q890" s="2"/>
      <c r="R890" s="2"/>
      <c r="S890" s="1" t="str">
        <f t="shared" si="41"/>
        <v/>
      </c>
      <c r="T890" s="1" t="str">
        <f>IF(OR($C890="",$D890&lt;&gt;"Gelir",$L890=""),"",IFERROR(INDEX(MUSTERILER!$B$7:$B$156,MATCH($S890,MUSTERILER!$T$7:$T$156,0)),""))</f>
        <v/>
      </c>
      <c r="U890" s="1" t="str">
        <f>IF($T890="","",$T890&amp;"|"&amp;COUNTIFS($T$7:$T890,$T890))</f>
        <v/>
      </c>
      <c r="V890" s="1">
        <f t="shared" si="42"/>
        <v>0</v>
      </c>
      <c r="W890" s="1" t="str">
        <f t="shared" si="43"/>
        <v/>
      </c>
      <c r="X890" s="1"/>
      <c r="Y890" s="1"/>
      <c r="Z890" s="1"/>
      <c r="AA890" s="1"/>
      <c r="AB890" s="1"/>
      <c r="AC890" s="1"/>
      <c r="AD890" s="1">
        <f>IF($C890="",0,SUMPRODUCT((AY_SONU!$O$7:$O$42="Evet")*(AY_SONU!$B$7:$B$42=DATE(YEAR($C890),MONTH($C890),1))))</f>
        <v>0</v>
      </c>
      <c r="AE890" s="1" t="str">
        <f>IF($E890="","",$E890&amp;"|"&amp;COUNTIFS($E$7:$E890,$E890))</f>
        <v/>
      </c>
    </row>
    <row r="891" spans="1:31" ht="18" customHeight="1" x14ac:dyDescent="0.3">
      <c r="A891" s="2"/>
      <c r="B891" s="65" t="str">
        <f>IF($C891="","","GG"&amp;TEXT(ROW()-6,"00000"))</f>
        <v/>
      </c>
      <c r="C891" s="66"/>
      <c r="D891" s="60"/>
      <c r="E891" s="61"/>
      <c r="F891" s="61"/>
      <c r="G891" s="67"/>
      <c r="H891" s="60"/>
      <c r="I891" s="60"/>
      <c r="J891" s="61"/>
      <c r="K891" s="61"/>
      <c r="L891" s="60"/>
      <c r="M891" s="74" t="str">
        <f>IF($C891="","",IF($D891="Gider",$E891,IF($L891&lt;&gt;"",$L891,$H891)))</f>
        <v/>
      </c>
      <c r="N891" s="74" t="str">
        <f>IF($C891="","",IF($D891="Gider",$H891,$E891))</f>
        <v/>
      </c>
      <c r="O891" s="73" t="str">
        <f>IF($C891="","",DATE(YEAR($C891),MONTH($C891),1))</f>
        <v/>
      </c>
      <c r="P891" s="65" t="str">
        <f ca="1">IF($C891="","",IF(AND($D891="Gelir",$L891&lt;&gt;"",$T891=""),"TANIMSIZ BORÇLU",IF($T891&lt;&gt;"",IF(OR($E891="",$G891&lt;=0),"EKSİK",IF($I891="Evet","TAHAKKUK NAKİT OLAMAZ",IF($C891&gt;TODAY(),"İLERİ TARİH","TAHAKKUK"))),IF(AND($D891&lt;&gt;"",$E891&lt;&gt;"",$G891&gt;0,$H891&lt;&gt;"",$I891&lt;&gt;""),IF($C891&gt;TODAY(),"İLERİ TARİH",IF(COUNTIF($W$7:$W$3001,$W891)&gt;1,"MÜKERRER?",IF($AD891&gt;0,"KAPALI DÖNEM",IF($I891="Hayır","ÖDENECEK","UYGUN")))),"EKSİK"))))</f>
        <v/>
      </c>
      <c r="Q891" s="2"/>
      <c r="R891" s="2"/>
      <c r="S891" s="1" t="str">
        <f t="shared" si="41"/>
        <v/>
      </c>
      <c r="T891" s="1" t="str">
        <f>IF(OR($C891="",$D891&lt;&gt;"Gelir",$L891=""),"",IFERROR(INDEX(MUSTERILER!$B$7:$B$156,MATCH($S891,MUSTERILER!$T$7:$T$156,0)),""))</f>
        <v/>
      </c>
      <c r="U891" s="1" t="str">
        <f>IF($T891="","",$T891&amp;"|"&amp;COUNTIFS($T$7:$T891,$T891))</f>
        <v/>
      </c>
      <c r="V891" s="1">
        <f t="shared" si="42"/>
        <v>0</v>
      </c>
      <c r="W891" s="1" t="str">
        <f t="shared" si="43"/>
        <v/>
      </c>
      <c r="X891" s="1"/>
      <c r="Y891" s="1"/>
      <c r="Z891" s="1"/>
      <c r="AA891" s="1"/>
      <c r="AB891" s="1"/>
      <c r="AC891" s="1"/>
      <c r="AD891" s="1">
        <f>IF($C891="",0,SUMPRODUCT((AY_SONU!$O$7:$O$42="Evet")*(AY_SONU!$B$7:$B$42=DATE(YEAR($C891),MONTH($C891),1))))</f>
        <v>0</v>
      </c>
      <c r="AE891" s="1" t="str">
        <f>IF($E891="","",$E891&amp;"|"&amp;COUNTIFS($E$7:$E891,$E891))</f>
        <v/>
      </c>
    </row>
    <row r="892" spans="1:31" ht="18" customHeight="1" x14ac:dyDescent="0.3">
      <c r="A892" s="2"/>
      <c r="B892" s="65" t="str">
        <f>IF($C892="","","GG"&amp;TEXT(ROW()-6,"00000"))</f>
        <v/>
      </c>
      <c r="C892" s="66"/>
      <c r="D892" s="60"/>
      <c r="E892" s="61"/>
      <c r="F892" s="61"/>
      <c r="G892" s="67"/>
      <c r="H892" s="60"/>
      <c r="I892" s="60"/>
      <c r="J892" s="61"/>
      <c r="K892" s="61"/>
      <c r="L892" s="60"/>
      <c r="M892" s="74" t="str">
        <f>IF($C892="","",IF($D892="Gider",$E892,IF($L892&lt;&gt;"",$L892,$H892)))</f>
        <v/>
      </c>
      <c r="N892" s="74" t="str">
        <f>IF($C892="","",IF($D892="Gider",$H892,$E892))</f>
        <v/>
      </c>
      <c r="O892" s="73" t="str">
        <f>IF($C892="","",DATE(YEAR($C892),MONTH($C892),1))</f>
        <v/>
      </c>
      <c r="P892" s="65" t="str">
        <f ca="1">IF($C892="","",IF(AND($D892="Gelir",$L892&lt;&gt;"",$T892=""),"TANIMSIZ BORÇLU",IF($T892&lt;&gt;"",IF(OR($E892="",$G892&lt;=0),"EKSİK",IF($I892="Evet","TAHAKKUK NAKİT OLAMAZ",IF($C892&gt;TODAY(),"İLERİ TARİH","TAHAKKUK"))),IF(AND($D892&lt;&gt;"",$E892&lt;&gt;"",$G892&gt;0,$H892&lt;&gt;"",$I892&lt;&gt;""),IF($C892&gt;TODAY(),"İLERİ TARİH",IF(COUNTIF($W$7:$W$3001,$W892)&gt;1,"MÜKERRER?",IF($AD892&gt;0,"KAPALI DÖNEM",IF($I892="Hayır","ÖDENECEK","UYGUN")))),"EKSİK"))))</f>
        <v/>
      </c>
      <c r="Q892" s="2"/>
      <c r="R892" s="2"/>
      <c r="S892" s="1" t="str">
        <f t="shared" si="41"/>
        <v/>
      </c>
      <c r="T892" s="1" t="str">
        <f>IF(OR($C892="",$D892&lt;&gt;"Gelir",$L892=""),"",IFERROR(INDEX(MUSTERILER!$B$7:$B$156,MATCH($S892,MUSTERILER!$T$7:$T$156,0)),""))</f>
        <v/>
      </c>
      <c r="U892" s="1" t="str">
        <f>IF($T892="","",$T892&amp;"|"&amp;COUNTIFS($T$7:$T892,$T892))</f>
        <v/>
      </c>
      <c r="V892" s="1">
        <f t="shared" si="42"/>
        <v>0</v>
      </c>
      <c r="W892" s="1" t="str">
        <f t="shared" si="43"/>
        <v/>
      </c>
      <c r="X892" s="1"/>
      <c r="Y892" s="1"/>
      <c r="Z892" s="1"/>
      <c r="AA892" s="1"/>
      <c r="AB892" s="1"/>
      <c r="AC892" s="1"/>
      <c r="AD892" s="1">
        <f>IF($C892="",0,SUMPRODUCT((AY_SONU!$O$7:$O$42="Evet")*(AY_SONU!$B$7:$B$42=DATE(YEAR($C892),MONTH($C892),1))))</f>
        <v>0</v>
      </c>
      <c r="AE892" s="1" t="str">
        <f>IF($E892="","",$E892&amp;"|"&amp;COUNTIFS($E$7:$E892,$E892))</f>
        <v/>
      </c>
    </row>
    <row r="893" spans="1:31" ht="18" customHeight="1" x14ac:dyDescent="0.3">
      <c r="A893" s="2"/>
      <c r="B893" s="65" t="str">
        <f>IF($C893="","","GG"&amp;TEXT(ROW()-6,"00000"))</f>
        <v/>
      </c>
      <c r="C893" s="66"/>
      <c r="D893" s="60"/>
      <c r="E893" s="61"/>
      <c r="F893" s="61"/>
      <c r="G893" s="67"/>
      <c r="H893" s="60"/>
      <c r="I893" s="60"/>
      <c r="J893" s="61"/>
      <c r="K893" s="61"/>
      <c r="L893" s="60"/>
      <c r="M893" s="74" t="str">
        <f>IF($C893="","",IF($D893="Gider",$E893,IF($L893&lt;&gt;"",$L893,$H893)))</f>
        <v/>
      </c>
      <c r="N893" s="74" t="str">
        <f>IF($C893="","",IF($D893="Gider",$H893,$E893))</f>
        <v/>
      </c>
      <c r="O893" s="73" t="str">
        <f>IF($C893="","",DATE(YEAR($C893),MONTH($C893),1))</f>
        <v/>
      </c>
      <c r="P893" s="65" t="str">
        <f ca="1">IF($C893="","",IF(AND($D893="Gelir",$L893&lt;&gt;"",$T893=""),"TANIMSIZ BORÇLU",IF($T893&lt;&gt;"",IF(OR($E893="",$G893&lt;=0),"EKSİK",IF($I893="Evet","TAHAKKUK NAKİT OLAMAZ",IF($C893&gt;TODAY(),"İLERİ TARİH","TAHAKKUK"))),IF(AND($D893&lt;&gt;"",$E893&lt;&gt;"",$G893&gt;0,$H893&lt;&gt;"",$I893&lt;&gt;""),IF($C893&gt;TODAY(),"İLERİ TARİH",IF(COUNTIF($W$7:$W$3001,$W893)&gt;1,"MÜKERRER?",IF($AD893&gt;0,"KAPALI DÖNEM",IF($I893="Hayır","ÖDENECEK","UYGUN")))),"EKSİK"))))</f>
        <v/>
      </c>
      <c r="Q893" s="2"/>
      <c r="R893" s="2"/>
      <c r="S893" s="1" t="str">
        <f t="shared" si="41"/>
        <v/>
      </c>
      <c r="T893" s="1" t="str">
        <f>IF(OR($C893="",$D893&lt;&gt;"Gelir",$L893=""),"",IFERROR(INDEX(MUSTERILER!$B$7:$B$156,MATCH($S893,MUSTERILER!$T$7:$T$156,0)),""))</f>
        <v/>
      </c>
      <c r="U893" s="1" t="str">
        <f>IF($T893="","",$T893&amp;"|"&amp;COUNTIFS($T$7:$T893,$T893))</f>
        <v/>
      </c>
      <c r="V893" s="1">
        <f t="shared" si="42"/>
        <v>0</v>
      </c>
      <c r="W893" s="1" t="str">
        <f t="shared" si="43"/>
        <v/>
      </c>
      <c r="X893" s="1"/>
      <c r="Y893" s="1"/>
      <c r="Z893" s="1"/>
      <c r="AA893" s="1"/>
      <c r="AB893" s="1"/>
      <c r="AC893" s="1"/>
      <c r="AD893" s="1">
        <f>IF($C893="",0,SUMPRODUCT((AY_SONU!$O$7:$O$42="Evet")*(AY_SONU!$B$7:$B$42=DATE(YEAR($C893),MONTH($C893),1))))</f>
        <v>0</v>
      </c>
      <c r="AE893" s="1" t="str">
        <f>IF($E893="","",$E893&amp;"|"&amp;COUNTIFS($E$7:$E893,$E893))</f>
        <v/>
      </c>
    </row>
    <row r="894" spans="1:31" ht="18" customHeight="1" x14ac:dyDescent="0.3">
      <c r="A894" s="2"/>
      <c r="B894" s="65" t="str">
        <f>IF($C894="","","GG"&amp;TEXT(ROW()-6,"00000"))</f>
        <v/>
      </c>
      <c r="C894" s="66"/>
      <c r="D894" s="60"/>
      <c r="E894" s="61"/>
      <c r="F894" s="61"/>
      <c r="G894" s="67"/>
      <c r="H894" s="60"/>
      <c r="I894" s="60"/>
      <c r="J894" s="61"/>
      <c r="K894" s="61"/>
      <c r="L894" s="60"/>
      <c r="M894" s="74" t="str">
        <f>IF($C894="","",IF($D894="Gider",$E894,IF($L894&lt;&gt;"",$L894,$H894)))</f>
        <v/>
      </c>
      <c r="N894" s="74" t="str">
        <f>IF($C894="","",IF($D894="Gider",$H894,$E894))</f>
        <v/>
      </c>
      <c r="O894" s="73" t="str">
        <f>IF($C894="","",DATE(YEAR($C894),MONTH($C894),1))</f>
        <v/>
      </c>
      <c r="P894" s="65" t="str">
        <f ca="1">IF($C894="","",IF(AND($D894="Gelir",$L894&lt;&gt;"",$T894=""),"TANIMSIZ BORÇLU",IF($T894&lt;&gt;"",IF(OR($E894="",$G894&lt;=0),"EKSİK",IF($I894="Evet","TAHAKKUK NAKİT OLAMAZ",IF($C894&gt;TODAY(),"İLERİ TARİH","TAHAKKUK"))),IF(AND($D894&lt;&gt;"",$E894&lt;&gt;"",$G894&gt;0,$H894&lt;&gt;"",$I894&lt;&gt;""),IF($C894&gt;TODAY(),"İLERİ TARİH",IF(COUNTIF($W$7:$W$3001,$W894)&gt;1,"MÜKERRER?",IF($AD894&gt;0,"KAPALI DÖNEM",IF($I894="Hayır","ÖDENECEK","UYGUN")))),"EKSİK"))))</f>
        <v/>
      </c>
      <c r="Q894" s="2"/>
      <c r="R894" s="2"/>
      <c r="S894" s="1" t="str">
        <f t="shared" si="41"/>
        <v/>
      </c>
      <c r="T894" s="1" t="str">
        <f>IF(OR($C894="",$D894&lt;&gt;"Gelir",$L894=""),"",IFERROR(INDEX(MUSTERILER!$B$7:$B$156,MATCH($S894,MUSTERILER!$T$7:$T$156,0)),""))</f>
        <v/>
      </c>
      <c r="U894" s="1" t="str">
        <f>IF($T894="","",$T894&amp;"|"&amp;COUNTIFS($T$7:$T894,$T894))</f>
        <v/>
      </c>
      <c r="V894" s="1">
        <f t="shared" si="42"/>
        <v>0</v>
      </c>
      <c r="W894" s="1" t="str">
        <f t="shared" si="43"/>
        <v/>
      </c>
      <c r="X894" s="1"/>
      <c r="Y894" s="1"/>
      <c r="Z894" s="1"/>
      <c r="AA894" s="1"/>
      <c r="AB894" s="1"/>
      <c r="AC894" s="1"/>
      <c r="AD894" s="1">
        <f>IF($C894="",0,SUMPRODUCT((AY_SONU!$O$7:$O$42="Evet")*(AY_SONU!$B$7:$B$42=DATE(YEAR($C894),MONTH($C894),1))))</f>
        <v>0</v>
      </c>
      <c r="AE894" s="1" t="str">
        <f>IF($E894="","",$E894&amp;"|"&amp;COUNTIFS($E$7:$E894,$E894))</f>
        <v/>
      </c>
    </row>
    <row r="895" spans="1:31" ht="18" customHeight="1" x14ac:dyDescent="0.3">
      <c r="A895" s="2"/>
      <c r="B895" s="65" t="str">
        <f>IF($C895="","","GG"&amp;TEXT(ROW()-6,"00000"))</f>
        <v/>
      </c>
      <c r="C895" s="66"/>
      <c r="D895" s="60"/>
      <c r="E895" s="61"/>
      <c r="F895" s="61"/>
      <c r="G895" s="67"/>
      <c r="H895" s="60"/>
      <c r="I895" s="60"/>
      <c r="J895" s="61"/>
      <c r="K895" s="61"/>
      <c r="L895" s="60"/>
      <c r="M895" s="74" t="str">
        <f>IF($C895="","",IF($D895="Gider",$E895,IF($L895&lt;&gt;"",$L895,$H895)))</f>
        <v/>
      </c>
      <c r="N895" s="74" t="str">
        <f>IF($C895="","",IF($D895="Gider",$H895,$E895))</f>
        <v/>
      </c>
      <c r="O895" s="73" t="str">
        <f>IF($C895="","",DATE(YEAR($C895),MONTH($C895),1))</f>
        <v/>
      </c>
      <c r="P895" s="65" t="str">
        <f ca="1">IF($C895="","",IF(AND($D895="Gelir",$L895&lt;&gt;"",$T895=""),"TANIMSIZ BORÇLU",IF($T895&lt;&gt;"",IF(OR($E895="",$G895&lt;=0),"EKSİK",IF($I895="Evet","TAHAKKUK NAKİT OLAMAZ",IF($C895&gt;TODAY(),"İLERİ TARİH","TAHAKKUK"))),IF(AND($D895&lt;&gt;"",$E895&lt;&gt;"",$G895&gt;0,$H895&lt;&gt;"",$I895&lt;&gt;""),IF($C895&gt;TODAY(),"İLERİ TARİH",IF(COUNTIF($W$7:$W$3001,$W895)&gt;1,"MÜKERRER?",IF($AD895&gt;0,"KAPALI DÖNEM",IF($I895="Hayır","ÖDENECEK","UYGUN")))),"EKSİK"))))</f>
        <v/>
      </c>
      <c r="Q895" s="2"/>
      <c r="R895" s="2"/>
      <c r="S895" s="1" t="str">
        <f t="shared" si="41"/>
        <v/>
      </c>
      <c r="T895" s="1" t="str">
        <f>IF(OR($C895="",$D895&lt;&gt;"Gelir",$L895=""),"",IFERROR(INDEX(MUSTERILER!$B$7:$B$156,MATCH($S895,MUSTERILER!$T$7:$T$156,0)),""))</f>
        <v/>
      </c>
      <c r="U895" s="1" t="str">
        <f>IF($T895="","",$T895&amp;"|"&amp;COUNTIFS($T$7:$T895,$T895))</f>
        <v/>
      </c>
      <c r="V895" s="1">
        <f t="shared" si="42"/>
        <v>0</v>
      </c>
      <c r="W895" s="1" t="str">
        <f t="shared" si="43"/>
        <v/>
      </c>
      <c r="X895" s="1"/>
      <c r="Y895" s="1"/>
      <c r="Z895" s="1"/>
      <c r="AA895" s="1"/>
      <c r="AB895" s="1"/>
      <c r="AC895" s="1"/>
      <c r="AD895" s="1">
        <f>IF($C895="",0,SUMPRODUCT((AY_SONU!$O$7:$O$42="Evet")*(AY_SONU!$B$7:$B$42=DATE(YEAR($C895),MONTH($C895),1))))</f>
        <v>0</v>
      </c>
      <c r="AE895" s="1" t="str">
        <f>IF($E895="","",$E895&amp;"|"&amp;COUNTIFS($E$7:$E895,$E895))</f>
        <v/>
      </c>
    </row>
    <row r="896" spans="1:31" ht="18" customHeight="1" x14ac:dyDescent="0.3">
      <c r="A896" s="2"/>
      <c r="B896" s="65" t="str">
        <f>IF($C896="","","GG"&amp;TEXT(ROW()-6,"00000"))</f>
        <v/>
      </c>
      <c r="C896" s="66"/>
      <c r="D896" s="60"/>
      <c r="E896" s="61"/>
      <c r="F896" s="61"/>
      <c r="G896" s="67"/>
      <c r="H896" s="60"/>
      <c r="I896" s="60"/>
      <c r="J896" s="61"/>
      <c r="K896" s="61"/>
      <c r="L896" s="60"/>
      <c r="M896" s="74" t="str">
        <f>IF($C896="","",IF($D896="Gider",$E896,IF($L896&lt;&gt;"",$L896,$H896)))</f>
        <v/>
      </c>
      <c r="N896" s="74" t="str">
        <f>IF($C896="","",IF($D896="Gider",$H896,$E896))</f>
        <v/>
      </c>
      <c r="O896" s="73" t="str">
        <f>IF($C896="","",DATE(YEAR($C896),MONTH($C896),1))</f>
        <v/>
      </c>
      <c r="P896" s="65" t="str">
        <f ca="1">IF($C896="","",IF(AND($D896="Gelir",$L896&lt;&gt;"",$T896=""),"TANIMSIZ BORÇLU",IF($T896&lt;&gt;"",IF(OR($E896="",$G896&lt;=0),"EKSİK",IF($I896="Evet","TAHAKKUK NAKİT OLAMAZ",IF($C896&gt;TODAY(),"İLERİ TARİH","TAHAKKUK"))),IF(AND($D896&lt;&gt;"",$E896&lt;&gt;"",$G896&gt;0,$H896&lt;&gt;"",$I896&lt;&gt;""),IF($C896&gt;TODAY(),"İLERİ TARİH",IF(COUNTIF($W$7:$W$3001,$W896)&gt;1,"MÜKERRER?",IF($AD896&gt;0,"KAPALI DÖNEM",IF($I896="Hayır","ÖDENECEK","UYGUN")))),"EKSİK"))))</f>
        <v/>
      </c>
      <c r="Q896" s="2"/>
      <c r="R896" s="2"/>
      <c r="S896" s="1" t="str">
        <f t="shared" si="41"/>
        <v/>
      </c>
      <c r="T896" s="1" t="str">
        <f>IF(OR($C896="",$D896&lt;&gt;"Gelir",$L896=""),"",IFERROR(INDEX(MUSTERILER!$B$7:$B$156,MATCH($S896,MUSTERILER!$T$7:$T$156,0)),""))</f>
        <v/>
      </c>
      <c r="U896" s="1" t="str">
        <f>IF($T896="","",$T896&amp;"|"&amp;COUNTIFS($T$7:$T896,$T896))</f>
        <v/>
      </c>
      <c r="V896" s="1">
        <f t="shared" si="42"/>
        <v>0</v>
      </c>
      <c r="W896" s="1" t="str">
        <f t="shared" si="43"/>
        <v/>
      </c>
      <c r="X896" s="1"/>
      <c r="Y896" s="1"/>
      <c r="Z896" s="1"/>
      <c r="AA896" s="1"/>
      <c r="AB896" s="1"/>
      <c r="AC896" s="1"/>
      <c r="AD896" s="1">
        <f>IF($C896="",0,SUMPRODUCT((AY_SONU!$O$7:$O$42="Evet")*(AY_SONU!$B$7:$B$42=DATE(YEAR($C896),MONTH($C896),1))))</f>
        <v>0</v>
      </c>
      <c r="AE896" s="1" t="str">
        <f>IF($E896="","",$E896&amp;"|"&amp;COUNTIFS($E$7:$E896,$E896))</f>
        <v/>
      </c>
    </row>
    <row r="897" spans="1:31" ht="18" customHeight="1" x14ac:dyDescent="0.3">
      <c r="A897" s="2"/>
      <c r="B897" s="65" t="str">
        <f>IF($C897="","","GG"&amp;TEXT(ROW()-6,"00000"))</f>
        <v/>
      </c>
      <c r="C897" s="66"/>
      <c r="D897" s="60"/>
      <c r="E897" s="61"/>
      <c r="F897" s="61"/>
      <c r="G897" s="67"/>
      <c r="H897" s="60"/>
      <c r="I897" s="60"/>
      <c r="J897" s="61"/>
      <c r="K897" s="61"/>
      <c r="L897" s="60"/>
      <c r="M897" s="74" t="str">
        <f>IF($C897="","",IF($D897="Gider",$E897,IF($L897&lt;&gt;"",$L897,$H897)))</f>
        <v/>
      </c>
      <c r="N897" s="74" t="str">
        <f>IF($C897="","",IF($D897="Gider",$H897,$E897))</f>
        <v/>
      </c>
      <c r="O897" s="73" t="str">
        <f>IF($C897="","",DATE(YEAR($C897),MONTH($C897),1))</f>
        <v/>
      </c>
      <c r="P897" s="65" t="str">
        <f ca="1">IF($C897="","",IF(AND($D897="Gelir",$L897&lt;&gt;"",$T897=""),"TANIMSIZ BORÇLU",IF($T897&lt;&gt;"",IF(OR($E897="",$G897&lt;=0),"EKSİK",IF($I897="Evet","TAHAKKUK NAKİT OLAMAZ",IF($C897&gt;TODAY(),"İLERİ TARİH","TAHAKKUK"))),IF(AND($D897&lt;&gt;"",$E897&lt;&gt;"",$G897&gt;0,$H897&lt;&gt;"",$I897&lt;&gt;""),IF($C897&gt;TODAY(),"İLERİ TARİH",IF(COUNTIF($W$7:$W$3001,$W897)&gt;1,"MÜKERRER?",IF($AD897&gt;0,"KAPALI DÖNEM",IF($I897="Hayır","ÖDENECEK","UYGUN")))),"EKSİK"))))</f>
        <v/>
      </c>
      <c r="Q897" s="2"/>
      <c r="R897" s="2"/>
      <c r="S897" s="1" t="str">
        <f t="shared" si="41"/>
        <v/>
      </c>
      <c r="T897" s="1" t="str">
        <f>IF(OR($C897="",$D897&lt;&gt;"Gelir",$L897=""),"",IFERROR(INDEX(MUSTERILER!$B$7:$B$156,MATCH($S897,MUSTERILER!$T$7:$T$156,0)),""))</f>
        <v/>
      </c>
      <c r="U897" s="1" t="str">
        <f>IF($T897="","",$T897&amp;"|"&amp;COUNTIFS($T$7:$T897,$T897))</f>
        <v/>
      </c>
      <c r="V897" s="1">
        <f t="shared" si="42"/>
        <v>0</v>
      </c>
      <c r="W897" s="1" t="str">
        <f t="shared" si="43"/>
        <v/>
      </c>
      <c r="X897" s="1"/>
      <c r="Y897" s="1"/>
      <c r="Z897" s="1"/>
      <c r="AA897" s="1"/>
      <c r="AB897" s="1"/>
      <c r="AC897" s="1"/>
      <c r="AD897" s="1">
        <f>IF($C897="",0,SUMPRODUCT((AY_SONU!$O$7:$O$42="Evet")*(AY_SONU!$B$7:$B$42=DATE(YEAR($C897),MONTH($C897),1))))</f>
        <v>0</v>
      </c>
      <c r="AE897" s="1" t="str">
        <f>IF($E897="","",$E897&amp;"|"&amp;COUNTIFS($E$7:$E897,$E897))</f>
        <v/>
      </c>
    </row>
    <row r="898" spans="1:31" ht="18" customHeight="1" x14ac:dyDescent="0.3">
      <c r="A898" s="2"/>
      <c r="B898" s="65" t="str">
        <f>IF($C898="","","GG"&amp;TEXT(ROW()-6,"00000"))</f>
        <v/>
      </c>
      <c r="C898" s="66"/>
      <c r="D898" s="60"/>
      <c r="E898" s="61"/>
      <c r="F898" s="61"/>
      <c r="G898" s="67"/>
      <c r="H898" s="60"/>
      <c r="I898" s="60"/>
      <c r="J898" s="61"/>
      <c r="K898" s="61"/>
      <c r="L898" s="60"/>
      <c r="M898" s="74" t="str">
        <f>IF($C898="","",IF($D898="Gider",$E898,IF($L898&lt;&gt;"",$L898,$H898)))</f>
        <v/>
      </c>
      <c r="N898" s="74" t="str">
        <f>IF($C898="","",IF($D898="Gider",$H898,$E898))</f>
        <v/>
      </c>
      <c r="O898" s="73" t="str">
        <f>IF($C898="","",DATE(YEAR($C898),MONTH($C898),1))</f>
        <v/>
      </c>
      <c r="P898" s="65" t="str">
        <f ca="1">IF($C898="","",IF(AND($D898="Gelir",$L898&lt;&gt;"",$T898=""),"TANIMSIZ BORÇLU",IF($T898&lt;&gt;"",IF(OR($E898="",$G898&lt;=0),"EKSİK",IF($I898="Evet","TAHAKKUK NAKİT OLAMAZ",IF($C898&gt;TODAY(),"İLERİ TARİH","TAHAKKUK"))),IF(AND($D898&lt;&gt;"",$E898&lt;&gt;"",$G898&gt;0,$H898&lt;&gt;"",$I898&lt;&gt;""),IF($C898&gt;TODAY(),"İLERİ TARİH",IF(COUNTIF($W$7:$W$3001,$W898)&gt;1,"MÜKERRER?",IF($AD898&gt;0,"KAPALI DÖNEM",IF($I898="Hayır","ÖDENECEK","UYGUN")))),"EKSİK"))))</f>
        <v/>
      </c>
      <c r="Q898" s="2"/>
      <c r="R898" s="2"/>
      <c r="S898" s="1" t="str">
        <f t="shared" si="41"/>
        <v/>
      </c>
      <c r="T898" s="1" t="str">
        <f>IF(OR($C898="",$D898&lt;&gt;"Gelir",$L898=""),"",IFERROR(INDEX(MUSTERILER!$B$7:$B$156,MATCH($S898,MUSTERILER!$T$7:$T$156,0)),""))</f>
        <v/>
      </c>
      <c r="U898" s="1" t="str">
        <f>IF($T898="","",$T898&amp;"|"&amp;COUNTIFS($T$7:$T898,$T898))</f>
        <v/>
      </c>
      <c r="V898" s="1">
        <f t="shared" si="42"/>
        <v>0</v>
      </c>
      <c r="W898" s="1" t="str">
        <f t="shared" si="43"/>
        <v/>
      </c>
      <c r="X898" s="1"/>
      <c r="Y898" s="1"/>
      <c r="Z898" s="1"/>
      <c r="AA898" s="1"/>
      <c r="AB898" s="1"/>
      <c r="AC898" s="1"/>
      <c r="AD898" s="1">
        <f>IF($C898="",0,SUMPRODUCT((AY_SONU!$O$7:$O$42="Evet")*(AY_SONU!$B$7:$B$42=DATE(YEAR($C898),MONTH($C898),1))))</f>
        <v>0</v>
      </c>
      <c r="AE898" s="1" t="str">
        <f>IF($E898="","",$E898&amp;"|"&amp;COUNTIFS($E$7:$E898,$E898))</f>
        <v/>
      </c>
    </row>
    <row r="899" spans="1:31" ht="18" customHeight="1" x14ac:dyDescent="0.3">
      <c r="A899" s="2"/>
      <c r="B899" s="65" t="str">
        <f>IF($C899="","","GG"&amp;TEXT(ROW()-6,"00000"))</f>
        <v/>
      </c>
      <c r="C899" s="66"/>
      <c r="D899" s="60"/>
      <c r="E899" s="61"/>
      <c r="F899" s="61"/>
      <c r="G899" s="67"/>
      <c r="H899" s="60"/>
      <c r="I899" s="60"/>
      <c r="J899" s="61"/>
      <c r="K899" s="61"/>
      <c r="L899" s="60"/>
      <c r="M899" s="74" t="str">
        <f>IF($C899="","",IF($D899="Gider",$E899,IF($L899&lt;&gt;"",$L899,$H899)))</f>
        <v/>
      </c>
      <c r="N899" s="74" t="str">
        <f>IF($C899="","",IF($D899="Gider",$H899,$E899))</f>
        <v/>
      </c>
      <c r="O899" s="73" t="str">
        <f>IF($C899="","",DATE(YEAR($C899),MONTH($C899),1))</f>
        <v/>
      </c>
      <c r="P899" s="65" t="str">
        <f ca="1">IF($C899="","",IF(AND($D899="Gelir",$L899&lt;&gt;"",$T899=""),"TANIMSIZ BORÇLU",IF($T899&lt;&gt;"",IF(OR($E899="",$G899&lt;=0),"EKSİK",IF($I899="Evet","TAHAKKUK NAKİT OLAMAZ",IF($C899&gt;TODAY(),"İLERİ TARİH","TAHAKKUK"))),IF(AND($D899&lt;&gt;"",$E899&lt;&gt;"",$G899&gt;0,$H899&lt;&gt;"",$I899&lt;&gt;""),IF($C899&gt;TODAY(),"İLERİ TARİH",IF(COUNTIF($W$7:$W$3001,$W899)&gt;1,"MÜKERRER?",IF($AD899&gt;0,"KAPALI DÖNEM",IF($I899="Hayır","ÖDENECEK","UYGUN")))),"EKSİK"))))</f>
        <v/>
      </c>
      <c r="Q899" s="2"/>
      <c r="R899" s="2"/>
      <c r="S899" s="1" t="str">
        <f t="shared" si="41"/>
        <v/>
      </c>
      <c r="T899" s="1" t="str">
        <f>IF(OR($C899="",$D899&lt;&gt;"Gelir",$L899=""),"",IFERROR(INDEX(MUSTERILER!$B$7:$B$156,MATCH($S899,MUSTERILER!$T$7:$T$156,0)),""))</f>
        <v/>
      </c>
      <c r="U899" s="1" t="str">
        <f>IF($T899="","",$T899&amp;"|"&amp;COUNTIFS($T$7:$T899,$T899))</f>
        <v/>
      </c>
      <c r="V899" s="1">
        <f t="shared" si="42"/>
        <v>0</v>
      </c>
      <c r="W899" s="1" t="str">
        <f t="shared" si="43"/>
        <v/>
      </c>
      <c r="X899" s="1"/>
      <c r="Y899" s="1"/>
      <c r="Z899" s="1"/>
      <c r="AA899" s="1"/>
      <c r="AB899" s="1"/>
      <c r="AC899" s="1"/>
      <c r="AD899" s="1">
        <f>IF($C899="",0,SUMPRODUCT((AY_SONU!$O$7:$O$42="Evet")*(AY_SONU!$B$7:$B$42=DATE(YEAR($C899),MONTH($C899),1))))</f>
        <v>0</v>
      </c>
      <c r="AE899" s="1" t="str">
        <f>IF($E899="","",$E899&amp;"|"&amp;COUNTIFS($E$7:$E899,$E899))</f>
        <v/>
      </c>
    </row>
    <row r="900" spans="1:31" ht="18" customHeight="1" x14ac:dyDescent="0.3">
      <c r="A900" s="2"/>
      <c r="B900" s="65" t="str">
        <f>IF($C900="","","GG"&amp;TEXT(ROW()-6,"00000"))</f>
        <v/>
      </c>
      <c r="C900" s="66"/>
      <c r="D900" s="60"/>
      <c r="E900" s="61"/>
      <c r="F900" s="61"/>
      <c r="G900" s="67"/>
      <c r="H900" s="60"/>
      <c r="I900" s="60"/>
      <c r="J900" s="61"/>
      <c r="K900" s="61"/>
      <c r="L900" s="60"/>
      <c r="M900" s="74" t="str">
        <f>IF($C900="","",IF($D900="Gider",$E900,IF($L900&lt;&gt;"",$L900,$H900)))</f>
        <v/>
      </c>
      <c r="N900" s="74" t="str">
        <f>IF($C900="","",IF($D900="Gider",$H900,$E900))</f>
        <v/>
      </c>
      <c r="O900" s="73" t="str">
        <f>IF($C900="","",DATE(YEAR($C900),MONTH($C900),1))</f>
        <v/>
      </c>
      <c r="P900" s="65" t="str">
        <f ca="1">IF($C900="","",IF(AND($D900="Gelir",$L900&lt;&gt;"",$T900=""),"TANIMSIZ BORÇLU",IF($T900&lt;&gt;"",IF(OR($E900="",$G900&lt;=0),"EKSİK",IF($I900="Evet","TAHAKKUK NAKİT OLAMAZ",IF($C900&gt;TODAY(),"İLERİ TARİH","TAHAKKUK"))),IF(AND($D900&lt;&gt;"",$E900&lt;&gt;"",$G900&gt;0,$H900&lt;&gt;"",$I900&lt;&gt;""),IF($C900&gt;TODAY(),"İLERİ TARİH",IF(COUNTIF($W$7:$W$3001,$W900)&gt;1,"MÜKERRER?",IF($AD900&gt;0,"KAPALI DÖNEM",IF($I900="Hayır","ÖDENECEK","UYGUN")))),"EKSİK"))))</f>
        <v/>
      </c>
      <c r="Q900" s="2"/>
      <c r="R900" s="2"/>
      <c r="S900" s="1" t="str">
        <f t="shared" si="41"/>
        <v/>
      </c>
      <c r="T900" s="1" t="str">
        <f>IF(OR($C900="",$D900&lt;&gt;"Gelir",$L900=""),"",IFERROR(INDEX(MUSTERILER!$B$7:$B$156,MATCH($S900,MUSTERILER!$T$7:$T$156,0)),""))</f>
        <v/>
      </c>
      <c r="U900" s="1" t="str">
        <f>IF($T900="","",$T900&amp;"|"&amp;COUNTIFS($T$7:$T900,$T900))</f>
        <v/>
      </c>
      <c r="V900" s="1">
        <f t="shared" si="42"/>
        <v>0</v>
      </c>
      <c r="W900" s="1" t="str">
        <f t="shared" si="43"/>
        <v/>
      </c>
      <c r="X900" s="1"/>
      <c r="Y900" s="1"/>
      <c r="Z900" s="1"/>
      <c r="AA900" s="1"/>
      <c r="AB900" s="1"/>
      <c r="AC900" s="1"/>
      <c r="AD900" s="1">
        <f>IF($C900="",0,SUMPRODUCT((AY_SONU!$O$7:$O$42="Evet")*(AY_SONU!$B$7:$B$42=DATE(YEAR($C900),MONTH($C900),1))))</f>
        <v>0</v>
      </c>
      <c r="AE900" s="1" t="str">
        <f>IF($E900="","",$E900&amp;"|"&amp;COUNTIFS($E$7:$E900,$E900))</f>
        <v/>
      </c>
    </row>
    <row r="901" spans="1:31" ht="18" customHeight="1" x14ac:dyDescent="0.3">
      <c r="A901" s="2"/>
      <c r="B901" s="65" t="str">
        <f>IF($C901="","","GG"&amp;TEXT(ROW()-6,"00000"))</f>
        <v/>
      </c>
      <c r="C901" s="66"/>
      <c r="D901" s="60"/>
      <c r="E901" s="61"/>
      <c r="F901" s="61"/>
      <c r="G901" s="67"/>
      <c r="H901" s="60"/>
      <c r="I901" s="60"/>
      <c r="J901" s="61"/>
      <c r="K901" s="61"/>
      <c r="L901" s="60"/>
      <c r="M901" s="74" t="str">
        <f>IF($C901="","",IF($D901="Gider",$E901,IF($L901&lt;&gt;"",$L901,$H901)))</f>
        <v/>
      </c>
      <c r="N901" s="74" t="str">
        <f>IF($C901="","",IF($D901="Gider",$H901,$E901))</f>
        <v/>
      </c>
      <c r="O901" s="73" t="str">
        <f>IF($C901="","",DATE(YEAR($C901),MONTH($C901),1))</f>
        <v/>
      </c>
      <c r="P901" s="65" t="str">
        <f ca="1">IF($C901="","",IF(AND($D901="Gelir",$L901&lt;&gt;"",$T901=""),"TANIMSIZ BORÇLU",IF($T901&lt;&gt;"",IF(OR($E901="",$G901&lt;=0),"EKSİK",IF($I901="Evet","TAHAKKUK NAKİT OLAMAZ",IF($C901&gt;TODAY(),"İLERİ TARİH","TAHAKKUK"))),IF(AND($D901&lt;&gt;"",$E901&lt;&gt;"",$G901&gt;0,$H901&lt;&gt;"",$I901&lt;&gt;""),IF($C901&gt;TODAY(),"İLERİ TARİH",IF(COUNTIF($W$7:$W$3001,$W901)&gt;1,"MÜKERRER?",IF($AD901&gt;0,"KAPALI DÖNEM",IF($I901="Hayır","ÖDENECEK","UYGUN")))),"EKSİK"))))</f>
        <v/>
      </c>
      <c r="Q901" s="2"/>
      <c r="R901" s="2"/>
      <c r="S901" s="1" t="str">
        <f t="shared" ref="S901:S964" si="44"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1" t="str">
        <f>IF(OR($C901="",$D901&lt;&gt;"Gelir",$L901=""),"",IFERROR(INDEX(MUSTERILER!$B$7:$B$156,MATCH($S901,MUSTERILER!$T$7:$T$156,0)),""))</f>
        <v/>
      </c>
      <c r="U901" s="1" t="str">
        <f>IF($T901="","",$T901&amp;"|"&amp;COUNTIFS($T$7:$T901,$T901))</f>
        <v/>
      </c>
      <c r="V901" s="1">
        <f t="shared" ref="V901:V964" si="45">IF($T901="",0,1)</f>
        <v>0</v>
      </c>
      <c r="W901" s="1" t="str">
        <f t="shared" ref="W901:W964" si="46">IF($C901="","",$D901&amp;"|"&amp;$E901&amp;"|"&amp;TEXT($C901,"0")&amp;"|"&amp;TEXT($G901,"0")&amp;"|"&amp;$F901&amp;"|"&amp;$J901)</f>
        <v/>
      </c>
      <c r="X901" s="1"/>
      <c r="Y901" s="1"/>
      <c r="Z901" s="1"/>
      <c r="AA901" s="1"/>
      <c r="AB901" s="1"/>
      <c r="AC901" s="1"/>
      <c r="AD901" s="1">
        <f>IF($C901="",0,SUMPRODUCT((AY_SONU!$O$7:$O$42="Evet")*(AY_SONU!$B$7:$B$42=DATE(YEAR($C901),MONTH($C901),1))))</f>
        <v>0</v>
      </c>
      <c r="AE901" s="1" t="str">
        <f>IF($E901="","",$E901&amp;"|"&amp;COUNTIFS($E$7:$E901,$E901))</f>
        <v/>
      </c>
    </row>
    <row r="902" spans="1:31" ht="18" customHeight="1" x14ac:dyDescent="0.3">
      <c r="A902" s="2"/>
      <c r="B902" s="65" t="str">
        <f>IF($C902="","","GG"&amp;TEXT(ROW()-6,"00000"))</f>
        <v/>
      </c>
      <c r="C902" s="66"/>
      <c r="D902" s="60"/>
      <c r="E902" s="61"/>
      <c r="F902" s="61"/>
      <c r="G902" s="67"/>
      <c r="H902" s="60"/>
      <c r="I902" s="60"/>
      <c r="J902" s="61"/>
      <c r="K902" s="61"/>
      <c r="L902" s="60"/>
      <c r="M902" s="74" t="str">
        <f>IF($C902="","",IF($D902="Gider",$E902,IF($L902&lt;&gt;"",$L902,$H902)))</f>
        <v/>
      </c>
      <c r="N902" s="74" t="str">
        <f>IF($C902="","",IF($D902="Gider",$H902,$E902))</f>
        <v/>
      </c>
      <c r="O902" s="73" t="str">
        <f>IF($C902="","",DATE(YEAR($C902),MONTH($C902),1))</f>
        <v/>
      </c>
      <c r="P902" s="65" t="str">
        <f ca="1">IF($C902="","",IF(AND($D902="Gelir",$L902&lt;&gt;"",$T902=""),"TANIMSIZ BORÇLU",IF($T902&lt;&gt;"",IF(OR($E902="",$G902&lt;=0),"EKSİK",IF($I902="Evet","TAHAKKUK NAKİT OLAMAZ",IF($C902&gt;TODAY(),"İLERİ TARİH","TAHAKKUK"))),IF(AND($D902&lt;&gt;"",$E902&lt;&gt;"",$G902&gt;0,$H902&lt;&gt;"",$I902&lt;&gt;""),IF($C902&gt;TODAY(),"İLERİ TARİH",IF(COUNTIF($W$7:$W$3001,$W902)&gt;1,"MÜKERRER?",IF($AD902&gt;0,"KAPALI DÖNEM",IF($I902="Hayır","ÖDENECEK","UYGUN")))),"EKSİK"))))</f>
        <v/>
      </c>
      <c r="Q902" s="2"/>
      <c r="R902" s="2"/>
      <c r="S902" s="1" t="str">
        <f t="shared" si="44"/>
        <v/>
      </c>
      <c r="T902" s="1" t="str">
        <f>IF(OR($C902="",$D902&lt;&gt;"Gelir",$L902=""),"",IFERROR(INDEX(MUSTERILER!$B$7:$B$156,MATCH($S902,MUSTERILER!$T$7:$T$156,0)),""))</f>
        <v/>
      </c>
      <c r="U902" s="1" t="str">
        <f>IF($T902="","",$T902&amp;"|"&amp;COUNTIFS($T$7:$T902,$T902))</f>
        <v/>
      </c>
      <c r="V902" s="1">
        <f t="shared" si="45"/>
        <v>0</v>
      </c>
      <c r="W902" s="1" t="str">
        <f t="shared" si="46"/>
        <v/>
      </c>
      <c r="X902" s="1"/>
      <c r="Y902" s="1"/>
      <c r="Z902" s="1"/>
      <c r="AA902" s="1"/>
      <c r="AB902" s="1"/>
      <c r="AC902" s="1"/>
      <c r="AD902" s="1">
        <f>IF($C902="",0,SUMPRODUCT((AY_SONU!$O$7:$O$42="Evet")*(AY_SONU!$B$7:$B$42=DATE(YEAR($C902),MONTH($C902),1))))</f>
        <v>0</v>
      </c>
      <c r="AE902" s="1" t="str">
        <f>IF($E902="","",$E902&amp;"|"&amp;COUNTIFS($E$7:$E902,$E902))</f>
        <v/>
      </c>
    </row>
    <row r="903" spans="1:31" ht="18" customHeight="1" x14ac:dyDescent="0.3">
      <c r="A903" s="2"/>
      <c r="B903" s="65" t="str">
        <f>IF($C903="","","GG"&amp;TEXT(ROW()-6,"00000"))</f>
        <v/>
      </c>
      <c r="C903" s="66"/>
      <c r="D903" s="60"/>
      <c r="E903" s="61"/>
      <c r="F903" s="61"/>
      <c r="G903" s="67"/>
      <c r="H903" s="60"/>
      <c r="I903" s="60"/>
      <c r="J903" s="61"/>
      <c r="K903" s="61"/>
      <c r="L903" s="60"/>
      <c r="M903" s="74" t="str">
        <f>IF($C903="","",IF($D903="Gider",$E903,IF($L903&lt;&gt;"",$L903,$H903)))</f>
        <v/>
      </c>
      <c r="N903" s="74" t="str">
        <f>IF($C903="","",IF($D903="Gider",$H903,$E903))</f>
        <v/>
      </c>
      <c r="O903" s="73" t="str">
        <f>IF($C903="","",DATE(YEAR($C903),MONTH($C903),1))</f>
        <v/>
      </c>
      <c r="P903" s="65" t="str">
        <f ca="1"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TARİH",IF(COUNTIF($W$7:$W$3001,$W903)&gt;1,"MÜKERRER?",IF($AD903&gt;0,"KAPALI DÖNEM",IF($I903="Hayır","ÖDENECEK","UYGUN")))),"EKSİK"))))</f>
        <v/>
      </c>
      <c r="Q903" s="2"/>
      <c r="R903" s="2"/>
      <c r="S903" s="1" t="str">
        <f t="shared" si="44"/>
        <v/>
      </c>
      <c r="T903" s="1" t="str">
        <f>IF(OR($C903="",$D903&lt;&gt;"Gelir",$L903=""),"",IFERROR(INDEX(MUSTERILER!$B$7:$B$156,MATCH($S903,MUSTERILER!$T$7:$T$156,0)),""))</f>
        <v/>
      </c>
      <c r="U903" s="1" t="str">
        <f>IF($T903="","",$T903&amp;"|"&amp;COUNTIFS($T$7:$T903,$T903))</f>
        <v/>
      </c>
      <c r="V903" s="1">
        <f t="shared" si="45"/>
        <v>0</v>
      </c>
      <c r="W903" s="1" t="str">
        <f t="shared" si="46"/>
        <v/>
      </c>
      <c r="X903" s="1"/>
      <c r="Y903" s="1"/>
      <c r="Z903" s="1"/>
      <c r="AA903" s="1"/>
      <c r="AB903" s="1"/>
      <c r="AC903" s="1"/>
      <c r="AD903" s="1">
        <f>IF($C903="",0,SUMPRODUCT((AY_SONU!$O$7:$O$42="Evet")*(AY_SONU!$B$7:$B$42=DATE(YEAR($C903),MONTH($C903),1))))</f>
        <v>0</v>
      </c>
      <c r="AE903" s="1" t="str">
        <f>IF($E903="","",$E903&amp;"|"&amp;COUNTIFS($E$7:$E903,$E903))</f>
        <v/>
      </c>
    </row>
    <row r="904" spans="1:31" ht="18" customHeight="1" x14ac:dyDescent="0.3">
      <c r="A904" s="2"/>
      <c r="B904" s="65" t="str">
        <f>IF($C904="","","GG"&amp;TEXT(ROW()-6,"00000"))</f>
        <v/>
      </c>
      <c r="C904" s="66"/>
      <c r="D904" s="60"/>
      <c r="E904" s="61"/>
      <c r="F904" s="61"/>
      <c r="G904" s="67"/>
      <c r="H904" s="60"/>
      <c r="I904" s="60"/>
      <c r="J904" s="61"/>
      <c r="K904" s="61"/>
      <c r="L904" s="60"/>
      <c r="M904" s="74" t="str">
        <f>IF($C904="","",IF($D904="Gider",$E904,IF($L904&lt;&gt;"",$L904,$H904)))</f>
        <v/>
      </c>
      <c r="N904" s="74" t="str">
        <f>IF($C904="","",IF($D904="Gider",$H904,$E904))</f>
        <v/>
      </c>
      <c r="O904" s="73" t="str">
        <f>IF($C904="","",DATE(YEAR($C904),MONTH($C904),1))</f>
        <v/>
      </c>
      <c r="P904" s="65" t="str">
        <f ca="1">IF($C904="","",IF(AND($D904="Gelir",$L904&lt;&gt;"",$T904=""),"TANIMSIZ BORÇLU",IF($T904&lt;&gt;"",IF(OR($E904="",$G904&lt;=0),"EKSİK",IF($I904="Evet","TAHAKKUK NAKİT OLAMAZ",IF($C904&gt;TODAY(),"İLERİ TARİH","TAHAKKUK"))),IF(AND($D904&lt;&gt;"",$E904&lt;&gt;"",$G904&gt;0,$H904&lt;&gt;"",$I904&lt;&gt;""),IF($C904&gt;TODAY(),"İLERİ TARİH",IF(COUNTIF($W$7:$W$3001,$W904)&gt;1,"MÜKERRER?",IF($AD904&gt;0,"KAPALI DÖNEM",IF($I904="Hayır","ÖDENECEK","UYGUN")))),"EKSİK"))))</f>
        <v/>
      </c>
      <c r="Q904" s="2"/>
      <c r="R904" s="2"/>
      <c r="S904" s="1" t="str">
        <f t="shared" si="44"/>
        <v/>
      </c>
      <c r="T904" s="1" t="str">
        <f>IF(OR($C904="",$D904&lt;&gt;"Gelir",$L904=""),"",IFERROR(INDEX(MUSTERILER!$B$7:$B$156,MATCH($S904,MUSTERILER!$T$7:$T$156,0)),""))</f>
        <v/>
      </c>
      <c r="U904" s="1" t="str">
        <f>IF($T904="","",$T904&amp;"|"&amp;COUNTIFS($T$7:$T904,$T904))</f>
        <v/>
      </c>
      <c r="V904" s="1">
        <f t="shared" si="45"/>
        <v>0</v>
      </c>
      <c r="W904" s="1" t="str">
        <f t="shared" si="46"/>
        <v/>
      </c>
      <c r="X904" s="1"/>
      <c r="Y904" s="1"/>
      <c r="Z904" s="1"/>
      <c r="AA904" s="1"/>
      <c r="AB904" s="1"/>
      <c r="AC904" s="1"/>
      <c r="AD904" s="1">
        <f>IF($C904="",0,SUMPRODUCT((AY_SONU!$O$7:$O$42="Evet")*(AY_SONU!$B$7:$B$42=DATE(YEAR($C904),MONTH($C904),1))))</f>
        <v>0</v>
      </c>
      <c r="AE904" s="1" t="str">
        <f>IF($E904="","",$E904&amp;"|"&amp;COUNTIFS($E$7:$E904,$E904))</f>
        <v/>
      </c>
    </row>
    <row r="905" spans="1:31" ht="18" customHeight="1" x14ac:dyDescent="0.3">
      <c r="A905" s="2"/>
      <c r="B905" s="65" t="str">
        <f>IF($C905="","","GG"&amp;TEXT(ROW()-6,"00000"))</f>
        <v/>
      </c>
      <c r="C905" s="66"/>
      <c r="D905" s="60"/>
      <c r="E905" s="61"/>
      <c r="F905" s="61"/>
      <c r="G905" s="67"/>
      <c r="H905" s="60"/>
      <c r="I905" s="60"/>
      <c r="J905" s="61"/>
      <c r="K905" s="61"/>
      <c r="L905" s="60"/>
      <c r="M905" s="74" t="str">
        <f>IF($C905="","",IF($D905="Gider",$E905,IF($L905&lt;&gt;"",$L905,$H905)))</f>
        <v/>
      </c>
      <c r="N905" s="74" t="str">
        <f>IF($C905="","",IF($D905="Gider",$H905,$E905))</f>
        <v/>
      </c>
      <c r="O905" s="73" t="str">
        <f>IF($C905="","",DATE(YEAR($C905),MONTH($C905),1))</f>
        <v/>
      </c>
      <c r="P905" s="65" t="str">
        <f ca="1">IF($C905="","",IF(AND($D905="Gelir",$L905&lt;&gt;"",$T905=""),"TANIMSIZ BORÇLU",IF($T905&lt;&gt;"",IF(OR($E905="",$G905&lt;=0),"EKSİK",IF($I905="Evet","TAHAKKUK NAKİT OLAMAZ",IF($C905&gt;TODAY(),"İLERİ TARİH","TAHAKKUK"))),IF(AND($D905&lt;&gt;"",$E905&lt;&gt;"",$G905&gt;0,$H905&lt;&gt;"",$I905&lt;&gt;""),IF($C905&gt;TODAY(),"İLERİ TARİH",IF(COUNTIF($W$7:$W$3001,$W905)&gt;1,"MÜKERRER?",IF($AD905&gt;0,"KAPALI DÖNEM",IF($I905="Hayır","ÖDENECEK","UYGUN")))),"EKSİK"))))</f>
        <v/>
      </c>
      <c r="Q905" s="2"/>
      <c r="R905" s="2"/>
      <c r="S905" s="1" t="str">
        <f t="shared" si="44"/>
        <v/>
      </c>
      <c r="T905" s="1" t="str">
        <f>IF(OR($C905="",$D905&lt;&gt;"Gelir",$L905=""),"",IFERROR(INDEX(MUSTERILER!$B$7:$B$156,MATCH($S905,MUSTERILER!$T$7:$T$156,0)),""))</f>
        <v/>
      </c>
      <c r="U905" s="1" t="str">
        <f>IF($T905="","",$T905&amp;"|"&amp;COUNTIFS($T$7:$T905,$T905))</f>
        <v/>
      </c>
      <c r="V905" s="1">
        <f t="shared" si="45"/>
        <v>0</v>
      </c>
      <c r="W905" s="1" t="str">
        <f t="shared" si="46"/>
        <v/>
      </c>
      <c r="X905" s="1"/>
      <c r="Y905" s="1"/>
      <c r="Z905" s="1"/>
      <c r="AA905" s="1"/>
      <c r="AB905" s="1"/>
      <c r="AC905" s="1"/>
      <c r="AD905" s="1">
        <f>IF($C905="",0,SUMPRODUCT((AY_SONU!$O$7:$O$42="Evet")*(AY_SONU!$B$7:$B$42=DATE(YEAR($C905),MONTH($C905),1))))</f>
        <v>0</v>
      </c>
      <c r="AE905" s="1" t="str">
        <f>IF($E905="","",$E905&amp;"|"&amp;COUNTIFS($E$7:$E905,$E905))</f>
        <v/>
      </c>
    </row>
    <row r="906" spans="1:31" ht="18" customHeight="1" x14ac:dyDescent="0.3">
      <c r="A906" s="2"/>
      <c r="B906" s="65" t="str">
        <f>IF($C906="","","GG"&amp;TEXT(ROW()-6,"00000"))</f>
        <v/>
      </c>
      <c r="C906" s="66"/>
      <c r="D906" s="60"/>
      <c r="E906" s="61"/>
      <c r="F906" s="61"/>
      <c r="G906" s="67"/>
      <c r="H906" s="60"/>
      <c r="I906" s="60"/>
      <c r="J906" s="61"/>
      <c r="K906" s="61"/>
      <c r="L906" s="60"/>
      <c r="M906" s="74" t="str">
        <f>IF($C906="","",IF($D906="Gider",$E906,IF($L906&lt;&gt;"",$L906,$H906)))</f>
        <v/>
      </c>
      <c r="N906" s="74" t="str">
        <f>IF($C906="","",IF($D906="Gider",$H906,$E906))</f>
        <v/>
      </c>
      <c r="O906" s="73" t="str">
        <f>IF($C906="","",DATE(YEAR($C906),MONTH($C906),1))</f>
        <v/>
      </c>
      <c r="P906" s="65" t="str">
        <f ca="1">IF($C906="","",IF(AND($D906="Gelir",$L906&lt;&gt;"",$T906=""),"TANIMSIZ BORÇLU",IF($T906&lt;&gt;"",IF(OR($E906="",$G906&lt;=0),"EKSİK",IF($I906="Evet","TAHAKKUK NAKİT OLAMAZ",IF($C906&gt;TODAY(),"İLERİ TARİH","TAHAKKUK"))),IF(AND($D906&lt;&gt;"",$E906&lt;&gt;"",$G906&gt;0,$H906&lt;&gt;"",$I906&lt;&gt;""),IF($C906&gt;TODAY(),"İLERİ TARİH",IF(COUNTIF($W$7:$W$3001,$W906)&gt;1,"MÜKERRER?",IF($AD906&gt;0,"KAPALI DÖNEM",IF($I906="Hayır","ÖDENECEK","UYGUN")))),"EKSİK"))))</f>
        <v/>
      </c>
      <c r="Q906" s="2"/>
      <c r="R906" s="2"/>
      <c r="S906" s="1" t="str">
        <f t="shared" si="44"/>
        <v/>
      </c>
      <c r="T906" s="1" t="str">
        <f>IF(OR($C906="",$D906&lt;&gt;"Gelir",$L906=""),"",IFERROR(INDEX(MUSTERILER!$B$7:$B$156,MATCH($S906,MUSTERILER!$T$7:$T$156,0)),""))</f>
        <v/>
      </c>
      <c r="U906" s="1" t="str">
        <f>IF($T906="","",$T906&amp;"|"&amp;COUNTIFS($T$7:$T906,$T906))</f>
        <v/>
      </c>
      <c r="V906" s="1">
        <f t="shared" si="45"/>
        <v>0</v>
      </c>
      <c r="W906" s="1" t="str">
        <f t="shared" si="46"/>
        <v/>
      </c>
      <c r="X906" s="1"/>
      <c r="Y906" s="1"/>
      <c r="Z906" s="1"/>
      <c r="AA906" s="1"/>
      <c r="AB906" s="1"/>
      <c r="AC906" s="1"/>
      <c r="AD906" s="1">
        <f>IF($C906="",0,SUMPRODUCT((AY_SONU!$O$7:$O$42="Evet")*(AY_SONU!$B$7:$B$42=DATE(YEAR($C906),MONTH($C906),1))))</f>
        <v>0</v>
      </c>
      <c r="AE906" s="1" t="str">
        <f>IF($E906="","",$E906&amp;"|"&amp;COUNTIFS($E$7:$E906,$E906))</f>
        <v/>
      </c>
    </row>
    <row r="907" spans="1:31" ht="18" customHeight="1" x14ac:dyDescent="0.3">
      <c r="A907" s="2"/>
      <c r="B907" s="65" t="str">
        <f>IF($C907="","","GG"&amp;TEXT(ROW()-6,"00000"))</f>
        <v/>
      </c>
      <c r="C907" s="66"/>
      <c r="D907" s="60"/>
      <c r="E907" s="61"/>
      <c r="F907" s="61"/>
      <c r="G907" s="67"/>
      <c r="H907" s="60"/>
      <c r="I907" s="60"/>
      <c r="J907" s="61"/>
      <c r="K907" s="61"/>
      <c r="L907" s="60"/>
      <c r="M907" s="74" t="str">
        <f>IF($C907="","",IF($D907="Gider",$E907,IF($L907&lt;&gt;"",$L907,$H907)))</f>
        <v/>
      </c>
      <c r="N907" s="74" t="str">
        <f>IF($C907="","",IF($D907="Gider",$H907,$E907))</f>
        <v/>
      </c>
      <c r="O907" s="73" t="str">
        <f>IF($C907="","",DATE(YEAR($C907),MONTH($C907),1))</f>
        <v/>
      </c>
      <c r="P907" s="65" t="str">
        <f ca="1">IF($C907="","",IF(AND($D907="Gelir",$L907&lt;&gt;"",$T907=""),"TANIMSIZ BORÇLU",IF($T907&lt;&gt;"",IF(OR($E907="",$G907&lt;=0),"EKSİK",IF($I907="Evet","TAHAKKUK NAKİT OLAMAZ",IF($C907&gt;TODAY(),"İLERİ TARİH","TAHAKKUK"))),IF(AND($D907&lt;&gt;"",$E907&lt;&gt;"",$G907&gt;0,$H907&lt;&gt;"",$I907&lt;&gt;""),IF($C907&gt;TODAY(),"İLERİ TARİH",IF(COUNTIF($W$7:$W$3001,$W907)&gt;1,"MÜKERRER?",IF($AD907&gt;0,"KAPALI DÖNEM",IF($I907="Hayır","ÖDENECEK","UYGUN")))),"EKSİK"))))</f>
        <v/>
      </c>
      <c r="Q907" s="2"/>
      <c r="R907" s="2"/>
      <c r="S907" s="1" t="str">
        <f t="shared" si="44"/>
        <v/>
      </c>
      <c r="T907" s="1" t="str">
        <f>IF(OR($C907="",$D907&lt;&gt;"Gelir",$L907=""),"",IFERROR(INDEX(MUSTERILER!$B$7:$B$156,MATCH($S907,MUSTERILER!$T$7:$T$156,0)),""))</f>
        <v/>
      </c>
      <c r="U907" s="1" t="str">
        <f>IF($T907="","",$T907&amp;"|"&amp;COUNTIFS($T$7:$T907,$T907))</f>
        <v/>
      </c>
      <c r="V907" s="1">
        <f t="shared" si="45"/>
        <v>0</v>
      </c>
      <c r="W907" s="1" t="str">
        <f t="shared" si="46"/>
        <v/>
      </c>
      <c r="X907" s="1"/>
      <c r="Y907" s="1"/>
      <c r="Z907" s="1"/>
      <c r="AA907" s="1"/>
      <c r="AB907" s="1"/>
      <c r="AC907" s="1"/>
      <c r="AD907" s="1">
        <f>IF($C907="",0,SUMPRODUCT((AY_SONU!$O$7:$O$42="Evet")*(AY_SONU!$B$7:$B$42=DATE(YEAR($C907),MONTH($C907),1))))</f>
        <v>0</v>
      </c>
      <c r="AE907" s="1" t="str">
        <f>IF($E907="","",$E907&amp;"|"&amp;COUNTIFS($E$7:$E907,$E907))</f>
        <v/>
      </c>
    </row>
    <row r="908" spans="1:31" ht="18" customHeight="1" x14ac:dyDescent="0.3">
      <c r="A908" s="2"/>
      <c r="B908" s="65" t="str">
        <f>IF($C908="","","GG"&amp;TEXT(ROW()-6,"00000"))</f>
        <v/>
      </c>
      <c r="C908" s="66"/>
      <c r="D908" s="60"/>
      <c r="E908" s="61"/>
      <c r="F908" s="61"/>
      <c r="G908" s="67"/>
      <c r="H908" s="60"/>
      <c r="I908" s="60"/>
      <c r="J908" s="61"/>
      <c r="K908" s="61"/>
      <c r="L908" s="60"/>
      <c r="M908" s="74" t="str">
        <f>IF($C908="","",IF($D908="Gider",$E908,IF($L908&lt;&gt;"",$L908,$H908)))</f>
        <v/>
      </c>
      <c r="N908" s="74" t="str">
        <f>IF($C908="","",IF($D908="Gider",$H908,$E908))</f>
        <v/>
      </c>
      <c r="O908" s="73" t="str">
        <f>IF($C908="","",DATE(YEAR($C908),MONTH($C908),1))</f>
        <v/>
      </c>
      <c r="P908" s="65" t="str">
        <f ca="1">IF($C908="","",IF(AND($D908="Gelir",$L908&lt;&gt;"",$T908=""),"TANIMSIZ BORÇLU",IF($T908&lt;&gt;"",IF(OR($E908="",$G908&lt;=0),"EKSİK",IF($I908="Evet","TAHAKKUK NAKİT OLAMAZ",IF($C908&gt;TODAY(),"İLERİ TARİH","TAHAKKUK"))),IF(AND($D908&lt;&gt;"",$E908&lt;&gt;"",$G908&gt;0,$H908&lt;&gt;"",$I908&lt;&gt;""),IF($C908&gt;TODAY(),"İLERİ TARİH",IF(COUNTIF($W$7:$W$3001,$W908)&gt;1,"MÜKERRER?",IF($AD908&gt;0,"KAPALI DÖNEM",IF($I908="Hayır","ÖDENECEK","UYGUN")))),"EKSİK"))))</f>
        <v/>
      </c>
      <c r="Q908" s="2"/>
      <c r="R908" s="2"/>
      <c r="S908" s="1" t="str">
        <f t="shared" si="44"/>
        <v/>
      </c>
      <c r="T908" s="1" t="str">
        <f>IF(OR($C908="",$D908&lt;&gt;"Gelir",$L908=""),"",IFERROR(INDEX(MUSTERILER!$B$7:$B$156,MATCH($S908,MUSTERILER!$T$7:$T$156,0)),""))</f>
        <v/>
      </c>
      <c r="U908" s="1" t="str">
        <f>IF($T908="","",$T908&amp;"|"&amp;COUNTIFS($T$7:$T908,$T908))</f>
        <v/>
      </c>
      <c r="V908" s="1">
        <f t="shared" si="45"/>
        <v>0</v>
      </c>
      <c r="W908" s="1" t="str">
        <f t="shared" si="46"/>
        <v/>
      </c>
      <c r="X908" s="1"/>
      <c r="Y908" s="1"/>
      <c r="Z908" s="1"/>
      <c r="AA908" s="1"/>
      <c r="AB908" s="1"/>
      <c r="AC908" s="1"/>
      <c r="AD908" s="1">
        <f>IF($C908="",0,SUMPRODUCT((AY_SONU!$O$7:$O$42="Evet")*(AY_SONU!$B$7:$B$42=DATE(YEAR($C908),MONTH($C908),1))))</f>
        <v>0</v>
      </c>
      <c r="AE908" s="1" t="str">
        <f>IF($E908="","",$E908&amp;"|"&amp;COUNTIFS($E$7:$E908,$E908))</f>
        <v/>
      </c>
    </row>
    <row r="909" spans="1:31" ht="18" customHeight="1" x14ac:dyDescent="0.3">
      <c r="A909" s="2"/>
      <c r="B909" s="65" t="str">
        <f>IF($C909="","","GG"&amp;TEXT(ROW()-6,"00000"))</f>
        <v/>
      </c>
      <c r="C909" s="66"/>
      <c r="D909" s="60"/>
      <c r="E909" s="61"/>
      <c r="F909" s="61"/>
      <c r="G909" s="67"/>
      <c r="H909" s="60"/>
      <c r="I909" s="60"/>
      <c r="J909" s="61"/>
      <c r="K909" s="61"/>
      <c r="L909" s="60"/>
      <c r="M909" s="74" t="str">
        <f>IF($C909="","",IF($D909="Gider",$E909,IF($L909&lt;&gt;"",$L909,$H909)))</f>
        <v/>
      </c>
      <c r="N909" s="74" t="str">
        <f>IF($C909="","",IF($D909="Gider",$H909,$E909))</f>
        <v/>
      </c>
      <c r="O909" s="73" t="str">
        <f>IF($C909="","",DATE(YEAR($C909),MONTH($C909),1))</f>
        <v/>
      </c>
      <c r="P909" s="65" t="str">
        <f ca="1">IF($C909="","",IF(AND($D909="Gelir",$L909&lt;&gt;"",$T909=""),"TANIMSIZ BORÇLU",IF($T909&lt;&gt;"",IF(OR($E909="",$G909&lt;=0),"EKSİK",IF($I909="Evet","TAHAKKUK NAKİT OLAMAZ",IF($C909&gt;TODAY(),"İLERİ TARİH","TAHAKKUK"))),IF(AND($D909&lt;&gt;"",$E909&lt;&gt;"",$G909&gt;0,$H909&lt;&gt;"",$I909&lt;&gt;""),IF($C909&gt;TODAY(),"İLERİ TARİH",IF(COUNTIF($W$7:$W$3001,$W909)&gt;1,"MÜKERRER?",IF($AD909&gt;0,"KAPALI DÖNEM",IF($I909="Hayır","ÖDENECEK","UYGUN")))),"EKSİK"))))</f>
        <v/>
      </c>
      <c r="Q909" s="2"/>
      <c r="R909" s="2"/>
      <c r="S909" s="1" t="str">
        <f t="shared" si="44"/>
        <v/>
      </c>
      <c r="T909" s="1" t="str">
        <f>IF(OR($C909="",$D909&lt;&gt;"Gelir",$L909=""),"",IFERROR(INDEX(MUSTERILER!$B$7:$B$156,MATCH($S909,MUSTERILER!$T$7:$T$156,0)),""))</f>
        <v/>
      </c>
      <c r="U909" s="1" t="str">
        <f>IF($T909="","",$T909&amp;"|"&amp;COUNTIFS($T$7:$T909,$T909))</f>
        <v/>
      </c>
      <c r="V909" s="1">
        <f t="shared" si="45"/>
        <v>0</v>
      </c>
      <c r="W909" s="1" t="str">
        <f t="shared" si="46"/>
        <v/>
      </c>
      <c r="X909" s="1"/>
      <c r="Y909" s="1"/>
      <c r="Z909" s="1"/>
      <c r="AA909" s="1"/>
      <c r="AB909" s="1"/>
      <c r="AC909" s="1"/>
      <c r="AD909" s="1">
        <f>IF($C909="",0,SUMPRODUCT((AY_SONU!$O$7:$O$42="Evet")*(AY_SONU!$B$7:$B$42=DATE(YEAR($C909),MONTH($C909),1))))</f>
        <v>0</v>
      </c>
      <c r="AE909" s="1" t="str">
        <f>IF($E909="","",$E909&amp;"|"&amp;COUNTIFS($E$7:$E909,$E909))</f>
        <v/>
      </c>
    </row>
    <row r="910" spans="1:31" ht="18" customHeight="1" x14ac:dyDescent="0.3">
      <c r="A910" s="2"/>
      <c r="B910" s="65" t="str">
        <f>IF($C910="","","GG"&amp;TEXT(ROW()-6,"00000"))</f>
        <v/>
      </c>
      <c r="C910" s="66"/>
      <c r="D910" s="60"/>
      <c r="E910" s="61"/>
      <c r="F910" s="61"/>
      <c r="G910" s="67"/>
      <c r="H910" s="60"/>
      <c r="I910" s="60"/>
      <c r="J910" s="61"/>
      <c r="K910" s="61"/>
      <c r="L910" s="60"/>
      <c r="M910" s="74" t="str">
        <f>IF($C910="","",IF($D910="Gider",$E910,IF($L910&lt;&gt;"",$L910,$H910)))</f>
        <v/>
      </c>
      <c r="N910" s="74" t="str">
        <f>IF($C910="","",IF($D910="Gider",$H910,$E910))</f>
        <v/>
      </c>
      <c r="O910" s="73" t="str">
        <f>IF($C910="","",DATE(YEAR($C910),MONTH($C910),1))</f>
        <v/>
      </c>
      <c r="P910" s="65" t="str">
        <f ca="1">IF($C910="","",IF(AND($D910="Gelir",$L910&lt;&gt;"",$T910=""),"TANIMSIZ BORÇLU",IF($T910&lt;&gt;"",IF(OR($E910="",$G910&lt;=0),"EKSİK",IF($I910="Evet","TAHAKKUK NAKİT OLAMAZ",IF($C910&gt;TODAY(),"İLERİ TARİH","TAHAKKUK"))),IF(AND($D910&lt;&gt;"",$E910&lt;&gt;"",$G910&gt;0,$H910&lt;&gt;"",$I910&lt;&gt;""),IF($C910&gt;TODAY(),"İLERİ TARİH",IF(COUNTIF($W$7:$W$3001,$W910)&gt;1,"MÜKERRER?",IF($AD910&gt;0,"KAPALI DÖNEM",IF($I910="Hayır","ÖDENECEK","UYGUN")))),"EKSİK"))))</f>
        <v/>
      </c>
      <c r="Q910" s="2"/>
      <c r="R910" s="2"/>
      <c r="S910" s="1" t="str">
        <f t="shared" si="44"/>
        <v/>
      </c>
      <c r="T910" s="1" t="str">
        <f>IF(OR($C910="",$D910&lt;&gt;"Gelir",$L910=""),"",IFERROR(INDEX(MUSTERILER!$B$7:$B$156,MATCH($S910,MUSTERILER!$T$7:$T$156,0)),""))</f>
        <v/>
      </c>
      <c r="U910" s="1" t="str">
        <f>IF($T910="","",$T910&amp;"|"&amp;COUNTIFS($T$7:$T910,$T910))</f>
        <v/>
      </c>
      <c r="V910" s="1">
        <f t="shared" si="45"/>
        <v>0</v>
      </c>
      <c r="W910" s="1" t="str">
        <f t="shared" si="46"/>
        <v/>
      </c>
      <c r="X910" s="1"/>
      <c r="Y910" s="1"/>
      <c r="Z910" s="1"/>
      <c r="AA910" s="1"/>
      <c r="AB910" s="1"/>
      <c r="AC910" s="1"/>
      <c r="AD910" s="1">
        <f>IF($C910="",0,SUMPRODUCT((AY_SONU!$O$7:$O$42="Evet")*(AY_SONU!$B$7:$B$42=DATE(YEAR($C910),MONTH($C910),1))))</f>
        <v>0</v>
      </c>
      <c r="AE910" s="1" t="str">
        <f>IF($E910="","",$E910&amp;"|"&amp;COUNTIFS($E$7:$E910,$E910))</f>
        <v/>
      </c>
    </row>
    <row r="911" spans="1:31" ht="18" customHeight="1" x14ac:dyDescent="0.3">
      <c r="A911" s="2"/>
      <c r="B911" s="65" t="str">
        <f>IF($C911="","","GG"&amp;TEXT(ROW()-6,"00000"))</f>
        <v/>
      </c>
      <c r="C911" s="66"/>
      <c r="D911" s="60"/>
      <c r="E911" s="61"/>
      <c r="F911" s="61"/>
      <c r="G911" s="67"/>
      <c r="H911" s="60"/>
      <c r="I911" s="60"/>
      <c r="J911" s="61"/>
      <c r="K911" s="61"/>
      <c r="L911" s="60"/>
      <c r="M911" s="74" t="str">
        <f>IF($C911="","",IF($D911="Gider",$E911,IF($L911&lt;&gt;"",$L911,$H911)))</f>
        <v/>
      </c>
      <c r="N911" s="74" t="str">
        <f>IF($C911="","",IF($D911="Gider",$H911,$E911))</f>
        <v/>
      </c>
      <c r="O911" s="73" t="str">
        <f>IF($C911="","",DATE(YEAR($C911),MONTH($C911),1))</f>
        <v/>
      </c>
      <c r="P911" s="65" t="str">
        <f ca="1">IF($C911="","",IF(AND($D911="Gelir",$L911&lt;&gt;"",$T911=""),"TANIMSIZ BORÇLU",IF($T911&lt;&gt;"",IF(OR($E911="",$G911&lt;=0),"EKSİK",IF($I911="Evet","TAHAKKUK NAKİT OLAMAZ",IF($C911&gt;TODAY(),"İLERİ TARİH","TAHAKKUK"))),IF(AND($D911&lt;&gt;"",$E911&lt;&gt;"",$G911&gt;0,$H911&lt;&gt;"",$I911&lt;&gt;""),IF($C911&gt;TODAY(),"İLERİ TARİH",IF(COUNTIF($W$7:$W$3001,$W911)&gt;1,"MÜKERRER?",IF($AD911&gt;0,"KAPALI DÖNEM",IF($I911="Hayır","ÖDENECEK","UYGUN")))),"EKSİK"))))</f>
        <v/>
      </c>
      <c r="Q911" s="2"/>
      <c r="R911" s="2"/>
      <c r="S911" s="1" t="str">
        <f t="shared" si="44"/>
        <v/>
      </c>
      <c r="T911" s="1" t="str">
        <f>IF(OR($C911="",$D911&lt;&gt;"Gelir",$L911=""),"",IFERROR(INDEX(MUSTERILER!$B$7:$B$156,MATCH($S911,MUSTERILER!$T$7:$T$156,0)),""))</f>
        <v/>
      </c>
      <c r="U911" s="1" t="str">
        <f>IF($T911="","",$T911&amp;"|"&amp;COUNTIFS($T$7:$T911,$T911))</f>
        <v/>
      </c>
      <c r="V911" s="1">
        <f t="shared" si="45"/>
        <v>0</v>
      </c>
      <c r="W911" s="1" t="str">
        <f t="shared" si="46"/>
        <v/>
      </c>
      <c r="X911" s="1"/>
      <c r="Y911" s="1"/>
      <c r="Z911" s="1"/>
      <c r="AA911" s="1"/>
      <c r="AB911" s="1"/>
      <c r="AC911" s="1"/>
      <c r="AD911" s="1">
        <f>IF($C911="",0,SUMPRODUCT((AY_SONU!$O$7:$O$42="Evet")*(AY_SONU!$B$7:$B$42=DATE(YEAR($C911),MONTH($C911),1))))</f>
        <v>0</v>
      </c>
      <c r="AE911" s="1" t="str">
        <f>IF($E911="","",$E911&amp;"|"&amp;COUNTIFS($E$7:$E911,$E911))</f>
        <v/>
      </c>
    </row>
    <row r="912" spans="1:31" ht="18" customHeight="1" x14ac:dyDescent="0.3">
      <c r="A912" s="2"/>
      <c r="B912" s="65" t="str">
        <f>IF($C912="","","GG"&amp;TEXT(ROW()-6,"00000"))</f>
        <v/>
      </c>
      <c r="C912" s="66"/>
      <c r="D912" s="60"/>
      <c r="E912" s="61"/>
      <c r="F912" s="61"/>
      <c r="G912" s="67"/>
      <c r="H912" s="60"/>
      <c r="I912" s="60"/>
      <c r="J912" s="61"/>
      <c r="K912" s="61"/>
      <c r="L912" s="60"/>
      <c r="M912" s="74" t="str">
        <f>IF($C912="","",IF($D912="Gider",$E912,IF($L912&lt;&gt;"",$L912,$H912)))</f>
        <v/>
      </c>
      <c r="N912" s="74" t="str">
        <f>IF($C912="","",IF($D912="Gider",$H912,$E912))</f>
        <v/>
      </c>
      <c r="O912" s="73" t="str">
        <f>IF($C912="","",DATE(YEAR($C912),MONTH($C912),1))</f>
        <v/>
      </c>
      <c r="P912" s="65" t="str">
        <f ca="1">IF($C912="","",IF(AND($D912="Gelir",$L912&lt;&gt;"",$T912=""),"TANIMSIZ BORÇLU",IF($T912&lt;&gt;"",IF(OR($E912="",$G912&lt;=0),"EKSİK",IF($I912="Evet","TAHAKKUK NAKİT OLAMAZ",IF($C912&gt;TODAY(),"İLERİ TARİH","TAHAKKUK"))),IF(AND($D912&lt;&gt;"",$E912&lt;&gt;"",$G912&gt;0,$H912&lt;&gt;"",$I912&lt;&gt;""),IF($C912&gt;TODAY(),"İLERİ TARİH",IF(COUNTIF($W$7:$W$3001,$W912)&gt;1,"MÜKERRER?",IF($AD912&gt;0,"KAPALI DÖNEM",IF($I912="Hayır","ÖDENECEK","UYGUN")))),"EKSİK"))))</f>
        <v/>
      </c>
      <c r="Q912" s="2"/>
      <c r="R912" s="2"/>
      <c r="S912" s="1" t="str">
        <f t="shared" si="44"/>
        <v/>
      </c>
      <c r="T912" s="1" t="str">
        <f>IF(OR($C912="",$D912&lt;&gt;"Gelir",$L912=""),"",IFERROR(INDEX(MUSTERILER!$B$7:$B$156,MATCH($S912,MUSTERILER!$T$7:$T$156,0)),""))</f>
        <v/>
      </c>
      <c r="U912" s="1" t="str">
        <f>IF($T912="","",$T912&amp;"|"&amp;COUNTIFS($T$7:$T912,$T912))</f>
        <v/>
      </c>
      <c r="V912" s="1">
        <f t="shared" si="45"/>
        <v>0</v>
      </c>
      <c r="W912" s="1" t="str">
        <f t="shared" si="46"/>
        <v/>
      </c>
      <c r="X912" s="1"/>
      <c r="Y912" s="1"/>
      <c r="Z912" s="1"/>
      <c r="AA912" s="1"/>
      <c r="AB912" s="1"/>
      <c r="AC912" s="1"/>
      <c r="AD912" s="1">
        <f>IF($C912="",0,SUMPRODUCT((AY_SONU!$O$7:$O$42="Evet")*(AY_SONU!$B$7:$B$42=DATE(YEAR($C912),MONTH($C912),1))))</f>
        <v>0</v>
      </c>
      <c r="AE912" s="1" t="str">
        <f>IF($E912="","",$E912&amp;"|"&amp;COUNTIFS($E$7:$E912,$E912))</f>
        <v/>
      </c>
    </row>
    <row r="913" spans="1:31" ht="18" customHeight="1" x14ac:dyDescent="0.3">
      <c r="A913" s="2"/>
      <c r="B913" s="65" t="str">
        <f>IF($C913="","","GG"&amp;TEXT(ROW()-6,"00000"))</f>
        <v/>
      </c>
      <c r="C913" s="66"/>
      <c r="D913" s="60"/>
      <c r="E913" s="61"/>
      <c r="F913" s="61"/>
      <c r="G913" s="67"/>
      <c r="H913" s="60"/>
      <c r="I913" s="60"/>
      <c r="J913" s="61"/>
      <c r="K913" s="61"/>
      <c r="L913" s="60"/>
      <c r="M913" s="74" t="str">
        <f>IF($C913="","",IF($D913="Gider",$E913,IF($L913&lt;&gt;"",$L913,$H913)))</f>
        <v/>
      </c>
      <c r="N913" s="74" t="str">
        <f>IF($C913="","",IF($D913="Gider",$H913,$E913))</f>
        <v/>
      </c>
      <c r="O913" s="73" t="str">
        <f>IF($C913="","",DATE(YEAR($C913),MONTH($C913),1))</f>
        <v/>
      </c>
      <c r="P913" s="65" t="str">
        <f ca="1">IF($C913="","",IF(AND($D913="Gelir",$L913&lt;&gt;"",$T913=""),"TANIMSIZ BORÇLU",IF($T913&lt;&gt;"",IF(OR($E913="",$G913&lt;=0),"EKSİK",IF($I913="Evet","TAHAKKUK NAKİT OLAMAZ",IF($C913&gt;TODAY(),"İLERİ TARİH","TAHAKKUK"))),IF(AND($D913&lt;&gt;"",$E913&lt;&gt;"",$G913&gt;0,$H913&lt;&gt;"",$I913&lt;&gt;""),IF($C913&gt;TODAY(),"İLERİ TARİH",IF(COUNTIF($W$7:$W$3001,$W913)&gt;1,"MÜKERRER?",IF($AD913&gt;0,"KAPALI DÖNEM",IF($I913="Hayır","ÖDENECEK","UYGUN")))),"EKSİK"))))</f>
        <v/>
      </c>
      <c r="Q913" s="2"/>
      <c r="R913" s="2"/>
      <c r="S913" s="1" t="str">
        <f t="shared" si="44"/>
        <v/>
      </c>
      <c r="T913" s="1" t="str">
        <f>IF(OR($C913="",$D913&lt;&gt;"Gelir",$L913=""),"",IFERROR(INDEX(MUSTERILER!$B$7:$B$156,MATCH($S913,MUSTERILER!$T$7:$T$156,0)),""))</f>
        <v/>
      </c>
      <c r="U913" s="1" t="str">
        <f>IF($T913="","",$T913&amp;"|"&amp;COUNTIFS($T$7:$T913,$T913))</f>
        <v/>
      </c>
      <c r="V913" s="1">
        <f t="shared" si="45"/>
        <v>0</v>
      </c>
      <c r="W913" s="1" t="str">
        <f t="shared" si="46"/>
        <v/>
      </c>
      <c r="X913" s="1"/>
      <c r="Y913" s="1"/>
      <c r="Z913" s="1"/>
      <c r="AA913" s="1"/>
      <c r="AB913" s="1"/>
      <c r="AC913" s="1"/>
      <c r="AD913" s="1">
        <f>IF($C913="",0,SUMPRODUCT((AY_SONU!$O$7:$O$42="Evet")*(AY_SONU!$B$7:$B$42=DATE(YEAR($C913),MONTH($C913),1))))</f>
        <v>0</v>
      </c>
      <c r="AE913" s="1" t="str">
        <f>IF($E913="","",$E913&amp;"|"&amp;COUNTIFS($E$7:$E913,$E913))</f>
        <v/>
      </c>
    </row>
    <row r="914" spans="1:31" ht="18" customHeight="1" x14ac:dyDescent="0.3">
      <c r="A914" s="2"/>
      <c r="B914" s="65" t="str">
        <f>IF($C914="","","GG"&amp;TEXT(ROW()-6,"00000"))</f>
        <v/>
      </c>
      <c r="C914" s="66"/>
      <c r="D914" s="60"/>
      <c r="E914" s="61"/>
      <c r="F914" s="61"/>
      <c r="G914" s="67"/>
      <c r="H914" s="60"/>
      <c r="I914" s="60"/>
      <c r="J914" s="61"/>
      <c r="K914" s="61"/>
      <c r="L914" s="60"/>
      <c r="M914" s="74" t="str">
        <f>IF($C914="","",IF($D914="Gider",$E914,IF($L914&lt;&gt;"",$L914,$H914)))</f>
        <v/>
      </c>
      <c r="N914" s="74" t="str">
        <f>IF($C914="","",IF($D914="Gider",$H914,$E914))</f>
        <v/>
      </c>
      <c r="O914" s="73" t="str">
        <f>IF($C914="","",DATE(YEAR($C914),MONTH($C914),1))</f>
        <v/>
      </c>
      <c r="P914" s="65" t="str">
        <f ca="1">IF($C914="","",IF(AND($D914="Gelir",$L914&lt;&gt;"",$T914=""),"TANIMSIZ BORÇLU",IF($T914&lt;&gt;"",IF(OR($E914="",$G914&lt;=0),"EKSİK",IF($I914="Evet","TAHAKKUK NAKİT OLAMAZ",IF($C914&gt;TODAY(),"İLERİ TARİH","TAHAKKUK"))),IF(AND($D914&lt;&gt;"",$E914&lt;&gt;"",$G914&gt;0,$H914&lt;&gt;"",$I914&lt;&gt;""),IF($C914&gt;TODAY(),"İLERİ TARİH",IF(COUNTIF($W$7:$W$3001,$W914)&gt;1,"MÜKERRER?",IF($AD914&gt;0,"KAPALI DÖNEM",IF($I914="Hayır","ÖDENECEK","UYGUN")))),"EKSİK"))))</f>
        <v/>
      </c>
      <c r="Q914" s="2"/>
      <c r="R914" s="2"/>
      <c r="S914" s="1" t="str">
        <f t="shared" si="44"/>
        <v/>
      </c>
      <c r="T914" s="1" t="str">
        <f>IF(OR($C914="",$D914&lt;&gt;"Gelir",$L914=""),"",IFERROR(INDEX(MUSTERILER!$B$7:$B$156,MATCH($S914,MUSTERILER!$T$7:$T$156,0)),""))</f>
        <v/>
      </c>
      <c r="U914" s="1" t="str">
        <f>IF($T914="","",$T914&amp;"|"&amp;COUNTIFS($T$7:$T914,$T914))</f>
        <v/>
      </c>
      <c r="V914" s="1">
        <f t="shared" si="45"/>
        <v>0</v>
      </c>
      <c r="W914" s="1" t="str">
        <f t="shared" si="46"/>
        <v/>
      </c>
      <c r="X914" s="1"/>
      <c r="Y914" s="1"/>
      <c r="Z914" s="1"/>
      <c r="AA914" s="1"/>
      <c r="AB914" s="1"/>
      <c r="AC914" s="1"/>
      <c r="AD914" s="1">
        <f>IF($C914="",0,SUMPRODUCT((AY_SONU!$O$7:$O$42="Evet")*(AY_SONU!$B$7:$B$42=DATE(YEAR($C914),MONTH($C914),1))))</f>
        <v>0</v>
      </c>
      <c r="AE914" s="1" t="str">
        <f>IF($E914="","",$E914&amp;"|"&amp;COUNTIFS($E$7:$E914,$E914))</f>
        <v/>
      </c>
    </row>
    <row r="915" spans="1:31" ht="18" customHeight="1" x14ac:dyDescent="0.3">
      <c r="A915" s="2"/>
      <c r="B915" s="65" t="str">
        <f>IF($C915="","","GG"&amp;TEXT(ROW()-6,"00000"))</f>
        <v/>
      </c>
      <c r="C915" s="66"/>
      <c r="D915" s="60"/>
      <c r="E915" s="61"/>
      <c r="F915" s="61"/>
      <c r="G915" s="67"/>
      <c r="H915" s="60"/>
      <c r="I915" s="60"/>
      <c r="J915" s="61"/>
      <c r="K915" s="61"/>
      <c r="L915" s="60"/>
      <c r="M915" s="74" t="str">
        <f>IF($C915="","",IF($D915="Gider",$E915,IF($L915&lt;&gt;"",$L915,$H915)))</f>
        <v/>
      </c>
      <c r="N915" s="74" t="str">
        <f>IF($C915="","",IF($D915="Gider",$H915,$E915))</f>
        <v/>
      </c>
      <c r="O915" s="73" t="str">
        <f>IF($C915="","",DATE(YEAR($C915),MONTH($C915),1))</f>
        <v/>
      </c>
      <c r="P915" s="65" t="str">
        <f ca="1">IF($C915="","",IF(AND($D915="Gelir",$L915&lt;&gt;"",$T915=""),"TANIMSIZ BORÇLU",IF($T915&lt;&gt;"",IF(OR($E915="",$G915&lt;=0),"EKSİK",IF($I915="Evet","TAHAKKUK NAKİT OLAMAZ",IF($C915&gt;TODAY(),"İLERİ TARİH","TAHAKKUK"))),IF(AND($D915&lt;&gt;"",$E915&lt;&gt;"",$G915&gt;0,$H915&lt;&gt;"",$I915&lt;&gt;""),IF($C915&gt;TODAY(),"İLERİ TARİH",IF(COUNTIF($W$7:$W$3001,$W915)&gt;1,"MÜKERRER?",IF($AD915&gt;0,"KAPALI DÖNEM",IF($I915="Hayır","ÖDENECEK","UYGUN")))),"EKSİK"))))</f>
        <v/>
      </c>
      <c r="Q915" s="2"/>
      <c r="R915" s="2"/>
      <c r="S915" s="1" t="str">
        <f t="shared" si="44"/>
        <v/>
      </c>
      <c r="T915" s="1" t="str">
        <f>IF(OR($C915="",$D915&lt;&gt;"Gelir",$L915=""),"",IFERROR(INDEX(MUSTERILER!$B$7:$B$156,MATCH($S915,MUSTERILER!$T$7:$T$156,0)),""))</f>
        <v/>
      </c>
      <c r="U915" s="1" t="str">
        <f>IF($T915="","",$T915&amp;"|"&amp;COUNTIFS($T$7:$T915,$T915))</f>
        <v/>
      </c>
      <c r="V915" s="1">
        <f t="shared" si="45"/>
        <v>0</v>
      </c>
      <c r="W915" s="1" t="str">
        <f t="shared" si="46"/>
        <v/>
      </c>
      <c r="X915" s="1"/>
      <c r="Y915" s="1"/>
      <c r="Z915" s="1"/>
      <c r="AA915" s="1"/>
      <c r="AB915" s="1"/>
      <c r="AC915" s="1"/>
      <c r="AD915" s="1">
        <f>IF($C915="",0,SUMPRODUCT((AY_SONU!$O$7:$O$42="Evet")*(AY_SONU!$B$7:$B$42=DATE(YEAR($C915),MONTH($C915),1))))</f>
        <v>0</v>
      </c>
      <c r="AE915" s="1" t="str">
        <f>IF($E915="","",$E915&amp;"|"&amp;COUNTIFS($E$7:$E915,$E915))</f>
        <v/>
      </c>
    </row>
    <row r="916" spans="1:31" ht="18" customHeight="1" x14ac:dyDescent="0.3">
      <c r="A916" s="2"/>
      <c r="B916" s="65" t="str">
        <f>IF($C916="","","GG"&amp;TEXT(ROW()-6,"00000"))</f>
        <v/>
      </c>
      <c r="C916" s="66"/>
      <c r="D916" s="60"/>
      <c r="E916" s="61"/>
      <c r="F916" s="61"/>
      <c r="G916" s="67"/>
      <c r="H916" s="60"/>
      <c r="I916" s="60"/>
      <c r="J916" s="61"/>
      <c r="K916" s="61"/>
      <c r="L916" s="60"/>
      <c r="M916" s="74" t="str">
        <f>IF($C916="","",IF($D916="Gider",$E916,IF($L916&lt;&gt;"",$L916,$H916)))</f>
        <v/>
      </c>
      <c r="N916" s="74" t="str">
        <f>IF($C916="","",IF($D916="Gider",$H916,$E916))</f>
        <v/>
      </c>
      <c r="O916" s="73" t="str">
        <f>IF($C916="","",DATE(YEAR($C916),MONTH($C916),1))</f>
        <v/>
      </c>
      <c r="P916" s="65" t="str">
        <f ca="1">IF($C916="","",IF(AND($D916="Gelir",$L916&lt;&gt;"",$T916=""),"TANIMSIZ BORÇLU",IF($T916&lt;&gt;"",IF(OR($E916="",$G916&lt;=0),"EKSİK",IF($I916="Evet","TAHAKKUK NAKİT OLAMAZ",IF($C916&gt;TODAY(),"İLERİ TARİH","TAHAKKUK"))),IF(AND($D916&lt;&gt;"",$E916&lt;&gt;"",$G916&gt;0,$H916&lt;&gt;"",$I916&lt;&gt;""),IF($C916&gt;TODAY(),"İLERİ TARİH",IF(COUNTIF($W$7:$W$3001,$W916)&gt;1,"MÜKERRER?",IF($AD916&gt;0,"KAPALI DÖNEM",IF($I916="Hayır","ÖDENECEK","UYGUN")))),"EKSİK"))))</f>
        <v/>
      </c>
      <c r="Q916" s="2"/>
      <c r="R916" s="2"/>
      <c r="S916" s="1" t="str">
        <f t="shared" si="44"/>
        <v/>
      </c>
      <c r="T916" s="1" t="str">
        <f>IF(OR($C916="",$D916&lt;&gt;"Gelir",$L916=""),"",IFERROR(INDEX(MUSTERILER!$B$7:$B$156,MATCH($S916,MUSTERILER!$T$7:$T$156,0)),""))</f>
        <v/>
      </c>
      <c r="U916" s="1" t="str">
        <f>IF($T916="","",$T916&amp;"|"&amp;COUNTIFS($T$7:$T916,$T916))</f>
        <v/>
      </c>
      <c r="V916" s="1">
        <f t="shared" si="45"/>
        <v>0</v>
      </c>
      <c r="W916" s="1" t="str">
        <f t="shared" si="46"/>
        <v/>
      </c>
      <c r="X916" s="1"/>
      <c r="Y916" s="1"/>
      <c r="Z916" s="1"/>
      <c r="AA916" s="1"/>
      <c r="AB916" s="1"/>
      <c r="AC916" s="1"/>
      <c r="AD916" s="1">
        <f>IF($C916="",0,SUMPRODUCT((AY_SONU!$O$7:$O$42="Evet")*(AY_SONU!$B$7:$B$42=DATE(YEAR($C916),MONTH($C916),1))))</f>
        <v>0</v>
      </c>
      <c r="AE916" s="1" t="str">
        <f>IF($E916="","",$E916&amp;"|"&amp;COUNTIFS($E$7:$E916,$E916))</f>
        <v/>
      </c>
    </row>
    <row r="917" spans="1:31" ht="18" customHeight="1" x14ac:dyDescent="0.3">
      <c r="A917" s="2"/>
      <c r="B917" s="65" t="str">
        <f>IF($C917="","","GG"&amp;TEXT(ROW()-6,"00000"))</f>
        <v/>
      </c>
      <c r="C917" s="66"/>
      <c r="D917" s="60"/>
      <c r="E917" s="61"/>
      <c r="F917" s="61"/>
      <c r="G917" s="67"/>
      <c r="H917" s="60"/>
      <c r="I917" s="60"/>
      <c r="J917" s="61"/>
      <c r="K917" s="61"/>
      <c r="L917" s="60"/>
      <c r="M917" s="74" t="str">
        <f>IF($C917="","",IF($D917="Gider",$E917,IF($L917&lt;&gt;"",$L917,$H917)))</f>
        <v/>
      </c>
      <c r="N917" s="74" t="str">
        <f>IF($C917="","",IF($D917="Gider",$H917,$E917))</f>
        <v/>
      </c>
      <c r="O917" s="73" t="str">
        <f>IF($C917="","",DATE(YEAR($C917),MONTH($C917),1))</f>
        <v/>
      </c>
      <c r="P917" s="65" t="str">
        <f ca="1">IF($C917="","",IF(AND($D917="Gelir",$L917&lt;&gt;"",$T917=""),"TANIMSIZ BORÇLU",IF($T917&lt;&gt;"",IF(OR($E917="",$G917&lt;=0),"EKSİK",IF($I917="Evet","TAHAKKUK NAKİT OLAMAZ",IF($C917&gt;TODAY(),"İLERİ TARİH","TAHAKKUK"))),IF(AND($D917&lt;&gt;"",$E917&lt;&gt;"",$G917&gt;0,$H917&lt;&gt;"",$I917&lt;&gt;""),IF($C917&gt;TODAY(),"İLERİ TARİH",IF(COUNTIF($W$7:$W$3001,$W917)&gt;1,"MÜKERRER?",IF($AD917&gt;0,"KAPALI DÖNEM",IF($I917="Hayır","ÖDENECEK","UYGUN")))),"EKSİK"))))</f>
        <v/>
      </c>
      <c r="Q917" s="2"/>
      <c r="R917" s="2"/>
      <c r="S917" s="1" t="str">
        <f t="shared" si="44"/>
        <v/>
      </c>
      <c r="T917" s="1" t="str">
        <f>IF(OR($C917="",$D917&lt;&gt;"Gelir",$L917=""),"",IFERROR(INDEX(MUSTERILER!$B$7:$B$156,MATCH($S917,MUSTERILER!$T$7:$T$156,0)),""))</f>
        <v/>
      </c>
      <c r="U917" s="1" t="str">
        <f>IF($T917="","",$T917&amp;"|"&amp;COUNTIFS($T$7:$T917,$T917))</f>
        <v/>
      </c>
      <c r="V917" s="1">
        <f t="shared" si="45"/>
        <v>0</v>
      </c>
      <c r="W917" s="1" t="str">
        <f t="shared" si="46"/>
        <v/>
      </c>
      <c r="X917" s="1"/>
      <c r="Y917" s="1"/>
      <c r="Z917" s="1"/>
      <c r="AA917" s="1"/>
      <c r="AB917" s="1"/>
      <c r="AC917" s="1"/>
      <c r="AD917" s="1">
        <f>IF($C917="",0,SUMPRODUCT((AY_SONU!$O$7:$O$42="Evet")*(AY_SONU!$B$7:$B$42=DATE(YEAR($C917),MONTH($C917),1))))</f>
        <v>0</v>
      </c>
      <c r="AE917" s="1" t="str">
        <f>IF($E917="","",$E917&amp;"|"&amp;COUNTIFS($E$7:$E917,$E917))</f>
        <v/>
      </c>
    </row>
    <row r="918" spans="1:31" ht="18" customHeight="1" x14ac:dyDescent="0.3">
      <c r="A918" s="2"/>
      <c r="B918" s="65" t="str">
        <f>IF($C918="","","GG"&amp;TEXT(ROW()-6,"00000"))</f>
        <v/>
      </c>
      <c r="C918" s="66"/>
      <c r="D918" s="60"/>
      <c r="E918" s="61"/>
      <c r="F918" s="61"/>
      <c r="G918" s="67"/>
      <c r="H918" s="60"/>
      <c r="I918" s="60"/>
      <c r="J918" s="61"/>
      <c r="K918" s="61"/>
      <c r="L918" s="60"/>
      <c r="M918" s="74" t="str">
        <f>IF($C918="","",IF($D918="Gider",$E918,IF($L918&lt;&gt;"",$L918,$H918)))</f>
        <v/>
      </c>
      <c r="N918" s="74" t="str">
        <f>IF($C918="","",IF($D918="Gider",$H918,$E918))</f>
        <v/>
      </c>
      <c r="O918" s="73" t="str">
        <f>IF($C918="","",DATE(YEAR($C918),MONTH($C918),1))</f>
        <v/>
      </c>
      <c r="P918" s="65" t="str">
        <f ca="1">IF($C918="","",IF(AND($D918="Gelir",$L918&lt;&gt;"",$T918=""),"TANIMSIZ BORÇLU",IF($T918&lt;&gt;"",IF(OR($E918="",$G918&lt;=0),"EKSİK",IF($I918="Evet","TAHAKKUK NAKİT OLAMAZ",IF($C918&gt;TODAY(),"İLERİ TARİH","TAHAKKUK"))),IF(AND($D918&lt;&gt;"",$E918&lt;&gt;"",$G918&gt;0,$H918&lt;&gt;"",$I918&lt;&gt;""),IF($C918&gt;TODAY(),"İLERİ TARİH",IF(COUNTIF($W$7:$W$3001,$W918)&gt;1,"MÜKERRER?",IF($AD918&gt;0,"KAPALI DÖNEM",IF($I918="Hayır","ÖDENECEK","UYGUN")))),"EKSİK"))))</f>
        <v/>
      </c>
      <c r="Q918" s="2"/>
      <c r="R918" s="2"/>
      <c r="S918" s="1" t="str">
        <f t="shared" si="44"/>
        <v/>
      </c>
      <c r="T918" s="1" t="str">
        <f>IF(OR($C918="",$D918&lt;&gt;"Gelir",$L918=""),"",IFERROR(INDEX(MUSTERILER!$B$7:$B$156,MATCH($S918,MUSTERILER!$T$7:$T$156,0)),""))</f>
        <v/>
      </c>
      <c r="U918" s="1" t="str">
        <f>IF($T918="","",$T918&amp;"|"&amp;COUNTIFS($T$7:$T918,$T918))</f>
        <v/>
      </c>
      <c r="V918" s="1">
        <f t="shared" si="45"/>
        <v>0</v>
      </c>
      <c r="W918" s="1" t="str">
        <f t="shared" si="46"/>
        <v/>
      </c>
      <c r="X918" s="1"/>
      <c r="Y918" s="1"/>
      <c r="Z918" s="1"/>
      <c r="AA918" s="1"/>
      <c r="AB918" s="1"/>
      <c r="AC918" s="1"/>
      <c r="AD918" s="1">
        <f>IF($C918="",0,SUMPRODUCT((AY_SONU!$O$7:$O$42="Evet")*(AY_SONU!$B$7:$B$42=DATE(YEAR($C918),MONTH($C918),1))))</f>
        <v>0</v>
      </c>
      <c r="AE918" s="1" t="str">
        <f>IF($E918="","",$E918&amp;"|"&amp;COUNTIFS($E$7:$E918,$E918))</f>
        <v/>
      </c>
    </row>
    <row r="919" spans="1:31" ht="18" customHeight="1" x14ac:dyDescent="0.3">
      <c r="A919" s="2"/>
      <c r="B919" s="65" t="str">
        <f>IF($C919="","","GG"&amp;TEXT(ROW()-6,"00000"))</f>
        <v/>
      </c>
      <c r="C919" s="66"/>
      <c r="D919" s="60"/>
      <c r="E919" s="61"/>
      <c r="F919" s="61"/>
      <c r="G919" s="67"/>
      <c r="H919" s="60"/>
      <c r="I919" s="60"/>
      <c r="J919" s="61"/>
      <c r="K919" s="61"/>
      <c r="L919" s="60"/>
      <c r="M919" s="74" t="str">
        <f>IF($C919="","",IF($D919="Gider",$E919,IF($L919&lt;&gt;"",$L919,$H919)))</f>
        <v/>
      </c>
      <c r="N919" s="74" t="str">
        <f>IF($C919="","",IF($D919="Gider",$H919,$E919))</f>
        <v/>
      </c>
      <c r="O919" s="73" t="str">
        <f>IF($C919="","",DATE(YEAR($C919),MONTH($C919),1))</f>
        <v/>
      </c>
      <c r="P919" s="65" t="str">
        <f ca="1">IF($C919="","",IF(AND($D919="Gelir",$L919&lt;&gt;"",$T919=""),"TANIMSIZ BORÇLU",IF($T919&lt;&gt;"",IF(OR($E919="",$G919&lt;=0),"EKSİK",IF($I919="Evet","TAHAKKUK NAKİT OLAMAZ",IF($C919&gt;TODAY(),"İLERİ TARİH","TAHAKKUK"))),IF(AND($D919&lt;&gt;"",$E919&lt;&gt;"",$G919&gt;0,$H919&lt;&gt;"",$I919&lt;&gt;""),IF($C919&gt;TODAY(),"İLERİ TARİH",IF(COUNTIF($W$7:$W$3001,$W919)&gt;1,"MÜKERRER?",IF($AD919&gt;0,"KAPALI DÖNEM",IF($I919="Hayır","ÖDENECEK","UYGUN")))),"EKSİK"))))</f>
        <v/>
      </c>
      <c r="Q919" s="2"/>
      <c r="R919" s="2"/>
      <c r="S919" s="1" t="str">
        <f t="shared" si="44"/>
        <v/>
      </c>
      <c r="T919" s="1" t="str">
        <f>IF(OR($C919="",$D919&lt;&gt;"Gelir",$L919=""),"",IFERROR(INDEX(MUSTERILER!$B$7:$B$156,MATCH($S919,MUSTERILER!$T$7:$T$156,0)),""))</f>
        <v/>
      </c>
      <c r="U919" s="1" t="str">
        <f>IF($T919="","",$T919&amp;"|"&amp;COUNTIFS($T$7:$T919,$T919))</f>
        <v/>
      </c>
      <c r="V919" s="1">
        <f t="shared" si="45"/>
        <v>0</v>
      </c>
      <c r="W919" s="1" t="str">
        <f t="shared" si="46"/>
        <v/>
      </c>
      <c r="X919" s="1"/>
      <c r="Y919" s="1"/>
      <c r="Z919" s="1"/>
      <c r="AA919" s="1"/>
      <c r="AB919" s="1"/>
      <c r="AC919" s="1"/>
      <c r="AD919" s="1">
        <f>IF($C919="",0,SUMPRODUCT((AY_SONU!$O$7:$O$42="Evet")*(AY_SONU!$B$7:$B$42=DATE(YEAR($C919),MONTH($C919),1))))</f>
        <v>0</v>
      </c>
      <c r="AE919" s="1" t="str">
        <f>IF($E919="","",$E919&amp;"|"&amp;COUNTIFS($E$7:$E919,$E919))</f>
        <v/>
      </c>
    </row>
    <row r="920" spans="1:31" ht="18" customHeight="1" x14ac:dyDescent="0.3">
      <c r="A920" s="2"/>
      <c r="B920" s="65" t="str">
        <f>IF($C920="","","GG"&amp;TEXT(ROW()-6,"00000"))</f>
        <v/>
      </c>
      <c r="C920" s="66"/>
      <c r="D920" s="60"/>
      <c r="E920" s="61"/>
      <c r="F920" s="61"/>
      <c r="G920" s="67"/>
      <c r="H920" s="60"/>
      <c r="I920" s="60"/>
      <c r="J920" s="61"/>
      <c r="K920" s="61"/>
      <c r="L920" s="60"/>
      <c r="M920" s="74" t="str">
        <f>IF($C920="","",IF($D920="Gider",$E920,IF($L920&lt;&gt;"",$L920,$H920)))</f>
        <v/>
      </c>
      <c r="N920" s="74" t="str">
        <f>IF($C920="","",IF($D920="Gider",$H920,$E920))</f>
        <v/>
      </c>
      <c r="O920" s="73" t="str">
        <f>IF($C920="","",DATE(YEAR($C920),MONTH($C920),1))</f>
        <v/>
      </c>
      <c r="P920" s="65" t="str">
        <f ca="1">IF($C920="","",IF(AND($D920="Gelir",$L920&lt;&gt;"",$T920=""),"TANIMSIZ BORÇLU",IF($T920&lt;&gt;"",IF(OR($E920="",$G920&lt;=0),"EKSİK",IF($I920="Evet","TAHAKKUK NAKİT OLAMAZ",IF($C920&gt;TODAY(),"İLERİ TARİH","TAHAKKUK"))),IF(AND($D920&lt;&gt;"",$E920&lt;&gt;"",$G920&gt;0,$H920&lt;&gt;"",$I920&lt;&gt;""),IF($C920&gt;TODAY(),"İLERİ TARİH",IF(COUNTIF($W$7:$W$3001,$W920)&gt;1,"MÜKERRER?",IF($AD920&gt;0,"KAPALI DÖNEM",IF($I920="Hayır","ÖDENECEK","UYGUN")))),"EKSİK"))))</f>
        <v/>
      </c>
      <c r="Q920" s="2"/>
      <c r="R920" s="2"/>
      <c r="S920" s="1" t="str">
        <f t="shared" si="44"/>
        <v/>
      </c>
      <c r="T920" s="1" t="str">
        <f>IF(OR($C920="",$D920&lt;&gt;"Gelir",$L920=""),"",IFERROR(INDEX(MUSTERILER!$B$7:$B$156,MATCH($S920,MUSTERILER!$T$7:$T$156,0)),""))</f>
        <v/>
      </c>
      <c r="U920" s="1" t="str">
        <f>IF($T920="","",$T920&amp;"|"&amp;COUNTIFS($T$7:$T920,$T920))</f>
        <v/>
      </c>
      <c r="V920" s="1">
        <f t="shared" si="45"/>
        <v>0</v>
      </c>
      <c r="W920" s="1" t="str">
        <f t="shared" si="46"/>
        <v/>
      </c>
      <c r="X920" s="1"/>
      <c r="Y920" s="1"/>
      <c r="Z920" s="1"/>
      <c r="AA920" s="1"/>
      <c r="AB920" s="1"/>
      <c r="AC920" s="1"/>
      <c r="AD920" s="1">
        <f>IF($C920="",0,SUMPRODUCT((AY_SONU!$O$7:$O$42="Evet")*(AY_SONU!$B$7:$B$42=DATE(YEAR($C920),MONTH($C920),1))))</f>
        <v>0</v>
      </c>
      <c r="AE920" s="1" t="str">
        <f>IF($E920="","",$E920&amp;"|"&amp;COUNTIFS($E$7:$E920,$E920))</f>
        <v/>
      </c>
    </row>
    <row r="921" spans="1:31" ht="18" customHeight="1" x14ac:dyDescent="0.3">
      <c r="A921" s="2"/>
      <c r="B921" s="65" t="str">
        <f>IF($C921="","","GG"&amp;TEXT(ROW()-6,"00000"))</f>
        <v/>
      </c>
      <c r="C921" s="66"/>
      <c r="D921" s="60"/>
      <c r="E921" s="61"/>
      <c r="F921" s="61"/>
      <c r="G921" s="67"/>
      <c r="H921" s="60"/>
      <c r="I921" s="60"/>
      <c r="J921" s="61"/>
      <c r="K921" s="61"/>
      <c r="L921" s="60"/>
      <c r="M921" s="74" t="str">
        <f>IF($C921="","",IF($D921="Gider",$E921,IF($L921&lt;&gt;"",$L921,$H921)))</f>
        <v/>
      </c>
      <c r="N921" s="74" t="str">
        <f>IF($C921="","",IF($D921="Gider",$H921,$E921))</f>
        <v/>
      </c>
      <c r="O921" s="73" t="str">
        <f>IF($C921="","",DATE(YEAR($C921),MONTH($C921),1))</f>
        <v/>
      </c>
      <c r="P921" s="65" t="str">
        <f ca="1">IF($C921="","",IF(AND($D921="Gelir",$L921&lt;&gt;"",$T921=""),"TANIMSIZ BORÇLU",IF($T921&lt;&gt;"",IF(OR($E921="",$G921&lt;=0),"EKSİK",IF($I921="Evet","TAHAKKUK NAKİT OLAMAZ",IF($C921&gt;TODAY(),"İLERİ TARİH","TAHAKKUK"))),IF(AND($D921&lt;&gt;"",$E921&lt;&gt;"",$G921&gt;0,$H921&lt;&gt;"",$I921&lt;&gt;""),IF($C921&gt;TODAY(),"İLERİ TARİH",IF(COUNTIF($W$7:$W$3001,$W921)&gt;1,"MÜKERRER?",IF($AD921&gt;0,"KAPALI DÖNEM",IF($I921="Hayır","ÖDENECEK","UYGUN")))),"EKSİK"))))</f>
        <v/>
      </c>
      <c r="Q921" s="2"/>
      <c r="R921" s="2"/>
      <c r="S921" s="1" t="str">
        <f t="shared" si="44"/>
        <v/>
      </c>
      <c r="T921" s="1" t="str">
        <f>IF(OR($C921="",$D921&lt;&gt;"Gelir",$L921=""),"",IFERROR(INDEX(MUSTERILER!$B$7:$B$156,MATCH($S921,MUSTERILER!$T$7:$T$156,0)),""))</f>
        <v/>
      </c>
      <c r="U921" s="1" t="str">
        <f>IF($T921="","",$T921&amp;"|"&amp;COUNTIFS($T$7:$T921,$T921))</f>
        <v/>
      </c>
      <c r="V921" s="1">
        <f t="shared" si="45"/>
        <v>0</v>
      </c>
      <c r="W921" s="1" t="str">
        <f t="shared" si="46"/>
        <v/>
      </c>
      <c r="X921" s="1"/>
      <c r="Y921" s="1"/>
      <c r="Z921" s="1"/>
      <c r="AA921" s="1"/>
      <c r="AB921" s="1"/>
      <c r="AC921" s="1"/>
      <c r="AD921" s="1">
        <f>IF($C921="",0,SUMPRODUCT((AY_SONU!$O$7:$O$42="Evet")*(AY_SONU!$B$7:$B$42=DATE(YEAR($C921),MONTH($C921),1))))</f>
        <v>0</v>
      </c>
      <c r="AE921" s="1" t="str">
        <f>IF($E921="","",$E921&amp;"|"&amp;COUNTIFS($E$7:$E921,$E921))</f>
        <v/>
      </c>
    </row>
    <row r="922" spans="1:31" ht="18" customHeight="1" x14ac:dyDescent="0.3">
      <c r="A922" s="2"/>
      <c r="B922" s="65" t="str">
        <f>IF($C922="","","GG"&amp;TEXT(ROW()-6,"00000"))</f>
        <v/>
      </c>
      <c r="C922" s="66"/>
      <c r="D922" s="60"/>
      <c r="E922" s="61"/>
      <c r="F922" s="61"/>
      <c r="G922" s="67"/>
      <c r="H922" s="60"/>
      <c r="I922" s="60"/>
      <c r="J922" s="61"/>
      <c r="K922" s="61"/>
      <c r="L922" s="60"/>
      <c r="M922" s="74" t="str">
        <f>IF($C922="","",IF($D922="Gider",$E922,IF($L922&lt;&gt;"",$L922,$H922)))</f>
        <v/>
      </c>
      <c r="N922" s="74" t="str">
        <f>IF($C922="","",IF($D922="Gider",$H922,$E922))</f>
        <v/>
      </c>
      <c r="O922" s="73" t="str">
        <f>IF($C922="","",DATE(YEAR($C922),MONTH($C922),1))</f>
        <v/>
      </c>
      <c r="P922" s="65" t="str">
        <f ca="1">IF($C922="","",IF(AND($D922="Gelir",$L922&lt;&gt;"",$T922=""),"TANIMSIZ BORÇLU",IF($T922&lt;&gt;"",IF(OR($E922="",$G922&lt;=0),"EKSİK",IF($I922="Evet","TAHAKKUK NAKİT OLAMAZ",IF($C922&gt;TODAY(),"İLERİ TARİH","TAHAKKUK"))),IF(AND($D922&lt;&gt;"",$E922&lt;&gt;"",$G922&gt;0,$H922&lt;&gt;"",$I922&lt;&gt;""),IF($C922&gt;TODAY(),"İLERİ TARİH",IF(COUNTIF($W$7:$W$3001,$W922)&gt;1,"MÜKERRER?",IF($AD922&gt;0,"KAPALI DÖNEM",IF($I922="Hayır","ÖDENECEK","UYGUN")))),"EKSİK"))))</f>
        <v/>
      </c>
      <c r="Q922" s="2"/>
      <c r="R922" s="2"/>
      <c r="S922" s="1" t="str">
        <f t="shared" si="44"/>
        <v/>
      </c>
      <c r="T922" s="1" t="str">
        <f>IF(OR($C922="",$D922&lt;&gt;"Gelir",$L922=""),"",IFERROR(INDEX(MUSTERILER!$B$7:$B$156,MATCH($S922,MUSTERILER!$T$7:$T$156,0)),""))</f>
        <v/>
      </c>
      <c r="U922" s="1" t="str">
        <f>IF($T922="","",$T922&amp;"|"&amp;COUNTIFS($T$7:$T922,$T922))</f>
        <v/>
      </c>
      <c r="V922" s="1">
        <f t="shared" si="45"/>
        <v>0</v>
      </c>
      <c r="W922" s="1" t="str">
        <f t="shared" si="46"/>
        <v/>
      </c>
      <c r="X922" s="1"/>
      <c r="Y922" s="1"/>
      <c r="Z922" s="1"/>
      <c r="AA922" s="1"/>
      <c r="AB922" s="1"/>
      <c r="AC922" s="1"/>
      <c r="AD922" s="1">
        <f>IF($C922="",0,SUMPRODUCT((AY_SONU!$O$7:$O$42="Evet")*(AY_SONU!$B$7:$B$42=DATE(YEAR($C922),MONTH($C922),1))))</f>
        <v>0</v>
      </c>
      <c r="AE922" s="1" t="str">
        <f>IF($E922="","",$E922&amp;"|"&amp;COUNTIFS($E$7:$E922,$E922))</f>
        <v/>
      </c>
    </row>
    <row r="923" spans="1:31" ht="18" customHeight="1" x14ac:dyDescent="0.3">
      <c r="A923" s="2"/>
      <c r="B923" s="65" t="str">
        <f>IF($C923="","","GG"&amp;TEXT(ROW()-6,"00000"))</f>
        <v/>
      </c>
      <c r="C923" s="66"/>
      <c r="D923" s="60"/>
      <c r="E923" s="61"/>
      <c r="F923" s="61"/>
      <c r="G923" s="67"/>
      <c r="H923" s="60"/>
      <c r="I923" s="60"/>
      <c r="J923" s="61"/>
      <c r="K923" s="61"/>
      <c r="L923" s="60"/>
      <c r="M923" s="74" t="str">
        <f>IF($C923="","",IF($D923="Gider",$E923,IF($L923&lt;&gt;"",$L923,$H923)))</f>
        <v/>
      </c>
      <c r="N923" s="74" t="str">
        <f>IF($C923="","",IF($D923="Gider",$H923,$E923))</f>
        <v/>
      </c>
      <c r="O923" s="73" t="str">
        <f>IF($C923="","",DATE(YEAR($C923),MONTH($C923),1))</f>
        <v/>
      </c>
      <c r="P923" s="65" t="str">
        <f ca="1">IF($C923="","",IF(AND($D923="Gelir",$L923&lt;&gt;"",$T923=""),"TANIMSIZ BORÇLU",IF($T923&lt;&gt;"",IF(OR($E923="",$G923&lt;=0),"EKSİK",IF($I923="Evet","TAHAKKUK NAKİT OLAMAZ",IF($C923&gt;TODAY(),"İLERİ TARİH","TAHAKKUK"))),IF(AND($D923&lt;&gt;"",$E923&lt;&gt;"",$G923&gt;0,$H923&lt;&gt;"",$I923&lt;&gt;""),IF($C923&gt;TODAY(),"İLERİ TARİH",IF(COUNTIF($W$7:$W$3001,$W923)&gt;1,"MÜKERRER?",IF($AD923&gt;0,"KAPALI DÖNEM",IF($I923="Hayır","ÖDENECEK","UYGUN")))),"EKSİK"))))</f>
        <v/>
      </c>
      <c r="Q923" s="2"/>
      <c r="R923" s="2"/>
      <c r="S923" s="1" t="str">
        <f t="shared" si="44"/>
        <v/>
      </c>
      <c r="T923" s="1" t="str">
        <f>IF(OR($C923="",$D923&lt;&gt;"Gelir",$L923=""),"",IFERROR(INDEX(MUSTERILER!$B$7:$B$156,MATCH($S923,MUSTERILER!$T$7:$T$156,0)),""))</f>
        <v/>
      </c>
      <c r="U923" s="1" t="str">
        <f>IF($T923="","",$T923&amp;"|"&amp;COUNTIFS($T$7:$T923,$T923))</f>
        <v/>
      </c>
      <c r="V923" s="1">
        <f t="shared" si="45"/>
        <v>0</v>
      </c>
      <c r="W923" s="1" t="str">
        <f t="shared" si="46"/>
        <v/>
      </c>
      <c r="X923" s="1"/>
      <c r="Y923" s="1"/>
      <c r="Z923" s="1"/>
      <c r="AA923" s="1"/>
      <c r="AB923" s="1"/>
      <c r="AC923" s="1"/>
      <c r="AD923" s="1">
        <f>IF($C923="",0,SUMPRODUCT((AY_SONU!$O$7:$O$42="Evet")*(AY_SONU!$B$7:$B$42=DATE(YEAR($C923),MONTH($C923),1))))</f>
        <v>0</v>
      </c>
      <c r="AE923" s="1" t="str">
        <f>IF($E923="","",$E923&amp;"|"&amp;COUNTIFS($E$7:$E923,$E923))</f>
        <v/>
      </c>
    </row>
    <row r="924" spans="1:31" ht="18" customHeight="1" x14ac:dyDescent="0.3">
      <c r="A924" s="2"/>
      <c r="B924" s="65" t="str">
        <f>IF($C924="","","GG"&amp;TEXT(ROW()-6,"00000"))</f>
        <v/>
      </c>
      <c r="C924" s="66"/>
      <c r="D924" s="60"/>
      <c r="E924" s="61"/>
      <c r="F924" s="61"/>
      <c r="G924" s="67"/>
      <c r="H924" s="60"/>
      <c r="I924" s="60"/>
      <c r="J924" s="61"/>
      <c r="K924" s="61"/>
      <c r="L924" s="60"/>
      <c r="M924" s="74" t="str">
        <f>IF($C924="","",IF($D924="Gider",$E924,IF($L924&lt;&gt;"",$L924,$H924)))</f>
        <v/>
      </c>
      <c r="N924" s="74" t="str">
        <f>IF($C924="","",IF($D924="Gider",$H924,$E924))</f>
        <v/>
      </c>
      <c r="O924" s="73" t="str">
        <f>IF($C924="","",DATE(YEAR($C924),MONTH($C924),1))</f>
        <v/>
      </c>
      <c r="P924" s="65" t="str">
        <f ca="1">IF($C924="","",IF(AND($D924="Gelir",$L924&lt;&gt;"",$T924=""),"TANIMSIZ BORÇLU",IF($T924&lt;&gt;"",IF(OR($E924="",$G924&lt;=0),"EKSİK",IF($I924="Evet","TAHAKKUK NAKİT OLAMAZ",IF($C924&gt;TODAY(),"İLERİ TARİH","TAHAKKUK"))),IF(AND($D924&lt;&gt;"",$E924&lt;&gt;"",$G924&gt;0,$H924&lt;&gt;"",$I924&lt;&gt;""),IF($C924&gt;TODAY(),"İLERİ TARİH",IF(COUNTIF($W$7:$W$3001,$W924)&gt;1,"MÜKERRER?",IF($AD924&gt;0,"KAPALI DÖNEM",IF($I924="Hayır","ÖDENECEK","UYGUN")))),"EKSİK"))))</f>
        <v/>
      </c>
      <c r="Q924" s="2"/>
      <c r="R924" s="2"/>
      <c r="S924" s="1" t="str">
        <f t="shared" si="44"/>
        <v/>
      </c>
      <c r="T924" s="1" t="str">
        <f>IF(OR($C924="",$D924&lt;&gt;"Gelir",$L924=""),"",IFERROR(INDEX(MUSTERILER!$B$7:$B$156,MATCH($S924,MUSTERILER!$T$7:$T$156,0)),""))</f>
        <v/>
      </c>
      <c r="U924" s="1" t="str">
        <f>IF($T924="","",$T924&amp;"|"&amp;COUNTIFS($T$7:$T924,$T924))</f>
        <v/>
      </c>
      <c r="V924" s="1">
        <f t="shared" si="45"/>
        <v>0</v>
      </c>
      <c r="W924" s="1" t="str">
        <f t="shared" si="46"/>
        <v/>
      </c>
      <c r="X924" s="1"/>
      <c r="Y924" s="1"/>
      <c r="Z924" s="1"/>
      <c r="AA924" s="1"/>
      <c r="AB924" s="1"/>
      <c r="AC924" s="1"/>
      <c r="AD924" s="1">
        <f>IF($C924="",0,SUMPRODUCT((AY_SONU!$O$7:$O$42="Evet")*(AY_SONU!$B$7:$B$42=DATE(YEAR($C924),MONTH($C924),1))))</f>
        <v>0</v>
      </c>
      <c r="AE924" s="1" t="str">
        <f>IF($E924="","",$E924&amp;"|"&amp;COUNTIFS($E$7:$E924,$E924))</f>
        <v/>
      </c>
    </row>
    <row r="925" spans="1:31" ht="18" customHeight="1" x14ac:dyDescent="0.3">
      <c r="A925" s="2"/>
      <c r="B925" s="65" t="str">
        <f>IF($C925="","","GG"&amp;TEXT(ROW()-6,"00000"))</f>
        <v/>
      </c>
      <c r="C925" s="66"/>
      <c r="D925" s="60"/>
      <c r="E925" s="61"/>
      <c r="F925" s="61"/>
      <c r="G925" s="67"/>
      <c r="H925" s="60"/>
      <c r="I925" s="60"/>
      <c r="J925" s="61"/>
      <c r="K925" s="61"/>
      <c r="L925" s="60"/>
      <c r="M925" s="74" t="str">
        <f>IF($C925="","",IF($D925="Gider",$E925,IF($L925&lt;&gt;"",$L925,$H925)))</f>
        <v/>
      </c>
      <c r="N925" s="74" t="str">
        <f>IF($C925="","",IF($D925="Gider",$H925,$E925))</f>
        <v/>
      </c>
      <c r="O925" s="73" t="str">
        <f>IF($C925="","",DATE(YEAR($C925),MONTH($C925),1))</f>
        <v/>
      </c>
      <c r="P925" s="65" t="str">
        <f ca="1">IF($C925="","",IF(AND($D925="Gelir",$L925&lt;&gt;"",$T925=""),"TANIMSIZ BORÇLU",IF($T925&lt;&gt;"",IF(OR($E925="",$G925&lt;=0),"EKSİK",IF($I925="Evet","TAHAKKUK NAKİT OLAMAZ",IF($C925&gt;TODAY(),"İLERİ TARİH","TAHAKKUK"))),IF(AND($D925&lt;&gt;"",$E925&lt;&gt;"",$G925&gt;0,$H925&lt;&gt;"",$I925&lt;&gt;""),IF($C925&gt;TODAY(),"İLERİ TARİH",IF(COUNTIF($W$7:$W$3001,$W925)&gt;1,"MÜKERRER?",IF($AD925&gt;0,"KAPALI DÖNEM",IF($I925="Hayır","ÖDENECEK","UYGUN")))),"EKSİK"))))</f>
        <v/>
      </c>
      <c r="Q925" s="2"/>
      <c r="R925" s="2"/>
      <c r="S925" s="1" t="str">
        <f t="shared" si="44"/>
        <v/>
      </c>
      <c r="T925" s="1" t="str">
        <f>IF(OR($C925="",$D925&lt;&gt;"Gelir",$L925=""),"",IFERROR(INDEX(MUSTERILER!$B$7:$B$156,MATCH($S925,MUSTERILER!$T$7:$T$156,0)),""))</f>
        <v/>
      </c>
      <c r="U925" s="1" t="str">
        <f>IF($T925="","",$T925&amp;"|"&amp;COUNTIFS($T$7:$T925,$T925))</f>
        <v/>
      </c>
      <c r="V925" s="1">
        <f t="shared" si="45"/>
        <v>0</v>
      </c>
      <c r="W925" s="1" t="str">
        <f t="shared" si="46"/>
        <v/>
      </c>
      <c r="X925" s="1"/>
      <c r="Y925" s="1"/>
      <c r="Z925" s="1"/>
      <c r="AA925" s="1"/>
      <c r="AB925" s="1"/>
      <c r="AC925" s="1"/>
      <c r="AD925" s="1">
        <f>IF($C925="",0,SUMPRODUCT((AY_SONU!$O$7:$O$42="Evet")*(AY_SONU!$B$7:$B$42=DATE(YEAR($C925),MONTH($C925),1))))</f>
        <v>0</v>
      </c>
      <c r="AE925" s="1" t="str">
        <f>IF($E925="","",$E925&amp;"|"&amp;COUNTIFS($E$7:$E925,$E925))</f>
        <v/>
      </c>
    </row>
    <row r="926" spans="1:31" ht="18" customHeight="1" x14ac:dyDescent="0.3">
      <c r="A926" s="2"/>
      <c r="B926" s="65" t="str">
        <f>IF($C926="","","GG"&amp;TEXT(ROW()-6,"00000"))</f>
        <v/>
      </c>
      <c r="C926" s="66"/>
      <c r="D926" s="60"/>
      <c r="E926" s="61"/>
      <c r="F926" s="61"/>
      <c r="G926" s="67"/>
      <c r="H926" s="60"/>
      <c r="I926" s="60"/>
      <c r="J926" s="61"/>
      <c r="K926" s="61"/>
      <c r="L926" s="60"/>
      <c r="M926" s="74" t="str">
        <f>IF($C926="","",IF($D926="Gider",$E926,IF($L926&lt;&gt;"",$L926,$H926)))</f>
        <v/>
      </c>
      <c r="N926" s="74" t="str">
        <f>IF($C926="","",IF($D926="Gider",$H926,$E926))</f>
        <v/>
      </c>
      <c r="O926" s="73" t="str">
        <f>IF($C926="","",DATE(YEAR($C926),MONTH($C926),1))</f>
        <v/>
      </c>
      <c r="P926" s="65" t="str">
        <f ca="1">IF($C926="","",IF(AND($D926="Gelir",$L926&lt;&gt;"",$T926=""),"TANIMSIZ BORÇLU",IF($T926&lt;&gt;"",IF(OR($E926="",$G926&lt;=0),"EKSİK",IF($I926="Evet","TAHAKKUK NAKİT OLAMAZ",IF($C926&gt;TODAY(),"İLERİ TARİH","TAHAKKUK"))),IF(AND($D926&lt;&gt;"",$E926&lt;&gt;"",$G926&gt;0,$H926&lt;&gt;"",$I926&lt;&gt;""),IF($C926&gt;TODAY(),"İLERİ TARİH",IF(COUNTIF($W$7:$W$3001,$W926)&gt;1,"MÜKERRER?",IF($AD926&gt;0,"KAPALI DÖNEM",IF($I926="Hayır","ÖDENECEK","UYGUN")))),"EKSİK"))))</f>
        <v/>
      </c>
      <c r="Q926" s="2"/>
      <c r="R926" s="2"/>
      <c r="S926" s="1" t="str">
        <f t="shared" si="44"/>
        <v/>
      </c>
      <c r="T926" s="1" t="str">
        <f>IF(OR($C926="",$D926&lt;&gt;"Gelir",$L926=""),"",IFERROR(INDEX(MUSTERILER!$B$7:$B$156,MATCH($S926,MUSTERILER!$T$7:$T$156,0)),""))</f>
        <v/>
      </c>
      <c r="U926" s="1" t="str">
        <f>IF($T926="","",$T926&amp;"|"&amp;COUNTIFS($T$7:$T926,$T926))</f>
        <v/>
      </c>
      <c r="V926" s="1">
        <f t="shared" si="45"/>
        <v>0</v>
      </c>
      <c r="W926" s="1" t="str">
        <f t="shared" si="46"/>
        <v/>
      </c>
      <c r="X926" s="1"/>
      <c r="Y926" s="1"/>
      <c r="Z926" s="1"/>
      <c r="AA926" s="1"/>
      <c r="AB926" s="1"/>
      <c r="AC926" s="1"/>
      <c r="AD926" s="1">
        <f>IF($C926="",0,SUMPRODUCT((AY_SONU!$O$7:$O$42="Evet")*(AY_SONU!$B$7:$B$42=DATE(YEAR($C926),MONTH($C926),1))))</f>
        <v>0</v>
      </c>
      <c r="AE926" s="1" t="str">
        <f>IF($E926="","",$E926&amp;"|"&amp;COUNTIFS($E$7:$E926,$E926))</f>
        <v/>
      </c>
    </row>
    <row r="927" spans="1:31" ht="18" customHeight="1" x14ac:dyDescent="0.3">
      <c r="A927" s="2"/>
      <c r="B927" s="65" t="str">
        <f>IF($C927="","","GG"&amp;TEXT(ROW()-6,"00000"))</f>
        <v/>
      </c>
      <c r="C927" s="66"/>
      <c r="D927" s="60"/>
      <c r="E927" s="61"/>
      <c r="F927" s="61"/>
      <c r="G927" s="67"/>
      <c r="H927" s="60"/>
      <c r="I927" s="60"/>
      <c r="J927" s="61"/>
      <c r="K927" s="61"/>
      <c r="L927" s="60"/>
      <c r="M927" s="74" t="str">
        <f>IF($C927="","",IF($D927="Gider",$E927,IF($L927&lt;&gt;"",$L927,$H927)))</f>
        <v/>
      </c>
      <c r="N927" s="74" t="str">
        <f>IF($C927="","",IF($D927="Gider",$H927,$E927))</f>
        <v/>
      </c>
      <c r="O927" s="73" t="str">
        <f>IF($C927="","",DATE(YEAR($C927),MONTH($C927),1))</f>
        <v/>
      </c>
      <c r="P927" s="65" t="str">
        <f ca="1">IF($C927="","",IF(AND($D927="Gelir",$L927&lt;&gt;"",$T927=""),"TANIMSIZ BORÇLU",IF($T927&lt;&gt;"",IF(OR($E927="",$G927&lt;=0),"EKSİK",IF($I927="Evet","TAHAKKUK NAKİT OLAMAZ",IF($C927&gt;TODAY(),"İLERİ TARİH","TAHAKKUK"))),IF(AND($D927&lt;&gt;"",$E927&lt;&gt;"",$G927&gt;0,$H927&lt;&gt;"",$I927&lt;&gt;""),IF($C927&gt;TODAY(),"İLERİ TARİH",IF(COUNTIF($W$7:$W$3001,$W927)&gt;1,"MÜKERRER?",IF($AD927&gt;0,"KAPALI DÖNEM",IF($I927="Hayır","ÖDENECEK","UYGUN")))),"EKSİK"))))</f>
        <v/>
      </c>
      <c r="Q927" s="2"/>
      <c r="R927" s="2"/>
      <c r="S927" s="1" t="str">
        <f t="shared" si="44"/>
        <v/>
      </c>
      <c r="T927" s="1" t="str">
        <f>IF(OR($C927="",$D927&lt;&gt;"Gelir",$L927=""),"",IFERROR(INDEX(MUSTERILER!$B$7:$B$156,MATCH($S927,MUSTERILER!$T$7:$T$156,0)),""))</f>
        <v/>
      </c>
      <c r="U927" s="1" t="str">
        <f>IF($T927="","",$T927&amp;"|"&amp;COUNTIFS($T$7:$T927,$T927))</f>
        <v/>
      </c>
      <c r="V927" s="1">
        <f t="shared" si="45"/>
        <v>0</v>
      </c>
      <c r="W927" s="1" t="str">
        <f t="shared" si="46"/>
        <v/>
      </c>
      <c r="X927" s="1"/>
      <c r="Y927" s="1"/>
      <c r="Z927" s="1"/>
      <c r="AA927" s="1"/>
      <c r="AB927" s="1"/>
      <c r="AC927" s="1"/>
      <c r="AD927" s="1">
        <f>IF($C927="",0,SUMPRODUCT((AY_SONU!$O$7:$O$42="Evet")*(AY_SONU!$B$7:$B$42=DATE(YEAR($C927),MONTH($C927),1))))</f>
        <v>0</v>
      </c>
      <c r="AE927" s="1" t="str">
        <f>IF($E927="","",$E927&amp;"|"&amp;COUNTIFS($E$7:$E927,$E927))</f>
        <v/>
      </c>
    </row>
    <row r="928" spans="1:31" ht="18" customHeight="1" x14ac:dyDescent="0.3">
      <c r="A928" s="2"/>
      <c r="B928" s="65" t="str">
        <f>IF($C928="","","GG"&amp;TEXT(ROW()-6,"00000"))</f>
        <v/>
      </c>
      <c r="C928" s="66"/>
      <c r="D928" s="60"/>
      <c r="E928" s="61"/>
      <c r="F928" s="61"/>
      <c r="G928" s="67"/>
      <c r="H928" s="60"/>
      <c r="I928" s="60"/>
      <c r="J928" s="61"/>
      <c r="K928" s="61"/>
      <c r="L928" s="60"/>
      <c r="M928" s="74" t="str">
        <f>IF($C928="","",IF($D928="Gider",$E928,IF($L928&lt;&gt;"",$L928,$H928)))</f>
        <v/>
      </c>
      <c r="N928" s="74" t="str">
        <f>IF($C928="","",IF($D928="Gider",$H928,$E928))</f>
        <v/>
      </c>
      <c r="O928" s="73" t="str">
        <f>IF($C928="","",DATE(YEAR($C928),MONTH($C928),1))</f>
        <v/>
      </c>
      <c r="P928" s="65" t="str">
        <f ca="1">IF($C928="","",IF(AND($D928="Gelir",$L928&lt;&gt;"",$T928=""),"TANIMSIZ BORÇLU",IF($T928&lt;&gt;"",IF(OR($E928="",$G928&lt;=0),"EKSİK",IF($I928="Evet","TAHAKKUK NAKİT OLAMAZ",IF($C928&gt;TODAY(),"İLERİ TARİH","TAHAKKUK"))),IF(AND($D928&lt;&gt;"",$E928&lt;&gt;"",$G928&gt;0,$H928&lt;&gt;"",$I928&lt;&gt;""),IF($C928&gt;TODAY(),"İLERİ TARİH",IF(COUNTIF($W$7:$W$3001,$W928)&gt;1,"MÜKERRER?",IF($AD928&gt;0,"KAPALI DÖNEM",IF($I928="Hayır","ÖDENECEK","UYGUN")))),"EKSİK"))))</f>
        <v/>
      </c>
      <c r="Q928" s="2"/>
      <c r="R928" s="2"/>
      <c r="S928" s="1" t="str">
        <f t="shared" si="44"/>
        <v/>
      </c>
      <c r="T928" s="1" t="str">
        <f>IF(OR($C928="",$D928&lt;&gt;"Gelir",$L928=""),"",IFERROR(INDEX(MUSTERILER!$B$7:$B$156,MATCH($S928,MUSTERILER!$T$7:$T$156,0)),""))</f>
        <v/>
      </c>
      <c r="U928" s="1" t="str">
        <f>IF($T928="","",$T928&amp;"|"&amp;COUNTIFS($T$7:$T928,$T928))</f>
        <v/>
      </c>
      <c r="V928" s="1">
        <f t="shared" si="45"/>
        <v>0</v>
      </c>
      <c r="W928" s="1" t="str">
        <f t="shared" si="46"/>
        <v/>
      </c>
      <c r="X928" s="1"/>
      <c r="Y928" s="1"/>
      <c r="Z928" s="1"/>
      <c r="AA928" s="1"/>
      <c r="AB928" s="1"/>
      <c r="AC928" s="1"/>
      <c r="AD928" s="1">
        <f>IF($C928="",0,SUMPRODUCT((AY_SONU!$O$7:$O$42="Evet")*(AY_SONU!$B$7:$B$42=DATE(YEAR($C928),MONTH($C928),1))))</f>
        <v>0</v>
      </c>
      <c r="AE928" s="1" t="str">
        <f>IF($E928="","",$E928&amp;"|"&amp;COUNTIFS($E$7:$E928,$E928))</f>
        <v/>
      </c>
    </row>
    <row r="929" spans="1:31" ht="18" customHeight="1" x14ac:dyDescent="0.3">
      <c r="A929" s="2"/>
      <c r="B929" s="65" t="str">
        <f>IF($C929="","","GG"&amp;TEXT(ROW()-6,"00000"))</f>
        <v/>
      </c>
      <c r="C929" s="66"/>
      <c r="D929" s="60"/>
      <c r="E929" s="61"/>
      <c r="F929" s="61"/>
      <c r="G929" s="67"/>
      <c r="H929" s="60"/>
      <c r="I929" s="60"/>
      <c r="J929" s="61"/>
      <c r="K929" s="61"/>
      <c r="L929" s="60"/>
      <c r="M929" s="74" t="str">
        <f>IF($C929="","",IF($D929="Gider",$E929,IF($L929&lt;&gt;"",$L929,$H929)))</f>
        <v/>
      </c>
      <c r="N929" s="74" t="str">
        <f>IF($C929="","",IF($D929="Gider",$H929,$E929))</f>
        <v/>
      </c>
      <c r="O929" s="73" t="str">
        <f>IF($C929="","",DATE(YEAR($C929),MONTH($C929),1))</f>
        <v/>
      </c>
      <c r="P929" s="65" t="str">
        <f ca="1">IF($C929="","",IF(AND($D929="Gelir",$L929&lt;&gt;"",$T929=""),"TANIMSIZ BORÇLU",IF($T929&lt;&gt;"",IF(OR($E929="",$G929&lt;=0),"EKSİK",IF($I929="Evet","TAHAKKUK NAKİT OLAMAZ",IF($C929&gt;TODAY(),"İLERİ TARİH","TAHAKKUK"))),IF(AND($D929&lt;&gt;"",$E929&lt;&gt;"",$G929&gt;0,$H929&lt;&gt;"",$I929&lt;&gt;""),IF($C929&gt;TODAY(),"İLERİ TARİH",IF(COUNTIF($W$7:$W$3001,$W929)&gt;1,"MÜKERRER?",IF($AD929&gt;0,"KAPALI DÖNEM",IF($I929="Hayır","ÖDENECEK","UYGUN")))),"EKSİK"))))</f>
        <v/>
      </c>
      <c r="Q929" s="2"/>
      <c r="R929" s="2"/>
      <c r="S929" s="1" t="str">
        <f t="shared" si="44"/>
        <v/>
      </c>
      <c r="T929" s="1" t="str">
        <f>IF(OR($C929="",$D929&lt;&gt;"Gelir",$L929=""),"",IFERROR(INDEX(MUSTERILER!$B$7:$B$156,MATCH($S929,MUSTERILER!$T$7:$T$156,0)),""))</f>
        <v/>
      </c>
      <c r="U929" s="1" t="str">
        <f>IF($T929="","",$T929&amp;"|"&amp;COUNTIFS($T$7:$T929,$T929))</f>
        <v/>
      </c>
      <c r="V929" s="1">
        <f t="shared" si="45"/>
        <v>0</v>
      </c>
      <c r="W929" s="1" t="str">
        <f t="shared" si="46"/>
        <v/>
      </c>
      <c r="X929" s="1"/>
      <c r="Y929" s="1"/>
      <c r="Z929" s="1"/>
      <c r="AA929" s="1"/>
      <c r="AB929" s="1"/>
      <c r="AC929" s="1"/>
      <c r="AD929" s="1">
        <f>IF($C929="",0,SUMPRODUCT((AY_SONU!$O$7:$O$42="Evet")*(AY_SONU!$B$7:$B$42=DATE(YEAR($C929),MONTH($C929),1))))</f>
        <v>0</v>
      </c>
      <c r="AE929" s="1" t="str">
        <f>IF($E929="","",$E929&amp;"|"&amp;COUNTIFS($E$7:$E929,$E929))</f>
        <v/>
      </c>
    </row>
    <row r="930" spans="1:31" ht="18" customHeight="1" x14ac:dyDescent="0.3">
      <c r="A930" s="2"/>
      <c r="B930" s="65" t="str">
        <f>IF($C930="","","GG"&amp;TEXT(ROW()-6,"00000"))</f>
        <v/>
      </c>
      <c r="C930" s="66"/>
      <c r="D930" s="60"/>
      <c r="E930" s="61"/>
      <c r="F930" s="61"/>
      <c r="G930" s="67"/>
      <c r="H930" s="60"/>
      <c r="I930" s="60"/>
      <c r="J930" s="61"/>
      <c r="K930" s="61"/>
      <c r="L930" s="60"/>
      <c r="M930" s="74" t="str">
        <f>IF($C930="","",IF($D930="Gider",$E930,IF($L930&lt;&gt;"",$L930,$H930)))</f>
        <v/>
      </c>
      <c r="N930" s="74" t="str">
        <f>IF($C930="","",IF($D930="Gider",$H930,$E930))</f>
        <v/>
      </c>
      <c r="O930" s="73" t="str">
        <f>IF($C930="","",DATE(YEAR($C930),MONTH($C930),1))</f>
        <v/>
      </c>
      <c r="P930" s="65" t="str">
        <f ca="1">IF($C930="","",IF(AND($D930="Gelir",$L930&lt;&gt;"",$T930=""),"TANIMSIZ BORÇLU",IF($T930&lt;&gt;"",IF(OR($E930="",$G930&lt;=0),"EKSİK",IF($I930="Evet","TAHAKKUK NAKİT OLAMAZ",IF($C930&gt;TODAY(),"İLERİ TARİH","TAHAKKUK"))),IF(AND($D930&lt;&gt;"",$E930&lt;&gt;"",$G930&gt;0,$H930&lt;&gt;"",$I930&lt;&gt;""),IF($C930&gt;TODAY(),"İLERİ TARİH",IF(COUNTIF($W$7:$W$3001,$W930)&gt;1,"MÜKERRER?",IF($AD930&gt;0,"KAPALI DÖNEM",IF($I930="Hayır","ÖDENECEK","UYGUN")))),"EKSİK"))))</f>
        <v/>
      </c>
      <c r="Q930" s="2"/>
      <c r="R930" s="2"/>
      <c r="S930" s="1" t="str">
        <f t="shared" si="44"/>
        <v/>
      </c>
      <c r="T930" s="1" t="str">
        <f>IF(OR($C930="",$D930&lt;&gt;"Gelir",$L930=""),"",IFERROR(INDEX(MUSTERILER!$B$7:$B$156,MATCH($S930,MUSTERILER!$T$7:$T$156,0)),""))</f>
        <v/>
      </c>
      <c r="U930" s="1" t="str">
        <f>IF($T930="","",$T930&amp;"|"&amp;COUNTIFS($T$7:$T930,$T930))</f>
        <v/>
      </c>
      <c r="V930" s="1">
        <f t="shared" si="45"/>
        <v>0</v>
      </c>
      <c r="W930" s="1" t="str">
        <f t="shared" si="46"/>
        <v/>
      </c>
      <c r="X930" s="1"/>
      <c r="Y930" s="1"/>
      <c r="Z930" s="1"/>
      <c r="AA930" s="1"/>
      <c r="AB930" s="1"/>
      <c r="AC930" s="1"/>
      <c r="AD930" s="1">
        <f>IF($C930="",0,SUMPRODUCT((AY_SONU!$O$7:$O$42="Evet")*(AY_SONU!$B$7:$B$42=DATE(YEAR($C930),MONTH($C930),1))))</f>
        <v>0</v>
      </c>
      <c r="AE930" s="1" t="str">
        <f>IF($E930="","",$E930&amp;"|"&amp;COUNTIFS($E$7:$E930,$E930))</f>
        <v/>
      </c>
    </row>
    <row r="931" spans="1:31" ht="18" customHeight="1" x14ac:dyDescent="0.3">
      <c r="A931" s="2"/>
      <c r="B931" s="65" t="str">
        <f>IF($C931="","","GG"&amp;TEXT(ROW()-6,"00000"))</f>
        <v/>
      </c>
      <c r="C931" s="66"/>
      <c r="D931" s="60"/>
      <c r="E931" s="61"/>
      <c r="F931" s="61"/>
      <c r="G931" s="67"/>
      <c r="H931" s="60"/>
      <c r="I931" s="60"/>
      <c r="J931" s="61"/>
      <c r="K931" s="61"/>
      <c r="L931" s="60"/>
      <c r="M931" s="74" t="str">
        <f>IF($C931="","",IF($D931="Gider",$E931,IF($L931&lt;&gt;"",$L931,$H931)))</f>
        <v/>
      </c>
      <c r="N931" s="74" t="str">
        <f>IF($C931="","",IF($D931="Gider",$H931,$E931))</f>
        <v/>
      </c>
      <c r="O931" s="73" t="str">
        <f>IF($C931="","",DATE(YEAR($C931),MONTH($C931),1))</f>
        <v/>
      </c>
      <c r="P931" s="65" t="str">
        <f ca="1">IF($C931="","",IF(AND($D931="Gelir",$L931&lt;&gt;"",$T931=""),"TANIMSIZ BORÇLU",IF($T931&lt;&gt;"",IF(OR($E931="",$G931&lt;=0),"EKSİK",IF($I931="Evet","TAHAKKUK NAKİT OLAMAZ",IF($C931&gt;TODAY(),"İLERİ TARİH","TAHAKKUK"))),IF(AND($D931&lt;&gt;"",$E931&lt;&gt;"",$G931&gt;0,$H931&lt;&gt;"",$I931&lt;&gt;""),IF($C931&gt;TODAY(),"İLERİ TARİH",IF(COUNTIF($W$7:$W$3001,$W931)&gt;1,"MÜKERRER?",IF($AD931&gt;0,"KAPALI DÖNEM",IF($I931="Hayır","ÖDENECEK","UYGUN")))),"EKSİK"))))</f>
        <v/>
      </c>
      <c r="Q931" s="2"/>
      <c r="R931" s="2"/>
      <c r="S931" s="1" t="str">
        <f t="shared" si="44"/>
        <v/>
      </c>
      <c r="T931" s="1" t="str">
        <f>IF(OR($C931="",$D931&lt;&gt;"Gelir",$L931=""),"",IFERROR(INDEX(MUSTERILER!$B$7:$B$156,MATCH($S931,MUSTERILER!$T$7:$T$156,0)),""))</f>
        <v/>
      </c>
      <c r="U931" s="1" t="str">
        <f>IF($T931="","",$T931&amp;"|"&amp;COUNTIFS($T$7:$T931,$T931))</f>
        <v/>
      </c>
      <c r="V931" s="1">
        <f t="shared" si="45"/>
        <v>0</v>
      </c>
      <c r="W931" s="1" t="str">
        <f t="shared" si="46"/>
        <v/>
      </c>
      <c r="X931" s="1"/>
      <c r="Y931" s="1"/>
      <c r="Z931" s="1"/>
      <c r="AA931" s="1"/>
      <c r="AB931" s="1"/>
      <c r="AC931" s="1"/>
      <c r="AD931" s="1">
        <f>IF($C931="",0,SUMPRODUCT((AY_SONU!$O$7:$O$42="Evet")*(AY_SONU!$B$7:$B$42=DATE(YEAR($C931),MONTH($C931),1))))</f>
        <v>0</v>
      </c>
      <c r="AE931" s="1" t="str">
        <f>IF($E931="","",$E931&amp;"|"&amp;COUNTIFS($E$7:$E931,$E931))</f>
        <v/>
      </c>
    </row>
    <row r="932" spans="1:31" ht="18" customHeight="1" x14ac:dyDescent="0.3">
      <c r="A932" s="2"/>
      <c r="B932" s="65" t="str">
        <f>IF($C932="","","GG"&amp;TEXT(ROW()-6,"00000"))</f>
        <v/>
      </c>
      <c r="C932" s="66"/>
      <c r="D932" s="60"/>
      <c r="E932" s="61"/>
      <c r="F932" s="61"/>
      <c r="G932" s="67"/>
      <c r="H932" s="60"/>
      <c r="I932" s="60"/>
      <c r="J932" s="61"/>
      <c r="K932" s="61"/>
      <c r="L932" s="60"/>
      <c r="M932" s="74" t="str">
        <f>IF($C932="","",IF($D932="Gider",$E932,IF($L932&lt;&gt;"",$L932,$H932)))</f>
        <v/>
      </c>
      <c r="N932" s="74" t="str">
        <f>IF($C932="","",IF($D932="Gider",$H932,$E932))</f>
        <v/>
      </c>
      <c r="O932" s="73" t="str">
        <f>IF($C932="","",DATE(YEAR($C932),MONTH($C932),1))</f>
        <v/>
      </c>
      <c r="P932" s="65" t="str">
        <f ca="1">IF($C932="","",IF(AND($D932="Gelir",$L932&lt;&gt;"",$T932=""),"TANIMSIZ BORÇLU",IF($T932&lt;&gt;"",IF(OR($E932="",$G932&lt;=0),"EKSİK",IF($I932="Evet","TAHAKKUK NAKİT OLAMAZ",IF($C932&gt;TODAY(),"İLERİ TARİH","TAHAKKUK"))),IF(AND($D932&lt;&gt;"",$E932&lt;&gt;"",$G932&gt;0,$H932&lt;&gt;"",$I932&lt;&gt;""),IF($C932&gt;TODAY(),"İLERİ TARİH",IF(COUNTIF($W$7:$W$3001,$W932)&gt;1,"MÜKERRER?",IF($AD932&gt;0,"KAPALI DÖNEM",IF($I932="Hayır","ÖDENECEK","UYGUN")))),"EKSİK"))))</f>
        <v/>
      </c>
      <c r="Q932" s="2"/>
      <c r="R932" s="2"/>
      <c r="S932" s="1" t="str">
        <f t="shared" si="44"/>
        <v/>
      </c>
      <c r="T932" s="1" t="str">
        <f>IF(OR($C932="",$D932&lt;&gt;"Gelir",$L932=""),"",IFERROR(INDEX(MUSTERILER!$B$7:$B$156,MATCH($S932,MUSTERILER!$T$7:$T$156,0)),""))</f>
        <v/>
      </c>
      <c r="U932" s="1" t="str">
        <f>IF($T932="","",$T932&amp;"|"&amp;COUNTIFS($T$7:$T932,$T932))</f>
        <v/>
      </c>
      <c r="V932" s="1">
        <f t="shared" si="45"/>
        <v>0</v>
      </c>
      <c r="W932" s="1" t="str">
        <f t="shared" si="46"/>
        <v/>
      </c>
      <c r="X932" s="1"/>
      <c r="Y932" s="1"/>
      <c r="Z932" s="1"/>
      <c r="AA932" s="1"/>
      <c r="AB932" s="1"/>
      <c r="AC932" s="1"/>
      <c r="AD932" s="1">
        <f>IF($C932="",0,SUMPRODUCT((AY_SONU!$O$7:$O$42="Evet")*(AY_SONU!$B$7:$B$42=DATE(YEAR($C932),MONTH($C932),1))))</f>
        <v>0</v>
      </c>
      <c r="AE932" s="1" t="str">
        <f>IF($E932="","",$E932&amp;"|"&amp;COUNTIFS($E$7:$E932,$E932))</f>
        <v/>
      </c>
    </row>
    <row r="933" spans="1:31" ht="18" customHeight="1" x14ac:dyDescent="0.3">
      <c r="A933" s="2"/>
      <c r="B933" s="65" t="str">
        <f>IF($C933="","","GG"&amp;TEXT(ROW()-6,"00000"))</f>
        <v/>
      </c>
      <c r="C933" s="66"/>
      <c r="D933" s="60"/>
      <c r="E933" s="61"/>
      <c r="F933" s="61"/>
      <c r="G933" s="67"/>
      <c r="H933" s="60"/>
      <c r="I933" s="60"/>
      <c r="J933" s="61"/>
      <c r="K933" s="61"/>
      <c r="L933" s="60"/>
      <c r="M933" s="74" t="str">
        <f>IF($C933="","",IF($D933="Gider",$E933,IF($L933&lt;&gt;"",$L933,$H933)))</f>
        <v/>
      </c>
      <c r="N933" s="74" t="str">
        <f>IF($C933="","",IF($D933="Gider",$H933,$E933))</f>
        <v/>
      </c>
      <c r="O933" s="73" t="str">
        <f>IF($C933="","",DATE(YEAR($C933),MONTH($C933),1))</f>
        <v/>
      </c>
      <c r="P933" s="65" t="str">
        <f ca="1">IF($C933="","",IF(AND($D933="Gelir",$L933&lt;&gt;"",$T933=""),"TANIMSIZ BORÇLU",IF($T933&lt;&gt;"",IF(OR($E933="",$G933&lt;=0),"EKSİK",IF($I933="Evet","TAHAKKUK NAKİT OLAMAZ",IF($C933&gt;TODAY(),"İLERİ TARİH","TAHAKKUK"))),IF(AND($D933&lt;&gt;"",$E933&lt;&gt;"",$G933&gt;0,$H933&lt;&gt;"",$I933&lt;&gt;""),IF($C933&gt;TODAY(),"İLERİ TARİH",IF(COUNTIF($W$7:$W$3001,$W933)&gt;1,"MÜKERRER?",IF($AD933&gt;0,"KAPALI DÖNEM",IF($I933="Hayır","ÖDENECEK","UYGUN")))),"EKSİK"))))</f>
        <v/>
      </c>
      <c r="Q933" s="2"/>
      <c r="R933" s="2"/>
      <c r="S933" s="1" t="str">
        <f t="shared" si="44"/>
        <v/>
      </c>
      <c r="T933" s="1" t="str">
        <f>IF(OR($C933="",$D933&lt;&gt;"Gelir",$L933=""),"",IFERROR(INDEX(MUSTERILER!$B$7:$B$156,MATCH($S933,MUSTERILER!$T$7:$T$156,0)),""))</f>
        <v/>
      </c>
      <c r="U933" s="1" t="str">
        <f>IF($T933="","",$T933&amp;"|"&amp;COUNTIFS($T$7:$T933,$T933))</f>
        <v/>
      </c>
      <c r="V933" s="1">
        <f t="shared" si="45"/>
        <v>0</v>
      </c>
      <c r="W933" s="1" t="str">
        <f t="shared" si="46"/>
        <v/>
      </c>
      <c r="X933" s="1"/>
      <c r="Y933" s="1"/>
      <c r="Z933" s="1"/>
      <c r="AA933" s="1"/>
      <c r="AB933" s="1"/>
      <c r="AC933" s="1"/>
      <c r="AD933" s="1">
        <f>IF($C933="",0,SUMPRODUCT((AY_SONU!$O$7:$O$42="Evet")*(AY_SONU!$B$7:$B$42=DATE(YEAR($C933),MONTH($C933),1))))</f>
        <v>0</v>
      </c>
      <c r="AE933" s="1" t="str">
        <f>IF($E933="","",$E933&amp;"|"&amp;COUNTIFS($E$7:$E933,$E933))</f>
        <v/>
      </c>
    </row>
    <row r="934" spans="1:31" ht="18" customHeight="1" x14ac:dyDescent="0.3">
      <c r="A934" s="2"/>
      <c r="B934" s="65" t="str">
        <f>IF($C934="","","GG"&amp;TEXT(ROW()-6,"00000"))</f>
        <v/>
      </c>
      <c r="C934" s="66"/>
      <c r="D934" s="60"/>
      <c r="E934" s="61"/>
      <c r="F934" s="61"/>
      <c r="G934" s="67"/>
      <c r="H934" s="60"/>
      <c r="I934" s="60"/>
      <c r="J934" s="61"/>
      <c r="K934" s="61"/>
      <c r="L934" s="60"/>
      <c r="M934" s="74" t="str">
        <f>IF($C934="","",IF($D934="Gider",$E934,IF($L934&lt;&gt;"",$L934,$H934)))</f>
        <v/>
      </c>
      <c r="N934" s="74" t="str">
        <f>IF($C934="","",IF($D934="Gider",$H934,$E934))</f>
        <v/>
      </c>
      <c r="O934" s="73" t="str">
        <f>IF($C934="","",DATE(YEAR($C934),MONTH($C934),1))</f>
        <v/>
      </c>
      <c r="P934" s="65" t="str">
        <f ca="1">IF($C934="","",IF(AND($D934="Gelir",$L934&lt;&gt;"",$T934=""),"TANIMSIZ BORÇLU",IF($T934&lt;&gt;"",IF(OR($E934="",$G934&lt;=0),"EKSİK",IF($I934="Evet","TAHAKKUK NAKİT OLAMAZ",IF($C934&gt;TODAY(),"İLERİ TARİH","TAHAKKUK"))),IF(AND($D934&lt;&gt;"",$E934&lt;&gt;"",$G934&gt;0,$H934&lt;&gt;"",$I934&lt;&gt;""),IF($C934&gt;TODAY(),"İLERİ TARİH",IF(COUNTIF($W$7:$W$3001,$W934)&gt;1,"MÜKERRER?",IF($AD934&gt;0,"KAPALI DÖNEM",IF($I934="Hayır","ÖDENECEK","UYGUN")))),"EKSİK"))))</f>
        <v/>
      </c>
      <c r="Q934" s="2"/>
      <c r="R934" s="2"/>
      <c r="S934" s="1" t="str">
        <f t="shared" si="44"/>
        <v/>
      </c>
      <c r="T934" s="1" t="str">
        <f>IF(OR($C934="",$D934&lt;&gt;"Gelir",$L934=""),"",IFERROR(INDEX(MUSTERILER!$B$7:$B$156,MATCH($S934,MUSTERILER!$T$7:$T$156,0)),""))</f>
        <v/>
      </c>
      <c r="U934" s="1" t="str">
        <f>IF($T934="","",$T934&amp;"|"&amp;COUNTIFS($T$7:$T934,$T934))</f>
        <v/>
      </c>
      <c r="V934" s="1">
        <f t="shared" si="45"/>
        <v>0</v>
      </c>
      <c r="W934" s="1" t="str">
        <f t="shared" si="46"/>
        <v/>
      </c>
      <c r="X934" s="1"/>
      <c r="Y934" s="1"/>
      <c r="Z934" s="1"/>
      <c r="AA934" s="1"/>
      <c r="AB934" s="1"/>
      <c r="AC934" s="1"/>
      <c r="AD934" s="1">
        <f>IF($C934="",0,SUMPRODUCT((AY_SONU!$O$7:$O$42="Evet")*(AY_SONU!$B$7:$B$42=DATE(YEAR($C934),MONTH($C934),1))))</f>
        <v>0</v>
      </c>
      <c r="AE934" s="1" t="str">
        <f>IF($E934="","",$E934&amp;"|"&amp;COUNTIFS($E$7:$E934,$E934))</f>
        <v/>
      </c>
    </row>
    <row r="935" spans="1:31" ht="18" customHeight="1" x14ac:dyDescent="0.3">
      <c r="A935" s="2"/>
      <c r="B935" s="65" t="str">
        <f>IF($C935="","","GG"&amp;TEXT(ROW()-6,"00000"))</f>
        <v/>
      </c>
      <c r="C935" s="66"/>
      <c r="D935" s="60"/>
      <c r="E935" s="61"/>
      <c r="F935" s="61"/>
      <c r="G935" s="67"/>
      <c r="H935" s="60"/>
      <c r="I935" s="60"/>
      <c r="J935" s="61"/>
      <c r="K935" s="61"/>
      <c r="L935" s="60"/>
      <c r="M935" s="74" t="str">
        <f>IF($C935="","",IF($D935="Gider",$E935,IF($L935&lt;&gt;"",$L935,$H935)))</f>
        <v/>
      </c>
      <c r="N935" s="74" t="str">
        <f>IF($C935="","",IF($D935="Gider",$H935,$E935))</f>
        <v/>
      </c>
      <c r="O935" s="73" t="str">
        <f>IF($C935="","",DATE(YEAR($C935),MONTH($C935),1))</f>
        <v/>
      </c>
      <c r="P935" s="65" t="str">
        <f ca="1">IF($C935="","",IF(AND($D935="Gelir",$L935&lt;&gt;"",$T935=""),"TANIMSIZ BORÇLU",IF($T935&lt;&gt;"",IF(OR($E935="",$G935&lt;=0),"EKSİK",IF($I935="Evet","TAHAKKUK NAKİT OLAMAZ",IF($C935&gt;TODAY(),"İLERİ TARİH","TAHAKKUK"))),IF(AND($D935&lt;&gt;"",$E935&lt;&gt;"",$G935&gt;0,$H935&lt;&gt;"",$I935&lt;&gt;""),IF($C935&gt;TODAY(),"İLERİ TARİH",IF(COUNTIF($W$7:$W$3001,$W935)&gt;1,"MÜKERRER?",IF($AD935&gt;0,"KAPALI DÖNEM",IF($I935="Hayır","ÖDENECEK","UYGUN")))),"EKSİK"))))</f>
        <v/>
      </c>
      <c r="Q935" s="2"/>
      <c r="R935" s="2"/>
      <c r="S935" s="1" t="str">
        <f t="shared" si="44"/>
        <v/>
      </c>
      <c r="T935" s="1" t="str">
        <f>IF(OR($C935="",$D935&lt;&gt;"Gelir",$L935=""),"",IFERROR(INDEX(MUSTERILER!$B$7:$B$156,MATCH($S935,MUSTERILER!$T$7:$T$156,0)),""))</f>
        <v/>
      </c>
      <c r="U935" s="1" t="str">
        <f>IF($T935="","",$T935&amp;"|"&amp;COUNTIFS($T$7:$T935,$T935))</f>
        <v/>
      </c>
      <c r="V935" s="1">
        <f t="shared" si="45"/>
        <v>0</v>
      </c>
      <c r="W935" s="1" t="str">
        <f t="shared" si="46"/>
        <v/>
      </c>
      <c r="X935" s="1"/>
      <c r="Y935" s="1"/>
      <c r="Z935" s="1"/>
      <c r="AA935" s="1"/>
      <c r="AB935" s="1"/>
      <c r="AC935" s="1"/>
      <c r="AD935" s="1">
        <f>IF($C935="",0,SUMPRODUCT((AY_SONU!$O$7:$O$42="Evet")*(AY_SONU!$B$7:$B$42=DATE(YEAR($C935),MONTH($C935),1))))</f>
        <v>0</v>
      </c>
      <c r="AE935" s="1" t="str">
        <f>IF($E935="","",$E935&amp;"|"&amp;COUNTIFS($E$7:$E935,$E935))</f>
        <v/>
      </c>
    </row>
    <row r="936" spans="1:31" ht="18" customHeight="1" x14ac:dyDescent="0.3">
      <c r="A936" s="2"/>
      <c r="B936" s="65" t="str">
        <f>IF($C936="","","GG"&amp;TEXT(ROW()-6,"00000"))</f>
        <v/>
      </c>
      <c r="C936" s="66"/>
      <c r="D936" s="60"/>
      <c r="E936" s="61"/>
      <c r="F936" s="61"/>
      <c r="G936" s="67"/>
      <c r="H936" s="60"/>
      <c r="I936" s="60"/>
      <c r="J936" s="61"/>
      <c r="K936" s="61"/>
      <c r="L936" s="60"/>
      <c r="M936" s="74" t="str">
        <f>IF($C936="","",IF($D936="Gider",$E936,IF($L936&lt;&gt;"",$L936,$H936)))</f>
        <v/>
      </c>
      <c r="N936" s="74" t="str">
        <f>IF($C936="","",IF($D936="Gider",$H936,$E936))</f>
        <v/>
      </c>
      <c r="O936" s="73" t="str">
        <f>IF($C936="","",DATE(YEAR($C936),MONTH($C936),1))</f>
        <v/>
      </c>
      <c r="P936" s="65" t="str">
        <f ca="1">IF($C936="","",IF(AND($D936="Gelir",$L936&lt;&gt;"",$T936=""),"TANIMSIZ BORÇLU",IF($T936&lt;&gt;"",IF(OR($E936="",$G936&lt;=0),"EKSİK",IF($I936="Evet","TAHAKKUK NAKİT OLAMAZ",IF($C936&gt;TODAY(),"İLERİ TARİH","TAHAKKUK"))),IF(AND($D936&lt;&gt;"",$E936&lt;&gt;"",$G936&gt;0,$H936&lt;&gt;"",$I936&lt;&gt;""),IF($C936&gt;TODAY(),"İLERİ TARİH",IF(COUNTIF($W$7:$W$3001,$W936)&gt;1,"MÜKERRER?",IF($AD936&gt;0,"KAPALI DÖNEM",IF($I936="Hayır","ÖDENECEK","UYGUN")))),"EKSİK"))))</f>
        <v/>
      </c>
      <c r="Q936" s="2"/>
      <c r="R936" s="2"/>
      <c r="S936" s="1" t="str">
        <f t="shared" si="44"/>
        <v/>
      </c>
      <c r="T936" s="1" t="str">
        <f>IF(OR($C936="",$D936&lt;&gt;"Gelir",$L936=""),"",IFERROR(INDEX(MUSTERILER!$B$7:$B$156,MATCH($S936,MUSTERILER!$T$7:$T$156,0)),""))</f>
        <v/>
      </c>
      <c r="U936" s="1" t="str">
        <f>IF($T936="","",$T936&amp;"|"&amp;COUNTIFS($T$7:$T936,$T936))</f>
        <v/>
      </c>
      <c r="V936" s="1">
        <f t="shared" si="45"/>
        <v>0</v>
      </c>
      <c r="W936" s="1" t="str">
        <f t="shared" si="46"/>
        <v/>
      </c>
      <c r="X936" s="1"/>
      <c r="Y936" s="1"/>
      <c r="Z936" s="1"/>
      <c r="AA936" s="1"/>
      <c r="AB936" s="1"/>
      <c r="AC936" s="1"/>
      <c r="AD936" s="1">
        <f>IF($C936="",0,SUMPRODUCT((AY_SONU!$O$7:$O$42="Evet")*(AY_SONU!$B$7:$B$42=DATE(YEAR($C936),MONTH($C936),1))))</f>
        <v>0</v>
      </c>
      <c r="AE936" s="1" t="str">
        <f>IF($E936="","",$E936&amp;"|"&amp;COUNTIFS($E$7:$E936,$E936))</f>
        <v/>
      </c>
    </row>
    <row r="937" spans="1:31" ht="18" customHeight="1" x14ac:dyDescent="0.3">
      <c r="A937" s="2"/>
      <c r="B937" s="65" t="str">
        <f>IF($C937="","","GG"&amp;TEXT(ROW()-6,"00000"))</f>
        <v/>
      </c>
      <c r="C937" s="66"/>
      <c r="D937" s="60"/>
      <c r="E937" s="61"/>
      <c r="F937" s="61"/>
      <c r="G937" s="67"/>
      <c r="H937" s="60"/>
      <c r="I937" s="60"/>
      <c r="J937" s="61"/>
      <c r="K937" s="61"/>
      <c r="L937" s="60"/>
      <c r="M937" s="74" t="str">
        <f>IF($C937="","",IF($D937="Gider",$E937,IF($L937&lt;&gt;"",$L937,$H937)))</f>
        <v/>
      </c>
      <c r="N937" s="74" t="str">
        <f>IF($C937="","",IF($D937="Gider",$H937,$E937))</f>
        <v/>
      </c>
      <c r="O937" s="73" t="str">
        <f>IF($C937="","",DATE(YEAR($C937),MONTH($C937),1))</f>
        <v/>
      </c>
      <c r="P937" s="65" t="str">
        <f ca="1">IF($C937="","",IF(AND($D937="Gelir",$L937&lt;&gt;"",$T937=""),"TANIMSIZ BORÇLU",IF($T937&lt;&gt;"",IF(OR($E937="",$G937&lt;=0),"EKSİK",IF($I937="Evet","TAHAKKUK NAKİT OLAMAZ",IF($C937&gt;TODAY(),"İLERİ TARİH","TAHAKKUK"))),IF(AND($D937&lt;&gt;"",$E937&lt;&gt;"",$G937&gt;0,$H937&lt;&gt;"",$I937&lt;&gt;""),IF($C937&gt;TODAY(),"İLERİ TARİH",IF(COUNTIF($W$7:$W$3001,$W937)&gt;1,"MÜKERRER?",IF($AD937&gt;0,"KAPALI DÖNEM",IF($I937="Hayır","ÖDENECEK","UYGUN")))),"EKSİK"))))</f>
        <v/>
      </c>
      <c r="Q937" s="2"/>
      <c r="R937" s="2"/>
      <c r="S937" s="1" t="str">
        <f t="shared" si="44"/>
        <v/>
      </c>
      <c r="T937" s="1" t="str">
        <f>IF(OR($C937="",$D937&lt;&gt;"Gelir",$L937=""),"",IFERROR(INDEX(MUSTERILER!$B$7:$B$156,MATCH($S937,MUSTERILER!$T$7:$T$156,0)),""))</f>
        <v/>
      </c>
      <c r="U937" s="1" t="str">
        <f>IF($T937="","",$T937&amp;"|"&amp;COUNTIFS($T$7:$T937,$T937))</f>
        <v/>
      </c>
      <c r="V937" s="1">
        <f t="shared" si="45"/>
        <v>0</v>
      </c>
      <c r="W937" s="1" t="str">
        <f t="shared" si="46"/>
        <v/>
      </c>
      <c r="X937" s="1"/>
      <c r="Y937" s="1"/>
      <c r="Z937" s="1"/>
      <c r="AA937" s="1"/>
      <c r="AB937" s="1"/>
      <c r="AC937" s="1"/>
      <c r="AD937" s="1">
        <f>IF($C937="",0,SUMPRODUCT((AY_SONU!$O$7:$O$42="Evet")*(AY_SONU!$B$7:$B$42=DATE(YEAR($C937),MONTH($C937),1))))</f>
        <v>0</v>
      </c>
      <c r="AE937" s="1" t="str">
        <f>IF($E937="","",$E937&amp;"|"&amp;COUNTIFS($E$7:$E937,$E937))</f>
        <v/>
      </c>
    </row>
    <row r="938" spans="1:31" ht="18" customHeight="1" x14ac:dyDescent="0.3">
      <c r="A938" s="2"/>
      <c r="B938" s="65" t="str">
        <f>IF($C938="","","GG"&amp;TEXT(ROW()-6,"00000"))</f>
        <v/>
      </c>
      <c r="C938" s="66"/>
      <c r="D938" s="60"/>
      <c r="E938" s="61"/>
      <c r="F938" s="61"/>
      <c r="G938" s="67"/>
      <c r="H938" s="60"/>
      <c r="I938" s="60"/>
      <c r="J938" s="61"/>
      <c r="K938" s="61"/>
      <c r="L938" s="60"/>
      <c r="M938" s="74" t="str">
        <f>IF($C938="","",IF($D938="Gider",$E938,IF($L938&lt;&gt;"",$L938,$H938)))</f>
        <v/>
      </c>
      <c r="N938" s="74" t="str">
        <f>IF($C938="","",IF($D938="Gider",$H938,$E938))</f>
        <v/>
      </c>
      <c r="O938" s="73" t="str">
        <f>IF($C938="","",DATE(YEAR($C938),MONTH($C938),1))</f>
        <v/>
      </c>
      <c r="P938" s="65" t="str">
        <f ca="1">IF($C938="","",IF(AND($D938="Gelir",$L938&lt;&gt;"",$T938=""),"TANIMSIZ BORÇLU",IF($T938&lt;&gt;"",IF(OR($E938="",$G938&lt;=0),"EKSİK",IF($I938="Evet","TAHAKKUK NAKİT OLAMAZ",IF($C938&gt;TODAY(),"İLERİ TARİH","TAHAKKUK"))),IF(AND($D938&lt;&gt;"",$E938&lt;&gt;"",$G938&gt;0,$H938&lt;&gt;"",$I938&lt;&gt;""),IF($C938&gt;TODAY(),"İLERİ TARİH",IF(COUNTIF($W$7:$W$3001,$W938)&gt;1,"MÜKERRER?",IF($AD938&gt;0,"KAPALI DÖNEM",IF($I938="Hayır","ÖDENECEK","UYGUN")))),"EKSİK"))))</f>
        <v/>
      </c>
      <c r="Q938" s="2"/>
      <c r="R938" s="2"/>
      <c r="S938" s="1" t="str">
        <f t="shared" si="44"/>
        <v/>
      </c>
      <c r="T938" s="1" t="str">
        <f>IF(OR($C938="",$D938&lt;&gt;"Gelir",$L938=""),"",IFERROR(INDEX(MUSTERILER!$B$7:$B$156,MATCH($S938,MUSTERILER!$T$7:$T$156,0)),""))</f>
        <v/>
      </c>
      <c r="U938" s="1" t="str">
        <f>IF($T938="","",$T938&amp;"|"&amp;COUNTIFS($T$7:$T938,$T938))</f>
        <v/>
      </c>
      <c r="V938" s="1">
        <f t="shared" si="45"/>
        <v>0</v>
      </c>
      <c r="W938" s="1" t="str">
        <f t="shared" si="46"/>
        <v/>
      </c>
      <c r="X938" s="1"/>
      <c r="Y938" s="1"/>
      <c r="Z938" s="1"/>
      <c r="AA938" s="1"/>
      <c r="AB938" s="1"/>
      <c r="AC938" s="1"/>
      <c r="AD938" s="1">
        <f>IF($C938="",0,SUMPRODUCT((AY_SONU!$O$7:$O$42="Evet")*(AY_SONU!$B$7:$B$42=DATE(YEAR($C938),MONTH($C938),1))))</f>
        <v>0</v>
      </c>
      <c r="AE938" s="1" t="str">
        <f>IF($E938="","",$E938&amp;"|"&amp;COUNTIFS($E$7:$E938,$E938))</f>
        <v/>
      </c>
    </row>
    <row r="939" spans="1:31" ht="18" customHeight="1" x14ac:dyDescent="0.3">
      <c r="A939" s="2"/>
      <c r="B939" s="65" t="str">
        <f>IF($C939="","","GG"&amp;TEXT(ROW()-6,"00000"))</f>
        <v/>
      </c>
      <c r="C939" s="66"/>
      <c r="D939" s="60"/>
      <c r="E939" s="61"/>
      <c r="F939" s="61"/>
      <c r="G939" s="67"/>
      <c r="H939" s="60"/>
      <c r="I939" s="60"/>
      <c r="J939" s="61"/>
      <c r="K939" s="61"/>
      <c r="L939" s="60"/>
      <c r="M939" s="74" t="str">
        <f>IF($C939="","",IF($D939="Gider",$E939,IF($L939&lt;&gt;"",$L939,$H939)))</f>
        <v/>
      </c>
      <c r="N939" s="74" t="str">
        <f>IF($C939="","",IF($D939="Gider",$H939,$E939))</f>
        <v/>
      </c>
      <c r="O939" s="73" t="str">
        <f>IF($C939="","",DATE(YEAR($C939),MONTH($C939),1))</f>
        <v/>
      </c>
      <c r="P939" s="65" t="str">
        <f ca="1">IF($C939="","",IF(AND($D939="Gelir",$L939&lt;&gt;"",$T939=""),"TANIMSIZ BORÇLU",IF($T939&lt;&gt;"",IF(OR($E939="",$G939&lt;=0),"EKSİK",IF($I939="Evet","TAHAKKUK NAKİT OLAMAZ",IF($C939&gt;TODAY(),"İLERİ TARİH","TAHAKKUK"))),IF(AND($D939&lt;&gt;"",$E939&lt;&gt;"",$G939&gt;0,$H939&lt;&gt;"",$I939&lt;&gt;""),IF($C939&gt;TODAY(),"İLERİ TARİH",IF(COUNTIF($W$7:$W$3001,$W939)&gt;1,"MÜKERRER?",IF($AD939&gt;0,"KAPALI DÖNEM",IF($I939="Hayır","ÖDENECEK","UYGUN")))),"EKSİK"))))</f>
        <v/>
      </c>
      <c r="Q939" s="2"/>
      <c r="R939" s="2"/>
      <c r="S939" s="1" t="str">
        <f t="shared" si="44"/>
        <v/>
      </c>
      <c r="T939" s="1" t="str">
        <f>IF(OR($C939="",$D939&lt;&gt;"Gelir",$L939=""),"",IFERROR(INDEX(MUSTERILER!$B$7:$B$156,MATCH($S939,MUSTERILER!$T$7:$T$156,0)),""))</f>
        <v/>
      </c>
      <c r="U939" s="1" t="str">
        <f>IF($T939="","",$T939&amp;"|"&amp;COUNTIFS($T$7:$T939,$T939))</f>
        <v/>
      </c>
      <c r="V939" s="1">
        <f t="shared" si="45"/>
        <v>0</v>
      </c>
      <c r="W939" s="1" t="str">
        <f t="shared" si="46"/>
        <v/>
      </c>
      <c r="X939" s="1"/>
      <c r="Y939" s="1"/>
      <c r="Z939" s="1"/>
      <c r="AA939" s="1"/>
      <c r="AB939" s="1"/>
      <c r="AC939" s="1"/>
      <c r="AD939" s="1">
        <f>IF($C939="",0,SUMPRODUCT((AY_SONU!$O$7:$O$42="Evet")*(AY_SONU!$B$7:$B$42=DATE(YEAR($C939),MONTH($C939),1))))</f>
        <v>0</v>
      </c>
      <c r="AE939" s="1" t="str">
        <f>IF($E939="","",$E939&amp;"|"&amp;COUNTIFS($E$7:$E939,$E939))</f>
        <v/>
      </c>
    </row>
    <row r="940" spans="1:31" ht="18" customHeight="1" x14ac:dyDescent="0.3">
      <c r="A940" s="2"/>
      <c r="B940" s="65" t="str">
        <f>IF($C940="","","GG"&amp;TEXT(ROW()-6,"00000"))</f>
        <v/>
      </c>
      <c r="C940" s="66"/>
      <c r="D940" s="60"/>
      <c r="E940" s="61"/>
      <c r="F940" s="61"/>
      <c r="G940" s="67"/>
      <c r="H940" s="60"/>
      <c r="I940" s="60"/>
      <c r="J940" s="61"/>
      <c r="K940" s="61"/>
      <c r="L940" s="60"/>
      <c r="M940" s="74" t="str">
        <f>IF($C940="","",IF($D940="Gider",$E940,IF($L940&lt;&gt;"",$L940,$H940)))</f>
        <v/>
      </c>
      <c r="N940" s="74" t="str">
        <f>IF($C940="","",IF($D940="Gider",$H940,$E940))</f>
        <v/>
      </c>
      <c r="O940" s="73" t="str">
        <f>IF($C940="","",DATE(YEAR($C940),MONTH($C940),1))</f>
        <v/>
      </c>
      <c r="P940" s="65" t="str">
        <f ca="1">IF($C940="","",IF(AND($D940="Gelir",$L940&lt;&gt;"",$T940=""),"TANIMSIZ BORÇLU",IF($T940&lt;&gt;"",IF(OR($E940="",$G940&lt;=0),"EKSİK",IF($I940="Evet","TAHAKKUK NAKİT OLAMAZ",IF($C940&gt;TODAY(),"İLERİ TARİH","TAHAKKUK"))),IF(AND($D940&lt;&gt;"",$E940&lt;&gt;"",$G940&gt;0,$H940&lt;&gt;"",$I940&lt;&gt;""),IF($C940&gt;TODAY(),"İLERİ TARİH",IF(COUNTIF($W$7:$W$3001,$W940)&gt;1,"MÜKERRER?",IF($AD940&gt;0,"KAPALI DÖNEM",IF($I940="Hayır","ÖDENECEK","UYGUN")))),"EKSİK"))))</f>
        <v/>
      </c>
      <c r="Q940" s="2"/>
      <c r="R940" s="2"/>
      <c r="S940" s="1" t="str">
        <f t="shared" si="44"/>
        <v/>
      </c>
      <c r="T940" s="1" t="str">
        <f>IF(OR($C940="",$D940&lt;&gt;"Gelir",$L940=""),"",IFERROR(INDEX(MUSTERILER!$B$7:$B$156,MATCH($S940,MUSTERILER!$T$7:$T$156,0)),""))</f>
        <v/>
      </c>
      <c r="U940" s="1" t="str">
        <f>IF($T940="","",$T940&amp;"|"&amp;COUNTIFS($T$7:$T940,$T940))</f>
        <v/>
      </c>
      <c r="V940" s="1">
        <f t="shared" si="45"/>
        <v>0</v>
      </c>
      <c r="W940" s="1" t="str">
        <f t="shared" si="46"/>
        <v/>
      </c>
      <c r="X940" s="1"/>
      <c r="Y940" s="1"/>
      <c r="Z940" s="1"/>
      <c r="AA940" s="1"/>
      <c r="AB940" s="1"/>
      <c r="AC940" s="1"/>
      <c r="AD940" s="1">
        <f>IF($C940="",0,SUMPRODUCT((AY_SONU!$O$7:$O$42="Evet")*(AY_SONU!$B$7:$B$42=DATE(YEAR($C940),MONTH($C940),1))))</f>
        <v>0</v>
      </c>
      <c r="AE940" s="1" t="str">
        <f>IF($E940="","",$E940&amp;"|"&amp;COUNTIFS($E$7:$E940,$E940))</f>
        <v/>
      </c>
    </row>
    <row r="941" spans="1:31" ht="18" customHeight="1" x14ac:dyDescent="0.3">
      <c r="A941" s="2"/>
      <c r="B941" s="65" t="str">
        <f>IF($C941="","","GG"&amp;TEXT(ROW()-6,"00000"))</f>
        <v/>
      </c>
      <c r="C941" s="66"/>
      <c r="D941" s="60"/>
      <c r="E941" s="61"/>
      <c r="F941" s="61"/>
      <c r="G941" s="67"/>
      <c r="H941" s="60"/>
      <c r="I941" s="60"/>
      <c r="J941" s="61"/>
      <c r="K941" s="61"/>
      <c r="L941" s="60"/>
      <c r="M941" s="74" t="str">
        <f>IF($C941="","",IF($D941="Gider",$E941,IF($L941&lt;&gt;"",$L941,$H941)))</f>
        <v/>
      </c>
      <c r="N941" s="74" t="str">
        <f>IF($C941="","",IF($D941="Gider",$H941,$E941))</f>
        <v/>
      </c>
      <c r="O941" s="73" t="str">
        <f>IF($C941="","",DATE(YEAR($C941),MONTH($C941),1))</f>
        <v/>
      </c>
      <c r="P941" s="65" t="str">
        <f ca="1">IF($C941="","",IF(AND($D941="Gelir",$L941&lt;&gt;"",$T941=""),"TANIMSIZ BORÇLU",IF($T941&lt;&gt;"",IF(OR($E941="",$G941&lt;=0),"EKSİK",IF($I941="Evet","TAHAKKUK NAKİT OLAMAZ",IF($C941&gt;TODAY(),"İLERİ TARİH","TAHAKKUK"))),IF(AND($D941&lt;&gt;"",$E941&lt;&gt;"",$G941&gt;0,$H941&lt;&gt;"",$I941&lt;&gt;""),IF($C941&gt;TODAY(),"İLERİ TARİH",IF(COUNTIF($W$7:$W$3001,$W941)&gt;1,"MÜKERRER?",IF($AD941&gt;0,"KAPALI DÖNEM",IF($I941="Hayır","ÖDENECEK","UYGUN")))),"EKSİK"))))</f>
        <v/>
      </c>
      <c r="Q941" s="2"/>
      <c r="R941" s="2"/>
      <c r="S941" s="1" t="str">
        <f t="shared" si="44"/>
        <v/>
      </c>
      <c r="T941" s="1" t="str">
        <f>IF(OR($C941="",$D941&lt;&gt;"Gelir",$L941=""),"",IFERROR(INDEX(MUSTERILER!$B$7:$B$156,MATCH($S941,MUSTERILER!$T$7:$T$156,0)),""))</f>
        <v/>
      </c>
      <c r="U941" s="1" t="str">
        <f>IF($T941="","",$T941&amp;"|"&amp;COUNTIFS($T$7:$T941,$T941))</f>
        <v/>
      </c>
      <c r="V941" s="1">
        <f t="shared" si="45"/>
        <v>0</v>
      </c>
      <c r="W941" s="1" t="str">
        <f t="shared" si="46"/>
        <v/>
      </c>
      <c r="X941" s="1"/>
      <c r="Y941" s="1"/>
      <c r="Z941" s="1"/>
      <c r="AA941" s="1"/>
      <c r="AB941" s="1"/>
      <c r="AC941" s="1"/>
      <c r="AD941" s="1">
        <f>IF($C941="",0,SUMPRODUCT((AY_SONU!$O$7:$O$42="Evet")*(AY_SONU!$B$7:$B$42=DATE(YEAR($C941),MONTH($C941),1))))</f>
        <v>0</v>
      </c>
      <c r="AE941" s="1" t="str">
        <f>IF($E941="","",$E941&amp;"|"&amp;COUNTIFS($E$7:$E941,$E941))</f>
        <v/>
      </c>
    </row>
    <row r="942" spans="1:31" ht="18" customHeight="1" x14ac:dyDescent="0.3">
      <c r="A942" s="2"/>
      <c r="B942" s="65" t="str">
        <f>IF($C942="","","GG"&amp;TEXT(ROW()-6,"00000"))</f>
        <v/>
      </c>
      <c r="C942" s="66"/>
      <c r="D942" s="60"/>
      <c r="E942" s="61"/>
      <c r="F942" s="61"/>
      <c r="G942" s="67"/>
      <c r="H942" s="60"/>
      <c r="I942" s="60"/>
      <c r="J942" s="61"/>
      <c r="K942" s="61"/>
      <c r="L942" s="60"/>
      <c r="M942" s="74" t="str">
        <f>IF($C942="","",IF($D942="Gider",$E942,IF($L942&lt;&gt;"",$L942,$H942)))</f>
        <v/>
      </c>
      <c r="N942" s="74" t="str">
        <f>IF($C942="","",IF($D942="Gider",$H942,$E942))</f>
        <v/>
      </c>
      <c r="O942" s="73" t="str">
        <f>IF($C942="","",DATE(YEAR($C942),MONTH($C942),1))</f>
        <v/>
      </c>
      <c r="P942" s="65" t="str">
        <f ca="1">IF($C942="","",IF(AND($D942="Gelir",$L942&lt;&gt;"",$T942=""),"TANIMSIZ BORÇLU",IF($T942&lt;&gt;"",IF(OR($E942="",$G942&lt;=0),"EKSİK",IF($I942="Evet","TAHAKKUK NAKİT OLAMAZ",IF($C942&gt;TODAY(),"İLERİ TARİH","TAHAKKUK"))),IF(AND($D942&lt;&gt;"",$E942&lt;&gt;"",$G942&gt;0,$H942&lt;&gt;"",$I942&lt;&gt;""),IF($C942&gt;TODAY(),"İLERİ TARİH",IF(COUNTIF($W$7:$W$3001,$W942)&gt;1,"MÜKERRER?",IF($AD942&gt;0,"KAPALI DÖNEM",IF($I942="Hayır","ÖDENECEK","UYGUN")))),"EKSİK"))))</f>
        <v/>
      </c>
      <c r="Q942" s="2"/>
      <c r="R942" s="2"/>
      <c r="S942" s="1" t="str">
        <f t="shared" si="44"/>
        <v/>
      </c>
      <c r="T942" s="1" t="str">
        <f>IF(OR($C942="",$D942&lt;&gt;"Gelir",$L942=""),"",IFERROR(INDEX(MUSTERILER!$B$7:$B$156,MATCH($S942,MUSTERILER!$T$7:$T$156,0)),""))</f>
        <v/>
      </c>
      <c r="U942" s="1" t="str">
        <f>IF($T942="","",$T942&amp;"|"&amp;COUNTIFS($T$7:$T942,$T942))</f>
        <v/>
      </c>
      <c r="V942" s="1">
        <f t="shared" si="45"/>
        <v>0</v>
      </c>
      <c r="W942" s="1" t="str">
        <f t="shared" si="46"/>
        <v/>
      </c>
      <c r="X942" s="1"/>
      <c r="Y942" s="1"/>
      <c r="Z942" s="1"/>
      <c r="AA942" s="1"/>
      <c r="AB942" s="1"/>
      <c r="AC942" s="1"/>
      <c r="AD942" s="1">
        <f>IF($C942="",0,SUMPRODUCT((AY_SONU!$O$7:$O$42="Evet")*(AY_SONU!$B$7:$B$42=DATE(YEAR($C942),MONTH($C942),1))))</f>
        <v>0</v>
      </c>
      <c r="AE942" s="1" t="str">
        <f>IF($E942="","",$E942&amp;"|"&amp;COUNTIFS($E$7:$E942,$E942))</f>
        <v/>
      </c>
    </row>
    <row r="943" spans="1:31" ht="18" customHeight="1" x14ac:dyDescent="0.3">
      <c r="A943" s="2"/>
      <c r="B943" s="65" t="str">
        <f>IF($C943="","","GG"&amp;TEXT(ROW()-6,"00000"))</f>
        <v/>
      </c>
      <c r="C943" s="66"/>
      <c r="D943" s="60"/>
      <c r="E943" s="61"/>
      <c r="F943" s="61"/>
      <c r="G943" s="67"/>
      <c r="H943" s="60"/>
      <c r="I943" s="60"/>
      <c r="J943" s="61"/>
      <c r="K943" s="61"/>
      <c r="L943" s="60"/>
      <c r="M943" s="74" t="str">
        <f>IF($C943="","",IF($D943="Gider",$E943,IF($L943&lt;&gt;"",$L943,$H943)))</f>
        <v/>
      </c>
      <c r="N943" s="74" t="str">
        <f>IF($C943="","",IF($D943="Gider",$H943,$E943))</f>
        <v/>
      </c>
      <c r="O943" s="73" t="str">
        <f>IF($C943="","",DATE(YEAR($C943),MONTH($C943),1))</f>
        <v/>
      </c>
      <c r="P943" s="65" t="str">
        <f ca="1">IF($C943="","",IF(AND($D943="Gelir",$L943&lt;&gt;"",$T943=""),"TANIMSIZ BORÇLU",IF($T943&lt;&gt;"",IF(OR($E943="",$G943&lt;=0),"EKSİK",IF($I943="Evet","TAHAKKUK NAKİT OLAMAZ",IF($C943&gt;TODAY(),"İLERİ TARİH","TAHAKKUK"))),IF(AND($D943&lt;&gt;"",$E943&lt;&gt;"",$G943&gt;0,$H943&lt;&gt;"",$I943&lt;&gt;""),IF($C943&gt;TODAY(),"İLERİ TARİH",IF(COUNTIF($W$7:$W$3001,$W943)&gt;1,"MÜKERRER?",IF($AD943&gt;0,"KAPALI DÖNEM",IF($I943="Hayır","ÖDENECEK","UYGUN")))),"EKSİK"))))</f>
        <v/>
      </c>
      <c r="Q943" s="2"/>
      <c r="R943" s="2"/>
      <c r="S943" s="1" t="str">
        <f t="shared" si="44"/>
        <v/>
      </c>
      <c r="T943" s="1" t="str">
        <f>IF(OR($C943="",$D943&lt;&gt;"Gelir",$L943=""),"",IFERROR(INDEX(MUSTERILER!$B$7:$B$156,MATCH($S943,MUSTERILER!$T$7:$T$156,0)),""))</f>
        <v/>
      </c>
      <c r="U943" s="1" t="str">
        <f>IF($T943="","",$T943&amp;"|"&amp;COUNTIFS($T$7:$T943,$T943))</f>
        <v/>
      </c>
      <c r="V943" s="1">
        <f t="shared" si="45"/>
        <v>0</v>
      </c>
      <c r="W943" s="1" t="str">
        <f t="shared" si="46"/>
        <v/>
      </c>
      <c r="X943" s="1"/>
      <c r="Y943" s="1"/>
      <c r="Z943" s="1"/>
      <c r="AA943" s="1"/>
      <c r="AB943" s="1"/>
      <c r="AC943" s="1"/>
      <c r="AD943" s="1">
        <f>IF($C943="",0,SUMPRODUCT((AY_SONU!$O$7:$O$42="Evet")*(AY_SONU!$B$7:$B$42=DATE(YEAR($C943),MONTH($C943),1))))</f>
        <v>0</v>
      </c>
      <c r="AE943" s="1" t="str">
        <f>IF($E943="","",$E943&amp;"|"&amp;COUNTIFS($E$7:$E943,$E943))</f>
        <v/>
      </c>
    </row>
    <row r="944" spans="1:31" ht="18" customHeight="1" x14ac:dyDescent="0.3">
      <c r="A944" s="2"/>
      <c r="B944" s="65" t="str">
        <f>IF($C944="","","GG"&amp;TEXT(ROW()-6,"00000"))</f>
        <v/>
      </c>
      <c r="C944" s="66"/>
      <c r="D944" s="60"/>
      <c r="E944" s="61"/>
      <c r="F944" s="61"/>
      <c r="G944" s="67"/>
      <c r="H944" s="60"/>
      <c r="I944" s="60"/>
      <c r="J944" s="61"/>
      <c r="K944" s="61"/>
      <c r="L944" s="60"/>
      <c r="M944" s="74" t="str">
        <f>IF($C944="","",IF($D944="Gider",$E944,IF($L944&lt;&gt;"",$L944,$H944)))</f>
        <v/>
      </c>
      <c r="N944" s="74" t="str">
        <f>IF($C944="","",IF($D944="Gider",$H944,$E944))</f>
        <v/>
      </c>
      <c r="O944" s="73" t="str">
        <f>IF($C944="","",DATE(YEAR($C944),MONTH($C944),1))</f>
        <v/>
      </c>
      <c r="P944" s="65" t="str">
        <f ca="1">IF($C944="","",IF(AND($D944="Gelir",$L944&lt;&gt;"",$T944=""),"TANIMSIZ BORÇLU",IF($T944&lt;&gt;"",IF(OR($E944="",$G944&lt;=0),"EKSİK",IF($I944="Evet","TAHAKKUK NAKİT OLAMAZ",IF($C944&gt;TODAY(),"İLERİ TARİH","TAHAKKUK"))),IF(AND($D944&lt;&gt;"",$E944&lt;&gt;"",$G944&gt;0,$H944&lt;&gt;"",$I944&lt;&gt;""),IF($C944&gt;TODAY(),"İLERİ TARİH",IF(COUNTIF($W$7:$W$3001,$W944)&gt;1,"MÜKERRER?",IF($AD944&gt;0,"KAPALI DÖNEM",IF($I944="Hayır","ÖDENECEK","UYGUN")))),"EKSİK"))))</f>
        <v/>
      </c>
      <c r="Q944" s="2"/>
      <c r="R944" s="2"/>
      <c r="S944" s="1" t="str">
        <f t="shared" si="44"/>
        <v/>
      </c>
      <c r="T944" s="1" t="str">
        <f>IF(OR($C944="",$D944&lt;&gt;"Gelir",$L944=""),"",IFERROR(INDEX(MUSTERILER!$B$7:$B$156,MATCH($S944,MUSTERILER!$T$7:$T$156,0)),""))</f>
        <v/>
      </c>
      <c r="U944" s="1" t="str">
        <f>IF($T944="","",$T944&amp;"|"&amp;COUNTIFS($T$7:$T944,$T944))</f>
        <v/>
      </c>
      <c r="V944" s="1">
        <f t="shared" si="45"/>
        <v>0</v>
      </c>
      <c r="W944" s="1" t="str">
        <f t="shared" si="46"/>
        <v/>
      </c>
      <c r="X944" s="1"/>
      <c r="Y944" s="1"/>
      <c r="Z944" s="1"/>
      <c r="AA944" s="1"/>
      <c r="AB944" s="1"/>
      <c r="AC944" s="1"/>
      <c r="AD944" s="1">
        <f>IF($C944="",0,SUMPRODUCT((AY_SONU!$O$7:$O$42="Evet")*(AY_SONU!$B$7:$B$42=DATE(YEAR($C944),MONTH($C944),1))))</f>
        <v>0</v>
      </c>
      <c r="AE944" s="1" t="str">
        <f>IF($E944="","",$E944&amp;"|"&amp;COUNTIFS($E$7:$E944,$E944))</f>
        <v/>
      </c>
    </row>
    <row r="945" spans="1:31" ht="18" customHeight="1" x14ac:dyDescent="0.3">
      <c r="A945" s="2"/>
      <c r="B945" s="65" t="str">
        <f>IF($C945="","","GG"&amp;TEXT(ROW()-6,"00000"))</f>
        <v/>
      </c>
      <c r="C945" s="66"/>
      <c r="D945" s="60"/>
      <c r="E945" s="61"/>
      <c r="F945" s="61"/>
      <c r="G945" s="67"/>
      <c r="H945" s="60"/>
      <c r="I945" s="60"/>
      <c r="J945" s="61"/>
      <c r="K945" s="61"/>
      <c r="L945" s="60"/>
      <c r="M945" s="74" t="str">
        <f>IF($C945="","",IF($D945="Gider",$E945,IF($L945&lt;&gt;"",$L945,$H945)))</f>
        <v/>
      </c>
      <c r="N945" s="74" t="str">
        <f>IF($C945="","",IF($D945="Gider",$H945,$E945))</f>
        <v/>
      </c>
      <c r="O945" s="73" t="str">
        <f>IF($C945="","",DATE(YEAR($C945),MONTH($C945),1))</f>
        <v/>
      </c>
      <c r="P945" s="65" t="str">
        <f ca="1">IF($C945="","",IF(AND($D945="Gelir",$L945&lt;&gt;"",$T945=""),"TANIMSIZ BORÇLU",IF($T945&lt;&gt;"",IF(OR($E945="",$G945&lt;=0),"EKSİK",IF($I945="Evet","TAHAKKUK NAKİT OLAMAZ",IF($C945&gt;TODAY(),"İLERİ TARİH","TAHAKKUK"))),IF(AND($D945&lt;&gt;"",$E945&lt;&gt;"",$G945&gt;0,$H945&lt;&gt;"",$I945&lt;&gt;""),IF($C945&gt;TODAY(),"İLERİ TARİH",IF(COUNTIF($W$7:$W$3001,$W945)&gt;1,"MÜKERRER?",IF($AD945&gt;0,"KAPALI DÖNEM",IF($I945="Hayır","ÖDENECEK","UYGUN")))),"EKSİK"))))</f>
        <v/>
      </c>
      <c r="Q945" s="2"/>
      <c r="R945" s="2"/>
      <c r="S945" s="1" t="str">
        <f t="shared" si="44"/>
        <v/>
      </c>
      <c r="T945" s="1" t="str">
        <f>IF(OR($C945="",$D945&lt;&gt;"Gelir",$L945=""),"",IFERROR(INDEX(MUSTERILER!$B$7:$B$156,MATCH($S945,MUSTERILER!$T$7:$T$156,0)),""))</f>
        <v/>
      </c>
      <c r="U945" s="1" t="str">
        <f>IF($T945="","",$T945&amp;"|"&amp;COUNTIFS($T$7:$T945,$T945))</f>
        <v/>
      </c>
      <c r="V945" s="1">
        <f t="shared" si="45"/>
        <v>0</v>
      </c>
      <c r="W945" s="1" t="str">
        <f t="shared" si="46"/>
        <v/>
      </c>
      <c r="X945" s="1"/>
      <c r="Y945" s="1"/>
      <c r="Z945" s="1"/>
      <c r="AA945" s="1"/>
      <c r="AB945" s="1"/>
      <c r="AC945" s="1"/>
      <c r="AD945" s="1">
        <f>IF($C945="",0,SUMPRODUCT((AY_SONU!$O$7:$O$42="Evet")*(AY_SONU!$B$7:$B$42=DATE(YEAR($C945),MONTH($C945),1))))</f>
        <v>0</v>
      </c>
      <c r="AE945" s="1" t="str">
        <f>IF($E945="","",$E945&amp;"|"&amp;COUNTIFS($E$7:$E945,$E945))</f>
        <v/>
      </c>
    </row>
    <row r="946" spans="1:31" ht="18" customHeight="1" x14ac:dyDescent="0.3">
      <c r="A946" s="2"/>
      <c r="B946" s="65" t="str">
        <f>IF($C946="","","GG"&amp;TEXT(ROW()-6,"00000"))</f>
        <v/>
      </c>
      <c r="C946" s="66"/>
      <c r="D946" s="60"/>
      <c r="E946" s="61"/>
      <c r="F946" s="61"/>
      <c r="G946" s="67"/>
      <c r="H946" s="60"/>
      <c r="I946" s="60"/>
      <c r="J946" s="61"/>
      <c r="K946" s="61"/>
      <c r="L946" s="60"/>
      <c r="M946" s="74" t="str">
        <f>IF($C946="","",IF($D946="Gider",$E946,IF($L946&lt;&gt;"",$L946,$H946)))</f>
        <v/>
      </c>
      <c r="N946" s="74" t="str">
        <f>IF($C946="","",IF($D946="Gider",$H946,$E946))</f>
        <v/>
      </c>
      <c r="O946" s="73" t="str">
        <f>IF($C946="","",DATE(YEAR($C946),MONTH($C946),1))</f>
        <v/>
      </c>
      <c r="P946" s="65" t="str">
        <f ca="1">IF($C946="","",IF(AND($D946="Gelir",$L946&lt;&gt;"",$T946=""),"TANIMSIZ BORÇLU",IF($T946&lt;&gt;"",IF(OR($E946="",$G946&lt;=0),"EKSİK",IF($I946="Evet","TAHAKKUK NAKİT OLAMAZ",IF($C946&gt;TODAY(),"İLERİ TARİH","TAHAKKUK"))),IF(AND($D946&lt;&gt;"",$E946&lt;&gt;"",$G946&gt;0,$H946&lt;&gt;"",$I946&lt;&gt;""),IF($C946&gt;TODAY(),"İLERİ TARİH",IF(COUNTIF($W$7:$W$3001,$W946)&gt;1,"MÜKERRER?",IF($AD946&gt;0,"KAPALI DÖNEM",IF($I946="Hayır","ÖDENECEK","UYGUN")))),"EKSİK"))))</f>
        <v/>
      </c>
      <c r="Q946" s="2"/>
      <c r="R946" s="2"/>
      <c r="S946" s="1" t="str">
        <f t="shared" si="44"/>
        <v/>
      </c>
      <c r="T946" s="1" t="str">
        <f>IF(OR($C946="",$D946&lt;&gt;"Gelir",$L946=""),"",IFERROR(INDEX(MUSTERILER!$B$7:$B$156,MATCH($S946,MUSTERILER!$T$7:$T$156,0)),""))</f>
        <v/>
      </c>
      <c r="U946" s="1" t="str">
        <f>IF($T946="","",$T946&amp;"|"&amp;COUNTIFS($T$7:$T946,$T946))</f>
        <v/>
      </c>
      <c r="V946" s="1">
        <f t="shared" si="45"/>
        <v>0</v>
      </c>
      <c r="W946" s="1" t="str">
        <f t="shared" si="46"/>
        <v/>
      </c>
      <c r="X946" s="1"/>
      <c r="Y946" s="1"/>
      <c r="Z946" s="1"/>
      <c r="AA946" s="1"/>
      <c r="AB946" s="1"/>
      <c r="AC946" s="1"/>
      <c r="AD946" s="1">
        <f>IF($C946="",0,SUMPRODUCT((AY_SONU!$O$7:$O$42="Evet")*(AY_SONU!$B$7:$B$42=DATE(YEAR($C946),MONTH($C946),1))))</f>
        <v>0</v>
      </c>
      <c r="AE946" s="1" t="str">
        <f>IF($E946="","",$E946&amp;"|"&amp;COUNTIFS($E$7:$E946,$E946))</f>
        <v/>
      </c>
    </row>
    <row r="947" spans="1:31" ht="18" customHeight="1" x14ac:dyDescent="0.3">
      <c r="A947" s="2"/>
      <c r="B947" s="65" t="str">
        <f>IF($C947="","","GG"&amp;TEXT(ROW()-6,"00000"))</f>
        <v/>
      </c>
      <c r="C947" s="66"/>
      <c r="D947" s="60"/>
      <c r="E947" s="61"/>
      <c r="F947" s="61"/>
      <c r="G947" s="67"/>
      <c r="H947" s="60"/>
      <c r="I947" s="60"/>
      <c r="J947" s="61"/>
      <c r="K947" s="61"/>
      <c r="L947" s="60"/>
      <c r="M947" s="74" t="str">
        <f>IF($C947="","",IF($D947="Gider",$E947,IF($L947&lt;&gt;"",$L947,$H947)))</f>
        <v/>
      </c>
      <c r="N947" s="74" t="str">
        <f>IF($C947="","",IF($D947="Gider",$H947,$E947))</f>
        <v/>
      </c>
      <c r="O947" s="73" t="str">
        <f>IF($C947="","",DATE(YEAR($C947),MONTH($C947),1))</f>
        <v/>
      </c>
      <c r="P947" s="65" t="str">
        <f ca="1">IF($C947="","",IF(AND($D947="Gelir",$L947&lt;&gt;"",$T947=""),"TANIMSIZ BORÇLU",IF($T947&lt;&gt;"",IF(OR($E947="",$G947&lt;=0),"EKSİK",IF($I947="Evet","TAHAKKUK NAKİT OLAMAZ",IF($C947&gt;TODAY(),"İLERİ TARİH","TAHAKKUK"))),IF(AND($D947&lt;&gt;"",$E947&lt;&gt;"",$G947&gt;0,$H947&lt;&gt;"",$I947&lt;&gt;""),IF($C947&gt;TODAY(),"İLERİ TARİH",IF(COUNTIF($W$7:$W$3001,$W947)&gt;1,"MÜKERRER?",IF($AD947&gt;0,"KAPALI DÖNEM",IF($I947="Hayır","ÖDENECEK","UYGUN")))),"EKSİK"))))</f>
        <v/>
      </c>
      <c r="Q947" s="2"/>
      <c r="R947" s="2"/>
      <c r="S947" s="1" t="str">
        <f t="shared" si="44"/>
        <v/>
      </c>
      <c r="T947" s="1" t="str">
        <f>IF(OR($C947="",$D947&lt;&gt;"Gelir",$L947=""),"",IFERROR(INDEX(MUSTERILER!$B$7:$B$156,MATCH($S947,MUSTERILER!$T$7:$T$156,0)),""))</f>
        <v/>
      </c>
      <c r="U947" s="1" t="str">
        <f>IF($T947="","",$T947&amp;"|"&amp;COUNTIFS($T$7:$T947,$T947))</f>
        <v/>
      </c>
      <c r="V947" s="1">
        <f t="shared" si="45"/>
        <v>0</v>
      </c>
      <c r="W947" s="1" t="str">
        <f t="shared" si="46"/>
        <v/>
      </c>
      <c r="X947" s="1"/>
      <c r="Y947" s="1"/>
      <c r="Z947" s="1"/>
      <c r="AA947" s="1"/>
      <c r="AB947" s="1"/>
      <c r="AC947" s="1"/>
      <c r="AD947" s="1">
        <f>IF($C947="",0,SUMPRODUCT((AY_SONU!$O$7:$O$42="Evet")*(AY_SONU!$B$7:$B$42=DATE(YEAR($C947),MONTH($C947),1))))</f>
        <v>0</v>
      </c>
      <c r="AE947" s="1" t="str">
        <f>IF($E947="","",$E947&amp;"|"&amp;COUNTIFS($E$7:$E947,$E947))</f>
        <v/>
      </c>
    </row>
    <row r="948" spans="1:31" ht="18" customHeight="1" x14ac:dyDescent="0.3">
      <c r="A948" s="2"/>
      <c r="B948" s="65" t="str">
        <f>IF($C948="","","GG"&amp;TEXT(ROW()-6,"00000"))</f>
        <v/>
      </c>
      <c r="C948" s="66"/>
      <c r="D948" s="60"/>
      <c r="E948" s="61"/>
      <c r="F948" s="61"/>
      <c r="G948" s="67"/>
      <c r="H948" s="60"/>
      <c r="I948" s="60"/>
      <c r="J948" s="61"/>
      <c r="K948" s="61"/>
      <c r="L948" s="60"/>
      <c r="M948" s="74" t="str">
        <f>IF($C948="","",IF($D948="Gider",$E948,IF($L948&lt;&gt;"",$L948,$H948)))</f>
        <v/>
      </c>
      <c r="N948" s="74" t="str">
        <f>IF($C948="","",IF($D948="Gider",$H948,$E948))</f>
        <v/>
      </c>
      <c r="O948" s="73" t="str">
        <f>IF($C948="","",DATE(YEAR($C948),MONTH($C948),1))</f>
        <v/>
      </c>
      <c r="P948" s="65" t="str">
        <f ca="1">IF($C948="","",IF(AND($D948="Gelir",$L948&lt;&gt;"",$T948=""),"TANIMSIZ BORÇLU",IF($T948&lt;&gt;"",IF(OR($E948="",$G948&lt;=0),"EKSİK",IF($I948="Evet","TAHAKKUK NAKİT OLAMAZ",IF($C948&gt;TODAY(),"İLERİ TARİH","TAHAKKUK"))),IF(AND($D948&lt;&gt;"",$E948&lt;&gt;"",$G948&gt;0,$H948&lt;&gt;"",$I948&lt;&gt;""),IF($C948&gt;TODAY(),"İLERİ TARİH",IF(COUNTIF($W$7:$W$3001,$W948)&gt;1,"MÜKERRER?",IF($AD948&gt;0,"KAPALI DÖNEM",IF($I948="Hayır","ÖDENECEK","UYGUN")))),"EKSİK"))))</f>
        <v/>
      </c>
      <c r="Q948" s="2"/>
      <c r="R948" s="2"/>
      <c r="S948" s="1" t="str">
        <f t="shared" si="44"/>
        <v/>
      </c>
      <c r="T948" s="1" t="str">
        <f>IF(OR($C948="",$D948&lt;&gt;"Gelir",$L948=""),"",IFERROR(INDEX(MUSTERILER!$B$7:$B$156,MATCH($S948,MUSTERILER!$T$7:$T$156,0)),""))</f>
        <v/>
      </c>
      <c r="U948" s="1" t="str">
        <f>IF($T948="","",$T948&amp;"|"&amp;COUNTIFS($T$7:$T948,$T948))</f>
        <v/>
      </c>
      <c r="V948" s="1">
        <f t="shared" si="45"/>
        <v>0</v>
      </c>
      <c r="W948" s="1" t="str">
        <f t="shared" si="46"/>
        <v/>
      </c>
      <c r="X948" s="1"/>
      <c r="Y948" s="1"/>
      <c r="Z948" s="1"/>
      <c r="AA948" s="1"/>
      <c r="AB948" s="1"/>
      <c r="AC948" s="1"/>
      <c r="AD948" s="1">
        <f>IF($C948="",0,SUMPRODUCT((AY_SONU!$O$7:$O$42="Evet")*(AY_SONU!$B$7:$B$42=DATE(YEAR($C948),MONTH($C948),1))))</f>
        <v>0</v>
      </c>
      <c r="AE948" s="1" t="str">
        <f>IF($E948="","",$E948&amp;"|"&amp;COUNTIFS($E$7:$E948,$E948))</f>
        <v/>
      </c>
    </row>
    <row r="949" spans="1:31" ht="18" customHeight="1" x14ac:dyDescent="0.3">
      <c r="A949" s="2"/>
      <c r="B949" s="65" t="str">
        <f>IF($C949="","","GG"&amp;TEXT(ROW()-6,"00000"))</f>
        <v/>
      </c>
      <c r="C949" s="66"/>
      <c r="D949" s="60"/>
      <c r="E949" s="61"/>
      <c r="F949" s="61"/>
      <c r="G949" s="67"/>
      <c r="H949" s="60"/>
      <c r="I949" s="60"/>
      <c r="J949" s="61"/>
      <c r="K949" s="61"/>
      <c r="L949" s="60"/>
      <c r="M949" s="74" t="str">
        <f>IF($C949="","",IF($D949="Gider",$E949,IF($L949&lt;&gt;"",$L949,$H949)))</f>
        <v/>
      </c>
      <c r="N949" s="74" t="str">
        <f>IF($C949="","",IF($D949="Gider",$H949,$E949))</f>
        <v/>
      </c>
      <c r="O949" s="73" t="str">
        <f>IF($C949="","",DATE(YEAR($C949),MONTH($C949),1))</f>
        <v/>
      </c>
      <c r="P949" s="65" t="str">
        <f ca="1">IF($C949="","",IF(AND($D949="Gelir",$L949&lt;&gt;"",$T949=""),"TANIMSIZ BORÇLU",IF($T949&lt;&gt;"",IF(OR($E949="",$G949&lt;=0),"EKSİK",IF($I949="Evet","TAHAKKUK NAKİT OLAMAZ",IF($C949&gt;TODAY(),"İLERİ TARİH","TAHAKKUK"))),IF(AND($D949&lt;&gt;"",$E949&lt;&gt;"",$G949&gt;0,$H949&lt;&gt;"",$I949&lt;&gt;""),IF($C949&gt;TODAY(),"İLERİ TARİH",IF(COUNTIF($W$7:$W$3001,$W949)&gt;1,"MÜKERRER?",IF($AD949&gt;0,"KAPALI DÖNEM",IF($I949="Hayır","ÖDENECEK","UYGUN")))),"EKSİK"))))</f>
        <v/>
      </c>
      <c r="Q949" s="2"/>
      <c r="R949" s="2"/>
      <c r="S949" s="1" t="str">
        <f t="shared" si="44"/>
        <v/>
      </c>
      <c r="T949" s="1" t="str">
        <f>IF(OR($C949="",$D949&lt;&gt;"Gelir",$L949=""),"",IFERROR(INDEX(MUSTERILER!$B$7:$B$156,MATCH($S949,MUSTERILER!$T$7:$T$156,0)),""))</f>
        <v/>
      </c>
      <c r="U949" s="1" t="str">
        <f>IF($T949="","",$T949&amp;"|"&amp;COUNTIFS($T$7:$T949,$T949))</f>
        <v/>
      </c>
      <c r="V949" s="1">
        <f t="shared" si="45"/>
        <v>0</v>
      </c>
      <c r="W949" s="1" t="str">
        <f t="shared" si="46"/>
        <v/>
      </c>
      <c r="X949" s="1"/>
      <c r="Y949" s="1"/>
      <c r="Z949" s="1"/>
      <c r="AA949" s="1"/>
      <c r="AB949" s="1"/>
      <c r="AC949" s="1"/>
      <c r="AD949" s="1">
        <f>IF($C949="",0,SUMPRODUCT((AY_SONU!$O$7:$O$42="Evet")*(AY_SONU!$B$7:$B$42=DATE(YEAR($C949),MONTH($C949),1))))</f>
        <v>0</v>
      </c>
      <c r="AE949" s="1" t="str">
        <f>IF($E949="","",$E949&amp;"|"&amp;COUNTIFS($E$7:$E949,$E949))</f>
        <v/>
      </c>
    </row>
    <row r="950" spans="1:31" ht="18" customHeight="1" x14ac:dyDescent="0.3">
      <c r="A950" s="2"/>
      <c r="B950" s="65" t="str">
        <f>IF($C950="","","GG"&amp;TEXT(ROW()-6,"00000"))</f>
        <v/>
      </c>
      <c r="C950" s="66"/>
      <c r="D950" s="60"/>
      <c r="E950" s="61"/>
      <c r="F950" s="61"/>
      <c r="G950" s="67"/>
      <c r="H950" s="60"/>
      <c r="I950" s="60"/>
      <c r="J950" s="61"/>
      <c r="K950" s="61"/>
      <c r="L950" s="60"/>
      <c r="M950" s="74" t="str">
        <f>IF($C950="","",IF($D950="Gider",$E950,IF($L950&lt;&gt;"",$L950,$H950)))</f>
        <v/>
      </c>
      <c r="N950" s="74" t="str">
        <f>IF($C950="","",IF($D950="Gider",$H950,$E950))</f>
        <v/>
      </c>
      <c r="O950" s="73" t="str">
        <f>IF($C950="","",DATE(YEAR($C950),MONTH($C950),1))</f>
        <v/>
      </c>
      <c r="P950" s="65" t="str">
        <f ca="1">IF($C950="","",IF(AND($D950="Gelir",$L950&lt;&gt;"",$T950=""),"TANIMSIZ BORÇLU",IF($T950&lt;&gt;"",IF(OR($E950="",$G950&lt;=0),"EKSİK",IF($I950="Evet","TAHAKKUK NAKİT OLAMAZ",IF($C950&gt;TODAY(),"İLERİ TARİH","TAHAKKUK"))),IF(AND($D950&lt;&gt;"",$E950&lt;&gt;"",$G950&gt;0,$H950&lt;&gt;"",$I950&lt;&gt;""),IF($C950&gt;TODAY(),"İLERİ TARİH",IF(COUNTIF($W$7:$W$3001,$W950)&gt;1,"MÜKERRER?",IF($AD950&gt;0,"KAPALI DÖNEM",IF($I950="Hayır","ÖDENECEK","UYGUN")))),"EKSİK"))))</f>
        <v/>
      </c>
      <c r="Q950" s="2"/>
      <c r="R950" s="2"/>
      <c r="S950" s="1" t="str">
        <f t="shared" si="44"/>
        <v/>
      </c>
      <c r="T950" s="1" t="str">
        <f>IF(OR($C950="",$D950&lt;&gt;"Gelir",$L950=""),"",IFERROR(INDEX(MUSTERILER!$B$7:$B$156,MATCH($S950,MUSTERILER!$T$7:$T$156,0)),""))</f>
        <v/>
      </c>
      <c r="U950" s="1" t="str">
        <f>IF($T950="","",$T950&amp;"|"&amp;COUNTIFS($T$7:$T950,$T950))</f>
        <v/>
      </c>
      <c r="V950" s="1">
        <f t="shared" si="45"/>
        <v>0</v>
      </c>
      <c r="W950" s="1" t="str">
        <f t="shared" si="46"/>
        <v/>
      </c>
      <c r="X950" s="1"/>
      <c r="Y950" s="1"/>
      <c r="Z950" s="1"/>
      <c r="AA950" s="1"/>
      <c r="AB950" s="1"/>
      <c r="AC950" s="1"/>
      <c r="AD950" s="1">
        <f>IF($C950="",0,SUMPRODUCT((AY_SONU!$O$7:$O$42="Evet")*(AY_SONU!$B$7:$B$42=DATE(YEAR($C950),MONTH($C950),1))))</f>
        <v>0</v>
      </c>
      <c r="AE950" s="1" t="str">
        <f>IF($E950="","",$E950&amp;"|"&amp;COUNTIFS($E$7:$E950,$E950))</f>
        <v/>
      </c>
    </row>
    <row r="951" spans="1:31" ht="18" customHeight="1" x14ac:dyDescent="0.3">
      <c r="A951" s="2"/>
      <c r="B951" s="65" t="str">
        <f>IF($C951="","","GG"&amp;TEXT(ROW()-6,"00000"))</f>
        <v/>
      </c>
      <c r="C951" s="66"/>
      <c r="D951" s="60"/>
      <c r="E951" s="61"/>
      <c r="F951" s="61"/>
      <c r="G951" s="67"/>
      <c r="H951" s="60"/>
      <c r="I951" s="60"/>
      <c r="J951" s="61"/>
      <c r="K951" s="61"/>
      <c r="L951" s="60"/>
      <c r="M951" s="74" t="str">
        <f>IF($C951="","",IF($D951="Gider",$E951,IF($L951&lt;&gt;"",$L951,$H951)))</f>
        <v/>
      </c>
      <c r="N951" s="74" t="str">
        <f>IF($C951="","",IF($D951="Gider",$H951,$E951))</f>
        <v/>
      </c>
      <c r="O951" s="73" t="str">
        <f>IF($C951="","",DATE(YEAR($C951),MONTH($C951),1))</f>
        <v/>
      </c>
      <c r="P951" s="65" t="str">
        <f ca="1">IF($C951="","",IF(AND($D951="Gelir",$L951&lt;&gt;"",$T951=""),"TANIMSIZ BORÇLU",IF($T951&lt;&gt;"",IF(OR($E951="",$G951&lt;=0),"EKSİK",IF($I951="Evet","TAHAKKUK NAKİT OLAMAZ",IF($C951&gt;TODAY(),"İLERİ TARİH","TAHAKKUK"))),IF(AND($D951&lt;&gt;"",$E951&lt;&gt;"",$G951&gt;0,$H951&lt;&gt;"",$I951&lt;&gt;""),IF($C951&gt;TODAY(),"İLERİ TARİH",IF(COUNTIF($W$7:$W$3001,$W951)&gt;1,"MÜKERRER?",IF($AD951&gt;0,"KAPALI DÖNEM",IF($I951="Hayır","ÖDENECEK","UYGUN")))),"EKSİK"))))</f>
        <v/>
      </c>
      <c r="Q951" s="2"/>
      <c r="R951" s="2"/>
      <c r="S951" s="1" t="str">
        <f t="shared" si="44"/>
        <v/>
      </c>
      <c r="T951" s="1" t="str">
        <f>IF(OR($C951="",$D951&lt;&gt;"Gelir",$L951=""),"",IFERROR(INDEX(MUSTERILER!$B$7:$B$156,MATCH($S951,MUSTERILER!$T$7:$T$156,0)),""))</f>
        <v/>
      </c>
      <c r="U951" s="1" t="str">
        <f>IF($T951="","",$T951&amp;"|"&amp;COUNTIFS($T$7:$T951,$T951))</f>
        <v/>
      </c>
      <c r="V951" s="1">
        <f t="shared" si="45"/>
        <v>0</v>
      </c>
      <c r="W951" s="1" t="str">
        <f t="shared" si="46"/>
        <v/>
      </c>
      <c r="X951" s="1"/>
      <c r="Y951" s="1"/>
      <c r="Z951" s="1"/>
      <c r="AA951" s="1"/>
      <c r="AB951" s="1"/>
      <c r="AC951" s="1"/>
      <c r="AD951" s="1">
        <f>IF($C951="",0,SUMPRODUCT((AY_SONU!$O$7:$O$42="Evet")*(AY_SONU!$B$7:$B$42=DATE(YEAR($C951),MONTH($C951),1))))</f>
        <v>0</v>
      </c>
      <c r="AE951" s="1" t="str">
        <f>IF($E951="","",$E951&amp;"|"&amp;COUNTIFS($E$7:$E951,$E951))</f>
        <v/>
      </c>
    </row>
    <row r="952" spans="1:31" ht="18" customHeight="1" x14ac:dyDescent="0.3">
      <c r="A952" s="2"/>
      <c r="B952" s="65" t="str">
        <f>IF($C952="","","GG"&amp;TEXT(ROW()-6,"00000"))</f>
        <v/>
      </c>
      <c r="C952" s="66"/>
      <c r="D952" s="60"/>
      <c r="E952" s="61"/>
      <c r="F952" s="61"/>
      <c r="G952" s="67"/>
      <c r="H952" s="60"/>
      <c r="I952" s="60"/>
      <c r="J952" s="61"/>
      <c r="K952" s="61"/>
      <c r="L952" s="60"/>
      <c r="M952" s="74" t="str">
        <f>IF($C952="","",IF($D952="Gider",$E952,IF($L952&lt;&gt;"",$L952,$H952)))</f>
        <v/>
      </c>
      <c r="N952" s="74" t="str">
        <f>IF($C952="","",IF($D952="Gider",$H952,$E952))</f>
        <v/>
      </c>
      <c r="O952" s="73" t="str">
        <f>IF($C952="","",DATE(YEAR($C952),MONTH($C952),1))</f>
        <v/>
      </c>
      <c r="P952" s="65" t="str">
        <f ca="1">IF($C952="","",IF(AND($D952="Gelir",$L952&lt;&gt;"",$T952=""),"TANIMSIZ BORÇLU",IF($T952&lt;&gt;"",IF(OR($E952="",$G952&lt;=0),"EKSİK",IF($I952="Evet","TAHAKKUK NAKİT OLAMAZ",IF($C952&gt;TODAY(),"İLERİ TARİH","TAHAKKUK"))),IF(AND($D952&lt;&gt;"",$E952&lt;&gt;"",$G952&gt;0,$H952&lt;&gt;"",$I952&lt;&gt;""),IF($C952&gt;TODAY(),"İLERİ TARİH",IF(COUNTIF($W$7:$W$3001,$W952)&gt;1,"MÜKERRER?",IF($AD952&gt;0,"KAPALI DÖNEM",IF($I952="Hayır","ÖDENECEK","UYGUN")))),"EKSİK"))))</f>
        <v/>
      </c>
      <c r="Q952" s="2"/>
      <c r="R952" s="2"/>
      <c r="S952" s="1" t="str">
        <f t="shared" si="44"/>
        <v/>
      </c>
      <c r="T952" s="1" t="str">
        <f>IF(OR($C952="",$D952&lt;&gt;"Gelir",$L952=""),"",IFERROR(INDEX(MUSTERILER!$B$7:$B$156,MATCH($S952,MUSTERILER!$T$7:$T$156,0)),""))</f>
        <v/>
      </c>
      <c r="U952" s="1" t="str">
        <f>IF($T952="","",$T952&amp;"|"&amp;COUNTIFS($T$7:$T952,$T952))</f>
        <v/>
      </c>
      <c r="V952" s="1">
        <f t="shared" si="45"/>
        <v>0</v>
      </c>
      <c r="W952" s="1" t="str">
        <f t="shared" si="46"/>
        <v/>
      </c>
      <c r="X952" s="1"/>
      <c r="Y952" s="1"/>
      <c r="Z952" s="1"/>
      <c r="AA952" s="1"/>
      <c r="AB952" s="1"/>
      <c r="AC952" s="1"/>
      <c r="AD952" s="1">
        <f>IF($C952="",0,SUMPRODUCT((AY_SONU!$O$7:$O$42="Evet")*(AY_SONU!$B$7:$B$42=DATE(YEAR($C952),MONTH($C952),1))))</f>
        <v>0</v>
      </c>
      <c r="AE952" s="1" t="str">
        <f>IF($E952="","",$E952&amp;"|"&amp;COUNTIFS($E$7:$E952,$E952))</f>
        <v/>
      </c>
    </row>
    <row r="953" spans="1:31" ht="18" customHeight="1" x14ac:dyDescent="0.3">
      <c r="A953" s="2"/>
      <c r="B953" s="65" t="str">
        <f>IF($C953="","","GG"&amp;TEXT(ROW()-6,"00000"))</f>
        <v/>
      </c>
      <c r="C953" s="66"/>
      <c r="D953" s="60"/>
      <c r="E953" s="61"/>
      <c r="F953" s="61"/>
      <c r="G953" s="67"/>
      <c r="H953" s="60"/>
      <c r="I953" s="60"/>
      <c r="J953" s="61"/>
      <c r="K953" s="61"/>
      <c r="L953" s="60"/>
      <c r="M953" s="74" t="str">
        <f>IF($C953="","",IF($D953="Gider",$E953,IF($L953&lt;&gt;"",$L953,$H953)))</f>
        <v/>
      </c>
      <c r="N953" s="74" t="str">
        <f>IF($C953="","",IF($D953="Gider",$H953,$E953))</f>
        <v/>
      </c>
      <c r="O953" s="73" t="str">
        <f>IF($C953="","",DATE(YEAR($C953),MONTH($C953),1))</f>
        <v/>
      </c>
      <c r="P953" s="65" t="str">
        <f ca="1">IF($C953="","",IF(AND($D953="Gelir",$L953&lt;&gt;"",$T953=""),"TANIMSIZ BORÇLU",IF($T953&lt;&gt;"",IF(OR($E953="",$G953&lt;=0),"EKSİK",IF($I953="Evet","TAHAKKUK NAKİT OLAMAZ",IF($C953&gt;TODAY(),"İLERİ TARİH","TAHAKKUK"))),IF(AND($D953&lt;&gt;"",$E953&lt;&gt;"",$G953&gt;0,$H953&lt;&gt;"",$I953&lt;&gt;""),IF($C953&gt;TODAY(),"İLERİ TARİH",IF(COUNTIF($W$7:$W$3001,$W953)&gt;1,"MÜKERRER?",IF($AD953&gt;0,"KAPALI DÖNEM",IF($I953="Hayır","ÖDENECEK","UYGUN")))),"EKSİK"))))</f>
        <v/>
      </c>
      <c r="Q953" s="2"/>
      <c r="R953" s="2"/>
      <c r="S953" s="1" t="str">
        <f t="shared" si="44"/>
        <v/>
      </c>
      <c r="T953" s="1" t="str">
        <f>IF(OR($C953="",$D953&lt;&gt;"Gelir",$L953=""),"",IFERROR(INDEX(MUSTERILER!$B$7:$B$156,MATCH($S953,MUSTERILER!$T$7:$T$156,0)),""))</f>
        <v/>
      </c>
      <c r="U953" s="1" t="str">
        <f>IF($T953="","",$T953&amp;"|"&amp;COUNTIFS($T$7:$T953,$T953))</f>
        <v/>
      </c>
      <c r="V953" s="1">
        <f t="shared" si="45"/>
        <v>0</v>
      </c>
      <c r="W953" s="1" t="str">
        <f t="shared" si="46"/>
        <v/>
      </c>
      <c r="X953" s="1"/>
      <c r="Y953" s="1"/>
      <c r="Z953" s="1"/>
      <c r="AA953" s="1"/>
      <c r="AB953" s="1"/>
      <c r="AC953" s="1"/>
      <c r="AD953" s="1">
        <f>IF($C953="",0,SUMPRODUCT((AY_SONU!$O$7:$O$42="Evet")*(AY_SONU!$B$7:$B$42=DATE(YEAR($C953),MONTH($C953),1))))</f>
        <v>0</v>
      </c>
      <c r="AE953" s="1" t="str">
        <f>IF($E953="","",$E953&amp;"|"&amp;COUNTIFS($E$7:$E953,$E953))</f>
        <v/>
      </c>
    </row>
    <row r="954" spans="1:31" ht="18" customHeight="1" x14ac:dyDescent="0.3">
      <c r="A954" s="2"/>
      <c r="B954" s="65" t="str">
        <f>IF($C954="","","GG"&amp;TEXT(ROW()-6,"00000"))</f>
        <v/>
      </c>
      <c r="C954" s="66"/>
      <c r="D954" s="60"/>
      <c r="E954" s="61"/>
      <c r="F954" s="61"/>
      <c r="G954" s="67"/>
      <c r="H954" s="60"/>
      <c r="I954" s="60"/>
      <c r="J954" s="61"/>
      <c r="K954" s="61"/>
      <c r="L954" s="60"/>
      <c r="M954" s="74" t="str">
        <f>IF($C954="","",IF($D954="Gider",$E954,IF($L954&lt;&gt;"",$L954,$H954)))</f>
        <v/>
      </c>
      <c r="N954" s="74" t="str">
        <f>IF($C954="","",IF($D954="Gider",$H954,$E954))</f>
        <v/>
      </c>
      <c r="O954" s="73" t="str">
        <f>IF($C954="","",DATE(YEAR($C954),MONTH($C954),1))</f>
        <v/>
      </c>
      <c r="P954" s="65" t="str">
        <f ca="1">IF($C954="","",IF(AND($D954="Gelir",$L954&lt;&gt;"",$T954=""),"TANIMSIZ BORÇLU",IF($T954&lt;&gt;"",IF(OR($E954="",$G954&lt;=0),"EKSİK",IF($I954="Evet","TAHAKKUK NAKİT OLAMAZ",IF($C954&gt;TODAY(),"İLERİ TARİH","TAHAKKUK"))),IF(AND($D954&lt;&gt;"",$E954&lt;&gt;"",$G954&gt;0,$H954&lt;&gt;"",$I954&lt;&gt;""),IF($C954&gt;TODAY(),"İLERİ TARİH",IF(COUNTIF($W$7:$W$3001,$W954)&gt;1,"MÜKERRER?",IF($AD954&gt;0,"KAPALI DÖNEM",IF($I954="Hayır","ÖDENECEK","UYGUN")))),"EKSİK"))))</f>
        <v/>
      </c>
      <c r="Q954" s="2"/>
      <c r="R954" s="2"/>
      <c r="S954" s="1" t="str">
        <f t="shared" si="44"/>
        <v/>
      </c>
      <c r="T954" s="1" t="str">
        <f>IF(OR($C954="",$D954&lt;&gt;"Gelir",$L954=""),"",IFERROR(INDEX(MUSTERILER!$B$7:$B$156,MATCH($S954,MUSTERILER!$T$7:$T$156,0)),""))</f>
        <v/>
      </c>
      <c r="U954" s="1" t="str">
        <f>IF($T954="","",$T954&amp;"|"&amp;COUNTIFS($T$7:$T954,$T954))</f>
        <v/>
      </c>
      <c r="V954" s="1">
        <f t="shared" si="45"/>
        <v>0</v>
      </c>
      <c r="W954" s="1" t="str">
        <f t="shared" si="46"/>
        <v/>
      </c>
      <c r="X954" s="1"/>
      <c r="Y954" s="1"/>
      <c r="Z954" s="1"/>
      <c r="AA954" s="1"/>
      <c r="AB954" s="1"/>
      <c r="AC954" s="1"/>
      <c r="AD954" s="1">
        <f>IF($C954="",0,SUMPRODUCT((AY_SONU!$O$7:$O$42="Evet")*(AY_SONU!$B$7:$B$42=DATE(YEAR($C954),MONTH($C954),1))))</f>
        <v>0</v>
      </c>
      <c r="AE954" s="1" t="str">
        <f>IF($E954="","",$E954&amp;"|"&amp;COUNTIFS($E$7:$E954,$E954))</f>
        <v/>
      </c>
    </row>
    <row r="955" spans="1:31" ht="18" customHeight="1" x14ac:dyDescent="0.3">
      <c r="A955" s="2"/>
      <c r="B955" s="65" t="str">
        <f>IF($C955="","","GG"&amp;TEXT(ROW()-6,"00000"))</f>
        <v/>
      </c>
      <c r="C955" s="66"/>
      <c r="D955" s="60"/>
      <c r="E955" s="61"/>
      <c r="F955" s="61"/>
      <c r="G955" s="67"/>
      <c r="H955" s="60"/>
      <c r="I955" s="60"/>
      <c r="J955" s="61"/>
      <c r="K955" s="61"/>
      <c r="L955" s="60"/>
      <c r="M955" s="74" t="str">
        <f>IF($C955="","",IF($D955="Gider",$E955,IF($L955&lt;&gt;"",$L955,$H955)))</f>
        <v/>
      </c>
      <c r="N955" s="74" t="str">
        <f>IF($C955="","",IF($D955="Gider",$H955,$E955))</f>
        <v/>
      </c>
      <c r="O955" s="73" t="str">
        <f>IF($C955="","",DATE(YEAR($C955),MONTH($C955),1))</f>
        <v/>
      </c>
      <c r="P955" s="65" t="str">
        <f ca="1">IF($C955="","",IF(AND($D955="Gelir",$L955&lt;&gt;"",$T955=""),"TANIMSIZ BORÇLU",IF($T955&lt;&gt;"",IF(OR($E955="",$G955&lt;=0),"EKSİK",IF($I955="Evet","TAHAKKUK NAKİT OLAMAZ",IF($C955&gt;TODAY(),"İLERİ TARİH","TAHAKKUK"))),IF(AND($D955&lt;&gt;"",$E955&lt;&gt;"",$G955&gt;0,$H955&lt;&gt;"",$I955&lt;&gt;""),IF($C955&gt;TODAY(),"İLERİ TARİH",IF(COUNTIF($W$7:$W$3001,$W955)&gt;1,"MÜKERRER?",IF($AD955&gt;0,"KAPALI DÖNEM",IF($I955="Hayır","ÖDENECEK","UYGUN")))),"EKSİK"))))</f>
        <v/>
      </c>
      <c r="Q955" s="2"/>
      <c r="R955" s="2"/>
      <c r="S955" s="1" t="str">
        <f t="shared" si="44"/>
        <v/>
      </c>
      <c r="T955" s="1" t="str">
        <f>IF(OR($C955="",$D955&lt;&gt;"Gelir",$L955=""),"",IFERROR(INDEX(MUSTERILER!$B$7:$B$156,MATCH($S955,MUSTERILER!$T$7:$T$156,0)),""))</f>
        <v/>
      </c>
      <c r="U955" s="1" t="str">
        <f>IF($T955="","",$T955&amp;"|"&amp;COUNTIFS($T$7:$T955,$T955))</f>
        <v/>
      </c>
      <c r="V955" s="1">
        <f t="shared" si="45"/>
        <v>0</v>
      </c>
      <c r="W955" s="1" t="str">
        <f t="shared" si="46"/>
        <v/>
      </c>
      <c r="X955" s="1"/>
      <c r="Y955" s="1"/>
      <c r="Z955" s="1"/>
      <c r="AA955" s="1"/>
      <c r="AB955" s="1"/>
      <c r="AC955" s="1"/>
      <c r="AD955" s="1">
        <f>IF($C955="",0,SUMPRODUCT((AY_SONU!$O$7:$O$42="Evet")*(AY_SONU!$B$7:$B$42=DATE(YEAR($C955),MONTH($C955),1))))</f>
        <v>0</v>
      </c>
      <c r="AE955" s="1" t="str">
        <f>IF($E955="","",$E955&amp;"|"&amp;COUNTIFS($E$7:$E955,$E955))</f>
        <v/>
      </c>
    </row>
    <row r="956" spans="1:31" ht="18" customHeight="1" x14ac:dyDescent="0.3">
      <c r="A956" s="2"/>
      <c r="B956" s="65" t="str">
        <f>IF($C956="","","GG"&amp;TEXT(ROW()-6,"00000"))</f>
        <v/>
      </c>
      <c r="C956" s="66"/>
      <c r="D956" s="60"/>
      <c r="E956" s="61"/>
      <c r="F956" s="61"/>
      <c r="G956" s="67"/>
      <c r="H956" s="60"/>
      <c r="I956" s="60"/>
      <c r="J956" s="61"/>
      <c r="K956" s="61"/>
      <c r="L956" s="60"/>
      <c r="M956" s="74" t="str">
        <f>IF($C956="","",IF($D956="Gider",$E956,IF($L956&lt;&gt;"",$L956,$H956)))</f>
        <v/>
      </c>
      <c r="N956" s="74" t="str">
        <f>IF($C956="","",IF($D956="Gider",$H956,$E956))</f>
        <v/>
      </c>
      <c r="O956" s="73" t="str">
        <f>IF($C956="","",DATE(YEAR($C956),MONTH($C956),1))</f>
        <v/>
      </c>
      <c r="P956" s="65" t="str">
        <f ca="1">IF($C956="","",IF(AND($D956="Gelir",$L956&lt;&gt;"",$T956=""),"TANIMSIZ BORÇLU",IF($T956&lt;&gt;"",IF(OR($E956="",$G956&lt;=0),"EKSİK",IF($I956="Evet","TAHAKKUK NAKİT OLAMAZ",IF($C956&gt;TODAY(),"İLERİ TARİH","TAHAKKUK"))),IF(AND($D956&lt;&gt;"",$E956&lt;&gt;"",$G956&gt;0,$H956&lt;&gt;"",$I956&lt;&gt;""),IF($C956&gt;TODAY(),"İLERİ TARİH",IF(COUNTIF($W$7:$W$3001,$W956)&gt;1,"MÜKERRER?",IF($AD956&gt;0,"KAPALI DÖNEM",IF($I956="Hayır","ÖDENECEK","UYGUN")))),"EKSİK"))))</f>
        <v/>
      </c>
      <c r="Q956" s="2"/>
      <c r="R956" s="2"/>
      <c r="S956" s="1" t="str">
        <f t="shared" si="44"/>
        <v/>
      </c>
      <c r="T956" s="1" t="str">
        <f>IF(OR($C956="",$D956&lt;&gt;"Gelir",$L956=""),"",IFERROR(INDEX(MUSTERILER!$B$7:$B$156,MATCH($S956,MUSTERILER!$T$7:$T$156,0)),""))</f>
        <v/>
      </c>
      <c r="U956" s="1" t="str">
        <f>IF($T956="","",$T956&amp;"|"&amp;COUNTIFS($T$7:$T956,$T956))</f>
        <v/>
      </c>
      <c r="V956" s="1">
        <f t="shared" si="45"/>
        <v>0</v>
      </c>
      <c r="W956" s="1" t="str">
        <f t="shared" si="46"/>
        <v/>
      </c>
      <c r="X956" s="1"/>
      <c r="Y956" s="1"/>
      <c r="Z956" s="1"/>
      <c r="AA956" s="1"/>
      <c r="AB956" s="1"/>
      <c r="AC956" s="1"/>
      <c r="AD956" s="1">
        <f>IF($C956="",0,SUMPRODUCT((AY_SONU!$O$7:$O$42="Evet")*(AY_SONU!$B$7:$B$42=DATE(YEAR($C956),MONTH($C956),1))))</f>
        <v>0</v>
      </c>
      <c r="AE956" s="1" t="str">
        <f>IF($E956="","",$E956&amp;"|"&amp;COUNTIFS($E$7:$E956,$E956))</f>
        <v/>
      </c>
    </row>
    <row r="957" spans="1:31" ht="18" customHeight="1" x14ac:dyDescent="0.3">
      <c r="A957" s="2"/>
      <c r="B957" s="65" t="str">
        <f>IF($C957="","","GG"&amp;TEXT(ROW()-6,"00000"))</f>
        <v/>
      </c>
      <c r="C957" s="66"/>
      <c r="D957" s="60"/>
      <c r="E957" s="61"/>
      <c r="F957" s="61"/>
      <c r="G957" s="67"/>
      <c r="H957" s="60"/>
      <c r="I957" s="60"/>
      <c r="J957" s="61"/>
      <c r="K957" s="61"/>
      <c r="L957" s="60"/>
      <c r="M957" s="74" t="str">
        <f>IF($C957="","",IF($D957="Gider",$E957,IF($L957&lt;&gt;"",$L957,$H957)))</f>
        <v/>
      </c>
      <c r="N957" s="74" t="str">
        <f>IF($C957="","",IF($D957="Gider",$H957,$E957))</f>
        <v/>
      </c>
      <c r="O957" s="73" t="str">
        <f>IF($C957="","",DATE(YEAR($C957),MONTH($C957),1))</f>
        <v/>
      </c>
      <c r="P957" s="65" t="str">
        <f ca="1">IF($C957="","",IF(AND($D957="Gelir",$L957&lt;&gt;"",$T957=""),"TANIMSIZ BORÇLU",IF($T957&lt;&gt;"",IF(OR($E957="",$G957&lt;=0),"EKSİK",IF($I957="Evet","TAHAKKUK NAKİT OLAMAZ",IF($C957&gt;TODAY(),"İLERİ TARİH","TAHAKKUK"))),IF(AND($D957&lt;&gt;"",$E957&lt;&gt;"",$G957&gt;0,$H957&lt;&gt;"",$I957&lt;&gt;""),IF($C957&gt;TODAY(),"İLERİ TARİH",IF(COUNTIF($W$7:$W$3001,$W957)&gt;1,"MÜKERRER?",IF($AD957&gt;0,"KAPALI DÖNEM",IF($I957="Hayır","ÖDENECEK","UYGUN")))),"EKSİK"))))</f>
        <v/>
      </c>
      <c r="Q957" s="2"/>
      <c r="R957" s="2"/>
      <c r="S957" s="1" t="str">
        <f t="shared" si="44"/>
        <v/>
      </c>
      <c r="T957" s="1" t="str">
        <f>IF(OR($C957="",$D957&lt;&gt;"Gelir",$L957=""),"",IFERROR(INDEX(MUSTERILER!$B$7:$B$156,MATCH($S957,MUSTERILER!$T$7:$T$156,0)),""))</f>
        <v/>
      </c>
      <c r="U957" s="1" t="str">
        <f>IF($T957="","",$T957&amp;"|"&amp;COUNTIFS($T$7:$T957,$T957))</f>
        <v/>
      </c>
      <c r="V957" s="1">
        <f t="shared" si="45"/>
        <v>0</v>
      </c>
      <c r="W957" s="1" t="str">
        <f t="shared" si="46"/>
        <v/>
      </c>
      <c r="X957" s="1"/>
      <c r="Y957" s="1"/>
      <c r="Z957" s="1"/>
      <c r="AA957" s="1"/>
      <c r="AB957" s="1"/>
      <c r="AC957" s="1"/>
      <c r="AD957" s="1">
        <f>IF($C957="",0,SUMPRODUCT((AY_SONU!$O$7:$O$42="Evet")*(AY_SONU!$B$7:$B$42=DATE(YEAR($C957),MONTH($C957),1))))</f>
        <v>0</v>
      </c>
      <c r="AE957" s="1" t="str">
        <f>IF($E957="","",$E957&amp;"|"&amp;COUNTIFS($E$7:$E957,$E957))</f>
        <v/>
      </c>
    </row>
    <row r="958" spans="1:31" ht="18" customHeight="1" x14ac:dyDescent="0.3">
      <c r="A958" s="2"/>
      <c r="B958" s="65" t="str">
        <f>IF($C958="","","GG"&amp;TEXT(ROW()-6,"00000"))</f>
        <v/>
      </c>
      <c r="C958" s="66"/>
      <c r="D958" s="60"/>
      <c r="E958" s="61"/>
      <c r="F958" s="61"/>
      <c r="G958" s="67"/>
      <c r="H958" s="60"/>
      <c r="I958" s="60"/>
      <c r="J958" s="61"/>
      <c r="K958" s="61"/>
      <c r="L958" s="60"/>
      <c r="M958" s="74" t="str">
        <f>IF($C958="","",IF($D958="Gider",$E958,IF($L958&lt;&gt;"",$L958,$H958)))</f>
        <v/>
      </c>
      <c r="N958" s="74" t="str">
        <f>IF($C958="","",IF($D958="Gider",$H958,$E958))</f>
        <v/>
      </c>
      <c r="O958" s="73" t="str">
        <f>IF($C958="","",DATE(YEAR($C958),MONTH($C958),1))</f>
        <v/>
      </c>
      <c r="P958" s="65" t="str">
        <f ca="1">IF($C958="","",IF(AND($D958="Gelir",$L958&lt;&gt;"",$T958=""),"TANIMSIZ BORÇLU",IF($T958&lt;&gt;"",IF(OR($E958="",$G958&lt;=0),"EKSİK",IF($I958="Evet","TAHAKKUK NAKİT OLAMAZ",IF($C958&gt;TODAY(),"İLERİ TARİH","TAHAKKUK"))),IF(AND($D958&lt;&gt;"",$E958&lt;&gt;"",$G958&gt;0,$H958&lt;&gt;"",$I958&lt;&gt;""),IF($C958&gt;TODAY(),"İLERİ TARİH",IF(COUNTIF($W$7:$W$3001,$W958)&gt;1,"MÜKERRER?",IF($AD958&gt;0,"KAPALI DÖNEM",IF($I958="Hayır","ÖDENECEK","UYGUN")))),"EKSİK"))))</f>
        <v/>
      </c>
      <c r="Q958" s="2"/>
      <c r="R958" s="2"/>
      <c r="S958" s="1" t="str">
        <f t="shared" si="44"/>
        <v/>
      </c>
      <c r="T958" s="1" t="str">
        <f>IF(OR($C958="",$D958&lt;&gt;"Gelir",$L958=""),"",IFERROR(INDEX(MUSTERILER!$B$7:$B$156,MATCH($S958,MUSTERILER!$T$7:$T$156,0)),""))</f>
        <v/>
      </c>
      <c r="U958" s="1" t="str">
        <f>IF($T958="","",$T958&amp;"|"&amp;COUNTIFS($T$7:$T958,$T958))</f>
        <v/>
      </c>
      <c r="V958" s="1">
        <f t="shared" si="45"/>
        <v>0</v>
      </c>
      <c r="W958" s="1" t="str">
        <f t="shared" si="46"/>
        <v/>
      </c>
      <c r="X958" s="1"/>
      <c r="Y958" s="1"/>
      <c r="Z958" s="1"/>
      <c r="AA958" s="1"/>
      <c r="AB958" s="1"/>
      <c r="AC958" s="1"/>
      <c r="AD958" s="1">
        <f>IF($C958="",0,SUMPRODUCT((AY_SONU!$O$7:$O$42="Evet")*(AY_SONU!$B$7:$B$42=DATE(YEAR($C958),MONTH($C958),1))))</f>
        <v>0</v>
      </c>
      <c r="AE958" s="1" t="str">
        <f>IF($E958="","",$E958&amp;"|"&amp;COUNTIFS($E$7:$E958,$E958))</f>
        <v/>
      </c>
    </row>
    <row r="959" spans="1:31" ht="18" customHeight="1" x14ac:dyDescent="0.3">
      <c r="A959" s="2"/>
      <c r="B959" s="65" t="str">
        <f>IF($C959="","","GG"&amp;TEXT(ROW()-6,"00000"))</f>
        <v/>
      </c>
      <c r="C959" s="66"/>
      <c r="D959" s="60"/>
      <c r="E959" s="61"/>
      <c r="F959" s="61"/>
      <c r="G959" s="67"/>
      <c r="H959" s="60"/>
      <c r="I959" s="60"/>
      <c r="J959" s="61"/>
      <c r="K959" s="61"/>
      <c r="L959" s="60"/>
      <c r="M959" s="74" t="str">
        <f>IF($C959="","",IF($D959="Gider",$E959,IF($L959&lt;&gt;"",$L959,$H959)))</f>
        <v/>
      </c>
      <c r="N959" s="74" t="str">
        <f>IF($C959="","",IF($D959="Gider",$H959,$E959))</f>
        <v/>
      </c>
      <c r="O959" s="73" t="str">
        <f>IF($C959="","",DATE(YEAR($C959),MONTH($C959),1))</f>
        <v/>
      </c>
      <c r="P959" s="65" t="str">
        <f ca="1">IF($C959="","",IF(AND($D959="Gelir",$L959&lt;&gt;"",$T959=""),"TANIMSIZ BORÇLU",IF($T959&lt;&gt;"",IF(OR($E959="",$G959&lt;=0),"EKSİK",IF($I959="Evet","TAHAKKUK NAKİT OLAMAZ",IF($C959&gt;TODAY(),"İLERİ TARİH","TAHAKKUK"))),IF(AND($D959&lt;&gt;"",$E959&lt;&gt;"",$G959&gt;0,$H959&lt;&gt;"",$I959&lt;&gt;""),IF($C959&gt;TODAY(),"İLERİ TARİH",IF(COUNTIF($W$7:$W$3001,$W959)&gt;1,"MÜKERRER?",IF($AD959&gt;0,"KAPALI DÖNEM",IF($I959="Hayır","ÖDENECEK","UYGUN")))),"EKSİK"))))</f>
        <v/>
      </c>
      <c r="Q959" s="2"/>
      <c r="R959" s="2"/>
      <c r="S959" s="1" t="str">
        <f t="shared" si="44"/>
        <v/>
      </c>
      <c r="T959" s="1" t="str">
        <f>IF(OR($C959="",$D959&lt;&gt;"Gelir",$L959=""),"",IFERROR(INDEX(MUSTERILER!$B$7:$B$156,MATCH($S959,MUSTERILER!$T$7:$T$156,0)),""))</f>
        <v/>
      </c>
      <c r="U959" s="1" t="str">
        <f>IF($T959="","",$T959&amp;"|"&amp;COUNTIFS($T$7:$T959,$T959))</f>
        <v/>
      </c>
      <c r="V959" s="1">
        <f t="shared" si="45"/>
        <v>0</v>
      </c>
      <c r="W959" s="1" t="str">
        <f t="shared" si="46"/>
        <v/>
      </c>
      <c r="X959" s="1"/>
      <c r="Y959" s="1"/>
      <c r="Z959" s="1"/>
      <c r="AA959" s="1"/>
      <c r="AB959" s="1"/>
      <c r="AC959" s="1"/>
      <c r="AD959" s="1">
        <f>IF($C959="",0,SUMPRODUCT((AY_SONU!$O$7:$O$42="Evet")*(AY_SONU!$B$7:$B$42=DATE(YEAR($C959),MONTH($C959),1))))</f>
        <v>0</v>
      </c>
      <c r="AE959" s="1" t="str">
        <f>IF($E959="","",$E959&amp;"|"&amp;COUNTIFS($E$7:$E959,$E959))</f>
        <v/>
      </c>
    </row>
    <row r="960" spans="1:31" ht="18" customHeight="1" x14ac:dyDescent="0.3">
      <c r="A960" s="2"/>
      <c r="B960" s="65" t="str">
        <f>IF($C960="","","GG"&amp;TEXT(ROW()-6,"00000"))</f>
        <v/>
      </c>
      <c r="C960" s="66"/>
      <c r="D960" s="60"/>
      <c r="E960" s="61"/>
      <c r="F960" s="61"/>
      <c r="G960" s="67"/>
      <c r="H960" s="60"/>
      <c r="I960" s="60"/>
      <c r="J960" s="61"/>
      <c r="K960" s="61"/>
      <c r="L960" s="60"/>
      <c r="M960" s="74" t="str">
        <f>IF($C960="","",IF($D960="Gider",$E960,IF($L960&lt;&gt;"",$L960,$H960)))</f>
        <v/>
      </c>
      <c r="N960" s="74" t="str">
        <f>IF($C960="","",IF($D960="Gider",$H960,$E960))</f>
        <v/>
      </c>
      <c r="O960" s="73" t="str">
        <f>IF($C960="","",DATE(YEAR($C960),MONTH($C960),1))</f>
        <v/>
      </c>
      <c r="P960" s="65" t="str">
        <f ca="1">IF($C960="","",IF(AND($D960="Gelir",$L960&lt;&gt;"",$T960=""),"TANIMSIZ BORÇLU",IF($T960&lt;&gt;"",IF(OR($E960="",$G960&lt;=0),"EKSİK",IF($I960="Evet","TAHAKKUK NAKİT OLAMAZ",IF($C960&gt;TODAY(),"İLERİ TARİH","TAHAKKUK"))),IF(AND($D960&lt;&gt;"",$E960&lt;&gt;"",$G960&gt;0,$H960&lt;&gt;"",$I960&lt;&gt;""),IF($C960&gt;TODAY(),"İLERİ TARİH",IF(COUNTIF($W$7:$W$3001,$W960)&gt;1,"MÜKERRER?",IF($AD960&gt;0,"KAPALI DÖNEM",IF($I960="Hayır","ÖDENECEK","UYGUN")))),"EKSİK"))))</f>
        <v/>
      </c>
      <c r="Q960" s="2"/>
      <c r="R960" s="2"/>
      <c r="S960" s="1" t="str">
        <f t="shared" si="44"/>
        <v/>
      </c>
      <c r="T960" s="1" t="str">
        <f>IF(OR($C960="",$D960&lt;&gt;"Gelir",$L960=""),"",IFERROR(INDEX(MUSTERILER!$B$7:$B$156,MATCH($S960,MUSTERILER!$T$7:$T$156,0)),""))</f>
        <v/>
      </c>
      <c r="U960" s="1" t="str">
        <f>IF($T960="","",$T960&amp;"|"&amp;COUNTIFS($T$7:$T960,$T960))</f>
        <v/>
      </c>
      <c r="V960" s="1">
        <f t="shared" si="45"/>
        <v>0</v>
      </c>
      <c r="W960" s="1" t="str">
        <f t="shared" si="46"/>
        <v/>
      </c>
      <c r="X960" s="1"/>
      <c r="Y960" s="1"/>
      <c r="Z960" s="1"/>
      <c r="AA960" s="1"/>
      <c r="AB960" s="1"/>
      <c r="AC960" s="1"/>
      <c r="AD960" s="1">
        <f>IF($C960="",0,SUMPRODUCT((AY_SONU!$O$7:$O$42="Evet")*(AY_SONU!$B$7:$B$42=DATE(YEAR($C960),MONTH($C960),1))))</f>
        <v>0</v>
      </c>
      <c r="AE960" s="1" t="str">
        <f>IF($E960="","",$E960&amp;"|"&amp;COUNTIFS($E$7:$E960,$E960))</f>
        <v/>
      </c>
    </row>
    <row r="961" spans="1:31" ht="18" customHeight="1" x14ac:dyDescent="0.3">
      <c r="A961" s="2"/>
      <c r="B961" s="65" t="str">
        <f>IF($C961="","","GG"&amp;TEXT(ROW()-6,"00000"))</f>
        <v/>
      </c>
      <c r="C961" s="66"/>
      <c r="D961" s="60"/>
      <c r="E961" s="61"/>
      <c r="F961" s="61"/>
      <c r="G961" s="67"/>
      <c r="H961" s="60"/>
      <c r="I961" s="60"/>
      <c r="J961" s="61"/>
      <c r="K961" s="61"/>
      <c r="L961" s="60"/>
      <c r="M961" s="74" t="str">
        <f>IF($C961="","",IF($D961="Gider",$E961,IF($L961&lt;&gt;"",$L961,$H961)))</f>
        <v/>
      </c>
      <c r="N961" s="74" t="str">
        <f>IF($C961="","",IF($D961="Gider",$H961,$E961))</f>
        <v/>
      </c>
      <c r="O961" s="73" t="str">
        <f>IF($C961="","",DATE(YEAR($C961),MONTH($C961),1))</f>
        <v/>
      </c>
      <c r="P961" s="65" t="str">
        <f ca="1">IF($C961="","",IF(AND($D961="Gelir",$L961&lt;&gt;"",$T961=""),"TANIMSIZ BORÇLU",IF($T961&lt;&gt;"",IF(OR($E961="",$G961&lt;=0),"EKSİK",IF($I961="Evet","TAHAKKUK NAKİT OLAMAZ",IF($C961&gt;TODAY(),"İLERİ TARİH","TAHAKKUK"))),IF(AND($D961&lt;&gt;"",$E961&lt;&gt;"",$G961&gt;0,$H961&lt;&gt;"",$I961&lt;&gt;""),IF($C961&gt;TODAY(),"İLERİ TARİH",IF(COUNTIF($W$7:$W$3001,$W961)&gt;1,"MÜKERRER?",IF($AD961&gt;0,"KAPALI DÖNEM",IF($I961="Hayır","ÖDENECEK","UYGUN")))),"EKSİK"))))</f>
        <v/>
      </c>
      <c r="Q961" s="2"/>
      <c r="R961" s="2"/>
      <c r="S961" s="1" t="str">
        <f t="shared" si="44"/>
        <v/>
      </c>
      <c r="T961" s="1" t="str">
        <f>IF(OR($C961="",$D961&lt;&gt;"Gelir",$L961=""),"",IFERROR(INDEX(MUSTERILER!$B$7:$B$156,MATCH($S961,MUSTERILER!$T$7:$T$156,0)),""))</f>
        <v/>
      </c>
      <c r="U961" s="1" t="str">
        <f>IF($T961="","",$T961&amp;"|"&amp;COUNTIFS($T$7:$T961,$T961))</f>
        <v/>
      </c>
      <c r="V961" s="1">
        <f t="shared" si="45"/>
        <v>0</v>
      </c>
      <c r="W961" s="1" t="str">
        <f t="shared" si="46"/>
        <v/>
      </c>
      <c r="X961" s="1"/>
      <c r="Y961" s="1"/>
      <c r="Z961" s="1"/>
      <c r="AA961" s="1"/>
      <c r="AB961" s="1"/>
      <c r="AC961" s="1"/>
      <c r="AD961" s="1">
        <f>IF($C961="",0,SUMPRODUCT((AY_SONU!$O$7:$O$42="Evet")*(AY_SONU!$B$7:$B$42=DATE(YEAR($C961),MONTH($C961),1))))</f>
        <v>0</v>
      </c>
      <c r="AE961" s="1" t="str">
        <f>IF($E961="","",$E961&amp;"|"&amp;COUNTIFS($E$7:$E961,$E961))</f>
        <v/>
      </c>
    </row>
    <row r="962" spans="1:31" ht="18" customHeight="1" x14ac:dyDescent="0.3">
      <c r="A962" s="2"/>
      <c r="B962" s="65" t="str">
        <f>IF($C962="","","GG"&amp;TEXT(ROW()-6,"00000"))</f>
        <v/>
      </c>
      <c r="C962" s="66"/>
      <c r="D962" s="60"/>
      <c r="E962" s="61"/>
      <c r="F962" s="61"/>
      <c r="G962" s="67"/>
      <c r="H962" s="60"/>
      <c r="I962" s="60"/>
      <c r="J962" s="61"/>
      <c r="K962" s="61"/>
      <c r="L962" s="60"/>
      <c r="M962" s="74" t="str">
        <f>IF($C962="","",IF($D962="Gider",$E962,IF($L962&lt;&gt;"",$L962,$H962)))</f>
        <v/>
      </c>
      <c r="N962" s="74" t="str">
        <f>IF($C962="","",IF($D962="Gider",$H962,$E962))</f>
        <v/>
      </c>
      <c r="O962" s="73" t="str">
        <f>IF($C962="","",DATE(YEAR($C962),MONTH($C962),1))</f>
        <v/>
      </c>
      <c r="P962" s="65" t="str">
        <f ca="1">IF($C962="","",IF(AND($D962="Gelir",$L962&lt;&gt;"",$T962=""),"TANIMSIZ BORÇLU",IF($T962&lt;&gt;"",IF(OR($E962="",$G962&lt;=0),"EKSİK",IF($I962="Evet","TAHAKKUK NAKİT OLAMAZ",IF($C962&gt;TODAY(),"İLERİ TARİH","TAHAKKUK"))),IF(AND($D962&lt;&gt;"",$E962&lt;&gt;"",$G962&gt;0,$H962&lt;&gt;"",$I962&lt;&gt;""),IF($C962&gt;TODAY(),"İLERİ TARİH",IF(COUNTIF($W$7:$W$3001,$W962)&gt;1,"MÜKERRER?",IF($AD962&gt;0,"KAPALI DÖNEM",IF($I962="Hayır","ÖDENECEK","UYGUN")))),"EKSİK"))))</f>
        <v/>
      </c>
      <c r="Q962" s="2"/>
      <c r="R962" s="2"/>
      <c r="S962" s="1" t="str">
        <f t="shared" si="44"/>
        <v/>
      </c>
      <c r="T962" s="1" t="str">
        <f>IF(OR($C962="",$D962&lt;&gt;"Gelir",$L962=""),"",IFERROR(INDEX(MUSTERILER!$B$7:$B$156,MATCH($S962,MUSTERILER!$T$7:$T$156,0)),""))</f>
        <v/>
      </c>
      <c r="U962" s="1" t="str">
        <f>IF($T962="","",$T962&amp;"|"&amp;COUNTIFS($T$7:$T962,$T962))</f>
        <v/>
      </c>
      <c r="V962" s="1">
        <f t="shared" si="45"/>
        <v>0</v>
      </c>
      <c r="W962" s="1" t="str">
        <f t="shared" si="46"/>
        <v/>
      </c>
      <c r="X962" s="1"/>
      <c r="Y962" s="1"/>
      <c r="Z962" s="1"/>
      <c r="AA962" s="1"/>
      <c r="AB962" s="1"/>
      <c r="AC962" s="1"/>
      <c r="AD962" s="1">
        <f>IF($C962="",0,SUMPRODUCT((AY_SONU!$O$7:$O$42="Evet")*(AY_SONU!$B$7:$B$42=DATE(YEAR($C962),MONTH($C962),1))))</f>
        <v>0</v>
      </c>
      <c r="AE962" s="1" t="str">
        <f>IF($E962="","",$E962&amp;"|"&amp;COUNTIFS($E$7:$E962,$E962))</f>
        <v/>
      </c>
    </row>
    <row r="963" spans="1:31" ht="18" customHeight="1" x14ac:dyDescent="0.3">
      <c r="A963" s="2"/>
      <c r="B963" s="65" t="str">
        <f>IF($C963="","","GG"&amp;TEXT(ROW()-6,"00000"))</f>
        <v/>
      </c>
      <c r="C963" s="66"/>
      <c r="D963" s="60"/>
      <c r="E963" s="61"/>
      <c r="F963" s="61"/>
      <c r="G963" s="67"/>
      <c r="H963" s="60"/>
      <c r="I963" s="60"/>
      <c r="J963" s="61"/>
      <c r="K963" s="61"/>
      <c r="L963" s="60"/>
      <c r="M963" s="74" t="str">
        <f>IF($C963="","",IF($D963="Gider",$E963,IF($L963&lt;&gt;"",$L963,$H963)))</f>
        <v/>
      </c>
      <c r="N963" s="74" t="str">
        <f>IF($C963="","",IF($D963="Gider",$H963,$E963))</f>
        <v/>
      </c>
      <c r="O963" s="73" t="str">
        <f>IF($C963="","",DATE(YEAR($C963),MONTH($C963),1))</f>
        <v/>
      </c>
      <c r="P963" s="65" t="str">
        <f ca="1">IF($C963="","",IF(AND($D963="Gelir",$L963&lt;&gt;"",$T963=""),"TANIMSIZ BORÇLU",IF($T963&lt;&gt;"",IF(OR($E963="",$G963&lt;=0),"EKSİK",IF($I963="Evet","TAHAKKUK NAKİT OLAMAZ",IF($C963&gt;TODAY(),"İLERİ TARİH","TAHAKKUK"))),IF(AND($D963&lt;&gt;"",$E963&lt;&gt;"",$G963&gt;0,$H963&lt;&gt;"",$I963&lt;&gt;""),IF($C963&gt;TODAY(),"İLERİ TARİH",IF(COUNTIF($W$7:$W$3001,$W963)&gt;1,"MÜKERRER?",IF($AD963&gt;0,"KAPALI DÖNEM",IF($I963="Hayır","ÖDENECEK","UYGUN")))),"EKSİK"))))</f>
        <v/>
      </c>
      <c r="Q963" s="2"/>
      <c r="R963" s="2"/>
      <c r="S963" s="1" t="str">
        <f t="shared" si="44"/>
        <v/>
      </c>
      <c r="T963" s="1" t="str">
        <f>IF(OR($C963="",$D963&lt;&gt;"Gelir",$L963=""),"",IFERROR(INDEX(MUSTERILER!$B$7:$B$156,MATCH($S963,MUSTERILER!$T$7:$T$156,0)),""))</f>
        <v/>
      </c>
      <c r="U963" s="1" t="str">
        <f>IF($T963="","",$T963&amp;"|"&amp;COUNTIFS($T$7:$T963,$T963))</f>
        <v/>
      </c>
      <c r="V963" s="1">
        <f t="shared" si="45"/>
        <v>0</v>
      </c>
      <c r="W963" s="1" t="str">
        <f t="shared" si="46"/>
        <v/>
      </c>
      <c r="X963" s="1"/>
      <c r="Y963" s="1"/>
      <c r="Z963" s="1"/>
      <c r="AA963" s="1"/>
      <c r="AB963" s="1"/>
      <c r="AC963" s="1"/>
      <c r="AD963" s="1">
        <f>IF($C963="",0,SUMPRODUCT((AY_SONU!$O$7:$O$42="Evet")*(AY_SONU!$B$7:$B$42=DATE(YEAR($C963),MONTH($C963),1))))</f>
        <v>0</v>
      </c>
      <c r="AE963" s="1" t="str">
        <f>IF($E963="","",$E963&amp;"|"&amp;COUNTIFS($E$7:$E963,$E963))</f>
        <v/>
      </c>
    </row>
    <row r="964" spans="1:31" ht="18" customHeight="1" x14ac:dyDescent="0.3">
      <c r="A964" s="2"/>
      <c r="B964" s="65" t="str">
        <f>IF($C964="","","GG"&amp;TEXT(ROW()-6,"00000"))</f>
        <v/>
      </c>
      <c r="C964" s="66"/>
      <c r="D964" s="60"/>
      <c r="E964" s="61"/>
      <c r="F964" s="61"/>
      <c r="G964" s="67"/>
      <c r="H964" s="60"/>
      <c r="I964" s="60"/>
      <c r="J964" s="61"/>
      <c r="K964" s="61"/>
      <c r="L964" s="60"/>
      <c r="M964" s="74" t="str">
        <f>IF($C964="","",IF($D964="Gider",$E964,IF($L964&lt;&gt;"",$L964,$H964)))</f>
        <v/>
      </c>
      <c r="N964" s="74" t="str">
        <f>IF($C964="","",IF($D964="Gider",$H964,$E964))</f>
        <v/>
      </c>
      <c r="O964" s="73" t="str">
        <f>IF($C964="","",DATE(YEAR($C964),MONTH($C964),1))</f>
        <v/>
      </c>
      <c r="P964" s="65" t="str">
        <f ca="1">IF($C964="","",IF(AND($D964="Gelir",$L964&lt;&gt;"",$T964=""),"TANIMSIZ BORÇLU",IF($T964&lt;&gt;"",IF(OR($E964="",$G964&lt;=0),"EKSİK",IF($I964="Evet","TAHAKKUK NAKİT OLAMAZ",IF($C964&gt;TODAY(),"İLERİ TARİH","TAHAKKUK"))),IF(AND($D964&lt;&gt;"",$E964&lt;&gt;"",$G964&gt;0,$H964&lt;&gt;"",$I964&lt;&gt;""),IF($C964&gt;TODAY(),"İLERİ TARİH",IF(COUNTIF($W$7:$W$3001,$W964)&gt;1,"MÜKERRER?",IF($AD964&gt;0,"KAPALI DÖNEM",IF($I964="Hayır","ÖDENECEK","UYGUN")))),"EKSİK"))))</f>
        <v/>
      </c>
      <c r="Q964" s="2"/>
      <c r="R964" s="2"/>
      <c r="S964" s="1" t="str">
        <f t="shared" si="44"/>
        <v/>
      </c>
      <c r="T964" s="1" t="str">
        <f>IF(OR($C964="",$D964&lt;&gt;"Gelir",$L964=""),"",IFERROR(INDEX(MUSTERILER!$B$7:$B$156,MATCH($S964,MUSTERILER!$T$7:$T$156,0)),""))</f>
        <v/>
      </c>
      <c r="U964" s="1" t="str">
        <f>IF($T964="","",$T964&amp;"|"&amp;COUNTIFS($T$7:$T964,$T964))</f>
        <v/>
      </c>
      <c r="V964" s="1">
        <f t="shared" si="45"/>
        <v>0</v>
      </c>
      <c r="W964" s="1" t="str">
        <f t="shared" si="46"/>
        <v/>
      </c>
      <c r="X964" s="1"/>
      <c r="Y964" s="1"/>
      <c r="Z964" s="1"/>
      <c r="AA964" s="1"/>
      <c r="AB964" s="1"/>
      <c r="AC964" s="1"/>
      <c r="AD964" s="1">
        <f>IF($C964="",0,SUMPRODUCT((AY_SONU!$O$7:$O$42="Evet")*(AY_SONU!$B$7:$B$42=DATE(YEAR($C964),MONTH($C964),1))))</f>
        <v>0</v>
      </c>
      <c r="AE964" s="1" t="str">
        <f>IF($E964="","",$E964&amp;"|"&amp;COUNTIFS($E$7:$E964,$E964))</f>
        <v/>
      </c>
    </row>
    <row r="965" spans="1:31" ht="18" customHeight="1" x14ac:dyDescent="0.3">
      <c r="A965" s="2"/>
      <c r="B965" s="65" t="str">
        <f>IF($C965="","","GG"&amp;TEXT(ROW()-6,"00000"))</f>
        <v/>
      </c>
      <c r="C965" s="66"/>
      <c r="D965" s="60"/>
      <c r="E965" s="61"/>
      <c r="F965" s="61"/>
      <c r="G965" s="67"/>
      <c r="H965" s="60"/>
      <c r="I965" s="60"/>
      <c r="J965" s="61"/>
      <c r="K965" s="61"/>
      <c r="L965" s="60"/>
      <c r="M965" s="74" t="str">
        <f>IF($C965="","",IF($D965="Gider",$E965,IF($L965&lt;&gt;"",$L965,$H965)))</f>
        <v/>
      </c>
      <c r="N965" s="74" t="str">
        <f>IF($C965="","",IF($D965="Gider",$H965,$E965))</f>
        <v/>
      </c>
      <c r="O965" s="73" t="str">
        <f>IF($C965="","",DATE(YEAR($C965),MONTH($C965),1))</f>
        <v/>
      </c>
      <c r="P965" s="65" t="str">
        <f ca="1">IF($C965="","",IF(AND($D965="Gelir",$L965&lt;&gt;"",$T965=""),"TANIMSIZ BORÇLU",IF($T965&lt;&gt;"",IF(OR($E965="",$G965&lt;=0),"EKSİK",IF($I965="Evet","TAHAKKUK NAKİT OLAMAZ",IF($C965&gt;TODAY(),"İLERİ TARİH","TAHAKKUK"))),IF(AND($D965&lt;&gt;"",$E965&lt;&gt;"",$G965&gt;0,$H965&lt;&gt;"",$I965&lt;&gt;""),IF($C965&gt;TODAY(),"İLERİ TARİH",IF(COUNTIF($W$7:$W$3001,$W965)&gt;1,"MÜKERRER?",IF($AD965&gt;0,"KAPALI DÖNEM",IF($I965="Hayır","ÖDENECEK","UYGUN")))),"EKSİK"))))</f>
        <v/>
      </c>
      <c r="Q965" s="2"/>
      <c r="R965" s="2"/>
      <c r="S965" s="1" t="str">
        <f t="shared" ref="S965:S1028" si="47"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1" t="str">
        <f>IF(OR($C965="",$D965&lt;&gt;"Gelir",$L965=""),"",IFERROR(INDEX(MUSTERILER!$B$7:$B$156,MATCH($S965,MUSTERILER!$T$7:$T$156,0)),""))</f>
        <v/>
      </c>
      <c r="U965" s="1" t="str">
        <f>IF($T965="","",$T965&amp;"|"&amp;COUNTIFS($T$7:$T965,$T965))</f>
        <v/>
      </c>
      <c r="V965" s="1">
        <f t="shared" ref="V965:V1028" si="48">IF($T965="",0,1)</f>
        <v>0</v>
      </c>
      <c r="W965" s="1" t="str">
        <f t="shared" ref="W965:W1028" si="49">IF($C965="","",$D965&amp;"|"&amp;$E965&amp;"|"&amp;TEXT($C965,"0")&amp;"|"&amp;TEXT($G965,"0")&amp;"|"&amp;$F965&amp;"|"&amp;$J965)</f>
        <v/>
      </c>
      <c r="X965" s="1"/>
      <c r="Y965" s="1"/>
      <c r="Z965" s="1"/>
      <c r="AA965" s="1"/>
      <c r="AB965" s="1"/>
      <c r="AC965" s="1"/>
      <c r="AD965" s="1">
        <f>IF($C965="",0,SUMPRODUCT((AY_SONU!$O$7:$O$42="Evet")*(AY_SONU!$B$7:$B$42=DATE(YEAR($C965),MONTH($C965),1))))</f>
        <v>0</v>
      </c>
      <c r="AE965" s="1" t="str">
        <f>IF($E965="","",$E965&amp;"|"&amp;COUNTIFS($E$7:$E965,$E965))</f>
        <v/>
      </c>
    </row>
    <row r="966" spans="1:31" ht="18" customHeight="1" x14ac:dyDescent="0.3">
      <c r="A966" s="2"/>
      <c r="B966" s="65" t="str">
        <f>IF($C966="","","GG"&amp;TEXT(ROW()-6,"00000"))</f>
        <v/>
      </c>
      <c r="C966" s="66"/>
      <c r="D966" s="60"/>
      <c r="E966" s="61"/>
      <c r="F966" s="61"/>
      <c r="G966" s="67"/>
      <c r="H966" s="60"/>
      <c r="I966" s="60"/>
      <c r="J966" s="61"/>
      <c r="K966" s="61"/>
      <c r="L966" s="60"/>
      <c r="M966" s="74" t="str">
        <f>IF($C966="","",IF($D966="Gider",$E966,IF($L966&lt;&gt;"",$L966,$H966)))</f>
        <v/>
      </c>
      <c r="N966" s="74" t="str">
        <f>IF($C966="","",IF($D966="Gider",$H966,$E966))</f>
        <v/>
      </c>
      <c r="O966" s="73" t="str">
        <f>IF($C966="","",DATE(YEAR($C966),MONTH($C966),1))</f>
        <v/>
      </c>
      <c r="P966" s="65" t="str">
        <f ca="1">IF($C966="","",IF(AND($D966="Gelir",$L966&lt;&gt;"",$T966=""),"TANIMSIZ BORÇLU",IF($T966&lt;&gt;"",IF(OR($E966="",$G966&lt;=0),"EKSİK",IF($I966="Evet","TAHAKKUK NAKİT OLAMAZ",IF($C966&gt;TODAY(),"İLERİ TARİH","TAHAKKUK"))),IF(AND($D966&lt;&gt;"",$E966&lt;&gt;"",$G966&gt;0,$H966&lt;&gt;"",$I966&lt;&gt;""),IF($C966&gt;TODAY(),"İLERİ TARİH",IF(COUNTIF($W$7:$W$3001,$W966)&gt;1,"MÜKERRER?",IF($AD966&gt;0,"KAPALI DÖNEM",IF($I966="Hayır","ÖDENECEK","UYGUN")))),"EKSİK"))))</f>
        <v/>
      </c>
      <c r="Q966" s="2"/>
      <c r="R966" s="2"/>
      <c r="S966" s="1" t="str">
        <f t="shared" si="47"/>
        <v/>
      </c>
      <c r="T966" s="1" t="str">
        <f>IF(OR($C966="",$D966&lt;&gt;"Gelir",$L966=""),"",IFERROR(INDEX(MUSTERILER!$B$7:$B$156,MATCH($S966,MUSTERILER!$T$7:$T$156,0)),""))</f>
        <v/>
      </c>
      <c r="U966" s="1" t="str">
        <f>IF($T966="","",$T966&amp;"|"&amp;COUNTIFS($T$7:$T966,$T966))</f>
        <v/>
      </c>
      <c r="V966" s="1">
        <f t="shared" si="48"/>
        <v>0</v>
      </c>
      <c r="W966" s="1" t="str">
        <f t="shared" si="49"/>
        <v/>
      </c>
      <c r="X966" s="1"/>
      <c r="Y966" s="1"/>
      <c r="Z966" s="1"/>
      <c r="AA966" s="1"/>
      <c r="AB966" s="1"/>
      <c r="AC966" s="1"/>
      <c r="AD966" s="1">
        <f>IF($C966="",0,SUMPRODUCT((AY_SONU!$O$7:$O$42="Evet")*(AY_SONU!$B$7:$B$42=DATE(YEAR($C966),MONTH($C966),1))))</f>
        <v>0</v>
      </c>
      <c r="AE966" s="1" t="str">
        <f>IF($E966="","",$E966&amp;"|"&amp;COUNTIFS($E$7:$E966,$E966))</f>
        <v/>
      </c>
    </row>
    <row r="967" spans="1:31" ht="18" customHeight="1" x14ac:dyDescent="0.3">
      <c r="A967" s="2"/>
      <c r="B967" s="65" t="str">
        <f>IF($C967="","","GG"&amp;TEXT(ROW()-6,"00000"))</f>
        <v/>
      </c>
      <c r="C967" s="66"/>
      <c r="D967" s="60"/>
      <c r="E967" s="61"/>
      <c r="F967" s="61"/>
      <c r="G967" s="67"/>
      <c r="H967" s="60"/>
      <c r="I967" s="60"/>
      <c r="J967" s="61"/>
      <c r="K967" s="61"/>
      <c r="L967" s="60"/>
      <c r="M967" s="74" t="str">
        <f>IF($C967="","",IF($D967="Gider",$E967,IF($L967&lt;&gt;"",$L967,$H967)))</f>
        <v/>
      </c>
      <c r="N967" s="74" t="str">
        <f>IF($C967="","",IF($D967="Gider",$H967,$E967))</f>
        <v/>
      </c>
      <c r="O967" s="73" t="str">
        <f>IF($C967="","",DATE(YEAR($C967),MONTH($C967),1))</f>
        <v/>
      </c>
      <c r="P967" s="65" t="str">
        <f ca="1"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TARİH",IF(COUNTIF($W$7:$W$3001,$W967)&gt;1,"MÜKERRER?",IF($AD967&gt;0,"KAPALI DÖNEM",IF($I967="Hayır","ÖDENECEK","UYGUN")))),"EKSİK"))))</f>
        <v/>
      </c>
      <c r="Q967" s="2"/>
      <c r="R967" s="2"/>
      <c r="S967" s="1" t="str">
        <f t="shared" si="47"/>
        <v/>
      </c>
      <c r="T967" s="1" t="str">
        <f>IF(OR($C967="",$D967&lt;&gt;"Gelir",$L967=""),"",IFERROR(INDEX(MUSTERILER!$B$7:$B$156,MATCH($S967,MUSTERILER!$T$7:$T$156,0)),""))</f>
        <v/>
      </c>
      <c r="U967" s="1" t="str">
        <f>IF($T967="","",$T967&amp;"|"&amp;COUNTIFS($T$7:$T967,$T967))</f>
        <v/>
      </c>
      <c r="V967" s="1">
        <f t="shared" si="48"/>
        <v>0</v>
      </c>
      <c r="W967" s="1" t="str">
        <f t="shared" si="49"/>
        <v/>
      </c>
      <c r="X967" s="1"/>
      <c r="Y967" s="1"/>
      <c r="Z967" s="1"/>
      <c r="AA967" s="1"/>
      <c r="AB967" s="1"/>
      <c r="AC967" s="1"/>
      <c r="AD967" s="1">
        <f>IF($C967="",0,SUMPRODUCT((AY_SONU!$O$7:$O$42="Evet")*(AY_SONU!$B$7:$B$42=DATE(YEAR($C967),MONTH($C967),1))))</f>
        <v>0</v>
      </c>
      <c r="AE967" s="1" t="str">
        <f>IF($E967="","",$E967&amp;"|"&amp;COUNTIFS($E$7:$E967,$E967))</f>
        <v/>
      </c>
    </row>
    <row r="968" spans="1:31" ht="18" customHeight="1" x14ac:dyDescent="0.3">
      <c r="A968" s="2"/>
      <c r="B968" s="65" t="str">
        <f>IF($C968="","","GG"&amp;TEXT(ROW()-6,"00000"))</f>
        <v/>
      </c>
      <c r="C968" s="66"/>
      <c r="D968" s="60"/>
      <c r="E968" s="61"/>
      <c r="F968" s="61"/>
      <c r="G968" s="67"/>
      <c r="H968" s="60"/>
      <c r="I968" s="60"/>
      <c r="J968" s="61"/>
      <c r="K968" s="61"/>
      <c r="L968" s="60"/>
      <c r="M968" s="74" t="str">
        <f>IF($C968="","",IF($D968="Gider",$E968,IF($L968&lt;&gt;"",$L968,$H968)))</f>
        <v/>
      </c>
      <c r="N968" s="74" t="str">
        <f>IF($C968="","",IF($D968="Gider",$H968,$E968))</f>
        <v/>
      </c>
      <c r="O968" s="73" t="str">
        <f>IF($C968="","",DATE(YEAR($C968),MONTH($C968),1))</f>
        <v/>
      </c>
      <c r="P968" s="65" t="str">
        <f ca="1">IF($C968="","",IF(AND($D968="Gelir",$L968&lt;&gt;"",$T968=""),"TANIMSIZ BORÇLU",IF($T968&lt;&gt;"",IF(OR($E968="",$G968&lt;=0),"EKSİK",IF($I968="Evet","TAHAKKUK NAKİT OLAMAZ",IF($C968&gt;TODAY(),"İLERİ TARİH","TAHAKKUK"))),IF(AND($D968&lt;&gt;"",$E968&lt;&gt;"",$G968&gt;0,$H968&lt;&gt;"",$I968&lt;&gt;""),IF($C968&gt;TODAY(),"İLERİ TARİH",IF(COUNTIF($W$7:$W$3001,$W968)&gt;1,"MÜKERRER?",IF($AD968&gt;0,"KAPALI DÖNEM",IF($I968="Hayır","ÖDENECEK","UYGUN")))),"EKSİK"))))</f>
        <v/>
      </c>
      <c r="Q968" s="2"/>
      <c r="R968" s="2"/>
      <c r="S968" s="1" t="str">
        <f t="shared" si="47"/>
        <v/>
      </c>
      <c r="T968" s="1" t="str">
        <f>IF(OR($C968="",$D968&lt;&gt;"Gelir",$L968=""),"",IFERROR(INDEX(MUSTERILER!$B$7:$B$156,MATCH($S968,MUSTERILER!$T$7:$T$156,0)),""))</f>
        <v/>
      </c>
      <c r="U968" s="1" t="str">
        <f>IF($T968="","",$T968&amp;"|"&amp;COUNTIFS($T$7:$T968,$T968))</f>
        <v/>
      </c>
      <c r="V968" s="1">
        <f t="shared" si="48"/>
        <v>0</v>
      </c>
      <c r="W968" s="1" t="str">
        <f t="shared" si="49"/>
        <v/>
      </c>
      <c r="X968" s="1"/>
      <c r="Y968" s="1"/>
      <c r="Z968" s="1"/>
      <c r="AA968" s="1"/>
      <c r="AB968" s="1"/>
      <c r="AC968" s="1"/>
      <c r="AD968" s="1">
        <f>IF($C968="",0,SUMPRODUCT((AY_SONU!$O$7:$O$42="Evet")*(AY_SONU!$B$7:$B$42=DATE(YEAR($C968),MONTH($C968),1))))</f>
        <v>0</v>
      </c>
      <c r="AE968" s="1" t="str">
        <f>IF($E968="","",$E968&amp;"|"&amp;COUNTIFS($E$7:$E968,$E968))</f>
        <v/>
      </c>
    </row>
    <row r="969" spans="1:31" ht="18" customHeight="1" x14ac:dyDescent="0.3">
      <c r="A969" s="2"/>
      <c r="B969" s="65" t="str">
        <f>IF($C969="","","GG"&amp;TEXT(ROW()-6,"00000"))</f>
        <v/>
      </c>
      <c r="C969" s="66"/>
      <c r="D969" s="60"/>
      <c r="E969" s="61"/>
      <c r="F969" s="61"/>
      <c r="G969" s="67"/>
      <c r="H969" s="60"/>
      <c r="I969" s="60"/>
      <c r="J969" s="61"/>
      <c r="K969" s="61"/>
      <c r="L969" s="60"/>
      <c r="M969" s="74" t="str">
        <f>IF($C969="","",IF($D969="Gider",$E969,IF($L969&lt;&gt;"",$L969,$H969)))</f>
        <v/>
      </c>
      <c r="N969" s="74" t="str">
        <f>IF($C969="","",IF($D969="Gider",$H969,$E969))</f>
        <v/>
      </c>
      <c r="O969" s="73" t="str">
        <f>IF($C969="","",DATE(YEAR($C969),MONTH($C969),1))</f>
        <v/>
      </c>
      <c r="P969" s="65" t="str">
        <f ca="1">IF($C969="","",IF(AND($D969="Gelir",$L969&lt;&gt;"",$T969=""),"TANIMSIZ BORÇLU",IF($T969&lt;&gt;"",IF(OR($E969="",$G969&lt;=0),"EKSİK",IF($I969="Evet","TAHAKKUK NAKİT OLAMAZ",IF($C969&gt;TODAY(),"İLERİ TARİH","TAHAKKUK"))),IF(AND($D969&lt;&gt;"",$E969&lt;&gt;"",$G969&gt;0,$H969&lt;&gt;"",$I969&lt;&gt;""),IF($C969&gt;TODAY(),"İLERİ TARİH",IF(COUNTIF($W$7:$W$3001,$W969)&gt;1,"MÜKERRER?",IF($AD969&gt;0,"KAPALI DÖNEM",IF($I969="Hayır","ÖDENECEK","UYGUN")))),"EKSİK"))))</f>
        <v/>
      </c>
      <c r="Q969" s="2"/>
      <c r="R969" s="2"/>
      <c r="S969" s="1" t="str">
        <f t="shared" si="47"/>
        <v/>
      </c>
      <c r="T969" s="1" t="str">
        <f>IF(OR($C969="",$D969&lt;&gt;"Gelir",$L969=""),"",IFERROR(INDEX(MUSTERILER!$B$7:$B$156,MATCH($S969,MUSTERILER!$T$7:$T$156,0)),""))</f>
        <v/>
      </c>
      <c r="U969" s="1" t="str">
        <f>IF($T969="","",$T969&amp;"|"&amp;COUNTIFS($T$7:$T969,$T969))</f>
        <v/>
      </c>
      <c r="V969" s="1">
        <f t="shared" si="48"/>
        <v>0</v>
      </c>
      <c r="W969" s="1" t="str">
        <f t="shared" si="49"/>
        <v/>
      </c>
      <c r="X969" s="1"/>
      <c r="Y969" s="1"/>
      <c r="Z969" s="1"/>
      <c r="AA969" s="1"/>
      <c r="AB969" s="1"/>
      <c r="AC969" s="1"/>
      <c r="AD969" s="1">
        <f>IF($C969="",0,SUMPRODUCT((AY_SONU!$O$7:$O$42="Evet")*(AY_SONU!$B$7:$B$42=DATE(YEAR($C969),MONTH($C969),1))))</f>
        <v>0</v>
      </c>
      <c r="AE969" s="1" t="str">
        <f>IF($E969="","",$E969&amp;"|"&amp;COUNTIFS($E$7:$E969,$E969))</f>
        <v/>
      </c>
    </row>
    <row r="970" spans="1:31" ht="18" customHeight="1" x14ac:dyDescent="0.3">
      <c r="A970" s="2"/>
      <c r="B970" s="65" t="str">
        <f>IF($C970="","","GG"&amp;TEXT(ROW()-6,"00000"))</f>
        <v/>
      </c>
      <c r="C970" s="66"/>
      <c r="D970" s="60"/>
      <c r="E970" s="61"/>
      <c r="F970" s="61"/>
      <c r="G970" s="67"/>
      <c r="H970" s="60"/>
      <c r="I970" s="60"/>
      <c r="J970" s="61"/>
      <c r="K970" s="61"/>
      <c r="L970" s="60"/>
      <c r="M970" s="74" t="str">
        <f>IF($C970="","",IF($D970="Gider",$E970,IF($L970&lt;&gt;"",$L970,$H970)))</f>
        <v/>
      </c>
      <c r="N970" s="74" t="str">
        <f>IF($C970="","",IF($D970="Gider",$H970,$E970))</f>
        <v/>
      </c>
      <c r="O970" s="73" t="str">
        <f>IF($C970="","",DATE(YEAR($C970),MONTH($C970),1))</f>
        <v/>
      </c>
      <c r="P970" s="65" t="str">
        <f ca="1">IF($C970="","",IF(AND($D970="Gelir",$L970&lt;&gt;"",$T970=""),"TANIMSIZ BORÇLU",IF($T970&lt;&gt;"",IF(OR($E970="",$G970&lt;=0),"EKSİK",IF($I970="Evet","TAHAKKUK NAKİT OLAMAZ",IF($C970&gt;TODAY(),"İLERİ TARİH","TAHAKKUK"))),IF(AND($D970&lt;&gt;"",$E970&lt;&gt;"",$G970&gt;0,$H970&lt;&gt;"",$I970&lt;&gt;""),IF($C970&gt;TODAY(),"İLERİ TARİH",IF(COUNTIF($W$7:$W$3001,$W970)&gt;1,"MÜKERRER?",IF($AD970&gt;0,"KAPALI DÖNEM",IF($I970="Hayır","ÖDENECEK","UYGUN")))),"EKSİK"))))</f>
        <v/>
      </c>
      <c r="Q970" s="2"/>
      <c r="R970" s="2"/>
      <c r="S970" s="1" t="str">
        <f t="shared" si="47"/>
        <v/>
      </c>
      <c r="T970" s="1" t="str">
        <f>IF(OR($C970="",$D970&lt;&gt;"Gelir",$L970=""),"",IFERROR(INDEX(MUSTERILER!$B$7:$B$156,MATCH($S970,MUSTERILER!$T$7:$T$156,0)),""))</f>
        <v/>
      </c>
      <c r="U970" s="1" t="str">
        <f>IF($T970="","",$T970&amp;"|"&amp;COUNTIFS($T$7:$T970,$T970))</f>
        <v/>
      </c>
      <c r="V970" s="1">
        <f t="shared" si="48"/>
        <v>0</v>
      </c>
      <c r="W970" s="1" t="str">
        <f t="shared" si="49"/>
        <v/>
      </c>
      <c r="X970" s="1"/>
      <c r="Y970" s="1"/>
      <c r="Z970" s="1"/>
      <c r="AA970" s="1"/>
      <c r="AB970" s="1"/>
      <c r="AC970" s="1"/>
      <c r="AD970" s="1">
        <f>IF($C970="",0,SUMPRODUCT((AY_SONU!$O$7:$O$42="Evet")*(AY_SONU!$B$7:$B$42=DATE(YEAR($C970),MONTH($C970),1))))</f>
        <v>0</v>
      </c>
      <c r="AE970" s="1" t="str">
        <f>IF($E970="","",$E970&amp;"|"&amp;COUNTIFS($E$7:$E970,$E970))</f>
        <v/>
      </c>
    </row>
    <row r="971" spans="1:31" ht="18" customHeight="1" x14ac:dyDescent="0.3">
      <c r="A971" s="2"/>
      <c r="B971" s="65" t="str">
        <f>IF($C971="","","GG"&amp;TEXT(ROW()-6,"00000"))</f>
        <v/>
      </c>
      <c r="C971" s="66"/>
      <c r="D971" s="60"/>
      <c r="E971" s="61"/>
      <c r="F971" s="61"/>
      <c r="G971" s="67"/>
      <c r="H971" s="60"/>
      <c r="I971" s="60"/>
      <c r="J971" s="61"/>
      <c r="K971" s="61"/>
      <c r="L971" s="60"/>
      <c r="M971" s="74" t="str">
        <f>IF($C971="","",IF($D971="Gider",$E971,IF($L971&lt;&gt;"",$L971,$H971)))</f>
        <v/>
      </c>
      <c r="N971" s="74" t="str">
        <f>IF($C971="","",IF($D971="Gider",$H971,$E971))</f>
        <v/>
      </c>
      <c r="O971" s="73" t="str">
        <f>IF($C971="","",DATE(YEAR($C971),MONTH($C971),1))</f>
        <v/>
      </c>
      <c r="P971" s="65" t="str">
        <f ca="1">IF($C971="","",IF(AND($D971="Gelir",$L971&lt;&gt;"",$T971=""),"TANIMSIZ BORÇLU",IF($T971&lt;&gt;"",IF(OR($E971="",$G971&lt;=0),"EKSİK",IF($I971="Evet","TAHAKKUK NAKİT OLAMAZ",IF($C971&gt;TODAY(),"İLERİ TARİH","TAHAKKUK"))),IF(AND($D971&lt;&gt;"",$E971&lt;&gt;"",$G971&gt;0,$H971&lt;&gt;"",$I971&lt;&gt;""),IF($C971&gt;TODAY(),"İLERİ TARİH",IF(COUNTIF($W$7:$W$3001,$W971)&gt;1,"MÜKERRER?",IF($AD971&gt;0,"KAPALI DÖNEM",IF($I971="Hayır","ÖDENECEK","UYGUN")))),"EKSİK"))))</f>
        <v/>
      </c>
      <c r="Q971" s="2"/>
      <c r="R971" s="2"/>
      <c r="S971" s="1" t="str">
        <f t="shared" si="47"/>
        <v/>
      </c>
      <c r="T971" s="1" t="str">
        <f>IF(OR($C971="",$D971&lt;&gt;"Gelir",$L971=""),"",IFERROR(INDEX(MUSTERILER!$B$7:$B$156,MATCH($S971,MUSTERILER!$T$7:$T$156,0)),""))</f>
        <v/>
      </c>
      <c r="U971" s="1" t="str">
        <f>IF($T971="","",$T971&amp;"|"&amp;COUNTIFS($T$7:$T971,$T971))</f>
        <v/>
      </c>
      <c r="V971" s="1">
        <f t="shared" si="48"/>
        <v>0</v>
      </c>
      <c r="W971" s="1" t="str">
        <f t="shared" si="49"/>
        <v/>
      </c>
      <c r="X971" s="1"/>
      <c r="Y971" s="1"/>
      <c r="Z971" s="1"/>
      <c r="AA971" s="1"/>
      <c r="AB971" s="1"/>
      <c r="AC971" s="1"/>
      <c r="AD971" s="1">
        <f>IF($C971="",0,SUMPRODUCT((AY_SONU!$O$7:$O$42="Evet")*(AY_SONU!$B$7:$B$42=DATE(YEAR($C971),MONTH($C971),1))))</f>
        <v>0</v>
      </c>
      <c r="AE971" s="1" t="str">
        <f>IF($E971="","",$E971&amp;"|"&amp;COUNTIFS($E$7:$E971,$E971))</f>
        <v/>
      </c>
    </row>
    <row r="972" spans="1:31" ht="18" customHeight="1" x14ac:dyDescent="0.3">
      <c r="A972" s="2"/>
      <c r="B972" s="65" t="str">
        <f>IF($C972="","","GG"&amp;TEXT(ROW()-6,"00000"))</f>
        <v/>
      </c>
      <c r="C972" s="66"/>
      <c r="D972" s="60"/>
      <c r="E972" s="61"/>
      <c r="F972" s="61"/>
      <c r="G972" s="67"/>
      <c r="H972" s="60"/>
      <c r="I972" s="60"/>
      <c r="J972" s="61"/>
      <c r="K972" s="61"/>
      <c r="L972" s="60"/>
      <c r="M972" s="74" t="str">
        <f>IF($C972="","",IF($D972="Gider",$E972,IF($L972&lt;&gt;"",$L972,$H972)))</f>
        <v/>
      </c>
      <c r="N972" s="74" t="str">
        <f>IF($C972="","",IF($D972="Gider",$H972,$E972))</f>
        <v/>
      </c>
      <c r="O972" s="73" t="str">
        <f>IF($C972="","",DATE(YEAR($C972),MONTH($C972),1))</f>
        <v/>
      </c>
      <c r="P972" s="65" t="str">
        <f ca="1">IF($C972="","",IF(AND($D972="Gelir",$L972&lt;&gt;"",$T972=""),"TANIMSIZ BORÇLU",IF($T972&lt;&gt;"",IF(OR($E972="",$G972&lt;=0),"EKSİK",IF($I972="Evet","TAHAKKUK NAKİT OLAMAZ",IF($C972&gt;TODAY(),"İLERİ TARİH","TAHAKKUK"))),IF(AND($D972&lt;&gt;"",$E972&lt;&gt;"",$G972&gt;0,$H972&lt;&gt;"",$I972&lt;&gt;""),IF($C972&gt;TODAY(),"İLERİ TARİH",IF(COUNTIF($W$7:$W$3001,$W972)&gt;1,"MÜKERRER?",IF($AD972&gt;0,"KAPALI DÖNEM",IF($I972="Hayır","ÖDENECEK","UYGUN")))),"EKSİK"))))</f>
        <v/>
      </c>
      <c r="Q972" s="2"/>
      <c r="R972" s="2"/>
      <c r="S972" s="1" t="str">
        <f t="shared" si="47"/>
        <v/>
      </c>
      <c r="T972" s="1" t="str">
        <f>IF(OR($C972="",$D972&lt;&gt;"Gelir",$L972=""),"",IFERROR(INDEX(MUSTERILER!$B$7:$B$156,MATCH($S972,MUSTERILER!$T$7:$T$156,0)),""))</f>
        <v/>
      </c>
      <c r="U972" s="1" t="str">
        <f>IF($T972="","",$T972&amp;"|"&amp;COUNTIFS($T$7:$T972,$T972))</f>
        <v/>
      </c>
      <c r="V972" s="1">
        <f t="shared" si="48"/>
        <v>0</v>
      </c>
      <c r="W972" s="1" t="str">
        <f t="shared" si="49"/>
        <v/>
      </c>
      <c r="X972" s="1"/>
      <c r="Y972" s="1"/>
      <c r="Z972" s="1"/>
      <c r="AA972" s="1"/>
      <c r="AB972" s="1"/>
      <c r="AC972" s="1"/>
      <c r="AD972" s="1">
        <f>IF($C972="",0,SUMPRODUCT((AY_SONU!$O$7:$O$42="Evet")*(AY_SONU!$B$7:$B$42=DATE(YEAR($C972),MONTH($C972),1))))</f>
        <v>0</v>
      </c>
      <c r="AE972" s="1" t="str">
        <f>IF($E972="","",$E972&amp;"|"&amp;COUNTIFS($E$7:$E972,$E972))</f>
        <v/>
      </c>
    </row>
    <row r="973" spans="1:31" ht="18" customHeight="1" x14ac:dyDescent="0.3">
      <c r="A973" s="2"/>
      <c r="B973" s="65" t="str">
        <f>IF($C973="","","GG"&amp;TEXT(ROW()-6,"00000"))</f>
        <v/>
      </c>
      <c r="C973" s="66"/>
      <c r="D973" s="60"/>
      <c r="E973" s="61"/>
      <c r="F973" s="61"/>
      <c r="G973" s="67"/>
      <c r="H973" s="60"/>
      <c r="I973" s="60"/>
      <c r="J973" s="61"/>
      <c r="K973" s="61"/>
      <c r="L973" s="60"/>
      <c r="M973" s="74" t="str">
        <f>IF($C973="","",IF($D973="Gider",$E973,IF($L973&lt;&gt;"",$L973,$H973)))</f>
        <v/>
      </c>
      <c r="N973" s="74" t="str">
        <f>IF($C973="","",IF($D973="Gider",$H973,$E973))</f>
        <v/>
      </c>
      <c r="O973" s="73" t="str">
        <f>IF($C973="","",DATE(YEAR($C973),MONTH($C973),1))</f>
        <v/>
      </c>
      <c r="P973" s="65" t="str">
        <f ca="1">IF($C973="","",IF(AND($D973="Gelir",$L973&lt;&gt;"",$T973=""),"TANIMSIZ BORÇLU",IF($T973&lt;&gt;"",IF(OR($E973="",$G973&lt;=0),"EKSİK",IF($I973="Evet","TAHAKKUK NAKİT OLAMAZ",IF($C973&gt;TODAY(),"İLERİ TARİH","TAHAKKUK"))),IF(AND($D973&lt;&gt;"",$E973&lt;&gt;"",$G973&gt;0,$H973&lt;&gt;"",$I973&lt;&gt;""),IF($C973&gt;TODAY(),"İLERİ TARİH",IF(COUNTIF($W$7:$W$3001,$W973)&gt;1,"MÜKERRER?",IF($AD973&gt;0,"KAPALI DÖNEM",IF($I973="Hayır","ÖDENECEK","UYGUN")))),"EKSİK"))))</f>
        <v/>
      </c>
      <c r="Q973" s="2"/>
      <c r="R973" s="2"/>
      <c r="S973" s="1" t="str">
        <f t="shared" si="47"/>
        <v/>
      </c>
      <c r="T973" s="1" t="str">
        <f>IF(OR($C973="",$D973&lt;&gt;"Gelir",$L973=""),"",IFERROR(INDEX(MUSTERILER!$B$7:$B$156,MATCH($S973,MUSTERILER!$T$7:$T$156,0)),""))</f>
        <v/>
      </c>
      <c r="U973" s="1" t="str">
        <f>IF($T973="","",$T973&amp;"|"&amp;COUNTIFS($T$7:$T973,$T973))</f>
        <v/>
      </c>
      <c r="V973" s="1">
        <f t="shared" si="48"/>
        <v>0</v>
      </c>
      <c r="W973" s="1" t="str">
        <f t="shared" si="49"/>
        <v/>
      </c>
      <c r="X973" s="1"/>
      <c r="Y973" s="1"/>
      <c r="Z973" s="1"/>
      <c r="AA973" s="1"/>
      <c r="AB973" s="1"/>
      <c r="AC973" s="1"/>
      <c r="AD973" s="1">
        <f>IF($C973="",0,SUMPRODUCT((AY_SONU!$O$7:$O$42="Evet")*(AY_SONU!$B$7:$B$42=DATE(YEAR($C973),MONTH($C973),1))))</f>
        <v>0</v>
      </c>
      <c r="AE973" s="1" t="str">
        <f>IF($E973="","",$E973&amp;"|"&amp;COUNTIFS($E$7:$E973,$E973))</f>
        <v/>
      </c>
    </row>
    <row r="974" spans="1:31" ht="18" customHeight="1" x14ac:dyDescent="0.3">
      <c r="A974" s="2"/>
      <c r="B974" s="65" t="str">
        <f>IF($C974="","","GG"&amp;TEXT(ROW()-6,"00000"))</f>
        <v/>
      </c>
      <c r="C974" s="66"/>
      <c r="D974" s="60"/>
      <c r="E974" s="61"/>
      <c r="F974" s="61"/>
      <c r="G974" s="67"/>
      <c r="H974" s="60"/>
      <c r="I974" s="60"/>
      <c r="J974" s="61"/>
      <c r="K974" s="61"/>
      <c r="L974" s="60"/>
      <c r="M974" s="74" t="str">
        <f>IF($C974="","",IF($D974="Gider",$E974,IF($L974&lt;&gt;"",$L974,$H974)))</f>
        <v/>
      </c>
      <c r="N974" s="74" t="str">
        <f>IF($C974="","",IF($D974="Gider",$H974,$E974))</f>
        <v/>
      </c>
      <c r="O974" s="73" t="str">
        <f>IF($C974="","",DATE(YEAR($C974),MONTH($C974),1))</f>
        <v/>
      </c>
      <c r="P974" s="65" t="str">
        <f ca="1">IF($C974="","",IF(AND($D974="Gelir",$L974&lt;&gt;"",$T974=""),"TANIMSIZ BORÇLU",IF($T974&lt;&gt;"",IF(OR($E974="",$G974&lt;=0),"EKSİK",IF($I974="Evet","TAHAKKUK NAKİT OLAMAZ",IF($C974&gt;TODAY(),"İLERİ TARİH","TAHAKKUK"))),IF(AND($D974&lt;&gt;"",$E974&lt;&gt;"",$G974&gt;0,$H974&lt;&gt;"",$I974&lt;&gt;""),IF($C974&gt;TODAY(),"İLERİ TARİH",IF(COUNTIF($W$7:$W$3001,$W974)&gt;1,"MÜKERRER?",IF($AD974&gt;0,"KAPALI DÖNEM",IF($I974="Hayır","ÖDENECEK","UYGUN")))),"EKSİK"))))</f>
        <v/>
      </c>
      <c r="Q974" s="2"/>
      <c r="R974" s="2"/>
      <c r="S974" s="1" t="str">
        <f t="shared" si="47"/>
        <v/>
      </c>
      <c r="T974" s="1" t="str">
        <f>IF(OR($C974="",$D974&lt;&gt;"Gelir",$L974=""),"",IFERROR(INDEX(MUSTERILER!$B$7:$B$156,MATCH($S974,MUSTERILER!$T$7:$T$156,0)),""))</f>
        <v/>
      </c>
      <c r="U974" s="1" t="str">
        <f>IF($T974="","",$T974&amp;"|"&amp;COUNTIFS($T$7:$T974,$T974))</f>
        <v/>
      </c>
      <c r="V974" s="1">
        <f t="shared" si="48"/>
        <v>0</v>
      </c>
      <c r="W974" s="1" t="str">
        <f t="shared" si="49"/>
        <v/>
      </c>
      <c r="X974" s="1"/>
      <c r="Y974" s="1"/>
      <c r="Z974" s="1"/>
      <c r="AA974" s="1"/>
      <c r="AB974" s="1"/>
      <c r="AC974" s="1"/>
      <c r="AD974" s="1">
        <f>IF($C974="",0,SUMPRODUCT((AY_SONU!$O$7:$O$42="Evet")*(AY_SONU!$B$7:$B$42=DATE(YEAR($C974),MONTH($C974),1))))</f>
        <v>0</v>
      </c>
      <c r="AE974" s="1" t="str">
        <f>IF($E974="","",$E974&amp;"|"&amp;COUNTIFS($E$7:$E974,$E974))</f>
        <v/>
      </c>
    </row>
    <row r="975" spans="1:31" ht="18" customHeight="1" x14ac:dyDescent="0.3">
      <c r="A975" s="2"/>
      <c r="B975" s="65" t="str">
        <f>IF($C975="","","GG"&amp;TEXT(ROW()-6,"00000"))</f>
        <v/>
      </c>
      <c r="C975" s="66"/>
      <c r="D975" s="60"/>
      <c r="E975" s="61"/>
      <c r="F975" s="61"/>
      <c r="G975" s="67"/>
      <c r="H975" s="60"/>
      <c r="I975" s="60"/>
      <c r="J975" s="61"/>
      <c r="K975" s="61"/>
      <c r="L975" s="60"/>
      <c r="M975" s="74" t="str">
        <f>IF($C975="","",IF($D975="Gider",$E975,IF($L975&lt;&gt;"",$L975,$H975)))</f>
        <v/>
      </c>
      <c r="N975" s="74" t="str">
        <f>IF($C975="","",IF($D975="Gider",$H975,$E975))</f>
        <v/>
      </c>
      <c r="O975" s="73" t="str">
        <f>IF($C975="","",DATE(YEAR($C975),MONTH($C975),1))</f>
        <v/>
      </c>
      <c r="P975" s="65" t="str">
        <f ca="1">IF($C975="","",IF(AND($D975="Gelir",$L975&lt;&gt;"",$T975=""),"TANIMSIZ BORÇLU",IF($T975&lt;&gt;"",IF(OR($E975="",$G975&lt;=0),"EKSİK",IF($I975="Evet","TAHAKKUK NAKİT OLAMAZ",IF($C975&gt;TODAY(),"İLERİ TARİH","TAHAKKUK"))),IF(AND($D975&lt;&gt;"",$E975&lt;&gt;"",$G975&gt;0,$H975&lt;&gt;"",$I975&lt;&gt;""),IF($C975&gt;TODAY(),"İLERİ TARİH",IF(COUNTIF($W$7:$W$3001,$W975)&gt;1,"MÜKERRER?",IF($AD975&gt;0,"KAPALI DÖNEM",IF($I975="Hayır","ÖDENECEK","UYGUN")))),"EKSİK"))))</f>
        <v/>
      </c>
      <c r="Q975" s="2"/>
      <c r="R975" s="2"/>
      <c r="S975" s="1" t="str">
        <f t="shared" si="47"/>
        <v/>
      </c>
      <c r="T975" s="1" t="str">
        <f>IF(OR($C975="",$D975&lt;&gt;"Gelir",$L975=""),"",IFERROR(INDEX(MUSTERILER!$B$7:$B$156,MATCH($S975,MUSTERILER!$T$7:$T$156,0)),""))</f>
        <v/>
      </c>
      <c r="U975" s="1" t="str">
        <f>IF($T975="","",$T975&amp;"|"&amp;COUNTIFS($T$7:$T975,$T975))</f>
        <v/>
      </c>
      <c r="V975" s="1">
        <f t="shared" si="48"/>
        <v>0</v>
      </c>
      <c r="W975" s="1" t="str">
        <f t="shared" si="49"/>
        <v/>
      </c>
      <c r="X975" s="1"/>
      <c r="Y975" s="1"/>
      <c r="Z975" s="1"/>
      <c r="AA975" s="1"/>
      <c r="AB975" s="1"/>
      <c r="AC975" s="1"/>
      <c r="AD975" s="1">
        <f>IF($C975="",0,SUMPRODUCT((AY_SONU!$O$7:$O$42="Evet")*(AY_SONU!$B$7:$B$42=DATE(YEAR($C975),MONTH($C975),1))))</f>
        <v>0</v>
      </c>
      <c r="AE975" s="1" t="str">
        <f>IF($E975="","",$E975&amp;"|"&amp;COUNTIFS($E$7:$E975,$E975))</f>
        <v/>
      </c>
    </row>
    <row r="976" spans="1:31" ht="18" customHeight="1" x14ac:dyDescent="0.3">
      <c r="A976" s="2"/>
      <c r="B976" s="65" t="str">
        <f>IF($C976="","","GG"&amp;TEXT(ROW()-6,"00000"))</f>
        <v/>
      </c>
      <c r="C976" s="66"/>
      <c r="D976" s="60"/>
      <c r="E976" s="61"/>
      <c r="F976" s="61"/>
      <c r="G976" s="67"/>
      <c r="H976" s="60"/>
      <c r="I976" s="60"/>
      <c r="J976" s="61"/>
      <c r="K976" s="61"/>
      <c r="L976" s="60"/>
      <c r="M976" s="74" t="str">
        <f>IF($C976="","",IF($D976="Gider",$E976,IF($L976&lt;&gt;"",$L976,$H976)))</f>
        <v/>
      </c>
      <c r="N976" s="74" t="str">
        <f>IF($C976="","",IF($D976="Gider",$H976,$E976))</f>
        <v/>
      </c>
      <c r="O976" s="73" t="str">
        <f>IF($C976="","",DATE(YEAR($C976),MONTH($C976),1))</f>
        <v/>
      </c>
      <c r="P976" s="65" t="str">
        <f ca="1">IF($C976="","",IF(AND($D976="Gelir",$L976&lt;&gt;"",$T976=""),"TANIMSIZ BORÇLU",IF($T976&lt;&gt;"",IF(OR($E976="",$G976&lt;=0),"EKSİK",IF($I976="Evet","TAHAKKUK NAKİT OLAMAZ",IF($C976&gt;TODAY(),"İLERİ TARİH","TAHAKKUK"))),IF(AND($D976&lt;&gt;"",$E976&lt;&gt;"",$G976&gt;0,$H976&lt;&gt;"",$I976&lt;&gt;""),IF($C976&gt;TODAY(),"İLERİ TARİH",IF(COUNTIF($W$7:$W$3001,$W976)&gt;1,"MÜKERRER?",IF($AD976&gt;0,"KAPALI DÖNEM",IF($I976="Hayır","ÖDENECEK","UYGUN")))),"EKSİK"))))</f>
        <v/>
      </c>
      <c r="Q976" s="2"/>
      <c r="R976" s="2"/>
      <c r="S976" s="1" t="str">
        <f t="shared" si="47"/>
        <v/>
      </c>
      <c r="T976" s="1" t="str">
        <f>IF(OR($C976="",$D976&lt;&gt;"Gelir",$L976=""),"",IFERROR(INDEX(MUSTERILER!$B$7:$B$156,MATCH($S976,MUSTERILER!$T$7:$T$156,0)),""))</f>
        <v/>
      </c>
      <c r="U976" s="1" t="str">
        <f>IF($T976="","",$T976&amp;"|"&amp;COUNTIFS($T$7:$T976,$T976))</f>
        <v/>
      </c>
      <c r="V976" s="1">
        <f t="shared" si="48"/>
        <v>0</v>
      </c>
      <c r="W976" s="1" t="str">
        <f t="shared" si="49"/>
        <v/>
      </c>
      <c r="X976" s="1"/>
      <c r="Y976" s="1"/>
      <c r="Z976" s="1"/>
      <c r="AA976" s="1"/>
      <c r="AB976" s="1"/>
      <c r="AC976" s="1"/>
      <c r="AD976" s="1">
        <f>IF($C976="",0,SUMPRODUCT((AY_SONU!$O$7:$O$42="Evet")*(AY_SONU!$B$7:$B$42=DATE(YEAR($C976),MONTH($C976),1))))</f>
        <v>0</v>
      </c>
      <c r="AE976" s="1" t="str">
        <f>IF($E976="","",$E976&amp;"|"&amp;COUNTIFS($E$7:$E976,$E976))</f>
        <v/>
      </c>
    </row>
    <row r="977" spans="1:31" ht="18" customHeight="1" x14ac:dyDescent="0.3">
      <c r="A977" s="2"/>
      <c r="B977" s="65" t="str">
        <f>IF($C977="","","GG"&amp;TEXT(ROW()-6,"00000"))</f>
        <v/>
      </c>
      <c r="C977" s="66"/>
      <c r="D977" s="60"/>
      <c r="E977" s="61"/>
      <c r="F977" s="61"/>
      <c r="G977" s="67"/>
      <c r="H977" s="60"/>
      <c r="I977" s="60"/>
      <c r="J977" s="61"/>
      <c r="K977" s="61"/>
      <c r="L977" s="60"/>
      <c r="M977" s="74" t="str">
        <f>IF($C977="","",IF($D977="Gider",$E977,IF($L977&lt;&gt;"",$L977,$H977)))</f>
        <v/>
      </c>
      <c r="N977" s="74" t="str">
        <f>IF($C977="","",IF($D977="Gider",$H977,$E977))</f>
        <v/>
      </c>
      <c r="O977" s="73" t="str">
        <f>IF($C977="","",DATE(YEAR($C977),MONTH($C977),1))</f>
        <v/>
      </c>
      <c r="P977" s="65" t="str">
        <f ca="1">IF($C977="","",IF(AND($D977="Gelir",$L977&lt;&gt;"",$T977=""),"TANIMSIZ BORÇLU",IF($T977&lt;&gt;"",IF(OR($E977="",$G977&lt;=0),"EKSİK",IF($I977="Evet","TAHAKKUK NAKİT OLAMAZ",IF($C977&gt;TODAY(),"İLERİ TARİH","TAHAKKUK"))),IF(AND($D977&lt;&gt;"",$E977&lt;&gt;"",$G977&gt;0,$H977&lt;&gt;"",$I977&lt;&gt;""),IF($C977&gt;TODAY(),"İLERİ TARİH",IF(COUNTIF($W$7:$W$3001,$W977)&gt;1,"MÜKERRER?",IF($AD977&gt;0,"KAPALI DÖNEM",IF($I977="Hayır","ÖDENECEK","UYGUN")))),"EKSİK"))))</f>
        <v/>
      </c>
      <c r="Q977" s="2"/>
      <c r="R977" s="2"/>
      <c r="S977" s="1" t="str">
        <f t="shared" si="47"/>
        <v/>
      </c>
      <c r="T977" s="1" t="str">
        <f>IF(OR($C977="",$D977&lt;&gt;"Gelir",$L977=""),"",IFERROR(INDEX(MUSTERILER!$B$7:$B$156,MATCH($S977,MUSTERILER!$T$7:$T$156,0)),""))</f>
        <v/>
      </c>
      <c r="U977" s="1" t="str">
        <f>IF($T977="","",$T977&amp;"|"&amp;COUNTIFS($T$7:$T977,$T977))</f>
        <v/>
      </c>
      <c r="V977" s="1">
        <f t="shared" si="48"/>
        <v>0</v>
      </c>
      <c r="W977" s="1" t="str">
        <f t="shared" si="49"/>
        <v/>
      </c>
      <c r="X977" s="1"/>
      <c r="Y977" s="1"/>
      <c r="Z977" s="1"/>
      <c r="AA977" s="1"/>
      <c r="AB977" s="1"/>
      <c r="AC977" s="1"/>
      <c r="AD977" s="1">
        <f>IF($C977="",0,SUMPRODUCT((AY_SONU!$O$7:$O$42="Evet")*(AY_SONU!$B$7:$B$42=DATE(YEAR($C977),MONTH($C977),1))))</f>
        <v>0</v>
      </c>
      <c r="AE977" s="1" t="str">
        <f>IF($E977="","",$E977&amp;"|"&amp;COUNTIFS($E$7:$E977,$E977))</f>
        <v/>
      </c>
    </row>
    <row r="978" spans="1:31" ht="18" customHeight="1" x14ac:dyDescent="0.3">
      <c r="A978" s="2"/>
      <c r="B978" s="65" t="str">
        <f>IF($C978="","","GG"&amp;TEXT(ROW()-6,"00000"))</f>
        <v/>
      </c>
      <c r="C978" s="66"/>
      <c r="D978" s="60"/>
      <c r="E978" s="61"/>
      <c r="F978" s="61"/>
      <c r="G978" s="67"/>
      <c r="H978" s="60"/>
      <c r="I978" s="60"/>
      <c r="J978" s="61"/>
      <c r="K978" s="61"/>
      <c r="L978" s="60"/>
      <c r="M978" s="74" t="str">
        <f>IF($C978="","",IF($D978="Gider",$E978,IF($L978&lt;&gt;"",$L978,$H978)))</f>
        <v/>
      </c>
      <c r="N978" s="74" t="str">
        <f>IF($C978="","",IF($D978="Gider",$H978,$E978))</f>
        <v/>
      </c>
      <c r="O978" s="73" t="str">
        <f>IF($C978="","",DATE(YEAR($C978),MONTH($C978),1))</f>
        <v/>
      </c>
      <c r="P978" s="65" t="str">
        <f ca="1">IF($C978="","",IF(AND($D978="Gelir",$L978&lt;&gt;"",$T978=""),"TANIMSIZ BORÇLU",IF($T978&lt;&gt;"",IF(OR($E978="",$G978&lt;=0),"EKSİK",IF($I978="Evet","TAHAKKUK NAKİT OLAMAZ",IF($C978&gt;TODAY(),"İLERİ TARİH","TAHAKKUK"))),IF(AND($D978&lt;&gt;"",$E978&lt;&gt;"",$G978&gt;0,$H978&lt;&gt;"",$I978&lt;&gt;""),IF($C978&gt;TODAY(),"İLERİ TARİH",IF(COUNTIF($W$7:$W$3001,$W978)&gt;1,"MÜKERRER?",IF($AD978&gt;0,"KAPALI DÖNEM",IF($I978="Hayır","ÖDENECEK","UYGUN")))),"EKSİK"))))</f>
        <v/>
      </c>
      <c r="Q978" s="2"/>
      <c r="R978" s="2"/>
      <c r="S978" s="1" t="str">
        <f t="shared" si="47"/>
        <v/>
      </c>
      <c r="T978" s="1" t="str">
        <f>IF(OR($C978="",$D978&lt;&gt;"Gelir",$L978=""),"",IFERROR(INDEX(MUSTERILER!$B$7:$B$156,MATCH($S978,MUSTERILER!$T$7:$T$156,0)),""))</f>
        <v/>
      </c>
      <c r="U978" s="1" t="str">
        <f>IF($T978="","",$T978&amp;"|"&amp;COUNTIFS($T$7:$T978,$T978))</f>
        <v/>
      </c>
      <c r="V978" s="1">
        <f t="shared" si="48"/>
        <v>0</v>
      </c>
      <c r="W978" s="1" t="str">
        <f t="shared" si="49"/>
        <v/>
      </c>
      <c r="X978" s="1"/>
      <c r="Y978" s="1"/>
      <c r="Z978" s="1"/>
      <c r="AA978" s="1"/>
      <c r="AB978" s="1"/>
      <c r="AC978" s="1"/>
      <c r="AD978" s="1">
        <f>IF($C978="",0,SUMPRODUCT((AY_SONU!$O$7:$O$42="Evet")*(AY_SONU!$B$7:$B$42=DATE(YEAR($C978),MONTH($C978),1))))</f>
        <v>0</v>
      </c>
      <c r="AE978" s="1" t="str">
        <f>IF($E978="","",$E978&amp;"|"&amp;COUNTIFS($E$7:$E978,$E978))</f>
        <v/>
      </c>
    </row>
    <row r="979" spans="1:31" ht="18" customHeight="1" x14ac:dyDescent="0.3">
      <c r="A979" s="2"/>
      <c r="B979" s="65" t="str">
        <f>IF($C979="","","GG"&amp;TEXT(ROW()-6,"00000"))</f>
        <v/>
      </c>
      <c r="C979" s="66"/>
      <c r="D979" s="60"/>
      <c r="E979" s="61"/>
      <c r="F979" s="61"/>
      <c r="G979" s="67"/>
      <c r="H979" s="60"/>
      <c r="I979" s="60"/>
      <c r="J979" s="61"/>
      <c r="K979" s="61"/>
      <c r="L979" s="60"/>
      <c r="M979" s="74" t="str">
        <f>IF($C979="","",IF($D979="Gider",$E979,IF($L979&lt;&gt;"",$L979,$H979)))</f>
        <v/>
      </c>
      <c r="N979" s="74" t="str">
        <f>IF($C979="","",IF($D979="Gider",$H979,$E979))</f>
        <v/>
      </c>
      <c r="O979" s="73" t="str">
        <f>IF($C979="","",DATE(YEAR($C979),MONTH($C979),1))</f>
        <v/>
      </c>
      <c r="P979" s="65" t="str">
        <f ca="1">IF($C979="","",IF(AND($D979="Gelir",$L979&lt;&gt;"",$T979=""),"TANIMSIZ BORÇLU",IF($T979&lt;&gt;"",IF(OR($E979="",$G979&lt;=0),"EKSİK",IF($I979="Evet","TAHAKKUK NAKİT OLAMAZ",IF($C979&gt;TODAY(),"İLERİ TARİH","TAHAKKUK"))),IF(AND($D979&lt;&gt;"",$E979&lt;&gt;"",$G979&gt;0,$H979&lt;&gt;"",$I979&lt;&gt;""),IF($C979&gt;TODAY(),"İLERİ TARİH",IF(COUNTIF($W$7:$W$3001,$W979)&gt;1,"MÜKERRER?",IF($AD979&gt;0,"KAPALI DÖNEM",IF($I979="Hayır","ÖDENECEK","UYGUN")))),"EKSİK"))))</f>
        <v/>
      </c>
      <c r="Q979" s="2"/>
      <c r="R979" s="2"/>
      <c r="S979" s="1" t="str">
        <f t="shared" si="47"/>
        <v/>
      </c>
      <c r="T979" s="1" t="str">
        <f>IF(OR($C979="",$D979&lt;&gt;"Gelir",$L979=""),"",IFERROR(INDEX(MUSTERILER!$B$7:$B$156,MATCH($S979,MUSTERILER!$T$7:$T$156,0)),""))</f>
        <v/>
      </c>
      <c r="U979" s="1" t="str">
        <f>IF($T979="","",$T979&amp;"|"&amp;COUNTIFS($T$7:$T979,$T979))</f>
        <v/>
      </c>
      <c r="V979" s="1">
        <f t="shared" si="48"/>
        <v>0</v>
      </c>
      <c r="W979" s="1" t="str">
        <f t="shared" si="49"/>
        <v/>
      </c>
      <c r="X979" s="1"/>
      <c r="Y979" s="1"/>
      <c r="Z979" s="1"/>
      <c r="AA979" s="1"/>
      <c r="AB979" s="1"/>
      <c r="AC979" s="1"/>
      <c r="AD979" s="1">
        <f>IF($C979="",0,SUMPRODUCT((AY_SONU!$O$7:$O$42="Evet")*(AY_SONU!$B$7:$B$42=DATE(YEAR($C979),MONTH($C979),1))))</f>
        <v>0</v>
      </c>
      <c r="AE979" s="1" t="str">
        <f>IF($E979="","",$E979&amp;"|"&amp;COUNTIFS($E$7:$E979,$E979))</f>
        <v/>
      </c>
    </row>
    <row r="980" spans="1:31" ht="18" customHeight="1" x14ac:dyDescent="0.3">
      <c r="A980" s="2"/>
      <c r="B980" s="65" t="str">
        <f>IF($C980="","","GG"&amp;TEXT(ROW()-6,"00000"))</f>
        <v/>
      </c>
      <c r="C980" s="66"/>
      <c r="D980" s="60"/>
      <c r="E980" s="61"/>
      <c r="F980" s="61"/>
      <c r="G980" s="67"/>
      <c r="H980" s="60"/>
      <c r="I980" s="60"/>
      <c r="J980" s="61"/>
      <c r="K980" s="61"/>
      <c r="L980" s="60"/>
      <c r="M980" s="74" t="str">
        <f>IF($C980="","",IF($D980="Gider",$E980,IF($L980&lt;&gt;"",$L980,$H980)))</f>
        <v/>
      </c>
      <c r="N980" s="74" t="str">
        <f>IF($C980="","",IF($D980="Gider",$H980,$E980))</f>
        <v/>
      </c>
      <c r="O980" s="73" t="str">
        <f>IF($C980="","",DATE(YEAR($C980),MONTH($C980),1))</f>
        <v/>
      </c>
      <c r="P980" s="65" t="str">
        <f ca="1">IF($C980="","",IF(AND($D980="Gelir",$L980&lt;&gt;"",$T980=""),"TANIMSIZ BORÇLU",IF($T980&lt;&gt;"",IF(OR($E980="",$G980&lt;=0),"EKSİK",IF($I980="Evet","TAHAKKUK NAKİT OLAMAZ",IF($C980&gt;TODAY(),"İLERİ TARİH","TAHAKKUK"))),IF(AND($D980&lt;&gt;"",$E980&lt;&gt;"",$G980&gt;0,$H980&lt;&gt;"",$I980&lt;&gt;""),IF($C980&gt;TODAY(),"İLERİ TARİH",IF(COUNTIF($W$7:$W$3001,$W980)&gt;1,"MÜKERRER?",IF($AD980&gt;0,"KAPALI DÖNEM",IF($I980="Hayır","ÖDENECEK","UYGUN")))),"EKSİK"))))</f>
        <v/>
      </c>
      <c r="Q980" s="2"/>
      <c r="R980" s="2"/>
      <c r="S980" s="1" t="str">
        <f t="shared" si="47"/>
        <v/>
      </c>
      <c r="T980" s="1" t="str">
        <f>IF(OR($C980="",$D980&lt;&gt;"Gelir",$L980=""),"",IFERROR(INDEX(MUSTERILER!$B$7:$B$156,MATCH($S980,MUSTERILER!$T$7:$T$156,0)),""))</f>
        <v/>
      </c>
      <c r="U980" s="1" t="str">
        <f>IF($T980="","",$T980&amp;"|"&amp;COUNTIFS($T$7:$T980,$T980))</f>
        <v/>
      </c>
      <c r="V980" s="1">
        <f t="shared" si="48"/>
        <v>0</v>
      </c>
      <c r="W980" s="1" t="str">
        <f t="shared" si="49"/>
        <v/>
      </c>
      <c r="X980" s="1"/>
      <c r="Y980" s="1"/>
      <c r="Z980" s="1"/>
      <c r="AA980" s="1"/>
      <c r="AB980" s="1"/>
      <c r="AC980" s="1"/>
      <c r="AD980" s="1">
        <f>IF($C980="",0,SUMPRODUCT((AY_SONU!$O$7:$O$42="Evet")*(AY_SONU!$B$7:$B$42=DATE(YEAR($C980),MONTH($C980),1))))</f>
        <v>0</v>
      </c>
      <c r="AE980" s="1" t="str">
        <f>IF($E980="","",$E980&amp;"|"&amp;COUNTIFS($E$7:$E980,$E980))</f>
        <v/>
      </c>
    </row>
    <row r="981" spans="1:31" ht="18" customHeight="1" x14ac:dyDescent="0.3">
      <c r="A981" s="2"/>
      <c r="B981" s="65" t="str">
        <f>IF($C981="","","GG"&amp;TEXT(ROW()-6,"00000"))</f>
        <v/>
      </c>
      <c r="C981" s="66"/>
      <c r="D981" s="60"/>
      <c r="E981" s="61"/>
      <c r="F981" s="61"/>
      <c r="G981" s="67"/>
      <c r="H981" s="60"/>
      <c r="I981" s="60"/>
      <c r="J981" s="61"/>
      <c r="K981" s="61"/>
      <c r="L981" s="60"/>
      <c r="M981" s="74" t="str">
        <f>IF($C981="","",IF($D981="Gider",$E981,IF($L981&lt;&gt;"",$L981,$H981)))</f>
        <v/>
      </c>
      <c r="N981" s="74" t="str">
        <f>IF($C981="","",IF($D981="Gider",$H981,$E981))</f>
        <v/>
      </c>
      <c r="O981" s="73" t="str">
        <f>IF($C981="","",DATE(YEAR($C981),MONTH($C981),1))</f>
        <v/>
      </c>
      <c r="P981" s="65" t="str">
        <f ca="1">IF($C981="","",IF(AND($D981="Gelir",$L981&lt;&gt;"",$T981=""),"TANIMSIZ BORÇLU",IF($T981&lt;&gt;"",IF(OR($E981="",$G981&lt;=0),"EKSİK",IF($I981="Evet","TAHAKKUK NAKİT OLAMAZ",IF($C981&gt;TODAY(),"İLERİ TARİH","TAHAKKUK"))),IF(AND($D981&lt;&gt;"",$E981&lt;&gt;"",$G981&gt;0,$H981&lt;&gt;"",$I981&lt;&gt;""),IF($C981&gt;TODAY(),"İLERİ TARİH",IF(COUNTIF($W$7:$W$3001,$W981)&gt;1,"MÜKERRER?",IF($AD981&gt;0,"KAPALI DÖNEM",IF($I981="Hayır","ÖDENECEK","UYGUN")))),"EKSİK"))))</f>
        <v/>
      </c>
      <c r="Q981" s="2"/>
      <c r="R981" s="2"/>
      <c r="S981" s="1" t="str">
        <f t="shared" si="47"/>
        <v/>
      </c>
      <c r="T981" s="1" t="str">
        <f>IF(OR($C981="",$D981&lt;&gt;"Gelir",$L981=""),"",IFERROR(INDEX(MUSTERILER!$B$7:$B$156,MATCH($S981,MUSTERILER!$T$7:$T$156,0)),""))</f>
        <v/>
      </c>
      <c r="U981" s="1" t="str">
        <f>IF($T981="","",$T981&amp;"|"&amp;COUNTIFS($T$7:$T981,$T981))</f>
        <v/>
      </c>
      <c r="V981" s="1">
        <f t="shared" si="48"/>
        <v>0</v>
      </c>
      <c r="W981" s="1" t="str">
        <f t="shared" si="49"/>
        <v/>
      </c>
      <c r="X981" s="1"/>
      <c r="Y981" s="1"/>
      <c r="Z981" s="1"/>
      <c r="AA981" s="1"/>
      <c r="AB981" s="1"/>
      <c r="AC981" s="1"/>
      <c r="AD981" s="1">
        <f>IF($C981="",0,SUMPRODUCT((AY_SONU!$O$7:$O$42="Evet")*(AY_SONU!$B$7:$B$42=DATE(YEAR($C981),MONTH($C981),1))))</f>
        <v>0</v>
      </c>
      <c r="AE981" s="1" t="str">
        <f>IF($E981="","",$E981&amp;"|"&amp;COUNTIFS($E$7:$E981,$E981))</f>
        <v/>
      </c>
    </row>
    <row r="982" spans="1:31" ht="18" customHeight="1" x14ac:dyDescent="0.3">
      <c r="A982" s="2"/>
      <c r="B982" s="65" t="str">
        <f>IF($C982="","","GG"&amp;TEXT(ROW()-6,"00000"))</f>
        <v/>
      </c>
      <c r="C982" s="66"/>
      <c r="D982" s="60"/>
      <c r="E982" s="61"/>
      <c r="F982" s="61"/>
      <c r="G982" s="67"/>
      <c r="H982" s="60"/>
      <c r="I982" s="60"/>
      <c r="J982" s="61"/>
      <c r="K982" s="61"/>
      <c r="L982" s="60"/>
      <c r="M982" s="74" t="str">
        <f>IF($C982="","",IF($D982="Gider",$E982,IF($L982&lt;&gt;"",$L982,$H982)))</f>
        <v/>
      </c>
      <c r="N982" s="74" t="str">
        <f>IF($C982="","",IF($D982="Gider",$H982,$E982))</f>
        <v/>
      </c>
      <c r="O982" s="73" t="str">
        <f>IF($C982="","",DATE(YEAR($C982),MONTH($C982),1))</f>
        <v/>
      </c>
      <c r="P982" s="65" t="str">
        <f ca="1">IF($C982="","",IF(AND($D982="Gelir",$L982&lt;&gt;"",$T982=""),"TANIMSIZ BORÇLU",IF($T982&lt;&gt;"",IF(OR($E982="",$G982&lt;=0),"EKSİK",IF($I982="Evet","TAHAKKUK NAKİT OLAMAZ",IF($C982&gt;TODAY(),"İLERİ TARİH","TAHAKKUK"))),IF(AND($D982&lt;&gt;"",$E982&lt;&gt;"",$G982&gt;0,$H982&lt;&gt;"",$I982&lt;&gt;""),IF($C982&gt;TODAY(),"İLERİ TARİH",IF(COUNTIF($W$7:$W$3001,$W982)&gt;1,"MÜKERRER?",IF($AD982&gt;0,"KAPALI DÖNEM",IF($I982="Hayır","ÖDENECEK","UYGUN")))),"EKSİK"))))</f>
        <v/>
      </c>
      <c r="Q982" s="2"/>
      <c r="R982" s="2"/>
      <c r="S982" s="1" t="str">
        <f t="shared" si="47"/>
        <v/>
      </c>
      <c r="T982" s="1" t="str">
        <f>IF(OR($C982="",$D982&lt;&gt;"Gelir",$L982=""),"",IFERROR(INDEX(MUSTERILER!$B$7:$B$156,MATCH($S982,MUSTERILER!$T$7:$T$156,0)),""))</f>
        <v/>
      </c>
      <c r="U982" s="1" t="str">
        <f>IF($T982="","",$T982&amp;"|"&amp;COUNTIFS($T$7:$T982,$T982))</f>
        <v/>
      </c>
      <c r="V982" s="1">
        <f t="shared" si="48"/>
        <v>0</v>
      </c>
      <c r="W982" s="1" t="str">
        <f t="shared" si="49"/>
        <v/>
      </c>
      <c r="X982" s="1"/>
      <c r="Y982" s="1"/>
      <c r="Z982" s="1"/>
      <c r="AA982" s="1"/>
      <c r="AB982" s="1"/>
      <c r="AC982" s="1"/>
      <c r="AD982" s="1">
        <f>IF($C982="",0,SUMPRODUCT((AY_SONU!$O$7:$O$42="Evet")*(AY_SONU!$B$7:$B$42=DATE(YEAR($C982),MONTH($C982),1))))</f>
        <v>0</v>
      </c>
      <c r="AE982" s="1" t="str">
        <f>IF($E982="","",$E982&amp;"|"&amp;COUNTIFS($E$7:$E982,$E982))</f>
        <v/>
      </c>
    </row>
    <row r="983" spans="1:31" ht="18" customHeight="1" x14ac:dyDescent="0.3">
      <c r="A983" s="2"/>
      <c r="B983" s="65" t="str">
        <f>IF($C983="","","GG"&amp;TEXT(ROW()-6,"00000"))</f>
        <v/>
      </c>
      <c r="C983" s="66"/>
      <c r="D983" s="60"/>
      <c r="E983" s="61"/>
      <c r="F983" s="61"/>
      <c r="G983" s="67"/>
      <c r="H983" s="60"/>
      <c r="I983" s="60"/>
      <c r="J983" s="61"/>
      <c r="K983" s="61"/>
      <c r="L983" s="60"/>
      <c r="M983" s="74" t="str">
        <f>IF($C983="","",IF($D983="Gider",$E983,IF($L983&lt;&gt;"",$L983,$H983)))</f>
        <v/>
      </c>
      <c r="N983" s="74" t="str">
        <f>IF($C983="","",IF($D983="Gider",$H983,$E983))</f>
        <v/>
      </c>
      <c r="O983" s="73" t="str">
        <f>IF($C983="","",DATE(YEAR($C983),MONTH($C983),1))</f>
        <v/>
      </c>
      <c r="P983" s="65" t="str">
        <f ca="1">IF($C983="","",IF(AND($D983="Gelir",$L983&lt;&gt;"",$T983=""),"TANIMSIZ BORÇLU",IF($T983&lt;&gt;"",IF(OR($E983="",$G983&lt;=0),"EKSİK",IF($I983="Evet","TAHAKKUK NAKİT OLAMAZ",IF($C983&gt;TODAY(),"İLERİ TARİH","TAHAKKUK"))),IF(AND($D983&lt;&gt;"",$E983&lt;&gt;"",$G983&gt;0,$H983&lt;&gt;"",$I983&lt;&gt;""),IF($C983&gt;TODAY(),"İLERİ TARİH",IF(COUNTIF($W$7:$W$3001,$W983)&gt;1,"MÜKERRER?",IF($AD983&gt;0,"KAPALI DÖNEM",IF($I983="Hayır","ÖDENECEK","UYGUN")))),"EKSİK"))))</f>
        <v/>
      </c>
      <c r="Q983" s="2"/>
      <c r="R983" s="2"/>
      <c r="S983" s="1" t="str">
        <f t="shared" si="47"/>
        <v/>
      </c>
      <c r="T983" s="1" t="str">
        <f>IF(OR($C983="",$D983&lt;&gt;"Gelir",$L983=""),"",IFERROR(INDEX(MUSTERILER!$B$7:$B$156,MATCH($S983,MUSTERILER!$T$7:$T$156,0)),""))</f>
        <v/>
      </c>
      <c r="U983" s="1" t="str">
        <f>IF($T983="","",$T983&amp;"|"&amp;COUNTIFS($T$7:$T983,$T983))</f>
        <v/>
      </c>
      <c r="V983" s="1">
        <f t="shared" si="48"/>
        <v>0</v>
      </c>
      <c r="W983" s="1" t="str">
        <f t="shared" si="49"/>
        <v/>
      </c>
      <c r="X983" s="1"/>
      <c r="Y983" s="1"/>
      <c r="Z983" s="1"/>
      <c r="AA983" s="1"/>
      <c r="AB983" s="1"/>
      <c r="AC983" s="1"/>
      <c r="AD983" s="1">
        <f>IF($C983="",0,SUMPRODUCT((AY_SONU!$O$7:$O$42="Evet")*(AY_SONU!$B$7:$B$42=DATE(YEAR($C983),MONTH($C983),1))))</f>
        <v>0</v>
      </c>
      <c r="AE983" s="1" t="str">
        <f>IF($E983="","",$E983&amp;"|"&amp;COUNTIFS($E$7:$E983,$E983))</f>
        <v/>
      </c>
    </row>
    <row r="984" spans="1:31" ht="18" customHeight="1" x14ac:dyDescent="0.3">
      <c r="A984" s="2"/>
      <c r="B984" s="65" t="str">
        <f>IF($C984="","","GG"&amp;TEXT(ROW()-6,"00000"))</f>
        <v/>
      </c>
      <c r="C984" s="66"/>
      <c r="D984" s="60"/>
      <c r="E984" s="61"/>
      <c r="F984" s="61"/>
      <c r="G984" s="67"/>
      <c r="H984" s="60"/>
      <c r="I984" s="60"/>
      <c r="J984" s="61"/>
      <c r="K984" s="61"/>
      <c r="L984" s="60"/>
      <c r="M984" s="74" t="str">
        <f>IF($C984="","",IF($D984="Gider",$E984,IF($L984&lt;&gt;"",$L984,$H984)))</f>
        <v/>
      </c>
      <c r="N984" s="74" t="str">
        <f>IF($C984="","",IF($D984="Gider",$H984,$E984))</f>
        <v/>
      </c>
      <c r="O984" s="73" t="str">
        <f>IF($C984="","",DATE(YEAR($C984),MONTH($C984),1))</f>
        <v/>
      </c>
      <c r="P984" s="65" t="str">
        <f ca="1">IF($C984="","",IF(AND($D984="Gelir",$L984&lt;&gt;"",$T984=""),"TANIMSIZ BORÇLU",IF($T984&lt;&gt;"",IF(OR($E984="",$G984&lt;=0),"EKSİK",IF($I984="Evet","TAHAKKUK NAKİT OLAMAZ",IF($C984&gt;TODAY(),"İLERİ TARİH","TAHAKKUK"))),IF(AND($D984&lt;&gt;"",$E984&lt;&gt;"",$G984&gt;0,$H984&lt;&gt;"",$I984&lt;&gt;""),IF($C984&gt;TODAY(),"İLERİ TARİH",IF(COUNTIF($W$7:$W$3001,$W984)&gt;1,"MÜKERRER?",IF($AD984&gt;0,"KAPALI DÖNEM",IF($I984="Hayır","ÖDENECEK","UYGUN")))),"EKSİK"))))</f>
        <v/>
      </c>
      <c r="Q984" s="2"/>
      <c r="R984" s="2"/>
      <c r="S984" s="1" t="str">
        <f t="shared" si="47"/>
        <v/>
      </c>
      <c r="T984" s="1" t="str">
        <f>IF(OR($C984="",$D984&lt;&gt;"Gelir",$L984=""),"",IFERROR(INDEX(MUSTERILER!$B$7:$B$156,MATCH($S984,MUSTERILER!$T$7:$T$156,0)),""))</f>
        <v/>
      </c>
      <c r="U984" s="1" t="str">
        <f>IF($T984="","",$T984&amp;"|"&amp;COUNTIFS($T$7:$T984,$T984))</f>
        <v/>
      </c>
      <c r="V984" s="1">
        <f t="shared" si="48"/>
        <v>0</v>
      </c>
      <c r="W984" s="1" t="str">
        <f t="shared" si="49"/>
        <v/>
      </c>
      <c r="X984" s="1"/>
      <c r="Y984" s="1"/>
      <c r="Z984" s="1"/>
      <c r="AA984" s="1"/>
      <c r="AB984" s="1"/>
      <c r="AC984" s="1"/>
      <c r="AD984" s="1">
        <f>IF($C984="",0,SUMPRODUCT((AY_SONU!$O$7:$O$42="Evet")*(AY_SONU!$B$7:$B$42=DATE(YEAR($C984),MONTH($C984),1))))</f>
        <v>0</v>
      </c>
      <c r="AE984" s="1" t="str">
        <f>IF($E984="","",$E984&amp;"|"&amp;COUNTIFS($E$7:$E984,$E984))</f>
        <v/>
      </c>
    </row>
    <row r="985" spans="1:31" ht="18" customHeight="1" x14ac:dyDescent="0.3">
      <c r="A985" s="2"/>
      <c r="B985" s="65" t="str">
        <f>IF($C985="","","GG"&amp;TEXT(ROW()-6,"00000"))</f>
        <v/>
      </c>
      <c r="C985" s="66"/>
      <c r="D985" s="60"/>
      <c r="E985" s="61"/>
      <c r="F985" s="61"/>
      <c r="G985" s="67"/>
      <c r="H985" s="60"/>
      <c r="I985" s="60"/>
      <c r="J985" s="61"/>
      <c r="K985" s="61"/>
      <c r="L985" s="60"/>
      <c r="M985" s="74" t="str">
        <f>IF($C985="","",IF($D985="Gider",$E985,IF($L985&lt;&gt;"",$L985,$H985)))</f>
        <v/>
      </c>
      <c r="N985" s="74" t="str">
        <f>IF($C985="","",IF($D985="Gider",$H985,$E985))</f>
        <v/>
      </c>
      <c r="O985" s="73" t="str">
        <f>IF($C985="","",DATE(YEAR($C985),MONTH($C985),1))</f>
        <v/>
      </c>
      <c r="P985" s="65" t="str">
        <f ca="1">IF($C985="","",IF(AND($D985="Gelir",$L985&lt;&gt;"",$T985=""),"TANIMSIZ BORÇLU",IF($T985&lt;&gt;"",IF(OR($E985="",$G985&lt;=0),"EKSİK",IF($I985="Evet","TAHAKKUK NAKİT OLAMAZ",IF($C985&gt;TODAY(),"İLERİ TARİH","TAHAKKUK"))),IF(AND($D985&lt;&gt;"",$E985&lt;&gt;"",$G985&gt;0,$H985&lt;&gt;"",$I985&lt;&gt;""),IF($C985&gt;TODAY(),"İLERİ TARİH",IF(COUNTIF($W$7:$W$3001,$W985)&gt;1,"MÜKERRER?",IF($AD985&gt;0,"KAPALI DÖNEM",IF($I985="Hayır","ÖDENECEK","UYGUN")))),"EKSİK"))))</f>
        <v/>
      </c>
      <c r="Q985" s="2"/>
      <c r="R985" s="2"/>
      <c r="S985" s="1" t="str">
        <f t="shared" si="47"/>
        <v/>
      </c>
      <c r="T985" s="1" t="str">
        <f>IF(OR($C985="",$D985&lt;&gt;"Gelir",$L985=""),"",IFERROR(INDEX(MUSTERILER!$B$7:$B$156,MATCH($S985,MUSTERILER!$T$7:$T$156,0)),""))</f>
        <v/>
      </c>
      <c r="U985" s="1" t="str">
        <f>IF($T985="","",$T985&amp;"|"&amp;COUNTIFS($T$7:$T985,$T985))</f>
        <v/>
      </c>
      <c r="V985" s="1">
        <f t="shared" si="48"/>
        <v>0</v>
      </c>
      <c r="W985" s="1" t="str">
        <f t="shared" si="49"/>
        <v/>
      </c>
      <c r="X985" s="1"/>
      <c r="Y985" s="1"/>
      <c r="Z985" s="1"/>
      <c r="AA985" s="1"/>
      <c r="AB985" s="1"/>
      <c r="AC985" s="1"/>
      <c r="AD985" s="1">
        <f>IF($C985="",0,SUMPRODUCT((AY_SONU!$O$7:$O$42="Evet")*(AY_SONU!$B$7:$B$42=DATE(YEAR($C985),MONTH($C985),1))))</f>
        <v>0</v>
      </c>
      <c r="AE985" s="1" t="str">
        <f>IF($E985="","",$E985&amp;"|"&amp;COUNTIFS($E$7:$E985,$E985))</f>
        <v/>
      </c>
    </row>
    <row r="986" spans="1:31" ht="18" customHeight="1" x14ac:dyDescent="0.3">
      <c r="A986" s="2"/>
      <c r="B986" s="65" t="str">
        <f>IF($C986="","","GG"&amp;TEXT(ROW()-6,"00000"))</f>
        <v/>
      </c>
      <c r="C986" s="66"/>
      <c r="D986" s="60"/>
      <c r="E986" s="61"/>
      <c r="F986" s="61"/>
      <c r="G986" s="67"/>
      <c r="H986" s="60"/>
      <c r="I986" s="60"/>
      <c r="J986" s="61"/>
      <c r="K986" s="61"/>
      <c r="L986" s="60"/>
      <c r="M986" s="74" t="str">
        <f>IF($C986="","",IF($D986="Gider",$E986,IF($L986&lt;&gt;"",$L986,$H986)))</f>
        <v/>
      </c>
      <c r="N986" s="74" t="str">
        <f>IF($C986="","",IF($D986="Gider",$H986,$E986))</f>
        <v/>
      </c>
      <c r="O986" s="73" t="str">
        <f>IF($C986="","",DATE(YEAR($C986),MONTH($C986),1))</f>
        <v/>
      </c>
      <c r="P986" s="65" t="str">
        <f ca="1">IF($C986="","",IF(AND($D986="Gelir",$L986&lt;&gt;"",$T986=""),"TANIMSIZ BORÇLU",IF($T986&lt;&gt;"",IF(OR($E986="",$G986&lt;=0),"EKSİK",IF($I986="Evet","TAHAKKUK NAKİT OLAMAZ",IF($C986&gt;TODAY(),"İLERİ TARİH","TAHAKKUK"))),IF(AND($D986&lt;&gt;"",$E986&lt;&gt;"",$G986&gt;0,$H986&lt;&gt;"",$I986&lt;&gt;""),IF($C986&gt;TODAY(),"İLERİ TARİH",IF(COUNTIF($W$7:$W$3001,$W986)&gt;1,"MÜKERRER?",IF($AD986&gt;0,"KAPALI DÖNEM",IF($I986="Hayır","ÖDENECEK","UYGUN")))),"EKSİK"))))</f>
        <v/>
      </c>
      <c r="Q986" s="2"/>
      <c r="R986" s="2"/>
      <c r="S986" s="1" t="str">
        <f t="shared" si="47"/>
        <v/>
      </c>
      <c r="T986" s="1" t="str">
        <f>IF(OR($C986="",$D986&lt;&gt;"Gelir",$L986=""),"",IFERROR(INDEX(MUSTERILER!$B$7:$B$156,MATCH($S986,MUSTERILER!$T$7:$T$156,0)),""))</f>
        <v/>
      </c>
      <c r="U986" s="1" t="str">
        <f>IF($T986="","",$T986&amp;"|"&amp;COUNTIFS($T$7:$T986,$T986))</f>
        <v/>
      </c>
      <c r="V986" s="1">
        <f t="shared" si="48"/>
        <v>0</v>
      </c>
      <c r="W986" s="1" t="str">
        <f t="shared" si="49"/>
        <v/>
      </c>
      <c r="X986" s="1"/>
      <c r="Y986" s="1"/>
      <c r="Z986" s="1"/>
      <c r="AA986" s="1"/>
      <c r="AB986" s="1"/>
      <c r="AC986" s="1"/>
      <c r="AD986" s="1">
        <f>IF($C986="",0,SUMPRODUCT((AY_SONU!$O$7:$O$42="Evet")*(AY_SONU!$B$7:$B$42=DATE(YEAR($C986),MONTH($C986),1))))</f>
        <v>0</v>
      </c>
      <c r="AE986" s="1" t="str">
        <f>IF($E986="","",$E986&amp;"|"&amp;COUNTIFS($E$7:$E986,$E986))</f>
        <v/>
      </c>
    </row>
    <row r="987" spans="1:31" ht="18" customHeight="1" x14ac:dyDescent="0.3">
      <c r="A987" s="2"/>
      <c r="B987" s="65" t="str">
        <f>IF($C987="","","GG"&amp;TEXT(ROW()-6,"00000"))</f>
        <v/>
      </c>
      <c r="C987" s="66"/>
      <c r="D987" s="60"/>
      <c r="E987" s="61"/>
      <c r="F987" s="61"/>
      <c r="G987" s="67"/>
      <c r="H987" s="60"/>
      <c r="I987" s="60"/>
      <c r="J987" s="61"/>
      <c r="K987" s="61"/>
      <c r="L987" s="60"/>
      <c r="M987" s="74" t="str">
        <f>IF($C987="","",IF($D987="Gider",$E987,IF($L987&lt;&gt;"",$L987,$H987)))</f>
        <v/>
      </c>
      <c r="N987" s="74" t="str">
        <f>IF($C987="","",IF($D987="Gider",$H987,$E987))</f>
        <v/>
      </c>
      <c r="O987" s="73" t="str">
        <f>IF($C987="","",DATE(YEAR($C987),MONTH($C987),1))</f>
        <v/>
      </c>
      <c r="P987" s="65" t="str">
        <f ca="1">IF($C987="","",IF(AND($D987="Gelir",$L987&lt;&gt;"",$T987=""),"TANIMSIZ BORÇLU",IF($T987&lt;&gt;"",IF(OR($E987="",$G987&lt;=0),"EKSİK",IF($I987="Evet","TAHAKKUK NAKİT OLAMAZ",IF($C987&gt;TODAY(),"İLERİ TARİH","TAHAKKUK"))),IF(AND($D987&lt;&gt;"",$E987&lt;&gt;"",$G987&gt;0,$H987&lt;&gt;"",$I987&lt;&gt;""),IF($C987&gt;TODAY(),"İLERİ TARİH",IF(COUNTIF($W$7:$W$3001,$W987)&gt;1,"MÜKERRER?",IF($AD987&gt;0,"KAPALI DÖNEM",IF($I987="Hayır","ÖDENECEK","UYGUN")))),"EKSİK"))))</f>
        <v/>
      </c>
      <c r="Q987" s="2"/>
      <c r="R987" s="2"/>
      <c r="S987" s="1" t="str">
        <f t="shared" si="47"/>
        <v/>
      </c>
      <c r="T987" s="1" t="str">
        <f>IF(OR($C987="",$D987&lt;&gt;"Gelir",$L987=""),"",IFERROR(INDEX(MUSTERILER!$B$7:$B$156,MATCH($S987,MUSTERILER!$T$7:$T$156,0)),""))</f>
        <v/>
      </c>
      <c r="U987" s="1" t="str">
        <f>IF($T987="","",$T987&amp;"|"&amp;COUNTIFS($T$7:$T987,$T987))</f>
        <v/>
      </c>
      <c r="V987" s="1">
        <f t="shared" si="48"/>
        <v>0</v>
      </c>
      <c r="W987" s="1" t="str">
        <f t="shared" si="49"/>
        <v/>
      </c>
      <c r="X987" s="1"/>
      <c r="Y987" s="1"/>
      <c r="Z987" s="1"/>
      <c r="AA987" s="1"/>
      <c r="AB987" s="1"/>
      <c r="AC987" s="1"/>
      <c r="AD987" s="1">
        <f>IF($C987="",0,SUMPRODUCT((AY_SONU!$O$7:$O$42="Evet")*(AY_SONU!$B$7:$B$42=DATE(YEAR($C987),MONTH($C987),1))))</f>
        <v>0</v>
      </c>
      <c r="AE987" s="1" t="str">
        <f>IF($E987="","",$E987&amp;"|"&amp;COUNTIFS($E$7:$E987,$E987))</f>
        <v/>
      </c>
    </row>
    <row r="988" spans="1:31" ht="18" customHeight="1" x14ac:dyDescent="0.3">
      <c r="A988" s="2"/>
      <c r="B988" s="65" t="str">
        <f>IF($C988="","","GG"&amp;TEXT(ROW()-6,"00000"))</f>
        <v/>
      </c>
      <c r="C988" s="66"/>
      <c r="D988" s="60"/>
      <c r="E988" s="61"/>
      <c r="F988" s="61"/>
      <c r="G988" s="67"/>
      <c r="H988" s="60"/>
      <c r="I988" s="60"/>
      <c r="J988" s="61"/>
      <c r="K988" s="61"/>
      <c r="L988" s="60"/>
      <c r="M988" s="74" t="str">
        <f>IF($C988="","",IF($D988="Gider",$E988,IF($L988&lt;&gt;"",$L988,$H988)))</f>
        <v/>
      </c>
      <c r="N988" s="74" t="str">
        <f>IF($C988="","",IF($D988="Gider",$H988,$E988))</f>
        <v/>
      </c>
      <c r="O988" s="73" t="str">
        <f>IF($C988="","",DATE(YEAR($C988),MONTH($C988),1))</f>
        <v/>
      </c>
      <c r="P988" s="65" t="str">
        <f ca="1">IF($C988="","",IF(AND($D988="Gelir",$L988&lt;&gt;"",$T988=""),"TANIMSIZ BORÇLU",IF($T988&lt;&gt;"",IF(OR($E988="",$G988&lt;=0),"EKSİK",IF($I988="Evet","TAHAKKUK NAKİT OLAMAZ",IF($C988&gt;TODAY(),"İLERİ TARİH","TAHAKKUK"))),IF(AND($D988&lt;&gt;"",$E988&lt;&gt;"",$G988&gt;0,$H988&lt;&gt;"",$I988&lt;&gt;""),IF($C988&gt;TODAY(),"İLERİ TARİH",IF(COUNTIF($W$7:$W$3001,$W988)&gt;1,"MÜKERRER?",IF($AD988&gt;0,"KAPALI DÖNEM",IF($I988="Hayır","ÖDENECEK","UYGUN")))),"EKSİK"))))</f>
        <v/>
      </c>
      <c r="Q988" s="2"/>
      <c r="R988" s="2"/>
      <c r="S988" s="1" t="str">
        <f t="shared" si="47"/>
        <v/>
      </c>
      <c r="T988" s="1" t="str">
        <f>IF(OR($C988="",$D988&lt;&gt;"Gelir",$L988=""),"",IFERROR(INDEX(MUSTERILER!$B$7:$B$156,MATCH($S988,MUSTERILER!$T$7:$T$156,0)),""))</f>
        <v/>
      </c>
      <c r="U988" s="1" t="str">
        <f>IF($T988="","",$T988&amp;"|"&amp;COUNTIFS($T$7:$T988,$T988))</f>
        <v/>
      </c>
      <c r="V988" s="1">
        <f t="shared" si="48"/>
        <v>0</v>
      </c>
      <c r="W988" s="1" t="str">
        <f t="shared" si="49"/>
        <v/>
      </c>
      <c r="X988" s="1"/>
      <c r="Y988" s="1"/>
      <c r="Z988" s="1"/>
      <c r="AA988" s="1"/>
      <c r="AB988" s="1"/>
      <c r="AC988" s="1"/>
      <c r="AD988" s="1">
        <f>IF($C988="",0,SUMPRODUCT((AY_SONU!$O$7:$O$42="Evet")*(AY_SONU!$B$7:$B$42=DATE(YEAR($C988),MONTH($C988),1))))</f>
        <v>0</v>
      </c>
      <c r="AE988" s="1" t="str">
        <f>IF($E988="","",$E988&amp;"|"&amp;COUNTIFS($E$7:$E988,$E988))</f>
        <v/>
      </c>
    </row>
    <row r="989" spans="1:31" ht="18" customHeight="1" x14ac:dyDescent="0.3">
      <c r="A989" s="2"/>
      <c r="B989" s="65" t="str">
        <f>IF($C989="","","GG"&amp;TEXT(ROW()-6,"00000"))</f>
        <v/>
      </c>
      <c r="C989" s="66"/>
      <c r="D989" s="60"/>
      <c r="E989" s="61"/>
      <c r="F989" s="61"/>
      <c r="G989" s="67"/>
      <c r="H989" s="60"/>
      <c r="I989" s="60"/>
      <c r="J989" s="61"/>
      <c r="K989" s="61"/>
      <c r="L989" s="60"/>
      <c r="M989" s="74" t="str">
        <f>IF($C989="","",IF($D989="Gider",$E989,IF($L989&lt;&gt;"",$L989,$H989)))</f>
        <v/>
      </c>
      <c r="N989" s="74" t="str">
        <f>IF($C989="","",IF($D989="Gider",$H989,$E989))</f>
        <v/>
      </c>
      <c r="O989" s="73" t="str">
        <f>IF($C989="","",DATE(YEAR($C989),MONTH($C989),1))</f>
        <v/>
      </c>
      <c r="P989" s="65" t="str">
        <f ca="1">IF($C989="","",IF(AND($D989="Gelir",$L989&lt;&gt;"",$T989=""),"TANIMSIZ BORÇLU",IF($T989&lt;&gt;"",IF(OR($E989="",$G989&lt;=0),"EKSİK",IF($I989="Evet","TAHAKKUK NAKİT OLAMAZ",IF($C989&gt;TODAY(),"İLERİ TARİH","TAHAKKUK"))),IF(AND($D989&lt;&gt;"",$E989&lt;&gt;"",$G989&gt;0,$H989&lt;&gt;"",$I989&lt;&gt;""),IF($C989&gt;TODAY(),"İLERİ TARİH",IF(COUNTIF($W$7:$W$3001,$W989)&gt;1,"MÜKERRER?",IF($AD989&gt;0,"KAPALI DÖNEM",IF($I989="Hayır","ÖDENECEK","UYGUN")))),"EKSİK"))))</f>
        <v/>
      </c>
      <c r="Q989" s="2"/>
      <c r="R989" s="2"/>
      <c r="S989" s="1" t="str">
        <f t="shared" si="47"/>
        <v/>
      </c>
      <c r="T989" s="1" t="str">
        <f>IF(OR($C989="",$D989&lt;&gt;"Gelir",$L989=""),"",IFERROR(INDEX(MUSTERILER!$B$7:$B$156,MATCH($S989,MUSTERILER!$T$7:$T$156,0)),""))</f>
        <v/>
      </c>
      <c r="U989" s="1" t="str">
        <f>IF($T989="","",$T989&amp;"|"&amp;COUNTIFS($T$7:$T989,$T989))</f>
        <v/>
      </c>
      <c r="V989" s="1">
        <f t="shared" si="48"/>
        <v>0</v>
      </c>
      <c r="W989" s="1" t="str">
        <f t="shared" si="49"/>
        <v/>
      </c>
      <c r="X989" s="1"/>
      <c r="Y989" s="1"/>
      <c r="Z989" s="1"/>
      <c r="AA989" s="1"/>
      <c r="AB989" s="1"/>
      <c r="AC989" s="1"/>
      <c r="AD989" s="1">
        <f>IF($C989="",0,SUMPRODUCT((AY_SONU!$O$7:$O$42="Evet")*(AY_SONU!$B$7:$B$42=DATE(YEAR($C989),MONTH($C989),1))))</f>
        <v>0</v>
      </c>
      <c r="AE989" s="1" t="str">
        <f>IF($E989="","",$E989&amp;"|"&amp;COUNTIFS($E$7:$E989,$E989))</f>
        <v/>
      </c>
    </row>
    <row r="990" spans="1:31" ht="18" customHeight="1" x14ac:dyDescent="0.3">
      <c r="A990" s="2"/>
      <c r="B990" s="65" t="str">
        <f>IF($C990="","","GG"&amp;TEXT(ROW()-6,"00000"))</f>
        <v/>
      </c>
      <c r="C990" s="66"/>
      <c r="D990" s="60"/>
      <c r="E990" s="61"/>
      <c r="F990" s="61"/>
      <c r="G990" s="67"/>
      <c r="H990" s="60"/>
      <c r="I990" s="60"/>
      <c r="J990" s="61"/>
      <c r="K990" s="61"/>
      <c r="L990" s="60"/>
      <c r="M990" s="74" t="str">
        <f>IF($C990="","",IF($D990="Gider",$E990,IF($L990&lt;&gt;"",$L990,$H990)))</f>
        <v/>
      </c>
      <c r="N990" s="74" t="str">
        <f>IF($C990="","",IF($D990="Gider",$H990,$E990))</f>
        <v/>
      </c>
      <c r="O990" s="73" t="str">
        <f>IF($C990="","",DATE(YEAR($C990),MONTH($C990),1))</f>
        <v/>
      </c>
      <c r="P990" s="65" t="str">
        <f ca="1">IF($C990="","",IF(AND($D990="Gelir",$L990&lt;&gt;"",$T990=""),"TANIMSIZ BORÇLU",IF($T990&lt;&gt;"",IF(OR($E990="",$G990&lt;=0),"EKSİK",IF($I990="Evet","TAHAKKUK NAKİT OLAMAZ",IF($C990&gt;TODAY(),"İLERİ TARİH","TAHAKKUK"))),IF(AND($D990&lt;&gt;"",$E990&lt;&gt;"",$G990&gt;0,$H990&lt;&gt;"",$I990&lt;&gt;""),IF($C990&gt;TODAY(),"İLERİ TARİH",IF(COUNTIF($W$7:$W$3001,$W990)&gt;1,"MÜKERRER?",IF($AD990&gt;0,"KAPALI DÖNEM",IF($I990="Hayır","ÖDENECEK","UYGUN")))),"EKSİK"))))</f>
        <v/>
      </c>
      <c r="Q990" s="2"/>
      <c r="R990" s="2"/>
      <c r="S990" s="1" t="str">
        <f t="shared" si="47"/>
        <v/>
      </c>
      <c r="T990" s="1" t="str">
        <f>IF(OR($C990="",$D990&lt;&gt;"Gelir",$L990=""),"",IFERROR(INDEX(MUSTERILER!$B$7:$B$156,MATCH($S990,MUSTERILER!$T$7:$T$156,0)),""))</f>
        <v/>
      </c>
      <c r="U990" s="1" t="str">
        <f>IF($T990="","",$T990&amp;"|"&amp;COUNTIFS($T$7:$T990,$T990))</f>
        <v/>
      </c>
      <c r="V990" s="1">
        <f t="shared" si="48"/>
        <v>0</v>
      </c>
      <c r="W990" s="1" t="str">
        <f t="shared" si="49"/>
        <v/>
      </c>
      <c r="X990" s="1"/>
      <c r="Y990" s="1"/>
      <c r="Z990" s="1"/>
      <c r="AA990" s="1"/>
      <c r="AB990" s="1"/>
      <c r="AC990" s="1"/>
      <c r="AD990" s="1">
        <f>IF($C990="",0,SUMPRODUCT((AY_SONU!$O$7:$O$42="Evet")*(AY_SONU!$B$7:$B$42=DATE(YEAR($C990),MONTH($C990),1))))</f>
        <v>0</v>
      </c>
      <c r="AE990" s="1" t="str">
        <f>IF($E990="","",$E990&amp;"|"&amp;COUNTIFS($E$7:$E990,$E990))</f>
        <v/>
      </c>
    </row>
    <row r="991" spans="1:31" ht="18" customHeight="1" x14ac:dyDescent="0.3">
      <c r="A991" s="2"/>
      <c r="B991" s="65" t="str">
        <f>IF($C991="","","GG"&amp;TEXT(ROW()-6,"00000"))</f>
        <v/>
      </c>
      <c r="C991" s="66"/>
      <c r="D991" s="60"/>
      <c r="E991" s="61"/>
      <c r="F991" s="61"/>
      <c r="G991" s="67"/>
      <c r="H991" s="60"/>
      <c r="I991" s="60"/>
      <c r="J991" s="61"/>
      <c r="K991" s="61"/>
      <c r="L991" s="60"/>
      <c r="M991" s="74" t="str">
        <f>IF($C991="","",IF($D991="Gider",$E991,IF($L991&lt;&gt;"",$L991,$H991)))</f>
        <v/>
      </c>
      <c r="N991" s="74" t="str">
        <f>IF($C991="","",IF($D991="Gider",$H991,$E991))</f>
        <v/>
      </c>
      <c r="O991" s="73" t="str">
        <f>IF($C991="","",DATE(YEAR($C991),MONTH($C991),1))</f>
        <v/>
      </c>
      <c r="P991" s="65" t="str">
        <f ca="1">IF($C991="","",IF(AND($D991="Gelir",$L991&lt;&gt;"",$T991=""),"TANIMSIZ BORÇLU",IF($T991&lt;&gt;"",IF(OR($E991="",$G991&lt;=0),"EKSİK",IF($I991="Evet","TAHAKKUK NAKİT OLAMAZ",IF($C991&gt;TODAY(),"İLERİ TARİH","TAHAKKUK"))),IF(AND($D991&lt;&gt;"",$E991&lt;&gt;"",$G991&gt;0,$H991&lt;&gt;"",$I991&lt;&gt;""),IF($C991&gt;TODAY(),"İLERİ TARİH",IF(COUNTIF($W$7:$W$3001,$W991)&gt;1,"MÜKERRER?",IF($AD991&gt;0,"KAPALI DÖNEM",IF($I991="Hayır","ÖDENECEK","UYGUN")))),"EKSİK"))))</f>
        <v/>
      </c>
      <c r="Q991" s="2"/>
      <c r="R991" s="2"/>
      <c r="S991" s="1" t="str">
        <f t="shared" si="47"/>
        <v/>
      </c>
      <c r="T991" s="1" t="str">
        <f>IF(OR($C991="",$D991&lt;&gt;"Gelir",$L991=""),"",IFERROR(INDEX(MUSTERILER!$B$7:$B$156,MATCH($S991,MUSTERILER!$T$7:$T$156,0)),""))</f>
        <v/>
      </c>
      <c r="U991" s="1" t="str">
        <f>IF($T991="","",$T991&amp;"|"&amp;COUNTIFS($T$7:$T991,$T991))</f>
        <v/>
      </c>
      <c r="V991" s="1">
        <f t="shared" si="48"/>
        <v>0</v>
      </c>
      <c r="W991" s="1" t="str">
        <f t="shared" si="49"/>
        <v/>
      </c>
      <c r="X991" s="1"/>
      <c r="Y991" s="1"/>
      <c r="Z991" s="1"/>
      <c r="AA991" s="1"/>
      <c r="AB991" s="1"/>
      <c r="AC991" s="1"/>
      <c r="AD991" s="1">
        <f>IF($C991="",0,SUMPRODUCT((AY_SONU!$O$7:$O$42="Evet")*(AY_SONU!$B$7:$B$42=DATE(YEAR($C991),MONTH($C991),1))))</f>
        <v>0</v>
      </c>
      <c r="AE991" s="1" t="str">
        <f>IF($E991="","",$E991&amp;"|"&amp;COUNTIFS($E$7:$E991,$E991))</f>
        <v/>
      </c>
    </row>
    <row r="992" spans="1:31" ht="18" customHeight="1" x14ac:dyDescent="0.3">
      <c r="A992" s="2"/>
      <c r="B992" s="65" t="str">
        <f>IF($C992="","","GG"&amp;TEXT(ROW()-6,"00000"))</f>
        <v/>
      </c>
      <c r="C992" s="66"/>
      <c r="D992" s="60"/>
      <c r="E992" s="61"/>
      <c r="F992" s="61"/>
      <c r="G992" s="67"/>
      <c r="H992" s="60"/>
      <c r="I992" s="60"/>
      <c r="J992" s="61"/>
      <c r="K992" s="61"/>
      <c r="L992" s="60"/>
      <c r="M992" s="74" t="str">
        <f>IF($C992="","",IF($D992="Gider",$E992,IF($L992&lt;&gt;"",$L992,$H992)))</f>
        <v/>
      </c>
      <c r="N992" s="74" t="str">
        <f>IF($C992="","",IF($D992="Gider",$H992,$E992))</f>
        <v/>
      </c>
      <c r="O992" s="73" t="str">
        <f>IF($C992="","",DATE(YEAR($C992),MONTH($C992),1))</f>
        <v/>
      </c>
      <c r="P992" s="65" t="str">
        <f ca="1">IF($C992="","",IF(AND($D992="Gelir",$L992&lt;&gt;"",$T992=""),"TANIMSIZ BORÇLU",IF($T992&lt;&gt;"",IF(OR($E992="",$G992&lt;=0),"EKSİK",IF($I992="Evet","TAHAKKUK NAKİT OLAMAZ",IF($C992&gt;TODAY(),"İLERİ TARİH","TAHAKKUK"))),IF(AND($D992&lt;&gt;"",$E992&lt;&gt;"",$G992&gt;0,$H992&lt;&gt;"",$I992&lt;&gt;""),IF($C992&gt;TODAY(),"İLERİ TARİH",IF(COUNTIF($W$7:$W$3001,$W992)&gt;1,"MÜKERRER?",IF($AD992&gt;0,"KAPALI DÖNEM",IF($I992="Hayır","ÖDENECEK","UYGUN")))),"EKSİK"))))</f>
        <v/>
      </c>
      <c r="Q992" s="2"/>
      <c r="R992" s="2"/>
      <c r="S992" s="1" t="str">
        <f t="shared" si="47"/>
        <v/>
      </c>
      <c r="T992" s="1" t="str">
        <f>IF(OR($C992="",$D992&lt;&gt;"Gelir",$L992=""),"",IFERROR(INDEX(MUSTERILER!$B$7:$B$156,MATCH($S992,MUSTERILER!$T$7:$T$156,0)),""))</f>
        <v/>
      </c>
      <c r="U992" s="1" t="str">
        <f>IF($T992="","",$T992&amp;"|"&amp;COUNTIFS($T$7:$T992,$T992))</f>
        <v/>
      </c>
      <c r="V992" s="1">
        <f t="shared" si="48"/>
        <v>0</v>
      </c>
      <c r="W992" s="1" t="str">
        <f t="shared" si="49"/>
        <v/>
      </c>
      <c r="X992" s="1"/>
      <c r="Y992" s="1"/>
      <c r="Z992" s="1"/>
      <c r="AA992" s="1"/>
      <c r="AB992" s="1"/>
      <c r="AC992" s="1"/>
      <c r="AD992" s="1">
        <f>IF($C992="",0,SUMPRODUCT((AY_SONU!$O$7:$O$42="Evet")*(AY_SONU!$B$7:$B$42=DATE(YEAR($C992),MONTH($C992),1))))</f>
        <v>0</v>
      </c>
      <c r="AE992" s="1" t="str">
        <f>IF($E992="","",$E992&amp;"|"&amp;COUNTIFS($E$7:$E992,$E992))</f>
        <v/>
      </c>
    </row>
    <row r="993" spans="1:31" ht="18" customHeight="1" x14ac:dyDescent="0.3">
      <c r="A993" s="2"/>
      <c r="B993" s="65" t="str">
        <f>IF($C993="","","GG"&amp;TEXT(ROW()-6,"00000"))</f>
        <v/>
      </c>
      <c r="C993" s="66"/>
      <c r="D993" s="60"/>
      <c r="E993" s="61"/>
      <c r="F993" s="61"/>
      <c r="G993" s="67"/>
      <c r="H993" s="60"/>
      <c r="I993" s="60"/>
      <c r="J993" s="61"/>
      <c r="K993" s="61"/>
      <c r="L993" s="60"/>
      <c r="M993" s="74" t="str">
        <f>IF($C993="","",IF($D993="Gider",$E993,IF($L993&lt;&gt;"",$L993,$H993)))</f>
        <v/>
      </c>
      <c r="N993" s="74" t="str">
        <f>IF($C993="","",IF($D993="Gider",$H993,$E993))</f>
        <v/>
      </c>
      <c r="O993" s="73" t="str">
        <f>IF($C993="","",DATE(YEAR($C993),MONTH($C993),1))</f>
        <v/>
      </c>
      <c r="P993" s="65" t="str">
        <f ca="1">IF($C993="","",IF(AND($D993="Gelir",$L993&lt;&gt;"",$T993=""),"TANIMSIZ BORÇLU",IF($T993&lt;&gt;"",IF(OR($E993="",$G993&lt;=0),"EKSİK",IF($I993="Evet","TAHAKKUK NAKİT OLAMAZ",IF($C993&gt;TODAY(),"İLERİ TARİH","TAHAKKUK"))),IF(AND($D993&lt;&gt;"",$E993&lt;&gt;"",$G993&gt;0,$H993&lt;&gt;"",$I993&lt;&gt;""),IF($C993&gt;TODAY(),"İLERİ TARİH",IF(COUNTIF($W$7:$W$3001,$W993)&gt;1,"MÜKERRER?",IF($AD993&gt;0,"KAPALI DÖNEM",IF($I993="Hayır","ÖDENECEK","UYGUN")))),"EKSİK"))))</f>
        <v/>
      </c>
      <c r="Q993" s="2"/>
      <c r="R993" s="2"/>
      <c r="S993" s="1" t="str">
        <f t="shared" si="47"/>
        <v/>
      </c>
      <c r="T993" s="1" t="str">
        <f>IF(OR($C993="",$D993&lt;&gt;"Gelir",$L993=""),"",IFERROR(INDEX(MUSTERILER!$B$7:$B$156,MATCH($S993,MUSTERILER!$T$7:$T$156,0)),""))</f>
        <v/>
      </c>
      <c r="U993" s="1" t="str">
        <f>IF($T993="","",$T993&amp;"|"&amp;COUNTIFS($T$7:$T993,$T993))</f>
        <v/>
      </c>
      <c r="V993" s="1">
        <f t="shared" si="48"/>
        <v>0</v>
      </c>
      <c r="W993" s="1" t="str">
        <f t="shared" si="49"/>
        <v/>
      </c>
      <c r="X993" s="1"/>
      <c r="Y993" s="1"/>
      <c r="Z993" s="1"/>
      <c r="AA993" s="1"/>
      <c r="AB993" s="1"/>
      <c r="AC993" s="1"/>
      <c r="AD993" s="1">
        <f>IF($C993="",0,SUMPRODUCT((AY_SONU!$O$7:$O$42="Evet")*(AY_SONU!$B$7:$B$42=DATE(YEAR($C993),MONTH($C993),1))))</f>
        <v>0</v>
      </c>
      <c r="AE993" s="1" t="str">
        <f>IF($E993="","",$E993&amp;"|"&amp;COUNTIFS($E$7:$E993,$E993))</f>
        <v/>
      </c>
    </row>
    <row r="994" spans="1:31" ht="18" customHeight="1" x14ac:dyDescent="0.3">
      <c r="A994" s="2"/>
      <c r="B994" s="65" t="str">
        <f>IF($C994="","","GG"&amp;TEXT(ROW()-6,"00000"))</f>
        <v/>
      </c>
      <c r="C994" s="66"/>
      <c r="D994" s="60"/>
      <c r="E994" s="61"/>
      <c r="F994" s="61"/>
      <c r="G994" s="67"/>
      <c r="H994" s="60"/>
      <c r="I994" s="60"/>
      <c r="J994" s="61"/>
      <c r="K994" s="61"/>
      <c r="L994" s="60"/>
      <c r="M994" s="74" t="str">
        <f>IF($C994="","",IF($D994="Gider",$E994,IF($L994&lt;&gt;"",$L994,$H994)))</f>
        <v/>
      </c>
      <c r="N994" s="74" t="str">
        <f>IF($C994="","",IF($D994="Gider",$H994,$E994))</f>
        <v/>
      </c>
      <c r="O994" s="73" t="str">
        <f>IF($C994="","",DATE(YEAR($C994),MONTH($C994),1))</f>
        <v/>
      </c>
      <c r="P994" s="65" t="str">
        <f ca="1">IF($C994="","",IF(AND($D994="Gelir",$L994&lt;&gt;"",$T994=""),"TANIMSIZ BORÇLU",IF($T994&lt;&gt;"",IF(OR($E994="",$G994&lt;=0),"EKSİK",IF($I994="Evet","TAHAKKUK NAKİT OLAMAZ",IF($C994&gt;TODAY(),"İLERİ TARİH","TAHAKKUK"))),IF(AND($D994&lt;&gt;"",$E994&lt;&gt;"",$G994&gt;0,$H994&lt;&gt;"",$I994&lt;&gt;""),IF($C994&gt;TODAY(),"İLERİ TARİH",IF(COUNTIF($W$7:$W$3001,$W994)&gt;1,"MÜKERRER?",IF($AD994&gt;0,"KAPALI DÖNEM",IF($I994="Hayır","ÖDENECEK","UYGUN")))),"EKSİK"))))</f>
        <v/>
      </c>
      <c r="Q994" s="2"/>
      <c r="R994" s="2"/>
      <c r="S994" s="1" t="str">
        <f t="shared" si="47"/>
        <v/>
      </c>
      <c r="T994" s="1" t="str">
        <f>IF(OR($C994="",$D994&lt;&gt;"Gelir",$L994=""),"",IFERROR(INDEX(MUSTERILER!$B$7:$B$156,MATCH($S994,MUSTERILER!$T$7:$T$156,0)),""))</f>
        <v/>
      </c>
      <c r="U994" s="1" t="str">
        <f>IF($T994="","",$T994&amp;"|"&amp;COUNTIFS($T$7:$T994,$T994))</f>
        <v/>
      </c>
      <c r="V994" s="1">
        <f t="shared" si="48"/>
        <v>0</v>
      </c>
      <c r="W994" s="1" t="str">
        <f t="shared" si="49"/>
        <v/>
      </c>
      <c r="X994" s="1"/>
      <c r="Y994" s="1"/>
      <c r="Z994" s="1"/>
      <c r="AA994" s="1"/>
      <c r="AB994" s="1"/>
      <c r="AC994" s="1"/>
      <c r="AD994" s="1">
        <f>IF($C994="",0,SUMPRODUCT((AY_SONU!$O$7:$O$42="Evet")*(AY_SONU!$B$7:$B$42=DATE(YEAR($C994),MONTH($C994),1))))</f>
        <v>0</v>
      </c>
      <c r="AE994" s="1" t="str">
        <f>IF($E994="","",$E994&amp;"|"&amp;COUNTIFS($E$7:$E994,$E994))</f>
        <v/>
      </c>
    </row>
    <row r="995" spans="1:31" ht="18" customHeight="1" x14ac:dyDescent="0.3">
      <c r="A995" s="2"/>
      <c r="B995" s="65" t="str">
        <f>IF($C995="","","GG"&amp;TEXT(ROW()-6,"00000"))</f>
        <v/>
      </c>
      <c r="C995" s="66"/>
      <c r="D995" s="60"/>
      <c r="E995" s="61"/>
      <c r="F995" s="61"/>
      <c r="G995" s="67"/>
      <c r="H995" s="60"/>
      <c r="I995" s="60"/>
      <c r="J995" s="61"/>
      <c r="K995" s="61"/>
      <c r="L995" s="60"/>
      <c r="M995" s="74" t="str">
        <f>IF($C995="","",IF($D995="Gider",$E995,IF($L995&lt;&gt;"",$L995,$H995)))</f>
        <v/>
      </c>
      <c r="N995" s="74" t="str">
        <f>IF($C995="","",IF($D995="Gider",$H995,$E995))</f>
        <v/>
      </c>
      <c r="O995" s="73" t="str">
        <f>IF($C995="","",DATE(YEAR($C995),MONTH($C995),1))</f>
        <v/>
      </c>
      <c r="P995" s="65" t="str">
        <f ca="1">IF($C995="","",IF(AND($D995="Gelir",$L995&lt;&gt;"",$T995=""),"TANIMSIZ BORÇLU",IF($T995&lt;&gt;"",IF(OR($E995="",$G995&lt;=0),"EKSİK",IF($I995="Evet","TAHAKKUK NAKİT OLAMAZ",IF($C995&gt;TODAY(),"İLERİ TARİH","TAHAKKUK"))),IF(AND($D995&lt;&gt;"",$E995&lt;&gt;"",$G995&gt;0,$H995&lt;&gt;"",$I995&lt;&gt;""),IF($C995&gt;TODAY(),"İLERİ TARİH",IF(COUNTIF($W$7:$W$3001,$W995)&gt;1,"MÜKERRER?",IF($AD995&gt;0,"KAPALI DÖNEM",IF($I995="Hayır","ÖDENECEK","UYGUN")))),"EKSİK"))))</f>
        <v/>
      </c>
      <c r="Q995" s="2"/>
      <c r="R995" s="2"/>
      <c r="S995" s="1" t="str">
        <f t="shared" si="47"/>
        <v/>
      </c>
      <c r="T995" s="1" t="str">
        <f>IF(OR($C995="",$D995&lt;&gt;"Gelir",$L995=""),"",IFERROR(INDEX(MUSTERILER!$B$7:$B$156,MATCH($S995,MUSTERILER!$T$7:$T$156,0)),""))</f>
        <v/>
      </c>
      <c r="U995" s="1" t="str">
        <f>IF($T995="","",$T995&amp;"|"&amp;COUNTIFS($T$7:$T995,$T995))</f>
        <v/>
      </c>
      <c r="V995" s="1">
        <f t="shared" si="48"/>
        <v>0</v>
      </c>
      <c r="W995" s="1" t="str">
        <f t="shared" si="49"/>
        <v/>
      </c>
      <c r="X995" s="1"/>
      <c r="Y995" s="1"/>
      <c r="Z995" s="1"/>
      <c r="AA995" s="1"/>
      <c r="AB995" s="1"/>
      <c r="AC995" s="1"/>
      <c r="AD995" s="1">
        <f>IF($C995="",0,SUMPRODUCT((AY_SONU!$O$7:$O$42="Evet")*(AY_SONU!$B$7:$B$42=DATE(YEAR($C995),MONTH($C995),1))))</f>
        <v>0</v>
      </c>
      <c r="AE995" s="1" t="str">
        <f>IF($E995="","",$E995&amp;"|"&amp;COUNTIFS($E$7:$E995,$E995))</f>
        <v/>
      </c>
    </row>
    <row r="996" spans="1:31" ht="18" customHeight="1" x14ac:dyDescent="0.3">
      <c r="A996" s="2"/>
      <c r="B996" s="65" t="str">
        <f>IF($C996="","","GG"&amp;TEXT(ROW()-6,"00000"))</f>
        <v/>
      </c>
      <c r="C996" s="66"/>
      <c r="D996" s="60"/>
      <c r="E996" s="61"/>
      <c r="F996" s="61"/>
      <c r="G996" s="67"/>
      <c r="H996" s="60"/>
      <c r="I996" s="60"/>
      <c r="J996" s="61"/>
      <c r="K996" s="61"/>
      <c r="L996" s="60"/>
      <c r="M996" s="74" t="str">
        <f>IF($C996="","",IF($D996="Gider",$E996,IF($L996&lt;&gt;"",$L996,$H996)))</f>
        <v/>
      </c>
      <c r="N996" s="74" t="str">
        <f>IF($C996="","",IF($D996="Gider",$H996,$E996))</f>
        <v/>
      </c>
      <c r="O996" s="73" t="str">
        <f>IF($C996="","",DATE(YEAR($C996),MONTH($C996),1))</f>
        <v/>
      </c>
      <c r="P996" s="65" t="str">
        <f ca="1">IF($C996="","",IF(AND($D996="Gelir",$L996&lt;&gt;"",$T996=""),"TANIMSIZ BORÇLU",IF($T996&lt;&gt;"",IF(OR($E996="",$G996&lt;=0),"EKSİK",IF($I996="Evet","TAHAKKUK NAKİT OLAMAZ",IF($C996&gt;TODAY(),"İLERİ TARİH","TAHAKKUK"))),IF(AND($D996&lt;&gt;"",$E996&lt;&gt;"",$G996&gt;0,$H996&lt;&gt;"",$I996&lt;&gt;""),IF($C996&gt;TODAY(),"İLERİ TARİH",IF(COUNTIF($W$7:$W$3001,$W996)&gt;1,"MÜKERRER?",IF($AD996&gt;0,"KAPALI DÖNEM",IF($I996="Hayır","ÖDENECEK","UYGUN")))),"EKSİK"))))</f>
        <v/>
      </c>
      <c r="Q996" s="2"/>
      <c r="R996" s="2"/>
      <c r="S996" s="1" t="str">
        <f t="shared" si="47"/>
        <v/>
      </c>
      <c r="T996" s="1" t="str">
        <f>IF(OR($C996="",$D996&lt;&gt;"Gelir",$L996=""),"",IFERROR(INDEX(MUSTERILER!$B$7:$B$156,MATCH($S996,MUSTERILER!$T$7:$T$156,0)),""))</f>
        <v/>
      </c>
      <c r="U996" s="1" t="str">
        <f>IF($T996="","",$T996&amp;"|"&amp;COUNTIFS($T$7:$T996,$T996))</f>
        <v/>
      </c>
      <c r="V996" s="1">
        <f t="shared" si="48"/>
        <v>0</v>
      </c>
      <c r="W996" s="1" t="str">
        <f t="shared" si="49"/>
        <v/>
      </c>
      <c r="X996" s="1"/>
      <c r="Y996" s="1"/>
      <c r="Z996" s="1"/>
      <c r="AA996" s="1"/>
      <c r="AB996" s="1"/>
      <c r="AC996" s="1"/>
      <c r="AD996" s="1">
        <f>IF($C996="",0,SUMPRODUCT((AY_SONU!$O$7:$O$42="Evet")*(AY_SONU!$B$7:$B$42=DATE(YEAR($C996),MONTH($C996),1))))</f>
        <v>0</v>
      </c>
      <c r="AE996" s="1" t="str">
        <f>IF($E996="","",$E996&amp;"|"&amp;COUNTIFS($E$7:$E996,$E996))</f>
        <v/>
      </c>
    </row>
    <row r="997" spans="1:31" ht="18" customHeight="1" x14ac:dyDescent="0.3">
      <c r="A997" s="2"/>
      <c r="B997" s="65" t="str">
        <f>IF($C997="","","GG"&amp;TEXT(ROW()-6,"00000"))</f>
        <v/>
      </c>
      <c r="C997" s="66"/>
      <c r="D997" s="60"/>
      <c r="E997" s="61"/>
      <c r="F997" s="61"/>
      <c r="G997" s="67"/>
      <c r="H997" s="60"/>
      <c r="I997" s="60"/>
      <c r="J997" s="61"/>
      <c r="K997" s="61"/>
      <c r="L997" s="60"/>
      <c r="M997" s="74" t="str">
        <f>IF($C997="","",IF($D997="Gider",$E997,IF($L997&lt;&gt;"",$L997,$H997)))</f>
        <v/>
      </c>
      <c r="N997" s="74" t="str">
        <f>IF($C997="","",IF($D997="Gider",$H997,$E997))</f>
        <v/>
      </c>
      <c r="O997" s="73" t="str">
        <f>IF($C997="","",DATE(YEAR($C997),MONTH($C997),1))</f>
        <v/>
      </c>
      <c r="P997" s="65" t="str">
        <f ca="1">IF($C997="","",IF(AND($D997="Gelir",$L997&lt;&gt;"",$T997=""),"TANIMSIZ BORÇLU",IF($T997&lt;&gt;"",IF(OR($E997="",$G997&lt;=0),"EKSİK",IF($I997="Evet","TAHAKKUK NAKİT OLAMAZ",IF($C997&gt;TODAY(),"İLERİ TARİH","TAHAKKUK"))),IF(AND($D997&lt;&gt;"",$E997&lt;&gt;"",$G997&gt;0,$H997&lt;&gt;"",$I997&lt;&gt;""),IF($C997&gt;TODAY(),"İLERİ TARİH",IF(COUNTIF($W$7:$W$3001,$W997)&gt;1,"MÜKERRER?",IF($AD997&gt;0,"KAPALI DÖNEM",IF($I997="Hayır","ÖDENECEK","UYGUN")))),"EKSİK"))))</f>
        <v/>
      </c>
      <c r="Q997" s="2"/>
      <c r="R997" s="2"/>
      <c r="S997" s="1" t="str">
        <f t="shared" si="47"/>
        <v/>
      </c>
      <c r="T997" s="1" t="str">
        <f>IF(OR($C997="",$D997&lt;&gt;"Gelir",$L997=""),"",IFERROR(INDEX(MUSTERILER!$B$7:$B$156,MATCH($S997,MUSTERILER!$T$7:$T$156,0)),""))</f>
        <v/>
      </c>
      <c r="U997" s="1" t="str">
        <f>IF($T997="","",$T997&amp;"|"&amp;COUNTIFS($T$7:$T997,$T997))</f>
        <v/>
      </c>
      <c r="V997" s="1">
        <f t="shared" si="48"/>
        <v>0</v>
      </c>
      <c r="W997" s="1" t="str">
        <f t="shared" si="49"/>
        <v/>
      </c>
      <c r="X997" s="1"/>
      <c r="Y997" s="1"/>
      <c r="Z997" s="1"/>
      <c r="AA997" s="1"/>
      <c r="AB997" s="1"/>
      <c r="AC997" s="1"/>
      <c r="AD997" s="1">
        <f>IF($C997="",0,SUMPRODUCT((AY_SONU!$O$7:$O$42="Evet")*(AY_SONU!$B$7:$B$42=DATE(YEAR($C997),MONTH($C997),1))))</f>
        <v>0</v>
      </c>
      <c r="AE997" s="1" t="str">
        <f>IF($E997="","",$E997&amp;"|"&amp;COUNTIFS($E$7:$E997,$E997))</f>
        <v/>
      </c>
    </row>
    <row r="998" spans="1:31" ht="18" customHeight="1" x14ac:dyDescent="0.3">
      <c r="A998" s="2"/>
      <c r="B998" s="65" t="str">
        <f>IF($C998="","","GG"&amp;TEXT(ROW()-6,"00000"))</f>
        <v/>
      </c>
      <c r="C998" s="66"/>
      <c r="D998" s="60"/>
      <c r="E998" s="61"/>
      <c r="F998" s="61"/>
      <c r="G998" s="67"/>
      <c r="H998" s="60"/>
      <c r="I998" s="60"/>
      <c r="J998" s="61"/>
      <c r="K998" s="61"/>
      <c r="L998" s="60"/>
      <c r="M998" s="74" t="str">
        <f>IF($C998="","",IF($D998="Gider",$E998,IF($L998&lt;&gt;"",$L998,$H998)))</f>
        <v/>
      </c>
      <c r="N998" s="74" t="str">
        <f>IF($C998="","",IF($D998="Gider",$H998,$E998))</f>
        <v/>
      </c>
      <c r="O998" s="73" t="str">
        <f>IF($C998="","",DATE(YEAR($C998),MONTH($C998),1))</f>
        <v/>
      </c>
      <c r="P998" s="65" t="str">
        <f ca="1">IF($C998="","",IF(AND($D998="Gelir",$L998&lt;&gt;"",$T998=""),"TANIMSIZ BORÇLU",IF($T998&lt;&gt;"",IF(OR($E998="",$G998&lt;=0),"EKSİK",IF($I998="Evet","TAHAKKUK NAKİT OLAMAZ",IF($C998&gt;TODAY(),"İLERİ TARİH","TAHAKKUK"))),IF(AND($D998&lt;&gt;"",$E998&lt;&gt;"",$G998&gt;0,$H998&lt;&gt;"",$I998&lt;&gt;""),IF($C998&gt;TODAY(),"İLERİ TARİH",IF(COUNTIF($W$7:$W$3001,$W998)&gt;1,"MÜKERRER?",IF($AD998&gt;0,"KAPALI DÖNEM",IF($I998="Hayır","ÖDENECEK","UYGUN")))),"EKSİK"))))</f>
        <v/>
      </c>
      <c r="Q998" s="2"/>
      <c r="R998" s="2"/>
      <c r="S998" s="1" t="str">
        <f t="shared" si="47"/>
        <v/>
      </c>
      <c r="T998" s="1" t="str">
        <f>IF(OR($C998="",$D998&lt;&gt;"Gelir",$L998=""),"",IFERROR(INDEX(MUSTERILER!$B$7:$B$156,MATCH($S998,MUSTERILER!$T$7:$T$156,0)),""))</f>
        <v/>
      </c>
      <c r="U998" s="1" t="str">
        <f>IF($T998="","",$T998&amp;"|"&amp;COUNTIFS($T$7:$T998,$T998))</f>
        <v/>
      </c>
      <c r="V998" s="1">
        <f t="shared" si="48"/>
        <v>0</v>
      </c>
      <c r="W998" s="1" t="str">
        <f t="shared" si="49"/>
        <v/>
      </c>
      <c r="X998" s="1"/>
      <c r="Y998" s="1"/>
      <c r="Z998" s="1"/>
      <c r="AA998" s="1"/>
      <c r="AB998" s="1"/>
      <c r="AC998" s="1"/>
      <c r="AD998" s="1">
        <f>IF($C998="",0,SUMPRODUCT((AY_SONU!$O$7:$O$42="Evet")*(AY_SONU!$B$7:$B$42=DATE(YEAR($C998),MONTH($C998),1))))</f>
        <v>0</v>
      </c>
      <c r="AE998" s="1" t="str">
        <f>IF($E998="","",$E998&amp;"|"&amp;COUNTIFS($E$7:$E998,$E998))</f>
        <v/>
      </c>
    </row>
    <row r="999" spans="1:31" ht="18" customHeight="1" x14ac:dyDescent="0.3">
      <c r="A999" s="2"/>
      <c r="B999" s="65" t="str">
        <f>IF($C999="","","GG"&amp;TEXT(ROW()-6,"00000"))</f>
        <v/>
      </c>
      <c r="C999" s="66"/>
      <c r="D999" s="60"/>
      <c r="E999" s="61"/>
      <c r="F999" s="61"/>
      <c r="G999" s="67"/>
      <c r="H999" s="60"/>
      <c r="I999" s="60"/>
      <c r="J999" s="61"/>
      <c r="K999" s="61"/>
      <c r="L999" s="60"/>
      <c r="M999" s="74" t="str">
        <f>IF($C999="","",IF($D999="Gider",$E999,IF($L999&lt;&gt;"",$L999,$H999)))</f>
        <v/>
      </c>
      <c r="N999" s="74" t="str">
        <f>IF($C999="","",IF($D999="Gider",$H999,$E999))</f>
        <v/>
      </c>
      <c r="O999" s="73" t="str">
        <f>IF($C999="","",DATE(YEAR($C999),MONTH($C999),1))</f>
        <v/>
      </c>
      <c r="P999" s="65" t="str">
        <f ca="1">IF($C999="","",IF(AND($D999="Gelir",$L999&lt;&gt;"",$T999=""),"TANIMSIZ BORÇLU",IF($T999&lt;&gt;"",IF(OR($E999="",$G999&lt;=0),"EKSİK",IF($I999="Evet","TAHAKKUK NAKİT OLAMAZ",IF($C999&gt;TODAY(),"İLERİ TARİH","TAHAKKUK"))),IF(AND($D999&lt;&gt;"",$E999&lt;&gt;"",$G999&gt;0,$H999&lt;&gt;"",$I999&lt;&gt;""),IF($C999&gt;TODAY(),"İLERİ TARİH",IF(COUNTIF($W$7:$W$3001,$W999)&gt;1,"MÜKERRER?",IF($AD999&gt;0,"KAPALI DÖNEM",IF($I999="Hayır","ÖDENECEK","UYGUN")))),"EKSİK"))))</f>
        <v/>
      </c>
      <c r="Q999" s="2"/>
      <c r="R999" s="2"/>
      <c r="S999" s="1" t="str">
        <f t="shared" si="47"/>
        <v/>
      </c>
      <c r="T999" s="1" t="str">
        <f>IF(OR($C999="",$D999&lt;&gt;"Gelir",$L999=""),"",IFERROR(INDEX(MUSTERILER!$B$7:$B$156,MATCH($S999,MUSTERILER!$T$7:$T$156,0)),""))</f>
        <v/>
      </c>
      <c r="U999" s="1" t="str">
        <f>IF($T999="","",$T999&amp;"|"&amp;COUNTIFS($T$7:$T999,$T999))</f>
        <v/>
      </c>
      <c r="V999" s="1">
        <f t="shared" si="48"/>
        <v>0</v>
      </c>
      <c r="W999" s="1" t="str">
        <f t="shared" si="49"/>
        <v/>
      </c>
      <c r="X999" s="1"/>
      <c r="Y999" s="1"/>
      <c r="Z999" s="1"/>
      <c r="AA999" s="1"/>
      <c r="AB999" s="1"/>
      <c r="AC999" s="1"/>
      <c r="AD999" s="1">
        <f>IF($C999="",0,SUMPRODUCT((AY_SONU!$O$7:$O$42="Evet")*(AY_SONU!$B$7:$B$42=DATE(YEAR($C999),MONTH($C999),1))))</f>
        <v>0</v>
      </c>
      <c r="AE999" s="1" t="str">
        <f>IF($E999="","",$E999&amp;"|"&amp;COUNTIFS($E$7:$E999,$E999))</f>
        <v/>
      </c>
    </row>
    <row r="1000" spans="1:31" ht="18" customHeight="1" x14ac:dyDescent="0.3">
      <c r="A1000" s="2"/>
      <c r="B1000" s="65" t="str">
        <f>IF($C1000="","","GG"&amp;TEXT(ROW()-6,"00000"))</f>
        <v/>
      </c>
      <c r="C1000" s="66"/>
      <c r="D1000" s="60"/>
      <c r="E1000" s="61"/>
      <c r="F1000" s="61"/>
      <c r="G1000" s="67"/>
      <c r="H1000" s="60"/>
      <c r="I1000" s="60"/>
      <c r="J1000" s="61"/>
      <c r="K1000" s="61"/>
      <c r="L1000" s="60"/>
      <c r="M1000" s="74" t="str">
        <f>IF($C1000="","",IF($D1000="Gider",$E1000,IF($L1000&lt;&gt;"",$L1000,$H1000)))</f>
        <v/>
      </c>
      <c r="N1000" s="74" t="str">
        <f>IF($C1000="","",IF($D1000="Gider",$H1000,$E1000))</f>
        <v/>
      </c>
      <c r="O1000" s="73" t="str">
        <f>IF($C1000="","",DATE(YEAR($C1000),MONTH($C1000),1))</f>
        <v/>
      </c>
      <c r="P1000" s="65" t="str">
        <f ca="1">IF($C1000="","",IF(AND($D1000="Gelir",$L1000&lt;&gt;"",$T1000=""),"TANIMSIZ BORÇLU",IF($T1000&lt;&gt;"",IF(OR($E1000="",$G1000&lt;=0),"EKSİK",IF($I1000="Evet","TAHAKKUK NAKİT OLAMAZ",IF($C1000&gt;TODAY(),"İLERİ TARİH","TAHAKKUK"))),IF(AND($D1000&lt;&gt;"",$E1000&lt;&gt;"",$G1000&gt;0,$H1000&lt;&gt;"",$I1000&lt;&gt;""),IF($C1000&gt;TODAY(),"İLERİ TARİH",IF(COUNTIF($W$7:$W$3001,$W1000)&gt;1,"MÜKERRER?",IF($AD1000&gt;0,"KAPALI DÖNEM",IF($I1000="Hayır","ÖDENECEK","UYGUN")))),"EKSİK"))))</f>
        <v/>
      </c>
      <c r="Q1000" s="2"/>
      <c r="R1000" s="2"/>
      <c r="S1000" s="1" t="str">
        <f t="shared" si="47"/>
        <v/>
      </c>
      <c r="T1000" s="1" t="str">
        <f>IF(OR($C1000="",$D1000&lt;&gt;"Gelir",$L1000=""),"",IFERROR(INDEX(MUSTERILER!$B$7:$B$156,MATCH($S1000,MUSTERILER!$T$7:$T$156,0)),""))</f>
        <v/>
      </c>
      <c r="U1000" s="1" t="str">
        <f>IF($T1000="","",$T1000&amp;"|"&amp;COUNTIFS($T$7:$T1000,$T1000))</f>
        <v/>
      </c>
      <c r="V1000" s="1">
        <f t="shared" si="48"/>
        <v>0</v>
      </c>
      <c r="W1000" s="1" t="str">
        <f t="shared" si="49"/>
        <v/>
      </c>
      <c r="X1000" s="1"/>
      <c r="Y1000" s="1"/>
      <c r="Z1000" s="1"/>
      <c r="AA1000" s="1"/>
      <c r="AB1000" s="1"/>
      <c r="AC1000" s="1"/>
      <c r="AD1000" s="1">
        <f>IF($C1000="",0,SUMPRODUCT((AY_SONU!$O$7:$O$42="Evet")*(AY_SONU!$B$7:$B$42=DATE(YEAR($C1000),MONTH($C1000),1))))</f>
        <v>0</v>
      </c>
      <c r="AE1000" s="1" t="str">
        <f>IF($E1000="","",$E1000&amp;"|"&amp;COUNTIFS($E$7:$E1000,$E1000))</f>
        <v/>
      </c>
    </row>
    <row r="1001" spans="1:31" ht="18" customHeight="1" x14ac:dyDescent="0.3">
      <c r="A1001" s="2"/>
      <c r="B1001" s="65" t="str">
        <f>IF($C1001="","","GG"&amp;TEXT(ROW()-6,"00000"))</f>
        <v/>
      </c>
      <c r="C1001" s="66"/>
      <c r="D1001" s="60"/>
      <c r="E1001" s="61"/>
      <c r="F1001" s="61"/>
      <c r="G1001" s="67"/>
      <c r="H1001" s="60"/>
      <c r="I1001" s="60"/>
      <c r="J1001" s="61"/>
      <c r="K1001" s="61"/>
      <c r="L1001" s="60"/>
      <c r="M1001" s="74" t="str">
        <f>IF($C1001="","",IF($D1001="Gider",$E1001,IF($L1001&lt;&gt;"",$L1001,$H1001)))</f>
        <v/>
      </c>
      <c r="N1001" s="74" t="str">
        <f>IF($C1001="","",IF($D1001="Gider",$H1001,$E1001))</f>
        <v/>
      </c>
      <c r="O1001" s="73" t="str">
        <f>IF($C1001="","",DATE(YEAR($C1001),MONTH($C1001),1))</f>
        <v/>
      </c>
      <c r="P1001" s="65" t="str">
        <f ca="1">IF($C1001="","",IF(AND($D1001="Gelir",$L1001&lt;&gt;"",$T1001=""),"TANIMSIZ BORÇLU",IF($T1001&lt;&gt;"",IF(OR($E1001="",$G1001&lt;=0),"EKSİK",IF($I1001="Evet","TAHAKKUK NAKİT OLAMAZ",IF($C1001&gt;TODAY(),"İLERİ TARİH","TAHAKKUK"))),IF(AND($D1001&lt;&gt;"",$E1001&lt;&gt;"",$G1001&gt;0,$H1001&lt;&gt;"",$I1001&lt;&gt;""),IF($C1001&gt;TODAY(),"İLERİ TARİH",IF(COUNTIF($W$7:$W$3001,$W1001)&gt;1,"MÜKERRER?",IF($AD1001&gt;0,"KAPALI DÖNEM",IF($I1001="Hayır","ÖDENECEK","UYGUN")))),"EKSİK"))))</f>
        <v/>
      </c>
      <c r="Q1001" s="2"/>
      <c r="R1001" s="2"/>
      <c r="S1001" s="1" t="str">
        <f t="shared" si="47"/>
        <v/>
      </c>
      <c r="T1001" s="1" t="str">
        <f>IF(OR($C1001="",$D1001&lt;&gt;"Gelir",$L1001=""),"",IFERROR(INDEX(MUSTERILER!$B$7:$B$156,MATCH($S1001,MUSTERILER!$T$7:$T$156,0)),""))</f>
        <v/>
      </c>
      <c r="U1001" s="1" t="str">
        <f>IF($T1001="","",$T1001&amp;"|"&amp;COUNTIFS($T$7:$T1001,$T1001))</f>
        <v/>
      </c>
      <c r="V1001" s="1">
        <f t="shared" si="48"/>
        <v>0</v>
      </c>
      <c r="W1001" s="1" t="str">
        <f t="shared" si="49"/>
        <v/>
      </c>
      <c r="X1001" s="1"/>
      <c r="Y1001" s="1"/>
      <c r="Z1001" s="1"/>
      <c r="AA1001" s="1"/>
      <c r="AB1001" s="1"/>
      <c r="AC1001" s="1"/>
      <c r="AD1001" s="1">
        <f>IF($C1001="",0,SUMPRODUCT((AY_SONU!$O$7:$O$42="Evet")*(AY_SONU!$B$7:$B$42=DATE(YEAR($C1001),MONTH($C1001),1))))</f>
        <v>0</v>
      </c>
      <c r="AE1001" s="1" t="str">
        <f>IF($E1001="","",$E1001&amp;"|"&amp;COUNTIFS($E$7:$E1001,$E1001))</f>
        <v/>
      </c>
    </row>
    <row r="1002" spans="1:31" ht="18" customHeight="1" x14ac:dyDescent="0.3">
      <c r="A1002" s="2"/>
      <c r="B1002" s="65" t="str">
        <f>IF($C1002="","","GG"&amp;TEXT(ROW()-6,"00000"))</f>
        <v/>
      </c>
      <c r="C1002" s="66"/>
      <c r="D1002" s="60"/>
      <c r="E1002" s="61"/>
      <c r="F1002" s="61"/>
      <c r="G1002" s="67"/>
      <c r="H1002" s="60"/>
      <c r="I1002" s="60"/>
      <c r="J1002" s="61"/>
      <c r="K1002" s="61"/>
      <c r="L1002" s="60"/>
      <c r="M1002" s="74" t="str">
        <f>IF($C1002="","",IF($D1002="Gider",$E1002,IF($L1002&lt;&gt;"",$L1002,$H1002)))</f>
        <v/>
      </c>
      <c r="N1002" s="74" t="str">
        <f>IF($C1002="","",IF($D1002="Gider",$H1002,$E1002))</f>
        <v/>
      </c>
      <c r="O1002" s="73" t="str">
        <f>IF($C1002="","",DATE(YEAR($C1002),MONTH($C1002),1))</f>
        <v/>
      </c>
      <c r="P1002" s="65" t="str">
        <f ca="1">IF($C1002="","",IF(AND($D1002="Gelir",$L1002&lt;&gt;"",$T1002=""),"TANIMSIZ BORÇLU",IF($T1002&lt;&gt;"",IF(OR($E1002="",$G1002&lt;=0),"EKSİK",IF($I1002="Evet","TAHAKKUK NAKİT OLAMAZ",IF($C1002&gt;TODAY(),"İLERİ TARİH","TAHAKKUK"))),IF(AND($D1002&lt;&gt;"",$E1002&lt;&gt;"",$G1002&gt;0,$H1002&lt;&gt;"",$I1002&lt;&gt;""),IF($C1002&gt;TODAY(),"İLERİ TARİH",IF(COUNTIF($W$7:$W$3001,$W1002)&gt;1,"MÜKERRER?",IF($AD1002&gt;0,"KAPALI DÖNEM",IF($I1002="Hayır","ÖDENECEK","UYGUN")))),"EKSİK"))))</f>
        <v/>
      </c>
      <c r="Q1002" s="2"/>
      <c r="R1002" s="2"/>
      <c r="S1002" s="1" t="str">
        <f t="shared" si="47"/>
        <v/>
      </c>
      <c r="T1002" s="1" t="str">
        <f>IF(OR($C1002="",$D1002&lt;&gt;"Gelir",$L1002=""),"",IFERROR(INDEX(MUSTERILER!$B$7:$B$156,MATCH($S1002,MUSTERILER!$T$7:$T$156,0)),""))</f>
        <v/>
      </c>
      <c r="U1002" s="1" t="str">
        <f>IF($T1002="","",$T1002&amp;"|"&amp;COUNTIFS($T$7:$T1002,$T1002))</f>
        <v/>
      </c>
      <c r="V1002" s="1">
        <f t="shared" si="48"/>
        <v>0</v>
      </c>
      <c r="W1002" s="1" t="str">
        <f t="shared" si="49"/>
        <v/>
      </c>
      <c r="X1002" s="1"/>
      <c r="Y1002" s="1"/>
      <c r="Z1002" s="1"/>
      <c r="AA1002" s="1"/>
      <c r="AB1002" s="1"/>
      <c r="AC1002" s="1"/>
      <c r="AD1002" s="1">
        <f>IF($C1002="",0,SUMPRODUCT((AY_SONU!$O$7:$O$42="Evet")*(AY_SONU!$B$7:$B$42=DATE(YEAR($C1002),MONTH($C1002),1))))</f>
        <v>0</v>
      </c>
      <c r="AE1002" s="1" t="str">
        <f>IF($E1002="","",$E1002&amp;"|"&amp;COUNTIFS($E$7:$E1002,$E1002))</f>
        <v/>
      </c>
    </row>
    <row r="1003" spans="1:31" ht="18" customHeight="1" x14ac:dyDescent="0.3">
      <c r="A1003" s="2"/>
      <c r="B1003" s="65" t="str">
        <f>IF($C1003="","","GG"&amp;TEXT(ROW()-6,"00000"))</f>
        <v/>
      </c>
      <c r="C1003" s="66"/>
      <c r="D1003" s="60"/>
      <c r="E1003" s="61"/>
      <c r="F1003" s="61"/>
      <c r="G1003" s="67"/>
      <c r="H1003" s="60"/>
      <c r="I1003" s="60"/>
      <c r="J1003" s="61"/>
      <c r="K1003" s="61"/>
      <c r="L1003" s="60"/>
      <c r="M1003" s="74" t="str">
        <f>IF($C1003="","",IF($D1003="Gider",$E1003,IF($L1003&lt;&gt;"",$L1003,$H1003)))</f>
        <v/>
      </c>
      <c r="N1003" s="74" t="str">
        <f>IF($C1003="","",IF($D1003="Gider",$H1003,$E1003))</f>
        <v/>
      </c>
      <c r="O1003" s="73" t="str">
        <f>IF($C1003="","",DATE(YEAR($C1003),MONTH($C1003),1))</f>
        <v/>
      </c>
      <c r="P1003" s="65" t="str">
        <f ca="1">IF($C1003="","",IF(AND($D1003="Gelir",$L1003&lt;&gt;"",$T1003=""),"TANIMSIZ BORÇLU",IF($T1003&lt;&gt;"",IF(OR($E1003="",$G1003&lt;=0),"EKSİK",IF($I1003="Evet","TAHAKKUK NAKİT OLAMAZ",IF($C1003&gt;TODAY(),"İLERİ TARİH","TAHAKKUK"))),IF(AND($D1003&lt;&gt;"",$E1003&lt;&gt;"",$G1003&gt;0,$H1003&lt;&gt;"",$I1003&lt;&gt;""),IF($C1003&gt;TODAY(),"İLERİ TARİH",IF(COUNTIF($W$7:$W$3001,$W1003)&gt;1,"MÜKERRER?",IF($AD1003&gt;0,"KAPALI DÖNEM",IF($I1003="Hayır","ÖDENECEK","UYGUN")))),"EKSİK"))))</f>
        <v/>
      </c>
      <c r="Q1003" s="2"/>
      <c r="R1003" s="2"/>
      <c r="S1003" s="1" t="str">
        <f t="shared" si="47"/>
        <v/>
      </c>
      <c r="T1003" s="1" t="str">
        <f>IF(OR($C1003="",$D1003&lt;&gt;"Gelir",$L1003=""),"",IFERROR(INDEX(MUSTERILER!$B$7:$B$156,MATCH($S1003,MUSTERILER!$T$7:$T$156,0)),""))</f>
        <v/>
      </c>
      <c r="U1003" s="1" t="str">
        <f>IF($T1003="","",$T1003&amp;"|"&amp;COUNTIFS($T$7:$T1003,$T1003))</f>
        <v/>
      </c>
      <c r="V1003" s="1">
        <f t="shared" si="48"/>
        <v>0</v>
      </c>
      <c r="W1003" s="1" t="str">
        <f t="shared" si="49"/>
        <v/>
      </c>
      <c r="X1003" s="1"/>
      <c r="Y1003" s="1"/>
      <c r="Z1003" s="1"/>
      <c r="AA1003" s="1"/>
      <c r="AB1003" s="1"/>
      <c r="AC1003" s="1"/>
      <c r="AD1003" s="1">
        <f>IF($C1003="",0,SUMPRODUCT((AY_SONU!$O$7:$O$42="Evet")*(AY_SONU!$B$7:$B$42=DATE(YEAR($C1003),MONTH($C1003),1))))</f>
        <v>0</v>
      </c>
      <c r="AE1003" s="1" t="str">
        <f>IF($E1003="","",$E1003&amp;"|"&amp;COUNTIFS($E$7:$E1003,$E1003))</f>
        <v/>
      </c>
    </row>
    <row r="1004" spans="1:31" ht="18" customHeight="1" x14ac:dyDescent="0.3">
      <c r="A1004" s="2"/>
      <c r="B1004" s="65" t="str">
        <f>IF($C1004="","","GG"&amp;TEXT(ROW()-6,"00000"))</f>
        <v/>
      </c>
      <c r="C1004" s="66"/>
      <c r="D1004" s="60"/>
      <c r="E1004" s="61"/>
      <c r="F1004" s="61"/>
      <c r="G1004" s="67"/>
      <c r="H1004" s="60"/>
      <c r="I1004" s="60"/>
      <c r="J1004" s="61"/>
      <c r="K1004" s="61"/>
      <c r="L1004" s="60"/>
      <c r="M1004" s="74" t="str">
        <f>IF($C1004="","",IF($D1004="Gider",$E1004,IF($L1004&lt;&gt;"",$L1004,$H1004)))</f>
        <v/>
      </c>
      <c r="N1004" s="74" t="str">
        <f>IF($C1004="","",IF($D1004="Gider",$H1004,$E1004))</f>
        <v/>
      </c>
      <c r="O1004" s="73" t="str">
        <f>IF($C1004="","",DATE(YEAR($C1004),MONTH($C1004),1))</f>
        <v/>
      </c>
      <c r="P1004" s="65" t="str">
        <f ca="1">IF($C1004="","",IF(AND($D1004="Gelir",$L1004&lt;&gt;"",$T1004=""),"TANIMSIZ BORÇLU",IF($T1004&lt;&gt;"",IF(OR($E1004="",$G1004&lt;=0),"EKSİK",IF($I1004="Evet","TAHAKKUK NAKİT OLAMAZ",IF($C1004&gt;TODAY(),"İLERİ TARİH","TAHAKKUK"))),IF(AND($D1004&lt;&gt;"",$E1004&lt;&gt;"",$G1004&gt;0,$H1004&lt;&gt;"",$I1004&lt;&gt;""),IF($C1004&gt;TODAY(),"İLERİ TARİH",IF(COUNTIF($W$7:$W$3001,$W1004)&gt;1,"MÜKERRER?",IF($AD1004&gt;0,"KAPALI DÖNEM",IF($I1004="Hayır","ÖDENECEK","UYGUN")))),"EKSİK"))))</f>
        <v/>
      </c>
      <c r="Q1004" s="2"/>
      <c r="R1004" s="2"/>
      <c r="S1004" s="1" t="str">
        <f t="shared" si="47"/>
        <v/>
      </c>
      <c r="T1004" s="1" t="str">
        <f>IF(OR($C1004="",$D1004&lt;&gt;"Gelir",$L1004=""),"",IFERROR(INDEX(MUSTERILER!$B$7:$B$156,MATCH($S1004,MUSTERILER!$T$7:$T$156,0)),""))</f>
        <v/>
      </c>
      <c r="U1004" s="1" t="str">
        <f>IF($T1004="","",$T1004&amp;"|"&amp;COUNTIFS($T$7:$T1004,$T1004))</f>
        <v/>
      </c>
      <c r="V1004" s="1">
        <f t="shared" si="48"/>
        <v>0</v>
      </c>
      <c r="W1004" s="1" t="str">
        <f t="shared" si="49"/>
        <v/>
      </c>
      <c r="X1004" s="1"/>
      <c r="Y1004" s="1"/>
      <c r="Z1004" s="1"/>
      <c r="AA1004" s="1"/>
      <c r="AB1004" s="1"/>
      <c r="AC1004" s="1"/>
      <c r="AD1004" s="1">
        <f>IF($C1004="",0,SUMPRODUCT((AY_SONU!$O$7:$O$42="Evet")*(AY_SONU!$B$7:$B$42=DATE(YEAR($C1004),MONTH($C1004),1))))</f>
        <v>0</v>
      </c>
      <c r="AE1004" s="1" t="str">
        <f>IF($E1004="","",$E1004&amp;"|"&amp;COUNTIFS($E$7:$E1004,$E1004))</f>
        <v/>
      </c>
    </row>
    <row r="1005" spans="1:31" ht="18" customHeight="1" x14ac:dyDescent="0.3">
      <c r="A1005" s="2"/>
      <c r="B1005" s="65" t="str">
        <f>IF($C1005="","","GG"&amp;TEXT(ROW()-6,"00000"))</f>
        <v/>
      </c>
      <c r="C1005" s="66"/>
      <c r="D1005" s="60"/>
      <c r="E1005" s="61"/>
      <c r="F1005" s="61"/>
      <c r="G1005" s="67"/>
      <c r="H1005" s="60"/>
      <c r="I1005" s="60"/>
      <c r="J1005" s="61"/>
      <c r="K1005" s="61"/>
      <c r="L1005" s="60"/>
      <c r="M1005" s="74" t="str">
        <f>IF($C1005="","",IF($D1005="Gider",$E1005,IF($L1005&lt;&gt;"",$L1005,$H1005)))</f>
        <v/>
      </c>
      <c r="N1005" s="74" t="str">
        <f>IF($C1005="","",IF($D1005="Gider",$H1005,$E1005))</f>
        <v/>
      </c>
      <c r="O1005" s="73" t="str">
        <f>IF($C1005="","",DATE(YEAR($C1005),MONTH($C1005),1))</f>
        <v/>
      </c>
      <c r="P1005" s="65" t="str">
        <f ca="1">IF($C1005="","",IF(AND($D1005="Gelir",$L1005&lt;&gt;"",$T1005=""),"TANIMSIZ BORÇLU",IF($T1005&lt;&gt;"",IF(OR($E1005="",$G1005&lt;=0),"EKSİK",IF($I1005="Evet","TAHAKKUK NAKİT OLAMAZ",IF($C1005&gt;TODAY(),"İLERİ TARİH","TAHAKKUK"))),IF(AND($D1005&lt;&gt;"",$E1005&lt;&gt;"",$G1005&gt;0,$H1005&lt;&gt;"",$I1005&lt;&gt;""),IF($C1005&gt;TODAY(),"İLERİ TARİH",IF(COUNTIF($W$7:$W$3001,$W1005)&gt;1,"MÜKERRER?",IF($AD1005&gt;0,"KAPALI DÖNEM",IF($I1005="Hayır","ÖDENECEK","UYGUN")))),"EKSİK"))))</f>
        <v/>
      </c>
      <c r="Q1005" s="2"/>
      <c r="R1005" s="2"/>
      <c r="S1005" s="1" t="str">
        <f t="shared" si="47"/>
        <v/>
      </c>
      <c r="T1005" s="1" t="str">
        <f>IF(OR($C1005="",$D1005&lt;&gt;"Gelir",$L1005=""),"",IFERROR(INDEX(MUSTERILER!$B$7:$B$156,MATCH($S1005,MUSTERILER!$T$7:$T$156,0)),""))</f>
        <v/>
      </c>
      <c r="U1005" s="1" t="str">
        <f>IF($T1005="","",$T1005&amp;"|"&amp;COUNTIFS($T$7:$T1005,$T1005))</f>
        <v/>
      </c>
      <c r="V1005" s="1">
        <f t="shared" si="48"/>
        <v>0</v>
      </c>
      <c r="W1005" s="1" t="str">
        <f t="shared" si="49"/>
        <v/>
      </c>
      <c r="X1005" s="1"/>
      <c r="Y1005" s="1"/>
      <c r="Z1005" s="1"/>
      <c r="AA1005" s="1"/>
      <c r="AB1005" s="1"/>
      <c r="AC1005" s="1"/>
      <c r="AD1005" s="1">
        <f>IF($C1005="",0,SUMPRODUCT((AY_SONU!$O$7:$O$42="Evet")*(AY_SONU!$B$7:$B$42=DATE(YEAR($C1005),MONTH($C1005),1))))</f>
        <v>0</v>
      </c>
      <c r="AE1005" s="1" t="str">
        <f>IF($E1005="","",$E1005&amp;"|"&amp;COUNTIFS($E$7:$E1005,$E1005))</f>
        <v/>
      </c>
    </row>
    <row r="1006" spans="1:31" ht="18" customHeight="1" x14ac:dyDescent="0.3">
      <c r="A1006" s="2"/>
      <c r="B1006" s="65" t="str">
        <f>IF($C1006="","","GG"&amp;TEXT(ROW()-6,"00000"))</f>
        <v/>
      </c>
      <c r="C1006" s="66"/>
      <c r="D1006" s="60"/>
      <c r="E1006" s="61"/>
      <c r="F1006" s="61"/>
      <c r="G1006" s="67"/>
      <c r="H1006" s="60"/>
      <c r="I1006" s="60"/>
      <c r="J1006" s="61"/>
      <c r="K1006" s="61"/>
      <c r="L1006" s="60"/>
      <c r="M1006" s="74" t="str">
        <f>IF($C1006="","",IF($D1006="Gider",$E1006,IF($L1006&lt;&gt;"",$L1006,$H1006)))</f>
        <v/>
      </c>
      <c r="N1006" s="74" t="str">
        <f>IF($C1006="","",IF($D1006="Gider",$H1006,$E1006))</f>
        <v/>
      </c>
      <c r="O1006" s="73" t="str">
        <f>IF($C1006="","",DATE(YEAR($C1006),MONTH($C1006),1))</f>
        <v/>
      </c>
      <c r="P1006" s="65" t="str">
        <f ca="1">IF($C1006="","",IF(AND($D1006="Gelir",$L1006&lt;&gt;"",$T1006=""),"TANIMSIZ BORÇLU",IF($T1006&lt;&gt;"",IF(OR($E1006="",$G1006&lt;=0),"EKSİK",IF($I1006="Evet","TAHAKKUK NAKİT OLAMAZ",IF($C1006&gt;TODAY(),"İLERİ TARİH","TAHAKKUK"))),IF(AND($D1006&lt;&gt;"",$E1006&lt;&gt;"",$G1006&gt;0,$H1006&lt;&gt;"",$I1006&lt;&gt;""),IF($C1006&gt;TODAY(),"İLERİ TARİH",IF(COUNTIF($W$7:$W$3001,$W1006)&gt;1,"MÜKERRER?",IF($AD1006&gt;0,"KAPALI DÖNEM",IF($I1006="Hayır","ÖDENECEK","UYGUN")))),"EKSİK"))))</f>
        <v/>
      </c>
      <c r="Q1006" s="2"/>
      <c r="R1006" s="2"/>
      <c r="S1006" s="1" t="str">
        <f t="shared" si="47"/>
        <v/>
      </c>
      <c r="T1006" s="1" t="str">
        <f>IF(OR($C1006="",$D1006&lt;&gt;"Gelir",$L1006=""),"",IFERROR(INDEX(MUSTERILER!$B$7:$B$156,MATCH($S1006,MUSTERILER!$T$7:$T$156,0)),""))</f>
        <v/>
      </c>
      <c r="U1006" s="1" t="str">
        <f>IF($T1006="","",$T1006&amp;"|"&amp;COUNTIFS($T$7:$T1006,$T1006))</f>
        <v/>
      </c>
      <c r="V1006" s="1">
        <f t="shared" si="48"/>
        <v>0</v>
      </c>
      <c r="W1006" s="1" t="str">
        <f t="shared" si="49"/>
        <v/>
      </c>
      <c r="X1006" s="1"/>
      <c r="Y1006" s="1"/>
      <c r="Z1006" s="1"/>
      <c r="AA1006" s="1"/>
      <c r="AB1006" s="1"/>
      <c r="AC1006" s="1"/>
      <c r="AD1006" s="1">
        <f>IF($C1006="",0,SUMPRODUCT((AY_SONU!$O$7:$O$42="Evet")*(AY_SONU!$B$7:$B$42=DATE(YEAR($C1006),MONTH($C1006),1))))</f>
        <v>0</v>
      </c>
      <c r="AE1006" s="1" t="str">
        <f>IF($E1006="","",$E1006&amp;"|"&amp;COUNTIFS($E$7:$E1006,$E1006))</f>
        <v/>
      </c>
    </row>
    <row r="1007" spans="1:31" ht="18" customHeight="1" x14ac:dyDescent="0.3">
      <c r="A1007" s="2"/>
      <c r="B1007" s="65" t="str">
        <f>IF($C1007="","","GG"&amp;TEXT(ROW()-6,"00000"))</f>
        <v/>
      </c>
      <c r="C1007" s="66"/>
      <c r="D1007" s="60"/>
      <c r="E1007" s="61"/>
      <c r="F1007" s="61"/>
      <c r="G1007" s="67"/>
      <c r="H1007" s="60"/>
      <c r="I1007" s="60"/>
      <c r="J1007" s="61"/>
      <c r="K1007" s="61"/>
      <c r="L1007" s="60"/>
      <c r="M1007" s="74" t="str">
        <f>IF($C1007="","",IF($D1007="Gider",$E1007,IF($L1007&lt;&gt;"",$L1007,$H1007)))</f>
        <v/>
      </c>
      <c r="N1007" s="74" t="str">
        <f>IF($C1007="","",IF($D1007="Gider",$H1007,$E1007))</f>
        <v/>
      </c>
      <c r="O1007" s="73" t="str">
        <f>IF($C1007="","",DATE(YEAR($C1007),MONTH($C1007),1))</f>
        <v/>
      </c>
      <c r="P1007" s="65" t="str">
        <f ca="1">IF($C1007="","",IF(AND($D1007="Gelir",$L1007&lt;&gt;"",$T1007=""),"TANIMSIZ BORÇLU",IF($T1007&lt;&gt;"",IF(OR($E1007="",$G1007&lt;=0),"EKSİK",IF($I1007="Evet","TAHAKKUK NAKİT OLAMAZ",IF($C1007&gt;TODAY(),"İLERİ TARİH","TAHAKKUK"))),IF(AND($D1007&lt;&gt;"",$E1007&lt;&gt;"",$G1007&gt;0,$H1007&lt;&gt;"",$I1007&lt;&gt;""),IF($C1007&gt;TODAY(),"İLERİ TARİH",IF(COUNTIF($W$7:$W$3001,$W1007)&gt;1,"MÜKERRER?",IF($AD1007&gt;0,"KAPALI DÖNEM",IF($I1007="Hayır","ÖDENECEK","UYGUN")))),"EKSİK"))))</f>
        <v/>
      </c>
      <c r="Q1007" s="2"/>
      <c r="R1007" s="2"/>
      <c r="S1007" s="1" t="str">
        <f t="shared" si="47"/>
        <v/>
      </c>
      <c r="T1007" s="1" t="str">
        <f>IF(OR($C1007="",$D1007&lt;&gt;"Gelir",$L1007=""),"",IFERROR(INDEX(MUSTERILER!$B$7:$B$156,MATCH($S1007,MUSTERILER!$T$7:$T$156,0)),""))</f>
        <v/>
      </c>
      <c r="U1007" s="1" t="str">
        <f>IF($T1007="","",$T1007&amp;"|"&amp;COUNTIFS($T$7:$T1007,$T1007))</f>
        <v/>
      </c>
      <c r="V1007" s="1">
        <f t="shared" si="48"/>
        <v>0</v>
      </c>
      <c r="W1007" s="1" t="str">
        <f t="shared" si="49"/>
        <v/>
      </c>
      <c r="X1007" s="1"/>
      <c r="Y1007" s="1"/>
      <c r="Z1007" s="1"/>
      <c r="AA1007" s="1"/>
      <c r="AB1007" s="1"/>
      <c r="AC1007" s="1"/>
      <c r="AD1007" s="1">
        <f>IF($C1007="",0,SUMPRODUCT((AY_SONU!$O$7:$O$42="Evet")*(AY_SONU!$B$7:$B$42=DATE(YEAR($C1007),MONTH($C1007),1))))</f>
        <v>0</v>
      </c>
      <c r="AE1007" s="1" t="str">
        <f>IF($E1007="","",$E1007&amp;"|"&amp;COUNTIFS($E$7:$E1007,$E1007))</f>
        <v/>
      </c>
    </row>
    <row r="1008" spans="1:31" ht="18" customHeight="1" x14ac:dyDescent="0.3">
      <c r="A1008" s="2"/>
      <c r="B1008" s="65" t="str">
        <f>IF($C1008="","","GG"&amp;TEXT(ROW()-6,"00000"))</f>
        <v/>
      </c>
      <c r="C1008" s="66"/>
      <c r="D1008" s="60"/>
      <c r="E1008" s="61"/>
      <c r="F1008" s="61"/>
      <c r="G1008" s="67"/>
      <c r="H1008" s="60"/>
      <c r="I1008" s="60"/>
      <c r="J1008" s="61"/>
      <c r="K1008" s="61"/>
      <c r="L1008" s="60"/>
      <c r="M1008" s="74" t="str">
        <f>IF($C1008="","",IF($D1008="Gider",$E1008,IF($L1008&lt;&gt;"",$L1008,$H1008)))</f>
        <v/>
      </c>
      <c r="N1008" s="74" t="str">
        <f>IF($C1008="","",IF($D1008="Gider",$H1008,$E1008))</f>
        <v/>
      </c>
      <c r="O1008" s="73" t="str">
        <f>IF($C1008="","",DATE(YEAR($C1008),MONTH($C1008),1))</f>
        <v/>
      </c>
      <c r="P1008" s="65" t="str">
        <f ca="1">IF($C1008="","",IF(AND($D1008="Gelir",$L1008&lt;&gt;"",$T1008=""),"TANIMSIZ BORÇLU",IF($T1008&lt;&gt;"",IF(OR($E1008="",$G1008&lt;=0),"EKSİK",IF($I1008="Evet","TAHAKKUK NAKİT OLAMAZ",IF($C1008&gt;TODAY(),"İLERİ TARİH","TAHAKKUK"))),IF(AND($D1008&lt;&gt;"",$E1008&lt;&gt;"",$G1008&gt;0,$H1008&lt;&gt;"",$I1008&lt;&gt;""),IF($C1008&gt;TODAY(),"İLERİ TARİH",IF(COUNTIF($W$7:$W$3001,$W1008)&gt;1,"MÜKERRER?",IF($AD1008&gt;0,"KAPALI DÖNEM",IF($I1008="Hayır","ÖDENECEK","UYGUN")))),"EKSİK"))))</f>
        <v/>
      </c>
      <c r="Q1008" s="2"/>
      <c r="R1008" s="2"/>
      <c r="S1008" s="1" t="str">
        <f t="shared" si="47"/>
        <v/>
      </c>
      <c r="T1008" s="1" t="str">
        <f>IF(OR($C1008="",$D1008&lt;&gt;"Gelir",$L1008=""),"",IFERROR(INDEX(MUSTERILER!$B$7:$B$156,MATCH($S1008,MUSTERILER!$T$7:$T$156,0)),""))</f>
        <v/>
      </c>
      <c r="U1008" s="1" t="str">
        <f>IF($T1008="","",$T1008&amp;"|"&amp;COUNTIFS($T$7:$T1008,$T1008))</f>
        <v/>
      </c>
      <c r="V1008" s="1">
        <f t="shared" si="48"/>
        <v>0</v>
      </c>
      <c r="W1008" s="1" t="str">
        <f t="shared" si="49"/>
        <v/>
      </c>
      <c r="X1008" s="1"/>
      <c r="Y1008" s="1"/>
      <c r="Z1008" s="1"/>
      <c r="AA1008" s="1"/>
      <c r="AB1008" s="1"/>
      <c r="AC1008" s="1"/>
      <c r="AD1008" s="1">
        <f>IF($C1008="",0,SUMPRODUCT((AY_SONU!$O$7:$O$42="Evet")*(AY_SONU!$B$7:$B$42=DATE(YEAR($C1008),MONTH($C1008),1))))</f>
        <v>0</v>
      </c>
      <c r="AE1008" s="1" t="str">
        <f>IF($E1008="","",$E1008&amp;"|"&amp;COUNTIFS($E$7:$E1008,$E1008))</f>
        <v/>
      </c>
    </row>
    <row r="1009" spans="1:31" ht="18" customHeight="1" x14ac:dyDescent="0.3">
      <c r="A1009" s="2"/>
      <c r="B1009" s="65" t="str">
        <f>IF($C1009="","","GG"&amp;TEXT(ROW()-6,"00000"))</f>
        <v/>
      </c>
      <c r="C1009" s="66"/>
      <c r="D1009" s="60"/>
      <c r="E1009" s="61"/>
      <c r="F1009" s="61"/>
      <c r="G1009" s="67"/>
      <c r="H1009" s="60"/>
      <c r="I1009" s="60"/>
      <c r="J1009" s="61"/>
      <c r="K1009" s="61"/>
      <c r="L1009" s="60"/>
      <c r="M1009" s="74" t="str">
        <f>IF($C1009="","",IF($D1009="Gider",$E1009,IF($L1009&lt;&gt;"",$L1009,$H1009)))</f>
        <v/>
      </c>
      <c r="N1009" s="74" t="str">
        <f>IF($C1009="","",IF($D1009="Gider",$H1009,$E1009))</f>
        <v/>
      </c>
      <c r="O1009" s="73" t="str">
        <f>IF($C1009="","",DATE(YEAR($C1009),MONTH($C1009),1))</f>
        <v/>
      </c>
      <c r="P1009" s="65" t="str">
        <f ca="1">IF($C1009="","",IF(AND($D1009="Gelir",$L1009&lt;&gt;"",$T1009=""),"TANIMSIZ BORÇLU",IF($T1009&lt;&gt;"",IF(OR($E1009="",$G1009&lt;=0),"EKSİK",IF($I1009="Evet","TAHAKKUK NAKİT OLAMAZ",IF($C1009&gt;TODAY(),"İLERİ TARİH","TAHAKKUK"))),IF(AND($D1009&lt;&gt;"",$E1009&lt;&gt;"",$G1009&gt;0,$H1009&lt;&gt;"",$I1009&lt;&gt;""),IF($C1009&gt;TODAY(),"İLERİ TARİH",IF(COUNTIF($W$7:$W$3001,$W1009)&gt;1,"MÜKERRER?",IF($AD1009&gt;0,"KAPALI DÖNEM",IF($I1009="Hayır","ÖDENECEK","UYGUN")))),"EKSİK"))))</f>
        <v/>
      </c>
      <c r="Q1009" s="2"/>
      <c r="R1009" s="2"/>
      <c r="S1009" s="1" t="str">
        <f t="shared" si="47"/>
        <v/>
      </c>
      <c r="T1009" s="1" t="str">
        <f>IF(OR($C1009="",$D1009&lt;&gt;"Gelir",$L1009=""),"",IFERROR(INDEX(MUSTERILER!$B$7:$B$156,MATCH($S1009,MUSTERILER!$T$7:$T$156,0)),""))</f>
        <v/>
      </c>
      <c r="U1009" s="1" t="str">
        <f>IF($T1009="","",$T1009&amp;"|"&amp;COUNTIFS($T$7:$T1009,$T1009))</f>
        <v/>
      </c>
      <c r="V1009" s="1">
        <f t="shared" si="48"/>
        <v>0</v>
      </c>
      <c r="W1009" s="1" t="str">
        <f t="shared" si="49"/>
        <v/>
      </c>
      <c r="X1009" s="1"/>
      <c r="Y1009" s="1"/>
      <c r="Z1009" s="1"/>
      <c r="AA1009" s="1"/>
      <c r="AB1009" s="1"/>
      <c r="AC1009" s="1"/>
      <c r="AD1009" s="1">
        <f>IF($C1009="",0,SUMPRODUCT((AY_SONU!$O$7:$O$42="Evet")*(AY_SONU!$B$7:$B$42=DATE(YEAR($C1009),MONTH($C1009),1))))</f>
        <v>0</v>
      </c>
      <c r="AE1009" s="1" t="str">
        <f>IF($E1009="","",$E1009&amp;"|"&amp;COUNTIFS($E$7:$E1009,$E1009))</f>
        <v/>
      </c>
    </row>
    <row r="1010" spans="1:31" ht="18" customHeight="1" x14ac:dyDescent="0.3">
      <c r="A1010" s="2"/>
      <c r="B1010" s="65" t="str">
        <f>IF($C1010="","","GG"&amp;TEXT(ROW()-6,"00000"))</f>
        <v/>
      </c>
      <c r="C1010" s="66"/>
      <c r="D1010" s="60"/>
      <c r="E1010" s="61"/>
      <c r="F1010" s="61"/>
      <c r="G1010" s="67"/>
      <c r="H1010" s="60"/>
      <c r="I1010" s="60"/>
      <c r="J1010" s="61"/>
      <c r="K1010" s="61"/>
      <c r="L1010" s="60"/>
      <c r="M1010" s="74" t="str">
        <f>IF($C1010="","",IF($D1010="Gider",$E1010,IF($L1010&lt;&gt;"",$L1010,$H1010)))</f>
        <v/>
      </c>
      <c r="N1010" s="74" t="str">
        <f>IF($C1010="","",IF($D1010="Gider",$H1010,$E1010))</f>
        <v/>
      </c>
      <c r="O1010" s="73" t="str">
        <f>IF($C1010="","",DATE(YEAR($C1010),MONTH($C1010),1))</f>
        <v/>
      </c>
      <c r="P1010" s="65" t="str">
        <f ca="1">IF($C1010="","",IF(AND($D1010="Gelir",$L1010&lt;&gt;"",$T1010=""),"TANIMSIZ BORÇLU",IF($T1010&lt;&gt;"",IF(OR($E1010="",$G1010&lt;=0),"EKSİK",IF($I1010="Evet","TAHAKKUK NAKİT OLAMAZ",IF($C1010&gt;TODAY(),"İLERİ TARİH","TAHAKKUK"))),IF(AND($D1010&lt;&gt;"",$E1010&lt;&gt;"",$G1010&gt;0,$H1010&lt;&gt;"",$I1010&lt;&gt;""),IF($C1010&gt;TODAY(),"İLERİ TARİH",IF(COUNTIF($W$7:$W$3001,$W1010)&gt;1,"MÜKERRER?",IF($AD1010&gt;0,"KAPALI DÖNEM",IF($I1010="Hayır","ÖDENECEK","UYGUN")))),"EKSİK"))))</f>
        <v/>
      </c>
      <c r="Q1010" s="2"/>
      <c r="R1010" s="2"/>
      <c r="S1010" s="1" t="str">
        <f t="shared" si="47"/>
        <v/>
      </c>
      <c r="T1010" s="1" t="str">
        <f>IF(OR($C1010="",$D1010&lt;&gt;"Gelir",$L1010=""),"",IFERROR(INDEX(MUSTERILER!$B$7:$B$156,MATCH($S1010,MUSTERILER!$T$7:$T$156,0)),""))</f>
        <v/>
      </c>
      <c r="U1010" s="1" t="str">
        <f>IF($T1010="","",$T1010&amp;"|"&amp;COUNTIFS($T$7:$T1010,$T1010))</f>
        <v/>
      </c>
      <c r="V1010" s="1">
        <f t="shared" si="48"/>
        <v>0</v>
      </c>
      <c r="W1010" s="1" t="str">
        <f t="shared" si="49"/>
        <v/>
      </c>
      <c r="X1010" s="1"/>
      <c r="Y1010" s="1"/>
      <c r="Z1010" s="1"/>
      <c r="AA1010" s="1"/>
      <c r="AB1010" s="1"/>
      <c r="AC1010" s="1"/>
      <c r="AD1010" s="1">
        <f>IF($C1010="",0,SUMPRODUCT((AY_SONU!$O$7:$O$42="Evet")*(AY_SONU!$B$7:$B$42=DATE(YEAR($C1010),MONTH($C1010),1))))</f>
        <v>0</v>
      </c>
      <c r="AE1010" s="1" t="str">
        <f>IF($E1010="","",$E1010&amp;"|"&amp;COUNTIFS($E$7:$E1010,$E1010))</f>
        <v/>
      </c>
    </row>
    <row r="1011" spans="1:31" ht="18" customHeight="1" x14ac:dyDescent="0.3">
      <c r="A1011" s="2"/>
      <c r="B1011" s="65" t="str">
        <f>IF($C1011="","","GG"&amp;TEXT(ROW()-6,"00000"))</f>
        <v/>
      </c>
      <c r="C1011" s="66"/>
      <c r="D1011" s="60"/>
      <c r="E1011" s="61"/>
      <c r="F1011" s="61"/>
      <c r="G1011" s="67"/>
      <c r="H1011" s="60"/>
      <c r="I1011" s="60"/>
      <c r="J1011" s="61"/>
      <c r="K1011" s="61"/>
      <c r="L1011" s="60"/>
      <c r="M1011" s="74" t="str">
        <f>IF($C1011="","",IF($D1011="Gider",$E1011,IF($L1011&lt;&gt;"",$L1011,$H1011)))</f>
        <v/>
      </c>
      <c r="N1011" s="74" t="str">
        <f>IF($C1011="","",IF($D1011="Gider",$H1011,$E1011))</f>
        <v/>
      </c>
      <c r="O1011" s="73" t="str">
        <f>IF($C1011="","",DATE(YEAR($C1011),MONTH($C1011),1))</f>
        <v/>
      </c>
      <c r="P1011" s="65" t="str">
        <f ca="1">IF($C1011="","",IF(AND($D1011="Gelir",$L1011&lt;&gt;"",$T1011=""),"TANIMSIZ BORÇLU",IF($T1011&lt;&gt;"",IF(OR($E1011="",$G1011&lt;=0),"EKSİK",IF($I1011="Evet","TAHAKKUK NAKİT OLAMAZ",IF($C1011&gt;TODAY(),"İLERİ TARİH","TAHAKKUK"))),IF(AND($D1011&lt;&gt;"",$E1011&lt;&gt;"",$G1011&gt;0,$H1011&lt;&gt;"",$I1011&lt;&gt;""),IF($C1011&gt;TODAY(),"İLERİ TARİH",IF(COUNTIF($W$7:$W$3001,$W1011)&gt;1,"MÜKERRER?",IF($AD1011&gt;0,"KAPALI DÖNEM",IF($I1011="Hayır","ÖDENECEK","UYGUN")))),"EKSİK"))))</f>
        <v/>
      </c>
      <c r="Q1011" s="2"/>
      <c r="R1011" s="2"/>
      <c r="S1011" s="1" t="str">
        <f t="shared" si="47"/>
        <v/>
      </c>
      <c r="T1011" s="1" t="str">
        <f>IF(OR($C1011="",$D1011&lt;&gt;"Gelir",$L1011=""),"",IFERROR(INDEX(MUSTERILER!$B$7:$B$156,MATCH($S1011,MUSTERILER!$T$7:$T$156,0)),""))</f>
        <v/>
      </c>
      <c r="U1011" s="1" t="str">
        <f>IF($T1011="","",$T1011&amp;"|"&amp;COUNTIFS($T$7:$T1011,$T1011))</f>
        <v/>
      </c>
      <c r="V1011" s="1">
        <f t="shared" si="48"/>
        <v>0</v>
      </c>
      <c r="W1011" s="1" t="str">
        <f t="shared" si="49"/>
        <v/>
      </c>
      <c r="X1011" s="1"/>
      <c r="Y1011" s="1"/>
      <c r="Z1011" s="1"/>
      <c r="AA1011" s="1"/>
      <c r="AB1011" s="1"/>
      <c r="AC1011" s="1"/>
      <c r="AD1011" s="1">
        <f>IF($C1011="",0,SUMPRODUCT((AY_SONU!$O$7:$O$42="Evet")*(AY_SONU!$B$7:$B$42=DATE(YEAR($C1011),MONTH($C1011),1))))</f>
        <v>0</v>
      </c>
      <c r="AE1011" s="1" t="str">
        <f>IF($E1011="","",$E1011&amp;"|"&amp;COUNTIFS($E$7:$E1011,$E1011))</f>
        <v/>
      </c>
    </row>
    <row r="1012" spans="1:31" ht="18" customHeight="1" x14ac:dyDescent="0.3">
      <c r="A1012" s="2"/>
      <c r="B1012" s="65" t="str">
        <f>IF($C1012="","","GG"&amp;TEXT(ROW()-6,"00000"))</f>
        <v/>
      </c>
      <c r="C1012" s="66"/>
      <c r="D1012" s="60"/>
      <c r="E1012" s="61"/>
      <c r="F1012" s="61"/>
      <c r="G1012" s="67"/>
      <c r="H1012" s="60"/>
      <c r="I1012" s="60"/>
      <c r="J1012" s="61"/>
      <c r="K1012" s="61"/>
      <c r="L1012" s="60"/>
      <c r="M1012" s="74" t="str">
        <f>IF($C1012="","",IF($D1012="Gider",$E1012,IF($L1012&lt;&gt;"",$L1012,$H1012)))</f>
        <v/>
      </c>
      <c r="N1012" s="74" t="str">
        <f>IF($C1012="","",IF($D1012="Gider",$H1012,$E1012))</f>
        <v/>
      </c>
      <c r="O1012" s="73" t="str">
        <f>IF($C1012="","",DATE(YEAR($C1012),MONTH($C1012),1))</f>
        <v/>
      </c>
      <c r="P1012" s="65" t="str">
        <f ca="1">IF($C1012="","",IF(AND($D1012="Gelir",$L1012&lt;&gt;"",$T1012=""),"TANIMSIZ BORÇLU",IF($T1012&lt;&gt;"",IF(OR($E1012="",$G1012&lt;=0),"EKSİK",IF($I1012="Evet","TAHAKKUK NAKİT OLAMAZ",IF($C1012&gt;TODAY(),"İLERİ TARİH","TAHAKKUK"))),IF(AND($D1012&lt;&gt;"",$E1012&lt;&gt;"",$G1012&gt;0,$H1012&lt;&gt;"",$I1012&lt;&gt;""),IF($C1012&gt;TODAY(),"İLERİ TARİH",IF(COUNTIF($W$7:$W$3001,$W1012)&gt;1,"MÜKERRER?",IF($AD1012&gt;0,"KAPALI DÖNEM",IF($I1012="Hayır","ÖDENECEK","UYGUN")))),"EKSİK"))))</f>
        <v/>
      </c>
      <c r="Q1012" s="2"/>
      <c r="R1012" s="2"/>
      <c r="S1012" s="1" t="str">
        <f t="shared" si="47"/>
        <v/>
      </c>
      <c r="T1012" s="1" t="str">
        <f>IF(OR($C1012="",$D1012&lt;&gt;"Gelir",$L1012=""),"",IFERROR(INDEX(MUSTERILER!$B$7:$B$156,MATCH($S1012,MUSTERILER!$T$7:$T$156,0)),""))</f>
        <v/>
      </c>
      <c r="U1012" s="1" t="str">
        <f>IF($T1012="","",$T1012&amp;"|"&amp;COUNTIFS($T$7:$T1012,$T1012))</f>
        <v/>
      </c>
      <c r="V1012" s="1">
        <f t="shared" si="48"/>
        <v>0</v>
      </c>
      <c r="W1012" s="1" t="str">
        <f t="shared" si="49"/>
        <v/>
      </c>
      <c r="X1012" s="1"/>
      <c r="Y1012" s="1"/>
      <c r="Z1012" s="1"/>
      <c r="AA1012" s="1"/>
      <c r="AB1012" s="1"/>
      <c r="AC1012" s="1"/>
      <c r="AD1012" s="1">
        <f>IF($C1012="",0,SUMPRODUCT((AY_SONU!$O$7:$O$42="Evet")*(AY_SONU!$B$7:$B$42=DATE(YEAR($C1012),MONTH($C1012),1))))</f>
        <v>0</v>
      </c>
      <c r="AE1012" s="1" t="str">
        <f>IF($E1012="","",$E1012&amp;"|"&amp;COUNTIFS($E$7:$E1012,$E1012))</f>
        <v/>
      </c>
    </row>
    <row r="1013" spans="1:31" ht="18" customHeight="1" x14ac:dyDescent="0.3">
      <c r="A1013" s="2"/>
      <c r="B1013" s="65" t="str">
        <f>IF($C1013="","","GG"&amp;TEXT(ROW()-6,"00000"))</f>
        <v/>
      </c>
      <c r="C1013" s="66"/>
      <c r="D1013" s="60"/>
      <c r="E1013" s="61"/>
      <c r="F1013" s="61"/>
      <c r="G1013" s="67"/>
      <c r="H1013" s="60"/>
      <c r="I1013" s="60"/>
      <c r="J1013" s="61"/>
      <c r="K1013" s="61"/>
      <c r="L1013" s="60"/>
      <c r="M1013" s="74" t="str">
        <f>IF($C1013="","",IF($D1013="Gider",$E1013,IF($L1013&lt;&gt;"",$L1013,$H1013)))</f>
        <v/>
      </c>
      <c r="N1013" s="74" t="str">
        <f>IF($C1013="","",IF($D1013="Gider",$H1013,$E1013))</f>
        <v/>
      </c>
      <c r="O1013" s="73" t="str">
        <f>IF($C1013="","",DATE(YEAR($C1013),MONTH($C1013),1))</f>
        <v/>
      </c>
      <c r="P1013" s="65" t="str">
        <f ca="1">IF($C1013="","",IF(AND($D1013="Gelir",$L1013&lt;&gt;"",$T1013=""),"TANIMSIZ BORÇLU",IF($T1013&lt;&gt;"",IF(OR($E1013="",$G1013&lt;=0),"EKSİK",IF($I1013="Evet","TAHAKKUK NAKİT OLAMAZ",IF($C1013&gt;TODAY(),"İLERİ TARİH","TAHAKKUK"))),IF(AND($D1013&lt;&gt;"",$E1013&lt;&gt;"",$G1013&gt;0,$H1013&lt;&gt;"",$I1013&lt;&gt;""),IF($C1013&gt;TODAY(),"İLERİ TARİH",IF(COUNTIF($W$7:$W$3001,$W1013)&gt;1,"MÜKERRER?",IF($AD1013&gt;0,"KAPALI DÖNEM",IF($I1013="Hayır","ÖDENECEK","UYGUN")))),"EKSİK"))))</f>
        <v/>
      </c>
      <c r="Q1013" s="2"/>
      <c r="R1013" s="2"/>
      <c r="S1013" s="1" t="str">
        <f t="shared" si="47"/>
        <v/>
      </c>
      <c r="T1013" s="1" t="str">
        <f>IF(OR($C1013="",$D1013&lt;&gt;"Gelir",$L1013=""),"",IFERROR(INDEX(MUSTERILER!$B$7:$B$156,MATCH($S1013,MUSTERILER!$T$7:$T$156,0)),""))</f>
        <v/>
      </c>
      <c r="U1013" s="1" t="str">
        <f>IF($T1013="","",$T1013&amp;"|"&amp;COUNTIFS($T$7:$T1013,$T1013))</f>
        <v/>
      </c>
      <c r="V1013" s="1">
        <f t="shared" si="48"/>
        <v>0</v>
      </c>
      <c r="W1013" s="1" t="str">
        <f t="shared" si="49"/>
        <v/>
      </c>
      <c r="X1013" s="1"/>
      <c r="Y1013" s="1"/>
      <c r="Z1013" s="1"/>
      <c r="AA1013" s="1"/>
      <c r="AB1013" s="1"/>
      <c r="AC1013" s="1"/>
      <c r="AD1013" s="1">
        <f>IF($C1013="",0,SUMPRODUCT((AY_SONU!$O$7:$O$42="Evet")*(AY_SONU!$B$7:$B$42=DATE(YEAR($C1013),MONTH($C1013),1))))</f>
        <v>0</v>
      </c>
      <c r="AE1013" s="1" t="str">
        <f>IF($E1013="","",$E1013&amp;"|"&amp;COUNTIFS($E$7:$E1013,$E1013))</f>
        <v/>
      </c>
    </row>
    <row r="1014" spans="1:31" ht="18" customHeight="1" x14ac:dyDescent="0.3">
      <c r="A1014" s="2"/>
      <c r="B1014" s="65" t="str">
        <f>IF($C1014="","","GG"&amp;TEXT(ROW()-6,"00000"))</f>
        <v/>
      </c>
      <c r="C1014" s="66"/>
      <c r="D1014" s="60"/>
      <c r="E1014" s="61"/>
      <c r="F1014" s="61"/>
      <c r="G1014" s="67"/>
      <c r="H1014" s="60"/>
      <c r="I1014" s="60"/>
      <c r="J1014" s="61"/>
      <c r="K1014" s="61"/>
      <c r="L1014" s="60"/>
      <c r="M1014" s="74" t="str">
        <f>IF($C1014="","",IF($D1014="Gider",$E1014,IF($L1014&lt;&gt;"",$L1014,$H1014)))</f>
        <v/>
      </c>
      <c r="N1014" s="74" t="str">
        <f>IF($C1014="","",IF($D1014="Gider",$H1014,$E1014))</f>
        <v/>
      </c>
      <c r="O1014" s="73" t="str">
        <f>IF($C1014="","",DATE(YEAR($C1014),MONTH($C1014),1))</f>
        <v/>
      </c>
      <c r="P1014" s="65" t="str">
        <f ca="1">IF($C1014="","",IF(AND($D1014="Gelir",$L1014&lt;&gt;"",$T1014=""),"TANIMSIZ BORÇLU",IF($T1014&lt;&gt;"",IF(OR($E1014="",$G1014&lt;=0),"EKSİK",IF($I1014="Evet","TAHAKKUK NAKİT OLAMAZ",IF($C1014&gt;TODAY(),"İLERİ TARİH","TAHAKKUK"))),IF(AND($D1014&lt;&gt;"",$E1014&lt;&gt;"",$G1014&gt;0,$H1014&lt;&gt;"",$I1014&lt;&gt;""),IF($C1014&gt;TODAY(),"İLERİ TARİH",IF(COUNTIF($W$7:$W$3001,$W1014)&gt;1,"MÜKERRER?",IF($AD1014&gt;0,"KAPALI DÖNEM",IF($I1014="Hayır","ÖDENECEK","UYGUN")))),"EKSİK"))))</f>
        <v/>
      </c>
      <c r="Q1014" s="2"/>
      <c r="R1014" s="2"/>
      <c r="S1014" s="1" t="str">
        <f t="shared" si="47"/>
        <v/>
      </c>
      <c r="T1014" s="1" t="str">
        <f>IF(OR($C1014="",$D1014&lt;&gt;"Gelir",$L1014=""),"",IFERROR(INDEX(MUSTERILER!$B$7:$B$156,MATCH($S1014,MUSTERILER!$T$7:$T$156,0)),""))</f>
        <v/>
      </c>
      <c r="U1014" s="1" t="str">
        <f>IF($T1014="","",$T1014&amp;"|"&amp;COUNTIFS($T$7:$T1014,$T1014))</f>
        <v/>
      </c>
      <c r="V1014" s="1">
        <f t="shared" si="48"/>
        <v>0</v>
      </c>
      <c r="W1014" s="1" t="str">
        <f t="shared" si="49"/>
        <v/>
      </c>
      <c r="X1014" s="1"/>
      <c r="Y1014" s="1"/>
      <c r="Z1014" s="1"/>
      <c r="AA1014" s="1"/>
      <c r="AB1014" s="1"/>
      <c r="AC1014" s="1"/>
      <c r="AD1014" s="1">
        <f>IF($C1014="",0,SUMPRODUCT((AY_SONU!$O$7:$O$42="Evet")*(AY_SONU!$B$7:$B$42=DATE(YEAR($C1014),MONTH($C1014),1))))</f>
        <v>0</v>
      </c>
      <c r="AE1014" s="1" t="str">
        <f>IF($E1014="","",$E1014&amp;"|"&amp;COUNTIFS($E$7:$E1014,$E1014))</f>
        <v/>
      </c>
    </row>
    <row r="1015" spans="1:31" ht="18" customHeight="1" x14ac:dyDescent="0.3">
      <c r="A1015" s="2"/>
      <c r="B1015" s="65" t="str">
        <f>IF($C1015="","","GG"&amp;TEXT(ROW()-6,"00000"))</f>
        <v/>
      </c>
      <c r="C1015" s="66"/>
      <c r="D1015" s="60"/>
      <c r="E1015" s="61"/>
      <c r="F1015" s="61"/>
      <c r="G1015" s="67"/>
      <c r="H1015" s="60"/>
      <c r="I1015" s="60"/>
      <c r="J1015" s="61"/>
      <c r="K1015" s="61"/>
      <c r="L1015" s="60"/>
      <c r="M1015" s="74" t="str">
        <f>IF($C1015="","",IF($D1015="Gider",$E1015,IF($L1015&lt;&gt;"",$L1015,$H1015)))</f>
        <v/>
      </c>
      <c r="N1015" s="74" t="str">
        <f>IF($C1015="","",IF($D1015="Gider",$H1015,$E1015))</f>
        <v/>
      </c>
      <c r="O1015" s="73" t="str">
        <f>IF($C1015="","",DATE(YEAR($C1015),MONTH($C1015),1))</f>
        <v/>
      </c>
      <c r="P1015" s="65" t="str">
        <f ca="1">IF($C1015="","",IF(AND($D1015="Gelir",$L1015&lt;&gt;"",$T1015=""),"TANIMSIZ BORÇLU",IF($T1015&lt;&gt;"",IF(OR($E1015="",$G1015&lt;=0),"EKSİK",IF($I1015="Evet","TAHAKKUK NAKİT OLAMAZ",IF($C1015&gt;TODAY(),"İLERİ TARİH","TAHAKKUK"))),IF(AND($D1015&lt;&gt;"",$E1015&lt;&gt;"",$G1015&gt;0,$H1015&lt;&gt;"",$I1015&lt;&gt;""),IF($C1015&gt;TODAY(),"İLERİ TARİH",IF(COUNTIF($W$7:$W$3001,$W1015)&gt;1,"MÜKERRER?",IF($AD1015&gt;0,"KAPALI DÖNEM",IF($I1015="Hayır","ÖDENECEK","UYGUN")))),"EKSİK"))))</f>
        <v/>
      </c>
      <c r="Q1015" s="2"/>
      <c r="R1015" s="2"/>
      <c r="S1015" s="1" t="str">
        <f t="shared" si="47"/>
        <v/>
      </c>
      <c r="T1015" s="1" t="str">
        <f>IF(OR($C1015="",$D1015&lt;&gt;"Gelir",$L1015=""),"",IFERROR(INDEX(MUSTERILER!$B$7:$B$156,MATCH($S1015,MUSTERILER!$T$7:$T$156,0)),""))</f>
        <v/>
      </c>
      <c r="U1015" s="1" t="str">
        <f>IF($T1015="","",$T1015&amp;"|"&amp;COUNTIFS($T$7:$T1015,$T1015))</f>
        <v/>
      </c>
      <c r="V1015" s="1">
        <f t="shared" si="48"/>
        <v>0</v>
      </c>
      <c r="W1015" s="1" t="str">
        <f t="shared" si="49"/>
        <v/>
      </c>
      <c r="X1015" s="1"/>
      <c r="Y1015" s="1"/>
      <c r="Z1015" s="1"/>
      <c r="AA1015" s="1"/>
      <c r="AB1015" s="1"/>
      <c r="AC1015" s="1"/>
      <c r="AD1015" s="1">
        <f>IF($C1015="",0,SUMPRODUCT((AY_SONU!$O$7:$O$42="Evet")*(AY_SONU!$B$7:$B$42=DATE(YEAR($C1015),MONTH($C1015),1))))</f>
        <v>0</v>
      </c>
      <c r="AE1015" s="1" t="str">
        <f>IF($E1015="","",$E1015&amp;"|"&amp;COUNTIFS($E$7:$E1015,$E1015))</f>
        <v/>
      </c>
    </row>
    <row r="1016" spans="1:31" ht="18" customHeight="1" x14ac:dyDescent="0.3">
      <c r="A1016" s="2"/>
      <c r="B1016" s="65" t="str">
        <f>IF($C1016="","","GG"&amp;TEXT(ROW()-6,"00000"))</f>
        <v/>
      </c>
      <c r="C1016" s="66"/>
      <c r="D1016" s="60"/>
      <c r="E1016" s="61"/>
      <c r="F1016" s="61"/>
      <c r="G1016" s="67"/>
      <c r="H1016" s="60"/>
      <c r="I1016" s="60"/>
      <c r="J1016" s="61"/>
      <c r="K1016" s="61"/>
      <c r="L1016" s="60"/>
      <c r="M1016" s="74" t="str">
        <f>IF($C1016="","",IF($D1016="Gider",$E1016,IF($L1016&lt;&gt;"",$L1016,$H1016)))</f>
        <v/>
      </c>
      <c r="N1016" s="74" t="str">
        <f>IF($C1016="","",IF($D1016="Gider",$H1016,$E1016))</f>
        <v/>
      </c>
      <c r="O1016" s="73" t="str">
        <f>IF($C1016="","",DATE(YEAR($C1016),MONTH($C1016),1))</f>
        <v/>
      </c>
      <c r="P1016" s="65" t="str">
        <f ca="1">IF($C1016="","",IF(AND($D1016="Gelir",$L1016&lt;&gt;"",$T1016=""),"TANIMSIZ BORÇLU",IF($T1016&lt;&gt;"",IF(OR($E1016="",$G1016&lt;=0),"EKSİK",IF($I1016="Evet","TAHAKKUK NAKİT OLAMAZ",IF($C1016&gt;TODAY(),"İLERİ TARİH","TAHAKKUK"))),IF(AND($D1016&lt;&gt;"",$E1016&lt;&gt;"",$G1016&gt;0,$H1016&lt;&gt;"",$I1016&lt;&gt;""),IF($C1016&gt;TODAY(),"İLERİ TARİH",IF(COUNTIF($W$7:$W$3001,$W1016)&gt;1,"MÜKERRER?",IF($AD1016&gt;0,"KAPALI DÖNEM",IF($I1016="Hayır","ÖDENECEK","UYGUN")))),"EKSİK"))))</f>
        <v/>
      </c>
      <c r="Q1016" s="2"/>
      <c r="R1016" s="2"/>
      <c r="S1016" s="1" t="str">
        <f t="shared" si="47"/>
        <v/>
      </c>
      <c r="T1016" s="1" t="str">
        <f>IF(OR($C1016="",$D1016&lt;&gt;"Gelir",$L1016=""),"",IFERROR(INDEX(MUSTERILER!$B$7:$B$156,MATCH($S1016,MUSTERILER!$T$7:$T$156,0)),""))</f>
        <v/>
      </c>
      <c r="U1016" s="1" t="str">
        <f>IF($T1016="","",$T1016&amp;"|"&amp;COUNTIFS($T$7:$T1016,$T1016))</f>
        <v/>
      </c>
      <c r="V1016" s="1">
        <f t="shared" si="48"/>
        <v>0</v>
      </c>
      <c r="W1016" s="1" t="str">
        <f t="shared" si="49"/>
        <v/>
      </c>
      <c r="X1016" s="1"/>
      <c r="Y1016" s="1"/>
      <c r="Z1016" s="1"/>
      <c r="AA1016" s="1"/>
      <c r="AB1016" s="1"/>
      <c r="AC1016" s="1"/>
      <c r="AD1016" s="1">
        <f>IF($C1016="",0,SUMPRODUCT((AY_SONU!$O$7:$O$42="Evet")*(AY_SONU!$B$7:$B$42=DATE(YEAR($C1016),MONTH($C1016),1))))</f>
        <v>0</v>
      </c>
      <c r="AE1016" s="1" t="str">
        <f>IF($E1016="","",$E1016&amp;"|"&amp;COUNTIFS($E$7:$E1016,$E1016))</f>
        <v/>
      </c>
    </row>
    <row r="1017" spans="1:31" ht="18" customHeight="1" x14ac:dyDescent="0.3">
      <c r="A1017" s="2"/>
      <c r="B1017" s="65" t="str">
        <f>IF($C1017="","","GG"&amp;TEXT(ROW()-6,"00000"))</f>
        <v/>
      </c>
      <c r="C1017" s="66"/>
      <c r="D1017" s="60"/>
      <c r="E1017" s="61"/>
      <c r="F1017" s="61"/>
      <c r="G1017" s="67"/>
      <c r="H1017" s="60"/>
      <c r="I1017" s="60"/>
      <c r="J1017" s="61"/>
      <c r="K1017" s="61"/>
      <c r="L1017" s="60"/>
      <c r="M1017" s="74" t="str">
        <f>IF($C1017="","",IF($D1017="Gider",$E1017,IF($L1017&lt;&gt;"",$L1017,$H1017)))</f>
        <v/>
      </c>
      <c r="N1017" s="74" t="str">
        <f>IF($C1017="","",IF($D1017="Gider",$H1017,$E1017))</f>
        <v/>
      </c>
      <c r="O1017" s="73" t="str">
        <f>IF($C1017="","",DATE(YEAR($C1017),MONTH($C1017),1))</f>
        <v/>
      </c>
      <c r="P1017" s="65" t="str">
        <f ca="1">IF($C1017="","",IF(AND($D1017="Gelir",$L1017&lt;&gt;"",$T1017=""),"TANIMSIZ BORÇLU",IF($T1017&lt;&gt;"",IF(OR($E1017="",$G1017&lt;=0),"EKSİK",IF($I1017="Evet","TAHAKKUK NAKİT OLAMAZ",IF($C1017&gt;TODAY(),"İLERİ TARİH","TAHAKKUK"))),IF(AND($D1017&lt;&gt;"",$E1017&lt;&gt;"",$G1017&gt;0,$H1017&lt;&gt;"",$I1017&lt;&gt;""),IF($C1017&gt;TODAY(),"İLERİ TARİH",IF(COUNTIF($W$7:$W$3001,$W1017)&gt;1,"MÜKERRER?",IF($AD1017&gt;0,"KAPALI DÖNEM",IF($I1017="Hayır","ÖDENECEK","UYGUN")))),"EKSİK"))))</f>
        <v/>
      </c>
      <c r="Q1017" s="2"/>
      <c r="R1017" s="2"/>
      <c r="S1017" s="1" t="str">
        <f t="shared" si="47"/>
        <v/>
      </c>
      <c r="T1017" s="1" t="str">
        <f>IF(OR($C1017="",$D1017&lt;&gt;"Gelir",$L1017=""),"",IFERROR(INDEX(MUSTERILER!$B$7:$B$156,MATCH($S1017,MUSTERILER!$T$7:$T$156,0)),""))</f>
        <v/>
      </c>
      <c r="U1017" s="1" t="str">
        <f>IF($T1017="","",$T1017&amp;"|"&amp;COUNTIFS($T$7:$T1017,$T1017))</f>
        <v/>
      </c>
      <c r="V1017" s="1">
        <f t="shared" si="48"/>
        <v>0</v>
      </c>
      <c r="W1017" s="1" t="str">
        <f t="shared" si="49"/>
        <v/>
      </c>
      <c r="X1017" s="1"/>
      <c r="Y1017" s="1"/>
      <c r="Z1017" s="1"/>
      <c r="AA1017" s="1"/>
      <c r="AB1017" s="1"/>
      <c r="AC1017" s="1"/>
      <c r="AD1017" s="1">
        <f>IF($C1017="",0,SUMPRODUCT((AY_SONU!$O$7:$O$42="Evet")*(AY_SONU!$B$7:$B$42=DATE(YEAR($C1017),MONTH($C1017),1))))</f>
        <v>0</v>
      </c>
      <c r="AE1017" s="1" t="str">
        <f>IF($E1017="","",$E1017&amp;"|"&amp;COUNTIFS($E$7:$E1017,$E1017))</f>
        <v/>
      </c>
    </row>
    <row r="1018" spans="1:31" ht="18" customHeight="1" x14ac:dyDescent="0.3">
      <c r="A1018" s="2"/>
      <c r="B1018" s="65" t="str">
        <f>IF($C1018="","","GG"&amp;TEXT(ROW()-6,"00000"))</f>
        <v/>
      </c>
      <c r="C1018" s="66"/>
      <c r="D1018" s="60"/>
      <c r="E1018" s="61"/>
      <c r="F1018" s="61"/>
      <c r="G1018" s="67"/>
      <c r="H1018" s="60"/>
      <c r="I1018" s="60"/>
      <c r="J1018" s="61"/>
      <c r="K1018" s="61"/>
      <c r="L1018" s="60"/>
      <c r="M1018" s="74" t="str">
        <f>IF($C1018="","",IF($D1018="Gider",$E1018,IF($L1018&lt;&gt;"",$L1018,$H1018)))</f>
        <v/>
      </c>
      <c r="N1018" s="74" t="str">
        <f>IF($C1018="","",IF($D1018="Gider",$H1018,$E1018))</f>
        <v/>
      </c>
      <c r="O1018" s="73" t="str">
        <f>IF($C1018="","",DATE(YEAR($C1018),MONTH($C1018),1))</f>
        <v/>
      </c>
      <c r="P1018" s="65" t="str">
        <f ca="1">IF($C1018="","",IF(AND($D1018="Gelir",$L1018&lt;&gt;"",$T1018=""),"TANIMSIZ BORÇLU",IF($T1018&lt;&gt;"",IF(OR($E1018="",$G1018&lt;=0),"EKSİK",IF($I1018="Evet","TAHAKKUK NAKİT OLAMAZ",IF($C1018&gt;TODAY(),"İLERİ TARİH","TAHAKKUK"))),IF(AND($D1018&lt;&gt;"",$E1018&lt;&gt;"",$G1018&gt;0,$H1018&lt;&gt;"",$I1018&lt;&gt;""),IF($C1018&gt;TODAY(),"İLERİ TARİH",IF(COUNTIF($W$7:$W$3001,$W1018)&gt;1,"MÜKERRER?",IF($AD1018&gt;0,"KAPALI DÖNEM",IF($I1018="Hayır","ÖDENECEK","UYGUN")))),"EKSİK"))))</f>
        <v/>
      </c>
      <c r="Q1018" s="2"/>
      <c r="R1018" s="2"/>
      <c r="S1018" s="1" t="str">
        <f t="shared" si="47"/>
        <v/>
      </c>
      <c r="T1018" s="1" t="str">
        <f>IF(OR($C1018="",$D1018&lt;&gt;"Gelir",$L1018=""),"",IFERROR(INDEX(MUSTERILER!$B$7:$B$156,MATCH($S1018,MUSTERILER!$T$7:$T$156,0)),""))</f>
        <v/>
      </c>
      <c r="U1018" s="1" t="str">
        <f>IF($T1018="","",$T1018&amp;"|"&amp;COUNTIFS($T$7:$T1018,$T1018))</f>
        <v/>
      </c>
      <c r="V1018" s="1">
        <f t="shared" si="48"/>
        <v>0</v>
      </c>
      <c r="W1018" s="1" t="str">
        <f t="shared" si="49"/>
        <v/>
      </c>
      <c r="X1018" s="1"/>
      <c r="Y1018" s="1"/>
      <c r="Z1018" s="1"/>
      <c r="AA1018" s="1"/>
      <c r="AB1018" s="1"/>
      <c r="AC1018" s="1"/>
      <c r="AD1018" s="1">
        <f>IF($C1018="",0,SUMPRODUCT((AY_SONU!$O$7:$O$42="Evet")*(AY_SONU!$B$7:$B$42=DATE(YEAR($C1018),MONTH($C1018),1))))</f>
        <v>0</v>
      </c>
      <c r="AE1018" s="1" t="str">
        <f>IF($E1018="","",$E1018&amp;"|"&amp;COUNTIFS($E$7:$E1018,$E1018))</f>
        <v/>
      </c>
    </row>
    <row r="1019" spans="1:31" ht="18" customHeight="1" x14ac:dyDescent="0.3">
      <c r="A1019" s="2"/>
      <c r="B1019" s="65" t="str">
        <f>IF($C1019="","","GG"&amp;TEXT(ROW()-6,"00000"))</f>
        <v/>
      </c>
      <c r="C1019" s="66"/>
      <c r="D1019" s="60"/>
      <c r="E1019" s="61"/>
      <c r="F1019" s="61"/>
      <c r="G1019" s="67"/>
      <c r="H1019" s="60"/>
      <c r="I1019" s="60"/>
      <c r="J1019" s="61"/>
      <c r="K1019" s="61"/>
      <c r="L1019" s="60"/>
      <c r="M1019" s="74" t="str">
        <f>IF($C1019="","",IF($D1019="Gider",$E1019,IF($L1019&lt;&gt;"",$L1019,$H1019)))</f>
        <v/>
      </c>
      <c r="N1019" s="74" t="str">
        <f>IF($C1019="","",IF($D1019="Gider",$H1019,$E1019))</f>
        <v/>
      </c>
      <c r="O1019" s="73" t="str">
        <f>IF($C1019="","",DATE(YEAR($C1019),MONTH($C1019),1))</f>
        <v/>
      </c>
      <c r="P1019" s="65" t="str">
        <f ca="1">IF($C1019="","",IF(AND($D1019="Gelir",$L1019&lt;&gt;"",$T1019=""),"TANIMSIZ BORÇLU",IF($T1019&lt;&gt;"",IF(OR($E1019="",$G1019&lt;=0),"EKSİK",IF($I1019="Evet","TAHAKKUK NAKİT OLAMAZ",IF($C1019&gt;TODAY(),"İLERİ TARİH","TAHAKKUK"))),IF(AND($D1019&lt;&gt;"",$E1019&lt;&gt;"",$G1019&gt;0,$H1019&lt;&gt;"",$I1019&lt;&gt;""),IF($C1019&gt;TODAY(),"İLERİ TARİH",IF(COUNTIF($W$7:$W$3001,$W1019)&gt;1,"MÜKERRER?",IF($AD1019&gt;0,"KAPALI DÖNEM",IF($I1019="Hayır","ÖDENECEK","UYGUN")))),"EKSİK"))))</f>
        <v/>
      </c>
      <c r="Q1019" s="2"/>
      <c r="R1019" s="2"/>
      <c r="S1019" s="1" t="str">
        <f t="shared" si="47"/>
        <v/>
      </c>
      <c r="T1019" s="1" t="str">
        <f>IF(OR($C1019="",$D1019&lt;&gt;"Gelir",$L1019=""),"",IFERROR(INDEX(MUSTERILER!$B$7:$B$156,MATCH($S1019,MUSTERILER!$T$7:$T$156,0)),""))</f>
        <v/>
      </c>
      <c r="U1019" s="1" t="str">
        <f>IF($T1019="","",$T1019&amp;"|"&amp;COUNTIFS($T$7:$T1019,$T1019))</f>
        <v/>
      </c>
      <c r="V1019" s="1">
        <f t="shared" si="48"/>
        <v>0</v>
      </c>
      <c r="W1019" s="1" t="str">
        <f t="shared" si="49"/>
        <v/>
      </c>
      <c r="X1019" s="1"/>
      <c r="Y1019" s="1"/>
      <c r="Z1019" s="1"/>
      <c r="AA1019" s="1"/>
      <c r="AB1019" s="1"/>
      <c r="AC1019" s="1"/>
      <c r="AD1019" s="1">
        <f>IF($C1019="",0,SUMPRODUCT((AY_SONU!$O$7:$O$42="Evet")*(AY_SONU!$B$7:$B$42=DATE(YEAR($C1019),MONTH($C1019),1))))</f>
        <v>0</v>
      </c>
      <c r="AE1019" s="1" t="str">
        <f>IF($E1019="","",$E1019&amp;"|"&amp;COUNTIFS($E$7:$E1019,$E1019))</f>
        <v/>
      </c>
    </row>
    <row r="1020" spans="1:31" ht="18" customHeight="1" x14ac:dyDescent="0.3">
      <c r="A1020" s="2"/>
      <c r="B1020" s="65" t="str">
        <f>IF($C1020="","","GG"&amp;TEXT(ROW()-6,"00000"))</f>
        <v/>
      </c>
      <c r="C1020" s="66"/>
      <c r="D1020" s="60"/>
      <c r="E1020" s="61"/>
      <c r="F1020" s="61"/>
      <c r="G1020" s="67"/>
      <c r="H1020" s="60"/>
      <c r="I1020" s="60"/>
      <c r="J1020" s="61"/>
      <c r="K1020" s="61"/>
      <c r="L1020" s="60"/>
      <c r="M1020" s="74" t="str">
        <f>IF($C1020="","",IF($D1020="Gider",$E1020,IF($L1020&lt;&gt;"",$L1020,$H1020)))</f>
        <v/>
      </c>
      <c r="N1020" s="74" t="str">
        <f>IF($C1020="","",IF($D1020="Gider",$H1020,$E1020))</f>
        <v/>
      </c>
      <c r="O1020" s="73" t="str">
        <f>IF($C1020="","",DATE(YEAR($C1020),MONTH($C1020),1))</f>
        <v/>
      </c>
      <c r="P1020" s="65" t="str">
        <f ca="1">IF($C1020="","",IF(AND($D1020="Gelir",$L1020&lt;&gt;"",$T1020=""),"TANIMSIZ BORÇLU",IF($T1020&lt;&gt;"",IF(OR($E1020="",$G1020&lt;=0),"EKSİK",IF($I1020="Evet","TAHAKKUK NAKİT OLAMAZ",IF($C1020&gt;TODAY(),"İLERİ TARİH","TAHAKKUK"))),IF(AND($D1020&lt;&gt;"",$E1020&lt;&gt;"",$G1020&gt;0,$H1020&lt;&gt;"",$I1020&lt;&gt;""),IF($C1020&gt;TODAY(),"İLERİ TARİH",IF(COUNTIF($W$7:$W$3001,$W1020)&gt;1,"MÜKERRER?",IF($AD1020&gt;0,"KAPALI DÖNEM",IF($I1020="Hayır","ÖDENECEK","UYGUN")))),"EKSİK"))))</f>
        <v/>
      </c>
      <c r="Q1020" s="2"/>
      <c r="R1020" s="2"/>
      <c r="S1020" s="1" t="str">
        <f t="shared" si="47"/>
        <v/>
      </c>
      <c r="T1020" s="1" t="str">
        <f>IF(OR($C1020="",$D1020&lt;&gt;"Gelir",$L1020=""),"",IFERROR(INDEX(MUSTERILER!$B$7:$B$156,MATCH($S1020,MUSTERILER!$T$7:$T$156,0)),""))</f>
        <v/>
      </c>
      <c r="U1020" s="1" t="str">
        <f>IF($T1020="","",$T1020&amp;"|"&amp;COUNTIFS($T$7:$T1020,$T1020))</f>
        <v/>
      </c>
      <c r="V1020" s="1">
        <f t="shared" si="48"/>
        <v>0</v>
      </c>
      <c r="W1020" s="1" t="str">
        <f t="shared" si="49"/>
        <v/>
      </c>
      <c r="X1020" s="1"/>
      <c r="Y1020" s="1"/>
      <c r="Z1020" s="1"/>
      <c r="AA1020" s="1"/>
      <c r="AB1020" s="1"/>
      <c r="AC1020" s="1"/>
      <c r="AD1020" s="1">
        <f>IF($C1020="",0,SUMPRODUCT((AY_SONU!$O$7:$O$42="Evet")*(AY_SONU!$B$7:$B$42=DATE(YEAR($C1020),MONTH($C1020),1))))</f>
        <v>0</v>
      </c>
      <c r="AE1020" s="1" t="str">
        <f>IF($E1020="","",$E1020&amp;"|"&amp;COUNTIFS($E$7:$E1020,$E1020))</f>
        <v/>
      </c>
    </row>
    <row r="1021" spans="1:31" ht="18" customHeight="1" x14ac:dyDescent="0.3">
      <c r="A1021" s="2"/>
      <c r="B1021" s="65" t="str">
        <f>IF($C1021="","","GG"&amp;TEXT(ROW()-6,"00000"))</f>
        <v/>
      </c>
      <c r="C1021" s="66"/>
      <c r="D1021" s="60"/>
      <c r="E1021" s="61"/>
      <c r="F1021" s="61"/>
      <c r="G1021" s="67"/>
      <c r="H1021" s="60"/>
      <c r="I1021" s="60"/>
      <c r="J1021" s="61"/>
      <c r="K1021" s="61"/>
      <c r="L1021" s="60"/>
      <c r="M1021" s="74" t="str">
        <f>IF($C1021="","",IF($D1021="Gider",$E1021,IF($L1021&lt;&gt;"",$L1021,$H1021)))</f>
        <v/>
      </c>
      <c r="N1021" s="74" t="str">
        <f>IF($C1021="","",IF($D1021="Gider",$H1021,$E1021))</f>
        <v/>
      </c>
      <c r="O1021" s="73" t="str">
        <f>IF($C1021="","",DATE(YEAR($C1021),MONTH($C1021),1))</f>
        <v/>
      </c>
      <c r="P1021" s="65" t="str">
        <f ca="1">IF($C1021="","",IF(AND($D1021="Gelir",$L1021&lt;&gt;"",$T1021=""),"TANIMSIZ BORÇLU",IF($T1021&lt;&gt;"",IF(OR($E1021="",$G1021&lt;=0),"EKSİK",IF($I1021="Evet","TAHAKKUK NAKİT OLAMAZ",IF($C1021&gt;TODAY(),"İLERİ TARİH","TAHAKKUK"))),IF(AND($D1021&lt;&gt;"",$E1021&lt;&gt;"",$G1021&gt;0,$H1021&lt;&gt;"",$I1021&lt;&gt;""),IF($C1021&gt;TODAY(),"İLERİ TARİH",IF(COUNTIF($W$7:$W$3001,$W1021)&gt;1,"MÜKERRER?",IF($AD1021&gt;0,"KAPALI DÖNEM",IF($I1021="Hayır","ÖDENECEK","UYGUN")))),"EKSİK"))))</f>
        <v/>
      </c>
      <c r="Q1021" s="2"/>
      <c r="R1021" s="2"/>
      <c r="S1021" s="1" t="str">
        <f t="shared" si="47"/>
        <v/>
      </c>
      <c r="T1021" s="1" t="str">
        <f>IF(OR($C1021="",$D1021&lt;&gt;"Gelir",$L1021=""),"",IFERROR(INDEX(MUSTERILER!$B$7:$B$156,MATCH($S1021,MUSTERILER!$T$7:$T$156,0)),""))</f>
        <v/>
      </c>
      <c r="U1021" s="1" t="str">
        <f>IF($T1021="","",$T1021&amp;"|"&amp;COUNTIFS($T$7:$T1021,$T1021))</f>
        <v/>
      </c>
      <c r="V1021" s="1">
        <f t="shared" si="48"/>
        <v>0</v>
      </c>
      <c r="W1021" s="1" t="str">
        <f t="shared" si="49"/>
        <v/>
      </c>
      <c r="X1021" s="1"/>
      <c r="Y1021" s="1"/>
      <c r="Z1021" s="1"/>
      <c r="AA1021" s="1"/>
      <c r="AB1021" s="1"/>
      <c r="AC1021" s="1"/>
      <c r="AD1021" s="1">
        <f>IF($C1021="",0,SUMPRODUCT((AY_SONU!$O$7:$O$42="Evet")*(AY_SONU!$B$7:$B$42=DATE(YEAR($C1021),MONTH($C1021),1))))</f>
        <v>0</v>
      </c>
      <c r="AE1021" s="1" t="str">
        <f>IF($E1021="","",$E1021&amp;"|"&amp;COUNTIFS($E$7:$E1021,$E1021))</f>
        <v/>
      </c>
    </row>
    <row r="1022" spans="1:31" ht="18" customHeight="1" x14ac:dyDescent="0.3">
      <c r="A1022" s="2"/>
      <c r="B1022" s="65" t="str">
        <f>IF($C1022="","","GG"&amp;TEXT(ROW()-6,"00000"))</f>
        <v/>
      </c>
      <c r="C1022" s="66"/>
      <c r="D1022" s="60"/>
      <c r="E1022" s="61"/>
      <c r="F1022" s="61"/>
      <c r="G1022" s="67"/>
      <c r="H1022" s="60"/>
      <c r="I1022" s="60"/>
      <c r="J1022" s="61"/>
      <c r="K1022" s="61"/>
      <c r="L1022" s="60"/>
      <c r="M1022" s="74" t="str">
        <f>IF($C1022="","",IF($D1022="Gider",$E1022,IF($L1022&lt;&gt;"",$L1022,$H1022)))</f>
        <v/>
      </c>
      <c r="N1022" s="74" t="str">
        <f>IF($C1022="","",IF($D1022="Gider",$H1022,$E1022))</f>
        <v/>
      </c>
      <c r="O1022" s="73" t="str">
        <f>IF($C1022="","",DATE(YEAR($C1022),MONTH($C1022),1))</f>
        <v/>
      </c>
      <c r="P1022" s="65" t="str">
        <f ca="1">IF($C1022="","",IF(AND($D1022="Gelir",$L1022&lt;&gt;"",$T1022=""),"TANIMSIZ BORÇLU",IF($T1022&lt;&gt;"",IF(OR($E1022="",$G1022&lt;=0),"EKSİK",IF($I1022="Evet","TAHAKKUK NAKİT OLAMAZ",IF($C1022&gt;TODAY(),"İLERİ TARİH","TAHAKKUK"))),IF(AND($D1022&lt;&gt;"",$E1022&lt;&gt;"",$G1022&gt;0,$H1022&lt;&gt;"",$I1022&lt;&gt;""),IF($C1022&gt;TODAY(),"İLERİ TARİH",IF(COUNTIF($W$7:$W$3001,$W1022)&gt;1,"MÜKERRER?",IF($AD1022&gt;0,"KAPALI DÖNEM",IF($I1022="Hayır","ÖDENECEK","UYGUN")))),"EKSİK"))))</f>
        <v/>
      </c>
      <c r="Q1022" s="2"/>
      <c r="R1022" s="2"/>
      <c r="S1022" s="1" t="str">
        <f t="shared" si="47"/>
        <v/>
      </c>
      <c r="T1022" s="1" t="str">
        <f>IF(OR($C1022="",$D1022&lt;&gt;"Gelir",$L1022=""),"",IFERROR(INDEX(MUSTERILER!$B$7:$B$156,MATCH($S1022,MUSTERILER!$T$7:$T$156,0)),""))</f>
        <v/>
      </c>
      <c r="U1022" s="1" t="str">
        <f>IF($T1022="","",$T1022&amp;"|"&amp;COUNTIFS($T$7:$T1022,$T1022))</f>
        <v/>
      </c>
      <c r="V1022" s="1">
        <f t="shared" si="48"/>
        <v>0</v>
      </c>
      <c r="W1022" s="1" t="str">
        <f t="shared" si="49"/>
        <v/>
      </c>
      <c r="X1022" s="1"/>
      <c r="Y1022" s="1"/>
      <c r="Z1022" s="1"/>
      <c r="AA1022" s="1"/>
      <c r="AB1022" s="1"/>
      <c r="AC1022" s="1"/>
      <c r="AD1022" s="1">
        <f>IF($C1022="",0,SUMPRODUCT((AY_SONU!$O$7:$O$42="Evet")*(AY_SONU!$B$7:$B$42=DATE(YEAR($C1022),MONTH($C1022),1))))</f>
        <v>0</v>
      </c>
      <c r="AE1022" s="1" t="str">
        <f>IF($E1022="","",$E1022&amp;"|"&amp;COUNTIFS($E$7:$E1022,$E1022))</f>
        <v/>
      </c>
    </row>
    <row r="1023" spans="1:31" ht="18" customHeight="1" x14ac:dyDescent="0.3">
      <c r="A1023" s="2"/>
      <c r="B1023" s="65" t="str">
        <f>IF($C1023="","","GG"&amp;TEXT(ROW()-6,"00000"))</f>
        <v/>
      </c>
      <c r="C1023" s="66"/>
      <c r="D1023" s="60"/>
      <c r="E1023" s="61"/>
      <c r="F1023" s="61"/>
      <c r="G1023" s="67"/>
      <c r="H1023" s="60"/>
      <c r="I1023" s="60"/>
      <c r="J1023" s="61"/>
      <c r="K1023" s="61"/>
      <c r="L1023" s="60"/>
      <c r="M1023" s="74" t="str">
        <f>IF($C1023="","",IF($D1023="Gider",$E1023,IF($L1023&lt;&gt;"",$L1023,$H1023)))</f>
        <v/>
      </c>
      <c r="N1023" s="74" t="str">
        <f>IF($C1023="","",IF($D1023="Gider",$H1023,$E1023))</f>
        <v/>
      </c>
      <c r="O1023" s="73" t="str">
        <f>IF($C1023="","",DATE(YEAR($C1023),MONTH($C1023),1))</f>
        <v/>
      </c>
      <c r="P1023" s="65" t="str">
        <f ca="1">IF($C1023="","",IF(AND($D1023="Gelir",$L1023&lt;&gt;"",$T1023=""),"TANIMSIZ BORÇLU",IF($T1023&lt;&gt;"",IF(OR($E1023="",$G1023&lt;=0),"EKSİK",IF($I1023="Evet","TAHAKKUK NAKİT OLAMAZ",IF($C1023&gt;TODAY(),"İLERİ TARİH","TAHAKKUK"))),IF(AND($D1023&lt;&gt;"",$E1023&lt;&gt;"",$G1023&gt;0,$H1023&lt;&gt;"",$I1023&lt;&gt;""),IF($C1023&gt;TODAY(),"İLERİ TARİH",IF(COUNTIF($W$7:$W$3001,$W1023)&gt;1,"MÜKERRER?",IF($AD1023&gt;0,"KAPALI DÖNEM",IF($I1023="Hayır","ÖDENECEK","UYGUN")))),"EKSİK"))))</f>
        <v/>
      </c>
      <c r="Q1023" s="2"/>
      <c r="R1023" s="2"/>
      <c r="S1023" s="1" t="str">
        <f t="shared" si="47"/>
        <v/>
      </c>
      <c r="T1023" s="1" t="str">
        <f>IF(OR($C1023="",$D1023&lt;&gt;"Gelir",$L1023=""),"",IFERROR(INDEX(MUSTERILER!$B$7:$B$156,MATCH($S1023,MUSTERILER!$T$7:$T$156,0)),""))</f>
        <v/>
      </c>
      <c r="U1023" s="1" t="str">
        <f>IF($T1023="","",$T1023&amp;"|"&amp;COUNTIFS($T$7:$T1023,$T1023))</f>
        <v/>
      </c>
      <c r="V1023" s="1">
        <f t="shared" si="48"/>
        <v>0</v>
      </c>
      <c r="W1023" s="1" t="str">
        <f t="shared" si="49"/>
        <v/>
      </c>
      <c r="X1023" s="1"/>
      <c r="Y1023" s="1"/>
      <c r="Z1023" s="1"/>
      <c r="AA1023" s="1"/>
      <c r="AB1023" s="1"/>
      <c r="AC1023" s="1"/>
      <c r="AD1023" s="1">
        <f>IF($C1023="",0,SUMPRODUCT((AY_SONU!$O$7:$O$42="Evet")*(AY_SONU!$B$7:$B$42=DATE(YEAR($C1023),MONTH($C1023),1))))</f>
        <v>0</v>
      </c>
      <c r="AE1023" s="1" t="str">
        <f>IF($E1023="","",$E1023&amp;"|"&amp;COUNTIFS($E$7:$E1023,$E1023))</f>
        <v/>
      </c>
    </row>
    <row r="1024" spans="1:31" ht="18" customHeight="1" x14ac:dyDescent="0.3">
      <c r="A1024" s="2"/>
      <c r="B1024" s="65" t="str">
        <f>IF($C1024="","","GG"&amp;TEXT(ROW()-6,"00000"))</f>
        <v/>
      </c>
      <c r="C1024" s="66"/>
      <c r="D1024" s="60"/>
      <c r="E1024" s="61"/>
      <c r="F1024" s="61"/>
      <c r="G1024" s="67"/>
      <c r="H1024" s="60"/>
      <c r="I1024" s="60"/>
      <c r="J1024" s="61"/>
      <c r="K1024" s="61"/>
      <c r="L1024" s="60"/>
      <c r="M1024" s="74" t="str">
        <f>IF($C1024="","",IF($D1024="Gider",$E1024,IF($L1024&lt;&gt;"",$L1024,$H1024)))</f>
        <v/>
      </c>
      <c r="N1024" s="74" t="str">
        <f>IF($C1024="","",IF($D1024="Gider",$H1024,$E1024))</f>
        <v/>
      </c>
      <c r="O1024" s="73" t="str">
        <f>IF($C1024="","",DATE(YEAR($C1024),MONTH($C1024),1))</f>
        <v/>
      </c>
      <c r="P1024" s="65" t="str">
        <f ca="1">IF($C1024="","",IF(AND($D1024="Gelir",$L1024&lt;&gt;"",$T1024=""),"TANIMSIZ BORÇLU",IF($T1024&lt;&gt;"",IF(OR($E1024="",$G1024&lt;=0),"EKSİK",IF($I1024="Evet","TAHAKKUK NAKİT OLAMAZ",IF($C1024&gt;TODAY(),"İLERİ TARİH","TAHAKKUK"))),IF(AND($D1024&lt;&gt;"",$E1024&lt;&gt;"",$G1024&gt;0,$H1024&lt;&gt;"",$I1024&lt;&gt;""),IF($C1024&gt;TODAY(),"İLERİ TARİH",IF(COUNTIF($W$7:$W$3001,$W1024)&gt;1,"MÜKERRER?",IF($AD1024&gt;0,"KAPALI DÖNEM",IF($I1024="Hayır","ÖDENECEK","UYGUN")))),"EKSİK"))))</f>
        <v/>
      </c>
      <c r="Q1024" s="2"/>
      <c r="R1024" s="2"/>
      <c r="S1024" s="1" t="str">
        <f t="shared" si="47"/>
        <v/>
      </c>
      <c r="T1024" s="1" t="str">
        <f>IF(OR($C1024="",$D1024&lt;&gt;"Gelir",$L1024=""),"",IFERROR(INDEX(MUSTERILER!$B$7:$B$156,MATCH($S1024,MUSTERILER!$T$7:$T$156,0)),""))</f>
        <v/>
      </c>
      <c r="U1024" s="1" t="str">
        <f>IF($T1024="","",$T1024&amp;"|"&amp;COUNTIFS($T$7:$T1024,$T1024))</f>
        <v/>
      </c>
      <c r="V1024" s="1">
        <f t="shared" si="48"/>
        <v>0</v>
      </c>
      <c r="W1024" s="1" t="str">
        <f t="shared" si="49"/>
        <v/>
      </c>
      <c r="X1024" s="1"/>
      <c r="Y1024" s="1"/>
      <c r="Z1024" s="1"/>
      <c r="AA1024" s="1"/>
      <c r="AB1024" s="1"/>
      <c r="AC1024" s="1"/>
      <c r="AD1024" s="1">
        <f>IF($C1024="",0,SUMPRODUCT((AY_SONU!$O$7:$O$42="Evet")*(AY_SONU!$B$7:$B$42=DATE(YEAR($C1024),MONTH($C1024),1))))</f>
        <v>0</v>
      </c>
      <c r="AE1024" s="1" t="str">
        <f>IF($E1024="","",$E1024&amp;"|"&amp;COUNTIFS($E$7:$E1024,$E1024))</f>
        <v/>
      </c>
    </row>
    <row r="1025" spans="1:31" ht="18" customHeight="1" x14ac:dyDescent="0.3">
      <c r="A1025" s="2"/>
      <c r="B1025" s="65" t="str">
        <f>IF($C1025="","","GG"&amp;TEXT(ROW()-6,"00000"))</f>
        <v/>
      </c>
      <c r="C1025" s="66"/>
      <c r="D1025" s="60"/>
      <c r="E1025" s="61"/>
      <c r="F1025" s="61"/>
      <c r="G1025" s="67"/>
      <c r="H1025" s="60"/>
      <c r="I1025" s="60"/>
      <c r="J1025" s="61"/>
      <c r="K1025" s="61"/>
      <c r="L1025" s="60"/>
      <c r="M1025" s="74" t="str">
        <f>IF($C1025="","",IF($D1025="Gider",$E1025,IF($L1025&lt;&gt;"",$L1025,$H1025)))</f>
        <v/>
      </c>
      <c r="N1025" s="74" t="str">
        <f>IF($C1025="","",IF($D1025="Gider",$H1025,$E1025))</f>
        <v/>
      </c>
      <c r="O1025" s="73" t="str">
        <f>IF($C1025="","",DATE(YEAR($C1025),MONTH($C1025),1))</f>
        <v/>
      </c>
      <c r="P1025" s="65" t="str">
        <f ca="1">IF($C1025="","",IF(AND($D1025="Gelir",$L1025&lt;&gt;"",$T1025=""),"TANIMSIZ BORÇLU",IF($T1025&lt;&gt;"",IF(OR($E1025="",$G1025&lt;=0),"EKSİK",IF($I1025="Evet","TAHAKKUK NAKİT OLAMAZ",IF($C1025&gt;TODAY(),"İLERİ TARİH","TAHAKKUK"))),IF(AND($D1025&lt;&gt;"",$E1025&lt;&gt;"",$G1025&gt;0,$H1025&lt;&gt;"",$I1025&lt;&gt;""),IF($C1025&gt;TODAY(),"İLERİ TARİH",IF(COUNTIF($W$7:$W$3001,$W1025)&gt;1,"MÜKERRER?",IF($AD1025&gt;0,"KAPALI DÖNEM",IF($I1025="Hayır","ÖDENECEK","UYGUN")))),"EKSİK"))))</f>
        <v/>
      </c>
      <c r="Q1025" s="2"/>
      <c r="R1025" s="2"/>
      <c r="S1025" s="1" t="str">
        <f t="shared" si="47"/>
        <v/>
      </c>
      <c r="T1025" s="1" t="str">
        <f>IF(OR($C1025="",$D1025&lt;&gt;"Gelir",$L1025=""),"",IFERROR(INDEX(MUSTERILER!$B$7:$B$156,MATCH($S1025,MUSTERILER!$T$7:$T$156,0)),""))</f>
        <v/>
      </c>
      <c r="U1025" s="1" t="str">
        <f>IF($T1025="","",$T1025&amp;"|"&amp;COUNTIFS($T$7:$T1025,$T1025))</f>
        <v/>
      </c>
      <c r="V1025" s="1">
        <f t="shared" si="48"/>
        <v>0</v>
      </c>
      <c r="W1025" s="1" t="str">
        <f t="shared" si="49"/>
        <v/>
      </c>
      <c r="X1025" s="1"/>
      <c r="Y1025" s="1"/>
      <c r="Z1025" s="1"/>
      <c r="AA1025" s="1"/>
      <c r="AB1025" s="1"/>
      <c r="AC1025" s="1"/>
      <c r="AD1025" s="1">
        <f>IF($C1025="",0,SUMPRODUCT((AY_SONU!$O$7:$O$42="Evet")*(AY_SONU!$B$7:$B$42=DATE(YEAR($C1025),MONTH($C1025),1))))</f>
        <v>0</v>
      </c>
      <c r="AE1025" s="1" t="str">
        <f>IF($E1025="","",$E1025&amp;"|"&amp;COUNTIFS($E$7:$E1025,$E1025))</f>
        <v/>
      </c>
    </row>
    <row r="1026" spans="1:31" ht="18" customHeight="1" x14ac:dyDescent="0.3">
      <c r="A1026" s="2"/>
      <c r="B1026" s="65" t="str">
        <f>IF($C1026="","","GG"&amp;TEXT(ROW()-6,"00000"))</f>
        <v/>
      </c>
      <c r="C1026" s="66"/>
      <c r="D1026" s="60"/>
      <c r="E1026" s="61"/>
      <c r="F1026" s="61"/>
      <c r="G1026" s="67"/>
      <c r="H1026" s="60"/>
      <c r="I1026" s="60"/>
      <c r="J1026" s="61"/>
      <c r="K1026" s="61"/>
      <c r="L1026" s="60"/>
      <c r="M1026" s="74" t="str">
        <f>IF($C1026="","",IF($D1026="Gider",$E1026,IF($L1026&lt;&gt;"",$L1026,$H1026)))</f>
        <v/>
      </c>
      <c r="N1026" s="74" t="str">
        <f>IF($C1026="","",IF($D1026="Gider",$H1026,$E1026))</f>
        <v/>
      </c>
      <c r="O1026" s="73" t="str">
        <f>IF($C1026="","",DATE(YEAR($C1026),MONTH($C1026),1))</f>
        <v/>
      </c>
      <c r="P1026" s="65" t="str">
        <f ca="1">IF($C1026="","",IF(AND($D1026="Gelir",$L1026&lt;&gt;"",$T1026=""),"TANIMSIZ BORÇLU",IF($T1026&lt;&gt;"",IF(OR($E1026="",$G1026&lt;=0),"EKSİK",IF($I1026="Evet","TAHAKKUK NAKİT OLAMAZ",IF($C1026&gt;TODAY(),"İLERİ TARİH","TAHAKKUK"))),IF(AND($D1026&lt;&gt;"",$E1026&lt;&gt;"",$G1026&gt;0,$H1026&lt;&gt;"",$I1026&lt;&gt;""),IF($C1026&gt;TODAY(),"İLERİ TARİH",IF(COUNTIF($W$7:$W$3001,$W1026)&gt;1,"MÜKERRER?",IF($AD1026&gt;0,"KAPALI DÖNEM",IF($I1026="Hayır","ÖDENECEK","UYGUN")))),"EKSİK"))))</f>
        <v/>
      </c>
      <c r="Q1026" s="2"/>
      <c r="R1026" s="2"/>
      <c r="S1026" s="1" t="str">
        <f t="shared" si="47"/>
        <v/>
      </c>
      <c r="T1026" s="1" t="str">
        <f>IF(OR($C1026="",$D1026&lt;&gt;"Gelir",$L1026=""),"",IFERROR(INDEX(MUSTERILER!$B$7:$B$156,MATCH($S1026,MUSTERILER!$T$7:$T$156,0)),""))</f>
        <v/>
      </c>
      <c r="U1026" s="1" t="str">
        <f>IF($T1026="","",$T1026&amp;"|"&amp;COUNTIFS($T$7:$T1026,$T1026))</f>
        <v/>
      </c>
      <c r="V1026" s="1">
        <f t="shared" si="48"/>
        <v>0</v>
      </c>
      <c r="W1026" s="1" t="str">
        <f t="shared" si="49"/>
        <v/>
      </c>
      <c r="X1026" s="1"/>
      <c r="Y1026" s="1"/>
      <c r="Z1026" s="1"/>
      <c r="AA1026" s="1"/>
      <c r="AB1026" s="1"/>
      <c r="AC1026" s="1"/>
      <c r="AD1026" s="1">
        <f>IF($C1026="",0,SUMPRODUCT((AY_SONU!$O$7:$O$42="Evet")*(AY_SONU!$B$7:$B$42=DATE(YEAR($C1026),MONTH($C1026),1))))</f>
        <v>0</v>
      </c>
      <c r="AE1026" s="1" t="str">
        <f>IF($E1026="","",$E1026&amp;"|"&amp;COUNTIFS($E$7:$E1026,$E1026))</f>
        <v/>
      </c>
    </row>
    <row r="1027" spans="1:31" ht="18" customHeight="1" x14ac:dyDescent="0.3">
      <c r="A1027" s="2"/>
      <c r="B1027" s="65" t="str">
        <f>IF($C1027="","","GG"&amp;TEXT(ROW()-6,"00000"))</f>
        <v/>
      </c>
      <c r="C1027" s="66"/>
      <c r="D1027" s="60"/>
      <c r="E1027" s="61"/>
      <c r="F1027" s="61"/>
      <c r="G1027" s="67"/>
      <c r="H1027" s="60"/>
      <c r="I1027" s="60"/>
      <c r="J1027" s="61"/>
      <c r="K1027" s="61"/>
      <c r="L1027" s="60"/>
      <c r="M1027" s="74" t="str">
        <f>IF($C1027="","",IF($D1027="Gider",$E1027,IF($L1027&lt;&gt;"",$L1027,$H1027)))</f>
        <v/>
      </c>
      <c r="N1027" s="74" t="str">
        <f>IF($C1027="","",IF($D1027="Gider",$H1027,$E1027))</f>
        <v/>
      </c>
      <c r="O1027" s="73" t="str">
        <f>IF($C1027="","",DATE(YEAR($C1027),MONTH($C1027),1))</f>
        <v/>
      </c>
      <c r="P1027" s="65" t="str">
        <f ca="1">IF($C1027="","",IF(AND($D1027="Gelir",$L1027&lt;&gt;"",$T1027=""),"TANIMSIZ BORÇLU",IF($T1027&lt;&gt;"",IF(OR($E1027="",$G1027&lt;=0),"EKSİK",IF($I1027="Evet","TAHAKKUK NAKİT OLAMAZ",IF($C1027&gt;TODAY(),"İLERİ TARİH","TAHAKKUK"))),IF(AND($D1027&lt;&gt;"",$E1027&lt;&gt;"",$G1027&gt;0,$H1027&lt;&gt;"",$I1027&lt;&gt;""),IF($C1027&gt;TODAY(),"İLERİ TARİH",IF(COUNTIF($W$7:$W$3001,$W1027)&gt;1,"MÜKERRER?",IF($AD1027&gt;0,"KAPALI DÖNEM",IF($I1027="Hayır","ÖDENECEK","UYGUN")))),"EKSİK"))))</f>
        <v/>
      </c>
      <c r="Q1027" s="2"/>
      <c r="R1027" s="2"/>
      <c r="S1027" s="1" t="str">
        <f t="shared" si="47"/>
        <v/>
      </c>
      <c r="T1027" s="1" t="str">
        <f>IF(OR($C1027="",$D1027&lt;&gt;"Gelir",$L1027=""),"",IFERROR(INDEX(MUSTERILER!$B$7:$B$156,MATCH($S1027,MUSTERILER!$T$7:$T$156,0)),""))</f>
        <v/>
      </c>
      <c r="U1027" s="1" t="str">
        <f>IF($T1027="","",$T1027&amp;"|"&amp;COUNTIFS($T$7:$T1027,$T1027))</f>
        <v/>
      </c>
      <c r="V1027" s="1">
        <f t="shared" si="48"/>
        <v>0</v>
      </c>
      <c r="W1027" s="1" t="str">
        <f t="shared" si="49"/>
        <v/>
      </c>
      <c r="X1027" s="1"/>
      <c r="Y1027" s="1"/>
      <c r="Z1027" s="1"/>
      <c r="AA1027" s="1"/>
      <c r="AB1027" s="1"/>
      <c r="AC1027" s="1"/>
      <c r="AD1027" s="1">
        <f>IF($C1027="",0,SUMPRODUCT((AY_SONU!$O$7:$O$42="Evet")*(AY_SONU!$B$7:$B$42=DATE(YEAR($C1027),MONTH($C1027),1))))</f>
        <v>0</v>
      </c>
      <c r="AE1027" s="1" t="str">
        <f>IF($E1027="","",$E1027&amp;"|"&amp;COUNTIFS($E$7:$E1027,$E1027))</f>
        <v/>
      </c>
    </row>
    <row r="1028" spans="1:31" ht="18" customHeight="1" x14ac:dyDescent="0.3">
      <c r="A1028" s="2"/>
      <c r="B1028" s="65" t="str">
        <f>IF($C1028="","","GG"&amp;TEXT(ROW()-6,"00000"))</f>
        <v/>
      </c>
      <c r="C1028" s="66"/>
      <c r="D1028" s="60"/>
      <c r="E1028" s="61"/>
      <c r="F1028" s="61"/>
      <c r="G1028" s="67"/>
      <c r="H1028" s="60"/>
      <c r="I1028" s="60"/>
      <c r="J1028" s="61"/>
      <c r="K1028" s="61"/>
      <c r="L1028" s="60"/>
      <c r="M1028" s="74" t="str">
        <f>IF($C1028="","",IF($D1028="Gider",$E1028,IF($L1028&lt;&gt;"",$L1028,$H1028)))</f>
        <v/>
      </c>
      <c r="N1028" s="74" t="str">
        <f>IF($C1028="","",IF($D1028="Gider",$H1028,$E1028))</f>
        <v/>
      </c>
      <c r="O1028" s="73" t="str">
        <f>IF($C1028="","",DATE(YEAR($C1028),MONTH($C1028),1))</f>
        <v/>
      </c>
      <c r="P1028" s="65" t="str">
        <f ca="1">IF($C1028="","",IF(AND($D1028="Gelir",$L1028&lt;&gt;"",$T1028=""),"TANIMSIZ BORÇLU",IF($T1028&lt;&gt;"",IF(OR($E1028="",$G1028&lt;=0),"EKSİK",IF($I1028="Evet","TAHAKKUK NAKİT OLAMAZ",IF($C1028&gt;TODAY(),"İLERİ TARİH","TAHAKKUK"))),IF(AND($D1028&lt;&gt;"",$E1028&lt;&gt;"",$G1028&gt;0,$H1028&lt;&gt;"",$I1028&lt;&gt;""),IF($C1028&gt;TODAY(),"İLERİ TARİH",IF(COUNTIF($W$7:$W$3001,$W1028)&gt;1,"MÜKERRER?",IF($AD1028&gt;0,"KAPALI DÖNEM",IF($I1028="Hayır","ÖDENECEK","UYGUN")))),"EKSİK"))))</f>
        <v/>
      </c>
      <c r="Q1028" s="2"/>
      <c r="R1028" s="2"/>
      <c r="S1028" s="1" t="str">
        <f t="shared" si="47"/>
        <v/>
      </c>
      <c r="T1028" s="1" t="str">
        <f>IF(OR($C1028="",$D1028&lt;&gt;"Gelir",$L1028=""),"",IFERROR(INDEX(MUSTERILER!$B$7:$B$156,MATCH($S1028,MUSTERILER!$T$7:$T$156,0)),""))</f>
        <v/>
      </c>
      <c r="U1028" s="1" t="str">
        <f>IF($T1028="","",$T1028&amp;"|"&amp;COUNTIFS($T$7:$T1028,$T1028))</f>
        <v/>
      </c>
      <c r="V1028" s="1">
        <f t="shared" si="48"/>
        <v>0</v>
      </c>
      <c r="W1028" s="1" t="str">
        <f t="shared" si="49"/>
        <v/>
      </c>
      <c r="X1028" s="1"/>
      <c r="Y1028" s="1"/>
      <c r="Z1028" s="1"/>
      <c r="AA1028" s="1"/>
      <c r="AB1028" s="1"/>
      <c r="AC1028" s="1"/>
      <c r="AD1028" s="1">
        <f>IF($C1028="",0,SUMPRODUCT((AY_SONU!$O$7:$O$42="Evet")*(AY_SONU!$B$7:$B$42=DATE(YEAR($C1028),MONTH($C1028),1))))</f>
        <v>0</v>
      </c>
      <c r="AE1028" s="1" t="str">
        <f>IF($E1028="","",$E1028&amp;"|"&amp;COUNTIFS($E$7:$E1028,$E1028))</f>
        <v/>
      </c>
    </row>
    <row r="1029" spans="1:31" ht="18" customHeight="1" x14ac:dyDescent="0.3">
      <c r="A1029" s="2"/>
      <c r="B1029" s="65" t="str">
        <f>IF($C1029="","","GG"&amp;TEXT(ROW()-6,"00000"))</f>
        <v/>
      </c>
      <c r="C1029" s="66"/>
      <c r="D1029" s="60"/>
      <c r="E1029" s="61"/>
      <c r="F1029" s="61"/>
      <c r="G1029" s="67"/>
      <c r="H1029" s="60"/>
      <c r="I1029" s="60"/>
      <c r="J1029" s="61"/>
      <c r="K1029" s="61"/>
      <c r="L1029" s="60"/>
      <c r="M1029" s="74" t="str">
        <f>IF($C1029="","",IF($D1029="Gider",$E1029,IF($L1029&lt;&gt;"",$L1029,$H1029)))</f>
        <v/>
      </c>
      <c r="N1029" s="74" t="str">
        <f>IF($C1029="","",IF($D1029="Gider",$H1029,$E1029))</f>
        <v/>
      </c>
      <c r="O1029" s="73" t="str">
        <f>IF($C1029="","",DATE(YEAR($C1029),MONTH($C1029),1))</f>
        <v/>
      </c>
      <c r="P1029" s="65" t="str">
        <f ca="1">IF($C1029="","",IF(AND($D1029="Gelir",$L1029&lt;&gt;"",$T1029=""),"TANIMSIZ BORÇLU",IF($T1029&lt;&gt;"",IF(OR($E1029="",$G1029&lt;=0),"EKSİK",IF($I1029="Evet","TAHAKKUK NAKİT OLAMAZ",IF($C1029&gt;TODAY(),"İLERİ TARİH","TAHAKKUK"))),IF(AND($D1029&lt;&gt;"",$E1029&lt;&gt;"",$G1029&gt;0,$H1029&lt;&gt;"",$I1029&lt;&gt;""),IF($C1029&gt;TODAY(),"İLERİ TARİH",IF(COUNTIF($W$7:$W$3001,$W1029)&gt;1,"MÜKERRER?",IF($AD1029&gt;0,"KAPALI DÖNEM",IF($I1029="Hayır","ÖDENECEK","UYGUN")))),"EKSİK"))))</f>
        <v/>
      </c>
      <c r="Q1029" s="2"/>
      <c r="R1029" s="2"/>
      <c r="S1029" s="1" t="str">
        <f t="shared" ref="S1029:S1092" si="50"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1" t="str">
        <f>IF(OR($C1029="",$D1029&lt;&gt;"Gelir",$L1029=""),"",IFERROR(INDEX(MUSTERILER!$B$7:$B$156,MATCH($S1029,MUSTERILER!$T$7:$T$156,0)),""))</f>
        <v/>
      </c>
      <c r="U1029" s="1" t="str">
        <f>IF($T1029="","",$T1029&amp;"|"&amp;COUNTIFS($T$7:$T1029,$T1029))</f>
        <v/>
      </c>
      <c r="V1029" s="1">
        <f t="shared" ref="V1029:V1092" si="51">IF($T1029="",0,1)</f>
        <v>0</v>
      </c>
      <c r="W1029" s="1" t="str">
        <f t="shared" ref="W1029:W1092" si="52">IF($C1029="","",$D1029&amp;"|"&amp;$E1029&amp;"|"&amp;TEXT($C1029,"0")&amp;"|"&amp;TEXT($G1029,"0")&amp;"|"&amp;$F1029&amp;"|"&amp;$J1029)</f>
        <v/>
      </c>
      <c r="X1029" s="1"/>
      <c r="Y1029" s="1"/>
      <c r="Z1029" s="1"/>
      <c r="AA1029" s="1"/>
      <c r="AB1029" s="1"/>
      <c r="AC1029" s="1"/>
      <c r="AD1029" s="1">
        <f>IF($C1029="",0,SUMPRODUCT((AY_SONU!$O$7:$O$42="Evet")*(AY_SONU!$B$7:$B$42=DATE(YEAR($C1029),MONTH($C1029),1))))</f>
        <v>0</v>
      </c>
      <c r="AE1029" s="1" t="str">
        <f>IF($E1029="","",$E1029&amp;"|"&amp;COUNTIFS($E$7:$E1029,$E1029))</f>
        <v/>
      </c>
    </row>
    <row r="1030" spans="1:31" ht="18" customHeight="1" x14ac:dyDescent="0.3">
      <c r="A1030" s="2"/>
      <c r="B1030" s="65" t="str">
        <f>IF($C1030="","","GG"&amp;TEXT(ROW()-6,"00000"))</f>
        <v/>
      </c>
      <c r="C1030" s="66"/>
      <c r="D1030" s="60"/>
      <c r="E1030" s="61"/>
      <c r="F1030" s="61"/>
      <c r="G1030" s="67"/>
      <c r="H1030" s="60"/>
      <c r="I1030" s="60"/>
      <c r="J1030" s="61"/>
      <c r="K1030" s="61"/>
      <c r="L1030" s="60"/>
      <c r="M1030" s="74" t="str">
        <f>IF($C1030="","",IF($D1030="Gider",$E1030,IF($L1030&lt;&gt;"",$L1030,$H1030)))</f>
        <v/>
      </c>
      <c r="N1030" s="74" t="str">
        <f>IF($C1030="","",IF($D1030="Gider",$H1030,$E1030))</f>
        <v/>
      </c>
      <c r="O1030" s="73" t="str">
        <f>IF($C1030="","",DATE(YEAR($C1030),MONTH($C1030),1))</f>
        <v/>
      </c>
      <c r="P1030" s="65" t="str">
        <f ca="1">IF($C1030="","",IF(AND($D1030="Gelir",$L1030&lt;&gt;"",$T1030=""),"TANIMSIZ BORÇLU",IF($T1030&lt;&gt;"",IF(OR($E1030="",$G1030&lt;=0),"EKSİK",IF($I1030="Evet","TAHAKKUK NAKİT OLAMAZ",IF($C1030&gt;TODAY(),"İLERİ TARİH","TAHAKKUK"))),IF(AND($D1030&lt;&gt;"",$E1030&lt;&gt;"",$G1030&gt;0,$H1030&lt;&gt;"",$I1030&lt;&gt;""),IF($C1030&gt;TODAY(),"İLERİ TARİH",IF(COUNTIF($W$7:$W$3001,$W1030)&gt;1,"MÜKERRER?",IF($AD1030&gt;0,"KAPALI DÖNEM",IF($I1030="Hayır","ÖDENECEK","UYGUN")))),"EKSİK"))))</f>
        <v/>
      </c>
      <c r="Q1030" s="2"/>
      <c r="R1030" s="2"/>
      <c r="S1030" s="1" t="str">
        <f t="shared" si="50"/>
        <v/>
      </c>
      <c r="T1030" s="1" t="str">
        <f>IF(OR($C1030="",$D1030&lt;&gt;"Gelir",$L1030=""),"",IFERROR(INDEX(MUSTERILER!$B$7:$B$156,MATCH($S1030,MUSTERILER!$T$7:$T$156,0)),""))</f>
        <v/>
      </c>
      <c r="U1030" s="1" t="str">
        <f>IF($T1030="","",$T1030&amp;"|"&amp;COUNTIFS($T$7:$T1030,$T1030))</f>
        <v/>
      </c>
      <c r="V1030" s="1">
        <f t="shared" si="51"/>
        <v>0</v>
      </c>
      <c r="W1030" s="1" t="str">
        <f t="shared" si="52"/>
        <v/>
      </c>
      <c r="X1030" s="1"/>
      <c r="Y1030" s="1"/>
      <c r="Z1030" s="1"/>
      <c r="AA1030" s="1"/>
      <c r="AB1030" s="1"/>
      <c r="AC1030" s="1"/>
      <c r="AD1030" s="1">
        <f>IF($C1030="",0,SUMPRODUCT((AY_SONU!$O$7:$O$42="Evet")*(AY_SONU!$B$7:$B$42=DATE(YEAR($C1030),MONTH($C1030),1))))</f>
        <v>0</v>
      </c>
      <c r="AE1030" s="1" t="str">
        <f>IF($E1030="","",$E1030&amp;"|"&amp;COUNTIFS($E$7:$E1030,$E1030))</f>
        <v/>
      </c>
    </row>
    <row r="1031" spans="1:31" ht="18" customHeight="1" x14ac:dyDescent="0.3">
      <c r="A1031" s="2"/>
      <c r="B1031" s="65" t="str">
        <f>IF($C1031="","","GG"&amp;TEXT(ROW()-6,"00000"))</f>
        <v/>
      </c>
      <c r="C1031" s="66"/>
      <c r="D1031" s="60"/>
      <c r="E1031" s="61"/>
      <c r="F1031" s="61"/>
      <c r="G1031" s="67"/>
      <c r="H1031" s="60"/>
      <c r="I1031" s="60"/>
      <c r="J1031" s="61"/>
      <c r="K1031" s="61"/>
      <c r="L1031" s="60"/>
      <c r="M1031" s="74" t="str">
        <f>IF($C1031="","",IF($D1031="Gider",$E1031,IF($L1031&lt;&gt;"",$L1031,$H1031)))</f>
        <v/>
      </c>
      <c r="N1031" s="74" t="str">
        <f>IF($C1031="","",IF($D1031="Gider",$H1031,$E1031))</f>
        <v/>
      </c>
      <c r="O1031" s="73" t="str">
        <f>IF($C1031="","",DATE(YEAR($C1031),MONTH($C1031),1))</f>
        <v/>
      </c>
      <c r="P1031" s="65" t="str">
        <f ca="1"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TARİH",IF(COUNTIF($W$7:$W$3001,$W1031)&gt;1,"MÜKERRER?",IF($AD1031&gt;0,"KAPALI DÖNEM",IF($I1031="Hayır","ÖDENECEK","UYGUN")))),"EKSİK"))))</f>
        <v/>
      </c>
      <c r="Q1031" s="2"/>
      <c r="R1031" s="2"/>
      <c r="S1031" s="1" t="str">
        <f t="shared" si="50"/>
        <v/>
      </c>
      <c r="T1031" s="1" t="str">
        <f>IF(OR($C1031="",$D1031&lt;&gt;"Gelir",$L1031=""),"",IFERROR(INDEX(MUSTERILER!$B$7:$B$156,MATCH($S1031,MUSTERILER!$T$7:$T$156,0)),""))</f>
        <v/>
      </c>
      <c r="U1031" s="1" t="str">
        <f>IF($T1031="","",$T1031&amp;"|"&amp;COUNTIFS($T$7:$T1031,$T1031))</f>
        <v/>
      </c>
      <c r="V1031" s="1">
        <f t="shared" si="51"/>
        <v>0</v>
      </c>
      <c r="W1031" s="1" t="str">
        <f t="shared" si="52"/>
        <v/>
      </c>
      <c r="X1031" s="1"/>
      <c r="Y1031" s="1"/>
      <c r="Z1031" s="1"/>
      <c r="AA1031" s="1"/>
      <c r="AB1031" s="1"/>
      <c r="AC1031" s="1"/>
      <c r="AD1031" s="1">
        <f>IF($C1031="",0,SUMPRODUCT((AY_SONU!$O$7:$O$42="Evet")*(AY_SONU!$B$7:$B$42=DATE(YEAR($C1031),MONTH($C1031),1))))</f>
        <v>0</v>
      </c>
      <c r="AE1031" s="1" t="str">
        <f>IF($E1031="","",$E1031&amp;"|"&amp;COUNTIFS($E$7:$E1031,$E1031))</f>
        <v/>
      </c>
    </row>
    <row r="1032" spans="1:31" ht="18" customHeight="1" x14ac:dyDescent="0.3">
      <c r="A1032" s="2"/>
      <c r="B1032" s="65" t="str">
        <f>IF($C1032="","","GG"&amp;TEXT(ROW()-6,"00000"))</f>
        <v/>
      </c>
      <c r="C1032" s="66"/>
      <c r="D1032" s="60"/>
      <c r="E1032" s="61"/>
      <c r="F1032" s="61"/>
      <c r="G1032" s="67"/>
      <c r="H1032" s="60"/>
      <c r="I1032" s="60"/>
      <c r="J1032" s="61"/>
      <c r="K1032" s="61"/>
      <c r="L1032" s="60"/>
      <c r="M1032" s="74" t="str">
        <f>IF($C1032="","",IF($D1032="Gider",$E1032,IF($L1032&lt;&gt;"",$L1032,$H1032)))</f>
        <v/>
      </c>
      <c r="N1032" s="74" t="str">
        <f>IF($C1032="","",IF($D1032="Gider",$H1032,$E1032))</f>
        <v/>
      </c>
      <c r="O1032" s="73" t="str">
        <f>IF($C1032="","",DATE(YEAR($C1032),MONTH($C1032),1))</f>
        <v/>
      </c>
      <c r="P1032" s="65" t="str">
        <f ca="1">IF($C1032="","",IF(AND($D1032="Gelir",$L1032&lt;&gt;"",$T1032=""),"TANIMSIZ BORÇLU",IF($T1032&lt;&gt;"",IF(OR($E1032="",$G1032&lt;=0),"EKSİK",IF($I1032="Evet","TAHAKKUK NAKİT OLAMAZ",IF($C1032&gt;TODAY(),"İLERİ TARİH","TAHAKKUK"))),IF(AND($D1032&lt;&gt;"",$E1032&lt;&gt;"",$G1032&gt;0,$H1032&lt;&gt;"",$I1032&lt;&gt;""),IF($C1032&gt;TODAY(),"İLERİ TARİH",IF(COUNTIF($W$7:$W$3001,$W1032)&gt;1,"MÜKERRER?",IF($AD1032&gt;0,"KAPALI DÖNEM",IF($I1032="Hayır","ÖDENECEK","UYGUN")))),"EKSİK"))))</f>
        <v/>
      </c>
      <c r="Q1032" s="2"/>
      <c r="R1032" s="2"/>
      <c r="S1032" s="1" t="str">
        <f t="shared" si="50"/>
        <v/>
      </c>
      <c r="T1032" s="1" t="str">
        <f>IF(OR($C1032="",$D1032&lt;&gt;"Gelir",$L1032=""),"",IFERROR(INDEX(MUSTERILER!$B$7:$B$156,MATCH($S1032,MUSTERILER!$T$7:$T$156,0)),""))</f>
        <v/>
      </c>
      <c r="U1032" s="1" t="str">
        <f>IF($T1032="","",$T1032&amp;"|"&amp;COUNTIFS($T$7:$T1032,$T1032))</f>
        <v/>
      </c>
      <c r="V1032" s="1">
        <f t="shared" si="51"/>
        <v>0</v>
      </c>
      <c r="W1032" s="1" t="str">
        <f t="shared" si="52"/>
        <v/>
      </c>
      <c r="X1032" s="1"/>
      <c r="Y1032" s="1"/>
      <c r="Z1032" s="1"/>
      <c r="AA1032" s="1"/>
      <c r="AB1032" s="1"/>
      <c r="AC1032" s="1"/>
      <c r="AD1032" s="1">
        <f>IF($C1032="",0,SUMPRODUCT((AY_SONU!$O$7:$O$42="Evet")*(AY_SONU!$B$7:$B$42=DATE(YEAR($C1032),MONTH($C1032),1))))</f>
        <v>0</v>
      </c>
      <c r="AE1032" s="1" t="str">
        <f>IF($E1032="","",$E1032&amp;"|"&amp;COUNTIFS($E$7:$E1032,$E1032))</f>
        <v/>
      </c>
    </row>
    <row r="1033" spans="1:31" ht="18" customHeight="1" x14ac:dyDescent="0.3">
      <c r="A1033" s="2"/>
      <c r="B1033" s="65" t="str">
        <f>IF($C1033="","","GG"&amp;TEXT(ROW()-6,"00000"))</f>
        <v/>
      </c>
      <c r="C1033" s="66"/>
      <c r="D1033" s="60"/>
      <c r="E1033" s="61"/>
      <c r="F1033" s="61"/>
      <c r="G1033" s="67"/>
      <c r="H1033" s="60"/>
      <c r="I1033" s="60"/>
      <c r="J1033" s="61"/>
      <c r="K1033" s="61"/>
      <c r="L1033" s="60"/>
      <c r="M1033" s="74" t="str">
        <f>IF($C1033="","",IF($D1033="Gider",$E1033,IF($L1033&lt;&gt;"",$L1033,$H1033)))</f>
        <v/>
      </c>
      <c r="N1033" s="74" t="str">
        <f>IF($C1033="","",IF($D1033="Gider",$H1033,$E1033))</f>
        <v/>
      </c>
      <c r="O1033" s="73" t="str">
        <f>IF($C1033="","",DATE(YEAR($C1033),MONTH($C1033),1))</f>
        <v/>
      </c>
      <c r="P1033" s="65" t="str">
        <f ca="1">IF($C1033="","",IF(AND($D1033="Gelir",$L1033&lt;&gt;"",$T1033=""),"TANIMSIZ BORÇLU",IF($T1033&lt;&gt;"",IF(OR($E1033="",$G1033&lt;=0),"EKSİK",IF($I1033="Evet","TAHAKKUK NAKİT OLAMAZ",IF($C1033&gt;TODAY(),"İLERİ TARİH","TAHAKKUK"))),IF(AND($D1033&lt;&gt;"",$E1033&lt;&gt;"",$G1033&gt;0,$H1033&lt;&gt;"",$I1033&lt;&gt;""),IF($C1033&gt;TODAY(),"İLERİ TARİH",IF(COUNTIF($W$7:$W$3001,$W1033)&gt;1,"MÜKERRER?",IF($AD1033&gt;0,"KAPALI DÖNEM",IF($I1033="Hayır","ÖDENECEK","UYGUN")))),"EKSİK"))))</f>
        <v/>
      </c>
      <c r="Q1033" s="2"/>
      <c r="R1033" s="2"/>
      <c r="S1033" s="1" t="str">
        <f t="shared" si="50"/>
        <v/>
      </c>
      <c r="T1033" s="1" t="str">
        <f>IF(OR($C1033="",$D1033&lt;&gt;"Gelir",$L1033=""),"",IFERROR(INDEX(MUSTERILER!$B$7:$B$156,MATCH($S1033,MUSTERILER!$T$7:$T$156,0)),""))</f>
        <v/>
      </c>
      <c r="U1033" s="1" t="str">
        <f>IF($T1033="","",$T1033&amp;"|"&amp;COUNTIFS($T$7:$T1033,$T1033))</f>
        <v/>
      </c>
      <c r="V1033" s="1">
        <f t="shared" si="51"/>
        <v>0</v>
      </c>
      <c r="W1033" s="1" t="str">
        <f t="shared" si="52"/>
        <v/>
      </c>
      <c r="X1033" s="1"/>
      <c r="Y1033" s="1"/>
      <c r="Z1033" s="1"/>
      <c r="AA1033" s="1"/>
      <c r="AB1033" s="1"/>
      <c r="AC1033" s="1"/>
      <c r="AD1033" s="1">
        <f>IF($C1033="",0,SUMPRODUCT((AY_SONU!$O$7:$O$42="Evet")*(AY_SONU!$B$7:$B$42=DATE(YEAR($C1033),MONTH($C1033),1))))</f>
        <v>0</v>
      </c>
      <c r="AE1033" s="1" t="str">
        <f>IF($E1033="","",$E1033&amp;"|"&amp;COUNTIFS($E$7:$E1033,$E1033))</f>
        <v/>
      </c>
    </row>
    <row r="1034" spans="1:31" ht="18" customHeight="1" x14ac:dyDescent="0.3">
      <c r="A1034" s="2"/>
      <c r="B1034" s="65" t="str">
        <f>IF($C1034="","","GG"&amp;TEXT(ROW()-6,"00000"))</f>
        <v/>
      </c>
      <c r="C1034" s="66"/>
      <c r="D1034" s="60"/>
      <c r="E1034" s="61"/>
      <c r="F1034" s="61"/>
      <c r="G1034" s="67"/>
      <c r="H1034" s="60"/>
      <c r="I1034" s="60"/>
      <c r="J1034" s="61"/>
      <c r="K1034" s="61"/>
      <c r="L1034" s="60"/>
      <c r="M1034" s="74" t="str">
        <f>IF($C1034="","",IF($D1034="Gider",$E1034,IF($L1034&lt;&gt;"",$L1034,$H1034)))</f>
        <v/>
      </c>
      <c r="N1034" s="74" t="str">
        <f>IF($C1034="","",IF($D1034="Gider",$H1034,$E1034))</f>
        <v/>
      </c>
      <c r="O1034" s="73" t="str">
        <f>IF($C1034="","",DATE(YEAR($C1034),MONTH($C1034),1))</f>
        <v/>
      </c>
      <c r="P1034" s="65" t="str">
        <f ca="1">IF($C1034="","",IF(AND($D1034="Gelir",$L1034&lt;&gt;"",$T1034=""),"TANIMSIZ BORÇLU",IF($T1034&lt;&gt;"",IF(OR($E1034="",$G1034&lt;=0),"EKSİK",IF($I1034="Evet","TAHAKKUK NAKİT OLAMAZ",IF($C1034&gt;TODAY(),"İLERİ TARİH","TAHAKKUK"))),IF(AND($D1034&lt;&gt;"",$E1034&lt;&gt;"",$G1034&gt;0,$H1034&lt;&gt;"",$I1034&lt;&gt;""),IF($C1034&gt;TODAY(),"İLERİ TARİH",IF(COUNTIF($W$7:$W$3001,$W1034)&gt;1,"MÜKERRER?",IF($AD1034&gt;0,"KAPALI DÖNEM",IF($I1034="Hayır","ÖDENECEK","UYGUN")))),"EKSİK"))))</f>
        <v/>
      </c>
      <c r="Q1034" s="2"/>
      <c r="R1034" s="2"/>
      <c r="S1034" s="1" t="str">
        <f t="shared" si="50"/>
        <v/>
      </c>
      <c r="T1034" s="1" t="str">
        <f>IF(OR($C1034="",$D1034&lt;&gt;"Gelir",$L1034=""),"",IFERROR(INDEX(MUSTERILER!$B$7:$B$156,MATCH($S1034,MUSTERILER!$T$7:$T$156,0)),""))</f>
        <v/>
      </c>
      <c r="U1034" s="1" t="str">
        <f>IF($T1034="","",$T1034&amp;"|"&amp;COUNTIFS($T$7:$T1034,$T1034))</f>
        <v/>
      </c>
      <c r="V1034" s="1">
        <f t="shared" si="51"/>
        <v>0</v>
      </c>
      <c r="W1034" s="1" t="str">
        <f t="shared" si="52"/>
        <v/>
      </c>
      <c r="X1034" s="1"/>
      <c r="Y1034" s="1"/>
      <c r="Z1034" s="1"/>
      <c r="AA1034" s="1"/>
      <c r="AB1034" s="1"/>
      <c r="AC1034" s="1"/>
      <c r="AD1034" s="1">
        <f>IF($C1034="",0,SUMPRODUCT((AY_SONU!$O$7:$O$42="Evet")*(AY_SONU!$B$7:$B$42=DATE(YEAR($C1034),MONTH($C1034),1))))</f>
        <v>0</v>
      </c>
      <c r="AE1034" s="1" t="str">
        <f>IF($E1034="","",$E1034&amp;"|"&amp;COUNTIFS($E$7:$E1034,$E1034))</f>
        <v/>
      </c>
    </row>
    <row r="1035" spans="1:31" ht="18" customHeight="1" x14ac:dyDescent="0.3">
      <c r="A1035" s="2"/>
      <c r="B1035" s="65" t="str">
        <f>IF($C1035="","","GG"&amp;TEXT(ROW()-6,"00000"))</f>
        <v/>
      </c>
      <c r="C1035" s="66"/>
      <c r="D1035" s="60"/>
      <c r="E1035" s="61"/>
      <c r="F1035" s="61"/>
      <c r="G1035" s="67"/>
      <c r="H1035" s="60"/>
      <c r="I1035" s="60"/>
      <c r="J1035" s="61"/>
      <c r="K1035" s="61"/>
      <c r="L1035" s="60"/>
      <c r="M1035" s="74" t="str">
        <f>IF($C1035="","",IF($D1035="Gider",$E1035,IF($L1035&lt;&gt;"",$L1035,$H1035)))</f>
        <v/>
      </c>
      <c r="N1035" s="74" t="str">
        <f>IF($C1035="","",IF($D1035="Gider",$H1035,$E1035))</f>
        <v/>
      </c>
      <c r="O1035" s="73" t="str">
        <f>IF($C1035="","",DATE(YEAR($C1035),MONTH($C1035),1))</f>
        <v/>
      </c>
      <c r="P1035" s="65" t="str">
        <f ca="1">IF($C1035="","",IF(AND($D1035="Gelir",$L1035&lt;&gt;"",$T1035=""),"TANIMSIZ BORÇLU",IF($T1035&lt;&gt;"",IF(OR($E1035="",$G1035&lt;=0),"EKSİK",IF($I1035="Evet","TAHAKKUK NAKİT OLAMAZ",IF($C1035&gt;TODAY(),"İLERİ TARİH","TAHAKKUK"))),IF(AND($D1035&lt;&gt;"",$E1035&lt;&gt;"",$G1035&gt;0,$H1035&lt;&gt;"",$I1035&lt;&gt;""),IF($C1035&gt;TODAY(),"İLERİ TARİH",IF(COUNTIF($W$7:$W$3001,$W1035)&gt;1,"MÜKERRER?",IF($AD1035&gt;0,"KAPALI DÖNEM",IF($I1035="Hayır","ÖDENECEK","UYGUN")))),"EKSİK"))))</f>
        <v/>
      </c>
      <c r="Q1035" s="2"/>
      <c r="R1035" s="2"/>
      <c r="S1035" s="1" t="str">
        <f t="shared" si="50"/>
        <v/>
      </c>
      <c r="T1035" s="1" t="str">
        <f>IF(OR($C1035="",$D1035&lt;&gt;"Gelir",$L1035=""),"",IFERROR(INDEX(MUSTERILER!$B$7:$B$156,MATCH($S1035,MUSTERILER!$T$7:$T$156,0)),""))</f>
        <v/>
      </c>
      <c r="U1035" s="1" t="str">
        <f>IF($T1035="","",$T1035&amp;"|"&amp;COUNTIFS($T$7:$T1035,$T1035))</f>
        <v/>
      </c>
      <c r="V1035" s="1">
        <f t="shared" si="51"/>
        <v>0</v>
      </c>
      <c r="W1035" s="1" t="str">
        <f t="shared" si="52"/>
        <v/>
      </c>
      <c r="X1035" s="1"/>
      <c r="Y1035" s="1"/>
      <c r="Z1035" s="1"/>
      <c r="AA1035" s="1"/>
      <c r="AB1035" s="1"/>
      <c r="AC1035" s="1"/>
      <c r="AD1035" s="1">
        <f>IF($C1035="",0,SUMPRODUCT((AY_SONU!$O$7:$O$42="Evet")*(AY_SONU!$B$7:$B$42=DATE(YEAR($C1035),MONTH($C1035),1))))</f>
        <v>0</v>
      </c>
      <c r="AE1035" s="1" t="str">
        <f>IF($E1035="","",$E1035&amp;"|"&amp;COUNTIFS($E$7:$E1035,$E1035))</f>
        <v/>
      </c>
    </row>
    <row r="1036" spans="1:31" ht="18" customHeight="1" x14ac:dyDescent="0.3">
      <c r="A1036" s="2"/>
      <c r="B1036" s="65" t="str">
        <f>IF($C1036="","","GG"&amp;TEXT(ROW()-6,"00000"))</f>
        <v/>
      </c>
      <c r="C1036" s="66"/>
      <c r="D1036" s="60"/>
      <c r="E1036" s="61"/>
      <c r="F1036" s="61"/>
      <c r="G1036" s="67"/>
      <c r="H1036" s="60"/>
      <c r="I1036" s="60"/>
      <c r="J1036" s="61"/>
      <c r="K1036" s="61"/>
      <c r="L1036" s="60"/>
      <c r="M1036" s="74" t="str">
        <f>IF($C1036="","",IF($D1036="Gider",$E1036,IF($L1036&lt;&gt;"",$L1036,$H1036)))</f>
        <v/>
      </c>
      <c r="N1036" s="74" t="str">
        <f>IF($C1036="","",IF($D1036="Gider",$H1036,$E1036))</f>
        <v/>
      </c>
      <c r="O1036" s="73" t="str">
        <f>IF($C1036="","",DATE(YEAR($C1036),MONTH($C1036),1))</f>
        <v/>
      </c>
      <c r="P1036" s="65" t="str">
        <f ca="1">IF($C1036="","",IF(AND($D1036="Gelir",$L1036&lt;&gt;"",$T1036=""),"TANIMSIZ BORÇLU",IF($T1036&lt;&gt;"",IF(OR($E1036="",$G1036&lt;=0),"EKSİK",IF($I1036="Evet","TAHAKKUK NAKİT OLAMAZ",IF($C1036&gt;TODAY(),"İLERİ TARİH","TAHAKKUK"))),IF(AND($D1036&lt;&gt;"",$E1036&lt;&gt;"",$G1036&gt;0,$H1036&lt;&gt;"",$I1036&lt;&gt;""),IF($C1036&gt;TODAY(),"İLERİ TARİH",IF(COUNTIF($W$7:$W$3001,$W1036)&gt;1,"MÜKERRER?",IF($AD1036&gt;0,"KAPALI DÖNEM",IF($I1036="Hayır","ÖDENECEK","UYGUN")))),"EKSİK"))))</f>
        <v/>
      </c>
      <c r="Q1036" s="2"/>
      <c r="R1036" s="2"/>
      <c r="S1036" s="1" t="str">
        <f t="shared" si="50"/>
        <v/>
      </c>
      <c r="T1036" s="1" t="str">
        <f>IF(OR($C1036="",$D1036&lt;&gt;"Gelir",$L1036=""),"",IFERROR(INDEX(MUSTERILER!$B$7:$B$156,MATCH($S1036,MUSTERILER!$T$7:$T$156,0)),""))</f>
        <v/>
      </c>
      <c r="U1036" s="1" t="str">
        <f>IF($T1036="","",$T1036&amp;"|"&amp;COUNTIFS($T$7:$T1036,$T1036))</f>
        <v/>
      </c>
      <c r="V1036" s="1">
        <f t="shared" si="51"/>
        <v>0</v>
      </c>
      <c r="W1036" s="1" t="str">
        <f t="shared" si="52"/>
        <v/>
      </c>
      <c r="X1036" s="1"/>
      <c r="Y1036" s="1"/>
      <c r="Z1036" s="1"/>
      <c r="AA1036" s="1"/>
      <c r="AB1036" s="1"/>
      <c r="AC1036" s="1"/>
      <c r="AD1036" s="1">
        <f>IF($C1036="",0,SUMPRODUCT((AY_SONU!$O$7:$O$42="Evet")*(AY_SONU!$B$7:$B$42=DATE(YEAR($C1036),MONTH($C1036),1))))</f>
        <v>0</v>
      </c>
      <c r="AE1036" s="1" t="str">
        <f>IF($E1036="","",$E1036&amp;"|"&amp;COUNTIFS($E$7:$E1036,$E1036))</f>
        <v/>
      </c>
    </row>
    <row r="1037" spans="1:31" ht="18" customHeight="1" x14ac:dyDescent="0.3">
      <c r="A1037" s="2"/>
      <c r="B1037" s="65" t="str">
        <f>IF($C1037="","","GG"&amp;TEXT(ROW()-6,"00000"))</f>
        <v/>
      </c>
      <c r="C1037" s="66"/>
      <c r="D1037" s="60"/>
      <c r="E1037" s="61"/>
      <c r="F1037" s="61"/>
      <c r="G1037" s="67"/>
      <c r="H1037" s="60"/>
      <c r="I1037" s="60"/>
      <c r="J1037" s="61"/>
      <c r="K1037" s="61"/>
      <c r="L1037" s="60"/>
      <c r="M1037" s="74" t="str">
        <f>IF($C1037="","",IF($D1037="Gider",$E1037,IF($L1037&lt;&gt;"",$L1037,$H1037)))</f>
        <v/>
      </c>
      <c r="N1037" s="74" t="str">
        <f>IF($C1037="","",IF($D1037="Gider",$H1037,$E1037))</f>
        <v/>
      </c>
      <c r="O1037" s="73" t="str">
        <f>IF($C1037="","",DATE(YEAR($C1037),MONTH($C1037),1))</f>
        <v/>
      </c>
      <c r="P1037" s="65" t="str">
        <f ca="1">IF($C1037="","",IF(AND($D1037="Gelir",$L1037&lt;&gt;"",$T1037=""),"TANIMSIZ BORÇLU",IF($T1037&lt;&gt;"",IF(OR($E1037="",$G1037&lt;=0),"EKSİK",IF($I1037="Evet","TAHAKKUK NAKİT OLAMAZ",IF($C1037&gt;TODAY(),"İLERİ TARİH","TAHAKKUK"))),IF(AND($D1037&lt;&gt;"",$E1037&lt;&gt;"",$G1037&gt;0,$H1037&lt;&gt;"",$I1037&lt;&gt;""),IF($C1037&gt;TODAY(),"İLERİ TARİH",IF(COUNTIF($W$7:$W$3001,$W1037)&gt;1,"MÜKERRER?",IF($AD1037&gt;0,"KAPALI DÖNEM",IF($I1037="Hayır","ÖDENECEK","UYGUN")))),"EKSİK"))))</f>
        <v/>
      </c>
      <c r="Q1037" s="2"/>
      <c r="R1037" s="2"/>
      <c r="S1037" s="1" t="str">
        <f t="shared" si="50"/>
        <v/>
      </c>
      <c r="T1037" s="1" t="str">
        <f>IF(OR($C1037="",$D1037&lt;&gt;"Gelir",$L1037=""),"",IFERROR(INDEX(MUSTERILER!$B$7:$B$156,MATCH($S1037,MUSTERILER!$T$7:$T$156,0)),""))</f>
        <v/>
      </c>
      <c r="U1037" s="1" t="str">
        <f>IF($T1037="","",$T1037&amp;"|"&amp;COUNTIFS($T$7:$T1037,$T1037))</f>
        <v/>
      </c>
      <c r="V1037" s="1">
        <f t="shared" si="51"/>
        <v>0</v>
      </c>
      <c r="W1037" s="1" t="str">
        <f t="shared" si="52"/>
        <v/>
      </c>
      <c r="X1037" s="1"/>
      <c r="Y1037" s="1"/>
      <c r="Z1037" s="1"/>
      <c r="AA1037" s="1"/>
      <c r="AB1037" s="1"/>
      <c r="AC1037" s="1"/>
      <c r="AD1037" s="1">
        <f>IF($C1037="",0,SUMPRODUCT((AY_SONU!$O$7:$O$42="Evet")*(AY_SONU!$B$7:$B$42=DATE(YEAR($C1037),MONTH($C1037),1))))</f>
        <v>0</v>
      </c>
      <c r="AE1037" s="1" t="str">
        <f>IF($E1037="","",$E1037&amp;"|"&amp;COUNTIFS($E$7:$E1037,$E1037))</f>
        <v/>
      </c>
    </row>
    <row r="1038" spans="1:31" ht="18" customHeight="1" x14ac:dyDescent="0.3">
      <c r="A1038" s="2"/>
      <c r="B1038" s="65" t="str">
        <f>IF($C1038="","","GG"&amp;TEXT(ROW()-6,"00000"))</f>
        <v/>
      </c>
      <c r="C1038" s="66"/>
      <c r="D1038" s="60"/>
      <c r="E1038" s="61"/>
      <c r="F1038" s="61"/>
      <c r="G1038" s="67"/>
      <c r="H1038" s="60"/>
      <c r="I1038" s="60"/>
      <c r="J1038" s="61"/>
      <c r="K1038" s="61"/>
      <c r="L1038" s="60"/>
      <c r="M1038" s="74" t="str">
        <f>IF($C1038="","",IF($D1038="Gider",$E1038,IF($L1038&lt;&gt;"",$L1038,$H1038)))</f>
        <v/>
      </c>
      <c r="N1038" s="74" t="str">
        <f>IF($C1038="","",IF($D1038="Gider",$H1038,$E1038))</f>
        <v/>
      </c>
      <c r="O1038" s="73" t="str">
        <f>IF($C1038="","",DATE(YEAR($C1038),MONTH($C1038),1))</f>
        <v/>
      </c>
      <c r="P1038" s="65" t="str">
        <f ca="1">IF($C1038="","",IF(AND($D1038="Gelir",$L1038&lt;&gt;"",$T1038=""),"TANIMSIZ BORÇLU",IF($T1038&lt;&gt;"",IF(OR($E1038="",$G1038&lt;=0),"EKSİK",IF($I1038="Evet","TAHAKKUK NAKİT OLAMAZ",IF($C1038&gt;TODAY(),"İLERİ TARİH","TAHAKKUK"))),IF(AND($D1038&lt;&gt;"",$E1038&lt;&gt;"",$G1038&gt;0,$H1038&lt;&gt;"",$I1038&lt;&gt;""),IF($C1038&gt;TODAY(),"İLERİ TARİH",IF(COUNTIF($W$7:$W$3001,$W1038)&gt;1,"MÜKERRER?",IF($AD1038&gt;0,"KAPALI DÖNEM",IF($I1038="Hayır","ÖDENECEK","UYGUN")))),"EKSİK"))))</f>
        <v/>
      </c>
      <c r="Q1038" s="2"/>
      <c r="R1038" s="2"/>
      <c r="S1038" s="1" t="str">
        <f t="shared" si="50"/>
        <v/>
      </c>
      <c r="T1038" s="1" t="str">
        <f>IF(OR($C1038="",$D1038&lt;&gt;"Gelir",$L1038=""),"",IFERROR(INDEX(MUSTERILER!$B$7:$B$156,MATCH($S1038,MUSTERILER!$T$7:$T$156,0)),""))</f>
        <v/>
      </c>
      <c r="U1038" s="1" t="str">
        <f>IF($T1038="","",$T1038&amp;"|"&amp;COUNTIFS($T$7:$T1038,$T1038))</f>
        <v/>
      </c>
      <c r="V1038" s="1">
        <f t="shared" si="51"/>
        <v>0</v>
      </c>
      <c r="W1038" s="1" t="str">
        <f t="shared" si="52"/>
        <v/>
      </c>
      <c r="X1038" s="1"/>
      <c r="Y1038" s="1"/>
      <c r="Z1038" s="1"/>
      <c r="AA1038" s="1"/>
      <c r="AB1038" s="1"/>
      <c r="AC1038" s="1"/>
      <c r="AD1038" s="1">
        <f>IF($C1038="",0,SUMPRODUCT((AY_SONU!$O$7:$O$42="Evet")*(AY_SONU!$B$7:$B$42=DATE(YEAR($C1038),MONTH($C1038),1))))</f>
        <v>0</v>
      </c>
      <c r="AE1038" s="1" t="str">
        <f>IF($E1038="","",$E1038&amp;"|"&amp;COUNTIFS($E$7:$E1038,$E1038))</f>
        <v/>
      </c>
    </row>
    <row r="1039" spans="1:31" ht="18" customHeight="1" x14ac:dyDescent="0.3">
      <c r="A1039" s="2"/>
      <c r="B1039" s="65" t="str">
        <f>IF($C1039="","","GG"&amp;TEXT(ROW()-6,"00000"))</f>
        <v/>
      </c>
      <c r="C1039" s="66"/>
      <c r="D1039" s="60"/>
      <c r="E1039" s="61"/>
      <c r="F1039" s="61"/>
      <c r="G1039" s="67"/>
      <c r="H1039" s="60"/>
      <c r="I1039" s="60"/>
      <c r="J1039" s="61"/>
      <c r="K1039" s="61"/>
      <c r="L1039" s="60"/>
      <c r="M1039" s="74" t="str">
        <f>IF($C1039="","",IF($D1039="Gider",$E1039,IF($L1039&lt;&gt;"",$L1039,$H1039)))</f>
        <v/>
      </c>
      <c r="N1039" s="74" t="str">
        <f>IF($C1039="","",IF($D1039="Gider",$H1039,$E1039))</f>
        <v/>
      </c>
      <c r="O1039" s="73" t="str">
        <f>IF($C1039="","",DATE(YEAR($C1039),MONTH($C1039),1))</f>
        <v/>
      </c>
      <c r="P1039" s="65" t="str">
        <f ca="1">IF($C1039="","",IF(AND($D1039="Gelir",$L1039&lt;&gt;"",$T1039=""),"TANIMSIZ BORÇLU",IF($T1039&lt;&gt;"",IF(OR($E1039="",$G1039&lt;=0),"EKSİK",IF($I1039="Evet","TAHAKKUK NAKİT OLAMAZ",IF($C1039&gt;TODAY(),"İLERİ TARİH","TAHAKKUK"))),IF(AND($D1039&lt;&gt;"",$E1039&lt;&gt;"",$G1039&gt;0,$H1039&lt;&gt;"",$I1039&lt;&gt;""),IF($C1039&gt;TODAY(),"İLERİ TARİH",IF(COUNTIF($W$7:$W$3001,$W1039)&gt;1,"MÜKERRER?",IF($AD1039&gt;0,"KAPALI DÖNEM",IF($I1039="Hayır","ÖDENECEK","UYGUN")))),"EKSİK"))))</f>
        <v/>
      </c>
      <c r="Q1039" s="2"/>
      <c r="R1039" s="2"/>
      <c r="S1039" s="1" t="str">
        <f t="shared" si="50"/>
        <v/>
      </c>
      <c r="T1039" s="1" t="str">
        <f>IF(OR($C1039="",$D1039&lt;&gt;"Gelir",$L1039=""),"",IFERROR(INDEX(MUSTERILER!$B$7:$B$156,MATCH($S1039,MUSTERILER!$T$7:$T$156,0)),""))</f>
        <v/>
      </c>
      <c r="U1039" s="1" t="str">
        <f>IF($T1039="","",$T1039&amp;"|"&amp;COUNTIFS($T$7:$T1039,$T1039))</f>
        <v/>
      </c>
      <c r="V1039" s="1">
        <f t="shared" si="51"/>
        <v>0</v>
      </c>
      <c r="W1039" s="1" t="str">
        <f t="shared" si="52"/>
        <v/>
      </c>
      <c r="X1039" s="1"/>
      <c r="Y1039" s="1"/>
      <c r="Z1039" s="1"/>
      <c r="AA1039" s="1"/>
      <c r="AB1039" s="1"/>
      <c r="AC1039" s="1"/>
      <c r="AD1039" s="1">
        <f>IF($C1039="",0,SUMPRODUCT((AY_SONU!$O$7:$O$42="Evet")*(AY_SONU!$B$7:$B$42=DATE(YEAR($C1039),MONTH($C1039),1))))</f>
        <v>0</v>
      </c>
      <c r="AE1039" s="1" t="str">
        <f>IF($E1039="","",$E1039&amp;"|"&amp;COUNTIFS($E$7:$E1039,$E1039))</f>
        <v/>
      </c>
    </row>
    <row r="1040" spans="1:31" ht="18" customHeight="1" x14ac:dyDescent="0.3">
      <c r="A1040" s="2"/>
      <c r="B1040" s="65" t="str">
        <f>IF($C1040="","","GG"&amp;TEXT(ROW()-6,"00000"))</f>
        <v/>
      </c>
      <c r="C1040" s="66"/>
      <c r="D1040" s="60"/>
      <c r="E1040" s="61"/>
      <c r="F1040" s="61"/>
      <c r="G1040" s="67"/>
      <c r="H1040" s="60"/>
      <c r="I1040" s="60"/>
      <c r="J1040" s="61"/>
      <c r="K1040" s="61"/>
      <c r="L1040" s="60"/>
      <c r="M1040" s="74" t="str">
        <f>IF($C1040="","",IF($D1040="Gider",$E1040,IF($L1040&lt;&gt;"",$L1040,$H1040)))</f>
        <v/>
      </c>
      <c r="N1040" s="74" t="str">
        <f>IF($C1040="","",IF($D1040="Gider",$H1040,$E1040))</f>
        <v/>
      </c>
      <c r="O1040" s="73" t="str">
        <f>IF($C1040="","",DATE(YEAR($C1040),MONTH($C1040),1))</f>
        <v/>
      </c>
      <c r="P1040" s="65" t="str">
        <f ca="1">IF($C1040="","",IF(AND($D1040="Gelir",$L1040&lt;&gt;"",$T1040=""),"TANIMSIZ BORÇLU",IF($T1040&lt;&gt;"",IF(OR($E1040="",$G1040&lt;=0),"EKSİK",IF($I1040="Evet","TAHAKKUK NAKİT OLAMAZ",IF($C1040&gt;TODAY(),"İLERİ TARİH","TAHAKKUK"))),IF(AND($D1040&lt;&gt;"",$E1040&lt;&gt;"",$G1040&gt;0,$H1040&lt;&gt;"",$I1040&lt;&gt;""),IF($C1040&gt;TODAY(),"İLERİ TARİH",IF(COUNTIF($W$7:$W$3001,$W1040)&gt;1,"MÜKERRER?",IF($AD1040&gt;0,"KAPALI DÖNEM",IF($I1040="Hayır","ÖDENECEK","UYGUN")))),"EKSİK"))))</f>
        <v/>
      </c>
      <c r="Q1040" s="2"/>
      <c r="R1040" s="2"/>
      <c r="S1040" s="1" t="str">
        <f t="shared" si="50"/>
        <v/>
      </c>
      <c r="T1040" s="1" t="str">
        <f>IF(OR($C1040="",$D1040&lt;&gt;"Gelir",$L1040=""),"",IFERROR(INDEX(MUSTERILER!$B$7:$B$156,MATCH($S1040,MUSTERILER!$T$7:$T$156,0)),""))</f>
        <v/>
      </c>
      <c r="U1040" s="1" t="str">
        <f>IF($T1040="","",$T1040&amp;"|"&amp;COUNTIFS($T$7:$T1040,$T1040))</f>
        <v/>
      </c>
      <c r="V1040" s="1">
        <f t="shared" si="51"/>
        <v>0</v>
      </c>
      <c r="W1040" s="1" t="str">
        <f t="shared" si="52"/>
        <v/>
      </c>
      <c r="X1040" s="1"/>
      <c r="Y1040" s="1"/>
      <c r="Z1040" s="1"/>
      <c r="AA1040" s="1"/>
      <c r="AB1040" s="1"/>
      <c r="AC1040" s="1"/>
      <c r="AD1040" s="1">
        <f>IF($C1040="",0,SUMPRODUCT((AY_SONU!$O$7:$O$42="Evet")*(AY_SONU!$B$7:$B$42=DATE(YEAR($C1040),MONTH($C1040),1))))</f>
        <v>0</v>
      </c>
      <c r="AE1040" s="1" t="str">
        <f>IF($E1040="","",$E1040&amp;"|"&amp;COUNTIFS($E$7:$E1040,$E1040))</f>
        <v/>
      </c>
    </row>
    <row r="1041" spans="1:31" ht="18" customHeight="1" x14ac:dyDescent="0.3">
      <c r="A1041" s="2"/>
      <c r="B1041" s="65" t="str">
        <f>IF($C1041="","","GG"&amp;TEXT(ROW()-6,"00000"))</f>
        <v/>
      </c>
      <c r="C1041" s="66"/>
      <c r="D1041" s="60"/>
      <c r="E1041" s="61"/>
      <c r="F1041" s="61"/>
      <c r="G1041" s="67"/>
      <c r="H1041" s="60"/>
      <c r="I1041" s="60"/>
      <c r="J1041" s="61"/>
      <c r="K1041" s="61"/>
      <c r="L1041" s="60"/>
      <c r="M1041" s="74" t="str">
        <f>IF($C1041="","",IF($D1041="Gider",$E1041,IF($L1041&lt;&gt;"",$L1041,$H1041)))</f>
        <v/>
      </c>
      <c r="N1041" s="74" t="str">
        <f>IF($C1041="","",IF($D1041="Gider",$H1041,$E1041))</f>
        <v/>
      </c>
      <c r="O1041" s="73" t="str">
        <f>IF($C1041="","",DATE(YEAR($C1041),MONTH($C1041),1))</f>
        <v/>
      </c>
      <c r="P1041" s="65" t="str">
        <f ca="1">IF($C1041="","",IF(AND($D1041="Gelir",$L1041&lt;&gt;"",$T1041=""),"TANIMSIZ BORÇLU",IF($T1041&lt;&gt;"",IF(OR($E1041="",$G1041&lt;=0),"EKSİK",IF($I1041="Evet","TAHAKKUK NAKİT OLAMAZ",IF($C1041&gt;TODAY(),"İLERİ TARİH","TAHAKKUK"))),IF(AND($D1041&lt;&gt;"",$E1041&lt;&gt;"",$G1041&gt;0,$H1041&lt;&gt;"",$I1041&lt;&gt;""),IF($C1041&gt;TODAY(),"İLERİ TARİH",IF(COUNTIF($W$7:$W$3001,$W1041)&gt;1,"MÜKERRER?",IF($AD1041&gt;0,"KAPALI DÖNEM",IF($I1041="Hayır","ÖDENECEK","UYGUN")))),"EKSİK"))))</f>
        <v/>
      </c>
      <c r="Q1041" s="2"/>
      <c r="R1041" s="2"/>
      <c r="S1041" s="1" t="str">
        <f t="shared" si="50"/>
        <v/>
      </c>
      <c r="T1041" s="1" t="str">
        <f>IF(OR($C1041="",$D1041&lt;&gt;"Gelir",$L1041=""),"",IFERROR(INDEX(MUSTERILER!$B$7:$B$156,MATCH($S1041,MUSTERILER!$T$7:$T$156,0)),""))</f>
        <v/>
      </c>
      <c r="U1041" s="1" t="str">
        <f>IF($T1041="","",$T1041&amp;"|"&amp;COUNTIFS($T$7:$T1041,$T1041))</f>
        <v/>
      </c>
      <c r="V1041" s="1">
        <f t="shared" si="51"/>
        <v>0</v>
      </c>
      <c r="W1041" s="1" t="str">
        <f t="shared" si="52"/>
        <v/>
      </c>
      <c r="X1041" s="1"/>
      <c r="Y1041" s="1"/>
      <c r="Z1041" s="1"/>
      <c r="AA1041" s="1"/>
      <c r="AB1041" s="1"/>
      <c r="AC1041" s="1"/>
      <c r="AD1041" s="1">
        <f>IF($C1041="",0,SUMPRODUCT((AY_SONU!$O$7:$O$42="Evet")*(AY_SONU!$B$7:$B$42=DATE(YEAR($C1041),MONTH($C1041),1))))</f>
        <v>0</v>
      </c>
      <c r="AE1041" s="1" t="str">
        <f>IF($E1041="","",$E1041&amp;"|"&amp;COUNTIFS($E$7:$E1041,$E1041))</f>
        <v/>
      </c>
    </row>
    <row r="1042" spans="1:31" ht="18" customHeight="1" x14ac:dyDescent="0.3">
      <c r="A1042" s="2"/>
      <c r="B1042" s="65" t="str">
        <f>IF($C1042="","","GG"&amp;TEXT(ROW()-6,"00000"))</f>
        <v/>
      </c>
      <c r="C1042" s="66"/>
      <c r="D1042" s="60"/>
      <c r="E1042" s="61"/>
      <c r="F1042" s="61"/>
      <c r="G1042" s="67"/>
      <c r="H1042" s="60"/>
      <c r="I1042" s="60"/>
      <c r="J1042" s="61"/>
      <c r="K1042" s="61"/>
      <c r="L1042" s="60"/>
      <c r="M1042" s="74" t="str">
        <f>IF($C1042="","",IF($D1042="Gider",$E1042,IF($L1042&lt;&gt;"",$L1042,$H1042)))</f>
        <v/>
      </c>
      <c r="N1042" s="74" t="str">
        <f>IF($C1042="","",IF($D1042="Gider",$H1042,$E1042))</f>
        <v/>
      </c>
      <c r="O1042" s="73" t="str">
        <f>IF($C1042="","",DATE(YEAR($C1042),MONTH($C1042),1))</f>
        <v/>
      </c>
      <c r="P1042" s="65" t="str">
        <f ca="1">IF($C1042="","",IF(AND($D1042="Gelir",$L1042&lt;&gt;"",$T1042=""),"TANIMSIZ BORÇLU",IF($T1042&lt;&gt;"",IF(OR($E1042="",$G1042&lt;=0),"EKSİK",IF($I1042="Evet","TAHAKKUK NAKİT OLAMAZ",IF($C1042&gt;TODAY(),"İLERİ TARİH","TAHAKKUK"))),IF(AND($D1042&lt;&gt;"",$E1042&lt;&gt;"",$G1042&gt;0,$H1042&lt;&gt;"",$I1042&lt;&gt;""),IF($C1042&gt;TODAY(),"İLERİ TARİH",IF(COUNTIF($W$7:$W$3001,$W1042)&gt;1,"MÜKERRER?",IF($AD1042&gt;0,"KAPALI DÖNEM",IF($I1042="Hayır","ÖDENECEK","UYGUN")))),"EKSİK"))))</f>
        <v/>
      </c>
      <c r="Q1042" s="2"/>
      <c r="R1042" s="2"/>
      <c r="S1042" s="1" t="str">
        <f t="shared" si="50"/>
        <v/>
      </c>
      <c r="T1042" s="1" t="str">
        <f>IF(OR($C1042="",$D1042&lt;&gt;"Gelir",$L1042=""),"",IFERROR(INDEX(MUSTERILER!$B$7:$B$156,MATCH($S1042,MUSTERILER!$T$7:$T$156,0)),""))</f>
        <v/>
      </c>
      <c r="U1042" s="1" t="str">
        <f>IF($T1042="","",$T1042&amp;"|"&amp;COUNTIFS($T$7:$T1042,$T1042))</f>
        <v/>
      </c>
      <c r="V1042" s="1">
        <f t="shared" si="51"/>
        <v>0</v>
      </c>
      <c r="W1042" s="1" t="str">
        <f t="shared" si="52"/>
        <v/>
      </c>
      <c r="X1042" s="1"/>
      <c r="Y1042" s="1"/>
      <c r="Z1042" s="1"/>
      <c r="AA1042" s="1"/>
      <c r="AB1042" s="1"/>
      <c r="AC1042" s="1"/>
      <c r="AD1042" s="1">
        <f>IF($C1042="",0,SUMPRODUCT((AY_SONU!$O$7:$O$42="Evet")*(AY_SONU!$B$7:$B$42=DATE(YEAR($C1042),MONTH($C1042),1))))</f>
        <v>0</v>
      </c>
      <c r="AE1042" s="1" t="str">
        <f>IF($E1042="","",$E1042&amp;"|"&amp;COUNTIFS($E$7:$E1042,$E1042))</f>
        <v/>
      </c>
    </row>
    <row r="1043" spans="1:31" ht="18" customHeight="1" x14ac:dyDescent="0.3">
      <c r="A1043" s="2"/>
      <c r="B1043" s="65" t="str">
        <f>IF($C1043="","","GG"&amp;TEXT(ROW()-6,"00000"))</f>
        <v/>
      </c>
      <c r="C1043" s="66"/>
      <c r="D1043" s="60"/>
      <c r="E1043" s="61"/>
      <c r="F1043" s="61"/>
      <c r="G1043" s="67"/>
      <c r="H1043" s="60"/>
      <c r="I1043" s="60"/>
      <c r="J1043" s="61"/>
      <c r="K1043" s="61"/>
      <c r="L1043" s="60"/>
      <c r="M1043" s="74" t="str">
        <f>IF($C1043="","",IF($D1043="Gider",$E1043,IF($L1043&lt;&gt;"",$L1043,$H1043)))</f>
        <v/>
      </c>
      <c r="N1043" s="74" t="str">
        <f>IF($C1043="","",IF($D1043="Gider",$H1043,$E1043))</f>
        <v/>
      </c>
      <c r="O1043" s="73" t="str">
        <f>IF($C1043="","",DATE(YEAR($C1043),MONTH($C1043),1))</f>
        <v/>
      </c>
      <c r="P1043" s="65" t="str">
        <f ca="1">IF($C1043="","",IF(AND($D1043="Gelir",$L1043&lt;&gt;"",$T1043=""),"TANIMSIZ BORÇLU",IF($T1043&lt;&gt;"",IF(OR($E1043="",$G1043&lt;=0),"EKSİK",IF($I1043="Evet","TAHAKKUK NAKİT OLAMAZ",IF($C1043&gt;TODAY(),"İLERİ TARİH","TAHAKKUK"))),IF(AND($D1043&lt;&gt;"",$E1043&lt;&gt;"",$G1043&gt;0,$H1043&lt;&gt;"",$I1043&lt;&gt;""),IF($C1043&gt;TODAY(),"İLERİ TARİH",IF(COUNTIF($W$7:$W$3001,$W1043)&gt;1,"MÜKERRER?",IF($AD1043&gt;0,"KAPALI DÖNEM",IF($I1043="Hayır","ÖDENECEK","UYGUN")))),"EKSİK"))))</f>
        <v/>
      </c>
      <c r="Q1043" s="2"/>
      <c r="R1043" s="2"/>
      <c r="S1043" s="1" t="str">
        <f t="shared" si="50"/>
        <v/>
      </c>
      <c r="T1043" s="1" t="str">
        <f>IF(OR($C1043="",$D1043&lt;&gt;"Gelir",$L1043=""),"",IFERROR(INDEX(MUSTERILER!$B$7:$B$156,MATCH($S1043,MUSTERILER!$T$7:$T$156,0)),""))</f>
        <v/>
      </c>
      <c r="U1043" s="1" t="str">
        <f>IF($T1043="","",$T1043&amp;"|"&amp;COUNTIFS($T$7:$T1043,$T1043))</f>
        <v/>
      </c>
      <c r="V1043" s="1">
        <f t="shared" si="51"/>
        <v>0</v>
      </c>
      <c r="W1043" s="1" t="str">
        <f t="shared" si="52"/>
        <v/>
      </c>
      <c r="X1043" s="1"/>
      <c r="Y1043" s="1"/>
      <c r="Z1043" s="1"/>
      <c r="AA1043" s="1"/>
      <c r="AB1043" s="1"/>
      <c r="AC1043" s="1"/>
      <c r="AD1043" s="1">
        <f>IF($C1043="",0,SUMPRODUCT((AY_SONU!$O$7:$O$42="Evet")*(AY_SONU!$B$7:$B$42=DATE(YEAR($C1043),MONTH($C1043),1))))</f>
        <v>0</v>
      </c>
      <c r="AE1043" s="1" t="str">
        <f>IF($E1043="","",$E1043&amp;"|"&amp;COUNTIFS($E$7:$E1043,$E1043))</f>
        <v/>
      </c>
    </row>
    <row r="1044" spans="1:31" ht="18" customHeight="1" x14ac:dyDescent="0.3">
      <c r="A1044" s="2"/>
      <c r="B1044" s="65" t="str">
        <f>IF($C1044="","","GG"&amp;TEXT(ROW()-6,"00000"))</f>
        <v/>
      </c>
      <c r="C1044" s="66"/>
      <c r="D1044" s="60"/>
      <c r="E1044" s="61"/>
      <c r="F1044" s="61"/>
      <c r="G1044" s="67"/>
      <c r="H1044" s="60"/>
      <c r="I1044" s="60"/>
      <c r="J1044" s="61"/>
      <c r="K1044" s="61"/>
      <c r="L1044" s="60"/>
      <c r="M1044" s="74" t="str">
        <f>IF($C1044="","",IF($D1044="Gider",$E1044,IF($L1044&lt;&gt;"",$L1044,$H1044)))</f>
        <v/>
      </c>
      <c r="N1044" s="74" t="str">
        <f>IF($C1044="","",IF($D1044="Gider",$H1044,$E1044))</f>
        <v/>
      </c>
      <c r="O1044" s="73" t="str">
        <f>IF($C1044="","",DATE(YEAR($C1044),MONTH($C1044),1))</f>
        <v/>
      </c>
      <c r="P1044" s="65" t="str">
        <f ca="1">IF($C1044="","",IF(AND($D1044="Gelir",$L1044&lt;&gt;"",$T1044=""),"TANIMSIZ BORÇLU",IF($T1044&lt;&gt;"",IF(OR($E1044="",$G1044&lt;=0),"EKSİK",IF($I1044="Evet","TAHAKKUK NAKİT OLAMAZ",IF($C1044&gt;TODAY(),"İLERİ TARİH","TAHAKKUK"))),IF(AND($D1044&lt;&gt;"",$E1044&lt;&gt;"",$G1044&gt;0,$H1044&lt;&gt;"",$I1044&lt;&gt;""),IF($C1044&gt;TODAY(),"İLERİ TARİH",IF(COUNTIF($W$7:$W$3001,$W1044)&gt;1,"MÜKERRER?",IF($AD1044&gt;0,"KAPALI DÖNEM",IF($I1044="Hayır","ÖDENECEK","UYGUN")))),"EKSİK"))))</f>
        <v/>
      </c>
      <c r="Q1044" s="2"/>
      <c r="R1044" s="2"/>
      <c r="S1044" s="1" t="str">
        <f t="shared" si="50"/>
        <v/>
      </c>
      <c r="T1044" s="1" t="str">
        <f>IF(OR($C1044="",$D1044&lt;&gt;"Gelir",$L1044=""),"",IFERROR(INDEX(MUSTERILER!$B$7:$B$156,MATCH($S1044,MUSTERILER!$T$7:$T$156,0)),""))</f>
        <v/>
      </c>
      <c r="U1044" s="1" t="str">
        <f>IF($T1044="","",$T1044&amp;"|"&amp;COUNTIFS($T$7:$T1044,$T1044))</f>
        <v/>
      </c>
      <c r="V1044" s="1">
        <f t="shared" si="51"/>
        <v>0</v>
      </c>
      <c r="W1044" s="1" t="str">
        <f t="shared" si="52"/>
        <v/>
      </c>
      <c r="X1044" s="1"/>
      <c r="Y1044" s="1"/>
      <c r="Z1044" s="1"/>
      <c r="AA1044" s="1"/>
      <c r="AB1044" s="1"/>
      <c r="AC1044" s="1"/>
      <c r="AD1044" s="1">
        <f>IF($C1044="",0,SUMPRODUCT((AY_SONU!$O$7:$O$42="Evet")*(AY_SONU!$B$7:$B$42=DATE(YEAR($C1044),MONTH($C1044),1))))</f>
        <v>0</v>
      </c>
      <c r="AE1044" s="1" t="str">
        <f>IF($E1044="","",$E1044&amp;"|"&amp;COUNTIFS($E$7:$E1044,$E1044))</f>
        <v/>
      </c>
    </row>
    <row r="1045" spans="1:31" ht="18" customHeight="1" x14ac:dyDescent="0.3">
      <c r="A1045" s="2"/>
      <c r="B1045" s="65" t="str">
        <f>IF($C1045="","","GG"&amp;TEXT(ROW()-6,"00000"))</f>
        <v/>
      </c>
      <c r="C1045" s="66"/>
      <c r="D1045" s="60"/>
      <c r="E1045" s="61"/>
      <c r="F1045" s="61"/>
      <c r="G1045" s="67"/>
      <c r="H1045" s="60"/>
      <c r="I1045" s="60"/>
      <c r="J1045" s="61"/>
      <c r="K1045" s="61"/>
      <c r="L1045" s="60"/>
      <c r="M1045" s="74" t="str">
        <f>IF($C1045="","",IF($D1045="Gider",$E1045,IF($L1045&lt;&gt;"",$L1045,$H1045)))</f>
        <v/>
      </c>
      <c r="N1045" s="74" t="str">
        <f>IF($C1045="","",IF($D1045="Gider",$H1045,$E1045))</f>
        <v/>
      </c>
      <c r="O1045" s="73" t="str">
        <f>IF($C1045="","",DATE(YEAR($C1045),MONTH($C1045),1))</f>
        <v/>
      </c>
      <c r="P1045" s="65" t="str">
        <f ca="1">IF($C1045="","",IF(AND($D1045="Gelir",$L1045&lt;&gt;"",$T1045=""),"TANIMSIZ BORÇLU",IF($T1045&lt;&gt;"",IF(OR($E1045="",$G1045&lt;=0),"EKSİK",IF($I1045="Evet","TAHAKKUK NAKİT OLAMAZ",IF($C1045&gt;TODAY(),"İLERİ TARİH","TAHAKKUK"))),IF(AND($D1045&lt;&gt;"",$E1045&lt;&gt;"",$G1045&gt;0,$H1045&lt;&gt;"",$I1045&lt;&gt;""),IF($C1045&gt;TODAY(),"İLERİ TARİH",IF(COUNTIF($W$7:$W$3001,$W1045)&gt;1,"MÜKERRER?",IF($AD1045&gt;0,"KAPALI DÖNEM",IF($I1045="Hayır","ÖDENECEK","UYGUN")))),"EKSİK"))))</f>
        <v/>
      </c>
      <c r="Q1045" s="2"/>
      <c r="R1045" s="2"/>
      <c r="S1045" s="1" t="str">
        <f t="shared" si="50"/>
        <v/>
      </c>
      <c r="T1045" s="1" t="str">
        <f>IF(OR($C1045="",$D1045&lt;&gt;"Gelir",$L1045=""),"",IFERROR(INDEX(MUSTERILER!$B$7:$B$156,MATCH($S1045,MUSTERILER!$T$7:$T$156,0)),""))</f>
        <v/>
      </c>
      <c r="U1045" s="1" t="str">
        <f>IF($T1045="","",$T1045&amp;"|"&amp;COUNTIFS($T$7:$T1045,$T1045))</f>
        <v/>
      </c>
      <c r="V1045" s="1">
        <f t="shared" si="51"/>
        <v>0</v>
      </c>
      <c r="W1045" s="1" t="str">
        <f t="shared" si="52"/>
        <v/>
      </c>
      <c r="X1045" s="1"/>
      <c r="Y1045" s="1"/>
      <c r="Z1045" s="1"/>
      <c r="AA1045" s="1"/>
      <c r="AB1045" s="1"/>
      <c r="AC1045" s="1"/>
      <c r="AD1045" s="1">
        <f>IF($C1045="",0,SUMPRODUCT((AY_SONU!$O$7:$O$42="Evet")*(AY_SONU!$B$7:$B$42=DATE(YEAR($C1045),MONTH($C1045),1))))</f>
        <v>0</v>
      </c>
      <c r="AE1045" s="1" t="str">
        <f>IF($E1045="","",$E1045&amp;"|"&amp;COUNTIFS($E$7:$E1045,$E1045))</f>
        <v/>
      </c>
    </row>
    <row r="1046" spans="1:31" ht="18" customHeight="1" x14ac:dyDescent="0.3">
      <c r="A1046" s="2"/>
      <c r="B1046" s="65" t="str">
        <f>IF($C1046="","","GG"&amp;TEXT(ROW()-6,"00000"))</f>
        <v/>
      </c>
      <c r="C1046" s="66"/>
      <c r="D1046" s="60"/>
      <c r="E1046" s="61"/>
      <c r="F1046" s="61"/>
      <c r="G1046" s="67"/>
      <c r="H1046" s="60"/>
      <c r="I1046" s="60"/>
      <c r="J1046" s="61"/>
      <c r="K1046" s="61"/>
      <c r="L1046" s="60"/>
      <c r="M1046" s="74" t="str">
        <f>IF($C1046="","",IF($D1046="Gider",$E1046,IF($L1046&lt;&gt;"",$L1046,$H1046)))</f>
        <v/>
      </c>
      <c r="N1046" s="74" t="str">
        <f>IF($C1046="","",IF($D1046="Gider",$H1046,$E1046))</f>
        <v/>
      </c>
      <c r="O1046" s="73" t="str">
        <f>IF($C1046="","",DATE(YEAR($C1046),MONTH($C1046),1))</f>
        <v/>
      </c>
      <c r="P1046" s="65" t="str">
        <f ca="1">IF($C1046="","",IF(AND($D1046="Gelir",$L1046&lt;&gt;"",$T1046=""),"TANIMSIZ BORÇLU",IF($T1046&lt;&gt;"",IF(OR($E1046="",$G1046&lt;=0),"EKSİK",IF($I1046="Evet","TAHAKKUK NAKİT OLAMAZ",IF($C1046&gt;TODAY(),"İLERİ TARİH","TAHAKKUK"))),IF(AND($D1046&lt;&gt;"",$E1046&lt;&gt;"",$G1046&gt;0,$H1046&lt;&gt;"",$I1046&lt;&gt;""),IF($C1046&gt;TODAY(),"İLERİ TARİH",IF(COUNTIF($W$7:$W$3001,$W1046)&gt;1,"MÜKERRER?",IF($AD1046&gt;0,"KAPALI DÖNEM",IF($I1046="Hayır","ÖDENECEK","UYGUN")))),"EKSİK"))))</f>
        <v/>
      </c>
      <c r="Q1046" s="2"/>
      <c r="R1046" s="2"/>
      <c r="S1046" s="1" t="str">
        <f t="shared" si="50"/>
        <v/>
      </c>
      <c r="T1046" s="1" t="str">
        <f>IF(OR($C1046="",$D1046&lt;&gt;"Gelir",$L1046=""),"",IFERROR(INDEX(MUSTERILER!$B$7:$B$156,MATCH($S1046,MUSTERILER!$T$7:$T$156,0)),""))</f>
        <v/>
      </c>
      <c r="U1046" s="1" t="str">
        <f>IF($T1046="","",$T1046&amp;"|"&amp;COUNTIFS($T$7:$T1046,$T1046))</f>
        <v/>
      </c>
      <c r="V1046" s="1">
        <f t="shared" si="51"/>
        <v>0</v>
      </c>
      <c r="W1046" s="1" t="str">
        <f t="shared" si="52"/>
        <v/>
      </c>
      <c r="X1046" s="1"/>
      <c r="Y1046" s="1"/>
      <c r="Z1046" s="1"/>
      <c r="AA1046" s="1"/>
      <c r="AB1046" s="1"/>
      <c r="AC1046" s="1"/>
      <c r="AD1046" s="1">
        <f>IF($C1046="",0,SUMPRODUCT((AY_SONU!$O$7:$O$42="Evet")*(AY_SONU!$B$7:$B$42=DATE(YEAR($C1046),MONTH($C1046),1))))</f>
        <v>0</v>
      </c>
      <c r="AE1046" s="1" t="str">
        <f>IF($E1046="","",$E1046&amp;"|"&amp;COUNTIFS($E$7:$E1046,$E1046))</f>
        <v/>
      </c>
    </row>
    <row r="1047" spans="1:31" ht="18" customHeight="1" x14ac:dyDescent="0.3">
      <c r="A1047" s="2"/>
      <c r="B1047" s="65" t="str">
        <f>IF($C1047="","","GG"&amp;TEXT(ROW()-6,"00000"))</f>
        <v/>
      </c>
      <c r="C1047" s="66"/>
      <c r="D1047" s="60"/>
      <c r="E1047" s="61"/>
      <c r="F1047" s="61"/>
      <c r="G1047" s="67"/>
      <c r="H1047" s="60"/>
      <c r="I1047" s="60"/>
      <c r="J1047" s="61"/>
      <c r="K1047" s="61"/>
      <c r="L1047" s="60"/>
      <c r="M1047" s="74" t="str">
        <f>IF($C1047="","",IF($D1047="Gider",$E1047,IF($L1047&lt;&gt;"",$L1047,$H1047)))</f>
        <v/>
      </c>
      <c r="N1047" s="74" t="str">
        <f>IF($C1047="","",IF($D1047="Gider",$H1047,$E1047))</f>
        <v/>
      </c>
      <c r="O1047" s="73" t="str">
        <f>IF($C1047="","",DATE(YEAR($C1047),MONTH($C1047),1))</f>
        <v/>
      </c>
      <c r="P1047" s="65" t="str">
        <f ca="1">IF($C1047="","",IF(AND($D1047="Gelir",$L1047&lt;&gt;"",$T1047=""),"TANIMSIZ BORÇLU",IF($T1047&lt;&gt;"",IF(OR($E1047="",$G1047&lt;=0),"EKSİK",IF($I1047="Evet","TAHAKKUK NAKİT OLAMAZ",IF($C1047&gt;TODAY(),"İLERİ TARİH","TAHAKKUK"))),IF(AND($D1047&lt;&gt;"",$E1047&lt;&gt;"",$G1047&gt;0,$H1047&lt;&gt;"",$I1047&lt;&gt;""),IF($C1047&gt;TODAY(),"İLERİ TARİH",IF(COUNTIF($W$7:$W$3001,$W1047)&gt;1,"MÜKERRER?",IF($AD1047&gt;0,"KAPALI DÖNEM",IF($I1047="Hayır","ÖDENECEK","UYGUN")))),"EKSİK"))))</f>
        <v/>
      </c>
      <c r="Q1047" s="2"/>
      <c r="R1047" s="2"/>
      <c r="S1047" s="1" t="str">
        <f t="shared" si="50"/>
        <v/>
      </c>
      <c r="T1047" s="1" t="str">
        <f>IF(OR($C1047="",$D1047&lt;&gt;"Gelir",$L1047=""),"",IFERROR(INDEX(MUSTERILER!$B$7:$B$156,MATCH($S1047,MUSTERILER!$T$7:$T$156,0)),""))</f>
        <v/>
      </c>
      <c r="U1047" s="1" t="str">
        <f>IF($T1047="","",$T1047&amp;"|"&amp;COUNTIFS($T$7:$T1047,$T1047))</f>
        <v/>
      </c>
      <c r="V1047" s="1">
        <f t="shared" si="51"/>
        <v>0</v>
      </c>
      <c r="W1047" s="1" t="str">
        <f t="shared" si="52"/>
        <v/>
      </c>
      <c r="X1047" s="1"/>
      <c r="Y1047" s="1"/>
      <c r="Z1047" s="1"/>
      <c r="AA1047" s="1"/>
      <c r="AB1047" s="1"/>
      <c r="AC1047" s="1"/>
      <c r="AD1047" s="1">
        <f>IF($C1047="",0,SUMPRODUCT((AY_SONU!$O$7:$O$42="Evet")*(AY_SONU!$B$7:$B$42=DATE(YEAR($C1047),MONTH($C1047),1))))</f>
        <v>0</v>
      </c>
      <c r="AE1047" s="1" t="str">
        <f>IF($E1047="","",$E1047&amp;"|"&amp;COUNTIFS($E$7:$E1047,$E1047))</f>
        <v/>
      </c>
    </row>
    <row r="1048" spans="1:31" ht="18" customHeight="1" x14ac:dyDescent="0.3">
      <c r="A1048" s="2"/>
      <c r="B1048" s="65" t="str">
        <f>IF($C1048="","","GG"&amp;TEXT(ROW()-6,"00000"))</f>
        <v/>
      </c>
      <c r="C1048" s="66"/>
      <c r="D1048" s="60"/>
      <c r="E1048" s="61"/>
      <c r="F1048" s="61"/>
      <c r="G1048" s="67"/>
      <c r="H1048" s="60"/>
      <c r="I1048" s="60"/>
      <c r="J1048" s="61"/>
      <c r="K1048" s="61"/>
      <c r="L1048" s="60"/>
      <c r="M1048" s="74" t="str">
        <f>IF($C1048="","",IF($D1048="Gider",$E1048,IF($L1048&lt;&gt;"",$L1048,$H1048)))</f>
        <v/>
      </c>
      <c r="N1048" s="74" t="str">
        <f>IF($C1048="","",IF($D1048="Gider",$H1048,$E1048))</f>
        <v/>
      </c>
      <c r="O1048" s="73" t="str">
        <f>IF($C1048="","",DATE(YEAR($C1048),MONTH($C1048),1))</f>
        <v/>
      </c>
      <c r="P1048" s="65" t="str">
        <f ca="1">IF($C1048="","",IF(AND($D1048="Gelir",$L1048&lt;&gt;"",$T1048=""),"TANIMSIZ BORÇLU",IF($T1048&lt;&gt;"",IF(OR($E1048="",$G1048&lt;=0),"EKSİK",IF($I1048="Evet","TAHAKKUK NAKİT OLAMAZ",IF($C1048&gt;TODAY(),"İLERİ TARİH","TAHAKKUK"))),IF(AND($D1048&lt;&gt;"",$E1048&lt;&gt;"",$G1048&gt;0,$H1048&lt;&gt;"",$I1048&lt;&gt;""),IF($C1048&gt;TODAY(),"İLERİ TARİH",IF(COUNTIF($W$7:$W$3001,$W1048)&gt;1,"MÜKERRER?",IF($AD1048&gt;0,"KAPALI DÖNEM",IF($I1048="Hayır","ÖDENECEK","UYGUN")))),"EKSİK"))))</f>
        <v/>
      </c>
      <c r="Q1048" s="2"/>
      <c r="R1048" s="2"/>
      <c r="S1048" s="1" t="str">
        <f t="shared" si="50"/>
        <v/>
      </c>
      <c r="T1048" s="1" t="str">
        <f>IF(OR($C1048="",$D1048&lt;&gt;"Gelir",$L1048=""),"",IFERROR(INDEX(MUSTERILER!$B$7:$B$156,MATCH($S1048,MUSTERILER!$T$7:$T$156,0)),""))</f>
        <v/>
      </c>
      <c r="U1048" s="1" t="str">
        <f>IF($T1048="","",$T1048&amp;"|"&amp;COUNTIFS($T$7:$T1048,$T1048))</f>
        <v/>
      </c>
      <c r="V1048" s="1">
        <f t="shared" si="51"/>
        <v>0</v>
      </c>
      <c r="W1048" s="1" t="str">
        <f t="shared" si="52"/>
        <v/>
      </c>
      <c r="X1048" s="1"/>
      <c r="Y1048" s="1"/>
      <c r="Z1048" s="1"/>
      <c r="AA1048" s="1"/>
      <c r="AB1048" s="1"/>
      <c r="AC1048" s="1"/>
      <c r="AD1048" s="1">
        <f>IF($C1048="",0,SUMPRODUCT((AY_SONU!$O$7:$O$42="Evet")*(AY_SONU!$B$7:$B$42=DATE(YEAR($C1048),MONTH($C1048),1))))</f>
        <v>0</v>
      </c>
      <c r="AE1048" s="1" t="str">
        <f>IF($E1048="","",$E1048&amp;"|"&amp;COUNTIFS($E$7:$E1048,$E1048))</f>
        <v/>
      </c>
    </row>
    <row r="1049" spans="1:31" ht="18" customHeight="1" x14ac:dyDescent="0.3">
      <c r="A1049" s="2"/>
      <c r="B1049" s="65" t="str">
        <f>IF($C1049="","","GG"&amp;TEXT(ROW()-6,"00000"))</f>
        <v/>
      </c>
      <c r="C1049" s="66"/>
      <c r="D1049" s="60"/>
      <c r="E1049" s="61"/>
      <c r="F1049" s="61"/>
      <c r="G1049" s="67"/>
      <c r="H1049" s="60"/>
      <c r="I1049" s="60"/>
      <c r="J1049" s="61"/>
      <c r="K1049" s="61"/>
      <c r="L1049" s="60"/>
      <c r="M1049" s="74" t="str">
        <f>IF($C1049="","",IF($D1049="Gider",$E1049,IF($L1049&lt;&gt;"",$L1049,$H1049)))</f>
        <v/>
      </c>
      <c r="N1049" s="74" t="str">
        <f>IF($C1049="","",IF($D1049="Gider",$H1049,$E1049))</f>
        <v/>
      </c>
      <c r="O1049" s="73" t="str">
        <f>IF($C1049="","",DATE(YEAR($C1049),MONTH($C1049),1))</f>
        <v/>
      </c>
      <c r="P1049" s="65" t="str">
        <f ca="1">IF($C1049="","",IF(AND($D1049="Gelir",$L1049&lt;&gt;"",$T1049=""),"TANIMSIZ BORÇLU",IF($T1049&lt;&gt;"",IF(OR($E1049="",$G1049&lt;=0),"EKSİK",IF($I1049="Evet","TAHAKKUK NAKİT OLAMAZ",IF($C1049&gt;TODAY(),"İLERİ TARİH","TAHAKKUK"))),IF(AND($D1049&lt;&gt;"",$E1049&lt;&gt;"",$G1049&gt;0,$H1049&lt;&gt;"",$I1049&lt;&gt;""),IF($C1049&gt;TODAY(),"İLERİ TARİH",IF(COUNTIF($W$7:$W$3001,$W1049)&gt;1,"MÜKERRER?",IF($AD1049&gt;0,"KAPALI DÖNEM",IF($I1049="Hayır","ÖDENECEK","UYGUN")))),"EKSİK"))))</f>
        <v/>
      </c>
      <c r="Q1049" s="2"/>
      <c r="R1049" s="2"/>
      <c r="S1049" s="1" t="str">
        <f t="shared" si="50"/>
        <v/>
      </c>
      <c r="T1049" s="1" t="str">
        <f>IF(OR($C1049="",$D1049&lt;&gt;"Gelir",$L1049=""),"",IFERROR(INDEX(MUSTERILER!$B$7:$B$156,MATCH($S1049,MUSTERILER!$T$7:$T$156,0)),""))</f>
        <v/>
      </c>
      <c r="U1049" s="1" t="str">
        <f>IF($T1049="","",$T1049&amp;"|"&amp;COUNTIFS($T$7:$T1049,$T1049))</f>
        <v/>
      </c>
      <c r="V1049" s="1">
        <f t="shared" si="51"/>
        <v>0</v>
      </c>
      <c r="W1049" s="1" t="str">
        <f t="shared" si="52"/>
        <v/>
      </c>
      <c r="X1049" s="1"/>
      <c r="Y1049" s="1"/>
      <c r="Z1049" s="1"/>
      <c r="AA1049" s="1"/>
      <c r="AB1049" s="1"/>
      <c r="AC1049" s="1"/>
      <c r="AD1049" s="1">
        <f>IF($C1049="",0,SUMPRODUCT((AY_SONU!$O$7:$O$42="Evet")*(AY_SONU!$B$7:$B$42=DATE(YEAR($C1049),MONTH($C1049),1))))</f>
        <v>0</v>
      </c>
      <c r="AE1049" s="1" t="str">
        <f>IF($E1049="","",$E1049&amp;"|"&amp;COUNTIFS($E$7:$E1049,$E1049))</f>
        <v/>
      </c>
    </row>
    <row r="1050" spans="1:31" ht="18" customHeight="1" x14ac:dyDescent="0.3">
      <c r="A1050" s="2"/>
      <c r="B1050" s="65" t="str">
        <f>IF($C1050="","","GG"&amp;TEXT(ROW()-6,"00000"))</f>
        <v/>
      </c>
      <c r="C1050" s="66"/>
      <c r="D1050" s="60"/>
      <c r="E1050" s="61"/>
      <c r="F1050" s="61"/>
      <c r="G1050" s="67"/>
      <c r="H1050" s="60"/>
      <c r="I1050" s="60"/>
      <c r="J1050" s="61"/>
      <c r="K1050" s="61"/>
      <c r="L1050" s="60"/>
      <c r="M1050" s="74" t="str">
        <f>IF($C1050="","",IF($D1050="Gider",$E1050,IF($L1050&lt;&gt;"",$L1050,$H1050)))</f>
        <v/>
      </c>
      <c r="N1050" s="74" t="str">
        <f>IF($C1050="","",IF($D1050="Gider",$H1050,$E1050))</f>
        <v/>
      </c>
      <c r="O1050" s="73" t="str">
        <f>IF($C1050="","",DATE(YEAR($C1050),MONTH($C1050),1))</f>
        <v/>
      </c>
      <c r="P1050" s="65" t="str">
        <f ca="1">IF($C1050="","",IF(AND($D1050="Gelir",$L1050&lt;&gt;"",$T1050=""),"TANIMSIZ BORÇLU",IF($T1050&lt;&gt;"",IF(OR($E1050="",$G1050&lt;=0),"EKSİK",IF($I1050="Evet","TAHAKKUK NAKİT OLAMAZ",IF($C1050&gt;TODAY(),"İLERİ TARİH","TAHAKKUK"))),IF(AND($D1050&lt;&gt;"",$E1050&lt;&gt;"",$G1050&gt;0,$H1050&lt;&gt;"",$I1050&lt;&gt;""),IF($C1050&gt;TODAY(),"İLERİ TARİH",IF(COUNTIF($W$7:$W$3001,$W1050)&gt;1,"MÜKERRER?",IF($AD1050&gt;0,"KAPALI DÖNEM",IF($I1050="Hayır","ÖDENECEK","UYGUN")))),"EKSİK"))))</f>
        <v/>
      </c>
      <c r="Q1050" s="2"/>
      <c r="R1050" s="2"/>
      <c r="S1050" s="1" t="str">
        <f t="shared" si="50"/>
        <v/>
      </c>
      <c r="T1050" s="1" t="str">
        <f>IF(OR($C1050="",$D1050&lt;&gt;"Gelir",$L1050=""),"",IFERROR(INDEX(MUSTERILER!$B$7:$B$156,MATCH($S1050,MUSTERILER!$T$7:$T$156,0)),""))</f>
        <v/>
      </c>
      <c r="U1050" s="1" t="str">
        <f>IF($T1050="","",$T1050&amp;"|"&amp;COUNTIFS($T$7:$T1050,$T1050))</f>
        <v/>
      </c>
      <c r="V1050" s="1">
        <f t="shared" si="51"/>
        <v>0</v>
      </c>
      <c r="W1050" s="1" t="str">
        <f t="shared" si="52"/>
        <v/>
      </c>
      <c r="X1050" s="1"/>
      <c r="Y1050" s="1"/>
      <c r="Z1050" s="1"/>
      <c r="AA1050" s="1"/>
      <c r="AB1050" s="1"/>
      <c r="AC1050" s="1"/>
      <c r="AD1050" s="1">
        <f>IF($C1050="",0,SUMPRODUCT((AY_SONU!$O$7:$O$42="Evet")*(AY_SONU!$B$7:$B$42=DATE(YEAR($C1050),MONTH($C1050),1))))</f>
        <v>0</v>
      </c>
      <c r="AE1050" s="1" t="str">
        <f>IF($E1050="","",$E1050&amp;"|"&amp;COUNTIFS($E$7:$E1050,$E1050))</f>
        <v/>
      </c>
    </row>
    <row r="1051" spans="1:31" ht="18" customHeight="1" x14ac:dyDescent="0.3">
      <c r="A1051" s="2"/>
      <c r="B1051" s="65" t="str">
        <f>IF($C1051="","","GG"&amp;TEXT(ROW()-6,"00000"))</f>
        <v/>
      </c>
      <c r="C1051" s="66"/>
      <c r="D1051" s="60"/>
      <c r="E1051" s="61"/>
      <c r="F1051" s="61"/>
      <c r="G1051" s="67"/>
      <c r="H1051" s="60"/>
      <c r="I1051" s="60"/>
      <c r="J1051" s="61"/>
      <c r="K1051" s="61"/>
      <c r="L1051" s="60"/>
      <c r="M1051" s="74" t="str">
        <f>IF($C1051="","",IF($D1051="Gider",$E1051,IF($L1051&lt;&gt;"",$L1051,$H1051)))</f>
        <v/>
      </c>
      <c r="N1051" s="74" t="str">
        <f>IF($C1051="","",IF($D1051="Gider",$H1051,$E1051))</f>
        <v/>
      </c>
      <c r="O1051" s="73" t="str">
        <f>IF($C1051="","",DATE(YEAR($C1051),MONTH($C1051),1))</f>
        <v/>
      </c>
      <c r="P1051" s="65" t="str">
        <f ca="1">IF($C1051="","",IF(AND($D1051="Gelir",$L1051&lt;&gt;"",$T1051=""),"TANIMSIZ BORÇLU",IF($T1051&lt;&gt;"",IF(OR($E1051="",$G1051&lt;=0),"EKSİK",IF($I1051="Evet","TAHAKKUK NAKİT OLAMAZ",IF($C1051&gt;TODAY(),"İLERİ TARİH","TAHAKKUK"))),IF(AND($D1051&lt;&gt;"",$E1051&lt;&gt;"",$G1051&gt;0,$H1051&lt;&gt;"",$I1051&lt;&gt;""),IF($C1051&gt;TODAY(),"İLERİ TARİH",IF(COUNTIF($W$7:$W$3001,$W1051)&gt;1,"MÜKERRER?",IF($AD1051&gt;0,"KAPALI DÖNEM",IF($I1051="Hayır","ÖDENECEK","UYGUN")))),"EKSİK"))))</f>
        <v/>
      </c>
      <c r="Q1051" s="2"/>
      <c r="R1051" s="2"/>
      <c r="S1051" s="1" t="str">
        <f t="shared" si="50"/>
        <v/>
      </c>
      <c r="T1051" s="1" t="str">
        <f>IF(OR($C1051="",$D1051&lt;&gt;"Gelir",$L1051=""),"",IFERROR(INDEX(MUSTERILER!$B$7:$B$156,MATCH($S1051,MUSTERILER!$T$7:$T$156,0)),""))</f>
        <v/>
      </c>
      <c r="U1051" s="1" t="str">
        <f>IF($T1051="","",$T1051&amp;"|"&amp;COUNTIFS($T$7:$T1051,$T1051))</f>
        <v/>
      </c>
      <c r="V1051" s="1">
        <f t="shared" si="51"/>
        <v>0</v>
      </c>
      <c r="W1051" s="1" t="str">
        <f t="shared" si="52"/>
        <v/>
      </c>
      <c r="X1051" s="1"/>
      <c r="Y1051" s="1"/>
      <c r="Z1051" s="1"/>
      <c r="AA1051" s="1"/>
      <c r="AB1051" s="1"/>
      <c r="AC1051" s="1"/>
      <c r="AD1051" s="1">
        <f>IF($C1051="",0,SUMPRODUCT((AY_SONU!$O$7:$O$42="Evet")*(AY_SONU!$B$7:$B$42=DATE(YEAR($C1051),MONTH($C1051),1))))</f>
        <v>0</v>
      </c>
      <c r="AE1051" s="1" t="str">
        <f>IF($E1051="","",$E1051&amp;"|"&amp;COUNTIFS($E$7:$E1051,$E1051))</f>
        <v/>
      </c>
    </row>
    <row r="1052" spans="1:31" ht="18" customHeight="1" x14ac:dyDescent="0.3">
      <c r="A1052" s="2"/>
      <c r="B1052" s="65" t="str">
        <f>IF($C1052="","","GG"&amp;TEXT(ROW()-6,"00000"))</f>
        <v/>
      </c>
      <c r="C1052" s="66"/>
      <c r="D1052" s="60"/>
      <c r="E1052" s="61"/>
      <c r="F1052" s="61"/>
      <c r="G1052" s="67"/>
      <c r="H1052" s="60"/>
      <c r="I1052" s="60"/>
      <c r="J1052" s="61"/>
      <c r="K1052" s="61"/>
      <c r="L1052" s="60"/>
      <c r="M1052" s="74" t="str">
        <f>IF($C1052="","",IF($D1052="Gider",$E1052,IF($L1052&lt;&gt;"",$L1052,$H1052)))</f>
        <v/>
      </c>
      <c r="N1052" s="74" t="str">
        <f>IF($C1052="","",IF($D1052="Gider",$H1052,$E1052))</f>
        <v/>
      </c>
      <c r="O1052" s="73" t="str">
        <f>IF($C1052="","",DATE(YEAR($C1052),MONTH($C1052),1))</f>
        <v/>
      </c>
      <c r="P1052" s="65" t="str">
        <f ca="1">IF($C1052="","",IF(AND($D1052="Gelir",$L1052&lt;&gt;"",$T1052=""),"TANIMSIZ BORÇLU",IF($T1052&lt;&gt;"",IF(OR($E1052="",$G1052&lt;=0),"EKSİK",IF($I1052="Evet","TAHAKKUK NAKİT OLAMAZ",IF($C1052&gt;TODAY(),"İLERİ TARİH","TAHAKKUK"))),IF(AND($D1052&lt;&gt;"",$E1052&lt;&gt;"",$G1052&gt;0,$H1052&lt;&gt;"",$I1052&lt;&gt;""),IF($C1052&gt;TODAY(),"İLERİ TARİH",IF(COUNTIF($W$7:$W$3001,$W1052)&gt;1,"MÜKERRER?",IF($AD1052&gt;0,"KAPALI DÖNEM",IF($I1052="Hayır","ÖDENECEK","UYGUN")))),"EKSİK"))))</f>
        <v/>
      </c>
      <c r="Q1052" s="2"/>
      <c r="R1052" s="2"/>
      <c r="S1052" s="1" t="str">
        <f t="shared" si="50"/>
        <v/>
      </c>
      <c r="T1052" s="1" t="str">
        <f>IF(OR($C1052="",$D1052&lt;&gt;"Gelir",$L1052=""),"",IFERROR(INDEX(MUSTERILER!$B$7:$B$156,MATCH($S1052,MUSTERILER!$T$7:$T$156,0)),""))</f>
        <v/>
      </c>
      <c r="U1052" s="1" t="str">
        <f>IF($T1052="","",$T1052&amp;"|"&amp;COUNTIFS($T$7:$T1052,$T1052))</f>
        <v/>
      </c>
      <c r="V1052" s="1">
        <f t="shared" si="51"/>
        <v>0</v>
      </c>
      <c r="W1052" s="1" t="str">
        <f t="shared" si="52"/>
        <v/>
      </c>
      <c r="X1052" s="1"/>
      <c r="Y1052" s="1"/>
      <c r="Z1052" s="1"/>
      <c r="AA1052" s="1"/>
      <c r="AB1052" s="1"/>
      <c r="AC1052" s="1"/>
      <c r="AD1052" s="1">
        <f>IF($C1052="",0,SUMPRODUCT((AY_SONU!$O$7:$O$42="Evet")*(AY_SONU!$B$7:$B$42=DATE(YEAR($C1052),MONTH($C1052),1))))</f>
        <v>0</v>
      </c>
      <c r="AE1052" s="1" t="str">
        <f>IF($E1052="","",$E1052&amp;"|"&amp;COUNTIFS($E$7:$E1052,$E1052))</f>
        <v/>
      </c>
    </row>
    <row r="1053" spans="1:31" ht="18" customHeight="1" x14ac:dyDescent="0.3">
      <c r="A1053" s="2"/>
      <c r="B1053" s="65" t="str">
        <f>IF($C1053="","","GG"&amp;TEXT(ROW()-6,"00000"))</f>
        <v/>
      </c>
      <c r="C1053" s="66"/>
      <c r="D1053" s="60"/>
      <c r="E1053" s="61"/>
      <c r="F1053" s="61"/>
      <c r="G1053" s="67"/>
      <c r="H1053" s="60"/>
      <c r="I1053" s="60"/>
      <c r="J1053" s="61"/>
      <c r="K1053" s="61"/>
      <c r="L1053" s="60"/>
      <c r="M1053" s="74" t="str">
        <f>IF($C1053="","",IF($D1053="Gider",$E1053,IF($L1053&lt;&gt;"",$L1053,$H1053)))</f>
        <v/>
      </c>
      <c r="N1053" s="74" t="str">
        <f>IF($C1053="","",IF($D1053="Gider",$H1053,$E1053))</f>
        <v/>
      </c>
      <c r="O1053" s="73" t="str">
        <f>IF($C1053="","",DATE(YEAR($C1053),MONTH($C1053),1))</f>
        <v/>
      </c>
      <c r="P1053" s="65" t="str">
        <f ca="1">IF($C1053="","",IF(AND($D1053="Gelir",$L1053&lt;&gt;"",$T1053=""),"TANIMSIZ BORÇLU",IF($T1053&lt;&gt;"",IF(OR($E1053="",$G1053&lt;=0),"EKSİK",IF($I1053="Evet","TAHAKKUK NAKİT OLAMAZ",IF($C1053&gt;TODAY(),"İLERİ TARİH","TAHAKKUK"))),IF(AND($D1053&lt;&gt;"",$E1053&lt;&gt;"",$G1053&gt;0,$H1053&lt;&gt;"",$I1053&lt;&gt;""),IF($C1053&gt;TODAY(),"İLERİ TARİH",IF(COUNTIF($W$7:$W$3001,$W1053)&gt;1,"MÜKERRER?",IF($AD1053&gt;0,"KAPALI DÖNEM",IF($I1053="Hayır","ÖDENECEK","UYGUN")))),"EKSİK"))))</f>
        <v/>
      </c>
      <c r="Q1053" s="2"/>
      <c r="R1053" s="2"/>
      <c r="S1053" s="1" t="str">
        <f t="shared" si="50"/>
        <v/>
      </c>
      <c r="T1053" s="1" t="str">
        <f>IF(OR($C1053="",$D1053&lt;&gt;"Gelir",$L1053=""),"",IFERROR(INDEX(MUSTERILER!$B$7:$B$156,MATCH($S1053,MUSTERILER!$T$7:$T$156,0)),""))</f>
        <v/>
      </c>
      <c r="U1053" s="1" t="str">
        <f>IF($T1053="","",$T1053&amp;"|"&amp;COUNTIFS($T$7:$T1053,$T1053))</f>
        <v/>
      </c>
      <c r="V1053" s="1">
        <f t="shared" si="51"/>
        <v>0</v>
      </c>
      <c r="W1053" s="1" t="str">
        <f t="shared" si="52"/>
        <v/>
      </c>
      <c r="X1053" s="1"/>
      <c r="Y1053" s="1"/>
      <c r="Z1053" s="1"/>
      <c r="AA1053" s="1"/>
      <c r="AB1053" s="1"/>
      <c r="AC1053" s="1"/>
      <c r="AD1053" s="1">
        <f>IF($C1053="",0,SUMPRODUCT((AY_SONU!$O$7:$O$42="Evet")*(AY_SONU!$B$7:$B$42=DATE(YEAR($C1053),MONTH($C1053),1))))</f>
        <v>0</v>
      </c>
      <c r="AE1053" s="1" t="str">
        <f>IF($E1053="","",$E1053&amp;"|"&amp;COUNTIFS($E$7:$E1053,$E1053))</f>
        <v/>
      </c>
    </row>
    <row r="1054" spans="1:31" ht="18" customHeight="1" x14ac:dyDescent="0.3">
      <c r="A1054" s="2"/>
      <c r="B1054" s="65" t="str">
        <f>IF($C1054="","","GG"&amp;TEXT(ROW()-6,"00000"))</f>
        <v/>
      </c>
      <c r="C1054" s="66"/>
      <c r="D1054" s="60"/>
      <c r="E1054" s="61"/>
      <c r="F1054" s="61"/>
      <c r="G1054" s="67"/>
      <c r="H1054" s="60"/>
      <c r="I1054" s="60"/>
      <c r="J1054" s="61"/>
      <c r="K1054" s="61"/>
      <c r="L1054" s="60"/>
      <c r="M1054" s="74" t="str">
        <f>IF($C1054="","",IF($D1054="Gider",$E1054,IF($L1054&lt;&gt;"",$L1054,$H1054)))</f>
        <v/>
      </c>
      <c r="N1054" s="74" t="str">
        <f>IF($C1054="","",IF($D1054="Gider",$H1054,$E1054))</f>
        <v/>
      </c>
      <c r="O1054" s="73" t="str">
        <f>IF($C1054="","",DATE(YEAR($C1054),MONTH($C1054),1))</f>
        <v/>
      </c>
      <c r="P1054" s="65" t="str">
        <f ca="1">IF($C1054="","",IF(AND($D1054="Gelir",$L1054&lt;&gt;"",$T1054=""),"TANIMSIZ BORÇLU",IF($T1054&lt;&gt;"",IF(OR($E1054="",$G1054&lt;=0),"EKSİK",IF($I1054="Evet","TAHAKKUK NAKİT OLAMAZ",IF($C1054&gt;TODAY(),"İLERİ TARİH","TAHAKKUK"))),IF(AND($D1054&lt;&gt;"",$E1054&lt;&gt;"",$G1054&gt;0,$H1054&lt;&gt;"",$I1054&lt;&gt;""),IF($C1054&gt;TODAY(),"İLERİ TARİH",IF(COUNTIF($W$7:$W$3001,$W1054)&gt;1,"MÜKERRER?",IF($AD1054&gt;0,"KAPALI DÖNEM",IF($I1054="Hayır","ÖDENECEK","UYGUN")))),"EKSİK"))))</f>
        <v/>
      </c>
      <c r="Q1054" s="2"/>
      <c r="R1054" s="2"/>
      <c r="S1054" s="1" t="str">
        <f t="shared" si="50"/>
        <v/>
      </c>
      <c r="T1054" s="1" t="str">
        <f>IF(OR($C1054="",$D1054&lt;&gt;"Gelir",$L1054=""),"",IFERROR(INDEX(MUSTERILER!$B$7:$B$156,MATCH($S1054,MUSTERILER!$T$7:$T$156,0)),""))</f>
        <v/>
      </c>
      <c r="U1054" s="1" t="str">
        <f>IF($T1054="","",$T1054&amp;"|"&amp;COUNTIFS($T$7:$T1054,$T1054))</f>
        <v/>
      </c>
      <c r="V1054" s="1">
        <f t="shared" si="51"/>
        <v>0</v>
      </c>
      <c r="W1054" s="1" t="str">
        <f t="shared" si="52"/>
        <v/>
      </c>
      <c r="X1054" s="1"/>
      <c r="Y1054" s="1"/>
      <c r="Z1054" s="1"/>
      <c r="AA1054" s="1"/>
      <c r="AB1054" s="1"/>
      <c r="AC1054" s="1"/>
      <c r="AD1054" s="1">
        <f>IF($C1054="",0,SUMPRODUCT((AY_SONU!$O$7:$O$42="Evet")*(AY_SONU!$B$7:$B$42=DATE(YEAR($C1054),MONTH($C1054),1))))</f>
        <v>0</v>
      </c>
      <c r="AE1054" s="1" t="str">
        <f>IF($E1054="","",$E1054&amp;"|"&amp;COUNTIFS($E$7:$E1054,$E1054))</f>
        <v/>
      </c>
    </row>
    <row r="1055" spans="1:31" ht="18" customHeight="1" x14ac:dyDescent="0.3">
      <c r="A1055" s="2"/>
      <c r="B1055" s="65" t="str">
        <f>IF($C1055="","","GG"&amp;TEXT(ROW()-6,"00000"))</f>
        <v/>
      </c>
      <c r="C1055" s="66"/>
      <c r="D1055" s="60"/>
      <c r="E1055" s="61"/>
      <c r="F1055" s="61"/>
      <c r="G1055" s="67"/>
      <c r="H1055" s="60"/>
      <c r="I1055" s="60"/>
      <c r="J1055" s="61"/>
      <c r="K1055" s="61"/>
      <c r="L1055" s="60"/>
      <c r="M1055" s="74" t="str">
        <f>IF($C1055="","",IF($D1055="Gider",$E1055,IF($L1055&lt;&gt;"",$L1055,$H1055)))</f>
        <v/>
      </c>
      <c r="N1055" s="74" t="str">
        <f>IF($C1055="","",IF($D1055="Gider",$H1055,$E1055))</f>
        <v/>
      </c>
      <c r="O1055" s="73" t="str">
        <f>IF($C1055="","",DATE(YEAR($C1055),MONTH($C1055),1))</f>
        <v/>
      </c>
      <c r="P1055" s="65" t="str">
        <f ca="1">IF($C1055="","",IF(AND($D1055="Gelir",$L1055&lt;&gt;"",$T1055=""),"TANIMSIZ BORÇLU",IF($T1055&lt;&gt;"",IF(OR($E1055="",$G1055&lt;=0),"EKSİK",IF($I1055="Evet","TAHAKKUK NAKİT OLAMAZ",IF($C1055&gt;TODAY(),"İLERİ TARİH","TAHAKKUK"))),IF(AND($D1055&lt;&gt;"",$E1055&lt;&gt;"",$G1055&gt;0,$H1055&lt;&gt;"",$I1055&lt;&gt;""),IF($C1055&gt;TODAY(),"İLERİ TARİH",IF(COUNTIF($W$7:$W$3001,$W1055)&gt;1,"MÜKERRER?",IF($AD1055&gt;0,"KAPALI DÖNEM",IF($I1055="Hayır","ÖDENECEK","UYGUN")))),"EKSİK"))))</f>
        <v/>
      </c>
      <c r="Q1055" s="2"/>
      <c r="R1055" s="2"/>
      <c r="S1055" s="1" t="str">
        <f t="shared" si="50"/>
        <v/>
      </c>
      <c r="T1055" s="1" t="str">
        <f>IF(OR($C1055="",$D1055&lt;&gt;"Gelir",$L1055=""),"",IFERROR(INDEX(MUSTERILER!$B$7:$B$156,MATCH($S1055,MUSTERILER!$T$7:$T$156,0)),""))</f>
        <v/>
      </c>
      <c r="U1055" s="1" t="str">
        <f>IF($T1055="","",$T1055&amp;"|"&amp;COUNTIFS($T$7:$T1055,$T1055))</f>
        <v/>
      </c>
      <c r="V1055" s="1">
        <f t="shared" si="51"/>
        <v>0</v>
      </c>
      <c r="W1055" s="1" t="str">
        <f t="shared" si="52"/>
        <v/>
      </c>
      <c r="X1055" s="1"/>
      <c r="Y1055" s="1"/>
      <c r="Z1055" s="1"/>
      <c r="AA1055" s="1"/>
      <c r="AB1055" s="1"/>
      <c r="AC1055" s="1"/>
      <c r="AD1055" s="1">
        <f>IF($C1055="",0,SUMPRODUCT((AY_SONU!$O$7:$O$42="Evet")*(AY_SONU!$B$7:$B$42=DATE(YEAR($C1055),MONTH($C1055),1))))</f>
        <v>0</v>
      </c>
      <c r="AE1055" s="1" t="str">
        <f>IF($E1055="","",$E1055&amp;"|"&amp;COUNTIFS($E$7:$E1055,$E1055))</f>
        <v/>
      </c>
    </row>
    <row r="1056" spans="1:31" ht="18" customHeight="1" x14ac:dyDescent="0.3">
      <c r="A1056" s="2"/>
      <c r="B1056" s="65" t="str">
        <f>IF($C1056="","","GG"&amp;TEXT(ROW()-6,"00000"))</f>
        <v/>
      </c>
      <c r="C1056" s="66"/>
      <c r="D1056" s="60"/>
      <c r="E1056" s="61"/>
      <c r="F1056" s="61"/>
      <c r="G1056" s="67"/>
      <c r="H1056" s="60"/>
      <c r="I1056" s="60"/>
      <c r="J1056" s="61"/>
      <c r="K1056" s="61"/>
      <c r="L1056" s="60"/>
      <c r="M1056" s="74" t="str">
        <f>IF($C1056="","",IF($D1056="Gider",$E1056,IF($L1056&lt;&gt;"",$L1056,$H1056)))</f>
        <v/>
      </c>
      <c r="N1056" s="74" t="str">
        <f>IF($C1056="","",IF($D1056="Gider",$H1056,$E1056))</f>
        <v/>
      </c>
      <c r="O1056" s="73" t="str">
        <f>IF($C1056="","",DATE(YEAR($C1056),MONTH($C1056),1))</f>
        <v/>
      </c>
      <c r="P1056" s="65" t="str">
        <f ca="1">IF($C1056="","",IF(AND($D1056="Gelir",$L1056&lt;&gt;"",$T1056=""),"TANIMSIZ BORÇLU",IF($T1056&lt;&gt;"",IF(OR($E1056="",$G1056&lt;=0),"EKSİK",IF($I1056="Evet","TAHAKKUK NAKİT OLAMAZ",IF($C1056&gt;TODAY(),"İLERİ TARİH","TAHAKKUK"))),IF(AND($D1056&lt;&gt;"",$E1056&lt;&gt;"",$G1056&gt;0,$H1056&lt;&gt;"",$I1056&lt;&gt;""),IF($C1056&gt;TODAY(),"İLERİ TARİH",IF(COUNTIF($W$7:$W$3001,$W1056)&gt;1,"MÜKERRER?",IF($AD1056&gt;0,"KAPALI DÖNEM",IF($I1056="Hayır","ÖDENECEK","UYGUN")))),"EKSİK"))))</f>
        <v/>
      </c>
      <c r="Q1056" s="2"/>
      <c r="R1056" s="2"/>
      <c r="S1056" s="1" t="str">
        <f t="shared" si="50"/>
        <v/>
      </c>
      <c r="T1056" s="1" t="str">
        <f>IF(OR($C1056="",$D1056&lt;&gt;"Gelir",$L1056=""),"",IFERROR(INDEX(MUSTERILER!$B$7:$B$156,MATCH($S1056,MUSTERILER!$T$7:$T$156,0)),""))</f>
        <v/>
      </c>
      <c r="U1056" s="1" t="str">
        <f>IF($T1056="","",$T1056&amp;"|"&amp;COUNTIFS($T$7:$T1056,$T1056))</f>
        <v/>
      </c>
      <c r="V1056" s="1">
        <f t="shared" si="51"/>
        <v>0</v>
      </c>
      <c r="W1056" s="1" t="str">
        <f t="shared" si="52"/>
        <v/>
      </c>
      <c r="X1056" s="1"/>
      <c r="Y1056" s="1"/>
      <c r="Z1056" s="1"/>
      <c r="AA1056" s="1"/>
      <c r="AB1056" s="1"/>
      <c r="AC1056" s="1"/>
      <c r="AD1056" s="1">
        <f>IF($C1056="",0,SUMPRODUCT((AY_SONU!$O$7:$O$42="Evet")*(AY_SONU!$B$7:$B$42=DATE(YEAR($C1056),MONTH($C1056),1))))</f>
        <v>0</v>
      </c>
      <c r="AE1056" s="1" t="str">
        <f>IF($E1056="","",$E1056&amp;"|"&amp;COUNTIFS($E$7:$E1056,$E1056))</f>
        <v/>
      </c>
    </row>
    <row r="1057" spans="1:31" ht="18" customHeight="1" x14ac:dyDescent="0.3">
      <c r="A1057" s="2"/>
      <c r="B1057" s="65" t="str">
        <f>IF($C1057="","","GG"&amp;TEXT(ROW()-6,"00000"))</f>
        <v/>
      </c>
      <c r="C1057" s="66"/>
      <c r="D1057" s="60"/>
      <c r="E1057" s="61"/>
      <c r="F1057" s="61"/>
      <c r="G1057" s="67"/>
      <c r="H1057" s="60"/>
      <c r="I1057" s="60"/>
      <c r="J1057" s="61"/>
      <c r="K1057" s="61"/>
      <c r="L1057" s="60"/>
      <c r="M1057" s="74" t="str">
        <f>IF($C1057="","",IF($D1057="Gider",$E1057,IF($L1057&lt;&gt;"",$L1057,$H1057)))</f>
        <v/>
      </c>
      <c r="N1057" s="74" t="str">
        <f>IF($C1057="","",IF($D1057="Gider",$H1057,$E1057))</f>
        <v/>
      </c>
      <c r="O1057" s="73" t="str">
        <f>IF($C1057="","",DATE(YEAR($C1057),MONTH($C1057),1))</f>
        <v/>
      </c>
      <c r="P1057" s="65" t="str">
        <f ca="1">IF($C1057="","",IF(AND($D1057="Gelir",$L1057&lt;&gt;"",$T1057=""),"TANIMSIZ BORÇLU",IF($T1057&lt;&gt;"",IF(OR($E1057="",$G1057&lt;=0),"EKSİK",IF($I1057="Evet","TAHAKKUK NAKİT OLAMAZ",IF($C1057&gt;TODAY(),"İLERİ TARİH","TAHAKKUK"))),IF(AND($D1057&lt;&gt;"",$E1057&lt;&gt;"",$G1057&gt;0,$H1057&lt;&gt;"",$I1057&lt;&gt;""),IF($C1057&gt;TODAY(),"İLERİ TARİH",IF(COUNTIF($W$7:$W$3001,$W1057)&gt;1,"MÜKERRER?",IF($AD1057&gt;0,"KAPALI DÖNEM",IF($I1057="Hayır","ÖDENECEK","UYGUN")))),"EKSİK"))))</f>
        <v/>
      </c>
      <c r="Q1057" s="2"/>
      <c r="R1057" s="2"/>
      <c r="S1057" s="1" t="str">
        <f t="shared" si="50"/>
        <v/>
      </c>
      <c r="T1057" s="1" t="str">
        <f>IF(OR($C1057="",$D1057&lt;&gt;"Gelir",$L1057=""),"",IFERROR(INDEX(MUSTERILER!$B$7:$B$156,MATCH($S1057,MUSTERILER!$T$7:$T$156,0)),""))</f>
        <v/>
      </c>
      <c r="U1057" s="1" t="str">
        <f>IF($T1057="","",$T1057&amp;"|"&amp;COUNTIFS($T$7:$T1057,$T1057))</f>
        <v/>
      </c>
      <c r="V1057" s="1">
        <f t="shared" si="51"/>
        <v>0</v>
      </c>
      <c r="W1057" s="1" t="str">
        <f t="shared" si="52"/>
        <v/>
      </c>
      <c r="X1057" s="1"/>
      <c r="Y1057" s="1"/>
      <c r="Z1057" s="1"/>
      <c r="AA1057" s="1"/>
      <c r="AB1057" s="1"/>
      <c r="AC1057" s="1"/>
      <c r="AD1057" s="1">
        <f>IF($C1057="",0,SUMPRODUCT((AY_SONU!$O$7:$O$42="Evet")*(AY_SONU!$B$7:$B$42=DATE(YEAR($C1057),MONTH($C1057),1))))</f>
        <v>0</v>
      </c>
      <c r="AE1057" s="1" t="str">
        <f>IF($E1057="","",$E1057&amp;"|"&amp;COUNTIFS($E$7:$E1057,$E1057))</f>
        <v/>
      </c>
    </row>
    <row r="1058" spans="1:31" ht="18" customHeight="1" x14ac:dyDescent="0.3">
      <c r="A1058" s="2"/>
      <c r="B1058" s="65" t="str">
        <f>IF($C1058="","","GG"&amp;TEXT(ROW()-6,"00000"))</f>
        <v/>
      </c>
      <c r="C1058" s="66"/>
      <c r="D1058" s="60"/>
      <c r="E1058" s="61"/>
      <c r="F1058" s="61"/>
      <c r="G1058" s="67"/>
      <c r="H1058" s="60"/>
      <c r="I1058" s="60"/>
      <c r="J1058" s="61"/>
      <c r="K1058" s="61"/>
      <c r="L1058" s="60"/>
      <c r="M1058" s="74" t="str">
        <f>IF($C1058="","",IF($D1058="Gider",$E1058,IF($L1058&lt;&gt;"",$L1058,$H1058)))</f>
        <v/>
      </c>
      <c r="N1058" s="74" t="str">
        <f>IF($C1058="","",IF($D1058="Gider",$H1058,$E1058))</f>
        <v/>
      </c>
      <c r="O1058" s="73" t="str">
        <f>IF($C1058="","",DATE(YEAR($C1058),MONTH($C1058),1))</f>
        <v/>
      </c>
      <c r="P1058" s="65" t="str">
        <f ca="1">IF($C1058="","",IF(AND($D1058="Gelir",$L1058&lt;&gt;"",$T1058=""),"TANIMSIZ BORÇLU",IF($T1058&lt;&gt;"",IF(OR($E1058="",$G1058&lt;=0),"EKSİK",IF($I1058="Evet","TAHAKKUK NAKİT OLAMAZ",IF($C1058&gt;TODAY(),"İLERİ TARİH","TAHAKKUK"))),IF(AND($D1058&lt;&gt;"",$E1058&lt;&gt;"",$G1058&gt;0,$H1058&lt;&gt;"",$I1058&lt;&gt;""),IF($C1058&gt;TODAY(),"İLERİ TARİH",IF(COUNTIF($W$7:$W$3001,$W1058)&gt;1,"MÜKERRER?",IF($AD1058&gt;0,"KAPALI DÖNEM",IF($I1058="Hayır","ÖDENECEK","UYGUN")))),"EKSİK"))))</f>
        <v/>
      </c>
      <c r="Q1058" s="2"/>
      <c r="R1058" s="2"/>
      <c r="S1058" s="1" t="str">
        <f t="shared" si="50"/>
        <v/>
      </c>
      <c r="T1058" s="1" t="str">
        <f>IF(OR($C1058="",$D1058&lt;&gt;"Gelir",$L1058=""),"",IFERROR(INDEX(MUSTERILER!$B$7:$B$156,MATCH($S1058,MUSTERILER!$T$7:$T$156,0)),""))</f>
        <v/>
      </c>
      <c r="U1058" s="1" t="str">
        <f>IF($T1058="","",$T1058&amp;"|"&amp;COUNTIFS($T$7:$T1058,$T1058))</f>
        <v/>
      </c>
      <c r="V1058" s="1">
        <f t="shared" si="51"/>
        <v>0</v>
      </c>
      <c r="W1058" s="1" t="str">
        <f t="shared" si="52"/>
        <v/>
      </c>
      <c r="X1058" s="1"/>
      <c r="Y1058" s="1"/>
      <c r="Z1058" s="1"/>
      <c r="AA1058" s="1"/>
      <c r="AB1058" s="1"/>
      <c r="AC1058" s="1"/>
      <c r="AD1058" s="1">
        <f>IF($C1058="",0,SUMPRODUCT((AY_SONU!$O$7:$O$42="Evet")*(AY_SONU!$B$7:$B$42=DATE(YEAR($C1058),MONTH($C1058),1))))</f>
        <v>0</v>
      </c>
      <c r="AE1058" s="1" t="str">
        <f>IF($E1058="","",$E1058&amp;"|"&amp;COUNTIFS($E$7:$E1058,$E1058))</f>
        <v/>
      </c>
    </row>
    <row r="1059" spans="1:31" ht="18" customHeight="1" x14ac:dyDescent="0.3">
      <c r="A1059" s="2"/>
      <c r="B1059" s="65" t="str">
        <f>IF($C1059="","","GG"&amp;TEXT(ROW()-6,"00000"))</f>
        <v/>
      </c>
      <c r="C1059" s="66"/>
      <c r="D1059" s="60"/>
      <c r="E1059" s="61"/>
      <c r="F1059" s="61"/>
      <c r="G1059" s="67"/>
      <c r="H1059" s="60"/>
      <c r="I1059" s="60"/>
      <c r="J1059" s="61"/>
      <c r="K1059" s="61"/>
      <c r="L1059" s="60"/>
      <c r="M1059" s="74" t="str">
        <f>IF($C1059="","",IF($D1059="Gider",$E1059,IF($L1059&lt;&gt;"",$L1059,$H1059)))</f>
        <v/>
      </c>
      <c r="N1059" s="74" t="str">
        <f>IF($C1059="","",IF($D1059="Gider",$H1059,$E1059))</f>
        <v/>
      </c>
      <c r="O1059" s="73" t="str">
        <f>IF($C1059="","",DATE(YEAR($C1059),MONTH($C1059),1))</f>
        <v/>
      </c>
      <c r="P1059" s="65" t="str">
        <f ca="1">IF($C1059="","",IF(AND($D1059="Gelir",$L1059&lt;&gt;"",$T1059=""),"TANIMSIZ BORÇLU",IF($T1059&lt;&gt;"",IF(OR($E1059="",$G1059&lt;=0),"EKSİK",IF($I1059="Evet","TAHAKKUK NAKİT OLAMAZ",IF($C1059&gt;TODAY(),"İLERİ TARİH","TAHAKKUK"))),IF(AND($D1059&lt;&gt;"",$E1059&lt;&gt;"",$G1059&gt;0,$H1059&lt;&gt;"",$I1059&lt;&gt;""),IF($C1059&gt;TODAY(),"İLERİ TARİH",IF(COUNTIF($W$7:$W$3001,$W1059)&gt;1,"MÜKERRER?",IF($AD1059&gt;0,"KAPALI DÖNEM",IF($I1059="Hayır","ÖDENECEK","UYGUN")))),"EKSİK"))))</f>
        <v/>
      </c>
      <c r="Q1059" s="2"/>
      <c r="R1059" s="2"/>
      <c r="S1059" s="1" t="str">
        <f t="shared" si="50"/>
        <v/>
      </c>
      <c r="T1059" s="1" t="str">
        <f>IF(OR($C1059="",$D1059&lt;&gt;"Gelir",$L1059=""),"",IFERROR(INDEX(MUSTERILER!$B$7:$B$156,MATCH($S1059,MUSTERILER!$T$7:$T$156,0)),""))</f>
        <v/>
      </c>
      <c r="U1059" s="1" t="str">
        <f>IF($T1059="","",$T1059&amp;"|"&amp;COUNTIFS($T$7:$T1059,$T1059))</f>
        <v/>
      </c>
      <c r="V1059" s="1">
        <f t="shared" si="51"/>
        <v>0</v>
      </c>
      <c r="W1059" s="1" t="str">
        <f t="shared" si="52"/>
        <v/>
      </c>
      <c r="X1059" s="1"/>
      <c r="Y1059" s="1"/>
      <c r="Z1059" s="1"/>
      <c r="AA1059" s="1"/>
      <c r="AB1059" s="1"/>
      <c r="AC1059" s="1"/>
      <c r="AD1059" s="1">
        <f>IF($C1059="",0,SUMPRODUCT((AY_SONU!$O$7:$O$42="Evet")*(AY_SONU!$B$7:$B$42=DATE(YEAR($C1059),MONTH($C1059),1))))</f>
        <v>0</v>
      </c>
      <c r="AE1059" s="1" t="str">
        <f>IF($E1059="","",$E1059&amp;"|"&amp;COUNTIFS($E$7:$E1059,$E1059))</f>
        <v/>
      </c>
    </row>
    <row r="1060" spans="1:31" ht="18" customHeight="1" x14ac:dyDescent="0.3">
      <c r="A1060" s="2"/>
      <c r="B1060" s="65" t="str">
        <f>IF($C1060="","","GG"&amp;TEXT(ROW()-6,"00000"))</f>
        <v/>
      </c>
      <c r="C1060" s="66"/>
      <c r="D1060" s="60"/>
      <c r="E1060" s="61"/>
      <c r="F1060" s="61"/>
      <c r="G1060" s="67"/>
      <c r="H1060" s="60"/>
      <c r="I1060" s="60"/>
      <c r="J1060" s="61"/>
      <c r="K1060" s="61"/>
      <c r="L1060" s="60"/>
      <c r="M1060" s="74" t="str">
        <f>IF($C1060="","",IF($D1060="Gider",$E1060,IF($L1060&lt;&gt;"",$L1060,$H1060)))</f>
        <v/>
      </c>
      <c r="N1060" s="74" t="str">
        <f>IF($C1060="","",IF($D1060="Gider",$H1060,$E1060))</f>
        <v/>
      </c>
      <c r="O1060" s="73" t="str">
        <f>IF($C1060="","",DATE(YEAR($C1060),MONTH($C1060),1))</f>
        <v/>
      </c>
      <c r="P1060" s="65" t="str">
        <f ca="1">IF($C1060="","",IF(AND($D1060="Gelir",$L1060&lt;&gt;"",$T1060=""),"TANIMSIZ BORÇLU",IF($T1060&lt;&gt;"",IF(OR($E1060="",$G1060&lt;=0),"EKSİK",IF($I1060="Evet","TAHAKKUK NAKİT OLAMAZ",IF($C1060&gt;TODAY(),"İLERİ TARİH","TAHAKKUK"))),IF(AND($D1060&lt;&gt;"",$E1060&lt;&gt;"",$G1060&gt;0,$H1060&lt;&gt;"",$I1060&lt;&gt;""),IF($C1060&gt;TODAY(),"İLERİ TARİH",IF(COUNTIF($W$7:$W$3001,$W1060)&gt;1,"MÜKERRER?",IF($AD1060&gt;0,"KAPALI DÖNEM",IF($I1060="Hayır","ÖDENECEK","UYGUN")))),"EKSİK"))))</f>
        <v/>
      </c>
      <c r="Q1060" s="2"/>
      <c r="R1060" s="2"/>
      <c r="S1060" s="1" t="str">
        <f t="shared" si="50"/>
        <v/>
      </c>
      <c r="T1060" s="1" t="str">
        <f>IF(OR($C1060="",$D1060&lt;&gt;"Gelir",$L1060=""),"",IFERROR(INDEX(MUSTERILER!$B$7:$B$156,MATCH($S1060,MUSTERILER!$T$7:$T$156,0)),""))</f>
        <v/>
      </c>
      <c r="U1060" s="1" t="str">
        <f>IF($T1060="","",$T1060&amp;"|"&amp;COUNTIFS($T$7:$T1060,$T1060))</f>
        <v/>
      </c>
      <c r="V1060" s="1">
        <f t="shared" si="51"/>
        <v>0</v>
      </c>
      <c r="W1060" s="1" t="str">
        <f t="shared" si="52"/>
        <v/>
      </c>
      <c r="X1060" s="1"/>
      <c r="Y1060" s="1"/>
      <c r="Z1060" s="1"/>
      <c r="AA1060" s="1"/>
      <c r="AB1060" s="1"/>
      <c r="AC1060" s="1"/>
      <c r="AD1060" s="1">
        <f>IF($C1060="",0,SUMPRODUCT((AY_SONU!$O$7:$O$42="Evet")*(AY_SONU!$B$7:$B$42=DATE(YEAR($C1060),MONTH($C1060),1))))</f>
        <v>0</v>
      </c>
      <c r="AE1060" s="1" t="str">
        <f>IF($E1060="","",$E1060&amp;"|"&amp;COUNTIFS($E$7:$E1060,$E1060))</f>
        <v/>
      </c>
    </row>
    <row r="1061" spans="1:31" ht="18" customHeight="1" x14ac:dyDescent="0.3">
      <c r="A1061" s="2"/>
      <c r="B1061" s="65" t="str">
        <f>IF($C1061="","","GG"&amp;TEXT(ROW()-6,"00000"))</f>
        <v/>
      </c>
      <c r="C1061" s="66"/>
      <c r="D1061" s="60"/>
      <c r="E1061" s="61"/>
      <c r="F1061" s="61"/>
      <c r="G1061" s="67"/>
      <c r="H1061" s="60"/>
      <c r="I1061" s="60"/>
      <c r="J1061" s="61"/>
      <c r="K1061" s="61"/>
      <c r="L1061" s="60"/>
      <c r="M1061" s="74" t="str">
        <f>IF($C1061="","",IF($D1061="Gider",$E1061,IF($L1061&lt;&gt;"",$L1061,$H1061)))</f>
        <v/>
      </c>
      <c r="N1061" s="74" t="str">
        <f>IF($C1061="","",IF($D1061="Gider",$H1061,$E1061))</f>
        <v/>
      </c>
      <c r="O1061" s="73" t="str">
        <f>IF($C1061="","",DATE(YEAR($C1061),MONTH($C1061),1))</f>
        <v/>
      </c>
      <c r="P1061" s="65" t="str">
        <f ca="1">IF($C1061="","",IF(AND($D1061="Gelir",$L1061&lt;&gt;"",$T1061=""),"TANIMSIZ BORÇLU",IF($T1061&lt;&gt;"",IF(OR($E1061="",$G1061&lt;=0),"EKSİK",IF($I1061="Evet","TAHAKKUK NAKİT OLAMAZ",IF($C1061&gt;TODAY(),"İLERİ TARİH","TAHAKKUK"))),IF(AND($D1061&lt;&gt;"",$E1061&lt;&gt;"",$G1061&gt;0,$H1061&lt;&gt;"",$I1061&lt;&gt;""),IF($C1061&gt;TODAY(),"İLERİ TARİH",IF(COUNTIF($W$7:$W$3001,$W1061)&gt;1,"MÜKERRER?",IF($AD1061&gt;0,"KAPALI DÖNEM",IF($I1061="Hayır","ÖDENECEK","UYGUN")))),"EKSİK"))))</f>
        <v/>
      </c>
      <c r="Q1061" s="2"/>
      <c r="R1061" s="2"/>
      <c r="S1061" s="1" t="str">
        <f t="shared" si="50"/>
        <v/>
      </c>
      <c r="T1061" s="1" t="str">
        <f>IF(OR($C1061="",$D1061&lt;&gt;"Gelir",$L1061=""),"",IFERROR(INDEX(MUSTERILER!$B$7:$B$156,MATCH($S1061,MUSTERILER!$T$7:$T$156,0)),""))</f>
        <v/>
      </c>
      <c r="U1061" s="1" t="str">
        <f>IF($T1061="","",$T1061&amp;"|"&amp;COUNTIFS($T$7:$T1061,$T1061))</f>
        <v/>
      </c>
      <c r="V1061" s="1">
        <f t="shared" si="51"/>
        <v>0</v>
      </c>
      <c r="W1061" s="1" t="str">
        <f t="shared" si="52"/>
        <v/>
      </c>
      <c r="X1061" s="1"/>
      <c r="Y1061" s="1"/>
      <c r="Z1061" s="1"/>
      <c r="AA1061" s="1"/>
      <c r="AB1061" s="1"/>
      <c r="AC1061" s="1"/>
      <c r="AD1061" s="1">
        <f>IF($C1061="",0,SUMPRODUCT((AY_SONU!$O$7:$O$42="Evet")*(AY_SONU!$B$7:$B$42=DATE(YEAR($C1061),MONTH($C1061),1))))</f>
        <v>0</v>
      </c>
      <c r="AE1061" s="1" t="str">
        <f>IF($E1061="","",$E1061&amp;"|"&amp;COUNTIFS($E$7:$E1061,$E1061))</f>
        <v/>
      </c>
    </row>
    <row r="1062" spans="1:31" ht="18" customHeight="1" x14ac:dyDescent="0.3">
      <c r="A1062" s="2"/>
      <c r="B1062" s="65" t="str">
        <f>IF($C1062="","","GG"&amp;TEXT(ROW()-6,"00000"))</f>
        <v/>
      </c>
      <c r="C1062" s="66"/>
      <c r="D1062" s="60"/>
      <c r="E1062" s="61"/>
      <c r="F1062" s="61"/>
      <c r="G1062" s="67"/>
      <c r="H1062" s="60"/>
      <c r="I1062" s="60"/>
      <c r="J1062" s="61"/>
      <c r="K1062" s="61"/>
      <c r="L1062" s="60"/>
      <c r="M1062" s="74" t="str">
        <f>IF($C1062="","",IF($D1062="Gider",$E1062,IF($L1062&lt;&gt;"",$L1062,$H1062)))</f>
        <v/>
      </c>
      <c r="N1062" s="74" t="str">
        <f>IF($C1062="","",IF($D1062="Gider",$H1062,$E1062))</f>
        <v/>
      </c>
      <c r="O1062" s="73" t="str">
        <f>IF($C1062="","",DATE(YEAR($C1062),MONTH($C1062),1))</f>
        <v/>
      </c>
      <c r="P1062" s="65" t="str">
        <f ca="1">IF($C1062="","",IF(AND($D1062="Gelir",$L1062&lt;&gt;"",$T1062=""),"TANIMSIZ BORÇLU",IF($T1062&lt;&gt;"",IF(OR($E1062="",$G1062&lt;=0),"EKSİK",IF($I1062="Evet","TAHAKKUK NAKİT OLAMAZ",IF($C1062&gt;TODAY(),"İLERİ TARİH","TAHAKKUK"))),IF(AND($D1062&lt;&gt;"",$E1062&lt;&gt;"",$G1062&gt;0,$H1062&lt;&gt;"",$I1062&lt;&gt;""),IF($C1062&gt;TODAY(),"İLERİ TARİH",IF(COUNTIF($W$7:$W$3001,$W1062)&gt;1,"MÜKERRER?",IF($AD1062&gt;0,"KAPALI DÖNEM",IF($I1062="Hayır","ÖDENECEK","UYGUN")))),"EKSİK"))))</f>
        <v/>
      </c>
      <c r="Q1062" s="2"/>
      <c r="R1062" s="2"/>
      <c r="S1062" s="1" t="str">
        <f t="shared" si="50"/>
        <v/>
      </c>
      <c r="T1062" s="1" t="str">
        <f>IF(OR($C1062="",$D1062&lt;&gt;"Gelir",$L1062=""),"",IFERROR(INDEX(MUSTERILER!$B$7:$B$156,MATCH($S1062,MUSTERILER!$T$7:$T$156,0)),""))</f>
        <v/>
      </c>
      <c r="U1062" s="1" t="str">
        <f>IF($T1062="","",$T1062&amp;"|"&amp;COUNTIFS($T$7:$T1062,$T1062))</f>
        <v/>
      </c>
      <c r="V1062" s="1">
        <f t="shared" si="51"/>
        <v>0</v>
      </c>
      <c r="W1062" s="1" t="str">
        <f t="shared" si="52"/>
        <v/>
      </c>
      <c r="X1062" s="1"/>
      <c r="Y1062" s="1"/>
      <c r="Z1062" s="1"/>
      <c r="AA1062" s="1"/>
      <c r="AB1062" s="1"/>
      <c r="AC1062" s="1"/>
      <c r="AD1062" s="1">
        <f>IF($C1062="",0,SUMPRODUCT((AY_SONU!$O$7:$O$42="Evet")*(AY_SONU!$B$7:$B$42=DATE(YEAR($C1062),MONTH($C1062),1))))</f>
        <v>0</v>
      </c>
      <c r="AE1062" s="1" t="str">
        <f>IF($E1062="","",$E1062&amp;"|"&amp;COUNTIFS($E$7:$E1062,$E1062))</f>
        <v/>
      </c>
    </row>
    <row r="1063" spans="1:31" ht="18" customHeight="1" x14ac:dyDescent="0.3">
      <c r="A1063" s="2"/>
      <c r="B1063" s="65" t="str">
        <f>IF($C1063="","","GG"&amp;TEXT(ROW()-6,"00000"))</f>
        <v/>
      </c>
      <c r="C1063" s="66"/>
      <c r="D1063" s="60"/>
      <c r="E1063" s="61"/>
      <c r="F1063" s="61"/>
      <c r="G1063" s="67"/>
      <c r="H1063" s="60"/>
      <c r="I1063" s="60"/>
      <c r="J1063" s="61"/>
      <c r="K1063" s="61"/>
      <c r="L1063" s="60"/>
      <c r="M1063" s="74" t="str">
        <f>IF($C1063="","",IF($D1063="Gider",$E1063,IF($L1063&lt;&gt;"",$L1063,$H1063)))</f>
        <v/>
      </c>
      <c r="N1063" s="74" t="str">
        <f>IF($C1063="","",IF($D1063="Gider",$H1063,$E1063))</f>
        <v/>
      </c>
      <c r="O1063" s="73" t="str">
        <f>IF($C1063="","",DATE(YEAR($C1063),MONTH($C1063),1))</f>
        <v/>
      </c>
      <c r="P1063" s="65" t="str">
        <f ca="1">IF($C1063="","",IF(AND($D1063="Gelir",$L1063&lt;&gt;"",$T1063=""),"TANIMSIZ BORÇLU",IF($T1063&lt;&gt;"",IF(OR($E1063="",$G1063&lt;=0),"EKSİK",IF($I1063="Evet","TAHAKKUK NAKİT OLAMAZ",IF($C1063&gt;TODAY(),"İLERİ TARİH","TAHAKKUK"))),IF(AND($D1063&lt;&gt;"",$E1063&lt;&gt;"",$G1063&gt;0,$H1063&lt;&gt;"",$I1063&lt;&gt;""),IF($C1063&gt;TODAY(),"İLERİ TARİH",IF(COUNTIF($W$7:$W$3001,$W1063)&gt;1,"MÜKERRER?",IF($AD1063&gt;0,"KAPALI DÖNEM",IF($I1063="Hayır","ÖDENECEK","UYGUN")))),"EKSİK"))))</f>
        <v/>
      </c>
      <c r="Q1063" s="2"/>
      <c r="R1063" s="2"/>
      <c r="S1063" s="1" t="str">
        <f t="shared" si="50"/>
        <v/>
      </c>
      <c r="T1063" s="1" t="str">
        <f>IF(OR($C1063="",$D1063&lt;&gt;"Gelir",$L1063=""),"",IFERROR(INDEX(MUSTERILER!$B$7:$B$156,MATCH($S1063,MUSTERILER!$T$7:$T$156,0)),""))</f>
        <v/>
      </c>
      <c r="U1063" s="1" t="str">
        <f>IF($T1063="","",$T1063&amp;"|"&amp;COUNTIFS($T$7:$T1063,$T1063))</f>
        <v/>
      </c>
      <c r="V1063" s="1">
        <f t="shared" si="51"/>
        <v>0</v>
      </c>
      <c r="W1063" s="1" t="str">
        <f t="shared" si="52"/>
        <v/>
      </c>
      <c r="X1063" s="1"/>
      <c r="Y1063" s="1"/>
      <c r="Z1063" s="1"/>
      <c r="AA1063" s="1"/>
      <c r="AB1063" s="1"/>
      <c r="AC1063" s="1"/>
      <c r="AD1063" s="1">
        <f>IF($C1063="",0,SUMPRODUCT((AY_SONU!$O$7:$O$42="Evet")*(AY_SONU!$B$7:$B$42=DATE(YEAR($C1063),MONTH($C1063),1))))</f>
        <v>0</v>
      </c>
      <c r="AE1063" s="1" t="str">
        <f>IF($E1063="","",$E1063&amp;"|"&amp;COUNTIFS($E$7:$E1063,$E1063))</f>
        <v/>
      </c>
    </row>
    <row r="1064" spans="1:31" ht="18" customHeight="1" x14ac:dyDescent="0.3">
      <c r="A1064" s="2"/>
      <c r="B1064" s="65" t="str">
        <f>IF($C1064="","","GG"&amp;TEXT(ROW()-6,"00000"))</f>
        <v/>
      </c>
      <c r="C1064" s="66"/>
      <c r="D1064" s="60"/>
      <c r="E1064" s="61"/>
      <c r="F1064" s="61"/>
      <c r="G1064" s="67"/>
      <c r="H1064" s="60"/>
      <c r="I1064" s="60"/>
      <c r="J1064" s="61"/>
      <c r="K1064" s="61"/>
      <c r="L1064" s="60"/>
      <c r="M1064" s="74" t="str">
        <f>IF($C1064="","",IF($D1064="Gider",$E1064,IF($L1064&lt;&gt;"",$L1064,$H1064)))</f>
        <v/>
      </c>
      <c r="N1064" s="74" t="str">
        <f>IF($C1064="","",IF($D1064="Gider",$H1064,$E1064))</f>
        <v/>
      </c>
      <c r="O1064" s="73" t="str">
        <f>IF($C1064="","",DATE(YEAR($C1064),MONTH($C1064),1))</f>
        <v/>
      </c>
      <c r="P1064" s="65" t="str">
        <f ca="1">IF($C1064="","",IF(AND($D1064="Gelir",$L1064&lt;&gt;"",$T1064=""),"TANIMSIZ BORÇLU",IF($T1064&lt;&gt;"",IF(OR($E1064="",$G1064&lt;=0),"EKSİK",IF($I1064="Evet","TAHAKKUK NAKİT OLAMAZ",IF($C1064&gt;TODAY(),"İLERİ TARİH","TAHAKKUK"))),IF(AND($D1064&lt;&gt;"",$E1064&lt;&gt;"",$G1064&gt;0,$H1064&lt;&gt;"",$I1064&lt;&gt;""),IF($C1064&gt;TODAY(),"İLERİ TARİH",IF(COUNTIF($W$7:$W$3001,$W1064)&gt;1,"MÜKERRER?",IF($AD1064&gt;0,"KAPALI DÖNEM",IF($I1064="Hayır","ÖDENECEK","UYGUN")))),"EKSİK"))))</f>
        <v/>
      </c>
      <c r="Q1064" s="2"/>
      <c r="R1064" s="2"/>
      <c r="S1064" s="1" t="str">
        <f t="shared" si="50"/>
        <v/>
      </c>
      <c r="T1064" s="1" t="str">
        <f>IF(OR($C1064="",$D1064&lt;&gt;"Gelir",$L1064=""),"",IFERROR(INDEX(MUSTERILER!$B$7:$B$156,MATCH($S1064,MUSTERILER!$T$7:$T$156,0)),""))</f>
        <v/>
      </c>
      <c r="U1064" s="1" t="str">
        <f>IF($T1064="","",$T1064&amp;"|"&amp;COUNTIFS($T$7:$T1064,$T1064))</f>
        <v/>
      </c>
      <c r="V1064" s="1">
        <f t="shared" si="51"/>
        <v>0</v>
      </c>
      <c r="W1064" s="1" t="str">
        <f t="shared" si="52"/>
        <v/>
      </c>
      <c r="X1064" s="1"/>
      <c r="Y1064" s="1"/>
      <c r="Z1064" s="1"/>
      <c r="AA1064" s="1"/>
      <c r="AB1064" s="1"/>
      <c r="AC1064" s="1"/>
      <c r="AD1064" s="1">
        <f>IF($C1064="",0,SUMPRODUCT((AY_SONU!$O$7:$O$42="Evet")*(AY_SONU!$B$7:$B$42=DATE(YEAR($C1064),MONTH($C1064),1))))</f>
        <v>0</v>
      </c>
      <c r="AE1064" s="1" t="str">
        <f>IF($E1064="","",$E1064&amp;"|"&amp;COUNTIFS($E$7:$E1064,$E1064))</f>
        <v/>
      </c>
    </row>
    <row r="1065" spans="1:31" ht="18" customHeight="1" x14ac:dyDescent="0.3">
      <c r="A1065" s="2"/>
      <c r="B1065" s="65" t="str">
        <f>IF($C1065="","","GG"&amp;TEXT(ROW()-6,"00000"))</f>
        <v/>
      </c>
      <c r="C1065" s="66"/>
      <c r="D1065" s="60"/>
      <c r="E1065" s="61"/>
      <c r="F1065" s="61"/>
      <c r="G1065" s="67"/>
      <c r="H1065" s="60"/>
      <c r="I1065" s="60"/>
      <c r="J1065" s="61"/>
      <c r="K1065" s="61"/>
      <c r="L1065" s="60"/>
      <c r="M1065" s="74" t="str">
        <f>IF($C1065="","",IF($D1065="Gider",$E1065,IF($L1065&lt;&gt;"",$L1065,$H1065)))</f>
        <v/>
      </c>
      <c r="N1065" s="74" t="str">
        <f>IF($C1065="","",IF($D1065="Gider",$H1065,$E1065))</f>
        <v/>
      </c>
      <c r="O1065" s="73" t="str">
        <f>IF($C1065="","",DATE(YEAR($C1065),MONTH($C1065),1))</f>
        <v/>
      </c>
      <c r="P1065" s="65" t="str">
        <f ca="1">IF($C1065="","",IF(AND($D1065="Gelir",$L1065&lt;&gt;"",$T1065=""),"TANIMSIZ BORÇLU",IF($T1065&lt;&gt;"",IF(OR($E1065="",$G1065&lt;=0),"EKSİK",IF($I1065="Evet","TAHAKKUK NAKİT OLAMAZ",IF($C1065&gt;TODAY(),"İLERİ TARİH","TAHAKKUK"))),IF(AND($D1065&lt;&gt;"",$E1065&lt;&gt;"",$G1065&gt;0,$H1065&lt;&gt;"",$I1065&lt;&gt;""),IF($C1065&gt;TODAY(),"İLERİ TARİH",IF(COUNTIF($W$7:$W$3001,$W1065)&gt;1,"MÜKERRER?",IF($AD1065&gt;0,"KAPALI DÖNEM",IF($I1065="Hayır","ÖDENECEK","UYGUN")))),"EKSİK"))))</f>
        <v/>
      </c>
      <c r="Q1065" s="2"/>
      <c r="R1065" s="2"/>
      <c r="S1065" s="1" t="str">
        <f t="shared" si="50"/>
        <v/>
      </c>
      <c r="T1065" s="1" t="str">
        <f>IF(OR($C1065="",$D1065&lt;&gt;"Gelir",$L1065=""),"",IFERROR(INDEX(MUSTERILER!$B$7:$B$156,MATCH($S1065,MUSTERILER!$T$7:$T$156,0)),""))</f>
        <v/>
      </c>
      <c r="U1065" s="1" t="str">
        <f>IF($T1065="","",$T1065&amp;"|"&amp;COUNTIFS($T$7:$T1065,$T1065))</f>
        <v/>
      </c>
      <c r="V1065" s="1">
        <f t="shared" si="51"/>
        <v>0</v>
      </c>
      <c r="W1065" s="1" t="str">
        <f t="shared" si="52"/>
        <v/>
      </c>
      <c r="X1065" s="1"/>
      <c r="Y1065" s="1"/>
      <c r="Z1065" s="1"/>
      <c r="AA1065" s="1"/>
      <c r="AB1065" s="1"/>
      <c r="AC1065" s="1"/>
      <c r="AD1065" s="1">
        <f>IF($C1065="",0,SUMPRODUCT((AY_SONU!$O$7:$O$42="Evet")*(AY_SONU!$B$7:$B$42=DATE(YEAR($C1065),MONTH($C1065),1))))</f>
        <v>0</v>
      </c>
      <c r="AE1065" s="1" t="str">
        <f>IF($E1065="","",$E1065&amp;"|"&amp;COUNTIFS($E$7:$E1065,$E1065))</f>
        <v/>
      </c>
    </row>
    <row r="1066" spans="1:31" ht="18" customHeight="1" x14ac:dyDescent="0.3">
      <c r="A1066" s="2"/>
      <c r="B1066" s="65" t="str">
        <f>IF($C1066="","","GG"&amp;TEXT(ROW()-6,"00000"))</f>
        <v/>
      </c>
      <c r="C1066" s="66"/>
      <c r="D1066" s="60"/>
      <c r="E1066" s="61"/>
      <c r="F1066" s="61"/>
      <c r="G1066" s="67"/>
      <c r="H1066" s="60"/>
      <c r="I1066" s="60"/>
      <c r="J1066" s="61"/>
      <c r="K1066" s="61"/>
      <c r="L1066" s="60"/>
      <c r="M1066" s="74" t="str">
        <f>IF($C1066="","",IF($D1066="Gider",$E1066,IF($L1066&lt;&gt;"",$L1066,$H1066)))</f>
        <v/>
      </c>
      <c r="N1066" s="74" t="str">
        <f>IF($C1066="","",IF($D1066="Gider",$H1066,$E1066))</f>
        <v/>
      </c>
      <c r="O1066" s="73" t="str">
        <f>IF($C1066="","",DATE(YEAR($C1066),MONTH($C1066),1))</f>
        <v/>
      </c>
      <c r="P1066" s="65" t="str">
        <f ca="1">IF($C1066="","",IF(AND($D1066="Gelir",$L1066&lt;&gt;"",$T1066=""),"TANIMSIZ BORÇLU",IF($T1066&lt;&gt;"",IF(OR($E1066="",$G1066&lt;=0),"EKSİK",IF($I1066="Evet","TAHAKKUK NAKİT OLAMAZ",IF($C1066&gt;TODAY(),"İLERİ TARİH","TAHAKKUK"))),IF(AND($D1066&lt;&gt;"",$E1066&lt;&gt;"",$G1066&gt;0,$H1066&lt;&gt;"",$I1066&lt;&gt;""),IF($C1066&gt;TODAY(),"İLERİ TARİH",IF(COUNTIF($W$7:$W$3001,$W1066)&gt;1,"MÜKERRER?",IF($AD1066&gt;0,"KAPALI DÖNEM",IF($I1066="Hayır","ÖDENECEK","UYGUN")))),"EKSİK"))))</f>
        <v/>
      </c>
      <c r="Q1066" s="2"/>
      <c r="R1066" s="2"/>
      <c r="S1066" s="1" t="str">
        <f t="shared" si="50"/>
        <v/>
      </c>
      <c r="T1066" s="1" t="str">
        <f>IF(OR($C1066="",$D1066&lt;&gt;"Gelir",$L1066=""),"",IFERROR(INDEX(MUSTERILER!$B$7:$B$156,MATCH($S1066,MUSTERILER!$T$7:$T$156,0)),""))</f>
        <v/>
      </c>
      <c r="U1066" s="1" t="str">
        <f>IF($T1066="","",$T1066&amp;"|"&amp;COUNTIFS($T$7:$T1066,$T1066))</f>
        <v/>
      </c>
      <c r="V1066" s="1">
        <f t="shared" si="51"/>
        <v>0</v>
      </c>
      <c r="W1066" s="1" t="str">
        <f t="shared" si="52"/>
        <v/>
      </c>
      <c r="X1066" s="1"/>
      <c r="Y1066" s="1"/>
      <c r="Z1066" s="1"/>
      <c r="AA1066" s="1"/>
      <c r="AB1066" s="1"/>
      <c r="AC1066" s="1"/>
      <c r="AD1066" s="1">
        <f>IF($C1066="",0,SUMPRODUCT((AY_SONU!$O$7:$O$42="Evet")*(AY_SONU!$B$7:$B$42=DATE(YEAR($C1066),MONTH($C1066),1))))</f>
        <v>0</v>
      </c>
      <c r="AE1066" s="1" t="str">
        <f>IF($E1066="","",$E1066&amp;"|"&amp;COUNTIFS($E$7:$E1066,$E1066))</f>
        <v/>
      </c>
    </row>
    <row r="1067" spans="1:31" ht="18" customHeight="1" x14ac:dyDescent="0.3">
      <c r="A1067" s="2"/>
      <c r="B1067" s="65" t="str">
        <f>IF($C1067="","","GG"&amp;TEXT(ROW()-6,"00000"))</f>
        <v/>
      </c>
      <c r="C1067" s="66"/>
      <c r="D1067" s="60"/>
      <c r="E1067" s="61"/>
      <c r="F1067" s="61"/>
      <c r="G1067" s="67"/>
      <c r="H1067" s="60"/>
      <c r="I1067" s="60"/>
      <c r="J1067" s="61"/>
      <c r="K1067" s="61"/>
      <c r="L1067" s="60"/>
      <c r="M1067" s="74" t="str">
        <f>IF($C1067="","",IF($D1067="Gider",$E1067,IF($L1067&lt;&gt;"",$L1067,$H1067)))</f>
        <v/>
      </c>
      <c r="N1067" s="74" t="str">
        <f>IF($C1067="","",IF($D1067="Gider",$H1067,$E1067))</f>
        <v/>
      </c>
      <c r="O1067" s="73" t="str">
        <f>IF($C1067="","",DATE(YEAR($C1067),MONTH($C1067),1))</f>
        <v/>
      </c>
      <c r="P1067" s="65" t="str">
        <f ca="1">IF($C1067="","",IF(AND($D1067="Gelir",$L1067&lt;&gt;"",$T1067=""),"TANIMSIZ BORÇLU",IF($T1067&lt;&gt;"",IF(OR($E1067="",$G1067&lt;=0),"EKSİK",IF($I1067="Evet","TAHAKKUK NAKİT OLAMAZ",IF($C1067&gt;TODAY(),"İLERİ TARİH","TAHAKKUK"))),IF(AND($D1067&lt;&gt;"",$E1067&lt;&gt;"",$G1067&gt;0,$H1067&lt;&gt;"",$I1067&lt;&gt;""),IF($C1067&gt;TODAY(),"İLERİ TARİH",IF(COUNTIF($W$7:$W$3001,$W1067)&gt;1,"MÜKERRER?",IF($AD1067&gt;0,"KAPALI DÖNEM",IF($I1067="Hayır","ÖDENECEK","UYGUN")))),"EKSİK"))))</f>
        <v/>
      </c>
      <c r="Q1067" s="2"/>
      <c r="R1067" s="2"/>
      <c r="S1067" s="1" t="str">
        <f t="shared" si="50"/>
        <v/>
      </c>
      <c r="T1067" s="1" t="str">
        <f>IF(OR($C1067="",$D1067&lt;&gt;"Gelir",$L1067=""),"",IFERROR(INDEX(MUSTERILER!$B$7:$B$156,MATCH($S1067,MUSTERILER!$T$7:$T$156,0)),""))</f>
        <v/>
      </c>
      <c r="U1067" s="1" t="str">
        <f>IF($T1067="","",$T1067&amp;"|"&amp;COUNTIFS($T$7:$T1067,$T1067))</f>
        <v/>
      </c>
      <c r="V1067" s="1">
        <f t="shared" si="51"/>
        <v>0</v>
      </c>
      <c r="W1067" s="1" t="str">
        <f t="shared" si="52"/>
        <v/>
      </c>
      <c r="X1067" s="1"/>
      <c r="Y1067" s="1"/>
      <c r="Z1067" s="1"/>
      <c r="AA1067" s="1"/>
      <c r="AB1067" s="1"/>
      <c r="AC1067" s="1"/>
      <c r="AD1067" s="1">
        <f>IF($C1067="",0,SUMPRODUCT((AY_SONU!$O$7:$O$42="Evet")*(AY_SONU!$B$7:$B$42=DATE(YEAR($C1067),MONTH($C1067),1))))</f>
        <v>0</v>
      </c>
      <c r="AE1067" s="1" t="str">
        <f>IF($E1067="","",$E1067&amp;"|"&amp;COUNTIFS($E$7:$E1067,$E1067))</f>
        <v/>
      </c>
    </row>
    <row r="1068" spans="1:31" ht="18" customHeight="1" x14ac:dyDescent="0.3">
      <c r="A1068" s="2"/>
      <c r="B1068" s="65" t="str">
        <f>IF($C1068="","","GG"&amp;TEXT(ROW()-6,"00000"))</f>
        <v/>
      </c>
      <c r="C1068" s="66"/>
      <c r="D1068" s="60"/>
      <c r="E1068" s="61"/>
      <c r="F1068" s="61"/>
      <c r="G1068" s="67"/>
      <c r="H1068" s="60"/>
      <c r="I1068" s="60"/>
      <c r="J1068" s="61"/>
      <c r="K1068" s="61"/>
      <c r="L1068" s="60"/>
      <c r="M1068" s="74" t="str">
        <f>IF($C1068="","",IF($D1068="Gider",$E1068,IF($L1068&lt;&gt;"",$L1068,$H1068)))</f>
        <v/>
      </c>
      <c r="N1068" s="74" t="str">
        <f>IF($C1068="","",IF($D1068="Gider",$H1068,$E1068))</f>
        <v/>
      </c>
      <c r="O1068" s="73" t="str">
        <f>IF($C1068="","",DATE(YEAR($C1068),MONTH($C1068),1))</f>
        <v/>
      </c>
      <c r="P1068" s="65" t="str">
        <f ca="1">IF($C1068="","",IF(AND($D1068="Gelir",$L1068&lt;&gt;"",$T1068=""),"TANIMSIZ BORÇLU",IF($T1068&lt;&gt;"",IF(OR($E1068="",$G1068&lt;=0),"EKSİK",IF($I1068="Evet","TAHAKKUK NAKİT OLAMAZ",IF($C1068&gt;TODAY(),"İLERİ TARİH","TAHAKKUK"))),IF(AND($D1068&lt;&gt;"",$E1068&lt;&gt;"",$G1068&gt;0,$H1068&lt;&gt;"",$I1068&lt;&gt;""),IF($C1068&gt;TODAY(),"İLERİ TARİH",IF(COUNTIF($W$7:$W$3001,$W1068)&gt;1,"MÜKERRER?",IF($AD1068&gt;0,"KAPALI DÖNEM",IF($I1068="Hayır","ÖDENECEK","UYGUN")))),"EKSİK"))))</f>
        <v/>
      </c>
      <c r="Q1068" s="2"/>
      <c r="R1068" s="2"/>
      <c r="S1068" s="1" t="str">
        <f t="shared" si="50"/>
        <v/>
      </c>
      <c r="T1068" s="1" t="str">
        <f>IF(OR($C1068="",$D1068&lt;&gt;"Gelir",$L1068=""),"",IFERROR(INDEX(MUSTERILER!$B$7:$B$156,MATCH($S1068,MUSTERILER!$T$7:$T$156,0)),""))</f>
        <v/>
      </c>
      <c r="U1068" s="1" t="str">
        <f>IF($T1068="","",$T1068&amp;"|"&amp;COUNTIFS($T$7:$T1068,$T1068))</f>
        <v/>
      </c>
      <c r="V1068" s="1">
        <f t="shared" si="51"/>
        <v>0</v>
      </c>
      <c r="W1068" s="1" t="str">
        <f t="shared" si="52"/>
        <v/>
      </c>
      <c r="X1068" s="1"/>
      <c r="Y1068" s="1"/>
      <c r="Z1068" s="1"/>
      <c r="AA1068" s="1"/>
      <c r="AB1068" s="1"/>
      <c r="AC1068" s="1"/>
      <c r="AD1068" s="1">
        <f>IF($C1068="",0,SUMPRODUCT((AY_SONU!$O$7:$O$42="Evet")*(AY_SONU!$B$7:$B$42=DATE(YEAR($C1068),MONTH($C1068),1))))</f>
        <v>0</v>
      </c>
      <c r="AE1068" s="1" t="str">
        <f>IF($E1068="","",$E1068&amp;"|"&amp;COUNTIFS($E$7:$E1068,$E1068))</f>
        <v/>
      </c>
    </row>
    <row r="1069" spans="1:31" ht="18" customHeight="1" x14ac:dyDescent="0.3">
      <c r="A1069" s="2"/>
      <c r="B1069" s="65" t="str">
        <f>IF($C1069="","","GG"&amp;TEXT(ROW()-6,"00000"))</f>
        <v/>
      </c>
      <c r="C1069" s="66"/>
      <c r="D1069" s="60"/>
      <c r="E1069" s="61"/>
      <c r="F1069" s="61"/>
      <c r="G1069" s="67"/>
      <c r="H1069" s="60"/>
      <c r="I1069" s="60"/>
      <c r="J1069" s="61"/>
      <c r="K1069" s="61"/>
      <c r="L1069" s="60"/>
      <c r="M1069" s="74" t="str">
        <f>IF($C1069="","",IF($D1069="Gider",$E1069,IF($L1069&lt;&gt;"",$L1069,$H1069)))</f>
        <v/>
      </c>
      <c r="N1069" s="74" t="str">
        <f>IF($C1069="","",IF($D1069="Gider",$H1069,$E1069))</f>
        <v/>
      </c>
      <c r="O1069" s="73" t="str">
        <f>IF($C1069="","",DATE(YEAR($C1069),MONTH($C1069),1))</f>
        <v/>
      </c>
      <c r="P1069" s="65" t="str">
        <f ca="1">IF($C1069="","",IF(AND($D1069="Gelir",$L1069&lt;&gt;"",$T1069=""),"TANIMSIZ BORÇLU",IF($T1069&lt;&gt;"",IF(OR($E1069="",$G1069&lt;=0),"EKSİK",IF($I1069="Evet","TAHAKKUK NAKİT OLAMAZ",IF($C1069&gt;TODAY(),"İLERİ TARİH","TAHAKKUK"))),IF(AND($D1069&lt;&gt;"",$E1069&lt;&gt;"",$G1069&gt;0,$H1069&lt;&gt;"",$I1069&lt;&gt;""),IF($C1069&gt;TODAY(),"İLERİ TARİH",IF(COUNTIF($W$7:$W$3001,$W1069)&gt;1,"MÜKERRER?",IF($AD1069&gt;0,"KAPALI DÖNEM",IF($I1069="Hayır","ÖDENECEK","UYGUN")))),"EKSİK"))))</f>
        <v/>
      </c>
      <c r="Q1069" s="2"/>
      <c r="R1069" s="2"/>
      <c r="S1069" s="1" t="str">
        <f t="shared" si="50"/>
        <v/>
      </c>
      <c r="T1069" s="1" t="str">
        <f>IF(OR($C1069="",$D1069&lt;&gt;"Gelir",$L1069=""),"",IFERROR(INDEX(MUSTERILER!$B$7:$B$156,MATCH($S1069,MUSTERILER!$T$7:$T$156,0)),""))</f>
        <v/>
      </c>
      <c r="U1069" s="1" t="str">
        <f>IF($T1069="","",$T1069&amp;"|"&amp;COUNTIFS($T$7:$T1069,$T1069))</f>
        <v/>
      </c>
      <c r="V1069" s="1">
        <f t="shared" si="51"/>
        <v>0</v>
      </c>
      <c r="W1069" s="1" t="str">
        <f t="shared" si="52"/>
        <v/>
      </c>
      <c r="X1069" s="1"/>
      <c r="Y1069" s="1"/>
      <c r="Z1069" s="1"/>
      <c r="AA1069" s="1"/>
      <c r="AB1069" s="1"/>
      <c r="AC1069" s="1"/>
      <c r="AD1069" s="1">
        <f>IF($C1069="",0,SUMPRODUCT((AY_SONU!$O$7:$O$42="Evet")*(AY_SONU!$B$7:$B$42=DATE(YEAR($C1069),MONTH($C1069),1))))</f>
        <v>0</v>
      </c>
      <c r="AE1069" s="1" t="str">
        <f>IF($E1069="","",$E1069&amp;"|"&amp;COUNTIFS($E$7:$E1069,$E1069))</f>
        <v/>
      </c>
    </row>
    <row r="1070" spans="1:31" ht="18" customHeight="1" x14ac:dyDescent="0.3">
      <c r="A1070" s="2"/>
      <c r="B1070" s="65" t="str">
        <f>IF($C1070="","","GG"&amp;TEXT(ROW()-6,"00000"))</f>
        <v/>
      </c>
      <c r="C1070" s="66"/>
      <c r="D1070" s="60"/>
      <c r="E1070" s="61"/>
      <c r="F1070" s="61"/>
      <c r="G1070" s="67"/>
      <c r="H1070" s="60"/>
      <c r="I1070" s="60"/>
      <c r="J1070" s="61"/>
      <c r="K1070" s="61"/>
      <c r="L1070" s="60"/>
      <c r="M1070" s="74" t="str">
        <f>IF($C1070="","",IF($D1070="Gider",$E1070,IF($L1070&lt;&gt;"",$L1070,$H1070)))</f>
        <v/>
      </c>
      <c r="N1070" s="74" t="str">
        <f>IF($C1070="","",IF($D1070="Gider",$H1070,$E1070))</f>
        <v/>
      </c>
      <c r="O1070" s="73" t="str">
        <f>IF($C1070="","",DATE(YEAR($C1070),MONTH($C1070),1))</f>
        <v/>
      </c>
      <c r="P1070" s="65" t="str">
        <f ca="1">IF($C1070="","",IF(AND($D1070="Gelir",$L1070&lt;&gt;"",$T1070=""),"TANIMSIZ BORÇLU",IF($T1070&lt;&gt;"",IF(OR($E1070="",$G1070&lt;=0),"EKSİK",IF($I1070="Evet","TAHAKKUK NAKİT OLAMAZ",IF($C1070&gt;TODAY(),"İLERİ TARİH","TAHAKKUK"))),IF(AND($D1070&lt;&gt;"",$E1070&lt;&gt;"",$G1070&gt;0,$H1070&lt;&gt;"",$I1070&lt;&gt;""),IF($C1070&gt;TODAY(),"İLERİ TARİH",IF(COUNTIF($W$7:$W$3001,$W1070)&gt;1,"MÜKERRER?",IF($AD1070&gt;0,"KAPALI DÖNEM",IF($I1070="Hayır","ÖDENECEK","UYGUN")))),"EKSİK"))))</f>
        <v/>
      </c>
      <c r="Q1070" s="2"/>
      <c r="R1070" s="2"/>
      <c r="S1070" s="1" t="str">
        <f t="shared" si="50"/>
        <v/>
      </c>
      <c r="T1070" s="1" t="str">
        <f>IF(OR($C1070="",$D1070&lt;&gt;"Gelir",$L1070=""),"",IFERROR(INDEX(MUSTERILER!$B$7:$B$156,MATCH($S1070,MUSTERILER!$T$7:$T$156,0)),""))</f>
        <v/>
      </c>
      <c r="U1070" s="1" t="str">
        <f>IF($T1070="","",$T1070&amp;"|"&amp;COUNTIFS($T$7:$T1070,$T1070))</f>
        <v/>
      </c>
      <c r="V1070" s="1">
        <f t="shared" si="51"/>
        <v>0</v>
      </c>
      <c r="W1070" s="1" t="str">
        <f t="shared" si="52"/>
        <v/>
      </c>
      <c r="X1070" s="1"/>
      <c r="Y1070" s="1"/>
      <c r="Z1070" s="1"/>
      <c r="AA1070" s="1"/>
      <c r="AB1070" s="1"/>
      <c r="AC1070" s="1"/>
      <c r="AD1070" s="1">
        <f>IF($C1070="",0,SUMPRODUCT((AY_SONU!$O$7:$O$42="Evet")*(AY_SONU!$B$7:$B$42=DATE(YEAR($C1070),MONTH($C1070),1))))</f>
        <v>0</v>
      </c>
      <c r="AE1070" s="1" t="str">
        <f>IF($E1070="","",$E1070&amp;"|"&amp;COUNTIFS($E$7:$E1070,$E1070))</f>
        <v/>
      </c>
    </row>
    <row r="1071" spans="1:31" ht="18" customHeight="1" x14ac:dyDescent="0.3">
      <c r="A1071" s="2"/>
      <c r="B1071" s="65" t="str">
        <f>IF($C1071="","","GG"&amp;TEXT(ROW()-6,"00000"))</f>
        <v/>
      </c>
      <c r="C1071" s="66"/>
      <c r="D1071" s="60"/>
      <c r="E1071" s="61"/>
      <c r="F1071" s="61"/>
      <c r="G1071" s="67"/>
      <c r="H1071" s="60"/>
      <c r="I1071" s="60"/>
      <c r="J1071" s="61"/>
      <c r="K1071" s="61"/>
      <c r="L1071" s="60"/>
      <c r="M1071" s="74" t="str">
        <f>IF($C1071="","",IF($D1071="Gider",$E1071,IF($L1071&lt;&gt;"",$L1071,$H1071)))</f>
        <v/>
      </c>
      <c r="N1071" s="74" t="str">
        <f>IF($C1071="","",IF($D1071="Gider",$H1071,$E1071))</f>
        <v/>
      </c>
      <c r="O1071" s="73" t="str">
        <f>IF($C1071="","",DATE(YEAR($C1071),MONTH($C1071),1))</f>
        <v/>
      </c>
      <c r="P1071" s="65" t="str">
        <f ca="1">IF($C1071="","",IF(AND($D1071="Gelir",$L1071&lt;&gt;"",$T1071=""),"TANIMSIZ BORÇLU",IF($T1071&lt;&gt;"",IF(OR($E1071="",$G1071&lt;=0),"EKSİK",IF($I1071="Evet","TAHAKKUK NAKİT OLAMAZ",IF($C1071&gt;TODAY(),"İLERİ TARİH","TAHAKKUK"))),IF(AND($D1071&lt;&gt;"",$E1071&lt;&gt;"",$G1071&gt;0,$H1071&lt;&gt;"",$I1071&lt;&gt;""),IF($C1071&gt;TODAY(),"İLERİ TARİH",IF(COUNTIF($W$7:$W$3001,$W1071)&gt;1,"MÜKERRER?",IF($AD1071&gt;0,"KAPALI DÖNEM",IF($I1071="Hayır","ÖDENECEK","UYGUN")))),"EKSİK"))))</f>
        <v/>
      </c>
      <c r="Q1071" s="2"/>
      <c r="R1071" s="2"/>
      <c r="S1071" s="1" t="str">
        <f t="shared" si="50"/>
        <v/>
      </c>
      <c r="T1071" s="1" t="str">
        <f>IF(OR($C1071="",$D1071&lt;&gt;"Gelir",$L1071=""),"",IFERROR(INDEX(MUSTERILER!$B$7:$B$156,MATCH($S1071,MUSTERILER!$T$7:$T$156,0)),""))</f>
        <v/>
      </c>
      <c r="U1071" s="1" t="str">
        <f>IF($T1071="","",$T1071&amp;"|"&amp;COUNTIFS($T$7:$T1071,$T1071))</f>
        <v/>
      </c>
      <c r="V1071" s="1">
        <f t="shared" si="51"/>
        <v>0</v>
      </c>
      <c r="W1071" s="1" t="str">
        <f t="shared" si="52"/>
        <v/>
      </c>
      <c r="X1071" s="1"/>
      <c r="Y1071" s="1"/>
      <c r="Z1071" s="1"/>
      <c r="AA1071" s="1"/>
      <c r="AB1071" s="1"/>
      <c r="AC1071" s="1"/>
      <c r="AD1071" s="1">
        <f>IF($C1071="",0,SUMPRODUCT((AY_SONU!$O$7:$O$42="Evet")*(AY_SONU!$B$7:$B$42=DATE(YEAR($C1071),MONTH($C1071),1))))</f>
        <v>0</v>
      </c>
      <c r="AE1071" s="1" t="str">
        <f>IF($E1071="","",$E1071&amp;"|"&amp;COUNTIFS($E$7:$E1071,$E1071))</f>
        <v/>
      </c>
    </row>
    <row r="1072" spans="1:31" ht="18" customHeight="1" x14ac:dyDescent="0.3">
      <c r="A1072" s="2"/>
      <c r="B1072" s="65" t="str">
        <f>IF($C1072="","","GG"&amp;TEXT(ROW()-6,"00000"))</f>
        <v/>
      </c>
      <c r="C1072" s="66"/>
      <c r="D1072" s="60"/>
      <c r="E1072" s="61"/>
      <c r="F1072" s="61"/>
      <c r="G1072" s="67"/>
      <c r="H1072" s="60"/>
      <c r="I1072" s="60"/>
      <c r="J1072" s="61"/>
      <c r="K1072" s="61"/>
      <c r="L1072" s="60"/>
      <c r="M1072" s="74" t="str">
        <f>IF($C1072="","",IF($D1072="Gider",$E1072,IF($L1072&lt;&gt;"",$L1072,$H1072)))</f>
        <v/>
      </c>
      <c r="N1072" s="74" t="str">
        <f>IF($C1072="","",IF($D1072="Gider",$H1072,$E1072))</f>
        <v/>
      </c>
      <c r="O1072" s="73" t="str">
        <f>IF($C1072="","",DATE(YEAR($C1072),MONTH($C1072),1))</f>
        <v/>
      </c>
      <c r="P1072" s="65" t="str">
        <f ca="1">IF($C1072="","",IF(AND($D1072="Gelir",$L1072&lt;&gt;"",$T1072=""),"TANIMSIZ BORÇLU",IF($T1072&lt;&gt;"",IF(OR($E1072="",$G1072&lt;=0),"EKSİK",IF($I1072="Evet","TAHAKKUK NAKİT OLAMAZ",IF($C1072&gt;TODAY(),"İLERİ TARİH","TAHAKKUK"))),IF(AND($D1072&lt;&gt;"",$E1072&lt;&gt;"",$G1072&gt;0,$H1072&lt;&gt;"",$I1072&lt;&gt;""),IF($C1072&gt;TODAY(),"İLERİ TARİH",IF(COUNTIF($W$7:$W$3001,$W1072)&gt;1,"MÜKERRER?",IF($AD1072&gt;0,"KAPALI DÖNEM",IF($I1072="Hayır","ÖDENECEK","UYGUN")))),"EKSİK"))))</f>
        <v/>
      </c>
      <c r="Q1072" s="2"/>
      <c r="R1072" s="2"/>
      <c r="S1072" s="1" t="str">
        <f t="shared" si="50"/>
        <v/>
      </c>
      <c r="T1072" s="1" t="str">
        <f>IF(OR($C1072="",$D1072&lt;&gt;"Gelir",$L1072=""),"",IFERROR(INDEX(MUSTERILER!$B$7:$B$156,MATCH($S1072,MUSTERILER!$T$7:$T$156,0)),""))</f>
        <v/>
      </c>
      <c r="U1072" s="1" t="str">
        <f>IF($T1072="","",$T1072&amp;"|"&amp;COUNTIFS($T$7:$T1072,$T1072))</f>
        <v/>
      </c>
      <c r="V1072" s="1">
        <f t="shared" si="51"/>
        <v>0</v>
      </c>
      <c r="W1072" s="1" t="str">
        <f t="shared" si="52"/>
        <v/>
      </c>
      <c r="X1072" s="1"/>
      <c r="Y1072" s="1"/>
      <c r="Z1072" s="1"/>
      <c r="AA1072" s="1"/>
      <c r="AB1072" s="1"/>
      <c r="AC1072" s="1"/>
      <c r="AD1072" s="1">
        <f>IF($C1072="",0,SUMPRODUCT((AY_SONU!$O$7:$O$42="Evet")*(AY_SONU!$B$7:$B$42=DATE(YEAR($C1072),MONTH($C1072),1))))</f>
        <v>0</v>
      </c>
      <c r="AE1072" s="1" t="str">
        <f>IF($E1072="","",$E1072&amp;"|"&amp;COUNTIFS($E$7:$E1072,$E1072))</f>
        <v/>
      </c>
    </row>
    <row r="1073" spans="1:31" ht="18" customHeight="1" x14ac:dyDescent="0.3">
      <c r="A1073" s="2"/>
      <c r="B1073" s="65" t="str">
        <f>IF($C1073="","","GG"&amp;TEXT(ROW()-6,"00000"))</f>
        <v/>
      </c>
      <c r="C1073" s="66"/>
      <c r="D1073" s="60"/>
      <c r="E1073" s="61"/>
      <c r="F1073" s="61"/>
      <c r="G1073" s="67"/>
      <c r="H1073" s="60"/>
      <c r="I1073" s="60"/>
      <c r="J1073" s="61"/>
      <c r="K1073" s="61"/>
      <c r="L1073" s="60"/>
      <c r="M1073" s="74" t="str">
        <f>IF($C1073="","",IF($D1073="Gider",$E1073,IF($L1073&lt;&gt;"",$L1073,$H1073)))</f>
        <v/>
      </c>
      <c r="N1073" s="74" t="str">
        <f>IF($C1073="","",IF($D1073="Gider",$H1073,$E1073))</f>
        <v/>
      </c>
      <c r="O1073" s="73" t="str">
        <f>IF($C1073="","",DATE(YEAR($C1073),MONTH($C1073),1))</f>
        <v/>
      </c>
      <c r="P1073" s="65" t="str">
        <f ca="1">IF($C1073="","",IF(AND($D1073="Gelir",$L1073&lt;&gt;"",$T1073=""),"TANIMSIZ BORÇLU",IF($T1073&lt;&gt;"",IF(OR($E1073="",$G1073&lt;=0),"EKSİK",IF($I1073="Evet","TAHAKKUK NAKİT OLAMAZ",IF($C1073&gt;TODAY(),"İLERİ TARİH","TAHAKKUK"))),IF(AND($D1073&lt;&gt;"",$E1073&lt;&gt;"",$G1073&gt;0,$H1073&lt;&gt;"",$I1073&lt;&gt;""),IF($C1073&gt;TODAY(),"İLERİ TARİH",IF(COUNTIF($W$7:$W$3001,$W1073)&gt;1,"MÜKERRER?",IF($AD1073&gt;0,"KAPALI DÖNEM",IF($I1073="Hayır","ÖDENECEK","UYGUN")))),"EKSİK"))))</f>
        <v/>
      </c>
      <c r="Q1073" s="2"/>
      <c r="R1073" s="2"/>
      <c r="S1073" s="1" t="str">
        <f t="shared" si="50"/>
        <v/>
      </c>
      <c r="T1073" s="1" t="str">
        <f>IF(OR($C1073="",$D1073&lt;&gt;"Gelir",$L1073=""),"",IFERROR(INDEX(MUSTERILER!$B$7:$B$156,MATCH($S1073,MUSTERILER!$T$7:$T$156,0)),""))</f>
        <v/>
      </c>
      <c r="U1073" s="1" t="str">
        <f>IF($T1073="","",$T1073&amp;"|"&amp;COUNTIFS($T$7:$T1073,$T1073))</f>
        <v/>
      </c>
      <c r="V1073" s="1">
        <f t="shared" si="51"/>
        <v>0</v>
      </c>
      <c r="W1073" s="1" t="str">
        <f t="shared" si="52"/>
        <v/>
      </c>
      <c r="X1073" s="1"/>
      <c r="Y1073" s="1"/>
      <c r="Z1073" s="1"/>
      <c r="AA1073" s="1"/>
      <c r="AB1073" s="1"/>
      <c r="AC1073" s="1"/>
      <c r="AD1073" s="1">
        <f>IF($C1073="",0,SUMPRODUCT((AY_SONU!$O$7:$O$42="Evet")*(AY_SONU!$B$7:$B$42=DATE(YEAR($C1073),MONTH($C1073),1))))</f>
        <v>0</v>
      </c>
      <c r="AE1073" s="1" t="str">
        <f>IF($E1073="","",$E1073&amp;"|"&amp;COUNTIFS($E$7:$E1073,$E1073))</f>
        <v/>
      </c>
    </row>
    <row r="1074" spans="1:31" ht="18" customHeight="1" x14ac:dyDescent="0.3">
      <c r="A1074" s="2"/>
      <c r="B1074" s="65" t="str">
        <f>IF($C1074="","","GG"&amp;TEXT(ROW()-6,"00000"))</f>
        <v/>
      </c>
      <c r="C1074" s="66"/>
      <c r="D1074" s="60"/>
      <c r="E1074" s="61"/>
      <c r="F1074" s="61"/>
      <c r="G1074" s="67"/>
      <c r="H1074" s="60"/>
      <c r="I1074" s="60"/>
      <c r="J1074" s="61"/>
      <c r="K1074" s="61"/>
      <c r="L1074" s="60"/>
      <c r="M1074" s="74" t="str">
        <f>IF($C1074="","",IF($D1074="Gider",$E1074,IF($L1074&lt;&gt;"",$L1074,$H1074)))</f>
        <v/>
      </c>
      <c r="N1074" s="74" t="str">
        <f>IF($C1074="","",IF($D1074="Gider",$H1074,$E1074))</f>
        <v/>
      </c>
      <c r="O1074" s="73" t="str">
        <f>IF($C1074="","",DATE(YEAR($C1074),MONTH($C1074),1))</f>
        <v/>
      </c>
      <c r="P1074" s="65" t="str">
        <f ca="1">IF($C1074="","",IF(AND($D1074="Gelir",$L1074&lt;&gt;"",$T1074=""),"TANIMSIZ BORÇLU",IF($T1074&lt;&gt;"",IF(OR($E1074="",$G1074&lt;=0),"EKSİK",IF($I1074="Evet","TAHAKKUK NAKİT OLAMAZ",IF($C1074&gt;TODAY(),"İLERİ TARİH","TAHAKKUK"))),IF(AND($D1074&lt;&gt;"",$E1074&lt;&gt;"",$G1074&gt;0,$H1074&lt;&gt;"",$I1074&lt;&gt;""),IF($C1074&gt;TODAY(),"İLERİ TARİH",IF(COUNTIF($W$7:$W$3001,$W1074)&gt;1,"MÜKERRER?",IF($AD1074&gt;0,"KAPALI DÖNEM",IF($I1074="Hayır","ÖDENECEK","UYGUN")))),"EKSİK"))))</f>
        <v/>
      </c>
      <c r="Q1074" s="2"/>
      <c r="R1074" s="2"/>
      <c r="S1074" s="1" t="str">
        <f t="shared" si="50"/>
        <v/>
      </c>
      <c r="T1074" s="1" t="str">
        <f>IF(OR($C1074="",$D1074&lt;&gt;"Gelir",$L1074=""),"",IFERROR(INDEX(MUSTERILER!$B$7:$B$156,MATCH($S1074,MUSTERILER!$T$7:$T$156,0)),""))</f>
        <v/>
      </c>
      <c r="U1074" s="1" t="str">
        <f>IF($T1074="","",$T1074&amp;"|"&amp;COUNTIFS($T$7:$T1074,$T1074))</f>
        <v/>
      </c>
      <c r="V1074" s="1">
        <f t="shared" si="51"/>
        <v>0</v>
      </c>
      <c r="W1074" s="1" t="str">
        <f t="shared" si="52"/>
        <v/>
      </c>
      <c r="X1074" s="1"/>
      <c r="Y1074" s="1"/>
      <c r="Z1074" s="1"/>
      <c r="AA1074" s="1"/>
      <c r="AB1074" s="1"/>
      <c r="AC1074" s="1"/>
      <c r="AD1074" s="1">
        <f>IF($C1074="",0,SUMPRODUCT((AY_SONU!$O$7:$O$42="Evet")*(AY_SONU!$B$7:$B$42=DATE(YEAR($C1074),MONTH($C1074),1))))</f>
        <v>0</v>
      </c>
      <c r="AE1074" s="1" t="str">
        <f>IF($E1074="","",$E1074&amp;"|"&amp;COUNTIFS($E$7:$E1074,$E1074))</f>
        <v/>
      </c>
    </row>
    <row r="1075" spans="1:31" ht="18" customHeight="1" x14ac:dyDescent="0.3">
      <c r="A1075" s="2"/>
      <c r="B1075" s="65" t="str">
        <f>IF($C1075="","","GG"&amp;TEXT(ROW()-6,"00000"))</f>
        <v/>
      </c>
      <c r="C1075" s="66"/>
      <c r="D1075" s="60"/>
      <c r="E1075" s="61"/>
      <c r="F1075" s="61"/>
      <c r="G1075" s="67"/>
      <c r="H1075" s="60"/>
      <c r="I1075" s="60"/>
      <c r="J1075" s="61"/>
      <c r="K1075" s="61"/>
      <c r="L1075" s="60"/>
      <c r="M1075" s="74" t="str">
        <f>IF($C1075="","",IF($D1075="Gider",$E1075,IF($L1075&lt;&gt;"",$L1075,$H1075)))</f>
        <v/>
      </c>
      <c r="N1075" s="74" t="str">
        <f>IF($C1075="","",IF($D1075="Gider",$H1075,$E1075))</f>
        <v/>
      </c>
      <c r="O1075" s="73" t="str">
        <f>IF($C1075="","",DATE(YEAR($C1075),MONTH($C1075),1))</f>
        <v/>
      </c>
      <c r="P1075" s="65" t="str">
        <f ca="1">IF($C1075="","",IF(AND($D1075="Gelir",$L1075&lt;&gt;"",$T1075=""),"TANIMSIZ BORÇLU",IF($T1075&lt;&gt;"",IF(OR($E1075="",$G1075&lt;=0),"EKSİK",IF($I1075="Evet","TAHAKKUK NAKİT OLAMAZ",IF($C1075&gt;TODAY(),"İLERİ TARİH","TAHAKKUK"))),IF(AND($D1075&lt;&gt;"",$E1075&lt;&gt;"",$G1075&gt;0,$H1075&lt;&gt;"",$I1075&lt;&gt;""),IF($C1075&gt;TODAY(),"İLERİ TARİH",IF(COUNTIF($W$7:$W$3001,$W1075)&gt;1,"MÜKERRER?",IF($AD1075&gt;0,"KAPALI DÖNEM",IF($I1075="Hayır","ÖDENECEK","UYGUN")))),"EKSİK"))))</f>
        <v/>
      </c>
      <c r="Q1075" s="2"/>
      <c r="R1075" s="2"/>
      <c r="S1075" s="1" t="str">
        <f t="shared" si="50"/>
        <v/>
      </c>
      <c r="T1075" s="1" t="str">
        <f>IF(OR($C1075="",$D1075&lt;&gt;"Gelir",$L1075=""),"",IFERROR(INDEX(MUSTERILER!$B$7:$B$156,MATCH($S1075,MUSTERILER!$T$7:$T$156,0)),""))</f>
        <v/>
      </c>
      <c r="U1075" s="1" t="str">
        <f>IF($T1075="","",$T1075&amp;"|"&amp;COUNTIFS($T$7:$T1075,$T1075))</f>
        <v/>
      </c>
      <c r="V1075" s="1">
        <f t="shared" si="51"/>
        <v>0</v>
      </c>
      <c r="W1075" s="1" t="str">
        <f t="shared" si="52"/>
        <v/>
      </c>
      <c r="X1075" s="1"/>
      <c r="Y1075" s="1"/>
      <c r="Z1075" s="1"/>
      <c r="AA1075" s="1"/>
      <c r="AB1075" s="1"/>
      <c r="AC1075" s="1"/>
      <c r="AD1075" s="1">
        <f>IF($C1075="",0,SUMPRODUCT((AY_SONU!$O$7:$O$42="Evet")*(AY_SONU!$B$7:$B$42=DATE(YEAR($C1075),MONTH($C1075),1))))</f>
        <v>0</v>
      </c>
      <c r="AE1075" s="1" t="str">
        <f>IF($E1075="","",$E1075&amp;"|"&amp;COUNTIFS($E$7:$E1075,$E1075))</f>
        <v/>
      </c>
    </row>
    <row r="1076" spans="1:31" ht="18" customHeight="1" x14ac:dyDescent="0.3">
      <c r="A1076" s="2"/>
      <c r="B1076" s="65" t="str">
        <f>IF($C1076="","","GG"&amp;TEXT(ROW()-6,"00000"))</f>
        <v/>
      </c>
      <c r="C1076" s="66"/>
      <c r="D1076" s="60"/>
      <c r="E1076" s="61"/>
      <c r="F1076" s="61"/>
      <c r="G1076" s="67"/>
      <c r="H1076" s="60"/>
      <c r="I1076" s="60"/>
      <c r="J1076" s="61"/>
      <c r="K1076" s="61"/>
      <c r="L1076" s="60"/>
      <c r="M1076" s="74" t="str">
        <f>IF($C1076="","",IF($D1076="Gider",$E1076,IF($L1076&lt;&gt;"",$L1076,$H1076)))</f>
        <v/>
      </c>
      <c r="N1076" s="74" t="str">
        <f>IF($C1076="","",IF($D1076="Gider",$H1076,$E1076))</f>
        <v/>
      </c>
      <c r="O1076" s="73" t="str">
        <f>IF($C1076="","",DATE(YEAR($C1076),MONTH($C1076),1))</f>
        <v/>
      </c>
      <c r="P1076" s="65" t="str">
        <f ca="1">IF($C1076="","",IF(AND($D1076="Gelir",$L1076&lt;&gt;"",$T1076=""),"TANIMSIZ BORÇLU",IF($T1076&lt;&gt;"",IF(OR($E1076="",$G1076&lt;=0),"EKSİK",IF($I1076="Evet","TAHAKKUK NAKİT OLAMAZ",IF($C1076&gt;TODAY(),"İLERİ TARİH","TAHAKKUK"))),IF(AND($D1076&lt;&gt;"",$E1076&lt;&gt;"",$G1076&gt;0,$H1076&lt;&gt;"",$I1076&lt;&gt;""),IF($C1076&gt;TODAY(),"İLERİ TARİH",IF(COUNTIF($W$7:$W$3001,$W1076)&gt;1,"MÜKERRER?",IF($AD1076&gt;0,"KAPALI DÖNEM",IF($I1076="Hayır","ÖDENECEK","UYGUN")))),"EKSİK"))))</f>
        <v/>
      </c>
      <c r="Q1076" s="2"/>
      <c r="R1076" s="2"/>
      <c r="S1076" s="1" t="str">
        <f t="shared" si="50"/>
        <v/>
      </c>
      <c r="T1076" s="1" t="str">
        <f>IF(OR($C1076="",$D1076&lt;&gt;"Gelir",$L1076=""),"",IFERROR(INDEX(MUSTERILER!$B$7:$B$156,MATCH($S1076,MUSTERILER!$T$7:$T$156,0)),""))</f>
        <v/>
      </c>
      <c r="U1076" s="1" t="str">
        <f>IF($T1076="","",$T1076&amp;"|"&amp;COUNTIFS($T$7:$T1076,$T1076))</f>
        <v/>
      </c>
      <c r="V1076" s="1">
        <f t="shared" si="51"/>
        <v>0</v>
      </c>
      <c r="W1076" s="1" t="str">
        <f t="shared" si="52"/>
        <v/>
      </c>
      <c r="X1076" s="1"/>
      <c r="Y1076" s="1"/>
      <c r="Z1076" s="1"/>
      <c r="AA1076" s="1"/>
      <c r="AB1076" s="1"/>
      <c r="AC1076" s="1"/>
      <c r="AD1076" s="1">
        <f>IF($C1076="",0,SUMPRODUCT((AY_SONU!$O$7:$O$42="Evet")*(AY_SONU!$B$7:$B$42=DATE(YEAR($C1076),MONTH($C1076),1))))</f>
        <v>0</v>
      </c>
      <c r="AE1076" s="1" t="str">
        <f>IF($E1076="","",$E1076&amp;"|"&amp;COUNTIFS($E$7:$E1076,$E1076))</f>
        <v/>
      </c>
    </row>
    <row r="1077" spans="1:31" ht="18" customHeight="1" x14ac:dyDescent="0.3">
      <c r="A1077" s="2"/>
      <c r="B1077" s="65" t="str">
        <f>IF($C1077="","","GG"&amp;TEXT(ROW()-6,"00000"))</f>
        <v/>
      </c>
      <c r="C1077" s="66"/>
      <c r="D1077" s="60"/>
      <c r="E1077" s="61"/>
      <c r="F1077" s="61"/>
      <c r="G1077" s="67"/>
      <c r="H1077" s="60"/>
      <c r="I1077" s="60"/>
      <c r="J1077" s="61"/>
      <c r="K1077" s="61"/>
      <c r="L1077" s="60"/>
      <c r="M1077" s="74" t="str">
        <f>IF($C1077="","",IF($D1077="Gider",$E1077,IF($L1077&lt;&gt;"",$L1077,$H1077)))</f>
        <v/>
      </c>
      <c r="N1077" s="74" t="str">
        <f>IF($C1077="","",IF($D1077="Gider",$H1077,$E1077))</f>
        <v/>
      </c>
      <c r="O1077" s="73" t="str">
        <f>IF($C1077="","",DATE(YEAR($C1077),MONTH($C1077),1))</f>
        <v/>
      </c>
      <c r="P1077" s="65" t="str">
        <f ca="1">IF($C1077="","",IF(AND($D1077="Gelir",$L1077&lt;&gt;"",$T1077=""),"TANIMSIZ BORÇLU",IF($T1077&lt;&gt;"",IF(OR($E1077="",$G1077&lt;=0),"EKSİK",IF($I1077="Evet","TAHAKKUK NAKİT OLAMAZ",IF($C1077&gt;TODAY(),"İLERİ TARİH","TAHAKKUK"))),IF(AND($D1077&lt;&gt;"",$E1077&lt;&gt;"",$G1077&gt;0,$H1077&lt;&gt;"",$I1077&lt;&gt;""),IF($C1077&gt;TODAY(),"İLERİ TARİH",IF(COUNTIF($W$7:$W$3001,$W1077)&gt;1,"MÜKERRER?",IF($AD1077&gt;0,"KAPALI DÖNEM",IF($I1077="Hayır","ÖDENECEK","UYGUN")))),"EKSİK"))))</f>
        <v/>
      </c>
      <c r="Q1077" s="2"/>
      <c r="R1077" s="2"/>
      <c r="S1077" s="1" t="str">
        <f t="shared" si="50"/>
        <v/>
      </c>
      <c r="T1077" s="1" t="str">
        <f>IF(OR($C1077="",$D1077&lt;&gt;"Gelir",$L1077=""),"",IFERROR(INDEX(MUSTERILER!$B$7:$B$156,MATCH($S1077,MUSTERILER!$T$7:$T$156,0)),""))</f>
        <v/>
      </c>
      <c r="U1077" s="1" t="str">
        <f>IF($T1077="","",$T1077&amp;"|"&amp;COUNTIFS($T$7:$T1077,$T1077))</f>
        <v/>
      </c>
      <c r="V1077" s="1">
        <f t="shared" si="51"/>
        <v>0</v>
      </c>
      <c r="W1077" s="1" t="str">
        <f t="shared" si="52"/>
        <v/>
      </c>
      <c r="X1077" s="1"/>
      <c r="Y1077" s="1"/>
      <c r="Z1077" s="1"/>
      <c r="AA1077" s="1"/>
      <c r="AB1077" s="1"/>
      <c r="AC1077" s="1"/>
      <c r="AD1077" s="1">
        <f>IF($C1077="",0,SUMPRODUCT((AY_SONU!$O$7:$O$42="Evet")*(AY_SONU!$B$7:$B$42=DATE(YEAR($C1077),MONTH($C1077),1))))</f>
        <v>0</v>
      </c>
      <c r="AE1077" s="1" t="str">
        <f>IF($E1077="","",$E1077&amp;"|"&amp;COUNTIFS($E$7:$E1077,$E1077))</f>
        <v/>
      </c>
    </row>
    <row r="1078" spans="1:31" ht="18" customHeight="1" x14ac:dyDescent="0.3">
      <c r="A1078" s="2"/>
      <c r="B1078" s="65" t="str">
        <f>IF($C1078="","","GG"&amp;TEXT(ROW()-6,"00000"))</f>
        <v/>
      </c>
      <c r="C1078" s="66"/>
      <c r="D1078" s="60"/>
      <c r="E1078" s="61"/>
      <c r="F1078" s="61"/>
      <c r="G1078" s="67"/>
      <c r="H1078" s="60"/>
      <c r="I1078" s="60"/>
      <c r="J1078" s="61"/>
      <c r="K1078" s="61"/>
      <c r="L1078" s="60"/>
      <c r="M1078" s="74" t="str">
        <f>IF($C1078="","",IF($D1078="Gider",$E1078,IF($L1078&lt;&gt;"",$L1078,$H1078)))</f>
        <v/>
      </c>
      <c r="N1078" s="74" t="str">
        <f>IF($C1078="","",IF($D1078="Gider",$H1078,$E1078))</f>
        <v/>
      </c>
      <c r="O1078" s="73" t="str">
        <f>IF($C1078="","",DATE(YEAR($C1078),MONTH($C1078),1))</f>
        <v/>
      </c>
      <c r="P1078" s="65" t="str">
        <f ca="1">IF($C1078="","",IF(AND($D1078="Gelir",$L1078&lt;&gt;"",$T1078=""),"TANIMSIZ BORÇLU",IF($T1078&lt;&gt;"",IF(OR($E1078="",$G1078&lt;=0),"EKSİK",IF($I1078="Evet","TAHAKKUK NAKİT OLAMAZ",IF($C1078&gt;TODAY(),"İLERİ TARİH","TAHAKKUK"))),IF(AND($D1078&lt;&gt;"",$E1078&lt;&gt;"",$G1078&gt;0,$H1078&lt;&gt;"",$I1078&lt;&gt;""),IF($C1078&gt;TODAY(),"İLERİ TARİH",IF(COUNTIF($W$7:$W$3001,$W1078)&gt;1,"MÜKERRER?",IF($AD1078&gt;0,"KAPALI DÖNEM",IF($I1078="Hayır","ÖDENECEK","UYGUN")))),"EKSİK"))))</f>
        <v/>
      </c>
      <c r="Q1078" s="2"/>
      <c r="R1078" s="2"/>
      <c r="S1078" s="1" t="str">
        <f t="shared" si="50"/>
        <v/>
      </c>
      <c r="T1078" s="1" t="str">
        <f>IF(OR($C1078="",$D1078&lt;&gt;"Gelir",$L1078=""),"",IFERROR(INDEX(MUSTERILER!$B$7:$B$156,MATCH($S1078,MUSTERILER!$T$7:$T$156,0)),""))</f>
        <v/>
      </c>
      <c r="U1078" s="1" t="str">
        <f>IF($T1078="","",$T1078&amp;"|"&amp;COUNTIFS($T$7:$T1078,$T1078))</f>
        <v/>
      </c>
      <c r="V1078" s="1">
        <f t="shared" si="51"/>
        <v>0</v>
      </c>
      <c r="W1078" s="1" t="str">
        <f t="shared" si="52"/>
        <v/>
      </c>
      <c r="X1078" s="1"/>
      <c r="Y1078" s="1"/>
      <c r="Z1078" s="1"/>
      <c r="AA1078" s="1"/>
      <c r="AB1078" s="1"/>
      <c r="AC1078" s="1"/>
      <c r="AD1078" s="1">
        <f>IF($C1078="",0,SUMPRODUCT((AY_SONU!$O$7:$O$42="Evet")*(AY_SONU!$B$7:$B$42=DATE(YEAR($C1078),MONTH($C1078),1))))</f>
        <v>0</v>
      </c>
      <c r="AE1078" s="1" t="str">
        <f>IF($E1078="","",$E1078&amp;"|"&amp;COUNTIFS($E$7:$E1078,$E1078))</f>
        <v/>
      </c>
    </row>
    <row r="1079" spans="1:31" ht="18" customHeight="1" x14ac:dyDescent="0.3">
      <c r="A1079" s="2"/>
      <c r="B1079" s="65" t="str">
        <f>IF($C1079="","","GG"&amp;TEXT(ROW()-6,"00000"))</f>
        <v/>
      </c>
      <c r="C1079" s="66"/>
      <c r="D1079" s="60"/>
      <c r="E1079" s="61"/>
      <c r="F1079" s="61"/>
      <c r="G1079" s="67"/>
      <c r="H1079" s="60"/>
      <c r="I1079" s="60"/>
      <c r="J1079" s="61"/>
      <c r="K1079" s="61"/>
      <c r="L1079" s="60"/>
      <c r="M1079" s="74" t="str">
        <f>IF($C1079="","",IF($D1079="Gider",$E1079,IF($L1079&lt;&gt;"",$L1079,$H1079)))</f>
        <v/>
      </c>
      <c r="N1079" s="74" t="str">
        <f>IF($C1079="","",IF($D1079="Gider",$H1079,$E1079))</f>
        <v/>
      </c>
      <c r="O1079" s="73" t="str">
        <f>IF($C1079="","",DATE(YEAR($C1079),MONTH($C1079),1))</f>
        <v/>
      </c>
      <c r="P1079" s="65" t="str">
        <f ca="1">IF($C1079="","",IF(AND($D1079="Gelir",$L1079&lt;&gt;"",$T1079=""),"TANIMSIZ BORÇLU",IF($T1079&lt;&gt;"",IF(OR($E1079="",$G1079&lt;=0),"EKSİK",IF($I1079="Evet","TAHAKKUK NAKİT OLAMAZ",IF($C1079&gt;TODAY(),"İLERİ TARİH","TAHAKKUK"))),IF(AND($D1079&lt;&gt;"",$E1079&lt;&gt;"",$G1079&gt;0,$H1079&lt;&gt;"",$I1079&lt;&gt;""),IF($C1079&gt;TODAY(),"İLERİ TARİH",IF(COUNTIF($W$7:$W$3001,$W1079)&gt;1,"MÜKERRER?",IF($AD1079&gt;0,"KAPALI DÖNEM",IF($I1079="Hayır","ÖDENECEK","UYGUN")))),"EKSİK"))))</f>
        <v/>
      </c>
      <c r="Q1079" s="2"/>
      <c r="R1079" s="2"/>
      <c r="S1079" s="1" t="str">
        <f t="shared" si="50"/>
        <v/>
      </c>
      <c r="T1079" s="1" t="str">
        <f>IF(OR($C1079="",$D1079&lt;&gt;"Gelir",$L1079=""),"",IFERROR(INDEX(MUSTERILER!$B$7:$B$156,MATCH($S1079,MUSTERILER!$T$7:$T$156,0)),""))</f>
        <v/>
      </c>
      <c r="U1079" s="1" t="str">
        <f>IF($T1079="","",$T1079&amp;"|"&amp;COUNTIFS($T$7:$T1079,$T1079))</f>
        <v/>
      </c>
      <c r="V1079" s="1">
        <f t="shared" si="51"/>
        <v>0</v>
      </c>
      <c r="W1079" s="1" t="str">
        <f t="shared" si="52"/>
        <v/>
      </c>
      <c r="X1079" s="1"/>
      <c r="Y1079" s="1"/>
      <c r="Z1079" s="1"/>
      <c r="AA1079" s="1"/>
      <c r="AB1079" s="1"/>
      <c r="AC1079" s="1"/>
      <c r="AD1079" s="1">
        <f>IF($C1079="",0,SUMPRODUCT((AY_SONU!$O$7:$O$42="Evet")*(AY_SONU!$B$7:$B$42=DATE(YEAR($C1079),MONTH($C1079),1))))</f>
        <v>0</v>
      </c>
      <c r="AE1079" s="1" t="str">
        <f>IF($E1079="","",$E1079&amp;"|"&amp;COUNTIFS($E$7:$E1079,$E1079))</f>
        <v/>
      </c>
    </row>
    <row r="1080" spans="1:31" ht="18" customHeight="1" x14ac:dyDescent="0.3">
      <c r="A1080" s="2"/>
      <c r="B1080" s="65" t="str">
        <f>IF($C1080="","","GG"&amp;TEXT(ROW()-6,"00000"))</f>
        <v/>
      </c>
      <c r="C1080" s="66"/>
      <c r="D1080" s="60"/>
      <c r="E1080" s="61"/>
      <c r="F1080" s="61"/>
      <c r="G1080" s="67"/>
      <c r="H1080" s="60"/>
      <c r="I1080" s="60"/>
      <c r="J1080" s="61"/>
      <c r="K1080" s="61"/>
      <c r="L1080" s="60"/>
      <c r="M1080" s="74" t="str">
        <f>IF($C1080="","",IF($D1080="Gider",$E1080,IF($L1080&lt;&gt;"",$L1080,$H1080)))</f>
        <v/>
      </c>
      <c r="N1080" s="74" t="str">
        <f>IF($C1080="","",IF($D1080="Gider",$H1080,$E1080))</f>
        <v/>
      </c>
      <c r="O1080" s="73" t="str">
        <f>IF($C1080="","",DATE(YEAR($C1080),MONTH($C1080),1))</f>
        <v/>
      </c>
      <c r="P1080" s="65" t="str">
        <f ca="1">IF($C1080="","",IF(AND($D1080="Gelir",$L1080&lt;&gt;"",$T1080=""),"TANIMSIZ BORÇLU",IF($T1080&lt;&gt;"",IF(OR($E1080="",$G1080&lt;=0),"EKSİK",IF($I1080="Evet","TAHAKKUK NAKİT OLAMAZ",IF($C1080&gt;TODAY(),"İLERİ TARİH","TAHAKKUK"))),IF(AND($D1080&lt;&gt;"",$E1080&lt;&gt;"",$G1080&gt;0,$H1080&lt;&gt;"",$I1080&lt;&gt;""),IF($C1080&gt;TODAY(),"İLERİ TARİH",IF(COUNTIF($W$7:$W$3001,$W1080)&gt;1,"MÜKERRER?",IF($AD1080&gt;0,"KAPALI DÖNEM",IF($I1080="Hayır","ÖDENECEK","UYGUN")))),"EKSİK"))))</f>
        <v/>
      </c>
      <c r="Q1080" s="2"/>
      <c r="R1080" s="2"/>
      <c r="S1080" s="1" t="str">
        <f t="shared" si="50"/>
        <v/>
      </c>
      <c r="T1080" s="1" t="str">
        <f>IF(OR($C1080="",$D1080&lt;&gt;"Gelir",$L1080=""),"",IFERROR(INDEX(MUSTERILER!$B$7:$B$156,MATCH($S1080,MUSTERILER!$T$7:$T$156,0)),""))</f>
        <v/>
      </c>
      <c r="U1080" s="1" t="str">
        <f>IF($T1080="","",$T1080&amp;"|"&amp;COUNTIFS($T$7:$T1080,$T1080))</f>
        <v/>
      </c>
      <c r="V1080" s="1">
        <f t="shared" si="51"/>
        <v>0</v>
      </c>
      <c r="W1080" s="1" t="str">
        <f t="shared" si="52"/>
        <v/>
      </c>
      <c r="X1080" s="1"/>
      <c r="Y1080" s="1"/>
      <c r="Z1080" s="1"/>
      <c r="AA1080" s="1"/>
      <c r="AB1080" s="1"/>
      <c r="AC1080" s="1"/>
      <c r="AD1080" s="1">
        <f>IF($C1080="",0,SUMPRODUCT((AY_SONU!$O$7:$O$42="Evet")*(AY_SONU!$B$7:$B$42=DATE(YEAR($C1080),MONTH($C1080),1))))</f>
        <v>0</v>
      </c>
      <c r="AE1080" s="1" t="str">
        <f>IF($E1080="","",$E1080&amp;"|"&amp;COUNTIFS($E$7:$E1080,$E1080))</f>
        <v/>
      </c>
    </row>
    <row r="1081" spans="1:31" ht="18" customHeight="1" x14ac:dyDescent="0.3">
      <c r="A1081" s="2"/>
      <c r="B1081" s="65" t="str">
        <f>IF($C1081="","","GG"&amp;TEXT(ROW()-6,"00000"))</f>
        <v/>
      </c>
      <c r="C1081" s="66"/>
      <c r="D1081" s="60"/>
      <c r="E1081" s="61"/>
      <c r="F1081" s="61"/>
      <c r="G1081" s="67"/>
      <c r="H1081" s="60"/>
      <c r="I1081" s="60"/>
      <c r="J1081" s="61"/>
      <c r="K1081" s="61"/>
      <c r="L1081" s="60"/>
      <c r="M1081" s="74" t="str">
        <f>IF($C1081="","",IF($D1081="Gider",$E1081,IF($L1081&lt;&gt;"",$L1081,$H1081)))</f>
        <v/>
      </c>
      <c r="N1081" s="74" t="str">
        <f>IF($C1081="","",IF($D1081="Gider",$H1081,$E1081))</f>
        <v/>
      </c>
      <c r="O1081" s="73" t="str">
        <f>IF($C1081="","",DATE(YEAR($C1081),MONTH($C1081),1))</f>
        <v/>
      </c>
      <c r="P1081" s="65" t="str">
        <f ca="1">IF($C1081="","",IF(AND($D1081="Gelir",$L1081&lt;&gt;"",$T1081=""),"TANIMSIZ BORÇLU",IF($T1081&lt;&gt;"",IF(OR($E1081="",$G1081&lt;=0),"EKSİK",IF($I1081="Evet","TAHAKKUK NAKİT OLAMAZ",IF($C1081&gt;TODAY(),"İLERİ TARİH","TAHAKKUK"))),IF(AND($D1081&lt;&gt;"",$E1081&lt;&gt;"",$G1081&gt;0,$H1081&lt;&gt;"",$I1081&lt;&gt;""),IF($C1081&gt;TODAY(),"İLERİ TARİH",IF(COUNTIF($W$7:$W$3001,$W1081)&gt;1,"MÜKERRER?",IF($AD1081&gt;0,"KAPALI DÖNEM",IF($I1081="Hayır","ÖDENECEK","UYGUN")))),"EKSİK"))))</f>
        <v/>
      </c>
      <c r="Q1081" s="2"/>
      <c r="R1081" s="2"/>
      <c r="S1081" s="1" t="str">
        <f t="shared" si="50"/>
        <v/>
      </c>
      <c r="T1081" s="1" t="str">
        <f>IF(OR($C1081="",$D1081&lt;&gt;"Gelir",$L1081=""),"",IFERROR(INDEX(MUSTERILER!$B$7:$B$156,MATCH($S1081,MUSTERILER!$T$7:$T$156,0)),""))</f>
        <v/>
      </c>
      <c r="U1081" s="1" t="str">
        <f>IF($T1081="","",$T1081&amp;"|"&amp;COUNTIFS($T$7:$T1081,$T1081))</f>
        <v/>
      </c>
      <c r="V1081" s="1">
        <f t="shared" si="51"/>
        <v>0</v>
      </c>
      <c r="W1081" s="1" t="str">
        <f t="shared" si="52"/>
        <v/>
      </c>
      <c r="X1081" s="1"/>
      <c r="Y1081" s="1"/>
      <c r="Z1081" s="1"/>
      <c r="AA1081" s="1"/>
      <c r="AB1081" s="1"/>
      <c r="AC1081" s="1"/>
      <c r="AD1081" s="1">
        <f>IF($C1081="",0,SUMPRODUCT((AY_SONU!$O$7:$O$42="Evet")*(AY_SONU!$B$7:$B$42=DATE(YEAR($C1081),MONTH($C1081),1))))</f>
        <v>0</v>
      </c>
      <c r="AE1081" s="1" t="str">
        <f>IF($E1081="","",$E1081&amp;"|"&amp;COUNTIFS($E$7:$E1081,$E1081))</f>
        <v/>
      </c>
    </row>
    <row r="1082" spans="1:31" ht="18" customHeight="1" x14ac:dyDescent="0.3">
      <c r="A1082" s="2"/>
      <c r="B1082" s="65" t="str">
        <f>IF($C1082="","","GG"&amp;TEXT(ROW()-6,"00000"))</f>
        <v/>
      </c>
      <c r="C1082" s="66"/>
      <c r="D1082" s="60"/>
      <c r="E1082" s="61"/>
      <c r="F1082" s="61"/>
      <c r="G1082" s="67"/>
      <c r="H1082" s="60"/>
      <c r="I1082" s="60"/>
      <c r="J1082" s="61"/>
      <c r="K1082" s="61"/>
      <c r="L1082" s="60"/>
      <c r="M1082" s="74" t="str">
        <f>IF($C1082="","",IF($D1082="Gider",$E1082,IF($L1082&lt;&gt;"",$L1082,$H1082)))</f>
        <v/>
      </c>
      <c r="N1082" s="74" t="str">
        <f>IF($C1082="","",IF($D1082="Gider",$H1082,$E1082))</f>
        <v/>
      </c>
      <c r="O1082" s="73" t="str">
        <f>IF($C1082="","",DATE(YEAR($C1082),MONTH($C1082),1))</f>
        <v/>
      </c>
      <c r="P1082" s="65" t="str">
        <f ca="1">IF($C1082="","",IF(AND($D1082="Gelir",$L1082&lt;&gt;"",$T1082=""),"TANIMSIZ BORÇLU",IF($T1082&lt;&gt;"",IF(OR($E1082="",$G1082&lt;=0),"EKSİK",IF($I1082="Evet","TAHAKKUK NAKİT OLAMAZ",IF($C1082&gt;TODAY(),"İLERİ TARİH","TAHAKKUK"))),IF(AND($D1082&lt;&gt;"",$E1082&lt;&gt;"",$G1082&gt;0,$H1082&lt;&gt;"",$I1082&lt;&gt;""),IF($C1082&gt;TODAY(),"İLERİ TARİH",IF(COUNTIF($W$7:$W$3001,$W1082)&gt;1,"MÜKERRER?",IF($AD1082&gt;0,"KAPALI DÖNEM",IF($I1082="Hayır","ÖDENECEK","UYGUN")))),"EKSİK"))))</f>
        <v/>
      </c>
      <c r="Q1082" s="2"/>
      <c r="R1082" s="2"/>
      <c r="S1082" s="1" t="str">
        <f t="shared" si="50"/>
        <v/>
      </c>
      <c r="T1082" s="1" t="str">
        <f>IF(OR($C1082="",$D1082&lt;&gt;"Gelir",$L1082=""),"",IFERROR(INDEX(MUSTERILER!$B$7:$B$156,MATCH($S1082,MUSTERILER!$T$7:$T$156,0)),""))</f>
        <v/>
      </c>
      <c r="U1082" s="1" t="str">
        <f>IF($T1082="","",$T1082&amp;"|"&amp;COUNTIFS($T$7:$T1082,$T1082))</f>
        <v/>
      </c>
      <c r="V1082" s="1">
        <f t="shared" si="51"/>
        <v>0</v>
      </c>
      <c r="W1082" s="1" t="str">
        <f t="shared" si="52"/>
        <v/>
      </c>
      <c r="X1082" s="1"/>
      <c r="Y1082" s="1"/>
      <c r="Z1082" s="1"/>
      <c r="AA1082" s="1"/>
      <c r="AB1082" s="1"/>
      <c r="AC1082" s="1"/>
      <c r="AD1082" s="1">
        <f>IF($C1082="",0,SUMPRODUCT((AY_SONU!$O$7:$O$42="Evet")*(AY_SONU!$B$7:$B$42=DATE(YEAR($C1082),MONTH($C1082),1))))</f>
        <v>0</v>
      </c>
      <c r="AE1082" s="1" t="str">
        <f>IF($E1082="","",$E1082&amp;"|"&amp;COUNTIFS($E$7:$E1082,$E1082))</f>
        <v/>
      </c>
    </row>
    <row r="1083" spans="1:31" ht="18" customHeight="1" x14ac:dyDescent="0.3">
      <c r="A1083" s="2"/>
      <c r="B1083" s="65" t="str">
        <f>IF($C1083="","","GG"&amp;TEXT(ROW()-6,"00000"))</f>
        <v/>
      </c>
      <c r="C1083" s="66"/>
      <c r="D1083" s="60"/>
      <c r="E1083" s="61"/>
      <c r="F1083" s="61"/>
      <c r="G1083" s="67"/>
      <c r="H1083" s="60"/>
      <c r="I1083" s="60"/>
      <c r="J1083" s="61"/>
      <c r="K1083" s="61"/>
      <c r="L1083" s="60"/>
      <c r="M1083" s="74" t="str">
        <f>IF($C1083="","",IF($D1083="Gider",$E1083,IF($L1083&lt;&gt;"",$L1083,$H1083)))</f>
        <v/>
      </c>
      <c r="N1083" s="74" t="str">
        <f>IF($C1083="","",IF($D1083="Gider",$H1083,$E1083))</f>
        <v/>
      </c>
      <c r="O1083" s="73" t="str">
        <f>IF($C1083="","",DATE(YEAR($C1083),MONTH($C1083),1))</f>
        <v/>
      </c>
      <c r="P1083" s="65" t="str">
        <f ca="1">IF($C1083="","",IF(AND($D1083="Gelir",$L1083&lt;&gt;"",$T1083=""),"TANIMSIZ BORÇLU",IF($T1083&lt;&gt;"",IF(OR($E1083="",$G1083&lt;=0),"EKSİK",IF($I1083="Evet","TAHAKKUK NAKİT OLAMAZ",IF($C1083&gt;TODAY(),"İLERİ TARİH","TAHAKKUK"))),IF(AND($D1083&lt;&gt;"",$E1083&lt;&gt;"",$G1083&gt;0,$H1083&lt;&gt;"",$I1083&lt;&gt;""),IF($C1083&gt;TODAY(),"İLERİ TARİH",IF(COUNTIF($W$7:$W$3001,$W1083)&gt;1,"MÜKERRER?",IF($AD1083&gt;0,"KAPALI DÖNEM",IF($I1083="Hayır","ÖDENECEK","UYGUN")))),"EKSİK"))))</f>
        <v/>
      </c>
      <c r="Q1083" s="2"/>
      <c r="R1083" s="2"/>
      <c r="S1083" s="1" t="str">
        <f t="shared" si="50"/>
        <v/>
      </c>
      <c r="T1083" s="1" t="str">
        <f>IF(OR($C1083="",$D1083&lt;&gt;"Gelir",$L1083=""),"",IFERROR(INDEX(MUSTERILER!$B$7:$B$156,MATCH($S1083,MUSTERILER!$T$7:$T$156,0)),""))</f>
        <v/>
      </c>
      <c r="U1083" s="1" t="str">
        <f>IF($T1083="","",$T1083&amp;"|"&amp;COUNTIFS($T$7:$T1083,$T1083))</f>
        <v/>
      </c>
      <c r="V1083" s="1">
        <f t="shared" si="51"/>
        <v>0</v>
      </c>
      <c r="W1083" s="1" t="str">
        <f t="shared" si="52"/>
        <v/>
      </c>
      <c r="X1083" s="1"/>
      <c r="Y1083" s="1"/>
      <c r="Z1083" s="1"/>
      <c r="AA1083" s="1"/>
      <c r="AB1083" s="1"/>
      <c r="AC1083" s="1"/>
      <c r="AD1083" s="1">
        <f>IF($C1083="",0,SUMPRODUCT((AY_SONU!$O$7:$O$42="Evet")*(AY_SONU!$B$7:$B$42=DATE(YEAR($C1083),MONTH($C1083),1))))</f>
        <v>0</v>
      </c>
      <c r="AE1083" s="1" t="str">
        <f>IF($E1083="","",$E1083&amp;"|"&amp;COUNTIFS($E$7:$E1083,$E1083))</f>
        <v/>
      </c>
    </row>
    <row r="1084" spans="1:31" ht="18" customHeight="1" x14ac:dyDescent="0.3">
      <c r="A1084" s="2"/>
      <c r="B1084" s="65" t="str">
        <f>IF($C1084="","","GG"&amp;TEXT(ROW()-6,"00000"))</f>
        <v/>
      </c>
      <c r="C1084" s="66"/>
      <c r="D1084" s="60"/>
      <c r="E1084" s="61"/>
      <c r="F1084" s="61"/>
      <c r="G1084" s="67"/>
      <c r="H1084" s="60"/>
      <c r="I1084" s="60"/>
      <c r="J1084" s="61"/>
      <c r="K1084" s="61"/>
      <c r="L1084" s="60"/>
      <c r="M1084" s="74" t="str">
        <f>IF($C1084="","",IF($D1084="Gider",$E1084,IF($L1084&lt;&gt;"",$L1084,$H1084)))</f>
        <v/>
      </c>
      <c r="N1084" s="74" t="str">
        <f>IF($C1084="","",IF($D1084="Gider",$H1084,$E1084))</f>
        <v/>
      </c>
      <c r="O1084" s="73" t="str">
        <f>IF($C1084="","",DATE(YEAR($C1084),MONTH($C1084),1))</f>
        <v/>
      </c>
      <c r="P1084" s="65" t="str">
        <f ca="1">IF($C1084="","",IF(AND($D1084="Gelir",$L1084&lt;&gt;"",$T1084=""),"TANIMSIZ BORÇLU",IF($T1084&lt;&gt;"",IF(OR($E1084="",$G1084&lt;=0),"EKSİK",IF($I1084="Evet","TAHAKKUK NAKİT OLAMAZ",IF($C1084&gt;TODAY(),"İLERİ TARİH","TAHAKKUK"))),IF(AND($D1084&lt;&gt;"",$E1084&lt;&gt;"",$G1084&gt;0,$H1084&lt;&gt;"",$I1084&lt;&gt;""),IF($C1084&gt;TODAY(),"İLERİ TARİH",IF(COUNTIF($W$7:$W$3001,$W1084)&gt;1,"MÜKERRER?",IF($AD1084&gt;0,"KAPALI DÖNEM",IF($I1084="Hayır","ÖDENECEK","UYGUN")))),"EKSİK"))))</f>
        <v/>
      </c>
      <c r="Q1084" s="2"/>
      <c r="R1084" s="2"/>
      <c r="S1084" s="1" t="str">
        <f t="shared" si="50"/>
        <v/>
      </c>
      <c r="T1084" s="1" t="str">
        <f>IF(OR($C1084="",$D1084&lt;&gt;"Gelir",$L1084=""),"",IFERROR(INDEX(MUSTERILER!$B$7:$B$156,MATCH($S1084,MUSTERILER!$T$7:$T$156,0)),""))</f>
        <v/>
      </c>
      <c r="U1084" s="1" t="str">
        <f>IF($T1084="","",$T1084&amp;"|"&amp;COUNTIFS($T$7:$T1084,$T1084))</f>
        <v/>
      </c>
      <c r="V1084" s="1">
        <f t="shared" si="51"/>
        <v>0</v>
      </c>
      <c r="W1084" s="1" t="str">
        <f t="shared" si="52"/>
        <v/>
      </c>
      <c r="X1084" s="1"/>
      <c r="Y1084" s="1"/>
      <c r="Z1084" s="1"/>
      <c r="AA1084" s="1"/>
      <c r="AB1084" s="1"/>
      <c r="AC1084" s="1"/>
      <c r="AD1084" s="1">
        <f>IF($C1084="",0,SUMPRODUCT((AY_SONU!$O$7:$O$42="Evet")*(AY_SONU!$B$7:$B$42=DATE(YEAR($C1084),MONTH($C1084),1))))</f>
        <v>0</v>
      </c>
      <c r="AE1084" s="1" t="str">
        <f>IF($E1084="","",$E1084&amp;"|"&amp;COUNTIFS($E$7:$E1084,$E1084))</f>
        <v/>
      </c>
    </row>
    <row r="1085" spans="1:31" ht="18" customHeight="1" x14ac:dyDescent="0.3">
      <c r="A1085" s="2"/>
      <c r="B1085" s="65" t="str">
        <f>IF($C1085="","","GG"&amp;TEXT(ROW()-6,"00000"))</f>
        <v/>
      </c>
      <c r="C1085" s="66"/>
      <c r="D1085" s="60"/>
      <c r="E1085" s="61"/>
      <c r="F1085" s="61"/>
      <c r="G1085" s="67"/>
      <c r="H1085" s="60"/>
      <c r="I1085" s="60"/>
      <c r="J1085" s="61"/>
      <c r="K1085" s="61"/>
      <c r="L1085" s="60"/>
      <c r="M1085" s="74" t="str">
        <f>IF($C1085="","",IF($D1085="Gider",$E1085,IF($L1085&lt;&gt;"",$L1085,$H1085)))</f>
        <v/>
      </c>
      <c r="N1085" s="74" t="str">
        <f>IF($C1085="","",IF($D1085="Gider",$H1085,$E1085))</f>
        <v/>
      </c>
      <c r="O1085" s="73" t="str">
        <f>IF($C1085="","",DATE(YEAR($C1085),MONTH($C1085),1))</f>
        <v/>
      </c>
      <c r="P1085" s="65" t="str">
        <f ca="1">IF($C1085="","",IF(AND($D1085="Gelir",$L1085&lt;&gt;"",$T1085=""),"TANIMSIZ BORÇLU",IF($T1085&lt;&gt;"",IF(OR($E1085="",$G1085&lt;=0),"EKSİK",IF($I1085="Evet","TAHAKKUK NAKİT OLAMAZ",IF($C1085&gt;TODAY(),"İLERİ TARİH","TAHAKKUK"))),IF(AND($D1085&lt;&gt;"",$E1085&lt;&gt;"",$G1085&gt;0,$H1085&lt;&gt;"",$I1085&lt;&gt;""),IF($C1085&gt;TODAY(),"İLERİ TARİH",IF(COUNTIF($W$7:$W$3001,$W1085)&gt;1,"MÜKERRER?",IF($AD1085&gt;0,"KAPALI DÖNEM",IF($I1085="Hayır","ÖDENECEK","UYGUN")))),"EKSİK"))))</f>
        <v/>
      </c>
      <c r="Q1085" s="2"/>
      <c r="R1085" s="2"/>
      <c r="S1085" s="1" t="str">
        <f t="shared" si="50"/>
        <v/>
      </c>
      <c r="T1085" s="1" t="str">
        <f>IF(OR($C1085="",$D1085&lt;&gt;"Gelir",$L1085=""),"",IFERROR(INDEX(MUSTERILER!$B$7:$B$156,MATCH($S1085,MUSTERILER!$T$7:$T$156,0)),""))</f>
        <v/>
      </c>
      <c r="U1085" s="1" t="str">
        <f>IF($T1085="","",$T1085&amp;"|"&amp;COUNTIFS($T$7:$T1085,$T1085))</f>
        <v/>
      </c>
      <c r="V1085" s="1">
        <f t="shared" si="51"/>
        <v>0</v>
      </c>
      <c r="W1085" s="1" t="str">
        <f t="shared" si="52"/>
        <v/>
      </c>
      <c r="X1085" s="1"/>
      <c r="Y1085" s="1"/>
      <c r="Z1085" s="1"/>
      <c r="AA1085" s="1"/>
      <c r="AB1085" s="1"/>
      <c r="AC1085" s="1"/>
      <c r="AD1085" s="1">
        <f>IF($C1085="",0,SUMPRODUCT((AY_SONU!$O$7:$O$42="Evet")*(AY_SONU!$B$7:$B$42=DATE(YEAR($C1085),MONTH($C1085),1))))</f>
        <v>0</v>
      </c>
      <c r="AE1085" s="1" t="str">
        <f>IF($E1085="","",$E1085&amp;"|"&amp;COUNTIFS($E$7:$E1085,$E1085))</f>
        <v/>
      </c>
    </row>
    <row r="1086" spans="1:31" ht="18" customHeight="1" x14ac:dyDescent="0.3">
      <c r="A1086" s="2"/>
      <c r="B1086" s="65" t="str">
        <f>IF($C1086="","","GG"&amp;TEXT(ROW()-6,"00000"))</f>
        <v/>
      </c>
      <c r="C1086" s="66"/>
      <c r="D1086" s="60"/>
      <c r="E1086" s="61"/>
      <c r="F1086" s="61"/>
      <c r="G1086" s="67"/>
      <c r="H1086" s="60"/>
      <c r="I1086" s="60"/>
      <c r="J1086" s="61"/>
      <c r="K1086" s="61"/>
      <c r="L1086" s="60"/>
      <c r="M1086" s="74" t="str">
        <f>IF($C1086="","",IF($D1086="Gider",$E1086,IF($L1086&lt;&gt;"",$L1086,$H1086)))</f>
        <v/>
      </c>
      <c r="N1086" s="74" t="str">
        <f>IF($C1086="","",IF($D1086="Gider",$H1086,$E1086))</f>
        <v/>
      </c>
      <c r="O1086" s="73" t="str">
        <f>IF($C1086="","",DATE(YEAR($C1086),MONTH($C1086),1))</f>
        <v/>
      </c>
      <c r="P1086" s="65" t="str">
        <f ca="1">IF($C1086="","",IF(AND($D1086="Gelir",$L1086&lt;&gt;"",$T1086=""),"TANIMSIZ BORÇLU",IF($T1086&lt;&gt;"",IF(OR($E1086="",$G1086&lt;=0),"EKSİK",IF($I1086="Evet","TAHAKKUK NAKİT OLAMAZ",IF($C1086&gt;TODAY(),"İLERİ TARİH","TAHAKKUK"))),IF(AND($D1086&lt;&gt;"",$E1086&lt;&gt;"",$G1086&gt;0,$H1086&lt;&gt;"",$I1086&lt;&gt;""),IF($C1086&gt;TODAY(),"İLERİ TARİH",IF(COUNTIF($W$7:$W$3001,$W1086)&gt;1,"MÜKERRER?",IF($AD1086&gt;0,"KAPALI DÖNEM",IF($I1086="Hayır","ÖDENECEK","UYGUN")))),"EKSİK"))))</f>
        <v/>
      </c>
      <c r="Q1086" s="2"/>
      <c r="R1086" s="2"/>
      <c r="S1086" s="1" t="str">
        <f t="shared" si="50"/>
        <v/>
      </c>
      <c r="T1086" s="1" t="str">
        <f>IF(OR($C1086="",$D1086&lt;&gt;"Gelir",$L1086=""),"",IFERROR(INDEX(MUSTERILER!$B$7:$B$156,MATCH($S1086,MUSTERILER!$T$7:$T$156,0)),""))</f>
        <v/>
      </c>
      <c r="U1086" s="1" t="str">
        <f>IF($T1086="","",$T1086&amp;"|"&amp;COUNTIFS($T$7:$T1086,$T1086))</f>
        <v/>
      </c>
      <c r="V1086" s="1">
        <f t="shared" si="51"/>
        <v>0</v>
      </c>
      <c r="W1086" s="1" t="str">
        <f t="shared" si="52"/>
        <v/>
      </c>
      <c r="X1086" s="1"/>
      <c r="Y1086" s="1"/>
      <c r="Z1086" s="1"/>
      <c r="AA1086" s="1"/>
      <c r="AB1086" s="1"/>
      <c r="AC1086" s="1"/>
      <c r="AD1086" s="1">
        <f>IF($C1086="",0,SUMPRODUCT((AY_SONU!$O$7:$O$42="Evet")*(AY_SONU!$B$7:$B$42=DATE(YEAR($C1086),MONTH($C1086),1))))</f>
        <v>0</v>
      </c>
      <c r="AE1086" s="1" t="str">
        <f>IF($E1086="","",$E1086&amp;"|"&amp;COUNTIFS($E$7:$E1086,$E1086))</f>
        <v/>
      </c>
    </row>
    <row r="1087" spans="1:31" ht="18" customHeight="1" x14ac:dyDescent="0.3">
      <c r="A1087" s="2"/>
      <c r="B1087" s="65" t="str">
        <f>IF($C1087="","","GG"&amp;TEXT(ROW()-6,"00000"))</f>
        <v/>
      </c>
      <c r="C1087" s="66"/>
      <c r="D1087" s="60"/>
      <c r="E1087" s="61"/>
      <c r="F1087" s="61"/>
      <c r="G1087" s="67"/>
      <c r="H1087" s="60"/>
      <c r="I1087" s="60"/>
      <c r="J1087" s="61"/>
      <c r="K1087" s="61"/>
      <c r="L1087" s="60"/>
      <c r="M1087" s="74" t="str">
        <f>IF($C1087="","",IF($D1087="Gider",$E1087,IF($L1087&lt;&gt;"",$L1087,$H1087)))</f>
        <v/>
      </c>
      <c r="N1087" s="74" t="str">
        <f>IF($C1087="","",IF($D1087="Gider",$H1087,$E1087))</f>
        <v/>
      </c>
      <c r="O1087" s="73" t="str">
        <f>IF($C1087="","",DATE(YEAR($C1087),MONTH($C1087),1))</f>
        <v/>
      </c>
      <c r="P1087" s="65" t="str">
        <f ca="1">IF($C1087="","",IF(AND($D1087="Gelir",$L1087&lt;&gt;"",$T1087=""),"TANIMSIZ BORÇLU",IF($T1087&lt;&gt;"",IF(OR($E1087="",$G1087&lt;=0),"EKSİK",IF($I1087="Evet","TAHAKKUK NAKİT OLAMAZ",IF($C1087&gt;TODAY(),"İLERİ TARİH","TAHAKKUK"))),IF(AND($D1087&lt;&gt;"",$E1087&lt;&gt;"",$G1087&gt;0,$H1087&lt;&gt;"",$I1087&lt;&gt;""),IF($C1087&gt;TODAY(),"İLERİ TARİH",IF(COUNTIF($W$7:$W$3001,$W1087)&gt;1,"MÜKERRER?",IF($AD1087&gt;0,"KAPALI DÖNEM",IF($I1087="Hayır","ÖDENECEK","UYGUN")))),"EKSİK"))))</f>
        <v/>
      </c>
      <c r="Q1087" s="2"/>
      <c r="R1087" s="2"/>
      <c r="S1087" s="1" t="str">
        <f t="shared" si="50"/>
        <v/>
      </c>
      <c r="T1087" s="1" t="str">
        <f>IF(OR($C1087="",$D1087&lt;&gt;"Gelir",$L1087=""),"",IFERROR(INDEX(MUSTERILER!$B$7:$B$156,MATCH($S1087,MUSTERILER!$T$7:$T$156,0)),""))</f>
        <v/>
      </c>
      <c r="U1087" s="1" t="str">
        <f>IF($T1087="","",$T1087&amp;"|"&amp;COUNTIFS($T$7:$T1087,$T1087))</f>
        <v/>
      </c>
      <c r="V1087" s="1">
        <f t="shared" si="51"/>
        <v>0</v>
      </c>
      <c r="W1087" s="1" t="str">
        <f t="shared" si="52"/>
        <v/>
      </c>
      <c r="X1087" s="1"/>
      <c r="Y1087" s="1"/>
      <c r="Z1087" s="1"/>
      <c r="AA1087" s="1"/>
      <c r="AB1087" s="1"/>
      <c r="AC1087" s="1"/>
      <c r="AD1087" s="1">
        <f>IF($C1087="",0,SUMPRODUCT((AY_SONU!$O$7:$O$42="Evet")*(AY_SONU!$B$7:$B$42=DATE(YEAR($C1087),MONTH($C1087),1))))</f>
        <v>0</v>
      </c>
      <c r="AE1087" s="1" t="str">
        <f>IF($E1087="","",$E1087&amp;"|"&amp;COUNTIFS($E$7:$E1087,$E1087))</f>
        <v/>
      </c>
    </row>
    <row r="1088" spans="1:31" ht="18" customHeight="1" x14ac:dyDescent="0.3">
      <c r="A1088" s="2"/>
      <c r="B1088" s="65" t="str">
        <f>IF($C1088="","","GG"&amp;TEXT(ROW()-6,"00000"))</f>
        <v/>
      </c>
      <c r="C1088" s="66"/>
      <c r="D1088" s="60"/>
      <c r="E1088" s="61"/>
      <c r="F1088" s="61"/>
      <c r="G1088" s="67"/>
      <c r="H1088" s="60"/>
      <c r="I1088" s="60"/>
      <c r="J1088" s="61"/>
      <c r="K1088" s="61"/>
      <c r="L1088" s="60"/>
      <c r="M1088" s="74" t="str">
        <f>IF($C1088="","",IF($D1088="Gider",$E1088,IF($L1088&lt;&gt;"",$L1088,$H1088)))</f>
        <v/>
      </c>
      <c r="N1088" s="74" t="str">
        <f>IF($C1088="","",IF($D1088="Gider",$H1088,$E1088))</f>
        <v/>
      </c>
      <c r="O1088" s="73" t="str">
        <f>IF($C1088="","",DATE(YEAR($C1088),MONTH($C1088),1))</f>
        <v/>
      </c>
      <c r="P1088" s="65" t="str">
        <f ca="1">IF($C1088="","",IF(AND($D1088="Gelir",$L1088&lt;&gt;"",$T1088=""),"TANIMSIZ BORÇLU",IF($T1088&lt;&gt;"",IF(OR($E1088="",$G1088&lt;=0),"EKSİK",IF($I1088="Evet","TAHAKKUK NAKİT OLAMAZ",IF($C1088&gt;TODAY(),"İLERİ TARİH","TAHAKKUK"))),IF(AND($D1088&lt;&gt;"",$E1088&lt;&gt;"",$G1088&gt;0,$H1088&lt;&gt;"",$I1088&lt;&gt;""),IF($C1088&gt;TODAY(),"İLERİ TARİH",IF(COUNTIF($W$7:$W$3001,$W1088)&gt;1,"MÜKERRER?",IF($AD1088&gt;0,"KAPALI DÖNEM",IF($I1088="Hayır","ÖDENECEK","UYGUN")))),"EKSİK"))))</f>
        <v/>
      </c>
      <c r="Q1088" s="2"/>
      <c r="R1088" s="2"/>
      <c r="S1088" s="1" t="str">
        <f t="shared" si="50"/>
        <v/>
      </c>
      <c r="T1088" s="1" t="str">
        <f>IF(OR($C1088="",$D1088&lt;&gt;"Gelir",$L1088=""),"",IFERROR(INDEX(MUSTERILER!$B$7:$B$156,MATCH($S1088,MUSTERILER!$T$7:$T$156,0)),""))</f>
        <v/>
      </c>
      <c r="U1088" s="1" t="str">
        <f>IF($T1088="","",$T1088&amp;"|"&amp;COUNTIFS($T$7:$T1088,$T1088))</f>
        <v/>
      </c>
      <c r="V1088" s="1">
        <f t="shared" si="51"/>
        <v>0</v>
      </c>
      <c r="W1088" s="1" t="str">
        <f t="shared" si="52"/>
        <v/>
      </c>
      <c r="X1088" s="1"/>
      <c r="Y1088" s="1"/>
      <c r="Z1088" s="1"/>
      <c r="AA1088" s="1"/>
      <c r="AB1088" s="1"/>
      <c r="AC1088" s="1"/>
      <c r="AD1088" s="1">
        <f>IF($C1088="",0,SUMPRODUCT((AY_SONU!$O$7:$O$42="Evet")*(AY_SONU!$B$7:$B$42=DATE(YEAR($C1088),MONTH($C1088),1))))</f>
        <v>0</v>
      </c>
      <c r="AE1088" s="1" t="str">
        <f>IF($E1088="","",$E1088&amp;"|"&amp;COUNTIFS($E$7:$E1088,$E1088))</f>
        <v/>
      </c>
    </row>
    <row r="1089" spans="1:31" ht="18" customHeight="1" x14ac:dyDescent="0.3">
      <c r="A1089" s="2"/>
      <c r="B1089" s="65" t="str">
        <f>IF($C1089="","","GG"&amp;TEXT(ROW()-6,"00000"))</f>
        <v/>
      </c>
      <c r="C1089" s="66"/>
      <c r="D1089" s="60"/>
      <c r="E1089" s="61"/>
      <c r="F1089" s="61"/>
      <c r="G1089" s="67"/>
      <c r="H1089" s="60"/>
      <c r="I1089" s="60"/>
      <c r="J1089" s="61"/>
      <c r="K1089" s="61"/>
      <c r="L1089" s="60"/>
      <c r="M1089" s="74" t="str">
        <f>IF($C1089="","",IF($D1089="Gider",$E1089,IF($L1089&lt;&gt;"",$L1089,$H1089)))</f>
        <v/>
      </c>
      <c r="N1089" s="74" t="str">
        <f>IF($C1089="","",IF($D1089="Gider",$H1089,$E1089))</f>
        <v/>
      </c>
      <c r="O1089" s="73" t="str">
        <f>IF($C1089="","",DATE(YEAR($C1089),MONTH($C1089),1))</f>
        <v/>
      </c>
      <c r="P1089" s="65" t="str">
        <f ca="1">IF($C1089="","",IF(AND($D1089="Gelir",$L1089&lt;&gt;"",$T1089=""),"TANIMSIZ BORÇLU",IF($T1089&lt;&gt;"",IF(OR($E1089="",$G1089&lt;=0),"EKSİK",IF($I1089="Evet","TAHAKKUK NAKİT OLAMAZ",IF($C1089&gt;TODAY(),"İLERİ TARİH","TAHAKKUK"))),IF(AND($D1089&lt;&gt;"",$E1089&lt;&gt;"",$G1089&gt;0,$H1089&lt;&gt;"",$I1089&lt;&gt;""),IF($C1089&gt;TODAY(),"İLERİ TARİH",IF(COUNTIF($W$7:$W$3001,$W1089)&gt;1,"MÜKERRER?",IF($AD1089&gt;0,"KAPALI DÖNEM",IF($I1089="Hayır","ÖDENECEK","UYGUN")))),"EKSİK"))))</f>
        <v/>
      </c>
      <c r="Q1089" s="2"/>
      <c r="R1089" s="2"/>
      <c r="S1089" s="1" t="str">
        <f t="shared" si="50"/>
        <v/>
      </c>
      <c r="T1089" s="1" t="str">
        <f>IF(OR($C1089="",$D1089&lt;&gt;"Gelir",$L1089=""),"",IFERROR(INDEX(MUSTERILER!$B$7:$B$156,MATCH($S1089,MUSTERILER!$T$7:$T$156,0)),""))</f>
        <v/>
      </c>
      <c r="U1089" s="1" t="str">
        <f>IF($T1089="","",$T1089&amp;"|"&amp;COUNTIFS($T$7:$T1089,$T1089))</f>
        <v/>
      </c>
      <c r="V1089" s="1">
        <f t="shared" si="51"/>
        <v>0</v>
      </c>
      <c r="W1089" s="1" t="str">
        <f t="shared" si="52"/>
        <v/>
      </c>
      <c r="X1089" s="1"/>
      <c r="Y1089" s="1"/>
      <c r="Z1089" s="1"/>
      <c r="AA1089" s="1"/>
      <c r="AB1089" s="1"/>
      <c r="AC1089" s="1"/>
      <c r="AD1089" s="1">
        <f>IF($C1089="",0,SUMPRODUCT((AY_SONU!$O$7:$O$42="Evet")*(AY_SONU!$B$7:$B$42=DATE(YEAR($C1089),MONTH($C1089),1))))</f>
        <v>0</v>
      </c>
      <c r="AE1089" s="1" t="str">
        <f>IF($E1089="","",$E1089&amp;"|"&amp;COUNTIFS($E$7:$E1089,$E1089))</f>
        <v/>
      </c>
    </row>
    <row r="1090" spans="1:31" ht="18" customHeight="1" x14ac:dyDescent="0.3">
      <c r="A1090" s="2"/>
      <c r="B1090" s="65" t="str">
        <f>IF($C1090="","","GG"&amp;TEXT(ROW()-6,"00000"))</f>
        <v/>
      </c>
      <c r="C1090" s="66"/>
      <c r="D1090" s="60"/>
      <c r="E1090" s="61"/>
      <c r="F1090" s="61"/>
      <c r="G1090" s="67"/>
      <c r="H1090" s="60"/>
      <c r="I1090" s="60"/>
      <c r="J1090" s="61"/>
      <c r="K1090" s="61"/>
      <c r="L1090" s="60"/>
      <c r="M1090" s="74" t="str">
        <f>IF($C1090="","",IF($D1090="Gider",$E1090,IF($L1090&lt;&gt;"",$L1090,$H1090)))</f>
        <v/>
      </c>
      <c r="N1090" s="74" t="str">
        <f>IF($C1090="","",IF($D1090="Gider",$H1090,$E1090))</f>
        <v/>
      </c>
      <c r="O1090" s="73" t="str">
        <f>IF($C1090="","",DATE(YEAR($C1090),MONTH($C1090),1))</f>
        <v/>
      </c>
      <c r="P1090" s="65" t="str">
        <f ca="1">IF($C1090="","",IF(AND($D1090="Gelir",$L1090&lt;&gt;"",$T1090=""),"TANIMSIZ BORÇLU",IF($T1090&lt;&gt;"",IF(OR($E1090="",$G1090&lt;=0),"EKSİK",IF($I1090="Evet","TAHAKKUK NAKİT OLAMAZ",IF($C1090&gt;TODAY(),"İLERİ TARİH","TAHAKKUK"))),IF(AND($D1090&lt;&gt;"",$E1090&lt;&gt;"",$G1090&gt;0,$H1090&lt;&gt;"",$I1090&lt;&gt;""),IF($C1090&gt;TODAY(),"İLERİ TARİH",IF(COUNTIF($W$7:$W$3001,$W1090)&gt;1,"MÜKERRER?",IF($AD1090&gt;0,"KAPALI DÖNEM",IF($I1090="Hayır","ÖDENECEK","UYGUN")))),"EKSİK"))))</f>
        <v/>
      </c>
      <c r="Q1090" s="2"/>
      <c r="R1090" s="2"/>
      <c r="S1090" s="1" t="str">
        <f t="shared" si="50"/>
        <v/>
      </c>
      <c r="T1090" s="1" t="str">
        <f>IF(OR($C1090="",$D1090&lt;&gt;"Gelir",$L1090=""),"",IFERROR(INDEX(MUSTERILER!$B$7:$B$156,MATCH($S1090,MUSTERILER!$T$7:$T$156,0)),""))</f>
        <v/>
      </c>
      <c r="U1090" s="1" t="str">
        <f>IF($T1090="","",$T1090&amp;"|"&amp;COUNTIFS($T$7:$T1090,$T1090))</f>
        <v/>
      </c>
      <c r="V1090" s="1">
        <f t="shared" si="51"/>
        <v>0</v>
      </c>
      <c r="W1090" s="1" t="str">
        <f t="shared" si="52"/>
        <v/>
      </c>
      <c r="X1090" s="1"/>
      <c r="Y1090" s="1"/>
      <c r="Z1090" s="1"/>
      <c r="AA1090" s="1"/>
      <c r="AB1090" s="1"/>
      <c r="AC1090" s="1"/>
      <c r="AD1090" s="1">
        <f>IF($C1090="",0,SUMPRODUCT((AY_SONU!$O$7:$O$42="Evet")*(AY_SONU!$B$7:$B$42=DATE(YEAR($C1090),MONTH($C1090),1))))</f>
        <v>0</v>
      </c>
      <c r="AE1090" s="1" t="str">
        <f>IF($E1090="","",$E1090&amp;"|"&amp;COUNTIFS($E$7:$E1090,$E1090))</f>
        <v/>
      </c>
    </row>
    <row r="1091" spans="1:31" ht="18" customHeight="1" x14ac:dyDescent="0.3">
      <c r="A1091" s="2"/>
      <c r="B1091" s="65" t="str">
        <f>IF($C1091="","","GG"&amp;TEXT(ROW()-6,"00000"))</f>
        <v/>
      </c>
      <c r="C1091" s="66"/>
      <c r="D1091" s="60"/>
      <c r="E1091" s="61"/>
      <c r="F1091" s="61"/>
      <c r="G1091" s="67"/>
      <c r="H1091" s="60"/>
      <c r="I1091" s="60"/>
      <c r="J1091" s="61"/>
      <c r="K1091" s="61"/>
      <c r="L1091" s="60"/>
      <c r="M1091" s="74" t="str">
        <f>IF($C1091="","",IF($D1091="Gider",$E1091,IF($L1091&lt;&gt;"",$L1091,$H1091)))</f>
        <v/>
      </c>
      <c r="N1091" s="74" t="str">
        <f>IF($C1091="","",IF($D1091="Gider",$H1091,$E1091))</f>
        <v/>
      </c>
      <c r="O1091" s="73" t="str">
        <f>IF($C1091="","",DATE(YEAR($C1091),MONTH($C1091),1))</f>
        <v/>
      </c>
      <c r="P1091" s="65" t="str">
        <f ca="1">IF($C1091="","",IF(AND($D1091="Gelir",$L1091&lt;&gt;"",$T1091=""),"TANIMSIZ BORÇLU",IF($T1091&lt;&gt;"",IF(OR($E1091="",$G1091&lt;=0),"EKSİK",IF($I1091="Evet","TAHAKKUK NAKİT OLAMAZ",IF($C1091&gt;TODAY(),"İLERİ TARİH","TAHAKKUK"))),IF(AND($D1091&lt;&gt;"",$E1091&lt;&gt;"",$G1091&gt;0,$H1091&lt;&gt;"",$I1091&lt;&gt;""),IF($C1091&gt;TODAY(),"İLERİ TARİH",IF(COUNTIF($W$7:$W$3001,$W1091)&gt;1,"MÜKERRER?",IF($AD1091&gt;0,"KAPALI DÖNEM",IF($I1091="Hayır","ÖDENECEK","UYGUN")))),"EKSİK"))))</f>
        <v/>
      </c>
      <c r="Q1091" s="2"/>
      <c r="R1091" s="2"/>
      <c r="S1091" s="1" t="str">
        <f t="shared" si="50"/>
        <v/>
      </c>
      <c r="T1091" s="1" t="str">
        <f>IF(OR($C1091="",$D1091&lt;&gt;"Gelir",$L1091=""),"",IFERROR(INDEX(MUSTERILER!$B$7:$B$156,MATCH($S1091,MUSTERILER!$T$7:$T$156,0)),""))</f>
        <v/>
      </c>
      <c r="U1091" s="1" t="str">
        <f>IF($T1091="","",$T1091&amp;"|"&amp;COUNTIFS($T$7:$T1091,$T1091))</f>
        <v/>
      </c>
      <c r="V1091" s="1">
        <f t="shared" si="51"/>
        <v>0</v>
      </c>
      <c r="W1091" s="1" t="str">
        <f t="shared" si="52"/>
        <v/>
      </c>
      <c r="X1091" s="1"/>
      <c r="Y1091" s="1"/>
      <c r="Z1091" s="1"/>
      <c r="AA1091" s="1"/>
      <c r="AB1091" s="1"/>
      <c r="AC1091" s="1"/>
      <c r="AD1091" s="1">
        <f>IF($C1091="",0,SUMPRODUCT((AY_SONU!$O$7:$O$42="Evet")*(AY_SONU!$B$7:$B$42=DATE(YEAR($C1091),MONTH($C1091),1))))</f>
        <v>0</v>
      </c>
      <c r="AE1091" s="1" t="str">
        <f>IF($E1091="","",$E1091&amp;"|"&amp;COUNTIFS($E$7:$E1091,$E1091))</f>
        <v/>
      </c>
    </row>
    <row r="1092" spans="1:31" ht="18" customHeight="1" x14ac:dyDescent="0.3">
      <c r="A1092" s="2"/>
      <c r="B1092" s="65" t="str">
        <f>IF($C1092="","","GG"&amp;TEXT(ROW()-6,"00000"))</f>
        <v/>
      </c>
      <c r="C1092" s="66"/>
      <c r="D1092" s="60"/>
      <c r="E1092" s="61"/>
      <c r="F1092" s="61"/>
      <c r="G1092" s="67"/>
      <c r="H1092" s="60"/>
      <c r="I1092" s="60"/>
      <c r="J1092" s="61"/>
      <c r="K1092" s="61"/>
      <c r="L1092" s="60"/>
      <c r="M1092" s="74" t="str">
        <f>IF($C1092="","",IF($D1092="Gider",$E1092,IF($L1092&lt;&gt;"",$L1092,$H1092)))</f>
        <v/>
      </c>
      <c r="N1092" s="74" t="str">
        <f>IF($C1092="","",IF($D1092="Gider",$H1092,$E1092))</f>
        <v/>
      </c>
      <c r="O1092" s="73" t="str">
        <f>IF($C1092="","",DATE(YEAR($C1092),MONTH($C1092),1))</f>
        <v/>
      </c>
      <c r="P1092" s="65" t="str">
        <f ca="1">IF($C1092="","",IF(AND($D1092="Gelir",$L1092&lt;&gt;"",$T1092=""),"TANIMSIZ BORÇLU",IF($T1092&lt;&gt;"",IF(OR($E1092="",$G1092&lt;=0),"EKSİK",IF($I1092="Evet","TAHAKKUK NAKİT OLAMAZ",IF($C1092&gt;TODAY(),"İLERİ TARİH","TAHAKKUK"))),IF(AND($D1092&lt;&gt;"",$E1092&lt;&gt;"",$G1092&gt;0,$H1092&lt;&gt;"",$I1092&lt;&gt;""),IF($C1092&gt;TODAY(),"İLERİ TARİH",IF(COUNTIF($W$7:$W$3001,$W1092)&gt;1,"MÜKERRER?",IF($AD1092&gt;0,"KAPALI DÖNEM",IF($I1092="Hayır","ÖDENECEK","UYGUN")))),"EKSİK"))))</f>
        <v/>
      </c>
      <c r="Q1092" s="2"/>
      <c r="R1092" s="2"/>
      <c r="S1092" s="1" t="str">
        <f t="shared" si="50"/>
        <v/>
      </c>
      <c r="T1092" s="1" t="str">
        <f>IF(OR($C1092="",$D1092&lt;&gt;"Gelir",$L1092=""),"",IFERROR(INDEX(MUSTERILER!$B$7:$B$156,MATCH($S1092,MUSTERILER!$T$7:$T$156,0)),""))</f>
        <v/>
      </c>
      <c r="U1092" s="1" t="str">
        <f>IF($T1092="","",$T1092&amp;"|"&amp;COUNTIFS($T$7:$T1092,$T1092))</f>
        <v/>
      </c>
      <c r="V1092" s="1">
        <f t="shared" si="51"/>
        <v>0</v>
      </c>
      <c r="W1092" s="1" t="str">
        <f t="shared" si="52"/>
        <v/>
      </c>
      <c r="X1092" s="1"/>
      <c r="Y1092" s="1"/>
      <c r="Z1092" s="1"/>
      <c r="AA1092" s="1"/>
      <c r="AB1092" s="1"/>
      <c r="AC1092" s="1"/>
      <c r="AD1092" s="1">
        <f>IF($C1092="",0,SUMPRODUCT((AY_SONU!$O$7:$O$42="Evet")*(AY_SONU!$B$7:$B$42=DATE(YEAR($C1092),MONTH($C1092),1))))</f>
        <v>0</v>
      </c>
      <c r="AE1092" s="1" t="str">
        <f>IF($E1092="","",$E1092&amp;"|"&amp;COUNTIFS($E$7:$E1092,$E1092))</f>
        <v/>
      </c>
    </row>
    <row r="1093" spans="1:31" ht="18" customHeight="1" x14ac:dyDescent="0.3">
      <c r="A1093" s="2"/>
      <c r="B1093" s="65" t="str">
        <f>IF($C1093="","","GG"&amp;TEXT(ROW()-6,"00000"))</f>
        <v/>
      </c>
      <c r="C1093" s="66"/>
      <c r="D1093" s="60"/>
      <c r="E1093" s="61"/>
      <c r="F1093" s="61"/>
      <c r="G1093" s="67"/>
      <c r="H1093" s="60"/>
      <c r="I1093" s="60"/>
      <c r="J1093" s="61"/>
      <c r="K1093" s="61"/>
      <c r="L1093" s="60"/>
      <c r="M1093" s="74" t="str">
        <f>IF($C1093="","",IF($D1093="Gider",$E1093,IF($L1093&lt;&gt;"",$L1093,$H1093)))</f>
        <v/>
      </c>
      <c r="N1093" s="74" t="str">
        <f>IF($C1093="","",IF($D1093="Gider",$H1093,$E1093))</f>
        <v/>
      </c>
      <c r="O1093" s="73" t="str">
        <f>IF($C1093="","",DATE(YEAR($C1093),MONTH($C1093),1))</f>
        <v/>
      </c>
      <c r="P1093" s="65" t="str">
        <f ca="1">IF($C1093="","",IF(AND($D1093="Gelir",$L1093&lt;&gt;"",$T1093=""),"TANIMSIZ BORÇLU",IF($T1093&lt;&gt;"",IF(OR($E1093="",$G1093&lt;=0),"EKSİK",IF($I1093="Evet","TAHAKKUK NAKİT OLAMAZ",IF($C1093&gt;TODAY(),"İLERİ TARİH","TAHAKKUK"))),IF(AND($D1093&lt;&gt;"",$E1093&lt;&gt;"",$G1093&gt;0,$H1093&lt;&gt;"",$I1093&lt;&gt;""),IF($C1093&gt;TODAY(),"İLERİ TARİH",IF(COUNTIF($W$7:$W$3001,$W1093)&gt;1,"MÜKERRER?",IF($AD1093&gt;0,"KAPALI DÖNEM",IF($I1093="Hayır","ÖDENECEK","UYGUN")))),"EKSİK"))))</f>
        <v/>
      </c>
      <c r="Q1093" s="2"/>
      <c r="R1093" s="2"/>
      <c r="S1093" s="1" t="str">
        <f t="shared" ref="S1093:S1156" si="53"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1" t="str">
        <f>IF(OR($C1093="",$D1093&lt;&gt;"Gelir",$L1093=""),"",IFERROR(INDEX(MUSTERILER!$B$7:$B$156,MATCH($S1093,MUSTERILER!$T$7:$T$156,0)),""))</f>
        <v/>
      </c>
      <c r="U1093" s="1" t="str">
        <f>IF($T1093="","",$T1093&amp;"|"&amp;COUNTIFS($T$7:$T1093,$T1093))</f>
        <v/>
      </c>
      <c r="V1093" s="1">
        <f t="shared" ref="V1093:V1156" si="54">IF($T1093="",0,1)</f>
        <v>0</v>
      </c>
      <c r="W1093" s="1" t="str">
        <f t="shared" ref="W1093:W1156" si="55">IF($C1093="","",$D1093&amp;"|"&amp;$E1093&amp;"|"&amp;TEXT($C1093,"0")&amp;"|"&amp;TEXT($G1093,"0")&amp;"|"&amp;$F1093&amp;"|"&amp;$J1093)</f>
        <v/>
      </c>
      <c r="X1093" s="1"/>
      <c r="Y1093" s="1"/>
      <c r="Z1093" s="1"/>
      <c r="AA1093" s="1"/>
      <c r="AB1093" s="1"/>
      <c r="AC1093" s="1"/>
      <c r="AD1093" s="1">
        <f>IF($C1093="",0,SUMPRODUCT((AY_SONU!$O$7:$O$42="Evet")*(AY_SONU!$B$7:$B$42=DATE(YEAR($C1093),MONTH($C1093),1))))</f>
        <v>0</v>
      </c>
      <c r="AE1093" s="1" t="str">
        <f>IF($E1093="","",$E1093&amp;"|"&amp;COUNTIFS($E$7:$E1093,$E1093))</f>
        <v/>
      </c>
    </row>
    <row r="1094" spans="1:31" ht="18" customHeight="1" x14ac:dyDescent="0.3">
      <c r="A1094" s="2"/>
      <c r="B1094" s="65" t="str">
        <f>IF($C1094="","","GG"&amp;TEXT(ROW()-6,"00000"))</f>
        <v/>
      </c>
      <c r="C1094" s="66"/>
      <c r="D1094" s="60"/>
      <c r="E1094" s="61"/>
      <c r="F1094" s="61"/>
      <c r="G1094" s="67"/>
      <c r="H1094" s="60"/>
      <c r="I1094" s="60"/>
      <c r="J1094" s="61"/>
      <c r="K1094" s="61"/>
      <c r="L1094" s="60"/>
      <c r="M1094" s="74" t="str">
        <f>IF($C1094="","",IF($D1094="Gider",$E1094,IF($L1094&lt;&gt;"",$L1094,$H1094)))</f>
        <v/>
      </c>
      <c r="N1094" s="74" t="str">
        <f>IF($C1094="","",IF($D1094="Gider",$H1094,$E1094))</f>
        <v/>
      </c>
      <c r="O1094" s="73" t="str">
        <f>IF($C1094="","",DATE(YEAR($C1094),MONTH($C1094),1))</f>
        <v/>
      </c>
      <c r="P1094" s="65" t="str">
        <f ca="1">IF($C1094="","",IF(AND($D1094="Gelir",$L1094&lt;&gt;"",$T1094=""),"TANIMSIZ BORÇLU",IF($T1094&lt;&gt;"",IF(OR($E1094="",$G1094&lt;=0),"EKSİK",IF($I1094="Evet","TAHAKKUK NAKİT OLAMAZ",IF($C1094&gt;TODAY(),"İLERİ TARİH","TAHAKKUK"))),IF(AND($D1094&lt;&gt;"",$E1094&lt;&gt;"",$G1094&gt;0,$H1094&lt;&gt;"",$I1094&lt;&gt;""),IF($C1094&gt;TODAY(),"İLERİ TARİH",IF(COUNTIF($W$7:$W$3001,$W1094)&gt;1,"MÜKERRER?",IF($AD1094&gt;0,"KAPALI DÖNEM",IF($I1094="Hayır","ÖDENECEK","UYGUN")))),"EKSİK"))))</f>
        <v/>
      </c>
      <c r="Q1094" s="2"/>
      <c r="R1094" s="2"/>
      <c r="S1094" s="1" t="str">
        <f t="shared" si="53"/>
        <v/>
      </c>
      <c r="T1094" s="1" t="str">
        <f>IF(OR($C1094="",$D1094&lt;&gt;"Gelir",$L1094=""),"",IFERROR(INDEX(MUSTERILER!$B$7:$B$156,MATCH($S1094,MUSTERILER!$T$7:$T$156,0)),""))</f>
        <v/>
      </c>
      <c r="U1094" s="1" t="str">
        <f>IF($T1094="","",$T1094&amp;"|"&amp;COUNTIFS($T$7:$T1094,$T1094))</f>
        <v/>
      </c>
      <c r="V1094" s="1">
        <f t="shared" si="54"/>
        <v>0</v>
      </c>
      <c r="W1094" s="1" t="str">
        <f t="shared" si="55"/>
        <v/>
      </c>
      <c r="X1094" s="1"/>
      <c r="Y1094" s="1"/>
      <c r="Z1094" s="1"/>
      <c r="AA1094" s="1"/>
      <c r="AB1094" s="1"/>
      <c r="AC1094" s="1"/>
      <c r="AD1094" s="1">
        <f>IF($C1094="",0,SUMPRODUCT((AY_SONU!$O$7:$O$42="Evet")*(AY_SONU!$B$7:$B$42=DATE(YEAR($C1094),MONTH($C1094),1))))</f>
        <v>0</v>
      </c>
      <c r="AE1094" s="1" t="str">
        <f>IF($E1094="","",$E1094&amp;"|"&amp;COUNTIFS($E$7:$E1094,$E1094))</f>
        <v/>
      </c>
    </row>
    <row r="1095" spans="1:31" ht="18" customHeight="1" x14ac:dyDescent="0.3">
      <c r="A1095" s="2"/>
      <c r="B1095" s="65" t="str">
        <f>IF($C1095="","","GG"&amp;TEXT(ROW()-6,"00000"))</f>
        <v/>
      </c>
      <c r="C1095" s="66"/>
      <c r="D1095" s="60"/>
      <c r="E1095" s="61"/>
      <c r="F1095" s="61"/>
      <c r="G1095" s="67"/>
      <c r="H1095" s="60"/>
      <c r="I1095" s="60"/>
      <c r="J1095" s="61"/>
      <c r="K1095" s="61"/>
      <c r="L1095" s="60"/>
      <c r="M1095" s="74" t="str">
        <f>IF($C1095="","",IF($D1095="Gider",$E1095,IF($L1095&lt;&gt;"",$L1095,$H1095)))</f>
        <v/>
      </c>
      <c r="N1095" s="74" t="str">
        <f>IF($C1095="","",IF($D1095="Gider",$H1095,$E1095))</f>
        <v/>
      </c>
      <c r="O1095" s="73" t="str">
        <f>IF($C1095="","",DATE(YEAR($C1095),MONTH($C1095),1))</f>
        <v/>
      </c>
      <c r="P1095" s="65" t="str">
        <f ca="1"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TARİH",IF(COUNTIF($W$7:$W$3001,$W1095)&gt;1,"MÜKERRER?",IF($AD1095&gt;0,"KAPALI DÖNEM",IF($I1095="Hayır","ÖDENECEK","UYGUN")))),"EKSİK"))))</f>
        <v/>
      </c>
      <c r="Q1095" s="2"/>
      <c r="R1095" s="2"/>
      <c r="S1095" s="1" t="str">
        <f t="shared" si="53"/>
        <v/>
      </c>
      <c r="T1095" s="1" t="str">
        <f>IF(OR($C1095="",$D1095&lt;&gt;"Gelir",$L1095=""),"",IFERROR(INDEX(MUSTERILER!$B$7:$B$156,MATCH($S1095,MUSTERILER!$T$7:$T$156,0)),""))</f>
        <v/>
      </c>
      <c r="U1095" s="1" t="str">
        <f>IF($T1095="","",$T1095&amp;"|"&amp;COUNTIFS($T$7:$T1095,$T1095))</f>
        <v/>
      </c>
      <c r="V1095" s="1">
        <f t="shared" si="54"/>
        <v>0</v>
      </c>
      <c r="W1095" s="1" t="str">
        <f t="shared" si="55"/>
        <v/>
      </c>
      <c r="X1095" s="1"/>
      <c r="Y1095" s="1"/>
      <c r="Z1095" s="1"/>
      <c r="AA1095" s="1"/>
      <c r="AB1095" s="1"/>
      <c r="AC1095" s="1"/>
      <c r="AD1095" s="1">
        <f>IF($C1095="",0,SUMPRODUCT((AY_SONU!$O$7:$O$42="Evet")*(AY_SONU!$B$7:$B$42=DATE(YEAR($C1095),MONTH($C1095),1))))</f>
        <v>0</v>
      </c>
      <c r="AE1095" s="1" t="str">
        <f>IF($E1095="","",$E1095&amp;"|"&amp;COUNTIFS($E$7:$E1095,$E1095))</f>
        <v/>
      </c>
    </row>
    <row r="1096" spans="1:31" ht="18" customHeight="1" x14ac:dyDescent="0.3">
      <c r="A1096" s="2"/>
      <c r="B1096" s="65" t="str">
        <f>IF($C1096="","","GG"&amp;TEXT(ROW()-6,"00000"))</f>
        <v/>
      </c>
      <c r="C1096" s="66"/>
      <c r="D1096" s="60"/>
      <c r="E1096" s="61"/>
      <c r="F1096" s="61"/>
      <c r="G1096" s="67"/>
      <c r="H1096" s="60"/>
      <c r="I1096" s="60"/>
      <c r="J1096" s="61"/>
      <c r="K1096" s="61"/>
      <c r="L1096" s="60"/>
      <c r="M1096" s="74" t="str">
        <f>IF($C1096="","",IF($D1096="Gider",$E1096,IF($L1096&lt;&gt;"",$L1096,$H1096)))</f>
        <v/>
      </c>
      <c r="N1096" s="74" t="str">
        <f>IF($C1096="","",IF($D1096="Gider",$H1096,$E1096))</f>
        <v/>
      </c>
      <c r="O1096" s="73" t="str">
        <f>IF($C1096="","",DATE(YEAR($C1096),MONTH($C1096),1))</f>
        <v/>
      </c>
      <c r="P1096" s="65" t="str">
        <f ca="1">IF($C1096="","",IF(AND($D1096="Gelir",$L1096&lt;&gt;"",$T1096=""),"TANIMSIZ BORÇLU",IF($T1096&lt;&gt;"",IF(OR($E1096="",$G1096&lt;=0),"EKSİK",IF($I1096="Evet","TAHAKKUK NAKİT OLAMAZ",IF($C1096&gt;TODAY(),"İLERİ TARİH","TAHAKKUK"))),IF(AND($D1096&lt;&gt;"",$E1096&lt;&gt;"",$G1096&gt;0,$H1096&lt;&gt;"",$I1096&lt;&gt;""),IF($C1096&gt;TODAY(),"İLERİ TARİH",IF(COUNTIF($W$7:$W$3001,$W1096)&gt;1,"MÜKERRER?",IF($AD1096&gt;0,"KAPALI DÖNEM",IF($I1096="Hayır","ÖDENECEK","UYGUN")))),"EKSİK"))))</f>
        <v/>
      </c>
      <c r="Q1096" s="2"/>
      <c r="R1096" s="2"/>
      <c r="S1096" s="1" t="str">
        <f t="shared" si="53"/>
        <v/>
      </c>
      <c r="T1096" s="1" t="str">
        <f>IF(OR($C1096="",$D1096&lt;&gt;"Gelir",$L1096=""),"",IFERROR(INDEX(MUSTERILER!$B$7:$B$156,MATCH($S1096,MUSTERILER!$T$7:$T$156,0)),""))</f>
        <v/>
      </c>
      <c r="U1096" s="1" t="str">
        <f>IF($T1096="","",$T1096&amp;"|"&amp;COUNTIFS($T$7:$T1096,$T1096))</f>
        <v/>
      </c>
      <c r="V1096" s="1">
        <f t="shared" si="54"/>
        <v>0</v>
      </c>
      <c r="W1096" s="1" t="str">
        <f t="shared" si="55"/>
        <v/>
      </c>
      <c r="X1096" s="1"/>
      <c r="Y1096" s="1"/>
      <c r="Z1096" s="1"/>
      <c r="AA1096" s="1"/>
      <c r="AB1096" s="1"/>
      <c r="AC1096" s="1"/>
      <c r="AD1096" s="1">
        <f>IF($C1096="",0,SUMPRODUCT((AY_SONU!$O$7:$O$42="Evet")*(AY_SONU!$B$7:$B$42=DATE(YEAR($C1096),MONTH($C1096),1))))</f>
        <v>0</v>
      </c>
      <c r="AE1096" s="1" t="str">
        <f>IF($E1096="","",$E1096&amp;"|"&amp;COUNTIFS($E$7:$E1096,$E1096))</f>
        <v/>
      </c>
    </row>
    <row r="1097" spans="1:31" ht="18" customHeight="1" x14ac:dyDescent="0.3">
      <c r="A1097" s="2"/>
      <c r="B1097" s="65" t="str">
        <f>IF($C1097="","","GG"&amp;TEXT(ROW()-6,"00000"))</f>
        <v/>
      </c>
      <c r="C1097" s="66"/>
      <c r="D1097" s="60"/>
      <c r="E1097" s="61"/>
      <c r="F1097" s="61"/>
      <c r="G1097" s="67"/>
      <c r="H1097" s="60"/>
      <c r="I1097" s="60"/>
      <c r="J1097" s="61"/>
      <c r="K1097" s="61"/>
      <c r="L1097" s="60"/>
      <c r="M1097" s="74" t="str">
        <f>IF($C1097="","",IF($D1097="Gider",$E1097,IF($L1097&lt;&gt;"",$L1097,$H1097)))</f>
        <v/>
      </c>
      <c r="N1097" s="74" t="str">
        <f>IF($C1097="","",IF($D1097="Gider",$H1097,$E1097))</f>
        <v/>
      </c>
      <c r="O1097" s="73" t="str">
        <f>IF($C1097="","",DATE(YEAR($C1097),MONTH($C1097),1))</f>
        <v/>
      </c>
      <c r="P1097" s="65" t="str">
        <f ca="1">IF($C1097="","",IF(AND($D1097="Gelir",$L1097&lt;&gt;"",$T1097=""),"TANIMSIZ BORÇLU",IF($T1097&lt;&gt;"",IF(OR($E1097="",$G1097&lt;=0),"EKSİK",IF($I1097="Evet","TAHAKKUK NAKİT OLAMAZ",IF($C1097&gt;TODAY(),"İLERİ TARİH","TAHAKKUK"))),IF(AND($D1097&lt;&gt;"",$E1097&lt;&gt;"",$G1097&gt;0,$H1097&lt;&gt;"",$I1097&lt;&gt;""),IF($C1097&gt;TODAY(),"İLERİ TARİH",IF(COUNTIF($W$7:$W$3001,$W1097)&gt;1,"MÜKERRER?",IF($AD1097&gt;0,"KAPALI DÖNEM",IF($I1097="Hayır","ÖDENECEK","UYGUN")))),"EKSİK"))))</f>
        <v/>
      </c>
      <c r="Q1097" s="2"/>
      <c r="R1097" s="2"/>
      <c r="S1097" s="1" t="str">
        <f t="shared" si="53"/>
        <v/>
      </c>
      <c r="T1097" s="1" t="str">
        <f>IF(OR($C1097="",$D1097&lt;&gt;"Gelir",$L1097=""),"",IFERROR(INDEX(MUSTERILER!$B$7:$B$156,MATCH($S1097,MUSTERILER!$T$7:$T$156,0)),""))</f>
        <v/>
      </c>
      <c r="U1097" s="1" t="str">
        <f>IF($T1097="","",$T1097&amp;"|"&amp;COUNTIFS($T$7:$T1097,$T1097))</f>
        <v/>
      </c>
      <c r="V1097" s="1">
        <f t="shared" si="54"/>
        <v>0</v>
      </c>
      <c r="W1097" s="1" t="str">
        <f t="shared" si="55"/>
        <v/>
      </c>
      <c r="X1097" s="1"/>
      <c r="Y1097" s="1"/>
      <c r="Z1097" s="1"/>
      <c r="AA1097" s="1"/>
      <c r="AB1097" s="1"/>
      <c r="AC1097" s="1"/>
      <c r="AD1097" s="1">
        <f>IF($C1097="",0,SUMPRODUCT((AY_SONU!$O$7:$O$42="Evet")*(AY_SONU!$B$7:$B$42=DATE(YEAR($C1097),MONTH($C1097),1))))</f>
        <v>0</v>
      </c>
      <c r="AE1097" s="1" t="str">
        <f>IF($E1097="","",$E1097&amp;"|"&amp;COUNTIFS($E$7:$E1097,$E1097))</f>
        <v/>
      </c>
    </row>
    <row r="1098" spans="1:31" ht="18" customHeight="1" x14ac:dyDescent="0.3">
      <c r="A1098" s="2"/>
      <c r="B1098" s="65" t="str">
        <f>IF($C1098="","","GG"&amp;TEXT(ROW()-6,"00000"))</f>
        <v/>
      </c>
      <c r="C1098" s="66"/>
      <c r="D1098" s="60"/>
      <c r="E1098" s="61"/>
      <c r="F1098" s="61"/>
      <c r="G1098" s="67"/>
      <c r="H1098" s="60"/>
      <c r="I1098" s="60"/>
      <c r="J1098" s="61"/>
      <c r="K1098" s="61"/>
      <c r="L1098" s="60"/>
      <c r="M1098" s="74" t="str">
        <f>IF($C1098="","",IF($D1098="Gider",$E1098,IF($L1098&lt;&gt;"",$L1098,$H1098)))</f>
        <v/>
      </c>
      <c r="N1098" s="74" t="str">
        <f>IF($C1098="","",IF($D1098="Gider",$H1098,$E1098))</f>
        <v/>
      </c>
      <c r="O1098" s="73" t="str">
        <f>IF($C1098="","",DATE(YEAR($C1098),MONTH($C1098),1))</f>
        <v/>
      </c>
      <c r="P1098" s="65" t="str">
        <f ca="1">IF($C1098="","",IF(AND($D1098="Gelir",$L1098&lt;&gt;"",$T1098=""),"TANIMSIZ BORÇLU",IF($T1098&lt;&gt;"",IF(OR($E1098="",$G1098&lt;=0),"EKSİK",IF($I1098="Evet","TAHAKKUK NAKİT OLAMAZ",IF($C1098&gt;TODAY(),"İLERİ TARİH","TAHAKKUK"))),IF(AND($D1098&lt;&gt;"",$E1098&lt;&gt;"",$G1098&gt;0,$H1098&lt;&gt;"",$I1098&lt;&gt;""),IF($C1098&gt;TODAY(),"İLERİ TARİH",IF(COUNTIF($W$7:$W$3001,$W1098)&gt;1,"MÜKERRER?",IF($AD1098&gt;0,"KAPALI DÖNEM",IF($I1098="Hayır","ÖDENECEK","UYGUN")))),"EKSİK"))))</f>
        <v/>
      </c>
      <c r="Q1098" s="2"/>
      <c r="R1098" s="2"/>
      <c r="S1098" s="1" t="str">
        <f t="shared" si="53"/>
        <v/>
      </c>
      <c r="T1098" s="1" t="str">
        <f>IF(OR($C1098="",$D1098&lt;&gt;"Gelir",$L1098=""),"",IFERROR(INDEX(MUSTERILER!$B$7:$B$156,MATCH($S1098,MUSTERILER!$T$7:$T$156,0)),""))</f>
        <v/>
      </c>
      <c r="U1098" s="1" t="str">
        <f>IF($T1098="","",$T1098&amp;"|"&amp;COUNTIFS($T$7:$T1098,$T1098))</f>
        <v/>
      </c>
      <c r="V1098" s="1">
        <f t="shared" si="54"/>
        <v>0</v>
      </c>
      <c r="W1098" s="1" t="str">
        <f t="shared" si="55"/>
        <v/>
      </c>
      <c r="X1098" s="1"/>
      <c r="Y1098" s="1"/>
      <c r="Z1098" s="1"/>
      <c r="AA1098" s="1"/>
      <c r="AB1098" s="1"/>
      <c r="AC1098" s="1"/>
      <c r="AD1098" s="1">
        <f>IF($C1098="",0,SUMPRODUCT((AY_SONU!$O$7:$O$42="Evet")*(AY_SONU!$B$7:$B$42=DATE(YEAR($C1098),MONTH($C1098),1))))</f>
        <v>0</v>
      </c>
      <c r="AE1098" s="1" t="str">
        <f>IF($E1098="","",$E1098&amp;"|"&amp;COUNTIFS($E$7:$E1098,$E1098))</f>
        <v/>
      </c>
    </row>
    <row r="1099" spans="1:31" ht="18" customHeight="1" x14ac:dyDescent="0.3">
      <c r="A1099" s="2"/>
      <c r="B1099" s="65" t="str">
        <f>IF($C1099="","","GG"&amp;TEXT(ROW()-6,"00000"))</f>
        <v/>
      </c>
      <c r="C1099" s="66"/>
      <c r="D1099" s="60"/>
      <c r="E1099" s="61"/>
      <c r="F1099" s="61"/>
      <c r="G1099" s="67"/>
      <c r="H1099" s="60"/>
      <c r="I1099" s="60"/>
      <c r="J1099" s="61"/>
      <c r="K1099" s="61"/>
      <c r="L1099" s="60"/>
      <c r="M1099" s="74" t="str">
        <f>IF($C1099="","",IF($D1099="Gider",$E1099,IF($L1099&lt;&gt;"",$L1099,$H1099)))</f>
        <v/>
      </c>
      <c r="N1099" s="74" t="str">
        <f>IF($C1099="","",IF($D1099="Gider",$H1099,$E1099))</f>
        <v/>
      </c>
      <c r="O1099" s="73" t="str">
        <f>IF($C1099="","",DATE(YEAR($C1099),MONTH($C1099),1))</f>
        <v/>
      </c>
      <c r="P1099" s="65" t="str">
        <f ca="1">IF($C1099="","",IF(AND($D1099="Gelir",$L1099&lt;&gt;"",$T1099=""),"TANIMSIZ BORÇLU",IF($T1099&lt;&gt;"",IF(OR($E1099="",$G1099&lt;=0),"EKSİK",IF($I1099="Evet","TAHAKKUK NAKİT OLAMAZ",IF($C1099&gt;TODAY(),"İLERİ TARİH","TAHAKKUK"))),IF(AND($D1099&lt;&gt;"",$E1099&lt;&gt;"",$G1099&gt;0,$H1099&lt;&gt;"",$I1099&lt;&gt;""),IF($C1099&gt;TODAY(),"İLERİ TARİH",IF(COUNTIF($W$7:$W$3001,$W1099)&gt;1,"MÜKERRER?",IF($AD1099&gt;0,"KAPALI DÖNEM",IF($I1099="Hayır","ÖDENECEK","UYGUN")))),"EKSİK"))))</f>
        <v/>
      </c>
      <c r="Q1099" s="2"/>
      <c r="R1099" s="2"/>
      <c r="S1099" s="1" t="str">
        <f t="shared" si="53"/>
        <v/>
      </c>
      <c r="T1099" s="1" t="str">
        <f>IF(OR($C1099="",$D1099&lt;&gt;"Gelir",$L1099=""),"",IFERROR(INDEX(MUSTERILER!$B$7:$B$156,MATCH($S1099,MUSTERILER!$T$7:$T$156,0)),""))</f>
        <v/>
      </c>
      <c r="U1099" s="1" t="str">
        <f>IF($T1099="","",$T1099&amp;"|"&amp;COUNTIFS($T$7:$T1099,$T1099))</f>
        <v/>
      </c>
      <c r="V1099" s="1">
        <f t="shared" si="54"/>
        <v>0</v>
      </c>
      <c r="W1099" s="1" t="str">
        <f t="shared" si="55"/>
        <v/>
      </c>
      <c r="X1099" s="1"/>
      <c r="Y1099" s="1"/>
      <c r="Z1099" s="1"/>
      <c r="AA1099" s="1"/>
      <c r="AB1099" s="1"/>
      <c r="AC1099" s="1"/>
      <c r="AD1099" s="1">
        <f>IF($C1099="",0,SUMPRODUCT((AY_SONU!$O$7:$O$42="Evet")*(AY_SONU!$B$7:$B$42=DATE(YEAR($C1099),MONTH($C1099),1))))</f>
        <v>0</v>
      </c>
      <c r="AE1099" s="1" t="str">
        <f>IF($E1099="","",$E1099&amp;"|"&amp;COUNTIFS($E$7:$E1099,$E1099))</f>
        <v/>
      </c>
    </row>
    <row r="1100" spans="1:31" ht="18" customHeight="1" x14ac:dyDescent="0.3">
      <c r="A1100" s="2"/>
      <c r="B1100" s="65" t="str">
        <f>IF($C1100="","","GG"&amp;TEXT(ROW()-6,"00000"))</f>
        <v/>
      </c>
      <c r="C1100" s="66"/>
      <c r="D1100" s="60"/>
      <c r="E1100" s="61"/>
      <c r="F1100" s="61"/>
      <c r="G1100" s="67"/>
      <c r="H1100" s="60"/>
      <c r="I1100" s="60"/>
      <c r="J1100" s="61"/>
      <c r="K1100" s="61"/>
      <c r="L1100" s="60"/>
      <c r="M1100" s="74" t="str">
        <f>IF($C1100="","",IF($D1100="Gider",$E1100,IF($L1100&lt;&gt;"",$L1100,$H1100)))</f>
        <v/>
      </c>
      <c r="N1100" s="74" t="str">
        <f>IF($C1100="","",IF($D1100="Gider",$H1100,$E1100))</f>
        <v/>
      </c>
      <c r="O1100" s="73" t="str">
        <f>IF($C1100="","",DATE(YEAR($C1100),MONTH($C1100),1))</f>
        <v/>
      </c>
      <c r="P1100" s="65" t="str">
        <f ca="1">IF($C1100="","",IF(AND($D1100="Gelir",$L1100&lt;&gt;"",$T1100=""),"TANIMSIZ BORÇLU",IF($T1100&lt;&gt;"",IF(OR($E1100="",$G1100&lt;=0),"EKSİK",IF($I1100="Evet","TAHAKKUK NAKİT OLAMAZ",IF($C1100&gt;TODAY(),"İLERİ TARİH","TAHAKKUK"))),IF(AND($D1100&lt;&gt;"",$E1100&lt;&gt;"",$G1100&gt;0,$H1100&lt;&gt;"",$I1100&lt;&gt;""),IF($C1100&gt;TODAY(),"İLERİ TARİH",IF(COUNTIF($W$7:$W$3001,$W1100)&gt;1,"MÜKERRER?",IF($AD1100&gt;0,"KAPALI DÖNEM",IF($I1100="Hayır","ÖDENECEK","UYGUN")))),"EKSİK"))))</f>
        <v/>
      </c>
      <c r="Q1100" s="2"/>
      <c r="R1100" s="2"/>
      <c r="S1100" s="1" t="str">
        <f t="shared" si="53"/>
        <v/>
      </c>
      <c r="T1100" s="1" t="str">
        <f>IF(OR($C1100="",$D1100&lt;&gt;"Gelir",$L1100=""),"",IFERROR(INDEX(MUSTERILER!$B$7:$B$156,MATCH($S1100,MUSTERILER!$T$7:$T$156,0)),""))</f>
        <v/>
      </c>
      <c r="U1100" s="1" t="str">
        <f>IF($T1100="","",$T1100&amp;"|"&amp;COUNTIFS($T$7:$T1100,$T1100))</f>
        <v/>
      </c>
      <c r="V1100" s="1">
        <f t="shared" si="54"/>
        <v>0</v>
      </c>
      <c r="W1100" s="1" t="str">
        <f t="shared" si="55"/>
        <v/>
      </c>
      <c r="X1100" s="1"/>
      <c r="Y1100" s="1"/>
      <c r="Z1100" s="1"/>
      <c r="AA1100" s="1"/>
      <c r="AB1100" s="1"/>
      <c r="AC1100" s="1"/>
      <c r="AD1100" s="1">
        <f>IF($C1100="",0,SUMPRODUCT((AY_SONU!$O$7:$O$42="Evet")*(AY_SONU!$B$7:$B$42=DATE(YEAR($C1100),MONTH($C1100),1))))</f>
        <v>0</v>
      </c>
      <c r="AE1100" s="1" t="str">
        <f>IF($E1100="","",$E1100&amp;"|"&amp;COUNTIFS($E$7:$E1100,$E1100))</f>
        <v/>
      </c>
    </row>
    <row r="1101" spans="1:31" ht="18" customHeight="1" x14ac:dyDescent="0.3">
      <c r="A1101" s="2"/>
      <c r="B1101" s="65" t="str">
        <f>IF($C1101="","","GG"&amp;TEXT(ROW()-6,"00000"))</f>
        <v/>
      </c>
      <c r="C1101" s="66"/>
      <c r="D1101" s="60"/>
      <c r="E1101" s="61"/>
      <c r="F1101" s="61"/>
      <c r="G1101" s="67"/>
      <c r="H1101" s="60"/>
      <c r="I1101" s="60"/>
      <c r="J1101" s="61"/>
      <c r="K1101" s="61"/>
      <c r="L1101" s="60"/>
      <c r="M1101" s="74" t="str">
        <f>IF($C1101="","",IF($D1101="Gider",$E1101,IF($L1101&lt;&gt;"",$L1101,$H1101)))</f>
        <v/>
      </c>
      <c r="N1101" s="74" t="str">
        <f>IF($C1101="","",IF($D1101="Gider",$H1101,$E1101))</f>
        <v/>
      </c>
      <c r="O1101" s="73" t="str">
        <f>IF($C1101="","",DATE(YEAR($C1101),MONTH($C1101),1))</f>
        <v/>
      </c>
      <c r="P1101" s="65" t="str">
        <f ca="1">IF($C1101="","",IF(AND($D1101="Gelir",$L1101&lt;&gt;"",$T1101=""),"TANIMSIZ BORÇLU",IF($T1101&lt;&gt;"",IF(OR($E1101="",$G1101&lt;=0),"EKSİK",IF($I1101="Evet","TAHAKKUK NAKİT OLAMAZ",IF($C1101&gt;TODAY(),"İLERİ TARİH","TAHAKKUK"))),IF(AND($D1101&lt;&gt;"",$E1101&lt;&gt;"",$G1101&gt;0,$H1101&lt;&gt;"",$I1101&lt;&gt;""),IF($C1101&gt;TODAY(),"İLERİ TARİH",IF(COUNTIF($W$7:$W$3001,$W1101)&gt;1,"MÜKERRER?",IF($AD1101&gt;0,"KAPALI DÖNEM",IF($I1101="Hayır","ÖDENECEK","UYGUN")))),"EKSİK"))))</f>
        <v/>
      </c>
      <c r="Q1101" s="2"/>
      <c r="R1101" s="2"/>
      <c r="S1101" s="1" t="str">
        <f t="shared" si="53"/>
        <v/>
      </c>
      <c r="T1101" s="1" t="str">
        <f>IF(OR($C1101="",$D1101&lt;&gt;"Gelir",$L1101=""),"",IFERROR(INDEX(MUSTERILER!$B$7:$B$156,MATCH($S1101,MUSTERILER!$T$7:$T$156,0)),""))</f>
        <v/>
      </c>
      <c r="U1101" s="1" t="str">
        <f>IF($T1101="","",$T1101&amp;"|"&amp;COUNTIFS($T$7:$T1101,$T1101))</f>
        <v/>
      </c>
      <c r="V1101" s="1">
        <f t="shared" si="54"/>
        <v>0</v>
      </c>
      <c r="W1101" s="1" t="str">
        <f t="shared" si="55"/>
        <v/>
      </c>
      <c r="X1101" s="1"/>
      <c r="Y1101" s="1"/>
      <c r="Z1101" s="1"/>
      <c r="AA1101" s="1"/>
      <c r="AB1101" s="1"/>
      <c r="AC1101" s="1"/>
      <c r="AD1101" s="1">
        <f>IF($C1101="",0,SUMPRODUCT((AY_SONU!$O$7:$O$42="Evet")*(AY_SONU!$B$7:$B$42=DATE(YEAR($C1101),MONTH($C1101),1))))</f>
        <v>0</v>
      </c>
      <c r="AE1101" s="1" t="str">
        <f>IF($E1101="","",$E1101&amp;"|"&amp;COUNTIFS($E$7:$E1101,$E1101))</f>
        <v/>
      </c>
    </row>
    <row r="1102" spans="1:31" ht="18" customHeight="1" x14ac:dyDescent="0.3">
      <c r="A1102" s="2"/>
      <c r="B1102" s="65" t="str">
        <f>IF($C1102="","","GG"&amp;TEXT(ROW()-6,"00000"))</f>
        <v/>
      </c>
      <c r="C1102" s="66"/>
      <c r="D1102" s="60"/>
      <c r="E1102" s="61"/>
      <c r="F1102" s="61"/>
      <c r="G1102" s="67"/>
      <c r="H1102" s="60"/>
      <c r="I1102" s="60"/>
      <c r="J1102" s="61"/>
      <c r="K1102" s="61"/>
      <c r="L1102" s="60"/>
      <c r="M1102" s="74" t="str">
        <f>IF($C1102="","",IF($D1102="Gider",$E1102,IF($L1102&lt;&gt;"",$L1102,$H1102)))</f>
        <v/>
      </c>
      <c r="N1102" s="74" t="str">
        <f>IF($C1102="","",IF($D1102="Gider",$H1102,$E1102))</f>
        <v/>
      </c>
      <c r="O1102" s="73" t="str">
        <f>IF($C1102="","",DATE(YEAR($C1102),MONTH($C1102),1))</f>
        <v/>
      </c>
      <c r="P1102" s="65" t="str">
        <f ca="1">IF($C1102="","",IF(AND($D1102="Gelir",$L1102&lt;&gt;"",$T1102=""),"TANIMSIZ BORÇLU",IF($T1102&lt;&gt;"",IF(OR($E1102="",$G1102&lt;=0),"EKSİK",IF($I1102="Evet","TAHAKKUK NAKİT OLAMAZ",IF($C1102&gt;TODAY(),"İLERİ TARİH","TAHAKKUK"))),IF(AND($D1102&lt;&gt;"",$E1102&lt;&gt;"",$G1102&gt;0,$H1102&lt;&gt;"",$I1102&lt;&gt;""),IF($C1102&gt;TODAY(),"İLERİ TARİH",IF(COUNTIF($W$7:$W$3001,$W1102)&gt;1,"MÜKERRER?",IF($AD1102&gt;0,"KAPALI DÖNEM",IF($I1102="Hayır","ÖDENECEK","UYGUN")))),"EKSİK"))))</f>
        <v/>
      </c>
      <c r="Q1102" s="2"/>
      <c r="R1102" s="2"/>
      <c r="S1102" s="1" t="str">
        <f t="shared" si="53"/>
        <v/>
      </c>
      <c r="T1102" s="1" t="str">
        <f>IF(OR($C1102="",$D1102&lt;&gt;"Gelir",$L1102=""),"",IFERROR(INDEX(MUSTERILER!$B$7:$B$156,MATCH($S1102,MUSTERILER!$T$7:$T$156,0)),""))</f>
        <v/>
      </c>
      <c r="U1102" s="1" t="str">
        <f>IF($T1102="","",$T1102&amp;"|"&amp;COUNTIFS($T$7:$T1102,$T1102))</f>
        <v/>
      </c>
      <c r="V1102" s="1">
        <f t="shared" si="54"/>
        <v>0</v>
      </c>
      <c r="W1102" s="1" t="str">
        <f t="shared" si="55"/>
        <v/>
      </c>
      <c r="X1102" s="1"/>
      <c r="Y1102" s="1"/>
      <c r="Z1102" s="1"/>
      <c r="AA1102" s="1"/>
      <c r="AB1102" s="1"/>
      <c r="AC1102" s="1"/>
      <c r="AD1102" s="1">
        <f>IF($C1102="",0,SUMPRODUCT((AY_SONU!$O$7:$O$42="Evet")*(AY_SONU!$B$7:$B$42=DATE(YEAR($C1102),MONTH($C1102),1))))</f>
        <v>0</v>
      </c>
      <c r="AE1102" s="1" t="str">
        <f>IF($E1102="","",$E1102&amp;"|"&amp;COUNTIFS($E$7:$E1102,$E1102))</f>
        <v/>
      </c>
    </row>
    <row r="1103" spans="1:31" ht="18" customHeight="1" x14ac:dyDescent="0.3">
      <c r="A1103" s="2"/>
      <c r="B1103" s="65" t="str">
        <f>IF($C1103="","","GG"&amp;TEXT(ROW()-6,"00000"))</f>
        <v/>
      </c>
      <c r="C1103" s="66"/>
      <c r="D1103" s="60"/>
      <c r="E1103" s="61"/>
      <c r="F1103" s="61"/>
      <c r="G1103" s="67"/>
      <c r="H1103" s="60"/>
      <c r="I1103" s="60"/>
      <c r="J1103" s="61"/>
      <c r="K1103" s="61"/>
      <c r="L1103" s="60"/>
      <c r="M1103" s="74" t="str">
        <f>IF($C1103="","",IF($D1103="Gider",$E1103,IF($L1103&lt;&gt;"",$L1103,$H1103)))</f>
        <v/>
      </c>
      <c r="N1103" s="74" t="str">
        <f>IF($C1103="","",IF($D1103="Gider",$H1103,$E1103))</f>
        <v/>
      </c>
      <c r="O1103" s="73" t="str">
        <f>IF($C1103="","",DATE(YEAR($C1103),MONTH($C1103),1))</f>
        <v/>
      </c>
      <c r="P1103" s="65" t="str">
        <f ca="1">IF($C1103="","",IF(AND($D1103="Gelir",$L1103&lt;&gt;"",$T1103=""),"TANIMSIZ BORÇLU",IF($T1103&lt;&gt;"",IF(OR($E1103="",$G1103&lt;=0),"EKSİK",IF($I1103="Evet","TAHAKKUK NAKİT OLAMAZ",IF($C1103&gt;TODAY(),"İLERİ TARİH","TAHAKKUK"))),IF(AND($D1103&lt;&gt;"",$E1103&lt;&gt;"",$G1103&gt;0,$H1103&lt;&gt;"",$I1103&lt;&gt;""),IF($C1103&gt;TODAY(),"İLERİ TARİH",IF(COUNTIF($W$7:$W$3001,$W1103)&gt;1,"MÜKERRER?",IF($AD1103&gt;0,"KAPALI DÖNEM",IF($I1103="Hayır","ÖDENECEK","UYGUN")))),"EKSİK"))))</f>
        <v/>
      </c>
      <c r="Q1103" s="2"/>
      <c r="R1103" s="2"/>
      <c r="S1103" s="1" t="str">
        <f t="shared" si="53"/>
        <v/>
      </c>
      <c r="T1103" s="1" t="str">
        <f>IF(OR($C1103="",$D1103&lt;&gt;"Gelir",$L1103=""),"",IFERROR(INDEX(MUSTERILER!$B$7:$B$156,MATCH($S1103,MUSTERILER!$T$7:$T$156,0)),""))</f>
        <v/>
      </c>
      <c r="U1103" s="1" t="str">
        <f>IF($T1103="","",$T1103&amp;"|"&amp;COUNTIFS($T$7:$T1103,$T1103))</f>
        <v/>
      </c>
      <c r="V1103" s="1">
        <f t="shared" si="54"/>
        <v>0</v>
      </c>
      <c r="W1103" s="1" t="str">
        <f t="shared" si="55"/>
        <v/>
      </c>
      <c r="X1103" s="1"/>
      <c r="Y1103" s="1"/>
      <c r="Z1103" s="1"/>
      <c r="AA1103" s="1"/>
      <c r="AB1103" s="1"/>
      <c r="AC1103" s="1"/>
      <c r="AD1103" s="1">
        <f>IF($C1103="",0,SUMPRODUCT((AY_SONU!$O$7:$O$42="Evet")*(AY_SONU!$B$7:$B$42=DATE(YEAR($C1103),MONTH($C1103),1))))</f>
        <v>0</v>
      </c>
      <c r="AE1103" s="1" t="str">
        <f>IF($E1103="","",$E1103&amp;"|"&amp;COUNTIFS($E$7:$E1103,$E1103))</f>
        <v/>
      </c>
    </row>
    <row r="1104" spans="1:31" ht="18" customHeight="1" x14ac:dyDescent="0.3">
      <c r="A1104" s="2"/>
      <c r="B1104" s="65" t="str">
        <f>IF($C1104="","","GG"&amp;TEXT(ROW()-6,"00000"))</f>
        <v/>
      </c>
      <c r="C1104" s="66"/>
      <c r="D1104" s="60"/>
      <c r="E1104" s="61"/>
      <c r="F1104" s="61"/>
      <c r="G1104" s="67"/>
      <c r="H1104" s="60"/>
      <c r="I1104" s="60"/>
      <c r="J1104" s="61"/>
      <c r="K1104" s="61"/>
      <c r="L1104" s="60"/>
      <c r="M1104" s="74" t="str">
        <f>IF($C1104="","",IF($D1104="Gider",$E1104,IF($L1104&lt;&gt;"",$L1104,$H1104)))</f>
        <v/>
      </c>
      <c r="N1104" s="74" t="str">
        <f>IF($C1104="","",IF($D1104="Gider",$H1104,$E1104))</f>
        <v/>
      </c>
      <c r="O1104" s="73" t="str">
        <f>IF($C1104="","",DATE(YEAR($C1104),MONTH($C1104),1))</f>
        <v/>
      </c>
      <c r="P1104" s="65" t="str">
        <f ca="1">IF($C1104="","",IF(AND($D1104="Gelir",$L1104&lt;&gt;"",$T1104=""),"TANIMSIZ BORÇLU",IF($T1104&lt;&gt;"",IF(OR($E1104="",$G1104&lt;=0),"EKSİK",IF($I1104="Evet","TAHAKKUK NAKİT OLAMAZ",IF($C1104&gt;TODAY(),"İLERİ TARİH","TAHAKKUK"))),IF(AND($D1104&lt;&gt;"",$E1104&lt;&gt;"",$G1104&gt;0,$H1104&lt;&gt;"",$I1104&lt;&gt;""),IF($C1104&gt;TODAY(),"İLERİ TARİH",IF(COUNTIF($W$7:$W$3001,$W1104)&gt;1,"MÜKERRER?",IF($AD1104&gt;0,"KAPALI DÖNEM",IF($I1104="Hayır","ÖDENECEK","UYGUN")))),"EKSİK"))))</f>
        <v/>
      </c>
      <c r="Q1104" s="2"/>
      <c r="R1104" s="2"/>
      <c r="S1104" s="1" t="str">
        <f t="shared" si="53"/>
        <v/>
      </c>
      <c r="T1104" s="1" t="str">
        <f>IF(OR($C1104="",$D1104&lt;&gt;"Gelir",$L1104=""),"",IFERROR(INDEX(MUSTERILER!$B$7:$B$156,MATCH($S1104,MUSTERILER!$T$7:$T$156,0)),""))</f>
        <v/>
      </c>
      <c r="U1104" s="1" t="str">
        <f>IF($T1104="","",$T1104&amp;"|"&amp;COUNTIFS($T$7:$T1104,$T1104))</f>
        <v/>
      </c>
      <c r="V1104" s="1">
        <f t="shared" si="54"/>
        <v>0</v>
      </c>
      <c r="W1104" s="1" t="str">
        <f t="shared" si="55"/>
        <v/>
      </c>
      <c r="X1104" s="1"/>
      <c r="Y1104" s="1"/>
      <c r="Z1104" s="1"/>
      <c r="AA1104" s="1"/>
      <c r="AB1104" s="1"/>
      <c r="AC1104" s="1"/>
      <c r="AD1104" s="1">
        <f>IF($C1104="",0,SUMPRODUCT((AY_SONU!$O$7:$O$42="Evet")*(AY_SONU!$B$7:$B$42=DATE(YEAR($C1104),MONTH($C1104),1))))</f>
        <v>0</v>
      </c>
      <c r="AE1104" s="1" t="str">
        <f>IF($E1104="","",$E1104&amp;"|"&amp;COUNTIFS($E$7:$E1104,$E1104))</f>
        <v/>
      </c>
    </row>
    <row r="1105" spans="1:31" ht="18" customHeight="1" x14ac:dyDescent="0.3">
      <c r="A1105" s="2"/>
      <c r="B1105" s="65" t="str">
        <f>IF($C1105="","","GG"&amp;TEXT(ROW()-6,"00000"))</f>
        <v/>
      </c>
      <c r="C1105" s="66"/>
      <c r="D1105" s="60"/>
      <c r="E1105" s="61"/>
      <c r="F1105" s="61"/>
      <c r="G1105" s="67"/>
      <c r="H1105" s="60"/>
      <c r="I1105" s="60"/>
      <c r="J1105" s="61"/>
      <c r="K1105" s="61"/>
      <c r="L1105" s="60"/>
      <c r="M1105" s="74" t="str">
        <f>IF($C1105="","",IF($D1105="Gider",$E1105,IF($L1105&lt;&gt;"",$L1105,$H1105)))</f>
        <v/>
      </c>
      <c r="N1105" s="74" t="str">
        <f>IF($C1105="","",IF($D1105="Gider",$H1105,$E1105))</f>
        <v/>
      </c>
      <c r="O1105" s="73" t="str">
        <f>IF($C1105="","",DATE(YEAR($C1105),MONTH($C1105),1))</f>
        <v/>
      </c>
      <c r="P1105" s="65" t="str">
        <f ca="1">IF($C1105="","",IF(AND($D1105="Gelir",$L1105&lt;&gt;"",$T1105=""),"TANIMSIZ BORÇLU",IF($T1105&lt;&gt;"",IF(OR($E1105="",$G1105&lt;=0),"EKSİK",IF($I1105="Evet","TAHAKKUK NAKİT OLAMAZ",IF($C1105&gt;TODAY(),"İLERİ TARİH","TAHAKKUK"))),IF(AND($D1105&lt;&gt;"",$E1105&lt;&gt;"",$G1105&gt;0,$H1105&lt;&gt;"",$I1105&lt;&gt;""),IF($C1105&gt;TODAY(),"İLERİ TARİH",IF(COUNTIF($W$7:$W$3001,$W1105)&gt;1,"MÜKERRER?",IF($AD1105&gt;0,"KAPALI DÖNEM",IF($I1105="Hayır","ÖDENECEK","UYGUN")))),"EKSİK"))))</f>
        <v/>
      </c>
      <c r="Q1105" s="2"/>
      <c r="R1105" s="2"/>
      <c r="S1105" s="1" t="str">
        <f t="shared" si="53"/>
        <v/>
      </c>
      <c r="T1105" s="1" t="str">
        <f>IF(OR($C1105="",$D1105&lt;&gt;"Gelir",$L1105=""),"",IFERROR(INDEX(MUSTERILER!$B$7:$B$156,MATCH($S1105,MUSTERILER!$T$7:$T$156,0)),""))</f>
        <v/>
      </c>
      <c r="U1105" s="1" t="str">
        <f>IF($T1105="","",$T1105&amp;"|"&amp;COUNTIFS($T$7:$T1105,$T1105))</f>
        <v/>
      </c>
      <c r="V1105" s="1">
        <f t="shared" si="54"/>
        <v>0</v>
      </c>
      <c r="W1105" s="1" t="str">
        <f t="shared" si="55"/>
        <v/>
      </c>
      <c r="X1105" s="1"/>
      <c r="Y1105" s="1"/>
      <c r="Z1105" s="1"/>
      <c r="AA1105" s="1"/>
      <c r="AB1105" s="1"/>
      <c r="AC1105" s="1"/>
      <c r="AD1105" s="1">
        <f>IF($C1105="",0,SUMPRODUCT((AY_SONU!$O$7:$O$42="Evet")*(AY_SONU!$B$7:$B$42=DATE(YEAR($C1105),MONTH($C1105),1))))</f>
        <v>0</v>
      </c>
      <c r="AE1105" s="1" t="str">
        <f>IF($E1105="","",$E1105&amp;"|"&amp;COUNTIFS($E$7:$E1105,$E1105))</f>
        <v/>
      </c>
    </row>
    <row r="1106" spans="1:31" ht="18" customHeight="1" x14ac:dyDescent="0.3">
      <c r="A1106" s="2"/>
      <c r="B1106" s="65" t="str">
        <f>IF($C1106="","","GG"&amp;TEXT(ROW()-6,"00000"))</f>
        <v/>
      </c>
      <c r="C1106" s="66"/>
      <c r="D1106" s="60"/>
      <c r="E1106" s="61"/>
      <c r="F1106" s="61"/>
      <c r="G1106" s="67"/>
      <c r="H1106" s="60"/>
      <c r="I1106" s="60"/>
      <c r="J1106" s="61"/>
      <c r="K1106" s="61"/>
      <c r="L1106" s="60"/>
      <c r="M1106" s="74" t="str">
        <f>IF($C1106="","",IF($D1106="Gider",$E1106,IF($L1106&lt;&gt;"",$L1106,$H1106)))</f>
        <v/>
      </c>
      <c r="N1106" s="74" t="str">
        <f>IF($C1106="","",IF($D1106="Gider",$H1106,$E1106))</f>
        <v/>
      </c>
      <c r="O1106" s="73" t="str">
        <f>IF($C1106="","",DATE(YEAR($C1106),MONTH($C1106),1))</f>
        <v/>
      </c>
      <c r="P1106" s="65" t="str">
        <f ca="1">IF($C1106="","",IF(AND($D1106="Gelir",$L1106&lt;&gt;"",$T1106=""),"TANIMSIZ BORÇLU",IF($T1106&lt;&gt;"",IF(OR($E1106="",$G1106&lt;=0),"EKSİK",IF($I1106="Evet","TAHAKKUK NAKİT OLAMAZ",IF($C1106&gt;TODAY(),"İLERİ TARİH","TAHAKKUK"))),IF(AND($D1106&lt;&gt;"",$E1106&lt;&gt;"",$G1106&gt;0,$H1106&lt;&gt;"",$I1106&lt;&gt;""),IF($C1106&gt;TODAY(),"İLERİ TARİH",IF(COUNTIF($W$7:$W$3001,$W1106)&gt;1,"MÜKERRER?",IF($AD1106&gt;0,"KAPALI DÖNEM",IF($I1106="Hayır","ÖDENECEK","UYGUN")))),"EKSİK"))))</f>
        <v/>
      </c>
      <c r="Q1106" s="2"/>
      <c r="R1106" s="2"/>
      <c r="S1106" s="1" t="str">
        <f t="shared" si="53"/>
        <v/>
      </c>
      <c r="T1106" s="1" t="str">
        <f>IF(OR($C1106="",$D1106&lt;&gt;"Gelir",$L1106=""),"",IFERROR(INDEX(MUSTERILER!$B$7:$B$156,MATCH($S1106,MUSTERILER!$T$7:$T$156,0)),""))</f>
        <v/>
      </c>
      <c r="U1106" s="1" t="str">
        <f>IF($T1106="","",$T1106&amp;"|"&amp;COUNTIFS($T$7:$T1106,$T1106))</f>
        <v/>
      </c>
      <c r="V1106" s="1">
        <f t="shared" si="54"/>
        <v>0</v>
      </c>
      <c r="W1106" s="1" t="str">
        <f t="shared" si="55"/>
        <v/>
      </c>
      <c r="X1106" s="1"/>
      <c r="Y1106" s="1"/>
      <c r="Z1106" s="1"/>
      <c r="AA1106" s="1"/>
      <c r="AB1106" s="1"/>
      <c r="AC1106" s="1"/>
      <c r="AD1106" s="1">
        <f>IF($C1106="",0,SUMPRODUCT((AY_SONU!$O$7:$O$42="Evet")*(AY_SONU!$B$7:$B$42=DATE(YEAR($C1106),MONTH($C1106),1))))</f>
        <v>0</v>
      </c>
      <c r="AE1106" s="1" t="str">
        <f>IF($E1106="","",$E1106&amp;"|"&amp;COUNTIFS($E$7:$E1106,$E1106))</f>
        <v/>
      </c>
    </row>
    <row r="1107" spans="1:31" ht="18" customHeight="1" x14ac:dyDescent="0.3">
      <c r="A1107" s="2"/>
      <c r="B1107" s="65" t="str">
        <f>IF($C1107="","","GG"&amp;TEXT(ROW()-6,"00000"))</f>
        <v/>
      </c>
      <c r="C1107" s="66"/>
      <c r="D1107" s="60"/>
      <c r="E1107" s="61"/>
      <c r="F1107" s="61"/>
      <c r="G1107" s="67"/>
      <c r="H1107" s="60"/>
      <c r="I1107" s="60"/>
      <c r="J1107" s="61"/>
      <c r="K1107" s="61"/>
      <c r="L1107" s="60"/>
      <c r="M1107" s="74" t="str">
        <f>IF($C1107="","",IF($D1107="Gider",$E1107,IF($L1107&lt;&gt;"",$L1107,$H1107)))</f>
        <v/>
      </c>
      <c r="N1107" s="74" t="str">
        <f>IF($C1107="","",IF($D1107="Gider",$H1107,$E1107))</f>
        <v/>
      </c>
      <c r="O1107" s="73" t="str">
        <f>IF($C1107="","",DATE(YEAR($C1107),MONTH($C1107),1))</f>
        <v/>
      </c>
      <c r="P1107" s="65" t="str">
        <f ca="1">IF($C1107="","",IF(AND($D1107="Gelir",$L1107&lt;&gt;"",$T1107=""),"TANIMSIZ BORÇLU",IF($T1107&lt;&gt;"",IF(OR($E1107="",$G1107&lt;=0),"EKSİK",IF($I1107="Evet","TAHAKKUK NAKİT OLAMAZ",IF($C1107&gt;TODAY(),"İLERİ TARİH","TAHAKKUK"))),IF(AND($D1107&lt;&gt;"",$E1107&lt;&gt;"",$G1107&gt;0,$H1107&lt;&gt;"",$I1107&lt;&gt;""),IF($C1107&gt;TODAY(),"İLERİ TARİH",IF(COUNTIF($W$7:$W$3001,$W1107)&gt;1,"MÜKERRER?",IF($AD1107&gt;0,"KAPALI DÖNEM",IF($I1107="Hayır","ÖDENECEK","UYGUN")))),"EKSİK"))))</f>
        <v/>
      </c>
      <c r="Q1107" s="2"/>
      <c r="R1107" s="2"/>
      <c r="S1107" s="1" t="str">
        <f t="shared" si="53"/>
        <v/>
      </c>
      <c r="T1107" s="1" t="str">
        <f>IF(OR($C1107="",$D1107&lt;&gt;"Gelir",$L1107=""),"",IFERROR(INDEX(MUSTERILER!$B$7:$B$156,MATCH($S1107,MUSTERILER!$T$7:$T$156,0)),""))</f>
        <v/>
      </c>
      <c r="U1107" s="1" t="str">
        <f>IF($T1107="","",$T1107&amp;"|"&amp;COUNTIFS($T$7:$T1107,$T1107))</f>
        <v/>
      </c>
      <c r="V1107" s="1">
        <f t="shared" si="54"/>
        <v>0</v>
      </c>
      <c r="W1107" s="1" t="str">
        <f t="shared" si="55"/>
        <v/>
      </c>
      <c r="X1107" s="1"/>
      <c r="Y1107" s="1"/>
      <c r="Z1107" s="1"/>
      <c r="AA1107" s="1"/>
      <c r="AB1107" s="1"/>
      <c r="AC1107" s="1"/>
      <c r="AD1107" s="1">
        <f>IF($C1107="",0,SUMPRODUCT((AY_SONU!$O$7:$O$42="Evet")*(AY_SONU!$B$7:$B$42=DATE(YEAR($C1107),MONTH($C1107),1))))</f>
        <v>0</v>
      </c>
      <c r="AE1107" s="1" t="str">
        <f>IF($E1107="","",$E1107&amp;"|"&amp;COUNTIFS($E$7:$E1107,$E1107))</f>
        <v/>
      </c>
    </row>
    <row r="1108" spans="1:31" ht="18" customHeight="1" x14ac:dyDescent="0.3">
      <c r="A1108" s="2"/>
      <c r="B1108" s="65" t="str">
        <f>IF($C1108="","","GG"&amp;TEXT(ROW()-6,"00000"))</f>
        <v/>
      </c>
      <c r="C1108" s="66"/>
      <c r="D1108" s="60"/>
      <c r="E1108" s="61"/>
      <c r="F1108" s="61"/>
      <c r="G1108" s="67"/>
      <c r="H1108" s="60"/>
      <c r="I1108" s="60"/>
      <c r="J1108" s="61"/>
      <c r="K1108" s="61"/>
      <c r="L1108" s="60"/>
      <c r="M1108" s="74" t="str">
        <f>IF($C1108="","",IF($D1108="Gider",$E1108,IF($L1108&lt;&gt;"",$L1108,$H1108)))</f>
        <v/>
      </c>
      <c r="N1108" s="74" t="str">
        <f>IF($C1108="","",IF($D1108="Gider",$H1108,$E1108))</f>
        <v/>
      </c>
      <c r="O1108" s="73" t="str">
        <f>IF($C1108="","",DATE(YEAR($C1108),MONTH($C1108),1))</f>
        <v/>
      </c>
      <c r="P1108" s="65" t="str">
        <f ca="1">IF($C1108="","",IF(AND($D1108="Gelir",$L1108&lt;&gt;"",$T1108=""),"TANIMSIZ BORÇLU",IF($T1108&lt;&gt;"",IF(OR($E1108="",$G1108&lt;=0),"EKSİK",IF($I1108="Evet","TAHAKKUK NAKİT OLAMAZ",IF($C1108&gt;TODAY(),"İLERİ TARİH","TAHAKKUK"))),IF(AND($D1108&lt;&gt;"",$E1108&lt;&gt;"",$G1108&gt;0,$H1108&lt;&gt;"",$I1108&lt;&gt;""),IF($C1108&gt;TODAY(),"İLERİ TARİH",IF(COUNTIF($W$7:$W$3001,$W1108)&gt;1,"MÜKERRER?",IF($AD1108&gt;0,"KAPALI DÖNEM",IF($I1108="Hayır","ÖDENECEK","UYGUN")))),"EKSİK"))))</f>
        <v/>
      </c>
      <c r="Q1108" s="2"/>
      <c r="R1108" s="2"/>
      <c r="S1108" s="1" t="str">
        <f t="shared" si="53"/>
        <v/>
      </c>
      <c r="T1108" s="1" t="str">
        <f>IF(OR($C1108="",$D1108&lt;&gt;"Gelir",$L1108=""),"",IFERROR(INDEX(MUSTERILER!$B$7:$B$156,MATCH($S1108,MUSTERILER!$T$7:$T$156,0)),""))</f>
        <v/>
      </c>
      <c r="U1108" s="1" t="str">
        <f>IF($T1108="","",$T1108&amp;"|"&amp;COUNTIFS($T$7:$T1108,$T1108))</f>
        <v/>
      </c>
      <c r="V1108" s="1">
        <f t="shared" si="54"/>
        <v>0</v>
      </c>
      <c r="W1108" s="1" t="str">
        <f t="shared" si="55"/>
        <v/>
      </c>
      <c r="X1108" s="1"/>
      <c r="Y1108" s="1"/>
      <c r="Z1108" s="1"/>
      <c r="AA1108" s="1"/>
      <c r="AB1108" s="1"/>
      <c r="AC1108" s="1"/>
      <c r="AD1108" s="1">
        <f>IF($C1108="",0,SUMPRODUCT((AY_SONU!$O$7:$O$42="Evet")*(AY_SONU!$B$7:$B$42=DATE(YEAR($C1108),MONTH($C1108),1))))</f>
        <v>0</v>
      </c>
      <c r="AE1108" s="1" t="str">
        <f>IF($E1108="","",$E1108&amp;"|"&amp;COUNTIFS($E$7:$E1108,$E1108))</f>
        <v/>
      </c>
    </row>
    <row r="1109" spans="1:31" ht="18" customHeight="1" x14ac:dyDescent="0.3">
      <c r="A1109" s="2"/>
      <c r="B1109" s="65" t="str">
        <f>IF($C1109="","","GG"&amp;TEXT(ROW()-6,"00000"))</f>
        <v/>
      </c>
      <c r="C1109" s="66"/>
      <c r="D1109" s="60"/>
      <c r="E1109" s="61"/>
      <c r="F1109" s="61"/>
      <c r="G1109" s="67"/>
      <c r="H1109" s="60"/>
      <c r="I1109" s="60"/>
      <c r="J1109" s="61"/>
      <c r="K1109" s="61"/>
      <c r="L1109" s="60"/>
      <c r="M1109" s="74" t="str">
        <f>IF($C1109="","",IF($D1109="Gider",$E1109,IF($L1109&lt;&gt;"",$L1109,$H1109)))</f>
        <v/>
      </c>
      <c r="N1109" s="74" t="str">
        <f>IF($C1109="","",IF($D1109="Gider",$H1109,$E1109))</f>
        <v/>
      </c>
      <c r="O1109" s="73" t="str">
        <f>IF($C1109="","",DATE(YEAR($C1109),MONTH($C1109),1))</f>
        <v/>
      </c>
      <c r="P1109" s="65" t="str">
        <f ca="1">IF($C1109="","",IF(AND($D1109="Gelir",$L1109&lt;&gt;"",$T1109=""),"TANIMSIZ BORÇLU",IF($T1109&lt;&gt;"",IF(OR($E1109="",$G1109&lt;=0),"EKSİK",IF($I1109="Evet","TAHAKKUK NAKİT OLAMAZ",IF($C1109&gt;TODAY(),"İLERİ TARİH","TAHAKKUK"))),IF(AND($D1109&lt;&gt;"",$E1109&lt;&gt;"",$G1109&gt;0,$H1109&lt;&gt;"",$I1109&lt;&gt;""),IF($C1109&gt;TODAY(),"İLERİ TARİH",IF(COUNTIF($W$7:$W$3001,$W1109)&gt;1,"MÜKERRER?",IF($AD1109&gt;0,"KAPALI DÖNEM",IF($I1109="Hayır","ÖDENECEK","UYGUN")))),"EKSİK"))))</f>
        <v/>
      </c>
      <c r="Q1109" s="2"/>
      <c r="R1109" s="2"/>
      <c r="S1109" s="1" t="str">
        <f t="shared" si="53"/>
        <v/>
      </c>
      <c r="T1109" s="1" t="str">
        <f>IF(OR($C1109="",$D1109&lt;&gt;"Gelir",$L1109=""),"",IFERROR(INDEX(MUSTERILER!$B$7:$B$156,MATCH($S1109,MUSTERILER!$T$7:$T$156,0)),""))</f>
        <v/>
      </c>
      <c r="U1109" s="1" t="str">
        <f>IF($T1109="","",$T1109&amp;"|"&amp;COUNTIFS($T$7:$T1109,$T1109))</f>
        <v/>
      </c>
      <c r="V1109" s="1">
        <f t="shared" si="54"/>
        <v>0</v>
      </c>
      <c r="W1109" s="1" t="str">
        <f t="shared" si="55"/>
        <v/>
      </c>
      <c r="X1109" s="1"/>
      <c r="Y1109" s="1"/>
      <c r="Z1109" s="1"/>
      <c r="AA1109" s="1"/>
      <c r="AB1109" s="1"/>
      <c r="AC1109" s="1"/>
      <c r="AD1109" s="1">
        <f>IF($C1109="",0,SUMPRODUCT((AY_SONU!$O$7:$O$42="Evet")*(AY_SONU!$B$7:$B$42=DATE(YEAR($C1109),MONTH($C1109),1))))</f>
        <v>0</v>
      </c>
      <c r="AE1109" s="1" t="str">
        <f>IF($E1109="","",$E1109&amp;"|"&amp;COUNTIFS($E$7:$E1109,$E1109))</f>
        <v/>
      </c>
    </row>
    <row r="1110" spans="1:31" ht="18" customHeight="1" x14ac:dyDescent="0.3">
      <c r="A1110" s="2"/>
      <c r="B1110" s="65" t="str">
        <f>IF($C1110="","","GG"&amp;TEXT(ROW()-6,"00000"))</f>
        <v/>
      </c>
      <c r="C1110" s="66"/>
      <c r="D1110" s="60"/>
      <c r="E1110" s="61"/>
      <c r="F1110" s="61"/>
      <c r="G1110" s="67"/>
      <c r="H1110" s="60"/>
      <c r="I1110" s="60"/>
      <c r="J1110" s="61"/>
      <c r="K1110" s="61"/>
      <c r="L1110" s="60"/>
      <c r="M1110" s="74" t="str">
        <f>IF($C1110="","",IF($D1110="Gider",$E1110,IF($L1110&lt;&gt;"",$L1110,$H1110)))</f>
        <v/>
      </c>
      <c r="N1110" s="74" t="str">
        <f>IF($C1110="","",IF($D1110="Gider",$H1110,$E1110))</f>
        <v/>
      </c>
      <c r="O1110" s="73" t="str">
        <f>IF($C1110="","",DATE(YEAR($C1110),MONTH($C1110),1))</f>
        <v/>
      </c>
      <c r="P1110" s="65" t="str">
        <f ca="1">IF($C1110="","",IF(AND($D1110="Gelir",$L1110&lt;&gt;"",$T1110=""),"TANIMSIZ BORÇLU",IF($T1110&lt;&gt;"",IF(OR($E1110="",$G1110&lt;=0),"EKSİK",IF($I1110="Evet","TAHAKKUK NAKİT OLAMAZ",IF($C1110&gt;TODAY(),"İLERİ TARİH","TAHAKKUK"))),IF(AND($D1110&lt;&gt;"",$E1110&lt;&gt;"",$G1110&gt;0,$H1110&lt;&gt;"",$I1110&lt;&gt;""),IF($C1110&gt;TODAY(),"İLERİ TARİH",IF(COUNTIF($W$7:$W$3001,$W1110)&gt;1,"MÜKERRER?",IF($AD1110&gt;0,"KAPALI DÖNEM",IF($I1110="Hayır","ÖDENECEK","UYGUN")))),"EKSİK"))))</f>
        <v/>
      </c>
      <c r="Q1110" s="2"/>
      <c r="R1110" s="2"/>
      <c r="S1110" s="1" t="str">
        <f t="shared" si="53"/>
        <v/>
      </c>
      <c r="T1110" s="1" t="str">
        <f>IF(OR($C1110="",$D1110&lt;&gt;"Gelir",$L1110=""),"",IFERROR(INDEX(MUSTERILER!$B$7:$B$156,MATCH($S1110,MUSTERILER!$T$7:$T$156,0)),""))</f>
        <v/>
      </c>
      <c r="U1110" s="1" t="str">
        <f>IF($T1110="","",$T1110&amp;"|"&amp;COUNTIFS($T$7:$T1110,$T1110))</f>
        <v/>
      </c>
      <c r="V1110" s="1">
        <f t="shared" si="54"/>
        <v>0</v>
      </c>
      <c r="W1110" s="1" t="str">
        <f t="shared" si="55"/>
        <v/>
      </c>
      <c r="X1110" s="1"/>
      <c r="Y1110" s="1"/>
      <c r="Z1110" s="1"/>
      <c r="AA1110" s="1"/>
      <c r="AB1110" s="1"/>
      <c r="AC1110" s="1"/>
      <c r="AD1110" s="1">
        <f>IF($C1110="",0,SUMPRODUCT((AY_SONU!$O$7:$O$42="Evet")*(AY_SONU!$B$7:$B$42=DATE(YEAR($C1110),MONTH($C1110),1))))</f>
        <v>0</v>
      </c>
      <c r="AE1110" s="1" t="str">
        <f>IF($E1110="","",$E1110&amp;"|"&amp;COUNTIFS($E$7:$E1110,$E1110))</f>
        <v/>
      </c>
    </row>
    <row r="1111" spans="1:31" ht="18" customHeight="1" x14ac:dyDescent="0.3">
      <c r="A1111" s="2"/>
      <c r="B1111" s="65" t="str">
        <f>IF($C1111="","","GG"&amp;TEXT(ROW()-6,"00000"))</f>
        <v/>
      </c>
      <c r="C1111" s="66"/>
      <c r="D1111" s="60"/>
      <c r="E1111" s="61"/>
      <c r="F1111" s="61"/>
      <c r="G1111" s="67"/>
      <c r="H1111" s="60"/>
      <c r="I1111" s="60"/>
      <c r="J1111" s="61"/>
      <c r="K1111" s="61"/>
      <c r="L1111" s="60"/>
      <c r="M1111" s="74" t="str">
        <f>IF($C1111="","",IF($D1111="Gider",$E1111,IF($L1111&lt;&gt;"",$L1111,$H1111)))</f>
        <v/>
      </c>
      <c r="N1111" s="74" t="str">
        <f>IF($C1111="","",IF($D1111="Gider",$H1111,$E1111))</f>
        <v/>
      </c>
      <c r="O1111" s="73" t="str">
        <f>IF($C1111="","",DATE(YEAR($C1111),MONTH($C1111),1))</f>
        <v/>
      </c>
      <c r="P1111" s="65" t="str">
        <f ca="1">IF($C1111="","",IF(AND($D1111="Gelir",$L1111&lt;&gt;"",$T1111=""),"TANIMSIZ BORÇLU",IF($T1111&lt;&gt;"",IF(OR($E1111="",$G1111&lt;=0),"EKSİK",IF($I1111="Evet","TAHAKKUK NAKİT OLAMAZ",IF($C1111&gt;TODAY(),"İLERİ TARİH","TAHAKKUK"))),IF(AND($D1111&lt;&gt;"",$E1111&lt;&gt;"",$G1111&gt;0,$H1111&lt;&gt;"",$I1111&lt;&gt;""),IF($C1111&gt;TODAY(),"İLERİ TARİH",IF(COUNTIF($W$7:$W$3001,$W1111)&gt;1,"MÜKERRER?",IF($AD1111&gt;0,"KAPALI DÖNEM",IF($I1111="Hayır","ÖDENECEK","UYGUN")))),"EKSİK"))))</f>
        <v/>
      </c>
      <c r="Q1111" s="2"/>
      <c r="R1111" s="2"/>
      <c r="S1111" s="1" t="str">
        <f t="shared" si="53"/>
        <v/>
      </c>
      <c r="T1111" s="1" t="str">
        <f>IF(OR($C1111="",$D1111&lt;&gt;"Gelir",$L1111=""),"",IFERROR(INDEX(MUSTERILER!$B$7:$B$156,MATCH($S1111,MUSTERILER!$T$7:$T$156,0)),""))</f>
        <v/>
      </c>
      <c r="U1111" s="1" t="str">
        <f>IF($T1111="","",$T1111&amp;"|"&amp;COUNTIFS($T$7:$T1111,$T1111))</f>
        <v/>
      </c>
      <c r="V1111" s="1">
        <f t="shared" si="54"/>
        <v>0</v>
      </c>
      <c r="W1111" s="1" t="str">
        <f t="shared" si="55"/>
        <v/>
      </c>
      <c r="X1111" s="1"/>
      <c r="Y1111" s="1"/>
      <c r="Z1111" s="1"/>
      <c r="AA1111" s="1"/>
      <c r="AB1111" s="1"/>
      <c r="AC1111" s="1"/>
      <c r="AD1111" s="1">
        <f>IF($C1111="",0,SUMPRODUCT((AY_SONU!$O$7:$O$42="Evet")*(AY_SONU!$B$7:$B$42=DATE(YEAR($C1111),MONTH($C1111),1))))</f>
        <v>0</v>
      </c>
      <c r="AE1111" s="1" t="str">
        <f>IF($E1111="","",$E1111&amp;"|"&amp;COUNTIFS($E$7:$E1111,$E1111))</f>
        <v/>
      </c>
    </row>
    <row r="1112" spans="1:31" ht="18" customHeight="1" x14ac:dyDescent="0.3">
      <c r="A1112" s="2"/>
      <c r="B1112" s="65" t="str">
        <f>IF($C1112="","","GG"&amp;TEXT(ROW()-6,"00000"))</f>
        <v/>
      </c>
      <c r="C1112" s="66"/>
      <c r="D1112" s="60"/>
      <c r="E1112" s="61"/>
      <c r="F1112" s="61"/>
      <c r="G1112" s="67"/>
      <c r="H1112" s="60"/>
      <c r="I1112" s="60"/>
      <c r="J1112" s="61"/>
      <c r="K1112" s="61"/>
      <c r="L1112" s="60"/>
      <c r="M1112" s="74" t="str">
        <f>IF($C1112="","",IF($D1112="Gider",$E1112,IF($L1112&lt;&gt;"",$L1112,$H1112)))</f>
        <v/>
      </c>
      <c r="N1112" s="74" t="str">
        <f>IF($C1112="","",IF($D1112="Gider",$H1112,$E1112))</f>
        <v/>
      </c>
      <c r="O1112" s="73" t="str">
        <f>IF($C1112="","",DATE(YEAR($C1112),MONTH($C1112),1))</f>
        <v/>
      </c>
      <c r="P1112" s="65" t="str">
        <f ca="1">IF($C1112="","",IF(AND($D1112="Gelir",$L1112&lt;&gt;"",$T1112=""),"TANIMSIZ BORÇLU",IF($T1112&lt;&gt;"",IF(OR($E1112="",$G1112&lt;=0),"EKSİK",IF($I1112="Evet","TAHAKKUK NAKİT OLAMAZ",IF($C1112&gt;TODAY(),"İLERİ TARİH","TAHAKKUK"))),IF(AND($D1112&lt;&gt;"",$E1112&lt;&gt;"",$G1112&gt;0,$H1112&lt;&gt;"",$I1112&lt;&gt;""),IF($C1112&gt;TODAY(),"İLERİ TARİH",IF(COUNTIF($W$7:$W$3001,$W1112)&gt;1,"MÜKERRER?",IF($AD1112&gt;0,"KAPALI DÖNEM",IF($I1112="Hayır","ÖDENECEK","UYGUN")))),"EKSİK"))))</f>
        <v/>
      </c>
      <c r="Q1112" s="2"/>
      <c r="R1112" s="2"/>
      <c r="S1112" s="1" t="str">
        <f t="shared" si="53"/>
        <v/>
      </c>
      <c r="T1112" s="1" t="str">
        <f>IF(OR($C1112="",$D1112&lt;&gt;"Gelir",$L1112=""),"",IFERROR(INDEX(MUSTERILER!$B$7:$B$156,MATCH($S1112,MUSTERILER!$T$7:$T$156,0)),""))</f>
        <v/>
      </c>
      <c r="U1112" s="1" t="str">
        <f>IF($T1112="","",$T1112&amp;"|"&amp;COUNTIFS($T$7:$T1112,$T1112))</f>
        <v/>
      </c>
      <c r="V1112" s="1">
        <f t="shared" si="54"/>
        <v>0</v>
      </c>
      <c r="W1112" s="1" t="str">
        <f t="shared" si="55"/>
        <v/>
      </c>
      <c r="X1112" s="1"/>
      <c r="Y1112" s="1"/>
      <c r="Z1112" s="1"/>
      <c r="AA1112" s="1"/>
      <c r="AB1112" s="1"/>
      <c r="AC1112" s="1"/>
      <c r="AD1112" s="1">
        <f>IF($C1112="",0,SUMPRODUCT((AY_SONU!$O$7:$O$42="Evet")*(AY_SONU!$B$7:$B$42=DATE(YEAR($C1112),MONTH($C1112),1))))</f>
        <v>0</v>
      </c>
      <c r="AE1112" s="1" t="str">
        <f>IF($E1112="","",$E1112&amp;"|"&amp;COUNTIFS($E$7:$E1112,$E1112))</f>
        <v/>
      </c>
    </row>
    <row r="1113" spans="1:31" ht="18" customHeight="1" x14ac:dyDescent="0.3">
      <c r="A1113" s="2"/>
      <c r="B1113" s="65" t="str">
        <f>IF($C1113="","","GG"&amp;TEXT(ROW()-6,"00000"))</f>
        <v/>
      </c>
      <c r="C1113" s="66"/>
      <c r="D1113" s="60"/>
      <c r="E1113" s="61"/>
      <c r="F1113" s="61"/>
      <c r="G1113" s="67"/>
      <c r="H1113" s="60"/>
      <c r="I1113" s="60"/>
      <c r="J1113" s="61"/>
      <c r="K1113" s="61"/>
      <c r="L1113" s="60"/>
      <c r="M1113" s="74" t="str">
        <f>IF($C1113="","",IF($D1113="Gider",$E1113,IF($L1113&lt;&gt;"",$L1113,$H1113)))</f>
        <v/>
      </c>
      <c r="N1113" s="74" t="str">
        <f>IF($C1113="","",IF($D1113="Gider",$H1113,$E1113))</f>
        <v/>
      </c>
      <c r="O1113" s="73" t="str">
        <f>IF($C1113="","",DATE(YEAR($C1113),MONTH($C1113),1))</f>
        <v/>
      </c>
      <c r="P1113" s="65" t="str">
        <f ca="1">IF($C1113="","",IF(AND($D1113="Gelir",$L1113&lt;&gt;"",$T1113=""),"TANIMSIZ BORÇLU",IF($T1113&lt;&gt;"",IF(OR($E1113="",$G1113&lt;=0),"EKSİK",IF($I1113="Evet","TAHAKKUK NAKİT OLAMAZ",IF($C1113&gt;TODAY(),"İLERİ TARİH","TAHAKKUK"))),IF(AND($D1113&lt;&gt;"",$E1113&lt;&gt;"",$G1113&gt;0,$H1113&lt;&gt;"",$I1113&lt;&gt;""),IF($C1113&gt;TODAY(),"İLERİ TARİH",IF(COUNTIF($W$7:$W$3001,$W1113)&gt;1,"MÜKERRER?",IF($AD1113&gt;0,"KAPALI DÖNEM",IF($I1113="Hayır","ÖDENECEK","UYGUN")))),"EKSİK"))))</f>
        <v/>
      </c>
      <c r="Q1113" s="2"/>
      <c r="R1113" s="2"/>
      <c r="S1113" s="1" t="str">
        <f t="shared" si="53"/>
        <v/>
      </c>
      <c r="T1113" s="1" t="str">
        <f>IF(OR($C1113="",$D1113&lt;&gt;"Gelir",$L1113=""),"",IFERROR(INDEX(MUSTERILER!$B$7:$B$156,MATCH($S1113,MUSTERILER!$T$7:$T$156,0)),""))</f>
        <v/>
      </c>
      <c r="U1113" s="1" t="str">
        <f>IF($T1113="","",$T1113&amp;"|"&amp;COUNTIFS($T$7:$T1113,$T1113))</f>
        <v/>
      </c>
      <c r="V1113" s="1">
        <f t="shared" si="54"/>
        <v>0</v>
      </c>
      <c r="W1113" s="1" t="str">
        <f t="shared" si="55"/>
        <v/>
      </c>
      <c r="X1113" s="1"/>
      <c r="Y1113" s="1"/>
      <c r="Z1113" s="1"/>
      <c r="AA1113" s="1"/>
      <c r="AB1113" s="1"/>
      <c r="AC1113" s="1"/>
      <c r="AD1113" s="1">
        <f>IF($C1113="",0,SUMPRODUCT((AY_SONU!$O$7:$O$42="Evet")*(AY_SONU!$B$7:$B$42=DATE(YEAR($C1113),MONTH($C1113),1))))</f>
        <v>0</v>
      </c>
      <c r="AE1113" s="1" t="str">
        <f>IF($E1113="","",$E1113&amp;"|"&amp;COUNTIFS($E$7:$E1113,$E1113))</f>
        <v/>
      </c>
    </row>
    <row r="1114" spans="1:31" ht="18" customHeight="1" x14ac:dyDescent="0.3">
      <c r="A1114" s="2"/>
      <c r="B1114" s="65" t="str">
        <f>IF($C1114="","","GG"&amp;TEXT(ROW()-6,"00000"))</f>
        <v/>
      </c>
      <c r="C1114" s="66"/>
      <c r="D1114" s="60"/>
      <c r="E1114" s="61"/>
      <c r="F1114" s="61"/>
      <c r="G1114" s="67"/>
      <c r="H1114" s="60"/>
      <c r="I1114" s="60"/>
      <c r="J1114" s="61"/>
      <c r="K1114" s="61"/>
      <c r="L1114" s="60"/>
      <c r="M1114" s="74" t="str">
        <f>IF($C1114="","",IF($D1114="Gider",$E1114,IF($L1114&lt;&gt;"",$L1114,$H1114)))</f>
        <v/>
      </c>
      <c r="N1114" s="74" t="str">
        <f>IF($C1114="","",IF($D1114="Gider",$H1114,$E1114))</f>
        <v/>
      </c>
      <c r="O1114" s="73" t="str">
        <f>IF($C1114="","",DATE(YEAR($C1114),MONTH($C1114),1))</f>
        <v/>
      </c>
      <c r="P1114" s="65" t="str">
        <f ca="1">IF($C1114="","",IF(AND($D1114="Gelir",$L1114&lt;&gt;"",$T1114=""),"TANIMSIZ BORÇLU",IF($T1114&lt;&gt;"",IF(OR($E1114="",$G1114&lt;=0),"EKSİK",IF($I1114="Evet","TAHAKKUK NAKİT OLAMAZ",IF($C1114&gt;TODAY(),"İLERİ TARİH","TAHAKKUK"))),IF(AND($D1114&lt;&gt;"",$E1114&lt;&gt;"",$G1114&gt;0,$H1114&lt;&gt;"",$I1114&lt;&gt;""),IF($C1114&gt;TODAY(),"İLERİ TARİH",IF(COUNTIF($W$7:$W$3001,$W1114)&gt;1,"MÜKERRER?",IF($AD1114&gt;0,"KAPALI DÖNEM",IF($I1114="Hayır","ÖDENECEK","UYGUN")))),"EKSİK"))))</f>
        <v/>
      </c>
      <c r="Q1114" s="2"/>
      <c r="R1114" s="2"/>
      <c r="S1114" s="1" t="str">
        <f t="shared" si="53"/>
        <v/>
      </c>
      <c r="T1114" s="1" t="str">
        <f>IF(OR($C1114="",$D1114&lt;&gt;"Gelir",$L1114=""),"",IFERROR(INDEX(MUSTERILER!$B$7:$B$156,MATCH($S1114,MUSTERILER!$T$7:$T$156,0)),""))</f>
        <v/>
      </c>
      <c r="U1114" s="1" t="str">
        <f>IF($T1114="","",$T1114&amp;"|"&amp;COUNTIFS($T$7:$T1114,$T1114))</f>
        <v/>
      </c>
      <c r="V1114" s="1">
        <f t="shared" si="54"/>
        <v>0</v>
      </c>
      <c r="W1114" s="1" t="str">
        <f t="shared" si="55"/>
        <v/>
      </c>
      <c r="X1114" s="1"/>
      <c r="Y1114" s="1"/>
      <c r="Z1114" s="1"/>
      <c r="AA1114" s="1"/>
      <c r="AB1114" s="1"/>
      <c r="AC1114" s="1"/>
      <c r="AD1114" s="1">
        <f>IF($C1114="",0,SUMPRODUCT((AY_SONU!$O$7:$O$42="Evet")*(AY_SONU!$B$7:$B$42=DATE(YEAR($C1114),MONTH($C1114),1))))</f>
        <v>0</v>
      </c>
      <c r="AE1114" s="1" t="str">
        <f>IF($E1114="","",$E1114&amp;"|"&amp;COUNTIFS($E$7:$E1114,$E1114))</f>
        <v/>
      </c>
    </row>
    <row r="1115" spans="1:31" ht="18" customHeight="1" x14ac:dyDescent="0.3">
      <c r="A1115" s="2"/>
      <c r="B1115" s="65" t="str">
        <f>IF($C1115="","","GG"&amp;TEXT(ROW()-6,"00000"))</f>
        <v/>
      </c>
      <c r="C1115" s="66"/>
      <c r="D1115" s="60"/>
      <c r="E1115" s="61"/>
      <c r="F1115" s="61"/>
      <c r="G1115" s="67"/>
      <c r="H1115" s="60"/>
      <c r="I1115" s="60"/>
      <c r="J1115" s="61"/>
      <c r="K1115" s="61"/>
      <c r="L1115" s="60"/>
      <c r="M1115" s="74" t="str">
        <f>IF($C1115="","",IF($D1115="Gider",$E1115,IF($L1115&lt;&gt;"",$L1115,$H1115)))</f>
        <v/>
      </c>
      <c r="N1115" s="74" t="str">
        <f>IF($C1115="","",IF($D1115="Gider",$H1115,$E1115))</f>
        <v/>
      </c>
      <c r="O1115" s="73" t="str">
        <f>IF($C1115="","",DATE(YEAR($C1115),MONTH($C1115),1))</f>
        <v/>
      </c>
      <c r="P1115" s="65" t="str">
        <f ca="1">IF($C1115="","",IF(AND($D1115="Gelir",$L1115&lt;&gt;"",$T1115=""),"TANIMSIZ BORÇLU",IF($T1115&lt;&gt;"",IF(OR($E1115="",$G1115&lt;=0),"EKSİK",IF($I1115="Evet","TAHAKKUK NAKİT OLAMAZ",IF($C1115&gt;TODAY(),"İLERİ TARİH","TAHAKKUK"))),IF(AND($D1115&lt;&gt;"",$E1115&lt;&gt;"",$G1115&gt;0,$H1115&lt;&gt;"",$I1115&lt;&gt;""),IF($C1115&gt;TODAY(),"İLERİ TARİH",IF(COUNTIF($W$7:$W$3001,$W1115)&gt;1,"MÜKERRER?",IF($AD1115&gt;0,"KAPALI DÖNEM",IF($I1115="Hayır","ÖDENECEK","UYGUN")))),"EKSİK"))))</f>
        <v/>
      </c>
      <c r="Q1115" s="2"/>
      <c r="R1115" s="2"/>
      <c r="S1115" s="1" t="str">
        <f t="shared" si="53"/>
        <v/>
      </c>
      <c r="T1115" s="1" t="str">
        <f>IF(OR($C1115="",$D1115&lt;&gt;"Gelir",$L1115=""),"",IFERROR(INDEX(MUSTERILER!$B$7:$B$156,MATCH($S1115,MUSTERILER!$T$7:$T$156,0)),""))</f>
        <v/>
      </c>
      <c r="U1115" s="1" t="str">
        <f>IF($T1115="","",$T1115&amp;"|"&amp;COUNTIFS($T$7:$T1115,$T1115))</f>
        <v/>
      </c>
      <c r="V1115" s="1">
        <f t="shared" si="54"/>
        <v>0</v>
      </c>
      <c r="W1115" s="1" t="str">
        <f t="shared" si="55"/>
        <v/>
      </c>
      <c r="X1115" s="1"/>
      <c r="Y1115" s="1"/>
      <c r="Z1115" s="1"/>
      <c r="AA1115" s="1"/>
      <c r="AB1115" s="1"/>
      <c r="AC1115" s="1"/>
      <c r="AD1115" s="1">
        <f>IF($C1115="",0,SUMPRODUCT((AY_SONU!$O$7:$O$42="Evet")*(AY_SONU!$B$7:$B$42=DATE(YEAR($C1115),MONTH($C1115),1))))</f>
        <v>0</v>
      </c>
      <c r="AE1115" s="1" t="str">
        <f>IF($E1115="","",$E1115&amp;"|"&amp;COUNTIFS($E$7:$E1115,$E1115))</f>
        <v/>
      </c>
    </row>
    <row r="1116" spans="1:31" ht="18" customHeight="1" x14ac:dyDescent="0.3">
      <c r="A1116" s="2"/>
      <c r="B1116" s="65" t="str">
        <f>IF($C1116="","","GG"&amp;TEXT(ROW()-6,"00000"))</f>
        <v/>
      </c>
      <c r="C1116" s="66"/>
      <c r="D1116" s="60"/>
      <c r="E1116" s="61"/>
      <c r="F1116" s="61"/>
      <c r="G1116" s="67"/>
      <c r="H1116" s="60"/>
      <c r="I1116" s="60"/>
      <c r="J1116" s="61"/>
      <c r="K1116" s="61"/>
      <c r="L1116" s="60"/>
      <c r="M1116" s="74" t="str">
        <f>IF($C1116="","",IF($D1116="Gider",$E1116,IF($L1116&lt;&gt;"",$L1116,$H1116)))</f>
        <v/>
      </c>
      <c r="N1116" s="74" t="str">
        <f>IF($C1116="","",IF($D1116="Gider",$H1116,$E1116))</f>
        <v/>
      </c>
      <c r="O1116" s="73" t="str">
        <f>IF($C1116="","",DATE(YEAR($C1116),MONTH($C1116),1))</f>
        <v/>
      </c>
      <c r="P1116" s="65" t="str">
        <f ca="1">IF($C1116="","",IF(AND($D1116="Gelir",$L1116&lt;&gt;"",$T1116=""),"TANIMSIZ BORÇLU",IF($T1116&lt;&gt;"",IF(OR($E1116="",$G1116&lt;=0),"EKSİK",IF($I1116="Evet","TAHAKKUK NAKİT OLAMAZ",IF($C1116&gt;TODAY(),"İLERİ TARİH","TAHAKKUK"))),IF(AND($D1116&lt;&gt;"",$E1116&lt;&gt;"",$G1116&gt;0,$H1116&lt;&gt;"",$I1116&lt;&gt;""),IF($C1116&gt;TODAY(),"İLERİ TARİH",IF(COUNTIF($W$7:$W$3001,$W1116)&gt;1,"MÜKERRER?",IF($AD1116&gt;0,"KAPALI DÖNEM",IF($I1116="Hayır","ÖDENECEK","UYGUN")))),"EKSİK"))))</f>
        <v/>
      </c>
      <c r="Q1116" s="2"/>
      <c r="R1116" s="2"/>
      <c r="S1116" s="1" t="str">
        <f t="shared" si="53"/>
        <v/>
      </c>
      <c r="T1116" s="1" t="str">
        <f>IF(OR($C1116="",$D1116&lt;&gt;"Gelir",$L1116=""),"",IFERROR(INDEX(MUSTERILER!$B$7:$B$156,MATCH($S1116,MUSTERILER!$T$7:$T$156,0)),""))</f>
        <v/>
      </c>
      <c r="U1116" s="1" t="str">
        <f>IF($T1116="","",$T1116&amp;"|"&amp;COUNTIFS($T$7:$T1116,$T1116))</f>
        <v/>
      </c>
      <c r="V1116" s="1">
        <f t="shared" si="54"/>
        <v>0</v>
      </c>
      <c r="W1116" s="1" t="str">
        <f t="shared" si="55"/>
        <v/>
      </c>
      <c r="X1116" s="1"/>
      <c r="Y1116" s="1"/>
      <c r="Z1116" s="1"/>
      <c r="AA1116" s="1"/>
      <c r="AB1116" s="1"/>
      <c r="AC1116" s="1"/>
      <c r="AD1116" s="1">
        <f>IF($C1116="",0,SUMPRODUCT((AY_SONU!$O$7:$O$42="Evet")*(AY_SONU!$B$7:$B$42=DATE(YEAR($C1116),MONTH($C1116),1))))</f>
        <v>0</v>
      </c>
      <c r="AE1116" s="1" t="str">
        <f>IF($E1116="","",$E1116&amp;"|"&amp;COUNTIFS($E$7:$E1116,$E1116))</f>
        <v/>
      </c>
    </row>
    <row r="1117" spans="1:31" ht="18" customHeight="1" x14ac:dyDescent="0.3">
      <c r="A1117" s="2"/>
      <c r="B1117" s="65" t="str">
        <f>IF($C1117="","","GG"&amp;TEXT(ROW()-6,"00000"))</f>
        <v/>
      </c>
      <c r="C1117" s="66"/>
      <c r="D1117" s="60"/>
      <c r="E1117" s="61"/>
      <c r="F1117" s="61"/>
      <c r="G1117" s="67"/>
      <c r="H1117" s="60"/>
      <c r="I1117" s="60"/>
      <c r="J1117" s="61"/>
      <c r="K1117" s="61"/>
      <c r="L1117" s="60"/>
      <c r="M1117" s="74" t="str">
        <f>IF($C1117="","",IF($D1117="Gider",$E1117,IF($L1117&lt;&gt;"",$L1117,$H1117)))</f>
        <v/>
      </c>
      <c r="N1117" s="74" t="str">
        <f>IF($C1117="","",IF($D1117="Gider",$H1117,$E1117))</f>
        <v/>
      </c>
      <c r="O1117" s="73" t="str">
        <f>IF($C1117="","",DATE(YEAR($C1117),MONTH($C1117),1))</f>
        <v/>
      </c>
      <c r="P1117" s="65" t="str">
        <f ca="1">IF($C1117="","",IF(AND($D1117="Gelir",$L1117&lt;&gt;"",$T1117=""),"TANIMSIZ BORÇLU",IF($T1117&lt;&gt;"",IF(OR($E1117="",$G1117&lt;=0),"EKSİK",IF($I1117="Evet","TAHAKKUK NAKİT OLAMAZ",IF($C1117&gt;TODAY(),"İLERİ TARİH","TAHAKKUK"))),IF(AND($D1117&lt;&gt;"",$E1117&lt;&gt;"",$G1117&gt;0,$H1117&lt;&gt;"",$I1117&lt;&gt;""),IF($C1117&gt;TODAY(),"İLERİ TARİH",IF(COUNTIF($W$7:$W$3001,$W1117)&gt;1,"MÜKERRER?",IF($AD1117&gt;0,"KAPALI DÖNEM",IF($I1117="Hayır","ÖDENECEK","UYGUN")))),"EKSİK"))))</f>
        <v/>
      </c>
      <c r="Q1117" s="2"/>
      <c r="R1117" s="2"/>
      <c r="S1117" s="1" t="str">
        <f t="shared" si="53"/>
        <v/>
      </c>
      <c r="T1117" s="1" t="str">
        <f>IF(OR($C1117="",$D1117&lt;&gt;"Gelir",$L1117=""),"",IFERROR(INDEX(MUSTERILER!$B$7:$B$156,MATCH($S1117,MUSTERILER!$T$7:$T$156,0)),""))</f>
        <v/>
      </c>
      <c r="U1117" s="1" t="str">
        <f>IF($T1117="","",$T1117&amp;"|"&amp;COUNTIFS($T$7:$T1117,$T1117))</f>
        <v/>
      </c>
      <c r="V1117" s="1">
        <f t="shared" si="54"/>
        <v>0</v>
      </c>
      <c r="W1117" s="1" t="str">
        <f t="shared" si="55"/>
        <v/>
      </c>
      <c r="X1117" s="1"/>
      <c r="Y1117" s="1"/>
      <c r="Z1117" s="1"/>
      <c r="AA1117" s="1"/>
      <c r="AB1117" s="1"/>
      <c r="AC1117" s="1"/>
      <c r="AD1117" s="1">
        <f>IF($C1117="",0,SUMPRODUCT((AY_SONU!$O$7:$O$42="Evet")*(AY_SONU!$B$7:$B$42=DATE(YEAR($C1117),MONTH($C1117),1))))</f>
        <v>0</v>
      </c>
      <c r="AE1117" s="1" t="str">
        <f>IF($E1117="","",$E1117&amp;"|"&amp;COUNTIFS($E$7:$E1117,$E1117))</f>
        <v/>
      </c>
    </row>
    <row r="1118" spans="1:31" ht="18" customHeight="1" x14ac:dyDescent="0.3">
      <c r="A1118" s="2"/>
      <c r="B1118" s="65" t="str">
        <f>IF($C1118="","","GG"&amp;TEXT(ROW()-6,"00000"))</f>
        <v/>
      </c>
      <c r="C1118" s="66"/>
      <c r="D1118" s="60"/>
      <c r="E1118" s="61"/>
      <c r="F1118" s="61"/>
      <c r="G1118" s="67"/>
      <c r="H1118" s="60"/>
      <c r="I1118" s="60"/>
      <c r="J1118" s="61"/>
      <c r="K1118" s="61"/>
      <c r="L1118" s="60"/>
      <c r="M1118" s="74" t="str">
        <f>IF($C1118="","",IF($D1118="Gider",$E1118,IF($L1118&lt;&gt;"",$L1118,$H1118)))</f>
        <v/>
      </c>
      <c r="N1118" s="74" t="str">
        <f>IF($C1118="","",IF($D1118="Gider",$H1118,$E1118))</f>
        <v/>
      </c>
      <c r="O1118" s="73" t="str">
        <f>IF($C1118="","",DATE(YEAR($C1118),MONTH($C1118),1))</f>
        <v/>
      </c>
      <c r="P1118" s="65" t="str">
        <f ca="1">IF($C1118="","",IF(AND($D1118="Gelir",$L1118&lt;&gt;"",$T1118=""),"TANIMSIZ BORÇLU",IF($T1118&lt;&gt;"",IF(OR($E1118="",$G1118&lt;=0),"EKSİK",IF($I1118="Evet","TAHAKKUK NAKİT OLAMAZ",IF($C1118&gt;TODAY(),"İLERİ TARİH","TAHAKKUK"))),IF(AND($D1118&lt;&gt;"",$E1118&lt;&gt;"",$G1118&gt;0,$H1118&lt;&gt;"",$I1118&lt;&gt;""),IF($C1118&gt;TODAY(),"İLERİ TARİH",IF(COUNTIF($W$7:$W$3001,$W1118)&gt;1,"MÜKERRER?",IF($AD1118&gt;0,"KAPALI DÖNEM",IF($I1118="Hayır","ÖDENECEK","UYGUN")))),"EKSİK"))))</f>
        <v/>
      </c>
      <c r="Q1118" s="2"/>
      <c r="R1118" s="2"/>
      <c r="S1118" s="1" t="str">
        <f t="shared" si="53"/>
        <v/>
      </c>
      <c r="T1118" s="1" t="str">
        <f>IF(OR($C1118="",$D1118&lt;&gt;"Gelir",$L1118=""),"",IFERROR(INDEX(MUSTERILER!$B$7:$B$156,MATCH($S1118,MUSTERILER!$T$7:$T$156,0)),""))</f>
        <v/>
      </c>
      <c r="U1118" s="1" t="str">
        <f>IF($T1118="","",$T1118&amp;"|"&amp;COUNTIFS($T$7:$T1118,$T1118))</f>
        <v/>
      </c>
      <c r="V1118" s="1">
        <f t="shared" si="54"/>
        <v>0</v>
      </c>
      <c r="W1118" s="1" t="str">
        <f t="shared" si="55"/>
        <v/>
      </c>
      <c r="X1118" s="1"/>
      <c r="Y1118" s="1"/>
      <c r="Z1118" s="1"/>
      <c r="AA1118" s="1"/>
      <c r="AB1118" s="1"/>
      <c r="AC1118" s="1"/>
      <c r="AD1118" s="1">
        <f>IF($C1118="",0,SUMPRODUCT((AY_SONU!$O$7:$O$42="Evet")*(AY_SONU!$B$7:$B$42=DATE(YEAR($C1118),MONTH($C1118),1))))</f>
        <v>0</v>
      </c>
      <c r="AE1118" s="1" t="str">
        <f>IF($E1118="","",$E1118&amp;"|"&amp;COUNTIFS($E$7:$E1118,$E1118))</f>
        <v/>
      </c>
    </row>
    <row r="1119" spans="1:31" ht="18" customHeight="1" x14ac:dyDescent="0.3">
      <c r="A1119" s="2"/>
      <c r="B1119" s="65" t="str">
        <f>IF($C1119="","","GG"&amp;TEXT(ROW()-6,"00000"))</f>
        <v/>
      </c>
      <c r="C1119" s="66"/>
      <c r="D1119" s="60"/>
      <c r="E1119" s="61"/>
      <c r="F1119" s="61"/>
      <c r="G1119" s="67"/>
      <c r="H1119" s="60"/>
      <c r="I1119" s="60"/>
      <c r="J1119" s="61"/>
      <c r="K1119" s="61"/>
      <c r="L1119" s="60"/>
      <c r="M1119" s="74" t="str">
        <f>IF($C1119="","",IF($D1119="Gider",$E1119,IF($L1119&lt;&gt;"",$L1119,$H1119)))</f>
        <v/>
      </c>
      <c r="N1119" s="74" t="str">
        <f>IF($C1119="","",IF($D1119="Gider",$H1119,$E1119))</f>
        <v/>
      </c>
      <c r="O1119" s="73" t="str">
        <f>IF($C1119="","",DATE(YEAR($C1119),MONTH($C1119),1))</f>
        <v/>
      </c>
      <c r="P1119" s="65" t="str">
        <f ca="1">IF($C1119="","",IF(AND($D1119="Gelir",$L1119&lt;&gt;"",$T1119=""),"TANIMSIZ BORÇLU",IF($T1119&lt;&gt;"",IF(OR($E1119="",$G1119&lt;=0),"EKSİK",IF($I1119="Evet","TAHAKKUK NAKİT OLAMAZ",IF($C1119&gt;TODAY(),"İLERİ TARİH","TAHAKKUK"))),IF(AND($D1119&lt;&gt;"",$E1119&lt;&gt;"",$G1119&gt;0,$H1119&lt;&gt;"",$I1119&lt;&gt;""),IF($C1119&gt;TODAY(),"İLERİ TARİH",IF(COUNTIF($W$7:$W$3001,$W1119)&gt;1,"MÜKERRER?",IF($AD1119&gt;0,"KAPALI DÖNEM",IF($I1119="Hayır","ÖDENECEK","UYGUN")))),"EKSİK"))))</f>
        <v/>
      </c>
      <c r="Q1119" s="2"/>
      <c r="R1119" s="2"/>
      <c r="S1119" s="1" t="str">
        <f t="shared" si="53"/>
        <v/>
      </c>
      <c r="T1119" s="1" t="str">
        <f>IF(OR($C1119="",$D1119&lt;&gt;"Gelir",$L1119=""),"",IFERROR(INDEX(MUSTERILER!$B$7:$B$156,MATCH($S1119,MUSTERILER!$T$7:$T$156,0)),""))</f>
        <v/>
      </c>
      <c r="U1119" s="1" t="str">
        <f>IF($T1119="","",$T1119&amp;"|"&amp;COUNTIFS($T$7:$T1119,$T1119))</f>
        <v/>
      </c>
      <c r="V1119" s="1">
        <f t="shared" si="54"/>
        <v>0</v>
      </c>
      <c r="W1119" s="1" t="str">
        <f t="shared" si="55"/>
        <v/>
      </c>
      <c r="X1119" s="1"/>
      <c r="Y1119" s="1"/>
      <c r="Z1119" s="1"/>
      <c r="AA1119" s="1"/>
      <c r="AB1119" s="1"/>
      <c r="AC1119" s="1"/>
      <c r="AD1119" s="1">
        <f>IF($C1119="",0,SUMPRODUCT((AY_SONU!$O$7:$O$42="Evet")*(AY_SONU!$B$7:$B$42=DATE(YEAR($C1119),MONTH($C1119),1))))</f>
        <v>0</v>
      </c>
      <c r="AE1119" s="1" t="str">
        <f>IF($E1119="","",$E1119&amp;"|"&amp;COUNTIFS($E$7:$E1119,$E1119))</f>
        <v/>
      </c>
    </row>
    <row r="1120" spans="1:31" ht="18" customHeight="1" x14ac:dyDescent="0.3">
      <c r="A1120" s="2"/>
      <c r="B1120" s="65" t="str">
        <f>IF($C1120="","","GG"&amp;TEXT(ROW()-6,"00000"))</f>
        <v/>
      </c>
      <c r="C1120" s="66"/>
      <c r="D1120" s="60"/>
      <c r="E1120" s="61"/>
      <c r="F1120" s="61"/>
      <c r="G1120" s="67"/>
      <c r="H1120" s="60"/>
      <c r="I1120" s="60"/>
      <c r="J1120" s="61"/>
      <c r="K1120" s="61"/>
      <c r="L1120" s="60"/>
      <c r="M1120" s="74" t="str">
        <f>IF($C1120="","",IF($D1120="Gider",$E1120,IF($L1120&lt;&gt;"",$L1120,$H1120)))</f>
        <v/>
      </c>
      <c r="N1120" s="74" t="str">
        <f>IF($C1120="","",IF($D1120="Gider",$H1120,$E1120))</f>
        <v/>
      </c>
      <c r="O1120" s="73" t="str">
        <f>IF($C1120="","",DATE(YEAR($C1120),MONTH($C1120),1))</f>
        <v/>
      </c>
      <c r="P1120" s="65" t="str">
        <f ca="1">IF($C1120="","",IF(AND($D1120="Gelir",$L1120&lt;&gt;"",$T1120=""),"TANIMSIZ BORÇLU",IF($T1120&lt;&gt;"",IF(OR($E1120="",$G1120&lt;=0),"EKSİK",IF($I1120="Evet","TAHAKKUK NAKİT OLAMAZ",IF($C1120&gt;TODAY(),"İLERİ TARİH","TAHAKKUK"))),IF(AND($D1120&lt;&gt;"",$E1120&lt;&gt;"",$G1120&gt;0,$H1120&lt;&gt;"",$I1120&lt;&gt;""),IF($C1120&gt;TODAY(),"İLERİ TARİH",IF(COUNTIF($W$7:$W$3001,$W1120)&gt;1,"MÜKERRER?",IF($AD1120&gt;0,"KAPALI DÖNEM",IF($I1120="Hayır","ÖDENECEK","UYGUN")))),"EKSİK"))))</f>
        <v/>
      </c>
      <c r="Q1120" s="2"/>
      <c r="R1120" s="2"/>
      <c r="S1120" s="1" t="str">
        <f t="shared" si="53"/>
        <v/>
      </c>
      <c r="T1120" s="1" t="str">
        <f>IF(OR($C1120="",$D1120&lt;&gt;"Gelir",$L1120=""),"",IFERROR(INDEX(MUSTERILER!$B$7:$B$156,MATCH($S1120,MUSTERILER!$T$7:$T$156,0)),""))</f>
        <v/>
      </c>
      <c r="U1120" s="1" t="str">
        <f>IF($T1120="","",$T1120&amp;"|"&amp;COUNTIFS($T$7:$T1120,$T1120))</f>
        <v/>
      </c>
      <c r="V1120" s="1">
        <f t="shared" si="54"/>
        <v>0</v>
      </c>
      <c r="W1120" s="1" t="str">
        <f t="shared" si="55"/>
        <v/>
      </c>
      <c r="X1120" s="1"/>
      <c r="Y1120" s="1"/>
      <c r="Z1120" s="1"/>
      <c r="AA1120" s="1"/>
      <c r="AB1120" s="1"/>
      <c r="AC1120" s="1"/>
      <c r="AD1120" s="1">
        <f>IF($C1120="",0,SUMPRODUCT((AY_SONU!$O$7:$O$42="Evet")*(AY_SONU!$B$7:$B$42=DATE(YEAR($C1120),MONTH($C1120),1))))</f>
        <v>0</v>
      </c>
      <c r="AE1120" s="1" t="str">
        <f>IF($E1120="","",$E1120&amp;"|"&amp;COUNTIFS($E$7:$E1120,$E1120))</f>
        <v/>
      </c>
    </row>
    <row r="1121" spans="1:31" ht="18" customHeight="1" x14ac:dyDescent="0.3">
      <c r="A1121" s="2"/>
      <c r="B1121" s="65" t="str">
        <f>IF($C1121="","","GG"&amp;TEXT(ROW()-6,"00000"))</f>
        <v/>
      </c>
      <c r="C1121" s="66"/>
      <c r="D1121" s="60"/>
      <c r="E1121" s="61"/>
      <c r="F1121" s="61"/>
      <c r="G1121" s="67"/>
      <c r="H1121" s="60"/>
      <c r="I1121" s="60"/>
      <c r="J1121" s="61"/>
      <c r="K1121" s="61"/>
      <c r="L1121" s="60"/>
      <c r="M1121" s="74" t="str">
        <f>IF($C1121="","",IF($D1121="Gider",$E1121,IF($L1121&lt;&gt;"",$L1121,$H1121)))</f>
        <v/>
      </c>
      <c r="N1121" s="74" t="str">
        <f>IF($C1121="","",IF($D1121="Gider",$H1121,$E1121))</f>
        <v/>
      </c>
      <c r="O1121" s="73" t="str">
        <f>IF($C1121="","",DATE(YEAR($C1121),MONTH($C1121),1))</f>
        <v/>
      </c>
      <c r="P1121" s="65" t="str">
        <f ca="1">IF($C1121="","",IF(AND($D1121="Gelir",$L1121&lt;&gt;"",$T1121=""),"TANIMSIZ BORÇLU",IF($T1121&lt;&gt;"",IF(OR($E1121="",$G1121&lt;=0),"EKSİK",IF($I1121="Evet","TAHAKKUK NAKİT OLAMAZ",IF($C1121&gt;TODAY(),"İLERİ TARİH","TAHAKKUK"))),IF(AND($D1121&lt;&gt;"",$E1121&lt;&gt;"",$G1121&gt;0,$H1121&lt;&gt;"",$I1121&lt;&gt;""),IF($C1121&gt;TODAY(),"İLERİ TARİH",IF(COUNTIF($W$7:$W$3001,$W1121)&gt;1,"MÜKERRER?",IF($AD1121&gt;0,"KAPALI DÖNEM",IF($I1121="Hayır","ÖDENECEK","UYGUN")))),"EKSİK"))))</f>
        <v/>
      </c>
      <c r="Q1121" s="2"/>
      <c r="R1121" s="2"/>
      <c r="S1121" s="1" t="str">
        <f t="shared" si="53"/>
        <v/>
      </c>
      <c r="T1121" s="1" t="str">
        <f>IF(OR($C1121="",$D1121&lt;&gt;"Gelir",$L1121=""),"",IFERROR(INDEX(MUSTERILER!$B$7:$B$156,MATCH($S1121,MUSTERILER!$T$7:$T$156,0)),""))</f>
        <v/>
      </c>
      <c r="U1121" s="1" t="str">
        <f>IF($T1121="","",$T1121&amp;"|"&amp;COUNTIFS($T$7:$T1121,$T1121))</f>
        <v/>
      </c>
      <c r="V1121" s="1">
        <f t="shared" si="54"/>
        <v>0</v>
      </c>
      <c r="W1121" s="1" t="str">
        <f t="shared" si="55"/>
        <v/>
      </c>
      <c r="X1121" s="1"/>
      <c r="Y1121" s="1"/>
      <c r="Z1121" s="1"/>
      <c r="AA1121" s="1"/>
      <c r="AB1121" s="1"/>
      <c r="AC1121" s="1"/>
      <c r="AD1121" s="1">
        <f>IF($C1121="",0,SUMPRODUCT((AY_SONU!$O$7:$O$42="Evet")*(AY_SONU!$B$7:$B$42=DATE(YEAR($C1121),MONTH($C1121),1))))</f>
        <v>0</v>
      </c>
      <c r="AE1121" s="1" t="str">
        <f>IF($E1121="","",$E1121&amp;"|"&amp;COUNTIFS($E$7:$E1121,$E1121))</f>
        <v/>
      </c>
    </row>
    <row r="1122" spans="1:31" ht="18" customHeight="1" x14ac:dyDescent="0.3">
      <c r="A1122" s="2"/>
      <c r="B1122" s="65" t="str">
        <f>IF($C1122="","","GG"&amp;TEXT(ROW()-6,"00000"))</f>
        <v/>
      </c>
      <c r="C1122" s="66"/>
      <c r="D1122" s="60"/>
      <c r="E1122" s="61"/>
      <c r="F1122" s="61"/>
      <c r="G1122" s="67"/>
      <c r="H1122" s="60"/>
      <c r="I1122" s="60"/>
      <c r="J1122" s="61"/>
      <c r="K1122" s="61"/>
      <c r="L1122" s="60"/>
      <c r="M1122" s="74" t="str">
        <f>IF($C1122="","",IF($D1122="Gider",$E1122,IF($L1122&lt;&gt;"",$L1122,$H1122)))</f>
        <v/>
      </c>
      <c r="N1122" s="74" t="str">
        <f>IF($C1122="","",IF($D1122="Gider",$H1122,$E1122))</f>
        <v/>
      </c>
      <c r="O1122" s="73" t="str">
        <f>IF($C1122="","",DATE(YEAR($C1122),MONTH($C1122),1))</f>
        <v/>
      </c>
      <c r="P1122" s="65" t="str">
        <f ca="1">IF($C1122="","",IF(AND($D1122="Gelir",$L1122&lt;&gt;"",$T1122=""),"TANIMSIZ BORÇLU",IF($T1122&lt;&gt;"",IF(OR($E1122="",$G1122&lt;=0),"EKSİK",IF($I1122="Evet","TAHAKKUK NAKİT OLAMAZ",IF($C1122&gt;TODAY(),"İLERİ TARİH","TAHAKKUK"))),IF(AND($D1122&lt;&gt;"",$E1122&lt;&gt;"",$G1122&gt;0,$H1122&lt;&gt;"",$I1122&lt;&gt;""),IF($C1122&gt;TODAY(),"İLERİ TARİH",IF(COUNTIF($W$7:$W$3001,$W1122)&gt;1,"MÜKERRER?",IF($AD1122&gt;0,"KAPALI DÖNEM",IF($I1122="Hayır","ÖDENECEK","UYGUN")))),"EKSİK"))))</f>
        <v/>
      </c>
      <c r="Q1122" s="2"/>
      <c r="R1122" s="2"/>
      <c r="S1122" s="1" t="str">
        <f t="shared" si="53"/>
        <v/>
      </c>
      <c r="T1122" s="1" t="str">
        <f>IF(OR($C1122="",$D1122&lt;&gt;"Gelir",$L1122=""),"",IFERROR(INDEX(MUSTERILER!$B$7:$B$156,MATCH($S1122,MUSTERILER!$T$7:$T$156,0)),""))</f>
        <v/>
      </c>
      <c r="U1122" s="1" t="str">
        <f>IF($T1122="","",$T1122&amp;"|"&amp;COUNTIFS($T$7:$T1122,$T1122))</f>
        <v/>
      </c>
      <c r="V1122" s="1">
        <f t="shared" si="54"/>
        <v>0</v>
      </c>
      <c r="W1122" s="1" t="str">
        <f t="shared" si="55"/>
        <v/>
      </c>
      <c r="X1122" s="1"/>
      <c r="Y1122" s="1"/>
      <c r="Z1122" s="1"/>
      <c r="AA1122" s="1"/>
      <c r="AB1122" s="1"/>
      <c r="AC1122" s="1"/>
      <c r="AD1122" s="1">
        <f>IF($C1122="",0,SUMPRODUCT((AY_SONU!$O$7:$O$42="Evet")*(AY_SONU!$B$7:$B$42=DATE(YEAR($C1122),MONTH($C1122),1))))</f>
        <v>0</v>
      </c>
      <c r="AE1122" s="1" t="str">
        <f>IF($E1122="","",$E1122&amp;"|"&amp;COUNTIFS($E$7:$E1122,$E1122))</f>
        <v/>
      </c>
    </row>
    <row r="1123" spans="1:31" ht="18" customHeight="1" x14ac:dyDescent="0.3">
      <c r="A1123" s="2"/>
      <c r="B1123" s="65" t="str">
        <f>IF($C1123="","","GG"&amp;TEXT(ROW()-6,"00000"))</f>
        <v/>
      </c>
      <c r="C1123" s="66"/>
      <c r="D1123" s="60"/>
      <c r="E1123" s="61"/>
      <c r="F1123" s="61"/>
      <c r="G1123" s="67"/>
      <c r="H1123" s="60"/>
      <c r="I1123" s="60"/>
      <c r="J1123" s="61"/>
      <c r="K1123" s="61"/>
      <c r="L1123" s="60"/>
      <c r="M1123" s="74" t="str">
        <f>IF($C1123="","",IF($D1123="Gider",$E1123,IF($L1123&lt;&gt;"",$L1123,$H1123)))</f>
        <v/>
      </c>
      <c r="N1123" s="74" t="str">
        <f>IF($C1123="","",IF($D1123="Gider",$H1123,$E1123))</f>
        <v/>
      </c>
      <c r="O1123" s="73" t="str">
        <f>IF($C1123="","",DATE(YEAR($C1123),MONTH($C1123),1))</f>
        <v/>
      </c>
      <c r="P1123" s="65" t="str">
        <f ca="1">IF($C1123="","",IF(AND($D1123="Gelir",$L1123&lt;&gt;"",$T1123=""),"TANIMSIZ BORÇLU",IF($T1123&lt;&gt;"",IF(OR($E1123="",$G1123&lt;=0),"EKSİK",IF($I1123="Evet","TAHAKKUK NAKİT OLAMAZ",IF($C1123&gt;TODAY(),"İLERİ TARİH","TAHAKKUK"))),IF(AND($D1123&lt;&gt;"",$E1123&lt;&gt;"",$G1123&gt;0,$H1123&lt;&gt;"",$I1123&lt;&gt;""),IF($C1123&gt;TODAY(),"İLERİ TARİH",IF(COUNTIF($W$7:$W$3001,$W1123)&gt;1,"MÜKERRER?",IF($AD1123&gt;0,"KAPALI DÖNEM",IF($I1123="Hayır","ÖDENECEK","UYGUN")))),"EKSİK"))))</f>
        <v/>
      </c>
      <c r="Q1123" s="2"/>
      <c r="R1123" s="2"/>
      <c r="S1123" s="1" t="str">
        <f t="shared" si="53"/>
        <v/>
      </c>
      <c r="T1123" s="1" t="str">
        <f>IF(OR($C1123="",$D1123&lt;&gt;"Gelir",$L1123=""),"",IFERROR(INDEX(MUSTERILER!$B$7:$B$156,MATCH($S1123,MUSTERILER!$T$7:$T$156,0)),""))</f>
        <v/>
      </c>
      <c r="U1123" s="1" t="str">
        <f>IF($T1123="","",$T1123&amp;"|"&amp;COUNTIFS($T$7:$T1123,$T1123))</f>
        <v/>
      </c>
      <c r="V1123" s="1">
        <f t="shared" si="54"/>
        <v>0</v>
      </c>
      <c r="W1123" s="1" t="str">
        <f t="shared" si="55"/>
        <v/>
      </c>
      <c r="X1123" s="1"/>
      <c r="Y1123" s="1"/>
      <c r="Z1123" s="1"/>
      <c r="AA1123" s="1"/>
      <c r="AB1123" s="1"/>
      <c r="AC1123" s="1"/>
      <c r="AD1123" s="1">
        <f>IF($C1123="",0,SUMPRODUCT((AY_SONU!$O$7:$O$42="Evet")*(AY_SONU!$B$7:$B$42=DATE(YEAR($C1123),MONTH($C1123),1))))</f>
        <v>0</v>
      </c>
      <c r="AE1123" s="1" t="str">
        <f>IF($E1123="","",$E1123&amp;"|"&amp;COUNTIFS($E$7:$E1123,$E1123))</f>
        <v/>
      </c>
    </row>
    <row r="1124" spans="1:31" ht="18" customHeight="1" x14ac:dyDescent="0.3">
      <c r="A1124" s="2"/>
      <c r="B1124" s="65" t="str">
        <f>IF($C1124="","","GG"&amp;TEXT(ROW()-6,"00000"))</f>
        <v/>
      </c>
      <c r="C1124" s="66"/>
      <c r="D1124" s="60"/>
      <c r="E1124" s="61"/>
      <c r="F1124" s="61"/>
      <c r="G1124" s="67"/>
      <c r="H1124" s="60"/>
      <c r="I1124" s="60"/>
      <c r="J1124" s="61"/>
      <c r="K1124" s="61"/>
      <c r="L1124" s="60"/>
      <c r="M1124" s="74" t="str">
        <f>IF($C1124="","",IF($D1124="Gider",$E1124,IF($L1124&lt;&gt;"",$L1124,$H1124)))</f>
        <v/>
      </c>
      <c r="N1124" s="74" t="str">
        <f>IF($C1124="","",IF($D1124="Gider",$H1124,$E1124))</f>
        <v/>
      </c>
      <c r="O1124" s="73" t="str">
        <f>IF($C1124="","",DATE(YEAR($C1124),MONTH($C1124),1))</f>
        <v/>
      </c>
      <c r="P1124" s="65" t="str">
        <f ca="1">IF($C1124="","",IF(AND($D1124="Gelir",$L1124&lt;&gt;"",$T1124=""),"TANIMSIZ BORÇLU",IF($T1124&lt;&gt;"",IF(OR($E1124="",$G1124&lt;=0),"EKSİK",IF($I1124="Evet","TAHAKKUK NAKİT OLAMAZ",IF($C1124&gt;TODAY(),"İLERİ TARİH","TAHAKKUK"))),IF(AND($D1124&lt;&gt;"",$E1124&lt;&gt;"",$G1124&gt;0,$H1124&lt;&gt;"",$I1124&lt;&gt;""),IF($C1124&gt;TODAY(),"İLERİ TARİH",IF(COUNTIF($W$7:$W$3001,$W1124)&gt;1,"MÜKERRER?",IF($AD1124&gt;0,"KAPALI DÖNEM",IF($I1124="Hayır","ÖDENECEK","UYGUN")))),"EKSİK"))))</f>
        <v/>
      </c>
      <c r="Q1124" s="2"/>
      <c r="R1124" s="2"/>
      <c r="S1124" s="1" t="str">
        <f t="shared" si="53"/>
        <v/>
      </c>
      <c r="T1124" s="1" t="str">
        <f>IF(OR($C1124="",$D1124&lt;&gt;"Gelir",$L1124=""),"",IFERROR(INDEX(MUSTERILER!$B$7:$B$156,MATCH($S1124,MUSTERILER!$T$7:$T$156,0)),""))</f>
        <v/>
      </c>
      <c r="U1124" s="1" t="str">
        <f>IF($T1124="","",$T1124&amp;"|"&amp;COUNTIFS($T$7:$T1124,$T1124))</f>
        <v/>
      </c>
      <c r="V1124" s="1">
        <f t="shared" si="54"/>
        <v>0</v>
      </c>
      <c r="W1124" s="1" t="str">
        <f t="shared" si="55"/>
        <v/>
      </c>
      <c r="X1124" s="1"/>
      <c r="Y1124" s="1"/>
      <c r="Z1124" s="1"/>
      <c r="AA1124" s="1"/>
      <c r="AB1124" s="1"/>
      <c r="AC1124" s="1"/>
      <c r="AD1124" s="1">
        <f>IF($C1124="",0,SUMPRODUCT((AY_SONU!$O$7:$O$42="Evet")*(AY_SONU!$B$7:$B$42=DATE(YEAR($C1124),MONTH($C1124),1))))</f>
        <v>0</v>
      </c>
      <c r="AE1124" s="1" t="str">
        <f>IF($E1124="","",$E1124&amp;"|"&amp;COUNTIFS($E$7:$E1124,$E1124))</f>
        <v/>
      </c>
    </row>
    <row r="1125" spans="1:31" ht="18" customHeight="1" x14ac:dyDescent="0.3">
      <c r="A1125" s="2"/>
      <c r="B1125" s="65" t="str">
        <f>IF($C1125="","","GG"&amp;TEXT(ROW()-6,"00000"))</f>
        <v/>
      </c>
      <c r="C1125" s="66"/>
      <c r="D1125" s="60"/>
      <c r="E1125" s="61"/>
      <c r="F1125" s="61"/>
      <c r="G1125" s="67"/>
      <c r="H1125" s="60"/>
      <c r="I1125" s="60"/>
      <c r="J1125" s="61"/>
      <c r="K1125" s="61"/>
      <c r="L1125" s="60"/>
      <c r="M1125" s="74" t="str">
        <f>IF($C1125="","",IF($D1125="Gider",$E1125,IF($L1125&lt;&gt;"",$L1125,$H1125)))</f>
        <v/>
      </c>
      <c r="N1125" s="74" t="str">
        <f>IF($C1125="","",IF($D1125="Gider",$H1125,$E1125))</f>
        <v/>
      </c>
      <c r="O1125" s="73" t="str">
        <f>IF($C1125="","",DATE(YEAR($C1125),MONTH($C1125),1))</f>
        <v/>
      </c>
      <c r="P1125" s="65" t="str">
        <f ca="1">IF($C1125="","",IF(AND($D1125="Gelir",$L1125&lt;&gt;"",$T1125=""),"TANIMSIZ BORÇLU",IF($T1125&lt;&gt;"",IF(OR($E1125="",$G1125&lt;=0),"EKSİK",IF($I1125="Evet","TAHAKKUK NAKİT OLAMAZ",IF($C1125&gt;TODAY(),"İLERİ TARİH","TAHAKKUK"))),IF(AND($D1125&lt;&gt;"",$E1125&lt;&gt;"",$G1125&gt;0,$H1125&lt;&gt;"",$I1125&lt;&gt;""),IF($C1125&gt;TODAY(),"İLERİ TARİH",IF(COUNTIF($W$7:$W$3001,$W1125)&gt;1,"MÜKERRER?",IF($AD1125&gt;0,"KAPALI DÖNEM",IF($I1125="Hayır","ÖDENECEK","UYGUN")))),"EKSİK"))))</f>
        <v/>
      </c>
      <c r="Q1125" s="2"/>
      <c r="R1125" s="2"/>
      <c r="S1125" s="1" t="str">
        <f t="shared" si="53"/>
        <v/>
      </c>
      <c r="T1125" s="1" t="str">
        <f>IF(OR($C1125="",$D1125&lt;&gt;"Gelir",$L1125=""),"",IFERROR(INDEX(MUSTERILER!$B$7:$B$156,MATCH($S1125,MUSTERILER!$T$7:$T$156,0)),""))</f>
        <v/>
      </c>
      <c r="U1125" s="1" t="str">
        <f>IF($T1125="","",$T1125&amp;"|"&amp;COUNTIFS($T$7:$T1125,$T1125))</f>
        <v/>
      </c>
      <c r="V1125" s="1">
        <f t="shared" si="54"/>
        <v>0</v>
      </c>
      <c r="W1125" s="1" t="str">
        <f t="shared" si="55"/>
        <v/>
      </c>
      <c r="X1125" s="1"/>
      <c r="Y1125" s="1"/>
      <c r="Z1125" s="1"/>
      <c r="AA1125" s="1"/>
      <c r="AB1125" s="1"/>
      <c r="AC1125" s="1"/>
      <c r="AD1125" s="1">
        <f>IF($C1125="",0,SUMPRODUCT((AY_SONU!$O$7:$O$42="Evet")*(AY_SONU!$B$7:$B$42=DATE(YEAR($C1125),MONTH($C1125),1))))</f>
        <v>0</v>
      </c>
      <c r="AE1125" s="1" t="str">
        <f>IF($E1125="","",$E1125&amp;"|"&amp;COUNTIFS($E$7:$E1125,$E1125))</f>
        <v/>
      </c>
    </row>
    <row r="1126" spans="1:31" ht="18" customHeight="1" x14ac:dyDescent="0.3">
      <c r="A1126" s="2"/>
      <c r="B1126" s="65" t="str">
        <f>IF($C1126="","","GG"&amp;TEXT(ROW()-6,"00000"))</f>
        <v/>
      </c>
      <c r="C1126" s="66"/>
      <c r="D1126" s="60"/>
      <c r="E1126" s="61"/>
      <c r="F1126" s="61"/>
      <c r="G1126" s="67"/>
      <c r="H1126" s="60"/>
      <c r="I1126" s="60"/>
      <c r="J1126" s="61"/>
      <c r="K1126" s="61"/>
      <c r="L1126" s="60"/>
      <c r="M1126" s="74" t="str">
        <f>IF($C1126="","",IF($D1126="Gider",$E1126,IF($L1126&lt;&gt;"",$L1126,$H1126)))</f>
        <v/>
      </c>
      <c r="N1126" s="74" t="str">
        <f>IF($C1126="","",IF($D1126="Gider",$H1126,$E1126))</f>
        <v/>
      </c>
      <c r="O1126" s="73" t="str">
        <f>IF($C1126="","",DATE(YEAR($C1126),MONTH($C1126),1))</f>
        <v/>
      </c>
      <c r="P1126" s="65" t="str">
        <f ca="1">IF($C1126="","",IF(AND($D1126="Gelir",$L1126&lt;&gt;"",$T1126=""),"TANIMSIZ BORÇLU",IF($T1126&lt;&gt;"",IF(OR($E1126="",$G1126&lt;=0),"EKSİK",IF($I1126="Evet","TAHAKKUK NAKİT OLAMAZ",IF($C1126&gt;TODAY(),"İLERİ TARİH","TAHAKKUK"))),IF(AND($D1126&lt;&gt;"",$E1126&lt;&gt;"",$G1126&gt;0,$H1126&lt;&gt;"",$I1126&lt;&gt;""),IF($C1126&gt;TODAY(),"İLERİ TARİH",IF(COUNTIF($W$7:$W$3001,$W1126)&gt;1,"MÜKERRER?",IF($AD1126&gt;0,"KAPALI DÖNEM",IF($I1126="Hayır","ÖDENECEK","UYGUN")))),"EKSİK"))))</f>
        <v/>
      </c>
      <c r="Q1126" s="2"/>
      <c r="R1126" s="2"/>
      <c r="S1126" s="1" t="str">
        <f t="shared" si="53"/>
        <v/>
      </c>
      <c r="T1126" s="1" t="str">
        <f>IF(OR($C1126="",$D1126&lt;&gt;"Gelir",$L1126=""),"",IFERROR(INDEX(MUSTERILER!$B$7:$B$156,MATCH($S1126,MUSTERILER!$T$7:$T$156,0)),""))</f>
        <v/>
      </c>
      <c r="U1126" s="1" t="str">
        <f>IF($T1126="","",$T1126&amp;"|"&amp;COUNTIFS($T$7:$T1126,$T1126))</f>
        <v/>
      </c>
      <c r="V1126" s="1">
        <f t="shared" si="54"/>
        <v>0</v>
      </c>
      <c r="W1126" s="1" t="str">
        <f t="shared" si="55"/>
        <v/>
      </c>
      <c r="X1126" s="1"/>
      <c r="Y1126" s="1"/>
      <c r="Z1126" s="1"/>
      <c r="AA1126" s="1"/>
      <c r="AB1126" s="1"/>
      <c r="AC1126" s="1"/>
      <c r="AD1126" s="1">
        <f>IF($C1126="",0,SUMPRODUCT((AY_SONU!$O$7:$O$42="Evet")*(AY_SONU!$B$7:$B$42=DATE(YEAR($C1126),MONTH($C1126),1))))</f>
        <v>0</v>
      </c>
      <c r="AE1126" s="1" t="str">
        <f>IF($E1126="","",$E1126&amp;"|"&amp;COUNTIFS($E$7:$E1126,$E1126))</f>
        <v/>
      </c>
    </row>
    <row r="1127" spans="1:31" ht="18" customHeight="1" x14ac:dyDescent="0.3">
      <c r="A1127" s="2"/>
      <c r="B1127" s="65" t="str">
        <f>IF($C1127="","","GG"&amp;TEXT(ROW()-6,"00000"))</f>
        <v/>
      </c>
      <c r="C1127" s="66"/>
      <c r="D1127" s="60"/>
      <c r="E1127" s="61"/>
      <c r="F1127" s="61"/>
      <c r="G1127" s="67"/>
      <c r="H1127" s="60"/>
      <c r="I1127" s="60"/>
      <c r="J1127" s="61"/>
      <c r="K1127" s="61"/>
      <c r="L1127" s="60"/>
      <c r="M1127" s="74" t="str">
        <f>IF($C1127="","",IF($D1127="Gider",$E1127,IF($L1127&lt;&gt;"",$L1127,$H1127)))</f>
        <v/>
      </c>
      <c r="N1127" s="74" t="str">
        <f>IF($C1127="","",IF($D1127="Gider",$H1127,$E1127))</f>
        <v/>
      </c>
      <c r="O1127" s="73" t="str">
        <f>IF($C1127="","",DATE(YEAR($C1127),MONTH($C1127),1))</f>
        <v/>
      </c>
      <c r="P1127" s="65" t="str">
        <f ca="1">IF($C1127="","",IF(AND($D1127="Gelir",$L1127&lt;&gt;"",$T1127=""),"TANIMSIZ BORÇLU",IF($T1127&lt;&gt;"",IF(OR($E1127="",$G1127&lt;=0),"EKSİK",IF($I1127="Evet","TAHAKKUK NAKİT OLAMAZ",IF($C1127&gt;TODAY(),"İLERİ TARİH","TAHAKKUK"))),IF(AND($D1127&lt;&gt;"",$E1127&lt;&gt;"",$G1127&gt;0,$H1127&lt;&gt;"",$I1127&lt;&gt;""),IF($C1127&gt;TODAY(),"İLERİ TARİH",IF(COUNTIF($W$7:$W$3001,$W1127)&gt;1,"MÜKERRER?",IF($AD1127&gt;0,"KAPALI DÖNEM",IF($I1127="Hayır","ÖDENECEK","UYGUN")))),"EKSİK"))))</f>
        <v/>
      </c>
      <c r="Q1127" s="2"/>
      <c r="R1127" s="2"/>
      <c r="S1127" s="1" t="str">
        <f t="shared" si="53"/>
        <v/>
      </c>
      <c r="T1127" s="1" t="str">
        <f>IF(OR($C1127="",$D1127&lt;&gt;"Gelir",$L1127=""),"",IFERROR(INDEX(MUSTERILER!$B$7:$B$156,MATCH($S1127,MUSTERILER!$T$7:$T$156,0)),""))</f>
        <v/>
      </c>
      <c r="U1127" s="1" t="str">
        <f>IF($T1127="","",$T1127&amp;"|"&amp;COUNTIFS($T$7:$T1127,$T1127))</f>
        <v/>
      </c>
      <c r="V1127" s="1">
        <f t="shared" si="54"/>
        <v>0</v>
      </c>
      <c r="W1127" s="1" t="str">
        <f t="shared" si="55"/>
        <v/>
      </c>
      <c r="X1127" s="1"/>
      <c r="Y1127" s="1"/>
      <c r="Z1127" s="1"/>
      <c r="AA1127" s="1"/>
      <c r="AB1127" s="1"/>
      <c r="AC1127" s="1"/>
      <c r="AD1127" s="1">
        <f>IF($C1127="",0,SUMPRODUCT((AY_SONU!$O$7:$O$42="Evet")*(AY_SONU!$B$7:$B$42=DATE(YEAR($C1127),MONTH($C1127),1))))</f>
        <v>0</v>
      </c>
      <c r="AE1127" s="1" t="str">
        <f>IF($E1127="","",$E1127&amp;"|"&amp;COUNTIFS($E$7:$E1127,$E1127))</f>
        <v/>
      </c>
    </row>
    <row r="1128" spans="1:31" ht="18" customHeight="1" x14ac:dyDescent="0.3">
      <c r="A1128" s="2"/>
      <c r="B1128" s="65" t="str">
        <f>IF($C1128="","","GG"&amp;TEXT(ROW()-6,"00000"))</f>
        <v/>
      </c>
      <c r="C1128" s="66"/>
      <c r="D1128" s="60"/>
      <c r="E1128" s="61"/>
      <c r="F1128" s="61"/>
      <c r="G1128" s="67"/>
      <c r="H1128" s="60"/>
      <c r="I1128" s="60"/>
      <c r="J1128" s="61"/>
      <c r="K1128" s="61"/>
      <c r="L1128" s="60"/>
      <c r="M1128" s="74" t="str">
        <f>IF($C1128="","",IF($D1128="Gider",$E1128,IF($L1128&lt;&gt;"",$L1128,$H1128)))</f>
        <v/>
      </c>
      <c r="N1128" s="74" t="str">
        <f>IF($C1128="","",IF($D1128="Gider",$H1128,$E1128))</f>
        <v/>
      </c>
      <c r="O1128" s="73" t="str">
        <f>IF($C1128="","",DATE(YEAR($C1128),MONTH($C1128),1))</f>
        <v/>
      </c>
      <c r="P1128" s="65" t="str">
        <f ca="1">IF($C1128="","",IF(AND($D1128="Gelir",$L1128&lt;&gt;"",$T1128=""),"TANIMSIZ BORÇLU",IF($T1128&lt;&gt;"",IF(OR($E1128="",$G1128&lt;=0),"EKSİK",IF($I1128="Evet","TAHAKKUK NAKİT OLAMAZ",IF($C1128&gt;TODAY(),"İLERİ TARİH","TAHAKKUK"))),IF(AND($D1128&lt;&gt;"",$E1128&lt;&gt;"",$G1128&gt;0,$H1128&lt;&gt;"",$I1128&lt;&gt;""),IF($C1128&gt;TODAY(),"İLERİ TARİH",IF(COUNTIF($W$7:$W$3001,$W1128)&gt;1,"MÜKERRER?",IF($AD1128&gt;0,"KAPALI DÖNEM",IF($I1128="Hayır","ÖDENECEK","UYGUN")))),"EKSİK"))))</f>
        <v/>
      </c>
      <c r="Q1128" s="2"/>
      <c r="R1128" s="2"/>
      <c r="S1128" s="1" t="str">
        <f t="shared" si="53"/>
        <v/>
      </c>
      <c r="T1128" s="1" t="str">
        <f>IF(OR($C1128="",$D1128&lt;&gt;"Gelir",$L1128=""),"",IFERROR(INDEX(MUSTERILER!$B$7:$B$156,MATCH($S1128,MUSTERILER!$T$7:$T$156,0)),""))</f>
        <v/>
      </c>
      <c r="U1128" s="1" t="str">
        <f>IF($T1128="","",$T1128&amp;"|"&amp;COUNTIFS($T$7:$T1128,$T1128))</f>
        <v/>
      </c>
      <c r="V1128" s="1">
        <f t="shared" si="54"/>
        <v>0</v>
      </c>
      <c r="W1128" s="1" t="str">
        <f t="shared" si="55"/>
        <v/>
      </c>
      <c r="X1128" s="1"/>
      <c r="Y1128" s="1"/>
      <c r="Z1128" s="1"/>
      <c r="AA1128" s="1"/>
      <c r="AB1128" s="1"/>
      <c r="AC1128" s="1"/>
      <c r="AD1128" s="1">
        <f>IF($C1128="",0,SUMPRODUCT((AY_SONU!$O$7:$O$42="Evet")*(AY_SONU!$B$7:$B$42=DATE(YEAR($C1128),MONTH($C1128),1))))</f>
        <v>0</v>
      </c>
      <c r="AE1128" s="1" t="str">
        <f>IF($E1128="","",$E1128&amp;"|"&amp;COUNTIFS($E$7:$E1128,$E1128))</f>
        <v/>
      </c>
    </row>
    <row r="1129" spans="1:31" ht="18" customHeight="1" x14ac:dyDescent="0.3">
      <c r="A1129" s="2"/>
      <c r="B1129" s="65" t="str">
        <f>IF($C1129="","","GG"&amp;TEXT(ROW()-6,"00000"))</f>
        <v/>
      </c>
      <c r="C1129" s="66"/>
      <c r="D1129" s="60"/>
      <c r="E1129" s="61"/>
      <c r="F1129" s="61"/>
      <c r="G1129" s="67"/>
      <c r="H1129" s="60"/>
      <c r="I1129" s="60"/>
      <c r="J1129" s="61"/>
      <c r="K1129" s="61"/>
      <c r="L1129" s="60"/>
      <c r="M1129" s="74" t="str">
        <f>IF($C1129="","",IF($D1129="Gider",$E1129,IF($L1129&lt;&gt;"",$L1129,$H1129)))</f>
        <v/>
      </c>
      <c r="N1129" s="74" t="str">
        <f>IF($C1129="","",IF($D1129="Gider",$H1129,$E1129))</f>
        <v/>
      </c>
      <c r="O1129" s="73" t="str">
        <f>IF($C1129="","",DATE(YEAR($C1129),MONTH($C1129),1))</f>
        <v/>
      </c>
      <c r="P1129" s="65" t="str">
        <f ca="1">IF($C1129="","",IF(AND($D1129="Gelir",$L1129&lt;&gt;"",$T1129=""),"TANIMSIZ BORÇLU",IF($T1129&lt;&gt;"",IF(OR($E1129="",$G1129&lt;=0),"EKSİK",IF($I1129="Evet","TAHAKKUK NAKİT OLAMAZ",IF($C1129&gt;TODAY(),"İLERİ TARİH","TAHAKKUK"))),IF(AND($D1129&lt;&gt;"",$E1129&lt;&gt;"",$G1129&gt;0,$H1129&lt;&gt;"",$I1129&lt;&gt;""),IF($C1129&gt;TODAY(),"İLERİ TARİH",IF(COUNTIF($W$7:$W$3001,$W1129)&gt;1,"MÜKERRER?",IF($AD1129&gt;0,"KAPALI DÖNEM",IF($I1129="Hayır","ÖDENECEK","UYGUN")))),"EKSİK"))))</f>
        <v/>
      </c>
      <c r="Q1129" s="2"/>
      <c r="R1129" s="2"/>
      <c r="S1129" s="1" t="str">
        <f t="shared" si="53"/>
        <v/>
      </c>
      <c r="T1129" s="1" t="str">
        <f>IF(OR($C1129="",$D1129&lt;&gt;"Gelir",$L1129=""),"",IFERROR(INDEX(MUSTERILER!$B$7:$B$156,MATCH($S1129,MUSTERILER!$T$7:$T$156,0)),""))</f>
        <v/>
      </c>
      <c r="U1129" s="1" t="str">
        <f>IF($T1129="","",$T1129&amp;"|"&amp;COUNTIFS($T$7:$T1129,$T1129))</f>
        <v/>
      </c>
      <c r="V1129" s="1">
        <f t="shared" si="54"/>
        <v>0</v>
      </c>
      <c r="W1129" s="1" t="str">
        <f t="shared" si="55"/>
        <v/>
      </c>
      <c r="X1129" s="1"/>
      <c r="Y1129" s="1"/>
      <c r="Z1129" s="1"/>
      <c r="AA1129" s="1"/>
      <c r="AB1129" s="1"/>
      <c r="AC1129" s="1"/>
      <c r="AD1129" s="1">
        <f>IF($C1129="",0,SUMPRODUCT((AY_SONU!$O$7:$O$42="Evet")*(AY_SONU!$B$7:$B$42=DATE(YEAR($C1129),MONTH($C1129),1))))</f>
        <v>0</v>
      </c>
      <c r="AE1129" s="1" t="str">
        <f>IF($E1129="","",$E1129&amp;"|"&amp;COUNTIFS($E$7:$E1129,$E1129))</f>
        <v/>
      </c>
    </row>
    <row r="1130" spans="1:31" ht="18" customHeight="1" x14ac:dyDescent="0.3">
      <c r="A1130" s="2"/>
      <c r="B1130" s="65" t="str">
        <f>IF($C1130="","","GG"&amp;TEXT(ROW()-6,"00000"))</f>
        <v/>
      </c>
      <c r="C1130" s="66"/>
      <c r="D1130" s="60"/>
      <c r="E1130" s="61"/>
      <c r="F1130" s="61"/>
      <c r="G1130" s="67"/>
      <c r="H1130" s="60"/>
      <c r="I1130" s="60"/>
      <c r="J1130" s="61"/>
      <c r="K1130" s="61"/>
      <c r="L1130" s="60"/>
      <c r="M1130" s="74" t="str">
        <f>IF($C1130="","",IF($D1130="Gider",$E1130,IF($L1130&lt;&gt;"",$L1130,$H1130)))</f>
        <v/>
      </c>
      <c r="N1130" s="74" t="str">
        <f>IF($C1130="","",IF($D1130="Gider",$H1130,$E1130))</f>
        <v/>
      </c>
      <c r="O1130" s="73" t="str">
        <f>IF($C1130="","",DATE(YEAR($C1130),MONTH($C1130),1))</f>
        <v/>
      </c>
      <c r="P1130" s="65" t="str">
        <f ca="1">IF($C1130="","",IF(AND($D1130="Gelir",$L1130&lt;&gt;"",$T1130=""),"TANIMSIZ BORÇLU",IF($T1130&lt;&gt;"",IF(OR($E1130="",$G1130&lt;=0),"EKSİK",IF($I1130="Evet","TAHAKKUK NAKİT OLAMAZ",IF($C1130&gt;TODAY(),"İLERİ TARİH","TAHAKKUK"))),IF(AND($D1130&lt;&gt;"",$E1130&lt;&gt;"",$G1130&gt;0,$H1130&lt;&gt;"",$I1130&lt;&gt;""),IF($C1130&gt;TODAY(),"İLERİ TARİH",IF(COUNTIF($W$7:$W$3001,$W1130)&gt;1,"MÜKERRER?",IF($AD1130&gt;0,"KAPALI DÖNEM",IF($I1130="Hayır","ÖDENECEK","UYGUN")))),"EKSİK"))))</f>
        <v/>
      </c>
      <c r="Q1130" s="2"/>
      <c r="R1130" s="2"/>
      <c r="S1130" s="1" t="str">
        <f t="shared" si="53"/>
        <v/>
      </c>
      <c r="T1130" s="1" t="str">
        <f>IF(OR($C1130="",$D1130&lt;&gt;"Gelir",$L1130=""),"",IFERROR(INDEX(MUSTERILER!$B$7:$B$156,MATCH($S1130,MUSTERILER!$T$7:$T$156,0)),""))</f>
        <v/>
      </c>
      <c r="U1130" s="1" t="str">
        <f>IF($T1130="","",$T1130&amp;"|"&amp;COUNTIFS($T$7:$T1130,$T1130))</f>
        <v/>
      </c>
      <c r="V1130" s="1">
        <f t="shared" si="54"/>
        <v>0</v>
      </c>
      <c r="W1130" s="1" t="str">
        <f t="shared" si="55"/>
        <v/>
      </c>
      <c r="X1130" s="1"/>
      <c r="Y1130" s="1"/>
      <c r="Z1130" s="1"/>
      <c r="AA1130" s="1"/>
      <c r="AB1130" s="1"/>
      <c r="AC1130" s="1"/>
      <c r="AD1130" s="1">
        <f>IF($C1130="",0,SUMPRODUCT((AY_SONU!$O$7:$O$42="Evet")*(AY_SONU!$B$7:$B$42=DATE(YEAR($C1130),MONTH($C1130),1))))</f>
        <v>0</v>
      </c>
      <c r="AE1130" s="1" t="str">
        <f>IF($E1130="","",$E1130&amp;"|"&amp;COUNTIFS($E$7:$E1130,$E1130))</f>
        <v/>
      </c>
    </row>
    <row r="1131" spans="1:31" ht="18" customHeight="1" x14ac:dyDescent="0.3">
      <c r="A1131" s="2"/>
      <c r="B1131" s="65" t="str">
        <f>IF($C1131="","","GG"&amp;TEXT(ROW()-6,"00000"))</f>
        <v/>
      </c>
      <c r="C1131" s="66"/>
      <c r="D1131" s="60"/>
      <c r="E1131" s="61"/>
      <c r="F1131" s="61"/>
      <c r="G1131" s="67"/>
      <c r="H1131" s="60"/>
      <c r="I1131" s="60"/>
      <c r="J1131" s="61"/>
      <c r="K1131" s="61"/>
      <c r="L1131" s="60"/>
      <c r="M1131" s="74" t="str">
        <f>IF($C1131="","",IF($D1131="Gider",$E1131,IF($L1131&lt;&gt;"",$L1131,$H1131)))</f>
        <v/>
      </c>
      <c r="N1131" s="74" t="str">
        <f>IF($C1131="","",IF($D1131="Gider",$H1131,$E1131))</f>
        <v/>
      </c>
      <c r="O1131" s="73" t="str">
        <f>IF($C1131="","",DATE(YEAR($C1131),MONTH($C1131),1))</f>
        <v/>
      </c>
      <c r="P1131" s="65" t="str">
        <f ca="1">IF($C1131="","",IF(AND($D1131="Gelir",$L1131&lt;&gt;"",$T1131=""),"TANIMSIZ BORÇLU",IF($T1131&lt;&gt;"",IF(OR($E1131="",$G1131&lt;=0),"EKSİK",IF($I1131="Evet","TAHAKKUK NAKİT OLAMAZ",IF($C1131&gt;TODAY(),"İLERİ TARİH","TAHAKKUK"))),IF(AND($D1131&lt;&gt;"",$E1131&lt;&gt;"",$G1131&gt;0,$H1131&lt;&gt;"",$I1131&lt;&gt;""),IF($C1131&gt;TODAY(),"İLERİ TARİH",IF(COUNTIF($W$7:$W$3001,$W1131)&gt;1,"MÜKERRER?",IF($AD1131&gt;0,"KAPALI DÖNEM",IF($I1131="Hayır","ÖDENECEK","UYGUN")))),"EKSİK"))))</f>
        <v/>
      </c>
      <c r="Q1131" s="2"/>
      <c r="R1131" s="2"/>
      <c r="S1131" s="1" t="str">
        <f t="shared" si="53"/>
        <v/>
      </c>
      <c r="T1131" s="1" t="str">
        <f>IF(OR($C1131="",$D1131&lt;&gt;"Gelir",$L1131=""),"",IFERROR(INDEX(MUSTERILER!$B$7:$B$156,MATCH($S1131,MUSTERILER!$T$7:$T$156,0)),""))</f>
        <v/>
      </c>
      <c r="U1131" s="1" t="str">
        <f>IF($T1131="","",$T1131&amp;"|"&amp;COUNTIFS($T$7:$T1131,$T1131))</f>
        <v/>
      </c>
      <c r="V1131" s="1">
        <f t="shared" si="54"/>
        <v>0</v>
      </c>
      <c r="W1131" s="1" t="str">
        <f t="shared" si="55"/>
        <v/>
      </c>
      <c r="X1131" s="1"/>
      <c r="Y1131" s="1"/>
      <c r="Z1131" s="1"/>
      <c r="AA1131" s="1"/>
      <c r="AB1131" s="1"/>
      <c r="AC1131" s="1"/>
      <c r="AD1131" s="1">
        <f>IF($C1131="",0,SUMPRODUCT((AY_SONU!$O$7:$O$42="Evet")*(AY_SONU!$B$7:$B$42=DATE(YEAR($C1131),MONTH($C1131),1))))</f>
        <v>0</v>
      </c>
      <c r="AE1131" s="1" t="str">
        <f>IF($E1131="","",$E1131&amp;"|"&amp;COUNTIFS($E$7:$E1131,$E1131))</f>
        <v/>
      </c>
    </row>
    <row r="1132" spans="1:31" ht="18" customHeight="1" x14ac:dyDescent="0.3">
      <c r="A1132" s="2"/>
      <c r="B1132" s="65" t="str">
        <f>IF($C1132="","","GG"&amp;TEXT(ROW()-6,"00000"))</f>
        <v/>
      </c>
      <c r="C1132" s="66"/>
      <c r="D1132" s="60"/>
      <c r="E1132" s="61"/>
      <c r="F1132" s="61"/>
      <c r="G1132" s="67"/>
      <c r="H1132" s="60"/>
      <c r="I1132" s="60"/>
      <c r="J1132" s="61"/>
      <c r="K1132" s="61"/>
      <c r="L1132" s="60"/>
      <c r="M1132" s="74" t="str">
        <f>IF($C1132="","",IF($D1132="Gider",$E1132,IF($L1132&lt;&gt;"",$L1132,$H1132)))</f>
        <v/>
      </c>
      <c r="N1132" s="74" t="str">
        <f>IF($C1132="","",IF($D1132="Gider",$H1132,$E1132))</f>
        <v/>
      </c>
      <c r="O1132" s="73" t="str">
        <f>IF($C1132="","",DATE(YEAR($C1132),MONTH($C1132),1))</f>
        <v/>
      </c>
      <c r="P1132" s="65" t="str">
        <f ca="1">IF($C1132="","",IF(AND($D1132="Gelir",$L1132&lt;&gt;"",$T1132=""),"TANIMSIZ BORÇLU",IF($T1132&lt;&gt;"",IF(OR($E1132="",$G1132&lt;=0),"EKSİK",IF($I1132="Evet","TAHAKKUK NAKİT OLAMAZ",IF($C1132&gt;TODAY(),"İLERİ TARİH","TAHAKKUK"))),IF(AND($D1132&lt;&gt;"",$E1132&lt;&gt;"",$G1132&gt;0,$H1132&lt;&gt;"",$I1132&lt;&gt;""),IF($C1132&gt;TODAY(),"İLERİ TARİH",IF(COUNTIF($W$7:$W$3001,$W1132)&gt;1,"MÜKERRER?",IF($AD1132&gt;0,"KAPALI DÖNEM",IF($I1132="Hayır","ÖDENECEK","UYGUN")))),"EKSİK"))))</f>
        <v/>
      </c>
      <c r="Q1132" s="2"/>
      <c r="R1132" s="2"/>
      <c r="S1132" s="1" t="str">
        <f t="shared" si="53"/>
        <v/>
      </c>
      <c r="T1132" s="1" t="str">
        <f>IF(OR($C1132="",$D1132&lt;&gt;"Gelir",$L1132=""),"",IFERROR(INDEX(MUSTERILER!$B$7:$B$156,MATCH($S1132,MUSTERILER!$T$7:$T$156,0)),""))</f>
        <v/>
      </c>
      <c r="U1132" s="1" t="str">
        <f>IF($T1132="","",$T1132&amp;"|"&amp;COUNTIFS($T$7:$T1132,$T1132))</f>
        <v/>
      </c>
      <c r="V1132" s="1">
        <f t="shared" si="54"/>
        <v>0</v>
      </c>
      <c r="W1132" s="1" t="str">
        <f t="shared" si="55"/>
        <v/>
      </c>
      <c r="X1132" s="1"/>
      <c r="Y1132" s="1"/>
      <c r="Z1132" s="1"/>
      <c r="AA1132" s="1"/>
      <c r="AB1132" s="1"/>
      <c r="AC1132" s="1"/>
      <c r="AD1132" s="1">
        <f>IF($C1132="",0,SUMPRODUCT((AY_SONU!$O$7:$O$42="Evet")*(AY_SONU!$B$7:$B$42=DATE(YEAR($C1132),MONTH($C1132),1))))</f>
        <v>0</v>
      </c>
      <c r="AE1132" s="1" t="str">
        <f>IF($E1132="","",$E1132&amp;"|"&amp;COUNTIFS($E$7:$E1132,$E1132))</f>
        <v/>
      </c>
    </row>
    <row r="1133" spans="1:31" ht="18" customHeight="1" x14ac:dyDescent="0.3">
      <c r="A1133" s="2"/>
      <c r="B1133" s="65" t="str">
        <f>IF($C1133="","","GG"&amp;TEXT(ROW()-6,"00000"))</f>
        <v/>
      </c>
      <c r="C1133" s="66"/>
      <c r="D1133" s="60"/>
      <c r="E1133" s="61"/>
      <c r="F1133" s="61"/>
      <c r="G1133" s="67"/>
      <c r="H1133" s="60"/>
      <c r="I1133" s="60"/>
      <c r="J1133" s="61"/>
      <c r="K1133" s="61"/>
      <c r="L1133" s="60"/>
      <c r="M1133" s="74" t="str">
        <f>IF($C1133="","",IF($D1133="Gider",$E1133,IF($L1133&lt;&gt;"",$L1133,$H1133)))</f>
        <v/>
      </c>
      <c r="N1133" s="74" t="str">
        <f>IF($C1133="","",IF($D1133="Gider",$H1133,$E1133))</f>
        <v/>
      </c>
      <c r="O1133" s="73" t="str">
        <f>IF($C1133="","",DATE(YEAR($C1133),MONTH($C1133),1))</f>
        <v/>
      </c>
      <c r="P1133" s="65" t="str">
        <f ca="1">IF($C1133="","",IF(AND($D1133="Gelir",$L1133&lt;&gt;"",$T1133=""),"TANIMSIZ BORÇLU",IF($T1133&lt;&gt;"",IF(OR($E1133="",$G1133&lt;=0),"EKSİK",IF($I1133="Evet","TAHAKKUK NAKİT OLAMAZ",IF($C1133&gt;TODAY(),"İLERİ TARİH","TAHAKKUK"))),IF(AND($D1133&lt;&gt;"",$E1133&lt;&gt;"",$G1133&gt;0,$H1133&lt;&gt;"",$I1133&lt;&gt;""),IF($C1133&gt;TODAY(),"İLERİ TARİH",IF(COUNTIF($W$7:$W$3001,$W1133)&gt;1,"MÜKERRER?",IF($AD1133&gt;0,"KAPALI DÖNEM",IF($I1133="Hayır","ÖDENECEK","UYGUN")))),"EKSİK"))))</f>
        <v/>
      </c>
      <c r="Q1133" s="2"/>
      <c r="R1133" s="2"/>
      <c r="S1133" s="1" t="str">
        <f t="shared" si="53"/>
        <v/>
      </c>
      <c r="T1133" s="1" t="str">
        <f>IF(OR($C1133="",$D1133&lt;&gt;"Gelir",$L1133=""),"",IFERROR(INDEX(MUSTERILER!$B$7:$B$156,MATCH($S1133,MUSTERILER!$T$7:$T$156,0)),""))</f>
        <v/>
      </c>
      <c r="U1133" s="1" t="str">
        <f>IF($T1133="","",$T1133&amp;"|"&amp;COUNTIFS($T$7:$T1133,$T1133))</f>
        <v/>
      </c>
      <c r="V1133" s="1">
        <f t="shared" si="54"/>
        <v>0</v>
      </c>
      <c r="W1133" s="1" t="str">
        <f t="shared" si="55"/>
        <v/>
      </c>
      <c r="X1133" s="1"/>
      <c r="Y1133" s="1"/>
      <c r="Z1133" s="1"/>
      <c r="AA1133" s="1"/>
      <c r="AB1133" s="1"/>
      <c r="AC1133" s="1"/>
      <c r="AD1133" s="1">
        <f>IF($C1133="",0,SUMPRODUCT((AY_SONU!$O$7:$O$42="Evet")*(AY_SONU!$B$7:$B$42=DATE(YEAR($C1133),MONTH($C1133),1))))</f>
        <v>0</v>
      </c>
      <c r="AE1133" s="1" t="str">
        <f>IF($E1133="","",$E1133&amp;"|"&amp;COUNTIFS($E$7:$E1133,$E1133))</f>
        <v/>
      </c>
    </row>
    <row r="1134" spans="1:31" ht="18" customHeight="1" x14ac:dyDescent="0.3">
      <c r="A1134" s="2"/>
      <c r="B1134" s="65" t="str">
        <f>IF($C1134="","","GG"&amp;TEXT(ROW()-6,"00000"))</f>
        <v/>
      </c>
      <c r="C1134" s="66"/>
      <c r="D1134" s="60"/>
      <c r="E1134" s="61"/>
      <c r="F1134" s="61"/>
      <c r="G1134" s="67"/>
      <c r="H1134" s="60"/>
      <c r="I1134" s="60"/>
      <c r="J1134" s="61"/>
      <c r="K1134" s="61"/>
      <c r="L1134" s="60"/>
      <c r="M1134" s="74" t="str">
        <f>IF($C1134="","",IF($D1134="Gider",$E1134,IF($L1134&lt;&gt;"",$L1134,$H1134)))</f>
        <v/>
      </c>
      <c r="N1134" s="74" t="str">
        <f>IF($C1134="","",IF($D1134="Gider",$H1134,$E1134))</f>
        <v/>
      </c>
      <c r="O1134" s="73" t="str">
        <f>IF($C1134="","",DATE(YEAR($C1134),MONTH($C1134),1))</f>
        <v/>
      </c>
      <c r="P1134" s="65" t="str">
        <f ca="1">IF($C1134="","",IF(AND($D1134="Gelir",$L1134&lt;&gt;"",$T1134=""),"TANIMSIZ BORÇLU",IF($T1134&lt;&gt;"",IF(OR($E1134="",$G1134&lt;=0),"EKSİK",IF($I1134="Evet","TAHAKKUK NAKİT OLAMAZ",IF($C1134&gt;TODAY(),"İLERİ TARİH","TAHAKKUK"))),IF(AND($D1134&lt;&gt;"",$E1134&lt;&gt;"",$G1134&gt;0,$H1134&lt;&gt;"",$I1134&lt;&gt;""),IF($C1134&gt;TODAY(),"İLERİ TARİH",IF(COUNTIF($W$7:$W$3001,$W1134)&gt;1,"MÜKERRER?",IF($AD1134&gt;0,"KAPALI DÖNEM",IF($I1134="Hayır","ÖDENECEK","UYGUN")))),"EKSİK"))))</f>
        <v/>
      </c>
      <c r="Q1134" s="2"/>
      <c r="R1134" s="2"/>
      <c r="S1134" s="1" t="str">
        <f t="shared" si="53"/>
        <v/>
      </c>
      <c r="T1134" s="1" t="str">
        <f>IF(OR($C1134="",$D1134&lt;&gt;"Gelir",$L1134=""),"",IFERROR(INDEX(MUSTERILER!$B$7:$B$156,MATCH($S1134,MUSTERILER!$T$7:$T$156,0)),""))</f>
        <v/>
      </c>
      <c r="U1134" s="1" t="str">
        <f>IF($T1134="","",$T1134&amp;"|"&amp;COUNTIFS($T$7:$T1134,$T1134))</f>
        <v/>
      </c>
      <c r="V1134" s="1">
        <f t="shared" si="54"/>
        <v>0</v>
      </c>
      <c r="W1134" s="1" t="str">
        <f t="shared" si="55"/>
        <v/>
      </c>
      <c r="X1134" s="1"/>
      <c r="Y1134" s="1"/>
      <c r="Z1134" s="1"/>
      <c r="AA1134" s="1"/>
      <c r="AB1134" s="1"/>
      <c r="AC1134" s="1"/>
      <c r="AD1134" s="1">
        <f>IF($C1134="",0,SUMPRODUCT((AY_SONU!$O$7:$O$42="Evet")*(AY_SONU!$B$7:$B$42=DATE(YEAR($C1134),MONTH($C1134),1))))</f>
        <v>0</v>
      </c>
      <c r="AE1134" s="1" t="str">
        <f>IF($E1134="","",$E1134&amp;"|"&amp;COUNTIFS($E$7:$E1134,$E1134))</f>
        <v/>
      </c>
    </row>
    <row r="1135" spans="1:31" ht="18" customHeight="1" x14ac:dyDescent="0.3">
      <c r="A1135" s="2"/>
      <c r="B1135" s="65" t="str">
        <f>IF($C1135="","","GG"&amp;TEXT(ROW()-6,"00000"))</f>
        <v/>
      </c>
      <c r="C1135" s="66"/>
      <c r="D1135" s="60"/>
      <c r="E1135" s="61"/>
      <c r="F1135" s="61"/>
      <c r="G1135" s="67"/>
      <c r="H1135" s="60"/>
      <c r="I1135" s="60"/>
      <c r="J1135" s="61"/>
      <c r="K1135" s="61"/>
      <c r="L1135" s="60"/>
      <c r="M1135" s="74" t="str">
        <f>IF($C1135="","",IF($D1135="Gider",$E1135,IF($L1135&lt;&gt;"",$L1135,$H1135)))</f>
        <v/>
      </c>
      <c r="N1135" s="74" t="str">
        <f>IF($C1135="","",IF($D1135="Gider",$H1135,$E1135))</f>
        <v/>
      </c>
      <c r="O1135" s="73" t="str">
        <f>IF($C1135="","",DATE(YEAR($C1135),MONTH($C1135),1))</f>
        <v/>
      </c>
      <c r="P1135" s="65" t="str">
        <f ca="1">IF($C1135="","",IF(AND($D1135="Gelir",$L1135&lt;&gt;"",$T1135=""),"TANIMSIZ BORÇLU",IF($T1135&lt;&gt;"",IF(OR($E1135="",$G1135&lt;=0),"EKSİK",IF($I1135="Evet","TAHAKKUK NAKİT OLAMAZ",IF($C1135&gt;TODAY(),"İLERİ TARİH","TAHAKKUK"))),IF(AND($D1135&lt;&gt;"",$E1135&lt;&gt;"",$G1135&gt;0,$H1135&lt;&gt;"",$I1135&lt;&gt;""),IF($C1135&gt;TODAY(),"İLERİ TARİH",IF(COUNTIF($W$7:$W$3001,$W1135)&gt;1,"MÜKERRER?",IF($AD1135&gt;0,"KAPALI DÖNEM",IF($I1135="Hayır","ÖDENECEK","UYGUN")))),"EKSİK"))))</f>
        <v/>
      </c>
      <c r="Q1135" s="2"/>
      <c r="R1135" s="2"/>
      <c r="S1135" s="1" t="str">
        <f t="shared" si="53"/>
        <v/>
      </c>
      <c r="T1135" s="1" t="str">
        <f>IF(OR($C1135="",$D1135&lt;&gt;"Gelir",$L1135=""),"",IFERROR(INDEX(MUSTERILER!$B$7:$B$156,MATCH($S1135,MUSTERILER!$T$7:$T$156,0)),""))</f>
        <v/>
      </c>
      <c r="U1135" s="1" t="str">
        <f>IF($T1135="","",$T1135&amp;"|"&amp;COUNTIFS($T$7:$T1135,$T1135))</f>
        <v/>
      </c>
      <c r="V1135" s="1">
        <f t="shared" si="54"/>
        <v>0</v>
      </c>
      <c r="W1135" s="1" t="str">
        <f t="shared" si="55"/>
        <v/>
      </c>
      <c r="X1135" s="1"/>
      <c r="Y1135" s="1"/>
      <c r="Z1135" s="1"/>
      <c r="AA1135" s="1"/>
      <c r="AB1135" s="1"/>
      <c r="AC1135" s="1"/>
      <c r="AD1135" s="1">
        <f>IF($C1135="",0,SUMPRODUCT((AY_SONU!$O$7:$O$42="Evet")*(AY_SONU!$B$7:$B$42=DATE(YEAR($C1135),MONTH($C1135),1))))</f>
        <v>0</v>
      </c>
      <c r="AE1135" s="1" t="str">
        <f>IF($E1135="","",$E1135&amp;"|"&amp;COUNTIFS($E$7:$E1135,$E1135))</f>
        <v/>
      </c>
    </row>
    <row r="1136" spans="1:31" ht="18" customHeight="1" x14ac:dyDescent="0.3">
      <c r="A1136" s="2"/>
      <c r="B1136" s="65" t="str">
        <f>IF($C1136="","","GG"&amp;TEXT(ROW()-6,"00000"))</f>
        <v/>
      </c>
      <c r="C1136" s="66"/>
      <c r="D1136" s="60"/>
      <c r="E1136" s="61"/>
      <c r="F1136" s="61"/>
      <c r="G1136" s="67"/>
      <c r="H1136" s="60"/>
      <c r="I1136" s="60"/>
      <c r="J1136" s="61"/>
      <c r="K1136" s="61"/>
      <c r="L1136" s="60"/>
      <c r="M1136" s="74" t="str">
        <f>IF($C1136="","",IF($D1136="Gider",$E1136,IF($L1136&lt;&gt;"",$L1136,$H1136)))</f>
        <v/>
      </c>
      <c r="N1136" s="74" t="str">
        <f>IF($C1136="","",IF($D1136="Gider",$H1136,$E1136))</f>
        <v/>
      </c>
      <c r="O1136" s="73" t="str">
        <f>IF($C1136="","",DATE(YEAR($C1136),MONTH($C1136),1))</f>
        <v/>
      </c>
      <c r="P1136" s="65" t="str">
        <f ca="1">IF($C1136="","",IF(AND($D1136="Gelir",$L1136&lt;&gt;"",$T1136=""),"TANIMSIZ BORÇLU",IF($T1136&lt;&gt;"",IF(OR($E1136="",$G1136&lt;=0),"EKSİK",IF($I1136="Evet","TAHAKKUK NAKİT OLAMAZ",IF($C1136&gt;TODAY(),"İLERİ TARİH","TAHAKKUK"))),IF(AND($D1136&lt;&gt;"",$E1136&lt;&gt;"",$G1136&gt;0,$H1136&lt;&gt;"",$I1136&lt;&gt;""),IF($C1136&gt;TODAY(),"İLERİ TARİH",IF(COUNTIF($W$7:$W$3001,$W1136)&gt;1,"MÜKERRER?",IF($AD1136&gt;0,"KAPALI DÖNEM",IF($I1136="Hayır","ÖDENECEK","UYGUN")))),"EKSİK"))))</f>
        <v/>
      </c>
      <c r="Q1136" s="2"/>
      <c r="R1136" s="2"/>
      <c r="S1136" s="1" t="str">
        <f t="shared" si="53"/>
        <v/>
      </c>
      <c r="T1136" s="1" t="str">
        <f>IF(OR($C1136="",$D1136&lt;&gt;"Gelir",$L1136=""),"",IFERROR(INDEX(MUSTERILER!$B$7:$B$156,MATCH($S1136,MUSTERILER!$T$7:$T$156,0)),""))</f>
        <v/>
      </c>
      <c r="U1136" s="1" t="str">
        <f>IF($T1136="","",$T1136&amp;"|"&amp;COUNTIFS($T$7:$T1136,$T1136))</f>
        <v/>
      </c>
      <c r="V1136" s="1">
        <f t="shared" si="54"/>
        <v>0</v>
      </c>
      <c r="W1136" s="1" t="str">
        <f t="shared" si="55"/>
        <v/>
      </c>
      <c r="X1136" s="1"/>
      <c r="Y1136" s="1"/>
      <c r="Z1136" s="1"/>
      <c r="AA1136" s="1"/>
      <c r="AB1136" s="1"/>
      <c r="AC1136" s="1"/>
      <c r="AD1136" s="1">
        <f>IF($C1136="",0,SUMPRODUCT((AY_SONU!$O$7:$O$42="Evet")*(AY_SONU!$B$7:$B$42=DATE(YEAR($C1136),MONTH($C1136),1))))</f>
        <v>0</v>
      </c>
      <c r="AE1136" s="1" t="str">
        <f>IF($E1136="","",$E1136&amp;"|"&amp;COUNTIFS($E$7:$E1136,$E1136))</f>
        <v/>
      </c>
    </row>
    <row r="1137" spans="1:31" ht="18" customHeight="1" x14ac:dyDescent="0.3">
      <c r="A1137" s="2"/>
      <c r="B1137" s="65" t="str">
        <f>IF($C1137="","","GG"&amp;TEXT(ROW()-6,"00000"))</f>
        <v/>
      </c>
      <c r="C1137" s="66"/>
      <c r="D1137" s="60"/>
      <c r="E1137" s="61"/>
      <c r="F1137" s="61"/>
      <c r="G1137" s="67"/>
      <c r="H1137" s="60"/>
      <c r="I1137" s="60"/>
      <c r="J1137" s="61"/>
      <c r="K1137" s="61"/>
      <c r="L1137" s="60"/>
      <c r="M1137" s="74" t="str">
        <f>IF($C1137="","",IF($D1137="Gider",$E1137,IF($L1137&lt;&gt;"",$L1137,$H1137)))</f>
        <v/>
      </c>
      <c r="N1137" s="74" t="str">
        <f>IF($C1137="","",IF($D1137="Gider",$H1137,$E1137))</f>
        <v/>
      </c>
      <c r="O1137" s="73" t="str">
        <f>IF($C1137="","",DATE(YEAR($C1137),MONTH($C1137),1))</f>
        <v/>
      </c>
      <c r="P1137" s="65" t="str">
        <f ca="1">IF($C1137="","",IF(AND($D1137="Gelir",$L1137&lt;&gt;"",$T1137=""),"TANIMSIZ BORÇLU",IF($T1137&lt;&gt;"",IF(OR($E1137="",$G1137&lt;=0),"EKSİK",IF($I1137="Evet","TAHAKKUK NAKİT OLAMAZ",IF($C1137&gt;TODAY(),"İLERİ TARİH","TAHAKKUK"))),IF(AND($D1137&lt;&gt;"",$E1137&lt;&gt;"",$G1137&gt;0,$H1137&lt;&gt;"",$I1137&lt;&gt;""),IF($C1137&gt;TODAY(),"İLERİ TARİH",IF(COUNTIF($W$7:$W$3001,$W1137)&gt;1,"MÜKERRER?",IF($AD1137&gt;0,"KAPALI DÖNEM",IF($I1137="Hayır","ÖDENECEK","UYGUN")))),"EKSİK"))))</f>
        <v/>
      </c>
      <c r="Q1137" s="2"/>
      <c r="R1137" s="2"/>
      <c r="S1137" s="1" t="str">
        <f t="shared" si="53"/>
        <v/>
      </c>
      <c r="T1137" s="1" t="str">
        <f>IF(OR($C1137="",$D1137&lt;&gt;"Gelir",$L1137=""),"",IFERROR(INDEX(MUSTERILER!$B$7:$B$156,MATCH($S1137,MUSTERILER!$T$7:$T$156,0)),""))</f>
        <v/>
      </c>
      <c r="U1137" s="1" t="str">
        <f>IF($T1137="","",$T1137&amp;"|"&amp;COUNTIFS($T$7:$T1137,$T1137))</f>
        <v/>
      </c>
      <c r="V1137" s="1">
        <f t="shared" si="54"/>
        <v>0</v>
      </c>
      <c r="W1137" s="1" t="str">
        <f t="shared" si="55"/>
        <v/>
      </c>
      <c r="X1137" s="1"/>
      <c r="Y1137" s="1"/>
      <c r="Z1137" s="1"/>
      <c r="AA1137" s="1"/>
      <c r="AB1137" s="1"/>
      <c r="AC1137" s="1"/>
      <c r="AD1137" s="1">
        <f>IF($C1137="",0,SUMPRODUCT((AY_SONU!$O$7:$O$42="Evet")*(AY_SONU!$B$7:$B$42=DATE(YEAR($C1137),MONTH($C1137),1))))</f>
        <v>0</v>
      </c>
      <c r="AE1137" s="1" t="str">
        <f>IF($E1137="","",$E1137&amp;"|"&amp;COUNTIFS($E$7:$E1137,$E1137))</f>
        <v/>
      </c>
    </row>
    <row r="1138" spans="1:31" ht="18" customHeight="1" x14ac:dyDescent="0.3">
      <c r="A1138" s="2"/>
      <c r="B1138" s="65" t="str">
        <f>IF($C1138="","","GG"&amp;TEXT(ROW()-6,"00000"))</f>
        <v/>
      </c>
      <c r="C1138" s="66"/>
      <c r="D1138" s="60"/>
      <c r="E1138" s="61"/>
      <c r="F1138" s="61"/>
      <c r="G1138" s="67"/>
      <c r="H1138" s="60"/>
      <c r="I1138" s="60"/>
      <c r="J1138" s="61"/>
      <c r="K1138" s="61"/>
      <c r="L1138" s="60"/>
      <c r="M1138" s="74" t="str">
        <f>IF($C1138="","",IF($D1138="Gider",$E1138,IF($L1138&lt;&gt;"",$L1138,$H1138)))</f>
        <v/>
      </c>
      <c r="N1138" s="74" t="str">
        <f>IF($C1138="","",IF($D1138="Gider",$H1138,$E1138))</f>
        <v/>
      </c>
      <c r="O1138" s="73" t="str">
        <f>IF($C1138="","",DATE(YEAR($C1138),MONTH($C1138),1))</f>
        <v/>
      </c>
      <c r="P1138" s="65" t="str">
        <f ca="1">IF($C1138="","",IF(AND($D1138="Gelir",$L1138&lt;&gt;"",$T1138=""),"TANIMSIZ BORÇLU",IF($T1138&lt;&gt;"",IF(OR($E1138="",$G1138&lt;=0),"EKSİK",IF($I1138="Evet","TAHAKKUK NAKİT OLAMAZ",IF($C1138&gt;TODAY(),"İLERİ TARİH","TAHAKKUK"))),IF(AND($D1138&lt;&gt;"",$E1138&lt;&gt;"",$G1138&gt;0,$H1138&lt;&gt;"",$I1138&lt;&gt;""),IF($C1138&gt;TODAY(),"İLERİ TARİH",IF(COUNTIF($W$7:$W$3001,$W1138)&gt;1,"MÜKERRER?",IF($AD1138&gt;0,"KAPALI DÖNEM",IF($I1138="Hayır","ÖDENECEK","UYGUN")))),"EKSİK"))))</f>
        <v/>
      </c>
      <c r="Q1138" s="2"/>
      <c r="R1138" s="2"/>
      <c r="S1138" s="1" t="str">
        <f t="shared" si="53"/>
        <v/>
      </c>
      <c r="T1138" s="1" t="str">
        <f>IF(OR($C1138="",$D1138&lt;&gt;"Gelir",$L1138=""),"",IFERROR(INDEX(MUSTERILER!$B$7:$B$156,MATCH($S1138,MUSTERILER!$T$7:$T$156,0)),""))</f>
        <v/>
      </c>
      <c r="U1138" s="1" t="str">
        <f>IF($T1138="","",$T1138&amp;"|"&amp;COUNTIFS($T$7:$T1138,$T1138))</f>
        <v/>
      </c>
      <c r="V1138" s="1">
        <f t="shared" si="54"/>
        <v>0</v>
      </c>
      <c r="W1138" s="1" t="str">
        <f t="shared" si="55"/>
        <v/>
      </c>
      <c r="X1138" s="1"/>
      <c r="Y1138" s="1"/>
      <c r="Z1138" s="1"/>
      <c r="AA1138" s="1"/>
      <c r="AB1138" s="1"/>
      <c r="AC1138" s="1"/>
      <c r="AD1138" s="1">
        <f>IF($C1138="",0,SUMPRODUCT((AY_SONU!$O$7:$O$42="Evet")*(AY_SONU!$B$7:$B$42=DATE(YEAR($C1138),MONTH($C1138),1))))</f>
        <v>0</v>
      </c>
      <c r="AE1138" s="1" t="str">
        <f>IF($E1138="","",$E1138&amp;"|"&amp;COUNTIFS($E$7:$E1138,$E1138))</f>
        <v/>
      </c>
    </row>
    <row r="1139" spans="1:31" ht="18" customHeight="1" x14ac:dyDescent="0.3">
      <c r="A1139" s="2"/>
      <c r="B1139" s="65" t="str">
        <f>IF($C1139="","","GG"&amp;TEXT(ROW()-6,"00000"))</f>
        <v/>
      </c>
      <c r="C1139" s="66"/>
      <c r="D1139" s="60"/>
      <c r="E1139" s="61"/>
      <c r="F1139" s="61"/>
      <c r="G1139" s="67"/>
      <c r="H1139" s="60"/>
      <c r="I1139" s="60"/>
      <c r="J1139" s="61"/>
      <c r="K1139" s="61"/>
      <c r="L1139" s="60"/>
      <c r="M1139" s="74" t="str">
        <f>IF($C1139="","",IF($D1139="Gider",$E1139,IF($L1139&lt;&gt;"",$L1139,$H1139)))</f>
        <v/>
      </c>
      <c r="N1139" s="74" t="str">
        <f>IF($C1139="","",IF($D1139="Gider",$H1139,$E1139))</f>
        <v/>
      </c>
      <c r="O1139" s="73" t="str">
        <f>IF($C1139="","",DATE(YEAR($C1139),MONTH($C1139),1))</f>
        <v/>
      </c>
      <c r="P1139" s="65" t="str">
        <f ca="1">IF($C1139="","",IF(AND($D1139="Gelir",$L1139&lt;&gt;"",$T1139=""),"TANIMSIZ BORÇLU",IF($T1139&lt;&gt;"",IF(OR($E1139="",$G1139&lt;=0),"EKSİK",IF($I1139="Evet","TAHAKKUK NAKİT OLAMAZ",IF($C1139&gt;TODAY(),"İLERİ TARİH","TAHAKKUK"))),IF(AND($D1139&lt;&gt;"",$E1139&lt;&gt;"",$G1139&gt;0,$H1139&lt;&gt;"",$I1139&lt;&gt;""),IF($C1139&gt;TODAY(),"İLERİ TARİH",IF(COUNTIF($W$7:$W$3001,$W1139)&gt;1,"MÜKERRER?",IF($AD1139&gt;0,"KAPALI DÖNEM",IF($I1139="Hayır","ÖDENECEK","UYGUN")))),"EKSİK"))))</f>
        <v/>
      </c>
      <c r="Q1139" s="2"/>
      <c r="R1139" s="2"/>
      <c r="S1139" s="1" t="str">
        <f t="shared" si="53"/>
        <v/>
      </c>
      <c r="T1139" s="1" t="str">
        <f>IF(OR($C1139="",$D1139&lt;&gt;"Gelir",$L1139=""),"",IFERROR(INDEX(MUSTERILER!$B$7:$B$156,MATCH($S1139,MUSTERILER!$T$7:$T$156,0)),""))</f>
        <v/>
      </c>
      <c r="U1139" s="1" t="str">
        <f>IF($T1139="","",$T1139&amp;"|"&amp;COUNTIFS($T$7:$T1139,$T1139))</f>
        <v/>
      </c>
      <c r="V1139" s="1">
        <f t="shared" si="54"/>
        <v>0</v>
      </c>
      <c r="W1139" s="1" t="str">
        <f t="shared" si="55"/>
        <v/>
      </c>
      <c r="X1139" s="1"/>
      <c r="Y1139" s="1"/>
      <c r="Z1139" s="1"/>
      <c r="AA1139" s="1"/>
      <c r="AB1139" s="1"/>
      <c r="AC1139" s="1"/>
      <c r="AD1139" s="1">
        <f>IF($C1139="",0,SUMPRODUCT((AY_SONU!$O$7:$O$42="Evet")*(AY_SONU!$B$7:$B$42=DATE(YEAR($C1139),MONTH($C1139),1))))</f>
        <v>0</v>
      </c>
      <c r="AE1139" s="1" t="str">
        <f>IF($E1139="","",$E1139&amp;"|"&amp;COUNTIFS($E$7:$E1139,$E1139))</f>
        <v/>
      </c>
    </row>
    <row r="1140" spans="1:31" ht="18" customHeight="1" x14ac:dyDescent="0.3">
      <c r="A1140" s="2"/>
      <c r="B1140" s="65" t="str">
        <f>IF($C1140="","","GG"&amp;TEXT(ROW()-6,"00000"))</f>
        <v/>
      </c>
      <c r="C1140" s="66"/>
      <c r="D1140" s="60"/>
      <c r="E1140" s="61"/>
      <c r="F1140" s="61"/>
      <c r="G1140" s="67"/>
      <c r="H1140" s="60"/>
      <c r="I1140" s="60"/>
      <c r="J1140" s="61"/>
      <c r="K1140" s="61"/>
      <c r="L1140" s="60"/>
      <c r="M1140" s="74" t="str">
        <f>IF($C1140="","",IF($D1140="Gider",$E1140,IF($L1140&lt;&gt;"",$L1140,$H1140)))</f>
        <v/>
      </c>
      <c r="N1140" s="74" t="str">
        <f>IF($C1140="","",IF($D1140="Gider",$H1140,$E1140))</f>
        <v/>
      </c>
      <c r="O1140" s="73" t="str">
        <f>IF($C1140="","",DATE(YEAR($C1140),MONTH($C1140),1))</f>
        <v/>
      </c>
      <c r="P1140" s="65" t="str">
        <f ca="1">IF($C1140="","",IF(AND($D1140="Gelir",$L1140&lt;&gt;"",$T1140=""),"TANIMSIZ BORÇLU",IF($T1140&lt;&gt;"",IF(OR($E1140="",$G1140&lt;=0),"EKSİK",IF($I1140="Evet","TAHAKKUK NAKİT OLAMAZ",IF($C1140&gt;TODAY(),"İLERİ TARİH","TAHAKKUK"))),IF(AND($D1140&lt;&gt;"",$E1140&lt;&gt;"",$G1140&gt;0,$H1140&lt;&gt;"",$I1140&lt;&gt;""),IF($C1140&gt;TODAY(),"İLERİ TARİH",IF(COUNTIF($W$7:$W$3001,$W1140)&gt;1,"MÜKERRER?",IF($AD1140&gt;0,"KAPALI DÖNEM",IF($I1140="Hayır","ÖDENECEK","UYGUN")))),"EKSİK"))))</f>
        <v/>
      </c>
      <c r="Q1140" s="2"/>
      <c r="R1140" s="2"/>
      <c r="S1140" s="1" t="str">
        <f t="shared" si="53"/>
        <v/>
      </c>
      <c r="T1140" s="1" t="str">
        <f>IF(OR($C1140="",$D1140&lt;&gt;"Gelir",$L1140=""),"",IFERROR(INDEX(MUSTERILER!$B$7:$B$156,MATCH($S1140,MUSTERILER!$T$7:$T$156,0)),""))</f>
        <v/>
      </c>
      <c r="U1140" s="1" t="str">
        <f>IF($T1140="","",$T1140&amp;"|"&amp;COUNTIFS($T$7:$T1140,$T1140))</f>
        <v/>
      </c>
      <c r="V1140" s="1">
        <f t="shared" si="54"/>
        <v>0</v>
      </c>
      <c r="W1140" s="1" t="str">
        <f t="shared" si="55"/>
        <v/>
      </c>
      <c r="X1140" s="1"/>
      <c r="Y1140" s="1"/>
      <c r="Z1140" s="1"/>
      <c r="AA1140" s="1"/>
      <c r="AB1140" s="1"/>
      <c r="AC1140" s="1"/>
      <c r="AD1140" s="1">
        <f>IF($C1140="",0,SUMPRODUCT((AY_SONU!$O$7:$O$42="Evet")*(AY_SONU!$B$7:$B$42=DATE(YEAR($C1140),MONTH($C1140),1))))</f>
        <v>0</v>
      </c>
      <c r="AE1140" s="1" t="str">
        <f>IF($E1140="","",$E1140&amp;"|"&amp;COUNTIFS($E$7:$E1140,$E1140))</f>
        <v/>
      </c>
    </row>
    <row r="1141" spans="1:31" ht="18" customHeight="1" x14ac:dyDescent="0.3">
      <c r="A1141" s="2"/>
      <c r="B1141" s="65" t="str">
        <f>IF($C1141="","","GG"&amp;TEXT(ROW()-6,"00000"))</f>
        <v/>
      </c>
      <c r="C1141" s="66"/>
      <c r="D1141" s="60"/>
      <c r="E1141" s="61"/>
      <c r="F1141" s="61"/>
      <c r="G1141" s="67"/>
      <c r="H1141" s="60"/>
      <c r="I1141" s="60"/>
      <c r="J1141" s="61"/>
      <c r="K1141" s="61"/>
      <c r="L1141" s="60"/>
      <c r="M1141" s="74" t="str">
        <f>IF($C1141="","",IF($D1141="Gider",$E1141,IF($L1141&lt;&gt;"",$L1141,$H1141)))</f>
        <v/>
      </c>
      <c r="N1141" s="74" t="str">
        <f>IF($C1141="","",IF($D1141="Gider",$H1141,$E1141))</f>
        <v/>
      </c>
      <c r="O1141" s="73" t="str">
        <f>IF($C1141="","",DATE(YEAR($C1141),MONTH($C1141),1))</f>
        <v/>
      </c>
      <c r="P1141" s="65" t="str">
        <f ca="1">IF($C1141="","",IF(AND($D1141="Gelir",$L1141&lt;&gt;"",$T1141=""),"TANIMSIZ BORÇLU",IF($T1141&lt;&gt;"",IF(OR($E1141="",$G1141&lt;=0),"EKSİK",IF($I1141="Evet","TAHAKKUK NAKİT OLAMAZ",IF($C1141&gt;TODAY(),"İLERİ TARİH","TAHAKKUK"))),IF(AND($D1141&lt;&gt;"",$E1141&lt;&gt;"",$G1141&gt;0,$H1141&lt;&gt;"",$I1141&lt;&gt;""),IF($C1141&gt;TODAY(),"İLERİ TARİH",IF(COUNTIF($W$7:$W$3001,$W1141)&gt;1,"MÜKERRER?",IF($AD1141&gt;0,"KAPALI DÖNEM",IF($I1141="Hayır","ÖDENECEK","UYGUN")))),"EKSİK"))))</f>
        <v/>
      </c>
      <c r="Q1141" s="2"/>
      <c r="R1141" s="2"/>
      <c r="S1141" s="1" t="str">
        <f t="shared" si="53"/>
        <v/>
      </c>
      <c r="T1141" s="1" t="str">
        <f>IF(OR($C1141="",$D1141&lt;&gt;"Gelir",$L1141=""),"",IFERROR(INDEX(MUSTERILER!$B$7:$B$156,MATCH($S1141,MUSTERILER!$T$7:$T$156,0)),""))</f>
        <v/>
      </c>
      <c r="U1141" s="1" t="str">
        <f>IF($T1141="","",$T1141&amp;"|"&amp;COUNTIFS($T$7:$T1141,$T1141))</f>
        <v/>
      </c>
      <c r="V1141" s="1">
        <f t="shared" si="54"/>
        <v>0</v>
      </c>
      <c r="W1141" s="1" t="str">
        <f t="shared" si="55"/>
        <v/>
      </c>
      <c r="X1141" s="1"/>
      <c r="Y1141" s="1"/>
      <c r="Z1141" s="1"/>
      <c r="AA1141" s="1"/>
      <c r="AB1141" s="1"/>
      <c r="AC1141" s="1"/>
      <c r="AD1141" s="1">
        <f>IF($C1141="",0,SUMPRODUCT((AY_SONU!$O$7:$O$42="Evet")*(AY_SONU!$B$7:$B$42=DATE(YEAR($C1141),MONTH($C1141),1))))</f>
        <v>0</v>
      </c>
      <c r="AE1141" s="1" t="str">
        <f>IF($E1141="","",$E1141&amp;"|"&amp;COUNTIFS($E$7:$E1141,$E1141))</f>
        <v/>
      </c>
    </row>
    <row r="1142" spans="1:31" ht="18" customHeight="1" x14ac:dyDescent="0.3">
      <c r="A1142" s="2"/>
      <c r="B1142" s="65" t="str">
        <f>IF($C1142="","","GG"&amp;TEXT(ROW()-6,"00000"))</f>
        <v/>
      </c>
      <c r="C1142" s="66"/>
      <c r="D1142" s="60"/>
      <c r="E1142" s="61"/>
      <c r="F1142" s="61"/>
      <c r="G1142" s="67"/>
      <c r="H1142" s="60"/>
      <c r="I1142" s="60"/>
      <c r="J1142" s="61"/>
      <c r="K1142" s="61"/>
      <c r="L1142" s="60"/>
      <c r="M1142" s="74" t="str">
        <f>IF($C1142="","",IF($D1142="Gider",$E1142,IF($L1142&lt;&gt;"",$L1142,$H1142)))</f>
        <v/>
      </c>
      <c r="N1142" s="74" t="str">
        <f>IF($C1142="","",IF($D1142="Gider",$H1142,$E1142))</f>
        <v/>
      </c>
      <c r="O1142" s="73" t="str">
        <f>IF($C1142="","",DATE(YEAR($C1142),MONTH($C1142),1))</f>
        <v/>
      </c>
      <c r="P1142" s="65" t="str">
        <f ca="1">IF($C1142="","",IF(AND($D1142="Gelir",$L1142&lt;&gt;"",$T1142=""),"TANIMSIZ BORÇLU",IF($T1142&lt;&gt;"",IF(OR($E1142="",$G1142&lt;=0),"EKSİK",IF($I1142="Evet","TAHAKKUK NAKİT OLAMAZ",IF($C1142&gt;TODAY(),"İLERİ TARİH","TAHAKKUK"))),IF(AND($D1142&lt;&gt;"",$E1142&lt;&gt;"",$G1142&gt;0,$H1142&lt;&gt;"",$I1142&lt;&gt;""),IF($C1142&gt;TODAY(),"İLERİ TARİH",IF(COUNTIF($W$7:$W$3001,$W1142)&gt;1,"MÜKERRER?",IF($AD1142&gt;0,"KAPALI DÖNEM",IF($I1142="Hayır","ÖDENECEK","UYGUN")))),"EKSİK"))))</f>
        <v/>
      </c>
      <c r="Q1142" s="2"/>
      <c r="R1142" s="2"/>
      <c r="S1142" s="1" t="str">
        <f t="shared" si="53"/>
        <v/>
      </c>
      <c r="T1142" s="1" t="str">
        <f>IF(OR($C1142="",$D1142&lt;&gt;"Gelir",$L1142=""),"",IFERROR(INDEX(MUSTERILER!$B$7:$B$156,MATCH($S1142,MUSTERILER!$T$7:$T$156,0)),""))</f>
        <v/>
      </c>
      <c r="U1142" s="1" t="str">
        <f>IF($T1142="","",$T1142&amp;"|"&amp;COUNTIFS($T$7:$T1142,$T1142))</f>
        <v/>
      </c>
      <c r="V1142" s="1">
        <f t="shared" si="54"/>
        <v>0</v>
      </c>
      <c r="W1142" s="1" t="str">
        <f t="shared" si="55"/>
        <v/>
      </c>
      <c r="X1142" s="1"/>
      <c r="Y1142" s="1"/>
      <c r="Z1142" s="1"/>
      <c r="AA1142" s="1"/>
      <c r="AB1142" s="1"/>
      <c r="AC1142" s="1"/>
      <c r="AD1142" s="1">
        <f>IF($C1142="",0,SUMPRODUCT((AY_SONU!$O$7:$O$42="Evet")*(AY_SONU!$B$7:$B$42=DATE(YEAR($C1142),MONTH($C1142),1))))</f>
        <v>0</v>
      </c>
      <c r="AE1142" s="1" t="str">
        <f>IF($E1142="","",$E1142&amp;"|"&amp;COUNTIFS($E$7:$E1142,$E1142))</f>
        <v/>
      </c>
    </row>
    <row r="1143" spans="1:31" ht="18" customHeight="1" x14ac:dyDescent="0.3">
      <c r="A1143" s="2"/>
      <c r="B1143" s="65" t="str">
        <f>IF($C1143="","","GG"&amp;TEXT(ROW()-6,"00000"))</f>
        <v/>
      </c>
      <c r="C1143" s="66"/>
      <c r="D1143" s="60"/>
      <c r="E1143" s="61"/>
      <c r="F1143" s="61"/>
      <c r="G1143" s="67"/>
      <c r="H1143" s="60"/>
      <c r="I1143" s="60"/>
      <c r="J1143" s="61"/>
      <c r="K1143" s="61"/>
      <c r="L1143" s="60"/>
      <c r="M1143" s="74" t="str">
        <f>IF($C1143="","",IF($D1143="Gider",$E1143,IF($L1143&lt;&gt;"",$L1143,$H1143)))</f>
        <v/>
      </c>
      <c r="N1143" s="74" t="str">
        <f>IF($C1143="","",IF($D1143="Gider",$H1143,$E1143))</f>
        <v/>
      </c>
      <c r="O1143" s="73" t="str">
        <f>IF($C1143="","",DATE(YEAR($C1143),MONTH($C1143),1))</f>
        <v/>
      </c>
      <c r="P1143" s="65" t="str">
        <f ca="1">IF($C1143="","",IF(AND($D1143="Gelir",$L1143&lt;&gt;"",$T1143=""),"TANIMSIZ BORÇLU",IF($T1143&lt;&gt;"",IF(OR($E1143="",$G1143&lt;=0),"EKSİK",IF($I1143="Evet","TAHAKKUK NAKİT OLAMAZ",IF($C1143&gt;TODAY(),"İLERİ TARİH","TAHAKKUK"))),IF(AND($D1143&lt;&gt;"",$E1143&lt;&gt;"",$G1143&gt;0,$H1143&lt;&gt;"",$I1143&lt;&gt;""),IF($C1143&gt;TODAY(),"İLERİ TARİH",IF(COUNTIF($W$7:$W$3001,$W1143)&gt;1,"MÜKERRER?",IF($AD1143&gt;0,"KAPALI DÖNEM",IF($I1143="Hayır","ÖDENECEK","UYGUN")))),"EKSİK"))))</f>
        <v/>
      </c>
      <c r="Q1143" s="2"/>
      <c r="R1143" s="2"/>
      <c r="S1143" s="1" t="str">
        <f t="shared" si="53"/>
        <v/>
      </c>
      <c r="T1143" s="1" t="str">
        <f>IF(OR($C1143="",$D1143&lt;&gt;"Gelir",$L1143=""),"",IFERROR(INDEX(MUSTERILER!$B$7:$B$156,MATCH($S1143,MUSTERILER!$T$7:$T$156,0)),""))</f>
        <v/>
      </c>
      <c r="U1143" s="1" t="str">
        <f>IF($T1143="","",$T1143&amp;"|"&amp;COUNTIFS($T$7:$T1143,$T1143))</f>
        <v/>
      </c>
      <c r="V1143" s="1">
        <f t="shared" si="54"/>
        <v>0</v>
      </c>
      <c r="W1143" s="1" t="str">
        <f t="shared" si="55"/>
        <v/>
      </c>
      <c r="X1143" s="1"/>
      <c r="Y1143" s="1"/>
      <c r="Z1143" s="1"/>
      <c r="AA1143" s="1"/>
      <c r="AB1143" s="1"/>
      <c r="AC1143" s="1"/>
      <c r="AD1143" s="1">
        <f>IF($C1143="",0,SUMPRODUCT((AY_SONU!$O$7:$O$42="Evet")*(AY_SONU!$B$7:$B$42=DATE(YEAR($C1143),MONTH($C1143),1))))</f>
        <v>0</v>
      </c>
      <c r="AE1143" s="1" t="str">
        <f>IF($E1143="","",$E1143&amp;"|"&amp;COUNTIFS($E$7:$E1143,$E1143))</f>
        <v/>
      </c>
    </row>
    <row r="1144" spans="1:31" ht="18" customHeight="1" x14ac:dyDescent="0.3">
      <c r="A1144" s="2"/>
      <c r="B1144" s="65" t="str">
        <f>IF($C1144="","","GG"&amp;TEXT(ROW()-6,"00000"))</f>
        <v/>
      </c>
      <c r="C1144" s="66"/>
      <c r="D1144" s="60"/>
      <c r="E1144" s="61"/>
      <c r="F1144" s="61"/>
      <c r="G1144" s="67"/>
      <c r="H1144" s="60"/>
      <c r="I1144" s="60"/>
      <c r="J1144" s="61"/>
      <c r="K1144" s="61"/>
      <c r="L1144" s="60"/>
      <c r="M1144" s="74" t="str">
        <f>IF($C1144="","",IF($D1144="Gider",$E1144,IF($L1144&lt;&gt;"",$L1144,$H1144)))</f>
        <v/>
      </c>
      <c r="N1144" s="74" t="str">
        <f>IF($C1144="","",IF($D1144="Gider",$H1144,$E1144))</f>
        <v/>
      </c>
      <c r="O1144" s="73" t="str">
        <f>IF($C1144="","",DATE(YEAR($C1144),MONTH($C1144),1))</f>
        <v/>
      </c>
      <c r="P1144" s="65" t="str">
        <f ca="1">IF($C1144="","",IF(AND($D1144="Gelir",$L1144&lt;&gt;"",$T1144=""),"TANIMSIZ BORÇLU",IF($T1144&lt;&gt;"",IF(OR($E1144="",$G1144&lt;=0),"EKSİK",IF($I1144="Evet","TAHAKKUK NAKİT OLAMAZ",IF($C1144&gt;TODAY(),"İLERİ TARİH","TAHAKKUK"))),IF(AND($D1144&lt;&gt;"",$E1144&lt;&gt;"",$G1144&gt;0,$H1144&lt;&gt;"",$I1144&lt;&gt;""),IF($C1144&gt;TODAY(),"İLERİ TARİH",IF(COUNTIF($W$7:$W$3001,$W1144)&gt;1,"MÜKERRER?",IF($AD1144&gt;0,"KAPALI DÖNEM",IF($I1144="Hayır","ÖDENECEK","UYGUN")))),"EKSİK"))))</f>
        <v/>
      </c>
      <c r="Q1144" s="2"/>
      <c r="R1144" s="2"/>
      <c r="S1144" s="1" t="str">
        <f t="shared" si="53"/>
        <v/>
      </c>
      <c r="T1144" s="1" t="str">
        <f>IF(OR($C1144="",$D1144&lt;&gt;"Gelir",$L1144=""),"",IFERROR(INDEX(MUSTERILER!$B$7:$B$156,MATCH($S1144,MUSTERILER!$T$7:$T$156,0)),""))</f>
        <v/>
      </c>
      <c r="U1144" s="1" t="str">
        <f>IF($T1144="","",$T1144&amp;"|"&amp;COUNTIFS($T$7:$T1144,$T1144))</f>
        <v/>
      </c>
      <c r="V1144" s="1">
        <f t="shared" si="54"/>
        <v>0</v>
      </c>
      <c r="W1144" s="1" t="str">
        <f t="shared" si="55"/>
        <v/>
      </c>
      <c r="X1144" s="1"/>
      <c r="Y1144" s="1"/>
      <c r="Z1144" s="1"/>
      <c r="AA1144" s="1"/>
      <c r="AB1144" s="1"/>
      <c r="AC1144" s="1"/>
      <c r="AD1144" s="1">
        <f>IF($C1144="",0,SUMPRODUCT((AY_SONU!$O$7:$O$42="Evet")*(AY_SONU!$B$7:$B$42=DATE(YEAR($C1144),MONTH($C1144),1))))</f>
        <v>0</v>
      </c>
      <c r="AE1144" s="1" t="str">
        <f>IF($E1144="","",$E1144&amp;"|"&amp;COUNTIFS($E$7:$E1144,$E1144))</f>
        <v/>
      </c>
    </row>
    <row r="1145" spans="1:31" ht="18" customHeight="1" x14ac:dyDescent="0.3">
      <c r="A1145" s="2"/>
      <c r="B1145" s="65" t="str">
        <f>IF($C1145="","","GG"&amp;TEXT(ROW()-6,"00000"))</f>
        <v/>
      </c>
      <c r="C1145" s="66"/>
      <c r="D1145" s="60"/>
      <c r="E1145" s="61"/>
      <c r="F1145" s="61"/>
      <c r="G1145" s="67"/>
      <c r="H1145" s="60"/>
      <c r="I1145" s="60"/>
      <c r="J1145" s="61"/>
      <c r="K1145" s="61"/>
      <c r="L1145" s="60"/>
      <c r="M1145" s="74" t="str">
        <f>IF($C1145="","",IF($D1145="Gider",$E1145,IF($L1145&lt;&gt;"",$L1145,$H1145)))</f>
        <v/>
      </c>
      <c r="N1145" s="74" t="str">
        <f>IF($C1145="","",IF($D1145="Gider",$H1145,$E1145))</f>
        <v/>
      </c>
      <c r="O1145" s="73" t="str">
        <f>IF($C1145="","",DATE(YEAR($C1145),MONTH($C1145),1))</f>
        <v/>
      </c>
      <c r="P1145" s="65" t="str">
        <f ca="1">IF($C1145="","",IF(AND($D1145="Gelir",$L1145&lt;&gt;"",$T1145=""),"TANIMSIZ BORÇLU",IF($T1145&lt;&gt;"",IF(OR($E1145="",$G1145&lt;=0),"EKSİK",IF($I1145="Evet","TAHAKKUK NAKİT OLAMAZ",IF($C1145&gt;TODAY(),"İLERİ TARİH","TAHAKKUK"))),IF(AND($D1145&lt;&gt;"",$E1145&lt;&gt;"",$G1145&gt;0,$H1145&lt;&gt;"",$I1145&lt;&gt;""),IF($C1145&gt;TODAY(),"İLERİ TARİH",IF(COUNTIF($W$7:$W$3001,$W1145)&gt;1,"MÜKERRER?",IF($AD1145&gt;0,"KAPALI DÖNEM",IF($I1145="Hayır","ÖDENECEK","UYGUN")))),"EKSİK"))))</f>
        <v/>
      </c>
      <c r="Q1145" s="2"/>
      <c r="R1145" s="2"/>
      <c r="S1145" s="1" t="str">
        <f t="shared" si="53"/>
        <v/>
      </c>
      <c r="T1145" s="1" t="str">
        <f>IF(OR($C1145="",$D1145&lt;&gt;"Gelir",$L1145=""),"",IFERROR(INDEX(MUSTERILER!$B$7:$B$156,MATCH($S1145,MUSTERILER!$T$7:$T$156,0)),""))</f>
        <v/>
      </c>
      <c r="U1145" s="1" t="str">
        <f>IF($T1145="","",$T1145&amp;"|"&amp;COUNTIFS($T$7:$T1145,$T1145))</f>
        <v/>
      </c>
      <c r="V1145" s="1">
        <f t="shared" si="54"/>
        <v>0</v>
      </c>
      <c r="W1145" s="1" t="str">
        <f t="shared" si="55"/>
        <v/>
      </c>
      <c r="X1145" s="1"/>
      <c r="Y1145" s="1"/>
      <c r="Z1145" s="1"/>
      <c r="AA1145" s="1"/>
      <c r="AB1145" s="1"/>
      <c r="AC1145" s="1"/>
      <c r="AD1145" s="1">
        <f>IF($C1145="",0,SUMPRODUCT((AY_SONU!$O$7:$O$42="Evet")*(AY_SONU!$B$7:$B$42=DATE(YEAR($C1145),MONTH($C1145),1))))</f>
        <v>0</v>
      </c>
      <c r="AE1145" s="1" t="str">
        <f>IF($E1145="","",$E1145&amp;"|"&amp;COUNTIFS($E$7:$E1145,$E1145))</f>
        <v/>
      </c>
    </row>
    <row r="1146" spans="1:31" ht="18" customHeight="1" x14ac:dyDescent="0.3">
      <c r="A1146" s="2"/>
      <c r="B1146" s="65" t="str">
        <f>IF($C1146="","","GG"&amp;TEXT(ROW()-6,"00000"))</f>
        <v/>
      </c>
      <c r="C1146" s="66"/>
      <c r="D1146" s="60"/>
      <c r="E1146" s="61"/>
      <c r="F1146" s="61"/>
      <c r="G1146" s="67"/>
      <c r="H1146" s="60"/>
      <c r="I1146" s="60"/>
      <c r="J1146" s="61"/>
      <c r="K1146" s="61"/>
      <c r="L1146" s="60"/>
      <c r="M1146" s="74" t="str">
        <f>IF($C1146="","",IF($D1146="Gider",$E1146,IF($L1146&lt;&gt;"",$L1146,$H1146)))</f>
        <v/>
      </c>
      <c r="N1146" s="74" t="str">
        <f>IF($C1146="","",IF($D1146="Gider",$H1146,$E1146))</f>
        <v/>
      </c>
      <c r="O1146" s="73" t="str">
        <f>IF($C1146="","",DATE(YEAR($C1146),MONTH($C1146),1))</f>
        <v/>
      </c>
      <c r="P1146" s="65" t="str">
        <f ca="1">IF($C1146="","",IF(AND($D1146="Gelir",$L1146&lt;&gt;"",$T1146=""),"TANIMSIZ BORÇLU",IF($T1146&lt;&gt;"",IF(OR($E1146="",$G1146&lt;=0),"EKSİK",IF($I1146="Evet","TAHAKKUK NAKİT OLAMAZ",IF($C1146&gt;TODAY(),"İLERİ TARİH","TAHAKKUK"))),IF(AND($D1146&lt;&gt;"",$E1146&lt;&gt;"",$G1146&gt;0,$H1146&lt;&gt;"",$I1146&lt;&gt;""),IF($C1146&gt;TODAY(),"İLERİ TARİH",IF(COUNTIF($W$7:$W$3001,$W1146)&gt;1,"MÜKERRER?",IF($AD1146&gt;0,"KAPALI DÖNEM",IF($I1146="Hayır","ÖDENECEK","UYGUN")))),"EKSİK"))))</f>
        <v/>
      </c>
      <c r="Q1146" s="2"/>
      <c r="R1146" s="2"/>
      <c r="S1146" s="1" t="str">
        <f t="shared" si="53"/>
        <v/>
      </c>
      <c r="T1146" s="1" t="str">
        <f>IF(OR($C1146="",$D1146&lt;&gt;"Gelir",$L1146=""),"",IFERROR(INDEX(MUSTERILER!$B$7:$B$156,MATCH($S1146,MUSTERILER!$T$7:$T$156,0)),""))</f>
        <v/>
      </c>
      <c r="U1146" s="1" t="str">
        <f>IF($T1146="","",$T1146&amp;"|"&amp;COUNTIFS($T$7:$T1146,$T1146))</f>
        <v/>
      </c>
      <c r="V1146" s="1">
        <f t="shared" si="54"/>
        <v>0</v>
      </c>
      <c r="W1146" s="1" t="str">
        <f t="shared" si="55"/>
        <v/>
      </c>
      <c r="X1146" s="1"/>
      <c r="Y1146" s="1"/>
      <c r="Z1146" s="1"/>
      <c r="AA1146" s="1"/>
      <c r="AB1146" s="1"/>
      <c r="AC1146" s="1"/>
      <c r="AD1146" s="1">
        <f>IF($C1146="",0,SUMPRODUCT((AY_SONU!$O$7:$O$42="Evet")*(AY_SONU!$B$7:$B$42=DATE(YEAR($C1146),MONTH($C1146),1))))</f>
        <v>0</v>
      </c>
      <c r="AE1146" s="1" t="str">
        <f>IF($E1146="","",$E1146&amp;"|"&amp;COUNTIFS($E$7:$E1146,$E1146))</f>
        <v/>
      </c>
    </row>
    <row r="1147" spans="1:31" ht="18" customHeight="1" x14ac:dyDescent="0.3">
      <c r="A1147" s="2"/>
      <c r="B1147" s="65" t="str">
        <f>IF($C1147="","","GG"&amp;TEXT(ROW()-6,"00000"))</f>
        <v/>
      </c>
      <c r="C1147" s="66"/>
      <c r="D1147" s="60"/>
      <c r="E1147" s="61"/>
      <c r="F1147" s="61"/>
      <c r="G1147" s="67"/>
      <c r="H1147" s="60"/>
      <c r="I1147" s="60"/>
      <c r="J1147" s="61"/>
      <c r="K1147" s="61"/>
      <c r="L1147" s="60"/>
      <c r="M1147" s="74" t="str">
        <f>IF($C1147="","",IF($D1147="Gider",$E1147,IF($L1147&lt;&gt;"",$L1147,$H1147)))</f>
        <v/>
      </c>
      <c r="N1147" s="74" t="str">
        <f>IF($C1147="","",IF($D1147="Gider",$H1147,$E1147))</f>
        <v/>
      </c>
      <c r="O1147" s="73" t="str">
        <f>IF($C1147="","",DATE(YEAR($C1147),MONTH($C1147),1))</f>
        <v/>
      </c>
      <c r="P1147" s="65" t="str">
        <f ca="1">IF($C1147="","",IF(AND($D1147="Gelir",$L1147&lt;&gt;"",$T1147=""),"TANIMSIZ BORÇLU",IF($T1147&lt;&gt;"",IF(OR($E1147="",$G1147&lt;=0),"EKSİK",IF($I1147="Evet","TAHAKKUK NAKİT OLAMAZ",IF($C1147&gt;TODAY(),"İLERİ TARİH","TAHAKKUK"))),IF(AND($D1147&lt;&gt;"",$E1147&lt;&gt;"",$G1147&gt;0,$H1147&lt;&gt;"",$I1147&lt;&gt;""),IF($C1147&gt;TODAY(),"İLERİ TARİH",IF(COUNTIF($W$7:$W$3001,$W1147)&gt;1,"MÜKERRER?",IF($AD1147&gt;0,"KAPALI DÖNEM",IF($I1147="Hayır","ÖDENECEK","UYGUN")))),"EKSİK"))))</f>
        <v/>
      </c>
      <c r="Q1147" s="2"/>
      <c r="R1147" s="2"/>
      <c r="S1147" s="1" t="str">
        <f t="shared" si="53"/>
        <v/>
      </c>
      <c r="T1147" s="1" t="str">
        <f>IF(OR($C1147="",$D1147&lt;&gt;"Gelir",$L1147=""),"",IFERROR(INDEX(MUSTERILER!$B$7:$B$156,MATCH($S1147,MUSTERILER!$T$7:$T$156,0)),""))</f>
        <v/>
      </c>
      <c r="U1147" s="1" t="str">
        <f>IF($T1147="","",$T1147&amp;"|"&amp;COUNTIFS($T$7:$T1147,$T1147))</f>
        <v/>
      </c>
      <c r="V1147" s="1">
        <f t="shared" si="54"/>
        <v>0</v>
      </c>
      <c r="W1147" s="1" t="str">
        <f t="shared" si="55"/>
        <v/>
      </c>
      <c r="X1147" s="1"/>
      <c r="Y1147" s="1"/>
      <c r="Z1147" s="1"/>
      <c r="AA1147" s="1"/>
      <c r="AB1147" s="1"/>
      <c r="AC1147" s="1"/>
      <c r="AD1147" s="1">
        <f>IF($C1147="",0,SUMPRODUCT((AY_SONU!$O$7:$O$42="Evet")*(AY_SONU!$B$7:$B$42=DATE(YEAR($C1147),MONTH($C1147),1))))</f>
        <v>0</v>
      </c>
      <c r="AE1147" s="1" t="str">
        <f>IF($E1147="","",$E1147&amp;"|"&amp;COUNTIFS($E$7:$E1147,$E1147))</f>
        <v/>
      </c>
    </row>
    <row r="1148" spans="1:31" ht="18" customHeight="1" x14ac:dyDescent="0.3">
      <c r="A1148" s="2"/>
      <c r="B1148" s="65" t="str">
        <f>IF($C1148="","","GG"&amp;TEXT(ROW()-6,"00000"))</f>
        <v/>
      </c>
      <c r="C1148" s="66"/>
      <c r="D1148" s="60"/>
      <c r="E1148" s="61"/>
      <c r="F1148" s="61"/>
      <c r="G1148" s="67"/>
      <c r="H1148" s="60"/>
      <c r="I1148" s="60"/>
      <c r="J1148" s="61"/>
      <c r="K1148" s="61"/>
      <c r="L1148" s="60"/>
      <c r="M1148" s="74" t="str">
        <f>IF($C1148="","",IF($D1148="Gider",$E1148,IF($L1148&lt;&gt;"",$L1148,$H1148)))</f>
        <v/>
      </c>
      <c r="N1148" s="74" t="str">
        <f>IF($C1148="","",IF($D1148="Gider",$H1148,$E1148))</f>
        <v/>
      </c>
      <c r="O1148" s="73" t="str">
        <f>IF($C1148="","",DATE(YEAR($C1148),MONTH($C1148),1))</f>
        <v/>
      </c>
      <c r="P1148" s="65" t="str">
        <f ca="1">IF($C1148="","",IF(AND($D1148="Gelir",$L1148&lt;&gt;"",$T1148=""),"TANIMSIZ BORÇLU",IF($T1148&lt;&gt;"",IF(OR($E1148="",$G1148&lt;=0),"EKSİK",IF($I1148="Evet","TAHAKKUK NAKİT OLAMAZ",IF($C1148&gt;TODAY(),"İLERİ TARİH","TAHAKKUK"))),IF(AND($D1148&lt;&gt;"",$E1148&lt;&gt;"",$G1148&gt;0,$H1148&lt;&gt;"",$I1148&lt;&gt;""),IF($C1148&gt;TODAY(),"İLERİ TARİH",IF(COUNTIF($W$7:$W$3001,$W1148)&gt;1,"MÜKERRER?",IF($AD1148&gt;0,"KAPALI DÖNEM",IF($I1148="Hayır","ÖDENECEK","UYGUN")))),"EKSİK"))))</f>
        <v/>
      </c>
      <c r="Q1148" s="2"/>
      <c r="R1148" s="2"/>
      <c r="S1148" s="1" t="str">
        <f t="shared" si="53"/>
        <v/>
      </c>
      <c r="T1148" s="1" t="str">
        <f>IF(OR($C1148="",$D1148&lt;&gt;"Gelir",$L1148=""),"",IFERROR(INDEX(MUSTERILER!$B$7:$B$156,MATCH($S1148,MUSTERILER!$T$7:$T$156,0)),""))</f>
        <v/>
      </c>
      <c r="U1148" s="1" t="str">
        <f>IF($T1148="","",$T1148&amp;"|"&amp;COUNTIFS($T$7:$T1148,$T1148))</f>
        <v/>
      </c>
      <c r="V1148" s="1">
        <f t="shared" si="54"/>
        <v>0</v>
      </c>
      <c r="W1148" s="1" t="str">
        <f t="shared" si="55"/>
        <v/>
      </c>
      <c r="X1148" s="1"/>
      <c r="Y1148" s="1"/>
      <c r="Z1148" s="1"/>
      <c r="AA1148" s="1"/>
      <c r="AB1148" s="1"/>
      <c r="AC1148" s="1"/>
      <c r="AD1148" s="1">
        <f>IF($C1148="",0,SUMPRODUCT((AY_SONU!$O$7:$O$42="Evet")*(AY_SONU!$B$7:$B$42=DATE(YEAR($C1148),MONTH($C1148),1))))</f>
        <v>0</v>
      </c>
      <c r="AE1148" s="1" t="str">
        <f>IF($E1148="","",$E1148&amp;"|"&amp;COUNTIFS($E$7:$E1148,$E1148))</f>
        <v/>
      </c>
    </row>
    <row r="1149" spans="1:31" ht="18" customHeight="1" x14ac:dyDescent="0.3">
      <c r="A1149" s="2"/>
      <c r="B1149" s="65" t="str">
        <f>IF($C1149="","","GG"&amp;TEXT(ROW()-6,"00000"))</f>
        <v/>
      </c>
      <c r="C1149" s="66"/>
      <c r="D1149" s="60"/>
      <c r="E1149" s="61"/>
      <c r="F1149" s="61"/>
      <c r="G1149" s="67"/>
      <c r="H1149" s="60"/>
      <c r="I1149" s="60"/>
      <c r="J1149" s="61"/>
      <c r="K1149" s="61"/>
      <c r="L1149" s="60"/>
      <c r="M1149" s="74" t="str">
        <f>IF($C1149="","",IF($D1149="Gider",$E1149,IF($L1149&lt;&gt;"",$L1149,$H1149)))</f>
        <v/>
      </c>
      <c r="N1149" s="74" t="str">
        <f>IF($C1149="","",IF($D1149="Gider",$H1149,$E1149))</f>
        <v/>
      </c>
      <c r="O1149" s="73" t="str">
        <f>IF($C1149="","",DATE(YEAR($C1149),MONTH($C1149),1))</f>
        <v/>
      </c>
      <c r="P1149" s="65" t="str">
        <f ca="1">IF($C1149="","",IF(AND($D1149="Gelir",$L1149&lt;&gt;"",$T1149=""),"TANIMSIZ BORÇLU",IF($T1149&lt;&gt;"",IF(OR($E1149="",$G1149&lt;=0),"EKSİK",IF($I1149="Evet","TAHAKKUK NAKİT OLAMAZ",IF($C1149&gt;TODAY(),"İLERİ TARİH","TAHAKKUK"))),IF(AND($D1149&lt;&gt;"",$E1149&lt;&gt;"",$G1149&gt;0,$H1149&lt;&gt;"",$I1149&lt;&gt;""),IF($C1149&gt;TODAY(),"İLERİ TARİH",IF(COUNTIF($W$7:$W$3001,$W1149)&gt;1,"MÜKERRER?",IF($AD1149&gt;0,"KAPALI DÖNEM",IF($I1149="Hayır","ÖDENECEK","UYGUN")))),"EKSİK"))))</f>
        <v/>
      </c>
      <c r="Q1149" s="2"/>
      <c r="R1149" s="2"/>
      <c r="S1149" s="1" t="str">
        <f t="shared" si="53"/>
        <v/>
      </c>
      <c r="T1149" s="1" t="str">
        <f>IF(OR($C1149="",$D1149&lt;&gt;"Gelir",$L1149=""),"",IFERROR(INDEX(MUSTERILER!$B$7:$B$156,MATCH($S1149,MUSTERILER!$T$7:$T$156,0)),""))</f>
        <v/>
      </c>
      <c r="U1149" s="1" t="str">
        <f>IF($T1149="","",$T1149&amp;"|"&amp;COUNTIFS($T$7:$T1149,$T1149))</f>
        <v/>
      </c>
      <c r="V1149" s="1">
        <f t="shared" si="54"/>
        <v>0</v>
      </c>
      <c r="W1149" s="1" t="str">
        <f t="shared" si="55"/>
        <v/>
      </c>
      <c r="X1149" s="1"/>
      <c r="Y1149" s="1"/>
      <c r="Z1149" s="1"/>
      <c r="AA1149" s="1"/>
      <c r="AB1149" s="1"/>
      <c r="AC1149" s="1"/>
      <c r="AD1149" s="1">
        <f>IF($C1149="",0,SUMPRODUCT((AY_SONU!$O$7:$O$42="Evet")*(AY_SONU!$B$7:$B$42=DATE(YEAR($C1149),MONTH($C1149),1))))</f>
        <v>0</v>
      </c>
      <c r="AE1149" s="1" t="str">
        <f>IF($E1149="","",$E1149&amp;"|"&amp;COUNTIFS($E$7:$E1149,$E1149))</f>
        <v/>
      </c>
    </row>
    <row r="1150" spans="1:31" ht="18" customHeight="1" x14ac:dyDescent="0.3">
      <c r="A1150" s="2"/>
      <c r="B1150" s="65" t="str">
        <f>IF($C1150="","","GG"&amp;TEXT(ROW()-6,"00000"))</f>
        <v/>
      </c>
      <c r="C1150" s="66"/>
      <c r="D1150" s="60"/>
      <c r="E1150" s="61"/>
      <c r="F1150" s="61"/>
      <c r="G1150" s="67"/>
      <c r="H1150" s="60"/>
      <c r="I1150" s="60"/>
      <c r="J1150" s="61"/>
      <c r="K1150" s="61"/>
      <c r="L1150" s="60"/>
      <c r="M1150" s="74" t="str">
        <f>IF($C1150="","",IF($D1150="Gider",$E1150,IF($L1150&lt;&gt;"",$L1150,$H1150)))</f>
        <v/>
      </c>
      <c r="N1150" s="74" t="str">
        <f>IF($C1150="","",IF($D1150="Gider",$H1150,$E1150))</f>
        <v/>
      </c>
      <c r="O1150" s="73" t="str">
        <f>IF($C1150="","",DATE(YEAR($C1150),MONTH($C1150),1))</f>
        <v/>
      </c>
      <c r="P1150" s="65" t="str">
        <f ca="1">IF($C1150="","",IF(AND($D1150="Gelir",$L1150&lt;&gt;"",$T1150=""),"TANIMSIZ BORÇLU",IF($T1150&lt;&gt;"",IF(OR($E1150="",$G1150&lt;=0),"EKSİK",IF($I1150="Evet","TAHAKKUK NAKİT OLAMAZ",IF($C1150&gt;TODAY(),"İLERİ TARİH","TAHAKKUK"))),IF(AND($D1150&lt;&gt;"",$E1150&lt;&gt;"",$G1150&gt;0,$H1150&lt;&gt;"",$I1150&lt;&gt;""),IF($C1150&gt;TODAY(),"İLERİ TARİH",IF(COUNTIF($W$7:$W$3001,$W1150)&gt;1,"MÜKERRER?",IF($AD1150&gt;0,"KAPALI DÖNEM",IF($I1150="Hayır","ÖDENECEK","UYGUN")))),"EKSİK"))))</f>
        <v/>
      </c>
      <c r="Q1150" s="2"/>
      <c r="R1150" s="2"/>
      <c r="S1150" s="1" t="str">
        <f t="shared" si="53"/>
        <v/>
      </c>
      <c r="T1150" s="1" t="str">
        <f>IF(OR($C1150="",$D1150&lt;&gt;"Gelir",$L1150=""),"",IFERROR(INDEX(MUSTERILER!$B$7:$B$156,MATCH($S1150,MUSTERILER!$T$7:$T$156,0)),""))</f>
        <v/>
      </c>
      <c r="U1150" s="1" t="str">
        <f>IF($T1150="","",$T1150&amp;"|"&amp;COUNTIFS($T$7:$T1150,$T1150))</f>
        <v/>
      </c>
      <c r="V1150" s="1">
        <f t="shared" si="54"/>
        <v>0</v>
      </c>
      <c r="W1150" s="1" t="str">
        <f t="shared" si="55"/>
        <v/>
      </c>
      <c r="X1150" s="1"/>
      <c r="Y1150" s="1"/>
      <c r="Z1150" s="1"/>
      <c r="AA1150" s="1"/>
      <c r="AB1150" s="1"/>
      <c r="AC1150" s="1"/>
      <c r="AD1150" s="1">
        <f>IF($C1150="",0,SUMPRODUCT((AY_SONU!$O$7:$O$42="Evet")*(AY_SONU!$B$7:$B$42=DATE(YEAR($C1150),MONTH($C1150),1))))</f>
        <v>0</v>
      </c>
      <c r="AE1150" s="1" t="str">
        <f>IF($E1150="","",$E1150&amp;"|"&amp;COUNTIFS($E$7:$E1150,$E1150))</f>
        <v/>
      </c>
    </row>
    <row r="1151" spans="1:31" ht="18" customHeight="1" x14ac:dyDescent="0.3">
      <c r="A1151" s="2"/>
      <c r="B1151" s="65" t="str">
        <f>IF($C1151="","","GG"&amp;TEXT(ROW()-6,"00000"))</f>
        <v/>
      </c>
      <c r="C1151" s="66"/>
      <c r="D1151" s="60"/>
      <c r="E1151" s="61"/>
      <c r="F1151" s="61"/>
      <c r="G1151" s="67"/>
      <c r="H1151" s="60"/>
      <c r="I1151" s="60"/>
      <c r="J1151" s="61"/>
      <c r="K1151" s="61"/>
      <c r="L1151" s="60"/>
      <c r="M1151" s="74" t="str">
        <f>IF($C1151="","",IF($D1151="Gider",$E1151,IF($L1151&lt;&gt;"",$L1151,$H1151)))</f>
        <v/>
      </c>
      <c r="N1151" s="74" t="str">
        <f>IF($C1151="","",IF($D1151="Gider",$H1151,$E1151))</f>
        <v/>
      </c>
      <c r="O1151" s="73" t="str">
        <f>IF($C1151="","",DATE(YEAR($C1151),MONTH($C1151),1))</f>
        <v/>
      </c>
      <c r="P1151" s="65" t="str">
        <f ca="1">IF($C1151="","",IF(AND($D1151="Gelir",$L1151&lt;&gt;"",$T1151=""),"TANIMSIZ BORÇLU",IF($T1151&lt;&gt;"",IF(OR($E1151="",$G1151&lt;=0),"EKSİK",IF($I1151="Evet","TAHAKKUK NAKİT OLAMAZ",IF($C1151&gt;TODAY(),"İLERİ TARİH","TAHAKKUK"))),IF(AND($D1151&lt;&gt;"",$E1151&lt;&gt;"",$G1151&gt;0,$H1151&lt;&gt;"",$I1151&lt;&gt;""),IF($C1151&gt;TODAY(),"İLERİ TARİH",IF(COUNTIF($W$7:$W$3001,$W1151)&gt;1,"MÜKERRER?",IF($AD1151&gt;0,"KAPALI DÖNEM",IF($I1151="Hayır","ÖDENECEK","UYGUN")))),"EKSİK"))))</f>
        <v/>
      </c>
      <c r="Q1151" s="2"/>
      <c r="R1151" s="2"/>
      <c r="S1151" s="1" t="str">
        <f t="shared" si="53"/>
        <v/>
      </c>
      <c r="T1151" s="1" t="str">
        <f>IF(OR($C1151="",$D1151&lt;&gt;"Gelir",$L1151=""),"",IFERROR(INDEX(MUSTERILER!$B$7:$B$156,MATCH($S1151,MUSTERILER!$T$7:$T$156,0)),""))</f>
        <v/>
      </c>
      <c r="U1151" s="1" t="str">
        <f>IF($T1151="","",$T1151&amp;"|"&amp;COUNTIFS($T$7:$T1151,$T1151))</f>
        <v/>
      </c>
      <c r="V1151" s="1">
        <f t="shared" si="54"/>
        <v>0</v>
      </c>
      <c r="W1151" s="1" t="str">
        <f t="shared" si="55"/>
        <v/>
      </c>
      <c r="X1151" s="1"/>
      <c r="Y1151" s="1"/>
      <c r="Z1151" s="1"/>
      <c r="AA1151" s="1"/>
      <c r="AB1151" s="1"/>
      <c r="AC1151" s="1"/>
      <c r="AD1151" s="1">
        <f>IF($C1151="",0,SUMPRODUCT((AY_SONU!$O$7:$O$42="Evet")*(AY_SONU!$B$7:$B$42=DATE(YEAR($C1151),MONTH($C1151),1))))</f>
        <v>0</v>
      </c>
      <c r="AE1151" s="1" t="str">
        <f>IF($E1151="","",$E1151&amp;"|"&amp;COUNTIFS($E$7:$E1151,$E1151))</f>
        <v/>
      </c>
    </row>
    <row r="1152" spans="1:31" ht="18" customHeight="1" x14ac:dyDescent="0.3">
      <c r="A1152" s="2"/>
      <c r="B1152" s="65" t="str">
        <f>IF($C1152="","","GG"&amp;TEXT(ROW()-6,"00000"))</f>
        <v/>
      </c>
      <c r="C1152" s="66"/>
      <c r="D1152" s="60"/>
      <c r="E1152" s="61"/>
      <c r="F1152" s="61"/>
      <c r="G1152" s="67"/>
      <c r="H1152" s="60"/>
      <c r="I1152" s="60"/>
      <c r="J1152" s="61"/>
      <c r="K1152" s="61"/>
      <c r="L1152" s="60"/>
      <c r="M1152" s="74" t="str">
        <f>IF($C1152="","",IF($D1152="Gider",$E1152,IF($L1152&lt;&gt;"",$L1152,$H1152)))</f>
        <v/>
      </c>
      <c r="N1152" s="74" t="str">
        <f>IF($C1152="","",IF($D1152="Gider",$H1152,$E1152))</f>
        <v/>
      </c>
      <c r="O1152" s="73" t="str">
        <f>IF($C1152="","",DATE(YEAR($C1152),MONTH($C1152),1))</f>
        <v/>
      </c>
      <c r="P1152" s="65" t="str">
        <f ca="1">IF($C1152="","",IF(AND($D1152="Gelir",$L1152&lt;&gt;"",$T1152=""),"TANIMSIZ BORÇLU",IF($T1152&lt;&gt;"",IF(OR($E1152="",$G1152&lt;=0),"EKSİK",IF($I1152="Evet","TAHAKKUK NAKİT OLAMAZ",IF($C1152&gt;TODAY(),"İLERİ TARİH","TAHAKKUK"))),IF(AND($D1152&lt;&gt;"",$E1152&lt;&gt;"",$G1152&gt;0,$H1152&lt;&gt;"",$I1152&lt;&gt;""),IF($C1152&gt;TODAY(),"İLERİ TARİH",IF(COUNTIF($W$7:$W$3001,$W1152)&gt;1,"MÜKERRER?",IF($AD1152&gt;0,"KAPALI DÖNEM",IF($I1152="Hayır","ÖDENECEK","UYGUN")))),"EKSİK"))))</f>
        <v/>
      </c>
      <c r="Q1152" s="2"/>
      <c r="R1152" s="2"/>
      <c r="S1152" s="1" t="str">
        <f t="shared" si="53"/>
        <v/>
      </c>
      <c r="T1152" s="1" t="str">
        <f>IF(OR($C1152="",$D1152&lt;&gt;"Gelir",$L1152=""),"",IFERROR(INDEX(MUSTERILER!$B$7:$B$156,MATCH($S1152,MUSTERILER!$T$7:$T$156,0)),""))</f>
        <v/>
      </c>
      <c r="U1152" s="1" t="str">
        <f>IF($T1152="","",$T1152&amp;"|"&amp;COUNTIFS($T$7:$T1152,$T1152))</f>
        <v/>
      </c>
      <c r="V1152" s="1">
        <f t="shared" si="54"/>
        <v>0</v>
      </c>
      <c r="W1152" s="1" t="str">
        <f t="shared" si="55"/>
        <v/>
      </c>
      <c r="X1152" s="1"/>
      <c r="Y1152" s="1"/>
      <c r="Z1152" s="1"/>
      <c r="AA1152" s="1"/>
      <c r="AB1152" s="1"/>
      <c r="AC1152" s="1"/>
      <c r="AD1152" s="1">
        <f>IF($C1152="",0,SUMPRODUCT((AY_SONU!$O$7:$O$42="Evet")*(AY_SONU!$B$7:$B$42=DATE(YEAR($C1152),MONTH($C1152),1))))</f>
        <v>0</v>
      </c>
      <c r="AE1152" s="1" t="str">
        <f>IF($E1152="","",$E1152&amp;"|"&amp;COUNTIFS($E$7:$E1152,$E1152))</f>
        <v/>
      </c>
    </row>
    <row r="1153" spans="1:31" ht="18" customHeight="1" x14ac:dyDescent="0.3">
      <c r="A1153" s="2"/>
      <c r="B1153" s="65" t="str">
        <f>IF($C1153="","","GG"&amp;TEXT(ROW()-6,"00000"))</f>
        <v/>
      </c>
      <c r="C1153" s="66"/>
      <c r="D1153" s="60"/>
      <c r="E1153" s="61"/>
      <c r="F1153" s="61"/>
      <c r="G1153" s="67"/>
      <c r="H1153" s="60"/>
      <c r="I1153" s="60"/>
      <c r="J1153" s="61"/>
      <c r="K1153" s="61"/>
      <c r="L1153" s="60"/>
      <c r="M1153" s="74" t="str">
        <f>IF($C1153="","",IF($D1153="Gider",$E1153,IF($L1153&lt;&gt;"",$L1153,$H1153)))</f>
        <v/>
      </c>
      <c r="N1153" s="74" t="str">
        <f>IF($C1153="","",IF($D1153="Gider",$H1153,$E1153))</f>
        <v/>
      </c>
      <c r="O1153" s="73" t="str">
        <f>IF($C1153="","",DATE(YEAR($C1153),MONTH($C1153),1))</f>
        <v/>
      </c>
      <c r="P1153" s="65" t="str">
        <f ca="1">IF($C1153="","",IF(AND($D1153="Gelir",$L1153&lt;&gt;"",$T1153=""),"TANIMSIZ BORÇLU",IF($T1153&lt;&gt;"",IF(OR($E1153="",$G1153&lt;=0),"EKSİK",IF($I1153="Evet","TAHAKKUK NAKİT OLAMAZ",IF($C1153&gt;TODAY(),"İLERİ TARİH","TAHAKKUK"))),IF(AND($D1153&lt;&gt;"",$E1153&lt;&gt;"",$G1153&gt;0,$H1153&lt;&gt;"",$I1153&lt;&gt;""),IF($C1153&gt;TODAY(),"İLERİ TARİH",IF(COUNTIF($W$7:$W$3001,$W1153)&gt;1,"MÜKERRER?",IF($AD1153&gt;0,"KAPALI DÖNEM",IF($I1153="Hayır","ÖDENECEK","UYGUN")))),"EKSİK"))))</f>
        <v/>
      </c>
      <c r="Q1153" s="2"/>
      <c r="R1153" s="2"/>
      <c r="S1153" s="1" t="str">
        <f t="shared" si="53"/>
        <v/>
      </c>
      <c r="T1153" s="1" t="str">
        <f>IF(OR($C1153="",$D1153&lt;&gt;"Gelir",$L1153=""),"",IFERROR(INDEX(MUSTERILER!$B$7:$B$156,MATCH($S1153,MUSTERILER!$T$7:$T$156,0)),""))</f>
        <v/>
      </c>
      <c r="U1153" s="1" t="str">
        <f>IF($T1153="","",$T1153&amp;"|"&amp;COUNTIFS($T$7:$T1153,$T1153))</f>
        <v/>
      </c>
      <c r="V1153" s="1">
        <f t="shared" si="54"/>
        <v>0</v>
      </c>
      <c r="W1153" s="1" t="str">
        <f t="shared" si="55"/>
        <v/>
      </c>
      <c r="X1153" s="1"/>
      <c r="Y1153" s="1"/>
      <c r="Z1153" s="1"/>
      <c r="AA1153" s="1"/>
      <c r="AB1153" s="1"/>
      <c r="AC1153" s="1"/>
      <c r="AD1153" s="1">
        <f>IF($C1153="",0,SUMPRODUCT((AY_SONU!$O$7:$O$42="Evet")*(AY_SONU!$B$7:$B$42=DATE(YEAR($C1153),MONTH($C1153),1))))</f>
        <v>0</v>
      </c>
      <c r="AE1153" s="1" t="str">
        <f>IF($E1153="","",$E1153&amp;"|"&amp;COUNTIFS($E$7:$E1153,$E1153))</f>
        <v/>
      </c>
    </row>
    <row r="1154" spans="1:31" ht="18" customHeight="1" x14ac:dyDescent="0.3">
      <c r="A1154" s="2"/>
      <c r="B1154" s="65" t="str">
        <f>IF($C1154="","","GG"&amp;TEXT(ROW()-6,"00000"))</f>
        <v/>
      </c>
      <c r="C1154" s="66"/>
      <c r="D1154" s="60"/>
      <c r="E1154" s="61"/>
      <c r="F1154" s="61"/>
      <c r="G1154" s="67"/>
      <c r="H1154" s="60"/>
      <c r="I1154" s="60"/>
      <c r="J1154" s="61"/>
      <c r="K1154" s="61"/>
      <c r="L1154" s="60"/>
      <c r="M1154" s="74" t="str">
        <f>IF($C1154="","",IF($D1154="Gider",$E1154,IF($L1154&lt;&gt;"",$L1154,$H1154)))</f>
        <v/>
      </c>
      <c r="N1154" s="74" t="str">
        <f>IF($C1154="","",IF($D1154="Gider",$H1154,$E1154))</f>
        <v/>
      </c>
      <c r="O1154" s="73" t="str">
        <f>IF($C1154="","",DATE(YEAR($C1154),MONTH($C1154),1))</f>
        <v/>
      </c>
      <c r="P1154" s="65" t="str">
        <f ca="1">IF($C1154="","",IF(AND($D1154="Gelir",$L1154&lt;&gt;"",$T1154=""),"TANIMSIZ BORÇLU",IF($T1154&lt;&gt;"",IF(OR($E1154="",$G1154&lt;=0),"EKSİK",IF($I1154="Evet","TAHAKKUK NAKİT OLAMAZ",IF($C1154&gt;TODAY(),"İLERİ TARİH","TAHAKKUK"))),IF(AND($D1154&lt;&gt;"",$E1154&lt;&gt;"",$G1154&gt;0,$H1154&lt;&gt;"",$I1154&lt;&gt;""),IF($C1154&gt;TODAY(),"İLERİ TARİH",IF(COUNTIF($W$7:$W$3001,$W1154)&gt;1,"MÜKERRER?",IF($AD1154&gt;0,"KAPALI DÖNEM",IF($I1154="Hayır","ÖDENECEK","UYGUN")))),"EKSİK"))))</f>
        <v/>
      </c>
      <c r="Q1154" s="2"/>
      <c r="R1154" s="2"/>
      <c r="S1154" s="1" t="str">
        <f t="shared" si="53"/>
        <v/>
      </c>
      <c r="T1154" s="1" t="str">
        <f>IF(OR($C1154="",$D1154&lt;&gt;"Gelir",$L1154=""),"",IFERROR(INDEX(MUSTERILER!$B$7:$B$156,MATCH($S1154,MUSTERILER!$T$7:$T$156,0)),""))</f>
        <v/>
      </c>
      <c r="U1154" s="1" t="str">
        <f>IF($T1154="","",$T1154&amp;"|"&amp;COUNTIFS($T$7:$T1154,$T1154))</f>
        <v/>
      </c>
      <c r="V1154" s="1">
        <f t="shared" si="54"/>
        <v>0</v>
      </c>
      <c r="W1154" s="1" t="str">
        <f t="shared" si="55"/>
        <v/>
      </c>
      <c r="X1154" s="1"/>
      <c r="Y1154" s="1"/>
      <c r="Z1154" s="1"/>
      <c r="AA1154" s="1"/>
      <c r="AB1154" s="1"/>
      <c r="AC1154" s="1"/>
      <c r="AD1154" s="1">
        <f>IF($C1154="",0,SUMPRODUCT((AY_SONU!$O$7:$O$42="Evet")*(AY_SONU!$B$7:$B$42=DATE(YEAR($C1154),MONTH($C1154),1))))</f>
        <v>0</v>
      </c>
      <c r="AE1154" s="1" t="str">
        <f>IF($E1154="","",$E1154&amp;"|"&amp;COUNTIFS($E$7:$E1154,$E1154))</f>
        <v/>
      </c>
    </row>
    <row r="1155" spans="1:31" ht="18" customHeight="1" x14ac:dyDescent="0.3">
      <c r="A1155" s="2"/>
      <c r="B1155" s="65" t="str">
        <f>IF($C1155="","","GG"&amp;TEXT(ROW()-6,"00000"))</f>
        <v/>
      </c>
      <c r="C1155" s="66"/>
      <c r="D1155" s="60"/>
      <c r="E1155" s="61"/>
      <c r="F1155" s="61"/>
      <c r="G1155" s="67"/>
      <c r="H1155" s="60"/>
      <c r="I1155" s="60"/>
      <c r="J1155" s="61"/>
      <c r="K1155" s="61"/>
      <c r="L1155" s="60"/>
      <c r="M1155" s="74" t="str">
        <f>IF($C1155="","",IF($D1155="Gider",$E1155,IF($L1155&lt;&gt;"",$L1155,$H1155)))</f>
        <v/>
      </c>
      <c r="N1155" s="74" t="str">
        <f>IF($C1155="","",IF($D1155="Gider",$H1155,$E1155))</f>
        <v/>
      </c>
      <c r="O1155" s="73" t="str">
        <f>IF($C1155="","",DATE(YEAR($C1155),MONTH($C1155),1))</f>
        <v/>
      </c>
      <c r="P1155" s="65" t="str">
        <f ca="1">IF($C1155="","",IF(AND($D1155="Gelir",$L1155&lt;&gt;"",$T1155=""),"TANIMSIZ BORÇLU",IF($T1155&lt;&gt;"",IF(OR($E1155="",$G1155&lt;=0),"EKSİK",IF($I1155="Evet","TAHAKKUK NAKİT OLAMAZ",IF($C1155&gt;TODAY(),"İLERİ TARİH","TAHAKKUK"))),IF(AND($D1155&lt;&gt;"",$E1155&lt;&gt;"",$G1155&gt;0,$H1155&lt;&gt;"",$I1155&lt;&gt;""),IF($C1155&gt;TODAY(),"İLERİ TARİH",IF(COUNTIF($W$7:$W$3001,$W1155)&gt;1,"MÜKERRER?",IF($AD1155&gt;0,"KAPALI DÖNEM",IF($I1155="Hayır","ÖDENECEK","UYGUN")))),"EKSİK"))))</f>
        <v/>
      </c>
      <c r="Q1155" s="2"/>
      <c r="R1155" s="2"/>
      <c r="S1155" s="1" t="str">
        <f t="shared" si="53"/>
        <v/>
      </c>
      <c r="T1155" s="1" t="str">
        <f>IF(OR($C1155="",$D1155&lt;&gt;"Gelir",$L1155=""),"",IFERROR(INDEX(MUSTERILER!$B$7:$B$156,MATCH($S1155,MUSTERILER!$T$7:$T$156,0)),""))</f>
        <v/>
      </c>
      <c r="U1155" s="1" t="str">
        <f>IF($T1155="","",$T1155&amp;"|"&amp;COUNTIFS($T$7:$T1155,$T1155))</f>
        <v/>
      </c>
      <c r="V1155" s="1">
        <f t="shared" si="54"/>
        <v>0</v>
      </c>
      <c r="W1155" s="1" t="str">
        <f t="shared" si="55"/>
        <v/>
      </c>
      <c r="X1155" s="1"/>
      <c r="Y1155" s="1"/>
      <c r="Z1155" s="1"/>
      <c r="AA1155" s="1"/>
      <c r="AB1155" s="1"/>
      <c r="AC1155" s="1"/>
      <c r="AD1155" s="1">
        <f>IF($C1155="",0,SUMPRODUCT((AY_SONU!$O$7:$O$42="Evet")*(AY_SONU!$B$7:$B$42=DATE(YEAR($C1155),MONTH($C1155),1))))</f>
        <v>0</v>
      </c>
      <c r="AE1155" s="1" t="str">
        <f>IF($E1155="","",$E1155&amp;"|"&amp;COUNTIFS($E$7:$E1155,$E1155))</f>
        <v/>
      </c>
    </row>
    <row r="1156" spans="1:31" ht="18" customHeight="1" x14ac:dyDescent="0.3">
      <c r="A1156" s="2"/>
      <c r="B1156" s="65" t="str">
        <f>IF($C1156="","","GG"&amp;TEXT(ROW()-6,"00000"))</f>
        <v/>
      </c>
      <c r="C1156" s="66"/>
      <c r="D1156" s="60"/>
      <c r="E1156" s="61"/>
      <c r="F1156" s="61"/>
      <c r="G1156" s="67"/>
      <c r="H1156" s="60"/>
      <c r="I1156" s="60"/>
      <c r="J1156" s="61"/>
      <c r="K1156" s="61"/>
      <c r="L1156" s="60"/>
      <c r="M1156" s="74" t="str">
        <f>IF($C1156="","",IF($D1156="Gider",$E1156,IF($L1156&lt;&gt;"",$L1156,$H1156)))</f>
        <v/>
      </c>
      <c r="N1156" s="74" t="str">
        <f>IF($C1156="","",IF($D1156="Gider",$H1156,$E1156))</f>
        <v/>
      </c>
      <c r="O1156" s="73" t="str">
        <f>IF($C1156="","",DATE(YEAR($C1156),MONTH($C1156),1))</f>
        <v/>
      </c>
      <c r="P1156" s="65" t="str">
        <f ca="1">IF($C1156="","",IF(AND($D1156="Gelir",$L1156&lt;&gt;"",$T1156=""),"TANIMSIZ BORÇLU",IF($T1156&lt;&gt;"",IF(OR($E1156="",$G1156&lt;=0),"EKSİK",IF($I1156="Evet","TAHAKKUK NAKİT OLAMAZ",IF($C1156&gt;TODAY(),"İLERİ TARİH","TAHAKKUK"))),IF(AND($D1156&lt;&gt;"",$E1156&lt;&gt;"",$G1156&gt;0,$H1156&lt;&gt;"",$I1156&lt;&gt;""),IF($C1156&gt;TODAY(),"İLERİ TARİH",IF(COUNTIF($W$7:$W$3001,$W1156)&gt;1,"MÜKERRER?",IF($AD1156&gt;0,"KAPALI DÖNEM",IF($I1156="Hayır","ÖDENECEK","UYGUN")))),"EKSİK"))))</f>
        <v/>
      </c>
      <c r="Q1156" s="2"/>
      <c r="R1156" s="2"/>
      <c r="S1156" s="1" t="str">
        <f t="shared" si="53"/>
        <v/>
      </c>
      <c r="T1156" s="1" t="str">
        <f>IF(OR($C1156="",$D1156&lt;&gt;"Gelir",$L1156=""),"",IFERROR(INDEX(MUSTERILER!$B$7:$B$156,MATCH($S1156,MUSTERILER!$T$7:$T$156,0)),""))</f>
        <v/>
      </c>
      <c r="U1156" s="1" t="str">
        <f>IF($T1156="","",$T1156&amp;"|"&amp;COUNTIFS($T$7:$T1156,$T1156))</f>
        <v/>
      </c>
      <c r="V1156" s="1">
        <f t="shared" si="54"/>
        <v>0</v>
      </c>
      <c r="W1156" s="1" t="str">
        <f t="shared" si="55"/>
        <v/>
      </c>
      <c r="X1156" s="1"/>
      <c r="Y1156" s="1"/>
      <c r="Z1156" s="1"/>
      <c r="AA1156" s="1"/>
      <c r="AB1156" s="1"/>
      <c r="AC1156" s="1"/>
      <c r="AD1156" s="1">
        <f>IF($C1156="",0,SUMPRODUCT((AY_SONU!$O$7:$O$42="Evet")*(AY_SONU!$B$7:$B$42=DATE(YEAR($C1156),MONTH($C1156),1))))</f>
        <v>0</v>
      </c>
      <c r="AE1156" s="1" t="str">
        <f>IF($E1156="","",$E1156&amp;"|"&amp;COUNTIFS($E$7:$E1156,$E1156))</f>
        <v/>
      </c>
    </row>
    <row r="1157" spans="1:31" ht="18" customHeight="1" x14ac:dyDescent="0.3">
      <c r="A1157" s="2"/>
      <c r="B1157" s="65" t="str">
        <f>IF($C1157="","","GG"&amp;TEXT(ROW()-6,"00000"))</f>
        <v/>
      </c>
      <c r="C1157" s="66"/>
      <c r="D1157" s="60"/>
      <c r="E1157" s="61"/>
      <c r="F1157" s="61"/>
      <c r="G1157" s="67"/>
      <c r="H1157" s="60"/>
      <c r="I1157" s="60"/>
      <c r="J1157" s="61"/>
      <c r="K1157" s="61"/>
      <c r="L1157" s="60"/>
      <c r="M1157" s="74" t="str">
        <f>IF($C1157="","",IF($D1157="Gider",$E1157,IF($L1157&lt;&gt;"",$L1157,$H1157)))</f>
        <v/>
      </c>
      <c r="N1157" s="74" t="str">
        <f>IF($C1157="","",IF($D1157="Gider",$H1157,$E1157))</f>
        <v/>
      </c>
      <c r="O1157" s="73" t="str">
        <f>IF($C1157="","",DATE(YEAR($C1157),MONTH($C1157),1))</f>
        <v/>
      </c>
      <c r="P1157" s="65" t="str">
        <f ca="1">IF($C1157="","",IF(AND($D1157="Gelir",$L1157&lt;&gt;"",$T1157=""),"TANIMSIZ BORÇLU",IF($T1157&lt;&gt;"",IF(OR($E1157="",$G1157&lt;=0),"EKSİK",IF($I1157="Evet","TAHAKKUK NAKİT OLAMAZ",IF($C1157&gt;TODAY(),"İLERİ TARİH","TAHAKKUK"))),IF(AND($D1157&lt;&gt;"",$E1157&lt;&gt;"",$G1157&gt;0,$H1157&lt;&gt;"",$I1157&lt;&gt;""),IF($C1157&gt;TODAY(),"İLERİ TARİH",IF(COUNTIF($W$7:$W$3001,$W1157)&gt;1,"MÜKERRER?",IF($AD1157&gt;0,"KAPALI DÖNEM",IF($I1157="Hayır","ÖDENECEK","UYGUN")))),"EKSİK"))))</f>
        <v/>
      </c>
      <c r="Q1157" s="2"/>
      <c r="R1157" s="2"/>
      <c r="S1157" s="1" t="str">
        <f t="shared" ref="S1157:S1220" si="56"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1" t="str">
        <f>IF(OR($C1157="",$D1157&lt;&gt;"Gelir",$L1157=""),"",IFERROR(INDEX(MUSTERILER!$B$7:$B$156,MATCH($S1157,MUSTERILER!$T$7:$T$156,0)),""))</f>
        <v/>
      </c>
      <c r="U1157" s="1" t="str">
        <f>IF($T1157="","",$T1157&amp;"|"&amp;COUNTIFS($T$7:$T1157,$T1157))</f>
        <v/>
      </c>
      <c r="V1157" s="1">
        <f t="shared" ref="V1157:V1220" si="57">IF($T1157="",0,1)</f>
        <v>0</v>
      </c>
      <c r="W1157" s="1" t="str">
        <f t="shared" ref="W1157:W1220" si="58">IF($C1157="","",$D1157&amp;"|"&amp;$E1157&amp;"|"&amp;TEXT($C1157,"0")&amp;"|"&amp;TEXT($G1157,"0")&amp;"|"&amp;$F1157&amp;"|"&amp;$J1157)</f>
        <v/>
      </c>
      <c r="X1157" s="1"/>
      <c r="Y1157" s="1"/>
      <c r="Z1157" s="1"/>
      <c r="AA1157" s="1"/>
      <c r="AB1157" s="1"/>
      <c r="AC1157" s="1"/>
      <c r="AD1157" s="1">
        <f>IF($C1157="",0,SUMPRODUCT((AY_SONU!$O$7:$O$42="Evet")*(AY_SONU!$B$7:$B$42=DATE(YEAR($C1157),MONTH($C1157),1))))</f>
        <v>0</v>
      </c>
      <c r="AE1157" s="1" t="str">
        <f>IF($E1157="","",$E1157&amp;"|"&amp;COUNTIFS($E$7:$E1157,$E1157))</f>
        <v/>
      </c>
    </row>
    <row r="1158" spans="1:31" ht="18" customHeight="1" x14ac:dyDescent="0.3">
      <c r="A1158" s="2"/>
      <c r="B1158" s="65" t="str">
        <f>IF($C1158="","","GG"&amp;TEXT(ROW()-6,"00000"))</f>
        <v/>
      </c>
      <c r="C1158" s="66"/>
      <c r="D1158" s="60"/>
      <c r="E1158" s="61"/>
      <c r="F1158" s="61"/>
      <c r="G1158" s="67"/>
      <c r="H1158" s="60"/>
      <c r="I1158" s="60"/>
      <c r="J1158" s="61"/>
      <c r="K1158" s="61"/>
      <c r="L1158" s="60"/>
      <c r="M1158" s="74" t="str">
        <f>IF($C1158="","",IF($D1158="Gider",$E1158,IF($L1158&lt;&gt;"",$L1158,$H1158)))</f>
        <v/>
      </c>
      <c r="N1158" s="74" t="str">
        <f>IF($C1158="","",IF($D1158="Gider",$H1158,$E1158))</f>
        <v/>
      </c>
      <c r="O1158" s="73" t="str">
        <f>IF($C1158="","",DATE(YEAR($C1158),MONTH($C1158),1))</f>
        <v/>
      </c>
      <c r="P1158" s="65" t="str">
        <f ca="1">IF($C1158="","",IF(AND($D1158="Gelir",$L1158&lt;&gt;"",$T1158=""),"TANIMSIZ BORÇLU",IF($T1158&lt;&gt;"",IF(OR($E1158="",$G1158&lt;=0),"EKSİK",IF($I1158="Evet","TAHAKKUK NAKİT OLAMAZ",IF($C1158&gt;TODAY(),"İLERİ TARİH","TAHAKKUK"))),IF(AND($D1158&lt;&gt;"",$E1158&lt;&gt;"",$G1158&gt;0,$H1158&lt;&gt;"",$I1158&lt;&gt;""),IF($C1158&gt;TODAY(),"İLERİ TARİH",IF(COUNTIF($W$7:$W$3001,$W1158)&gt;1,"MÜKERRER?",IF($AD1158&gt;0,"KAPALI DÖNEM",IF($I1158="Hayır","ÖDENECEK","UYGUN")))),"EKSİK"))))</f>
        <v/>
      </c>
      <c r="Q1158" s="2"/>
      <c r="R1158" s="2"/>
      <c r="S1158" s="1" t="str">
        <f t="shared" si="56"/>
        <v/>
      </c>
      <c r="T1158" s="1" t="str">
        <f>IF(OR($C1158="",$D1158&lt;&gt;"Gelir",$L1158=""),"",IFERROR(INDEX(MUSTERILER!$B$7:$B$156,MATCH($S1158,MUSTERILER!$T$7:$T$156,0)),""))</f>
        <v/>
      </c>
      <c r="U1158" s="1" t="str">
        <f>IF($T1158="","",$T1158&amp;"|"&amp;COUNTIFS($T$7:$T1158,$T1158))</f>
        <v/>
      </c>
      <c r="V1158" s="1">
        <f t="shared" si="57"/>
        <v>0</v>
      </c>
      <c r="W1158" s="1" t="str">
        <f t="shared" si="58"/>
        <v/>
      </c>
      <c r="X1158" s="1"/>
      <c r="Y1158" s="1"/>
      <c r="Z1158" s="1"/>
      <c r="AA1158" s="1"/>
      <c r="AB1158" s="1"/>
      <c r="AC1158" s="1"/>
      <c r="AD1158" s="1">
        <f>IF($C1158="",0,SUMPRODUCT((AY_SONU!$O$7:$O$42="Evet")*(AY_SONU!$B$7:$B$42=DATE(YEAR($C1158),MONTH($C1158),1))))</f>
        <v>0</v>
      </c>
      <c r="AE1158" s="1" t="str">
        <f>IF($E1158="","",$E1158&amp;"|"&amp;COUNTIFS($E$7:$E1158,$E1158))</f>
        <v/>
      </c>
    </row>
    <row r="1159" spans="1:31" ht="18" customHeight="1" x14ac:dyDescent="0.3">
      <c r="A1159" s="2"/>
      <c r="B1159" s="65" t="str">
        <f>IF($C1159="","","GG"&amp;TEXT(ROW()-6,"00000"))</f>
        <v/>
      </c>
      <c r="C1159" s="66"/>
      <c r="D1159" s="60"/>
      <c r="E1159" s="61"/>
      <c r="F1159" s="61"/>
      <c r="G1159" s="67"/>
      <c r="H1159" s="60"/>
      <c r="I1159" s="60"/>
      <c r="J1159" s="61"/>
      <c r="K1159" s="61"/>
      <c r="L1159" s="60"/>
      <c r="M1159" s="74" t="str">
        <f>IF($C1159="","",IF($D1159="Gider",$E1159,IF($L1159&lt;&gt;"",$L1159,$H1159)))</f>
        <v/>
      </c>
      <c r="N1159" s="74" t="str">
        <f>IF($C1159="","",IF($D1159="Gider",$H1159,$E1159))</f>
        <v/>
      </c>
      <c r="O1159" s="73" t="str">
        <f>IF($C1159="","",DATE(YEAR($C1159),MONTH($C1159),1))</f>
        <v/>
      </c>
      <c r="P1159" s="65" t="str">
        <f ca="1"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TARİH",IF(COUNTIF($W$7:$W$3001,$W1159)&gt;1,"MÜKERRER?",IF($AD1159&gt;0,"KAPALI DÖNEM",IF($I1159="Hayır","ÖDENECEK","UYGUN")))),"EKSİK"))))</f>
        <v/>
      </c>
      <c r="Q1159" s="2"/>
      <c r="R1159" s="2"/>
      <c r="S1159" s="1" t="str">
        <f t="shared" si="56"/>
        <v/>
      </c>
      <c r="T1159" s="1" t="str">
        <f>IF(OR($C1159="",$D1159&lt;&gt;"Gelir",$L1159=""),"",IFERROR(INDEX(MUSTERILER!$B$7:$B$156,MATCH($S1159,MUSTERILER!$T$7:$T$156,0)),""))</f>
        <v/>
      </c>
      <c r="U1159" s="1" t="str">
        <f>IF($T1159="","",$T1159&amp;"|"&amp;COUNTIFS($T$7:$T1159,$T1159))</f>
        <v/>
      </c>
      <c r="V1159" s="1">
        <f t="shared" si="57"/>
        <v>0</v>
      </c>
      <c r="W1159" s="1" t="str">
        <f t="shared" si="58"/>
        <v/>
      </c>
      <c r="X1159" s="1"/>
      <c r="Y1159" s="1"/>
      <c r="Z1159" s="1"/>
      <c r="AA1159" s="1"/>
      <c r="AB1159" s="1"/>
      <c r="AC1159" s="1"/>
      <c r="AD1159" s="1">
        <f>IF($C1159="",0,SUMPRODUCT((AY_SONU!$O$7:$O$42="Evet")*(AY_SONU!$B$7:$B$42=DATE(YEAR($C1159),MONTH($C1159),1))))</f>
        <v>0</v>
      </c>
      <c r="AE1159" s="1" t="str">
        <f>IF($E1159="","",$E1159&amp;"|"&amp;COUNTIFS($E$7:$E1159,$E1159))</f>
        <v/>
      </c>
    </row>
    <row r="1160" spans="1:31" ht="18" customHeight="1" x14ac:dyDescent="0.3">
      <c r="A1160" s="2"/>
      <c r="B1160" s="65" t="str">
        <f>IF($C1160="","","GG"&amp;TEXT(ROW()-6,"00000"))</f>
        <v/>
      </c>
      <c r="C1160" s="66"/>
      <c r="D1160" s="60"/>
      <c r="E1160" s="61"/>
      <c r="F1160" s="61"/>
      <c r="G1160" s="67"/>
      <c r="H1160" s="60"/>
      <c r="I1160" s="60"/>
      <c r="J1160" s="61"/>
      <c r="K1160" s="61"/>
      <c r="L1160" s="60"/>
      <c r="M1160" s="74" t="str">
        <f>IF($C1160="","",IF($D1160="Gider",$E1160,IF($L1160&lt;&gt;"",$L1160,$H1160)))</f>
        <v/>
      </c>
      <c r="N1160" s="74" t="str">
        <f>IF($C1160="","",IF($D1160="Gider",$H1160,$E1160))</f>
        <v/>
      </c>
      <c r="O1160" s="73" t="str">
        <f>IF($C1160="","",DATE(YEAR($C1160),MONTH($C1160),1))</f>
        <v/>
      </c>
      <c r="P1160" s="65" t="str">
        <f ca="1">IF($C1160="","",IF(AND($D1160="Gelir",$L1160&lt;&gt;"",$T1160=""),"TANIMSIZ BORÇLU",IF($T1160&lt;&gt;"",IF(OR($E1160="",$G1160&lt;=0),"EKSİK",IF($I1160="Evet","TAHAKKUK NAKİT OLAMAZ",IF($C1160&gt;TODAY(),"İLERİ TARİH","TAHAKKUK"))),IF(AND($D1160&lt;&gt;"",$E1160&lt;&gt;"",$G1160&gt;0,$H1160&lt;&gt;"",$I1160&lt;&gt;""),IF($C1160&gt;TODAY(),"İLERİ TARİH",IF(COUNTIF($W$7:$W$3001,$W1160)&gt;1,"MÜKERRER?",IF($AD1160&gt;0,"KAPALI DÖNEM",IF($I1160="Hayır","ÖDENECEK","UYGUN")))),"EKSİK"))))</f>
        <v/>
      </c>
      <c r="Q1160" s="2"/>
      <c r="R1160" s="2"/>
      <c r="S1160" s="1" t="str">
        <f t="shared" si="56"/>
        <v/>
      </c>
      <c r="T1160" s="1" t="str">
        <f>IF(OR($C1160="",$D1160&lt;&gt;"Gelir",$L1160=""),"",IFERROR(INDEX(MUSTERILER!$B$7:$B$156,MATCH($S1160,MUSTERILER!$T$7:$T$156,0)),""))</f>
        <v/>
      </c>
      <c r="U1160" s="1" t="str">
        <f>IF($T1160="","",$T1160&amp;"|"&amp;COUNTIFS($T$7:$T1160,$T1160))</f>
        <v/>
      </c>
      <c r="V1160" s="1">
        <f t="shared" si="57"/>
        <v>0</v>
      </c>
      <c r="W1160" s="1" t="str">
        <f t="shared" si="58"/>
        <v/>
      </c>
      <c r="X1160" s="1"/>
      <c r="Y1160" s="1"/>
      <c r="Z1160" s="1"/>
      <c r="AA1160" s="1"/>
      <c r="AB1160" s="1"/>
      <c r="AC1160" s="1"/>
      <c r="AD1160" s="1">
        <f>IF($C1160="",0,SUMPRODUCT((AY_SONU!$O$7:$O$42="Evet")*(AY_SONU!$B$7:$B$42=DATE(YEAR($C1160),MONTH($C1160),1))))</f>
        <v>0</v>
      </c>
      <c r="AE1160" s="1" t="str">
        <f>IF($E1160="","",$E1160&amp;"|"&amp;COUNTIFS($E$7:$E1160,$E1160))</f>
        <v/>
      </c>
    </row>
    <row r="1161" spans="1:31" ht="18" customHeight="1" x14ac:dyDescent="0.3">
      <c r="A1161" s="2"/>
      <c r="B1161" s="65" t="str">
        <f>IF($C1161="","","GG"&amp;TEXT(ROW()-6,"00000"))</f>
        <v/>
      </c>
      <c r="C1161" s="66"/>
      <c r="D1161" s="60"/>
      <c r="E1161" s="61"/>
      <c r="F1161" s="61"/>
      <c r="G1161" s="67"/>
      <c r="H1161" s="60"/>
      <c r="I1161" s="60"/>
      <c r="J1161" s="61"/>
      <c r="K1161" s="61"/>
      <c r="L1161" s="60"/>
      <c r="M1161" s="74" t="str">
        <f>IF($C1161="","",IF($D1161="Gider",$E1161,IF($L1161&lt;&gt;"",$L1161,$H1161)))</f>
        <v/>
      </c>
      <c r="N1161" s="74" t="str">
        <f>IF($C1161="","",IF($D1161="Gider",$H1161,$E1161))</f>
        <v/>
      </c>
      <c r="O1161" s="73" t="str">
        <f>IF($C1161="","",DATE(YEAR($C1161),MONTH($C1161),1))</f>
        <v/>
      </c>
      <c r="P1161" s="65" t="str">
        <f ca="1">IF($C1161="","",IF(AND($D1161="Gelir",$L1161&lt;&gt;"",$T1161=""),"TANIMSIZ BORÇLU",IF($T1161&lt;&gt;"",IF(OR($E1161="",$G1161&lt;=0),"EKSİK",IF($I1161="Evet","TAHAKKUK NAKİT OLAMAZ",IF($C1161&gt;TODAY(),"İLERİ TARİH","TAHAKKUK"))),IF(AND($D1161&lt;&gt;"",$E1161&lt;&gt;"",$G1161&gt;0,$H1161&lt;&gt;"",$I1161&lt;&gt;""),IF($C1161&gt;TODAY(),"İLERİ TARİH",IF(COUNTIF($W$7:$W$3001,$W1161)&gt;1,"MÜKERRER?",IF($AD1161&gt;0,"KAPALI DÖNEM",IF($I1161="Hayır","ÖDENECEK","UYGUN")))),"EKSİK"))))</f>
        <v/>
      </c>
      <c r="Q1161" s="2"/>
      <c r="R1161" s="2"/>
      <c r="S1161" s="1" t="str">
        <f t="shared" si="56"/>
        <v/>
      </c>
      <c r="T1161" s="1" t="str">
        <f>IF(OR($C1161="",$D1161&lt;&gt;"Gelir",$L1161=""),"",IFERROR(INDEX(MUSTERILER!$B$7:$B$156,MATCH($S1161,MUSTERILER!$T$7:$T$156,0)),""))</f>
        <v/>
      </c>
      <c r="U1161" s="1" t="str">
        <f>IF($T1161="","",$T1161&amp;"|"&amp;COUNTIFS($T$7:$T1161,$T1161))</f>
        <v/>
      </c>
      <c r="V1161" s="1">
        <f t="shared" si="57"/>
        <v>0</v>
      </c>
      <c r="W1161" s="1" t="str">
        <f t="shared" si="58"/>
        <v/>
      </c>
      <c r="X1161" s="1"/>
      <c r="Y1161" s="1"/>
      <c r="Z1161" s="1"/>
      <c r="AA1161" s="1"/>
      <c r="AB1161" s="1"/>
      <c r="AC1161" s="1"/>
      <c r="AD1161" s="1">
        <f>IF($C1161="",0,SUMPRODUCT((AY_SONU!$O$7:$O$42="Evet")*(AY_SONU!$B$7:$B$42=DATE(YEAR($C1161),MONTH($C1161),1))))</f>
        <v>0</v>
      </c>
      <c r="AE1161" s="1" t="str">
        <f>IF($E1161="","",$E1161&amp;"|"&amp;COUNTIFS($E$7:$E1161,$E1161))</f>
        <v/>
      </c>
    </row>
    <row r="1162" spans="1:31" ht="18" customHeight="1" x14ac:dyDescent="0.3">
      <c r="A1162" s="2"/>
      <c r="B1162" s="65" t="str">
        <f>IF($C1162="","","GG"&amp;TEXT(ROW()-6,"00000"))</f>
        <v/>
      </c>
      <c r="C1162" s="66"/>
      <c r="D1162" s="60"/>
      <c r="E1162" s="61"/>
      <c r="F1162" s="61"/>
      <c r="G1162" s="67"/>
      <c r="H1162" s="60"/>
      <c r="I1162" s="60"/>
      <c r="J1162" s="61"/>
      <c r="K1162" s="61"/>
      <c r="L1162" s="60"/>
      <c r="M1162" s="74" t="str">
        <f>IF($C1162="","",IF($D1162="Gider",$E1162,IF($L1162&lt;&gt;"",$L1162,$H1162)))</f>
        <v/>
      </c>
      <c r="N1162" s="74" t="str">
        <f>IF($C1162="","",IF($D1162="Gider",$H1162,$E1162))</f>
        <v/>
      </c>
      <c r="O1162" s="73" t="str">
        <f>IF($C1162="","",DATE(YEAR($C1162),MONTH($C1162),1))</f>
        <v/>
      </c>
      <c r="P1162" s="65" t="str">
        <f ca="1">IF($C1162="","",IF(AND($D1162="Gelir",$L1162&lt;&gt;"",$T1162=""),"TANIMSIZ BORÇLU",IF($T1162&lt;&gt;"",IF(OR($E1162="",$G1162&lt;=0),"EKSİK",IF($I1162="Evet","TAHAKKUK NAKİT OLAMAZ",IF($C1162&gt;TODAY(),"İLERİ TARİH","TAHAKKUK"))),IF(AND($D1162&lt;&gt;"",$E1162&lt;&gt;"",$G1162&gt;0,$H1162&lt;&gt;"",$I1162&lt;&gt;""),IF($C1162&gt;TODAY(),"İLERİ TARİH",IF(COUNTIF($W$7:$W$3001,$W1162)&gt;1,"MÜKERRER?",IF($AD1162&gt;0,"KAPALI DÖNEM",IF($I1162="Hayır","ÖDENECEK","UYGUN")))),"EKSİK"))))</f>
        <v/>
      </c>
      <c r="Q1162" s="2"/>
      <c r="R1162" s="2"/>
      <c r="S1162" s="1" t="str">
        <f t="shared" si="56"/>
        <v/>
      </c>
      <c r="T1162" s="1" t="str">
        <f>IF(OR($C1162="",$D1162&lt;&gt;"Gelir",$L1162=""),"",IFERROR(INDEX(MUSTERILER!$B$7:$B$156,MATCH($S1162,MUSTERILER!$T$7:$T$156,0)),""))</f>
        <v/>
      </c>
      <c r="U1162" s="1" t="str">
        <f>IF($T1162="","",$T1162&amp;"|"&amp;COUNTIFS($T$7:$T1162,$T1162))</f>
        <v/>
      </c>
      <c r="V1162" s="1">
        <f t="shared" si="57"/>
        <v>0</v>
      </c>
      <c r="W1162" s="1" t="str">
        <f t="shared" si="58"/>
        <v/>
      </c>
      <c r="X1162" s="1"/>
      <c r="Y1162" s="1"/>
      <c r="Z1162" s="1"/>
      <c r="AA1162" s="1"/>
      <c r="AB1162" s="1"/>
      <c r="AC1162" s="1"/>
      <c r="AD1162" s="1">
        <f>IF($C1162="",0,SUMPRODUCT((AY_SONU!$O$7:$O$42="Evet")*(AY_SONU!$B$7:$B$42=DATE(YEAR($C1162),MONTH($C1162),1))))</f>
        <v>0</v>
      </c>
      <c r="AE1162" s="1" t="str">
        <f>IF($E1162="","",$E1162&amp;"|"&amp;COUNTIFS($E$7:$E1162,$E1162))</f>
        <v/>
      </c>
    </row>
    <row r="1163" spans="1:31" ht="18" customHeight="1" x14ac:dyDescent="0.3">
      <c r="A1163" s="2"/>
      <c r="B1163" s="65" t="str">
        <f>IF($C1163="","","GG"&amp;TEXT(ROW()-6,"00000"))</f>
        <v/>
      </c>
      <c r="C1163" s="66"/>
      <c r="D1163" s="60"/>
      <c r="E1163" s="61"/>
      <c r="F1163" s="61"/>
      <c r="G1163" s="67"/>
      <c r="H1163" s="60"/>
      <c r="I1163" s="60"/>
      <c r="J1163" s="61"/>
      <c r="K1163" s="61"/>
      <c r="L1163" s="60"/>
      <c r="M1163" s="74" t="str">
        <f>IF($C1163="","",IF($D1163="Gider",$E1163,IF($L1163&lt;&gt;"",$L1163,$H1163)))</f>
        <v/>
      </c>
      <c r="N1163" s="74" t="str">
        <f>IF($C1163="","",IF($D1163="Gider",$H1163,$E1163))</f>
        <v/>
      </c>
      <c r="O1163" s="73" t="str">
        <f>IF($C1163="","",DATE(YEAR($C1163),MONTH($C1163),1))</f>
        <v/>
      </c>
      <c r="P1163" s="65" t="str">
        <f ca="1">IF($C1163="","",IF(AND($D1163="Gelir",$L1163&lt;&gt;"",$T1163=""),"TANIMSIZ BORÇLU",IF($T1163&lt;&gt;"",IF(OR($E1163="",$G1163&lt;=0),"EKSİK",IF($I1163="Evet","TAHAKKUK NAKİT OLAMAZ",IF($C1163&gt;TODAY(),"İLERİ TARİH","TAHAKKUK"))),IF(AND($D1163&lt;&gt;"",$E1163&lt;&gt;"",$G1163&gt;0,$H1163&lt;&gt;"",$I1163&lt;&gt;""),IF($C1163&gt;TODAY(),"İLERİ TARİH",IF(COUNTIF($W$7:$W$3001,$W1163)&gt;1,"MÜKERRER?",IF($AD1163&gt;0,"KAPALI DÖNEM",IF($I1163="Hayır","ÖDENECEK","UYGUN")))),"EKSİK"))))</f>
        <v/>
      </c>
      <c r="Q1163" s="2"/>
      <c r="R1163" s="2"/>
      <c r="S1163" s="1" t="str">
        <f t="shared" si="56"/>
        <v/>
      </c>
      <c r="T1163" s="1" t="str">
        <f>IF(OR($C1163="",$D1163&lt;&gt;"Gelir",$L1163=""),"",IFERROR(INDEX(MUSTERILER!$B$7:$B$156,MATCH($S1163,MUSTERILER!$T$7:$T$156,0)),""))</f>
        <v/>
      </c>
      <c r="U1163" s="1" t="str">
        <f>IF($T1163="","",$T1163&amp;"|"&amp;COUNTIFS($T$7:$T1163,$T1163))</f>
        <v/>
      </c>
      <c r="V1163" s="1">
        <f t="shared" si="57"/>
        <v>0</v>
      </c>
      <c r="W1163" s="1" t="str">
        <f t="shared" si="58"/>
        <v/>
      </c>
      <c r="X1163" s="1"/>
      <c r="Y1163" s="1"/>
      <c r="Z1163" s="1"/>
      <c r="AA1163" s="1"/>
      <c r="AB1163" s="1"/>
      <c r="AC1163" s="1"/>
      <c r="AD1163" s="1">
        <f>IF($C1163="",0,SUMPRODUCT((AY_SONU!$O$7:$O$42="Evet")*(AY_SONU!$B$7:$B$42=DATE(YEAR($C1163),MONTH($C1163),1))))</f>
        <v>0</v>
      </c>
      <c r="AE1163" s="1" t="str">
        <f>IF($E1163="","",$E1163&amp;"|"&amp;COUNTIFS($E$7:$E1163,$E1163))</f>
        <v/>
      </c>
    </row>
    <row r="1164" spans="1:31" ht="18" customHeight="1" x14ac:dyDescent="0.3">
      <c r="A1164" s="2"/>
      <c r="B1164" s="65" t="str">
        <f>IF($C1164="","","GG"&amp;TEXT(ROW()-6,"00000"))</f>
        <v/>
      </c>
      <c r="C1164" s="66"/>
      <c r="D1164" s="60"/>
      <c r="E1164" s="61"/>
      <c r="F1164" s="61"/>
      <c r="G1164" s="67"/>
      <c r="H1164" s="60"/>
      <c r="I1164" s="60"/>
      <c r="J1164" s="61"/>
      <c r="K1164" s="61"/>
      <c r="L1164" s="60"/>
      <c r="M1164" s="74" t="str">
        <f>IF($C1164="","",IF($D1164="Gider",$E1164,IF($L1164&lt;&gt;"",$L1164,$H1164)))</f>
        <v/>
      </c>
      <c r="N1164" s="74" t="str">
        <f>IF($C1164="","",IF($D1164="Gider",$H1164,$E1164))</f>
        <v/>
      </c>
      <c r="O1164" s="73" t="str">
        <f>IF($C1164="","",DATE(YEAR($C1164),MONTH($C1164),1))</f>
        <v/>
      </c>
      <c r="P1164" s="65" t="str">
        <f ca="1">IF($C1164="","",IF(AND($D1164="Gelir",$L1164&lt;&gt;"",$T1164=""),"TANIMSIZ BORÇLU",IF($T1164&lt;&gt;"",IF(OR($E1164="",$G1164&lt;=0),"EKSİK",IF($I1164="Evet","TAHAKKUK NAKİT OLAMAZ",IF($C1164&gt;TODAY(),"İLERİ TARİH","TAHAKKUK"))),IF(AND($D1164&lt;&gt;"",$E1164&lt;&gt;"",$G1164&gt;0,$H1164&lt;&gt;"",$I1164&lt;&gt;""),IF($C1164&gt;TODAY(),"İLERİ TARİH",IF(COUNTIF($W$7:$W$3001,$W1164)&gt;1,"MÜKERRER?",IF($AD1164&gt;0,"KAPALI DÖNEM",IF($I1164="Hayır","ÖDENECEK","UYGUN")))),"EKSİK"))))</f>
        <v/>
      </c>
      <c r="Q1164" s="2"/>
      <c r="R1164" s="2"/>
      <c r="S1164" s="1" t="str">
        <f t="shared" si="56"/>
        <v/>
      </c>
      <c r="T1164" s="1" t="str">
        <f>IF(OR($C1164="",$D1164&lt;&gt;"Gelir",$L1164=""),"",IFERROR(INDEX(MUSTERILER!$B$7:$B$156,MATCH($S1164,MUSTERILER!$T$7:$T$156,0)),""))</f>
        <v/>
      </c>
      <c r="U1164" s="1" t="str">
        <f>IF($T1164="","",$T1164&amp;"|"&amp;COUNTIFS($T$7:$T1164,$T1164))</f>
        <v/>
      </c>
      <c r="V1164" s="1">
        <f t="shared" si="57"/>
        <v>0</v>
      </c>
      <c r="W1164" s="1" t="str">
        <f t="shared" si="58"/>
        <v/>
      </c>
      <c r="X1164" s="1"/>
      <c r="Y1164" s="1"/>
      <c r="Z1164" s="1"/>
      <c r="AA1164" s="1"/>
      <c r="AB1164" s="1"/>
      <c r="AC1164" s="1"/>
      <c r="AD1164" s="1">
        <f>IF($C1164="",0,SUMPRODUCT((AY_SONU!$O$7:$O$42="Evet")*(AY_SONU!$B$7:$B$42=DATE(YEAR($C1164),MONTH($C1164),1))))</f>
        <v>0</v>
      </c>
      <c r="AE1164" s="1" t="str">
        <f>IF($E1164="","",$E1164&amp;"|"&amp;COUNTIFS($E$7:$E1164,$E1164))</f>
        <v/>
      </c>
    </row>
    <row r="1165" spans="1:31" ht="18" customHeight="1" x14ac:dyDescent="0.3">
      <c r="A1165" s="2"/>
      <c r="B1165" s="65" t="str">
        <f>IF($C1165="","","GG"&amp;TEXT(ROW()-6,"00000"))</f>
        <v/>
      </c>
      <c r="C1165" s="66"/>
      <c r="D1165" s="60"/>
      <c r="E1165" s="61"/>
      <c r="F1165" s="61"/>
      <c r="G1165" s="67"/>
      <c r="H1165" s="60"/>
      <c r="I1165" s="60"/>
      <c r="J1165" s="61"/>
      <c r="K1165" s="61"/>
      <c r="L1165" s="60"/>
      <c r="M1165" s="74" t="str">
        <f>IF($C1165="","",IF($D1165="Gider",$E1165,IF($L1165&lt;&gt;"",$L1165,$H1165)))</f>
        <v/>
      </c>
      <c r="N1165" s="74" t="str">
        <f>IF($C1165="","",IF($D1165="Gider",$H1165,$E1165))</f>
        <v/>
      </c>
      <c r="O1165" s="73" t="str">
        <f>IF($C1165="","",DATE(YEAR($C1165),MONTH($C1165),1))</f>
        <v/>
      </c>
      <c r="P1165" s="65" t="str">
        <f ca="1">IF($C1165="","",IF(AND($D1165="Gelir",$L1165&lt;&gt;"",$T1165=""),"TANIMSIZ BORÇLU",IF($T1165&lt;&gt;"",IF(OR($E1165="",$G1165&lt;=0),"EKSİK",IF($I1165="Evet","TAHAKKUK NAKİT OLAMAZ",IF($C1165&gt;TODAY(),"İLERİ TARİH","TAHAKKUK"))),IF(AND($D1165&lt;&gt;"",$E1165&lt;&gt;"",$G1165&gt;0,$H1165&lt;&gt;"",$I1165&lt;&gt;""),IF($C1165&gt;TODAY(),"İLERİ TARİH",IF(COUNTIF($W$7:$W$3001,$W1165)&gt;1,"MÜKERRER?",IF($AD1165&gt;0,"KAPALI DÖNEM",IF($I1165="Hayır","ÖDENECEK","UYGUN")))),"EKSİK"))))</f>
        <v/>
      </c>
      <c r="Q1165" s="2"/>
      <c r="R1165" s="2"/>
      <c r="S1165" s="1" t="str">
        <f t="shared" si="56"/>
        <v/>
      </c>
      <c r="T1165" s="1" t="str">
        <f>IF(OR($C1165="",$D1165&lt;&gt;"Gelir",$L1165=""),"",IFERROR(INDEX(MUSTERILER!$B$7:$B$156,MATCH($S1165,MUSTERILER!$T$7:$T$156,0)),""))</f>
        <v/>
      </c>
      <c r="U1165" s="1" t="str">
        <f>IF($T1165="","",$T1165&amp;"|"&amp;COUNTIFS($T$7:$T1165,$T1165))</f>
        <v/>
      </c>
      <c r="V1165" s="1">
        <f t="shared" si="57"/>
        <v>0</v>
      </c>
      <c r="W1165" s="1" t="str">
        <f t="shared" si="58"/>
        <v/>
      </c>
      <c r="X1165" s="1"/>
      <c r="Y1165" s="1"/>
      <c r="Z1165" s="1"/>
      <c r="AA1165" s="1"/>
      <c r="AB1165" s="1"/>
      <c r="AC1165" s="1"/>
      <c r="AD1165" s="1">
        <f>IF($C1165="",0,SUMPRODUCT((AY_SONU!$O$7:$O$42="Evet")*(AY_SONU!$B$7:$B$42=DATE(YEAR($C1165),MONTH($C1165),1))))</f>
        <v>0</v>
      </c>
      <c r="AE1165" s="1" t="str">
        <f>IF($E1165="","",$E1165&amp;"|"&amp;COUNTIFS($E$7:$E1165,$E1165))</f>
        <v/>
      </c>
    </row>
    <row r="1166" spans="1:31" ht="18" customHeight="1" x14ac:dyDescent="0.3">
      <c r="A1166" s="2"/>
      <c r="B1166" s="65" t="str">
        <f>IF($C1166="","","GG"&amp;TEXT(ROW()-6,"00000"))</f>
        <v/>
      </c>
      <c r="C1166" s="66"/>
      <c r="D1166" s="60"/>
      <c r="E1166" s="61"/>
      <c r="F1166" s="61"/>
      <c r="G1166" s="67"/>
      <c r="H1166" s="60"/>
      <c r="I1166" s="60"/>
      <c r="J1166" s="61"/>
      <c r="K1166" s="61"/>
      <c r="L1166" s="60"/>
      <c r="M1166" s="74" t="str">
        <f>IF($C1166="","",IF($D1166="Gider",$E1166,IF($L1166&lt;&gt;"",$L1166,$H1166)))</f>
        <v/>
      </c>
      <c r="N1166" s="74" t="str">
        <f>IF($C1166="","",IF($D1166="Gider",$H1166,$E1166))</f>
        <v/>
      </c>
      <c r="O1166" s="73" t="str">
        <f>IF($C1166="","",DATE(YEAR($C1166),MONTH($C1166),1))</f>
        <v/>
      </c>
      <c r="P1166" s="65" t="str">
        <f ca="1">IF($C1166="","",IF(AND($D1166="Gelir",$L1166&lt;&gt;"",$T1166=""),"TANIMSIZ BORÇLU",IF($T1166&lt;&gt;"",IF(OR($E1166="",$G1166&lt;=0),"EKSİK",IF($I1166="Evet","TAHAKKUK NAKİT OLAMAZ",IF($C1166&gt;TODAY(),"İLERİ TARİH","TAHAKKUK"))),IF(AND($D1166&lt;&gt;"",$E1166&lt;&gt;"",$G1166&gt;0,$H1166&lt;&gt;"",$I1166&lt;&gt;""),IF($C1166&gt;TODAY(),"İLERİ TARİH",IF(COUNTIF($W$7:$W$3001,$W1166)&gt;1,"MÜKERRER?",IF($AD1166&gt;0,"KAPALI DÖNEM",IF($I1166="Hayır","ÖDENECEK","UYGUN")))),"EKSİK"))))</f>
        <v/>
      </c>
      <c r="Q1166" s="2"/>
      <c r="R1166" s="2"/>
      <c r="S1166" s="1" t="str">
        <f t="shared" si="56"/>
        <v/>
      </c>
      <c r="T1166" s="1" t="str">
        <f>IF(OR($C1166="",$D1166&lt;&gt;"Gelir",$L1166=""),"",IFERROR(INDEX(MUSTERILER!$B$7:$B$156,MATCH($S1166,MUSTERILER!$T$7:$T$156,0)),""))</f>
        <v/>
      </c>
      <c r="U1166" s="1" t="str">
        <f>IF($T1166="","",$T1166&amp;"|"&amp;COUNTIFS($T$7:$T1166,$T1166))</f>
        <v/>
      </c>
      <c r="V1166" s="1">
        <f t="shared" si="57"/>
        <v>0</v>
      </c>
      <c r="W1166" s="1" t="str">
        <f t="shared" si="58"/>
        <v/>
      </c>
      <c r="X1166" s="1"/>
      <c r="Y1166" s="1"/>
      <c r="Z1166" s="1"/>
      <c r="AA1166" s="1"/>
      <c r="AB1166" s="1"/>
      <c r="AC1166" s="1"/>
      <c r="AD1166" s="1">
        <f>IF($C1166="",0,SUMPRODUCT((AY_SONU!$O$7:$O$42="Evet")*(AY_SONU!$B$7:$B$42=DATE(YEAR($C1166),MONTH($C1166),1))))</f>
        <v>0</v>
      </c>
      <c r="AE1166" s="1" t="str">
        <f>IF($E1166="","",$E1166&amp;"|"&amp;COUNTIFS($E$7:$E1166,$E1166))</f>
        <v/>
      </c>
    </row>
    <row r="1167" spans="1:31" ht="18" customHeight="1" x14ac:dyDescent="0.3">
      <c r="A1167" s="2"/>
      <c r="B1167" s="65" t="str">
        <f>IF($C1167="","","GG"&amp;TEXT(ROW()-6,"00000"))</f>
        <v/>
      </c>
      <c r="C1167" s="66"/>
      <c r="D1167" s="60"/>
      <c r="E1167" s="61"/>
      <c r="F1167" s="61"/>
      <c r="G1167" s="67"/>
      <c r="H1167" s="60"/>
      <c r="I1167" s="60"/>
      <c r="J1167" s="61"/>
      <c r="K1167" s="61"/>
      <c r="L1167" s="60"/>
      <c r="M1167" s="74" t="str">
        <f>IF($C1167="","",IF($D1167="Gider",$E1167,IF($L1167&lt;&gt;"",$L1167,$H1167)))</f>
        <v/>
      </c>
      <c r="N1167" s="74" t="str">
        <f>IF($C1167="","",IF($D1167="Gider",$H1167,$E1167))</f>
        <v/>
      </c>
      <c r="O1167" s="73" t="str">
        <f>IF($C1167="","",DATE(YEAR($C1167),MONTH($C1167),1))</f>
        <v/>
      </c>
      <c r="P1167" s="65" t="str">
        <f ca="1">IF($C1167="","",IF(AND($D1167="Gelir",$L1167&lt;&gt;"",$T1167=""),"TANIMSIZ BORÇLU",IF($T1167&lt;&gt;"",IF(OR($E1167="",$G1167&lt;=0),"EKSİK",IF($I1167="Evet","TAHAKKUK NAKİT OLAMAZ",IF($C1167&gt;TODAY(),"İLERİ TARİH","TAHAKKUK"))),IF(AND($D1167&lt;&gt;"",$E1167&lt;&gt;"",$G1167&gt;0,$H1167&lt;&gt;"",$I1167&lt;&gt;""),IF($C1167&gt;TODAY(),"İLERİ TARİH",IF(COUNTIF($W$7:$W$3001,$W1167)&gt;1,"MÜKERRER?",IF($AD1167&gt;0,"KAPALI DÖNEM",IF($I1167="Hayır","ÖDENECEK","UYGUN")))),"EKSİK"))))</f>
        <v/>
      </c>
      <c r="Q1167" s="2"/>
      <c r="R1167" s="2"/>
      <c r="S1167" s="1" t="str">
        <f t="shared" si="56"/>
        <v/>
      </c>
      <c r="T1167" s="1" t="str">
        <f>IF(OR($C1167="",$D1167&lt;&gt;"Gelir",$L1167=""),"",IFERROR(INDEX(MUSTERILER!$B$7:$B$156,MATCH($S1167,MUSTERILER!$T$7:$T$156,0)),""))</f>
        <v/>
      </c>
      <c r="U1167" s="1" t="str">
        <f>IF($T1167="","",$T1167&amp;"|"&amp;COUNTIFS($T$7:$T1167,$T1167))</f>
        <v/>
      </c>
      <c r="V1167" s="1">
        <f t="shared" si="57"/>
        <v>0</v>
      </c>
      <c r="W1167" s="1" t="str">
        <f t="shared" si="58"/>
        <v/>
      </c>
      <c r="X1167" s="1"/>
      <c r="Y1167" s="1"/>
      <c r="Z1167" s="1"/>
      <c r="AA1167" s="1"/>
      <c r="AB1167" s="1"/>
      <c r="AC1167" s="1"/>
      <c r="AD1167" s="1">
        <f>IF($C1167="",0,SUMPRODUCT((AY_SONU!$O$7:$O$42="Evet")*(AY_SONU!$B$7:$B$42=DATE(YEAR($C1167),MONTH($C1167),1))))</f>
        <v>0</v>
      </c>
      <c r="AE1167" s="1" t="str">
        <f>IF($E1167="","",$E1167&amp;"|"&amp;COUNTIFS($E$7:$E1167,$E1167))</f>
        <v/>
      </c>
    </row>
    <row r="1168" spans="1:31" ht="18" customHeight="1" x14ac:dyDescent="0.3">
      <c r="A1168" s="2"/>
      <c r="B1168" s="65" t="str">
        <f>IF($C1168="","","GG"&amp;TEXT(ROW()-6,"00000"))</f>
        <v/>
      </c>
      <c r="C1168" s="66"/>
      <c r="D1168" s="60"/>
      <c r="E1168" s="61"/>
      <c r="F1168" s="61"/>
      <c r="G1168" s="67"/>
      <c r="H1168" s="60"/>
      <c r="I1168" s="60"/>
      <c r="J1168" s="61"/>
      <c r="K1168" s="61"/>
      <c r="L1168" s="60"/>
      <c r="M1168" s="74" t="str">
        <f>IF($C1168="","",IF($D1168="Gider",$E1168,IF($L1168&lt;&gt;"",$L1168,$H1168)))</f>
        <v/>
      </c>
      <c r="N1168" s="74" t="str">
        <f>IF($C1168="","",IF($D1168="Gider",$H1168,$E1168))</f>
        <v/>
      </c>
      <c r="O1168" s="73" t="str">
        <f>IF($C1168="","",DATE(YEAR($C1168),MONTH($C1168),1))</f>
        <v/>
      </c>
      <c r="P1168" s="65" t="str">
        <f ca="1">IF($C1168="","",IF(AND($D1168="Gelir",$L1168&lt;&gt;"",$T1168=""),"TANIMSIZ BORÇLU",IF($T1168&lt;&gt;"",IF(OR($E1168="",$G1168&lt;=0),"EKSİK",IF($I1168="Evet","TAHAKKUK NAKİT OLAMAZ",IF($C1168&gt;TODAY(),"İLERİ TARİH","TAHAKKUK"))),IF(AND($D1168&lt;&gt;"",$E1168&lt;&gt;"",$G1168&gt;0,$H1168&lt;&gt;"",$I1168&lt;&gt;""),IF($C1168&gt;TODAY(),"İLERİ TARİH",IF(COUNTIF($W$7:$W$3001,$W1168)&gt;1,"MÜKERRER?",IF($AD1168&gt;0,"KAPALI DÖNEM",IF($I1168="Hayır","ÖDENECEK","UYGUN")))),"EKSİK"))))</f>
        <v/>
      </c>
      <c r="Q1168" s="2"/>
      <c r="R1168" s="2"/>
      <c r="S1168" s="1" t="str">
        <f t="shared" si="56"/>
        <v/>
      </c>
      <c r="T1168" s="1" t="str">
        <f>IF(OR($C1168="",$D1168&lt;&gt;"Gelir",$L1168=""),"",IFERROR(INDEX(MUSTERILER!$B$7:$B$156,MATCH($S1168,MUSTERILER!$T$7:$T$156,0)),""))</f>
        <v/>
      </c>
      <c r="U1168" s="1" t="str">
        <f>IF($T1168="","",$T1168&amp;"|"&amp;COUNTIFS($T$7:$T1168,$T1168))</f>
        <v/>
      </c>
      <c r="V1168" s="1">
        <f t="shared" si="57"/>
        <v>0</v>
      </c>
      <c r="W1168" s="1" t="str">
        <f t="shared" si="58"/>
        <v/>
      </c>
      <c r="X1168" s="1"/>
      <c r="Y1168" s="1"/>
      <c r="Z1168" s="1"/>
      <c r="AA1168" s="1"/>
      <c r="AB1168" s="1"/>
      <c r="AC1168" s="1"/>
      <c r="AD1168" s="1">
        <f>IF($C1168="",0,SUMPRODUCT((AY_SONU!$O$7:$O$42="Evet")*(AY_SONU!$B$7:$B$42=DATE(YEAR($C1168),MONTH($C1168),1))))</f>
        <v>0</v>
      </c>
      <c r="AE1168" s="1" t="str">
        <f>IF($E1168="","",$E1168&amp;"|"&amp;COUNTIFS($E$7:$E1168,$E1168))</f>
        <v/>
      </c>
    </row>
    <row r="1169" spans="1:31" ht="18" customHeight="1" x14ac:dyDescent="0.3">
      <c r="A1169" s="2"/>
      <c r="B1169" s="65" t="str">
        <f>IF($C1169="","","GG"&amp;TEXT(ROW()-6,"00000"))</f>
        <v/>
      </c>
      <c r="C1169" s="66"/>
      <c r="D1169" s="60"/>
      <c r="E1169" s="61"/>
      <c r="F1169" s="61"/>
      <c r="G1169" s="67"/>
      <c r="H1169" s="60"/>
      <c r="I1169" s="60"/>
      <c r="J1169" s="61"/>
      <c r="K1169" s="61"/>
      <c r="L1169" s="60"/>
      <c r="M1169" s="74" t="str">
        <f>IF($C1169="","",IF($D1169="Gider",$E1169,IF($L1169&lt;&gt;"",$L1169,$H1169)))</f>
        <v/>
      </c>
      <c r="N1169" s="74" t="str">
        <f>IF($C1169="","",IF($D1169="Gider",$H1169,$E1169))</f>
        <v/>
      </c>
      <c r="O1169" s="73" t="str">
        <f>IF($C1169="","",DATE(YEAR($C1169),MONTH($C1169),1))</f>
        <v/>
      </c>
      <c r="P1169" s="65" t="str">
        <f ca="1">IF($C1169="","",IF(AND($D1169="Gelir",$L1169&lt;&gt;"",$T1169=""),"TANIMSIZ BORÇLU",IF($T1169&lt;&gt;"",IF(OR($E1169="",$G1169&lt;=0),"EKSİK",IF($I1169="Evet","TAHAKKUK NAKİT OLAMAZ",IF($C1169&gt;TODAY(),"İLERİ TARİH","TAHAKKUK"))),IF(AND($D1169&lt;&gt;"",$E1169&lt;&gt;"",$G1169&gt;0,$H1169&lt;&gt;"",$I1169&lt;&gt;""),IF($C1169&gt;TODAY(),"İLERİ TARİH",IF(COUNTIF($W$7:$W$3001,$W1169)&gt;1,"MÜKERRER?",IF($AD1169&gt;0,"KAPALI DÖNEM",IF($I1169="Hayır","ÖDENECEK","UYGUN")))),"EKSİK"))))</f>
        <v/>
      </c>
      <c r="Q1169" s="2"/>
      <c r="R1169" s="2"/>
      <c r="S1169" s="1" t="str">
        <f t="shared" si="56"/>
        <v/>
      </c>
      <c r="T1169" s="1" t="str">
        <f>IF(OR($C1169="",$D1169&lt;&gt;"Gelir",$L1169=""),"",IFERROR(INDEX(MUSTERILER!$B$7:$B$156,MATCH($S1169,MUSTERILER!$T$7:$T$156,0)),""))</f>
        <v/>
      </c>
      <c r="U1169" s="1" t="str">
        <f>IF($T1169="","",$T1169&amp;"|"&amp;COUNTIFS($T$7:$T1169,$T1169))</f>
        <v/>
      </c>
      <c r="V1169" s="1">
        <f t="shared" si="57"/>
        <v>0</v>
      </c>
      <c r="W1169" s="1" t="str">
        <f t="shared" si="58"/>
        <v/>
      </c>
      <c r="X1169" s="1"/>
      <c r="Y1169" s="1"/>
      <c r="Z1169" s="1"/>
      <c r="AA1169" s="1"/>
      <c r="AB1169" s="1"/>
      <c r="AC1169" s="1"/>
      <c r="AD1169" s="1">
        <f>IF($C1169="",0,SUMPRODUCT((AY_SONU!$O$7:$O$42="Evet")*(AY_SONU!$B$7:$B$42=DATE(YEAR($C1169),MONTH($C1169),1))))</f>
        <v>0</v>
      </c>
      <c r="AE1169" s="1" t="str">
        <f>IF($E1169="","",$E1169&amp;"|"&amp;COUNTIFS($E$7:$E1169,$E1169))</f>
        <v/>
      </c>
    </row>
    <row r="1170" spans="1:31" ht="18" customHeight="1" x14ac:dyDescent="0.3">
      <c r="A1170" s="2"/>
      <c r="B1170" s="65" t="str">
        <f>IF($C1170="","","GG"&amp;TEXT(ROW()-6,"00000"))</f>
        <v/>
      </c>
      <c r="C1170" s="66"/>
      <c r="D1170" s="60"/>
      <c r="E1170" s="61"/>
      <c r="F1170" s="61"/>
      <c r="G1170" s="67"/>
      <c r="H1170" s="60"/>
      <c r="I1170" s="60"/>
      <c r="J1170" s="61"/>
      <c r="K1170" s="61"/>
      <c r="L1170" s="60"/>
      <c r="M1170" s="74" t="str">
        <f>IF($C1170="","",IF($D1170="Gider",$E1170,IF($L1170&lt;&gt;"",$L1170,$H1170)))</f>
        <v/>
      </c>
      <c r="N1170" s="74" t="str">
        <f>IF($C1170="","",IF($D1170="Gider",$H1170,$E1170))</f>
        <v/>
      </c>
      <c r="O1170" s="73" t="str">
        <f>IF($C1170="","",DATE(YEAR($C1170),MONTH($C1170),1))</f>
        <v/>
      </c>
      <c r="P1170" s="65" t="str">
        <f ca="1">IF($C1170="","",IF(AND($D1170="Gelir",$L1170&lt;&gt;"",$T1170=""),"TANIMSIZ BORÇLU",IF($T1170&lt;&gt;"",IF(OR($E1170="",$G1170&lt;=0),"EKSİK",IF($I1170="Evet","TAHAKKUK NAKİT OLAMAZ",IF($C1170&gt;TODAY(),"İLERİ TARİH","TAHAKKUK"))),IF(AND($D1170&lt;&gt;"",$E1170&lt;&gt;"",$G1170&gt;0,$H1170&lt;&gt;"",$I1170&lt;&gt;""),IF($C1170&gt;TODAY(),"İLERİ TARİH",IF(COUNTIF($W$7:$W$3001,$W1170)&gt;1,"MÜKERRER?",IF($AD1170&gt;0,"KAPALI DÖNEM",IF($I1170="Hayır","ÖDENECEK","UYGUN")))),"EKSİK"))))</f>
        <v/>
      </c>
      <c r="Q1170" s="2"/>
      <c r="R1170" s="2"/>
      <c r="S1170" s="1" t="str">
        <f t="shared" si="56"/>
        <v/>
      </c>
      <c r="T1170" s="1" t="str">
        <f>IF(OR($C1170="",$D1170&lt;&gt;"Gelir",$L1170=""),"",IFERROR(INDEX(MUSTERILER!$B$7:$B$156,MATCH($S1170,MUSTERILER!$T$7:$T$156,0)),""))</f>
        <v/>
      </c>
      <c r="U1170" s="1" t="str">
        <f>IF($T1170="","",$T1170&amp;"|"&amp;COUNTIFS($T$7:$T1170,$T1170))</f>
        <v/>
      </c>
      <c r="V1170" s="1">
        <f t="shared" si="57"/>
        <v>0</v>
      </c>
      <c r="W1170" s="1" t="str">
        <f t="shared" si="58"/>
        <v/>
      </c>
      <c r="X1170" s="1"/>
      <c r="Y1170" s="1"/>
      <c r="Z1170" s="1"/>
      <c r="AA1170" s="1"/>
      <c r="AB1170" s="1"/>
      <c r="AC1170" s="1"/>
      <c r="AD1170" s="1">
        <f>IF($C1170="",0,SUMPRODUCT((AY_SONU!$O$7:$O$42="Evet")*(AY_SONU!$B$7:$B$42=DATE(YEAR($C1170),MONTH($C1170),1))))</f>
        <v>0</v>
      </c>
      <c r="AE1170" s="1" t="str">
        <f>IF($E1170="","",$E1170&amp;"|"&amp;COUNTIFS($E$7:$E1170,$E1170))</f>
        <v/>
      </c>
    </row>
    <row r="1171" spans="1:31" ht="18" customHeight="1" x14ac:dyDescent="0.3">
      <c r="A1171" s="2"/>
      <c r="B1171" s="65" t="str">
        <f>IF($C1171="","","GG"&amp;TEXT(ROW()-6,"00000"))</f>
        <v/>
      </c>
      <c r="C1171" s="66"/>
      <c r="D1171" s="60"/>
      <c r="E1171" s="61"/>
      <c r="F1171" s="61"/>
      <c r="G1171" s="67"/>
      <c r="H1171" s="60"/>
      <c r="I1171" s="60"/>
      <c r="J1171" s="61"/>
      <c r="K1171" s="61"/>
      <c r="L1171" s="60"/>
      <c r="M1171" s="74" t="str">
        <f>IF($C1171="","",IF($D1171="Gider",$E1171,IF($L1171&lt;&gt;"",$L1171,$H1171)))</f>
        <v/>
      </c>
      <c r="N1171" s="74" t="str">
        <f>IF($C1171="","",IF($D1171="Gider",$H1171,$E1171))</f>
        <v/>
      </c>
      <c r="O1171" s="73" t="str">
        <f>IF($C1171="","",DATE(YEAR($C1171),MONTH($C1171),1))</f>
        <v/>
      </c>
      <c r="P1171" s="65" t="str">
        <f ca="1">IF($C1171="","",IF(AND($D1171="Gelir",$L1171&lt;&gt;"",$T1171=""),"TANIMSIZ BORÇLU",IF($T1171&lt;&gt;"",IF(OR($E1171="",$G1171&lt;=0),"EKSİK",IF($I1171="Evet","TAHAKKUK NAKİT OLAMAZ",IF($C1171&gt;TODAY(),"İLERİ TARİH","TAHAKKUK"))),IF(AND($D1171&lt;&gt;"",$E1171&lt;&gt;"",$G1171&gt;0,$H1171&lt;&gt;"",$I1171&lt;&gt;""),IF($C1171&gt;TODAY(),"İLERİ TARİH",IF(COUNTIF($W$7:$W$3001,$W1171)&gt;1,"MÜKERRER?",IF($AD1171&gt;0,"KAPALI DÖNEM",IF($I1171="Hayır","ÖDENECEK","UYGUN")))),"EKSİK"))))</f>
        <v/>
      </c>
      <c r="Q1171" s="2"/>
      <c r="R1171" s="2"/>
      <c r="S1171" s="1" t="str">
        <f t="shared" si="56"/>
        <v/>
      </c>
      <c r="T1171" s="1" t="str">
        <f>IF(OR($C1171="",$D1171&lt;&gt;"Gelir",$L1171=""),"",IFERROR(INDEX(MUSTERILER!$B$7:$B$156,MATCH($S1171,MUSTERILER!$T$7:$T$156,0)),""))</f>
        <v/>
      </c>
      <c r="U1171" s="1" t="str">
        <f>IF($T1171="","",$T1171&amp;"|"&amp;COUNTIFS($T$7:$T1171,$T1171))</f>
        <v/>
      </c>
      <c r="V1171" s="1">
        <f t="shared" si="57"/>
        <v>0</v>
      </c>
      <c r="W1171" s="1" t="str">
        <f t="shared" si="58"/>
        <v/>
      </c>
      <c r="X1171" s="1"/>
      <c r="Y1171" s="1"/>
      <c r="Z1171" s="1"/>
      <c r="AA1171" s="1"/>
      <c r="AB1171" s="1"/>
      <c r="AC1171" s="1"/>
      <c r="AD1171" s="1">
        <f>IF($C1171="",0,SUMPRODUCT((AY_SONU!$O$7:$O$42="Evet")*(AY_SONU!$B$7:$B$42=DATE(YEAR($C1171),MONTH($C1171),1))))</f>
        <v>0</v>
      </c>
      <c r="AE1171" s="1" t="str">
        <f>IF($E1171="","",$E1171&amp;"|"&amp;COUNTIFS($E$7:$E1171,$E1171))</f>
        <v/>
      </c>
    </row>
    <row r="1172" spans="1:31" ht="18" customHeight="1" x14ac:dyDescent="0.3">
      <c r="A1172" s="2"/>
      <c r="B1172" s="65" t="str">
        <f>IF($C1172="","","GG"&amp;TEXT(ROW()-6,"00000"))</f>
        <v/>
      </c>
      <c r="C1172" s="66"/>
      <c r="D1172" s="60"/>
      <c r="E1172" s="61"/>
      <c r="F1172" s="61"/>
      <c r="G1172" s="67"/>
      <c r="H1172" s="60"/>
      <c r="I1172" s="60"/>
      <c r="J1172" s="61"/>
      <c r="K1172" s="61"/>
      <c r="L1172" s="60"/>
      <c r="M1172" s="74" t="str">
        <f>IF($C1172="","",IF($D1172="Gider",$E1172,IF($L1172&lt;&gt;"",$L1172,$H1172)))</f>
        <v/>
      </c>
      <c r="N1172" s="74" t="str">
        <f>IF($C1172="","",IF($D1172="Gider",$H1172,$E1172))</f>
        <v/>
      </c>
      <c r="O1172" s="73" t="str">
        <f>IF($C1172="","",DATE(YEAR($C1172),MONTH($C1172),1))</f>
        <v/>
      </c>
      <c r="P1172" s="65" t="str">
        <f ca="1">IF($C1172="","",IF(AND($D1172="Gelir",$L1172&lt;&gt;"",$T1172=""),"TANIMSIZ BORÇLU",IF($T1172&lt;&gt;"",IF(OR($E1172="",$G1172&lt;=0),"EKSİK",IF($I1172="Evet","TAHAKKUK NAKİT OLAMAZ",IF($C1172&gt;TODAY(),"İLERİ TARİH","TAHAKKUK"))),IF(AND($D1172&lt;&gt;"",$E1172&lt;&gt;"",$G1172&gt;0,$H1172&lt;&gt;"",$I1172&lt;&gt;""),IF($C1172&gt;TODAY(),"İLERİ TARİH",IF(COUNTIF($W$7:$W$3001,$W1172)&gt;1,"MÜKERRER?",IF($AD1172&gt;0,"KAPALI DÖNEM",IF($I1172="Hayır","ÖDENECEK","UYGUN")))),"EKSİK"))))</f>
        <v/>
      </c>
      <c r="Q1172" s="2"/>
      <c r="R1172" s="2"/>
      <c r="S1172" s="1" t="str">
        <f t="shared" si="56"/>
        <v/>
      </c>
      <c r="T1172" s="1" t="str">
        <f>IF(OR($C1172="",$D1172&lt;&gt;"Gelir",$L1172=""),"",IFERROR(INDEX(MUSTERILER!$B$7:$B$156,MATCH($S1172,MUSTERILER!$T$7:$T$156,0)),""))</f>
        <v/>
      </c>
      <c r="U1172" s="1" t="str">
        <f>IF($T1172="","",$T1172&amp;"|"&amp;COUNTIFS($T$7:$T1172,$T1172))</f>
        <v/>
      </c>
      <c r="V1172" s="1">
        <f t="shared" si="57"/>
        <v>0</v>
      </c>
      <c r="W1172" s="1" t="str">
        <f t="shared" si="58"/>
        <v/>
      </c>
      <c r="X1172" s="1"/>
      <c r="Y1172" s="1"/>
      <c r="Z1172" s="1"/>
      <c r="AA1172" s="1"/>
      <c r="AB1172" s="1"/>
      <c r="AC1172" s="1"/>
      <c r="AD1172" s="1">
        <f>IF($C1172="",0,SUMPRODUCT((AY_SONU!$O$7:$O$42="Evet")*(AY_SONU!$B$7:$B$42=DATE(YEAR($C1172),MONTH($C1172),1))))</f>
        <v>0</v>
      </c>
      <c r="AE1172" s="1" t="str">
        <f>IF($E1172="","",$E1172&amp;"|"&amp;COUNTIFS($E$7:$E1172,$E1172))</f>
        <v/>
      </c>
    </row>
    <row r="1173" spans="1:31" ht="18" customHeight="1" x14ac:dyDescent="0.3">
      <c r="A1173" s="2"/>
      <c r="B1173" s="65" t="str">
        <f>IF($C1173="","","GG"&amp;TEXT(ROW()-6,"00000"))</f>
        <v/>
      </c>
      <c r="C1173" s="66"/>
      <c r="D1173" s="60"/>
      <c r="E1173" s="61"/>
      <c r="F1173" s="61"/>
      <c r="G1173" s="67"/>
      <c r="H1173" s="60"/>
      <c r="I1173" s="60"/>
      <c r="J1173" s="61"/>
      <c r="K1173" s="61"/>
      <c r="L1173" s="60"/>
      <c r="M1173" s="74" t="str">
        <f>IF($C1173="","",IF($D1173="Gider",$E1173,IF($L1173&lt;&gt;"",$L1173,$H1173)))</f>
        <v/>
      </c>
      <c r="N1173" s="74" t="str">
        <f>IF($C1173="","",IF($D1173="Gider",$H1173,$E1173))</f>
        <v/>
      </c>
      <c r="O1173" s="73" t="str">
        <f>IF($C1173="","",DATE(YEAR($C1173),MONTH($C1173),1))</f>
        <v/>
      </c>
      <c r="P1173" s="65" t="str">
        <f ca="1">IF($C1173="","",IF(AND($D1173="Gelir",$L1173&lt;&gt;"",$T1173=""),"TANIMSIZ BORÇLU",IF($T1173&lt;&gt;"",IF(OR($E1173="",$G1173&lt;=0),"EKSİK",IF($I1173="Evet","TAHAKKUK NAKİT OLAMAZ",IF($C1173&gt;TODAY(),"İLERİ TARİH","TAHAKKUK"))),IF(AND($D1173&lt;&gt;"",$E1173&lt;&gt;"",$G1173&gt;0,$H1173&lt;&gt;"",$I1173&lt;&gt;""),IF($C1173&gt;TODAY(),"İLERİ TARİH",IF(COUNTIF($W$7:$W$3001,$W1173)&gt;1,"MÜKERRER?",IF($AD1173&gt;0,"KAPALI DÖNEM",IF($I1173="Hayır","ÖDENECEK","UYGUN")))),"EKSİK"))))</f>
        <v/>
      </c>
      <c r="Q1173" s="2"/>
      <c r="R1173" s="2"/>
      <c r="S1173" s="1" t="str">
        <f t="shared" si="56"/>
        <v/>
      </c>
      <c r="T1173" s="1" t="str">
        <f>IF(OR($C1173="",$D1173&lt;&gt;"Gelir",$L1173=""),"",IFERROR(INDEX(MUSTERILER!$B$7:$B$156,MATCH($S1173,MUSTERILER!$T$7:$T$156,0)),""))</f>
        <v/>
      </c>
      <c r="U1173" s="1" t="str">
        <f>IF($T1173="","",$T1173&amp;"|"&amp;COUNTIFS($T$7:$T1173,$T1173))</f>
        <v/>
      </c>
      <c r="V1173" s="1">
        <f t="shared" si="57"/>
        <v>0</v>
      </c>
      <c r="W1173" s="1" t="str">
        <f t="shared" si="58"/>
        <v/>
      </c>
      <c r="X1173" s="1"/>
      <c r="Y1173" s="1"/>
      <c r="Z1173" s="1"/>
      <c r="AA1173" s="1"/>
      <c r="AB1173" s="1"/>
      <c r="AC1173" s="1"/>
      <c r="AD1173" s="1">
        <f>IF($C1173="",0,SUMPRODUCT((AY_SONU!$O$7:$O$42="Evet")*(AY_SONU!$B$7:$B$42=DATE(YEAR($C1173),MONTH($C1173),1))))</f>
        <v>0</v>
      </c>
      <c r="AE1173" s="1" t="str">
        <f>IF($E1173="","",$E1173&amp;"|"&amp;COUNTIFS($E$7:$E1173,$E1173))</f>
        <v/>
      </c>
    </row>
    <row r="1174" spans="1:31" ht="18" customHeight="1" x14ac:dyDescent="0.3">
      <c r="A1174" s="2"/>
      <c r="B1174" s="65" t="str">
        <f>IF($C1174="","","GG"&amp;TEXT(ROW()-6,"00000"))</f>
        <v/>
      </c>
      <c r="C1174" s="66"/>
      <c r="D1174" s="60"/>
      <c r="E1174" s="61"/>
      <c r="F1174" s="61"/>
      <c r="G1174" s="67"/>
      <c r="H1174" s="60"/>
      <c r="I1174" s="60"/>
      <c r="J1174" s="61"/>
      <c r="K1174" s="61"/>
      <c r="L1174" s="60"/>
      <c r="M1174" s="74" t="str">
        <f>IF($C1174="","",IF($D1174="Gider",$E1174,IF($L1174&lt;&gt;"",$L1174,$H1174)))</f>
        <v/>
      </c>
      <c r="N1174" s="74" t="str">
        <f>IF($C1174="","",IF($D1174="Gider",$H1174,$E1174))</f>
        <v/>
      </c>
      <c r="O1174" s="73" t="str">
        <f>IF($C1174="","",DATE(YEAR($C1174),MONTH($C1174),1))</f>
        <v/>
      </c>
      <c r="P1174" s="65" t="str">
        <f ca="1">IF($C1174="","",IF(AND($D1174="Gelir",$L1174&lt;&gt;"",$T1174=""),"TANIMSIZ BORÇLU",IF($T1174&lt;&gt;"",IF(OR($E1174="",$G1174&lt;=0),"EKSİK",IF($I1174="Evet","TAHAKKUK NAKİT OLAMAZ",IF($C1174&gt;TODAY(),"İLERİ TARİH","TAHAKKUK"))),IF(AND($D1174&lt;&gt;"",$E1174&lt;&gt;"",$G1174&gt;0,$H1174&lt;&gt;"",$I1174&lt;&gt;""),IF($C1174&gt;TODAY(),"İLERİ TARİH",IF(COUNTIF($W$7:$W$3001,$W1174)&gt;1,"MÜKERRER?",IF($AD1174&gt;0,"KAPALI DÖNEM",IF($I1174="Hayır","ÖDENECEK","UYGUN")))),"EKSİK"))))</f>
        <v/>
      </c>
      <c r="Q1174" s="2"/>
      <c r="R1174" s="2"/>
      <c r="S1174" s="1" t="str">
        <f t="shared" si="56"/>
        <v/>
      </c>
      <c r="T1174" s="1" t="str">
        <f>IF(OR($C1174="",$D1174&lt;&gt;"Gelir",$L1174=""),"",IFERROR(INDEX(MUSTERILER!$B$7:$B$156,MATCH($S1174,MUSTERILER!$T$7:$T$156,0)),""))</f>
        <v/>
      </c>
      <c r="U1174" s="1" t="str">
        <f>IF($T1174="","",$T1174&amp;"|"&amp;COUNTIFS($T$7:$T1174,$T1174))</f>
        <v/>
      </c>
      <c r="V1174" s="1">
        <f t="shared" si="57"/>
        <v>0</v>
      </c>
      <c r="W1174" s="1" t="str">
        <f t="shared" si="58"/>
        <v/>
      </c>
      <c r="X1174" s="1"/>
      <c r="Y1174" s="1"/>
      <c r="Z1174" s="1"/>
      <c r="AA1174" s="1"/>
      <c r="AB1174" s="1"/>
      <c r="AC1174" s="1"/>
      <c r="AD1174" s="1">
        <f>IF($C1174="",0,SUMPRODUCT((AY_SONU!$O$7:$O$42="Evet")*(AY_SONU!$B$7:$B$42=DATE(YEAR($C1174),MONTH($C1174),1))))</f>
        <v>0</v>
      </c>
      <c r="AE1174" s="1" t="str">
        <f>IF($E1174="","",$E1174&amp;"|"&amp;COUNTIFS($E$7:$E1174,$E1174))</f>
        <v/>
      </c>
    </row>
    <row r="1175" spans="1:31" ht="18" customHeight="1" x14ac:dyDescent="0.3">
      <c r="A1175" s="2"/>
      <c r="B1175" s="65" t="str">
        <f>IF($C1175="","","GG"&amp;TEXT(ROW()-6,"00000"))</f>
        <v/>
      </c>
      <c r="C1175" s="66"/>
      <c r="D1175" s="60"/>
      <c r="E1175" s="61"/>
      <c r="F1175" s="61"/>
      <c r="G1175" s="67"/>
      <c r="H1175" s="60"/>
      <c r="I1175" s="60"/>
      <c r="J1175" s="61"/>
      <c r="K1175" s="61"/>
      <c r="L1175" s="60"/>
      <c r="M1175" s="74" t="str">
        <f>IF($C1175="","",IF($D1175="Gider",$E1175,IF($L1175&lt;&gt;"",$L1175,$H1175)))</f>
        <v/>
      </c>
      <c r="N1175" s="74" t="str">
        <f>IF($C1175="","",IF($D1175="Gider",$H1175,$E1175))</f>
        <v/>
      </c>
      <c r="O1175" s="73" t="str">
        <f>IF($C1175="","",DATE(YEAR($C1175),MONTH($C1175),1))</f>
        <v/>
      </c>
      <c r="P1175" s="65" t="str">
        <f ca="1">IF($C1175="","",IF(AND($D1175="Gelir",$L1175&lt;&gt;"",$T1175=""),"TANIMSIZ BORÇLU",IF($T1175&lt;&gt;"",IF(OR($E1175="",$G1175&lt;=0),"EKSİK",IF($I1175="Evet","TAHAKKUK NAKİT OLAMAZ",IF($C1175&gt;TODAY(),"İLERİ TARİH","TAHAKKUK"))),IF(AND($D1175&lt;&gt;"",$E1175&lt;&gt;"",$G1175&gt;0,$H1175&lt;&gt;"",$I1175&lt;&gt;""),IF($C1175&gt;TODAY(),"İLERİ TARİH",IF(COUNTIF($W$7:$W$3001,$W1175)&gt;1,"MÜKERRER?",IF($AD1175&gt;0,"KAPALI DÖNEM",IF($I1175="Hayır","ÖDENECEK","UYGUN")))),"EKSİK"))))</f>
        <v/>
      </c>
      <c r="Q1175" s="2"/>
      <c r="R1175" s="2"/>
      <c r="S1175" s="1" t="str">
        <f t="shared" si="56"/>
        <v/>
      </c>
      <c r="T1175" s="1" t="str">
        <f>IF(OR($C1175="",$D1175&lt;&gt;"Gelir",$L1175=""),"",IFERROR(INDEX(MUSTERILER!$B$7:$B$156,MATCH($S1175,MUSTERILER!$T$7:$T$156,0)),""))</f>
        <v/>
      </c>
      <c r="U1175" s="1" t="str">
        <f>IF($T1175="","",$T1175&amp;"|"&amp;COUNTIFS($T$7:$T1175,$T1175))</f>
        <v/>
      </c>
      <c r="V1175" s="1">
        <f t="shared" si="57"/>
        <v>0</v>
      </c>
      <c r="W1175" s="1" t="str">
        <f t="shared" si="58"/>
        <v/>
      </c>
      <c r="X1175" s="1"/>
      <c r="Y1175" s="1"/>
      <c r="Z1175" s="1"/>
      <c r="AA1175" s="1"/>
      <c r="AB1175" s="1"/>
      <c r="AC1175" s="1"/>
      <c r="AD1175" s="1">
        <f>IF($C1175="",0,SUMPRODUCT((AY_SONU!$O$7:$O$42="Evet")*(AY_SONU!$B$7:$B$42=DATE(YEAR($C1175),MONTH($C1175),1))))</f>
        <v>0</v>
      </c>
      <c r="AE1175" s="1" t="str">
        <f>IF($E1175="","",$E1175&amp;"|"&amp;COUNTIFS($E$7:$E1175,$E1175))</f>
        <v/>
      </c>
    </row>
    <row r="1176" spans="1:31" ht="18" customHeight="1" x14ac:dyDescent="0.3">
      <c r="A1176" s="2"/>
      <c r="B1176" s="65" t="str">
        <f>IF($C1176="","","GG"&amp;TEXT(ROW()-6,"00000"))</f>
        <v/>
      </c>
      <c r="C1176" s="66"/>
      <c r="D1176" s="60"/>
      <c r="E1176" s="61"/>
      <c r="F1176" s="61"/>
      <c r="G1176" s="67"/>
      <c r="H1176" s="60"/>
      <c r="I1176" s="60"/>
      <c r="J1176" s="61"/>
      <c r="K1176" s="61"/>
      <c r="L1176" s="60"/>
      <c r="M1176" s="74" t="str">
        <f>IF($C1176="","",IF($D1176="Gider",$E1176,IF($L1176&lt;&gt;"",$L1176,$H1176)))</f>
        <v/>
      </c>
      <c r="N1176" s="74" t="str">
        <f>IF($C1176="","",IF($D1176="Gider",$H1176,$E1176))</f>
        <v/>
      </c>
      <c r="O1176" s="73" t="str">
        <f>IF($C1176="","",DATE(YEAR($C1176),MONTH($C1176),1))</f>
        <v/>
      </c>
      <c r="P1176" s="65" t="str">
        <f ca="1">IF($C1176="","",IF(AND($D1176="Gelir",$L1176&lt;&gt;"",$T1176=""),"TANIMSIZ BORÇLU",IF($T1176&lt;&gt;"",IF(OR($E1176="",$G1176&lt;=0),"EKSİK",IF($I1176="Evet","TAHAKKUK NAKİT OLAMAZ",IF($C1176&gt;TODAY(),"İLERİ TARİH","TAHAKKUK"))),IF(AND($D1176&lt;&gt;"",$E1176&lt;&gt;"",$G1176&gt;0,$H1176&lt;&gt;"",$I1176&lt;&gt;""),IF($C1176&gt;TODAY(),"İLERİ TARİH",IF(COUNTIF($W$7:$W$3001,$W1176)&gt;1,"MÜKERRER?",IF($AD1176&gt;0,"KAPALI DÖNEM",IF($I1176="Hayır","ÖDENECEK","UYGUN")))),"EKSİK"))))</f>
        <v/>
      </c>
      <c r="Q1176" s="2"/>
      <c r="R1176" s="2"/>
      <c r="S1176" s="1" t="str">
        <f t="shared" si="56"/>
        <v/>
      </c>
      <c r="T1176" s="1" t="str">
        <f>IF(OR($C1176="",$D1176&lt;&gt;"Gelir",$L1176=""),"",IFERROR(INDEX(MUSTERILER!$B$7:$B$156,MATCH($S1176,MUSTERILER!$T$7:$T$156,0)),""))</f>
        <v/>
      </c>
      <c r="U1176" s="1" t="str">
        <f>IF($T1176="","",$T1176&amp;"|"&amp;COUNTIFS($T$7:$T1176,$T1176))</f>
        <v/>
      </c>
      <c r="V1176" s="1">
        <f t="shared" si="57"/>
        <v>0</v>
      </c>
      <c r="W1176" s="1" t="str">
        <f t="shared" si="58"/>
        <v/>
      </c>
      <c r="X1176" s="1"/>
      <c r="Y1176" s="1"/>
      <c r="Z1176" s="1"/>
      <c r="AA1176" s="1"/>
      <c r="AB1176" s="1"/>
      <c r="AC1176" s="1"/>
      <c r="AD1176" s="1">
        <f>IF($C1176="",0,SUMPRODUCT((AY_SONU!$O$7:$O$42="Evet")*(AY_SONU!$B$7:$B$42=DATE(YEAR($C1176),MONTH($C1176),1))))</f>
        <v>0</v>
      </c>
      <c r="AE1176" s="1" t="str">
        <f>IF($E1176="","",$E1176&amp;"|"&amp;COUNTIFS($E$7:$E1176,$E1176))</f>
        <v/>
      </c>
    </row>
    <row r="1177" spans="1:31" ht="18" customHeight="1" x14ac:dyDescent="0.3">
      <c r="A1177" s="2"/>
      <c r="B1177" s="65" t="str">
        <f>IF($C1177="","","GG"&amp;TEXT(ROW()-6,"00000"))</f>
        <v/>
      </c>
      <c r="C1177" s="66"/>
      <c r="D1177" s="60"/>
      <c r="E1177" s="61"/>
      <c r="F1177" s="61"/>
      <c r="G1177" s="67"/>
      <c r="H1177" s="60"/>
      <c r="I1177" s="60"/>
      <c r="J1177" s="61"/>
      <c r="K1177" s="61"/>
      <c r="L1177" s="60"/>
      <c r="M1177" s="74" t="str">
        <f>IF($C1177="","",IF($D1177="Gider",$E1177,IF($L1177&lt;&gt;"",$L1177,$H1177)))</f>
        <v/>
      </c>
      <c r="N1177" s="74" t="str">
        <f>IF($C1177="","",IF($D1177="Gider",$H1177,$E1177))</f>
        <v/>
      </c>
      <c r="O1177" s="73" t="str">
        <f>IF($C1177="","",DATE(YEAR($C1177),MONTH($C1177),1))</f>
        <v/>
      </c>
      <c r="P1177" s="65" t="str">
        <f ca="1">IF($C1177="","",IF(AND($D1177="Gelir",$L1177&lt;&gt;"",$T1177=""),"TANIMSIZ BORÇLU",IF($T1177&lt;&gt;"",IF(OR($E1177="",$G1177&lt;=0),"EKSİK",IF($I1177="Evet","TAHAKKUK NAKİT OLAMAZ",IF($C1177&gt;TODAY(),"İLERİ TARİH","TAHAKKUK"))),IF(AND($D1177&lt;&gt;"",$E1177&lt;&gt;"",$G1177&gt;0,$H1177&lt;&gt;"",$I1177&lt;&gt;""),IF($C1177&gt;TODAY(),"İLERİ TARİH",IF(COUNTIF($W$7:$W$3001,$W1177)&gt;1,"MÜKERRER?",IF($AD1177&gt;0,"KAPALI DÖNEM",IF($I1177="Hayır","ÖDENECEK","UYGUN")))),"EKSİK"))))</f>
        <v/>
      </c>
      <c r="Q1177" s="2"/>
      <c r="R1177" s="2"/>
      <c r="S1177" s="1" t="str">
        <f t="shared" si="56"/>
        <v/>
      </c>
      <c r="T1177" s="1" t="str">
        <f>IF(OR($C1177="",$D1177&lt;&gt;"Gelir",$L1177=""),"",IFERROR(INDEX(MUSTERILER!$B$7:$B$156,MATCH($S1177,MUSTERILER!$T$7:$T$156,0)),""))</f>
        <v/>
      </c>
      <c r="U1177" s="1" t="str">
        <f>IF($T1177="","",$T1177&amp;"|"&amp;COUNTIFS($T$7:$T1177,$T1177))</f>
        <v/>
      </c>
      <c r="V1177" s="1">
        <f t="shared" si="57"/>
        <v>0</v>
      </c>
      <c r="W1177" s="1" t="str">
        <f t="shared" si="58"/>
        <v/>
      </c>
      <c r="X1177" s="1"/>
      <c r="Y1177" s="1"/>
      <c r="Z1177" s="1"/>
      <c r="AA1177" s="1"/>
      <c r="AB1177" s="1"/>
      <c r="AC1177" s="1"/>
      <c r="AD1177" s="1">
        <f>IF($C1177="",0,SUMPRODUCT((AY_SONU!$O$7:$O$42="Evet")*(AY_SONU!$B$7:$B$42=DATE(YEAR($C1177),MONTH($C1177),1))))</f>
        <v>0</v>
      </c>
      <c r="AE1177" s="1" t="str">
        <f>IF($E1177="","",$E1177&amp;"|"&amp;COUNTIFS($E$7:$E1177,$E1177))</f>
        <v/>
      </c>
    </row>
    <row r="1178" spans="1:31" ht="18" customHeight="1" x14ac:dyDescent="0.3">
      <c r="A1178" s="2"/>
      <c r="B1178" s="65" t="str">
        <f>IF($C1178="","","GG"&amp;TEXT(ROW()-6,"00000"))</f>
        <v/>
      </c>
      <c r="C1178" s="66"/>
      <c r="D1178" s="60"/>
      <c r="E1178" s="61"/>
      <c r="F1178" s="61"/>
      <c r="G1178" s="67"/>
      <c r="H1178" s="60"/>
      <c r="I1178" s="60"/>
      <c r="J1178" s="61"/>
      <c r="K1178" s="61"/>
      <c r="L1178" s="60"/>
      <c r="M1178" s="74" t="str">
        <f>IF($C1178="","",IF($D1178="Gider",$E1178,IF($L1178&lt;&gt;"",$L1178,$H1178)))</f>
        <v/>
      </c>
      <c r="N1178" s="74" t="str">
        <f>IF($C1178="","",IF($D1178="Gider",$H1178,$E1178))</f>
        <v/>
      </c>
      <c r="O1178" s="73" t="str">
        <f>IF($C1178="","",DATE(YEAR($C1178),MONTH($C1178),1))</f>
        <v/>
      </c>
      <c r="P1178" s="65" t="str">
        <f ca="1">IF($C1178="","",IF(AND($D1178="Gelir",$L1178&lt;&gt;"",$T1178=""),"TANIMSIZ BORÇLU",IF($T1178&lt;&gt;"",IF(OR($E1178="",$G1178&lt;=0),"EKSİK",IF($I1178="Evet","TAHAKKUK NAKİT OLAMAZ",IF($C1178&gt;TODAY(),"İLERİ TARİH","TAHAKKUK"))),IF(AND($D1178&lt;&gt;"",$E1178&lt;&gt;"",$G1178&gt;0,$H1178&lt;&gt;"",$I1178&lt;&gt;""),IF($C1178&gt;TODAY(),"İLERİ TARİH",IF(COUNTIF($W$7:$W$3001,$W1178)&gt;1,"MÜKERRER?",IF($AD1178&gt;0,"KAPALI DÖNEM",IF($I1178="Hayır","ÖDENECEK","UYGUN")))),"EKSİK"))))</f>
        <v/>
      </c>
      <c r="Q1178" s="2"/>
      <c r="R1178" s="2"/>
      <c r="S1178" s="1" t="str">
        <f t="shared" si="56"/>
        <v/>
      </c>
      <c r="T1178" s="1" t="str">
        <f>IF(OR($C1178="",$D1178&lt;&gt;"Gelir",$L1178=""),"",IFERROR(INDEX(MUSTERILER!$B$7:$B$156,MATCH($S1178,MUSTERILER!$T$7:$T$156,0)),""))</f>
        <v/>
      </c>
      <c r="U1178" s="1" t="str">
        <f>IF($T1178="","",$T1178&amp;"|"&amp;COUNTIFS($T$7:$T1178,$T1178))</f>
        <v/>
      </c>
      <c r="V1178" s="1">
        <f t="shared" si="57"/>
        <v>0</v>
      </c>
      <c r="W1178" s="1" t="str">
        <f t="shared" si="58"/>
        <v/>
      </c>
      <c r="X1178" s="1"/>
      <c r="Y1178" s="1"/>
      <c r="Z1178" s="1"/>
      <c r="AA1178" s="1"/>
      <c r="AB1178" s="1"/>
      <c r="AC1178" s="1"/>
      <c r="AD1178" s="1">
        <f>IF($C1178="",0,SUMPRODUCT((AY_SONU!$O$7:$O$42="Evet")*(AY_SONU!$B$7:$B$42=DATE(YEAR($C1178),MONTH($C1178),1))))</f>
        <v>0</v>
      </c>
      <c r="AE1178" s="1" t="str">
        <f>IF($E1178="","",$E1178&amp;"|"&amp;COUNTIFS($E$7:$E1178,$E1178))</f>
        <v/>
      </c>
    </row>
    <row r="1179" spans="1:31" ht="18" customHeight="1" x14ac:dyDescent="0.3">
      <c r="A1179" s="2"/>
      <c r="B1179" s="65" t="str">
        <f>IF($C1179="","","GG"&amp;TEXT(ROW()-6,"00000"))</f>
        <v/>
      </c>
      <c r="C1179" s="66"/>
      <c r="D1179" s="60"/>
      <c r="E1179" s="61"/>
      <c r="F1179" s="61"/>
      <c r="G1179" s="67"/>
      <c r="H1179" s="60"/>
      <c r="I1179" s="60"/>
      <c r="J1179" s="61"/>
      <c r="K1179" s="61"/>
      <c r="L1179" s="60"/>
      <c r="M1179" s="74" t="str">
        <f>IF($C1179="","",IF($D1179="Gider",$E1179,IF($L1179&lt;&gt;"",$L1179,$H1179)))</f>
        <v/>
      </c>
      <c r="N1179" s="74" t="str">
        <f>IF($C1179="","",IF($D1179="Gider",$H1179,$E1179))</f>
        <v/>
      </c>
      <c r="O1179" s="73" t="str">
        <f>IF($C1179="","",DATE(YEAR($C1179),MONTH($C1179),1))</f>
        <v/>
      </c>
      <c r="P1179" s="65" t="str">
        <f ca="1">IF($C1179="","",IF(AND($D1179="Gelir",$L1179&lt;&gt;"",$T1179=""),"TANIMSIZ BORÇLU",IF($T1179&lt;&gt;"",IF(OR($E1179="",$G1179&lt;=0),"EKSİK",IF($I1179="Evet","TAHAKKUK NAKİT OLAMAZ",IF($C1179&gt;TODAY(),"İLERİ TARİH","TAHAKKUK"))),IF(AND($D1179&lt;&gt;"",$E1179&lt;&gt;"",$G1179&gt;0,$H1179&lt;&gt;"",$I1179&lt;&gt;""),IF($C1179&gt;TODAY(),"İLERİ TARİH",IF(COUNTIF($W$7:$W$3001,$W1179)&gt;1,"MÜKERRER?",IF($AD1179&gt;0,"KAPALI DÖNEM",IF($I1179="Hayır","ÖDENECEK","UYGUN")))),"EKSİK"))))</f>
        <v/>
      </c>
      <c r="Q1179" s="2"/>
      <c r="R1179" s="2"/>
      <c r="S1179" s="1" t="str">
        <f t="shared" si="56"/>
        <v/>
      </c>
      <c r="T1179" s="1" t="str">
        <f>IF(OR($C1179="",$D1179&lt;&gt;"Gelir",$L1179=""),"",IFERROR(INDEX(MUSTERILER!$B$7:$B$156,MATCH($S1179,MUSTERILER!$T$7:$T$156,0)),""))</f>
        <v/>
      </c>
      <c r="U1179" s="1" t="str">
        <f>IF($T1179="","",$T1179&amp;"|"&amp;COUNTIFS($T$7:$T1179,$T1179))</f>
        <v/>
      </c>
      <c r="V1179" s="1">
        <f t="shared" si="57"/>
        <v>0</v>
      </c>
      <c r="W1179" s="1" t="str">
        <f t="shared" si="58"/>
        <v/>
      </c>
      <c r="X1179" s="1"/>
      <c r="Y1179" s="1"/>
      <c r="Z1179" s="1"/>
      <c r="AA1179" s="1"/>
      <c r="AB1179" s="1"/>
      <c r="AC1179" s="1"/>
      <c r="AD1179" s="1">
        <f>IF($C1179="",0,SUMPRODUCT((AY_SONU!$O$7:$O$42="Evet")*(AY_SONU!$B$7:$B$42=DATE(YEAR($C1179),MONTH($C1179),1))))</f>
        <v>0</v>
      </c>
      <c r="AE1179" s="1" t="str">
        <f>IF($E1179="","",$E1179&amp;"|"&amp;COUNTIFS($E$7:$E1179,$E1179))</f>
        <v/>
      </c>
    </row>
    <row r="1180" spans="1:31" ht="18" customHeight="1" x14ac:dyDescent="0.3">
      <c r="A1180" s="2"/>
      <c r="B1180" s="65" t="str">
        <f>IF($C1180="","","GG"&amp;TEXT(ROW()-6,"00000"))</f>
        <v/>
      </c>
      <c r="C1180" s="66"/>
      <c r="D1180" s="60"/>
      <c r="E1180" s="61"/>
      <c r="F1180" s="61"/>
      <c r="G1180" s="67"/>
      <c r="H1180" s="60"/>
      <c r="I1180" s="60"/>
      <c r="J1180" s="61"/>
      <c r="K1180" s="61"/>
      <c r="L1180" s="60"/>
      <c r="M1180" s="74" t="str">
        <f>IF($C1180="","",IF($D1180="Gider",$E1180,IF($L1180&lt;&gt;"",$L1180,$H1180)))</f>
        <v/>
      </c>
      <c r="N1180" s="74" t="str">
        <f>IF($C1180="","",IF($D1180="Gider",$H1180,$E1180))</f>
        <v/>
      </c>
      <c r="O1180" s="73" t="str">
        <f>IF($C1180="","",DATE(YEAR($C1180),MONTH($C1180),1))</f>
        <v/>
      </c>
      <c r="P1180" s="65" t="str">
        <f ca="1">IF($C1180="","",IF(AND($D1180="Gelir",$L1180&lt;&gt;"",$T1180=""),"TANIMSIZ BORÇLU",IF($T1180&lt;&gt;"",IF(OR($E1180="",$G1180&lt;=0),"EKSİK",IF($I1180="Evet","TAHAKKUK NAKİT OLAMAZ",IF($C1180&gt;TODAY(),"İLERİ TARİH","TAHAKKUK"))),IF(AND($D1180&lt;&gt;"",$E1180&lt;&gt;"",$G1180&gt;0,$H1180&lt;&gt;"",$I1180&lt;&gt;""),IF($C1180&gt;TODAY(),"İLERİ TARİH",IF(COUNTIF($W$7:$W$3001,$W1180)&gt;1,"MÜKERRER?",IF($AD1180&gt;0,"KAPALI DÖNEM",IF($I1180="Hayır","ÖDENECEK","UYGUN")))),"EKSİK"))))</f>
        <v/>
      </c>
      <c r="Q1180" s="2"/>
      <c r="R1180" s="2"/>
      <c r="S1180" s="1" t="str">
        <f t="shared" si="56"/>
        <v/>
      </c>
      <c r="T1180" s="1" t="str">
        <f>IF(OR($C1180="",$D1180&lt;&gt;"Gelir",$L1180=""),"",IFERROR(INDEX(MUSTERILER!$B$7:$B$156,MATCH($S1180,MUSTERILER!$T$7:$T$156,0)),""))</f>
        <v/>
      </c>
      <c r="U1180" s="1" t="str">
        <f>IF($T1180="","",$T1180&amp;"|"&amp;COUNTIFS($T$7:$T1180,$T1180))</f>
        <v/>
      </c>
      <c r="V1180" s="1">
        <f t="shared" si="57"/>
        <v>0</v>
      </c>
      <c r="W1180" s="1" t="str">
        <f t="shared" si="58"/>
        <v/>
      </c>
      <c r="X1180" s="1"/>
      <c r="Y1180" s="1"/>
      <c r="Z1180" s="1"/>
      <c r="AA1180" s="1"/>
      <c r="AB1180" s="1"/>
      <c r="AC1180" s="1"/>
      <c r="AD1180" s="1">
        <f>IF($C1180="",0,SUMPRODUCT((AY_SONU!$O$7:$O$42="Evet")*(AY_SONU!$B$7:$B$42=DATE(YEAR($C1180),MONTH($C1180),1))))</f>
        <v>0</v>
      </c>
      <c r="AE1180" s="1" t="str">
        <f>IF($E1180="","",$E1180&amp;"|"&amp;COUNTIFS($E$7:$E1180,$E1180))</f>
        <v/>
      </c>
    </row>
    <row r="1181" spans="1:31" ht="18" customHeight="1" x14ac:dyDescent="0.3">
      <c r="A1181" s="2"/>
      <c r="B1181" s="65" t="str">
        <f>IF($C1181="","","GG"&amp;TEXT(ROW()-6,"00000"))</f>
        <v/>
      </c>
      <c r="C1181" s="66"/>
      <c r="D1181" s="60"/>
      <c r="E1181" s="61"/>
      <c r="F1181" s="61"/>
      <c r="G1181" s="67"/>
      <c r="H1181" s="60"/>
      <c r="I1181" s="60"/>
      <c r="J1181" s="61"/>
      <c r="K1181" s="61"/>
      <c r="L1181" s="60"/>
      <c r="M1181" s="74" t="str">
        <f>IF($C1181="","",IF($D1181="Gider",$E1181,IF($L1181&lt;&gt;"",$L1181,$H1181)))</f>
        <v/>
      </c>
      <c r="N1181" s="74" t="str">
        <f>IF($C1181="","",IF($D1181="Gider",$H1181,$E1181))</f>
        <v/>
      </c>
      <c r="O1181" s="73" t="str">
        <f>IF($C1181="","",DATE(YEAR($C1181),MONTH($C1181),1))</f>
        <v/>
      </c>
      <c r="P1181" s="65" t="str">
        <f ca="1">IF($C1181="","",IF(AND($D1181="Gelir",$L1181&lt;&gt;"",$T1181=""),"TANIMSIZ BORÇLU",IF($T1181&lt;&gt;"",IF(OR($E1181="",$G1181&lt;=0),"EKSİK",IF($I1181="Evet","TAHAKKUK NAKİT OLAMAZ",IF($C1181&gt;TODAY(),"İLERİ TARİH","TAHAKKUK"))),IF(AND($D1181&lt;&gt;"",$E1181&lt;&gt;"",$G1181&gt;0,$H1181&lt;&gt;"",$I1181&lt;&gt;""),IF($C1181&gt;TODAY(),"İLERİ TARİH",IF(COUNTIF($W$7:$W$3001,$W1181)&gt;1,"MÜKERRER?",IF($AD1181&gt;0,"KAPALI DÖNEM",IF($I1181="Hayır","ÖDENECEK","UYGUN")))),"EKSİK"))))</f>
        <v/>
      </c>
      <c r="Q1181" s="2"/>
      <c r="R1181" s="2"/>
      <c r="S1181" s="1" t="str">
        <f t="shared" si="56"/>
        <v/>
      </c>
      <c r="T1181" s="1" t="str">
        <f>IF(OR($C1181="",$D1181&lt;&gt;"Gelir",$L1181=""),"",IFERROR(INDEX(MUSTERILER!$B$7:$B$156,MATCH($S1181,MUSTERILER!$T$7:$T$156,0)),""))</f>
        <v/>
      </c>
      <c r="U1181" s="1" t="str">
        <f>IF($T1181="","",$T1181&amp;"|"&amp;COUNTIFS($T$7:$T1181,$T1181))</f>
        <v/>
      </c>
      <c r="V1181" s="1">
        <f t="shared" si="57"/>
        <v>0</v>
      </c>
      <c r="W1181" s="1" t="str">
        <f t="shared" si="58"/>
        <v/>
      </c>
      <c r="X1181" s="1"/>
      <c r="Y1181" s="1"/>
      <c r="Z1181" s="1"/>
      <c r="AA1181" s="1"/>
      <c r="AB1181" s="1"/>
      <c r="AC1181" s="1"/>
      <c r="AD1181" s="1">
        <f>IF($C1181="",0,SUMPRODUCT((AY_SONU!$O$7:$O$42="Evet")*(AY_SONU!$B$7:$B$42=DATE(YEAR($C1181),MONTH($C1181),1))))</f>
        <v>0</v>
      </c>
      <c r="AE1181" s="1" t="str">
        <f>IF($E1181="","",$E1181&amp;"|"&amp;COUNTIFS($E$7:$E1181,$E1181))</f>
        <v/>
      </c>
    </row>
    <row r="1182" spans="1:31" ht="18" customHeight="1" x14ac:dyDescent="0.3">
      <c r="A1182" s="2"/>
      <c r="B1182" s="65" t="str">
        <f>IF($C1182="","","GG"&amp;TEXT(ROW()-6,"00000"))</f>
        <v/>
      </c>
      <c r="C1182" s="66"/>
      <c r="D1182" s="60"/>
      <c r="E1182" s="61"/>
      <c r="F1182" s="61"/>
      <c r="G1182" s="67"/>
      <c r="H1182" s="60"/>
      <c r="I1182" s="60"/>
      <c r="J1182" s="61"/>
      <c r="K1182" s="61"/>
      <c r="L1182" s="60"/>
      <c r="M1182" s="74" t="str">
        <f>IF($C1182="","",IF($D1182="Gider",$E1182,IF($L1182&lt;&gt;"",$L1182,$H1182)))</f>
        <v/>
      </c>
      <c r="N1182" s="74" t="str">
        <f>IF($C1182="","",IF($D1182="Gider",$H1182,$E1182))</f>
        <v/>
      </c>
      <c r="O1182" s="73" t="str">
        <f>IF($C1182="","",DATE(YEAR($C1182),MONTH($C1182),1))</f>
        <v/>
      </c>
      <c r="P1182" s="65" t="str">
        <f ca="1">IF($C1182="","",IF(AND($D1182="Gelir",$L1182&lt;&gt;"",$T1182=""),"TANIMSIZ BORÇLU",IF($T1182&lt;&gt;"",IF(OR($E1182="",$G1182&lt;=0),"EKSİK",IF($I1182="Evet","TAHAKKUK NAKİT OLAMAZ",IF($C1182&gt;TODAY(),"İLERİ TARİH","TAHAKKUK"))),IF(AND($D1182&lt;&gt;"",$E1182&lt;&gt;"",$G1182&gt;0,$H1182&lt;&gt;"",$I1182&lt;&gt;""),IF($C1182&gt;TODAY(),"İLERİ TARİH",IF(COUNTIF($W$7:$W$3001,$W1182)&gt;1,"MÜKERRER?",IF($AD1182&gt;0,"KAPALI DÖNEM",IF($I1182="Hayır","ÖDENECEK","UYGUN")))),"EKSİK"))))</f>
        <v/>
      </c>
      <c r="Q1182" s="2"/>
      <c r="R1182" s="2"/>
      <c r="S1182" s="1" t="str">
        <f t="shared" si="56"/>
        <v/>
      </c>
      <c r="T1182" s="1" t="str">
        <f>IF(OR($C1182="",$D1182&lt;&gt;"Gelir",$L1182=""),"",IFERROR(INDEX(MUSTERILER!$B$7:$B$156,MATCH($S1182,MUSTERILER!$T$7:$T$156,0)),""))</f>
        <v/>
      </c>
      <c r="U1182" s="1" t="str">
        <f>IF($T1182="","",$T1182&amp;"|"&amp;COUNTIFS($T$7:$T1182,$T1182))</f>
        <v/>
      </c>
      <c r="V1182" s="1">
        <f t="shared" si="57"/>
        <v>0</v>
      </c>
      <c r="W1182" s="1" t="str">
        <f t="shared" si="58"/>
        <v/>
      </c>
      <c r="X1182" s="1"/>
      <c r="Y1182" s="1"/>
      <c r="Z1182" s="1"/>
      <c r="AA1182" s="1"/>
      <c r="AB1182" s="1"/>
      <c r="AC1182" s="1"/>
      <c r="AD1182" s="1">
        <f>IF($C1182="",0,SUMPRODUCT((AY_SONU!$O$7:$O$42="Evet")*(AY_SONU!$B$7:$B$42=DATE(YEAR($C1182),MONTH($C1182),1))))</f>
        <v>0</v>
      </c>
      <c r="AE1182" s="1" t="str">
        <f>IF($E1182="","",$E1182&amp;"|"&amp;COUNTIFS($E$7:$E1182,$E1182))</f>
        <v/>
      </c>
    </row>
    <row r="1183" spans="1:31" ht="18" customHeight="1" x14ac:dyDescent="0.3">
      <c r="A1183" s="2"/>
      <c r="B1183" s="65" t="str">
        <f>IF($C1183="","","GG"&amp;TEXT(ROW()-6,"00000"))</f>
        <v/>
      </c>
      <c r="C1183" s="66"/>
      <c r="D1183" s="60"/>
      <c r="E1183" s="61"/>
      <c r="F1183" s="61"/>
      <c r="G1183" s="67"/>
      <c r="H1183" s="60"/>
      <c r="I1183" s="60"/>
      <c r="J1183" s="61"/>
      <c r="K1183" s="61"/>
      <c r="L1183" s="60"/>
      <c r="M1183" s="74" t="str">
        <f>IF($C1183="","",IF($D1183="Gider",$E1183,IF($L1183&lt;&gt;"",$L1183,$H1183)))</f>
        <v/>
      </c>
      <c r="N1183" s="74" t="str">
        <f>IF($C1183="","",IF($D1183="Gider",$H1183,$E1183))</f>
        <v/>
      </c>
      <c r="O1183" s="73" t="str">
        <f>IF($C1183="","",DATE(YEAR($C1183),MONTH($C1183),1))</f>
        <v/>
      </c>
      <c r="P1183" s="65" t="str">
        <f ca="1">IF($C1183="","",IF(AND($D1183="Gelir",$L1183&lt;&gt;"",$T1183=""),"TANIMSIZ BORÇLU",IF($T1183&lt;&gt;"",IF(OR($E1183="",$G1183&lt;=0),"EKSİK",IF($I1183="Evet","TAHAKKUK NAKİT OLAMAZ",IF($C1183&gt;TODAY(),"İLERİ TARİH","TAHAKKUK"))),IF(AND($D1183&lt;&gt;"",$E1183&lt;&gt;"",$G1183&gt;0,$H1183&lt;&gt;"",$I1183&lt;&gt;""),IF($C1183&gt;TODAY(),"İLERİ TARİH",IF(COUNTIF($W$7:$W$3001,$W1183)&gt;1,"MÜKERRER?",IF($AD1183&gt;0,"KAPALI DÖNEM",IF($I1183="Hayır","ÖDENECEK","UYGUN")))),"EKSİK"))))</f>
        <v/>
      </c>
      <c r="Q1183" s="2"/>
      <c r="R1183" s="2"/>
      <c r="S1183" s="1" t="str">
        <f t="shared" si="56"/>
        <v/>
      </c>
      <c r="T1183" s="1" t="str">
        <f>IF(OR($C1183="",$D1183&lt;&gt;"Gelir",$L1183=""),"",IFERROR(INDEX(MUSTERILER!$B$7:$B$156,MATCH($S1183,MUSTERILER!$T$7:$T$156,0)),""))</f>
        <v/>
      </c>
      <c r="U1183" s="1" t="str">
        <f>IF($T1183="","",$T1183&amp;"|"&amp;COUNTIFS($T$7:$T1183,$T1183))</f>
        <v/>
      </c>
      <c r="V1183" s="1">
        <f t="shared" si="57"/>
        <v>0</v>
      </c>
      <c r="W1183" s="1" t="str">
        <f t="shared" si="58"/>
        <v/>
      </c>
      <c r="X1183" s="1"/>
      <c r="Y1183" s="1"/>
      <c r="Z1183" s="1"/>
      <c r="AA1183" s="1"/>
      <c r="AB1183" s="1"/>
      <c r="AC1183" s="1"/>
      <c r="AD1183" s="1">
        <f>IF($C1183="",0,SUMPRODUCT((AY_SONU!$O$7:$O$42="Evet")*(AY_SONU!$B$7:$B$42=DATE(YEAR($C1183),MONTH($C1183),1))))</f>
        <v>0</v>
      </c>
      <c r="AE1183" s="1" t="str">
        <f>IF($E1183="","",$E1183&amp;"|"&amp;COUNTIFS($E$7:$E1183,$E1183))</f>
        <v/>
      </c>
    </row>
    <row r="1184" spans="1:31" ht="18" customHeight="1" x14ac:dyDescent="0.3">
      <c r="A1184" s="2"/>
      <c r="B1184" s="65" t="str">
        <f>IF($C1184="","","GG"&amp;TEXT(ROW()-6,"00000"))</f>
        <v/>
      </c>
      <c r="C1184" s="66"/>
      <c r="D1184" s="60"/>
      <c r="E1184" s="61"/>
      <c r="F1184" s="61"/>
      <c r="G1184" s="67"/>
      <c r="H1184" s="60"/>
      <c r="I1184" s="60"/>
      <c r="J1184" s="61"/>
      <c r="K1184" s="61"/>
      <c r="L1184" s="60"/>
      <c r="M1184" s="74" t="str">
        <f>IF($C1184="","",IF($D1184="Gider",$E1184,IF($L1184&lt;&gt;"",$L1184,$H1184)))</f>
        <v/>
      </c>
      <c r="N1184" s="74" t="str">
        <f>IF($C1184="","",IF($D1184="Gider",$H1184,$E1184))</f>
        <v/>
      </c>
      <c r="O1184" s="73" t="str">
        <f>IF($C1184="","",DATE(YEAR($C1184),MONTH($C1184),1))</f>
        <v/>
      </c>
      <c r="P1184" s="65" t="str">
        <f ca="1">IF($C1184="","",IF(AND($D1184="Gelir",$L1184&lt;&gt;"",$T1184=""),"TANIMSIZ BORÇLU",IF($T1184&lt;&gt;"",IF(OR($E1184="",$G1184&lt;=0),"EKSİK",IF($I1184="Evet","TAHAKKUK NAKİT OLAMAZ",IF($C1184&gt;TODAY(),"İLERİ TARİH","TAHAKKUK"))),IF(AND($D1184&lt;&gt;"",$E1184&lt;&gt;"",$G1184&gt;0,$H1184&lt;&gt;"",$I1184&lt;&gt;""),IF($C1184&gt;TODAY(),"İLERİ TARİH",IF(COUNTIF($W$7:$W$3001,$W1184)&gt;1,"MÜKERRER?",IF($AD1184&gt;0,"KAPALI DÖNEM",IF($I1184="Hayır","ÖDENECEK","UYGUN")))),"EKSİK"))))</f>
        <v/>
      </c>
      <c r="Q1184" s="2"/>
      <c r="R1184" s="2"/>
      <c r="S1184" s="1" t="str">
        <f t="shared" si="56"/>
        <v/>
      </c>
      <c r="T1184" s="1" t="str">
        <f>IF(OR($C1184="",$D1184&lt;&gt;"Gelir",$L1184=""),"",IFERROR(INDEX(MUSTERILER!$B$7:$B$156,MATCH($S1184,MUSTERILER!$T$7:$T$156,0)),""))</f>
        <v/>
      </c>
      <c r="U1184" s="1" t="str">
        <f>IF($T1184="","",$T1184&amp;"|"&amp;COUNTIFS($T$7:$T1184,$T1184))</f>
        <v/>
      </c>
      <c r="V1184" s="1">
        <f t="shared" si="57"/>
        <v>0</v>
      </c>
      <c r="W1184" s="1" t="str">
        <f t="shared" si="58"/>
        <v/>
      </c>
      <c r="X1184" s="1"/>
      <c r="Y1184" s="1"/>
      <c r="Z1184" s="1"/>
      <c r="AA1184" s="1"/>
      <c r="AB1184" s="1"/>
      <c r="AC1184" s="1"/>
      <c r="AD1184" s="1">
        <f>IF($C1184="",0,SUMPRODUCT((AY_SONU!$O$7:$O$42="Evet")*(AY_SONU!$B$7:$B$42=DATE(YEAR($C1184),MONTH($C1184),1))))</f>
        <v>0</v>
      </c>
      <c r="AE1184" s="1" t="str">
        <f>IF($E1184="","",$E1184&amp;"|"&amp;COUNTIFS($E$7:$E1184,$E1184))</f>
        <v/>
      </c>
    </row>
    <row r="1185" spans="1:31" ht="18" customHeight="1" x14ac:dyDescent="0.3">
      <c r="A1185" s="2"/>
      <c r="B1185" s="65" t="str">
        <f>IF($C1185="","","GG"&amp;TEXT(ROW()-6,"00000"))</f>
        <v/>
      </c>
      <c r="C1185" s="66"/>
      <c r="D1185" s="60"/>
      <c r="E1185" s="61"/>
      <c r="F1185" s="61"/>
      <c r="G1185" s="67"/>
      <c r="H1185" s="60"/>
      <c r="I1185" s="60"/>
      <c r="J1185" s="61"/>
      <c r="K1185" s="61"/>
      <c r="L1185" s="60"/>
      <c r="M1185" s="74" t="str">
        <f>IF($C1185="","",IF($D1185="Gider",$E1185,IF($L1185&lt;&gt;"",$L1185,$H1185)))</f>
        <v/>
      </c>
      <c r="N1185" s="74" t="str">
        <f>IF($C1185="","",IF($D1185="Gider",$H1185,$E1185))</f>
        <v/>
      </c>
      <c r="O1185" s="73" t="str">
        <f>IF($C1185="","",DATE(YEAR($C1185),MONTH($C1185),1))</f>
        <v/>
      </c>
      <c r="P1185" s="65" t="str">
        <f ca="1">IF($C1185="","",IF(AND($D1185="Gelir",$L1185&lt;&gt;"",$T1185=""),"TANIMSIZ BORÇLU",IF($T1185&lt;&gt;"",IF(OR($E1185="",$G1185&lt;=0),"EKSİK",IF($I1185="Evet","TAHAKKUK NAKİT OLAMAZ",IF($C1185&gt;TODAY(),"İLERİ TARİH","TAHAKKUK"))),IF(AND($D1185&lt;&gt;"",$E1185&lt;&gt;"",$G1185&gt;0,$H1185&lt;&gt;"",$I1185&lt;&gt;""),IF($C1185&gt;TODAY(),"İLERİ TARİH",IF(COUNTIF($W$7:$W$3001,$W1185)&gt;1,"MÜKERRER?",IF($AD1185&gt;0,"KAPALI DÖNEM",IF($I1185="Hayır","ÖDENECEK","UYGUN")))),"EKSİK"))))</f>
        <v/>
      </c>
      <c r="Q1185" s="2"/>
      <c r="R1185" s="2"/>
      <c r="S1185" s="1" t="str">
        <f t="shared" si="56"/>
        <v/>
      </c>
      <c r="T1185" s="1" t="str">
        <f>IF(OR($C1185="",$D1185&lt;&gt;"Gelir",$L1185=""),"",IFERROR(INDEX(MUSTERILER!$B$7:$B$156,MATCH($S1185,MUSTERILER!$T$7:$T$156,0)),""))</f>
        <v/>
      </c>
      <c r="U1185" s="1" t="str">
        <f>IF($T1185="","",$T1185&amp;"|"&amp;COUNTIFS($T$7:$T1185,$T1185))</f>
        <v/>
      </c>
      <c r="V1185" s="1">
        <f t="shared" si="57"/>
        <v>0</v>
      </c>
      <c r="W1185" s="1" t="str">
        <f t="shared" si="58"/>
        <v/>
      </c>
      <c r="X1185" s="1"/>
      <c r="Y1185" s="1"/>
      <c r="Z1185" s="1"/>
      <c r="AA1185" s="1"/>
      <c r="AB1185" s="1"/>
      <c r="AC1185" s="1"/>
      <c r="AD1185" s="1">
        <f>IF($C1185="",0,SUMPRODUCT((AY_SONU!$O$7:$O$42="Evet")*(AY_SONU!$B$7:$B$42=DATE(YEAR($C1185),MONTH($C1185),1))))</f>
        <v>0</v>
      </c>
      <c r="AE1185" s="1" t="str">
        <f>IF($E1185="","",$E1185&amp;"|"&amp;COUNTIFS($E$7:$E1185,$E1185))</f>
        <v/>
      </c>
    </row>
    <row r="1186" spans="1:31" ht="18" customHeight="1" x14ac:dyDescent="0.3">
      <c r="A1186" s="2"/>
      <c r="B1186" s="65" t="str">
        <f>IF($C1186="","","GG"&amp;TEXT(ROW()-6,"00000"))</f>
        <v/>
      </c>
      <c r="C1186" s="66"/>
      <c r="D1186" s="60"/>
      <c r="E1186" s="61"/>
      <c r="F1186" s="61"/>
      <c r="G1186" s="67"/>
      <c r="H1186" s="60"/>
      <c r="I1186" s="60"/>
      <c r="J1186" s="61"/>
      <c r="K1186" s="61"/>
      <c r="L1186" s="60"/>
      <c r="M1186" s="74" t="str">
        <f>IF($C1186="","",IF($D1186="Gider",$E1186,IF($L1186&lt;&gt;"",$L1186,$H1186)))</f>
        <v/>
      </c>
      <c r="N1186" s="74" t="str">
        <f>IF($C1186="","",IF($D1186="Gider",$H1186,$E1186))</f>
        <v/>
      </c>
      <c r="O1186" s="73" t="str">
        <f>IF($C1186="","",DATE(YEAR($C1186),MONTH($C1186),1))</f>
        <v/>
      </c>
      <c r="P1186" s="65" t="str">
        <f ca="1">IF($C1186="","",IF(AND($D1186="Gelir",$L1186&lt;&gt;"",$T1186=""),"TANIMSIZ BORÇLU",IF($T1186&lt;&gt;"",IF(OR($E1186="",$G1186&lt;=0),"EKSİK",IF($I1186="Evet","TAHAKKUK NAKİT OLAMAZ",IF($C1186&gt;TODAY(),"İLERİ TARİH","TAHAKKUK"))),IF(AND($D1186&lt;&gt;"",$E1186&lt;&gt;"",$G1186&gt;0,$H1186&lt;&gt;"",$I1186&lt;&gt;""),IF($C1186&gt;TODAY(),"İLERİ TARİH",IF(COUNTIF($W$7:$W$3001,$W1186)&gt;1,"MÜKERRER?",IF($AD1186&gt;0,"KAPALI DÖNEM",IF($I1186="Hayır","ÖDENECEK","UYGUN")))),"EKSİK"))))</f>
        <v/>
      </c>
      <c r="Q1186" s="2"/>
      <c r="R1186" s="2"/>
      <c r="S1186" s="1" t="str">
        <f t="shared" si="56"/>
        <v/>
      </c>
      <c r="T1186" s="1" t="str">
        <f>IF(OR($C1186="",$D1186&lt;&gt;"Gelir",$L1186=""),"",IFERROR(INDEX(MUSTERILER!$B$7:$B$156,MATCH($S1186,MUSTERILER!$T$7:$T$156,0)),""))</f>
        <v/>
      </c>
      <c r="U1186" s="1" t="str">
        <f>IF($T1186="","",$T1186&amp;"|"&amp;COUNTIFS($T$7:$T1186,$T1186))</f>
        <v/>
      </c>
      <c r="V1186" s="1">
        <f t="shared" si="57"/>
        <v>0</v>
      </c>
      <c r="W1186" s="1" t="str">
        <f t="shared" si="58"/>
        <v/>
      </c>
      <c r="X1186" s="1"/>
      <c r="Y1186" s="1"/>
      <c r="Z1186" s="1"/>
      <c r="AA1186" s="1"/>
      <c r="AB1186" s="1"/>
      <c r="AC1186" s="1"/>
      <c r="AD1186" s="1">
        <f>IF($C1186="",0,SUMPRODUCT((AY_SONU!$O$7:$O$42="Evet")*(AY_SONU!$B$7:$B$42=DATE(YEAR($C1186),MONTH($C1186),1))))</f>
        <v>0</v>
      </c>
      <c r="AE1186" s="1" t="str">
        <f>IF($E1186="","",$E1186&amp;"|"&amp;COUNTIFS($E$7:$E1186,$E1186))</f>
        <v/>
      </c>
    </row>
    <row r="1187" spans="1:31" ht="18" customHeight="1" x14ac:dyDescent="0.3">
      <c r="A1187" s="2"/>
      <c r="B1187" s="65" t="str">
        <f>IF($C1187="","","GG"&amp;TEXT(ROW()-6,"00000"))</f>
        <v/>
      </c>
      <c r="C1187" s="66"/>
      <c r="D1187" s="60"/>
      <c r="E1187" s="61"/>
      <c r="F1187" s="61"/>
      <c r="G1187" s="67"/>
      <c r="H1187" s="60"/>
      <c r="I1187" s="60"/>
      <c r="J1187" s="61"/>
      <c r="K1187" s="61"/>
      <c r="L1187" s="60"/>
      <c r="M1187" s="74" t="str">
        <f>IF($C1187="","",IF($D1187="Gider",$E1187,IF($L1187&lt;&gt;"",$L1187,$H1187)))</f>
        <v/>
      </c>
      <c r="N1187" s="74" t="str">
        <f>IF($C1187="","",IF($D1187="Gider",$H1187,$E1187))</f>
        <v/>
      </c>
      <c r="O1187" s="73" t="str">
        <f>IF($C1187="","",DATE(YEAR($C1187),MONTH($C1187),1))</f>
        <v/>
      </c>
      <c r="P1187" s="65" t="str">
        <f ca="1">IF($C1187="","",IF(AND($D1187="Gelir",$L1187&lt;&gt;"",$T1187=""),"TANIMSIZ BORÇLU",IF($T1187&lt;&gt;"",IF(OR($E1187="",$G1187&lt;=0),"EKSİK",IF($I1187="Evet","TAHAKKUK NAKİT OLAMAZ",IF($C1187&gt;TODAY(),"İLERİ TARİH","TAHAKKUK"))),IF(AND($D1187&lt;&gt;"",$E1187&lt;&gt;"",$G1187&gt;0,$H1187&lt;&gt;"",$I1187&lt;&gt;""),IF($C1187&gt;TODAY(),"İLERİ TARİH",IF(COUNTIF($W$7:$W$3001,$W1187)&gt;1,"MÜKERRER?",IF($AD1187&gt;0,"KAPALI DÖNEM",IF($I1187="Hayır","ÖDENECEK","UYGUN")))),"EKSİK"))))</f>
        <v/>
      </c>
      <c r="Q1187" s="2"/>
      <c r="R1187" s="2"/>
      <c r="S1187" s="1" t="str">
        <f t="shared" si="56"/>
        <v/>
      </c>
      <c r="T1187" s="1" t="str">
        <f>IF(OR($C1187="",$D1187&lt;&gt;"Gelir",$L1187=""),"",IFERROR(INDEX(MUSTERILER!$B$7:$B$156,MATCH($S1187,MUSTERILER!$T$7:$T$156,0)),""))</f>
        <v/>
      </c>
      <c r="U1187" s="1" t="str">
        <f>IF($T1187="","",$T1187&amp;"|"&amp;COUNTIFS($T$7:$T1187,$T1187))</f>
        <v/>
      </c>
      <c r="V1187" s="1">
        <f t="shared" si="57"/>
        <v>0</v>
      </c>
      <c r="W1187" s="1" t="str">
        <f t="shared" si="58"/>
        <v/>
      </c>
      <c r="X1187" s="1"/>
      <c r="Y1187" s="1"/>
      <c r="Z1187" s="1"/>
      <c r="AA1187" s="1"/>
      <c r="AB1187" s="1"/>
      <c r="AC1187" s="1"/>
      <c r="AD1187" s="1">
        <f>IF($C1187="",0,SUMPRODUCT((AY_SONU!$O$7:$O$42="Evet")*(AY_SONU!$B$7:$B$42=DATE(YEAR($C1187),MONTH($C1187),1))))</f>
        <v>0</v>
      </c>
      <c r="AE1187" s="1" t="str">
        <f>IF($E1187="","",$E1187&amp;"|"&amp;COUNTIFS($E$7:$E1187,$E1187))</f>
        <v/>
      </c>
    </row>
    <row r="1188" spans="1:31" ht="18" customHeight="1" x14ac:dyDescent="0.3">
      <c r="A1188" s="2"/>
      <c r="B1188" s="65" t="str">
        <f>IF($C1188="","","GG"&amp;TEXT(ROW()-6,"00000"))</f>
        <v/>
      </c>
      <c r="C1188" s="66"/>
      <c r="D1188" s="60"/>
      <c r="E1188" s="61"/>
      <c r="F1188" s="61"/>
      <c r="G1188" s="67"/>
      <c r="H1188" s="60"/>
      <c r="I1188" s="60"/>
      <c r="J1188" s="61"/>
      <c r="K1188" s="61"/>
      <c r="L1188" s="60"/>
      <c r="M1188" s="74" t="str">
        <f>IF($C1188="","",IF($D1188="Gider",$E1188,IF($L1188&lt;&gt;"",$L1188,$H1188)))</f>
        <v/>
      </c>
      <c r="N1188" s="74" t="str">
        <f>IF($C1188="","",IF($D1188="Gider",$H1188,$E1188))</f>
        <v/>
      </c>
      <c r="O1188" s="73" t="str">
        <f>IF($C1188="","",DATE(YEAR($C1188),MONTH($C1188),1))</f>
        <v/>
      </c>
      <c r="P1188" s="65" t="str">
        <f ca="1">IF($C1188="","",IF(AND($D1188="Gelir",$L1188&lt;&gt;"",$T1188=""),"TANIMSIZ BORÇLU",IF($T1188&lt;&gt;"",IF(OR($E1188="",$G1188&lt;=0),"EKSİK",IF($I1188="Evet","TAHAKKUK NAKİT OLAMAZ",IF($C1188&gt;TODAY(),"İLERİ TARİH","TAHAKKUK"))),IF(AND($D1188&lt;&gt;"",$E1188&lt;&gt;"",$G1188&gt;0,$H1188&lt;&gt;"",$I1188&lt;&gt;""),IF($C1188&gt;TODAY(),"İLERİ TARİH",IF(COUNTIF($W$7:$W$3001,$W1188)&gt;1,"MÜKERRER?",IF($AD1188&gt;0,"KAPALI DÖNEM",IF($I1188="Hayır","ÖDENECEK","UYGUN")))),"EKSİK"))))</f>
        <v/>
      </c>
      <c r="Q1188" s="2"/>
      <c r="R1188" s="2"/>
      <c r="S1188" s="1" t="str">
        <f t="shared" si="56"/>
        <v/>
      </c>
      <c r="T1188" s="1" t="str">
        <f>IF(OR($C1188="",$D1188&lt;&gt;"Gelir",$L1188=""),"",IFERROR(INDEX(MUSTERILER!$B$7:$B$156,MATCH($S1188,MUSTERILER!$T$7:$T$156,0)),""))</f>
        <v/>
      </c>
      <c r="U1188" s="1" t="str">
        <f>IF($T1188="","",$T1188&amp;"|"&amp;COUNTIFS($T$7:$T1188,$T1188))</f>
        <v/>
      </c>
      <c r="V1188" s="1">
        <f t="shared" si="57"/>
        <v>0</v>
      </c>
      <c r="W1188" s="1" t="str">
        <f t="shared" si="58"/>
        <v/>
      </c>
      <c r="X1188" s="1"/>
      <c r="Y1188" s="1"/>
      <c r="Z1188" s="1"/>
      <c r="AA1188" s="1"/>
      <c r="AB1188" s="1"/>
      <c r="AC1188" s="1"/>
      <c r="AD1188" s="1">
        <f>IF($C1188="",0,SUMPRODUCT((AY_SONU!$O$7:$O$42="Evet")*(AY_SONU!$B$7:$B$42=DATE(YEAR($C1188),MONTH($C1188),1))))</f>
        <v>0</v>
      </c>
      <c r="AE1188" s="1" t="str">
        <f>IF($E1188="","",$E1188&amp;"|"&amp;COUNTIFS($E$7:$E1188,$E1188))</f>
        <v/>
      </c>
    </row>
    <row r="1189" spans="1:31" ht="18" customHeight="1" x14ac:dyDescent="0.3">
      <c r="A1189" s="2"/>
      <c r="B1189" s="65" t="str">
        <f>IF($C1189="","","GG"&amp;TEXT(ROW()-6,"00000"))</f>
        <v/>
      </c>
      <c r="C1189" s="66"/>
      <c r="D1189" s="60"/>
      <c r="E1189" s="61"/>
      <c r="F1189" s="61"/>
      <c r="G1189" s="67"/>
      <c r="H1189" s="60"/>
      <c r="I1189" s="60"/>
      <c r="J1189" s="61"/>
      <c r="K1189" s="61"/>
      <c r="L1189" s="60"/>
      <c r="M1189" s="74" t="str">
        <f>IF($C1189="","",IF($D1189="Gider",$E1189,IF($L1189&lt;&gt;"",$L1189,$H1189)))</f>
        <v/>
      </c>
      <c r="N1189" s="74" t="str">
        <f>IF($C1189="","",IF($D1189="Gider",$H1189,$E1189))</f>
        <v/>
      </c>
      <c r="O1189" s="73" t="str">
        <f>IF($C1189="","",DATE(YEAR($C1189),MONTH($C1189),1))</f>
        <v/>
      </c>
      <c r="P1189" s="65" t="str">
        <f ca="1">IF($C1189="","",IF(AND($D1189="Gelir",$L1189&lt;&gt;"",$T1189=""),"TANIMSIZ BORÇLU",IF($T1189&lt;&gt;"",IF(OR($E1189="",$G1189&lt;=0),"EKSİK",IF($I1189="Evet","TAHAKKUK NAKİT OLAMAZ",IF($C1189&gt;TODAY(),"İLERİ TARİH","TAHAKKUK"))),IF(AND($D1189&lt;&gt;"",$E1189&lt;&gt;"",$G1189&gt;0,$H1189&lt;&gt;"",$I1189&lt;&gt;""),IF($C1189&gt;TODAY(),"İLERİ TARİH",IF(COUNTIF($W$7:$W$3001,$W1189)&gt;1,"MÜKERRER?",IF($AD1189&gt;0,"KAPALI DÖNEM",IF($I1189="Hayır","ÖDENECEK","UYGUN")))),"EKSİK"))))</f>
        <v/>
      </c>
      <c r="Q1189" s="2"/>
      <c r="R1189" s="2"/>
      <c r="S1189" s="1" t="str">
        <f t="shared" si="56"/>
        <v/>
      </c>
      <c r="T1189" s="1" t="str">
        <f>IF(OR($C1189="",$D1189&lt;&gt;"Gelir",$L1189=""),"",IFERROR(INDEX(MUSTERILER!$B$7:$B$156,MATCH($S1189,MUSTERILER!$T$7:$T$156,0)),""))</f>
        <v/>
      </c>
      <c r="U1189" s="1" t="str">
        <f>IF($T1189="","",$T1189&amp;"|"&amp;COUNTIFS($T$7:$T1189,$T1189))</f>
        <v/>
      </c>
      <c r="V1189" s="1">
        <f t="shared" si="57"/>
        <v>0</v>
      </c>
      <c r="W1189" s="1" t="str">
        <f t="shared" si="58"/>
        <v/>
      </c>
      <c r="X1189" s="1"/>
      <c r="Y1189" s="1"/>
      <c r="Z1189" s="1"/>
      <c r="AA1189" s="1"/>
      <c r="AB1189" s="1"/>
      <c r="AC1189" s="1"/>
      <c r="AD1189" s="1">
        <f>IF($C1189="",0,SUMPRODUCT((AY_SONU!$O$7:$O$42="Evet")*(AY_SONU!$B$7:$B$42=DATE(YEAR($C1189),MONTH($C1189),1))))</f>
        <v>0</v>
      </c>
      <c r="AE1189" s="1" t="str">
        <f>IF($E1189="","",$E1189&amp;"|"&amp;COUNTIFS($E$7:$E1189,$E1189))</f>
        <v/>
      </c>
    </row>
    <row r="1190" spans="1:31" ht="18" customHeight="1" x14ac:dyDescent="0.3">
      <c r="A1190" s="2"/>
      <c r="B1190" s="65" t="str">
        <f>IF($C1190="","","GG"&amp;TEXT(ROW()-6,"00000"))</f>
        <v/>
      </c>
      <c r="C1190" s="66"/>
      <c r="D1190" s="60"/>
      <c r="E1190" s="61"/>
      <c r="F1190" s="61"/>
      <c r="G1190" s="67"/>
      <c r="H1190" s="60"/>
      <c r="I1190" s="60"/>
      <c r="J1190" s="61"/>
      <c r="K1190" s="61"/>
      <c r="L1190" s="60"/>
      <c r="M1190" s="74" t="str">
        <f>IF($C1190="","",IF($D1190="Gider",$E1190,IF($L1190&lt;&gt;"",$L1190,$H1190)))</f>
        <v/>
      </c>
      <c r="N1190" s="74" t="str">
        <f>IF($C1190="","",IF($D1190="Gider",$H1190,$E1190))</f>
        <v/>
      </c>
      <c r="O1190" s="73" t="str">
        <f>IF($C1190="","",DATE(YEAR($C1190),MONTH($C1190),1))</f>
        <v/>
      </c>
      <c r="P1190" s="65" t="str">
        <f ca="1">IF($C1190="","",IF(AND($D1190="Gelir",$L1190&lt;&gt;"",$T1190=""),"TANIMSIZ BORÇLU",IF($T1190&lt;&gt;"",IF(OR($E1190="",$G1190&lt;=0),"EKSİK",IF($I1190="Evet","TAHAKKUK NAKİT OLAMAZ",IF($C1190&gt;TODAY(),"İLERİ TARİH","TAHAKKUK"))),IF(AND($D1190&lt;&gt;"",$E1190&lt;&gt;"",$G1190&gt;0,$H1190&lt;&gt;"",$I1190&lt;&gt;""),IF($C1190&gt;TODAY(),"İLERİ TARİH",IF(COUNTIF($W$7:$W$3001,$W1190)&gt;1,"MÜKERRER?",IF($AD1190&gt;0,"KAPALI DÖNEM",IF($I1190="Hayır","ÖDENECEK","UYGUN")))),"EKSİK"))))</f>
        <v/>
      </c>
      <c r="Q1190" s="2"/>
      <c r="R1190" s="2"/>
      <c r="S1190" s="1" t="str">
        <f t="shared" si="56"/>
        <v/>
      </c>
      <c r="T1190" s="1" t="str">
        <f>IF(OR($C1190="",$D1190&lt;&gt;"Gelir",$L1190=""),"",IFERROR(INDEX(MUSTERILER!$B$7:$B$156,MATCH($S1190,MUSTERILER!$T$7:$T$156,0)),""))</f>
        <v/>
      </c>
      <c r="U1190" s="1" t="str">
        <f>IF($T1190="","",$T1190&amp;"|"&amp;COUNTIFS($T$7:$T1190,$T1190))</f>
        <v/>
      </c>
      <c r="V1190" s="1">
        <f t="shared" si="57"/>
        <v>0</v>
      </c>
      <c r="W1190" s="1" t="str">
        <f t="shared" si="58"/>
        <v/>
      </c>
      <c r="X1190" s="1"/>
      <c r="Y1190" s="1"/>
      <c r="Z1190" s="1"/>
      <c r="AA1190" s="1"/>
      <c r="AB1190" s="1"/>
      <c r="AC1190" s="1"/>
      <c r="AD1190" s="1">
        <f>IF($C1190="",0,SUMPRODUCT((AY_SONU!$O$7:$O$42="Evet")*(AY_SONU!$B$7:$B$42=DATE(YEAR($C1190),MONTH($C1190),1))))</f>
        <v>0</v>
      </c>
      <c r="AE1190" s="1" t="str">
        <f>IF($E1190="","",$E1190&amp;"|"&amp;COUNTIFS($E$7:$E1190,$E1190))</f>
        <v/>
      </c>
    </row>
    <row r="1191" spans="1:31" ht="18" customHeight="1" x14ac:dyDescent="0.3">
      <c r="A1191" s="2"/>
      <c r="B1191" s="65" t="str">
        <f>IF($C1191="","","GG"&amp;TEXT(ROW()-6,"00000"))</f>
        <v/>
      </c>
      <c r="C1191" s="66"/>
      <c r="D1191" s="60"/>
      <c r="E1191" s="61"/>
      <c r="F1191" s="61"/>
      <c r="G1191" s="67"/>
      <c r="H1191" s="60"/>
      <c r="I1191" s="60"/>
      <c r="J1191" s="61"/>
      <c r="K1191" s="61"/>
      <c r="L1191" s="60"/>
      <c r="M1191" s="74" t="str">
        <f>IF($C1191="","",IF($D1191="Gider",$E1191,IF($L1191&lt;&gt;"",$L1191,$H1191)))</f>
        <v/>
      </c>
      <c r="N1191" s="74" t="str">
        <f>IF($C1191="","",IF($D1191="Gider",$H1191,$E1191))</f>
        <v/>
      </c>
      <c r="O1191" s="73" t="str">
        <f>IF($C1191="","",DATE(YEAR($C1191),MONTH($C1191),1))</f>
        <v/>
      </c>
      <c r="P1191" s="65" t="str">
        <f ca="1">IF($C1191="","",IF(AND($D1191="Gelir",$L1191&lt;&gt;"",$T1191=""),"TANIMSIZ BORÇLU",IF($T1191&lt;&gt;"",IF(OR($E1191="",$G1191&lt;=0),"EKSİK",IF($I1191="Evet","TAHAKKUK NAKİT OLAMAZ",IF($C1191&gt;TODAY(),"İLERİ TARİH","TAHAKKUK"))),IF(AND($D1191&lt;&gt;"",$E1191&lt;&gt;"",$G1191&gt;0,$H1191&lt;&gt;"",$I1191&lt;&gt;""),IF($C1191&gt;TODAY(),"İLERİ TARİH",IF(COUNTIF($W$7:$W$3001,$W1191)&gt;1,"MÜKERRER?",IF($AD1191&gt;0,"KAPALI DÖNEM",IF($I1191="Hayır","ÖDENECEK","UYGUN")))),"EKSİK"))))</f>
        <v/>
      </c>
      <c r="Q1191" s="2"/>
      <c r="R1191" s="2"/>
      <c r="S1191" s="1" t="str">
        <f t="shared" si="56"/>
        <v/>
      </c>
      <c r="T1191" s="1" t="str">
        <f>IF(OR($C1191="",$D1191&lt;&gt;"Gelir",$L1191=""),"",IFERROR(INDEX(MUSTERILER!$B$7:$B$156,MATCH($S1191,MUSTERILER!$T$7:$T$156,0)),""))</f>
        <v/>
      </c>
      <c r="U1191" s="1" t="str">
        <f>IF($T1191="","",$T1191&amp;"|"&amp;COUNTIFS($T$7:$T1191,$T1191))</f>
        <v/>
      </c>
      <c r="V1191" s="1">
        <f t="shared" si="57"/>
        <v>0</v>
      </c>
      <c r="W1191" s="1" t="str">
        <f t="shared" si="58"/>
        <v/>
      </c>
      <c r="X1191" s="1"/>
      <c r="Y1191" s="1"/>
      <c r="Z1191" s="1"/>
      <c r="AA1191" s="1"/>
      <c r="AB1191" s="1"/>
      <c r="AC1191" s="1"/>
      <c r="AD1191" s="1">
        <f>IF($C1191="",0,SUMPRODUCT((AY_SONU!$O$7:$O$42="Evet")*(AY_SONU!$B$7:$B$42=DATE(YEAR($C1191),MONTH($C1191),1))))</f>
        <v>0</v>
      </c>
      <c r="AE1191" s="1" t="str">
        <f>IF($E1191="","",$E1191&amp;"|"&amp;COUNTIFS($E$7:$E1191,$E1191))</f>
        <v/>
      </c>
    </row>
    <row r="1192" spans="1:31" ht="18" customHeight="1" x14ac:dyDescent="0.3">
      <c r="A1192" s="2"/>
      <c r="B1192" s="65" t="str">
        <f>IF($C1192="","","GG"&amp;TEXT(ROW()-6,"00000"))</f>
        <v/>
      </c>
      <c r="C1192" s="66"/>
      <c r="D1192" s="60"/>
      <c r="E1192" s="61"/>
      <c r="F1192" s="61"/>
      <c r="G1192" s="67"/>
      <c r="H1192" s="60"/>
      <c r="I1192" s="60"/>
      <c r="J1192" s="61"/>
      <c r="K1192" s="61"/>
      <c r="L1192" s="60"/>
      <c r="M1192" s="74" t="str">
        <f>IF($C1192="","",IF($D1192="Gider",$E1192,IF($L1192&lt;&gt;"",$L1192,$H1192)))</f>
        <v/>
      </c>
      <c r="N1192" s="74" t="str">
        <f>IF($C1192="","",IF($D1192="Gider",$H1192,$E1192))</f>
        <v/>
      </c>
      <c r="O1192" s="73" t="str">
        <f>IF($C1192="","",DATE(YEAR($C1192),MONTH($C1192),1))</f>
        <v/>
      </c>
      <c r="P1192" s="65" t="str">
        <f ca="1">IF($C1192="","",IF(AND($D1192="Gelir",$L1192&lt;&gt;"",$T1192=""),"TANIMSIZ BORÇLU",IF($T1192&lt;&gt;"",IF(OR($E1192="",$G1192&lt;=0),"EKSİK",IF($I1192="Evet","TAHAKKUK NAKİT OLAMAZ",IF($C1192&gt;TODAY(),"İLERİ TARİH","TAHAKKUK"))),IF(AND($D1192&lt;&gt;"",$E1192&lt;&gt;"",$G1192&gt;0,$H1192&lt;&gt;"",$I1192&lt;&gt;""),IF($C1192&gt;TODAY(),"İLERİ TARİH",IF(COUNTIF($W$7:$W$3001,$W1192)&gt;1,"MÜKERRER?",IF($AD1192&gt;0,"KAPALI DÖNEM",IF($I1192="Hayır","ÖDENECEK","UYGUN")))),"EKSİK"))))</f>
        <v/>
      </c>
      <c r="Q1192" s="2"/>
      <c r="R1192" s="2"/>
      <c r="S1192" s="1" t="str">
        <f t="shared" si="56"/>
        <v/>
      </c>
      <c r="T1192" s="1" t="str">
        <f>IF(OR($C1192="",$D1192&lt;&gt;"Gelir",$L1192=""),"",IFERROR(INDEX(MUSTERILER!$B$7:$B$156,MATCH($S1192,MUSTERILER!$T$7:$T$156,0)),""))</f>
        <v/>
      </c>
      <c r="U1192" s="1" t="str">
        <f>IF($T1192="","",$T1192&amp;"|"&amp;COUNTIFS($T$7:$T1192,$T1192))</f>
        <v/>
      </c>
      <c r="V1192" s="1">
        <f t="shared" si="57"/>
        <v>0</v>
      </c>
      <c r="W1192" s="1" t="str">
        <f t="shared" si="58"/>
        <v/>
      </c>
      <c r="X1192" s="1"/>
      <c r="Y1192" s="1"/>
      <c r="Z1192" s="1"/>
      <c r="AA1192" s="1"/>
      <c r="AB1192" s="1"/>
      <c r="AC1192" s="1"/>
      <c r="AD1192" s="1">
        <f>IF($C1192="",0,SUMPRODUCT((AY_SONU!$O$7:$O$42="Evet")*(AY_SONU!$B$7:$B$42=DATE(YEAR($C1192),MONTH($C1192),1))))</f>
        <v>0</v>
      </c>
      <c r="AE1192" s="1" t="str">
        <f>IF($E1192="","",$E1192&amp;"|"&amp;COUNTIFS($E$7:$E1192,$E1192))</f>
        <v/>
      </c>
    </row>
    <row r="1193" spans="1:31" ht="18" customHeight="1" x14ac:dyDescent="0.3">
      <c r="A1193" s="2"/>
      <c r="B1193" s="65" t="str">
        <f>IF($C1193="","","GG"&amp;TEXT(ROW()-6,"00000"))</f>
        <v/>
      </c>
      <c r="C1193" s="66"/>
      <c r="D1193" s="60"/>
      <c r="E1193" s="61"/>
      <c r="F1193" s="61"/>
      <c r="G1193" s="67"/>
      <c r="H1193" s="60"/>
      <c r="I1193" s="60"/>
      <c r="J1193" s="61"/>
      <c r="K1193" s="61"/>
      <c r="L1193" s="60"/>
      <c r="M1193" s="74" t="str">
        <f>IF($C1193="","",IF($D1193="Gider",$E1193,IF($L1193&lt;&gt;"",$L1193,$H1193)))</f>
        <v/>
      </c>
      <c r="N1193" s="74" t="str">
        <f>IF($C1193="","",IF($D1193="Gider",$H1193,$E1193))</f>
        <v/>
      </c>
      <c r="O1193" s="73" t="str">
        <f>IF($C1193="","",DATE(YEAR($C1193),MONTH($C1193),1))</f>
        <v/>
      </c>
      <c r="P1193" s="65" t="str">
        <f ca="1">IF($C1193="","",IF(AND($D1193="Gelir",$L1193&lt;&gt;"",$T1193=""),"TANIMSIZ BORÇLU",IF($T1193&lt;&gt;"",IF(OR($E1193="",$G1193&lt;=0),"EKSİK",IF($I1193="Evet","TAHAKKUK NAKİT OLAMAZ",IF($C1193&gt;TODAY(),"İLERİ TARİH","TAHAKKUK"))),IF(AND($D1193&lt;&gt;"",$E1193&lt;&gt;"",$G1193&gt;0,$H1193&lt;&gt;"",$I1193&lt;&gt;""),IF($C1193&gt;TODAY(),"İLERİ TARİH",IF(COUNTIF($W$7:$W$3001,$W1193)&gt;1,"MÜKERRER?",IF($AD1193&gt;0,"KAPALI DÖNEM",IF($I1193="Hayır","ÖDENECEK","UYGUN")))),"EKSİK"))))</f>
        <v/>
      </c>
      <c r="Q1193" s="2"/>
      <c r="R1193" s="2"/>
      <c r="S1193" s="1" t="str">
        <f t="shared" si="56"/>
        <v/>
      </c>
      <c r="T1193" s="1" t="str">
        <f>IF(OR($C1193="",$D1193&lt;&gt;"Gelir",$L1193=""),"",IFERROR(INDEX(MUSTERILER!$B$7:$B$156,MATCH($S1193,MUSTERILER!$T$7:$T$156,0)),""))</f>
        <v/>
      </c>
      <c r="U1193" s="1" t="str">
        <f>IF($T1193="","",$T1193&amp;"|"&amp;COUNTIFS($T$7:$T1193,$T1193))</f>
        <v/>
      </c>
      <c r="V1193" s="1">
        <f t="shared" si="57"/>
        <v>0</v>
      </c>
      <c r="W1193" s="1" t="str">
        <f t="shared" si="58"/>
        <v/>
      </c>
      <c r="X1193" s="1"/>
      <c r="Y1193" s="1"/>
      <c r="Z1193" s="1"/>
      <c r="AA1193" s="1"/>
      <c r="AB1193" s="1"/>
      <c r="AC1193" s="1"/>
      <c r="AD1193" s="1">
        <f>IF($C1193="",0,SUMPRODUCT((AY_SONU!$O$7:$O$42="Evet")*(AY_SONU!$B$7:$B$42=DATE(YEAR($C1193),MONTH($C1193),1))))</f>
        <v>0</v>
      </c>
      <c r="AE1193" s="1" t="str">
        <f>IF($E1193="","",$E1193&amp;"|"&amp;COUNTIFS($E$7:$E1193,$E1193))</f>
        <v/>
      </c>
    </row>
    <row r="1194" spans="1:31" ht="18" customHeight="1" x14ac:dyDescent="0.3">
      <c r="A1194" s="2"/>
      <c r="B1194" s="65" t="str">
        <f>IF($C1194="","","GG"&amp;TEXT(ROW()-6,"00000"))</f>
        <v/>
      </c>
      <c r="C1194" s="66"/>
      <c r="D1194" s="60"/>
      <c r="E1194" s="61"/>
      <c r="F1194" s="61"/>
      <c r="G1194" s="67"/>
      <c r="H1194" s="60"/>
      <c r="I1194" s="60"/>
      <c r="J1194" s="61"/>
      <c r="K1194" s="61"/>
      <c r="L1194" s="60"/>
      <c r="M1194" s="74" t="str">
        <f>IF($C1194="","",IF($D1194="Gider",$E1194,IF($L1194&lt;&gt;"",$L1194,$H1194)))</f>
        <v/>
      </c>
      <c r="N1194" s="74" t="str">
        <f>IF($C1194="","",IF($D1194="Gider",$H1194,$E1194))</f>
        <v/>
      </c>
      <c r="O1194" s="73" t="str">
        <f>IF($C1194="","",DATE(YEAR($C1194),MONTH($C1194),1))</f>
        <v/>
      </c>
      <c r="P1194" s="65" t="str">
        <f ca="1">IF($C1194="","",IF(AND($D1194="Gelir",$L1194&lt;&gt;"",$T1194=""),"TANIMSIZ BORÇLU",IF($T1194&lt;&gt;"",IF(OR($E1194="",$G1194&lt;=0),"EKSİK",IF($I1194="Evet","TAHAKKUK NAKİT OLAMAZ",IF($C1194&gt;TODAY(),"İLERİ TARİH","TAHAKKUK"))),IF(AND($D1194&lt;&gt;"",$E1194&lt;&gt;"",$G1194&gt;0,$H1194&lt;&gt;"",$I1194&lt;&gt;""),IF($C1194&gt;TODAY(),"İLERİ TARİH",IF(COUNTIF($W$7:$W$3001,$W1194)&gt;1,"MÜKERRER?",IF($AD1194&gt;0,"KAPALI DÖNEM",IF($I1194="Hayır","ÖDENECEK","UYGUN")))),"EKSİK"))))</f>
        <v/>
      </c>
      <c r="Q1194" s="2"/>
      <c r="R1194" s="2"/>
      <c r="S1194" s="1" t="str">
        <f t="shared" si="56"/>
        <v/>
      </c>
      <c r="T1194" s="1" t="str">
        <f>IF(OR($C1194="",$D1194&lt;&gt;"Gelir",$L1194=""),"",IFERROR(INDEX(MUSTERILER!$B$7:$B$156,MATCH($S1194,MUSTERILER!$T$7:$T$156,0)),""))</f>
        <v/>
      </c>
      <c r="U1194" s="1" t="str">
        <f>IF($T1194="","",$T1194&amp;"|"&amp;COUNTIFS($T$7:$T1194,$T1194))</f>
        <v/>
      </c>
      <c r="V1194" s="1">
        <f t="shared" si="57"/>
        <v>0</v>
      </c>
      <c r="W1194" s="1" t="str">
        <f t="shared" si="58"/>
        <v/>
      </c>
      <c r="X1194" s="1"/>
      <c r="Y1194" s="1"/>
      <c r="Z1194" s="1"/>
      <c r="AA1194" s="1"/>
      <c r="AB1194" s="1"/>
      <c r="AC1194" s="1"/>
      <c r="AD1194" s="1">
        <f>IF($C1194="",0,SUMPRODUCT((AY_SONU!$O$7:$O$42="Evet")*(AY_SONU!$B$7:$B$42=DATE(YEAR($C1194),MONTH($C1194),1))))</f>
        <v>0</v>
      </c>
      <c r="AE1194" s="1" t="str">
        <f>IF($E1194="","",$E1194&amp;"|"&amp;COUNTIFS($E$7:$E1194,$E1194))</f>
        <v/>
      </c>
    </row>
    <row r="1195" spans="1:31" ht="18" customHeight="1" x14ac:dyDescent="0.3">
      <c r="A1195" s="2"/>
      <c r="B1195" s="65" t="str">
        <f>IF($C1195="","","GG"&amp;TEXT(ROW()-6,"00000"))</f>
        <v/>
      </c>
      <c r="C1195" s="66"/>
      <c r="D1195" s="60"/>
      <c r="E1195" s="61"/>
      <c r="F1195" s="61"/>
      <c r="G1195" s="67"/>
      <c r="H1195" s="60"/>
      <c r="I1195" s="60"/>
      <c r="J1195" s="61"/>
      <c r="K1195" s="61"/>
      <c r="L1195" s="60"/>
      <c r="M1195" s="74" t="str">
        <f>IF($C1195="","",IF($D1195="Gider",$E1195,IF($L1195&lt;&gt;"",$L1195,$H1195)))</f>
        <v/>
      </c>
      <c r="N1195" s="74" t="str">
        <f>IF($C1195="","",IF($D1195="Gider",$H1195,$E1195))</f>
        <v/>
      </c>
      <c r="O1195" s="73" t="str">
        <f>IF($C1195="","",DATE(YEAR($C1195),MONTH($C1195),1))</f>
        <v/>
      </c>
      <c r="P1195" s="65" t="str">
        <f ca="1">IF($C1195="","",IF(AND($D1195="Gelir",$L1195&lt;&gt;"",$T1195=""),"TANIMSIZ BORÇLU",IF($T1195&lt;&gt;"",IF(OR($E1195="",$G1195&lt;=0),"EKSİK",IF($I1195="Evet","TAHAKKUK NAKİT OLAMAZ",IF($C1195&gt;TODAY(),"İLERİ TARİH","TAHAKKUK"))),IF(AND($D1195&lt;&gt;"",$E1195&lt;&gt;"",$G1195&gt;0,$H1195&lt;&gt;"",$I1195&lt;&gt;""),IF($C1195&gt;TODAY(),"İLERİ TARİH",IF(COUNTIF($W$7:$W$3001,$W1195)&gt;1,"MÜKERRER?",IF($AD1195&gt;0,"KAPALI DÖNEM",IF($I1195="Hayır","ÖDENECEK","UYGUN")))),"EKSİK"))))</f>
        <v/>
      </c>
      <c r="Q1195" s="2"/>
      <c r="R1195" s="2"/>
      <c r="S1195" s="1" t="str">
        <f t="shared" si="56"/>
        <v/>
      </c>
      <c r="T1195" s="1" t="str">
        <f>IF(OR($C1195="",$D1195&lt;&gt;"Gelir",$L1195=""),"",IFERROR(INDEX(MUSTERILER!$B$7:$B$156,MATCH($S1195,MUSTERILER!$T$7:$T$156,0)),""))</f>
        <v/>
      </c>
      <c r="U1195" s="1" t="str">
        <f>IF($T1195="","",$T1195&amp;"|"&amp;COUNTIFS($T$7:$T1195,$T1195))</f>
        <v/>
      </c>
      <c r="V1195" s="1">
        <f t="shared" si="57"/>
        <v>0</v>
      </c>
      <c r="W1195" s="1" t="str">
        <f t="shared" si="58"/>
        <v/>
      </c>
      <c r="X1195" s="1"/>
      <c r="Y1195" s="1"/>
      <c r="Z1195" s="1"/>
      <c r="AA1195" s="1"/>
      <c r="AB1195" s="1"/>
      <c r="AC1195" s="1"/>
      <c r="AD1195" s="1">
        <f>IF($C1195="",0,SUMPRODUCT((AY_SONU!$O$7:$O$42="Evet")*(AY_SONU!$B$7:$B$42=DATE(YEAR($C1195),MONTH($C1195),1))))</f>
        <v>0</v>
      </c>
      <c r="AE1195" s="1" t="str">
        <f>IF($E1195="","",$E1195&amp;"|"&amp;COUNTIFS($E$7:$E1195,$E1195))</f>
        <v/>
      </c>
    </row>
    <row r="1196" spans="1:31" ht="18" customHeight="1" x14ac:dyDescent="0.3">
      <c r="A1196" s="2"/>
      <c r="B1196" s="65" t="str">
        <f>IF($C1196="","","GG"&amp;TEXT(ROW()-6,"00000"))</f>
        <v/>
      </c>
      <c r="C1196" s="66"/>
      <c r="D1196" s="60"/>
      <c r="E1196" s="61"/>
      <c r="F1196" s="61"/>
      <c r="G1196" s="67"/>
      <c r="H1196" s="60"/>
      <c r="I1196" s="60"/>
      <c r="J1196" s="61"/>
      <c r="K1196" s="61"/>
      <c r="L1196" s="60"/>
      <c r="M1196" s="74" t="str">
        <f>IF($C1196="","",IF($D1196="Gider",$E1196,IF($L1196&lt;&gt;"",$L1196,$H1196)))</f>
        <v/>
      </c>
      <c r="N1196" s="74" t="str">
        <f>IF($C1196="","",IF($D1196="Gider",$H1196,$E1196))</f>
        <v/>
      </c>
      <c r="O1196" s="73" t="str">
        <f>IF($C1196="","",DATE(YEAR($C1196),MONTH($C1196),1))</f>
        <v/>
      </c>
      <c r="P1196" s="65" t="str">
        <f ca="1">IF($C1196="","",IF(AND($D1196="Gelir",$L1196&lt;&gt;"",$T1196=""),"TANIMSIZ BORÇLU",IF($T1196&lt;&gt;"",IF(OR($E1196="",$G1196&lt;=0),"EKSİK",IF($I1196="Evet","TAHAKKUK NAKİT OLAMAZ",IF($C1196&gt;TODAY(),"İLERİ TARİH","TAHAKKUK"))),IF(AND($D1196&lt;&gt;"",$E1196&lt;&gt;"",$G1196&gt;0,$H1196&lt;&gt;"",$I1196&lt;&gt;""),IF($C1196&gt;TODAY(),"İLERİ TARİH",IF(COUNTIF($W$7:$W$3001,$W1196)&gt;1,"MÜKERRER?",IF($AD1196&gt;0,"KAPALI DÖNEM",IF($I1196="Hayır","ÖDENECEK","UYGUN")))),"EKSİK"))))</f>
        <v/>
      </c>
      <c r="Q1196" s="2"/>
      <c r="R1196" s="2"/>
      <c r="S1196" s="1" t="str">
        <f t="shared" si="56"/>
        <v/>
      </c>
      <c r="T1196" s="1" t="str">
        <f>IF(OR($C1196="",$D1196&lt;&gt;"Gelir",$L1196=""),"",IFERROR(INDEX(MUSTERILER!$B$7:$B$156,MATCH($S1196,MUSTERILER!$T$7:$T$156,0)),""))</f>
        <v/>
      </c>
      <c r="U1196" s="1" t="str">
        <f>IF($T1196="","",$T1196&amp;"|"&amp;COUNTIFS($T$7:$T1196,$T1196))</f>
        <v/>
      </c>
      <c r="V1196" s="1">
        <f t="shared" si="57"/>
        <v>0</v>
      </c>
      <c r="W1196" s="1" t="str">
        <f t="shared" si="58"/>
        <v/>
      </c>
      <c r="X1196" s="1"/>
      <c r="Y1196" s="1"/>
      <c r="Z1196" s="1"/>
      <c r="AA1196" s="1"/>
      <c r="AB1196" s="1"/>
      <c r="AC1196" s="1"/>
      <c r="AD1196" s="1">
        <f>IF($C1196="",0,SUMPRODUCT((AY_SONU!$O$7:$O$42="Evet")*(AY_SONU!$B$7:$B$42=DATE(YEAR($C1196),MONTH($C1196),1))))</f>
        <v>0</v>
      </c>
      <c r="AE1196" s="1" t="str">
        <f>IF($E1196="","",$E1196&amp;"|"&amp;COUNTIFS($E$7:$E1196,$E1196))</f>
        <v/>
      </c>
    </row>
    <row r="1197" spans="1:31" ht="18" customHeight="1" x14ac:dyDescent="0.3">
      <c r="A1197" s="2"/>
      <c r="B1197" s="65" t="str">
        <f>IF($C1197="","","GG"&amp;TEXT(ROW()-6,"00000"))</f>
        <v/>
      </c>
      <c r="C1197" s="66"/>
      <c r="D1197" s="60"/>
      <c r="E1197" s="61"/>
      <c r="F1197" s="61"/>
      <c r="G1197" s="67"/>
      <c r="H1197" s="60"/>
      <c r="I1197" s="60"/>
      <c r="J1197" s="61"/>
      <c r="K1197" s="61"/>
      <c r="L1197" s="60"/>
      <c r="M1197" s="74" t="str">
        <f>IF($C1197="","",IF($D1197="Gider",$E1197,IF($L1197&lt;&gt;"",$L1197,$H1197)))</f>
        <v/>
      </c>
      <c r="N1197" s="74" t="str">
        <f>IF($C1197="","",IF($D1197="Gider",$H1197,$E1197))</f>
        <v/>
      </c>
      <c r="O1197" s="73" t="str">
        <f>IF($C1197="","",DATE(YEAR($C1197),MONTH($C1197),1))</f>
        <v/>
      </c>
      <c r="P1197" s="65" t="str">
        <f ca="1">IF($C1197="","",IF(AND($D1197="Gelir",$L1197&lt;&gt;"",$T1197=""),"TANIMSIZ BORÇLU",IF($T1197&lt;&gt;"",IF(OR($E1197="",$G1197&lt;=0),"EKSİK",IF($I1197="Evet","TAHAKKUK NAKİT OLAMAZ",IF($C1197&gt;TODAY(),"İLERİ TARİH","TAHAKKUK"))),IF(AND($D1197&lt;&gt;"",$E1197&lt;&gt;"",$G1197&gt;0,$H1197&lt;&gt;"",$I1197&lt;&gt;""),IF($C1197&gt;TODAY(),"İLERİ TARİH",IF(COUNTIF($W$7:$W$3001,$W1197)&gt;1,"MÜKERRER?",IF($AD1197&gt;0,"KAPALI DÖNEM",IF($I1197="Hayır","ÖDENECEK","UYGUN")))),"EKSİK"))))</f>
        <v/>
      </c>
      <c r="Q1197" s="2"/>
      <c r="R1197" s="2"/>
      <c r="S1197" s="1" t="str">
        <f t="shared" si="56"/>
        <v/>
      </c>
      <c r="T1197" s="1" t="str">
        <f>IF(OR($C1197="",$D1197&lt;&gt;"Gelir",$L1197=""),"",IFERROR(INDEX(MUSTERILER!$B$7:$B$156,MATCH($S1197,MUSTERILER!$T$7:$T$156,0)),""))</f>
        <v/>
      </c>
      <c r="U1197" s="1" t="str">
        <f>IF($T1197="","",$T1197&amp;"|"&amp;COUNTIFS($T$7:$T1197,$T1197))</f>
        <v/>
      </c>
      <c r="V1197" s="1">
        <f t="shared" si="57"/>
        <v>0</v>
      </c>
      <c r="W1197" s="1" t="str">
        <f t="shared" si="58"/>
        <v/>
      </c>
      <c r="X1197" s="1"/>
      <c r="Y1197" s="1"/>
      <c r="Z1197" s="1"/>
      <c r="AA1197" s="1"/>
      <c r="AB1197" s="1"/>
      <c r="AC1197" s="1"/>
      <c r="AD1197" s="1">
        <f>IF($C1197="",0,SUMPRODUCT((AY_SONU!$O$7:$O$42="Evet")*(AY_SONU!$B$7:$B$42=DATE(YEAR($C1197),MONTH($C1197),1))))</f>
        <v>0</v>
      </c>
      <c r="AE1197" s="1" t="str">
        <f>IF($E1197="","",$E1197&amp;"|"&amp;COUNTIFS($E$7:$E1197,$E1197))</f>
        <v/>
      </c>
    </row>
    <row r="1198" spans="1:31" ht="18" customHeight="1" x14ac:dyDescent="0.3">
      <c r="A1198" s="2"/>
      <c r="B1198" s="65" t="str">
        <f>IF($C1198="","","GG"&amp;TEXT(ROW()-6,"00000"))</f>
        <v/>
      </c>
      <c r="C1198" s="66"/>
      <c r="D1198" s="60"/>
      <c r="E1198" s="61"/>
      <c r="F1198" s="61"/>
      <c r="G1198" s="67"/>
      <c r="H1198" s="60"/>
      <c r="I1198" s="60"/>
      <c r="J1198" s="61"/>
      <c r="K1198" s="61"/>
      <c r="L1198" s="60"/>
      <c r="M1198" s="74" t="str">
        <f>IF($C1198="","",IF($D1198="Gider",$E1198,IF($L1198&lt;&gt;"",$L1198,$H1198)))</f>
        <v/>
      </c>
      <c r="N1198" s="74" t="str">
        <f>IF($C1198="","",IF($D1198="Gider",$H1198,$E1198))</f>
        <v/>
      </c>
      <c r="O1198" s="73" t="str">
        <f>IF($C1198="","",DATE(YEAR($C1198),MONTH($C1198),1))</f>
        <v/>
      </c>
      <c r="P1198" s="65" t="str">
        <f ca="1">IF($C1198="","",IF(AND($D1198="Gelir",$L1198&lt;&gt;"",$T1198=""),"TANIMSIZ BORÇLU",IF($T1198&lt;&gt;"",IF(OR($E1198="",$G1198&lt;=0),"EKSİK",IF($I1198="Evet","TAHAKKUK NAKİT OLAMAZ",IF($C1198&gt;TODAY(),"İLERİ TARİH","TAHAKKUK"))),IF(AND($D1198&lt;&gt;"",$E1198&lt;&gt;"",$G1198&gt;0,$H1198&lt;&gt;"",$I1198&lt;&gt;""),IF($C1198&gt;TODAY(),"İLERİ TARİH",IF(COUNTIF($W$7:$W$3001,$W1198)&gt;1,"MÜKERRER?",IF($AD1198&gt;0,"KAPALI DÖNEM",IF($I1198="Hayır","ÖDENECEK","UYGUN")))),"EKSİK"))))</f>
        <v/>
      </c>
      <c r="Q1198" s="2"/>
      <c r="R1198" s="2"/>
      <c r="S1198" s="1" t="str">
        <f t="shared" si="56"/>
        <v/>
      </c>
      <c r="T1198" s="1" t="str">
        <f>IF(OR($C1198="",$D1198&lt;&gt;"Gelir",$L1198=""),"",IFERROR(INDEX(MUSTERILER!$B$7:$B$156,MATCH($S1198,MUSTERILER!$T$7:$T$156,0)),""))</f>
        <v/>
      </c>
      <c r="U1198" s="1" t="str">
        <f>IF($T1198="","",$T1198&amp;"|"&amp;COUNTIFS($T$7:$T1198,$T1198))</f>
        <v/>
      </c>
      <c r="V1198" s="1">
        <f t="shared" si="57"/>
        <v>0</v>
      </c>
      <c r="W1198" s="1" t="str">
        <f t="shared" si="58"/>
        <v/>
      </c>
      <c r="X1198" s="1"/>
      <c r="Y1198" s="1"/>
      <c r="Z1198" s="1"/>
      <c r="AA1198" s="1"/>
      <c r="AB1198" s="1"/>
      <c r="AC1198" s="1"/>
      <c r="AD1198" s="1">
        <f>IF($C1198="",0,SUMPRODUCT((AY_SONU!$O$7:$O$42="Evet")*(AY_SONU!$B$7:$B$42=DATE(YEAR($C1198),MONTH($C1198),1))))</f>
        <v>0</v>
      </c>
      <c r="AE1198" s="1" t="str">
        <f>IF($E1198="","",$E1198&amp;"|"&amp;COUNTIFS($E$7:$E1198,$E1198))</f>
        <v/>
      </c>
    </row>
    <row r="1199" spans="1:31" ht="18" customHeight="1" x14ac:dyDescent="0.3">
      <c r="A1199" s="2"/>
      <c r="B1199" s="65" t="str">
        <f>IF($C1199="","","GG"&amp;TEXT(ROW()-6,"00000"))</f>
        <v/>
      </c>
      <c r="C1199" s="66"/>
      <c r="D1199" s="60"/>
      <c r="E1199" s="61"/>
      <c r="F1199" s="61"/>
      <c r="G1199" s="67"/>
      <c r="H1199" s="60"/>
      <c r="I1199" s="60"/>
      <c r="J1199" s="61"/>
      <c r="K1199" s="61"/>
      <c r="L1199" s="60"/>
      <c r="M1199" s="74" t="str">
        <f>IF($C1199="","",IF($D1199="Gider",$E1199,IF($L1199&lt;&gt;"",$L1199,$H1199)))</f>
        <v/>
      </c>
      <c r="N1199" s="74" t="str">
        <f>IF($C1199="","",IF($D1199="Gider",$H1199,$E1199))</f>
        <v/>
      </c>
      <c r="O1199" s="73" t="str">
        <f>IF($C1199="","",DATE(YEAR($C1199),MONTH($C1199),1))</f>
        <v/>
      </c>
      <c r="P1199" s="65" t="str">
        <f ca="1">IF($C1199="","",IF(AND($D1199="Gelir",$L1199&lt;&gt;"",$T1199=""),"TANIMSIZ BORÇLU",IF($T1199&lt;&gt;"",IF(OR($E1199="",$G1199&lt;=0),"EKSİK",IF($I1199="Evet","TAHAKKUK NAKİT OLAMAZ",IF($C1199&gt;TODAY(),"İLERİ TARİH","TAHAKKUK"))),IF(AND($D1199&lt;&gt;"",$E1199&lt;&gt;"",$G1199&gt;0,$H1199&lt;&gt;"",$I1199&lt;&gt;""),IF($C1199&gt;TODAY(),"İLERİ TARİH",IF(COUNTIF($W$7:$W$3001,$W1199)&gt;1,"MÜKERRER?",IF($AD1199&gt;0,"KAPALI DÖNEM",IF($I1199="Hayır","ÖDENECEK","UYGUN")))),"EKSİK"))))</f>
        <v/>
      </c>
      <c r="Q1199" s="2"/>
      <c r="R1199" s="2"/>
      <c r="S1199" s="1" t="str">
        <f t="shared" si="56"/>
        <v/>
      </c>
      <c r="T1199" s="1" t="str">
        <f>IF(OR($C1199="",$D1199&lt;&gt;"Gelir",$L1199=""),"",IFERROR(INDEX(MUSTERILER!$B$7:$B$156,MATCH($S1199,MUSTERILER!$T$7:$T$156,0)),""))</f>
        <v/>
      </c>
      <c r="U1199" s="1" t="str">
        <f>IF($T1199="","",$T1199&amp;"|"&amp;COUNTIFS($T$7:$T1199,$T1199))</f>
        <v/>
      </c>
      <c r="V1199" s="1">
        <f t="shared" si="57"/>
        <v>0</v>
      </c>
      <c r="W1199" s="1" t="str">
        <f t="shared" si="58"/>
        <v/>
      </c>
      <c r="X1199" s="1"/>
      <c r="Y1199" s="1"/>
      <c r="Z1199" s="1"/>
      <c r="AA1199" s="1"/>
      <c r="AB1199" s="1"/>
      <c r="AC1199" s="1"/>
      <c r="AD1199" s="1">
        <f>IF($C1199="",0,SUMPRODUCT((AY_SONU!$O$7:$O$42="Evet")*(AY_SONU!$B$7:$B$42=DATE(YEAR($C1199),MONTH($C1199),1))))</f>
        <v>0</v>
      </c>
      <c r="AE1199" s="1" t="str">
        <f>IF($E1199="","",$E1199&amp;"|"&amp;COUNTIFS($E$7:$E1199,$E1199))</f>
        <v/>
      </c>
    </row>
    <row r="1200" spans="1:31" ht="18" customHeight="1" x14ac:dyDescent="0.3">
      <c r="A1200" s="2"/>
      <c r="B1200" s="65" t="str">
        <f>IF($C1200="","","GG"&amp;TEXT(ROW()-6,"00000"))</f>
        <v/>
      </c>
      <c r="C1200" s="66"/>
      <c r="D1200" s="60"/>
      <c r="E1200" s="61"/>
      <c r="F1200" s="61"/>
      <c r="G1200" s="67"/>
      <c r="H1200" s="60"/>
      <c r="I1200" s="60"/>
      <c r="J1200" s="61"/>
      <c r="K1200" s="61"/>
      <c r="L1200" s="60"/>
      <c r="M1200" s="74" t="str">
        <f>IF($C1200="","",IF($D1200="Gider",$E1200,IF($L1200&lt;&gt;"",$L1200,$H1200)))</f>
        <v/>
      </c>
      <c r="N1200" s="74" t="str">
        <f>IF($C1200="","",IF($D1200="Gider",$H1200,$E1200))</f>
        <v/>
      </c>
      <c r="O1200" s="73" t="str">
        <f>IF($C1200="","",DATE(YEAR($C1200),MONTH($C1200),1))</f>
        <v/>
      </c>
      <c r="P1200" s="65" t="str">
        <f ca="1">IF($C1200="","",IF(AND($D1200="Gelir",$L1200&lt;&gt;"",$T1200=""),"TANIMSIZ BORÇLU",IF($T1200&lt;&gt;"",IF(OR($E1200="",$G1200&lt;=0),"EKSİK",IF($I1200="Evet","TAHAKKUK NAKİT OLAMAZ",IF($C1200&gt;TODAY(),"İLERİ TARİH","TAHAKKUK"))),IF(AND($D1200&lt;&gt;"",$E1200&lt;&gt;"",$G1200&gt;0,$H1200&lt;&gt;"",$I1200&lt;&gt;""),IF($C1200&gt;TODAY(),"İLERİ TARİH",IF(COUNTIF($W$7:$W$3001,$W1200)&gt;1,"MÜKERRER?",IF($AD1200&gt;0,"KAPALI DÖNEM",IF($I1200="Hayır","ÖDENECEK","UYGUN")))),"EKSİK"))))</f>
        <v/>
      </c>
      <c r="Q1200" s="2"/>
      <c r="R1200" s="2"/>
      <c r="S1200" s="1" t="str">
        <f t="shared" si="56"/>
        <v/>
      </c>
      <c r="T1200" s="1" t="str">
        <f>IF(OR($C1200="",$D1200&lt;&gt;"Gelir",$L1200=""),"",IFERROR(INDEX(MUSTERILER!$B$7:$B$156,MATCH($S1200,MUSTERILER!$T$7:$T$156,0)),""))</f>
        <v/>
      </c>
      <c r="U1200" s="1" t="str">
        <f>IF($T1200="","",$T1200&amp;"|"&amp;COUNTIFS($T$7:$T1200,$T1200))</f>
        <v/>
      </c>
      <c r="V1200" s="1">
        <f t="shared" si="57"/>
        <v>0</v>
      </c>
      <c r="W1200" s="1" t="str">
        <f t="shared" si="58"/>
        <v/>
      </c>
      <c r="X1200" s="1"/>
      <c r="Y1200" s="1"/>
      <c r="Z1200" s="1"/>
      <c r="AA1200" s="1"/>
      <c r="AB1200" s="1"/>
      <c r="AC1200" s="1"/>
      <c r="AD1200" s="1">
        <f>IF($C1200="",0,SUMPRODUCT((AY_SONU!$O$7:$O$42="Evet")*(AY_SONU!$B$7:$B$42=DATE(YEAR($C1200),MONTH($C1200),1))))</f>
        <v>0</v>
      </c>
      <c r="AE1200" s="1" t="str">
        <f>IF($E1200="","",$E1200&amp;"|"&amp;COUNTIFS($E$7:$E1200,$E1200))</f>
        <v/>
      </c>
    </row>
    <row r="1201" spans="1:31" ht="18" customHeight="1" x14ac:dyDescent="0.3">
      <c r="A1201" s="2"/>
      <c r="B1201" s="65" t="str">
        <f>IF($C1201="","","GG"&amp;TEXT(ROW()-6,"00000"))</f>
        <v/>
      </c>
      <c r="C1201" s="66"/>
      <c r="D1201" s="60"/>
      <c r="E1201" s="61"/>
      <c r="F1201" s="61"/>
      <c r="G1201" s="67"/>
      <c r="H1201" s="60"/>
      <c r="I1201" s="60"/>
      <c r="J1201" s="61"/>
      <c r="K1201" s="61"/>
      <c r="L1201" s="60"/>
      <c r="M1201" s="74" t="str">
        <f>IF($C1201="","",IF($D1201="Gider",$E1201,IF($L1201&lt;&gt;"",$L1201,$H1201)))</f>
        <v/>
      </c>
      <c r="N1201" s="74" t="str">
        <f>IF($C1201="","",IF($D1201="Gider",$H1201,$E1201))</f>
        <v/>
      </c>
      <c r="O1201" s="73" t="str">
        <f>IF($C1201="","",DATE(YEAR($C1201),MONTH($C1201),1))</f>
        <v/>
      </c>
      <c r="P1201" s="65" t="str">
        <f ca="1">IF($C1201="","",IF(AND($D1201="Gelir",$L1201&lt;&gt;"",$T1201=""),"TANIMSIZ BORÇLU",IF($T1201&lt;&gt;"",IF(OR($E1201="",$G1201&lt;=0),"EKSİK",IF($I1201="Evet","TAHAKKUK NAKİT OLAMAZ",IF($C1201&gt;TODAY(),"İLERİ TARİH","TAHAKKUK"))),IF(AND($D1201&lt;&gt;"",$E1201&lt;&gt;"",$G1201&gt;0,$H1201&lt;&gt;"",$I1201&lt;&gt;""),IF($C1201&gt;TODAY(),"İLERİ TARİH",IF(COUNTIF($W$7:$W$3001,$W1201)&gt;1,"MÜKERRER?",IF($AD1201&gt;0,"KAPALI DÖNEM",IF($I1201="Hayır","ÖDENECEK","UYGUN")))),"EKSİK"))))</f>
        <v/>
      </c>
      <c r="Q1201" s="2"/>
      <c r="R1201" s="2"/>
      <c r="S1201" s="1" t="str">
        <f t="shared" si="56"/>
        <v/>
      </c>
      <c r="T1201" s="1" t="str">
        <f>IF(OR($C1201="",$D1201&lt;&gt;"Gelir",$L1201=""),"",IFERROR(INDEX(MUSTERILER!$B$7:$B$156,MATCH($S1201,MUSTERILER!$T$7:$T$156,0)),""))</f>
        <v/>
      </c>
      <c r="U1201" s="1" t="str">
        <f>IF($T1201="","",$T1201&amp;"|"&amp;COUNTIFS($T$7:$T1201,$T1201))</f>
        <v/>
      </c>
      <c r="V1201" s="1">
        <f t="shared" si="57"/>
        <v>0</v>
      </c>
      <c r="W1201" s="1" t="str">
        <f t="shared" si="58"/>
        <v/>
      </c>
      <c r="X1201" s="1"/>
      <c r="Y1201" s="1"/>
      <c r="Z1201" s="1"/>
      <c r="AA1201" s="1"/>
      <c r="AB1201" s="1"/>
      <c r="AC1201" s="1"/>
      <c r="AD1201" s="1">
        <f>IF($C1201="",0,SUMPRODUCT((AY_SONU!$O$7:$O$42="Evet")*(AY_SONU!$B$7:$B$42=DATE(YEAR($C1201),MONTH($C1201),1))))</f>
        <v>0</v>
      </c>
      <c r="AE1201" s="1" t="str">
        <f>IF($E1201="","",$E1201&amp;"|"&amp;COUNTIFS($E$7:$E1201,$E1201))</f>
        <v/>
      </c>
    </row>
    <row r="1202" spans="1:31" ht="18" customHeight="1" x14ac:dyDescent="0.3">
      <c r="A1202" s="2"/>
      <c r="B1202" s="65" t="str">
        <f>IF($C1202="","","GG"&amp;TEXT(ROW()-6,"00000"))</f>
        <v/>
      </c>
      <c r="C1202" s="66"/>
      <c r="D1202" s="60"/>
      <c r="E1202" s="61"/>
      <c r="F1202" s="61"/>
      <c r="G1202" s="67"/>
      <c r="H1202" s="60"/>
      <c r="I1202" s="60"/>
      <c r="J1202" s="61"/>
      <c r="K1202" s="61"/>
      <c r="L1202" s="60"/>
      <c r="M1202" s="74" t="str">
        <f>IF($C1202="","",IF($D1202="Gider",$E1202,IF($L1202&lt;&gt;"",$L1202,$H1202)))</f>
        <v/>
      </c>
      <c r="N1202" s="74" t="str">
        <f>IF($C1202="","",IF($D1202="Gider",$H1202,$E1202))</f>
        <v/>
      </c>
      <c r="O1202" s="73" t="str">
        <f>IF($C1202="","",DATE(YEAR($C1202),MONTH($C1202),1))</f>
        <v/>
      </c>
      <c r="P1202" s="65" t="str">
        <f ca="1">IF($C1202="","",IF(AND($D1202="Gelir",$L1202&lt;&gt;"",$T1202=""),"TANIMSIZ BORÇLU",IF($T1202&lt;&gt;"",IF(OR($E1202="",$G1202&lt;=0),"EKSİK",IF($I1202="Evet","TAHAKKUK NAKİT OLAMAZ",IF($C1202&gt;TODAY(),"İLERİ TARİH","TAHAKKUK"))),IF(AND($D1202&lt;&gt;"",$E1202&lt;&gt;"",$G1202&gt;0,$H1202&lt;&gt;"",$I1202&lt;&gt;""),IF($C1202&gt;TODAY(),"İLERİ TARİH",IF(COUNTIF($W$7:$W$3001,$W1202)&gt;1,"MÜKERRER?",IF($AD1202&gt;0,"KAPALI DÖNEM",IF($I1202="Hayır","ÖDENECEK","UYGUN")))),"EKSİK"))))</f>
        <v/>
      </c>
      <c r="Q1202" s="2"/>
      <c r="R1202" s="2"/>
      <c r="S1202" s="1" t="str">
        <f t="shared" si="56"/>
        <v/>
      </c>
      <c r="T1202" s="1" t="str">
        <f>IF(OR($C1202="",$D1202&lt;&gt;"Gelir",$L1202=""),"",IFERROR(INDEX(MUSTERILER!$B$7:$B$156,MATCH($S1202,MUSTERILER!$T$7:$T$156,0)),""))</f>
        <v/>
      </c>
      <c r="U1202" s="1" t="str">
        <f>IF($T1202="","",$T1202&amp;"|"&amp;COUNTIFS($T$7:$T1202,$T1202))</f>
        <v/>
      </c>
      <c r="V1202" s="1">
        <f t="shared" si="57"/>
        <v>0</v>
      </c>
      <c r="W1202" s="1" t="str">
        <f t="shared" si="58"/>
        <v/>
      </c>
      <c r="X1202" s="1"/>
      <c r="Y1202" s="1"/>
      <c r="Z1202" s="1"/>
      <c r="AA1202" s="1"/>
      <c r="AB1202" s="1"/>
      <c r="AC1202" s="1"/>
      <c r="AD1202" s="1">
        <f>IF($C1202="",0,SUMPRODUCT((AY_SONU!$O$7:$O$42="Evet")*(AY_SONU!$B$7:$B$42=DATE(YEAR($C1202),MONTH($C1202),1))))</f>
        <v>0</v>
      </c>
      <c r="AE1202" s="1" t="str">
        <f>IF($E1202="","",$E1202&amp;"|"&amp;COUNTIFS($E$7:$E1202,$E1202))</f>
        <v/>
      </c>
    </row>
    <row r="1203" spans="1:31" ht="18" customHeight="1" x14ac:dyDescent="0.3">
      <c r="A1203" s="2"/>
      <c r="B1203" s="65" t="str">
        <f>IF($C1203="","","GG"&amp;TEXT(ROW()-6,"00000"))</f>
        <v/>
      </c>
      <c r="C1203" s="66"/>
      <c r="D1203" s="60"/>
      <c r="E1203" s="61"/>
      <c r="F1203" s="61"/>
      <c r="G1203" s="67"/>
      <c r="H1203" s="60"/>
      <c r="I1203" s="60"/>
      <c r="J1203" s="61"/>
      <c r="K1203" s="61"/>
      <c r="L1203" s="60"/>
      <c r="M1203" s="74" t="str">
        <f>IF($C1203="","",IF($D1203="Gider",$E1203,IF($L1203&lt;&gt;"",$L1203,$H1203)))</f>
        <v/>
      </c>
      <c r="N1203" s="74" t="str">
        <f>IF($C1203="","",IF($D1203="Gider",$H1203,$E1203))</f>
        <v/>
      </c>
      <c r="O1203" s="73" t="str">
        <f>IF($C1203="","",DATE(YEAR($C1203),MONTH($C1203),1))</f>
        <v/>
      </c>
      <c r="P1203" s="65" t="str">
        <f ca="1">IF($C1203="","",IF(AND($D1203="Gelir",$L1203&lt;&gt;"",$T1203=""),"TANIMSIZ BORÇLU",IF($T1203&lt;&gt;"",IF(OR($E1203="",$G1203&lt;=0),"EKSİK",IF($I1203="Evet","TAHAKKUK NAKİT OLAMAZ",IF($C1203&gt;TODAY(),"İLERİ TARİH","TAHAKKUK"))),IF(AND($D1203&lt;&gt;"",$E1203&lt;&gt;"",$G1203&gt;0,$H1203&lt;&gt;"",$I1203&lt;&gt;""),IF($C1203&gt;TODAY(),"İLERİ TARİH",IF(COUNTIF($W$7:$W$3001,$W1203)&gt;1,"MÜKERRER?",IF($AD1203&gt;0,"KAPALI DÖNEM",IF($I1203="Hayır","ÖDENECEK","UYGUN")))),"EKSİK"))))</f>
        <v/>
      </c>
      <c r="Q1203" s="2"/>
      <c r="R1203" s="2"/>
      <c r="S1203" s="1" t="str">
        <f t="shared" si="56"/>
        <v/>
      </c>
      <c r="T1203" s="1" t="str">
        <f>IF(OR($C1203="",$D1203&lt;&gt;"Gelir",$L1203=""),"",IFERROR(INDEX(MUSTERILER!$B$7:$B$156,MATCH($S1203,MUSTERILER!$T$7:$T$156,0)),""))</f>
        <v/>
      </c>
      <c r="U1203" s="1" t="str">
        <f>IF($T1203="","",$T1203&amp;"|"&amp;COUNTIFS($T$7:$T1203,$T1203))</f>
        <v/>
      </c>
      <c r="V1203" s="1">
        <f t="shared" si="57"/>
        <v>0</v>
      </c>
      <c r="W1203" s="1" t="str">
        <f t="shared" si="58"/>
        <v/>
      </c>
      <c r="X1203" s="1"/>
      <c r="Y1203" s="1"/>
      <c r="Z1203" s="1"/>
      <c r="AA1203" s="1"/>
      <c r="AB1203" s="1"/>
      <c r="AC1203" s="1"/>
      <c r="AD1203" s="1">
        <f>IF($C1203="",0,SUMPRODUCT((AY_SONU!$O$7:$O$42="Evet")*(AY_SONU!$B$7:$B$42=DATE(YEAR($C1203),MONTH($C1203),1))))</f>
        <v>0</v>
      </c>
      <c r="AE1203" s="1" t="str">
        <f>IF($E1203="","",$E1203&amp;"|"&amp;COUNTIFS($E$7:$E1203,$E1203))</f>
        <v/>
      </c>
    </row>
    <row r="1204" spans="1:31" ht="18" customHeight="1" x14ac:dyDescent="0.3">
      <c r="A1204" s="2"/>
      <c r="B1204" s="65" t="str">
        <f>IF($C1204="","","GG"&amp;TEXT(ROW()-6,"00000"))</f>
        <v/>
      </c>
      <c r="C1204" s="66"/>
      <c r="D1204" s="60"/>
      <c r="E1204" s="61"/>
      <c r="F1204" s="61"/>
      <c r="G1204" s="67"/>
      <c r="H1204" s="60"/>
      <c r="I1204" s="60"/>
      <c r="J1204" s="61"/>
      <c r="K1204" s="61"/>
      <c r="L1204" s="60"/>
      <c r="M1204" s="74" t="str">
        <f>IF($C1204="","",IF($D1204="Gider",$E1204,IF($L1204&lt;&gt;"",$L1204,$H1204)))</f>
        <v/>
      </c>
      <c r="N1204" s="74" t="str">
        <f>IF($C1204="","",IF($D1204="Gider",$H1204,$E1204))</f>
        <v/>
      </c>
      <c r="O1204" s="73" t="str">
        <f>IF($C1204="","",DATE(YEAR($C1204),MONTH($C1204),1))</f>
        <v/>
      </c>
      <c r="P1204" s="65" t="str">
        <f ca="1">IF($C1204="","",IF(AND($D1204="Gelir",$L1204&lt;&gt;"",$T1204=""),"TANIMSIZ BORÇLU",IF($T1204&lt;&gt;"",IF(OR($E1204="",$G1204&lt;=0),"EKSİK",IF($I1204="Evet","TAHAKKUK NAKİT OLAMAZ",IF($C1204&gt;TODAY(),"İLERİ TARİH","TAHAKKUK"))),IF(AND($D1204&lt;&gt;"",$E1204&lt;&gt;"",$G1204&gt;0,$H1204&lt;&gt;"",$I1204&lt;&gt;""),IF($C1204&gt;TODAY(),"İLERİ TARİH",IF(COUNTIF($W$7:$W$3001,$W1204)&gt;1,"MÜKERRER?",IF($AD1204&gt;0,"KAPALI DÖNEM",IF($I1204="Hayır","ÖDENECEK","UYGUN")))),"EKSİK"))))</f>
        <v/>
      </c>
      <c r="Q1204" s="2"/>
      <c r="R1204" s="2"/>
      <c r="S1204" s="1" t="str">
        <f t="shared" si="56"/>
        <v/>
      </c>
      <c r="T1204" s="1" t="str">
        <f>IF(OR($C1204="",$D1204&lt;&gt;"Gelir",$L1204=""),"",IFERROR(INDEX(MUSTERILER!$B$7:$B$156,MATCH($S1204,MUSTERILER!$T$7:$T$156,0)),""))</f>
        <v/>
      </c>
      <c r="U1204" s="1" t="str">
        <f>IF($T1204="","",$T1204&amp;"|"&amp;COUNTIFS($T$7:$T1204,$T1204))</f>
        <v/>
      </c>
      <c r="V1204" s="1">
        <f t="shared" si="57"/>
        <v>0</v>
      </c>
      <c r="W1204" s="1" t="str">
        <f t="shared" si="58"/>
        <v/>
      </c>
      <c r="X1204" s="1"/>
      <c r="Y1204" s="1"/>
      <c r="Z1204" s="1"/>
      <c r="AA1204" s="1"/>
      <c r="AB1204" s="1"/>
      <c r="AC1204" s="1"/>
      <c r="AD1204" s="1">
        <f>IF($C1204="",0,SUMPRODUCT((AY_SONU!$O$7:$O$42="Evet")*(AY_SONU!$B$7:$B$42=DATE(YEAR($C1204),MONTH($C1204),1))))</f>
        <v>0</v>
      </c>
      <c r="AE1204" s="1" t="str">
        <f>IF($E1204="","",$E1204&amp;"|"&amp;COUNTIFS($E$7:$E1204,$E1204))</f>
        <v/>
      </c>
    </row>
    <row r="1205" spans="1:31" ht="18" customHeight="1" x14ac:dyDescent="0.3">
      <c r="A1205" s="2"/>
      <c r="B1205" s="65" t="str">
        <f>IF($C1205="","","GG"&amp;TEXT(ROW()-6,"00000"))</f>
        <v/>
      </c>
      <c r="C1205" s="66"/>
      <c r="D1205" s="60"/>
      <c r="E1205" s="61"/>
      <c r="F1205" s="61"/>
      <c r="G1205" s="67"/>
      <c r="H1205" s="60"/>
      <c r="I1205" s="60"/>
      <c r="J1205" s="61"/>
      <c r="K1205" s="61"/>
      <c r="L1205" s="60"/>
      <c r="M1205" s="74" t="str">
        <f>IF($C1205="","",IF($D1205="Gider",$E1205,IF($L1205&lt;&gt;"",$L1205,$H1205)))</f>
        <v/>
      </c>
      <c r="N1205" s="74" t="str">
        <f>IF($C1205="","",IF($D1205="Gider",$H1205,$E1205))</f>
        <v/>
      </c>
      <c r="O1205" s="73" t="str">
        <f>IF($C1205="","",DATE(YEAR($C1205),MONTH($C1205),1))</f>
        <v/>
      </c>
      <c r="P1205" s="65" t="str">
        <f ca="1">IF($C1205="","",IF(AND($D1205="Gelir",$L1205&lt;&gt;"",$T1205=""),"TANIMSIZ BORÇLU",IF($T1205&lt;&gt;"",IF(OR($E1205="",$G1205&lt;=0),"EKSİK",IF($I1205="Evet","TAHAKKUK NAKİT OLAMAZ",IF($C1205&gt;TODAY(),"İLERİ TARİH","TAHAKKUK"))),IF(AND($D1205&lt;&gt;"",$E1205&lt;&gt;"",$G1205&gt;0,$H1205&lt;&gt;"",$I1205&lt;&gt;""),IF($C1205&gt;TODAY(),"İLERİ TARİH",IF(COUNTIF($W$7:$W$3001,$W1205)&gt;1,"MÜKERRER?",IF($AD1205&gt;0,"KAPALI DÖNEM",IF($I1205="Hayır","ÖDENECEK","UYGUN")))),"EKSİK"))))</f>
        <v/>
      </c>
      <c r="Q1205" s="2"/>
      <c r="R1205" s="2"/>
      <c r="S1205" s="1" t="str">
        <f t="shared" si="56"/>
        <v/>
      </c>
      <c r="T1205" s="1" t="str">
        <f>IF(OR($C1205="",$D1205&lt;&gt;"Gelir",$L1205=""),"",IFERROR(INDEX(MUSTERILER!$B$7:$B$156,MATCH($S1205,MUSTERILER!$T$7:$T$156,0)),""))</f>
        <v/>
      </c>
      <c r="U1205" s="1" t="str">
        <f>IF($T1205="","",$T1205&amp;"|"&amp;COUNTIFS($T$7:$T1205,$T1205))</f>
        <v/>
      </c>
      <c r="V1205" s="1">
        <f t="shared" si="57"/>
        <v>0</v>
      </c>
      <c r="W1205" s="1" t="str">
        <f t="shared" si="58"/>
        <v/>
      </c>
      <c r="X1205" s="1"/>
      <c r="Y1205" s="1"/>
      <c r="Z1205" s="1"/>
      <c r="AA1205" s="1"/>
      <c r="AB1205" s="1"/>
      <c r="AC1205" s="1"/>
      <c r="AD1205" s="1">
        <f>IF($C1205="",0,SUMPRODUCT((AY_SONU!$O$7:$O$42="Evet")*(AY_SONU!$B$7:$B$42=DATE(YEAR($C1205),MONTH($C1205),1))))</f>
        <v>0</v>
      </c>
      <c r="AE1205" s="1" t="str">
        <f>IF($E1205="","",$E1205&amp;"|"&amp;COUNTIFS($E$7:$E1205,$E1205))</f>
        <v/>
      </c>
    </row>
    <row r="1206" spans="1:31" ht="18" customHeight="1" x14ac:dyDescent="0.3">
      <c r="A1206" s="2"/>
      <c r="B1206" s="65" t="str">
        <f>IF($C1206="","","GG"&amp;TEXT(ROW()-6,"00000"))</f>
        <v/>
      </c>
      <c r="C1206" s="66"/>
      <c r="D1206" s="60"/>
      <c r="E1206" s="61"/>
      <c r="F1206" s="61"/>
      <c r="G1206" s="67"/>
      <c r="H1206" s="60"/>
      <c r="I1206" s="60"/>
      <c r="J1206" s="61"/>
      <c r="K1206" s="61"/>
      <c r="L1206" s="60"/>
      <c r="M1206" s="74" t="str">
        <f>IF($C1206="","",IF($D1206="Gider",$E1206,IF($L1206&lt;&gt;"",$L1206,$H1206)))</f>
        <v/>
      </c>
      <c r="N1206" s="74" t="str">
        <f>IF($C1206="","",IF($D1206="Gider",$H1206,$E1206))</f>
        <v/>
      </c>
      <c r="O1206" s="73" t="str">
        <f>IF($C1206="","",DATE(YEAR($C1206),MONTH($C1206),1))</f>
        <v/>
      </c>
      <c r="P1206" s="65" t="str">
        <f ca="1">IF($C1206="","",IF(AND($D1206="Gelir",$L1206&lt;&gt;"",$T1206=""),"TANIMSIZ BORÇLU",IF($T1206&lt;&gt;"",IF(OR($E1206="",$G1206&lt;=0),"EKSİK",IF($I1206="Evet","TAHAKKUK NAKİT OLAMAZ",IF($C1206&gt;TODAY(),"İLERİ TARİH","TAHAKKUK"))),IF(AND($D1206&lt;&gt;"",$E1206&lt;&gt;"",$G1206&gt;0,$H1206&lt;&gt;"",$I1206&lt;&gt;""),IF($C1206&gt;TODAY(),"İLERİ TARİH",IF(COUNTIF($W$7:$W$3001,$W1206)&gt;1,"MÜKERRER?",IF($AD1206&gt;0,"KAPALI DÖNEM",IF($I1206="Hayır","ÖDENECEK","UYGUN")))),"EKSİK"))))</f>
        <v/>
      </c>
      <c r="Q1206" s="2"/>
      <c r="R1206" s="2"/>
      <c r="S1206" s="1" t="str">
        <f t="shared" si="56"/>
        <v/>
      </c>
      <c r="T1206" s="1" t="str">
        <f>IF(OR($C1206="",$D1206&lt;&gt;"Gelir",$L1206=""),"",IFERROR(INDEX(MUSTERILER!$B$7:$B$156,MATCH($S1206,MUSTERILER!$T$7:$T$156,0)),""))</f>
        <v/>
      </c>
      <c r="U1206" s="1" t="str">
        <f>IF($T1206="","",$T1206&amp;"|"&amp;COUNTIFS($T$7:$T1206,$T1206))</f>
        <v/>
      </c>
      <c r="V1206" s="1">
        <f t="shared" si="57"/>
        <v>0</v>
      </c>
      <c r="W1206" s="1" t="str">
        <f t="shared" si="58"/>
        <v/>
      </c>
      <c r="X1206" s="1"/>
      <c r="Y1206" s="1"/>
      <c r="Z1206" s="1"/>
      <c r="AA1206" s="1"/>
      <c r="AB1206" s="1"/>
      <c r="AC1206" s="1"/>
      <c r="AD1206" s="1">
        <f>IF($C1206="",0,SUMPRODUCT((AY_SONU!$O$7:$O$42="Evet")*(AY_SONU!$B$7:$B$42=DATE(YEAR($C1206),MONTH($C1206),1))))</f>
        <v>0</v>
      </c>
      <c r="AE1206" s="1" t="str">
        <f>IF($E1206="","",$E1206&amp;"|"&amp;COUNTIFS($E$7:$E1206,$E1206))</f>
        <v/>
      </c>
    </row>
    <row r="1207" spans="1:31" ht="18" customHeight="1" x14ac:dyDescent="0.3">
      <c r="A1207" s="2"/>
      <c r="B1207" s="65" t="str">
        <f>IF($C1207="","","GG"&amp;TEXT(ROW()-6,"00000"))</f>
        <v/>
      </c>
      <c r="C1207" s="66"/>
      <c r="D1207" s="60"/>
      <c r="E1207" s="61"/>
      <c r="F1207" s="61"/>
      <c r="G1207" s="67"/>
      <c r="H1207" s="60"/>
      <c r="I1207" s="60"/>
      <c r="J1207" s="61"/>
      <c r="K1207" s="61"/>
      <c r="L1207" s="60"/>
      <c r="M1207" s="74" t="str">
        <f>IF($C1207="","",IF($D1207="Gider",$E1207,IF($L1207&lt;&gt;"",$L1207,$H1207)))</f>
        <v/>
      </c>
      <c r="N1207" s="74" t="str">
        <f>IF($C1207="","",IF($D1207="Gider",$H1207,$E1207))</f>
        <v/>
      </c>
      <c r="O1207" s="73" t="str">
        <f>IF($C1207="","",DATE(YEAR($C1207),MONTH($C1207),1))</f>
        <v/>
      </c>
      <c r="P1207" s="65" t="str">
        <f ca="1">IF($C1207="","",IF(AND($D1207="Gelir",$L1207&lt;&gt;"",$T1207=""),"TANIMSIZ BORÇLU",IF($T1207&lt;&gt;"",IF(OR($E1207="",$G1207&lt;=0),"EKSİK",IF($I1207="Evet","TAHAKKUK NAKİT OLAMAZ",IF($C1207&gt;TODAY(),"İLERİ TARİH","TAHAKKUK"))),IF(AND($D1207&lt;&gt;"",$E1207&lt;&gt;"",$G1207&gt;0,$H1207&lt;&gt;"",$I1207&lt;&gt;""),IF($C1207&gt;TODAY(),"İLERİ TARİH",IF(COUNTIF($W$7:$W$3001,$W1207)&gt;1,"MÜKERRER?",IF($AD1207&gt;0,"KAPALI DÖNEM",IF($I1207="Hayır","ÖDENECEK","UYGUN")))),"EKSİK"))))</f>
        <v/>
      </c>
      <c r="Q1207" s="2"/>
      <c r="R1207" s="2"/>
      <c r="S1207" s="1" t="str">
        <f t="shared" si="56"/>
        <v/>
      </c>
      <c r="T1207" s="1" t="str">
        <f>IF(OR($C1207="",$D1207&lt;&gt;"Gelir",$L1207=""),"",IFERROR(INDEX(MUSTERILER!$B$7:$B$156,MATCH($S1207,MUSTERILER!$T$7:$T$156,0)),""))</f>
        <v/>
      </c>
      <c r="U1207" s="1" t="str">
        <f>IF($T1207="","",$T1207&amp;"|"&amp;COUNTIFS($T$7:$T1207,$T1207))</f>
        <v/>
      </c>
      <c r="V1207" s="1">
        <f t="shared" si="57"/>
        <v>0</v>
      </c>
      <c r="W1207" s="1" t="str">
        <f t="shared" si="58"/>
        <v/>
      </c>
      <c r="X1207" s="1"/>
      <c r="Y1207" s="1"/>
      <c r="Z1207" s="1"/>
      <c r="AA1207" s="1"/>
      <c r="AB1207" s="1"/>
      <c r="AC1207" s="1"/>
      <c r="AD1207" s="1">
        <f>IF($C1207="",0,SUMPRODUCT((AY_SONU!$O$7:$O$42="Evet")*(AY_SONU!$B$7:$B$42=DATE(YEAR($C1207),MONTH($C1207),1))))</f>
        <v>0</v>
      </c>
      <c r="AE1207" s="1" t="str">
        <f>IF($E1207="","",$E1207&amp;"|"&amp;COUNTIFS($E$7:$E1207,$E1207))</f>
        <v/>
      </c>
    </row>
    <row r="1208" spans="1:31" ht="18" customHeight="1" x14ac:dyDescent="0.3">
      <c r="A1208" s="2"/>
      <c r="B1208" s="65" t="str">
        <f>IF($C1208="","","GG"&amp;TEXT(ROW()-6,"00000"))</f>
        <v/>
      </c>
      <c r="C1208" s="66"/>
      <c r="D1208" s="60"/>
      <c r="E1208" s="61"/>
      <c r="F1208" s="61"/>
      <c r="G1208" s="67"/>
      <c r="H1208" s="60"/>
      <c r="I1208" s="60"/>
      <c r="J1208" s="61"/>
      <c r="K1208" s="61"/>
      <c r="L1208" s="60"/>
      <c r="M1208" s="74" t="str">
        <f>IF($C1208="","",IF($D1208="Gider",$E1208,IF($L1208&lt;&gt;"",$L1208,$H1208)))</f>
        <v/>
      </c>
      <c r="N1208" s="74" t="str">
        <f>IF($C1208="","",IF($D1208="Gider",$H1208,$E1208))</f>
        <v/>
      </c>
      <c r="O1208" s="73" t="str">
        <f>IF($C1208="","",DATE(YEAR($C1208),MONTH($C1208),1))</f>
        <v/>
      </c>
      <c r="P1208" s="65" t="str">
        <f ca="1">IF($C1208="","",IF(AND($D1208="Gelir",$L1208&lt;&gt;"",$T1208=""),"TANIMSIZ BORÇLU",IF($T1208&lt;&gt;"",IF(OR($E1208="",$G1208&lt;=0),"EKSİK",IF($I1208="Evet","TAHAKKUK NAKİT OLAMAZ",IF($C1208&gt;TODAY(),"İLERİ TARİH","TAHAKKUK"))),IF(AND($D1208&lt;&gt;"",$E1208&lt;&gt;"",$G1208&gt;0,$H1208&lt;&gt;"",$I1208&lt;&gt;""),IF($C1208&gt;TODAY(),"İLERİ TARİH",IF(COUNTIF($W$7:$W$3001,$W1208)&gt;1,"MÜKERRER?",IF($AD1208&gt;0,"KAPALI DÖNEM",IF($I1208="Hayır","ÖDENECEK","UYGUN")))),"EKSİK"))))</f>
        <v/>
      </c>
      <c r="Q1208" s="2"/>
      <c r="R1208" s="2"/>
      <c r="S1208" s="1" t="str">
        <f t="shared" si="56"/>
        <v/>
      </c>
      <c r="T1208" s="1" t="str">
        <f>IF(OR($C1208="",$D1208&lt;&gt;"Gelir",$L1208=""),"",IFERROR(INDEX(MUSTERILER!$B$7:$B$156,MATCH($S1208,MUSTERILER!$T$7:$T$156,0)),""))</f>
        <v/>
      </c>
      <c r="U1208" s="1" t="str">
        <f>IF($T1208="","",$T1208&amp;"|"&amp;COUNTIFS($T$7:$T1208,$T1208))</f>
        <v/>
      </c>
      <c r="V1208" s="1">
        <f t="shared" si="57"/>
        <v>0</v>
      </c>
      <c r="W1208" s="1" t="str">
        <f t="shared" si="58"/>
        <v/>
      </c>
      <c r="X1208" s="1"/>
      <c r="Y1208" s="1"/>
      <c r="Z1208" s="1"/>
      <c r="AA1208" s="1"/>
      <c r="AB1208" s="1"/>
      <c r="AC1208" s="1"/>
      <c r="AD1208" s="1">
        <f>IF($C1208="",0,SUMPRODUCT((AY_SONU!$O$7:$O$42="Evet")*(AY_SONU!$B$7:$B$42=DATE(YEAR($C1208),MONTH($C1208),1))))</f>
        <v>0</v>
      </c>
      <c r="AE1208" s="1" t="str">
        <f>IF($E1208="","",$E1208&amp;"|"&amp;COUNTIFS($E$7:$E1208,$E1208))</f>
        <v/>
      </c>
    </row>
    <row r="1209" spans="1:31" ht="18" customHeight="1" x14ac:dyDescent="0.3">
      <c r="A1209" s="2"/>
      <c r="B1209" s="65" t="str">
        <f>IF($C1209="","","GG"&amp;TEXT(ROW()-6,"00000"))</f>
        <v/>
      </c>
      <c r="C1209" s="66"/>
      <c r="D1209" s="60"/>
      <c r="E1209" s="61"/>
      <c r="F1209" s="61"/>
      <c r="G1209" s="67"/>
      <c r="H1209" s="60"/>
      <c r="I1209" s="60"/>
      <c r="J1209" s="61"/>
      <c r="K1209" s="61"/>
      <c r="L1209" s="60"/>
      <c r="M1209" s="74" t="str">
        <f>IF($C1209="","",IF($D1209="Gider",$E1209,IF($L1209&lt;&gt;"",$L1209,$H1209)))</f>
        <v/>
      </c>
      <c r="N1209" s="74" t="str">
        <f>IF($C1209="","",IF($D1209="Gider",$H1209,$E1209))</f>
        <v/>
      </c>
      <c r="O1209" s="73" t="str">
        <f>IF($C1209="","",DATE(YEAR($C1209),MONTH($C1209),1))</f>
        <v/>
      </c>
      <c r="P1209" s="65" t="str">
        <f ca="1">IF($C1209="","",IF(AND($D1209="Gelir",$L1209&lt;&gt;"",$T1209=""),"TANIMSIZ BORÇLU",IF($T1209&lt;&gt;"",IF(OR($E1209="",$G1209&lt;=0),"EKSİK",IF($I1209="Evet","TAHAKKUK NAKİT OLAMAZ",IF($C1209&gt;TODAY(),"İLERİ TARİH","TAHAKKUK"))),IF(AND($D1209&lt;&gt;"",$E1209&lt;&gt;"",$G1209&gt;0,$H1209&lt;&gt;"",$I1209&lt;&gt;""),IF($C1209&gt;TODAY(),"İLERİ TARİH",IF(COUNTIF($W$7:$W$3001,$W1209)&gt;1,"MÜKERRER?",IF($AD1209&gt;0,"KAPALI DÖNEM",IF($I1209="Hayır","ÖDENECEK","UYGUN")))),"EKSİK"))))</f>
        <v/>
      </c>
      <c r="Q1209" s="2"/>
      <c r="R1209" s="2"/>
      <c r="S1209" s="1" t="str">
        <f t="shared" si="56"/>
        <v/>
      </c>
      <c r="T1209" s="1" t="str">
        <f>IF(OR($C1209="",$D1209&lt;&gt;"Gelir",$L1209=""),"",IFERROR(INDEX(MUSTERILER!$B$7:$B$156,MATCH($S1209,MUSTERILER!$T$7:$T$156,0)),""))</f>
        <v/>
      </c>
      <c r="U1209" s="1" t="str">
        <f>IF($T1209="","",$T1209&amp;"|"&amp;COUNTIFS($T$7:$T1209,$T1209))</f>
        <v/>
      </c>
      <c r="V1209" s="1">
        <f t="shared" si="57"/>
        <v>0</v>
      </c>
      <c r="W1209" s="1" t="str">
        <f t="shared" si="58"/>
        <v/>
      </c>
      <c r="X1209" s="1"/>
      <c r="Y1209" s="1"/>
      <c r="Z1209" s="1"/>
      <c r="AA1209" s="1"/>
      <c r="AB1209" s="1"/>
      <c r="AC1209" s="1"/>
      <c r="AD1209" s="1">
        <f>IF($C1209="",0,SUMPRODUCT((AY_SONU!$O$7:$O$42="Evet")*(AY_SONU!$B$7:$B$42=DATE(YEAR($C1209),MONTH($C1209),1))))</f>
        <v>0</v>
      </c>
      <c r="AE1209" s="1" t="str">
        <f>IF($E1209="","",$E1209&amp;"|"&amp;COUNTIFS($E$7:$E1209,$E1209))</f>
        <v/>
      </c>
    </row>
    <row r="1210" spans="1:31" ht="18" customHeight="1" x14ac:dyDescent="0.3">
      <c r="A1210" s="2"/>
      <c r="B1210" s="65" t="str">
        <f>IF($C1210="","","GG"&amp;TEXT(ROW()-6,"00000"))</f>
        <v/>
      </c>
      <c r="C1210" s="66"/>
      <c r="D1210" s="60"/>
      <c r="E1210" s="61"/>
      <c r="F1210" s="61"/>
      <c r="G1210" s="67"/>
      <c r="H1210" s="60"/>
      <c r="I1210" s="60"/>
      <c r="J1210" s="61"/>
      <c r="K1210" s="61"/>
      <c r="L1210" s="60"/>
      <c r="M1210" s="74" t="str">
        <f>IF($C1210="","",IF($D1210="Gider",$E1210,IF($L1210&lt;&gt;"",$L1210,$H1210)))</f>
        <v/>
      </c>
      <c r="N1210" s="74" t="str">
        <f>IF($C1210="","",IF($D1210="Gider",$H1210,$E1210))</f>
        <v/>
      </c>
      <c r="O1210" s="73" t="str">
        <f>IF($C1210="","",DATE(YEAR($C1210),MONTH($C1210),1))</f>
        <v/>
      </c>
      <c r="P1210" s="65" t="str">
        <f ca="1">IF($C1210="","",IF(AND($D1210="Gelir",$L1210&lt;&gt;"",$T1210=""),"TANIMSIZ BORÇLU",IF($T1210&lt;&gt;"",IF(OR($E1210="",$G1210&lt;=0),"EKSİK",IF($I1210="Evet","TAHAKKUK NAKİT OLAMAZ",IF($C1210&gt;TODAY(),"İLERİ TARİH","TAHAKKUK"))),IF(AND($D1210&lt;&gt;"",$E1210&lt;&gt;"",$G1210&gt;0,$H1210&lt;&gt;"",$I1210&lt;&gt;""),IF($C1210&gt;TODAY(),"İLERİ TARİH",IF(COUNTIF($W$7:$W$3001,$W1210)&gt;1,"MÜKERRER?",IF($AD1210&gt;0,"KAPALI DÖNEM",IF($I1210="Hayır","ÖDENECEK","UYGUN")))),"EKSİK"))))</f>
        <v/>
      </c>
      <c r="Q1210" s="2"/>
      <c r="R1210" s="2"/>
      <c r="S1210" s="1" t="str">
        <f t="shared" si="56"/>
        <v/>
      </c>
      <c r="T1210" s="1" t="str">
        <f>IF(OR($C1210="",$D1210&lt;&gt;"Gelir",$L1210=""),"",IFERROR(INDEX(MUSTERILER!$B$7:$B$156,MATCH($S1210,MUSTERILER!$T$7:$T$156,0)),""))</f>
        <v/>
      </c>
      <c r="U1210" s="1" t="str">
        <f>IF($T1210="","",$T1210&amp;"|"&amp;COUNTIFS($T$7:$T1210,$T1210))</f>
        <v/>
      </c>
      <c r="V1210" s="1">
        <f t="shared" si="57"/>
        <v>0</v>
      </c>
      <c r="W1210" s="1" t="str">
        <f t="shared" si="58"/>
        <v/>
      </c>
      <c r="X1210" s="1"/>
      <c r="Y1210" s="1"/>
      <c r="Z1210" s="1"/>
      <c r="AA1210" s="1"/>
      <c r="AB1210" s="1"/>
      <c r="AC1210" s="1"/>
      <c r="AD1210" s="1">
        <f>IF($C1210="",0,SUMPRODUCT((AY_SONU!$O$7:$O$42="Evet")*(AY_SONU!$B$7:$B$42=DATE(YEAR($C1210),MONTH($C1210),1))))</f>
        <v>0</v>
      </c>
      <c r="AE1210" s="1" t="str">
        <f>IF($E1210="","",$E1210&amp;"|"&amp;COUNTIFS($E$7:$E1210,$E1210))</f>
        <v/>
      </c>
    </row>
    <row r="1211" spans="1:31" ht="18" customHeight="1" x14ac:dyDescent="0.3">
      <c r="A1211" s="2"/>
      <c r="B1211" s="65" t="str">
        <f>IF($C1211="","","GG"&amp;TEXT(ROW()-6,"00000"))</f>
        <v/>
      </c>
      <c r="C1211" s="66"/>
      <c r="D1211" s="60"/>
      <c r="E1211" s="61"/>
      <c r="F1211" s="61"/>
      <c r="G1211" s="67"/>
      <c r="H1211" s="60"/>
      <c r="I1211" s="60"/>
      <c r="J1211" s="61"/>
      <c r="K1211" s="61"/>
      <c r="L1211" s="60"/>
      <c r="M1211" s="74" t="str">
        <f>IF($C1211="","",IF($D1211="Gider",$E1211,IF($L1211&lt;&gt;"",$L1211,$H1211)))</f>
        <v/>
      </c>
      <c r="N1211" s="74" t="str">
        <f>IF($C1211="","",IF($D1211="Gider",$H1211,$E1211))</f>
        <v/>
      </c>
      <c r="O1211" s="73" t="str">
        <f>IF($C1211="","",DATE(YEAR($C1211),MONTH($C1211),1))</f>
        <v/>
      </c>
      <c r="P1211" s="65" t="str">
        <f ca="1">IF($C1211="","",IF(AND($D1211="Gelir",$L1211&lt;&gt;"",$T1211=""),"TANIMSIZ BORÇLU",IF($T1211&lt;&gt;"",IF(OR($E1211="",$G1211&lt;=0),"EKSİK",IF($I1211="Evet","TAHAKKUK NAKİT OLAMAZ",IF($C1211&gt;TODAY(),"İLERİ TARİH","TAHAKKUK"))),IF(AND($D1211&lt;&gt;"",$E1211&lt;&gt;"",$G1211&gt;0,$H1211&lt;&gt;"",$I1211&lt;&gt;""),IF($C1211&gt;TODAY(),"İLERİ TARİH",IF(COUNTIF($W$7:$W$3001,$W1211)&gt;1,"MÜKERRER?",IF($AD1211&gt;0,"KAPALI DÖNEM",IF($I1211="Hayır","ÖDENECEK","UYGUN")))),"EKSİK"))))</f>
        <v/>
      </c>
      <c r="Q1211" s="2"/>
      <c r="R1211" s="2"/>
      <c r="S1211" s="1" t="str">
        <f t="shared" si="56"/>
        <v/>
      </c>
      <c r="T1211" s="1" t="str">
        <f>IF(OR($C1211="",$D1211&lt;&gt;"Gelir",$L1211=""),"",IFERROR(INDEX(MUSTERILER!$B$7:$B$156,MATCH($S1211,MUSTERILER!$T$7:$T$156,0)),""))</f>
        <v/>
      </c>
      <c r="U1211" s="1" t="str">
        <f>IF($T1211="","",$T1211&amp;"|"&amp;COUNTIFS($T$7:$T1211,$T1211))</f>
        <v/>
      </c>
      <c r="V1211" s="1">
        <f t="shared" si="57"/>
        <v>0</v>
      </c>
      <c r="W1211" s="1" t="str">
        <f t="shared" si="58"/>
        <v/>
      </c>
      <c r="X1211" s="1"/>
      <c r="Y1211" s="1"/>
      <c r="Z1211" s="1"/>
      <c r="AA1211" s="1"/>
      <c r="AB1211" s="1"/>
      <c r="AC1211" s="1"/>
      <c r="AD1211" s="1">
        <f>IF($C1211="",0,SUMPRODUCT((AY_SONU!$O$7:$O$42="Evet")*(AY_SONU!$B$7:$B$42=DATE(YEAR($C1211),MONTH($C1211),1))))</f>
        <v>0</v>
      </c>
      <c r="AE1211" s="1" t="str">
        <f>IF($E1211="","",$E1211&amp;"|"&amp;COUNTIFS($E$7:$E1211,$E1211))</f>
        <v/>
      </c>
    </row>
    <row r="1212" spans="1:31" ht="18" customHeight="1" x14ac:dyDescent="0.3">
      <c r="A1212" s="2"/>
      <c r="B1212" s="65" t="str">
        <f>IF($C1212="","","GG"&amp;TEXT(ROW()-6,"00000"))</f>
        <v/>
      </c>
      <c r="C1212" s="66"/>
      <c r="D1212" s="60"/>
      <c r="E1212" s="61"/>
      <c r="F1212" s="61"/>
      <c r="G1212" s="67"/>
      <c r="H1212" s="60"/>
      <c r="I1212" s="60"/>
      <c r="J1212" s="61"/>
      <c r="K1212" s="61"/>
      <c r="L1212" s="60"/>
      <c r="M1212" s="74" t="str">
        <f>IF($C1212="","",IF($D1212="Gider",$E1212,IF($L1212&lt;&gt;"",$L1212,$H1212)))</f>
        <v/>
      </c>
      <c r="N1212" s="74" t="str">
        <f>IF($C1212="","",IF($D1212="Gider",$H1212,$E1212))</f>
        <v/>
      </c>
      <c r="O1212" s="73" t="str">
        <f>IF($C1212="","",DATE(YEAR($C1212),MONTH($C1212),1))</f>
        <v/>
      </c>
      <c r="P1212" s="65" t="str">
        <f ca="1">IF($C1212="","",IF(AND($D1212="Gelir",$L1212&lt;&gt;"",$T1212=""),"TANIMSIZ BORÇLU",IF($T1212&lt;&gt;"",IF(OR($E1212="",$G1212&lt;=0),"EKSİK",IF($I1212="Evet","TAHAKKUK NAKİT OLAMAZ",IF($C1212&gt;TODAY(),"İLERİ TARİH","TAHAKKUK"))),IF(AND($D1212&lt;&gt;"",$E1212&lt;&gt;"",$G1212&gt;0,$H1212&lt;&gt;"",$I1212&lt;&gt;""),IF($C1212&gt;TODAY(),"İLERİ TARİH",IF(COUNTIF($W$7:$W$3001,$W1212)&gt;1,"MÜKERRER?",IF($AD1212&gt;0,"KAPALI DÖNEM",IF($I1212="Hayır","ÖDENECEK","UYGUN")))),"EKSİK"))))</f>
        <v/>
      </c>
      <c r="Q1212" s="2"/>
      <c r="R1212" s="2"/>
      <c r="S1212" s="1" t="str">
        <f t="shared" si="56"/>
        <v/>
      </c>
      <c r="T1212" s="1" t="str">
        <f>IF(OR($C1212="",$D1212&lt;&gt;"Gelir",$L1212=""),"",IFERROR(INDEX(MUSTERILER!$B$7:$B$156,MATCH($S1212,MUSTERILER!$T$7:$T$156,0)),""))</f>
        <v/>
      </c>
      <c r="U1212" s="1" t="str">
        <f>IF($T1212="","",$T1212&amp;"|"&amp;COUNTIFS($T$7:$T1212,$T1212))</f>
        <v/>
      </c>
      <c r="V1212" s="1">
        <f t="shared" si="57"/>
        <v>0</v>
      </c>
      <c r="W1212" s="1" t="str">
        <f t="shared" si="58"/>
        <v/>
      </c>
      <c r="X1212" s="1"/>
      <c r="Y1212" s="1"/>
      <c r="Z1212" s="1"/>
      <c r="AA1212" s="1"/>
      <c r="AB1212" s="1"/>
      <c r="AC1212" s="1"/>
      <c r="AD1212" s="1">
        <f>IF($C1212="",0,SUMPRODUCT((AY_SONU!$O$7:$O$42="Evet")*(AY_SONU!$B$7:$B$42=DATE(YEAR($C1212),MONTH($C1212),1))))</f>
        <v>0</v>
      </c>
      <c r="AE1212" s="1" t="str">
        <f>IF($E1212="","",$E1212&amp;"|"&amp;COUNTIFS($E$7:$E1212,$E1212))</f>
        <v/>
      </c>
    </row>
    <row r="1213" spans="1:31" ht="18" customHeight="1" x14ac:dyDescent="0.3">
      <c r="A1213" s="2"/>
      <c r="B1213" s="65" t="str">
        <f>IF($C1213="","","GG"&amp;TEXT(ROW()-6,"00000"))</f>
        <v/>
      </c>
      <c r="C1213" s="66"/>
      <c r="D1213" s="60"/>
      <c r="E1213" s="61"/>
      <c r="F1213" s="61"/>
      <c r="G1213" s="67"/>
      <c r="H1213" s="60"/>
      <c r="I1213" s="60"/>
      <c r="J1213" s="61"/>
      <c r="K1213" s="61"/>
      <c r="L1213" s="60"/>
      <c r="M1213" s="74" t="str">
        <f>IF($C1213="","",IF($D1213="Gider",$E1213,IF($L1213&lt;&gt;"",$L1213,$H1213)))</f>
        <v/>
      </c>
      <c r="N1213" s="74" t="str">
        <f>IF($C1213="","",IF($D1213="Gider",$H1213,$E1213))</f>
        <v/>
      </c>
      <c r="O1213" s="73" t="str">
        <f>IF($C1213="","",DATE(YEAR($C1213),MONTH($C1213),1))</f>
        <v/>
      </c>
      <c r="P1213" s="65" t="str">
        <f ca="1">IF($C1213="","",IF(AND($D1213="Gelir",$L1213&lt;&gt;"",$T1213=""),"TANIMSIZ BORÇLU",IF($T1213&lt;&gt;"",IF(OR($E1213="",$G1213&lt;=0),"EKSİK",IF($I1213="Evet","TAHAKKUK NAKİT OLAMAZ",IF($C1213&gt;TODAY(),"İLERİ TARİH","TAHAKKUK"))),IF(AND($D1213&lt;&gt;"",$E1213&lt;&gt;"",$G1213&gt;0,$H1213&lt;&gt;"",$I1213&lt;&gt;""),IF($C1213&gt;TODAY(),"İLERİ TARİH",IF(COUNTIF($W$7:$W$3001,$W1213)&gt;1,"MÜKERRER?",IF($AD1213&gt;0,"KAPALI DÖNEM",IF($I1213="Hayır","ÖDENECEK","UYGUN")))),"EKSİK"))))</f>
        <v/>
      </c>
      <c r="Q1213" s="2"/>
      <c r="R1213" s="2"/>
      <c r="S1213" s="1" t="str">
        <f t="shared" si="56"/>
        <v/>
      </c>
      <c r="T1213" s="1" t="str">
        <f>IF(OR($C1213="",$D1213&lt;&gt;"Gelir",$L1213=""),"",IFERROR(INDEX(MUSTERILER!$B$7:$B$156,MATCH($S1213,MUSTERILER!$T$7:$T$156,0)),""))</f>
        <v/>
      </c>
      <c r="U1213" s="1" t="str">
        <f>IF($T1213="","",$T1213&amp;"|"&amp;COUNTIFS($T$7:$T1213,$T1213))</f>
        <v/>
      </c>
      <c r="V1213" s="1">
        <f t="shared" si="57"/>
        <v>0</v>
      </c>
      <c r="W1213" s="1" t="str">
        <f t="shared" si="58"/>
        <v/>
      </c>
      <c r="X1213" s="1"/>
      <c r="Y1213" s="1"/>
      <c r="Z1213" s="1"/>
      <c r="AA1213" s="1"/>
      <c r="AB1213" s="1"/>
      <c r="AC1213" s="1"/>
      <c r="AD1213" s="1">
        <f>IF($C1213="",0,SUMPRODUCT((AY_SONU!$O$7:$O$42="Evet")*(AY_SONU!$B$7:$B$42=DATE(YEAR($C1213),MONTH($C1213),1))))</f>
        <v>0</v>
      </c>
      <c r="AE1213" s="1" t="str">
        <f>IF($E1213="","",$E1213&amp;"|"&amp;COUNTIFS($E$7:$E1213,$E1213))</f>
        <v/>
      </c>
    </row>
    <row r="1214" spans="1:31" ht="18" customHeight="1" x14ac:dyDescent="0.3">
      <c r="A1214" s="2"/>
      <c r="B1214" s="65" t="str">
        <f>IF($C1214="","","GG"&amp;TEXT(ROW()-6,"00000"))</f>
        <v/>
      </c>
      <c r="C1214" s="66"/>
      <c r="D1214" s="60"/>
      <c r="E1214" s="61"/>
      <c r="F1214" s="61"/>
      <c r="G1214" s="67"/>
      <c r="H1214" s="60"/>
      <c r="I1214" s="60"/>
      <c r="J1214" s="61"/>
      <c r="K1214" s="61"/>
      <c r="L1214" s="60"/>
      <c r="M1214" s="74" t="str">
        <f>IF($C1214="","",IF($D1214="Gider",$E1214,IF($L1214&lt;&gt;"",$L1214,$H1214)))</f>
        <v/>
      </c>
      <c r="N1214" s="74" t="str">
        <f>IF($C1214="","",IF($D1214="Gider",$H1214,$E1214))</f>
        <v/>
      </c>
      <c r="O1214" s="73" t="str">
        <f>IF($C1214="","",DATE(YEAR($C1214),MONTH($C1214),1))</f>
        <v/>
      </c>
      <c r="P1214" s="65" t="str">
        <f ca="1">IF($C1214="","",IF(AND($D1214="Gelir",$L1214&lt;&gt;"",$T1214=""),"TANIMSIZ BORÇLU",IF($T1214&lt;&gt;"",IF(OR($E1214="",$G1214&lt;=0),"EKSİK",IF($I1214="Evet","TAHAKKUK NAKİT OLAMAZ",IF($C1214&gt;TODAY(),"İLERİ TARİH","TAHAKKUK"))),IF(AND($D1214&lt;&gt;"",$E1214&lt;&gt;"",$G1214&gt;0,$H1214&lt;&gt;"",$I1214&lt;&gt;""),IF($C1214&gt;TODAY(),"İLERİ TARİH",IF(COUNTIF($W$7:$W$3001,$W1214)&gt;1,"MÜKERRER?",IF($AD1214&gt;0,"KAPALI DÖNEM",IF($I1214="Hayır","ÖDENECEK","UYGUN")))),"EKSİK"))))</f>
        <v/>
      </c>
      <c r="Q1214" s="2"/>
      <c r="R1214" s="2"/>
      <c r="S1214" s="1" t="str">
        <f t="shared" si="56"/>
        <v/>
      </c>
      <c r="T1214" s="1" t="str">
        <f>IF(OR($C1214="",$D1214&lt;&gt;"Gelir",$L1214=""),"",IFERROR(INDEX(MUSTERILER!$B$7:$B$156,MATCH($S1214,MUSTERILER!$T$7:$T$156,0)),""))</f>
        <v/>
      </c>
      <c r="U1214" s="1" t="str">
        <f>IF($T1214="","",$T1214&amp;"|"&amp;COUNTIFS($T$7:$T1214,$T1214))</f>
        <v/>
      </c>
      <c r="V1214" s="1">
        <f t="shared" si="57"/>
        <v>0</v>
      </c>
      <c r="W1214" s="1" t="str">
        <f t="shared" si="58"/>
        <v/>
      </c>
      <c r="X1214" s="1"/>
      <c r="Y1214" s="1"/>
      <c r="Z1214" s="1"/>
      <c r="AA1214" s="1"/>
      <c r="AB1214" s="1"/>
      <c r="AC1214" s="1"/>
      <c r="AD1214" s="1">
        <f>IF($C1214="",0,SUMPRODUCT((AY_SONU!$O$7:$O$42="Evet")*(AY_SONU!$B$7:$B$42=DATE(YEAR($C1214),MONTH($C1214),1))))</f>
        <v>0</v>
      </c>
      <c r="AE1214" s="1" t="str">
        <f>IF($E1214="","",$E1214&amp;"|"&amp;COUNTIFS($E$7:$E1214,$E1214))</f>
        <v/>
      </c>
    </row>
    <row r="1215" spans="1:31" ht="18" customHeight="1" x14ac:dyDescent="0.3">
      <c r="A1215" s="2"/>
      <c r="B1215" s="65" t="str">
        <f>IF($C1215="","","GG"&amp;TEXT(ROW()-6,"00000"))</f>
        <v/>
      </c>
      <c r="C1215" s="66"/>
      <c r="D1215" s="60"/>
      <c r="E1215" s="61"/>
      <c r="F1215" s="61"/>
      <c r="G1215" s="67"/>
      <c r="H1215" s="60"/>
      <c r="I1215" s="60"/>
      <c r="J1215" s="61"/>
      <c r="K1215" s="61"/>
      <c r="L1215" s="60"/>
      <c r="M1215" s="74" t="str">
        <f>IF($C1215="","",IF($D1215="Gider",$E1215,IF($L1215&lt;&gt;"",$L1215,$H1215)))</f>
        <v/>
      </c>
      <c r="N1215" s="74" t="str">
        <f>IF($C1215="","",IF($D1215="Gider",$H1215,$E1215))</f>
        <v/>
      </c>
      <c r="O1215" s="73" t="str">
        <f>IF($C1215="","",DATE(YEAR($C1215),MONTH($C1215),1))</f>
        <v/>
      </c>
      <c r="P1215" s="65" t="str">
        <f ca="1">IF($C1215="","",IF(AND($D1215="Gelir",$L1215&lt;&gt;"",$T1215=""),"TANIMSIZ BORÇLU",IF($T1215&lt;&gt;"",IF(OR($E1215="",$G1215&lt;=0),"EKSİK",IF($I1215="Evet","TAHAKKUK NAKİT OLAMAZ",IF($C1215&gt;TODAY(),"İLERİ TARİH","TAHAKKUK"))),IF(AND($D1215&lt;&gt;"",$E1215&lt;&gt;"",$G1215&gt;0,$H1215&lt;&gt;"",$I1215&lt;&gt;""),IF($C1215&gt;TODAY(),"İLERİ TARİH",IF(COUNTIF($W$7:$W$3001,$W1215)&gt;1,"MÜKERRER?",IF($AD1215&gt;0,"KAPALI DÖNEM",IF($I1215="Hayır","ÖDENECEK","UYGUN")))),"EKSİK"))))</f>
        <v/>
      </c>
      <c r="Q1215" s="2"/>
      <c r="R1215" s="2"/>
      <c r="S1215" s="1" t="str">
        <f t="shared" si="56"/>
        <v/>
      </c>
      <c r="T1215" s="1" t="str">
        <f>IF(OR($C1215="",$D1215&lt;&gt;"Gelir",$L1215=""),"",IFERROR(INDEX(MUSTERILER!$B$7:$B$156,MATCH($S1215,MUSTERILER!$T$7:$T$156,0)),""))</f>
        <v/>
      </c>
      <c r="U1215" s="1" t="str">
        <f>IF($T1215="","",$T1215&amp;"|"&amp;COUNTIFS($T$7:$T1215,$T1215))</f>
        <v/>
      </c>
      <c r="V1215" s="1">
        <f t="shared" si="57"/>
        <v>0</v>
      </c>
      <c r="W1215" s="1" t="str">
        <f t="shared" si="58"/>
        <v/>
      </c>
      <c r="X1215" s="1"/>
      <c r="Y1215" s="1"/>
      <c r="Z1215" s="1"/>
      <c r="AA1215" s="1"/>
      <c r="AB1215" s="1"/>
      <c r="AC1215" s="1"/>
      <c r="AD1215" s="1">
        <f>IF($C1215="",0,SUMPRODUCT((AY_SONU!$O$7:$O$42="Evet")*(AY_SONU!$B$7:$B$42=DATE(YEAR($C1215),MONTH($C1215),1))))</f>
        <v>0</v>
      </c>
      <c r="AE1215" s="1" t="str">
        <f>IF($E1215="","",$E1215&amp;"|"&amp;COUNTIFS($E$7:$E1215,$E1215))</f>
        <v/>
      </c>
    </row>
    <row r="1216" spans="1:31" ht="18" customHeight="1" x14ac:dyDescent="0.3">
      <c r="A1216" s="2"/>
      <c r="B1216" s="65" t="str">
        <f>IF($C1216="","","GG"&amp;TEXT(ROW()-6,"00000"))</f>
        <v/>
      </c>
      <c r="C1216" s="66"/>
      <c r="D1216" s="60"/>
      <c r="E1216" s="61"/>
      <c r="F1216" s="61"/>
      <c r="G1216" s="67"/>
      <c r="H1216" s="60"/>
      <c r="I1216" s="60"/>
      <c r="J1216" s="61"/>
      <c r="K1216" s="61"/>
      <c r="L1216" s="60"/>
      <c r="M1216" s="74" t="str">
        <f>IF($C1216="","",IF($D1216="Gider",$E1216,IF($L1216&lt;&gt;"",$L1216,$H1216)))</f>
        <v/>
      </c>
      <c r="N1216" s="74" t="str">
        <f>IF($C1216="","",IF($D1216="Gider",$H1216,$E1216))</f>
        <v/>
      </c>
      <c r="O1216" s="73" t="str">
        <f>IF($C1216="","",DATE(YEAR($C1216),MONTH($C1216),1))</f>
        <v/>
      </c>
      <c r="P1216" s="65" t="str">
        <f ca="1">IF($C1216="","",IF(AND($D1216="Gelir",$L1216&lt;&gt;"",$T1216=""),"TANIMSIZ BORÇLU",IF($T1216&lt;&gt;"",IF(OR($E1216="",$G1216&lt;=0),"EKSİK",IF($I1216="Evet","TAHAKKUK NAKİT OLAMAZ",IF($C1216&gt;TODAY(),"İLERİ TARİH","TAHAKKUK"))),IF(AND($D1216&lt;&gt;"",$E1216&lt;&gt;"",$G1216&gt;0,$H1216&lt;&gt;"",$I1216&lt;&gt;""),IF($C1216&gt;TODAY(),"İLERİ TARİH",IF(COUNTIF($W$7:$W$3001,$W1216)&gt;1,"MÜKERRER?",IF($AD1216&gt;0,"KAPALI DÖNEM",IF($I1216="Hayır","ÖDENECEK","UYGUN")))),"EKSİK"))))</f>
        <v/>
      </c>
      <c r="Q1216" s="2"/>
      <c r="R1216" s="2"/>
      <c r="S1216" s="1" t="str">
        <f t="shared" si="56"/>
        <v/>
      </c>
      <c r="T1216" s="1" t="str">
        <f>IF(OR($C1216="",$D1216&lt;&gt;"Gelir",$L1216=""),"",IFERROR(INDEX(MUSTERILER!$B$7:$B$156,MATCH($S1216,MUSTERILER!$T$7:$T$156,0)),""))</f>
        <v/>
      </c>
      <c r="U1216" s="1" t="str">
        <f>IF($T1216="","",$T1216&amp;"|"&amp;COUNTIFS($T$7:$T1216,$T1216))</f>
        <v/>
      </c>
      <c r="V1216" s="1">
        <f t="shared" si="57"/>
        <v>0</v>
      </c>
      <c r="W1216" s="1" t="str">
        <f t="shared" si="58"/>
        <v/>
      </c>
      <c r="X1216" s="1"/>
      <c r="Y1216" s="1"/>
      <c r="Z1216" s="1"/>
      <c r="AA1216" s="1"/>
      <c r="AB1216" s="1"/>
      <c r="AC1216" s="1"/>
      <c r="AD1216" s="1">
        <f>IF($C1216="",0,SUMPRODUCT((AY_SONU!$O$7:$O$42="Evet")*(AY_SONU!$B$7:$B$42=DATE(YEAR($C1216),MONTH($C1216),1))))</f>
        <v>0</v>
      </c>
      <c r="AE1216" s="1" t="str">
        <f>IF($E1216="","",$E1216&amp;"|"&amp;COUNTIFS($E$7:$E1216,$E1216))</f>
        <v/>
      </c>
    </row>
    <row r="1217" spans="1:31" ht="18" customHeight="1" x14ac:dyDescent="0.3">
      <c r="A1217" s="2"/>
      <c r="B1217" s="65" t="str">
        <f>IF($C1217="","","GG"&amp;TEXT(ROW()-6,"00000"))</f>
        <v/>
      </c>
      <c r="C1217" s="66"/>
      <c r="D1217" s="60"/>
      <c r="E1217" s="61"/>
      <c r="F1217" s="61"/>
      <c r="G1217" s="67"/>
      <c r="H1217" s="60"/>
      <c r="I1217" s="60"/>
      <c r="J1217" s="61"/>
      <c r="K1217" s="61"/>
      <c r="L1217" s="60"/>
      <c r="M1217" s="74" t="str">
        <f>IF($C1217="","",IF($D1217="Gider",$E1217,IF($L1217&lt;&gt;"",$L1217,$H1217)))</f>
        <v/>
      </c>
      <c r="N1217" s="74" t="str">
        <f>IF($C1217="","",IF($D1217="Gider",$H1217,$E1217))</f>
        <v/>
      </c>
      <c r="O1217" s="73" t="str">
        <f>IF($C1217="","",DATE(YEAR($C1217),MONTH($C1217),1))</f>
        <v/>
      </c>
      <c r="P1217" s="65" t="str">
        <f ca="1">IF($C1217="","",IF(AND($D1217="Gelir",$L1217&lt;&gt;"",$T1217=""),"TANIMSIZ BORÇLU",IF($T1217&lt;&gt;"",IF(OR($E1217="",$G1217&lt;=0),"EKSİK",IF($I1217="Evet","TAHAKKUK NAKİT OLAMAZ",IF($C1217&gt;TODAY(),"İLERİ TARİH","TAHAKKUK"))),IF(AND($D1217&lt;&gt;"",$E1217&lt;&gt;"",$G1217&gt;0,$H1217&lt;&gt;"",$I1217&lt;&gt;""),IF($C1217&gt;TODAY(),"İLERİ TARİH",IF(COUNTIF($W$7:$W$3001,$W1217)&gt;1,"MÜKERRER?",IF($AD1217&gt;0,"KAPALI DÖNEM",IF($I1217="Hayır","ÖDENECEK","UYGUN")))),"EKSİK"))))</f>
        <v/>
      </c>
      <c r="Q1217" s="2"/>
      <c r="R1217" s="2"/>
      <c r="S1217" s="1" t="str">
        <f t="shared" si="56"/>
        <v/>
      </c>
      <c r="T1217" s="1" t="str">
        <f>IF(OR($C1217="",$D1217&lt;&gt;"Gelir",$L1217=""),"",IFERROR(INDEX(MUSTERILER!$B$7:$B$156,MATCH($S1217,MUSTERILER!$T$7:$T$156,0)),""))</f>
        <v/>
      </c>
      <c r="U1217" s="1" t="str">
        <f>IF($T1217="","",$T1217&amp;"|"&amp;COUNTIFS($T$7:$T1217,$T1217))</f>
        <v/>
      </c>
      <c r="V1217" s="1">
        <f t="shared" si="57"/>
        <v>0</v>
      </c>
      <c r="W1217" s="1" t="str">
        <f t="shared" si="58"/>
        <v/>
      </c>
      <c r="X1217" s="1"/>
      <c r="Y1217" s="1"/>
      <c r="Z1217" s="1"/>
      <c r="AA1217" s="1"/>
      <c r="AB1217" s="1"/>
      <c r="AC1217" s="1"/>
      <c r="AD1217" s="1">
        <f>IF($C1217="",0,SUMPRODUCT((AY_SONU!$O$7:$O$42="Evet")*(AY_SONU!$B$7:$B$42=DATE(YEAR($C1217),MONTH($C1217),1))))</f>
        <v>0</v>
      </c>
      <c r="AE1217" s="1" t="str">
        <f>IF($E1217="","",$E1217&amp;"|"&amp;COUNTIFS($E$7:$E1217,$E1217))</f>
        <v/>
      </c>
    </row>
    <row r="1218" spans="1:31" ht="18" customHeight="1" x14ac:dyDescent="0.3">
      <c r="A1218" s="2"/>
      <c r="B1218" s="65" t="str">
        <f>IF($C1218="","","GG"&amp;TEXT(ROW()-6,"00000"))</f>
        <v/>
      </c>
      <c r="C1218" s="66"/>
      <c r="D1218" s="60"/>
      <c r="E1218" s="61"/>
      <c r="F1218" s="61"/>
      <c r="G1218" s="67"/>
      <c r="H1218" s="60"/>
      <c r="I1218" s="60"/>
      <c r="J1218" s="61"/>
      <c r="K1218" s="61"/>
      <c r="L1218" s="60"/>
      <c r="M1218" s="74" t="str">
        <f>IF($C1218="","",IF($D1218="Gider",$E1218,IF($L1218&lt;&gt;"",$L1218,$H1218)))</f>
        <v/>
      </c>
      <c r="N1218" s="74" t="str">
        <f>IF($C1218="","",IF($D1218="Gider",$H1218,$E1218))</f>
        <v/>
      </c>
      <c r="O1218" s="73" t="str">
        <f>IF($C1218="","",DATE(YEAR($C1218),MONTH($C1218),1))</f>
        <v/>
      </c>
      <c r="P1218" s="65" t="str">
        <f ca="1">IF($C1218="","",IF(AND($D1218="Gelir",$L1218&lt;&gt;"",$T1218=""),"TANIMSIZ BORÇLU",IF($T1218&lt;&gt;"",IF(OR($E1218="",$G1218&lt;=0),"EKSİK",IF($I1218="Evet","TAHAKKUK NAKİT OLAMAZ",IF($C1218&gt;TODAY(),"İLERİ TARİH","TAHAKKUK"))),IF(AND($D1218&lt;&gt;"",$E1218&lt;&gt;"",$G1218&gt;0,$H1218&lt;&gt;"",$I1218&lt;&gt;""),IF($C1218&gt;TODAY(),"İLERİ TARİH",IF(COUNTIF($W$7:$W$3001,$W1218)&gt;1,"MÜKERRER?",IF($AD1218&gt;0,"KAPALI DÖNEM",IF($I1218="Hayır","ÖDENECEK","UYGUN")))),"EKSİK"))))</f>
        <v/>
      </c>
      <c r="Q1218" s="2"/>
      <c r="R1218" s="2"/>
      <c r="S1218" s="1" t="str">
        <f t="shared" si="56"/>
        <v/>
      </c>
      <c r="T1218" s="1" t="str">
        <f>IF(OR($C1218="",$D1218&lt;&gt;"Gelir",$L1218=""),"",IFERROR(INDEX(MUSTERILER!$B$7:$B$156,MATCH($S1218,MUSTERILER!$T$7:$T$156,0)),""))</f>
        <v/>
      </c>
      <c r="U1218" s="1" t="str">
        <f>IF($T1218="","",$T1218&amp;"|"&amp;COUNTIFS($T$7:$T1218,$T1218))</f>
        <v/>
      </c>
      <c r="V1218" s="1">
        <f t="shared" si="57"/>
        <v>0</v>
      </c>
      <c r="W1218" s="1" t="str">
        <f t="shared" si="58"/>
        <v/>
      </c>
      <c r="X1218" s="1"/>
      <c r="Y1218" s="1"/>
      <c r="Z1218" s="1"/>
      <c r="AA1218" s="1"/>
      <c r="AB1218" s="1"/>
      <c r="AC1218" s="1"/>
      <c r="AD1218" s="1">
        <f>IF($C1218="",0,SUMPRODUCT((AY_SONU!$O$7:$O$42="Evet")*(AY_SONU!$B$7:$B$42=DATE(YEAR($C1218),MONTH($C1218),1))))</f>
        <v>0</v>
      </c>
      <c r="AE1218" s="1" t="str">
        <f>IF($E1218="","",$E1218&amp;"|"&amp;COUNTIFS($E$7:$E1218,$E1218))</f>
        <v/>
      </c>
    </row>
    <row r="1219" spans="1:31" ht="18" customHeight="1" x14ac:dyDescent="0.3">
      <c r="A1219" s="2"/>
      <c r="B1219" s="65" t="str">
        <f>IF($C1219="","","GG"&amp;TEXT(ROW()-6,"00000"))</f>
        <v/>
      </c>
      <c r="C1219" s="66"/>
      <c r="D1219" s="60"/>
      <c r="E1219" s="61"/>
      <c r="F1219" s="61"/>
      <c r="G1219" s="67"/>
      <c r="H1219" s="60"/>
      <c r="I1219" s="60"/>
      <c r="J1219" s="61"/>
      <c r="K1219" s="61"/>
      <c r="L1219" s="60"/>
      <c r="M1219" s="74" t="str">
        <f>IF($C1219="","",IF($D1219="Gider",$E1219,IF($L1219&lt;&gt;"",$L1219,$H1219)))</f>
        <v/>
      </c>
      <c r="N1219" s="74" t="str">
        <f>IF($C1219="","",IF($D1219="Gider",$H1219,$E1219))</f>
        <v/>
      </c>
      <c r="O1219" s="73" t="str">
        <f>IF($C1219="","",DATE(YEAR($C1219),MONTH($C1219),1))</f>
        <v/>
      </c>
      <c r="P1219" s="65" t="str">
        <f ca="1">IF($C1219="","",IF(AND($D1219="Gelir",$L1219&lt;&gt;"",$T1219=""),"TANIMSIZ BORÇLU",IF($T1219&lt;&gt;"",IF(OR($E1219="",$G1219&lt;=0),"EKSİK",IF($I1219="Evet","TAHAKKUK NAKİT OLAMAZ",IF($C1219&gt;TODAY(),"İLERİ TARİH","TAHAKKUK"))),IF(AND($D1219&lt;&gt;"",$E1219&lt;&gt;"",$G1219&gt;0,$H1219&lt;&gt;"",$I1219&lt;&gt;""),IF($C1219&gt;TODAY(),"İLERİ TARİH",IF(COUNTIF($W$7:$W$3001,$W1219)&gt;1,"MÜKERRER?",IF($AD1219&gt;0,"KAPALI DÖNEM",IF($I1219="Hayır","ÖDENECEK","UYGUN")))),"EKSİK"))))</f>
        <v/>
      </c>
      <c r="Q1219" s="2"/>
      <c r="R1219" s="2"/>
      <c r="S1219" s="1" t="str">
        <f t="shared" si="56"/>
        <v/>
      </c>
      <c r="T1219" s="1" t="str">
        <f>IF(OR($C1219="",$D1219&lt;&gt;"Gelir",$L1219=""),"",IFERROR(INDEX(MUSTERILER!$B$7:$B$156,MATCH($S1219,MUSTERILER!$T$7:$T$156,0)),""))</f>
        <v/>
      </c>
      <c r="U1219" s="1" t="str">
        <f>IF($T1219="","",$T1219&amp;"|"&amp;COUNTIFS($T$7:$T1219,$T1219))</f>
        <v/>
      </c>
      <c r="V1219" s="1">
        <f t="shared" si="57"/>
        <v>0</v>
      </c>
      <c r="W1219" s="1" t="str">
        <f t="shared" si="58"/>
        <v/>
      </c>
      <c r="X1219" s="1"/>
      <c r="Y1219" s="1"/>
      <c r="Z1219" s="1"/>
      <c r="AA1219" s="1"/>
      <c r="AB1219" s="1"/>
      <c r="AC1219" s="1"/>
      <c r="AD1219" s="1">
        <f>IF($C1219="",0,SUMPRODUCT((AY_SONU!$O$7:$O$42="Evet")*(AY_SONU!$B$7:$B$42=DATE(YEAR($C1219),MONTH($C1219),1))))</f>
        <v>0</v>
      </c>
      <c r="AE1219" s="1" t="str">
        <f>IF($E1219="","",$E1219&amp;"|"&amp;COUNTIFS($E$7:$E1219,$E1219))</f>
        <v/>
      </c>
    </row>
    <row r="1220" spans="1:31" ht="18" customHeight="1" x14ac:dyDescent="0.3">
      <c r="A1220" s="2"/>
      <c r="B1220" s="65" t="str">
        <f>IF($C1220="","","GG"&amp;TEXT(ROW()-6,"00000"))</f>
        <v/>
      </c>
      <c r="C1220" s="66"/>
      <c r="D1220" s="60"/>
      <c r="E1220" s="61"/>
      <c r="F1220" s="61"/>
      <c r="G1220" s="67"/>
      <c r="H1220" s="60"/>
      <c r="I1220" s="60"/>
      <c r="J1220" s="61"/>
      <c r="K1220" s="61"/>
      <c r="L1220" s="60"/>
      <c r="M1220" s="74" t="str">
        <f>IF($C1220="","",IF($D1220="Gider",$E1220,IF($L1220&lt;&gt;"",$L1220,$H1220)))</f>
        <v/>
      </c>
      <c r="N1220" s="74" t="str">
        <f>IF($C1220="","",IF($D1220="Gider",$H1220,$E1220))</f>
        <v/>
      </c>
      <c r="O1220" s="73" t="str">
        <f>IF($C1220="","",DATE(YEAR($C1220),MONTH($C1220),1))</f>
        <v/>
      </c>
      <c r="P1220" s="65" t="str">
        <f ca="1">IF($C1220="","",IF(AND($D1220="Gelir",$L1220&lt;&gt;"",$T1220=""),"TANIMSIZ BORÇLU",IF($T1220&lt;&gt;"",IF(OR($E1220="",$G1220&lt;=0),"EKSİK",IF($I1220="Evet","TAHAKKUK NAKİT OLAMAZ",IF($C1220&gt;TODAY(),"İLERİ TARİH","TAHAKKUK"))),IF(AND($D1220&lt;&gt;"",$E1220&lt;&gt;"",$G1220&gt;0,$H1220&lt;&gt;"",$I1220&lt;&gt;""),IF($C1220&gt;TODAY(),"İLERİ TARİH",IF(COUNTIF($W$7:$W$3001,$W1220)&gt;1,"MÜKERRER?",IF($AD1220&gt;0,"KAPALI DÖNEM",IF($I1220="Hayır","ÖDENECEK","UYGUN")))),"EKSİK"))))</f>
        <v/>
      </c>
      <c r="Q1220" s="2"/>
      <c r="R1220" s="2"/>
      <c r="S1220" s="1" t="str">
        <f t="shared" si="56"/>
        <v/>
      </c>
      <c r="T1220" s="1" t="str">
        <f>IF(OR($C1220="",$D1220&lt;&gt;"Gelir",$L1220=""),"",IFERROR(INDEX(MUSTERILER!$B$7:$B$156,MATCH($S1220,MUSTERILER!$T$7:$T$156,0)),""))</f>
        <v/>
      </c>
      <c r="U1220" s="1" t="str">
        <f>IF($T1220="","",$T1220&amp;"|"&amp;COUNTIFS($T$7:$T1220,$T1220))</f>
        <v/>
      </c>
      <c r="V1220" s="1">
        <f t="shared" si="57"/>
        <v>0</v>
      </c>
      <c r="W1220" s="1" t="str">
        <f t="shared" si="58"/>
        <v/>
      </c>
      <c r="X1220" s="1"/>
      <c r="Y1220" s="1"/>
      <c r="Z1220" s="1"/>
      <c r="AA1220" s="1"/>
      <c r="AB1220" s="1"/>
      <c r="AC1220" s="1"/>
      <c r="AD1220" s="1">
        <f>IF($C1220="",0,SUMPRODUCT((AY_SONU!$O$7:$O$42="Evet")*(AY_SONU!$B$7:$B$42=DATE(YEAR($C1220),MONTH($C1220),1))))</f>
        <v>0</v>
      </c>
      <c r="AE1220" s="1" t="str">
        <f>IF($E1220="","",$E1220&amp;"|"&amp;COUNTIFS($E$7:$E1220,$E1220))</f>
        <v/>
      </c>
    </row>
    <row r="1221" spans="1:31" ht="18" customHeight="1" x14ac:dyDescent="0.3">
      <c r="A1221" s="2"/>
      <c r="B1221" s="65" t="str">
        <f>IF($C1221="","","GG"&amp;TEXT(ROW()-6,"00000"))</f>
        <v/>
      </c>
      <c r="C1221" s="66"/>
      <c r="D1221" s="60"/>
      <c r="E1221" s="61"/>
      <c r="F1221" s="61"/>
      <c r="G1221" s="67"/>
      <c r="H1221" s="60"/>
      <c r="I1221" s="60"/>
      <c r="J1221" s="61"/>
      <c r="K1221" s="61"/>
      <c r="L1221" s="60"/>
      <c r="M1221" s="74" t="str">
        <f>IF($C1221="","",IF($D1221="Gider",$E1221,IF($L1221&lt;&gt;"",$L1221,$H1221)))</f>
        <v/>
      </c>
      <c r="N1221" s="74" t="str">
        <f>IF($C1221="","",IF($D1221="Gider",$H1221,$E1221))</f>
        <v/>
      </c>
      <c r="O1221" s="73" t="str">
        <f>IF($C1221="","",DATE(YEAR($C1221),MONTH($C1221),1))</f>
        <v/>
      </c>
      <c r="P1221" s="65" t="str">
        <f ca="1">IF($C1221="","",IF(AND($D1221="Gelir",$L1221&lt;&gt;"",$T1221=""),"TANIMSIZ BORÇLU",IF($T1221&lt;&gt;"",IF(OR($E1221="",$G1221&lt;=0),"EKSİK",IF($I1221="Evet","TAHAKKUK NAKİT OLAMAZ",IF($C1221&gt;TODAY(),"İLERİ TARİH","TAHAKKUK"))),IF(AND($D1221&lt;&gt;"",$E1221&lt;&gt;"",$G1221&gt;0,$H1221&lt;&gt;"",$I1221&lt;&gt;""),IF($C1221&gt;TODAY(),"İLERİ TARİH",IF(COUNTIF($W$7:$W$3001,$W1221)&gt;1,"MÜKERRER?",IF($AD1221&gt;0,"KAPALI DÖNEM",IF($I1221="Hayır","ÖDENECEK","UYGUN")))),"EKSİK"))))</f>
        <v/>
      </c>
      <c r="Q1221" s="2"/>
      <c r="R1221" s="2"/>
      <c r="S1221" s="1" t="str">
        <f t="shared" ref="S1221:S1284" si="59">IF($L1221="","",UPPER(SUBSTITUTE(SUBSTITUTE(SUBSTITUTE(SUBSTITUTE(SUBSTITUTE(SUBSTITUTE(SUBSTITUTE(SUBSTITUTE(SUBSTITUTE(SUBSTITUTE(SUBSTITUTE(SUBSTITUTE(SUBSTITUTE(SUBSTITUTE(SUBSTITUTE(SUBSTITUTE(SUBSTITUTE(SUBSTITUTE(TRIM($L1221),"'",""),"İ","I"),"ı","I"),"i","I"),"Ş","S"),"ş","S"),"Ğ","G"),"ğ","G"),"Ü","U"),"ü","U"),"Ö","O"),"ö","O"),"Ç","C"),"ç","C"),".",""),",","")," ",""),"-","")))</f>
        <v/>
      </c>
      <c r="T1221" s="1" t="str">
        <f>IF(OR($C1221="",$D1221&lt;&gt;"Gelir",$L1221=""),"",IFERROR(INDEX(MUSTERILER!$B$7:$B$156,MATCH($S1221,MUSTERILER!$T$7:$T$156,0)),""))</f>
        <v/>
      </c>
      <c r="U1221" s="1" t="str">
        <f>IF($T1221="","",$T1221&amp;"|"&amp;COUNTIFS($T$7:$T1221,$T1221))</f>
        <v/>
      </c>
      <c r="V1221" s="1">
        <f t="shared" ref="V1221:V1284" si="60">IF($T1221="",0,1)</f>
        <v>0</v>
      </c>
      <c r="W1221" s="1" t="str">
        <f t="shared" ref="W1221:W1284" si="61">IF($C1221="","",$D1221&amp;"|"&amp;$E1221&amp;"|"&amp;TEXT($C1221,"0")&amp;"|"&amp;TEXT($G1221,"0")&amp;"|"&amp;$F1221&amp;"|"&amp;$J1221)</f>
        <v/>
      </c>
      <c r="X1221" s="1"/>
      <c r="Y1221" s="1"/>
      <c r="Z1221" s="1"/>
      <c r="AA1221" s="1"/>
      <c r="AB1221" s="1"/>
      <c r="AC1221" s="1"/>
      <c r="AD1221" s="1">
        <f>IF($C1221="",0,SUMPRODUCT((AY_SONU!$O$7:$O$42="Evet")*(AY_SONU!$B$7:$B$42=DATE(YEAR($C1221),MONTH($C1221),1))))</f>
        <v>0</v>
      </c>
      <c r="AE1221" s="1" t="str">
        <f>IF($E1221="","",$E1221&amp;"|"&amp;COUNTIFS($E$7:$E1221,$E1221))</f>
        <v/>
      </c>
    </row>
    <row r="1222" spans="1:31" ht="18" customHeight="1" x14ac:dyDescent="0.3">
      <c r="A1222" s="2"/>
      <c r="B1222" s="65" t="str">
        <f>IF($C1222="","","GG"&amp;TEXT(ROW()-6,"00000"))</f>
        <v/>
      </c>
      <c r="C1222" s="66"/>
      <c r="D1222" s="60"/>
      <c r="E1222" s="61"/>
      <c r="F1222" s="61"/>
      <c r="G1222" s="67"/>
      <c r="H1222" s="60"/>
      <c r="I1222" s="60"/>
      <c r="J1222" s="61"/>
      <c r="K1222" s="61"/>
      <c r="L1222" s="60"/>
      <c r="M1222" s="74" t="str">
        <f>IF($C1222="","",IF($D1222="Gider",$E1222,IF($L1222&lt;&gt;"",$L1222,$H1222)))</f>
        <v/>
      </c>
      <c r="N1222" s="74" t="str">
        <f>IF($C1222="","",IF($D1222="Gider",$H1222,$E1222))</f>
        <v/>
      </c>
      <c r="O1222" s="73" t="str">
        <f>IF($C1222="","",DATE(YEAR($C1222),MONTH($C1222),1))</f>
        <v/>
      </c>
      <c r="P1222" s="65" t="str">
        <f ca="1">IF($C1222="","",IF(AND($D1222="Gelir",$L1222&lt;&gt;"",$T1222=""),"TANIMSIZ BORÇLU",IF($T1222&lt;&gt;"",IF(OR($E1222="",$G1222&lt;=0),"EKSİK",IF($I1222="Evet","TAHAKKUK NAKİT OLAMAZ",IF($C1222&gt;TODAY(),"İLERİ TARİH","TAHAKKUK"))),IF(AND($D1222&lt;&gt;"",$E1222&lt;&gt;"",$G1222&gt;0,$H1222&lt;&gt;"",$I1222&lt;&gt;""),IF($C1222&gt;TODAY(),"İLERİ TARİH",IF(COUNTIF($W$7:$W$3001,$W1222)&gt;1,"MÜKERRER?",IF($AD1222&gt;0,"KAPALI DÖNEM",IF($I1222="Hayır","ÖDENECEK","UYGUN")))),"EKSİK"))))</f>
        <v/>
      </c>
      <c r="Q1222" s="2"/>
      <c r="R1222" s="2"/>
      <c r="S1222" s="1" t="str">
        <f t="shared" si="59"/>
        <v/>
      </c>
      <c r="T1222" s="1" t="str">
        <f>IF(OR($C1222="",$D1222&lt;&gt;"Gelir",$L1222=""),"",IFERROR(INDEX(MUSTERILER!$B$7:$B$156,MATCH($S1222,MUSTERILER!$T$7:$T$156,0)),""))</f>
        <v/>
      </c>
      <c r="U1222" s="1" t="str">
        <f>IF($T1222="","",$T1222&amp;"|"&amp;COUNTIFS($T$7:$T1222,$T1222))</f>
        <v/>
      </c>
      <c r="V1222" s="1">
        <f t="shared" si="60"/>
        <v>0</v>
      </c>
      <c r="W1222" s="1" t="str">
        <f t="shared" si="61"/>
        <v/>
      </c>
      <c r="X1222" s="1"/>
      <c r="Y1222" s="1"/>
      <c r="Z1222" s="1"/>
      <c r="AA1222" s="1"/>
      <c r="AB1222" s="1"/>
      <c r="AC1222" s="1"/>
      <c r="AD1222" s="1">
        <f>IF($C1222="",0,SUMPRODUCT((AY_SONU!$O$7:$O$42="Evet")*(AY_SONU!$B$7:$B$42=DATE(YEAR($C1222),MONTH($C1222),1))))</f>
        <v>0</v>
      </c>
      <c r="AE1222" s="1" t="str">
        <f>IF($E1222="","",$E1222&amp;"|"&amp;COUNTIFS($E$7:$E1222,$E1222))</f>
        <v/>
      </c>
    </row>
    <row r="1223" spans="1:31" ht="18" customHeight="1" x14ac:dyDescent="0.3">
      <c r="A1223" s="2"/>
      <c r="B1223" s="65" t="str">
        <f>IF($C1223="","","GG"&amp;TEXT(ROW()-6,"00000"))</f>
        <v/>
      </c>
      <c r="C1223" s="66"/>
      <c r="D1223" s="60"/>
      <c r="E1223" s="61"/>
      <c r="F1223" s="61"/>
      <c r="G1223" s="67"/>
      <c r="H1223" s="60"/>
      <c r="I1223" s="60"/>
      <c r="J1223" s="61"/>
      <c r="K1223" s="61"/>
      <c r="L1223" s="60"/>
      <c r="M1223" s="74" t="str">
        <f>IF($C1223="","",IF($D1223="Gider",$E1223,IF($L1223&lt;&gt;"",$L1223,$H1223)))</f>
        <v/>
      </c>
      <c r="N1223" s="74" t="str">
        <f>IF($C1223="","",IF($D1223="Gider",$H1223,$E1223))</f>
        <v/>
      </c>
      <c r="O1223" s="73" t="str">
        <f>IF($C1223="","",DATE(YEAR($C1223),MONTH($C1223),1))</f>
        <v/>
      </c>
      <c r="P1223" s="65" t="str">
        <f ca="1"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TARİH",IF(COUNTIF($W$7:$W$3001,$W1223)&gt;1,"MÜKERRER?",IF($AD1223&gt;0,"KAPALI DÖNEM",IF($I1223="Hayır","ÖDENECEK","UYGUN")))),"EKSİK"))))</f>
        <v/>
      </c>
      <c r="Q1223" s="2"/>
      <c r="R1223" s="2"/>
      <c r="S1223" s="1" t="str">
        <f t="shared" si="59"/>
        <v/>
      </c>
      <c r="T1223" s="1" t="str">
        <f>IF(OR($C1223="",$D1223&lt;&gt;"Gelir",$L1223=""),"",IFERROR(INDEX(MUSTERILER!$B$7:$B$156,MATCH($S1223,MUSTERILER!$T$7:$T$156,0)),""))</f>
        <v/>
      </c>
      <c r="U1223" s="1" t="str">
        <f>IF($T1223="","",$T1223&amp;"|"&amp;COUNTIFS($T$7:$T1223,$T1223))</f>
        <v/>
      </c>
      <c r="V1223" s="1">
        <f t="shared" si="60"/>
        <v>0</v>
      </c>
      <c r="W1223" s="1" t="str">
        <f t="shared" si="61"/>
        <v/>
      </c>
      <c r="X1223" s="1"/>
      <c r="Y1223" s="1"/>
      <c r="Z1223" s="1"/>
      <c r="AA1223" s="1"/>
      <c r="AB1223" s="1"/>
      <c r="AC1223" s="1"/>
      <c r="AD1223" s="1">
        <f>IF($C1223="",0,SUMPRODUCT((AY_SONU!$O$7:$O$42="Evet")*(AY_SONU!$B$7:$B$42=DATE(YEAR($C1223),MONTH($C1223),1))))</f>
        <v>0</v>
      </c>
      <c r="AE1223" s="1" t="str">
        <f>IF($E1223="","",$E1223&amp;"|"&amp;COUNTIFS($E$7:$E1223,$E1223))</f>
        <v/>
      </c>
    </row>
    <row r="1224" spans="1:31" ht="18" customHeight="1" x14ac:dyDescent="0.3">
      <c r="A1224" s="2"/>
      <c r="B1224" s="65" t="str">
        <f>IF($C1224="","","GG"&amp;TEXT(ROW()-6,"00000"))</f>
        <v/>
      </c>
      <c r="C1224" s="66"/>
      <c r="D1224" s="60"/>
      <c r="E1224" s="61"/>
      <c r="F1224" s="61"/>
      <c r="G1224" s="67"/>
      <c r="H1224" s="60"/>
      <c r="I1224" s="60"/>
      <c r="J1224" s="61"/>
      <c r="K1224" s="61"/>
      <c r="L1224" s="60"/>
      <c r="M1224" s="74" t="str">
        <f>IF($C1224="","",IF($D1224="Gider",$E1224,IF($L1224&lt;&gt;"",$L1224,$H1224)))</f>
        <v/>
      </c>
      <c r="N1224" s="74" t="str">
        <f>IF($C1224="","",IF($D1224="Gider",$H1224,$E1224))</f>
        <v/>
      </c>
      <c r="O1224" s="73" t="str">
        <f>IF($C1224="","",DATE(YEAR($C1224),MONTH($C1224),1))</f>
        <v/>
      </c>
      <c r="P1224" s="65" t="str">
        <f ca="1">IF($C1224="","",IF(AND($D1224="Gelir",$L1224&lt;&gt;"",$T1224=""),"TANIMSIZ BORÇLU",IF($T1224&lt;&gt;"",IF(OR($E1224="",$G1224&lt;=0),"EKSİK",IF($I1224="Evet","TAHAKKUK NAKİT OLAMAZ",IF($C1224&gt;TODAY(),"İLERİ TARİH","TAHAKKUK"))),IF(AND($D1224&lt;&gt;"",$E1224&lt;&gt;"",$G1224&gt;0,$H1224&lt;&gt;"",$I1224&lt;&gt;""),IF($C1224&gt;TODAY(),"İLERİ TARİH",IF(COUNTIF($W$7:$W$3001,$W1224)&gt;1,"MÜKERRER?",IF($AD1224&gt;0,"KAPALI DÖNEM",IF($I1224="Hayır","ÖDENECEK","UYGUN")))),"EKSİK"))))</f>
        <v/>
      </c>
      <c r="Q1224" s="2"/>
      <c r="R1224" s="2"/>
      <c r="S1224" s="1" t="str">
        <f t="shared" si="59"/>
        <v/>
      </c>
      <c r="T1224" s="1" t="str">
        <f>IF(OR($C1224="",$D1224&lt;&gt;"Gelir",$L1224=""),"",IFERROR(INDEX(MUSTERILER!$B$7:$B$156,MATCH($S1224,MUSTERILER!$T$7:$T$156,0)),""))</f>
        <v/>
      </c>
      <c r="U1224" s="1" t="str">
        <f>IF($T1224="","",$T1224&amp;"|"&amp;COUNTIFS($T$7:$T1224,$T1224))</f>
        <v/>
      </c>
      <c r="V1224" s="1">
        <f t="shared" si="60"/>
        <v>0</v>
      </c>
      <c r="W1224" s="1" t="str">
        <f t="shared" si="61"/>
        <v/>
      </c>
      <c r="X1224" s="1"/>
      <c r="Y1224" s="1"/>
      <c r="Z1224" s="1"/>
      <c r="AA1224" s="1"/>
      <c r="AB1224" s="1"/>
      <c r="AC1224" s="1"/>
      <c r="AD1224" s="1">
        <f>IF($C1224="",0,SUMPRODUCT((AY_SONU!$O$7:$O$42="Evet")*(AY_SONU!$B$7:$B$42=DATE(YEAR($C1224),MONTH($C1224),1))))</f>
        <v>0</v>
      </c>
      <c r="AE1224" s="1" t="str">
        <f>IF($E1224="","",$E1224&amp;"|"&amp;COUNTIFS($E$7:$E1224,$E1224))</f>
        <v/>
      </c>
    </row>
    <row r="1225" spans="1:31" ht="18" customHeight="1" x14ac:dyDescent="0.3">
      <c r="A1225" s="2"/>
      <c r="B1225" s="65" t="str">
        <f>IF($C1225="","","GG"&amp;TEXT(ROW()-6,"00000"))</f>
        <v/>
      </c>
      <c r="C1225" s="66"/>
      <c r="D1225" s="60"/>
      <c r="E1225" s="61"/>
      <c r="F1225" s="61"/>
      <c r="G1225" s="67"/>
      <c r="H1225" s="60"/>
      <c r="I1225" s="60"/>
      <c r="J1225" s="61"/>
      <c r="K1225" s="61"/>
      <c r="L1225" s="60"/>
      <c r="M1225" s="74" t="str">
        <f>IF($C1225="","",IF($D1225="Gider",$E1225,IF($L1225&lt;&gt;"",$L1225,$H1225)))</f>
        <v/>
      </c>
      <c r="N1225" s="74" t="str">
        <f>IF($C1225="","",IF($D1225="Gider",$H1225,$E1225))</f>
        <v/>
      </c>
      <c r="O1225" s="73" t="str">
        <f>IF($C1225="","",DATE(YEAR($C1225),MONTH($C1225),1))</f>
        <v/>
      </c>
      <c r="P1225" s="65" t="str">
        <f ca="1">IF($C1225="","",IF(AND($D1225="Gelir",$L1225&lt;&gt;"",$T1225=""),"TANIMSIZ BORÇLU",IF($T1225&lt;&gt;"",IF(OR($E1225="",$G1225&lt;=0),"EKSİK",IF($I1225="Evet","TAHAKKUK NAKİT OLAMAZ",IF($C1225&gt;TODAY(),"İLERİ TARİH","TAHAKKUK"))),IF(AND($D1225&lt;&gt;"",$E1225&lt;&gt;"",$G1225&gt;0,$H1225&lt;&gt;"",$I1225&lt;&gt;""),IF($C1225&gt;TODAY(),"İLERİ TARİH",IF(COUNTIF($W$7:$W$3001,$W1225)&gt;1,"MÜKERRER?",IF($AD1225&gt;0,"KAPALI DÖNEM",IF($I1225="Hayır","ÖDENECEK","UYGUN")))),"EKSİK"))))</f>
        <v/>
      </c>
      <c r="Q1225" s="2"/>
      <c r="R1225" s="2"/>
      <c r="S1225" s="1" t="str">
        <f t="shared" si="59"/>
        <v/>
      </c>
      <c r="T1225" s="1" t="str">
        <f>IF(OR($C1225="",$D1225&lt;&gt;"Gelir",$L1225=""),"",IFERROR(INDEX(MUSTERILER!$B$7:$B$156,MATCH($S1225,MUSTERILER!$T$7:$T$156,0)),""))</f>
        <v/>
      </c>
      <c r="U1225" s="1" t="str">
        <f>IF($T1225="","",$T1225&amp;"|"&amp;COUNTIFS($T$7:$T1225,$T1225))</f>
        <v/>
      </c>
      <c r="V1225" s="1">
        <f t="shared" si="60"/>
        <v>0</v>
      </c>
      <c r="W1225" s="1" t="str">
        <f t="shared" si="61"/>
        <v/>
      </c>
      <c r="X1225" s="1"/>
      <c r="Y1225" s="1"/>
      <c r="Z1225" s="1"/>
      <c r="AA1225" s="1"/>
      <c r="AB1225" s="1"/>
      <c r="AC1225" s="1"/>
      <c r="AD1225" s="1">
        <f>IF($C1225="",0,SUMPRODUCT((AY_SONU!$O$7:$O$42="Evet")*(AY_SONU!$B$7:$B$42=DATE(YEAR($C1225),MONTH($C1225),1))))</f>
        <v>0</v>
      </c>
      <c r="AE1225" s="1" t="str">
        <f>IF($E1225="","",$E1225&amp;"|"&amp;COUNTIFS($E$7:$E1225,$E1225))</f>
        <v/>
      </c>
    </row>
    <row r="1226" spans="1:31" ht="18" customHeight="1" x14ac:dyDescent="0.3">
      <c r="A1226" s="2"/>
      <c r="B1226" s="65" t="str">
        <f>IF($C1226="","","GG"&amp;TEXT(ROW()-6,"00000"))</f>
        <v/>
      </c>
      <c r="C1226" s="66"/>
      <c r="D1226" s="60"/>
      <c r="E1226" s="61"/>
      <c r="F1226" s="61"/>
      <c r="G1226" s="67"/>
      <c r="H1226" s="60"/>
      <c r="I1226" s="60"/>
      <c r="J1226" s="61"/>
      <c r="K1226" s="61"/>
      <c r="L1226" s="60"/>
      <c r="M1226" s="74" t="str">
        <f>IF($C1226="","",IF($D1226="Gider",$E1226,IF($L1226&lt;&gt;"",$L1226,$H1226)))</f>
        <v/>
      </c>
      <c r="N1226" s="74" t="str">
        <f>IF($C1226="","",IF($D1226="Gider",$H1226,$E1226))</f>
        <v/>
      </c>
      <c r="O1226" s="73" t="str">
        <f>IF($C1226="","",DATE(YEAR($C1226),MONTH($C1226),1))</f>
        <v/>
      </c>
      <c r="P1226" s="65" t="str">
        <f ca="1">IF($C1226="","",IF(AND($D1226="Gelir",$L1226&lt;&gt;"",$T1226=""),"TANIMSIZ BORÇLU",IF($T1226&lt;&gt;"",IF(OR($E1226="",$G1226&lt;=0),"EKSİK",IF($I1226="Evet","TAHAKKUK NAKİT OLAMAZ",IF($C1226&gt;TODAY(),"İLERİ TARİH","TAHAKKUK"))),IF(AND($D1226&lt;&gt;"",$E1226&lt;&gt;"",$G1226&gt;0,$H1226&lt;&gt;"",$I1226&lt;&gt;""),IF($C1226&gt;TODAY(),"İLERİ TARİH",IF(COUNTIF($W$7:$W$3001,$W1226)&gt;1,"MÜKERRER?",IF($AD1226&gt;0,"KAPALI DÖNEM",IF($I1226="Hayır","ÖDENECEK","UYGUN")))),"EKSİK"))))</f>
        <v/>
      </c>
      <c r="Q1226" s="2"/>
      <c r="R1226" s="2"/>
      <c r="S1226" s="1" t="str">
        <f t="shared" si="59"/>
        <v/>
      </c>
      <c r="T1226" s="1" t="str">
        <f>IF(OR($C1226="",$D1226&lt;&gt;"Gelir",$L1226=""),"",IFERROR(INDEX(MUSTERILER!$B$7:$B$156,MATCH($S1226,MUSTERILER!$T$7:$T$156,0)),""))</f>
        <v/>
      </c>
      <c r="U1226" s="1" t="str">
        <f>IF($T1226="","",$T1226&amp;"|"&amp;COUNTIFS($T$7:$T1226,$T1226))</f>
        <v/>
      </c>
      <c r="V1226" s="1">
        <f t="shared" si="60"/>
        <v>0</v>
      </c>
      <c r="W1226" s="1" t="str">
        <f t="shared" si="61"/>
        <v/>
      </c>
      <c r="X1226" s="1"/>
      <c r="Y1226" s="1"/>
      <c r="Z1226" s="1"/>
      <c r="AA1226" s="1"/>
      <c r="AB1226" s="1"/>
      <c r="AC1226" s="1"/>
      <c r="AD1226" s="1">
        <f>IF($C1226="",0,SUMPRODUCT((AY_SONU!$O$7:$O$42="Evet")*(AY_SONU!$B$7:$B$42=DATE(YEAR($C1226),MONTH($C1226),1))))</f>
        <v>0</v>
      </c>
      <c r="AE1226" s="1" t="str">
        <f>IF($E1226="","",$E1226&amp;"|"&amp;COUNTIFS($E$7:$E1226,$E1226))</f>
        <v/>
      </c>
    </row>
    <row r="1227" spans="1:31" ht="18" customHeight="1" x14ac:dyDescent="0.3">
      <c r="A1227" s="2"/>
      <c r="B1227" s="65" t="str">
        <f>IF($C1227="","","GG"&amp;TEXT(ROW()-6,"00000"))</f>
        <v/>
      </c>
      <c r="C1227" s="66"/>
      <c r="D1227" s="60"/>
      <c r="E1227" s="61"/>
      <c r="F1227" s="61"/>
      <c r="G1227" s="67"/>
      <c r="H1227" s="60"/>
      <c r="I1227" s="60"/>
      <c r="J1227" s="61"/>
      <c r="K1227" s="61"/>
      <c r="L1227" s="60"/>
      <c r="M1227" s="74" t="str">
        <f>IF($C1227="","",IF($D1227="Gider",$E1227,IF($L1227&lt;&gt;"",$L1227,$H1227)))</f>
        <v/>
      </c>
      <c r="N1227" s="74" t="str">
        <f>IF($C1227="","",IF($D1227="Gider",$H1227,$E1227))</f>
        <v/>
      </c>
      <c r="O1227" s="73" t="str">
        <f>IF($C1227="","",DATE(YEAR($C1227),MONTH($C1227),1))</f>
        <v/>
      </c>
      <c r="P1227" s="65" t="str">
        <f ca="1">IF($C1227="","",IF(AND($D1227="Gelir",$L1227&lt;&gt;"",$T1227=""),"TANIMSIZ BORÇLU",IF($T1227&lt;&gt;"",IF(OR($E1227="",$G1227&lt;=0),"EKSİK",IF($I1227="Evet","TAHAKKUK NAKİT OLAMAZ",IF($C1227&gt;TODAY(),"İLERİ TARİH","TAHAKKUK"))),IF(AND($D1227&lt;&gt;"",$E1227&lt;&gt;"",$G1227&gt;0,$H1227&lt;&gt;"",$I1227&lt;&gt;""),IF($C1227&gt;TODAY(),"İLERİ TARİH",IF(COUNTIF($W$7:$W$3001,$W1227)&gt;1,"MÜKERRER?",IF($AD1227&gt;0,"KAPALI DÖNEM",IF($I1227="Hayır","ÖDENECEK","UYGUN")))),"EKSİK"))))</f>
        <v/>
      </c>
      <c r="Q1227" s="2"/>
      <c r="R1227" s="2"/>
      <c r="S1227" s="1" t="str">
        <f t="shared" si="59"/>
        <v/>
      </c>
      <c r="T1227" s="1" t="str">
        <f>IF(OR($C1227="",$D1227&lt;&gt;"Gelir",$L1227=""),"",IFERROR(INDEX(MUSTERILER!$B$7:$B$156,MATCH($S1227,MUSTERILER!$T$7:$T$156,0)),""))</f>
        <v/>
      </c>
      <c r="U1227" s="1" t="str">
        <f>IF($T1227="","",$T1227&amp;"|"&amp;COUNTIFS($T$7:$T1227,$T1227))</f>
        <v/>
      </c>
      <c r="V1227" s="1">
        <f t="shared" si="60"/>
        <v>0</v>
      </c>
      <c r="W1227" s="1" t="str">
        <f t="shared" si="61"/>
        <v/>
      </c>
      <c r="X1227" s="1"/>
      <c r="Y1227" s="1"/>
      <c r="Z1227" s="1"/>
      <c r="AA1227" s="1"/>
      <c r="AB1227" s="1"/>
      <c r="AC1227" s="1"/>
      <c r="AD1227" s="1">
        <f>IF($C1227="",0,SUMPRODUCT((AY_SONU!$O$7:$O$42="Evet")*(AY_SONU!$B$7:$B$42=DATE(YEAR($C1227),MONTH($C1227),1))))</f>
        <v>0</v>
      </c>
      <c r="AE1227" s="1" t="str">
        <f>IF($E1227="","",$E1227&amp;"|"&amp;COUNTIFS($E$7:$E1227,$E1227))</f>
        <v/>
      </c>
    </row>
    <row r="1228" spans="1:31" ht="18" customHeight="1" x14ac:dyDescent="0.3">
      <c r="A1228" s="2"/>
      <c r="B1228" s="65" t="str">
        <f>IF($C1228="","","GG"&amp;TEXT(ROW()-6,"00000"))</f>
        <v/>
      </c>
      <c r="C1228" s="66"/>
      <c r="D1228" s="60"/>
      <c r="E1228" s="61"/>
      <c r="F1228" s="61"/>
      <c r="G1228" s="67"/>
      <c r="H1228" s="60"/>
      <c r="I1228" s="60"/>
      <c r="J1228" s="61"/>
      <c r="K1228" s="61"/>
      <c r="L1228" s="60"/>
      <c r="M1228" s="74" t="str">
        <f>IF($C1228="","",IF($D1228="Gider",$E1228,IF($L1228&lt;&gt;"",$L1228,$H1228)))</f>
        <v/>
      </c>
      <c r="N1228" s="74" t="str">
        <f>IF($C1228="","",IF($D1228="Gider",$H1228,$E1228))</f>
        <v/>
      </c>
      <c r="O1228" s="73" t="str">
        <f>IF($C1228="","",DATE(YEAR($C1228),MONTH($C1228),1))</f>
        <v/>
      </c>
      <c r="P1228" s="65" t="str">
        <f ca="1">IF($C1228="","",IF(AND($D1228="Gelir",$L1228&lt;&gt;"",$T1228=""),"TANIMSIZ BORÇLU",IF($T1228&lt;&gt;"",IF(OR($E1228="",$G1228&lt;=0),"EKSİK",IF($I1228="Evet","TAHAKKUK NAKİT OLAMAZ",IF($C1228&gt;TODAY(),"İLERİ TARİH","TAHAKKUK"))),IF(AND($D1228&lt;&gt;"",$E1228&lt;&gt;"",$G1228&gt;0,$H1228&lt;&gt;"",$I1228&lt;&gt;""),IF($C1228&gt;TODAY(),"İLERİ TARİH",IF(COUNTIF($W$7:$W$3001,$W1228)&gt;1,"MÜKERRER?",IF($AD1228&gt;0,"KAPALI DÖNEM",IF($I1228="Hayır","ÖDENECEK","UYGUN")))),"EKSİK"))))</f>
        <v/>
      </c>
      <c r="Q1228" s="2"/>
      <c r="R1228" s="2"/>
      <c r="S1228" s="1" t="str">
        <f t="shared" si="59"/>
        <v/>
      </c>
      <c r="T1228" s="1" t="str">
        <f>IF(OR($C1228="",$D1228&lt;&gt;"Gelir",$L1228=""),"",IFERROR(INDEX(MUSTERILER!$B$7:$B$156,MATCH($S1228,MUSTERILER!$T$7:$T$156,0)),""))</f>
        <v/>
      </c>
      <c r="U1228" s="1" t="str">
        <f>IF($T1228="","",$T1228&amp;"|"&amp;COUNTIFS($T$7:$T1228,$T1228))</f>
        <v/>
      </c>
      <c r="V1228" s="1">
        <f t="shared" si="60"/>
        <v>0</v>
      </c>
      <c r="W1228" s="1" t="str">
        <f t="shared" si="61"/>
        <v/>
      </c>
      <c r="X1228" s="1"/>
      <c r="Y1228" s="1"/>
      <c r="Z1228" s="1"/>
      <c r="AA1228" s="1"/>
      <c r="AB1228" s="1"/>
      <c r="AC1228" s="1"/>
      <c r="AD1228" s="1">
        <f>IF($C1228="",0,SUMPRODUCT((AY_SONU!$O$7:$O$42="Evet")*(AY_SONU!$B$7:$B$42=DATE(YEAR($C1228),MONTH($C1228),1))))</f>
        <v>0</v>
      </c>
      <c r="AE1228" s="1" t="str">
        <f>IF($E1228="","",$E1228&amp;"|"&amp;COUNTIFS($E$7:$E1228,$E1228))</f>
        <v/>
      </c>
    </row>
    <row r="1229" spans="1:31" ht="18" customHeight="1" x14ac:dyDescent="0.3">
      <c r="A1229" s="2"/>
      <c r="B1229" s="65" t="str">
        <f>IF($C1229="","","GG"&amp;TEXT(ROW()-6,"00000"))</f>
        <v/>
      </c>
      <c r="C1229" s="66"/>
      <c r="D1229" s="60"/>
      <c r="E1229" s="61"/>
      <c r="F1229" s="61"/>
      <c r="G1229" s="67"/>
      <c r="H1229" s="60"/>
      <c r="I1229" s="60"/>
      <c r="J1229" s="61"/>
      <c r="K1229" s="61"/>
      <c r="L1229" s="60"/>
      <c r="M1229" s="74" t="str">
        <f>IF($C1229="","",IF($D1229="Gider",$E1229,IF($L1229&lt;&gt;"",$L1229,$H1229)))</f>
        <v/>
      </c>
      <c r="N1229" s="74" t="str">
        <f>IF($C1229="","",IF($D1229="Gider",$H1229,$E1229))</f>
        <v/>
      </c>
      <c r="O1229" s="73" t="str">
        <f>IF($C1229="","",DATE(YEAR($C1229),MONTH($C1229),1))</f>
        <v/>
      </c>
      <c r="P1229" s="65" t="str">
        <f ca="1">IF($C1229="","",IF(AND($D1229="Gelir",$L1229&lt;&gt;"",$T1229=""),"TANIMSIZ BORÇLU",IF($T1229&lt;&gt;"",IF(OR($E1229="",$G1229&lt;=0),"EKSİK",IF($I1229="Evet","TAHAKKUK NAKİT OLAMAZ",IF($C1229&gt;TODAY(),"İLERİ TARİH","TAHAKKUK"))),IF(AND($D1229&lt;&gt;"",$E1229&lt;&gt;"",$G1229&gt;0,$H1229&lt;&gt;"",$I1229&lt;&gt;""),IF($C1229&gt;TODAY(),"İLERİ TARİH",IF(COUNTIF($W$7:$W$3001,$W1229)&gt;1,"MÜKERRER?",IF($AD1229&gt;0,"KAPALI DÖNEM",IF($I1229="Hayır","ÖDENECEK","UYGUN")))),"EKSİK"))))</f>
        <v/>
      </c>
      <c r="Q1229" s="2"/>
      <c r="R1229" s="2"/>
      <c r="S1229" s="1" t="str">
        <f t="shared" si="59"/>
        <v/>
      </c>
      <c r="T1229" s="1" t="str">
        <f>IF(OR($C1229="",$D1229&lt;&gt;"Gelir",$L1229=""),"",IFERROR(INDEX(MUSTERILER!$B$7:$B$156,MATCH($S1229,MUSTERILER!$T$7:$T$156,0)),""))</f>
        <v/>
      </c>
      <c r="U1229" s="1" t="str">
        <f>IF($T1229="","",$T1229&amp;"|"&amp;COUNTIFS($T$7:$T1229,$T1229))</f>
        <v/>
      </c>
      <c r="V1229" s="1">
        <f t="shared" si="60"/>
        <v>0</v>
      </c>
      <c r="W1229" s="1" t="str">
        <f t="shared" si="61"/>
        <v/>
      </c>
      <c r="X1229" s="1"/>
      <c r="Y1229" s="1"/>
      <c r="Z1229" s="1"/>
      <c r="AA1229" s="1"/>
      <c r="AB1229" s="1"/>
      <c r="AC1229" s="1"/>
      <c r="AD1229" s="1">
        <f>IF($C1229="",0,SUMPRODUCT((AY_SONU!$O$7:$O$42="Evet")*(AY_SONU!$B$7:$B$42=DATE(YEAR($C1229),MONTH($C1229),1))))</f>
        <v>0</v>
      </c>
      <c r="AE1229" s="1" t="str">
        <f>IF($E1229="","",$E1229&amp;"|"&amp;COUNTIFS($E$7:$E1229,$E1229))</f>
        <v/>
      </c>
    </row>
    <row r="1230" spans="1:31" ht="18" customHeight="1" x14ac:dyDescent="0.3">
      <c r="A1230" s="2"/>
      <c r="B1230" s="65" t="str">
        <f>IF($C1230="","","GG"&amp;TEXT(ROW()-6,"00000"))</f>
        <v/>
      </c>
      <c r="C1230" s="66"/>
      <c r="D1230" s="60"/>
      <c r="E1230" s="61"/>
      <c r="F1230" s="61"/>
      <c r="G1230" s="67"/>
      <c r="H1230" s="60"/>
      <c r="I1230" s="60"/>
      <c r="J1230" s="61"/>
      <c r="K1230" s="61"/>
      <c r="L1230" s="60"/>
      <c r="M1230" s="74" t="str">
        <f>IF($C1230="","",IF($D1230="Gider",$E1230,IF($L1230&lt;&gt;"",$L1230,$H1230)))</f>
        <v/>
      </c>
      <c r="N1230" s="74" t="str">
        <f>IF($C1230="","",IF($D1230="Gider",$H1230,$E1230))</f>
        <v/>
      </c>
      <c r="O1230" s="73" t="str">
        <f>IF($C1230="","",DATE(YEAR($C1230),MONTH($C1230),1))</f>
        <v/>
      </c>
      <c r="P1230" s="65" t="str">
        <f ca="1">IF($C1230="","",IF(AND($D1230="Gelir",$L1230&lt;&gt;"",$T1230=""),"TANIMSIZ BORÇLU",IF($T1230&lt;&gt;"",IF(OR($E1230="",$G1230&lt;=0),"EKSİK",IF($I1230="Evet","TAHAKKUK NAKİT OLAMAZ",IF($C1230&gt;TODAY(),"İLERİ TARİH","TAHAKKUK"))),IF(AND($D1230&lt;&gt;"",$E1230&lt;&gt;"",$G1230&gt;0,$H1230&lt;&gt;"",$I1230&lt;&gt;""),IF($C1230&gt;TODAY(),"İLERİ TARİH",IF(COUNTIF($W$7:$W$3001,$W1230)&gt;1,"MÜKERRER?",IF($AD1230&gt;0,"KAPALI DÖNEM",IF($I1230="Hayır","ÖDENECEK","UYGUN")))),"EKSİK"))))</f>
        <v/>
      </c>
      <c r="Q1230" s="2"/>
      <c r="R1230" s="2"/>
      <c r="S1230" s="1" t="str">
        <f t="shared" si="59"/>
        <v/>
      </c>
      <c r="T1230" s="1" t="str">
        <f>IF(OR($C1230="",$D1230&lt;&gt;"Gelir",$L1230=""),"",IFERROR(INDEX(MUSTERILER!$B$7:$B$156,MATCH($S1230,MUSTERILER!$T$7:$T$156,0)),""))</f>
        <v/>
      </c>
      <c r="U1230" s="1" t="str">
        <f>IF($T1230="","",$T1230&amp;"|"&amp;COUNTIFS($T$7:$T1230,$T1230))</f>
        <v/>
      </c>
      <c r="V1230" s="1">
        <f t="shared" si="60"/>
        <v>0</v>
      </c>
      <c r="W1230" s="1" t="str">
        <f t="shared" si="61"/>
        <v/>
      </c>
      <c r="X1230" s="1"/>
      <c r="Y1230" s="1"/>
      <c r="Z1230" s="1"/>
      <c r="AA1230" s="1"/>
      <c r="AB1230" s="1"/>
      <c r="AC1230" s="1"/>
      <c r="AD1230" s="1">
        <f>IF($C1230="",0,SUMPRODUCT((AY_SONU!$O$7:$O$42="Evet")*(AY_SONU!$B$7:$B$42=DATE(YEAR($C1230),MONTH($C1230),1))))</f>
        <v>0</v>
      </c>
      <c r="AE1230" s="1" t="str">
        <f>IF($E1230="","",$E1230&amp;"|"&amp;COUNTIFS($E$7:$E1230,$E1230))</f>
        <v/>
      </c>
    </row>
    <row r="1231" spans="1:31" ht="18" customHeight="1" x14ac:dyDescent="0.3">
      <c r="A1231" s="2"/>
      <c r="B1231" s="65" t="str">
        <f>IF($C1231="","","GG"&amp;TEXT(ROW()-6,"00000"))</f>
        <v/>
      </c>
      <c r="C1231" s="66"/>
      <c r="D1231" s="60"/>
      <c r="E1231" s="61"/>
      <c r="F1231" s="61"/>
      <c r="G1231" s="67"/>
      <c r="H1231" s="60"/>
      <c r="I1231" s="60"/>
      <c r="J1231" s="61"/>
      <c r="K1231" s="61"/>
      <c r="L1231" s="60"/>
      <c r="M1231" s="74" t="str">
        <f>IF($C1231="","",IF($D1231="Gider",$E1231,IF($L1231&lt;&gt;"",$L1231,$H1231)))</f>
        <v/>
      </c>
      <c r="N1231" s="74" t="str">
        <f>IF($C1231="","",IF($D1231="Gider",$H1231,$E1231))</f>
        <v/>
      </c>
      <c r="O1231" s="73" t="str">
        <f>IF($C1231="","",DATE(YEAR($C1231),MONTH($C1231),1))</f>
        <v/>
      </c>
      <c r="P1231" s="65" t="str">
        <f ca="1">IF($C1231="","",IF(AND($D1231="Gelir",$L1231&lt;&gt;"",$T1231=""),"TANIMSIZ BORÇLU",IF($T1231&lt;&gt;"",IF(OR($E1231="",$G1231&lt;=0),"EKSİK",IF($I1231="Evet","TAHAKKUK NAKİT OLAMAZ",IF($C1231&gt;TODAY(),"İLERİ TARİH","TAHAKKUK"))),IF(AND($D1231&lt;&gt;"",$E1231&lt;&gt;"",$G1231&gt;0,$H1231&lt;&gt;"",$I1231&lt;&gt;""),IF($C1231&gt;TODAY(),"İLERİ TARİH",IF(COUNTIF($W$7:$W$3001,$W1231)&gt;1,"MÜKERRER?",IF($AD1231&gt;0,"KAPALI DÖNEM",IF($I1231="Hayır","ÖDENECEK","UYGUN")))),"EKSİK"))))</f>
        <v/>
      </c>
      <c r="Q1231" s="2"/>
      <c r="R1231" s="2"/>
      <c r="S1231" s="1" t="str">
        <f t="shared" si="59"/>
        <v/>
      </c>
      <c r="T1231" s="1" t="str">
        <f>IF(OR($C1231="",$D1231&lt;&gt;"Gelir",$L1231=""),"",IFERROR(INDEX(MUSTERILER!$B$7:$B$156,MATCH($S1231,MUSTERILER!$T$7:$T$156,0)),""))</f>
        <v/>
      </c>
      <c r="U1231" s="1" t="str">
        <f>IF($T1231="","",$T1231&amp;"|"&amp;COUNTIFS($T$7:$T1231,$T1231))</f>
        <v/>
      </c>
      <c r="V1231" s="1">
        <f t="shared" si="60"/>
        <v>0</v>
      </c>
      <c r="W1231" s="1" t="str">
        <f t="shared" si="61"/>
        <v/>
      </c>
      <c r="X1231" s="1"/>
      <c r="Y1231" s="1"/>
      <c r="Z1231" s="1"/>
      <c r="AA1231" s="1"/>
      <c r="AB1231" s="1"/>
      <c r="AC1231" s="1"/>
      <c r="AD1231" s="1">
        <f>IF($C1231="",0,SUMPRODUCT((AY_SONU!$O$7:$O$42="Evet")*(AY_SONU!$B$7:$B$42=DATE(YEAR($C1231),MONTH($C1231),1))))</f>
        <v>0</v>
      </c>
      <c r="AE1231" s="1" t="str">
        <f>IF($E1231="","",$E1231&amp;"|"&amp;COUNTIFS($E$7:$E1231,$E1231))</f>
        <v/>
      </c>
    </row>
    <row r="1232" spans="1:31" ht="18" customHeight="1" x14ac:dyDescent="0.3">
      <c r="A1232" s="2"/>
      <c r="B1232" s="65" t="str">
        <f>IF($C1232="","","GG"&amp;TEXT(ROW()-6,"00000"))</f>
        <v/>
      </c>
      <c r="C1232" s="66"/>
      <c r="D1232" s="60"/>
      <c r="E1232" s="61"/>
      <c r="F1232" s="61"/>
      <c r="G1232" s="67"/>
      <c r="H1232" s="60"/>
      <c r="I1232" s="60"/>
      <c r="J1232" s="61"/>
      <c r="K1232" s="61"/>
      <c r="L1232" s="60"/>
      <c r="M1232" s="74" t="str">
        <f>IF($C1232="","",IF($D1232="Gider",$E1232,IF($L1232&lt;&gt;"",$L1232,$H1232)))</f>
        <v/>
      </c>
      <c r="N1232" s="74" t="str">
        <f>IF($C1232="","",IF($D1232="Gider",$H1232,$E1232))</f>
        <v/>
      </c>
      <c r="O1232" s="73" t="str">
        <f>IF($C1232="","",DATE(YEAR($C1232),MONTH($C1232),1))</f>
        <v/>
      </c>
      <c r="P1232" s="65" t="str">
        <f ca="1">IF($C1232="","",IF(AND($D1232="Gelir",$L1232&lt;&gt;"",$T1232=""),"TANIMSIZ BORÇLU",IF($T1232&lt;&gt;"",IF(OR($E1232="",$G1232&lt;=0),"EKSİK",IF($I1232="Evet","TAHAKKUK NAKİT OLAMAZ",IF($C1232&gt;TODAY(),"İLERİ TARİH","TAHAKKUK"))),IF(AND($D1232&lt;&gt;"",$E1232&lt;&gt;"",$G1232&gt;0,$H1232&lt;&gt;"",$I1232&lt;&gt;""),IF($C1232&gt;TODAY(),"İLERİ TARİH",IF(COUNTIF($W$7:$W$3001,$W1232)&gt;1,"MÜKERRER?",IF($AD1232&gt;0,"KAPALI DÖNEM",IF($I1232="Hayır","ÖDENECEK","UYGUN")))),"EKSİK"))))</f>
        <v/>
      </c>
      <c r="Q1232" s="2"/>
      <c r="R1232" s="2"/>
      <c r="S1232" s="1" t="str">
        <f t="shared" si="59"/>
        <v/>
      </c>
      <c r="T1232" s="1" t="str">
        <f>IF(OR($C1232="",$D1232&lt;&gt;"Gelir",$L1232=""),"",IFERROR(INDEX(MUSTERILER!$B$7:$B$156,MATCH($S1232,MUSTERILER!$T$7:$T$156,0)),""))</f>
        <v/>
      </c>
      <c r="U1232" s="1" t="str">
        <f>IF($T1232="","",$T1232&amp;"|"&amp;COUNTIFS($T$7:$T1232,$T1232))</f>
        <v/>
      </c>
      <c r="V1232" s="1">
        <f t="shared" si="60"/>
        <v>0</v>
      </c>
      <c r="W1232" s="1" t="str">
        <f t="shared" si="61"/>
        <v/>
      </c>
      <c r="X1232" s="1"/>
      <c r="Y1232" s="1"/>
      <c r="Z1232" s="1"/>
      <c r="AA1232" s="1"/>
      <c r="AB1232" s="1"/>
      <c r="AC1232" s="1"/>
      <c r="AD1232" s="1">
        <f>IF($C1232="",0,SUMPRODUCT((AY_SONU!$O$7:$O$42="Evet")*(AY_SONU!$B$7:$B$42=DATE(YEAR($C1232),MONTH($C1232),1))))</f>
        <v>0</v>
      </c>
      <c r="AE1232" s="1" t="str">
        <f>IF($E1232="","",$E1232&amp;"|"&amp;COUNTIFS($E$7:$E1232,$E1232))</f>
        <v/>
      </c>
    </row>
    <row r="1233" spans="1:31" ht="18" customHeight="1" x14ac:dyDescent="0.3">
      <c r="A1233" s="2"/>
      <c r="B1233" s="65" t="str">
        <f>IF($C1233="","","GG"&amp;TEXT(ROW()-6,"00000"))</f>
        <v/>
      </c>
      <c r="C1233" s="66"/>
      <c r="D1233" s="60"/>
      <c r="E1233" s="61"/>
      <c r="F1233" s="61"/>
      <c r="G1233" s="67"/>
      <c r="H1233" s="60"/>
      <c r="I1233" s="60"/>
      <c r="J1233" s="61"/>
      <c r="K1233" s="61"/>
      <c r="L1233" s="60"/>
      <c r="M1233" s="74" t="str">
        <f>IF($C1233="","",IF($D1233="Gider",$E1233,IF($L1233&lt;&gt;"",$L1233,$H1233)))</f>
        <v/>
      </c>
      <c r="N1233" s="74" t="str">
        <f>IF($C1233="","",IF($D1233="Gider",$H1233,$E1233))</f>
        <v/>
      </c>
      <c r="O1233" s="73" t="str">
        <f>IF($C1233="","",DATE(YEAR($C1233),MONTH($C1233),1))</f>
        <v/>
      </c>
      <c r="P1233" s="65" t="str">
        <f ca="1">IF($C1233="","",IF(AND($D1233="Gelir",$L1233&lt;&gt;"",$T1233=""),"TANIMSIZ BORÇLU",IF($T1233&lt;&gt;"",IF(OR($E1233="",$G1233&lt;=0),"EKSİK",IF($I1233="Evet","TAHAKKUK NAKİT OLAMAZ",IF($C1233&gt;TODAY(),"İLERİ TARİH","TAHAKKUK"))),IF(AND($D1233&lt;&gt;"",$E1233&lt;&gt;"",$G1233&gt;0,$H1233&lt;&gt;"",$I1233&lt;&gt;""),IF($C1233&gt;TODAY(),"İLERİ TARİH",IF(COUNTIF($W$7:$W$3001,$W1233)&gt;1,"MÜKERRER?",IF($AD1233&gt;0,"KAPALI DÖNEM",IF($I1233="Hayır","ÖDENECEK","UYGUN")))),"EKSİK"))))</f>
        <v/>
      </c>
      <c r="Q1233" s="2"/>
      <c r="R1233" s="2"/>
      <c r="S1233" s="1" t="str">
        <f t="shared" si="59"/>
        <v/>
      </c>
      <c r="T1233" s="1" t="str">
        <f>IF(OR($C1233="",$D1233&lt;&gt;"Gelir",$L1233=""),"",IFERROR(INDEX(MUSTERILER!$B$7:$B$156,MATCH($S1233,MUSTERILER!$T$7:$T$156,0)),""))</f>
        <v/>
      </c>
      <c r="U1233" s="1" t="str">
        <f>IF($T1233="","",$T1233&amp;"|"&amp;COUNTIFS($T$7:$T1233,$T1233))</f>
        <v/>
      </c>
      <c r="V1233" s="1">
        <f t="shared" si="60"/>
        <v>0</v>
      </c>
      <c r="W1233" s="1" t="str">
        <f t="shared" si="61"/>
        <v/>
      </c>
      <c r="X1233" s="1"/>
      <c r="Y1233" s="1"/>
      <c r="Z1233" s="1"/>
      <c r="AA1233" s="1"/>
      <c r="AB1233" s="1"/>
      <c r="AC1233" s="1"/>
      <c r="AD1233" s="1">
        <f>IF($C1233="",0,SUMPRODUCT((AY_SONU!$O$7:$O$42="Evet")*(AY_SONU!$B$7:$B$42=DATE(YEAR($C1233),MONTH($C1233),1))))</f>
        <v>0</v>
      </c>
      <c r="AE1233" s="1" t="str">
        <f>IF($E1233="","",$E1233&amp;"|"&amp;COUNTIFS($E$7:$E1233,$E1233))</f>
        <v/>
      </c>
    </row>
    <row r="1234" spans="1:31" ht="18" customHeight="1" x14ac:dyDescent="0.3">
      <c r="A1234" s="2"/>
      <c r="B1234" s="65" t="str">
        <f>IF($C1234="","","GG"&amp;TEXT(ROW()-6,"00000"))</f>
        <v/>
      </c>
      <c r="C1234" s="66"/>
      <c r="D1234" s="60"/>
      <c r="E1234" s="61"/>
      <c r="F1234" s="61"/>
      <c r="G1234" s="67"/>
      <c r="H1234" s="60"/>
      <c r="I1234" s="60"/>
      <c r="J1234" s="61"/>
      <c r="K1234" s="61"/>
      <c r="L1234" s="60"/>
      <c r="M1234" s="74" t="str">
        <f>IF($C1234="","",IF($D1234="Gider",$E1234,IF($L1234&lt;&gt;"",$L1234,$H1234)))</f>
        <v/>
      </c>
      <c r="N1234" s="74" t="str">
        <f>IF($C1234="","",IF($D1234="Gider",$H1234,$E1234))</f>
        <v/>
      </c>
      <c r="O1234" s="73" t="str">
        <f>IF($C1234="","",DATE(YEAR($C1234),MONTH($C1234),1))</f>
        <v/>
      </c>
      <c r="P1234" s="65" t="str">
        <f ca="1">IF($C1234="","",IF(AND($D1234="Gelir",$L1234&lt;&gt;"",$T1234=""),"TANIMSIZ BORÇLU",IF($T1234&lt;&gt;"",IF(OR($E1234="",$G1234&lt;=0),"EKSİK",IF($I1234="Evet","TAHAKKUK NAKİT OLAMAZ",IF($C1234&gt;TODAY(),"İLERİ TARİH","TAHAKKUK"))),IF(AND($D1234&lt;&gt;"",$E1234&lt;&gt;"",$G1234&gt;0,$H1234&lt;&gt;"",$I1234&lt;&gt;""),IF($C1234&gt;TODAY(),"İLERİ TARİH",IF(COUNTIF($W$7:$W$3001,$W1234)&gt;1,"MÜKERRER?",IF($AD1234&gt;0,"KAPALI DÖNEM",IF($I1234="Hayır","ÖDENECEK","UYGUN")))),"EKSİK"))))</f>
        <v/>
      </c>
      <c r="Q1234" s="2"/>
      <c r="R1234" s="2"/>
      <c r="S1234" s="1" t="str">
        <f t="shared" si="59"/>
        <v/>
      </c>
      <c r="T1234" s="1" t="str">
        <f>IF(OR($C1234="",$D1234&lt;&gt;"Gelir",$L1234=""),"",IFERROR(INDEX(MUSTERILER!$B$7:$B$156,MATCH($S1234,MUSTERILER!$T$7:$T$156,0)),""))</f>
        <v/>
      </c>
      <c r="U1234" s="1" t="str">
        <f>IF($T1234="","",$T1234&amp;"|"&amp;COUNTIFS($T$7:$T1234,$T1234))</f>
        <v/>
      </c>
      <c r="V1234" s="1">
        <f t="shared" si="60"/>
        <v>0</v>
      </c>
      <c r="W1234" s="1" t="str">
        <f t="shared" si="61"/>
        <v/>
      </c>
      <c r="X1234" s="1"/>
      <c r="Y1234" s="1"/>
      <c r="Z1234" s="1"/>
      <c r="AA1234" s="1"/>
      <c r="AB1234" s="1"/>
      <c r="AC1234" s="1"/>
      <c r="AD1234" s="1">
        <f>IF($C1234="",0,SUMPRODUCT((AY_SONU!$O$7:$O$42="Evet")*(AY_SONU!$B$7:$B$42=DATE(YEAR($C1234),MONTH($C1234),1))))</f>
        <v>0</v>
      </c>
      <c r="AE1234" s="1" t="str">
        <f>IF($E1234="","",$E1234&amp;"|"&amp;COUNTIFS($E$7:$E1234,$E1234))</f>
        <v/>
      </c>
    </row>
    <row r="1235" spans="1:31" ht="18" customHeight="1" x14ac:dyDescent="0.3">
      <c r="A1235" s="2"/>
      <c r="B1235" s="65" t="str">
        <f>IF($C1235="","","GG"&amp;TEXT(ROW()-6,"00000"))</f>
        <v/>
      </c>
      <c r="C1235" s="66"/>
      <c r="D1235" s="60"/>
      <c r="E1235" s="61"/>
      <c r="F1235" s="61"/>
      <c r="G1235" s="67"/>
      <c r="H1235" s="60"/>
      <c r="I1235" s="60"/>
      <c r="J1235" s="61"/>
      <c r="K1235" s="61"/>
      <c r="L1235" s="60"/>
      <c r="M1235" s="74" t="str">
        <f>IF($C1235="","",IF($D1235="Gider",$E1235,IF($L1235&lt;&gt;"",$L1235,$H1235)))</f>
        <v/>
      </c>
      <c r="N1235" s="74" t="str">
        <f>IF($C1235="","",IF($D1235="Gider",$H1235,$E1235))</f>
        <v/>
      </c>
      <c r="O1235" s="73" t="str">
        <f>IF($C1235="","",DATE(YEAR($C1235),MONTH($C1235),1))</f>
        <v/>
      </c>
      <c r="P1235" s="65" t="str">
        <f ca="1">IF($C1235="","",IF(AND($D1235="Gelir",$L1235&lt;&gt;"",$T1235=""),"TANIMSIZ BORÇLU",IF($T1235&lt;&gt;"",IF(OR($E1235="",$G1235&lt;=0),"EKSİK",IF($I1235="Evet","TAHAKKUK NAKİT OLAMAZ",IF($C1235&gt;TODAY(),"İLERİ TARİH","TAHAKKUK"))),IF(AND($D1235&lt;&gt;"",$E1235&lt;&gt;"",$G1235&gt;0,$H1235&lt;&gt;"",$I1235&lt;&gt;""),IF($C1235&gt;TODAY(),"İLERİ TARİH",IF(COUNTIF($W$7:$W$3001,$W1235)&gt;1,"MÜKERRER?",IF($AD1235&gt;0,"KAPALI DÖNEM",IF($I1235="Hayır","ÖDENECEK","UYGUN")))),"EKSİK"))))</f>
        <v/>
      </c>
      <c r="Q1235" s="2"/>
      <c r="R1235" s="2"/>
      <c r="S1235" s="1" t="str">
        <f t="shared" si="59"/>
        <v/>
      </c>
      <c r="T1235" s="1" t="str">
        <f>IF(OR($C1235="",$D1235&lt;&gt;"Gelir",$L1235=""),"",IFERROR(INDEX(MUSTERILER!$B$7:$B$156,MATCH($S1235,MUSTERILER!$T$7:$T$156,0)),""))</f>
        <v/>
      </c>
      <c r="U1235" s="1" t="str">
        <f>IF($T1235="","",$T1235&amp;"|"&amp;COUNTIFS($T$7:$T1235,$T1235))</f>
        <v/>
      </c>
      <c r="V1235" s="1">
        <f t="shared" si="60"/>
        <v>0</v>
      </c>
      <c r="W1235" s="1" t="str">
        <f t="shared" si="61"/>
        <v/>
      </c>
      <c r="X1235" s="1"/>
      <c r="Y1235" s="1"/>
      <c r="Z1235" s="1"/>
      <c r="AA1235" s="1"/>
      <c r="AB1235" s="1"/>
      <c r="AC1235" s="1"/>
      <c r="AD1235" s="1">
        <f>IF($C1235="",0,SUMPRODUCT((AY_SONU!$O$7:$O$42="Evet")*(AY_SONU!$B$7:$B$42=DATE(YEAR($C1235),MONTH($C1235),1))))</f>
        <v>0</v>
      </c>
      <c r="AE1235" s="1" t="str">
        <f>IF($E1235="","",$E1235&amp;"|"&amp;COUNTIFS($E$7:$E1235,$E1235))</f>
        <v/>
      </c>
    </row>
    <row r="1236" spans="1:31" ht="18" customHeight="1" x14ac:dyDescent="0.3">
      <c r="A1236" s="2"/>
      <c r="B1236" s="65" t="str">
        <f>IF($C1236="","","GG"&amp;TEXT(ROW()-6,"00000"))</f>
        <v/>
      </c>
      <c r="C1236" s="66"/>
      <c r="D1236" s="60"/>
      <c r="E1236" s="61"/>
      <c r="F1236" s="61"/>
      <c r="G1236" s="67"/>
      <c r="H1236" s="60"/>
      <c r="I1236" s="60"/>
      <c r="J1236" s="61"/>
      <c r="K1236" s="61"/>
      <c r="L1236" s="60"/>
      <c r="M1236" s="74" t="str">
        <f>IF($C1236="","",IF($D1236="Gider",$E1236,IF($L1236&lt;&gt;"",$L1236,$H1236)))</f>
        <v/>
      </c>
      <c r="N1236" s="74" t="str">
        <f>IF($C1236="","",IF($D1236="Gider",$H1236,$E1236))</f>
        <v/>
      </c>
      <c r="O1236" s="73" t="str">
        <f>IF($C1236="","",DATE(YEAR($C1236),MONTH($C1236),1))</f>
        <v/>
      </c>
      <c r="P1236" s="65" t="str">
        <f ca="1">IF($C1236="","",IF(AND($D1236="Gelir",$L1236&lt;&gt;"",$T1236=""),"TANIMSIZ BORÇLU",IF($T1236&lt;&gt;"",IF(OR($E1236="",$G1236&lt;=0),"EKSİK",IF($I1236="Evet","TAHAKKUK NAKİT OLAMAZ",IF($C1236&gt;TODAY(),"İLERİ TARİH","TAHAKKUK"))),IF(AND($D1236&lt;&gt;"",$E1236&lt;&gt;"",$G1236&gt;0,$H1236&lt;&gt;"",$I1236&lt;&gt;""),IF($C1236&gt;TODAY(),"İLERİ TARİH",IF(COUNTIF($W$7:$W$3001,$W1236)&gt;1,"MÜKERRER?",IF($AD1236&gt;0,"KAPALI DÖNEM",IF($I1236="Hayır","ÖDENECEK","UYGUN")))),"EKSİK"))))</f>
        <v/>
      </c>
      <c r="Q1236" s="2"/>
      <c r="R1236" s="2"/>
      <c r="S1236" s="1" t="str">
        <f t="shared" si="59"/>
        <v/>
      </c>
      <c r="T1236" s="1" t="str">
        <f>IF(OR($C1236="",$D1236&lt;&gt;"Gelir",$L1236=""),"",IFERROR(INDEX(MUSTERILER!$B$7:$B$156,MATCH($S1236,MUSTERILER!$T$7:$T$156,0)),""))</f>
        <v/>
      </c>
      <c r="U1236" s="1" t="str">
        <f>IF($T1236="","",$T1236&amp;"|"&amp;COUNTIFS($T$7:$T1236,$T1236))</f>
        <v/>
      </c>
      <c r="V1236" s="1">
        <f t="shared" si="60"/>
        <v>0</v>
      </c>
      <c r="W1236" s="1" t="str">
        <f t="shared" si="61"/>
        <v/>
      </c>
      <c r="X1236" s="1"/>
      <c r="Y1236" s="1"/>
      <c r="Z1236" s="1"/>
      <c r="AA1236" s="1"/>
      <c r="AB1236" s="1"/>
      <c r="AC1236" s="1"/>
      <c r="AD1236" s="1">
        <f>IF($C1236="",0,SUMPRODUCT((AY_SONU!$O$7:$O$42="Evet")*(AY_SONU!$B$7:$B$42=DATE(YEAR($C1236),MONTH($C1236),1))))</f>
        <v>0</v>
      </c>
      <c r="AE1236" s="1" t="str">
        <f>IF($E1236="","",$E1236&amp;"|"&amp;COUNTIFS($E$7:$E1236,$E1236))</f>
        <v/>
      </c>
    </row>
    <row r="1237" spans="1:31" ht="18" customHeight="1" x14ac:dyDescent="0.3">
      <c r="A1237" s="2"/>
      <c r="B1237" s="65" t="str">
        <f>IF($C1237="","","GG"&amp;TEXT(ROW()-6,"00000"))</f>
        <v/>
      </c>
      <c r="C1237" s="66"/>
      <c r="D1237" s="60"/>
      <c r="E1237" s="61"/>
      <c r="F1237" s="61"/>
      <c r="G1237" s="67"/>
      <c r="H1237" s="60"/>
      <c r="I1237" s="60"/>
      <c r="J1237" s="61"/>
      <c r="K1237" s="61"/>
      <c r="L1237" s="60"/>
      <c r="M1237" s="74" t="str">
        <f>IF($C1237="","",IF($D1237="Gider",$E1237,IF($L1237&lt;&gt;"",$L1237,$H1237)))</f>
        <v/>
      </c>
      <c r="N1237" s="74" t="str">
        <f>IF($C1237="","",IF($D1237="Gider",$H1237,$E1237))</f>
        <v/>
      </c>
      <c r="O1237" s="73" t="str">
        <f>IF($C1237="","",DATE(YEAR($C1237),MONTH($C1237),1))</f>
        <v/>
      </c>
      <c r="P1237" s="65" t="str">
        <f ca="1">IF($C1237="","",IF(AND($D1237="Gelir",$L1237&lt;&gt;"",$T1237=""),"TANIMSIZ BORÇLU",IF($T1237&lt;&gt;"",IF(OR($E1237="",$G1237&lt;=0),"EKSİK",IF($I1237="Evet","TAHAKKUK NAKİT OLAMAZ",IF($C1237&gt;TODAY(),"İLERİ TARİH","TAHAKKUK"))),IF(AND($D1237&lt;&gt;"",$E1237&lt;&gt;"",$G1237&gt;0,$H1237&lt;&gt;"",$I1237&lt;&gt;""),IF($C1237&gt;TODAY(),"İLERİ TARİH",IF(COUNTIF($W$7:$W$3001,$W1237)&gt;1,"MÜKERRER?",IF($AD1237&gt;0,"KAPALI DÖNEM",IF($I1237="Hayır","ÖDENECEK","UYGUN")))),"EKSİK"))))</f>
        <v/>
      </c>
      <c r="Q1237" s="2"/>
      <c r="R1237" s="2"/>
      <c r="S1237" s="1" t="str">
        <f t="shared" si="59"/>
        <v/>
      </c>
      <c r="T1237" s="1" t="str">
        <f>IF(OR($C1237="",$D1237&lt;&gt;"Gelir",$L1237=""),"",IFERROR(INDEX(MUSTERILER!$B$7:$B$156,MATCH($S1237,MUSTERILER!$T$7:$T$156,0)),""))</f>
        <v/>
      </c>
      <c r="U1237" s="1" t="str">
        <f>IF($T1237="","",$T1237&amp;"|"&amp;COUNTIFS($T$7:$T1237,$T1237))</f>
        <v/>
      </c>
      <c r="V1237" s="1">
        <f t="shared" si="60"/>
        <v>0</v>
      </c>
      <c r="W1237" s="1" t="str">
        <f t="shared" si="61"/>
        <v/>
      </c>
      <c r="X1237" s="1"/>
      <c r="Y1237" s="1"/>
      <c r="Z1237" s="1"/>
      <c r="AA1237" s="1"/>
      <c r="AB1237" s="1"/>
      <c r="AC1237" s="1"/>
      <c r="AD1237" s="1">
        <f>IF($C1237="",0,SUMPRODUCT((AY_SONU!$O$7:$O$42="Evet")*(AY_SONU!$B$7:$B$42=DATE(YEAR($C1237),MONTH($C1237),1))))</f>
        <v>0</v>
      </c>
      <c r="AE1237" s="1" t="str">
        <f>IF($E1237="","",$E1237&amp;"|"&amp;COUNTIFS($E$7:$E1237,$E1237))</f>
        <v/>
      </c>
    </row>
    <row r="1238" spans="1:31" ht="18" customHeight="1" x14ac:dyDescent="0.3">
      <c r="A1238" s="2"/>
      <c r="B1238" s="65" t="str">
        <f>IF($C1238="","","GG"&amp;TEXT(ROW()-6,"00000"))</f>
        <v/>
      </c>
      <c r="C1238" s="66"/>
      <c r="D1238" s="60"/>
      <c r="E1238" s="61"/>
      <c r="F1238" s="61"/>
      <c r="G1238" s="67"/>
      <c r="H1238" s="60"/>
      <c r="I1238" s="60"/>
      <c r="J1238" s="61"/>
      <c r="K1238" s="61"/>
      <c r="L1238" s="60"/>
      <c r="M1238" s="74" t="str">
        <f>IF($C1238="","",IF($D1238="Gider",$E1238,IF($L1238&lt;&gt;"",$L1238,$H1238)))</f>
        <v/>
      </c>
      <c r="N1238" s="74" t="str">
        <f>IF($C1238="","",IF($D1238="Gider",$H1238,$E1238))</f>
        <v/>
      </c>
      <c r="O1238" s="73" t="str">
        <f>IF($C1238="","",DATE(YEAR($C1238),MONTH($C1238),1))</f>
        <v/>
      </c>
      <c r="P1238" s="65" t="str">
        <f ca="1">IF($C1238="","",IF(AND($D1238="Gelir",$L1238&lt;&gt;"",$T1238=""),"TANIMSIZ BORÇLU",IF($T1238&lt;&gt;"",IF(OR($E1238="",$G1238&lt;=0),"EKSİK",IF($I1238="Evet","TAHAKKUK NAKİT OLAMAZ",IF($C1238&gt;TODAY(),"İLERİ TARİH","TAHAKKUK"))),IF(AND($D1238&lt;&gt;"",$E1238&lt;&gt;"",$G1238&gt;0,$H1238&lt;&gt;"",$I1238&lt;&gt;""),IF($C1238&gt;TODAY(),"İLERİ TARİH",IF(COUNTIF($W$7:$W$3001,$W1238)&gt;1,"MÜKERRER?",IF($AD1238&gt;0,"KAPALI DÖNEM",IF($I1238="Hayır","ÖDENECEK","UYGUN")))),"EKSİK"))))</f>
        <v/>
      </c>
      <c r="Q1238" s="2"/>
      <c r="R1238" s="2"/>
      <c r="S1238" s="1" t="str">
        <f t="shared" si="59"/>
        <v/>
      </c>
      <c r="T1238" s="1" t="str">
        <f>IF(OR($C1238="",$D1238&lt;&gt;"Gelir",$L1238=""),"",IFERROR(INDEX(MUSTERILER!$B$7:$B$156,MATCH($S1238,MUSTERILER!$T$7:$T$156,0)),""))</f>
        <v/>
      </c>
      <c r="U1238" s="1" t="str">
        <f>IF($T1238="","",$T1238&amp;"|"&amp;COUNTIFS($T$7:$T1238,$T1238))</f>
        <v/>
      </c>
      <c r="V1238" s="1">
        <f t="shared" si="60"/>
        <v>0</v>
      </c>
      <c r="W1238" s="1" t="str">
        <f t="shared" si="61"/>
        <v/>
      </c>
      <c r="X1238" s="1"/>
      <c r="Y1238" s="1"/>
      <c r="Z1238" s="1"/>
      <c r="AA1238" s="1"/>
      <c r="AB1238" s="1"/>
      <c r="AC1238" s="1"/>
      <c r="AD1238" s="1">
        <f>IF($C1238="",0,SUMPRODUCT((AY_SONU!$O$7:$O$42="Evet")*(AY_SONU!$B$7:$B$42=DATE(YEAR($C1238),MONTH($C1238),1))))</f>
        <v>0</v>
      </c>
      <c r="AE1238" s="1" t="str">
        <f>IF($E1238="","",$E1238&amp;"|"&amp;COUNTIFS($E$7:$E1238,$E1238))</f>
        <v/>
      </c>
    </row>
    <row r="1239" spans="1:31" ht="18" customHeight="1" x14ac:dyDescent="0.3">
      <c r="A1239" s="2"/>
      <c r="B1239" s="65" t="str">
        <f>IF($C1239="","","GG"&amp;TEXT(ROW()-6,"00000"))</f>
        <v/>
      </c>
      <c r="C1239" s="66"/>
      <c r="D1239" s="60"/>
      <c r="E1239" s="61"/>
      <c r="F1239" s="61"/>
      <c r="G1239" s="67"/>
      <c r="H1239" s="60"/>
      <c r="I1239" s="60"/>
      <c r="J1239" s="61"/>
      <c r="K1239" s="61"/>
      <c r="L1239" s="60"/>
      <c r="M1239" s="74" t="str">
        <f>IF($C1239="","",IF($D1239="Gider",$E1239,IF($L1239&lt;&gt;"",$L1239,$H1239)))</f>
        <v/>
      </c>
      <c r="N1239" s="74" t="str">
        <f>IF($C1239="","",IF($D1239="Gider",$H1239,$E1239))</f>
        <v/>
      </c>
      <c r="O1239" s="73" t="str">
        <f>IF($C1239="","",DATE(YEAR($C1239),MONTH($C1239),1))</f>
        <v/>
      </c>
      <c r="P1239" s="65" t="str">
        <f ca="1">IF($C1239="","",IF(AND($D1239="Gelir",$L1239&lt;&gt;"",$T1239=""),"TANIMSIZ BORÇLU",IF($T1239&lt;&gt;"",IF(OR($E1239="",$G1239&lt;=0),"EKSİK",IF($I1239="Evet","TAHAKKUK NAKİT OLAMAZ",IF($C1239&gt;TODAY(),"İLERİ TARİH","TAHAKKUK"))),IF(AND($D1239&lt;&gt;"",$E1239&lt;&gt;"",$G1239&gt;0,$H1239&lt;&gt;"",$I1239&lt;&gt;""),IF($C1239&gt;TODAY(),"İLERİ TARİH",IF(COUNTIF($W$7:$W$3001,$W1239)&gt;1,"MÜKERRER?",IF($AD1239&gt;0,"KAPALI DÖNEM",IF($I1239="Hayır","ÖDENECEK","UYGUN")))),"EKSİK"))))</f>
        <v/>
      </c>
      <c r="Q1239" s="2"/>
      <c r="R1239" s="2"/>
      <c r="S1239" s="1" t="str">
        <f t="shared" si="59"/>
        <v/>
      </c>
      <c r="T1239" s="1" t="str">
        <f>IF(OR($C1239="",$D1239&lt;&gt;"Gelir",$L1239=""),"",IFERROR(INDEX(MUSTERILER!$B$7:$B$156,MATCH($S1239,MUSTERILER!$T$7:$T$156,0)),""))</f>
        <v/>
      </c>
      <c r="U1239" s="1" t="str">
        <f>IF($T1239="","",$T1239&amp;"|"&amp;COUNTIFS($T$7:$T1239,$T1239))</f>
        <v/>
      </c>
      <c r="V1239" s="1">
        <f t="shared" si="60"/>
        <v>0</v>
      </c>
      <c r="W1239" s="1" t="str">
        <f t="shared" si="61"/>
        <v/>
      </c>
      <c r="X1239" s="1"/>
      <c r="Y1239" s="1"/>
      <c r="Z1239" s="1"/>
      <c r="AA1239" s="1"/>
      <c r="AB1239" s="1"/>
      <c r="AC1239" s="1"/>
      <c r="AD1239" s="1">
        <f>IF($C1239="",0,SUMPRODUCT((AY_SONU!$O$7:$O$42="Evet")*(AY_SONU!$B$7:$B$42=DATE(YEAR($C1239),MONTH($C1239),1))))</f>
        <v>0</v>
      </c>
      <c r="AE1239" s="1" t="str">
        <f>IF($E1239="","",$E1239&amp;"|"&amp;COUNTIFS($E$7:$E1239,$E1239))</f>
        <v/>
      </c>
    </row>
    <row r="1240" spans="1:31" ht="18" customHeight="1" x14ac:dyDescent="0.3">
      <c r="A1240" s="2"/>
      <c r="B1240" s="65" t="str">
        <f>IF($C1240="","","GG"&amp;TEXT(ROW()-6,"00000"))</f>
        <v/>
      </c>
      <c r="C1240" s="66"/>
      <c r="D1240" s="60"/>
      <c r="E1240" s="61"/>
      <c r="F1240" s="61"/>
      <c r="G1240" s="67"/>
      <c r="H1240" s="60"/>
      <c r="I1240" s="60"/>
      <c r="J1240" s="61"/>
      <c r="K1240" s="61"/>
      <c r="L1240" s="60"/>
      <c r="M1240" s="74" t="str">
        <f>IF($C1240="","",IF($D1240="Gider",$E1240,IF($L1240&lt;&gt;"",$L1240,$H1240)))</f>
        <v/>
      </c>
      <c r="N1240" s="74" t="str">
        <f>IF($C1240="","",IF($D1240="Gider",$H1240,$E1240))</f>
        <v/>
      </c>
      <c r="O1240" s="73" t="str">
        <f>IF($C1240="","",DATE(YEAR($C1240),MONTH($C1240),1))</f>
        <v/>
      </c>
      <c r="P1240" s="65" t="str">
        <f ca="1">IF($C1240="","",IF(AND($D1240="Gelir",$L1240&lt;&gt;"",$T1240=""),"TANIMSIZ BORÇLU",IF($T1240&lt;&gt;"",IF(OR($E1240="",$G1240&lt;=0),"EKSİK",IF($I1240="Evet","TAHAKKUK NAKİT OLAMAZ",IF($C1240&gt;TODAY(),"İLERİ TARİH","TAHAKKUK"))),IF(AND($D1240&lt;&gt;"",$E1240&lt;&gt;"",$G1240&gt;0,$H1240&lt;&gt;"",$I1240&lt;&gt;""),IF($C1240&gt;TODAY(),"İLERİ TARİH",IF(COUNTIF($W$7:$W$3001,$W1240)&gt;1,"MÜKERRER?",IF($AD1240&gt;0,"KAPALI DÖNEM",IF($I1240="Hayır","ÖDENECEK","UYGUN")))),"EKSİK"))))</f>
        <v/>
      </c>
      <c r="Q1240" s="2"/>
      <c r="R1240" s="2"/>
      <c r="S1240" s="1" t="str">
        <f t="shared" si="59"/>
        <v/>
      </c>
      <c r="T1240" s="1" t="str">
        <f>IF(OR($C1240="",$D1240&lt;&gt;"Gelir",$L1240=""),"",IFERROR(INDEX(MUSTERILER!$B$7:$B$156,MATCH($S1240,MUSTERILER!$T$7:$T$156,0)),""))</f>
        <v/>
      </c>
      <c r="U1240" s="1" t="str">
        <f>IF($T1240="","",$T1240&amp;"|"&amp;COUNTIFS($T$7:$T1240,$T1240))</f>
        <v/>
      </c>
      <c r="V1240" s="1">
        <f t="shared" si="60"/>
        <v>0</v>
      </c>
      <c r="W1240" s="1" t="str">
        <f t="shared" si="61"/>
        <v/>
      </c>
      <c r="X1240" s="1"/>
      <c r="Y1240" s="1"/>
      <c r="Z1240" s="1"/>
      <c r="AA1240" s="1"/>
      <c r="AB1240" s="1"/>
      <c r="AC1240" s="1"/>
      <c r="AD1240" s="1">
        <f>IF($C1240="",0,SUMPRODUCT((AY_SONU!$O$7:$O$42="Evet")*(AY_SONU!$B$7:$B$42=DATE(YEAR($C1240),MONTH($C1240),1))))</f>
        <v>0</v>
      </c>
      <c r="AE1240" s="1" t="str">
        <f>IF($E1240="","",$E1240&amp;"|"&amp;COUNTIFS($E$7:$E1240,$E1240))</f>
        <v/>
      </c>
    </row>
    <row r="1241" spans="1:31" ht="18" customHeight="1" x14ac:dyDescent="0.3">
      <c r="A1241" s="2"/>
      <c r="B1241" s="65" t="str">
        <f>IF($C1241="","","GG"&amp;TEXT(ROW()-6,"00000"))</f>
        <v/>
      </c>
      <c r="C1241" s="66"/>
      <c r="D1241" s="60"/>
      <c r="E1241" s="61"/>
      <c r="F1241" s="61"/>
      <c r="G1241" s="67"/>
      <c r="H1241" s="60"/>
      <c r="I1241" s="60"/>
      <c r="J1241" s="61"/>
      <c r="K1241" s="61"/>
      <c r="L1241" s="60"/>
      <c r="M1241" s="74" t="str">
        <f>IF($C1241="","",IF($D1241="Gider",$E1241,IF($L1241&lt;&gt;"",$L1241,$H1241)))</f>
        <v/>
      </c>
      <c r="N1241" s="74" t="str">
        <f>IF($C1241="","",IF($D1241="Gider",$H1241,$E1241))</f>
        <v/>
      </c>
      <c r="O1241" s="73" t="str">
        <f>IF($C1241="","",DATE(YEAR($C1241),MONTH($C1241),1))</f>
        <v/>
      </c>
      <c r="P1241" s="65" t="str">
        <f ca="1">IF($C1241="","",IF(AND($D1241="Gelir",$L1241&lt;&gt;"",$T1241=""),"TANIMSIZ BORÇLU",IF($T1241&lt;&gt;"",IF(OR($E1241="",$G1241&lt;=0),"EKSİK",IF($I1241="Evet","TAHAKKUK NAKİT OLAMAZ",IF($C1241&gt;TODAY(),"İLERİ TARİH","TAHAKKUK"))),IF(AND($D1241&lt;&gt;"",$E1241&lt;&gt;"",$G1241&gt;0,$H1241&lt;&gt;"",$I1241&lt;&gt;""),IF($C1241&gt;TODAY(),"İLERİ TARİH",IF(COUNTIF($W$7:$W$3001,$W1241)&gt;1,"MÜKERRER?",IF($AD1241&gt;0,"KAPALI DÖNEM",IF($I1241="Hayır","ÖDENECEK","UYGUN")))),"EKSİK"))))</f>
        <v/>
      </c>
      <c r="Q1241" s="2"/>
      <c r="R1241" s="2"/>
      <c r="S1241" s="1" t="str">
        <f t="shared" si="59"/>
        <v/>
      </c>
      <c r="T1241" s="1" t="str">
        <f>IF(OR($C1241="",$D1241&lt;&gt;"Gelir",$L1241=""),"",IFERROR(INDEX(MUSTERILER!$B$7:$B$156,MATCH($S1241,MUSTERILER!$T$7:$T$156,0)),""))</f>
        <v/>
      </c>
      <c r="U1241" s="1" t="str">
        <f>IF($T1241="","",$T1241&amp;"|"&amp;COUNTIFS($T$7:$T1241,$T1241))</f>
        <v/>
      </c>
      <c r="V1241" s="1">
        <f t="shared" si="60"/>
        <v>0</v>
      </c>
      <c r="W1241" s="1" t="str">
        <f t="shared" si="61"/>
        <v/>
      </c>
      <c r="X1241" s="1"/>
      <c r="Y1241" s="1"/>
      <c r="Z1241" s="1"/>
      <c r="AA1241" s="1"/>
      <c r="AB1241" s="1"/>
      <c r="AC1241" s="1"/>
      <c r="AD1241" s="1">
        <f>IF($C1241="",0,SUMPRODUCT((AY_SONU!$O$7:$O$42="Evet")*(AY_SONU!$B$7:$B$42=DATE(YEAR($C1241),MONTH($C1241),1))))</f>
        <v>0</v>
      </c>
      <c r="AE1241" s="1" t="str">
        <f>IF($E1241="","",$E1241&amp;"|"&amp;COUNTIFS($E$7:$E1241,$E1241))</f>
        <v/>
      </c>
    </row>
    <row r="1242" spans="1:31" ht="18" customHeight="1" x14ac:dyDescent="0.3">
      <c r="A1242" s="2"/>
      <c r="B1242" s="65" t="str">
        <f>IF($C1242="","","GG"&amp;TEXT(ROW()-6,"00000"))</f>
        <v/>
      </c>
      <c r="C1242" s="66"/>
      <c r="D1242" s="60"/>
      <c r="E1242" s="61"/>
      <c r="F1242" s="61"/>
      <c r="G1242" s="67"/>
      <c r="H1242" s="60"/>
      <c r="I1242" s="60"/>
      <c r="J1242" s="61"/>
      <c r="K1242" s="61"/>
      <c r="L1242" s="60"/>
      <c r="M1242" s="74" t="str">
        <f>IF($C1242="","",IF($D1242="Gider",$E1242,IF($L1242&lt;&gt;"",$L1242,$H1242)))</f>
        <v/>
      </c>
      <c r="N1242" s="74" t="str">
        <f>IF($C1242="","",IF($D1242="Gider",$H1242,$E1242))</f>
        <v/>
      </c>
      <c r="O1242" s="73" t="str">
        <f>IF($C1242="","",DATE(YEAR($C1242),MONTH($C1242),1))</f>
        <v/>
      </c>
      <c r="P1242" s="65" t="str">
        <f ca="1">IF($C1242="","",IF(AND($D1242="Gelir",$L1242&lt;&gt;"",$T1242=""),"TANIMSIZ BORÇLU",IF($T1242&lt;&gt;"",IF(OR($E1242="",$G1242&lt;=0),"EKSİK",IF($I1242="Evet","TAHAKKUK NAKİT OLAMAZ",IF($C1242&gt;TODAY(),"İLERİ TARİH","TAHAKKUK"))),IF(AND($D1242&lt;&gt;"",$E1242&lt;&gt;"",$G1242&gt;0,$H1242&lt;&gt;"",$I1242&lt;&gt;""),IF($C1242&gt;TODAY(),"İLERİ TARİH",IF(COUNTIF($W$7:$W$3001,$W1242)&gt;1,"MÜKERRER?",IF($AD1242&gt;0,"KAPALI DÖNEM",IF($I1242="Hayır","ÖDENECEK","UYGUN")))),"EKSİK"))))</f>
        <v/>
      </c>
      <c r="Q1242" s="2"/>
      <c r="R1242" s="2"/>
      <c r="S1242" s="1" t="str">
        <f t="shared" si="59"/>
        <v/>
      </c>
      <c r="T1242" s="1" t="str">
        <f>IF(OR($C1242="",$D1242&lt;&gt;"Gelir",$L1242=""),"",IFERROR(INDEX(MUSTERILER!$B$7:$B$156,MATCH($S1242,MUSTERILER!$T$7:$T$156,0)),""))</f>
        <v/>
      </c>
      <c r="U1242" s="1" t="str">
        <f>IF($T1242="","",$T1242&amp;"|"&amp;COUNTIFS($T$7:$T1242,$T1242))</f>
        <v/>
      </c>
      <c r="V1242" s="1">
        <f t="shared" si="60"/>
        <v>0</v>
      </c>
      <c r="W1242" s="1" t="str">
        <f t="shared" si="61"/>
        <v/>
      </c>
      <c r="X1242" s="1"/>
      <c r="Y1242" s="1"/>
      <c r="Z1242" s="1"/>
      <c r="AA1242" s="1"/>
      <c r="AB1242" s="1"/>
      <c r="AC1242" s="1"/>
      <c r="AD1242" s="1">
        <f>IF($C1242="",0,SUMPRODUCT((AY_SONU!$O$7:$O$42="Evet")*(AY_SONU!$B$7:$B$42=DATE(YEAR($C1242),MONTH($C1242),1))))</f>
        <v>0</v>
      </c>
      <c r="AE1242" s="1" t="str">
        <f>IF($E1242="","",$E1242&amp;"|"&amp;COUNTIFS($E$7:$E1242,$E1242))</f>
        <v/>
      </c>
    </row>
    <row r="1243" spans="1:31" ht="18" customHeight="1" x14ac:dyDescent="0.3">
      <c r="A1243" s="2"/>
      <c r="B1243" s="65" t="str">
        <f>IF($C1243="","","GG"&amp;TEXT(ROW()-6,"00000"))</f>
        <v/>
      </c>
      <c r="C1243" s="66"/>
      <c r="D1243" s="60"/>
      <c r="E1243" s="61"/>
      <c r="F1243" s="61"/>
      <c r="G1243" s="67"/>
      <c r="H1243" s="60"/>
      <c r="I1243" s="60"/>
      <c r="J1243" s="61"/>
      <c r="K1243" s="61"/>
      <c r="L1243" s="60"/>
      <c r="M1243" s="74" t="str">
        <f>IF($C1243="","",IF($D1243="Gider",$E1243,IF($L1243&lt;&gt;"",$L1243,$H1243)))</f>
        <v/>
      </c>
      <c r="N1243" s="74" t="str">
        <f>IF($C1243="","",IF($D1243="Gider",$H1243,$E1243))</f>
        <v/>
      </c>
      <c r="O1243" s="73" t="str">
        <f>IF($C1243="","",DATE(YEAR($C1243),MONTH($C1243),1))</f>
        <v/>
      </c>
      <c r="P1243" s="65" t="str">
        <f ca="1">IF($C1243="","",IF(AND($D1243="Gelir",$L1243&lt;&gt;"",$T1243=""),"TANIMSIZ BORÇLU",IF($T1243&lt;&gt;"",IF(OR($E1243="",$G1243&lt;=0),"EKSİK",IF($I1243="Evet","TAHAKKUK NAKİT OLAMAZ",IF($C1243&gt;TODAY(),"İLERİ TARİH","TAHAKKUK"))),IF(AND($D1243&lt;&gt;"",$E1243&lt;&gt;"",$G1243&gt;0,$H1243&lt;&gt;"",$I1243&lt;&gt;""),IF($C1243&gt;TODAY(),"İLERİ TARİH",IF(COUNTIF($W$7:$W$3001,$W1243)&gt;1,"MÜKERRER?",IF($AD1243&gt;0,"KAPALI DÖNEM",IF($I1243="Hayır","ÖDENECEK","UYGUN")))),"EKSİK"))))</f>
        <v/>
      </c>
      <c r="Q1243" s="2"/>
      <c r="R1243" s="2"/>
      <c r="S1243" s="1" t="str">
        <f t="shared" si="59"/>
        <v/>
      </c>
      <c r="T1243" s="1" t="str">
        <f>IF(OR($C1243="",$D1243&lt;&gt;"Gelir",$L1243=""),"",IFERROR(INDEX(MUSTERILER!$B$7:$B$156,MATCH($S1243,MUSTERILER!$T$7:$T$156,0)),""))</f>
        <v/>
      </c>
      <c r="U1243" s="1" t="str">
        <f>IF($T1243="","",$T1243&amp;"|"&amp;COUNTIFS($T$7:$T1243,$T1243))</f>
        <v/>
      </c>
      <c r="V1243" s="1">
        <f t="shared" si="60"/>
        <v>0</v>
      </c>
      <c r="W1243" s="1" t="str">
        <f t="shared" si="61"/>
        <v/>
      </c>
      <c r="X1243" s="1"/>
      <c r="Y1243" s="1"/>
      <c r="Z1243" s="1"/>
      <c r="AA1243" s="1"/>
      <c r="AB1243" s="1"/>
      <c r="AC1243" s="1"/>
      <c r="AD1243" s="1">
        <f>IF($C1243="",0,SUMPRODUCT((AY_SONU!$O$7:$O$42="Evet")*(AY_SONU!$B$7:$B$42=DATE(YEAR($C1243),MONTH($C1243),1))))</f>
        <v>0</v>
      </c>
      <c r="AE1243" s="1" t="str">
        <f>IF($E1243="","",$E1243&amp;"|"&amp;COUNTIFS($E$7:$E1243,$E1243))</f>
        <v/>
      </c>
    </row>
    <row r="1244" spans="1:31" ht="18" customHeight="1" x14ac:dyDescent="0.3">
      <c r="A1244" s="2"/>
      <c r="B1244" s="65" t="str">
        <f>IF($C1244="","","GG"&amp;TEXT(ROW()-6,"00000"))</f>
        <v/>
      </c>
      <c r="C1244" s="66"/>
      <c r="D1244" s="60"/>
      <c r="E1244" s="61"/>
      <c r="F1244" s="61"/>
      <c r="G1244" s="67"/>
      <c r="H1244" s="60"/>
      <c r="I1244" s="60"/>
      <c r="J1244" s="61"/>
      <c r="K1244" s="61"/>
      <c r="L1244" s="60"/>
      <c r="M1244" s="74" t="str">
        <f>IF($C1244="","",IF($D1244="Gider",$E1244,IF($L1244&lt;&gt;"",$L1244,$H1244)))</f>
        <v/>
      </c>
      <c r="N1244" s="74" t="str">
        <f>IF($C1244="","",IF($D1244="Gider",$H1244,$E1244))</f>
        <v/>
      </c>
      <c r="O1244" s="73" t="str">
        <f>IF($C1244="","",DATE(YEAR($C1244),MONTH($C1244),1))</f>
        <v/>
      </c>
      <c r="P1244" s="65" t="str">
        <f ca="1">IF($C1244="","",IF(AND($D1244="Gelir",$L1244&lt;&gt;"",$T1244=""),"TANIMSIZ BORÇLU",IF($T1244&lt;&gt;"",IF(OR($E1244="",$G1244&lt;=0),"EKSİK",IF($I1244="Evet","TAHAKKUK NAKİT OLAMAZ",IF($C1244&gt;TODAY(),"İLERİ TARİH","TAHAKKUK"))),IF(AND($D1244&lt;&gt;"",$E1244&lt;&gt;"",$G1244&gt;0,$H1244&lt;&gt;"",$I1244&lt;&gt;""),IF($C1244&gt;TODAY(),"İLERİ TARİH",IF(COUNTIF($W$7:$W$3001,$W1244)&gt;1,"MÜKERRER?",IF($AD1244&gt;0,"KAPALI DÖNEM",IF($I1244="Hayır","ÖDENECEK","UYGUN")))),"EKSİK"))))</f>
        <v/>
      </c>
      <c r="Q1244" s="2"/>
      <c r="R1244" s="2"/>
      <c r="S1244" s="1" t="str">
        <f t="shared" si="59"/>
        <v/>
      </c>
      <c r="T1244" s="1" t="str">
        <f>IF(OR($C1244="",$D1244&lt;&gt;"Gelir",$L1244=""),"",IFERROR(INDEX(MUSTERILER!$B$7:$B$156,MATCH($S1244,MUSTERILER!$T$7:$T$156,0)),""))</f>
        <v/>
      </c>
      <c r="U1244" s="1" t="str">
        <f>IF($T1244="","",$T1244&amp;"|"&amp;COUNTIFS($T$7:$T1244,$T1244))</f>
        <v/>
      </c>
      <c r="V1244" s="1">
        <f t="shared" si="60"/>
        <v>0</v>
      </c>
      <c r="W1244" s="1" t="str">
        <f t="shared" si="61"/>
        <v/>
      </c>
      <c r="X1244" s="1"/>
      <c r="Y1244" s="1"/>
      <c r="Z1244" s="1"/>
      <c r="AA1244" s="1"/>
      <c r="AB1244" s="1"/>
      <c r="AC1244" s="1"/>
      <c r="AD1244" s="1">
        <f>IF($C1244="",0,SUMPRODUCT((AY_SONU!$O$7:$O$42="Evet")*(AY_SONU!$B$7:$B$42=DATE(YEAR($C1244),MONTH($C1244),1))))</f>
        <v>0</v>
      </c>
      <c r="AE1244" s="1" t="str">
        <f>IF($E1244="","",$E1244&amp;"|"&amp;COUNTIFS($E$7:$E1244,$E1244))</f>
        <v/>
      </c>
    </row>
    <row r="1245" spans="1:31" ht="18" customHeight="1" x14ac:dyDescent="0.3">
      <c r="A1245" s="2"/>
      <c r="B1245" s="65" t="str">
        <f>IF($C1245="","","GG"&amp;TEXT(ROW()-6,"00000"))</f>
        <v/>
      </c>
      <c r="C1245" s="66"/>
      <c r="D1245" s="60"/>
      <c r="E1245" s="61"/>
      <c r="F1245" s="61"/>
      <c r="G1245" s="67"/>
      <c r="H1245" s="60"/>
      <c r="I1245" s="60"/>
      <c r="J1245" s="61"/>
      <c r="K1245" s="61"/>
      <c r="L1245" s="60"/>
      <c r="M1245" s="74" t="str">
        <f>IF($C1245="","",IF($D1245="Gider",$E1245,IF($L1245&lt;&gt;"",$L1245,$H1245)))</f>
        <v/>
      </c>
      <c r="N1245" s="74" t="str">
        <f>IF($C1245="","",IF($D1245="Gider",$H1245,$E1245))</f>
        <v/>
      </c>
      <c r="O1245" s="73" t="str">
        <f>IF($C1245="","",DATE(YEAR($C1245),MONTH($C1245),1))</f>
        <v/>
      </c>
      <c r="P1245" s="65" t="str">
        <f ca="1">IF($C1245="","",IF(AND($D1245="Gelir",$L1245&lt;&gt;"",$T1245=""),"TANIMSIZ BORÇLU",IF($T1245&lt;&gt;"",IF(OR($E1245="",$G1245&lt;=0),"EKSİK",IF($I1245="Evet","TAHAKKUK NAKİT OLAMAZ",IF($C1245&gt;TODAY(),"İLERİ TARİH","TAHAKKUK"))),IF(AND($D1245&lt;&gt;"",$E1245&lt;&gt;"",$G1245&gt;0,$H1245&lt;&gt;"",$I1245&lt;&gt;""),IF($C1245&gt;TODAY(),"İLERİ TARİH",IF(COUNTIF($W$7:$W$3001,$W1245)&gt;1,"MÜKERRER?",IF($AD1245&gt;0,"KAPALI DÖNEM",IF($I1245="Hayır","ÖDENECEK","UYGUN")))),"EKSİK"))))</f>
        <v/>
      </c>
      <c r="Q1245" s="2"/>
      <c r="R1245" s="2"/>
      <c r="S1245" s="1" t="str">
        <f t="shared" si="59"/>
        <v/>
      </c>
      <c r="T1245" s="1" t="str">
        <f>IF(OR($C1245="",$D1245&lt;&gt;"Gelir",$L1245=""),"",IFERROR(INDEX(MUSTERILER!$B$7:$B$156,MATCH($S1245,MUSTERILER!$T$7:$T$156,0)),""))</f>
        <v/>
      </c>
      <c r="U1245" s="1" t="str">
        <f>IF($T1245="","",$T1245&amp;"|"&amp;COUNTIFS($T$7:$T1245,$T1245))</f>
        <v/>
      </c>
      <c r="V1245" s="1">
        <f t="shared" si="60"/>
        <v>0</v>
      </c>
      <c r="W1245" s="1" t="str">
        <f t="shared" si="61"/>
        <v/>
      </c>
      <c r="X1245" s="1"/>
      <c r="Y1245" s="1"/>
      <c r="Z1245" s="1"/>
      <c r="AA1245" s="1"/>
      <c r="AB1245" s="1"/>
      <c r="AC1245" s="1"/>
      <c r="AD1245" s="1">
        <f>IF($C1245="",0,SUMPRODUCT((AY_SONU!$O$7:$O$42="Evet")*(AY_SONU!$B$7:$B$42=DATE(YEAR($C1245),MONTH($C1245),1))))</f>
        <v>0</v>
      </c>
      <c r="AE1245" s="1" t="str">
        <f>IF($E1245="","",$E1245&amp;"|"&amp;COUNTIFS($E$7:$E1245,$E1245))</f>
        <v/>
      </c>
    </row>
    <row r="1246" spans="1:31" ht="18" customHeight="1" x14ac:dyDescent="0.3">
      <c r="A1246" s="2"/>
      <c r="B1246" s="65" t="str">
        <f>IF($C1246="","","GG"&amp;TEXT(ROW()-6,"00000"))</f>
        <v/>
      </c>
      <c r="C1246" s="66"/>
      <c r="D1246" s="60"/>
      <c r="E1246" s="61"/>
      <c r="F1246" s="61"/>
      <c r="G1246" s="67"/>
      <c r="H1246" s="60"/>
      <c r="I1246" s="60"/>
      <c r="J1246" s="61"/>
      <c r="K1246" s="61"/>
      <c r="L1246" s="60"/>
      <c r="M1246" s="74" t="str">
        <f>IF($C1246="","",IF($D1246="Gider",$E1246,IF($L1246&lt;&gt;"",$L1246,$H1246)))</f>
        <v/>
      </c>
      <c r="N1246" s="74" t="str">
        <f>IF($C1246="","",IF($D1246="Gider",$H1246,$E1246))</f>
        <v/>
      </c>
      <c r="O1246" s="73" t="str">
        <f>IF($C1246="","",DATE(YEAR($C1246),MONTH($C1246),1))</f>
        <v/>
      </c>
      <c r="P1246" s="65" t="str">
        <f ca="1">IF($C1246="","",IF(AND($D1246="Gelir",$L1246&lt;&gt;"",$T1246=""),"TANIMSIZ BORÇLU",IF($T1246&lt;&gt;"",IF(OR($E1246="",$G1246&lt;=0),"EKSİK",IF($I1246="Evet","TAHAKKUK NAKİT OLAMAZ",IF($C1246&gt;TODAY(),"İLERİ TARİH","TAHAKKUK"))),IF(AND($D1246&lt;&gt;"",$E1246&lt;&gt;"",$G1246&gt;0,$H1246&lt;&gt;"",$I1246&lt;&gt;""),IF($C1246&gt;TODAY(),"İLERİ TARİH",IF(COUNTIF($W$7:$W$3001,$W1246)&gt;1,"MÜKERRER?",IF($AD1246&gt;0,"KAPALI DÖNEM",IF($I1246="Hayır","ÖDENECEK","UYGUN")))),"EKSİK"))))</f>
        <v/>
      </c>
      <c r="Q1246" s="2"/>
      <c r="R1246" s="2"/>
      <c r="S1246" s="1" t="str">
        <f t="shared" si="59"/>
        <v/>
      </c>
      <c r="T1246" s="1" t="str">
        <f>IF(OR($C1246="",$D1246&lt;&gt;"Gelir",$L1246=""),"",IFERROR(INDEX(MUSTERILER!$B$7:$B$156,MATCH($S1246,MUSTERILER!$T$7:$T$156,0)),""))</f>
        <v/>
      </c>
      <c r="U1246" s="1" t="str">
        <f>IF($T1246="","",$T1246&amp;"|"&amp;COUNTIFS($T$7:$T1246,$T1246))</f>
        <v/>
      </c>
      <c r="V1246" s="1">
        <f t="shared" si="60"/>
        <v>0</v>
      </c>
      <c r="W1246" s="1" t="str">
        <f t="shared" si="61"/>
        <v/>
      </c>
      <c r="X1246" s="1"/>
      <c r="Y1246" s="1"/>
      <c r="Z1246" s="1"/>
      <c r="AA1246" s="1"/>
      <c r="AB1246" s="1"/>
      <c r="AC1246" s="1"/>
      <c r="AD1246" s="1">
        <f>IF($C1246="",0,SUMPRODUCT((AY_SONU!$O$7:$O$42="Evet")*(AY_SONU!$B$7:$B$42=DATE(YEAR($C1246),MONTH($C1246),1))))</f>
        <v>0</v>
      </c>
      <c r="AE1246" s="1" t="str">
        <f>IF($E1246="","",$E1246&amp;"|"&amp;COUNTIFS($E$7:$E1246,$E1246))</f>
        <v/>
      </c>
    </row>
    <row r="1247" spans="1:31" ht="18" customHeight="1" x14ac:dyDescent="0.3">
      <c r="A1247" s="2"/>
      <c r="B1247" s="65" t="str">
        <f>IF($C1247="","","GG"&amp;TEXT(ROW()-6,"00000"))</f>
        <v/>
      </c>
      <c r="C1247" s="66"/>
      <c r="D1247" s="60"/>
      <c r="E1247" s="61"/>
      <c r="F1247" s="61"/>
      <c r="G1247" s="67"/>
      <c r="H1247" s="60"/>
      <c r="I1247" s="60"/>
      <c r="J1247" s="61"/>
      <c r="K1247" s="61"/>
      <c r="L1247" s="60"/>
      <c r="M1247" s="74" t="str">
        <f>IF($C1247="","",IF($D1247="Gider",$E1247,IF($L1247&lt;&gt;"",$L1247,$H1247)))</f>
        <v/>
      </c>
      <c r="N1247" s="74" t="str">
        <f>IF($C1247="","",IF($D1247="Gider",$H1247,$E1247))</f>
        <v/>
      </c>
      <c r="O1247" s="73" t="str">
        <f>IF($C1247="","",DATE(YEAR($C1247),MONTH($C1247),1))</f>
        <v/>
      </c>
      <c r="P1247" s="65" t="str">
        <f ca="1">IF($C1247="","",IF(AND($D1247="Gelir",$L1247&lt;&gt;"",$T1247=""),"TANIMSIZ BORÇLU",IF($T1247&lt;&gt;"",IF(OR($E1247="",$G1247&lt;=0),"EKSİK",IF($I1247="Evet","TAHAKKUK NAKİT OLAMAZ",IF($C1247&gt;TODAY(),"İLERİ TARİH","TAHAKKUK"))),IF(AND($D1247&lt;&gt;"",$E1247&lt;&gt;"",$G1247&gt;0,$H1247&lt;&gt;"",$I1247&lt;&gt;""),IF($C1247&gt;TODAY(),"İLERİ TARİH",IF(COUNTIF($W$7:$W$3001,$W1247)&gt;1,"MÜKERRER?",IF($AD1247&gt;0,"KAPALI DÖNEM",IF($I1247="Hayır","ÖDENECEK","UYGUN")))),"EKSİK"))))</f>
        <v/>
      </c>
      <c r="Q1247" s="2"/>
      <c r="R1247" s="2"/>
      <c r="S1247" s="1" t="str">
        <f t="shared" si="59"/>
        <v/>
      </c>
      <c r="T1247" s="1" t="str">
        <f>IF(OR($C1247="",$D1247&lt;&gt;"Gelir",$L1247=""),"",IFERROR(INDEX(MUSTERILER!$B$7:$B$156,MATCH($S1247,MUSTERILER!$T$7:$T$156,0)),""))</f>
        <v/>
      </c>
      <c r="U1247" s="1" t="str">
        <f>IF($T1247="","",$T1247&amp;"|"&amp;COUNTIFS($T$7:$T1247,$T1247))</f>
        <v/>
      </c>
      <c r="V1247" s="1">
        <f t="shared" si="60"/>
        <v>0</v>
      </c>
      <c r="W1247" s="1" t="str">
        <f t="shared" si="61"/>
        <v/>
      </c>
      <c r="X1247" s="1"/>
      <c r="Y1247" s="1"/>
      <c r="Z1247" s="1"/>
      <c r="AA1247" s="1"/>
      <c r="AB1247" s="1"/>
      <c r="AC1247" s="1"/>
      <c r="AD1247" s="1">
        <f>IF($C1247="",0,SUMPRODUCT((AY_SONU!$O$7:$O$42="Evet")*(AY_SONU!$B$7:$B$42=DATE(YEAR($C1247),MONTH($C1247),1))))</f>
        <v>0</v>
      </c>
      <c r="AE1247" s="1" t="str">
        <f>IF($E1247="","",$E1247&amp;"|"&amp;COUNTIFS($E$7:$E1247,$E1247))</f>
        <v/>
      </c>
    </row>
    <row r="1248" spans="1:31" ht="18" customHeight="1" x14ac:dyDescent="0.3">
      <c r="A1248" s="2"/>
      <c r="B1248" s="65" t="str">
        <f>IF($C1248="","","GG"&amp;TEXT(ROW()-6,"00000"))</f>
        <v/>
      </c>
      <c r="C1248" s="66"/>
      <c r="D1248" s="60"/>
      <c r="E1248" s="61"/>
      <c r="F1248" s="61"/>
      <c r="G1248" s="67"/>
      <c r="H1248" s="60"/>
      <c r="I1248" s="60"/>
      <c r="J1248" s="61"/>
      <c r="K1248" s="61"/>
      <c r="L1248" s="60"/>
      <c r="M1248" s="74" t="str">
        <f>IF($C1248="","",IF($D1248="Gider",$E1248,IF($L1248&lt;&gt;"",$L1248,$H1248)))</f>
        <v/>
      </c>
      <c r="N1248" s="74" t="str">
        <f>IF($C1248="","",IF($D1248="Gider",$H1248,$E1248))</f>
        <v/>
      </c>
      <c r="O1248" s="73" t="str">
        <f>IF($C1248="","",DATE(YEAR($C1248),MONTH($C1248),1))</f>
        <v/>
      </c>
      <c r="P1248" s="65" t="str">
        <f ca="1">IF($C1248="","",IF(AND($D1248="Gelir",$L1248&lt;&gt;"",$T1248=""),"TANIMSIZ BORÇLU",IF($T1248&lt;&gt;"",IF(OR($E1248="",$G1248&lt;=0),"EKSİK",IF($I1248="Evet","TAHAKKUK NAKİT OLAMAZ",IF($C1248&gt;TODAY(),"İLERİ TARİH","TAHAKKUK"))),IF(AND($D1248&lt;&gt;"",$E1248&lt;&gt;"",$G1248&gt;0,$H1248&lt;&gt;"",$I1248&lt;&gt;""),IF($C1248&gt;TODAY(),"İLERİ TARİH",IF(COUNTIF($W$7:$W$3001,$W1248)&gt;1,"MÜKERRER?",IF($AD1248&gt;0,"KAPALI DÖNEM",IF($I1248="Hayır","ÖDENECEK","UYGUN")))),"EKSİK"))))</f>
        <v/>
      </c>
      <c r="Q1248" s="2"/>
      <c r="R1248" s="2"/>
      <c r="S1248" s="1" t="str">
        <f t="shared" si="59"/>
        <v/>
      </c>
      <c r="T1248" s="1" t="str">
        <f>IF(OR($C1248="",$D1248&lt;&gt;"Gelir",$L1248=""),"",IFERROR(INDEX(MUSTERILER!$B$7:$B$156,MATCH($S1248,MUSTERILER!$T$7:$T$156,0)),""))</f>
        <v/>
      </c>
      <c r="U1248" s="1" t="str">
        <f>IF($T1248="","",$T1248&amp;"|"&amp;COUNTIFS($T$7:$T1248,$T1248))</f>
        <v/>
      </c>
      <c r="V1248" s="1">
        <f t="shared" si="60"/>
        <v>0</v>
      </c>
      <c r="W1248" s="1" t="str">
        <f t="shared" si="61"/>
        <v/>
      </c>
      <c r="X1248" s="1"/>
      <c r="Y1248" s="1"/>
      <c r="Z1248" s="1"/>
      <c r="AA1248" s="1"/>
      <c r="AB1248" s="1"/>
      <c r="AC1248" s="1"/>
      <c r="AD1248" s="1">
        <f>IF($C1248="",0,SUMPRODUCT((AY_SONU!$O$7:$O$42="Evet")*(AY_SONU!$B$7:$B$42=DATE(YEAR($C1248),MONTH($C1248),1))))</f>
        <v>0</v>
      </c>
      <c r="AE1248" s="1" t="str">
        <f>IF($E1248="","",$E1248&amp;"|"&amp;COUNTIFS($E$7:$E1248,$E1248))</f>
        <v/>
      </c>
    </row>
    <row r="1249" spans="1:31" ht="18" customHeight="1" x14ac:dyDescent="0.3">
      <c r="A1249" s="2"/>
      <c r="B1249" s="65" t="str">
        <f>IF($C1249="","","GG"&amp;TEXT(ROW()-6,"00000"))</f>
        <v/>
      </c>
      <c r="C1249" s="66"/>
      <c r="D1249" s="60"/>
      <c r="E1249" s="61"/>
      <c r="F1249" s="61"/>
      <c r="G1249" s="67"/>
      <c r="H1249" s="60"/>
      <c r="I1249" s="60"/>
      <c r="J1249" s="61"/>
      <c r="K1249" s="61"/>
      <c r="L1249" s="60"/>
      <c r="M1249" s="74" t="str">
        <f>IF($C1249="","",IF($D1249="Gider",$E1249,IF($L1249&lt;&gt;"",$L1249,$H1249)))</f>
        <v/>
      </c>
      <c r="N1249" s="74" t="str">
        <f>IF($C1249="","",IF($D1249="Gider",$H1249,$E1249))</f>
        <v/>
      </c>
      <c r="O1249" s="73" t="str">
        <f>IF($C1249="","",DATE(YEAR($C1249),MONTH($C1249),1))</f>
        <v/>
      </c>
      <c r="P1249" s="65" t="str">
        <f ca="1">IF($C1249="","",IF(AND($D1249="Gelir",$L1249&lt;&gt;"",$T1249=""),"TANIMSIZ BORÇLU",IF($T1249&lt;&gt;"",IF(OR($E1249="",$G1249&lt;=0),"EKSİK",IF($I1249="Evet","TAHAKKUK NAKİT OLAMAZ",IF($C1249&gt;TODAY(),"İLERİ TARİH","TAHAKKUK"))),IF(AND($D1249&lt;&gt;"",$E1249&lt;&gt;"",$G1249&gt;0,$H1249&lt;&gt;"",$I1249&lt;&gt;""),IF($C1249&gt;TODAY(),"İLERİ TARİH",IF(COUNTIF($W$7:$W$3001,$W1249)&gt;1,"MÜKERRER?",IF($AD1249&gt;0,"KAPALI DÖNEM",IF($I1249="Hayır","ÖDENECEK","UYGUN")))),"EKSİK"))))</f>
        <v/>
      </c>
      <c r="Q1249" s="2"/>
      <c r="R1249" s="2"/>
      <c r="S1249" s="1" t="str">
        <f t="shared" si="59"/>
        <v/>
      </c>
      <c r="T1249" s="1" t="str">
        <f>IF(OR($C1249="",$D1249&lt;&gt;"Gelir",$L1249=""),"",IFERROR(INDEX(MUSTERILER!$B$7:$B$156,MATCH($S1249,MUSTERILER!$T$7:$T$156,0)),""))</f>
        <v/>
      </c>
      <c r="U1249" s="1" t="str">
        <f>IF($T1249="","",$T1249&amp;"|"&amp;COUNTIFS($T$7:$T1249,$T1249))</f>
        <v/>
      </c>
      <c r="V1249" s="1">
        <f t="shared" si="60"/>
        <v>0</v>
      </c>
      <c r="W1249" s="1" t="str">
        <f t="shared" si="61"/>
        <v/>
      </c>
      <c r="X1249" s="1"/>
      <c r="Y1249" s="1"/>
      <c r="Z1249" s="1"/>
      <c r="AA1249" s="1"/>
      <c r="AB1249" s="1"/>
      <c r="AC1249" s="1"/>
      <c r="AD1249" s="1">
        <f>IF($C1249="",0,SUMPRODUCT((AY_SONU!$O$7:$O$42="Evet")*(AY_SONU!$B$7:$B$42=DATE(YEAR($C1249),MONTH($C1249),1))))</f>
        <v>0</v>
      </c>
      <c r="AE1249" s="1" t="str">
        <f>IF($E1249="","",$E1249&amp;"|"&amp;COUNTIFS($E$7:$E1249,$E1249))</f>
        <v/>
      </c>
    </row>
    <row r="1250" spans="1:31" ht="18" customHeight="1" x14ac:dyDescent="0.3">
      <c r="A1250" s="2"/>
      <c r="B1250" s="65" t="str">
        <f>IF($C1250="","","GG"&amp;TEXT(ROW()-6,"00000"))</f>
        <v/>
      </c>
      <c r="C1250" s="66"/>
      <c r="D1250" s="60"/>
      <c r="E1250" s="61"/>
      <c r="F1250" s="61"/>
      <c r="G1250" s="67"/>
      <c r="H1250" s="60"/>
      <c r="I1250" s="60"/>
      <c r="J1250" s="61"/>
      <c r="K1250" s="61"/>
      <c r="L1250" s="60"/>
      <c r="M1250" s="74" t="str">
        <f>IF($C1250="","",IF($D1250="Gider",$E1250,IF($L1250&lt;&gt;"",$L1250,$H1250)))</f>
        <v/>
      </c>
      <c r="N1250" s="74" t="str">
        <f>IF($C1250="","",IF($D1250="Gider",$H1250,$E1250))</f>
        <v/>
      </c>
      <c r="O1250" s="73" t="str">
        <f>IF($C1250="","",DATE(YEAR($C1250),MONTH($C1250),1))</f>
        <v/>
      </c>
      <c r="P1250" s="65" t="str">
        <f ca="1">IF($C1250="","",IF(AND($D1250="Gelir",$L1250&lt;&gt;"",$T1250=""),"TANIMSIZ BORÇLU",IF($T1250&lt;&gt;"",IF(OR($E1250="",$G1250&lt;=0),"EKSİK",IF($I1250="Evet","TAHAKKUK NAKİT OLAMAZ",IF($C1250&gt;TODAY(),"İLERİ TARİH","TAHAKKUK"))),IF(AND($D1250&lt;&gt;"",$E1250&lt;&gt;"",$G1250&gt;0,$H1250&lt;&gt;"",$I1250&lt;&gt;""),IF($C1250&gt;TODAY(),"İLERİ TARİH",IF(COUNTIF($W$7:$W$3001,$W1250)&gt;1,"MÜKERRER?",IF($AD1250&gt;0,"KAPALI DÖNEM",IF($I1250="Hayır","ÖDENECEK","UYGUN")))),"EKSİK"))))</f>
        <v/>
      </c>
      <c r="Q1250" s="2"/>
      <c r="R1250" s="2"/>
      <c r="S1250" s="1" t="str">
        <f t="shared" si="59"/>
        <v/>
      </c>
      <c r="T1250" s="1" t="str">
        <f>IF(OR($C1250="",$D1250&lt;&gt;"Gelir",$L1250=""),"",IFERROR(INDEX(MUSTERILER!$B$7:$B$156,MATCH($S1250,MUSTERILER!$T$7:$T$156,0)),""))</f>
        <v/>
      </c>
      <c r="U1250" s="1" t="str">
        <f>IF($T1250="","",$T1250&amp;"|"&amp;COUNTIFS($T$7:$T1250,$T1250))</f>
        <v/>
      </c>
      <c r="V1250" s="1">
        <f t="shared" si="60"/>
        <v>0</v>
      </c>
      <c r="W1250" s="1" t="str">
        <f t="shared" si="61"/>
        <v/>
      </c>
      <c r="X1250" s="1"/>
      <c r="Y1250" s="1"/>
      <c r="Z1250" s="1"/>
      <c r="AA1250" s="1"/>
      <c r="AB1250" s="1"/>
      <c r="AC1250" s="1"/>
      <c r="AD1250" s="1">
        <f>IF($C1250="",0,SUMPRODUCT((AY_SONU!$O$7:$O$42="Evet")*(AY_SONU!$B$7:$B$42=DATE(YEAR($C1250),MONTH($C1250),1))))</f>
        <v>0</v>
      </c>
      <c r="AE1250" s="1" t="str">
        <f>IF($E1250="","",$E1250&amp;"|"&amp;COUNTIFS($E$7:$E1250,$E1250))</f>
        <v/>
      </c>
    </row>
    <row r="1251" spans="1:31" ht="18" customHeight="1" x14ac:dyDescent="0.3">
      <c r="A1251" s="2"/>
      <c r="B1251" s="65" t="str">
        <f>IF($C1251="","","GG"&amp;TEXT(ROW()-6,"00000"))</f>
        <v/>
      </c>
      <c r="C1251" s="66"/>
      <c r="D1251" s="60"/>
      <c r="E1251" s="61"/>
      <c r="F1251" s="61"/>
      <c r="G1251" s="67"/>
      <c r="H1251" s="60"/>
      <c r="I1251" s="60"/>
      <c r="J1251" s="61"/>
      <c r="K1251" s="61"/>
      <c r="L1251" s="60"/>
      <c r="M1251" s="74" t="str">
        <f>IF($C1251="","",IF($D1251="Gider",$E1251,IF($L1251&lt;&gt;"",$L1251,$H1251)))</f>
        <v/>
      </c>
      <c r="N1251" s="74" t="str">
        <f>IF($C1251="","",IF($D1251="Gider",$H1251,$E1251))</f>
        <v/>
      </c>
      <c r="O1251" s="73" t="str">
        <f>IF($C1251="","",DATE(YEAR($C1251),MONTH($C1251),1))</f>
        <v/>
      </c>
      <c r="P1251" s="65" t="str">
        <f ca="1">IF($C1251="","",IF(AND($D1251="Gelir",$L1251&lt;&gt;"",$T1251=""),"TANIMSIZ BORÇLU",IF($T1251&lt;&gt;"",IF(OR($E1251="",$G1251&lt;=0),"EKSİK",IF($I1251="Evet","TAHAKKUK NAKİT OLAMAZ",IF($C1251&gt;TODAY(),"İLERİ TARİH","TAHAKKUK"))),IF(AND($D1251&lt;&gt;"",$E1251&lt;&gt;"",$G1251&gt;0,$H1251&lt;&gt;"",$I1251&lt;&gt;""),IF($C1251&gt;TODAY(),"İLERİ TARİH",IF(COUNTIF($W$7:$W$3001,$W1251)&gt;1,"MÜKERRER?",IF($AD1251&gt;0,"KAPALI DÖNEM",IF($I1251="Hayır","ÖDENECEK","UYGUN")))),"EKSİK"))))</f>
        <v/>
      </c>
      <c r="Q1251" s="2"/>
      <c r="R1251" s="2"/>
      <c r="S1251" s="1" t="str">
        <f t="shared" si="59"/>
        <v/>
      </c>
      <c r="T1251" s="1" t="str">
        <f>IF(OR($C1251="",$D1251&lt;&gt;"Gelir",$L1251=""),"",IFERROR(INDEX(MUSTERILER!$B$7:$B$156,MATCH($S1251,MUSTERILER!$T$7:$T$156,0)),""))</f>
        <v/>
      </c>
      <c r="U1251" s="1" t="str">
        <f>IF($T1251="","",$T1251&amp;"|"&amp;COUNTIFS($T$7:$T1251,$T1251))</f>
        <v/>
      </c>
      <c r="V1251" s="1">
        <f t="shared" si="60"/>
        <v>0</v>
      </c>
      <c r="W1251" s="1" t="str">
        <f t="shared" si="61"/>
        <v/>
      </c>
      <c r="X1251" s="1"/>
      <c r="Y1251" s="1"/>
      <c r="Z1251" s="1"/>
      <c r="AA1251" s="1"/>
      <c r="AB1251" s="1"/>
      <c r="AC1251" s="1"/>
      <c r="AD1251" s="1">
        <f>IF($C1251="",0,SUMPRODUCT((AY_SONU!$O$7:$O$42="Evet")*(AY_SONU!$B$7:$B$42=DATE(YEAR($C1251),MONTH($C1251),1))))</f>
        <v>0</v>
      </c>
      <c r="AE1251" s="1" t="str">
        <f>IF($E1251="","",$E1251&amp;"|"&amp;COUNTIFS($E$7:$E1251,$E1251))</f>
        <v/>
      </c>
    </row>
    <row r="1252" spans="1:31" ht="18" customHeight="1" x14ac:dyDescent="0.3">
      <c r="A1252" s="2"/>
      <c r="B1252" s="65" t="str">
        <f>IF($C1252="","","GG"&amp;TEXT(ROW()-6,"00000"))</f>
        <v/>
      </c>
      <c r="C1252" s="66"/>
      <c r="D1252" s="60"/>
      <c r="E1252" s="61"/>
      <c r="F1252" s="61"/>
      <c r="G1252" s="67"/>
      <c r="H1252" s="60"/>
      <c r="I1252" s="60"/>
      <c r="J1252" s="61"/>
      <c r="K1252" s="61"/>
      <c r="L1252" s="60"/>
      <c r="M1252" s="74" t="str">
        <f>IF($C1252="","",IF($D1252="Gider",$E1252,IF($L1252&lt;&gt;"",$L1252,$H1252)))</f>
        <v/>
      </c>
      <c r="N1252" s="74" t="str">
        <f>IF($C1252="","",IF($D1252="Gider",$H1252,$E1252))</f>
        <v/>
      </c>
      <c r="O1252" s="73" t="str">
        <f>IF($C1252="","",DATE(YEAR($C1252),MONTH($C1252),1))</f>
        <v/>
      </c>
      <c r="P1252" s="65" t="str">
        <f ca="1">IF($C1252="","",IF(AND($D1252="Gelir",$L1252&lt;&gt;"",$T1252=""),"TANIMSIZ BORÇLU",IF($T1252&lt;&gt;"",IF(OR($E1252="",$G1252&lt;=0),"EKSİK",IF($I1252="Evet","TAHAKKUK NAKİT OLAMAZ",IF($C1252&gt;TODAY(),"İLERİ TARİH","TAHAKKUK"))),IF(AND($D1252&lt;&gt;"",$E1252&lt;&gt;"",$G1252&gt;0,$H1252&lt;&gt;"",$I1252&lt;&gt;""),IF($C1252&gt;TODAY(),"İLERİ TARİH",IF(COUNTIF($W$7:$W$3001,$W1252)&gt;1,"MÜKERRER?",IF($AD1252&gt;0,"KAPALI DÖNEM",IF($I1252="Hayır","ÖDENECEK","UYGUN")))),"EKSİK"))))</f>
        <v/>
      </c>
      <c r="Q1252" s="2"/>
      <c r="R1252" s="2"/>
      <c r="S1252" s="1" t="str">
        <f t="shared" si="59"/>
        <v/>
      </c>
      <c r="T1252" s="1" t="str">
        <f>IF(OR($C1252="",$D1252&lt;&gt;"Gelir",$L1252=""),"",IFERROR(INDEX(MUSTERILER!$B$7:$B$156,MATCH($S1252,MUSTERILER!$T$7:$T$156,0)),""))</f>
        <v/>
      </c>
      <c r="U1252" s="1" t="str">
        <f>IF($T1252="","",$T1252&amp;"|"&amp;COUNTIFS($T$7:$T1252,$T1252))</f>
        <v/>
      </c>
      <c r="V1252" s="1">
        <f t="shared" si="60"/>
        <v>0</v>
      </c>
      <c r="W1252" s="1" t="str">
        <f t="shared" si="61"/>
        <v/>
      </c>
      <c r="X1252" s="1"/>
      <c r="Y1252" s="1"/>
      <c r="Z1252" s="1"/>
      <c r="AA1252" s="1"/>
      <c r="AB1252" s="1"/>
      <c r="AC1252" s="1"/>
      <c r="AD1252" s="1">
        <f>IF($C1252="",0,SUMPRODUCT((AY_SONU!$O$7:$O$42="Evet")*(AY_SONU!$B$7:$B$42=DATE(YEAR($C1252),MONTH($C1252),1))))</f>
        <v>0</v>
      </c>
      <c r="AE1252" s="1" t="str">
        <f>IF($E1252="","",$E1252&amp;"|"&amp;COUNTIFS($E$7:$E1252,$E1252))</f>
        <v/>
      </c>
    </row>
    <row r="1253" spans="1:31" ht="18" customHeight="1" x14ac:dyDescent="0.3">
      <c r="A1253" s="2"/>
      <c r="B1253" s="65" t="str">
        <f>IF($C1253="","","GG"&amp;TEXT(ROW()-6,"00000"))</f>
        <v/>
      </c>
      <c r="C1253" s="66"/>
      <c r="D1253" s="60"/>
      <c r="E1253" s="61"/>
      <c r="F1253" s="61"/>
      <c r="G1253" s="67"/>
      <c r="H1253" s="60"/>
      <c r="I1253" s="60"/>
      <c r="J1253" s="61"/>
      <c r="K1253" s="61"/>
      <c r="L1253" s="60"/>
      <c r="M1253" s="74" t="str">
        <f>IF($C1253="","",IF($D1253="Gider",$E1253,IF($L1253&lt;&gt;"",$L1253,$H1253)))</f>
        <v/>
      </c>
      <c r="N1253" s="74" t="str">
        <f>IF($C1253="","",IF($D1253="Gider",$H1253,$E1253))</f>
        <v/>
      </c>
      <c r="O1253" s="73" t="str">
        <f>IF($C1253="","",DATE(YEAR($C1253),MONTH($C1253),1))</f>
        <v/>
      </c>
      <c r="P1253" s="65" t="str">
        <f ca="1">IF($C1253="","",IF(AND($D1253="Gelir",$L1253&lt;&gt;"",$T1253=""),"TANIMSIZ BORÇLU",IF($T1253&lt;&gt;"",IF(OR($E1253="",$G1253&lt;=0),"EKSİK",IF($I1253="Evet","TAHAKKUK NAKİT OLAMAZ",IF($C1253&gt;TODAY(),"İLERİ TARİH","TAHAKKUK"))),IF(AND($D1253&lt;&gt;"",$E1253&lt;&gt;"",$G1253&gt;0,$H1253&lt;&gt;"",$I1253&lt;&gt;""),IF($C1253&gt;TODAY(),"İLERİ TARİH",IF(COUNTIF($W$7:$W$3001,$W1253)&gt;1,"MÜKERRER?",IF($AD1253&gt;0,"KAPALI DÖNEM",IF($I1253="Hayır","ÖDENECEK","UYGUN")))),"EKSİK"))))</f>
        <v/>
      </c>
      <c r="Q1253" s="2"/>
      <c r="R1253" s="2"/>
      <c r="S1253" s="1" t="str">
        <f t="shared" si="59"/>
        <v/>
      </c>
      <c r="T1253" s="1" t="str">
        <f>IF(OR($C1253="",$D1253&lt;&gt;"Gelir",$L1253=""),"",IFERROR(INDEX(MUSTERILER!$B$7:$B$156,MATCH($S1253,MUSTERILER!$T$7:$T$156,0)),""))</f>
        <v/>
      </c>
      <c r="U1253" s="1" t="str">
        <f>IF($T1253="","",$T1253&amp;"|"&amp;COUNTIFS($T$7:$T1253,$T1253))</f>
        <v/>
      </c>
      <c r="V1253" s="1">
        <f t="shared" si="60"/>
        <v>0</v>
      </c>
      <c r="W1253" s="1" t="str">
        <f t="shared" si="61"/>
        <v/>
      </c>
      <c r="X1253" s="1"/>
      <c r="Y1253" s="1"/>
      <c r="Z1253" s="1"/>
      <c r="AA1253" s="1"/>
      <c r="AB1253" s="1"/>
      <c r="AC1253" s="1"/>
      <c r="AD1253" s="1">
        <f>IF($C1253="",0,SUMPRODUCT((AY_SONU!$O$7:$O$42="Evet")*(AY_SONU!$B$7:$B$42=DATE(YEAR($C1253),MONTH($C1253),1))))</f>
        <v>0</v>
      </c>
      <c r="AE1253" s="1" t="str">
        <f>IF($E1253="","",$E1253&amp;"|"&amp;COUNTIFS($E$7:$E1253,$E1253))</f>
        <v/>
      </c>
    </row>
    <row r="1254" spans="1:31" ht="18" customHeight="1" x14ac:dyDescent="0.3">
      <c r="A1254" s="2"/>
      <c r="B1254" s="65" t="str">
        <f>IF($C1254="","","GG"&amp;TEXT(ROW()-6,"00000"))</f>
        <v/>
      </c>
      <c r="C1254" s="66"/>
      <c r="D1254" s="60"/>
      <c r="E1254" s="61"/>
      <c r="F1254" s="61"/>
      <c r="G1254" s="67"/>
      <c r="H1254" s="60"/>
      <c r="I1254" s="60"/>
      <c r="J1254" s="61"/>
      <c r="K1254" s="61"/>
      <c r="L1254" s="60"/>
      <c r="M1254" s="74" t="str">
        <f>IF($C1254="","",IF($D1254="Gider",$E1254,IF($L1254&lt;&gt;"",$L1254,$H1254)))</f>
        <v/>
      </c>
      <c r="N1254" s="74" t="str">
        <f>IF($C1254="","",IF($D1254="Gider",$H1254,$E1254))</f>
        <v/>
      </c>
      <c r="O1254" s="73" t="str">
        <f>IF($C1254="","",DATE(YEAR($C1254),MONTH($C1254),1))</f>
        <v/>
      </c>
      <c r="P1254" s="65" t="str">
        <f ca="1">IF($C1254="","",IF(AND($D1254="Gelir",$L1254&lt;&gt;"",$T1254=""),"TANIMSIZ BORÇLU",IF($T1254&lt;&gt;"",IF(OR($E1254="",$G1254&lt;=0),"EKSİK",IF($I1254="Evet","TAHAKKUK NAKİT OLAMAZ",IF($C1254&gt;TODAY(),"İLERİ TARİH","TAHAKKUK"))),IF(AND($D1254&lt;&gt;"",$E1254&lt;&gt;"",$G1254&gt;0,$H1254&lt;&gt;"",$I1254&lt;&gt;""),IF($C1254&gt;TODAY(),"İLERİ TARİH",IF(COUNTIF($W$7:$W$3001,$W1254)&gt;1,"MÜKERRER?",IF($AD1254&gt;0,"KAPALI DÖNEM",IF($I1254="Hayır","ÖDENECEK","UYGUN")))),"EKSİK"))))</f>
        <v/>
      </c>
      <c r="Q1254" s="2"/>
      <c r="R1254" s="2"/>
      <c r="S1254" s="1" t="str">
        <f t="shared" si="59"/>
        <v/>
      </c>
      <c r="T1254" s="1" t="str">
        <f>IF(OR($C1254="",$D1254&lt;&gt;"Gelir",$L1254=""),"",IFERROR(INDEX(MUSTERILER!$B$7:$B$156,MATCH($S1254,MUSTERILER!$T$7:$T$156,0)),""))</f>
        <v/>
      </c>
      <c r="U1254" s="1" t="str">
        <f>IF($T1254="","",$T1254&amp;"|"&amp;COUNTIFS($T$7:$T1254,$T1254))</f>
        <v/>
      </c>
      <c r="V1254" s="1">
        <f t="shared" si="60"/>
        <v>0</v>
      </c>
      <c r="W1254" s="1" t="str">
        <f t="shared" si="61"/>
        <v/>
      </c>
      <c r="X1254" s="1"/>
      <c r="Y1254" s="1"/>
      <c r="Z1254" s="1"/>
      <c r="AA1254" s="1"/>
      <c r="AB1254" s="1"/>
      <c r="AC1254" s="1"/>
      <c r="AD1254" s="1">
        <f>IF($C1254="",0,SUMPRODUCT((AY_SONU!$O$7:$O$42="Evet")*(AY_SONU!$B$7:$B$42=DATE(YEAR($C1254),MONTH($C1254),1))))</f>
        <v>0</v>
      </c>
      <c r="AE1254" s="1" t="str">
        <f>IF($E1254="","",$E1254&amp;"|"&amp;COUNTIFS($E$7:$E1254,$E1254))</f>
        <v/>
      </c>
    </row>
    <row r="1255" spans="1:31" ht="18" customHeight="1" x14ac:dyDescent="0.3">
      <c r="A1255" s="2"/>
      <c r="B1255" s="65" t="str">
        <f>IF($C1255="","","GG"&amp;TEXT(ROW()-6,"00000"))</f>
        <v/>
      </c>
      <c r="C1255" s="66"/>
      <c r="D1255" s="60"/>
      <c r="E1255" s="61"/>
      <c r="F1255" s="61"/>
      <c r="G1255" s="67"/>
      <c r="H1255" s="60"/>
      <c r="I1255" s="60"/>
      <c r="J1255" s="61"/>
      <c r="K1255" s="61"/>
      <c r="L1255" s="60"/>
      <c r="M1255" s="74" t="str">
        <f>IF($C1255="","",IF($D1255="Gider",$E1255,IF($L1255&lt;&gt;"",$L1255,$H1255)))</f>
        <v/>
      </c>
      <c r="N1255" s="74" t="str">
        <f>IF($C1255="","",IF($D1255="Gider",$H1255,$E1255))</f>
        <v/>
      </c>
      <c r="O1255" s="73" t="str">
        <f>IF($C1255="","",DATE(YEAR($C1255),MONTH($C1255),1))</f>
        <v/>
      </c>
      <c r="P1255" s="65" t="str">
        <f ca="1">IF($C1255="","",IF(AND($D1255="Gelir",$L1255&lt;&gt;"",$T1255=""),"TANIMSIZ BORÇLU",IF($T1255&lt;&gt;"",IF(OR($E1255="",$G1255&lt;=0),"EKSİK",IF($I1255="Evet","TAHAKKUK NAKİT OLAMAZ",IF($C1255&gt;TODAY(),"İLERİ TARİH","TAHAKKUK"))),IF(AND($D1255&lt;&gt;"",$E1255&lt;&gt;"",$G1255&gt;0,$H1255&lt;&gt;"",$I1255&lt;&gt;""),IF($C1255&gt;TODAY(),"İLERİ TARİH",IF(COUNTIF($W$7:$W$3001,$W1255)&gt;1,"MÜKERRER?",IF($AD1255&gt;0,"KAPALI DÖNEM",IF($I1255="Hayır","ÖDENECEK","UYGUN")))),"EKSİK"))))</f>
        <v/>
      </c>
      <c r="Q1255" s="2"/>
      <c r="R1255" s="2"/>
      <c r="S1255" s="1" t="str">
        <f t="shared" si="59"/>
        <v/>
      </c>
      <c r="T1255" s="1" t="str">
        <f>IF(OR($C1255="",$D1255&lt;&gt;"Gelir",$L1255=""),"",IFERROR(INDEX(MUSTERILER!$B$7:$B$156,MATCH($S1255,MUSTERILER!$T$7:$T$156,0)),""))</f>
        <v/>
      </c>
      <c r="U1255" s="1" t="str">
        <f>IF($T1255="","",$T1255&amp;"|"&amp;COUNTIFS($T$7:$T1255,$T1255))</f>
        <v/>
      </c>
      <c r="V1255" s="1">
        <f t="shared" si="60"/>
        <v>0</v>
      </c>
      <c r="W1255" s="1" t="str">
        <f t="shared" si="61"/>
        <v/>
      </c>
      <c r="X1255" s="1"/>
      <c r="Y1255" s="1"/>
      <c r="Z1255" s="1"/>
      <c r="AA1255" s="1"/>
      <c r="AB1255" s="1"/>
      <c r="AC1255" s="1"/>
      <c r="AD1255" s="1">
        <f>IF($C1255="",0,SUMPRODUCT((AY_SONU!$O$7:$O$42="Evet")*(AY_SONU!$B$7:$B$42=DATE(YEAR($C1255),MONTH($C1255),1))))</f>
        <v>0</v>
      </c>
      <c r="AE1255" s="1" t="str">
        <f>IF($E1255="","",$E1255&amp;"|"&amp;COUNTIFS($E$7:$E1255,$E1255))</f>
        <v/>
      </c>
    </row>
    <row r="1256" spans="1:31" ht="18" customHeight="1" x14ac:dyDescent="0.3">
      <c r="A1256" s="2"/>
      <c r="B1256" s="65" t="str">
        <f>IF($C1256="","","GG"&amp;TEXT(ROW()-6,"00000"))</f>
        <v/>
      </c>
      <c r="C1256" s="66"/>
      <c r="D1256" s="60"/>
      <c r="E1256" s="61"/>
      <c r="F1256" s="61"/>
      <c r="G1256" s="67"/>
      <c r="H1256" s="60"/>
      <c r="I1256" s="60"/>
      <c r="J1256" s="61"/>
      <c r="K1256" s="61"/>
      <c r="L1256" s="60"/>
      <c r="M1256" s="74" t="str">
        <f>IF($C1256="","",IF($D1256="Gider",$E1256,IF($L1256&lt;&gt;"",$L1256,$H1256)))</f>
        <v/>
      </c>
      <c r="N1256" s="74" t="str">
        <f>IF($C1256="","",IF($D1256="Gider",$H1256,$E1256))</f>
        <v/>
      </c>
      <c r="O1256" s="73" t="str">
        <f>IF($C1256="","",DATE(YEAR($C1256),MONTH($C1256),1))</f>
        <v/>
      </c>
      <c r="P1256" s="65" t="str">
        <f ca="1">IF($C1256="","",IF(AND($D1256="Gelir",$L1256&lt;&gt;"",$T1256=""),"TANIMSIZ BORÇLU",IF($T1256&lt;&gt;"",IF(OR($E1256="",$G1256&lt;=0),"EKSİK",IF($I1256="Evet","TAHAKKUK NAKİT OLAMAZ",IF($C1256&gt;TODAY(),"İLERİ TARİH","TAHAKKUK"))),IF(AND($D1256&lt;&gt;"",$E1256&lt;&gt;"",$G1256&gt;0,$H1256&lt;&gt;"",$I1256&lt;&gt;""),IF($C1256&gt;TODAY(),"İLERİ TARİH",IF(COUNTIF($W$7:$W$3001,$W1256)&gt;1,"MÜKERRER?",IF($AD1256&gt;0,"KAPALI DÖNEM",IF($I1256="Hayır","ÖDENECEK","UYGUN")))),"EKSİK"))))</f>
        <v/>
      </c>
      <c r="Q1256" s="2"/>
      <c r="R1256" s="2"/>
      <c r="S1256" s="1" t="str">
        <f t="shared" si="59"/>
        <v/>
      </c>
      <c r="T1256" s="1" t="str">
        <f>IF(OR($C1256="",$D1256&lt;&gt;"Gelir",$L1256=""),"",IFERROR(INDEX(MUSTERILER!$B$7:$B$156,MATCH($S1256,MUSTERILER!$T$7:$T$156,0)),""))</f>
        <v/>
      </c>
      <c r="U1256" s="1" t="str">
        <f>IF($T1256="","",$T1256&amp;"|"&amp;COUNTIFS($T$7:$T1256,$T1256))</f>
        <v/>
      </c>
      <c r="V1256" s="1">
        <f t="shared" si="60"/>
        <v>0</v>
      </c>
      <c r="W1256" s="1" t="str">
        <f t="shared" si="61"/>
        <v/>
      </c>
      <c r="X1256" s="1"/>
      <c r="Y1256" s="1"/>
      <c r="Z1256" s="1"/>
      <c r="AA1256" s="1"/>
      <c r="AB1256" s="1"/>
      <c r="AC1256" s="1"/>
      <c r="AD1256" s="1">
        <f>IF($C1256="",0,SUMPRODUCT((AY_SONU!$O$7:$O$42="Evet")*(AY_SONU!$B$7:$B$42=DATE(YEAR($C1256),MONTH($C1256),1))))</f>
        <v>0</v>
      </c>
      <c r="AE1256" s="1" t="str">
        <f>IF($E1256="","",$E1256&amp;"|"&amp;COUNTIFS($E$7:$E1256,$E1256))</f>
        <v/>
      </c>
    </row>
    <row r="1257" spans="1:31" ht="18" customHeight="1" x14ac:dyDescent="0.3">
      <c r="A1257" s="2"/>
      <c r="B1257" s="65" t="str">
        <f>IF($C1257="","","GG"&amp;TEXT(ROW()-6,"00000"))</f>
        <v/>
      </c>
      <c r="C1257" s="66"/>
      <c r="D1257" s="60"/>
      <c r="E1257" s="61"/>
      <c r="F1257" s="61"/>
      <c r="G1257" s="67"/>
      <c r="H1257" s="60"/>
      <c r="I1257" s="60"/>
      <c r="J1257" s="61"/>
      <c r="K1257" s="61"/>
      <c r="L1257" s="60"/>
      <c r="M1257" s="74" t="str">
        <f>IF($C1257="","",IF($D1257="Gider",$E1257,IF($L1257&lt;&gt;"",$L1257,$H1257)))</f>
        <v/>
      </c>
      <c r="N1257" s="74" t="str">
        <f>IF($C1257="","",IF($D1257="Gider",$H1257,$E1257))</f>
        <v/>
      </c>
      <c r="O1257" s="73" t="str">
        <f>IF($C1257="","",DATE(YEAR($C1257),MONTH($C1257),1))</f>
        <v/>
      </c>
      <c r="P1257" s="65" t="str">
        <f ca="1">IF($C1257="","",IF(AND($D1257="Gelir",$L1257&lt;&gt;"",$T1257=""),"TANIMSIZ BORÇLU",IF($T1257&lt;&gt;"",IF(OR($E1257="",$G1257&lt;=0),"EKSİK",IF($I1257="Evet","TAHAKKUK NAKİT OLAMAZ",IF($C1257&gt;TODAY(),"İLERİ TARİH","TAHAKKUK"))),IF(AND($D1257&lt;&gt;"",$E1257&lt;&gt;"",$G1257&gt;0,$H1257&lt;&gt;"",$I1257&lt;&gt;""),IF($C1257&gt;TODAY(),"İLERİ TARİH",IF(COUNTIF($W$7:$W$3001,$W1257)&gt;1,"MÜKERRER?",IF($AD1257&gt;0,"KAPALI DÖNEM",IF($I1257="Hayır","ÖDENECEK","UYGUN")))),"EKSİK"))))</f>
        <v/>
      </c>
      <c r="Q1257" s="2"/>
      <c r="R1257" s="2"/>
      <c r="S1257" s="1" t="str">
        <f t="shared" si="59"/>
        <v/>
      </c>
      <c r="T1257" s="1" t="str">
        <f>IF(OR($C1257="",$D1257&lt;&gt;"Gelir",$L1257=""),"",IFERROR(INDEX(MUSTERILER!$B$7:$B$156,MATCH($S1257,MUSTERILER!$T$7:$T$156,0)),""))</f>
        <v/>
      </c>
      <c r="U1257" s="1" t="str">
        <f>IF($T1257="","",$T1257&amp;"|"&amp;COUNTIFS($T$7:$T1257,$T1257))</f>
        <v/>
      </c>
      <c r="V1257" s="1">
        <f t="shared" si="60"/>
        <v>0</v>
      </c>
      <c r="W1257" s="1" t="str">
        <f t="shared" si="61"/>
        <v/>
      </c>
      <c r="X1257" s="1"/>
      <c r="Y1257" s="1"/>
      <c r="Z1257" s="1"/>
      <c r="AA1257" s="1"/>
      <c r="AB1257" s="1"/>
      <c r="AC1257" s="1"/>
      <c r="AD1257" s="1">
        <f>IF($C1257="",0,SUMPRODUCT((AY_SONU!$O$7:$O$42="Evet")*(AY_SONU!$B$7:$B$42=DATE(YEAR($C1257),MONTH($C1257),1))))</f>
        <v>0</v>
      </c>
      <c r="AE1257" s="1" t="str">
        <f>IF($E1257="","",$E1257&amp;"|"&amp;COUNTIFS($E$7:$E1257,$E1257))</f>
        <v/>
      </c>
    </row>
    <row r="1258" spans="1:31" ht="18" customHeight="1" x14ac:dyDescent="0.3">
      <c r="A1258" s="2"/>
      <c r="B1258" s="65" t="str">
        <f>IF($C1258="","","GG"&amp;TEXT(ROW()-6,"00000"))</f>
        <v/>
      </c>
      <c r="C1258" s="66"/>
      <c r="D1258" s="60"/>
      <c r="E1258" s="61"/>
      <c r="F1258" s="61"/>
      <c r="G1258" s="67"/>
      <c r="H1258" s="60"/>
      <c r="I1258" s="60"/>
      <c r="J1258" s="61"/>
      <c r="K1258" s="61"/>
      <c r="L1258" s="60"/>
      <c r="M1258" s="74" t="str">
        <f>IF($C1258="","",IF($D1258="Gider",$E1258,IF($L1258&lt;&gt;"",$L1258,$H1258)))</f>
        <v/>
      </c>
      <c r="N1258" s="74" t="str">
        <f>IF($C1258="","",IF($D1258="Gider",$H1258,$E1258))</f>
        <v/>
      </c>
      <c r="O1258" s="73" t="str">
        <f>IF($C1258="","",DATE(YEAR($C1258),MONTH($C1258),1))</f>
        <v/>
      </c>
      <c r="P1258" s="65" t="str">
        <f ca="1">IF($C1258="","",IF(AND($D1258="Gelir",$L1258&lt;&gt;"",$T1258=""),"TANIMSIZ BORÇLU",IF($T1258&lt;&gt;"",IF(OR($E1258="",$G1258&lt;=0),"EKSİK",IF($I1258="Evet","TAHAKKUK NAKİT OLAMAZ",IF($C1258&gt;TODAY(),"İLERİ TARİH","TAHAKKUK"))),IF(AND($D1258&lt;&gt;"",$E1258&lt;&gt;"",$G1258&gt;0,$H1258&lt;&gt;"",$I1258&lt;&gt;""),IF($C1258&gt;TODAY(),"İLERİ TARİH",IF(COUNTIF($W$7:$W$3001,$W1258)&gt;1,"MÜKERRER?",IF($AD1258&gt;0,"KAPALI DÖNEM",IF($I1258="Hayır","ÖDENECEK","UYGUN")))),"EKSİK"))))</f>
        <v/>
      </c>
      <c r="Q1258" s="2"/>
      <c r="R1258" s="2"/>
      <c r="S1258" s="1" t="str">
        <f t="shared" si="59"/>
        <v/>
      </c>
      <c r="T1258" s="1" t="str">
        <f>IF(OR($C1258="",$D1258&lt;&gt;"Gelir",$L1258=""),"",IFERROR(INDEX(MUSTERILER!$B$7:$B$156,MATCH($S1258,MUSTERILER!$T$7:$T$156,0)),""))</f>
        <v/>
      </c>
      <c r="U1258" s="1" t="str">
        <f>IF($T1258="","",$T1258&amp;"|"&amp;COUNTIFS($T$7:$T1258,$T1258))</f>
        <v/>
      </c>
      <c r="V1258" s="1">
        <f t="shared" si="60"/>
        <v>0</v>
      </c>
      <c r="W1258" s="1" t="str">
        <f t="shared" si="61"/>
        <v/>
      </c>
      <c r="X1258" s="1"/>
      <c r="Y1258" s="1"/>
      <c r="Z1258" s="1"/>
      <c r="AA1258" s="1"/>
      <c r="AB1258" s="1"/>
      <c r="AC1258" s="1"/>
      <c r="AD1258" s="1">
        <f>IF($C1258="",0,SUMPRODUCT((AY_SONU!$O$7:$O$42="Evet")*(AY_SONU!$B$7:$B$42=DATE(YEAR($C1258),MONTH($C1258),1))))</f>
        <v>0</v>
      </c>
      <c r="AE1258" s="1" t="str">
        <f>IF($E1258="","",$E1258&amp;"|"&amp;COUNTIFS($E$7:$E1258,$E1258))</f>
        <v/>
      </c>
    </row>
    <row r="1259" spans="1:31" ht="18" customHeight="1" x14ac:dyDescent="0.3">
      <c r="A1259" s="2"/>
      <c r="B1259" s="65" t="str">
        <f>IF($C1259="","","GG"&amp;TEXT(ROW()-6,"00000"))</f>
        <v/>
      </c>
      <c r="C1259" s="66"/>
      <c r="D1259" s="60"/>
      <c r="E1259" s="61"/>
      <c r="F1259" s="61"/>
      <c r="G1259" s="67"/>
      <c r="H1259" s="60"/>
      <c r="I1259" s="60"/>
      <c r="J1259" s="61"/>
      <c r="K1259" s="61"/>
      <c r="L1259" s="60"/>
      <c r="M1259" s="74" t="str">
        <f>IF($C1259="","",IF($D1259="Gider",$E1259,IF($L1259&lt;&gt;"",$L1259,$H1259)))</f>
        <v/>
      </c>
      <c r="N1259" s="74" t="str">
        <f>IF($C1259="","",IF($D1259="Gider",$H1259,$E1259))</f>
        <v/>
      </c>
      <c r="O1259" s="73" t="str">
        <f>IF($C1259="","",DATE(YEAR($C1259),MONTH($C1259),1))</f>
        <v/>
      </c>
      <c r="P1259" s="65" t="str">
        <f ca="1">IF($C1259="","",IF(AND($D1259="Gelir",$L1259&lt;&gt;"",$T1259=""),"TANIMSIZ BORÇLU",IF($T1259&lt;&gt;"",IF(OR($E1259="",$G1259&lt;=0),"EKSİK",IF($I1259="Evet","TAHAKKUK NAKİT OLAMAZ",IF($C1259&gt;TODAY(),"İLERİ TARİH","TAHAKKUK"))),IF(AND($D1259&lt;&gt;"",$E1259&lt;&gt;"",$G1259&gt;0,$H1259&lt;&gt;"",$I1259&lt;&gt;""),IF($C1259&gt;TODAY(),"İLERİ TARİH",IF(COUNTIF($W$7:$W$3001,$W1259)&gt;1,"MÜKERRER?",IF($AD1259&gt;0,"KAPALI DÖNEM",IF($I1259="Hayır","ÖDENECEK","UYGUN")))),"EKSİK"))))</f>
        <v/>
      </c>
      <c r="Q1259" s="2"/>
      <c r="R1259" s="2"/>
      <c r="S1259" s="1" t="str">
        <f t="shared" si="59"/>
        <v/>
      </c>
      <c r="T1259" s="1" t="str">
        <f>IF(OR($C1259="",$D1259&lt;&gt;"Gelir",$L1259=""),"",IFERROR(INDEX(MUSTERILER!$B$7:$B$156,MATCH($S1259,MUSTERILER!$T$7:$T$156,0)),""))</f>
        <v/>
      </c>
      <c r="U1259" s="1" t="str">
        <f>IF($T1259="","",$T1259&amp;"|"&amp;COUNTIFS($T$7:$T1259,$T1259))</f>
        <v/>
      </c>
      <c r="V1259" s="1">
        <f t="shared" si="60"/>
        <v>0</v>
      </c>
      <c r="W1259" s="1" t="str">
        <f t="shared" si="61"/>
        <v/>
      </c>
      <c r="X1259" s="1"/>
      <c r="Y1259" s="1"/>
      <c r="Z1259" s="1"/>
      <c r="AA1259" s="1"/>
      <c r="AB1259" s="1"/>
      <c r="AC1259" s="1"/>
      <c r="AD1259" s="1">
        <f>IF($C1259="",0,SUMPRODUCT((AY_SONU!$O$7:$O$42="Evet")*(AY_SONU!$B$7:$B$42=DATE(YEAR($C1259),MONTH($C1259),1))))</f>
        <v>0</v>
      </c>
      <c r="AE1259" s="1" t="str">
        <f>IF($E1259="","",$E1259&amp;"|"&amp;COUNTIFS($E$7:$E1259,$E1259))</f>
        <v/>
      </c>
    </row>
    <row r="1260" spans="1:31" ht="18" customHeight="1" x14ac:dyDescent="0.3">
      <c r="A1260" s="2"/>
      <c r="B1260" s="65" t="str">
        <f>IF($C1260="","","GG"&amp;TEXT(ROW()-6,"00000"))</f>
        <v/>
      </c>
      <c r="C1260" s="66"/>
      <c r="D1260" s="60"/>
      <c r="E1260" s="61"/>
      <c r="F1260" s="61"/>
      <c r="G1260" s="67"/>
      <c r="H1260" s="60"/>
      <c r="I1260" s="60"/>
      <c r="J1260" s="61"/>
      <c r="K1260" s="61"/>
      <c r="L1260" s="60"/>
      <c r="M1260" s="74" t="str">
        <f>IF($C1260="","",IF($D1260="Gider",$E1260,IF($L1260&lt;&gt;"",$L1260,$H1260)))</f>
        <v/>
      </c>
      <c r="N1260" s="74" t="str">
        <f>IF($C1260="","",IF($D1260="Gider",$H1260,$E1260))</f>
        <v/>
      </c>
      <c r="O1260" s="73" t="str">
        <f>IF($C1260="","",DATE(YEAR($C1260),MONTH($C1260),1))</f>
        <v/>
      </c>
      <c r="P1260" s="65" t="str">
        <f ca="1">IF($C1260="","",IF(AND($D1260="Gelir",$L1260&lt;&gt;"",$T1260=""),"TANIMSIZ BORÇLU",IF($T1260&lt;&gt;"",IF(OR($E1260="",$G1260&lt;=0),"EKSİK",IF($I1260="Evet","TAHAKKUK NAKİT OLAMAZ",IF($C1260&gt;TODAY(),"İLERİ TARİH","TAHAKKUK"))),IF(AND($D1260&lt;&gt;"",$E1260&lt;&gt;"",$G1260&gt;0,$H1260&lt;&gt;"",$I1260&lt;&gt;""),IF($C1260&gt;TODAY(),"İLERİ TARİH",IF(COUNTIF($W$7:$W$3001,$W1260)&gt;1,"MÜKERRER?",IF($AD1260&gt;0,"KAPALI DÖNEM",IF($I1260="Hayır","ÖDENECEK","UYGUN")))),"EKSİK"))))</f>
        <v/>
      </c>
      <c r="Q1260" s="2"/>
      <c r="R1260" s="2"/>
      <c r="S1260" s="1" t="str">
        <f t="shared" si="59"/>
        <v/>
      </c>
      <c r="T1260" s="1" t="str">
        <f>IF(OR($C1260="",$D1260&lt;&gt;"Gelir",$L1260=""),"",IFERROR(INDEX(MUSTERILER!$B$7:$B$156,MATCH($S1260,MUSTERILER!$T$7:$T$156,0)),""))</f>
        <v/>
      </c>
      <c r="U1260" s="1" t="str">
        <f>IF($T1260="","",$T1260&amp;"|"&amp;COUNTIFS($T$7:$T1260,$T1260))</f>
        <v/>
      </c>
      <c r="V1260" s="1">
        <f t="shared" si="60"/>
        <v>0</v>
      </c>
      <c r="W1260" s="1" t="str">
        <f t="shared" si="61"/>
        <v/>
      </c>
      <c r="X1260" s="1"/>
      <c r="Y1260" s="1"/>
      <c r="Z1260" s="1"/>
      <c r="AA1260" s="1"/>
      <c r="AB1260" s="1"/>
      <c r="AC1260" s="1"/>
      <c r="AD1260" s="1">
        <f>IF($C1260="",0,SUMPRODUCT((AY_SONU!$O$7:$O$42="Evet")*(AY_SONU!$B$7:$B$42=DATE(YEAR($C1260),MONTH($C1260),1))))</f>
        <v>0</v>
      </c>
      <c r="AE1260" s="1" t="str">
        <f>IF($E1260="","",$E1260&amp;"|"&amp;COUNTIFS($E$7:$E1260,$E1260))</f>
        <v/>
      </c>
    </row>
    <row r="1261" spans="1:31" ht="18" customHeight="1" x14ac:dyDescent="0.3">
      <c r="A1261" s="2"/>
      <c r="B1261" s="65" t="str">
        <f>IF($C1261="","","GG"&amp;TEXT(ROW()-6,"00000"))</f>
        <v/>
      </c>
      <c r="C1261" s="66"/>
      <c r="D1261" s="60"/>
      <c r="E1261" s="61"/>
      <c r="F1261" s="61"/>
      <c r="G1261" s="67"/>
      <c r="H1261" s="60"/>
      <c r="I1261" s="60"/>
      <c r="J1261" s="61"/>
      <c r="K1261" s="61"/>
      <c r="L1261" s="60"/>
      <c r="M1261" s="74" t="str">
        <f>IF($C1261="","",IF($D1261="Gider",$E1261,IF($L1261&lt;&gt;"",$L1261,$H1261)))</f>
        <v/>
      </c>
      <c r="N1261" s="74" t="str">
        <f>IF($C1261="","",IF($D1261="Gider",$H1261,$E1261))</f>
        <v/>
      </c>
      <c r="O1261" s="73" t="str">
        <f>IF($C1261="","",DATE(YEAR($C1261),MONTH($C1261),1))</f>
        <v/>
      </c>
      <c r="P1261" s="65" t="str">
        <f ca="1">IF($C1261="","",IF(AND($D1261="Gelir",$L1261&lt;&gt;"",$T1261=""),"TANIMSIZ BORÇLU",IF($T1261&lt;&gt;"",IF(OR($E1261="",$G1261&lt;=0),"EKSİK",IF($I1261="Evet","TAHAKKUK NAKİT OLAMAZ",IF($C1261&gt;TODAY(),"İLERİ TARİH","TAHAKKUK"))),IF(AND($D1261&lt;&gt;"",$E1261&lt;&gt;"",$G1261&gt;0,$H1261&lt;&gt;"",$I1261&lt;&gt;""),IF($C1261&gt;TODAY(),"İLERİ TARİH",IF(COUNTIF($W$7:$W$3001,$W1261)&gt;1,"MÜKERRER?",IF($AD1261&gt;0,"KAPALI DÖNEM",IF($I1261="Hayır","ÖDENECEK","UYGUN")))),"EKSİK"))))</f>
        <v/>
      </c>
      <c r="Q1261" s="2"/>
      <c r="R1261" s="2"/>
      <c r="S1261" s="1" t="str">
        <f t="shared" si="59"/>
        <v/>
      </c>
      <c r="T1261" s="1" t="str">
        <f>IF(OR($C1261="",$D1261&lt;&gt;"Gelir",$L1261=""),"",IFERROR(INDEX(MUSTERILER!$B$7:$B$156,MATCH($S1261,MUSTERILER!$T$7:$T$156,0)),""))</f>
        <v/>
      </c>
      <c r="U1261" s="1" t="str">
        <f>IF($T1261="","",$T1261&amp;"|"&amp;COUNTIFS($T$7:$T1261,$T1261))</f>
        <v/>
      </c>
      <c r="V1261" s="1">
        <f t="shared" si="60"/>
        <v>0</v>
      </c>
      <c r="W1261" s="1" t="str">
        <f t="shared" si="61"/>
        <v/>
      </c>
      <c r="X1261" s="1"/>
      <c r="Y1261" s="1"/>
      <c r="Z1261" s="1"/>
      <c r="AA1261" s="1"/>
      <c r="AB1261" s="1"/>
      <c r="AC1261" s="1"/>
      <c r="AD1261" s="1">
        <f>IF($C1261="",0,SUMPRODUCT((AY_SONU!$O$7:$O$42="Evet")*(AY_SONU!$B$7:$B$42=DATE(YEAR($C1261),MONTH($C1261),1))))</f>
        <v>0</v>
      </c>
      <c r="AE1261" s="1" t="str">
        <f>IF($E1261="","",$E1261&amp;"|"&amp;COUNTIFS($E$7:$E1261,$E1261))</f>
        <v/>
      </c>
    </row>
    <row r="1262" spans="1:31" ht="18" customHeight="1" x14ac:dyDescent="0.3">
      <c r="A1262" s="2"/>
      <c r="B1262" s="65" t="str">
        <f>IF($C1262="","","GG"&amp;TEXT(ROW()-6,"00000"))</f>
        <v/>
      </c>
      <c r="C1262" s="66"/>
      <c r="D1262" s="60"/>
      <c r="E1262" s="61"/>
      <c r="F1262" s="61"/>
      <c r="G1262" s="67"/>
      <c r="H1262" s="60"/>
      <c r="I1262" s="60"/>
      <c r="J1262" s="61"/>
      <c r="K1262" s="61"/>
      <c r="L1262" s="60"/>
      <c r="M1262" s="74" t="str">
        <f>IF($C1262="","",IF($D1262="Gider",$E1262,IF($L1262&lt;&gt;"",$L1262,$H1262)))</f>
        <v/>
      </c>
      <c r="N1262" s="74" t="str">
        <f>IF($C1262="","",IF($D1262="Gider",$H1262,$E1262))</f>
        <v/>
      </c>
      <c r="O1262" s="73" t="str">
        <f>IF($C1262="","",DATE(YEAR($C1262),MONTH($C1262),1))</f>
        <v/>
      </c>
      <c r="P1262" s="65" t="str">
        <f ca="1">IF($C1262="","",IF(AND($D1262="Gelir",$L1262&lt;&gt;"",$T1262=""),"TANIMSIZ BORÇLU",IF($T1262&lt;&gt;"",IF(OR($E1262="",$G1262&lt;=0),"EKSİK",IF($I1262="Evet","TAHAKKUK NAKİT OLAMAZ",IF($C1262&gt;TODAY(),"İLERİ TARİH","TAHAKKUK"))),IF(AND($D1262&lt;&gt;"",$E1262&lt;&gt;"",$G1262&gt;0,$H1262&lt;&gt;"",$I1262&lt;&gt;""),IF($C1262&gt;TODAY(),"İLERİ TARİH",IF(COUNTIF($W$7:$W$3001,$W1262)&gt;1,"MÜKERRER?",IF($AD1262&gt;0,"KAPALI DÖNEM",IF($I1262="Hayır","ÖDENECEK","UYGUN")))),"EKSİK"))))</f>
        <v/>
      </c>
      <c r="Q1262" s="2"/>
      <c r="R1262" s="2"/>
      <c r="S1262" s="1" t="str">
        <f t="shared" si="59"/>
        <v/>
      </c>
      <c r="T1262" s="1" t="str">
        <f>IF(OR($C1262="",$D1262&lt;&gt;"Gelir",$L1262=""),"",IFERROR(INDEX(MUSTERILER!$B$7:$B$156,MATCH($S1262,MUSTERILER!$T$7:$T$156,0)),""))</f>
        <v/>
      </c>
      <c r="U1262" s="1" t="str">
        <f>IF($T1262="","",$T1262&amp;"|"&amp;COUNTIFS($T$7:$T1262,$T1262))</f>
        <v/>
      </c>
      <c r="V1262" s="1">
        <f t="shared" si="60"/>
        <v>0</v>
      </c>
      <c r="W1262" s="1" t="str">
        <f t="shared" si="61"/>
        <v/>
      </c>
      <c r="X1262" s="1"/>
      <c r="Y1262" s="1"/>
      <c r="Z1262" s="1"/>
      <c r="AA1262" s="1"/>
      <c r="AB1262" s="1"/>
      <c r="AC1262" s="1"/>
      <c r="AD1262" s="1">
        <f>IF($C1262="",0,SUMPRODUCT((AY_SONU!$O$7:$O$42="Evet")*(AY_SONU!$B$7:$B$42=DATE(YEAR($C1262),MONTH($C1262),1))))</f>
        <v>0</v>
      </c>
      <c r="AE1262" s="1" t="str">
        <f>IF($E1262="","",$E1262&amp;"|"&amp;COUNTIFS($E$7:$E1262,$E1262))</f>
        <v/>
      </c>
    </row>
    <row r="1263" spans="1:31" ht="18" customHeight="1" x14ac:dyDescent="0.3">
      <c r="A1263" s="2"/>
      <c r="B1263" s="65" t="str">
        <f>IF($C1263="","","GG"&amp;TEXT(ROW()-6,"00000"))</f>
        <v/>
      </c>
      <c r="C1263" s="66"/>
      <c r="D1263" s="60"/>
      <c r="E1263" s="61"/>
      <c r="F1263" s="61"/>
      <c r="G1263" s="67"/>
      <c r="H1263" s="60"/>
      <c r="I1263" s="60"/>
      <c r="J1263" s="61"/>
      <c r="K1263" s="61"/>
      <c r="L1263" s="60"/>
      <c r="M1263" s="74" t="str">
        <f>IF($C1263="","",IF($D1263="Gider",$E1263,IF($L1263&lt;&gt;"",$L1263,$H1263)))</f>
        <v/>
      </c>
      <c r="N1263" s="74" t="str">
        <f>IF($C1263="","",IF($D1263="Gider",$H1263,$E1263))</f>
        <v/>
      </c>
      <c r="O1263" s="73" t="str">
        <f>IF($C1263="","",DATE(YEAR($C1263),MONTH($C1263),1))</f>
        <v/>
      </c>
      <c r="P1263" s="65" t="str">
        <f ca="1">IF($C1263="","",IF(AND($D1263="Gelir",$L1263&lt;&gt;"",$T1263=""),"TANIMSIZ BORÇLU",IF($T1263&lt;&gt;"",IF(OR($E1263="",$G1263&lt;=0),"EKSİK",IF($I1263="Evet","TAHAKKUK NAKİT OLAMAZ",IF($C1263&gt;TODAY(),"İLERİ TARİH","TAHAKKUK"))),IF(AND($D1263&lt;&gt;"",$E1263&lt;&gt;"",$G1263&gt;0,$H1263&lt;&gt;"",$I1263&lt;&gt;""),IF($C1263&gt;TODAY(),"İLERİ TARİH",IF(COUNTIF($W$7:$W$3001,$W1263)&gt;1,"MÜKERRER?",IF($AD1263&gt;0,"KAPALI DÖNEM",IF($I1263="Hayır","ÖDENECEK","UYGUN")))),"EKSİK"))))</f>
        <v/>
      </c>
      <c r="Q1263" s="2"/>
      <c r="R1263" s="2"/>
      <c r="S1263" s="1" t="str">
        <f t="shared" si="59"/>
        <v/>
      </c>
      <c r="T1263" s="1" t="str">
        <f>IF(OR($C1263="",$D1263&lt;&gt;"Gelir",$L1263=""),"",IFERROR(INDEX(MUSTERILER!$B$7:$B$156,MATCH($S1263,MUSTERILER!$T$7:$T$156,0)),""))</f>
        <v/>
      </c>
      <c r="U1263" s="1" t="str">
        <f>IF($T1263="","",$T1263&amp;"|"&amp;COUNTIFS($T$7:$T1263,$T1263))</f>
        <v/>
      </c>
      <c r="V1263" s="1">
        <f t="shared" si="60"/>
        <v>0</v>
      </c>
      <c r="W1263" s="1" t="str">
        <f t="shared" si="61"/>
        <v/>
      </c>
      <c r="X1263" s="1"/>
      <c r="Y1263" s="1"/>
      <c r="Z1263" s="1"/>
      <c r="AA1263" s="1"/>
      <c r="AB1263" s="1"/>
      <c r="AC1263" s="1"/>
      <c r="AD1263" s="1">
        <f>IF($C1263="",0,SUMPRODUCT((AY_SONU!$O$7:$O$42="Evet")*(AY_SONU!$B$7:$B$42=DATE(YEAR($C1263),MONTH($C1263),1))))</f>
        <v>0</v>
      </c>
      <c r="AE1263" s="1" t="str">
        <f>IF($E1263="","",$E1263&amp;"|"&amp;COUNTIFS($E$7:$E1263,$E1263))</f>
        <v/>
      </c>
    </row>
    <row r="1264" spans="1:31" ht="18" customHeight="1" x14ac:dyDescent="0.3">
      <c r="A1264" s="2"/>
      <c r="B1264" s="65" t="str">
        <f>IF($C1264="","","GG"&amp;TEXT(ROW()-6,"00000"))</f>
        <v/>
      </c>
      <c r="C1264" s="66"/>
      <c r="D1264" s="60"/>
      <c r="E1264" s="61"/>
      <c r="F1264" s="61"/>
      <c r="G1264" s="67"/>
      <c r="H1264" s="60"/>
      <c r="I1264" s="60"/>
      <c r="J1264" s="61"/>
      <c r="K1264" s="61"/>
      <c r="L1264" s="60"/>
      <c r="M1264" s="74" t="str">
        <f>IF($C1264="","",IF($D1264="Gider",$E1264,IF($L1264&lt;&gt;"",$L1264,$H1264)))</f>
        <v/>
      </c>
      <c r="N1264" s="74" t="str">
        <f>IF($C1264="","",IF($D1264="Gider",$H1264,$E1264))</f>
        <v/>
      </c>
      <c r="O1264" s="73" t="str">
        <f>IF($C1264="","",DATE(YEAR($C1264),MONTH($C1264),1))</f>
        <v/>
      </c>
      <c r="P1264" s="65" t="str">
        <f ca="1">IF($C1264="","",IF(AND($D1264="Gelir",$L1264&lt;&gt;"",$T1264=""),"TANIMSIZ BORÇLU",IF($T1264&lt;&gt;"",IF(OR($E1264="",$G1264&lt;=0),"EKSİK",IF($I1264="Evet","TAHAKKUK NAKİT OLAMAZ",IF($C1264&gt;TODAY(),"İLERİ TARİH","TAHAKKUK"))),IF(AND($D1264&lt;&gt;"",$E1264&lt;&gt;"",$G1264&gt;0,$H1264&lt;&gt;"",$I1264&lt;&gt;""),IF($C1264&gt;TODAY(),"İLERİ TARİH",IF(COUNTIF($W$7:$W$3001,$W1264)&gt;1,"MÜKERRER?",IF($AD1264&gt;0,"KAPALI DÖNEM",IF($I1264="Hayır","ÖDENECEK","UYGUN")))),"EKSİK"))))</f>
        <v/>
      </c>
      <c r="Q1264" s="2"/>
      <c r="R1264" s="2"/>
      <c r="S1264" s="1" t="str">
        <f t="shared" si="59"/>
        <v/>
      </c>
      <c r="T1264" s="1" t="str">
        <f>IF(OR($C1264="",$D1264&lt;&gt;"Gelir",$L1264=""),"",IFERROR(INDEX(MUSTERILER!$B$7:$B$156,MATCH($S1264,MUSTERILER!$T$7:$T$156,0)),""))</f>
        <v/>
      </c>
      <c r="U1264" s="1" t="str">
        <f>IF($T1264="","",$T1264&amp;"|"&amp;COUNTIFS($T$7:$T1264,$T1264))</f>
        <v/>
      </c>
      <c r="V1264" s="1">
        <f t="shared" si="60"/>
        <v>0</v>
      </c>
      <c r="W1264" s="1" t="str">
        <f t="shared" si="61"/>
        <v/>
      </c>
      <c r="X1264" s="1"/>
      <c r="Y1264" s="1"/>
      <c r="Z1264" s="1"/>
      <c r="AA1264" s="1"/>
      <c r="AB1264" s="1"/>
      <c r="AC1264" s="1"/>
      <c r="AD1264" s="1">
        <f>IF($C1264="",0,SUMPRODUCT((AY_SONU!$O$7:$O$42="Evet")*(AY_SONU!$B$7:$B$42=DATE(YEAR($C1264),MONTH($C1264),1))))</f>
        <v>0</v>
      </c>
      <c r="AE1264" s="1" t="str">
        <f>IF($E1264="","",$E1264&amp;"|"&amp;COUNTIFS($E$7:$E1264,$E1264))</f>
        <v/>
      </c>
    </row>
    <row r="1265" spans="1:31" ht="18" customHeight="1" x14ac:dyDescent="0.3">
      <c r="A1265" s="2"/>
      <c r="B1265" s="65" t="str">
        <f>IF($C1265="","","GG"&amp;TEXT(ROW()-6,"00000"))</f>
        <v/>
      </c>
      <c r="C1265" s="66"/>
      <c r="D1265" s="60"/>
      <c r="E1265" s="61"/>
      <c r="F1265" s="61"/>
      <c r="G1265" s="67"/>
      <c r="H1265" s="60"/>
      <c r="I1265" s="60"/>
      <c r="J1265" s="61"/>
      <c r="K1265" s="61"/>
      <c r="L1265" s="60"/>
      <c r="M1265" s="74" t="str">
        <f>IF($C1265="","",IF($D1265="Gider",$E1265,IF($L1265&lt;&gt;"",$L1265,$H1265)))</f>
        <v/>
      </c>
      <c r="N1265" s="74" t="str">
        <f>IF($C1265="","",IF($D1265="Gider",$H1265,$E1265))</f>
        <v/>
      </c>
      <c r="O1265" s="73" t="str">
        <f>IF($C1265="","",DATE(YEAR($C1265),MONTH($C1265),1))</f>
        <v/>
      </c>
      <c r="P1265" s="65" t="str">
        <f ca="1">IF($C1265="","",IF(AND($D1265="Gelir",$L1265&lt;&gt;"",$T1265=""),"TANIMSIZ BORÇLU",IF($T1265&lt;&gt;"",IF(OR($E1265="",$G1265&lt;=0),"EKSİK",IF($I1265="Evet","TAHAKKUK NAKİT OLAMAZ",IF($C1265&gt;TODAY(),"İLERİ TARİH","TAHAKKUK"))),IF(AND($D1265&lt;&gt;"",$E1265&lt;&gt;"",$G1265&gt;0,$H1265&lt;&gt;"",$I1265&lt;&gt;""),IF($C1265&gt;TODAY(),"İLERİ TARİH",IF(COUNTIF($W$7:$W$3001,$W1265)&gt;1,"MÜKERRER?",IF($AD1265&gt;0,"KAPALI DÖNEM",IF($I1265="Hayır","ÖDENECEK","UYGUN")))),"EKSİK"))))</f>
        <v/>
      </c>
      <c r="Q1265" s="2"/>
      <c r="R1265" s="2"/>
      <c r="S1265" s="1" t="str">
        <f t="shared" si="59"/>
        <v/>
      </c>
      <c r="T1265" s="1" t="str">
        <f>IF(OR($C1265="",$D1265&lt;&gt;"Gelir",$L1265=""),"",IFERROR(INDEX(MUSTERILER!$B$7:$B$156,MATCH($S1265,MUSTERILER!$T$7:$T$156,0)),""))</f>
        <v/>
      </c>
      <c r="U1265" s="1" t="str">
        <f>IF($T1265="","",$T1265&amp;"|"&amp;COUNTIFS($T$7:$T1265,$T1265))</f>
        <v/>
      </c>
      <c r="V1265" s="1">
        <f t="shared" si="60"/>
        <v>0</v>
      </c>
      <c r="W1265" s="1" t="str">
        <f t="shared" si="61"/>
        <v/>
      </c>
      <c r="X1265" s="1"/>
      <c r="Y1265" s="1"/>
      <c r="Z1265" s="1"/>
      <c r="AA1265" s="1"/>
      <c r="AB1265" s="1"/>
      <c r="AC1265" s="1"/>
      <c r="AD1265" s="1">
        <f>IF($C1265="",0,SUMPRODUCT((AY_SONU!$O$7:$O$42="Evet")*(AY_SONU!$B$7:$B$42=DATE(YEAR($C1265),MONTH($C1265),1))))</f>
        <v>0</v>
      </c>
      <c r="AE1265" s="1" t="str">
        <f>IF($E1265="","",$E1265&amp;"|"&amp;COUNTIFS($E$7:$E1265,$E1265))</f>
        <v/>
      </c>
    </row>
    <row r="1266" spans="1:31" ht="18" customHeight="1" x14ac:dyDescent="0.3">
      <c r="A1266" s="2"/>
      <c r="B1266" s="65" t="str">
        <f>IF($C1266="","","GG"&amp;TEXT(ROW()-6,"00000"))</f>
        <v/>
      </c>
      <c r="C1266" s="66"/>
      <c r="D1266" s="60"/>
      <c r="E1266" s="61"/>
      <c r="F1266" s="61"/>
      <c r="G1266" s="67"/>
      <c r="H1266" s="60"/>
      <c r="I1266" s="60"/>
      <c r="J1266" s="61"/>
      <c r="K1266" s="61"/>
      <c r="L1266" s="60"/>
      <c r="M1266" s="74" t="str">
        <f>IF($C1266="","",IF($D1266="Gider",$E1266,IF($L1266&lt;&gt;"",$L1266,$H1266)))</f>
        <v/>
      </c>
      <c r="N1266" s="74" t="str">
        <f>IF($C1266="","",IF($D1266="Gider",$H1266,$E1266))</f>
        <v/>
      </c>
      <c r="O1266" s="73" t="str">
        <f>IF($C1266="","",DATE(YEAR($C1266),MONTH($C1266),1))</f>
        <v/>
      </c>
      <c r="P1266" s="65" t="str">
        <f ca="1">IF($C1266="","",IF(AND($D1266="Gelir",$L1266&lt;&gt;"",$T1266=""),"TANIMSIZ BORÇLU",IF($T1266&lt;&gt;"",IF(OR($E1266="",$G1266&lt;=0),"EKSİK",IF($I1266="Evet","TAHAKKUK NAKİT OLAMAZ",IF($C1266&gt;TODAY(),"İLERİ TARİH","TAHAKKUK"))),IF(AND($D1266&lt;&gt;"",$E1266&lt;&gt;"",$G1266&gt;0,$H1266&lt;&gt;"",$I1266&lt;&gt;""),IF($C1266&gt;TODAY(),"İLERİ TARİH",IF(COUNTIF($W$7:$W$3001,$W1266)&gt;1,"MÜKERRER?",IF($AD1266&gt;0,"KAPALI DÖNEM",IF($I1266="Hayır","ÖDENECEK","UYGUN")))),"EKSİK"))))</f>
        <v/>
      </c>
      <c r="Q1266" s="2"/>
      <c r="R1266" s="2"/>
      <c r="S1266" s="1" t="str">
        <f t="shared" si="59"/>
        <v/>
      </c>
      <c r="T1266" s="1" t="str">
        <f>IF(OR($C1266="",$D1266&lt;&gt;"Gelir",$L1266=""),"",IFERROR(INDEX(MUSTERILER!$B$7:$B$156,MATCH($S1266,MUSTERILER!$T$7:$T$156,0)),""))</f>
        <v/>
      </c>
      <c r="U1266" s="1" t="str">
        <f>IF($T1266="","",$T1266&amp;"|"&amp;COUNTIFS($T$7:$T1266,$T1266))</f>
        <v/>
      </c>
      <c r="V1266" s="1">
        <f t="shared" si="60"/>
        <v>0</v>
      </c>
      <c r="W1266" s="1" t="str">
        <f t="shared" si="61"/>
        <v/>
      </c>
      <c r="X1266" s="1"/>
      <c r="Y1266" s="1"/>
      <c r="Z1266" s="1"/>
      <c r="AA1266" s="1"/>
      <c r="AB1266" s="1"/>
      <c r="AC1266" s="1"/>
      <c r="AD1266" s="1">
        <f>IF($C1266="",0,SUMPRODUCT((AY_SONU!$O$7:$O$42="Evet")*(AY_SONU!$B$7:$B$42=DATE(YEAR($C1266),MONTH($C1266),1))))</f>
        <v>0</v>
      </c>
      <c r="AE1266" s="1" t="str">
        <f>IF($E1266="","",$E1266&amp;"|"&amp;COUNTIFS($E$7:$E1266,$E1266))</f>
        <v/>
      </c>
    </row>
    <row r="1267" spans="1:31" ht="18" customHeight="1" x14ac:dyDescent="0.3">
      <c r="A1267" s="2"/>
      <c r="B1267" s="65" t="str">
        <f>IF($C1267="","","GG"&amp;TEXT(ROW()-6,"00000"))</f>
        <v/>
      </c>
      <c r="C1267" s="66"/>
      <c r="D1267" s="60"/>
      <c r="E1267" s="61"/>
      <c r="F1267" s="61"/>
      <c r="G1267" s="67"/>
      <c r="H1267" s="60"/>
      <c r="I1267" s="60"/>
      <c r="J1267" s="61"/>
      <c r="K1267" s="61"/>
      <c r="L1267" s="60"/>
      <c r="M1267" s="74" t="str">
        <f>IF($C1267="","",IF($D1267="Gider",$E1267,IF($L1267&lt;&gt;"",$L1267,$H1267)))</f>
        <v/>
      </c>
      <c r="N1267" s="74" t="str">
        <f>IF($C1267="","",IF($D1267="Gider",$H1267,$E1267))</f>
        <v/>
      </c>
      <c r="O1267" s="73" t="str">
        <f>IF($C1267="","",DATE(YEAR($C1267),MONTH($C1267),1))</f>
        <v/>
      </c>
      <c r="P1267" s="65" t="str">
        <f ca="1">IF($C1267="","",IF(AND($D1267="Gelir",$L1267&lt;&gt;"",$T1267=""),"TANIMSIZ BORÇLU",IF($T1267&lt;&gt;"",IF(OR($E1267="",$G1267&lt;=0),"EKSİK",IF($I1267="Evet","TAHAKKUK NAKİT OLAMAZ",IF($C1267&gt;TODAY(),"İLERİ TARİH","TAHAKKUK"))),IF(AND($D1267&lt;&gt;"",$E1267&lt;&gt;"",$G1267&gt;0,$H1267&lt;&gt;"",$I1267&lt;&gt;""),IF($C1267&gt;TODAY(),"İLERİ TARİH",IF(COUNTIF($W$7:$W$3001,$W1267)&gt;1,"MÜKERRER?",IF($AD1267&gt;0,"KAPALI DÖNEM",IF($I1267="Hayır","ÖDENECEK","UYGUN")))),"EKSİK"))))</f>
        <v/>
      </c>
      <c r="Q1267" s="2"/>
      <c r="R1267" s="2"/>
      <c r="S1267" s="1" t="str">
        <f t="shared" si="59"/>
        <v/>
      </c>
      <c r="T1267" s="1" t="str">
        <f>IF(OR($C1267="",$D1267&lt;&gt;"Gelir",$L1267=""),"",IFERROR(INDEX(MUSTERILER!$B$7:$B$156,MATCH($S1267,MUSTERILER!$T$7:$T$156,0)),""))</f>
        <v/>
      </c>
      <c r="U1267" s="1" t="str">
        <f>IF($T1267="","",$T1267&amp;"|"&amp;COUNTIFS($T$7:$T1267,$T1267))</f>
        <v/>
      </c>
      <c r="V1267" s="1">
        <f t="shared" si="60"/>
        <v>0</v>
      </c>
      <c r="W1267" s="1" t="str">
        <f t="shared" si="61"/>
        <v/>
      </c>
      <c r="X1267" s="1"/>
      <c r="Y1267" s="1"/>
      <c r="Z1267" s="1"/>
      <c r="AA1267" s="1"/>
      <c r="AB1267" s="1"/>
      <c r="AC1267" s="1"/>
      <c r="AD1267" s="1">
        <f>IF($C1267="",0,SUMPRODUCT((AY_SONU!$O$7:$O$42="Evet")*(AY_SONU!$B$7:$B$42=DATE(YEAR($C1267),MONTH($C1267),1))))</f>
        <v>0</v>
      </c>
      <c r="AE1267" s="1" t="str">
        <f>IF($E1267="","",$E1267&amp;"|"&amp;COUNTIFS($E$7:$E1267,$E1267))</f>
        <v/>
      </c>
    </row>
    <row r="1268" spans="1:31" ht="18" customHeight="1" x14ac:dyDescent="0.3">
      <c r="A1268" s="2"/>
      <c r="B1268" s="65" t="str">
        <f>IF($C1268="","","GG"&amp;TEXT(ROW()-6,"00000"))</f>
        <v/>
      </c>
      <c r="C1268" s="66"/>
      <c r="D1268" s="60"/>
      <c r="E1268" s="61"/>
      <c r="F1268" s="61"/>
      <c r="G1268" s="67"/>
      <c r="H1268" s="60"/>
      <c r="I1268" s="60"/>
      <c r="J1268" s="61"/>
      <c r="K1268" s="61"/>
      <c r="L1268" s="60"/>
      <c r="M1268" s="74" t="str">
        <f>IF($C1268="","",IF($D1268="Gider",$E1268,IF($L1268&lt;&gt;"",$L1268,$H1268)))</f>
        <v/>
      </c>
      <c r="N1268" s="74" t="str">
        <f>IF($C1268="","",IF($D1268="Gider",$H1268,$E1268))</f>
        <v/>
      </c>
      <c r="O1268" s="73" t="str">
        <f>IF($C1268="","",DATE(YEAR($C1268),MONTH($C1268),1))</f>
        <v/>
      </c>
      <c r="P1268" s="65" t="str">
        <f ca="1">IF($C1268="","",IF(AND($D1268="Gelir",$L1268&lt;&gt;"",$T1268=""),"TANIMSIZ BORÇLU",IF($T1268&lt;&gt;"",IF(OR($E1268="",$G1268&lt;=0),"EKSİK",IF($I1268="Evet","TAHAKKUK NAKİT OLAMAZ",IF($C1268&gt;TODAY(),"İLERİ TARİH","TAHAKKUK"))),IF(AND($D1268&lt;&gt;"",$E1268&lt;&gt;"",$G1268&gt;0,$H1268&lt;&gt;"",$I1268&lt;&gt;""),IF($C1268&gt;TODAY(),"İLERİ TARİH",IF(COUNTIF($W$7:$W$3001,$W1268)&gt;1,"MÜKERRER?",IF($AD1268&gt;0,"KAPALI DÖNEM",IF($I1268="Hayır","ÖDENECEK","UYGUN")))),"EKSİK"))))</f>
        <v/>
      </c>
      <c r="Q1268" s="2"/>
      <c r="R1268" s="2"/>
      <c r="S1268" s="1" t="str">
        <f t="shared" si="59"/>
        <v/>
      </c>
      <c r="T1268" s="1" t="str">
        <f>IF(OR($C1268="",$D1268&lt;&gt;"Gelir",$L1268=""),"",IFERROR(INDEX(MUSTERILER!$B$7:$B$156,MATCH($S1268,MUSTERILER!$T$7:$T$156,0)),""))</f>
        <v/>
      </c>
      <c r="U1268" s="1" t="str">
        <f>IF($T1268="","",$T1268&amp;"|"&amp;COUNTIFS($T$7:$T1268,$T1268))</f>
        <v/>
      </c>
      <c r="V1268" s="1">
        <f t="shared" si="60"/>
        <v>0</v>
      </c>
      <c r="W1268" s="1" t="str">
        <f t="shared" si="61"/>
        <v/>
      </c>
      <c r="X1268" s="1"/>
      <c r="Y1268" s="1"/>
      <c r="Z1268" s="1"/>
      <c r="AA1268" s="1"/>
      <c r="AB1268" s="1"/>
      <c r="AC1268" s="1"/>
      <c r="AD1268" s="1">
        <f>IF($C1268="",0,SUMPRODUCT((AY_SONU!$O$7:$O$42="Evet")*(AY_SONU!$B$7:$B$42=DATE(YEAR($C1268),MONTH($C1268),1))))</f>
        <v>0</v>
      </c>
      <c r="AE1268" s="1" t="str">
        <f>IF($E1268="","",$E1268&amp;"|"&amp;COUNTIFS($E$7:$E1268,$E1268))</f>
        <v/>
      </c>
    </row>
    <row r="1269" spans="1:31" ht="18" customHeight="1" x14ac:dyDescent="0.3">
      <c r="A1269" s="2"/>
      <c r="B1269" s="65" t="str">
        <f>IF($C1269="","","GG"&amp;TEXT(ROW()-6,"00000"))</f>
        <v/>
      </c>
      <c r="C1269" s="66"/>
      <c r="D1269" s="60"/>
      <c r="E1269" s="61"/>
      <c r="F1269" s="61"/>
      <c r="G1269" s="67"/>
      <c r="H1269" s="60"/>
      <c r="I1269" s="60"/>
      <c r="J1269" s="61"/>
      <c r="K1269" s="61"/>
      <c r="L1269" s="60"/>
      <c r="M1269" s="74" t="str">
        <f>IF($C1269="","",IF($D1269="Gider",$E1269,IF($L1269&lt;&gt;"",$L1269,$H1269)))</f>
        <v/>
      </c>
      <c r="N1269" s="74" t="str">
        <f>IF($C1269="","",IF($D1269="Gider",$H1269,$E1269))</f>
        <v/>
      </c>
      <c r="O1269" s="73" t="str">
        <f>IF($C1269="","",DATE(YEAR($C1269),MONTH($C1269),1))</f>
        <v/>
      </c>
      <c r="P1269" s="65" t="str">
        <f ca="1">IF($C1269="","",IF(AND($D1269="Gelir",$L1269&lt;&gt;"",$T1269=""),"TANIMSIZ BORÇLU",IF($T1269&lt;&gt;"",IF(OR($E1269="",$G1269&lt;=0),"EKSİK",IF($I1269="Evet","TAHAKKUK NAKİT OLAMAZ",IF($C1269&gt;TODAY(),"İLERİ TARİH","TAHAKKUK"))),IF(AND($D1269&lt;&gt;"",$E1269&lt;&gt;"",$G1269&gt;0,$H1269&lt;&gt;"",$I1269&lt;&gt;""),IF($C1269&gt;TODAY(),"İLERİ TARİH",IF(COUNTIF($W$7:$W$3001,$W1269)&gt;1,"MÜKERRER?",IF($AD1269&gt;0,"KAPALI DÖNEM",IF($I1269="Hayır","ÖDENECEK","UYGUN")))),"EKSİK"))))</f>
        <v/>
      </c>
      <c r="Q1269" s="2"/>
      <c r="R1269" s="2"/>
      <c r="S1269" s="1" t="str">
        <f t="shared" si="59"/>
        <v/>
      </c>
      <c r="T1269" s="1" t="str">
        <f>IF(OR($C1269="",$D1269&lt;&gt;"Gelir",$L1269=""),"",IFERROR(INDEX(MUSTERILER!$B$7:$B$156,MATCH($S1269,MUSTERILER!$T$7:$T$156,0)),""))</f>
        <v/>
      </c>
      <c r="U1269" s="1" t="str">
        <f>IF($T1269="","",$T1269&amp;"|"&amp;COUNTIFS($T$7:$T1269,$T1269))</f>
        <v/>
      </c>
      <c r="V1269" s="1">
        <f t="shared" si="60"/>
        <v>0</v>
      </c>
      <c r="W1269" s="1" t="str">
        <f t="shared" si="61"/>
        <v/>
      </c>
      <c r="X1269" s="1"/>
      <c r="Y1269" s="1"/>
      <c r="Z1269" s="1"/>
      <c r="AA1269" s="1"/>
      <c r="AB1269" s="1"/>
      <c r="AC1269" s="1"/>
      <c r="AD1269" s="1">
        <f>IF($C1269="",0,SUMPRODUCT((AY_SONU!$O$7:$O$42="Evet")*(AY_SONU!$B$7:$B$42=DATE(YEAR($C1269),MONTH($C1269),1))))</f>
        <v>0</v>
      </c>
      <c r="AE1269" s="1" t="str">
        <f>IF($E1269="","",$E1269&amp;"|"&amp;COUNTIFS($E$7:$E1269,$E1269))</f>
        <v/>
      </c>
    </row>
    <row r="1270" spans="1:31" ht="18" customHeight="1" x14ac:dyDescent="0.3">
      <c r="A1270" s="2"/>
      <c r="B1270" s="65" t="str">
        <f>IF($C1270="","","GG"&amp;TEXT(ROW()-6,"00000"))</f>
        <v/>
      </c>
      <c r="C1270" s="66"/>
      <c r="D1270" s="60"/>
      <c r="E1270" s="61"/>
      <c r="F1270" s="61"/>
      <c r="G1270" s="67"/>
      <c r="H1270" s="60"/>
      <c r="I1270" s="60"/>
      <c r="J1270" s="61"/>
      <c r="K1270" s="61"/>
      <c r="L1270" s="60"/>
      <c r="M1270" s="74" t="str">
        <f>IF($C1270="","",IF($D1270="Gider",$E1270,IF($L1270&lt;&gt;"",$L1270,$H1270)))</f>
        <v/>
      </c>
      <c r="N1270" s="74" t="str">
        <f>IF($C1270="","",IF($D1270="Gider",$H1270,$E1270))</f>
        <v/>
      </c>
      <c r="O1270" s="73" t="str">
        <f>IF($C1270="","",DATE(YEAR($C1270),MONTH($C1270),1))</f>
        <v/>
      </c>
      <c r="P1270" s="65" t="str">
        <f ca="1">IF($C1270="","",IF(AND($D1270="Gelir",$L1270&lt;&gt;"",$T1270=""),"TANIMSIZ BORÇLU",IF($T1270&lt;&gt;"",IF(OR($E1270="",$G1270&lt;=0),"EKSİK",IF($I1270="Evet","TAHAKKUK NAKİT OLAMAZ",IF($C1270&gt;TODAY(),"İLERİ TARİH","TAHAKKUK"))),IF(AND($D1270&lt;&gt;"",$E1270&lt;&gt;"",$G1270&gt;0,$H1270&lt;&gt;"",$I1270&lt;&gt;""),IF($C1270&gt;TODAY(),"İLERİ TARİH",IF(COUNTIF($W$7:$W$3001,$W1270)&gt;1,"MÜKERRER?",IF($AD1270&gt;0,"KAPALI DÖNEM",IF($I1270="Hayır","ÖDENECEK","UYGUN")))),"EKSİK"))))</f>
        <v/>
      </c>
      <c r="Q1270" s="2"/>
      <c r="R1270" s="2"/>
      <c r="S1270" s="1" t="str">
        <f t="shared" si="59"/>
        <v/>
      </c>
      <c r="T1270" s="1" t="str">
        <f>IF(OR($C1270="",$D1270&lt;&gt;"Gelir",$L1270=""),"",IFERROR(INDEX(MUSTERILER!$B$7:$B$156,MATCH($S1270,MUSTERILER!$T$7:$T$156,0)),""))</f>
        <v/>
      </c>
      <c r="U1270" s="1" t="str">
        <f>IF($T1270="","",$T1270&amp;"|"&amp;COUNTIFS($T$7:$T1270,$T1270))</f>
        <v/>
      </c>
      <c r="V1270" s="1">
        <f t="shared" si="60"/>
        <v>0</v>
      </c>
      <c r="W1270" s="1" t="str">
        <f t="shared" si="61"/>
        <v/>
      </c>
      <c r="X1270" s="1"/>
      <c r="Y1270" s="1"/>
      <c r="Z1270" s="1"/>
      <c r="AA1270" s="1"/>
      <c r="AB1270" s="1"/>
      <c r="AC1270" s="1"/>
      <c r="AD1270" s="1">
        <f>IF($C1270="",0,SUMPRODUCT((AY_SONU!$O$7:$O$42="Evet")*(AY_SONU!$B$7:$B$42=DATE(YEAR($C1270),MONTH($C1270),1))))</f>
        <v>0</v>
      </c>
      <c r="AE1270" s="1" t="str">
        <f>IF($E1270="","",$E1270&amp;"|"&amp;COUNTIFS($E$7:$E1270,$E1270))</f>
        <v/>
      </c>
    </row>
    <row r="1271" spans="1:31" ht="18" customHeight="1" x14ac:dyDescent="0.3">
      <c r="A1271" s="2"/>
      <c r="B1271" s="65" t="str">
        <f>IF($C1271="","","GG"&amp;TEXT(ROW()-6,"00000"))</f>
        <v/>
      </c>
      <c r="C1271" s="66"/>
      <c r="D1271" s="60"/>
      <c r="E1271" s="61"/>
      <c r="F1271" s="61"/>
      <c r="G1271" s="67"/>
      <c r="H1271" s="60"/>
      <c r="I1271" s="60"/>
      <c r="J1271" s="61"/>
      <c r="K1271" s="61"/>
      <c r="L1271" s="60"/>
      <c r="M1271" s="74" t="str">
        <f>IF($C1271="","",IF($D1271="Gider",$E1271,IF($L1271&lt;&gt;"",$L1271,$H1271)))</f>
        <v/>
      </c>
      <c r="N1271" s="74" t="str">
        <f>IF($C1271="","",IF($D1271="Gider",$H1271,$E1271))</f>
        <v/>
      </c>
      <c r="O1271" s="73" t="str">
        <f>IF($C1271="","",DATE(YEAR($C1271),MONTH($C1271),1))</f>
        <v/>
      </c>
      <c r="P1271" s="65" t="str">
        <f ca="1">IF($C1271="","",IF(AND($D1271="Gelir",$L1271&lt;&gt;"",$T1271=""),"TANIMSIZ BORÇLU",IF($T1271&lt;&gt;"",IF(OR($E1271="",$G1271&lt;=0),"EKSİK",IF($I1271="Evet","TAHAKKUK NAKİT OLAMAZ",IF($C1271&gt;TODAY(),"İLERİ TARİH","TAHAKKUK"))),IF(AND($D1271&lt;&gt;"",$E1271&lt;&gt;"",$G1271&gt;0,$H1271&lt;&gt;"",$I1271&lt;&gt;""),IF($C1271&gt;TODAY(),"İLERİ TARİH",IF(COUNTIF($W$7:$W$3001,$W1271)&gt;1,"MÜKERRER?",IF($AD1271&gt;0,"KAPALI DÖNEM",IF($I1271="Hayır","ÖDENECEK","UYGUN")))),"EKSİK"))))</f>
        <v/>
      </c>
      <c r="Q1271" s="2"/>
      <c r="R1271" s="2"/>
      <c r="S1271" s="1" t="str">
        <f t="shared" si="59"/>
        <v/>
      </c>
      <c r="T1271" s="1" t="str">
        <f>IF(OR($C1271="",$D1271&lt;&gt;"Gelir",$L1271=""),"",IFERROR(INDEX(MUSTERILER!$B$7:$B$156,MATCH($S1271,MUSTERILER!$T$7:$T$156,0)),""))</f>
        <v/>
      </c>
      <c r="U1271" s="1" t="str">
        <f>IF($T1271="","",$T1271&amp;"|"&amp;COUNTIFS($T$7:$T1271,$T1271))</f>
        <v/>
      </c>
      <c r="V1271" s="1">
        <f t="shared" si="60"/>
        <v>0</v>
      </c>
      <c r="W1271" s="1" t="str">
        <f t="shared" si="61"/>
        <v/>
      </c>
      <c r="X1271" s="1"/>
      <c r="Y1271" s="1"/>
      <c r="Z1271" s="1"/>
      <c r="AA1271" s="1"/>
      <c r="AB1271" s="1"/>
      <c r="AC1271" s="1"/>
      <c r="AD1271" s="1">
        <f>IF($C1271="",0,SUMPRODUCT((AY_SONU!$O$7:$O$42="Evet")*(AY_SONU!$B$7:$B$42=DATE(YEAR($C1271),MONTH($C1271),1))))</f>
        <v>0</v>
      </c>
      <c r="AE1271" s="1" t="str">
        <f>IF($E1271="","",$E1271&amp;"|"&amp;COUNTIFS($E$7:$E1271,$E1271))</f>
        <v/>
      </c>
    </row>
    <row r="1272" spans="1:31" ht="18" customHeight="1" x14ac:dyDescent="0.3">
      <c r="A1272" s="2"/>
      <c r="B1272" s="65" t="str">
        <f>IF($C1272="","","GG"&amp;TEXT(ROW()-6,"00000"))</f>
        <v/>
      </c>
      <c r="C1272" s="66"/>
      <c r="D1272" s="60"/>
      <c r="E1272" s="61"/>
      <c r="F1272" s="61"/>
      <c r="G1272" s="67"/>
      <c r="H1272" s="60"/>
      <c r="I1272" s="60"/>
      <c r="J1272" s="61"/>
      <c r="K1272" s="61"/>
      <c r="L1272" s="60"/>
      <c r="M1272" s="74" t="str">
        <f>IF($C1272="","",IF($D1272="Gider",$E1272,IF($L1272&lt;&gt;"",$L1272,$H1272)))</f>
        <v/>
      </c>
      <c r="N1272" s="74" t="str">
        <f>IF($C1272="","",IF($D1272="Gider",$H1272,$E1272))</f>
        <v/>
      </c>
      <c r="O1272" s="73" t="str">
        <f>IF($C1272="","",DATE(YEAR($C1272),MONTH($C1272),1))</f>
        <v/>
      </c>
      <c r="P1272" s="65" t="str">
        <f ca="1">IF($C1272="","",IF(AND($D1272="Gelir",$L1272&lt;&gt;"",$T1272=""),"TANIMSIZ BORÇLU",IF($T1272&lt;&gt;"",IF(OR($E1272="",$G1272&lt;=0),"EKSİK",IF($I1272="Evet","TAHAKKUK NAKİT OLAMAZ",IF($C1272&gt;TODAY(),"İLERİ TARİH","TAHAKKUK"))),IF(AND($D1272&lt;&gt;"",$E1272&lt;&gt;"",$G1272&gt;0,$H1272&lt;&gt;"",$I1272&lt;&gt;""),IF($C1272&gt;TODAY(),"İLERİ TARİH",IF(COUNTIF($W$7:$W$3001,$W1272)&gt;1,"MÜKERRER?",IF($AD1272&gt;0,"KAPALI DÖNEM",IF($I1272="Hayır","ÖDENECEK","UYGUN")))),"EKSİK"))))</f>
        <v/>
      </c>
      <c r="Q1272" s="2"/>
      <c r="R1272" s="2"/>
      <c r="S1272" s="1" t="str">
        <f t="shared" si="59"/>
        <v/>
      </c>
      <c r="T1272" s="1" t="str">
        <f>IF(OR($C1272="",$D1272&lt;&gt;"Gelir",$L1272=""),"",IFERROR(INDEX(MUSTERILER!$B$7:$B$156,MATCH($S1272,MUSTERILER!$T$7:$T$156,0)),""))</f>
        <v/>
      </c>
      <c r="U1272" s="1" t="str">
        <f>IF($T1272="","",$T1272&amp;"|"&amp;COUNTIFS($T$7:$T1272,$T1272))</f>
        <v/>
      </c>
      <c r="V1272" s="1">
        <f t="shared" si="60"/>
        <v>0</v>
      </c>
      <c r="W1272" s="1" t="str">
        <f t="shared" si="61"/>
        <v/>
      </c>
      <c r="X1272" s="1"/>
      <c r="Y1272" s="1"/>
      <c r="Z1272" s="1"/>
      <c r="AA1272" s="1"/>
      <c r="AB1272" s="1"/>
      <c r="AC1272" s="1"/>
      <c r="AD1272" s="1">
        <f>IF($C1272="",0,SUMPRODUCT((AY_SONU!$O$7:$O$42="Evet")*(AY_SONU!$B$7:$B$42=DATE(YEAR($C1272),MONTH($C1272),1))))</f>
        <v>0</v>
      </c>
      <c r="AE1272" s="1" t="str">
        <f>IF($E1272="","",$E1272&amp;"|"&amp;COUNTIFS($E$7:$E1272,$E1272))</f>
        <v/>
      </c>
    </row>
    <row r="1273" spans="1:31" ht="18" customHeight="1" x14ac:dyDescent="0.3">
      <c r="A1273" s="2"/>
      <c r="B1273" s="65" t="str">
        <f>IF($C1273="","","GG"&amp;TEXT(ROW()-6,"00000"))</f>
        <v/>
      </c>
      <c r="C1273" s="66"/>
      <c r="D1273" s="60"/>
      <c r="E1273" s="61"/>
      <c r="F1273" s="61"/>
      <c r="G1273" s="67"/>
      <c r="H1273" s="60"/>
      <c r="I1273" s="60"/>
      <c r="J1273" s="61"/>
      <c r="K1273" s="61"/>
      <c r="L1273" s="60"/>
      <c r="M1273" s="74" t="str">
        <f>IF($C1273="","",IF($D1273="Gider",$E1273,IF($L1273&lt;&gt;"",$L1273,$H1273)))</f>
        <v/>
      </c>
      <c r="N1273" s="74" t="str">
        <f>IF($C1273="","",IF($D1273="Gider",$H1273,$E1273))</f>
        <v/>
      </c>
      <c r="O1273" s="73" t="str">
        <f>IF($C1273="","",DATE(YEAR($C1273),MONTH($C1273),1))</f>
        <v/>
      </c>
      <c r="P1273" s="65" t="str">
        <f ca="1">IF($C1273="","",IF(AND($D1273="Gelir",$L1273&lt;&gt;"",$T1273=""),"TANIMSIZ BORÇLU",IF($T1273&lt;&gt;"",IF(OR($E1273="",$G1273&lt;=0),"EKSİK",IF($I1273="Evet","TAHAKKUK NAKİT OLAMAZ",IF($C1273&gt;TODAY(),"İLERİ TARİH","TAHAKKUK"))),IF(AND($D1273&lt;&gt;"",$E1273&lt;&gt;"",$G1273&gt;0,$H1273&lt;&gt;"",$I1273&lt;&gt;""),IF($C1273&gt;TODAY(),"İLERİ TARİH",IF(COUNTIF($W$7:$W$3001,$W1273)&gt;1,"MÜKERRER?",IF($AD1273&gt;0,"KAPALI DÖNEM",IF($I1273="Hayır","ÖDENECEK","UYGUN")))),"EKSİK"))))</f>
        <v/>
      </c>
      <c r="Q1273" s="2"/>
      <c r="R1273" s="2"/>
      <c r="S1273" s="1" t="str">
        <f t="shared" si="59"/>
        <v/>
      </c>
      <c r="T1273" s="1" t="str">
        <f>IF(OR($C1273="",$D1273&lt;&gt;"Gelir",$L1273=""),"",IFERROR(INDEX(MUSTERILER!$B$7:$B$156,MATCH($S1273,MUSTERILER!$T$7:$T$156,0)),""))</f>
        <v/>
      </c>
      <c r="U1273" s="1" t="str">
        <f>IF($T1273="","",$T1273&amp;"|"&amp;COUNTIFS($T$7:$T1273,$T1273))</f>
        <v/>
      </c>
      <c r="V1273" s="1">
        <f t="shared" si="60"/>
        <v>0</v>
      </c>
      <c r="W1273" s="1" t="str">
        <f t="shared" si="61"/>
        <v/>
      </c>
      <c r="X1273" s="1"/>
      <c r="Y1273" s="1"/>
      <c r="Z1273" s="1"/>
      <c r="AA1273" s="1"/>
      <c r="AB1273" s="1"/>
      <c r="AC1273" s="1"/>
      <c r="AD1273" s="1">
        <f>IF($C1273="",0,SUMPRODUCT((AY_SONU!$O$7:$O$42="Evet")*(AY_SONU!$B$7:$B$42=DATE(YEAR($C1273),MONTH($C1273),1))))</f>
        <v>0</v>
      </c>
      <c r="AE1273" s="1" t="str">
        <f>IF($E1273="","",$E1273&amp;"|"&amp;COUNTIFS($E$7:$E1273,$E1273))</f>
        <v/>
      </c>
    </row>
    <row r="1274" spans="1:31" ht="18" customHeight="1" x14ac:dyDescent="0.3">
      <c r="A1274" s="2"/>
      <c r="B1274" s="65" t="str">
        <f>IF($C1274="","","GG"&amp;TEXT(ROW()-6,"00000"))</f>
        <v/>
      </c>
      <c r="C1274" s="66"/>
      <c r="D1274" s="60"/>
      <c r="E1274" s="61"/>
      <c r="F1274" s="61"/>
      <c r="G1274" s="67"/>
      <c r="H1274" s="60"/>
      <c r="I1274" s="60"/>
      <c r="J1274" s="61"/>
      <c r="K1274" s="61"/>
      <c r="L1274" s="60"/>
      <c r="M1274" s="74" t="str">
        <f>IF($C1274="","",IF($D1274="Gider",$E1274,IF($L1274&lt;&gt;"",$L1274,$H1274)))</f>
        <v/>
      </c>
      <c r="N1274" s="74" t="str">
        <f>IF($C1274="","",IF($D1274="Gider",$H1274,$E1274))</f>
        <v/>
      </c>
      <c r="O1274" s="73" t="str">
        <f>IF($C1274="","",DATE(YEAR($C1274),MONTH($C1274),1))</f>
        <v/>
      </c>
      <c r="P1274" s="65" t="str">
        <f ca="1">IF($C1274="","",IF(AND($D1274="Gelir",$L1274&lt;&gt;"",$T1274=""),"TANIMSIZ BORÇLU",IF($T1274&lt;&gt;"",IF(OR($E1274="",$G1274&lt;=0),"EKSİK",IF($I1274="Evet","TAHAKKUK NAKİT OLAMAZ",IF($C1274&gt;TODAY(),"İLERİ TARİH","TAHAKKUK"))),IF(AND($D1274&lt;&gt;"",$E1274&lt;&gt;"",$G1274&gt;0,$H1274&lt;&gt;"",$I1274&lt;&gt;""),IF($C1274&gt;TODAY(),"İLERİ TARİH",IF(COUNTIF($W$7:$W$3001,$W1274)&gt;1,"MÜKERRER?",IF($AD1274&gt;0,"KAPALI DÖNEM",IF($I1274="Hayır","ÖDENECEK","UYGUN")))),"EKSİK"))))</f>
        <v/>
      </c>
      <c r="Q1274" s="2"/>
      <c r="R1274" s="2"/>
      <c r="S1274" s="1" t="str">
        <f t="shared" si="59"/>
        <v/>
      </c>
      <c r="T1274" s="1" t="str">
        <f>IF(OR($C1274="",$D1274&lt;&gt;"Gelir",$L1274=""),"",IFERROR(INDEX(MUSTERILER!$B$7:$B$156,MATCH($S1274,MUSTERILER!$T$7:$T$156,0)),""))</f>
        <v/>
      </c>
      <c r="U1274" s="1" t="str">
        <f>IF($T1274="","",$T1274&amp;"|"&amp;COUNTIFS($T$7:$T1274,$T1274))</f>
        <v/>
      </c>
      <c r="V1274" s="1">
        <f t="shared" si="60"/>
        <v>0</v>
      </c>
      <c r="W1274" s="1" t="str">
        <f t="shared" si="61"/>
        <v/>
      </c>
      <c r="X1274" s="1"/>
      <c r="Y1274" s="1"/>
      <c r="Z1274" s="1"/>
      <c r="AA1274" s="1"/>
      <c r="AB1274" s="1"/>
      <c r="AC1274" s="1"/>
      <c r="AD1274" s="1">
        <f>IF($C1274="",0,SUMPRODUCT((AY_SONU!$O$7:$O$42="Evet")*(AY_SONU!$B$7:$B$42=DATE(YEAR($C1274),MONTH($C1274),1))))</f>
        <v>0</v>
      </c>
      <c r="AE1274" s="1" t="str">
        <f>IF($E1274="","",$E1274&amp;"|"&amp;COUNTIFS($E$7:$E1274,$E1274))</f>
        <v/>
      </c>
    </row>
    <row r="1275" spans="1:31" ht="18" customHeight="1" x14ac:dyDescent="0.3">
      <c r="A1275" s="2"/>
      <c r="B1275" s="65" t="str">
        <f>IF($C1275="","","GG"&amp;TEXT(ROW()-6,"00000"))</f>
        <v/>
      </c>
      <c r="C1275" s="66"/>
      <c r="D1275" s="60"/>
      <c r="E1275" s="61"/>
      <c r="F1275" s="61"/>
      <c r="G1275" s="67"/>
      <c r="H1275" s="60"/>
      <c r="I1275" s="60"/>
      <c r="J1275" s="61"/>
      <c r="K1275" s="61"/>
      <c r="L1275" s="60"/>
      <c r="M1275" s="74" t="str">
        <f>IF($C1275="","",IF($D1275="Gider",$E1275,IF($L1275&lt;&gt;"",$L1275,$H1275)))</f>
        <v/>
      </c>
      <c r="N1275" s="74" t="str">
        <f>IF($C1275="","",IF($D1275="Gider",$H1275,$E1275))</f>
        <v/>
      </c>
      <c r="O1275" s="73" t="str">
        <f>IF($C1275="","",DATE(YEAR($C1275),MONTH($C1275),1))</f>
        <v/>
      </c>
      <c r="P1275" s="65" t="str">
        <f ca="1">IF($C1275="","",IF(AND($D1275="Gelir",$L1275&lt;&gt;"",$T1275=""),"TANIMSIZ BORÇLU",IF($T1275&lt;&gt;"",IF(OR($E1275="",$G1275&lt;=0),"EKSİK",IF($I1275="Evet","TAHAKKUK NAKİT OLAMAZ",IF($C1275&gt;TODAY(),"İLERİ TARİH","TAHAKKUK"))),IF(AND($D1275&lt;&gt;"",$E1275&lt;&gt;"",$G1275&gt;0,$H1275&lt;&gt;"",$I1275&lt;&gt;""),IF($C1275&gt;TODAY(),"İLERİ TARİH",IF(COUNTIF($W$7:$W$3001,$W1275)&gt;1,"MÜKERRER?",IF($AD1275&gt;0,"KAPALI DÖNEM",IF($I1275="Hayır","ÖDENECEK","UYGUN")))),"EKSİK"))))</f>
        <v/>
      </c>
      <c r="Q1275" s="2"/>
      <c r="R1275" s="2"/>
      <c r="S1275" s="1" t="str">
        <f t="shared" si="59"/>
        <v/>
      </c>
      <c r="T1275" s="1" t="str">
        <f>IF(OR($C1275="",$D1275&lt;&gt;"Gelir",$L1275=""),"",IFERROR(INDEX(MUSTERILER!$B$7:$B$156,MATCH($S1275,MUSTERILER!$T$7:$T$156,0)),""))</f>
        <v/>
      </c>
      <c r="U1275" s="1" t="str">
        <f>IF($T1275="","",$T1275&amp;"|"&amp;COUNTIFS($T$7:$T1275,$T1275))</f>
        <v/>
      </c>
      <c r="V1275" s="1">
        <f t="shared" si="60"/>
        <v>0</v>
      </c>
      <c r="W1275" s="1" t="str">
        <f t="shared" si="61"/>
        <v/>
      </c>
      <c r="X1275" s="1"/>
      <c r="Y1275" s="1"/>
      <c r="Z1275" s="1"/>
      <c r="AA1275" s="1"/>
      <c r="AB1275" s="1"/>
      <c r="AC1275" s="1"/>
      <c r="AD1275" s="1">
        <f>IF($C1275="",0,SUMPRODUCT((AY_SONU!$O$7:$O$42="Evet")*(AY_SONU!$B$7:$B$42=DATE(YEAR($C1275),MONTH($C1275),1))))</f>
        <v>0</v>
      </c>
      <c r="AE1275" s="1" t="str">
        <f>IF($E1275="","",$E1275&amp;"|"&amp;COUNTIFS($E$7:$E1275,$E1275))</f>
        <v/>
      </c>
    </row>
    <row r="1276" spans="1:31" ht="18" customHeight="1" x14ac:dyDescent="0.3">
      <c r="A1276" s="2"/>
      <c r="B1276" s="65" t="str">
        <f>IF($C1276="","","GG"&amp;TEXT(ROW()-6,"00000"))</f>
        <v/>
      </c>
      <c r="C1276" s="66"/>
      <c r="D1276" s="60"/>
      <c r="E1276" s="61"/>
      <c r="F1276" s="61"/>
      <c r="G1276" s="67"/>
      <c r="H1276" s="60"/>
      <c r="I1276" s="60"/>
      <c r="J1276" s="61"/>
      <c r="K1276" s="61"/>
      <c r="L1276" s="60"/>
      <c r="M1276" s="74" t="str">
        <f>IF($C1276="","",IF($D1276="Gider",$E1276,IF($L1276&lt;&gt;"",$L1276,$H1276)))</f>
        <v/>
      </c>
      <c r="N1276" s="74" t="str">
        <f>IF($C1276="","",IF($D1276="Gider",$H1276,$E1276))</f>
        <v/>
      </c>
      <c r="O1276" s="73" t="str">
        <f>IF($C1276="","",DATE(YEAR($C1276),MONTH($C1276),1))</f>
        <v/>
      </c>
      <c r="P1276" s="65" t="str">
        <f ca="1">IF($C1276="","",IF(AND($D1276="Gelir",$L1276&lt;&gt;"",$T1276=""),"TANIMSIZ BORÇLU",IF($T1276&lt;&gt;"",IF(OR($E1276="",$G1276&lt;=0),"EKSİK",IF($I1276="Evet","TAHAKKUK NAKİT OLAMAZ",IF($C1276&gt;TODAY(),"İLERİ TARİH","TAHAKKUK"))),IF(AND($D1276&lt;&gt;"",$E1276&lt;&gt;"",$G1276&gt;0,$H1276&lt;&gt;"",$I1276&lt;&gt;""),IF($C1276&gt;TODAY(),"İLERİ TARİH",IF(COUNTIF($W$7:$W$3001,$W1276)&gt;1,"MÜKERRER?",IF($AD1276&gt;0,"KAPALI DÖNEM",IF($I1276="Hayır","ÖDENECEK","UYGUN")))),"EKSİK"))))</f>
        <v/>
      </c>
      <c r="Q1276" s="2"/>
      <c r="R1276" s="2"/>
      <c r="S1276" s="1" t="str">
        <f t="shared" si="59"/>
        <v/>
      </c>
      <c r="T1276" s="1" t="str">
        <f>IF(OR($C1276="",$D1276&lt;&gt;"Gelir",$L1276=""),"",IFERROR(INDEX(MUSTERILER!$B$7:$B$156,MATCH($S1276,MUSTERILER!$T$7:$T$156,0)),""))</f>
        <v/>
      </c>
      <c r="U1276" s="1" t="str">
        <f>IF($T1276="","",$T1276&amp;"|"&amp;COUNTIFS($T$7:$T1276,$T1276))</f>
        <v/>
      </c>
      <c r="V1276" s="1">
        <f t="shared" si="60"/>
        <v>0</v>
      </c>
      <c r="W1276" s="1" t="str">
        <f t="shared" si="61"/>
        <v/>
      </c>
      <c r="X1276" s="1"/>
      <c r="Y1276" s="1"/>
      <c r="Z1276" s="1"/>
      <c r="AA1276" s="1"/>
      <c r="AB1276" s="1"/>
      <c r="AC1276" s="1"/>
      <c r="AD1276" s="1">
        <f>IF($C1276="",0,SUMPRODUCT((AY_SONU!$O$7:$O$42="Evet")*(AY_SONU!$B$7:$B$42=DATE(YEAR($C1276),MONTH($C1276),1))))</f>
        <v>0</v>
      </c>
      <c r="AE1276" s="1" t="str">
        <f>IF($E1276="","",$E1276&amp;"|"&amp;COUNTIFS($E$7:$E1276,$E1276))</f>
        <v/>
      </c>
    </row>
    <row r="1277" spans="1:31" ht="18" customHeight="1" x14ac:dyDescent="0.3">
      <c r="A1277" s="2"/>
      <c r="B1277" s="65" t="str">
        <f>IF($C1277="","","GG"&amp;TEXT(ROW()-6,"00000"))</f>
        <v/>
      </c>
      <c r="C1277" s="66"/>
      <c r="D1277" s="60"/>
      <c r="E1277" s="61"/>
      <c r="F1277" s="61"/>
      <c r="G1277" s="67"/>
      <c r="H1277" s="60"/>
      <c r="I1277" s="60"/>
      <c r="J1277" s="61"/>
      <c r="K1277" s="61"/>
      <c r="L1277" s="60"/>
      <c r="M1277" s="74" t="str">
        <f>IF($C1277="","",IF($D1277="Gider",$E1277,IF($L1277&lt;&gt;"",$L1277,$H1277)))</f>
        <v/>
      </c>
      <c r="N1277" s="74" t="str">
        <f>IF($C1277="","",IF($D1277="Gider",$H1277,$E1277))</f>
        <v/>
      </c>
      <c r="O1277" s="73" t="str">
        <f>IF($C1277="","",DATE(YEAR($C1277),MONTH($C1277),1))</f>
        <v/>
      </c>
      <c r="P1277" s="65" t="str">
        <f ca="1">IF($C1277="","",IF(AND($D1277="Gelir",$L1277&lt;&gt;"",$T1277=""),"TANIMSIZ BORÇLU",IF($T1277&lt;&gt;"",IF(OR($E1277="",$G1277&lt;=0),"EKSİK",IF($I1277="Evet","TAHAKKUK NAKİT OLAMAZ",IF($C1277&gt;TODAY(),"İLERİ TARİH","TAHAKKUK"))),IF(AND($D1277&lt;&gt;"",$E1277&lt;&gt;"",$G1277&gt;0,$H1277&lt;&gt;"",$I1277&lt;&gt;""),IF($C1277&gt;TODAY(),"İLERİ TARİH",IF(COUNTIF($W$7:$W$3001,$W1277)&gt;1,"MÜKERRER?",IF($AD1277&gt;0,"KAPALI DÖNEM",IF($I1277="Hayır","ÖDENECEK","UYGUN")))),"EKSİK"))))</f>
        <v/>
      </c>
      <c r="Q1277" s="2"/>
      <c r="R1277" s="2"/>
      <c r="S1277" s="1" t="str">
        <f t="shared" si="59"/>
        <v/>
      </c>
      <c r="T1277" s="1" t="str">
        <f>IF(OR($C1277="",$D1277&lt;&gt;"Gelir",$L1277=""),"",IFERROR(INDEX(MUSTERILER!$B$7:$B$156,MATCH($S1277,MUSTERILER!$T$7:$T$156,0)),""))</f>
        <v/>
      </c>
      <c r="U1277" s="1" t="str">
        <f>IF($T1277="","",$T1277&amp;"|"&amp;COUNTIFS($T$7:$T1277,$T1277))</f>
        <v/>
      </c>
      <c r="V1277" s="1">
        <f t="shared" si="60"/>
        <v>0</v>
      </c>
      <c r="W1277" s="1" t="str">
        <f t="shared" si="61"/>
        <v/>
      </c>
      <c r="X1277" s="1"/>
      <c r="Y1277" s="1"/>
      <c r="Z1277" s="1"/>
      <c r="AA1277" s="1"/>
      <c r="AB1277" s="1"/>
      <c r="AC1277" s="1"/>
      <c r="AD1277" s="1">
        <f>IF($C1277="",0,SUMPRODUCT((AY_SONU!$O$7:$O$42="Evet")*(AY_SONU!$B$7:$B$42=DATE(YEAR($C1277),MONTH($C1277),1))))</f>
        <v>0</v>
      </c>
      <c r="AE1277" s="1" t="str">
        <f>IF($E1277="","",$E1277&amp;"|"&amp;COUNTIFS($E$7:$E1277,$E1277))</f>
        <v/>
      </c>
    </row>
    <row r="1278" spans="1:31" ht="18" customHeight="1" x14ac:dyDescent="0.3">
      <c r="A1278" s="2"/>
      <c r="B1278" s="65" t="str">
        <f>IF($C1278="","","GG"&amp;TEXT(ROW()-6,"00000"))</f>
        <v/>
      </c>
      <c r="C1278" s="66"/>
      <c r="D1278" s="60"/>
      <c r="E1278" s="61"/>
      <c r="F1278" s="61"/>
      <c r="G1278" s="67"/>
      <c r="H1278" s="60"/>
      <c r="I1278" s="60"/>
      <c r="J1278" s="61"/>
      <c r="K1278" s="61"/>
      <c r="L1278" s="60"/>
      <c r="M1278" s="74" t="str">
        <f>IF($C1278="","",IF($D1278="Gider",$E1278,IF($L1278&lt;&gt;"",$L1278,$H1278)))</f>
        <v/>
      </c>
      <c r="N1278" s="74" t="str">
        <f>IF($C1278="","",IF($D1278="Gider",$H1278,$E1278))</f>
        <v/>
      </c>
      <c r="O1278" s="73" t="str">
        <f>IF($C1278="","",DATE(YEAR($C1278),MONTH($C1278),1))</f>
        <v/>
      </c>
      <c r="P1278" s="65" t="str">
        <f ca="1">IF($C1278="","",IF(AND($D1278="Gelir",$L1278&lt;&gt;"",$T1278=""),"TANIMSIZ BORÇLU",IF($T1278&lt;&gt;"",IF(OR($E1278="",$G1278&lt;=0),"EKSİK",IF($I1278="Evet","TAHAKKUK NAKİT OLAMAZ",IF($C1278&gt;TODAY(),"İLERİ TARİH","TAHAKKUK"))),IF(AND($D1278&lt;&gt;"",$E1278&lt;&gt;"",$G1278&gt;0,$H1278&lt;&gt;"",$I1278&lt;&gt;""),IF($C1278&gt;TODAY(),"İLERİ TARİH",IF(COUNTIF($W$7:$W$3001,$W1278)&gt;1,"MÜKERRER?",IF($AD1278&gt;0,"KAPALI DÖNEM",IF($I1278="Hayır","ÖDENECEK","UYGUN")))),"EKSİK"))))</f>
        <v/>
      </c>
      <c r="Q1278" s="2"/>
      <c r="R1278" s="2"/>
      <c r="S1278" s="1" t="str">
        <f t="shared" si="59"/>
        <v/>
      </c>
      <c r="T1278" s="1" t="str">
        <f>IF(OR($C1278="",$D1278&lt;&gt;"Gelir",$L1278=""),"",IFERROR(INDEX(MUSTERILER!$B$7:$B$156,MATCH($S1278,MUSTERILER!$T$7:$T$156,0)),""))</f>
        <v/>
      </c>
      <c r="U1278" s="1" t="str">
        <f>IF($T1278="","",$T1278&amp;"|"&amp;COUNTIFS($T$7:$T1278,$T1278))</f>
        <v/>
      </c>
      <c r="V1278" s="1">
        <f t="shared" si="60"/>
        <v>0</v>
      </c>
      <c r="W1278" s="1" t="str">
        <f t="shared" si="61"/>
        <v/>
      </c>
      <c r="X1278" s="1"/>
      <c r="Y1278" s="1"/>
      <c r="Z1278" s="1"/>
      <c r="AA1278" s="1"/>
      <c r="AB1278" s="1"/>
      <c r="AC1278" s="1"/>
      <c r="AD1278" s="1">
        <f>IF($C1278="",0,SUMPRODUCT((AY_SONU!$O$7:$O$42="Evet")*(AY_SONU!$B$7:$B$42=DATE(YEAR($C1278),MONTH($C1278),1))))</f>
        <v>0</v>
      </c>
      <c r="AE1278" s="1" t="str">
        <f>IF($E1278="","",$E1278&amp;"|"&amp;COUNTIFS($E$7:$E1278,$E1278))</f>
        <v/>
      </c>
    </row>
    <row r="1279" spans="1:31" ht="18" customHeight="1" x14ac:dyDescent="0.3">
      <c r="A1279" s="2"/>
      <c r="B1279" s="65" t="str">
        <f>IF($C1279="","","GG"&amp;TEXT(ROW()-6,"00000"))</f>
        <v/>
      </c>
      <c r="C1279" s="66"/>
      <c r="D1279" s="60"/>
      <c r="E1279" s="61"/>
      <c r="F1279" s="61"/>
      <c r="G1279" s="67"/>
      <c r="H1279" s="60"/>
      <c r="I1279" s="60"/>
      <c r="J1279" s="61"/>
      <c r="K1279" s="61"/>
      <c r="L1279" s="60"/>
      <c r="M1279" s="74" t="str">
        <f>IF($C1279="","",IF($D1279="Gider",$E1279,IF($L1279&lt;&gt;"",$L1279,$H1279)))</f>
        <v/>
      </c>
      <c r="N1279" s="74" t="str">
        <f>IF($C1279="","",IF($D1279="Gider",$H1279,$E1279))</f>
        <v/>
      </c>
      <c r="O1279" s="73" t="str">
        <f>IF($C1279="","",DATE(YEAR($C1279),MONTH($C1279),1))</f>
        <v/>
      </c>
      <c r="P1279" s="65" t="str">
        <f ca="1">IF($C1279="","",IF(AND($D1279="Gelir",$L1279&lt;&gt;"",$T1279=""),"TANIMSIZ BORÇLU",IF($T1279&lt;&gt;"",IF(OR($E1279="",$G1279&lt;=0),"EKSİK",IF($I1279="Evet","TAHAKKUK NAKİT OLAMAZ",IF($C1279&gt;TODAY(),"İLERİ TARİH","TAHAKKUK"))),IF(AND($D1279&lt;&gt;"",$E1279&lt;&gt;"",$G1279&gt;0,$H1279&lt;&gt;"",$I1279&lt;&gt;""),IF($C1279&gt;TODAY(),"İLERİ TARİH",IF(COUNTIF($W$7:$W$3001,$W1279)&gt;1,"MÜKERRER?",IF($AD1279&gt;0,"KAPALI DÖNEM",IF($I1279="Hayır","ÖDENECEK","UYGUN")))),"EKSİK"))))</f>
        <v/>
      </c>
      <c r="Q1279" s="2"/>
      <c r="R1279" s="2"/>
      <c r="S1279" s="1" t="str">
        <f t="shared" si="59"/>
        <v/>
      </c>
      <c r="T1279" s="1" t="str">
        <f>IF(OR($C1279="",$D1279&lt;&gt;"Gelir",$L1279=""),"",IFERROR(INDEX(MUSTERILER!$B$7:$B$156,MATCH($S1279,MUSTERILER!$T$7:$T$156,0)),""))</f>
        <v/>
      </c>
      <c r="U1279" s="1" t="str">
        <f>IF($T1279="","",$T1279&amp;"|"&amp;COUNTIFS($T$7:$T1279,$T1279))</f>
        <v/>
      </c>
      <c r="V1279" s="1">
        <f t="shared" si="60"/>
        <v>0</v>
      </c>
      <c r="W1279" s="1" t="str">
        <f t="shared" si="61"/>
        <v/>
      </c>
      <c r="X1279" s="1"/>
      <c r="Y1279" s="1"/>
      <c r="Z1279" s="1"/>
      <c r="AA1279" s="1"/>
      <c r="AB1279" s="1"/>
      <c r="AC1279" s="1"/>
      <c r="AD1279" s="1">
        <f>IF($C1279="",0,SUMPRODUCT((AY_SONU!$O$7:$O$42="Evet")*(AY_SONU!$B$7:$B$42=DATE(YEAR($C1279),MONTH($C1279),1))))</f>
        <v>0</v>
      </c>
      <c r="AE1279" s="1" t="str">
        <f>IF($E1279="","",$E1279&amp;"|"&amp;COUNTIFS($E$7:$E1279,$E1279))</f>
        <v/>
      </c>
    </row>
    <row r="1280" spans="1:31" ht="18" customHeight="1" x14ac:dyDescent="0.3">
      <c r="A1280" s="2"/>
      <c r="B1280" s="65" t="str">
        <f>IF($C1280="","","GG"&amp;TEXT(ROW()-6,"00000"))</f>
        <v/>
      </c>
      <c r="C1280" s="66"/>
      <c r="D1280" s="60"/>
      <c r="E1280" s="61"/>
      <c r="F1280" s="61"/>
      <c r="G1280" s="67"/>
      <c r="H1280" s="60"/>
      <c r="I1280" s="60"/>
      <c r="J1280" s="61"/>
      <c r="K1280" s="61"/>
      <c r="L1280" s="60"/>
      <c r="M1280" s="74" t="str">
        <f>IF($C1280="","",IF($D1280="Gider",$E1280,IF($L1280&lt;&gt;"",$L1280,$H1280)))</f>
        <v/>
      </c>
      <c r="N1280" s="74" t="str">
        <f>IF($C1280="","",IF($D1280="Gider",$H1280,$E1280))</f>
        <v/>
      </c>
      <c r="O1280" s="73" t="str">
        <f>IF($C1280="","",DATE(YEAR($C1280),MONTH($C1280),1))</f>
        <v/>
      </c>
      <c r="P1280" s="65" t="str">
        <f ca="1">IF($C1280="","",IF(AND($D1280="Gelir",$L1280&lt;&gt;"",$T1280=""),"TANIMSIZ BORÇLU",IF($T1280&lt;&gt;"",IF(OR($E1280="",$G1280&lt;=0),"EKSİK",IF($I1280="Evet","TAHAKKUK NAKİT OLAMAZ",IF($C1280&gt;TODAY(),"İLERİ TARİH","TAHAKKUK"))),IF(AND($D1280&lt;&gt;"",$E1280&lt;&gt;"",$G1280&gt;0,$H1280&lt;&gt;"",$I1280&lt;&gt;""),IF($C1280&gt;TODAY(),"İLERİ TARİH",IF(COUNTIF($W$7:$W$3001,$W1280)&gt;1,"MÜKERRER?",IF($AD1280&gt;0,"KAPALI DÖNEM",IF($I1280="Hayır","ÖDENECEK","UYGUN")))),"EKSİK"))))</f>
        <v/>
      </c>
      <c r="Q1280" s="2"/>
      <c r="R1280" s="2"/>
      <c r="S1280" s="1" t="str">
        <f t="shared" si="59"/>
        <v/>
      </c>
      <c r="T1280" s="1" t="str">
        <f>IF(OR($C1280="",$D1280&lt;&gt;"Gelir",$L1280=""),"",IFERROR(INDEX(MUSTERILER!$B$7:$B$156,MATCH($S1280,MUSTERILER!$T$7:$T$156,0)),""))</f>
        <v/>
      </c>
      <c r="U1280" s="1" t="str">
        <f>IF($T1280="","",$T1280&amp;"|"&amp;COUNTIFS($T$7:$T1280,$T1280))</f>
        <v/>
      </c>
      <c r="V1280" s="1">
        <f t="shared" si="60"/>
        <v>0</v>
      </c>
      <c r="W1280" s="1" t="str">
        <f t="shared" si="61"/>
        <v/>
      </c>
      <c r="X1280" s="1"/>
      <c r="Y1280" s="1"/>
      <c r="Z1280" s="1"/>
      <c r="AA1280" s="1"/>
      <c r="AB1280" s="1"/>
      <c r="AC1280" s="1"/>
      <c r="AD1280" s="1">
        <f>IF($C1280="",0,SUMPRODUCT((AY_SONU!$O$7:$O$42="Evet")*(AY_SONU!$B$7:$B$42=DATE(YEAR($C1280),MONTH($C1280),1))))</f>
        <v>0</v>
      </c>
      <c r="AE1280" s="1" t="str">
        <f>IF($E1280="","",$E1280&amp;"|"&amp;COUNTIFS($E$7:$E1280,$E1280))</f>
        <v/>
      </c>
    </row>
    <row r="1281" spans="1:31" ht="18" customHeight="1" x14ac:dyDescent="0.3">
      <c r="A1281" s="2"/>
      <c r="B1281" s="65" t="str">
        <f>IF($C1281="","","GG"&amp;TEXT(ROW()-6,"00000"))</f>
        <v/>
      </c>
      <c r="C1281" s="66"/>
      <c r="D1281" s="60"/>
      <c r="E1281" s="61"/>
      <c r="F1281" s="61"/>
      <c r="G1281" s="67"/>
      <c r="H1281" s="60"/>
      <c r="I1281" s="60"/>
      <c r="J1281" s="61"/>
      <c r="K1281" s="61"/>
      <c r="L1281" s="60"/>
      <c r="M1281" s="74" t="str">
        <f>IF($C1281="","",IF($D1281="Gider",$E1281,IF($L1281&lt;&gt;"",$L1281,$H1281)))</f>
        <v/>
      </c>
      <c r="N1281" s="74" t="str">
        <f>IF($C1281="","",IF($D1281="Gider",$H1281,$E1281))</f>
        <v/>
      </c>
      <c r="O1281" s="73" t="str">
        <f>IF($C1281="","",DATE(YEAR($C1281),MONTH($C1281),1))</f>
        <v/>
      </c>
      <c r="P1281" s="65" t="str">
        <f ca="1">IF($C1281="","",IF(AND($D1281="Gelir",$L1281&lt;&gt;"",$T1281=""),"TANIMSIZ BORÇLU",IF($T1281&lt;&gt;"",IF(OR($E1281="",$G1281&lt;=0),"EKSİK",IF($I1281="Evet","TAHAKKUK NAKİT OLAMAZ",IF($C1281&gt;TODAY(),"İLERİ TARİH","TAHAKKUK"))),IF(AND($D1281&lt;&gt;"",$E1281&lt;&gt;"",$G1281&gt;0,$H1281&lt;&gt;"",$I1281&lt;&gt;""),IF($C1281&gt;TODAY(),"İLERİ TARİH",IF(COUNTIF($W$7:$W$3001,$W1281)&gt;1,"MÜKERRER?",IF($AD1281&gt;0,"KAPALI DÖNEM",IF($I1281="Hayır","ÖDENECEK","UYGUN")))),"EKSİK"))))</f>
        <v/>
      </c>
      <c r="Q1281" s="2"/>
      <c r="R1281" s="2"/>
      <c r="S1281" s="1" t="str">
        <f t="shared" si="59"/>
        <v/>
      </c>
      <c r="T1281" s="1" t="str">
        <f>IF(OR($C1281="",$D1281&lt;&gt;"Gelir",$L1281=""),"",IFERROR(INDEX(MUSTERILER!$B$7:$B$156,MATCH($S1281,MUSTERILER!$T$7:$T$156,0)),""))</f>
        <v/>
      </c>
      <c r="U1281" s="1" t="str">
        <f>IF($T1281="","",$T1281&amp;"|"&amp;COUNTIFS($T$7:$T1281,$T1281))</f>
        <v/>
      </c>
      <c r="V1281" s="1">
        <f t="shared" si="60"/>
        <v>0</v>
      </c>
      <c r="W1281" s="1" t="str">
        <f t="shared" si="61"/>
        <v/>
      </c>
      <c r="X1281" s="1"/>
      <c r="Y1281" s="1"/>
      <c r="Z1281" s="1"/>
      <c r="AA1281" s="1"/>
      <c r="AB1281" s="1"/>
      <c r="AC1281" s="1"/>
      <c r="AD1281" s="1">
        <f>IF($C1281="",0,SUMPRODUCT((AY_SONU!$O$7:$O$42="Evet")*(AY_SONU!$B$7:$B$42=DATE(YEAR($C1281),MONTH($C1281),1))))</f>
        <v>0</v>
      </c>
      <c r="AE1281" s="1" t="str">
        <f>IF($E1281="","",$E1281&amp;"|"&amp;COUNTIFS($E$7:$E1281,$E1281))</f>
        <v/>
      </c>
    </row>
    <row r="1282" spans="1:31" ht="18" customHeight="1" x14ac:dyDescent="0.3">
      <c r="A1282" s="2"/>
      <c r="B1282" s="65" t="str">
        <f>IF($C1282="","","GG"&amp;TEXT(ROW()-6,"00000"))</f>
        <v/>
      </c>
      <c r="C1282" s="66"/>
      <c r="D1282" s="60"/>
      <c r="E1282" s="61"/>
      <c r="F1282" s="61"/>
      <c r="G1282" s="67"/>
      <c r="H1282" s="60"/>
      <c r="I1282" s="60"/>
      <c r="J1282" s="61"/>
      <c r="K1282" s="61"/>
      <c r="L1282" s="60"/>
      <c r="M1282" s="74" t="str">
        <f>IF($C1282="","",IF($D1282="Gider",$E1282,IF($L1282&lt;&gt;"",$L1282,$H1282)))</f>
        <v/>
      </c>
      <c r="N1282" s="74" t="str">
        <f>IF($C1282="","",IF($D1282="Gider",$H1282,$E1282))</f>
        <v/>
      </c>
      <c r="O1282" s="73" t="str">
        <f>IF($C1282="","",DATE(YEAR($C1282),MONTH($C1282),1))</f>
        <v/>
      </c>
      <c r="P1282" s="65" t="str">
        <f ca="1">IF($C1282="","",IF(AND($D1282="Gelir",$L1282&lt;&gt;"",$T1282=""),"TANIMSIZ BORÇLU",IF($T1282&lt;&gt;"",IF(OR($E1282="",$G1282&lt;=0),"EKSİK",IF($I1282="Evet","TAHAKKUK NAKİT OLAMAZ",IF($C1282&gt;TODAY(),"İLERİ TARİH","TAHAKKUK"))),IF(AND($D1282&lt;&gt;"",$E1282&lt;&gt;"",$G1282&gt;0,$H1282&lt;&gt;"",$I1282&lt;&gt;""),IF($C1282&gt;TODAY(),"İLERİ TARİH",IF(COUNTIF($W$7:$W$3001,$W1282)&gt;1,"MÜKERRER?",IF($AD1282&gt;0,"KAPALI DÖNEM",IF($I1282="Hayır","ÖDENECEK","UYGUN")))),"EKSİK"))))</f>
        <v/>
      </c>
      <c r="Q1282" s="2"/>
      <c r="R1282" s="2"/>
      <c r="S1282" s="1" t="str">
        <f t="shared" si="59"/>
        <v/>
      </c>
      <c r="T1282" s="1" t="str">
        <f>IF(OR($C1282="",$D1282&lt;&gt;"Gelir",$L1282=""),"",IFERROR(INDEX(MUSTERILER!$B$7:$B$156,MATCH($S1282,MUSTERILER!$T$7:$T$156,0)),""))</f>
        <v/>
      </c>
      <c r="U1282" s="1" t="str">
        <f>IF($T1282="","",$T1282&amp;"|"&amp;COUNTIFS($T$7:$T1282,$T1282))</f>
        <v/>
      </c>
      <c r="V1282" s="1">
        <f t="shared" si="60"/>
        <v>0</v>
      </c>
      <c r="W1282" s="1" t="str">
        <f t="shared" si="61"/>
        <v/>
      </c>
      <c r="X1282" s="1"/>
      <c r="Y1282" s="1"/>
      <c r="Z1282" s="1"/>
      <c r="AA1282" s="1"/>
      <c r="AB1282" s="1"/>
      <c r="AC1282" s="1"/>
      <c r="AD1282" s="1">
        <f>IF($C1282="",0,SUMPRODUCT((AY_SONU!$O$7:$O$42="Evet")*(AY_SONU!$B$7:$B$42=DATE(YEAR($C1282),MONTH($C1282),1))))</f>
        <v>0</v>
      </c>
      <c r="AE1282" s="1" t="str">
        <f>IF($E1282="","",$E1282&amp;"|"&amp;COUNTIFS($E$7:$E1282,$E1282))</f>
        <v/>
      </c>
    </row>
    <row r="1283" spans="1:31" ht="18" customHeight="1" x14ac:dyDescent="0.3">
      <c r="A1283" s="2"/>
      <c r="B1283" s="65" t="str">
        <f>IF($C1283="","","GG"&amp;TEXT(ROW()-6,"00000"))</f>
        <v/>
      </c>
      <c r="C1283" s="66"/>
      <c r="D1283" s="60"/>
      <c r="E1283" s="61"/>
      <c r="F1283" s="61"/>
      <c r="G1283" s="67"/>
      <c r="H1283" s="60"/>
      <c r="I1283" s="60"/>
      <c r="J1283" s="61"/>
      <c r="K1283" s="61"/>
      <c r="L1283" s="60"/>
      <c r="M1283" s="74" t="str">
        <f>IF($C1283="","",IF($D1283="Gider",$E1283,IF($L1283&lt;&gt;"",$L1283,$H1283)))</f>
        <v/>
      </c>
      <c r="N1283" s="74" t="str">
        <f>IF($C1283="","",IF($D1283="Gider",$H1283,$E1283))</f>
        <v/>
      </c>
      <c r="O1283" s="73" t="str">
        <f>IF($C1283="","",DATE(YEAR($C1283),MONTH($C1283),1))</f>
        <v/>
      </c>
      <c r="P1283" s="65" t="str">
        <f ca="1">IF($C1283="","",IF(AND($D1283="Gelir",$L1283&lt;&gt;"",$T1283=""),"TANIMSIZ BORÇLU",IF($T1283&lt;&gt;"",IF(OR($E1283="",$G1283&lt;=0),"EKSİK",IF($I1283="Evet","TAHAKKUK NAKİT OLAMAZ",IF($C1283&gt;TODAY(),"İLERİ TARİH","TAHAKKUK"))),IF(AND($D1283&lt;&gt;"",$E1283&lt;&gt;"",$G1283&gt;0,$H1283&lt;&gt;"",$I1283&lt;&gt;""),IF($C1283&gt;TODAY(),"İLERİ TARİH",IF(COUNTIF($W$7:$W$3001,$W1283)&gt;1,"MÜKERRER?",IF($AD1283&gt;0,"KAPALI DÖNEM",IF($I1283="Hayır","ÖDENECEK","UYGUN")))),"EKSİK"))))</f>
        <v/>
      </c>
      <c r="Q1283" s="2"/>
      <c r="R1283" s="2"/>
      <c r="S1283" s="1" t="str">
        <f t="shared" si="59"/>
        <v/>
      </c>
      <c r="T1283" s="1" t="str">
        <f>IF(OR($C1283="",$D1283&lt;&gt;"Gelir",$L1283=""),"",IFERROR(INDEX(MUSTERILER!$B$7:$B$156,MATCH($S1283,MUSTERILER!$T$7:$T$156,0)),""))</f>
        <v/>
      </c>
      <c r="U1283" s="1" t="str">
        <f>IF($T1283="","",$T1283&amp;"|"&amp;COUNTIFS($T$7:$T1283,$T1283))</f>
        <v/>
      </c>
      <c r="V1283" s="1">
        <f t="shared" si="60"/>
        <v>0</v>
      </c>
      <c r="W1283" s="1" t="str">
        <f t="shared" si="61"/>
        <v/>
      </c>
      <c r="X1283" s="1"/>
      <c r="Y1283" s="1"/>
      <c r="Z1283" s="1"/>
      <c r="AA1283" s="1"/>
      <c r="AB1283" s="1"/>
      <c r="AC1283" s="1"/>
      <c r="AD1283" s="1">
        <f>IF($C1283="",0,SUMPRODUCT((AY_SONU!$O$7:$O$42="Evet")*(AY_SONU!$B$7:$B$42=DATE(YEAR($C1283),MONTH($C1283),1))))</f>
        <v>0</v>
      </c>
      <c r="AE1283" s="1" t="str">
        <f>IF($E1283="","",$E1283&amp;"|"&amp;COUNTIFS($E$7:$E1283,$E1283))</f>
        <v/>
      </c>
    </row>
    <row r="1284" spans="1:31" ht="18" customHeight="1" x14ac:dyDescent="0.3">
      <c r="A1284" s="2"/>
      <c r="B1284" s="65" t="str">
        <f>IF($C1284="","","GG"&amp;TEXT(ROW()-6,"00000"))</f>
        <v/>
      </c>
      <c r="C1284" s="66"/>
      <c r="D1284" s="60"/>
      <c r="E1284" s="61"/>
      <c r="F1284" s="61"/>
      <c r="G1284" s="67"/>
      <c r="H1284" s="60"/>
      <c r="I1284" s="60"/>
      <c r="J1284" s="61"/>
      <c r="K1284" s="61"/>
      <c r="L1284" s="60"/>
      <c r="M1284" s="74" t="str">
        <f>IF($C1284="","",IF($D1284="Gider",$E1284,IF($L1284&lt;&gt;"",$L1284,$H1284)))</f>
        <v/>
      </c>
      <c r="N1284" s="74" t="str">
        <f>IF($C1284="","",IF($D1284="Gider",$H1284,$E1284))</f>
        <v/>
      </c>
      <c r="O1284" s="73" t="str">
        <f>IF($C1284="","",DATE(YEAR($C1284),MONTH($C1284),1))</f>
        <v/>
      </c>
      <c r="P1284" s="65" t="str">
        <f ca="1">IF($C1284="","",IF(AND($D1284="Gelir",$L1284&lt;&gt;"",$T1284=""),"TANIMSIZ BORÇLU",IF($T1284&lt;&gt;"",IF(OR($E1284="",$G1284&lt;=0),"EKSİK",IF($I1284="Evet","TAHAKKUK NAKİT OLAMAZ",IF($C1284&gt;TODAY(),"İLERİ TARİH","TAHAKKUK"))),IF(AND($D1284&lt;&gt;"",$E1284&lt;&gt;"",$G1284&gt;0,$H1284&lt;&gt;"",$I1284&lt;&gt;""),IF($C1284&gt;TODAY(),"İLERİ TARİH",IF(COUNTIF($W$7:$W$3001,$W1284)&gt;1,"MÜKERRER?",IF($AD1284&gt;0,"KAPALI DÖNEM",IF($I1284="Hayır","ÖDENECEK","UYGUN")))),"EKSİK"))))</f>
        <v/>
      </c>
      <c r="Q1284" s="2"/>
      <c r="R1284" s="2"/>
      <c r="S1284" s="1" t="str">
        <f t="shared" si="59"/>
        <v/>
      </c>
      <c r="T1284" s="1" t="str">
        <f>IF(OR($C1284="",$D1284&lt;&gt;"Gelir",$L1284=""),"",IFERROR(INDEX(MUSTERILER!$B$7:$B$156,MATCH($S1284,MUSTERILER!$T$7:$T$156,0)),""))</f>
        <v/>
      </c>
      <c r="U1284" s="1" t="str">
        <f>IF($T1284="","",$T1284&amp;"|"&amp;COUNTIFS($T$7:$T1284,$T1284))</f>
        <v/>
      </c>
      <c r="V1284" s="1">
        <f t="shared" si="60"/>
        <v>0</v>
      </c>
      <c r="W1284" s="1" t="str">
        <f t="shared" si="61"/>
        <v/>
      </c>
      <c r="X1284" s="1"/>
      <c r="Y1284" s="1"/>
      <c r="Z1284" s="1"/>
      <c r="AA1284" s="1"/>
      <c r="AB1284" s="1"/>
      <c r="AC1284" s="1"/>
      <c r="AD1284" s="1">
        <f>IF($C1284="",0,SUMPRODUCT((AY_SONU!$O$7:$O$42="Evet")*(AY_SONU!$B$7:$B$42=DATE(YEAR($C1284),MONTH($C1284),1))))</f>
        <v>0</v>
      </c>
      <c r="AE1284" s="1" t="str">
        <f>IF($E1284="","",$E1284&amp;"|"&amp;COUNTIFS($E$7:$E1284,$E1284))</f>
        <v/>
      </c>
    </row>
    <row r="1285" spans="1:31" ht="18" customHeight="1" x14ac:dyDescent="0.3">
      <c r="A1285" s="2"/>
      <c r="B1285" s="65" t="str">
        <f>IF($C1285="","","GG"&amp;TEXT(ROW()-6,"00000"))</f>
        <v/>
      </c>
      <c r="C1285" s="66"/>
      <c r="D1285" s="60"/>
      <c r="E1285" s="61"/>
      <c r="F1285" s="61"/>
      <c r="G1285" s="67"/>
      <c r="H1285" s="60"/>
      <c r="I1285" s="60"/>
      <c r="J1285" s="61"/>
      <c r="K1285" s="61"/>
      <c r="L1285" s="60"/>
      <c r="M1285" s="74" t="str">
        <f>IF($C1285="","",IF($D1285="Gider",$E1285,IF($L1285&lt;&gt;"",$L1285,$H1285)))</f>
        <v/>
      </c>
      <c r="N1285" s="74" t="str">
        <f>IF($C1285="","",IF($D1285="Gider",$H1285,$E1285))</f>
        <v/>
      </c>
      <c r="O1285" s="73" t="str">
        <f>IF($C1285="","",DATE(YEAR($C1285),MONTH($C1285),1))</f>
        <v/>
      </c>
      <c r="P1285" s="65" t="str">
        <f ca="1">IF($C1285="","",IF(AND($D1285="Gelir",$L1285&lt;&gt;"",$T1285=""),"TANIMSIZ BORÇLU",IF($T1285&lt;&gt;"",IF(OR($E1285="",$G1285&lt;=0),"EKSİK",IF($I1285="Evet","TAHAKKUK NAKİT OLAMAZ",IF($C1285&gt;TODAY(),"İLERİ TARİH","TAHAKKUK"))),IF(AND($D1285&lt;&gt;"",$E1285&lt;&gt;"",$G1285&gt;0,$H1285&lt;&gt;"",$I1285&lt;&gt;""),IF($C1285&gt;TODAY(),"İLERİ TARİH",IF(COUNTIF($W$7:$W$3001,$W1285)&gt;1,"MÜKERRER?",IF($AD1285&gt;0,"KAPALI DÖNEM",IF($I1285="Hayır","ÖDENECEK","UYGUN")))),"EKSİK"))))</f>
        <v/>
      </c>
      <c r="Q1285" s="2"/>
      <c r="R1285" s="2"/>
      <c r="S1285" s="1" t="str">
        <f t="shared" ref="S1285:S1348" si="62">IF($L1285="","",UPPER(SUBSTITUTE(SUBSTITUTE(SUBSTITUTE(SUBSTITUTE(SUBSTITUTE(SUBSTITUTE(SUBSTITUTE(SUBSTITUTE(SUBSTITUTE(SUBSTITUTE(SUBSTITUTE(SUBSTITUTE(SUBSTITUTE(SUBSTITUTE(SUBSTITUTE(SUBSTITUTE(SUBSTITUTE(SUBSTITUTE(TRIM($L1285),"'",""),"İ","I"),"ı","I"),"i","I"),"Ş","S"),"ş","S"),"Ğ","G"),"ğ","G"),"Ü","U"),"ü","U"),"Ö","O"),"ö","O"),"Ç","C"),"ç","C"),".",""),",","")," ",""),"-","")))</f>
        <v/>
      </c>
      <c r="T1285" s="1" t="str">
        <f>IF(OR($C1285="",$D1285&lt;&gt;"Gelir",$L1285=""),"",IFERROR(INDEX(MUSTERILER!$B$7:$B$156,MATCH($S1285,MUSTERILER!$T$7:$T$156,0)),""))</f>
        <v/>
      </c>
      <c r="U1285" s="1" t="str">
        <f>IF($T1285="","",$T1285&amp;"|"&amp;COUNTIFS($T$7:$T1285,$T1285))</f>
        <v/>
      </c>
      <c r="V1285" s="1">
        <f t="shared" ref="V1285:V1348" si="63">IF($T1285="",0,1)</f>
        <v>0</v>
      </c>
      <c r="W1285" s="1" t="str">
        <f t="shared" ref="W1285:W1348" si="64">IF($C1285="","",$D1285&amp;"|"&amp;$E1285&amp;"|"&amp;TEXT($C1285,"0")&amp;"|"&amp;TEXT($G1285,"0")&amp;"|"&amp;$F1285&amp;"|"&amp;$J1285)</f>
        <v/>
      </c>
      <c r="X1285" s="1"/>
      <c r="Y1285" s="1"/>
      <c r="Z1285" s="1"/>
      <c r="AA1285" s="1"/>
      <c r="AB1285" s="1"/>
      <c r="AC1285" s="1"/>
      <c r="AD1285" s="1">
        <f>IF($C1285="",0,SUMPRODUCT((AY_SONU!$O$7:$O$42="Evet")*(AY_SONU!$B$7:$B$42=DATE(YEAR($C1285),MONTH($C1285),1))))</f>
        <v>0</v>
      </c>
      <c r="AE1285" s="1" t="str">
        <f>IF($E1285="","",$E1285&amp;"|"&amp;COUNTIFS($E$7:$E1285,$E1285))</f>
        <v/>
      </c>
    </row>
    <row r="1286" spans="1:31" ht="18" customHeight="1" x14ac:dyDescent="0.3">
      <c r="A1286" s="2"/>
      <c r="B1286" s="65" t="str">
        <f>IF($C1286="","","GG"&amp;TEXT(ROW()-6,"00000"))</f>
        <v/>
      </c>
      <c r="C1286" s="66"/>
      <c r="D1286" s="60"/>
      <c r="E1286" s="61"/>
      <c r="F1286" s="61"/>
      <c r="G1286" s="67"/>
      <c r="H1286" s="60"/>
      <c r="I1286" s="60"/>
      <c r="J1286" s="61"/>
      <c r="K1286" s="61"/>
      <c r="L1286" s="60"/>
      <c r="M1286" s="74" t="str">
        <f>IF($C1286="","",IF($D1286="Gider",$E1286,IF($L1286&lt;&gt;"",$L1286,$H1286)))</f>
        <v/>
      </c>
      <c r="N1286" s="74" t="str">
        <f>IF($C1286="","",IF($D1286="Gider",$H1286,$E1286))</f>
        <v/>
      </c>
      <c r="O1286" s="73" t="str">
        <f>IF($C1286="","",DATE(YEAR($C1286),MONTH($C1286),1))</f>
        <v/>
      </c>
      <c r="P1286" s="65" t="str">
        <f ca="1">IF($C1286="","",IF(AND($D1286="Gelir",$L1286&lt;&gt;"",$T1286=""),"TANIMSIZ BORÇLU",IF($T1286&lt;&gt;"",IF(OR($E1286="",$G1286&lt;=0),"EKSİK",IF($I1286="Evet","TAHAKKUK NAKİT OLAMAZ",IF($C1286&gt;TODAY(),"İLERİ TARİH","TAHAKKUK"))),IF(AND($D1286&lt;&gt;"",$E1286&lt;&gt;"",$G1286&gt;0,$H1286&lt;&gt;"",$I1286&lt;&gt;""),IF($C1286&gt;TODAY(),"İLERİ TARİH",IF(COUNTIF($W$7:$W$3001,$W1286)&gt;1,"MÜKERRER?",IF($AD1286&gt;0,"KAPALI DÖNEM",IF($I1286="Hayır","ÖDENECEK","UYGUN")))),"EKSİK"))))</f>
        <v/>
      </c>
      <c r="Q1286" s="2"/>
      <c r="R1286" s="2"/>
      <c r="S1286" s="1" t="str">
        <f t="shared" si="62"/>
        <v/>
      </c>
      <c r="T1286" s="1" t="str">
        <f>IF(OR($C1286="",$D1286&lt;&gt;"Gelir",$L1286=""),"",IFERROR(INDEX(MUSTERILER!$B$7:$B$156,MATCH($S1286,MUSTERILER!$T$7:$T$156,0)),""))</f>
        <v/>
      </c>
      <c r="U1286" s="1" t="str">
        <f>IF($T1286="","",$T1286&amp;"|"&amp;COUNTIFS($T$7:$T1286,$T1286))</f>
        <v/>
      </c>
      <c r="V1286" s="1">
        <f t="shared" si="63"/>
        <v>0</v>
      </c>
      <c r="W1286" s="1" t="str">
        <f t="shared" si="64"/>
        <v/>
      </c>
      <c r="X1286" s="1"/>
      <c r="Y1286" s="1"/>
      <c r="Z1286" s="1"/>
      <c r="AA1286" s="1"/>
      <c r="AB1286" s="1"/>
      <c r="AC1286" s="1"/>
      <c r="AD1286" s="1">
        <f>IF($C1286="",0,SUMPRODUCT((AY_SONU!$O$7:$O$42="Evet")*(AY_SONU!$B$7:$B$42=DATE(YEAR($C1286),MONTH($C1286),1))))</f>
        <v>0</v>
      </c>
      <c r="AE1286" s="1" t="str">
        <f>IF($E1286="","",$E1286&amp;"|"&amp;COUNTIFS($E$7:$E1286,$E1286))</f>
        <v/>
      </c>
    </row>
    <row r="1287" spans="1:31" ht="18" customHeight="1" x14ac:dyDescent="0.3">
      <c r="A1287" s="2"/>
      <c r="B1287" s="65" t="str">
        <f>IF($C1287="","","GG"&amp;TEXT(ROW()-6,"00000"))</f>
        <v/>
      </c>
      <c r="C1287" s="66"/>
      <c r="D1287" s="60"/>
      <c r="E1287" s="61"/>
      <c r="F1287" s="61"/>
      <c r="G1287" s="67"/>
      <c r="H1287" s="60"/>
      <c r="I1287" s="60"/>
      <c r="J1287" s="61"/>
      <c r="K1287" s="61"/>
      <c r="L1287" s="60"/>
      <c r="M1287" s="74" t="str">
        <f>IF($C1287="","",IF($D1287="Gider",$E1287,IF($L1287&lt;&gt;"",$L1287,$H1287)))</f>
        <v/>
      </c>
      <c r="N1287" s="74" t="str">
        <f>IF($C1287="","",IF($D1287="Gider",$H1287,$E1287))</f>
        <v/>
      </c>
      <c r="O1287" s="73" t="str">
        <f>IF($C1287="","",DATE(YEAR($C1287),MONTH($C1287),1))</f>
        <v/>
      </c>
      <c r="P1287" s="65" t="str">
        <f ca="1"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TARİH",IF(COUNTIF($W$7:$W$3001,$W1287)&gt;1,"MÜKERRER?",IF($AD1287&gt;0,"KAPALI DÖNEM",IF($I1287="Hayır","ÖDENECEK","UYGUN")))),"EKSİK"))))</f>
        <v/>
      </c>
      <c r="Q1287" s="2"/>
      <c r="R1287" s="2"/>
      <c r="S1287" s="1" t="str">
        <f t="shared" si="62"/>
        <v/>
      </c>
      <c r="T1287" s="1" t="str">
        <f>IF(OR($C1287="",$D1287&lt;&gt;"Gelir",$L1287=""),"",IFERROR(INDEX(MUSTERILER!$B$7:$B$156,MATCH($S1287,MUSTERILER!$T$7:$T$156,0)),""))</f>
        <v/>
      </c>
      <c r="U1287" s="1" t="str">
        <f>IF($T1287="","",$T1287&amp;"|"&amp;COUNTIFS($T$7:$T1287,$T1287))</f>
        <v/>
      </c>
      <c r="V1287" s="1">
        <f t="shared" si="63"/>
        <v>0</v>
      </c>
      <c r="W1287" s="1" t="str">
        <f t="shared" si="64"/>
        <v/>
      </c>
      <c r="X1287" s="1"/>
      <c r="Y1287" s="1"/>
      <c r="Z1287" s="1"/>
      <c r="AA1287" s="1"/>
      <c r="AB1287" s="1"/>
      <c r="AC1287" s="1"/>
      <c r="AD1287" s="1">
        <f>IF($C1287="",0,SUMPRODUCT((AY_SONU!$O$7:$O$42="Evet")*(AY_SONU!$B$7:$B$42=DATE(YEAR($C1287),MONTH($C1287),1))))</f>
        <v>0</v>
      </c>
      <c r="AE1287" s="1" t="str">
        <f>IF($E1287="","",$E1287&amp;"|"&amp;COUNTIFS($E$7:$E1287,$E1287))</f>
        <v/>
      </c>
    </row>
    <row r="1288" spans="1:31" ht="18" customHeight="1" x14ac:dyDescent="0.3">
      <c r="A1288" s="2"/>
      <c r="B1288" s="65" t="str">
        <f>IF($C1288="","","GG"&amp;TEXT(ROW()-6,"00000"))</f>
        <v/>
      </c>
      <c r="C1288" s="66"/>
      <c r="D1288" s="60"/>
      <c r="E1288" s="61"/>
      <c r="F1288" s="61"/>
      <c r="G1288" s="67"/>
      <c r="H1288" s="60"/>
      <c r="I1288" s="60"/>
      <c r="J1288" s="61"/>
      <c r="K1288" s="61"/>
      <c r="L1288" s="60"/>
      <c r="M1288" s="74" t="str">
        <f>IF($C1288="","",IF($D1288="Gider",$E1288,IF($L1288&lt;&gt;"",$L1288,$H1288)))</f>
        <v/>
      </c>
      <c r="N1288" s="74" t="str">
        <f>IF($C1288="","",IF($D1288="Gider",$H1288,$E1288))</f>
        <v/>
      </c>
      <c r="O1288" s="73" t="str">
        <f>IF($C1288="","",DATE(YEAR($C1288),MONTH($C1288),1))</f>
        <v/>
      </c>
      <c r="P1288" s="65" t="str">
        <f ca="1">IF($C1288="","",IF(AND($D1288="Gelir",$L1288&lt;&gt;"",$T1288=""),"TANIMSIZ BORÇLU",IF($T1288&lt;&gt;"",IF(OR($E1288="",$G1288&lt;=0),"EKSİK",IF($I1288="Evet","TAHAKKUK NAKİT OLAMAZ",IF($C1288&gt;TODAY(),"İLERİ TARİH","TAHAKKUK"))),IF(AND($D1288&lt;&gt;"",$E1288&lt;&gt;"",$G1288&gt;0,$H1288&lt;&gt;"",$I1288&lt;&gt;""),IF($C1288&gt;TODAY(),"İLERİ TARİH",IF(COUNTIF($W$7:$W$3001,$W1288)&gt;1,"MÜKERRER?",IF($AD1288&gt;0,"KAPALI DÖNEM",IF($I1288="Hayır","ÖDENECEK","UYGUN")))),"EKSİK"))))</f>
        <v/>
      </c>
      <c r="Q1288" s="2"/>
      <c r="R1288" s="2"/>
      <c r="S1288" s="1" t="str">
        <f t="shared" si="62"/>
        <v/>
      </c>
      <c r="T1288" s="1" t="str">
        <f>IF(OR($C1288="",$D1288&lt;&gt;"Gelir",$L1288=""),"",IFERROR(INDEX(MUSTERILER!$B$7:$B$156,MATCH($S1288,MUSTERILER!$T$7:$T$156,0)),""))</f>
        <v/>
      </c>
      <c r="U1288" s="1" t="str">
        <f>IF($T1288="","",$T1288&amp;"|"&amp;COUNTIFS($T$7:$T1288,$T1288))</f>
        <v/>
      </c>
      <c r="V1288" s="1">
        <f t="shared" si="63"/>
        <v>0</v>
      </c>
      <c r="W1288" s="1" t="str">
        <f t="shared" si="64"/>
        <v/>
      </c>
      <c r="X1288" s="1"/>
      <c r="Y1288" s="1"/>
      <c r="Z1288" s="1"/>
      <c r="AA1288" s="1"/>
      <c r="AB1288" s="1"/>
      <c r="AC1288" s="1"/>
      <c r="AD1288" s="1">
        <f>IF($C1288="",0,SUMPRODUCT((AY_SONU!$O$7:$O$42="Evet")*(AY_SONU!$B$7:$B$42=DATE(YEAR($C1288),MONTH($C1288),1))))</f>
        <v>0</v>
      </c>
      <c r="AE1288" s="1" t="str">
        <f>IF($E1288="","",$E1288&amp;"|"&amp;COUNTIFS($E$7:$E1288,$E1288))</f>
        <v/>
      </c>
    </row>
    <row r="1289" spans="1:31" ht="18" customHeight="1" x14ac:dyDescent="0.3">
      <c r="A1289" s="2"/>
      <c r="B1289" s="65" t="str">
        <f>IF($C1289="","","GG"&amp;TEXT(ROW()-6,"00000"))</f>
        <v/>
      </c>
      <c r="C1289" s="66"/>
      <c r="D1289" s="60"/>
      <c r="E1289" s="61"/>
      <c r="F1289" s="61"/>
      <c r="G1289" s="67"/>
      <c r="H1289" s="60"/>
      <c r="I1289" s="60"/>
      <c r="J1289" s="61"/>
      <c r="K1289" s="61"/>
      <c r="L1289" s="60"/>
      <c r="M1289" s="74" t="str">
        <f>IF($C1289="","",IF($D1289="Gider",$E1289,IF($L1289&lt;&gt;"",$L1289,$H1289)))</f>
        <v/>
      </c>
      <c r="N1289" s="74" t="str">
        <f>IF($C1289="","",IF($D1289="Gider",$H1289,$E1289))</f>
        <v/>
      </c>
      <c r="O1289" s="73" t="str">
        <f>IF($C1289="","",DATE(YEAR($C1289),MONTH($C1289),1))</f>
        <v/>
      </c>
      <c r="P1289" s="65" t="str">
        <f ca="1">IF($C1289="","",IF(AND($D1289="Gelir",$L1289&lt;&gt;"",$T1289=""),"TANIMSIZ BORÇLU",IF($T1289&lt;&gt;"",IF(OR($E1289="",$G1289&lt;=0),"EKSİK",IF($I1289="Evet","TAHAKKUK NAKİT OLAMAZ",IF($C1289&gt;TODAY(),"İLERİ TARİH","TAHAKKUK"))),IF(AND($D1289&lt;&gt;"",$E1289&lt;&gt;"",$G1289&gt;0,$H1289&lt;&gt;"",$I1289&lt;&gt;""),IF($C1289&gt;TODAY(),"İLERİ TARİH",IF(COUNTIF($W$7:$W$3001,$W1289)&gt;1,"MÜKERRER?",IF($AD1289&gt;0,"KAPALI DÖNEM",IF($I1289="Hayır","ÖDENECEK","UYGUN")))),"EKSİK"))))</f>
        <v/>
      </c>
      <c r="Q1289" s="2"/>
      <c r="R1289" s="2"/>
      <c r="S1289" s="1" t="str">
        <f t="shared" si="62"/>
        <v/>
      </c>
      <c r="T1289" s="1" t="str">
        <f>IF(OR($C1289="",$D1289&lt;&gt;"Gelir",$L1289=""),"",IFERROR(INDEX(MUSTERILER!$B$7:$B$156,MATCH($S1289,MUSTERILER!$T$7:$T$156,0)),""))</f>
        <v/>
      </c>
      <c r="U1289" s="1" t="str">
        <f>IF($T1289="","",$T1289&amp;"|"&amp;COUNTIFS($T$7:$T1289,$T1289))</f>
        <v/>
      </c>
      <c r="V1289" s="1">
        <f t="shared" si="63"/>
        <v>0</v>
      </c>
      <c r="W1289" s="1" t="str">
        <f t="shared" si="64"/>
        <v/>
      </c>
      <c r="X1289" s="1"/>
      <c r="Y1289" s="1"/>
      <c r="Z1289" s="1"/>
      <c r="AA1289" s="1"/>
      <c r="AB1289" s="1"/>
      <c r="AC1289" s="1"/>
      <c r="AD1289" s="1">
        <f>IF($C1289="",0,SUMPRODUCT((AY_SONU!$O$7:$O$42="Evet")*(AY_SONU!$B$7:$B$42=DATE(YEAR($C1289),MONTH($C1289),1))))</f>
        <v>0</v>
      </c>
      <c r="AE1289" s="1" t="str">
        <f>IF($E1289="","",$E1289&amp;"|"&amp;COUNTIFS($E$7:$E1289,$E1289))</f>
        <v/>
      </c>
    </row>
    <row r="1290" spans="1:31" ht="18" customHeight="1" x14ac:dyDescent="0.3">
      <c r="A1290" s="2"/>
      <c r="B1290" s="65" t="str">
        <f>IF($C1290="","","GG"&amp;TEXT(ROW()-6,"00000"))</f>
        <v/>
      </c>
      <c r="C1290" s="66"/>
      <c r="D1290" s="60"/>
      <c r="E1290" s="61"/>
      <c r="F1290" s="61"/>
      <c r="G1290" s="67"/>
      <c r="H1290" s="60"/>
      <c r="I1290" s="60"/>
      <c r="J1290" s="61"/>
      <c r="K1290" s="61"/>
      <c r="L1290" s="60"/>
      <c r="M1290" s="74" t="str">
        <f>IF($C1290="","",IF($D1290="Gider",$E1290,IF($L1290&lt;&gt;"",$L1290,$H1290)))</f>
        <v/>
      </c>
      <c r="N1290" s="74" t="str">
        <f>IF($C1290="","",IF($D1290="Gider",$H1290,$E1290))</f>
        <v/>
      </c>
      <c r="O1290" s="73" t="str">
        <f>IF($C1290="","",DATE(YEAR($C1290),MONTH($C1290),1))</f>
        <v/>
      </c>
      <c r="P1290" s="65" t="str">
        <f ca="1">IF($C1290="","",IF(AND($D1290="Gelir",$L1290&lt;&gt;"",$T1290=""),"TANIMSIZ BORÇLU",IF($T1290&lt;&gt;"",IF(OR($E1290="",$G1290&lt;=0),"EKSİK",IF($I1290="Evet","TAHAKKUK NAKİT OLAMAZ",IF($C1290&gt;TODAY(),"İLERİ TARİH","TAHAKKUK"))),IF(AND($D1290&lt;&gt;"",$E1290&lt;&gt;"",$G1290&gt;0,$H1290&lt;&gt;"",$I1290&lt;&gt;""),IF($C1290&gt;TODAY(),"İLERİ TARİH",IF(COUNTIF($W$7:$W$3001,$W1290)&gt;1,"MÜKERRER?",IF($AD1290&gt;0,"KAPALI DÖNEM",IF($I1290="Hayır","ÖDENECEK","UYGUN")))),"EKSİK"))))</f>
        <v/>
      </c>
      <c r="Q1290" s="2"/>
      <c r="R1290" s="2"/>
      <c r="S1290" s="1" t="str">
        <f t="shared" si="62"/>
        <v/>
      </c>
      <c r="T1290" s="1" t="str">
        <f>IF(OR($C1290="",$D1290&lt;&gt;"Gelir",$L1290=""),"",IFERROR(INDEX(MUSTERILER!$B$7:$B$156,MATCH($S1290,MUSTERILER!$T$7:$T$156,0)),""))</f>
        <v/>
      </c>
      <c r="U1290" s="1" t="str">
        <f>IF($T1290="","",$T1290&amp;"|"&amp;COUNTIFS($T$7:$T1290,$T1290))</f>
        <v/>
      </c>
      <c r="V1290" s="1">
        <f t="shared" si="63"/>
        <v>0</v>
      </c>
      <c r="W1290" s="1" t="str">
        <f t="shared" si="64"/>
        <v/>
      </c>
      <c r="X1290" s="1"/>
      <c r="Y1290" s="1"/>
      <c r="Z1290" s="1"/>
      <c r="AA1290" s="1"/>
      <c r="AB1290" s="1"/>
      <c r="AC1290" s="1"/>
      <c r="AD1290" s="1">
        <f>IF($C1290="",0,SUMPRODUCT((AY_SONU!$O$7:$O$42="Evet")*(AY_SONU!$B$7:$B$42=DATE(YEAR($C1290),MONTH($C1290),1))))</f>
        <v>0</v>
      </c>
      <c r="AE1290" s="1" t="str">
        <f>IF($E1290="","",$E1290&amp;"|"&amp;COUNTIFS($E$7:$E1290,$E1290))</f>
        <v/>
      </c>
    </row>
    <row r="1291" spans="1:31" ht="18" customHeight="1" x14ac:dyDescent="0.3">
      <c r="A1291" s="2"/>
      <c r="B1291" s="65" t="str">
        <f>IF($C1291="","","GG"&amp;TEXT(ROW()-6,"00000"))</f>
        <v/>
      </c>
      <c r="C1291" s="66"/>
      <c r="D1291" s="60"/>
      <c r="E1291" s="61"/>
      <c r="F1291" s="61"/>
      <c r="G1291" s="67"/>
      <c r="H1291" s="60"/>
      <c r="I1291" s="60"/>
      <c r="J1291" s="61"/>
      <c r="K1291" s="61"/>
      <c r="L1291" s="60"/>
      <c r="M1291" s="74" t="str">
        <f>IF($C1291="","",IF($D1291="Gider",$E1291,IF($L1291&lt;&gt;"",$L1291,$H1291)))</f>
        <v/>
      </c>
      <c r="N1291" s="74" t="str">
        <f>IF($C1291="","",IF($D1291="Gider",$H1291,$E1291))</f>
        <v/>
      </c>
      <c r="O1291" s="73" t="str">
        <f>IF($C1291="","",DATE(YEAR($C1291),MONTH($C1291),1))</f>
        <v/>
      </c>
      <c r="P1291" s="65" t="str">
        <f ca="1">IF($C1291="","",IF(AND($D1291="Gelir",$L1291&lt;&gt;"",$T1291=""),"TANIMSIZ BORÇLU",IF($T1291&lt;&gt;"",IF(OR($E1291="",$G1291&lt;=0),"EKSİK",IF($I1291="Evet","TAHAKKUK NAKİT OLAMAZ",IF($C1291&gt;TODAY(),"İLERİ TARİH","TAHAKKUK"))),IF(AND($D1291&lt;&gt;"",$E1291&lt;&gt;"",$G1291&gt;0,$H1291&lt;&gt;"",$I1291&lt;&gt;""),IF($C1291&gt;TODAY(),"İLERİ TARİH",IF(COUNTIF($W$7:$W$3001,$W1291)&gt;1,"MÜKERRER?",IF($AD1291&gt;0,"KAPALI DÖNEM",IF($I1291="Hayır","ÖDENECEK","UYGUN")))),"EKSİK"))))</f>
        <v/>
      </c>
      <c r="Q1291" s="2"/>
      <c r="R1291" s="2"/>
      <c r="S1291" s="1" t="str">
        <f t="shared" si="62"/>
        <v/>
      </c>
      <c r="T1291" s="1" t="str">
        <f>IF(OR($C1291="",$D1291&lt;&gt;"Gelir",$L1291=""),"",IFERROR(INDEX(MUSTERILER!$B$7:$B$156,MATCH($S1291,MUSTERILER!$T$7:$T$156,0)),""))</f>
        <v/>
      </c>
      <c r="U1291" s="1" t="str">
        <f>IF($T1291="","",$T1291&amp;"|"&amp;COUNTIFS($T$7:$T1291,$T1291))</f>
        <v/>
      </c>
      <c r="V1291" s="1">
        <f t="shared" si="63"/>
        <v>0</v>
      </c>
      <c r="W1291" s="1" t="str">
        <f t="shared" si="64"/>
        <v/>
      </c>
      <c r="X1291" s="1"/>
      <c r="Y1291" s="1"/>
      <c r="Z1291" s="1"/>
      <c r="AA1291" s="1"/>
      <c r="AB1291" s="1"/>
      <c r="AC1291" s="1"/>
      <c r="AD1291" s="1">
        <f>IF($C1291="",0,SUMPRODUCT((AY_SONU!$O$7:$O$42="Evet")*(AY_SONU!$B$7:$B$42=DATE(YEAR($C1291),MONTH($C1291),1))))</f>
        <v>0</v>
      </c>
      <c r="AE1291" s="1" t="str">
        <f>IF($E1291="","",$E1291&amp;"|"&amp;COUNTIFS($E$7:$E1291,$E1291))</f>
        <v/>
      </c>
    </row>
    <row r="1292" spans="1:31" ht="18" customHeight="1" x14ac:dyDescent="0.3">
      <c r="A1292" s="2"/>
      <c r="B1292" s="65" t="str">
        <f>IF($C1292="","","GG"&amp;TEXT(ROW()-6,"00000"))</f>
        <v/>
      </c>
      <c r="C1292" s="66"/>
      <c r="D1292" s="60"/>
      <c r="E1292" s="61"/>
      <c r="F1292" s="61"/>
      <c r="G1292" s="67"/>
      <c r="H1292" s="60"/>
      <c r="I1292" s="60"/>
      <c r="J1292" s="61"/>
      <c r="K1292" s="61"/>
      <c r="L1292" s="60"/>
      <c r="M1292" s="74" t="str">
        <f>IF($C1292="","",IF($D1292="Gider",$E1292,IF($L1292&lt;&gt;"",$L1292,$H1292)))</f>
        <v/>
      </c>
      <c r="N1292" s="74" t="str">
        <f>IF($C1292="","",IF($D1292="Gider",$H1292,$E1292))</f>
        <v/>
      </c>
      <c r="O1292" s="73" t="str">
        <f>IF($C1292="","",DATE(YEAR($C1292),MONTH($C1292),1))</f>
        <v/>
      </c>
      <c r="P1292" s="65" t="str">
        <f ca="1">IF($C1292="","",IF(AND($D1292="Gelir",$L1292&lt;&gt;"",$T1292=""),"TANIMSIZ BORÇLU",IF($T1292&lt;&gt;"",IF(OR($E1292="",$G1292&lt;=0),"EKSİK",IF($I1292="Evet","TAHAKKUK NAKİT OLAMAZ",IF($C1292&gt;TODAY(),"İLERİ TARİH","TAHAKKUK"))),IF(AND($D1292&lt;&gt;"",$E1292&lt;&gt;"",$G1292&gt;0,$H1292&lt;&gt;"",$I1292&lt;&gt;""),IF($C1292&gt;TODAY(),"İLERİ TARİH",IF(COUNTIF($W$7:$W$3001,$W1292)&gt;1,"MÜKERRER?",IF($AD1292&gt;0,"KAPALI DÖNEM",IF($I1292="Hayır","ÖDENECEK","UYGUN")))),"EKSİK"))))</f>
        <v/>
      </c>
      <c r="Q1292" s="2"/>
      <c r="R1292" s="2"/>
      <c r="S1292" s="1" t="str">
        <f t="shared" si="62"/>
        <v/>
      </c>
      <c r="T1292" s="1" t="str">
        <f>IF(OR($C1292="",$D1292&lt;&gt;"Gelir",$L1292=""),"",IFERROR(INDEX(MUSTERILER!$B$7:$B$156,MATCH($S1292,MUSTERILER!$T$7:$T$156,0)),""))</f>
        <v/>
      </c>
      <c r="U1292" s="1" t="str">
        <f>IF($T1292="","",$T1292&amp;"|"&amp;COUNTIFS($T$7:$T1292,$T1292))</f>
        <v/>
      </c>
      <c r="V1292" s="1">
        <f t="shared" si="63"/>
        <v>0</v>
      </c>
      <c r="W1292" s="1" t="str">
        <f t="shared" si="64"/>
        <v/>
      </c>
      <c r="X1292" s="1"/>
      <c r="Y1292" s="1"/>
      <c r="Z1292" s="1"/>
      <c r="AA1292" s="1"/>
      <c r="AB1292" s="1"/>
      <c r="AC1292" s="1"/>
      <c r="AD1292" s="1">
        <f>IF($C1292="",0,SUMPRODUCT((AY_SONU!$O$7:$O$42="Evet")*(AY_SONU!$B$7:$B$42=DATE(YEAR($C1292),MONTH($C1292),1))))</f>
        <v>0</v>
      </c>
      <c r="AE1292" s="1" t="str">
        <f>IF($E1292="","",$E1292&amp;"|"&amp;COUNTIFS($E$7:$E1292,$E1292))</f>
        <v/>
      </c>
    </row>
    <row r="1293" spans="1:31" ht="18" customHeight="1" x14ac:dyDescent="0.3">
      <c r="A1293" s="2"/>
      <c r="B1293" s="65" t="str">
        <f>IF($C1293="","","GG"&amp;TEXT(ROW()-6,"00000"))</f>
        <v/>
      </c>
      <c r="C1293" s="66"/>
      <c r="D1293" s="60"/>
      <c r="E1293" s="61"/>
      <c r="F1293" s="61"/>
      <c r="G1293" s="67"/>
      <c r="H1293" s="60"/>
      <c r="I1293" s="60"/>
      <c r="J1293" s="61"/>
      <c r="K1293" s="61"/>
      <c r="L1293" s="60"/>
      <c r="M1293" s="74" t="str">
        <f>IF($C1293="","",IF($D1293="Gider",$E1293,IF($L1293&lt;&gt;"",$L1293,$H1293)))</f>
        <v/>
      </c>
      <c r="N1293" s="74" t="str">
        <f>IF($C1293="","",IF($D1293="Gider",$H1293,$E1293))</f>
        <v/>
      </c>
      <c r="O1293" s="73" t="str">
        <f>IF($C1293="","",DATE(YEAR($C1293),MONTH($C1293),1))</f>
        <v/>
      </c>
      <c r="P1293" s="65" t="str">
        <f ca="1">IF($C1293="","",IF(AND($D1293="Gelir",$L1293&lt;&gt;"",$T1293=""),"TANIMSIZ BORÇLU",IF($T1293&lt;&gt;"",IF(OR($E1293="",$G1293&lt;=0),"EKSİK",IF($I1293="Evet","TAHAKKUK NAKİT OLAMAZ",IF($C1293&gt;TODAY(),"İLERİ TARİH","TAHAKKUK"))),IF(AND($D1293&lt;&gt;"",$E1293&lt;&gt;"",$G1293&gt;0,$H1293&lt;&gt;"",$I1293&lt;&gt;""),IF($C1293&gt;TODAY(),"İLERİ TARİH",IF(COUNTIF($W$7:$W$3001,$W1293)&gt;1,"MÜKERRER?",IF($AD1293&gt;0,"KAPALI DÖNEM",IF($I1293="Hayır","ÖDENECEK","UYGUN")))),"EKSİK"))))</f>
        <v/>
      </c>
      <c r="Q1293" s="2"/>
      <c r="R1293" s="2"/>
      <c r="S1293" s="1" t="str">
        <f t="shared" si="62"/>
        <v/>
      </c>
      <c r="T1293" s="1" t="str">
        <f>IF(OR($C1293="",$D1293&lt;&gt;"Gelir",$L1293=""),"",IFERROR(INDEX(MUSTERILER!$B$7:$B$156,MATCH($S1293,MUSTERILER!$T$7:$T$156,0)),""))</f>
        <v/>
      </c>
      <c r="U1293" s="1" t="str">
        <f>IF($T1293="","",$T1293&amp;"|"&amp;COUNTIFS($T$7:$T1293,$T1293))</f>
        <v/>
      </c>
      <c r="V1293" s="1">
        <f t="shared" si="63"/>
        <v>0</v>
      </c>
      <c r="W1293" s="1" t="str">
        <f t="shared" si="64"/>
        <v/>
      </c>
      <c r="X1293" s="1"/>
      <c r="Y1293" s="1"/>
      <c r="Z1293" s="1"/>
      <c r="AA1293" s="1"/>
      <c r="AB1293" s="1"/>
      <c r="AC1293" s="1"/>
      <c r="AD1293" s="1">
        <f>IF($C1293="",0,SUMPRODUCT((AY_SONU!$O$7:$O$42="Evet")*(AY_SONU!$B$7:$B$42=DATE(YEAR($C1293),MONTH($C1293),1))))</f>
        <v>0</v>
      </c>
      <c r="AE1293" s="1" t="str">
        <f>IF($E1293="","",$E1293&amp;"|"&amp;COUNTIFS($E$7:$E1293,$E1293))</f>
        <v/>
      </c>
    </row>
    <row r="1294" spans="1:31" ht="18" customHeight="1" x14ac:dyDescent="0.3">
      <c r="A1294" s="2"/>
      <c r="B1294" s="65" t="str">
        <f>IF($C1294="","","GG"&amp;TEXT(ROW()-6,"00000"))</f>
        <v/>
      </c>
      <c r="C1294" s="66"/>
      <c r="D1294" s="60"/>
      <c r="E1294" s="61"/>
      <c r="F1294" s="61"/>
      <c r="G1294" s="67"/>
      <c r="H1294" s="60"/>
      <c r="I1294" s="60"/>
      <c r="J1294" s="61"/>
      <c r="K1294" s="61"/>
      <c r="L1294" s="60"/>
      <c r="M1294" s="74" t="str">
        <f>IF($C1294="","",IF($D1294="Gider",$E1294,IF($L1294&lt;&gt;"",$L1294,$H1294)))</f>
        <v/>
      </c>
      <c r="N1294" s="74" t="str">
        <f>IF($C1294="","",IF($D1294="Gider",$H1294,$E1294))</f>
        <v/>
      </c>
      <c r="O1294" s="73" t="str">
        <f>IF($C1294="","",DATE(YEAR($C1294),MONTH($C1294),1))</f>
        <v/>
      </c>
      <c r="P1294" s="65" t="str">
        <f ca="1">IF($C1294="","",IF(AND($D1294="Gelir",$L1294&lt;&gt;"",$T1294=""),"TANIMSIZ BORÇLU",IF($T1294&lt;&gt;"",IF(OR($E1294="",$G1294&lt;=0),"EKSİK",IF($I1294="Evet","TAHAKKUK NAKİT OLAMAZ",IF($C1294&gt;TODAY(),"İLERİ TARİH","TAHAKKUK"))),IF(AND($D1294&lt;&gt;"",$E1294&lt;&gt;"",$G1294&gt;0,$H1294&lt;&gt;"",$I1294&lt;&gt;""),IF($C1294&gt;TODAY(),"İLERİ TARİH",IF(COUNTIF($W$7:$W$3001,$W1294)&gt;1,"MÜKERRER?",IF($AD1294&gt;0,"KAPALI DÖNEM",IF($I1294="Hayır","ÖDENECEK","UYGUN")))),"EKSİK"))))</f>
        <v/>
      </c>
      <c r="Q1294" s="2"/>
      <c r="R1294" s="2"/>
      <c r="S1294" s="1" t="str">
        <f t="shared" si="62"/>
        <v/>
      </c>
      <c r="T1294" s="1" t="str">
        <f>IF(OR($C1294="",$D1294&lt;&gt;"Gelir",$L1294=""),"",IFERROR(INDEX(MUSTERILER!$B$7:$B$156,MATCH($S1294,MUSTERILER!$T$7:$T$156,0)),""))</f>
        <v/>
      </c>
      <c r="U1294" s="1" t="str">
        <f>IF($T1294="","",$T1294&amp;"|"&amp;COUNTIFS($T$7:$T1294,$T1294))</f>
        <v/>
      </c>
      <c r="V1294" s="1">
        <f t="shared" si="63"/>
        <v>0</v>
      </c>
      <c r="W1294" s="1" t="str">
        <f t="shared" si="64"/>
        <v/>
      </c>
      <c r="X1294" s="1"/>
      <c r="Y1294" s="1"/>
      <c r="Z1294" s="1"/>
      <c r="AA1294" s="1"/>
      <c r="AB1294" s="1"/>
      <c r="AC1294" s="1"/>
      <c r="AD1294" s="1">
        <f>IF($C1294="",0,SUMPRODUCT((AY_SONU!$O$7:$O$42="Evet")*(AY_SONU!$B$7:$B$42=DATE(YEAR($C1294),MONTH($C1294),1))))</f>
        <v>0</v>
      </c>
      <c r="AE1294" s="1" t="str">
        <f>IF($E1294="","",$E1294&amp;"|"&amp;COUNTIFS($E$7:$E1294,$E1294))</f>
        <v/>
      </c>
    </row>
    <row r="1295" spans="1:31" ht="18" customHeight="1" x14ac:dyDescent="0.3">
      <c r="A1295" s="2"/>
      <c r="B1295" s="65" t="str">
        <f>IF($C1295="","","GG"&amp;TEXT(ROW()-6,"00000"))</f>
        <v/>
      </c>
      <c r="C1295" s="66"/>
      <c r="D1295" s="60"/>
      <c r="E1295" s="61"/>
      <c r="F1295" s="61"/>
      <c r="G1295" s="67"/>
      <c r="H1295" s="60"/>
      <c r="I1295" s="60"/>
      <c r="J1295" s="61"/>
      <c r="K1295" s="61"/>
      <c r="L1295" s="60"/>
      <c r="M1295" s="74" t="str">
        <f>IF($C1295="","",IF($D1295="Gider",$E1295,IF($L1295&lt;&gt;"",$L1295,$H1295)))</f>
        <v/>
      </c>
      <c r="N1295" s="74" t="str">
        <f>IF($C1295="","",IF($D1295="Gider",$H1295,$E1295))</f>
        <v/>
      </c>
      <c r="O1295" s="73" t="str">
        <f>IF($C1295="","",DATE(YEAR($C1295),MONTH($C1295),1))</f>
        <v/>
      </c>
      <c r="P1295" s="65" t="str">
        <f ca="1">IF($C1295="","",IF(AND($D1295="Gelir",$L1295&lt;&gt;"",$T1295=""),"TANIMSIZ BORÇLU",IF($T1295&lt;&gt;"",IF(OR($E1295="",$G1295&lt;=0),"EKSİK",IF($I1295="Evet","TAHAKKUK NAKİT OLAMAZ",IF($C1295&gt;TODAY(),"İLERİ TARİH","TAHAKKUK"))),IF(AND($D1295&lt;&gt;"",$E1295&lt;&gt;"",$G1295&gt;0,$H1295&lt;&gt;"",$I1295&lt;&gt;""),IF($C1295&gt;TODAY(),"İLERİ TARİH",IF(COUNTIF($W$7:$W$3001,$W1295)&gt;1,"MÜKERRER?",IF($AD1295&gt;0,"KAPALI DÖNEM",IF($I1295="Hayır","ÖDENECEK","UYGUN")))),"EKSİK"))))</f>
        <v/>
      </c>
      <c r="Q1295" s="2"/>
      <c r="R1295" s="2"/>
      <c r="S1295" s="1" t="str">
        <f t="shared" si="62"/>
        <v/>
      </c>
      <c r="T1295" s="1" t="str">
        <f>IF(OR($C1295="",$D1295&lt;&gt;"Gelir",$L1295=""),"",IFERROR(INDEX(MUSTERILER!$B$7:$B$156,MATCH($S1295,MUSTERILER!$T$7:$T$156,0)),""))</f>
        <v/>
      </c>
      <c r="U1295" s="1" t="str">
        <f>IF($T1295="","",$T1295&amp;"|"&amp;COUNTIFS($T$7:$T1295,$T1295))</f>
        <v/>
      </c>
      <c r="V1295" s="1">
        <f t="shared" si="63"/>
        <v>0</v>
      </c>
      <c r="W1295" s="1" t="str">
        <f t="shared" si="64"/>
        <v/>
      </c>
      <c r="X1295" s="1"/>
      <c r="Y1295" s="1"/>
      <c r="Z1295" s="1"/>
      <c r="AA1295" s="1"/>
      <c r="AB1295" s="1"/>
      <c r="AC1295" s="1"/>
      <c r="AD1295" s="1">
        <f>IF($C1295="",0,SUMPRODUCT((AY_SONU!$O$7:$O$42="Evet")*(AY_SONU!$B$7:$B$42=DATE(YEAR($C1295),MONTH($C1295),1))))</f>
        <v>0</v>
      </c>
      <c r="AE1295" s="1" t="str">
        <f>IF($E1295="","",$E1295&amp;"|"&amp;COUNTIFS($E$7:$E1295,$E1295))</f>
        <v/>
      </c>
    </row>
    <row r="1296" spans="1:31" ht="18" customHeight="1" x14ac:dyDescent="0.3">
      <c r="A1296" s="2"/>
      <c r="B1296" s="65" t="str">
        <f>IF($C1296="","","GG"&amp;TEXT(ROW()-6,"00000"))</f>
        <v/>
      </c>
      <c r="C1296" s="66"/>
      <c r="D1296" s="60"/>
      <c r="E1296" s="61"/>
      <c r="F1296" s="61"/>
      <c r="G1296" s="67"/>
      <c r="H1296" s="60"/>
      <c r="I1296" s="60"/>
      <c r="J1296" s="61"/>
      <c r="K1296" s="61"/>
      <c r="L1296" s="60"/>
      <c r="M1296" s="74" t="str">
        <f>IF($C1296="","",IF($D1296="Gider",$E1296,IF($L1296&lt;&gt;"",$L1296,$H1296)))</f>
        <v/>
      </c>
      <c r="N1296" s="74" t="str">
        <f>IF($C1296="","",IF($D1296="Gider",$H1296,$E1296))</f>
        <v/>
      </c>
      <c r="O1296" s="73" t="str">
        <f>IF($C1296="","",DATE(YEAR($C1296),MONTH($C1296),1))</f>
        <v/>
      </c>
      <c r="P1296" s="65" t="str">
        <f ca="1">IF($C1296="","",IF(AND($D1296="Gelir",$L1296&lt;&gt;"",$T1296=""),"TANIMSIZ BORÇLU",IF($T1296&lt;&gt;"",IF(OR($E1296="",$G1296&lt;=0),"EKSİK",IF($I1296="Evet","TAHAKKUK NAKİT OLAMAZ",IF($C1296&gt;TODAY(),"İLERİ TARİH","TAHAKKUK"))),IF(AND($D1296&lt;&gt;"",$E1296&lt;&gt;"",$G1296&gt;0,$H1296&lt;&gt;"",$I1296&lt;&gt;""),IF($C1296&gt;TODAY(),"İLERİ TARİH",IF(COUNTIF($W$7:$W$3001,$W1296)&gt;1,"MÜKERRER?",IF($AD1296&gt;0,"KAPALI DÖNEM",IF($I1296="Hayır","ÖDENECEK","UYGUN")))),"EKSİK"))))</f>
        <v/>
      </c>
      <c r="Q1296" s="2"/>
      <c r="R1296" s="2"/>
      <c r="S1296" s="1" t="str">
        <f t="shared" si="62"/>
        <v/>
      </c>
      <c r="T1296" s="1" t="str">
        <f>IF(OR($C1296="",$D1296&lt;&gt;"Gelir",$L1296=""),"",IFERROR(INDEX(MUSTERILER!$B$7:$B$156,MATCH($S1296,MUSTERILER!$T$7:$T$156,0)),""))</f>
        <v/>
      </c>
      <c r="U1296" s="1" t="str">
        <f>IF($T1296="","",$T1296&amp;"|"&amp;COUNTIFS($T$7:$T1296,$T1296))</f>
        <v/>
      </c>
      <c r="V1296" s="1">
        <f t="shared" si="63"/>
        <v>0</v>
      </c>
      <c r="W1296" s="1" t="str">
        <f t="shared" si="64"/>
        <v/>
      </c>
      <c r="X1296" s="1"/>
      <c r="Y1296" s="1"/>
      <c r="Z1296" s="1"/>
      <c r="AA1296" s="1"/>
      <c r="AB1296" s="1"/>
      <c r="AC1296" s="1"/>
      <c r="AD1296" s="1">
        <f>IF($C1296="",0,SUMPRODUCT((AY_SONU!$O$7:$O$42="Evet")*(AY_SONU!$B$7:$B$42=DATE(YEAR($C1296),MONTH($C1296),1))))</f>
        <v>0</v>
      </c>
      <c r="AE1296" s="1" t="str">
        <f>IF($E1296="","",$E1296&amp;"|"&amp;COUNTIFS($E$7:$E1296,$E1296))</f>
        <v/>
      </c>
    </row>
    <row r="1297" spans="1:31" ht="18" customHeight="1" x14ac:dyDescent="0.3">
      <c r="A1297" s="2"/>
      <c r="B1297" s="65" t="str">
        <f>IF($C1297="","","GG"&amp;TEXT(ROW()-6,"00000"))</f>
        <v/>
      </c>
      <c r="C1297" s="66"/>
      <c r="D1297" s="60"/>
      <c r="E1297" s="61"/>
      <c r="F1297" s="61"/>
      <c r="G1297" s="67"/>
      <c r="H1297" s="60"/>
      <c r="I1297" s="60"/>
      <c r="J1297" s="61"/>
      <c r="K1297" s="61"/>
      <c r="L1297" s="60"/>
      <c r="M1297" s="74" t="str">
        <f>IF($C1297="","",IF($D1297="Gider",$E1297,IF($L1297&lt;&gt;"",$L1297,$H1297)))</f>
        <v/>
      </c>
      <c r="N1297" s="74" t="str">
        <f>IF($C1297="","",IF($D1297="Gider",$H1297,$E1297))</f>
        <v/>
      </c>
      <c r="O1297" s="73" t="str">
        <f>IF($C1297="","",DATE(YEAR($C1297),MONTH($C1297),1))</f>
        <v/>
      </c>
      <c r="P1297" s="65" t="str">
        <f ca="1">IF($C1297="","",IF(AND($D1297="Gelir",$L1297&lt;&gt;"",$T1297=""),"TANIMSIZ BORÇLU",IF($T1297&lt;&gt;"",IF(OR($E1297="",$G1297&lt;=0),"EKSİK",IF($I1297="Evet","TAHAKKUK NAKİT OLAMAZ",IF($C1297&gt;TODAY(),"İLERİ TARİH","TAHAKKUK"))),IF(AND($D1297&lt;&gt;"",$E1297&lt;&gt;"",$G1297&gt;0,$H1297&lt;&gt;"",$I1297&lt;&gt;""),IF($C1297&gt;TODAY(),"İLERİ TARİH",IF(COUNTIF($W$7:$W$3001,$W1297)&gt;1,"MÜKERRER?",IF($AD1297&gt;0,"KAPALI DÖNEM",IF($I1297="Hayır","ÖDENECEK","UYGUN")))),"EKSİK"))))</f>
        <v/>
      </c>
      <c r="Q1297" s="2"/>
      <c r="R1297" s="2"/>
      <c r="S1297" s="1" t="str">
        <f t="shared" si="62"/>
        <v/>
      </c>
      <c r="T1297" s="1" t="str">
        <f>IF(OR($C1297="",$D1297&lt;&gt;"Gelir",$L1297=""),"",IFERROR(INDEX(MUSTERILER!$B$7:$B$156,MATCH($S1297,MUSTERILER!$T$7:$T$156,0)),""))</f>
        <v/>
      </c>
      <c r="U1297" s="1" t="str">
        <f>IF($T1297="","",$T1297&amp;"|"&amp;COUNTIFS($T$7:$T1297,$T1297))</f>
        <v/>
      </c>
      <c r="V1297" s="1">
        <f t="shared" si="63"/>
        <v>0</v>
      </c>
      <c r="W1297" s="1" t="str">
        <f t="shared" si="64"/>
        <v/>
      </c>
      <c r="X1297" s="1"/>
      <c r="Y1297" s="1"/>
      <c r="Z1297" s="1"/>
      <c r="AA1297" s="1"/>
      <c r="AB1297" s="1"/>
      <c r="AC1297" s="1"/>
      <c r="AD1297" s="1">
        <f>IF($C1297="",0,SUMPRODUCT((AY_SONU!$O$7:$O$42="Evet")*(AY_SONU!$B$7:$B$42=DATE(YEAR($C1297),MONTH($C1297),1))))</f>
        <v>0</v>
      </c>
      <c r="AE1297" s="1" t="str">
        <f>IF($E1297="","",$E1297&amp;"|"&amp;COUNTIFS($E$7:$E1297,$E1297))</f>
        <v/>
      </c>
    </row>
    <row r="1298" spans="1:31" ht="18" customHeight="1" x14ac:dyDescent="0.3">
      <c r="A1298" s="2"/>
      <c r="B1298" s="65" t="str">
        <f>IF($C1298="","","GG"&amp;TEXT(ROW()-6,"00000"))</f>
        <v/>
      </c>
      <c r="C1298" s="66"/>
      <c r="D1298" s="60"/>
      <c r="E1298" s="61"/>
      <c r="F1298" s="61"/>
      <c r="G1298" s="67"/>
      <c r="H1298" s="60"/>
      <c r="I1298" s="60"/>
      <c r="J1298" s="61"/>
      <c r="K1298" s="61"/>
      <c r="L1298" s="60"/>
      <c r="M1298" s="74" t="str">
        <f>IF($C1298="","",IF($D1298="Gider",$E1298,IF($L1298&lt;&gt;"",$L1298,$H1298)))</f>
        <v/>
      </c>
      <c r="N1298" s="74" t="str">
        <f>IF($C1298="","",IF($D1298="Gider",$H1298,$E1298))</f>
        <v/>
      </c>
      <c r="O1298" s="73" t="str">
        <f>IF($C1298="","",DATE(YEAR($C1298),MONTH($C1298),1))</f>
        <v/>
      </c>
      <c r="P1298" s="65" t="str">
        <f ca="1">IF($C1298="","",IF(AND($D1298="Gelir",$L1298&lt;&gt;"",$T1298=""),"TANIMSIZ BORÇLU",IF($T1298&lt;&gt;"",IF(OR($E1298="",$G1298&lt;=0),"EKSİK",IF($I1298="Evet","TAHAKKUK NAKİT OLAMAZ",IF($C1298&gt;TODAY(),"İLERİ TARİH","TAHAKKUK"))),IF(AND($D1298&lt;&gt;"",$E1298&lt;&gt;"",$G1298&gt;0,$H1298&lt;&gt;"",$I1298&lt;&gt;""),IF($C1298&gt;TODAY(),"İLERİ TARİH",IF(COUNTIF($W$7:$W$3001,$W1298)&gt;1,"MÜKERRER?",IF($AD1298&gt;0,"KAPALI DÖNEM",IF($I1298="Hayır","ÖDENECEK","UYGUN")))),"EKSİK"))))</f>
        <v/>
      </c>
      <c r="Q1298" s="2"/>
      <c r="R1298" s="2"/>
      <c r="S1298" s="1" t="str">
        <f t="shared" si="62"/>
        <v/>
      </c>
      <c r="T1298" s="1" t="str">
        <f>IF(OR($C1298="",$D1298&lt;&gt;"Gelir",$L1298=""),"",IFERROR(INDEX(MUSTERILER!$B$7:$B$156,MATCH($S1298,MUSTERILER!$T$7:$T$156,0)),""))</f>
        <v/>
      </c>
      <c r="U1298" s="1" t="str">
        <f>IF($T1298="","",$T1298&amp;"|"&amp;COUNTIFS($T$7:$T1298,$T1298))</f>
        <v/>
      </c>
      <c r="V1298" s="1">
        <f t="shared" si="63"/>
        <v>0</v>
      </c>
      <c r="W1298" s="1" t="str">
        <f t="shared" si="64"/>
        <v/>
      </c>
      <c r="X1298" s="1"/>
      <c r="Y1298" s="1"/>
      <c r="Z1298" s="1"/>
      <c r="AA1298" s="1"/>
      <c r="AB1298" s="1"/>
      <c r="AC1298" s="1"/>
      <c r="AD1298" s="1">
        <f>IF($C1298="",0,SUMPRODUCT((AY_SONU!$O$7:$O$42="Evet")*(AY_SONU!$B$7:$B$42=DATE(YEAR($C1298),MONTH($C1298),1))))</f>
        <v>0</v>
      </c>
      <c r="AE1298" s="1" t="str">
        <f>IF($E1298="","",$E1298&amp;"|"&amp;COUNTIFS($E$7:$E1298,$E1298))</f>
        <v/>
      </c>
    </row>
    <row r="1299" spans="1:31" ht="18" customHeight="1" x14ac:dyDescent="0.3">
      <c r="A1299" s="2"/>
      <c r="B1299" s="65" t="str">
        <f>IF($C1299="","","GG"&amp;TEXT(ROW()-6,"00000"))</f>
        <v/>
      </c>
      <c r="C1299" s="66"/>
      <c r="D1299" s="60"/>
      <c r="E1299" s="61"/>
      <c r="F1299" s="61"/>
      <c r="G1299" s="67"/>
      <c r="H1299" s="60"/>
      <c r="I1299" s="60"/>
      <c r="J1299" s="61"/>
      <c r="K1299" s="61"/>
      <c r="L1299" s="60"/>
      <c r="M1299" s="74" t="str">
        <f>IF($C1299="","",IF($D1299="Gider",$E1299,IF($L1299&lt;&gt;"",$L1299,$H1299)))</f>
        <v/>
      </c>
      <c r="N1299" s="74" t="str">
        <f>IF($C1299="","",IF($D1299="Gider",$H1299,$E1299))</f>
        <v/>
      </c>
      <c r="O1299" s="73" t="str">
        <f>IF($C1299="","",DATE(YEAR($C1299),MONTH($C1299),1))</f>
        <v/>
      </c>
      <c r="P1299" s="65" t="str">
        <f ca="1">IF($C1299="","",IF(AND($D1299="Gelir",$L1299&lt;&gt;"",$T1299=""),"TANIMSIZ BORÇLU",IF($T1299&lt;&gt;"",IF(OR($E1299="",$G1299&lt;=0),"EKSİK",IF($I1299="Evet","TAHAKKUK NAKİT OLAMAZ",IF($C1299&gt;TODAY(),"İLERİ TARİH","TAHAKKUK"))),IF(AND($D1299&lt;&gt;"",$E1299&lt;&gt;"",$G1299&gt;0,$H1299&lt;&gt;"",$I1299&lt;&gt;""),IF($C1299&gt;TODAY(),"İLERİ TARİH",IF(COUNTIF($W$7:$W$3001,$W1299)&gt;1,"MÜKERRER?",IF($AD1299&gt;0,"KAPALI DÖNEM",IF($I1299="Hayır","ÖDENECEK","UYGUN")))),"EKSİK"))))</f>
        <v/>
      </c>
      <c r="Q1299" s="2"/>
      <c r="R1299" s="2"/>
      <c r="S1299" s="1" t="str">
        <f t="shared" si="62"/>
        <v/>
      </c>
      <c r="T1299" s="1" t="str">
        <f>IF(OR($C1299="",$D1299&lt;&gt;"Gelir",$L1299=""),"",IFERROR(INDEX(MUSTERILER!$B$7:$B$156,MATCH($S1299,MUSTERILER!$T$7:$T$156,0)),""))</f>
        <v/>
      </c>
      <c r="U1299" s="1" t="str">
        <f>IF($T1299="","",$T1299&amp;"|"&amp;COUNTIFS($T$7:$T1299,$T1299))</f>
        <v/>
      </c>
      <c r="V1299" s="1">
        <f t="shared" si="63"/>
        <v>0</v>
      </c>
      <c r="W1299" s="1" t="str">
        <f t="shared" si="64"/>
        <v/>
      </c>
      <c r="X1299" s="1"/>
      <c r="Y1299" s="1"/>
      <c r="Z1299" s="1"/>
      <c r="AA1299" s="1"/>
      <c r="AB1299" s="1"/>
      <c r="AC1299" s="1"/>
      <c r="AD1299" s="1">
        <f>IF($C1299="",0,SUMPRODUCT((AY_SONU!$O$7:$O$42="Evet")*(AY_SONU!$B$7:$B$42=DATE(YEAR($C1299),MONTH($C1299),1))))</f>
        <v>0</v>
      </c>
      <c r="AE1299" s="1" t="str">
        <f>IF($E1299="","",$E1299&amp;"|"&amp;COUNTIFS($E$7:$E1299,$E1299))</f>
        <v/>
      </c>
    </row>
    <row r="1300" spans="1:31" ht="18" customHeight="1" x14ac:dyDescent="0.3">
      <c r="A1300" s="2"/>
      <c r="B1300" s="65" t="str">
        <f>IF($C1300="","","GG"&amp;TEXT(ROW()-6,"00000"))</f>
        <v/>
      </c>
      <c r="C1300" s="66"/>
      <c r="D1300" s="60"/>
      <c r="E1300" s="61"/>
      <c r="F1300" s="61"/>
      <c r="G1300" s="67"/>
      <c r="H1300" s="60"/>
      <c r="I1300" s="60"/>
      <c r="J1300" s="61"/>
      <c r="K1300" s="61"/>
      <c r="L1300" s="60"/>
      <c r="M1300" s="74" t="str">
        <f>IF($C1300="","",IF($D1300="Gider",$E1300,IF($L1300&lt;&gt;"",$L1300,$H1300)))</f>
        <v/>
      </c>
      <c r="N1300" s="74" t="str">
        <f>IF($C1300="","",IF($D1300="Gider",$H1300,$E1300))</f>
        <v/>
      </c>
      <c r="O1300" s="73" t="str">
        <f>IF($C1300="","",DATE(YEAR($C1300),MONTH($C1300),1))</f>
        <v/>
      </c>
      <c r="P1300" s="65" t="str">
        <f ca="1">IF($C1300="","",IF(AND($D1300="Gelir",$L1300&lt;&gt;"",$T1300=""),"TANIMSIZ BORÇLU",IF($T1300&lt;&gt;"",IF(OR($E1300="",$G1300&lt;=0),"EKSİK",IF($I1300="Evet","TAHAKKUK NAKİT OLAMAZ",IF($C1300&gt;TODAY(),"İLERİ TARİH","TAHAKKUK"))),IF(AND($D1300&lt;&gt;"",$E1300&lt;&gt;"",$G1300&gt;0,$H1300&lt;&gt;"",$I1300&lt;&gt;""),IF($C1300&gt;TODAY(),"İLERİ TARİH",IF(COUNTIF($W$7:$W$3001,$W1300)&gt;1,"MÜKERRER?",IF($AD1300&gt;0,"KAPALI DÖNEM",IF($I1300="Hayır","ÖDENECEK","UYGUN")))),"EKSİK"))))</f>
        <v/>
      </c>
      <c r="Q1300" s="2"/>
      <c r="R1300" s="2"/>
      <c r="S1300" s="1" t="str">
        <f t="shared" si="62"/>
        <v/>
      </c>
      <c r="T1300" s="1" t="str">
        <f>IF(OR($C1300="",$D1300&lt;&gt;"Gelir",$L1300=""),"",IFERROR(INDEX(MUSTERILER!$B$7:$B$156,MATCH($S1300,MUSTERILER!$T$7:$T$156,0)),""))</f>
        <v/>
      </c>
      <c r="U1300" s="1" t="str">
        <f>IF($T1300="","",$T1300&amp;"|"&amp;COUNTIFS($T$7:$T1300,$T1300))</f>
        <v/>
      </c>
      <c r="V1300" s="1">
        <f t="shared" si="63"/>
        <v>0</v>
      </c>
      <c r="W1300" s="1" t="str">
        <f t="shared" si="64"/>
        <v/>
      </c>
      <c r="X1300" s="1"/>
      <c r="Y1300" s="1"/>
      <c r="Z1300" s="1"/>
      <c r="AA1300" s="1"/>
      <c r="AB1300" s="1"/>
      <c r="AC1300" s="1"/>
      <c r="AD1300" s="1">
        <f>IF($C1300="",0,SUMPRODUCT((AY_SONU!$O$7:$O$42="Evet")*(AY_SONU!$B$7:$B$42=DATE(YEAR($C1300),MONTH($C1300),1))))</f>
        <v>0</v>
      </c>
      <c r="AE1300" s="1" t="str">
        <f>IF($E1300="","",$E1300&amp;"|"&amp;COUNTIFS($E$7:$E1300,$E1300))</f>
        <v/>
      </c>
    </row>
    <row r="1301" spans="1:31" ht="18" customHeight="1" x14ac:dyDescent="0.3">
      <c r="A1301" s="2"/>
      <c r="B1301" s="65" t="str">
        <f>IF($C1301="","","GG"&amp;TEXT(ROW()-6,"00000"))</f>
        <v/>
      </c>
      <c r="C1301" s="66"/>
      <c r="D1301" s="60"/>
      <c r="E1301" s="61"/>
      <c r="F1301" s="61"/>
      <c r="G1301" s="67"/>
      <c r="H1301" s="60"/>
      <c r="I1301" s="60"/>
      <c r="J1301" s="61"/>
      <c r="K1301" s="61"/>
      <c r="L1301" s="60"/>
      <c r="M1301" s="74" t="str">
        <f>IF($C1301="","",IF($D1301="Gider",$E1301,IF($L1301&lt;&gt;"",$L1301,$H1301)))</f>
        <v/>
      </c>
      <c r="N1301" s="74" t="str">
        <f>IF($C1301="","",IF($D1301="Gider",$H1301,$E1301))</f>
        <v/>
      </c>
      <c r="O1301" s="73" t="str">
        <f>IF($C1301="","",DATE(YEAR($C1301),MONTH($C1301),1))</f>
        <v/>
      </c>
      <c r="P1301" s="65" t="str">
        <f ca="1">IF($C1301="","",IF(AND($D1301="Gelir",$L1301&lt;&gt;"",$T1301=""),"TANIMSIZ BORÇLU",IF($T1301&lt;&gt;"",IF(OR($E1301="",$G1301&lt;=0),"EKSİK",IF($I1301="Evet","TAHAKKUK NAKİT OLAMAZ",IF($C1301&gt;TODAY(),"İLERİ TARİH","TAHAKKUK"))),IF(AND($D1301&lt;&gt;"",$E1301&lt;&gt;"",$G1301&gt;0,$H1301&lt;&gt;"",$I1301&lt;&gt;""),IF($C1301&gt;TODAY(),"İLERİ TARİH",IF(COUNTIF($W$7:$W$3001,$W1301)&gt;1,"MÜKERRER?",IF($AD1301&gt;0,"KAPALI DÖNEM",IF($I1301="Hayır","ÖDENECEK","UYGUN")))),"EKSİK"))))</f>
        <v/>
      </c>
      <c r="Q1301" s="2"/>
      <c r="R1301" s="2"/>
      <c r="S1301" s="1" t="str">
        <f t="shared" si="62"/>
        <v/>
      </c>
      <c r="T1301" s="1" t="str">
        <f>IF(OR($C1301="",$D1301&lt;&gt;"Gelir",$L1301=""),"",IFERROR(INDEX(MUSTERILER!$B$7:$B$156,MATCH($S1301,MUSTERILER!$T$7:$T$156,0)),""))</f>
        <v/>
      </c>
      <c r="U1301" s="1" t="str">
        <f>IF($T1301="","",$T1301&amp;"|"&amp;COUNTIFS($T$7:$T1301,$T1301))</f>
        <v/>
      </c>
      <c r="V1301" s="1">
        <f t="shared" si="63"/>
        <v>0</v>
      </c>
      <c r="W1301" s="1" t="str">
        <f t="shared" si="64"/>
        <v/>
      </c>
      <c r="X1301" s="1"/>
      <c r="Y1301" s="1"/>
      <c r="Z1301" s="1"/>
      <c r="AA1301" s="1"/>
      <c r="AB1301" s="1"/>
      <c r="AC1301" s="1"/>
      <c r="AD1301" s="1">
        <f>IF($C1301="",0,SUMPRODUCT((AY_SONU!$O$7:$O$42="Evet")*(AY_SONU!$B$7:$B$42=DATE(YEAR($C1301),MONTH($C1301),1))))</f>
        <v>0</v>
      </c>
      <c r="AE1301" s="1" t="str">
        <f>IF($E1301="","",$E1301&amp;"|"&amp;COUNTIFS($E$7:$E1301,$E1301))</f>
        <v/>
      </c>
    </row>
    <row r="1302" spans="1:31" ht="18" customHeight="1" x14ac:dyDescent="0.3">
      <c r="A1302" s="2"/>
      <c r="B1302" s="65" t="str">
        <f>IF($C1302="","","GG"&amp;TEXT(ROW()-6,"00000"))</f>
        <v/>
      </c>
      <c r="C1302" s="66"/>
      <c r="D1302" s="60"/>
      <c r="E1302" s="61"/>
      <c r="F1302" s="61"/>
      <c r="G1302" s="67"/>
      <c r="H1302" s="60"/>
      <c r="I1302" s="60"/>
      <c r="J1302" s="61"/>
      <c r="K1302" s="61"/>
      <c r="L1302" s="60"/>
      <c r="M1302" s="74" t="str">
        <f>IF($C1302="","",IF($D1302="Gider",$E1302,IF($L1302&lt;&gt;"",$L1302,$H1302)))</f>
        <v/>
      </c>
      <c r="N1302" s="74" t="str">
        <f>IF($C1302="","",IF($D1302="Gider",$H1302,$E1302))</f>
        <v/>
      </c>
      <c r="O1302" s="73" t="str">
        <f>IF($C1302="","",DATE(YEAR($C1302),MONTH($C1302),1))</f>
        <v/>
      </c>
      <c r="P1302" s="65" t="str">
        <f ca="1">IF($C1302="","",IF(AND($D1302="Gelir",$L1302&lt;&gt;"",$T1302=""),"TANIMSIZ BORÇLU",IF($T1302&lt;&gt;"",IF(OR($E1302="",$G1302&lt;=0),"EKSİK",IF($I1302="Evet","TAHAKKUK NAKİT OLAMAZ",IF($C1302&gt;TODAY(),"İLERİ TARİH","TAHAKKUK"))),IF(AND($D1302&lt;&gt;"",$E1302&lt;&gt;"",$G1302&gt;0,$H1302&lt;&gt;"",$I1302&lt;&gt;""),IF($C1302&gt;TODAY(),"İLERİ TARİH",IF(COUNTIF($W$7:$W$3001,$W1302)&gt;1,"MÜKERRER?",IF($AD1302&gt;0,"KAPALI DÖNEM",IF($I1302="Hayır","ÖDENECEK","UYGUN")))),"EKSİK"))))</f>
        <v/>
      </c>
      <c r="Q1302" s="2"/>
      <c r="R1302" s="2"/>
      <c r="S1302" s="1" t="str">
        <f t="shared" si="62"/>
        <v/>
      </c>
      <c r="T1302" s="1" t="str">
        <f>IF(OR($C1302="",$D1302&lt;&gt;"Gelir",$L1302=""),"",IFERROR(INDEX(MUSTERILER!$B$7:$B$156,MATCH($S1302,MUSTERILER!$T$7:$T$156,0)),""))</f>
        <v/>
      </c>
      <c r="U1302" s="1" t="str">
        <f>IF($T1302="","",$T1302&amp;"|"&amp;COUNTIFS($T$7:$T1302,$T1302))</f>
        <v/>
      </c>
      <c r="V1302" s="1">
        <f t="shared" si="63"/>
        <v>0</v>
      </c>
      <c r="W1302" s="1" t="str">
        <f t="shared" si="64"/>
        <v/>
      </c>
      <c r="X1302" s="1"/>
      <c r="Y1302" s="1"/>
      <c r="Z1302" s="1"/>
      <c r="AA1302" s="1"/>
      <c r="AB1302" s="1"/>
      <c r="AC1302" s="1"/>
      <c r="AD1302" s="1">
        <f>IF($C1302="",0,SUMPRODUCT((AY_SONU!$O$7:$O$42="Evet")*(AY_SONU!$B$7:$B$42=DATE(YEAR($C1302),MONTH($C1302),1))))</f>
        <v>0</v>
      </c>
      <c r="AE1302" s="1" t="str">
        <f>IF($E1302="","",$E1302&amp;"|"&amp;COUNTIFS($E$7:$E1302,$E1302))</f>
        <v/>
      </c>
    </row>
    <row r="1303" spans="1:31" ht="18" customHeight="1" x14ac:dyDescent="0.3">
      <c r="A1303" s="2"/>
      <c r="B1303" s="65" t="str">
        <f>IF($C1303="","","GG"&amp;TEXT(ROW()-6,"00000"))</f>
        <v/>
      </c>
      <c r="C1303" s="66"/>
      <c r="D1303" s="60"/>
      <c r="E1303" s="61"/>
      <c r="F1303" s="61"/>
      <c r="G1303" s="67"/>
      <c r="H1303" s="60"/>
      <c r="I1303" s="60"/>
      <c r="J1303" s="61"/>
      <c r="K1303" s="61"/>
      <c r="L1303" s="60"/>
      <c r="M1303" s="74" t="str">
        <f>IF($C1303="","",IF($D1303="Gider",$E1303,IF($L1303&lt;&gt;"",$L1303,$H1303)))</f>
        <v/>
      </c>
      <c r="N1303" s="74" t="str">
        <f>IF($C1303="","",IF($D1303="Gider",$H1303,$E1303))</f>
        <v/>
      </c>
      <c r="O1303" s="73" t="str">
        <f>IF($C1303="","",DATE(YEAR($C1303),MONTH($C1303),1))</f>
        <v/>
      </c>
      <c r="P1303" s="65" t="str">
        <f ca="1">IF($C1303="","",IF(AND($D1303="Gelir",$L1303&lt;&gt;"",$T1303=""),"TANIMSIZ BORÇLU",IF($T1303&lt;&gt;"",IF(OR($E1303="",$G1303&lt;=0),"EKSİK",IF($I1303="Evet","TAHAKKUK NAKİT OLAMAZ",IF($C1303&gt;TODAY(),"İLERİ TARİH","TAHAKKUK"))),IF(AND($D1303&lt;&gt;"",$E1303&lt;&gt;"",$G1303&gt;0,$H1303&lt;&gt;"",$I1303&lt;&gt;""),IF($C1303&gt;TODAY(),"İLERİ TARİH",IF(COUNTIF($W$7:$W$3001,$W1303)&gt;1,"MÜKERRER?",IF($AD1303&gt;0,"KAPALI DÖNEM",IF($I1303="Hayır","ÖDENECEK","UYGUN")))),"EKSİK"))))</f>
        <v/>
      </c>
      <c r="Q1303" s="2"/>
      <c r="R1303" s="2"/>
      <c r="S1303" s="1" t="str">
        <f t="shared" si="62"/>
        <v/>
      </c>
      <c r="T1303" s="1" t="str">
        <f>IF(OR($C1303="",$D1303&lt;&gt;"Gelir",$L1303=""),"",IFERROR(INDEX(MUSTERILER!$B$7:$B$156,MATCH($S1303,MUSTERILER!$T$7:$T$156,0)),""))</f>
        <v/>
      </c>
      <c r="U1303" s="1" t="str">
        <f>IF($T1303="","",$T1303&amp;"|"&amp;COUNTIFS($T$7:$T1303,$T1303))</f>
        <v/>
      </c>
      <c r="V1303" s="1">
        <f t="shared" si="63"/>
        <v>0</v>
      </c>
      <c r="W1303" s="1" t="str">
        <f t="shared" si="64"/>
        <v/>
      </c>
      <c r="X1303" s="1"/>
      <c r="Y1303" s="1"/>
      <c r="Z1303" s="1"/>
      <c r="AA1303" s="1"/>
      <c r="AB1303" s="1"/>
      <c r="AC1303" s="1"/>
      <c r="AD1303" s="1">
        <f>IF($C1303="",0,SUMPRODUCT((AY_SONU!$O$7:$O$42="Evet")*(AY_SONU!$B$7:$B$42=DATE(YEAR($C1303),MONTH($C1303),1))))</f>
        <v>0</v>
      </c>
      <c r="AE1303" s="1" t="str">
        <f>IF($E1303="","",$E1303&amp;"|"&amp;COUNTIFS($E$7:$E1303,$E1303))</f>
        <v/>
      </c>
    </row>
    <row r="1304" spans="1:31" ht="18" customHeight="1" x14ac:dyDescent="0.3">
      <c r="A1304" s="2"/>
      <c r="B1304" s="65" t="str">
        <f>IF($C1304="","","GG"&amp;TEXT(ROW()-6,"00000"))</f>
        <v/>
      </c>
      <c r="C1304" s="66"/>
      <c r="D1304" s="60"/>
      <c r="E1304" s="61"/>
      <c r="F1304" s="61"/>
      <c r="G1304" s="67"/>
      <c r="H1304" s="60"/>
      <c r="I1304" s="60"/>
      <c r="J1304" s="61"/>
      <c r="K1304" s="61"/>
      <c r="L1304" s="60"/>
      <c r="M1304" s="74" t="str">
        <f>IF($C1304="","",IF($D1304="Gider",$E1304,IF($L1304&lt;&gt;"",$L1304,$H1304)))</f>
        <v/>
      </c>
      <c r="N1304" s="74" t="str">
        <f>IF($C1304="","",IF($D1304="Gider",$H1304,$E1304))</f>
        <v/>
      </c>
      <c r="O1304" s="73" t="str">
        <f>IF($C1304="","",DATE(YEAR($C1304),MONTH($C1304),1))</f>
        <v/>
      </c>
      <c r="P1304" s="65" t="str">
        <f ca="1">IF($C1304="","",IF(AND($D1304="Gelir",$L1304&lt;&gt;"",$T1304=""),"TANIMSIZ BORÇLU",IF($T1304&lt;&gt;"",IF(OR($E1304="",$G1304&lt;=0),"EKSİK",IF($I1304="Evet","TAHAKKUK NAKİT OLAMAZ",IF($C1304&gt;TODAY(),"İLERİ TARİH","TAHAKKUK"))),IF(AND($D1304&lt;&gt;"",$E1304&lt;&gt;"",$G1304&gt;0,$H1304&lt;&gt;"",$I1304&lt;&gt;""),IF($C1304&gt;TODAY(),"İLERİ TARİH",IF(COUNTIF($W$7:$W$3001,$W1304)&gt;1,"MÜKERRER?",IF($AD1304&gt;0,"KAPALI DÖNEM",IF($I1304="Hayır","ÖDENECEK","UYGUN")))),"EKSİK"))))</f>
        <v/>
      </c>
      <c r="Q1304" s="2"/>
      <c r="R1304" s="2"/>
      <c r="S1304" s="1" t="str">
        <f t="shared" si="62"/>
        <v/>
      </c>
      <c r="T1304" s="1" t="str">
        <f>IF(OR($C1304="",$D1304&lt;&gt;"Gelir",$L1304=""),"",IFERROR(INDEX(MUSTERILER!$B$7:$B$156,MATCH($S1304,MUSTERILER!$T$7:$T$156,0)),""))</f>
        <v/>
      </c>
      <c r="U1304" s="1" t="str">
        <f>IF($T1304="","",$T1304&amp;"|"&amp;COUNTIFS($T$7:$T1304,$T1304))</f>
        <v/>
      </c>
      <c r="V1304" s="1">
        <f t="shared" si="63"/>
        <v>0</v>
      </c>
      <c r="W1304" s="1" t="str">
        <f t="shared" si="64"/>
        <v/>
      </c>
      <c r="X1304" s="1"/>
      <c r="Y1304" s="1"/>
      <c r="Z1304" s="1"/>
      <c r="AA1304" s="1"/>
      <c r="AB1304" s="1"/>
      <c r="AC1304" s="1"/>
      <c r="AD1304" s="1">
        <f>IF($C1304="",0,SUMPRODUCT((AY_SONU!$O$7:$O$42="Evet")*(AY_SONU!$B$7:$B$42=DATE(YEAR($C1304),MONTH($C1304),1))))</f>
        <v>0</v>
      </c>
      <c r="AE1304" s="1" t="str">
        <f>IF($E1304="","",$E1304&amp;"|"&amp;COUNTIFS($E$7:$E1304,$E1304))</f>
        <v/>
      </c>
    </row>
    <row r="1305" spans="1:31" ht="18" customHeight="1" x14ac:dyDescent="0.3">
      <c r="A1305" s="2"/>
      <c r="B1305" s="65" t="str">
        <f>IF($C1305="","","GG"&amp;TEXT(ROW()-6,"00000"))</f>
        <v/>
      </c>
      <c r="C1305" s="66"/>
      <c r="D1305" s="60"/>
      <c r="E1305" s="61"/>
      <c r="F1305" s="61"/>
      <c r="G1305" s="67"/>
      <c r="H1305" s="60"/>
      <c r="I1305" s="60"/>
      <c r="J1305" s="61"/>
      <c r="K1305" s="61"/>
      <c r="L1305" s="60"/>
      <c r="M1305" s="74" t="str">
        <f>IF($C1305="","",IF($D1305="Gider",$E1305,IF($L1305&lt;&gt;"",$L1305,$H1305)))</f>
        <v/>
      </c>
      <c r="N1305" s="74" t="str">
        <f>IF($C1305="","",IF($D1305="Gider",$H1305,$E1305))</f>
        <v/>
      </c>
      <c r="O1305" s="73" t="str">
        <f>IF($C1305="","",DATE(YEAR($C1305),MONTH($C1305),1))</f>
        <v/>
      </c>
      <c r="P1305" s="65" t="str">
        <f ca="1">IF($C1305="","",IF(AND($D1305="Gelir",$L1305&lt;&gt;"",$T1305=""),"TANIMSIZ BORÇLU",IF($T1305&lt;&gt;"",IF(OR($E1305="",$G1305&lt;=0),"EKSİK",IF($I1305="Evet","TAHAKKUK NAKİT OLAMAZ",IF($C1305&gt;TODAY(),"İLERİ TARİH","TAHAKKUK"))),IF(AND($D1305&lt;&gt;"",$E1305&lt;&gt;"",$G1305&gt;0,$H1305&lt;&gt;"",$I1305&lt;&gt;""),IF($C1305&gt;TODAY(),"İLERİ TARİH",IF(COUNTIF($W$7:$W$3001,$W1305)&gt;1,"MÜKERRER?",IF($AD1305&gt;0,"KAPALI DÖNEM",IF($I1305="Hayır","ÖDENECEK","UYGUN")))),"EKSİK"))))</f>
        <v/>
      </c>
      <c r="Q1305" s="2"/>
      <c r="R1305" s="2"/>
      <c r="S1305" s="1" t="str">
        <f t="shared" si="62"/>
        <v/>
      </c>
      <c r="T1305" s="1" t="str">
        <f>IF(OR($C1305="",$D1305&lt;&gt;"Gelir",$L1305=""),"",IFERROR(INDEX(MUSTERILER!$B$7:$B$156,MATCH($S1305,MUSTERILER!$T$7:$T$156,0)),""))</f>
        <v/>
      </c>
      <c r="U1305" s="1" t="str">
        <f>IF($T1305="","",$T1305&amp;"|"&amp;COUNTIFS($T$7:$T1305,$T1305))</f>
        <v/>
      </c>
      <c r="V1305" s="1">
        <f t="shared" si="63"/>
        <v>0</v>
      </c>
      <c r="W1305" s="1" t="str">
        <f t="shared" si="64"/>
        <v/>
      </c>
      <c r="X1305" s="1"/>
      <c r="Y1305" s="1"/>
      <c r="Z1305" s="1"/>
      <c r="AA1305" s="1"/>
      <c r="AB1305" s="1"/>
      <c r="AC1305" s="1"/>
      <c r="AD1305" s="1">
        <f>IF($C1305="",0,SUMPRODUCT((AY_SONU!$O$7:$O$42="Evet")*(AY_SONU!$B$7:$B$42=DATE(YEAR($C1305),MONTH($C1305),1))))</f>
        <v>0</v>
      </c>
      <c r="AE1305" s="1" t="str">
        <f>IF($E1305="","",$E1305&amp;"|"&amp;COUNTIFS($E$7:$E1305,$E1305))</f>
        <v/>
      </c>
    </row>
    <row r="1306" spans="1:31" ht="18" customHeight="1" x14ac:dyDescent="0.3">
      <c r="A1306" s="2"/>
      <c r="B1306" s="65" t="str">
        <f>IF($C1306="","","GG"&amp;TEXT(ROW()-6,"00000"))</f>
        <v/>
      </c>
      <c r="C1306" s="66"/>
      <c r="D1306" s="60"/>
      <c r="E1306" s="61"/>
      <c r="F1306" s="61"/>
      <c r="G1306" s="67"/>
      <c r="H1306" s="60"/>
      <c r="I1306" s="60"/>
      <c r="J1306" s="61"/>
      <c r="K1306" s="61"/>
      <c r="L1306" s="60"/>
      <c r="M1306" s="74" t="str">
        <f>IF($C1306="","",IF($D1306="Gider",$E1306,IF($L1306&lt;&gt;"",$L1306,$H1306)))</f>
        <v/>
      </c>
      <c r="N1306" s="74" t="str">
        <f>IF($C1306="","",IF($D1306="Gider",$H1306,$E1306))</f>
        <v/>
      </c>
      <c r="O1306" s="73" t="str">
        <f>IF($C1306="","",DATE(YEAR($C1306),MONTH($C1306),1))</f>
        <v/>
      </c>
      <c r="P1306" s="65" t="str">
        <f ca="1">IF($C1306="","",IF(AND($D1306="Gelir",$L1306&lt;&gt;"",$T1306=""),"TANIMSIZ BORÇLU",IF($T1306&lt;&gt;"",IF(OR($E1306="",$G1306&lt;=0),"EKSİK",IF($I1306="Evet","TAHAKKUK NAKİT OLAMAZ",IF($C1306&gt;TODAY(),"İLERİ TARİH","TAHAKKUK"))),IF(AND($D1306&lt;&gt;"",$E1306&lt;&gt;"",$G1306&gt;0,$H1306&lt;&gt;"",$I1306&lt;&gt;""),IF($C1306&gt;TODAY(),"İLERİ TARİH",IF(COUNTIF($W$7:$W$3001,$W1306)&gt;1,"MÜKERRER?",IF($AD1306&gt;0,"KAPALI DÖNEM",IF($I1306="Hayır","ÖDENECEK","UYGUN")))),"EKSİK"))))</f>
        <v/>
      </c>
      <c r="Q1306" s="2"/>
      <c r="R1306" s="2"/>
      <c r="S1306" s="1" t="str">
        <f t="shared" si="62"/>
        <v/>
      </c>
      <c r="T1306" s="1" t="str">
        <f>IF(OR($C1306="",$D1306&lt;&gt;"Gelir",$L1306=""),"",IFERROR(INDEX(MUSTERILER!$B$7:$B$156,MATCH($S1306,MUSTERILER!$T$7:$T$156,0)),""))</f>
        <v/>
      </c>
      <c r="U1306" s="1" t="str">
        <f>IF($T1306="","",$T1306&amp;"|"&amp;COUNTIFS($T$7:$T1306,$T1306))</f>
        <v/>
      </c>
      <c r="V1306" s="1">
        <f t="shared" si="63"/>
        <v>0</v>
      </c>
      <c r="W1306" s="1" t="str">
        <f t="shared" si="64"/>
        <v/>
      </c>
      <c r="X1306" s="1"/>
      <c r="Y1306" s="1"/>
      <c r="Z1306" s="1"/>
      <c r="AA1306" s="1"/>
      <c r="AB1306" s="1"/>
      <c r="AC1306" s="1"/>
      <c r="AD1306" s="1">
        <f>IF($C1306="",0,SUMPRODUCT((AY_SONU!$O$7:$O$42="Evet")*(AY_SONU!$B$7:$B$42=DATE(YEAR($C1306),MONTH($C1306),1))))</f>
        <v>0</v>
      </c>
      <c r="AE1306" s="1" t="str">
        <f>IF($E1306="","",$E1306&amp;"|"&amp;COUNTIFS($E$7:$E1306,$E1306))</f>
        <v/>
      </c>
    </row>
    <row r="1307" spans="1:31" ht="18" customHeight="1" x14ac:dyDescent="0.3">
      <c r="A1307" s="2"/>
      <c r="B1307" s="65" t="str">
        <f>IF($C1307="","","GG"&amp;TEXT(ROW()-6,"00000"))</f>
        <v/>
      </c>
      <c r="C1307" s="66"/>
      <c r="D1307" s="60"/>
      <c r="E1307" s="61"/>
      <c r="F1307" s="61"/>
      <c r="G1307" s="67"/>
      <c r="H1307" s="60"/>
      <c r="I1307" s="60"/>
      <c r="J1307" s="61"/>
      <c r="K1307" s="61"/>
      <c r="L1307" s="60"/>
      <c r="M1307" s="74" t="str">
        <f>IF($C1307="","",IF($D1307="Gider",$E1307,IF($L1307&lt;&gt;"",$L1307,$H1307)))</f>
        <v/>
      </c>
      <c r="N1307" s="74" t="str">
        <f>IF($C1307="","",IF($D1307="Gider",$H1307,$E1307))</f>
        <v/>
      </c>
      <c r="O1307" s="73" t="str">
        <f>IF($C1307="","",DATE(YEAR($C1307),MONTH($C1307),1))</f>
        <v/>
      </c>
      <c r="P1307" s="65" t="str">
        <f ca="1">IF($C1307="","",IF(AND($D1307="Gelir",$L1307&lt;&gt;"",$T1307=""),"TANIMSIZ BORÇLU",IF($T1307&lt;&gt;"",IF(OR($E1307="",$G1307&lt;=0),"EKSİK",IF($I1307="Evet","TAHAKKUK NAKİT OLAMAZ",IF($C1307&gt;TODAY(),"İLERİ TARİH","TAHAKKUK"))),IF(AND($D1307&lt;&gt;"",$E1307&lt;&gt;"",$G1307&gt;0,$H1307&lt;&gt;"",$I1307&lt;&gt;""),IF($C1307&gt;TODAY(),"İLERİ TARİH",IF(COUNTIF($W$7:$W$3001,$W1307)&gt;1,"MÜKERRER?",IF($AD1307&gt;0,"KAPALI DÖNEM",IF($I1307="Hayır","ÖDENECEK","UYGUN")))),"EKSİK"))))</f>
        <v/>
      </c>
      <c r="Q1307" s="2"/>
      <c r="R1307" s="2"/>
      <c r="S1307" s="1" t="str">
        <f t="shared" si="62"/>
        <v/>
      </c>
      <c r="T1307" s="1" t="str">
        <f>IF(OR($C1307="",$D1307&lt;&gt;"Gelir",$L1307=""),"",IFERROR(INDEX(MUSTERILER!$B$7:$B$156,MATCH($S1307,MUSTERILER!$T$7:$T$156,0)),""))</f>
        <v/>
      </c>
      <c r="U1307" s="1" t="str">
        <f>IF($T1307="","",$T1307&amp;"|"&amp;COUNTIFS($T$7:$T1307,$T1307))</f>
        <v/>
      </c>
      <c r="V1307" s="1">
        <f t="shared" si="63"/>
        <v>0</v>
      </c>
      <c r="W1307" s="1" t="str">
        <f t="shared" si="64"/>
        <v/>
      </c>
      <c r="X1307" s="1"/>
      <c r="Y1307" s="1"/>
      <c r="Z1307" s="1"/>
      <c r="AA1307" s="1"/>
      <c r="AB1307" s="1"/>
      <c r="AC1307" s="1"/>
      <c r="AD1307" s="1">
        <f>IF($C1307="",0,SUMPRODUCT((AY_SONU!$O$7:$O$42="Evet")*(AY_SONU!$B$7:$B$42=DATE(YEAR($C1307),MONTH($C1307),1))))</f>
        <v>0</v>
      </c>
      <c r="AE1307" s="1" t="str">
        <f>IF($E1307="","",$E1307&amp;"|"&amp;COUNTIFS($E$7:$E1307,$E1307))</f>
        <v/>
      </c>
    </row>
    <row r="1308" spans="1:31" ht="18" customHeight="1" x14ac:dyDescent="0.3">
      <c r="A1308" s="2"/>
      <c r="B1308" s="65" t="str">
        <f>IF($C1308="","","GG"&amp;TEXT(ROW()-6,"00000"))</f>
        <v/>
      </c>
      <c r="C1308" s="66"/>
      <c r="D1308" s="60"/>
      <c r="E1308" s="61"/>
      <c r="F1308" s="61"/>
      <c r="G1308" s="67"/>
      <c r="H1308" s="60"/>
      <c r="I1308" s="60"/>
      <c r="J1308" s="61"/>
      <c r="K1308" s="61"/>
      <c r="L1308" s="60"/>
      <c r="M1308" s="74" t="str">
        <f>IF($C1308="","",IF($D1308="Gider",$E1308,IF($L1308&lt;&gt;"",$L1308,$H1308)))</f>
        <v/>
      </c>
      <c r="N1308" s="74" t="str">
        <f>IF($C1308="","",IF($D1308="Gider",$H1308,$E1308))</f>
        <v/>
      </c>
      <c r="O1308" s="73" t="str">
        <f>IF($C1308="","",DATE(YEAR($C1308),MONTH($C1308),1))</f>
        <v/>
      </c>
      <c r="P1308" s="65" t="str">
        <f ca="1">IF($C1308="","",IF(AND($D1308="Gelir",$L1308&lt;&gt;"",$T1308=""),"TANIMSIZ BORÇLU",IF($T1308&lt;&gt;"",IF(OR($E1308="",$G1308&lt;=0),"EKSİK",IF($I1308="Evet","TAHAKKUK NAKİT OLAMAZ",IF($C1308&gt;TODAY(),"İLERİ TARİH","TAHAKKUK"))),IF(AND($D1308&lt;&gt;"",$E1308&lt;&gt;"",$G1308&gt;0,$H1308&lt;&gt;"",$I1308&lt;&gt;""),IF($C1308&gt;TODAY(),"İLERİ TARİH",IF(COUNTIF($W$7:$W$3001,$W1308)&gt;1,"MÜKERRER?",IF($AD1308&gt;0,"KAPALI DÖNEM",IF($I1308="Hayır","ÖDENECEK","UYGUN")))),"EKSİK"))))</f>
        <v/>
      </c>
      <c r="Q1308" s="2"/>
      <c r="R1308" s="2"/>
      <c r="S1308" s="1" t="str">
        <f t="shared" si="62"/>
        <v/>
      </c>
      <c r="T1308" s="1" t="str">
        <f>IF(OR($C1308="",$D1308&lt;&gt;"Gelir",$L1308=""),"",IFERROR(INDEX(MUSTERILER!$B$7:$B$156,MATCH($S1308,MUSTERILER!$T$7:$T$156,0)),""))</f>
        <v/>
      </c>
      <c r="U1308" s="1" t="str">
        <f>IF($T1308="","",$T1308&amp;"|"&amp;COUNTIFS($T$7:$T1308,$T1308))</f>
        <v/>
      </c>
      <c r="V1308" s="1">
        <f t="shared" si="63"/>
        <v>0</v>
      </c>
      <c r="W1308" s="1" t="str">
        <f t="shared" si="64"/>
        <v/>
      </c>
      <c r="X1308" s="1"/>
      <c r="Y1308" s="1"/>
      <c r="Z1308" s="1"/>
      <c r="AA1308" s="1"/>
      <c r="AB1308" s="1"/>
      <c r="AC1308" s="1"/>
      <c r="AD1308" s="1">
        <f>IF($C1308="",0,SUMPRODUCT((AY_SONU!$O$7:$O$42="Evet")*(AY_SONU!$B$7:$B$42=DATE(YEAR($C1308),MONTH($C1308),1))))</f>
        <v>0</v>
      </c>
      <c r="AE1308" s="1" t="str">
        <f>IF($E1308="","",$E1308&amp;"|"&amp;COUNTIFS($E$7:$E1308,$E1308))</f>
        <v/>
      </c>
    </row>
    <row r="1309" spans="1:31" ht="18" customHeight="1" x14ac:dyDescent="0.3">
      <c r="A1309" s="2"/>
      <c r="B1309" s="65" t="str">
        <f>IF($C1309="","","GG"&amp;TEXT(ROW()-6,"00000"))</f>
        <v/>
      </c>
      <c r="C1309" s="66"/>
      <c r="D1309" s="60"/>
      <c r="E1309" s="61"/>
      <c r="F1309" s="61"/>
      <c r="G1309" s="67"/>
      <c r="H1309" s="60"/>
      <c r="I1309" s="60"/>
      <c r="J1309" s="61"/>
      <c r="K1309" s="61"/>
      <c r="L1309" s="60"/>
      <c r="M1309" s="74" t="str">
        <f>IF($C1309="","",IF($D1309="Gider",$E1309,IF($L1309&lt;&gt;"",$L1309,$H1309)))</f>
        <v/>
      </c>
      <c r="N1309" s="74" t="str">
        <f>IF($C1309="","",IF($D1309="Gider",$H1309,$E1309))</f>
        <v/>
      </c>
      <c r="O1309" s="73" t="str">
        <f>IF($C1309="","",DATE(YEAR($C1309),MONTH($C1309),1))</f>
        <v/>
      </c>
      <c r="P1309" s="65" t="str">
        <f ca="1">IF($C1309="","",IF(AND($D1309="Gelir",$L1309&lt;&gt;"",$T1309=""),"TANIMSIZ BORÇLU",IF($T1309&lt;&gt;"",IF(OR($E1309="",$G1309&lt;=0),"EKSİK",IF($I1309="Evet","TAHAKKUK NAKİT OLAMAZ",IF($C1309&gt;TODAY(),"İLERİ TARİH","TAHAKKUK"))),IF(AND($D1309&lt;&gt;"",$E1309&lt;&gt;"",$G1309&gt;0,$H1309&lt;&gt;"",$I1309&lt;&gt;""),IF($C1309&gt;TODAY(),"İLERİ TARİH",IF(COUNTIF($W$7:$W$3001,$W1309)&gt;1,"MÜKERRER?",IF($AD1309&gt;0,"KAPALI DÖNEM",IF($I1309="Hayır","ÖDENECEK","UYGUN")))),"EKSİK"))))</f>
        <v/>
      </c>
      <c r="Q1309" s="2"/>
      <c r="R1309" s="2"/>
      <c r="S1309" s="1" t="str">
        <f t="shared" si="62"/>
        <v/>
      </c>
      <c r="T1309" s="1" t="str">
        <f>IF(OR($C1309="",$D1309&lt;&gt;"Gelir",$L1309=""),"",IFERROR(INDEX(MUSTERILER!$B$7:$B$156,MATCH($S1309,MUSTERILER!$T$7:$T$156,0)),""))</f>
        <v/>
      </c>
      <c r="U1309" s="1" t="str">
        <f>IF($T1309="","",$T1309&amp;"|"&amp;COUNTIFS($T$7:$T1309,$T1309))</f>
        <v/>
      </c>
      <c r="V1309" s="1">
        <f t="shared" si="63"/>
        <v>0</v>
      </c>
      <c r="W1309" s="1" t="str">
        <f t="shared" si="64"/>
        <v/>
      </c>
      <c r="X1309" s="1"/>
      <c r="Y1309" s="1"/>
      <c r="Z1309" s="1"/>
      <c r="AA1309" s="1"/>
      <c r="AB1309" s="1"/>
      <c r="AC1309" s="1"/>
      <c r="AD1309" s="1">
        <f>IF($C1309="",0,SUMPRODUCT((AY_SONU!$O$7:$O$42="Evet")*(AY_SONU!$B$7:$B$42=DATE(YEAR($C1309),MONTH($C1309),1))))</f>
        <v>0</v>
      </c>
      <c r="AE1309" s="1" t="str">
        <f>IF($E1309="","",$E1309&amp;"|"&amp;COUNTIFS($E$7:$E1309,$E1309))</f>
        <v/>
      </c>
    </row>
    <row r="1310" spans="1:31" ht="18" customHeight="1" x14ac:dyDescent="0.3">
      <c r="A1310" s="2"/>
      <c r="B1310" s="65" t="str">
        <f>IF($C1310="","","GG"&amp;TEXT(ROW()-6,"00000"))</f>
        <v/>
      </c>
      <c r="C1310" s="66"/>
      <c r="D1310" s="60"/>
      <c r="E1310" s="61"/>
      <c r="F1310" s="61"/>
      <c r="G1310" s="67"/>
      <c r="H1310" s="60"/>
      <c r="I1310" s="60"/>
      <c r="J1310" s="61"/>
      <c r="K1310" s="61"/>
      <c r="L1310" s="60"/>
      <c r="M1310" s="74" t="str">
        <f>IF($C1310="","",IF($D1310="Gider",$E1310,IF($L1310&lt;&gt;"",$L1310,$H1310)))</f>
        <v/>
      </c>
      <c r="N1310" s="74" t="str">
        <f>IF($C1310="","",IF($D1310="Gider",$H1310,$E1310))</f>
        <v/>
      </c>
      <c r="O1310" s="73" t="str">
        <f>IF($C1310="","",DATE(YEAR($C1310),MONTH($C1310),1))</f>
        <v/>
      </c>
      <c r="P1310" s="65" t="str">
        <f ca="1">IF($C1310="","",IF(AND($D1310="Gelir",$L1310&lt;&gt;"",$T1310=""),"TANIMSIZ BORÇLU",IF($T1310&lt;&gt;"",IF(OR($E1310="",$G1310&lt;=0),"EKSİK",IF($I1310="Evet","TAHAKKUK NAKİT OLAMAZ",IF($C1310&gt;TODAY(),"İLERİ TARİH","TAHAKKUK"))),IF(AND($D1310&lt;&gt;"",$E1310&lt;&gt;"",$G1310&gt;0,$H1310&lt;&gt;"",$I1310&lt;&gt;""),IF($C1310&gt;TODAY(),"İLERİ TARİH",IF(COUNTIF($W$7:$W$3001,$W1310)&gt;1,"MÜKERRER?",IF($AD1310&gt;0,"KAPALI DÖNEM",IF($I1310="Hayır","ÖDENECEK","UYGUN")))),"EKSİK"))))</f>
        <v/>
      </c>
      <c r="Q1310" s="2"/>
      <c r="R1310" s="2"/>
      <c r="S1310" s="1" t="str">
        <f t="shared" si="62"/>
        <v/>
      </c>
      <c r="T1310" s="1" t="str">
        <f>IF(OR($C1310="",$D1310&lt;&gt;"Gelir",$L1310=""),"",IFERROR(INDEX(MUSTERILER!$B$7:$B$156,MATCH($S1310,MUSTERILER!$T$7:$T$156,0)),""))</f>
        <v/>
      </c>
      <c r="U1310" s="1" t="str">
        <f>IF($T1310="","",$T1310&amp;"|"&amp;COUNTIFS($T$7:$T1310,$T1310))</f>
        <v/>
      </c>
      <c r="V1310" s="1">
        <f t="shared" si="63"/>
        <v>0</v>
      </c>
      <c r="W1310" s="1" t="str">
        <f t="shared" si="64"/>
        <v/>
      </c>
      <c r="X1310" s="1"/>
      <c r="Y1310" s="1"/>
      <c r="Z1310" s="1"/>
      <c r="AA1310" s="1"/>
      <c r="AB1310" s="1"/>
      <c r="AC1310" s="1"/>
      <c r="AD1310" s="1">
        <f>IF($C1310="",0,SUMPRODUCT((AY_SONU!$O$7:$O$42="Evet")*(AY_SONU!$B$7:$B$42=DATE(YEAR($C1310),MONTH($C1310),1))))</f>
        <v>0</v>
      </c>
      <c r="AE1310" s="1" t="str">
        <f>IF($E1310="","",$E1310&amp;"|"&amp;COUNTIFS($E$7:$E1310,$E1310))</f>
        <v/>
      </c>
    </row>
    <row r="1311" spans="1:31" ht="18" customHeight="1" x14ac:dyDescent="0.3">
      <c r="A1311" s="2"/>
      <c r="B1311" s="65" t="str">
        <f>IF($C1311="","","GG"&amp;TEXT(ROW()-6,"00000"))</f>
        <v/>
      </c>
      <c r="C1311" s="66"/>
      <c r="D1311" s="60"/>
      <c r="E1311" s="61"/>
      <c r="F1311" s="61"/>
      <c r="G1311" s="67"/>
      <c r="H1311" s="60"/>
      <c r="I1311" s="60"/>
      <c r="J1311" s="61"/>
      <c r="K1311" s="61"/>
      <c r="L1311" s="60"/>
      <c r="M1311" s="74" t="str">
        <f>IF($C1311="","",IF($D1311="Gider",$E1311,IF($L1311&lt;&gt;"",$L1311,$H1311)))</f>
        <v/>
      </c>
      <c r="N1311" s="74" t="str">
        <f>IF($C1311="","",IF($D1311="Gider",$H1311,$E1311))</f>
        <v/>
      </c>
      <c r="O1311" s="73" t="str">
        <f>IF($C1311="","",DATE(YEAR($C1311),MONTH($C1311),1))</f>
        <v/>
      </c>
      <c r="P1311" s="65" t="str">
        <f ca="1">IF($C1311="","",IF(AND($D1311="Gelir",$L1311&lt;&gt;"",$T1311=""),"TANIMSIZ BORÇLU",IF($T1311&lt;&gt;"",IF(OR($E1311="",$G1311&lt;=0),"EKSİK",IF($I1311="Evet","TAHAKKUK NAKİT OLAMAZ",IF($C1311&gt;TODAY(),"İLERİ TARİH","TAHAKKUK"))),IF(AND($D1311&lt;&gt;"",$E1311&lt;&gt;"",$G1311&gt;0,$H1311&lt;&gt;"",$I1311&lt;&gt;""),IF($C1311&gt;TODAY(),"İLERİ TARİH",IF(COUNTIF($W$7:$W$3001,$W1311)&gt;1,"MÜKERRER?",IF($AD1311&gt;0,"KAPALI DÖNEM",IF($I1311="Hayır","ÖDENECEK","UYGUN")))),"EKSİK"))))</f>
        <v/>
      </c>
      <c r="Q1311" s="2"/>
      <c r="R1311" s="2"/>
      <c r="S1311" s="1" t="str">
        <f t="shared" si="62"/>
        <v/>
      </c>
      <c r="T1311" s="1" t="str">
        <f>IF(OR($C1311="",$D1311&lt;&gt;"Gelir",$L1311=""),"",IFERROR(INDEX(MUSTERILER!$B$7:$B$156,MATCH($S1311,MUSTERILER!$T$7:$T$156,0)),""))</f>
        <v/>
      </c>
      <c r="U1311" s="1" t="str">
        <f>IF($T1311="","",$T1311&amp;"|"&amp;COUNTIFS($T$7:$T1311,$T1311))</f>
        <v/>
      </c>
      <c r="V1311" s="1">
        <f t="shared" si="63"/>
        <v>0</v>
      </c>
      <c r="W1311" s="1" t="str">
        <f t="shared" si="64"/>
        <v/>
      </c>
      <c r="X1311" s="1"/>
      <c r="Y1311" s="1"/>
      <c r="Z1311" s="1"/>
      <c r="AA1311" s="1"/>
      <c r="AB1311" s="1"/>
      <c r="AC1311" s="1"/>
      <c r="AD1311" s="1">
        <f>IF($C1311="",0,SUMPRODUCT((AY_SONU!$O$7:$O$42="Evet")*(AY_SONU!$B$7:$B$42=DATE(YEAR($C1311),MONTH($C1311),1))))</f>
        <v>0</v>
      </c>
      <c r="AE1311" s="1" t="str">
        <f>IF($E1311="","",$E1311&amp;"|"&amp;COUNTIFS($E$7:$E1311,$E1311))</f>
        <v/>
      </c>
    </row>
    <row r="1312" spans="1:31" ht="18" customHeight="1" x14ac:dyDescent="0.3">
      <c r="A1312" s="2"/>
      <c r="B1312" s="65" t="str">
        <f>IF($C1312="","","GG"&amp;TEXT(ROW()-6,"00000"))</f>
        <v/>
      </c>
      <c r="C1312" s="66"/>
      <c r="D1312" s="60"/>
      <c r="E1312" s="61"/>
      <c r="F1312" s="61"/>
      <c r="G1312" s="67"/>
      <c r="H1312" s="60"/>
      <c r="I1312" s="60"/>
      <c r="J1312" s="61"/>
      <c r="K1312" s="61"/>
      <c r="L1312" s="60"/>
      <c r="M1312" s="74" t="str">
        <f>IF($C1312="","",IF($D1312="Gider",$E1312,IF($L1312&lt;&gt;"",$L1312,$H1312)))</f>
        <v/>
      </c>
      <c r="N1312" s="74" t="str">
        <f>IF($C1312="","",IF($D1312="Gider",$H1312,$E1312))</f>
        <v/>
      </c>
      <c r="O1312" s="73" t="str">
        <f>IF($C1312="","",DATE(YEAR($C1312),MONTH($C1312),1))</f>
        <v/>
      </c>
      <c r="P1312" s="65" t="str">
        <f ca="1">IF($C1312="","",IF(AND($D1312="Gelir",$L1312&lt;&gt;"",$T1312=""),"TANIMSIZ BORÇLU",IF($T1312&lt;&gt;"",IF(OR($E1312="",$G1312&lt;=0),"EKSİK",IF($I1312="Evet","TAHAKKUK NAKİT OLAMAZ",IF($C1312&gt;TODAY(),"İLERİ TARİH","TAHAKKUK"))),IF(AND($D1312&lt;&gt;"",$E1312&lt;&gt;"",$G1312&gt;0,$H1312&lt;&gt;"",$I1312&lt;&gt;""),IF($C1312&gt;TODAY(),"İLERİ TARİH",IF(COUNTIF($W$7:$W$3001,$W1312)&gt;1,"MÜKERRER?",IF($AD1312&gt;0,"KAPALI DÖNEM",IF($I1312="Hayır","ÖDENECEK","UYGUN")))),"EKSİK"))))</f>
        <v/>
      </c>
      <c r="Q1312" s="2"/>
      <c r="R1312" s="2"/>
      <c r="S1312" s="1" t="str">
        <f t="shared" si="62"/>
        <v/>
      </c>
      <c r="T1312" s="1" t="str">
        <f>IF(OR($C1312="",$D1312&lt;&gt;"Gelir",$L1312=""),"",IFERROR(INDEX(MUSTERILER!$B$7:$B$156,MATCH($S1312,MUSTERILER!$T$7:$T$156,0)),""))</f>
        <v/>
      </c>
      <c r="U1312" s="1" t="str">
        <f>IF($T1312="","",$T1312&amp;"|"&amp;COUNTIFS($T$7:$T1312,$T1312))</f>
        <v/>
      </c>
      <c r="V1312" s="1">
        <f t="shared" si="63"/>
        <v>0</v>
      </c>
      <c r="W1312" s="1" t="str">
        <f t="shared" si="64"/>
        <v/>
      </c>
      <c r="X1312" s="1"/>
      <c r="Y1312" s="1"/>
      <c r="Z1312" s="1"/>
      <c r="AA1312" s="1"/>
      <c r="AB1312" s="1"/>
      <c r="AC1312" s="1"/>
      <c r="AD1312" s="1">
        <f>IF($C1312="",0,SUMPRODUCT((AY_SONU!$O$7:$O$42="Evet")*(AY_SONU!$B$7:$B$42=DATE(YEAR($C1312),MONTH($C1312),1))))</f>
        <v>0</v>
      </c>
      <c r="AE1312" s="1" t="str">
        <f>IF($E1312="","",$E1312&amp;"|"&amp;COUNTIFS($E$7:$E1312,$E1312))</f>
        <v/>
      </c>
    </row>
    <row r="1313" spans="1:31" ht="18" customHeight="1" x14ac:dyDescent="0.3">
      <c r="A1313" s="2"/>
      <c r="B1313" s="65" t="str">
        <f>IF($C1313="","","GG"&amp;TEXT(ROW()-6,"00000"))</f>
        <v/>
      </c>
      <c r="C1313" s="66"/>
      <c r="D1313" s="60"/>
      <c r="E1313" s="61"/>
      <c r="F1313" s="61"/>
      <c r="G1313" s="67"/>
      <c r="H1313" s="60"/>
      <c r="I1313" s="60"/>
      <c r="J1313" s="61"/>
      <c r="K1313" s="61"/>
      <c r="L1313" s="60"/>
      <c r="M1313" s="74" t="str">
        <f>IF($C1313="","",IF($D1313="Gider",$E1313,IF($L1313&lt;&gt;"",$L1313,$H1313)))</f>
        <v/>
      </c>
      <c r="N1313" s="74" t="str">
        <f>IF($C1313="","",IF($D1313="Gider",$H1313,$E1313))</f>
        <v/>
      </c>
      <c r="O1313" s="73" t="str">
        <f>IF($C1313="","",DATE(YEAR($C1313),MONTH($C1313),1))</f>
        <v/>
      </c>
      <c r="P1313" s="65" t="str">
        <f ca="1">IF($C1313="","",IF(AND($D1313="Gelir",$L1313&lt;&gt;"",$T1313=""),"TANIMSIZ BORÇLU",IF($T1313&lt;&gt;"",IF(OR($E1313="",$G1313&lt;=0),"EKSİK",IF($I1313="Evet","TAHAKKUK NAKİT OLAMAZ",IF($C1313&gt;TODAY(),"İLERİ TARİH","TAHAKKUK"))),IF(AND($D1313&lt;&gt;"",$E1313&lt;&gt;"",$G1313&gt;0,$H1313&lt;&gt;"",$I1313&lt;&gt;""),IF($C1313&gt;TODAY(),"İLERİ TARİH",IF(COUNTIF($W$7:$W$3001,$W1313)&gt;1,"MÜKERRER?",IF($AD1313&gt;0,"KAPALI DÖNEM",IF($I1313="Hayır","ÖDENECEK","UYGUN")))),"EKSİK"))))</f>
        <v/>
      </c>
      <c r="Q1313" s="2"/>
      <c r="R1313" s="2"/>
      <c r="S1313" s="1" t="str">
        <f t="shared" si="62"/>
        <v/>
      </c>
      <c r="T1313" s="1" t="str">
        <f>IF(OR($C1313="",$D1313&lt;&gt;"Gelir",$L1313=""),"",IFERROR(INDEX(MUSTERILER!$B$7:$B$156,MATCH($S1313,MUSTERILER!$T$7:$T$156,0)),""))</f>
        <v/>
      </c>
      <c r="U1313" s="1" t="str">
        <f>IF($T1313="","",$T1313&amp;"|"&amp;COUNTIFS($T$7:$T1313,$T1313))</f>
        <v/>
      </c>
      <c r="V1313" s="1">
        <f t="shared" si="63"/>
        <v>0</v>
      </c>
      <c r="W1313" s="1" t="str">
        <f t="shared" si="64"/>
        <v/>
      </c>
      <c r="X1313" s="1"/>
      <c r="Y1313" s="1"/>
      <c r="Z1313" s="1"/>
      <c r="AA1313" s="1"/>
      <c r="AB1313" s="1"/>
      <c r="AC1313" s="1"/>
      <c r="AD1313" s="1">
        <f>IF($C1313="",0,SUMPRODUCT((AY_SONU!$O$7:$O$42="Evet")*(AY_SONU!$B$7:$B$42=DATE(YEAR($C1313),MONTH($C1313),1))))</f>
        <v>0</v>
      </c>
      <c r="AE1313" s="1" t="str">
        <f>IF($E1313="","",$E1313&amp;"|"&amp;COUNTIFS($E$7:$E1313,$E1313))</f>
        <v/>
      </c>
    </row>
    <row r="1314" spans="1:31" ht="18" customHeight="1" x14ac:dyDescent="0.3">
      <c r="A1314" s="2"/>
      <c r="B1314" s="65" t="str">
        <f>IF($C1314="","","GG"&amp;TEXT(ROW()-6,"00000"))</f>
        <v/>
      </c>
      <c r="C1314" s="66"/>
      <c r="D1314" s="60"/>
      <c r="E1314" s="61"/>
      <c r="F1314" s="61"/>
      <c r="G1314" s="67"/>
      <c r="H1314" s="60"/>
      <c r="I1314" s="60"/>
      <c r="J1314" s="61"/>
      <c r="K1314" s="61"/>
      <c r="L1314" s="60"/>
      <c r="M1314" s="74" t="str">
        <f>IF($C1314="","",IF($D1314="Gider",$E1314,IF($L1314&lt;&gt;"",$L1314,$H1314)))</f>
        <v/>
      </c>
      <c r="N1314" s="74" t="str">
        <f>IF($C1314="","",IF($D1314="Gider",$H1314,$E1314))</f>
        <v/>
      </c>
      <c r="O1314" s="73" t="str">
        <f>IF($C1314="","",DATE(YEAR($C1314),MONTH($C1314),1))</f>
        <v/>
      </c>
      <c r="P1314" s="65" t="str">
        <f ca="1">IF($C1314="","",IF(AND($D1314="Gelir",$L1314&lt;&gt;"",$T1314=""),"TANIMSIZ BORÇLU",IF($T1314&lt;&gt;"",IF(OR($E1314="",$G1314&lt;=0),"EKSİK",IF($I1314="Evet","TAHAKKUK NAKİT OLAMAZ",IF($C1314&gt;TODAY(),"İLERİ TARİH","TAHAKKUK"))),IF(AND($D1314&lt;&gt;"",$E1314&lt;&gt;"",$G1314&gt;0,$H1314&lt;&gt;"",$I1314&lt;&gt;""),IF($C1314&gt;TODAY(),"İLERİ TARİH",IF(COUNTIF($W$7:$W$3001,$W1314)&gt;1,"MÜKERRER?",IF($AD1314&gt;0,"KAPALI DÖNEM",IF($I1314="Hayır","ÖDENECEK","UYGUN")))),"EKSİK"))))</f>
        <v/>
      </c>
      <c r="Q1314" s="2"/>
      <c r="R1314" s="2"/>
      <c r="S1314" s="1" t="str">
        <f t="shared" si="62"/>
        <v/>
      </c>
      <c r="T1314" s="1" t="str">
        <f>IF(OR($C1314="",$D1314&lt;&gt;"Gelir",$L1314=""),"",IFERROR(INDEX(MUSTERILER!$B$7:$B$156,MATCH($S1314,MUSTERILER!$T$7:$T$156,0)),""))</f>
        <v/>
      </c>
      <c r="U1314" s="1" t="str">
        <f>IF($T1314="","",$T1314&amp;"|"&amp;COUNTIFS($T$7:$T1314,$T1314))</f>
        <v/>
      </c>
      <c r="V1314" s="1">
        <f t="shared" si="63"/>
        <v>0</v>
      </c>
      <c r="W1314" s="1" t="str">
        <f t="shared" si="64"/>
        <v/>
      </c>
      <c r="X1314" s="1"/>
      <c r="Y1314" s="1"/>
      <c r="Z1314" s="1"/>
      <c r="AA1314" s="1"/>
      <c r="AB1314" s="1"/>
      <c r="AC1314" s="1"/>
      <c r="AD1314" s="1">
        <f>IF($C1314="",0,SUMPRODUCT((AY_SONU!$O$7:$O$42="Evet")*(AY_SONU!$B$7:$B$42=DATE(YEAR($C1314),MONTH($C1314),1))))</f>
        <v>0</v>
      </c>
      <c r="AE1314" s="1" t="str">
        <f>IF($E1314="","",$E1314&amp;"|"&amp;COUNTIFS($E$7:$E1314,$E1314))</f>
        <v/>
      </c>
    </row>
    <row r="1315" spans="1:31" ht="18" customHeight="1" x14ac:dyDescent="0.3">
      <c r="A1315" s="2"/>
      <c r="B1315" s="65" t="str">
        <f>IF($C1315="","","GG"&amp;TEXT(ROW()-6,"00000"))</f>
        <v/>
      </c>
      <c r="C1315" s="66"/>
      <c r="D1315" s="60"/>
      <c r="E1315" s="61"/>
      <c r="F1315" s="61"/>
      <c r="G1315" s="67"/>
      <c r="H1315" s="60"/>
      <c r="I1315" s="60"/>
      <c r="J1315" s="61"/>
      <c r="K1315" s="61"/>
      <c r="L1315" s="60"/>
      <c r="M1315" s="74" t="str">
        <f>IF($C1315="","",IF($D1315="Gider",$E1315,IF($L1315&lt;&gt;"",$L1315,$H1315)))</f>
        <v/>
      </c>
      <c r="N1315" s="74" t="str">
        <f>IF($C1315="","",IF($D1315="Gider",$H1315,$E1315))</f>
        <v/>
      </c>
      <c r="O1315" s="73" t="str">
        <f>IF($C1315="","",DATE(YEAR($C1315),MONTH($C1315),1))</f>
        <v/>
      </c>
      <c r="P1315" s="65" t="str">
        <f ca="1">IF($C1315="","",IF(AND($D1315="Gelir",$L1315&lt;&gt;"",$T1315=""),"TANIMSIZ BORÇLU",IF($T1315&lt;&gt;"",IF(OR($E1315="",$G1315&lt;=0),"EKSİK",IF($I1315="Evet","TAHAKKUK NAKİT OLAMAZ",IF($C1315&gt;TODAY(),"İLERİ TARİH","TAHAKKUK"))),IF(AND($D1315&lt;&gt;"",$E1315&lt;&gt;"",$G1315&gt;0,$H1315&lt;&gt;"",$I1315&lt;&gt;""),IF($C1315&gt;TODAY(),"İLERİ TARİH",IF(COUNTIF($W$7:$W$3001,$W1315)&gt;1,"MÜKERRER?",IF($AD1315&gt;0,"KAPALI DÖNEM",IF($I1315="Hayır","ÖDENECEK","UYGUN")))),"EKSİK"))))</f>
        <v/>
      </c>
      <c r="Q1315" s="2"/>
      <c r="R1315" s="2"/>
      <c r="S1315" s="1" t="str">
        <f t="shared" si="62"/>
        <v/>
      </c>
      <c r="T1315" s="1" t="str">
        <f>IF(OR($C1315="",$D1315&lt;&gt;"Gelir",$L1315=""),"",IFERROR(INDEX(MUSTERILER!$B$7:$B$156,MATCH($S1315,MUSTERILER!$T$7:$T$156,0)),""))</f>
        <v/>
      </c>
      <c r="U1315" s="1" t="str">
        <f>IF($T1315="","",$T1315&amp;"|"&amp;COUNTIFS($T$7:$T1315,$T1315))</f>
        <v/>
      </c>
      <c r="V1315" s="1">
        <f t="shared" si="63"/>
        <v>0</v>
      </c>
      <c r="W1315" s="1" t="str">
        <f t="shared" si="64"/>
        <v/>
      </c>
      <c r="X1315" s="1"/>
      <c r="Y1315" s="1"/>
      <c r="Z1315" s="1"/>
      <c r="AA1315" s="1"/>
      <c r="AB1315" s="1"/>
      <c r="AC1315" s="1"/>
      <c r="AD1315" s="1">
        <f>IF($C1315="",0,SUMPRODUCT((AY_SONU!$O$7:$O$42="Evet")*(AY_SONU!$B$7:$B$42=DATE(YEAR($C1315),MONTH($C1315),1))))</f>
        <v>0</v>
      </c>
      <c r="AE1315" s="1" t="str">
        <f>IF($E1315="","",$E1315&amp;"|"&amp;COUNTIFS($E$7:$E1315,$E1315))</f>
        <v/>
      </c>
    </row>
    <row r="1316" spans="1:31" ht="18" customHeight="1" x14ac:dyDescent="0.3">
      <c r="A1316" s="2"/>
      <c r="B1316" s="65" t="str">
        <f>IF($C1316="","","GG"&amp;TEXT(ROW()-6,"00000"))</f>
        <v/>
      </c>
      <c r="C1316" s="66"/>
      <c r="D1316" s="60"/>
      <c r="E1316" s="61"/>
      <c r="F1316" s="61"/>
      <c r="G1316" s="67"/>
      <c r="H1316" s="60"/>
      <c r="I1316" s="60"/>
      <c r="J1316" s="61"/>
      <c r="K1316" s="61"/>
      <c r="L1316" s="60"/>
      <c r="M1316" s="74" t="str">
        <f>IF($C1316="","",IF($D1316="Gider",$E1316,IF($L1316&lt;&gt;"",$L1316,$H1316)))</f>
        <v/>
      </c>
      <c r="N1316" s="74" t="str">
        <f>IF($C1316="","",IF($D1316="Gider",$H1316,$E1316))</f>
        <v/>
      </c>
      <c r="O1316" s="73" t="str">
        <f>IF($C1316="","",DATE(YEAR($C1316),MONTH($C1316),1))</f>
        <v/>
      </c>
      <c r="P1316" s="65" t="str">
        <f ca="1">IF($C1316="","",IF(AND($D1316="Gelir",$L1316&lt;&gt;"",$T1316=""),"TANIMSIZ BORÇLU",IF($T1316&lt;&gt;"",IF(OR($E1316="",$G1316&lt;=0),"EKSİK",IF($I1316="Evet","TAHAKKUK NAKİT OLAMAZ",IF($C1316&gt;TODAY(),"İLERİ TARİH","TAHAKKUK"))),IF(AND($D1316&lt;&gt;"",$E1316&lt;&gt;"",$G1316&gt;0,$H1316&lt;&gt;"",$I1316&lt;&gt;""),IF($C1316&gt;TODAY(),"İLERİ TARİH",IF(COUNTIF($W$7:$W$3001,$W1316)&gt;1,"MÜKERRER?",IF($AD1316&gt;0,"KAPALI DÖNEM",IF($I1316="Hayır","ÖDENECEK","UYGUN")))),"EKSİK"))))</f>
        <v/>
      </c>
      <c r="Q1316" s="2"/>
      <c r="R1316" s="2"/>
      <c r="S1316" s="1" t="str">
        <f t="shared" si="62"/>
        <v/>
      </c>
      <c r="T1316" s="1" t="str">
        <f>IF(OR($C1316="",$D1316&lt;&gt;"Gelir",$L1316=""),"",IFERROR(INDEX(MUSTERILER!$B$7:$B$156,MATCH($S1316,MUSTERILER!$T$7:$T$156,0)),""))</f>
        <v/>
      </c>
      <c r="U1316" s="1" t="str">
        <f>IF($T1316="","",$T1316&amp;"|"&amp;COUNTIFS($T$7:$T1316,$T1316))</f>
        <v/>
      </c>
      <c r="V1316" s="1">
        <f t="shared" si="63"/>
        <v>0</v>
      </c>
      <c r="W1316" s="1" t="str">
        <f t="shared" si="64"/>
        <v/>
      </c>
      <c r="X1316" s="1"/>
      <c r="Y1316" s="1"/>
      <c r="Z1316" s="1"/>
      <c r="AA1316" s="1"/>
      <c r="AB1316" s="1"/>
      <c r="AC1316" s="1"/>
      <c r="AD1316" s="1">
        <f>IF($C1316="",0,SUMPRODUCT((AY_SONU!$O$7:$O$42="Evet")*(AY_SONU!$B$7:$B$42=DATE(YEAR($C1316),MONTH($C1316),1))))</f>
        <v>0</v>
      </c>
      <c r="AE1316" s="1" t="str">
        <f>IF($E1316="","",$E1316&amp;"|"&amp;COUNTIFS($E$7:$E1316,$E1316))</f>
        <v/>
      </c>
    </row>
    <row r="1317" spans="1:31" ht="18" customHeight="1" x14ac:dyDescent="0.3">
      <c r="A1317" s="2"/>
      <c r="B1317" s="65" t="str">
        <f>IF($C1317="","","GG"&amp;TEXT(ROW()-6,"00000"))</f>
        <v/>
      </c>
      <c r="C1317" s="66"/>
      <c r="D1317" s="60"/>
      <c r="E1317" s="61"/>
      <c r="F1317" s="61"/>
      <c r="G1317" s="67"/>
      <c r="H1317" s="60"/>
      <c r="I1317" s="60"/>
      <c r="J1317" s="61"/>
      <c r="K1317" s="61"/>
      <c r="L1317" s="60"/>
      <c r="M1317" s="74" t="str">
        <f>IF($C1317="","",IF($D1317="Gider",$E1317,IF($L1317&lt;&gt;"",$L1317,$H1317)))</f>
        <v/>
      </c>
      <c r="N1317" s="74" t="str">
        <f>IF($C1317="","",IF($D1317="Gider",$H1317,$E1317))</f>
        <v/>
      </c>
      <c r="O1317" s="73" t="str">
        <f>IF($C1317="","",DATE(YEAR($C1317),MONTH($C1317),1))</f>
        <v/>
      </c>
      <c r="P1317" s="65" t="str">
        <f ca="1">IF($C1317="","",IF(AND($D1317="Gelir",$L1317&lt;&gt;"",$T1317=""),"TANIMSIZ BORÇLU",IF($T1317&lt;&gt;"",IF(OR($E1317="",$G1317&lt;=0),"EKSİK",IF($I1317="Evet","TAHAKKUK NAKİT OLAMAZ",IF($C1317&gt;TODAY(),"İLERİ TARİH","TAHAKKUK"))),IF(AND($D1317&lt;&gt;"",$E1317&lt;&gt;"",$G1317&gt;0,$H1317&lt;&gt;"",$I1317&lt;&gt;""),IF($C1317&gt;TODAY(),"İLERİ TARİH",IF(COUNTIF($W$7:$W$3001,$W1317)&gt;1,"MÜKERRER?",IF($AD1317&gt;0,"KAPALI DÖNEM",IF($I1317="Hayır","ÖDENECEK","UYGUN")))),"EKSİK"))))</f>
        <v/>
      </c>
      <c r="Q1317" s="2"/>
      <c r="R1317" s="2"/>
      <c r="S1317" s="1" t="str">
        <f t="shared" si="62"/>
        <v/>
      </c>
      <c r="T1317" s="1" t="str">
        <f>IF(OR($C1317="",$D1317&lt;&gt;"Gelir",$L1317=""),"",IFERROR(INDEX(MUSTERILER!$B$7:$B$156,MATCH($S1317,MUSTERILER!$T$7:$T$156,0)),""))</f>
        <v/>
      </c>
      <c r="U1317" s="1" t="str">
        <f>IF($T1317="","",$T1317&amp;"|"&amp;COUNTIFS($T$7:$T1317,$T1317))</f>
        <v/>
      </c>
      <c r="V1317" s="1">
        <f t="shared" si="63"/>
        <v>0</v>
      </c>
      <c r="W1317" s="1" t="str">
        <f t="shared" si="64"/>
        <v/>
      </c>
      <c r="X1317" s="1"/>
      <c r="Y1317" s="1"/>
      <c r="Z1317" s="1"/>
      <c r="AA1317" s="1"/>
      <c r="AB1317" s="1"/>
      <c r="AC1317" s="1"/>
      <c r="AD1317" s="1">
        <f>IF($C1317="",0,SUMPRODUCT((AY_SONU!$O$7:$O$42="Evet")*(AY_SONU!$B$7:$B$42=DATE(YEAR($C1317),MONTH($C1317),1))))</f>
        <v>0</v>
      </c>
      <c r="AE1317" s="1" t="str">
        <f>IF($E1317="","",$E1317&amp;"|"&amp;COUNTIFS($E$7:$E1317,$E1317))</f>
        <v/>
      </c>
    </row>
    <row r="1318" spans="1:31" ht="18" customHeight="1" x14ac:dyDescent="0.3">
      <c r="A1318" s="2"/>
      <c r="B1318" s="65" t="str">
        <f>IF($C1318="","","GG"&amp;TEXT(ROW()-6,"00000"))</f>
        <v/>
      </c>
      <c r="C1318" s="66"/>
      <c r="D1318" s="60"/>
      <c r="E1318" s="61"/>
      <c r="F1318" s="61"/>
      <c r="G1318" s="67"/>
      <c r="H1318" s="60"/>
      <c r="I1318" s="60"/>
      <c r="J1318" s="61"/>
      <c r="K1318" s="61"/>
      <c r="L1318" s="60"/>
      <c r="M1318" s="74" t="str">
        <f>IF($C1318="","",IF($D1318="Gider",$E1318,IF($L1318&lt;&gt;"",$L1318,$H1318)))</f>
        <v/>
      </c>
      <c r="N1318" s="74" t="str">
        <f>IF($C1318="","",IF($D1318="Gider",$H1318,$E1318))</f>
        <v/>
      </c>
      <c r="O1318" s="73" t="str">
        <f>IF($C1318="","",DATE(YEAR($C1318),MONTH($C1318),1))</f>
        <v/>
      </c>
      <c r="P1318" s="65" t="str">
        <f ca="1">IF($C1318="","",IF(AND($D1318="Gelir",$L1318&lt;&gt;"",$T1318=""),"TANIMSIZ BORÇLU",IF($T1318&lt;&gt;"",IF(OR($E1318="",$G1318&lt;=0),"EKSİK",IF($I1318="Evet","TAHAKKUK NAKİT OLAMAZ",IF($C1318&gt;TODAY(),"İLERİ TARİH","TAHAKKUK"))),IF(AND($D1318&lt;&gt;"",$E1318&lt;&gt;"",$G1318&gt;0,$H1318&lt;&gt;"",$I1318&lt;&gt;""),IF($C1318&gt;TODAY(),"İLERİ TARİH",IF(COUNTIF($W$7:$W$3001,$W1318)&gt;1,"MÜKERRER?",IF($AD1318&gt;0,"KAPALI DÖNEM",IF($I1318="Hayır","ÖDENECEK","UYGUN")))),"EKSİK"))))</f>
        <v/>
      </c>
      <c r="Q1318" s="2"/>
      <c r="R1318" s="2"/>
      <c r="S1318" s="1" t="str">
        <f t="shared" si="62"/>
        <v/>
      </c>
      <c r="T1318" s="1" t="str">
        <f>IF(OR($C1318="",$D1318&lt;&gt;"Gelir",$L1318=""),"",IFERROR(INDEX(MUSTERILER!$B$7:$B$156,MATCH($S1318,MUSTERILER!$T$7:$T$156,0)),""))</f>
        <v/>
      </c>
      <c r="U1318" s="1" t="str">
        <f>IF($T1318="","",$T1318&amp;"|"&amp;COUNTIFS($T$7:$T1318,$T1318))</f>
        <v/>
      </c>
      <c r="V1318" s="1">
        <f t="shared" si="63"/>
        <v>0</v>
      </c>
      <c r="W1318" s="1" t="str">
        <f t="shared" si="64"/>
        <v/>
      </c>
      <c r="X1318" s="1"/>
      <c r="Y1318" s="1"/>
      <c r="Z1318" s="1"/>
      <c r="AA1318" s="1"/>
      <c r="AB1318" s="1"/>
      <c r="AC1318" s="1"/>
      <c r="AD1318" s="1">
        <f>IF($C1318="",0,SUMPRODUCT((AY_SONU!$O$7:$O$42="Evet")*(AY_SONU!$B$7:$B$42=DATE(YEAR($C1318),MONTH($C1318),1))))</f>
        <v>0</v>
      </c>
      <c r="AE1318" s="1" t="str">
        <f>IF($E1318="","",$E1318&amp;"|"&amp;COUNTIFS($E$7:$E1318,$E1318))</f>
        <v/>
      </c>
    </row>
    <row r="1319" spans="1:31" ht="18" customHeight="1" x14ac:dyDescent="0.3">
      <c r="A1319" s="2"/>
      <c r="B1319" s="65" t="str">
        <f>IF($C1319="","","GG"&amp;TEXT(ROW()-6,"00000"))</f>
        <v/>
      </c>
      <c r="C1319" s="66"/>
      <c r="D1319" s="60"/>
      <c r="E1319" s="61"/>
      <c r="F1319" s="61"/>
      <c r="G1319" s="67"/>
      <c r="H1319" s="60"/>
      <c r="I1319" s="60"/>
      <c r="J1319" s="61"/>
      <c r="K1319" s="61"/>
      <c r="L1319" s="60"/>
      <c r="M1319" s="74" t="str">
        <f>IF($C1319="","",IF($D1319="Gider",$E1319,IF($L1319&lt;&gt;"",$L1319,$H1319)))</f>
        <v/>
      </c>
      <c r="N1319" s="74" t="str">
        <f>IF($C1319="","",IF($D1319="Gider",$H1319,$E1319))</f>
        <v/>
      </c>
      <c r="O1319" s="73" t="str">
        <f>IF($C1319="","",DATE(YEAR($C1319),MONTH($C1319),1))</f>
        <v/>
      </c>
      <c r="P1319" s="65" t="str">
        <f ca="1">IF($C1319="","",IF(AND($D1319="Gelir",$L1319&lt;&gt;"",$T1319=""),"TANIMSIZ BORÇLU",IF($T1319&lt;&gt;"",IF(OR($E1319="",$G1319&lt;=0),"EKSİK",IF($I1319="Evet","TAHAKKUK NAKİT OLAMAZ",IF($C1319&gt;TODAY(),"İLERİ TARİH","TAHAKKUK"))),IF(AND($D1319&lt;&gt;"",$E1319&lt;&gt;"",$G1319&gt;0,$H1319&lt;&gt;"",$I1319&lt;&gt;""),IF($C1319&gt;TODAY(),"İLERİ TARİH",IF(COUNTIF($W$7:$W$3001,$W1319)&gt;1,"MÜKERRER?",IF($AD1319&gt;0,"KAPALI DÖNEM",IF($I1319="Hayır","ÖDENECEK","UYGUN")))),"EKSİK"))))</f>
        <v/>
      </c>
      <c r="Q1319" s="2"/>
      <c r="R1319" s="2"/>
      <c r="S1319" s="1" t="str">
        <f t="shared" si="62"/>
        <v/>
      </c>
      <c r="T1319" s="1" t="str">
        <f>IF(OR($C1319="",$D1319&lt;&gt;"Gelir",$L1319=""),"",IFERROR(INDEX(MUSTERILER!$B$7:$B$156,MATCH($S1319,MUSTERILER!$T$7:$T$156,0)),""))</f>
        <v/>
      </c>
      <c r="U1319" s="1" t="str">
        <f>IF($T1319="","",$T1319&amp;"|"&amp;COUNTIFS($T$7:$T1319,$T1319))</f>
        <v/>
      </c>
      <c r="V1319" s="1">
        <f t="shared" si="63"/>
        <v>0</v>
      </c>
      <c r="W1319" s="1" t="str">
        <f t="shared" si="64"/>
        <v/>
      </c>
      <c r="X1319" s="1"/>
      <c r="Y1319" s="1"/>
      <c r="Z1319" s="1"/>
      <c r="AA1319" s="1"/>
      <c r="AB1319" s="1"/>
      <c r="AC1319" s="1"/>
      <c r="AD1319" s="1">
        <f>IF($C1319="",0,SUMPRODUCT((AY_SONU!$O$7:$O$42="Evet")*(AY_SONU!$B$7:$B$42=DATE(YEAR($C1319),MONTH($C1319),1))))</f>
        <v>0</v>
      </c>
      <c r="AE1319" s="1" t="str">
        <f>IF($E1319="","",$E1319&amp;"|"&amp;COUNTIFS($E$7:$E1319,$E1319))</f>
        <v/>
      </c>
    </row>
    <row r="1320" spans="1:31" ht="18" customHeight="1" x14ac:dyDescent="0.3">
      <c r="A1320" s="2"/>
      <c r="B1320" s="65" t="str">
        <f>IF($C1320="","","GG"&amp;TEXT(ROW()-6,"00000"))</f>
        <v/>
      </c>
      <c r="C1320" s="66"/>
      <c r="D1320" s="60"/>
      <c r="E1320" s="61"/>
      <c r="F1320" s="61"/>
      <c r="G1320" s="67"/>
      <c r="H1320" s="60"/>
      <c r="I1320" s="60"/>
      <c r="J1320" s="61"/>
      <c r="K1320" s="61"/>
      <c r="L1320" s="60"/>
      <c r="M1320" s="74" t="str">
        <f>IF($C1320="","",IF($D1320="Gider",$E1320,IF($L1320&lt;&gt;"",$L1320,$H1320)))</f>
        <v/>
      </c>
      <c r="N1320" s="74" t="str">
        <f>IF($C1320="","",IF($D1320="Gider",$H1320,$E1320))</f>
        <v/>
      </c>
      <c r="O1320" s="73" t="str">
        <f>IF($C1320="","",DATE(YEAR($C1320),MONTH($C1320),1))</f>
        <v/>
      </c>
      <c r="P1320" s="65" t="str">
        <f ca="1">IF($C1320="","",IF(AND($D1320="Gelir",$L1320&lt;&gt;"",$T1320=""),"TANIMSIZ BORÇLU",IF($T1320&lt;&gt;"",IF(OR($E1320="",$G1320&lt;=0),"EKSİK",IF($I1320="Evet","TAHAKKUK NAKİT OLAMAZ",IF($C1320&gt;TODAY(),"İLERİ TARİH","TAHAKKUK"))),IF(AND($D1320&lt;&gt;"",$E1320&lt;&gt;"",$G1320&gt;0,$H1320&lt;&gt;"",$I1320&lt;&gt;""),IF($C1320&gt;TODAY(),"İLERİ TARİH",IF(COUNTIF($W$7:$W$3001,$W1320)&gt;1,"MÜKERRER?",IF($AD1320&gt;0,"KAPALI DÖNEM",IF($I1320="Hayır","ÖDENECEK","UYGUN")))),"EKSİK"))))</f>
        <v/>
      </c>
      <c r="Q1320" s="2"/>
      <c r="R1320" s="2"/>
      <c r="S1320" s="1" t="str">
        <f t="shared" si="62"/>
        <v/>
      </c>
      <c r="T1320" s="1" t="str">
        <f>IF(OR($C1320="",$D1320&lt;&gt;"Gelir",$L1320=""),"",IFERROR(INDEX(MUSTERILER!$B$7:$B$156,MATCH($S1320,MUSTERILER!$T$7:$T$156,0)),""))</f>
        <v/>
      </c>
      <c r="U1320" s="1" t="str">
        <f>IF($T1320="","",$T1320&amp;"|"&amp;COUNTIFS($T$7:$T1320,$T1320))</f>
        <v/>
      </c>
      <c r="V1320" s="1">
        <f t="shared" si="63"/>
        <v>0</v>
      </c>
      <c r="W1320" s="1" t="str">
        <f t="shared" si="64"/>
        <v/>
      </c>
      <c r="X1320" s="1"/>
      <c r="Y1320" s="1"/>
      <c r="Z1320" s="1"/>
      <c r="AA1320" s="1"/>
      <c r="AB1320" s="1"/>
      <c r="AC1320" s="1"/>
      <c r="AD1320" s="1">
        <f>IF($C1320="",0,SUMPRODUCT((AY_SONU!$O$7:$O$42="Evet")*(AY_SONU!$B$7:$B$42=DATE(YEAR($C1320),MONTH($C1320),1))))</f>
        <v>0</v>
      </c>
      <c r="AE1320" s="1" t="str">
        <f>IF($E1320="","",$E1320&amp;"|"&amp;COUNTIFS($E$7:$E1320,$E1320))</f>
        <v/>
      </c>
    </row>
    <row r="1321" spans="1:31" ht="18" customHeight="1" x14ac:dyDescent="0.3">
      <c r="A1321" s="2"/>
      <c r="B1321" s="65" t="str">
        <f>IF($C1321="","","GG"&amp;TEXT(ROW()-6,"00000"))</f>
        <v/>
      </c>
      <c r="C1321" s="66"/>
      <c r="D1321" s="60"/>
      <c r="E1321" s="61"/>
      <c r="F1321" s="61"/>
      <c r="G1321" s="67"/>
      <c r="H1321" s="60"/>
      <c r="I1321" s="60"/>
      <c r="J1321" s="61"/>
      <c r="K1321" s="61"/>
      <c r="L1321" s="60"/>
      <c r="M1321" s="74" t="str">
        <f>IF($C1321="","",IF($D1321="Gider",$E1321,IF($L1321&lt;&gt;"",$L1321,$H1321)))</f>
        <v/>
      </c>
      <c r="N1321" s="74" t="str">
        <f>IF($C1321="","",IF($D1321="Gider",$H1321,$E1321))</f>
        <v/>
      </c>
      <c r="O1321" s="73" t="str">
        <f>IF($C1321="","",DATE(YEAR($C1321),MONTH($C1321),1))</f>
        <v/>
      </c>
      <c r="P1321" s="65" t="str">
        <f ca="1">IF($C1321="","",IF(AND($D1321="Gelir",$L1321&lt;&gt;"",$T1321=""),"TANIMSIZ BORÇLU",IF($T1321&lt;&gt;"",IF(OR($E1321="",$G1321&lt;=0),"EKSİK",IF($I1321="Evet","TAHAKKUK NAKİT OLAMAZ",IF($C1321&gt;TODAY(),"İLERİ TARİH","TAHAKKUK"))),IF(AND($D1321&lt;&gt;"",$E1321&lt;&gt;"",$G1321&gt;0,$H1321&lt;&gt;"",$I1321&lt;&gt;""),IF($C1321&gt;TODAY(),"İLERİ TARİH",IF(COUNTIF($W$7:$W$3001,$W1321)&gt;1,"MÜKERRER?",IF($AD1321&gt;0,"KAPALI DÖNEM",IF($I1321="Hayır","ÖDENECEK","UYGUN")))),"EKSİK"))))</f>
        <v/>
      </c>
      <c r="Q1321" s="2"/>
      <c r="R1321" s="2"/>
      <c r="S1321" s="1" t="str">
        <f t="shared" si="62"/>
        <v/>
      </c>
      <c r="T1321" s="1" t="str">
        <f>IF(OR($C1321="",$D1321&lt;&gt;"Gelir",$L1321=""),"",IFERROR(INDEX(MUSTERILER!$B$7:$B$156,MATCH($S1321,MUSTERILER!$T$7:$T$156,0)),""))</f>
        <v/>
      </c>
      <c r="U1321" s="1" t="str">
        <f>IF($T1321="","",$T1321&amp;"|"&amp;COUNTIFS($T$7:$T1321,$T1321))</f>
        <v/>
      </c>
      <c r="V1321" s="1">
        <f t="shared" si="63"/>
        <v>0</v>
      </c>
      <c r="W1321" s="1" t="str">
        <f t="shared" si="64"/>
        <v/>
      </c>
      <c r="X1321" s="1"/>
      <c r="Y1321" s="1"/>
      <c r="Z1321" s="1"/>
      <c r="AA1321" s="1"/>
      <c r="AB1321" s="1"/>
      <c r="AC1321" s="1"/>
      <c r="AD1321" s="1">
        <f>IF($C1321="",0,SUMPRODUCT((AY_SONU!$O$7:$O$42="Evet")*(AY_SONU!$B$7:$B$42=DATE(YEAR($C1321),MONTH($C1321),1))))</f>
        <v>0</v>
      </c>
      <c r="AE1321" s="1" t="str">
        <f>IF($E1321="","",$E1321&amp;"|"&amp;COUNTIFS($E$7:$E1321,$E1321))</f>
        <v/>
      </c>
    </row>
    <row r="1322" spans="1:31" ht="18" customHeight="1" x14ac:dyDescent="0.3">
      <c r="A1322" s="2"/>
      <c r="B1322" s="65" t="str">
        <f>IF($C1322="","","GG"&amp;TEXT(ROW()-6,"00000"))</f>
        <v/>
      </c>
      <c r="C1322" s="66"/>
      <c r="D1322" s="60"/>
      <c r="E1322" s="61"/>
      <c r="F1322" s="61"/>
      <c r="G1322" s="67"/>
      <c r="H1322" s="60"/>
      <c r="I1322" s="60"/>
      <c r="J1322" s="61"/>
      <c r="K1322" s="61"/>
      <c r="L1322" s="60"/>
      <c r="M1322" s="74" t="str">
        <f>IF($C1322="","",IF($D1322="Gider",$E1322,IF($L1322&lt;&gt;"",$L1322,$H1322)))</f>
        <v/>
      </c>
      <c r="N1322" s="74" t="str">
        <f>IF($C1322="","",IF($D1322="Gider",$H1322,$E1322))</f>
        <v/>
      </c>
      <c r="O1322" s="73" t="str">
        <f>IF($C1322="","",DATE(YEAR($C1322),MONTH($C1322),1))</f>
        <v/>
      </c>
      <c r="P1322" s="65" t="str">
        <f ca="1">IF($C1322="","",IF(AND($D1322="Gelir",$L1322&lt;&gt;"",$T1322=""),"TANIMSIZ BORÇLU",IF($T1322&lt;&gt;"",IF(OR($E1322="",$G1322&lt;=0),"EKSİK",IF($I1322="Evet","TAHAKKUK NAKİT OLAMAZ",IF($C1322&gt;TODAY(),"İLERİ TARİH","TAHAKKUK"))),IF(AND($D1322&lt;&gt;"",$E1322&lt;&gt;"",$G1322&gt;0,$H1322&lt;&gt;"",$I1322&lt;&gt;""),IF($C1322&gt;TODAY(),"İLERİ TARİH",IF(COUNTIF($W$7:$W$3001,$W1322)&gt;1,"MÜKERRER?",IF($AD1322&gt;0,"KAPALI DÖNEM",IF($I1322="Hayır","ÖDENECEK","UYGUN")))),"EKSİK"))))</f>
        <v/>
      </c>
      <c r="Q1322" s="2"/>
      <c r="R1322" s="2"/>
      <c r="S1322" s="1" t="str">
        <f t="shared" si="62"/>
        <v/>
      </c>
      <c r="T1322" s="1" t="str">
        <f>IF(OR($C1322="",$D1322&lt;&gt;"Gelir",$L1322=""),"",IFERROR(INDEX(MUSTERILER!$B$7:$B$156,MATCH($S1322,MUSTERILER!$T$7:$T$156,0)),""))</f>
        <v/>
      </c>
      <c r="U1322" s="1" t="str">
        <f>IF($T1322="","",$T1322&amp;"|"&amp;COUNTIFS($T$7:$T1322,$T1322))</f>
        <v/>
      </c>
      <c r="V1322" s="1">
        <f t="shared" si="63"/>
        <v>0</v>
      </c>
      <c r="W1322" s="1" t="str">
        <f t="shared" si="64"/>
        <v/>
      </c>
      <c r="X1322" s="1"/>
      <c r="Y1322" s="1"/>
      <c r="Z1322" s="1"/>
      <c r="AA1322" s="1"/>
      <c r="AB1322" s="1"/>
      <c r="AC1322" s="1"/>
      <c r="AD1322" s="1">
        <f>IF($C1322="",0,SUMPRODUCT((AY_SONU!$O$7:$O$42="Evet")*(AY_SONU!$B$7:$B$42=DATE(YEAR($C1322),MONTH($C1322),1))))</f>
        <v>0</v>
      </c>
      <c r="AE1322" s="1" t="str">
        <f>IF($E1322="","",$E1322&amp;"|"&amp;COUNTIFS($E$7:$E1322,$E1322))</f>
        <v/>
      </c>
    </row>
    <row r="1323" spans="1:31" ht="18" customHeight="1" x14ac:dyDescent="0.3">
      <c r="A1323" s="2"/>
      <c r="B1323" s="65" t="str">
        <f>IF($C1323="","","GG"&amp;TEXT(ROW()-6,"00000"))</f>
        <v/>
      </c>
      <c r="C1323" s="66"/>
      <c r="D1323" s="60"/>
      <c r="E1323" s="61"/>
      <c r="F1323" s="61"/>
      <c r="G1323" s="67"/>
      <c r="H1323" s="60"/>
      <c r="I1323" s="60"/>
      <c r="J1323" s="61"/>
      <c r="K1323" s="61"/>
      <c r="L1323" s="60"/>
      <c r="M1323" s="74" t="str">
        <f>IF($C1323="","",IF($D1323="Gider",$E1323,IF($L1323&lt;&gt;"",$L1323,$H1323)))</f>
        <v/>
      </c>
      <c r="N1323" s="74" t="str">
        <f>IF($C1323="","",IF($D1323="Gider",$H1323,$E1323))</f>
        <v/>
      </c>
      <c r="O1323" s="73" t="str">
        <f>IF($C1323="","",DATE(YEAR($C1323),MONTH($C1323),1))</f>
        <v/>
      </c>
      <c r="P1323" s="65" t="str">
        <f ca="1">IF($C1323="","",IF(AND($D1323="Gelir",$L1323&lt;&gt;"",$T1323=""),"TANIMSIZ BORÇLU",IF($T1323&lt;&gt;"",IF(OR($E1323="",$G1323&lt;=0),"EKSİK",IF($I1323="Evet","TAHAKKUK NAKİT OLAMAZ",IF($C1323&gt;TODAY(),"İLERİ TARİH","TAHAKKUK"))),IF(AND($D1323&lt;&gt;"",$E1323&lt;&gt;"",$G1323&gt;0,$H1323&lt;&gt;"",$I1323&lt;&gt;""),IF($C1323&gt;TODAY(),"İLERİ TARİH",IF(COUNTIF($W$7:$W$3001,$W1323)&gt;1,"MÜKERRER?",IF($AD1323&gt;0,"KAPALI DÖNEM",IF($I1323="Hayır","ÖDENECEK","UYGUN")))),"EKSİK"))))</f>
        <v/>
      </c>
      <c r="Q1323" s="2"/>
      <c r="R1323" s="2"/>
      <c r="S1323" s="1" t="str">
        <f t="shared" si="62"/>
        <v/>
      </c>
      <c r="T1323" s="1" t="str">
        <f>IF(OR($C1323="",$D1323&lt;&gt;"Gelir",$L1323=""),"",IFERROR(INDEX(MUSTERILER!$B$7:$B$156,MATCH($S1323,MUSTERILER!$T$7:$T$156,0)),""))</f>
        <v/>
      </c>
      <c r="U1323" s="1" t="str">
        <f>IF($T1323="","",$T1323&amp;"|"&amp;COUNTIFS($T$7:$T1323,$T1323))</f>
        <v/>
      </c>
      <c r="V1323" s="1">
        <f t="shared" si="63"/>
        <v>0</v>
      </c>
      <c r="W1323" s="1" t="str">
        <f t="shared" si="64"/>
        <v/>
      </c>
      <c r="X1323" s="1"/>
      <c r="Y1323" s="1"/>
      <c r="Z1323" s="1"/>
      <c r="AA1323" s="1"/>
      <c r="AB1323" s="1"/>
      <c r="AC1323" s="1"/>
      <c r="AD1323" s="1">
        <f>IF($C1323="",0,SUMPRODUCT((AY_SONU!$O$7:$O$42="Evet")*(AY_SONU!$B$7:$B$42=DATE(YEAR($C1323),MONTH($C1323),1))))</f>
        <v>0</v>
      </c>
      <c r="AE1323" s="1" t="str">
        <f>IF($E1323="","",$E1323&amp;"|"&amp;COUNTIFS($E$7:$E1323,$E1323))</f>
        <v/>
      </c>
    </row>
    <row r="1324" spans="1:31" ht="18" customHeight="1" x14ac:dyDescent="0.3">
      <c r="A1324" s="2"/>
      <c r="B1324" s="65" t="str">
        <f>IF($C1324="","","GG"&amp;TEXT(ROW()-6,"00000"))</f>
        <v/>
      </c>
      <c r="C1324" s="66"/>
      <c r="D1324" s="60"/>
      <c r="E1324" s="61"/>
      <c r="F1324" s="61"/>
      <c r="G1324" s="67"/>
      <c r="H1324" s="60"/>
      <c r="I1324" s="60"/>
      <c r="J1324" s="61"/>
      <c r="K1324" s="61"/>
      <c r="L1324" s="60"/>
      <c r="M1324" s="74" t="str">
        <f>IF($C1324="","",IF($D1324="Gider",$E1324,IF($L1324&lt;&gt;"",$L1324,$H1324)))</f>
        <v/>
      </c>
      <c r="N1324" s="74" t="str">
        <f>IF($C1324="","",IF($D1324="Gider",$H1324,$E1324))</f>
        <v/>
      </c>
      <c r="O1324" s="73" t="str">
        <f>IF($C1324="","",DATE(YEAR($C1324),MONTH($C1324),1))</f>
        <v/>
      </c>
      <c r="P1324" s="65" t="str">
        <f ca="1">IF($C1324="","",IF(AND($D1324="Gelir",$L1324&lt;&gt;"",$T1324=""),"TANIMSIZ BORÇLU",IF($T1324&lt;&gt;"",IF(OR($E1324="",$G1324&lt;=0),"EKSİK",IF($I1324="Evet","TAHAKKUK NAKİT OLAMAZ",IF($C1324&gt;TODAY(),"İLERİ TARİH","TAHAKKUK"))),IF(AND($D1324&lt;&gt;"",$E1324&lt;&gt;"",$G1324&gt;0,$H1324&lt;&gt;"",$I1324&lt;&gt;""),IF($C1324&gt;TODAY(),"İLERİ TARİH",IF(COUNTIF($W$7:$W$3001,$W1324)&gt;1,"MÜKERRER?",IF($AD1324&gt;0,"KAPALI DÖNEM",IF($I1324="Hayır","ÖDENECEK","UYGUN")))),"EKSİK"))))</f>
        <v/>
      </c>
      <c r="Q1324" s="2"/>
      <c r="R1324" s="2"/>
      <c r="S1324" s="1" t="str">
        <f t="shared" si="62"/>
        <v/>
      </c>
      <c r="T1324" s="1" t="str">
        <f>IF(OR($C1324="",$D1324&lt;&gt;"Gelir",$L1324=""),"",IFERROR(INDEX(MUSTERILER!$B$7:$B$156,MATCH($S1324,MUSTERILER!$T$7:$T$156,0)),""))</f>
        <v/>
      </c>
      <c r="U1324" s="1" t="str">
        <f>IF($T1324="","",$T1324&amp;"|"&amp;COUNTIFS($T$7:$T1324,$T1324))</f>
        <v/>
      </c>
      <c r="V1324" s="1">
        <f t="shared" si="63"/>
        <v>0</v>
      </c>
      <c r="W1324" s="1" t="str">
        <f t="shared" si="64"/>
        <v/>
      </c>
      <c r="X1324" s="1"/>
      <c r="Y1324" s="1"/>
      <c r="Z1324" s="1"/>
      <c r="AA1324" s="1"/>
      <c r="AB1324" s="1"/>
      <c r="AC1324" s="1"/>
      <c r="AD1324" s="1">
        <f>IF($C1324="",0,SUMPRODUCT((AY_SONU!$O$7:$O$42="Evet")*(AY_SONU!$B$7:$B$42=DATE(YEAR($C1324),MONTH($C1324),1))))</f>
        <v>0</v>
      </c>
      <c r="AE1324" s="1" t="str">
        <f>IF($E1324="","",$E1324&amp;"|"&amp;COUNTIFS($E$7:$E1324,$E1324))</f>
        <v/>
      </c>
    </row>
    <row r="1325" spans="1:31" ht="18" customHeight="1" x14ac:dyDescent="0.3">
      <c r="A1325" s="2"/>
      <c r="B1325" s="65" t="str">
        <f>IF($C1325="","","GG"&amp;TEXT(ROW()-6,"00000"))</f>
        <v/>
      </c>
      <c r="C1325" s="66"/>
      <c r="D1325" s="60"/>
      <c r="E1325" s="61"/>
      <c r="F1325" s="61"/>
      <c r="G1325" s="67"/>
      <c r="H1325" s="60"/>
      <c r="I1325" s="60"/>
      <c r="J1325" s="61"/>
      <c r="K1325" s="61"/>
      <c r="L1325" s="60"/>
      <c r="M1325" s="74" t="str">
        <f>IF($C1325="","",IF($D1325="Gider",$E1325,IF($L1325&lt;&gt;"",$L1325,$H1325)))</f>
        <v/>
      </c>
      <c r="N1325" s="74" t="str">
        <f>IF($C1325="","",IF($D1325="Gider",$H1325,$E1325))</f>
        <v/>
      </c>
      <c r="O1325" s="73" t="str">
        <f>IF($C1325="","",DATE(YEAR($C1325),MONTH($C1325),1))</f>
        <v/>
      </c>
      <c r="P1325" s="65" t="str">
        <f ca="1">IF($C1325="","",IF(AND($D1325="Gelir",$L1325&lt;&gt;"",$T1325=""),"TANIMSIZ BORÇLU",IF($T1325&lt;&gt;"",IF(OR($E1325="",$G1325&lt;=0),"EKSİK",IF($I1325="Evet","TAHAKKUK NAKİT OLAMAZ",IF($C1325&gt;TODAY(),"İLERİ TARİH","TAHAKKUK"))),IF(AND($D1325&lt;&gt;"",$E1325&lt;&gt;"",$G1325&gt;0,$H1325&lt;&gt;"",$I1325&lt;&gt;""),IF($C1325&gt;TODAY(),"İLERİ TARİH",IF(COUNTIF($W$7:$W$3001,$W1325)&gt;1,"MÜKERRER?",IF($AD1325&gt;0,"KAPALI DÖNEM",IF($I1325="Hayır","ÖDENECEK","UYGUN")))),"EKSİK"))))</f>
        <v/>
      </c>
      <c r="Q1325" s="2"/>
      <c r="R1325" s="2"/>
      <c r="S1325" s="1" t="str">
        <f t="shared" si="62"/>
        <v/>
      </c>
      <c r="T1325" s="1" t="str">
        <f>IF(OR($C1325="",$D1325&lt;&gt;"Gelir",$L1325=""),"",IFERROR(INDEX(MUSTERILER!$B$7:$B$156,MATCH($S1325,MUSTERILER!$T$7:$T$156,0)),""))</f>
        <v/>
      </c>
      <c r="U1325" s="1" t="str">
        <f>IF($T1325="","",$T1325&amp;"|"&amp;COUNTIFS($T$7:$T1325,$T1325))</f>
        <v/>
      </c>
      <c r="V1325" s="1">
        <f t="shared" si="63"/>
        <v>0</v>
      </c>
      <c r="W1325" s="1" t="str">
        <f t="shared" si="64"/>
        <v/>
      </c>
      <c r="X1325" s="1"/>
      <c r="Y1325" s="1"/>
      <c r="Z1325" s="1"/>
      <c r="AA1325" s="1"/>
      <c r="AB1325" s="1"/>
      <c r="AC1325" s="1"/>
      <c r="AD1325" s="1">
        <f>IF($C1325="",0,SUMPRODUCT((AY_SONU!$O$7:$O$42="Evet")*(AY_SONU!$B$7:$B$42=DATE(YEAR($C1325),MONTH($C1325),1))))</f>
        <v>0</v>
      </c>
      <c r="AE1325" s="1" t="str">
        <f>IF($E1325="","",$E1325&amp;"|"&amp;COUNTIFS($E$7:$E1325,$E1325))</f>
        <v/>
      </c>
    </row>
    <row r="1326" spans="1:31" ht="18" customHeight="1" x14ac:dyDescent="0.3">
      <c r="A1326" s="2"/>
      <c r="B1326" s="65" t="str">
        <f>IF($C1326="","","GG"&amp;TEXT(ROW()-6,"00000"))</f>
        <v/>
      </c>
      <c r="C1326" s="66"/>
      <c r="D1326" s="60"/>
      <c r="E1326" s="61"/>
      <c r="F1326" s="61"/>
      <c r="G1326" s="67"/>
      <c r="H1326" s="60"/>
      <c r="I1326" s="60"/>
      <c r="J1326" s="61"/>
      <c r="K1326" s="61"/>
      <c r="L1326" s="60"/>
      <c r="M1326" s="74" t="str">
        <f>IF($C1326="","",IF($D1326="Gider",$E1326,IF($L1326&lt;&gt;"",$L1326,$H1326)))</f>
        <v/>
      </c>
      <c r="N1326" s="74" t="str">
        <f>IF($C1326="","",IF($D1326="Gider",$H1326,$E1326))</f>
        <v/>
      </c>
      <c r="O1326" s="73" t="str">
        <f>IF($C1326="","",DATE(YEAR($C1326),MONTH($C1326),1))</f>
        <v/>
      </c>
      <c r="P1326" s="65" t="str">
        <f ca="1">IF($C1326="","",IF(AND($D1326="Gelir",$L1326&lt;&gt;"",$T1326=""),"TANIMSIZ BORÇLU",IF($T1326&lt;&gt;"",IF(OR($E1326="",$G1326&lt;=0),"EKSİK",IF($I1326="Evet","TAHAKKUK NAKİT OLAMAZ",IF($C1326&gt;TODAY(),"İLERİ TARİH","TAHAKKUK"))),IF(AND($D1326&lt;&gt;"",$E1326&lt;&gt;"",$G1326&gt;0,$H1326&lt;&gt;"",$I1326&lt;&gt;""),IF($C1326&gt;TODAY(),"İLERİ TARİH",IF(COUNTIF($W$7:$W$3001,$W1326)&gt;1,"MÜKERRER?",IF($AD1326&gt;0,"KAPALI DÖNEM",IF($I1326="Hayır","ÖDENECEK","UYGUN")))),"EKSİK"))))</f>
        <v/>
      </c>
      <c r="Q1326" s="2"/>
      <c r="R1326" s="2"/>
      <c r="S1326" s="1" t="str">
        <f t="shared" si="62"/>
        <v/>
      </c>
      <c r="T1326" s="1" t="str">
        <f>IF(OR($C1326="",$D1326&lt;&gt;"Gelir",$L1326=""),"",IFERROR(INDEX(MUSTERILER!$B$7:$B$156,MATCH($S1326,MUSTERILER!$T$7:$T$156,0)),""))</f>
        <v/>
      </c>
      <c r="U1326" s="1" t="str">
        <f>IF($T1326="","",$T1326&amp;"|"&amp;COUNTIFS($T$7:$T1326,$T1326))</f>
        <v/>
      </c>
      <c r="V1326" s="1">
        <f t="shared" si="63"/>
        <v>0</v>
      </c>
      <c r="W1326" s="1" t="str">
        <f t="shared" si="64"/>
        <v/>
      </c>
      <c r="X1326" s="1"/>
      <c r="Y1326" s="1"/>
      <c r="Z1326" s="1"/>
      <c r="AA1326" s="1"/>
      <c r="AB1326" s="1"/>
      <c r="AC1326" s="1"/>
      <c r="AD1326" s="1">
        <f>IF($C1326="",0,SUMPRODUCT((AY_SONU!$O$7:$O$42="Evet")*(AY_SONU!$B$7:$B$42=DATE(YEAR($C1326),MONTH($C1326),1))))</f>
        <v>0</v>
      </c>
      <c r="AE1326" s="1" t="str">
        <f>IF($E1326="","",$E1326&amp;"|"&amp;COUNTIFS($E$7:$E1326,$E1326))</f>
        <v/>
      </c>
    </row>
    <row r="1327" spans="1:31" ht="18" customHeight="1" x14ac:dyDescent="0.3">
      <c r="A1327" s="2"/>
      <c r="B1327" s="65" t="str">
        <f>IF($C1327="","","GG"&amp;TEXT(ROW()-6,"00000"))</f>
        <v/>
      </c>
      <c r="C1327" s="66"/>
      <c r="D1327" s="60"/>
      <c r="E1327" s="61"/>
      <c r="F1327" s="61"/>
      <c r="G1327" s="67"/>
      <c r="H1327" s="60"/>
      <c r="I1327" s="60"/>
      <c r="J1327" s="61"/>
      <c r="K1327" s="61"/>
      <c r="L1327" s="60"/>
      <c r="M1327" s="74" t="str">
        <f>IF($C1327="","",IF($D1327="Gider",$E1327,IF($L1327&lt;&gt;"",$L1327,$H1327)))</f>
        <v/>
      </c>
      <c r="N1327" s="74" t="str">
        <f>IF($C1327="","",IF($D1327="Gider",$H1327,$E1327))</f>
        <v/>
      </c>
      <c r="O1327" s="73" t="str">
        <f>IF($C1327="","",DATE(YEAR($C1327),MONTH($C1327),1))</f>
        <v/>
      </c>
      <c r="P1327" s="65" t="str">
        <f ca="1">IF($C1327="","",IF(AND($D1327="Gelir",$L1327&lt;&gt;"",$T1327=""),"TANIMSIZ BORÇLU",IF($T1327&lt;&gt;"",IF(OR($E1327="",$G1327&lt;=0),"EKSİK",IF($I1327="Evet","TAHAKKUK NAKİT OLAMAZ",IF($C1327&gt;TODAY(),"İLERİ TARİH","TAHAKKUK"))),IF(AND($D1327&lt;&gt;"",$E1327&lt;&gt;"",$G1327&gt;0,$H1327&lt;&gt;"",$I1327&lt;&gt;""),IF($C1327&gt;TODAY(),"İLERİ TARİH",IF(COUNTIF($W$7:$W$3001,$W1327)&gt;1,"MÜKERRER?",IF($AD1327&gt;0,"KAPALI DÖNEM",IF($I1327="Hayır","ÖDENECEK","UYGUN")))),"EKSİK"))))</f>
        <v/>
      </c>
      <c r="Q1327" s="2"/>
      <c r="R1327" s="2"/>
      <c r="S1327" s="1" t="str">
        <f t="shared" si="62"/>
        <v/>
      </c>
      <c r="T1327" s="1" t="str">
        <f>IF(OR($C1327="",$D1327&lt;&gt;"Gelir",$L1327=""),"",IFERROR(INDEX(MUSTERILER!$B$7:$B$156,MATCH($S1327,MUSTERILER!$T$7:$T$156,0)),""))</f>
        <v/>
      </c>
      <c r="U1327" s="1" t="str">
        <f>IF($T1327="","",$T1327&amp;"|"&amp;COUNTIFS($T$7:$T1327,$T1327))</f>
        <v/>
      </c>
      <c r="V1327" s="1">
        <f t="shared" si="63"/>
        <v>0</v>
      </c>
      <c r="W1327" s="1" t="str">
        <f t="shared" si="64"/>
        <v/>
      </c>
      <c r="X1327" s="1"/>
      <c r="Y1327" s="1"/>
      <c r="Z1327" s="1"/>
      <c r="AA1327" s="1"/>
      <c r="AB1327" s="1"/>
      <c r="AC1327" s="1"/>
      <c r="AD1327" s="1">
        <f>IF($C1327="",0,SUMPRODUCT((AY_SONU!$O$7:$O$42="Evet")*(AY_SONU!$B$7:$B$42=DATE(YEAR($C1327),MONTH($C1327),1))))</f>
        <v>0</v>
      </c>
      <c r="AE1327" s="1" t="str">
        <f>IF($E1327="","",$E1327&amp;"|"&amp;COUNTIFS($E$7:$E1327,$E1327))</f>
        <v/>
      </c>
    </row>
    <row r="1328" spans="1:31" ht="18" customHeight="1" x14ac:dyDescent="0.3">
      <c r="A1328" s="2"/>
      <c r="B1328" s="65" t="str">
        <f>IF($C1328="","","GG"&amp;TEXT(ROW()-6,"00000"))</f>
        <v/>
      </c>
      <c r="C1328" s="66"/>
      <c r="D1328" s="60"/>
      <c r="E1328" s="61"/>
      <c r="F1328" s="61"/>
      <c r="G1328" s="67"/>
      <c r="H1328" s="60"/>
      <c r="I1328" s="60"/>
      <c r="J1328" s="61"/>
      <c r="K1328" s="61"/>
      <c r="L1328" s="60"/>
      <c r="M1328" s="74" t="str">
        <f>IF($C1328="","",IF($D1328="Gider",$E1328,IF($L1328&lt;&gt;"",$L1328,$H1328)))</f>
        <v/>
      </c>
      <c r="N1328" s="74" t="str">
        <f>IF($C1328="","",IF($D1328="Gider",$H1328,$E1328))</f>
        <v/>
      </c>
      <c r="O1328" s="73" t="str">
        <f>IF($C1328="","",DATE(YEAR($C1328),MONTH($C1328),1))</f>
        <v/>
      </c>
      <c r="P1328" s="65" t="str">
        <f ca="1">IF($C1328="","",IF(AND($D1328="Gelir",$L1328&lt;&gt;"",$T1328=""),"TANIMSIZ BORÇLU",IF($T1328&lt;&gt;"",IF(OR($E1328="",$G1328&lt;=0),"EKSİK",IF($I1328="Evet","TAHAKKUK NAKİT OLAMAZ",IF($C1328&gt;TODAY(),"İLERİ TARİH","TAHAKKUK"))),IF(AND($D1328&lt;&gt;"",$E1328&lt;&gt;"",$G1328&gt;0,$H1328&lt;&gt;"",$I1328&lt;&gt;""),IF($C1328&gt;TODAY(),"İLERİ TARİH",IF(COUNTIF($W$7:$W$3001,$W1328)&gt;1,"MÜKERRER?",IF($AD1328&gt;0,"KAPALI DÖNEM",IF($I1328="Hayır","ÖDENECEK","UYGUN")))),"EKSİK"))))</f>
        <v/>
      </c>
      <c r="Q1328" s="2"/>
      <c r="R1328" s="2"/>
      <c r="S1328" s="1" t="str">
        <f t="shared" si="62"/>
        <v/>
      </c>
      <c r="T1328" s="1" t="str">
        <f>IF(OR($C1328="",$D1328&lt;&gt;"Gelir",$L1328=""),"",IFERROR(INDEX(MUSTERILER!$B$7:$B$156,MATCH($S1328,MUSTERILER!$T$7:$T$156,0)),""))</f>
        <v/>
      </c>
      <c r="U1328" s="1" t="str">
        <f>IF($T1328="","",$T1328&amp;"|"&amp;COUNTIFS($T$7:$T1328,$T1328))</f>
        <v/>
      </c>
      <c r="V1328" s="1">
        <f t="shared" si="63"/>
        <v>0</v>
      </c>
      <c r="W1328" s="1" t="str">
        <f t="shared" si="64"/>
        <v/>
      </c>
      <c r="X1328" s="1"/>
      <c r="Y1328" s="1"/>
      <c r="Z1328" s="1"/>
      <c r="AA1328" s="1"/>
      <c r="AB1328" s="1"/>
      <c r="AC1328" s="1"/>
      <c r="AD1328" s="1">
        <f>IF($C1328="",0,SUMPRODUCT((AY_SONU!$O$7:$O$42="Evet")*(AY_SONU!$B$7:$B$42=DATE(YEAR($C1328),MONTH($C1328),1))))</f>
        <v>0</v>
      </c>
      <c r="AE1328" s="1" t="str">
        <f>IF($E1328="","",$E1328&amp;"|"&amp;COUNTIFS($E$7:$E1328,$E1328))</f>
        <v/>
      </c>
    </row>
    <row r="1329" spans="1:31" ht="18" customHeight="1" x14ac:dyDescent="0.3">
      <c r="A1329" s="2"/>
      <c r="B1329" s="65" t="str">
        <f>IF($C1329="","","GG"&amp;TEXT(ROW()-6,"00000"))</f>
        <v/>
      </c>
      <c r="C1329" s="66"/>
      <c r="D1329" s="60"/>
      <c r="E1329" s="61"/>
      <c r="F1329" s="61"/>
      <c r="G1329" s="67"/>
      <c r="H1329" s="60"/>
      <c r="I1329" s="60"/>
      <c r="J1329" s="61"/>
      <c r="K1329" s="61"/>
      <c r="L1329" s="60"/>
      <c r="M1329" s="74" t="str">
        <f>IF($C1329="","",IF($D1329="Gider",$E1329,IF($L1329&lt;&gt;"",$L1329,$H1329)))</f>
        <v/>
      </c>
      <c r="N1329" s="74" t="str">
        <f>IF($C1329="","",IF($D1329="Gider",$H1329,$E1329))</f>
        <v/>
      </c>
      <c r="O1329" s="73" t="str">
        <f>IF($C1329="","",DATE(YEAR($C1329),MONTH($C1329),1))</f>
        <v/>
      </c>
      <c r="P1329" s="65" t="str">
        <f ca="1">IF($C1329="","",IF(AND($D1329="Gelir",$L1329&lt;&gt;"",$T1329=""),"TANIMSIZ BORÇLU",IF($T1329&lt;&gt;"",IF(OR($E1329="",$G1329&lt;=0),"EKSİK",IF($I1329="Evet","TAHAKKUK NAKİT OLAMAZ",IF($C1329&gt;TODAY(),"İLERİ TARİH","TAHAKKUK"))),IF(AND($D1329&lt;&gt;"",$E1329&lt;&gt;"",$G1329&gt;0,$H1329&lt;&gt;"",$I1329&lt;&gt;""),IF($C1329&gt;TODAY(),"İLERİ TARİH",IF(COUNTIF($W$7:$W$3001,$W1329)&gt;1,"MÜKERRER?",IF($AD1329&gt;0,"KAPALI DÖNEM",IF($I1329="Hayır","ÖDENECEK","UYGUN")))),"EKSİK"))))</f>
        <v/>
      </c>
      <c r="Q1329" s="2"/>
      <c r="R1329" s="2"/>
      <c r="S1329" s="1" t="str">
        <f t="shared" si="62"/>
        <v/>
      </c>
      <c r="T1329" s="1" t="str">
        <f>IF(OR($C1329="",$D1329&lt;&gt;"Gelir",$L1329=""),"",IFERROR(INDEX(MUSTERILER!$B$7:$B$156,MATCH($S1329,MUSTERILER!$T$7:$T$156,0)),""))</f>
        <v/>
      </c>
      <c r="U1329" s="1" t="str">
        <f>IF($T1329="","",$T1329&amp;"|"&amp;COUNTIFS($T$7:$T1329,$T1329))</f>
        <v/>
      </c>
      <c r="V1329" s="1">
        <f t="shared" si="63"/>
        <v>0</v>
      </c>
      <c r="W1329" s="1" t="str">
        <f t="shared" si="64"/>
        <v/>
      </c>
      <c r="X1329" s="1"/>
      <c r="Y1329" s="1"/>
      <c r="Z1329" s="1"/>
      <c r="AA1329" s="1"/>
      <c r="AB1329" s="1"/>
      <c r="AC1329" s="1"/>
      <c r="AD1329" s="1">
        <f>IF($C1329="",0,SUMPRODUCT((AY_SONU!$O$7:$O$42="Evet")*(AY_SONU!$B$7:$B$42=DATE(YEAR($C1329),MONTH($C1329),1))))</f>
        <v>0</v>
      </c>
      <c r="AE1329" s="1" t="str">
        <f>IF($E1329="","",$E1329&amp;"|"&amp;COUNTIFS($E$7:$E1329,$E1329))</f>
        <v/>
      </c>
    </row>
    <row r="1330" spans="1:31" ht="18" customHeight="1" x14ac:dyDescent="0.3">
      <c r="A1330" s="2"/>
      <c r="B1330" s="65" t="str">
        <f>IF($C1330="","","GG"&amp;TEXT(ROW()-6,"00000"))</f>
        <v/>
      </c>
      <c r="C1330" s="66"/>
      <c r="D1330" s="60"/>
      <c r="E1330" s="61"/>
      <c r="F1330" s="61"/>
      <c r="G1330" s="67"/>
      <c r="H1330" s="60"/>
      <c r="I1330" s="60"/>
      <c r="J1330" s="61"/>
      <c r="K1330" s="61"/>
      <c r="L1330" s="60"/>
      <c r="M1330" s="74" t="str">
        <f>IF($C1330="","",IF($D1330="Gider",$E1330,IF($L1330&lt;&gt;"",$L1330,$H1330)))</f>
        <v/>
      </c>
      <c r="N1330" s="74" t="str">
        <f>IF($C1330="","",IF($D1330="Gider",$H1330,$E1330))</f>
        <v/>
      </c>
      <c r="O1330" s="73" t="str">
        <f>IF($C1330="","",DATE(YEAR($C1330),MONTH($C1330),1))</f>
        <v/>
      </c>
      <c r="P1330" s="65" t="str">
        <f ca="1">IF($C1330="","",IF(AND($D1330="Gelir",$L1330&lt;&gt;"",$T1330=""),"TANIMSIZ BORÇLU",IF($T1330&lt;&gt;"",IF(OR($E1330="",$G1330&lt;=0),"EKSİK",IF($I1330="Evet","TAHAKKUK NAKİT OLAMAZ",IF($C1330&gt;TODAY(),"İLERİ TARİH","TAHAKKUK"))),IF(AND($D1330&lt;&gt;"",$E1330&lt;&gt;"",$G1330&gt;0,$H1330&lt;&gt;"",$I1330&lt;&gt;""),IF($C1330&gt;TODAY(),"İLERİ TARİH",IF(COUNTIF($W$7:$W$3001,$W1330)&gt;1,"MÜKERRER?",IF($AD1330&gt;0,"KAPALI DÖNEM",IF($I1330="Hayır","ÖDENECEK","UYGUN")))),"EKSİK"))))</f>
        <v/>
      </c>
      <c r="Q1330" s="2"/>
      <c r="R1330" s="2"/>
      <c r="S1330" s="1" t="str">
        <f t="shared" si="62"/>
        <v/>
      </c>
      <c r="T1330" s="1" t="str">
        <f>IF(OR($C1330="",$D1330&lt;&gt;"Gelir",$L1330=""),"",IFERROR(INDEX(MUSTERILER!$B$7:$B$156,MATCH($S1330,MUSTERILER!$T$7:$T$156,0)),""))</f>
        <v/>
      </c>
      <c r="U1330" s="1" t="str">
        <f>IF($T1330="","",$T1330&amp;"|"&amp;COUNTIFS($T$7:$T1330,$T1330))</f>
        <v/>
      </c>
      <c r="V1330" s="1">
        <f t="shared" si="63"/>
        <v>0</v>
      </c>
      <c r="W1330" s="1" t="str">
        <f t="shared" si="64"/>
        <v/>
      </c>
      <c r="X1330" s="1"/>
      <c r="Y1330" s="1"/>
      <c r="Z1330" s="1"/>
      <c r="AA1330" s="1"/>
      <c r="AB1330" s="1"/>
      <c r="AC1330" s="1"/>
      <c r="AD1330" s="1">
        <f>IF($C1330="",0,SUMPRODUCT((AY_SONU!$O$7:$O$42="Evet")*(AY_SONU!$B$7:$B$42=DATE(YEAR($C1330),MONTH($C1330),1))))</f>
        <v>0</v>
      </c>
      <c r="AE1330" s="1" t="str">
        <f>IF($E1330="","",$E1330&amp;"|"&amp;COUNTIFS($E$7:$E1330,$E1330))</f>
        <v/>
      </c>
    </row>
    <row r="1331" spans="1:31" ht="18" customHeight="1" x14ac:dyDescent="0.3">
      <c r="A1331" s="2"/>
      <c r="B1331" s="65" t="str">
        <f>IF($C1331="","","GG"&amp;TEXT(ROW()-6,"00000"))</f>
        <v/>
      </c>
      <c r="C1331" s="66"/>
      <c r="D1331" s="60"/>
      <c r="E1331" s="61"/>
      <c r="F1331" s="61"/>
      <c r="G1331" s="67"/>
      <c r="H1331" s="60"/>
      <c r="I1331" s="60"/>
      <c r="J1331" s="61"/>
      <c r="K1331" s="61"/>
      <c r="L1331" s="60"/>
      <c r="M1331" s="74" t="str">
        <f>IF($C1331="","",IF($D1331="Gider",$E1331,IF($L1331&lt;&gt;"",$L1331,$H1331)))</f>
        <v/>
      </c>
      <c r="N1331" s="74" t="str">
        <f>IF($C1331="","",IF($D1331="Gider",$H1331,$E1331))</f>
        <v/>
      </c>
      <c r="O1331" s="73" t="str">
        <f>IF($C1331="","",DATE(YEAR($C1331),MONTH($C1331),1))</f>
        <v/>
      </c>
      <c r="P1331" s="65" t="str">
        <f ca="1">IF($C1331="","",IF(AND($D1331="Gelir",$L1331&lt;&gt;"",$T1331=""),"TANIMSIZ BORÇLU",IF($T1331&lt;&gt;"",IF(OR($E1331="",$G1331&lt;=0),"EKSİK",IF($I1331="Evet","TAHAKKUK NAKİT OLAMAZ",IF($C1331&gt;TODAY(),"İLERİ TARİH","TAHAKKUK"))),IF(AND($D1331&lt;&gt;"",$E1331&lt;&gt;"",$G1331&gt;0,$H1331&lt;&gt;"",$I1331&lt;&gt;""),IF($C1331&gt;TODAY(),"İLERİ TARİH",IF(COUNTIF($W$7:$W$3001,$W1331)&gt;1,"MÜKERRER?",IF($AD1331&gt;0,"KAPALI DÖNEM",IF($I1331="Hayır","ÖDENECEK","UYGUN")))),"EKSİK"))))</f>
        <v/>
      </c>
      <c r="Q1331" s="2"/>
      <c r="R1331" s="2"/>
      <c r="S1331" s="1" t="str">
        <f t="shared" si="62"/>
        <v/>
      </c>
      <c r="T1331" s="1" t="str">
        <f>IF(OR($C1331="",$D1331&lt;&gt;"Gelir",$L1331=""),"",IFERROR(INDEX(MUSTERILER!$B$7:$B$156,MATCH($S1331,MUSTERILER!$T$7:$T$156,0)),""))</f>
        <v/>
      </c>
      <c r="U1331" s="1" t="str">
        <f>IF($T1331="","",$T1331&amp;"|"&amp;COUNTIFS($T$7:$T1331,$T1331))</f>
        <v/>
      </c>
      <c r="V1331" s="1">
        <f t="shared" si="63"/>
        <v>0</v>
      </c>
      <c r="W1331" s="1" t="str">
        <f t="shared" si="64"/>
        <v/>
      </c>
      <c r="X1331" s="1"/>
      <c r="Y1331" s="1"/>
      <c r="Z1331" s="1"/>
      <c r="AA1331" s="1"/>
      <c r="AB1331" s="1"/>
      <c r="AC1331" s="1"/>
      <c r="AD1331" s="1">
        <f>IF($C1331="",0,SUMPRODUCT((AY_SONU!$O$7:$O$42="Evet")*(AY_SONU!$B$7:$B$42=DATE(YEAR($C1331),MONTH($C1331),1))))</f>
        <v>0</v>
      </c>
      <c r="AE1331" s="1" t="str">
        <f>IF($E1331="","",$E1331&amp;"|"&amp;COUNTIFS($E$7:$E1331,$E1331))</f>
        <v/>
      </c>
    </row>
    <row r="1332" spans="1:31" ht="18" customHeight="1" x14ac:dyDescent="0.3">
      <c r="A1332" s="2"/>
      <c r="B1332" s="65" t="str">
        <f>IF($C1332="","","GG"&amp;TEXT(ROW()-6,"00000"))</f>
        <v/>
      </c>
      <c r="C1332" s="66"/>
      <c r="D1332" s="60"/>
      <c r="E1332" s="61"/>
      <c r="F1332" s="61"/>
      <c r="G1332" s="67"/>
      <c r="H1332" s="60"/>
      <c r="I1332" s="60"/>
      <c r="J1332" s="61"/>
      <c r="K1332" s="61"/>
      <c r="L1332" s="60"/>
      <c r="M1332" s="74" t="str">
        <f>IF($C1332="","",IF($D1332="Gider",$E1332,IF($L1332&lt;&gt;"",$L1332,$H1332)))</f>
        <v/>
      </c>
      <c r="N1332" s="74" t="str">
        <f>IF($C1332="","",IF($D1332="Gider",$H1332,$E1332))</f>
        <v/>
      </c>
      <c r="O1332" s="73" t="str">
        <f>IF($C1332="","",DATE(YEAR($C1332),MONTH($C1332),1))</f>
        <v/>
      </c>
      <c r="P1332" s="65" t="str">
        <f ca="1">IF($C1332="","",IF(AND($D1332="Gelir",$L1332&lt;&gt;"",$T1332=""),"TANIMSIZ BORÇLU",IF($T1332&lt;&gt;"",IF(OR($E1332="",$G1332&lt;=0),"EKSİK",IF($I1332="Evet","TAHAKKUK NAKİT OLAMAZ",IF($C1332&gt;TODAY(),"İLERİ TARİH","TAHAKKUK"))),IF(AND($D1332&lt;&gt;"",$E1332&lt;&gt;"",$G1332&gt;0,$H1332&lt;&gt;"",$I1332&lt;&gt;""),IF($C1332&gt;TODAY(),"İLERİ TARİH",IF(COUNTIF($W$7:$W$3001,$W1332)&gt;1,"MÜKERRER?",IF($AD1332&gt;0,"KAPALI DÖNEM",IF($I1332="Hayır","ÖDENECEK","UYGUN")))),"EKSİK"))))</f>
        <v/>
      </c>
      <c r="Q1332" s="2"/>
      <c r="R1332" s="2"/>
      <c r="S1332" s="1" t="str">
        <f t="shared" si="62"/>
        <v/>
      </c>
      <c r="T1332" s="1" t="str">
        <f>IF(OR($C1332="",$D1332&lt;&gt;"Gelir",$L1332=""),"",IFERROR(INDEX(MUSTERILER!$B$7:$B$156,MATCH($S1332,MUSTERILER!$T$7:$T$156,0)),""))</f>
        <v/>
      </c>
      <c r="U1332" s="1" t="str">
        <f>IF($T1332="","",$T1332&amp;"|"&amp;COUNTIFS($T$7:$T1332,$T1332))</f>
        <v/>
      </c>
      <c r="V1332" s="1">
        <f t="shared" si="63"/>
        <v>0</v>
      </c>
      <c r="W1332" s="1" t="str">
        <f t="shared" si="64"/>
        <v/>
      </c>
      <c r="X1332" s="1"/>
      <c r="Y1332" s="1"/>
      <c r="Z1332" s="1"/>
      <c r="AA1332" s="1"/>
      <c r="AB1332" s="1"/>
      <c r="AC1332" s="1"/>
      <c r="AD1332" s="1">
        <f>IF($C1332="",0,SUMPRODUCT((AY_SONU!$O$7:$O$42="Evet")*(AY_SONU!$B$7:$B$42=DATE(YEAR($C1332),MONTH($C1332),1))))</f>
        <v>0</v>
      </c>
      <c r="AE1332" s="1" t="str">
        <f>IF($E1332="","",$E1332&amp;"|"&amp;COUNTIFS($E$7:$E1332,$E1332))</f>
        <v/>
      </c>
    </row>
    <row r="1333" spans="1:31" ht="18" customHeight="1" x14ac:dyDescent="0.3">
      <c r="A1333" s="2"/>
      <c r="B1333" s="65" t="str">
        <f>IF($C1333="","","GG"&amp;TEXT(ROW()-6,"00000"))</f>
        <v/>
      </c>
      <c r="C1333" s="66"/>
      <c r="D1333" s="60"/>
      <c r="E1333" s="61"/>
      <c r="F1333" s="61"/>
      <c r="G1333" s="67"/>
      <c r="H1333" s="60"/>
      <c r="I1333" s="60"/>
      <c r="J1333" s="61"/>
      <c r="K1333" s="61"/>
      <c r="L1333" s="60"/>
      <c r="M1333" s="74" t="str">
        <f>IF($C1333="","",IF($D1333="Gider",$E1333,IF($L1333&lt;&gt;"",$L1333,$H1333)))</f>
        <v/>
      </c>
      <c r="N1333" s="74" t="str">
        <f>IF($C1333="","",IF($D1333="Gider",$H1333,$E1333))</f>
        <v/>
      </c>
      <c r="O1333" s="73" t="str">
        <f>IF($C1333="","",DATE(YEAR($C1333),MONTH($C1333),1))</f>
        <v/>
      </c>
      <c r="P1333" s="65" t="str">
        <f ca="1">IF($C1333="","",IF(AND($D1333="Gelir",$L1333&lt;&gt;"",$T1333=""),"TANIMSIZ BORÇLU",IF($T1333&lt;&gt;"",IF(OR($E1333="",$G1333&lt;=0),"EKSİK",IF($I1333="Evet","TAHAKKUK NAKİT OLAMAZ",IF($C1333&gt;TODAY(),"İLERİ TARİH","TAHAKKUK"))),IF(AND($D1333&lt;&gt;"",$E1333&lt;&gt;"",$G1333&gt;0,$H1333&lt;&gt;"",$I1333&lt;&gt;""),IF($C1333&gt;TODAY(),"İLERİ TARİH",IF(COUNTIF($W$7:$W$3001,$W1333)&gt;1,"MÜKERRER?",IF($AD1333&gt;0,"KAPALI DÖNEM",IF($I1333="Hayır","ÖDENECEK","UYGUN")))),"EKSİK"))))</f>
        <v/>
      </c>
      <c r="Q1333" s="2"/>
      <c r="R1333" s="2"/>
      <c r="S1333" s="1" t="str">
        <f t="shared" si="62"/>
        <v/>
      </c>
      <c r="T1333" s="1" t="str">
        <f>IF(OR($C1333="",$D1333&lt;&gt;"Gelir",$L1333=""),"",IFERROR(INDEX(MUSTERILER!$B$7:$B$156,MATCH($S1333,MUSTERILER!$T$7:$T$156,0)),""))</f>
        <v/>
      </c>
      <c r="U1333" s="1" t="str">
        <f>IF($T1333="","",$T1333&amp;"|"&amp;COUNTIFS($T$7:$T1333,$T1333))</f>
        <v/>
      </c>
      <c r="V1333" s="1">
        <f t="shared" si="63"/>
        <v>0</v>
      </c>
      <c r="W1333" s="1" t="str">
        <f t="shared" si="64"/>
        <v/>
      </c>
      <c r="X1333" s="1"/>
      <c r="Y1333" s="1"/>
      <c r="Z1333" s="1"/>
      <c r="AA1333" s="1"/>
      <c r="AB1333" s="1"/>
      <c r="AC1333" s="1"/>
      <c r="AD1333" s="1">
        <f>IF($C1333="",0,SUMPRODUCT((AY_SONU!$O$7:$O$42="Evet")*(AY_SONU!$B$7:$B$42=DATE(YEAR($C1333),MONTH($C1333),1))))</f>
        <v>0</v>
      </c>
      <c r="AE1333" s="1" t="str">
        <f>IF($E1333="","",$E1333&amp;"|"&amp;COUNTIFS($E$7:$E1333,$E1333))</f>
        <v/>
      </c>
    </row>
    <row r="1334" spans="1:31" ht="18" customHeight="1" x14ac:dyDescent="0.3">
      <c r="A1334" s="2"/>
      <c r="B1334" s="65" t="str">
        <f>IF($C1334="","","GG"&amp;TEXT(ROW()-6,"00000"))</f>
        <v/>
      </c>
      <c r="C1334" s="66"/>
      <c r="D1334" s="60"/>
      <c r="E1334" s="61"/>
      <c r="F1334" s="61"/>
      <c r="G1334" s="67"/>
      <c r="H1334" s="60"/>
      <c r="I1334" s="60"/>
      <c r="J1334" s="61"/>
      <c r="K1334" s="61"/>
      <c r="L1334" s="60"/>
      <c r="M1334" s="74" t="str">
        <f>IF($C1334="","",IF($D1334="Gider",$E1334,IF($L1334&lt;&gt;"",$L1334,$H1334)))</f>
        <v/>
      </c>
      <c r="N1334" s="74" t="str">
        <f>IF($C1334="","",IF($D1334="Gider",$H1334,$E1334))</f>
        <v/>
      </c>
      <c r="O1334" s="73" t="str">
        <f>IF($C1334="","",DATE(YEAR($C1334),MONTH($C1334),1))</f>
        <v/>
      </c>
      <c r="P1334" s="65" t="str">
        <f ca="1">IF($C1334="","",IF(AND($D1334="Gelir",$L1334&lt;&gt;"",$T1334=""),"TANIMSIZ BORÇLU",IF($T1334&lt;&gt;"",IF(OR($E1334="",$G1334&lt;=0),"EKSİK",IF($I1334="Evet","TAHAKKUK NAKİT OLAMAZ",IF($C1334&gt;TODAY(),"İLERİ TARİH","TAHAKKUK"))),IF(AND($D1334&lt;&gt;"",$E1334&lt;&gt;"",$G1334&gt;0,$H1334&lt;&gt;"",$I1334&lt;&gt;""),IF($C1334&gt;TODAY(),"İLERİ TARİH",IF(COUNTIF($W$7:$W$3001,$W1334)&gt;1,"MÜKERRER?",IF($AD1334&gt;0,"KAPALI DÖNEM",IF($I1334="Hayır","ÖDENECEK","UYGUN")))),"EKSİK"))))</f>
        <v/>
      </c>
      <c r="Q1334" s="2"/>
      <c r="R1334" s="2"/>
      <c r="S1334" s="1" t="str">
        <f t="shared" si="62"/>
        <v/>
      </c>
      <c r="T1334" s="1" t="str">
        <f>IF(OR($C1334="",$D1334&lt;&gt;"Gelir",$L1334=""),"",IFERROR(INDEX(MUSTERILER!$B$7:$B$156,MATCH($S1334,MUSTERILER!$T$7:$T$156,0)),""))</f>
        <v/>
      </c>
      <c r="U1334" s="1" t="str">
        <f>IF($T1334="","",$T1334&amp;"|"&amp;COUNTIFS($T$7:$T1334,$T1334))</f>
        <v/>
      </c>
      <c r="V1334" s="1">
        <f t="shared" si="63"/>
        <v>0</v>
      </c>
      <c r="W1334" s="1" t="str">
        <f t="shared" si="64"/>
        <v/>
      </c>
      <c r="X1334" s="1"/>
      <c r="Y1334" s="1"/>
      <c r="Z1334" s="1"/>
      <c r="AA1334" s="1"/>
      <c r="AB1334" s="1"/>
      <c r="AC1334" s="1"/>
      <c r="AD1334" s="1">
        <f>IF($C1334="",0,SUMPRODUCT((AY_SONU!$O$7:$O$42="Evet")*(AY_SONU!$B$7:$B$42=DATE(YEAR($C1334),MONTH($C1334),1))))</f>
        <v>0</v>
      </c>
      <c r="AE1334" s="1" t="str">
        <f>IF($E1334="","",$E1334&amp;"|"&amp;COUNTIFS($E$7:$E1334,$E1334))</f>
        <v/>
      </c>
    </row>
    <row r="1335" spans="1:31" ht="18" customHeight="1" x14ac:dyDescent="0.3">
      <c r="A1335" s="2"/>
      <c r="B1335" s="65" t="str">
        <f>IF($C1335="","","GG"&amp;TEXT(ROW()-6,"00000"))</f>
        <v/>
      </c>
      <c r="C1335" s="66"/>
      <c r="D1335" s="60"/>
      <c r="E1335" s="61"/>
      <c r="F1335" s="61"/>
      <c r="G1335" s="67"/>
      <c r="H1335" s="60"/>
      <c r="I1335" s="60"/>
      <c r="J1335" s="61"/>
      <c r="K1335" s="61"/>
      <c r="L1335" s="60"/>
      <c r="M1335" s="74" t="str">
        <f>IF($C1335="","",IF($D1335="Gider",$E1335,IF($L1335&lt;&gt;"",$L1335,$H1335)))</f>
        <v/>
      </c>
      <c r="N1335" s="74" t="str">
        <f>IF($C1335="","",IF($D1335="Gider",$H1335,$E1335))</f>
        <v/>
      </c>
      <c r="O1335" s="73" t="str">
        <f>IF($C1335="","",DATE(YEAR($C1335),MONTH($C1335),1))</f>
        <v/>
      </c>
      <c r="P1335" s="65" t="str">
        <f ca="1">IF($C1335="","",IF(AND($D1335="Gelir",$L1335&lt;&gt;"",$T1335=""),"TANIMSIZ BORÇLU",IF($T1335&lt;&gt;"",IF(OR($E1335="",$G1335&lt;=0),"EKSİK",IF($I1335="Evet","TAHAKKUK NAKİT OLAMAZ",IF($C1335&gt;TODAY(),"İLERİ TARİH","TAHAKKUK"))),IF(AND($D1335&lt;&gt;"",$E1335&lt;&gt;"",$G1335&gt;0,$H1335&lt;&gt;"",$I1335&lt;&gt;""),IF($C1335&gt;TODAY(),"İLERİ TARİH",IF(COUNTIF($W$7:$W$3001,$W1335)&gt;1,"MÜKERRER?",IF($AD1335&gt;0,"KAPALI DÖNEM",IF($I1335="Hayır","ÖDENECEK","UYGUN")))),"EKSİK"))))</f>
        <v/>
      </c>
      <c r="Q1335" s="2"/>
      <c r="R1335" s="2"/>
      <c r="S1335" s="1" t="str">
        <f t="shared" si="62"/>
        <v/>
      </c>
      <c r="T1335" s="1" t="str">
        <f>IF(OR($C1335="",$D1335&lt;&gt;"Gelir",$L1335=""),"",IFERROR(INDEX(MUSTERILER!$B$7:$B$156,MATCH($S1335,MUSTERILER!$T$7:$T$156,0)),""))</f>
        <v/>
      </c>
      <c r="U1335" s="1" t="str">
        <f>IF($T1335="","",$T1335&amp;"|"&amp;COUNTIFS($T$7:$T1335,$T1335))</f>
        <v/>
      </c>
      <c r="V1335" s="1">
        <f t="shared" si="63"/>
        <v>0</v>
      </c>
      <c r="W1335" s="1" t="str">
        <f t="shared" si="64"/>
        <v/>
      </c>
      <c r="X1335" s="1"/>
      <c r="Y1335" s="1"/>
      <c r="Z1335" s="1"/>
      <c r="AA1335" s="1"/>
      <c r="AB1335" s="1"/>
      <c r="AC1335" s="1"/>
      <c r="AD1335" s="1">
        <f>IF($C1335="",0,SUMPRODUCT((AY_SONU!$O$7:$O$42="Evet")*(AY_SONU!$B$7:$B$42=DATE(YEAR($C1335),MONTH($C1335),1))))</f>
        <v>0</v>
      </c>
      <c r="AE1335" s="1" t="str">
        <f>IF($E1335="","",$E1335&amp;"|"&amp;COUNTIFS($E$7:$E1335,$E1335))</f>
        <v/>
      </c>
    </row>
    <row r="1336" spans="1:31" ht="18" customHeight="1" x14ac:dyDescent="0.3">
      <c r="A1336" s="2"/>
      <c r="B1336" s="65" t="str">
        <f>IF($C1336="","","GG"&amp;TEXT(ROW()-6,"00000"))</f>
        <v/>
      </c>
      <c r="C1336" s="66"/>
      <c r="D1336" s="60"/>
      <c r="E1336" s="61"/>
      <c r="F1336" s="61"/>
      <c r="G1336" s="67"/>
      <c r="H1336" s="60"/>
      <c r="I1336" s="60"/>
      <c r="J1336" s="61"/>
      <c r="K1336" s="61"/>
      <c r="L1336" s="60"/>
      <c r="M1336" s="74" t="str">
        <f>IF($C1336="","",IF($D1336="Gider",$E1336,IF($L1336&lt;&gt;"",$L1336,$H1336)))</f>
        <v/>
      </c>
      <c r="N1336" s="74" t="str">
        <f>IF($C1336="","",IF($D1336="Gider",$H1336,$E1336))</f>
        <v/>
      </c>
      <c r="O1336" s="73" t="str">
        <f>IF($C1336="","",DATE(YEAR($C1336),MONTH($C1336),1))</f>
        <v/>
      </c>
      <c r="P1336" s="65" t="str">
        <f ca="1">IF($C1336="","",IF(AND($D1336="Gelir",$L1336&lt;&gt;"",$T1336=""),"TANIMSIZ BORÇLU",IF($T1336&lt;&gt;"",IF(OR($E1336="",$G1336&lt;=0),"EKSİK",IF($I1336="Evet","TAHAKKUK NAKİT OLAMAZ",IF($C1336&gt;TODAY(),"İLERİ TARİH","TAHAKKUK"))),IF(AND($D1336&lt;&gt;"",$E1336&lt;&gt;"",$G1336&gt;0,$H1336&lt;&gt;"",$I1336&lt;&gt;""),IF($C1336&gt;TODAY(),"İLERİ TARİH",IF(COUNTIF($W$7:$W$3001,$W1336)&gt;1,"MÜKERRER?",IF($AD1336&gt;0,"KAPALI DÖNEM",IF($I1336="Hayır","ÖDENECEK","UYGUN")))),"EKSİK"))))</f>
        <v/>
      </c>
      <c r="Q1336" s="2"/>
      <c r="R1336" s="2"/>
      <c r="S1336" s="1" t="str">
        <f t="shared" si="62"/>
        <v/>
      </c>
      <c r="T1336" s="1" t="str">
        <f>IF(OR($C1336="",$D1336&lt;&gt;"Gelir",$L1336=""),"",IFERROR(INDEX(MUSTERILER!$B$7:$B$156,MATCH($S1336,MUSTERILER!$T$7:$T$156,0)),""))</f>
        <v/>
      </c>
      <c r="U1336" s="1" t="str">
        <f>IF($T1336="","",$T1336&amp;"|"&amp;COUNTIFS($T$7:$T1336,$T1336))</f>
        <v/>
      </c>
      <c r="V1336" s="1">
        <f t="shared" si="63"/>
        <v>0</v>
      </c>
      <c r="W1336" s="1" t="str">
        <f t="shared" si="64"/>
        <v/>
      </c>
      <c r="X1336" s="1"/>
      <c r="Y1336" s="1"/>
      <c r="Z1336" s="1"/>
      <c r="AA1336" s="1"/>
      <c r="AB1336" s="1"/>
      <c r="AC1336" s="1"/>
      <c r="AD1336" s="1">
        <f>IF($C1336="",0,SUMPRODUCT((AY_SONU!$O$7:$O$42="Evet")*(AY_SONU!$B$7:$B$42=DATE(YEAR($C1336),MONTH($C1336),1))))</f>
        <v>0</v>
      </c>
      <c r="AE1336" s="1" t="str">
        <f>IF($E1336="","",$E1336&amp;"|"&amp;COUNTIFS($E$7:$E1336,$E1336))</f>
        <v/>
      </c>
    </row>
    <row r="1337" spans="1:31" ht="18" customHeight="1" x14ac:dyDescent="0.3">
      <c r="A1337" s="2"/>
      <c r="B1337" s="65" t="str">
        <f>IF($C1337="","","GG"&amp;TEXT(ROW()-6,"00000"))</f>
        <v/>
      </c>
      <c r="C1337" s="66"/>
      <c r="D1337" s="60"/>
      <c r="E1337" s="61"/>
      <c r="F1337" s="61"/>
      <c r="G1337" s="67"/>
      <c r="H1337" s="60"/>
      <c r="I1337" s="60"/>
      <c r="J1337" s="61"/>
      <c r="K1337" s="61"/>
      <c r="L1337" s="60"/>
      <c r="M1337" s="74" t="str">
        <f>IF($C1337="","",IF($D1337="Gider",$E1337,IF($L1337&lt;&gt;"",$L1337,$H1337)))</f>
        <v/>
      </c>
      <c r="N1337" s="74" t="str">
        <f>IF($C1337="","",IF($D1337="Gider",$H1337,$E1337))</f>
        <v/>
      </c>
      <c r="O1337" s="73" t="str">
        <f>IF($C1337="","",DATE(YEAR($C1337),MONTH($C1337),1))</f>
        <v/>
      </c>
      <c r="P1337" s="65" t="str">
        <f ca="1">IF($C1337="","",IF(AND($D1337="Gelir",$L1337&lt;&gt;"",$T1337=""),"TANIMSIZ BORÇLU",IF($T1337&lt;&gt;"",IF(OR($E1337="",$G1337&lt;=0),"EKSİK",IF($I1337="Evet","TAHAKKUK NAKİT OLAMAZ",IF($C1337&gt;TODAY(),"İLERİ TARİH","TAHAKKUK"))),IF(AND($D1337&lt;&gt;"",$E1337&lt;&gt;"",$G1337&gt;0,$H1337&lt;&gt;"",$I1337&lt;&gt;""),IF($C1337&gt;TODAY(),"İLERİ TARİH",IF(COUNTIF($W$7:$W$3001,$W1337)&gt;1,"MÜKERRER?",IF($AD1337&gt;0,"KAPALI DÖNEM",IF($I1337="Hayır","ÖDENECEK","UYGUN")))),"EKSİK"))))</f>
        <v/>
      </c>
      <c r="Q1337" s="2"/>
      <c r="R1337" s="2"/>
      <c r="S1337" s="1" t="str">
        <f t="shared" si="62"/>
        <v/>
      </c>
      <c r="T1337" s="1" t="str">
        <f>IF(OR($C1337="",$D1337&lt;&gt;"Gelir",$L1337=""),"",IFERROR(INDEX(MUSTERILER!$B$7:$B$156,MATCH($S1337,MUSTERILER!$T$7:$T$156,0)),""))</f>
        <v/>
      </c>
      <c r="U1337" s="1" t="str">
        <f>IF($T1337="","",$T1337&amp;"|"&amp;COUNTIFS($T$7:$T1337,$T1337))</f>
        <v/>
      </c>
      <c r="V1337" s="1">
        <f t="shared" si="63"/>
        <v>0</v>
      </c>
      <c r="W1337" s="1" t="str">
        <f t="shared" si="64"/>
        <v/>
      </c>
      <c r="X1337" s="1"/>
      <c r="Y1337" s="1"/>
      <c r="Z1337" s="1"/>
      <c r="AA1337" s="1"/>
      <c r="AB1337" s="1"/>
      <c r="AC1337" s="1"/>
      <c r="AD1337" s="1">
        <f>IF($C1337="",0,SUMPRODUCT((AY_SONU!$O$7:$O$42="Evet")*(AY_SONU!$B$7:$B$42=DATE(YEAR($C1337),MONTH($C1337),1))))</f>
        <v>0</v>
      </c>
      <c r="AE1337" s="1" t="str">
        <f>IF($E1337="","",$E1337&amp;"|"&amp;COUNTIFS($E$7:$E1337,$E1337))</f>
        <v/>
      </c>
    </row>
    <row r="1338" spans="1:31" ht="18" customHeight="1" x14ac:dyDescent="0.3">
      <c r="A1338" s="2"/>
      <c r="B1338" s="65" t="str">
        <f>IF($C1338="","","GG"&amp;TEXT(ROW()-6,"00000"))</f>
        <v/>
      </c>
      <c r="C1338" s="66"/>
      <c r="D1338" s="60"/>
      <c r="E1338" s="61"/>
      <c r="F1338" s="61"/>
      <c r="G1338" s="67"/>
      <c r="H1338" s="60"/>
      <c r="I1338" s="60"/>
      <c r="J1338" s="61"/>
      <c r="K1338" s="61"/>
      <c r="L1338" s="60"/>
      <c r="M1338" s="74" t="str">
        <f>IF($C1338="","",IF($D1338="Gider",$E1338,IF($L1338&lt;&gt;"",$L1338,$H1338)))</f>
        <v/>
      </c>
      <c r="N1338" s="74" t="str">
        <f>IF($C1338="","",IF($D1338="Gider",$H1338,$E1338))</f>
        <v/>
      </c>
      <c r="O1338" s="73" t="str">
        <f>IF($C1338="","",DATE(YEAR($C1338),MONTH($C1338),1))</f>
        <v/>
      </c>
      <c r="P1338" s="65" t="str">
        <f ca="1">IF($C1338="","",IF(AND($D1338="Gelir",$L1338&lt;&gt;"",$T1338=""),"TANIMSIZ BORÇLU",IF($T1338&lt;&gt;"",IF(OR($E1338="",$G1338&lt;=0),"EKSİK",IF($I1338="Evet","TAHAKKUK NAKİT OLAMAZ",IF($C1338&gt;TODAY(),"İLERİ TARİH","TAHAKKUK"))),IF(AND($D1338&lt;&gt;"",$E1338&lt;&gt;"",$G1338&gt;0,$H1338&lt;&gt;"",$I1338&lt;&gt;""),IF($C1338&gt;TODAY(),"İLERİ TARİH",IF(COUNTIF($W$7:$W$3001,$W1338)&gt;1,"MÜKERRER?",IF($AD1338&gt;0,"KAPALI DÖNEM",IF($I1338="Hayır","ÖDENECEK","UYGUN")))),"EKSİK"))))</f>
        <v/>
      </c>
      <c r="Q1338" s="2"/>
      <c r="R1338" s="2"/>
      <c r="S1338" s="1" t="str">
        <f t="shared" si="62"/>
        <v/>
      </c>
      <c r="T1338" s="1" t="str">
        <f>IF(OR($C1338="",$D1338&lt;&gt;"Gelir",$L1338=""),"",IFERROR(INDEX(MUSTERILER!$B$7:$B$156,MATCH($S1338,MUSTERILER!$T$7:$T$156,0)),""))</f>
        <v/>
      </c>
      <c r="U1338" s="1" t="str">
        <f>IF($T1338="","",$T1338&amp;"|"&amp;COUNTIFS($T$7:$T1338,$T1338))</f>
        <v/>
      </c>
      <c r="V1338" s="1">
        <f t="shared" si="63"/>
        <v>0</v>
      </c>
      <c r="W1338" s="1" t="str">
        <f t="shared" si="64"/>
        <v/>
      </c>
      <c r="X1338" s="1"/>
      <c r="Y1338" s="1"/>
      <c r="Z1338" s="1"/>
      <c r="AA1338" s="1"/>
      <c r="AB1338" s="1"/>
      <c r="AC1338" s="1"/>
      <c r="AD1338" s="1">
        <f>IF($C1338="",0,SUMPRODUCT((AY_SONU!$O$7:$O$42="Evet")*(AY_SONU!$B$7:$B$42=DATE(YEAR($C1338),MONTH($C1338),1))))</f>
        <v>0</v>
      </c>
      <c r="AE1338" s="1" t="str">
        <f>IF($E1338="","",$E1338&amp;"|"&amp;COUNTIFS($E$7:$E1338,$E1338))</f>
        <v/>
      </c>
    </row>
    <row r="1339" spans="1:31" ht="18" customHeight="1" x14ac:dyDescent="0.3">
      <c r="A1339" s="2"/>
      <c r="B1339" s="65" t="str">
        <f>IF($C1339="","","GG"&amp;TEXT(ROW()-6,"00000"))</f>
        <v/>
      </c>
      <c r="C1339" s="66"/>
      <c r="D1339" s="60"/>
      <c r="E1339" s="61"/>
      <c r="F1339" s="61"/>
      <c r="G1339" s="67"/>
      <c r="H1339" s="60"/>
      <c r="I1339" s="60"/>
      <c r="J1339" s="61"/>
      <c r="K1339" s="61"/>
      <c r="L1339" s="60"/>
      <c r="M1339" s="74" t="str">
        <f>IF($C1339="","",IF($D1339="Gider",$E1339,IF($L1339&lt;&gt;"",$L1339,$H1339)))</f>
        <v/>
      </c>
      <c r="N1339" s="74" t="str">
        <f>IF($C1339="","",IF($D1339="Gider",$H1339,$E1339))</f>
        <v/>
      </c>
      <c r="O1339" s="73" t="str">
        <f>IF($C1339="","",DATE(YEAR($C1339),MONTH($C1339),1))</f>
        <v/>
      </c>
      <c r="P1339" s="65" t="str">
        <f ca="1">IF($C1339="","",IF(AND($D1339="Gelir",$L1339&lt;&gt;"",$T1339=""),"TANIMSIZ BORÇLU",IF($T1339&lt;&gt;"",IF(OR($E1339="",$G1339&lt;=0),"EKSİK",IF($I1339="Evet","TAHAKKUK NAKİT OLAMAZ",IF($C1339&gt;TODAY(),"İLERİ TARİH","TAHAKKUK"))),IF(AND($D1339&lt;&gt;"",$E1339&lt;&gt;"",$G1339&gt;0,$H1339&lt;&gt;"",$I1339&lt;&gt;""),IF($C1339&gt;TODAY(),"İLERİ TARİH",IF(COUNTIF($W$7:$W$3001,$W1339)&gt;1,"MÜKERRER?",IF($AD1339&gt;0,"KAPALI DÖNEM",IF($I1339="Hayır","ÖDENECEK","UYGUN")))),"EKSİK"))))</f>
        <v/>
      </c>
      <c r="Q1339" s="2"/>
      <c r="R1339" s="2"/>
      <c r="S1339" s="1" t="str">
        <f t="shared" si="62"/>
        <v/>
      </c>
      <c r="T1339" s="1" t="str">
        <f>IF(OR($C1339="",$D1339&lt;&gt;"Gelir",$L1339=""),"",IFERROR(INDEX(MUSTERILER!$B$7:$B$156,MATCH($S1339,MUSTERILER!$T$7:$T$156,0)),""))</f>
        <v/>
      </c>
      <c r="U1339" s="1" t="str">
        <f>IF($T1339="","",$T1339&amp;"|"&amp;COUNTIFS($T$7:$T1339,$T1339))</f>
        <v/>
      </c>
      <c r="V1339" s="1">
        <f t="shared" si="63"/>
        <v>0</v>
      </c>
      <c r="W1339" s="1" t="str">
        <f t="shared" si="64"/>
        <v/>
      </c>
      <c r="X1339" s="1"/>
      <c r="Y1339" s="1"/>
      <c r="Z1339" s="1"/>
      <c r="AA1339" s="1"/>
      <c r="AB1339" s="1"/>
      <c r="AC1339" s="1"/>
      <c r="AD1339" s="1">
        <f>IF($C1339="",0,SUMPRODUCT((AY_SONU!$O$7:$O$42="Evet")*(AY_SONU!$B$7:$B$42=DATE(YEAR($C1339),MONTH($C1339),1))))</f>
        <v>0</v>
      </c>
      <c r="AE1339" s="1" t="str">
        <f>IF($E1339="","",$E1339&amp;"|"&amp;COUNTIFS($E$7:$E1339,$E1339))</f>
        <v/>
      </c>
    </row>
    <row r="1340" spans="1:31" ht="18" customHeight="1" x14ac:dyDescent="0.3">
      <c r="A1340" s="2"/>
      <c r="B1340" s="65" t="str">
        <f>IF($C1340="","","GG"&amp;TEXT(ROW()-6,"00000"))</f>
        <v/>
      </c>
      <c r="C1340" s="66"/>
      <c r="D1340" s="60"/>
      <c r="E1340" s="61"/>
      <c r="F1340" s="61"/>
      <c r="G1340" s="67"/>
      <c r="H1340" s="60"/>
      <c r="I1340" s="60"/>
      <c r="J1340" s="61"/>
      <c r="K1340" s="61"/>
      <c r="L1340" s="60"/>
      <c r="M1340" s="74" t="str">
        <f>IF($C1340="","",IF($D1340="Gider",$E1340,IF($L1340&lt;&gt;"",$L1340,$H1340)))</f>
        <v/>
      </c>
      <c r="N1340" s="74" t="str">
        <f>IF($C1340="","",IF($D1340="Gider",$H1340,$E1340))</f>
        <v/>
      </c>
      <c r="O1340" s="73" t="str">
        <f>IF($C1340="","",DATE(YEAR($C1340),MONTH($C1340),1))</f>
        <v/>
      </c>
      <c r="P1340" s="65" t="str">
        <f ca="1">IF($C1340="","",IF(AND($D1340="Gelir",$L1340&lt;&gt;"",$T1340=""),"TANIMSIZ BORÇLU",IF($T1340&lt;&gt;"",IF(OR($E1340="",$G1340&lt;=0),"EKSİK",IF($I1340="Evet","TAHAKKUK NAKİT OLAMAZ",IF($C1340&gt;TODAY(),"İLERİ TARİH","TAHAKKUK"))),IF(AND($D1340&lt;&gt;"",$E1340&lt;&gt;"",$G1340&gt;0,$H1340&lt;&gt;"",$I1340&lt;&gt;""),IF($C1340&gt;TODAY(),"İLERİ TARİH",IF(COUNTIF($W$7:$W$3001,$W1340)&gt;1,"MÜKERRER?",IF($AD1340&gt;0,"KAPALI DÖNEM",IF($I1340="Hayır","ÖDENECEK","UYGUN")))),"EKSİK"))))</f>
        <v/>
      </c>
      <c r="Q1340" s="2"/>
      <c r="R1340" s="2"/>
      <c r="S1340" s="1" t="str">
        <f t="shared" si="62"/>
        <v/>
      </c>
      <c r="T1340" s="1" t="str">
        <f>IF(OR($C1340="",$D1340&lt;&gt;"Gelir",$L1340=""),"",IFERROR(INDEX(MUSTERILER!$B$7:$B$156,MATCH($S1340,MUSTERILER!$T$7:$T$156,0)),""))</f>
        <v/>
      </c>
      <c r="U1340" s="1" t="str">
        <f>IF($T1340="","",$T1340&amp;"|"&amp;COUNTIFS($T$7:$T1340,$T1340))</f>
        <v/>
      </c>
      <c r="V1340" s="1">
        <f t="shared" si="63"/>
        <v>0</v>
      </c>
      <c r="W1340" s="1" t="str">
        <f t="shared" si="64"/>
        <v/>
      </c>
      <c r="X1340" s="1"/>
      <c r="Y1340" s="1"/>
      <c r="Z1340" s="1"/>
      <c r="AA1340" s="1"/>
      <c r="AB1340" s="1"/>
      <c r="AC1340" s="1"/>
      <c r="AD1340" s="1">
        <f>IF($C1340="",0,SUMPRODUCT((AY_SONU!$O$7:$O$42="Evet")*(AY_SONU!$B$7:$B$42=DATE(YEAR($C1340),MONTH($C1340),1))))</f>
        <v>0</v>
      </c>
      <c r="AE1340" s="1" t="str">
        <f>IF($E1340="","",$E1340&amp;"|"&amp;COUNTIFS($E$7:$E1340,$E1340))</f>
        <v/>
      </c>
    </row>
    <row r="1341" spans="1:31" ht="18" customHeight="1" x14ac:dyDescent="0.3">
      <c r="A1341" s="2"/>
      <c r="B1341" s="65" t="str">
        <f>IF($C1341="","","GG"&amp;TEXT(ROW()-6,"00000"))</f>
        <v/>
      </c>
      <c r="C1341" s="66"/>
      <c r="D1341" s="60"/>
      <c r="E1341" s="61"/>
      <c r="F1341" s="61"/>
      <c r="G1341" s="67"/>
      <c r="H1341" s="60"/>
      <c r="I1341" s="60"/>
      <c r="J1341" s="61"/>
      <c r="K1341" s="61"/>
      <c r="L1341" s="60"/>
      <c r="M1341" s="74" t="str">
        <f>IF($C1341="","",IF($D1341="Gider",$E1341,IF($L1341&lt;&gt;"",$L1341,$H1341)))</f>
        <v/>
      </c>
      <c r="N1341" s="74" t="str">
        <f>IF($C1341="","",IF($D1341="Gider",$H1341,$E1341))</f>
        <v/>
      </c>
      <c r="O1341" s="73" t="str">
        <f>IF($C1341="","",DATE(YEAR($C1341),MONTH($C1341),1))</f>
        <v/>
      </c>
      <c r="P1341" s="65" t="str">
        <f ca="1">IF($C1341="","",IF(AND($D1341="Gelir",$L1341&lt;&gt;"",$T1341=""),"TANIMSIZ BORÇLU",IF($T1341&lt;&gt;"",IF(OR($E1341="",$G1341&lt;=0),"EKSİK",IF($I1341="Evet","TAHAKKUK NAKİT OLAMAZ",IF($C1341&gt;TODAY(),"İLERİ TARİH","TAHAKKUK"))),IF(AND($D1341&lt;&gt;"",$E1341&lt;&gt;"",$G1341&gt;0,$H1341&lt;&gt;"",$I1341&lt;&gt;""),IF($C1341&gt;TODAY(),"İLERİ TARİH",IF(COUNTIF($W$7:$W$3001,$W1341)&gt;1,"MÜKERRER?",IF($AD1341&gt;0,"KAPALI DÖNEM",IF($I1341="Hayır","ÖDENECEK","UYGUN")))),"EKSİK"))))</f>
        <v/>
      </c>
      <c r="Q1341" s="2"/>
      <c r="R1341" s="2"/>
      <c r="S1341" s="1" t="str">
        <f t="shared" si="62"/>
        <v/>
      </c>
      <c r="T1341" s="1" t="str">
        <f>IF(OR($C1341="",$D1341&lt;&gt;"Gelir",$L1341=""),"",IFERROR(INDEX(MUSTERILER!$B$7:$B$156,MATCH($S1341,MUSTERILER!$T$7:$T$156,0)),""))</f>
        <v/>
      </c>
      <c r="U1341" s="1" t="str">
        <f>IF($T1341="","",$T1341&amp;"|"&amp;COUNTIFS($T$7:$T1341,$T1341))</f>
        <v/>
      </c>
      <c r="V1341" s="1">
        <f t="shared" si="63"/>
        <v>0</v>
      </c>
      <c r="W1341" s="1" t="str">
        <f t="shared" si="64"/>
        <v/>
      </c>
      <c r="X1341" s="1"/>
      <c r="Y1341" s="1"/>
      <c r="Z1341" s="1"/>
      <c r="AA1341" s="1"/>
      <c r="AB1341" s="1"/>
      <c r="AC1341" s="1"/>
      <c r="AD1341" s="1">
        <f>IF($C1341="",0,SUMPRODUCT((AY_SONU!$O$7:$O$42="Evet")*(AY_SONU!$B$7:$B$42=DATE(YEAR($C1341),MONTH($C1341),1))))</f>
        <v>0</v>
      </c>
      <c r="AE1341" s="1" t="str">
        <f>IF($E1341="","",$E1341&amp;"|"&amp;COUNTIFS($E$7:$E1341,$E1341))</f>
        <v/>
      </c>
    </row>
    <row r="1342" spans="1:31" ht="18" customHeight="1" x14ac:dyDescent="0.3">
      <c r="A1342" s="2"/>
      <c r="B1342" s="65" t="str">
        <f>IF($C1342="","","GG"&amp;TEXT(ROW()-6,"00000"))</f>
        <v/>
      </c>
      <c r="C1342" s="66"/>
      <c r="D1342" s="60"/>
      <c r="E1342" s="61"/>
      <c r="F1342" s="61"/>
      <c r="G1342" s="67"/>
      <c r="H1342" s="60"/>
      <c r="I1342" s="60"/>
      <c r="J1342" s="61"/>
      <c r="K1342" s="61"/>
      <c r="L1342" s="60"/>
      <c r="M1342" s="74" t="str">
        <f>IF($C1342="","",IF($D1342="Gider",$E1342,IF($L1342&lt;&gt;"",$L1342,$H1342)))</f>
        <v/>
      </c>
      <c r="N1342" s="74" t="str">
        <f>IF($C1342="","",IF($D1342="Gider",$H1342,$E1342))</f>
        <v/>
      </c>
      <c r="O1342" s="73" t="str">
        <f>IF($C1342="","",DATE(YEAR($C1342),MONTH($C1342),1))</f>
        <v/>
      </c>
      <c r="P1342" s="65" t="str">
        <f ca="1">IF($C1342="","",IF(AND($D1342="Gelir",$L1342&lt;&gt;"",$T1342=""),"TANIMSIZ BORÇLU",IF($T1342&lt;&gt;"",IF(OR($E1342="",$G1342&lt;=0),"EKSİK",IF($I1342="Evet","TAHAKKUK NAKİT OLAMAZ",IF($C1342&gt;TODAY(),"İLERİ TARİH","TAHAKKUK"))),IF(AND($D1342&lt;&gt;"",$E1342&lt;&gt;"",$G1342&gt;0,$H1342&lt;&gt;"",$I1342&lt;&gt;""),IF($C1342&gt;TODAY(),"İLERİ TARİH",IF(COUNTIF($W$7:$W$3001,$W1342)&gt;1,"MÜKERRER?",IF($AD1342&gt;0,"KAPALI DÖNEM",IF($I1342="Hayır","ÖDENECEK","UYGUN")))),"EKSİK"))))</f>
        <v/>
      </c>
      <c r="Q1342" s="2"/>
      <c r="R1342" s="2"/>
      <c r="S1342" s="1" t="str">
        <f t="shared" si="62"/>
        <v/>
      </c>
      <c r="T1342" s="1" t="str">
        <f>IF(OR($C1342="",$D1342&lt;&gt;"Gelir",$L1342=""),"",IFERROR(INDEX(MUSTERILER!$B$7:$B$156,MATCH($S1342,MUSTERILER!$T$7:$T$156,0)),""))</f>
        <v/>
      </c>
      <c r="U1342" s="1" t="str">
        <f>IF($T1342="","",$T1342&amp;"|"&amp;COUNTIFS($T$7:$T1342,$T1342))</f>
        <v/>
      </c>
      <c r="V1342" s="1">
        <f t="shared" si="63"/>
        <v>0</v>
      </c>
      <c r="W1342" s="1" t="str">
        <f t="shared" si="64"/>
        <v/>
      </c>
      <c r="X1342" s="1"/>
      <c r="Y1342" s="1"/>
      <c r="Z1342" s="1"/>
      <c r="AA1342" s="1"/>
      <c r="AB1342" s="1"/>
      <c r="AC1342" s="1"/>
      <c r="AD1342" s="1">
        <f>IF($C1342="",0,SUMPRODUCT((AY_SONU!$O$7:$O$42="Evet")*(AY_SONU!$B$7:$B$42=DATE(YEAR($C1342),MONTH($C1342),1))))</f>
        <v>0</v>
      </c>
      <c r="AE1342" s="1" t="str">
        <f>IF($E1342="","",$E1342&amp;"|"&amp;COUNTIFS($E$7:$E1342,$E1342))</f>
        <v/>
      </c>
    </row>
    <row r="1343" spans="1:31" ht="18" customHeight="1" x14ac:dyDescent="0.3">
      <c r="A1343" s="2"/>
      <c r="B1343" s="65" t="str">
        <f>IF($C1343="","","GG"&amp;TEXT(ROW()-6,"00000"))</f>
        <v/>
      </c>
      <c r="C1343" s="66"/>
      <c r="D1343" s="60"/>
      <c r="E1343" s="61"/>
      <c r="F1343" s="61"/>
      <c r="G1343" s="67"/>
      <c r="H1343" s="60"/>
      <c r="I1343" s="60"/>
      <c r="J1343" s="61"/>
      <c r="K1343" s="61"/>
      <c r="L1343" s="60"/>
      <c r="M1343" s="74" t="str">
        <f>IF($C1343="","",IF($D1343="Gider",$E1343,IF($L1343&lt;&gt;"",$L1343,$H1343)))</f>
        <v/>
      </c>
      <c r="N1343" s="74" t="str">
        <f>IF($C1343="","",IF($D1343="Gider",$H1343,$E1343))</f>
        <v/>
      </c>
      <c r="O1343" s="73" t="str">
        <f>IF($C1343="","",DATE(YEAR($C1343),MONTH($C1343),1))</f>
        <v/>
      </c>
      <c r="P1343" s="65" t="str">
        <f ca="1">IF($C1343="","",IF(AND($D1343="Gelir",$L1343&lt;&gt;"",$T1343=""),"TANIMSIZ BORÇLU",IF($T1343&lt;&gt;"",IF(OR($E1343="",$G1343&lt;=0),"EKSİK",IF($I1343="Evet","TAHAKKUK NAKİT OLAMAZ",IF($C1343&gt;TODAY(),"İLERİ TARİH","TAHAKKUK"))),IF(AND($D1343&lt;&gt;"",$E1343&lt;&gt;"",$G1343&gt;0,$H1343&lt;&gt;"",$I1343&lt;&gt;""),IF($C1343&gt;TODAY(),"İLERİ TARİH",IF(COUNTIF($W$7:$W$3001,$W1343)&gt;1,"MÜKERRER?",IF($AD1343&gt;0,"KAPALI DÖNEM",IF($I1343="Hayır","ÖDENECEK","UYGUN")))),"EKSİK"))))</f>
        <v/>
      </c>
      <c r="Q1343" s="2"/>
      <c r="R1343" s="2"/>
      <c r="S1343" s="1" t="str">
        <f t="shared" si="62"/>
        <v/>
      </c>
      <c r="T1343" s="1" t="str">
        <f>IF(OR($C1343="",$D1343&lt;&gt;"Gelir",$L1343=""),"",IFERROR(INDEX(MUSTERILER!$B$7:$B$156,MATCH($S1343,MUSTERILER!$T$7:$T$156,0)),""))</f>
        <v/>
      </c>
      <c r="U1343" s="1" t="str">
        <f>IF($T1343="","",$T1343&amp;"|"&amp;COUNTIFS($T$7:$T1343,$T1343))</f>
        <v/>
      </c>
      <c r="V1343" s="1">
        <f t="shared" si="63"/>
        <v>0</v>
      </c>
      <c r="W1343" s="1" t="str">
        <f t="shared" si="64"/>
        <v/>
      </c>
      <c r="X1343" s="1"/>
      <c r="Y1343" s="1"/>
      <c r="Z1343" s="1"/>
      <c r="AA1343" s="1"/>
      <c r="AB1343" s="1"/>
      <c r="AC1343" s="1"/>
      <c r="AD1343" s="1">
        <f>IF($C1343="",0,SUMPRODUCT((AY_SONU!$O$7:$O$42="Evet")*(AY_SONU!$B$7:$B$42=DATE(YEAR($C1343),MONTH($C1343),1))))</f>
        <v>0</v>
      </c>
      <c r="AE1343" s="1" t="str">
        <f>IF($E1343="","",$E1343&amp;"|"&amp;COUNTIFS($E$7:$E1343,$E1343))</f>
        <v/>
      </c>
    </row>
    <row r="1344" spans="1:31" ht="18" customHeight="1" x14ac:dyDescent="0.3">
      <c r="A1344" s="2"/>
      <c r="B1344" s="65" t="str">
        <f>IF($C1344="","","GG"&amp;TEXT(ROW()-6,"00000"))</f>
        <v/>
      </c>
      <c r="C1344" s="66"/>
      <c r="D1344" s="60"/>
      <c r="E1344" s="61"/>
      <c r="F1344" s="61"/>
      <c r="G1344" s="67"/>
      <c r="H1344" s="60"/>
      <c r="I1344" s="60"/>
      <c r="J1344" s="61"/>
      <c r="K1344" s="61"/>
      <c r="L1344" s="60"/>
      <c r="M1344" s="74" t="str">
        <f>IF($C1344="","",IF($D1344="Gider",$E1344,IF($L1344&lt;&gt;"",$L1344,$H1344)))</f>
        <v/>
      </c>
      <c r="N1344" s="74" t="str">
        <f>IF($C1344="","",IF($D1344="Gider",$H1344,$E1344))</f>
        <v/>
      </c>
      <c r="O1344" s="73" t="str">
        <f>IF($C1344="","",DATE(YEAR($C1344),MONTH($C1344),1))</f>
        <v/>
      </c>
      <c r="P1344" s="65" t="str">
        <f ca="1">IF($C1344="","",IF(AND($D1344="Gelir",$L1344&lt;&gt;"",$T1344=""),"TANIMSIZ BORÇLU",IF($T1344&lt;&gt;"",IF(OR($E1344="",$G1344&lt;=0),"EKSİK",IF($I1344="Evet","TAHAKKUK NAKİT OLAMAZ",IF($C1344&gt;TODAY(),"İLERİ TARİH","TAHAKKUK"))),IF(AND($D1344&lt;&gt;"",$E1344&lt;&gt;"",$G1344&gt;0,$H1344&lt;&gt;"",$I1344&lt;&gt;""),IF($C1344&gt;TODAY(),"İLERİ TARİH",IF(COUNTIF($W$7:$W$3001,$W1344)&gt;1,"MÜKERRER?",IF($AD1344&gt;0,"KAPALI DÖNEM",IF($I1344="Hayır","ÖDENECEK","UYGUN")))),"EKSİK"))))</f>
        <v/>
      </c>
      <c r="Q1344" s="2"/>
      <c r="R1344" s="2"/>
      <c r="S1344" s="1" t="str">
        <f t="shared" si="62"/>
        <v/>
      </c>
      <c r="T1344" s="1" t="str">
        <f>IF(OR($C1344="",$D1344&lt;&gt;"Gelir",$L1344=""),"",IFERROR(INDEX(MUSTERILER!$B$7:$B$156,MATCH($S1344,MUSTERILER!$T$7:$T$156,0)),""))</f>
        <v/>
      </c>
      <c r="U1344" s="1" t="str">
        <f>IF($T1344="","",$T1344&amp;"|"&amp;COUNTIFS($T$7:$T1344,$T1344))</f>
        <v/>
      </c>
      <c r="V1344" s="1">
        <f t="shared" si="63"/>
        <v>0</v>
      </c>
      <c r="W1344" s="1" t="str">
        <f t="shared" si="64"/>
        <v/>
      </c>
      <c r="X1344" s="1"/>
      <c r="Y1344" s="1"/>
      <c r="Z1344" s="1"/>
      <c r="AA1344" s="1"/>
      <c r="AB1344" s="1"/>
      <c r="AC1344" s="1"/>
      <c r="AD1344" s="1">
        <f>IF($C1344="",0,SUMPRODUCT((AY_SONU!$O$7:$O$42="Evet")*(AY_SONU!$B$7:$B$42=DATE(YEAR($C1344),MONTH($C1344),1))))</f>
        <v>0</v>
      </c>
      <c r="AE1344" s="1" t="str">
        <f>IF($E1344="","",$E1344&amp;"|"&amp;COUNTIFS($E$7:$E1344,$E1344))</f>
        <v/>
      </c>
    </row>
    <row r="1345" spans="1:31" ht="18" customHeight="1" x14ac:dyDescent="0.3">
      <c r="A1345" s="2"/>
      <c r="B1345" s="65" t="str">
        <f>IF($C1345="","","GG"&amp;TEXT(ROW()-6,"00000"))</f>
        <v/>
      </c>
      <c r="C1345" s="66"/>
      <c r="D1345" s="60"/>
      <c r="E1345" s="61"/>
      <c r="F1345" s="61"/>
      <c r="G1345" s="67"/>
      <c r="H1345" s="60"/>
      <c r="I1345" s="60"/>
      <c r="J1345" s="61"/>
      <c r="K1345" s="61"/>
      <c r="L1345" s="60"/>
      <c r="M1345" s="74" t="str">
        <f>IF($C1345="","",IF($D1345="Gider",$E1345,IF($L1345&lt;&gt;"",$L1345,$H1345)))</f>
        <v/>
      </c>
      <c r="N1345" s="74" t="str">
        <f>IF($C1345="","",IF($D1345="Gider",$H1345,$E1345))</f>
        <v/>
      </c>
      <c r="O1345" s="73" t="str">
        <f>IF($C1345="","",DATE(YEAR($C1345),MONTH($C1345),1))</f>
        <v/>
      </c>
      <c r="P1345" s="65" t="str">
        <f ca="1">IF($C1345="","",IF(AND($D1345="Gelir",$L1345&lt;&gt;"",$T1345=""),"TANIMSIZ BORÇLU",IF($T1345&lt;&gt;"",IF(OR($E1345="",$G1345&lt;=0),"EKSİK",IF($I1345="Evet","TAHAKKUK NAKİT OLAMAZ",IF($C1345&gt;TODAY(),"İLERİ TARİH","TAHAKKUK"))),IF(AND($D1345&lt;&gt;"",$E1345&lt;&gt;"",$G1345&gt;0,$H1345&lt;&gt;"",$I1345&lt;&gt;""),IF($C1345&gt;TODAY(),"İLERİ TARİH",IF(COUNTIF($W$7:$W$3001,$W1345)&gt;1,"MÜKERRER?",IF($AD1345&gt;0,"KAPALI DÖNEM",IF($I1345="Hayır","ÖDENECEK","UYGUN")))),"EKSİK"))))</f>
        <v/>
      </c>
      <c r="Q1345" s="2"/>
      <c r="R1345" s="2"/>
      <c r="S1345" s="1" t="str">
        <f t="shared" si="62"/>
        <v/>
      </c>
      <c r="T1345" s="1" t="str">
        <f>IF(OR($C1345="",$D1345&lt;&gt;"Gelir",$L1345=""),"",IFERROR(INDEX(MUSTERILER!$B$7:$B$156,MATCH($S1345,MUSTERILER!$T$7:$T$156,0)),""))</f>
        <v/>
      </c>
      <c r="U1345" s="1" t="str">
        <f>IF($T1345="","",$T1345&amp;"|"&amp;COUNTIFS($T$7:$T1345,$T1345))</f>
        <v/>
      </c>
      <c r="V1345" s="1">
        <f t="shared" si="63"/>
        <v>0</v>
      </c>
      <c r="W1345" s="1" t="str">
        <f t="shared" si="64"/>
        <v/>
      </c>
      <c r="X1345" s="1"/>
      <c r="Y1345" s="1"/>
      <c r="Z1345" s="1"/>
      <c r="AA1345" s="1"/>
      <c r="AB1345" s="1"/>
      <c r="AC1345" s="1"/>
      <c r="AD1345" s="1">
        <f>IF($C1345="",0,SUMPRODUCT((AY_SONU!$O$7:$O$42="Evet")*(AY_SONU!$B$7:$B$42=DATE(YEAR($C1345),MONTH($C1345),1))))</f>
        <v>0</v>
      </c>
      <c r="AE1345" s="1" t="str">
        <f>IF($E1345="","",$E1345&amp;"|"&amp;COUNTIFS($E$7:$E1345,$E1345))</f>
        <v/>
      </c>
    </row>
    <row r="1346" spans="1:31" ht="18" customHeight="1" x14ac:dyDescent="0.3">
      <c r="A1346" s="2"/>
      <c r="B1346" s="65" t="str">
        <f>IF($C1346="","","GG"&amp;TEXT(ROW()-6,"00000"))</f>
        <v/>
      </c>
      <c r="C1346" s="66"/>
      <c r="D1346" s="60"/>
      <c r="E1346" s="61"/>
      <c r="F1346" s="61"/>
      <c r="G1346" s="67"/>
      <c r="H1346" s="60"/>
      <c r="I1346" s="60"/>
      <c r="J1346" s="61"/>
      <c r="K1346" s="61"/>
      <c r="L1346" s="60"/>
      <c r="M1346" s="74" t="str">
        <f>IF($C1346="","",IF($D1346="Gider",$E1346,IF($L1346&lt;&gt;"",$L1346,$H1346)))</f>
        <v/>
      </c>
      <c r="N1346" s="74" t="str">
        <f>IF($C1346="","",IF($D1346="Gider",$H1346,$E1346))</f>
        <v/>
      </c>
      <c r="O1346" s="73" t="str">
        <f>IF($C1346="","",DATE(YEAR($C1346),MONTH($C1346),1))</f>
        <v/>
      </c>
      <c r="P1346" s="65" t="str">
        <f ca="1">IF($C1346="","",IF(AND($D1346="Gelir",$L1346&lt;&gt;"",$T1346=""),"TANIMSIZ BORÇLU",IF($T1346&lt;&gt;"",IF(OR($E1346="",$G1346&lt;=0),"EKSİK",IF($I1346="Evet","TAHAKKUK NAKİT OLAMAZ",IF($C1346&gt;TODAY(),"İLERİ TARİH","TAHAKKUK"))),IF(AND($D1346&lt;&gt;"",$E1346&lt;&gt;"",$G1346&gt;0,$H1346&lt;&gt;"",$I1346&lt;&gt;""),IF($C1346&gt;TODAY(),"İLERİ TARİH",IF(COUNTIF($W$7:$W$3001,$W1346)&gt;1,"MÜKERRER?",IF($AD1346&gt;0,"KAPALI DÖNEM",IF($I1346="Hayır","ÖDENECEK","UYGUN")))),"EKSİK"))))</f>
        <v/>
      </c>
      <c r="Q1346" s="2"/>
      <c r="R1346" s="2"/>
      <c r="S1346" s="1" t="str">
        <f t="shared" si="62"/>
        <v/>
      </c>
      <c r="T1346" s="1" t="str">
        <f>IF(OR($C1346="",$D1346&lt;&gt;"Gelir",$L1346=""),"",IFERROR(INDEX(MUSTERILER!$B$7:$B$156,MATCH($S1346,MUSTERILER!$T$7:$T$156,0)),""))</f>
        <v/>
      </c>
      <c r="U1346" s="1" t="str">
        <f>IF($T1346="","",$T1346&amp;"|"&amp;COUNTIFS($T$7:$T1346,$T1346))</f>
        <v/>
      </c>
      <c r="V1346" s="1">
        <f t="shared" si="63"/>
        <v>0</v>
      </c>
      <c r="W1346" s="1" t="str">
        <f t="shared" si="64"/>
        <v/>
      </c>
      <c r="X1346" s="1"/>
      <c r="Y1346" s="1"/>
      <c r="Z1346" s="1"/>
      <c r="AA1346" s="1"/>
      <c r="AB1346" s="1"/>
      <c r="AC1346" s="1"/>
      <c r="AD1346" s="1">
        <f>IF($C1346="",0,SUMPRODUCT((AY_SONU!$O$7:$O$42="Evet")*(AY_SONU!$B$7:$B$42=DATE(YEAR($C1346),MONTH($C1346),1))))</f>
        <v>0</v>
      </c>
      <c r="AE1346" s="1" t="str">
        <f>IF($E1346="","",$E1346&amp;"|"&amp;COUNTIFS($E$7:$E1346,$E1346))</f>
        <v/>
      </c>
    </row>
    <row r="1347" spans="1:31" ht="18" customHeight="1" x14ac:dyDescent="0.3">
      <c r="A1347" s="2"/>
      <c r="B1347" s="65" t="str">
        <f>IF($C1347="","","GG"&amp;TEXT(ROW()-6,"00000"))</f>
        <v/>
      </c>
      <c r="C1347" s="66"/>
      <c r="D1347" s="60"/>
      <c r="E1347" s="61"/>
      <c r="F1347" s="61"/>
      <c r="G1347" s="67"/>
      <c r="H1347" s="60"/>
      <c r="I1347" s="60"/>
      <c r="J1347" s="61"/>
      <c r="K1347" s="61"/>
      <c r="L1347" s="60"/>
      <c r="M1347" s="74" t="str">
        <f>IF($C1347="","",IF($D1347="Gider",$E1347,IF($L1347&lt;&gt;"",$L1347,$H1347)))</f>
        <v/>
      </c>
      <c r="N1347" s="74" t="str">
        <f>IF($C1347="","",IF($D1347="Gider",$H1347,$E1347))</f>
        <v/>
      </c>
      <c r="O1347" s="73" t="str">
        <f>IF($C1347="","",DATE(YEAR($C1347),MONTH($C1347),1))</f>
        <v/>
      </c>
      <c r="P1347" s="65" t="str">
        <f ca="1">IF($C1347="","",IF(AND($D1347="Gelir",$L1347&lt;&gt;"",$T1347=""),"TANIMSIZ BORÇLU",IF($T1347&lt;&gt;"",IF(OR($E1347="",$G1347&lt;=0),"EKSİK",IF($I1347="Evet","TAHAKKUK NAKİT OLAMAZ",IF($C1347&gt;TODAY(),"İLERİ TARİH","TAHAKKUK"))),IF(AND($D1347&lt;&gt;"",$E1347&lt;&gt;"",$G1347&gt;0,$H1347&lt;&gt;"",$I1347&lt;&gt;""),IF($C1347&gt;TODAY(),"İLERİ TARİH",IF(COUNTIF($W$7:$W$3001,$W1347)&gt;1,"MÜKERRER?",IF($AD1347&gt;0,"KAPALI DÖNEM",IF($I1347="Hayır","ÖDENECEK","UYGUN")))),"EKSİK"))))</f>
        <v/>
      </c>
      <c r="Q1347" s="2"/>
      <c r="R1347" s="2"/>
      <c r="S1347" s="1" t="str">
        <f t="shared" si="62"/>
        <v/>
      </c>
      <c r="T1347" s="1" t="str">
        <f>IF(OR($C1347="",$D1347&lt;&gt;"Gelir",$L1347=""),"",IFERROR(INDEX(MUSTERILER!$B$7:$B$156,MATCH($S1347,MUSTERILER!$T$7:$T$156,0)),""))</f>
        <v/>
      </c>
      <c r="U1347" s="1" t="str">
        <f>IF($T1347="","",$T1347&amp;"|"&amp;COUNTIFS($T$7:$T1347,$T1347))</f>
        <v/>
      </c>
      <c r="V1347" s="1">
        <f t="shared" si="63"/>
        <v>0</v>
      </c>
      <c r="W1347" s="1" t="str">
        <f t="shared" si="64"/>
        <v/>
      </c>
      <c r="X1347" s="1"/>
      <c r="Y1347" s="1"/>
      <c r="Z1347" s="1"/>
      <c r="AA1347" s="1"/>
      <c r="AB1347" s="1"/>
      <c r="AC1347" s="1"/>
      <c r="AD1347" s="1">
        <f>IF($C1347="",0,SUMPRODUCT((AY_SONU!$O$7:$O$42="Evet")*(AY_SONU!$B$7:$B$42=DATE(YEAR($C1347),MONTH($C1347),1))))</f>
        <v>0</v>
      </c>
      <c r="AE1347" s="1" t="str">
        <f>IF($E1347="","",$E1347&amp;"|"&amp;COUNTIFS($E$7:$E1347,$E1347))</f>
        <v/>
      </c>
    </row>
    <row r="1348" spans="1:31" ht="18" customHeight="1" x14ac:dyDescent="0.3">
      <c r="A1348" s="2"/>
      <c r="B1348" s="65" t="str">
        <f>IF($C1348="","","GG"&amp;TEXT(ROW()-6,"00000"))</f>
        <v/>
      </c>
      <c r="C1348" s="66"/>
      <c r="D1348" s="60"/>
      <c r="E1348" s="61"/>
      <c r="F1348" s="61"/>
      <c r="G1348" s="67"/>
      <c r="H1348" s="60"/>
      <c r="I1348" s="60"/>
      <c r="J1348" s="61"/>
      <c r="K1348" s="61"/>
      <c r="L1348" s="60"/>
      <c r="M1348" s="74" t="str">
        <f>IF($C1348="","",IF($D1348="Gider",$E1348,IF($L1348&lt;&gt;"",$L1348,$H1348)))</f>
        <v/>
      </c>
      <c r="N1348" s="74" t="str">
        <f>IF($C1348="","",IF($D1348="Gider",$H1348,$E1348))</f>
        <v/>
      </c>
      <c r="O1348" s="73" t="str">
        <f>IF($C1348="","",DATE(YEAR($C1348),MONTH($C1348),1))</f>
        <v/>
      </c>
      <c r="P1348" s="65" t="str">
        <f ca="1">IF($C1348="","",IF(AND($D1348="Gelir",$L1348&lt;&gt;"",$T1348=""),"TANIMSIZ BORÇLU",IF($T1348&lt;&gt;"",IF(OR($E1348="",$G1348&lt;=0),"EKSİK",IF($I1348="Evet","TAHAKKUK NAKİT OLAMAZ",IF($C1348&gt;TODAY(),"İLERİ TARİH","TAHAKKUK"))),IF(AND($D1348&lt;&gt;"",$E1348&lt;&gt;"",$G1348&gt;0,$H1348&lt;&gt;"",$I1348&lt;&gt;""),IF($C1348&gt;TODAY(),"İLERİ TARİH",IF(COUNTIF($W$7:$W$3001,$W1348)&gt;1,"MÜKERRER?",IF($AD1348&gt;0,"KAPALI DÖNEM",IF($I1348="Hayır","ÖDENECEK","UYGUN")))),"EKSİK"))))</f>
        <v/>
      </c>
      <c r="Q1348" s="2"/>
      <c r="R1348" s="2"/>
      <c r="S1348" s="1" t="str">
        <f t="shared" si="62"/>
        <v/>
      </c>
      <c r="T1348" s="1" t="str">
        <f>IF(OR($C1348="",$D1348&lt;&gt;"Gelir",$L1348=""),"",IFERROR(INDEX(MUSTERILER!$B$7:$B$156,MATCH($S1348,MUSTERILER!$T$7:$T$156,0)),""))</f>
        <v/>
      </c>
      <c r="U1348" s="1" t="str">
        <f>IF($T1348="","",$T1348&amp;"|"&amp;COUNTIFS($T$7:$T1348,$T1348))</f>
        <v/>
      </c>
      <c r="V1348" s="1">
        <f t="shared" si="63"/>
        <v>0</v>
      </c>
      <c r="W1348" s="1" t="str">
        <f t="shared" si="64"/>
        <v/>
      </c>
      <c r="X1348" s="1"/>
      <c r="Y1348" s="1"/>
      <c r="Z1348" s="1"/>
      <c r="AA1348" s="1"/>
      <c r="AB1348" s="1"/>
      <c r="AC1348" s="1"/>
      <c r="AD1348" s="1">
        <f>IF($C1348="",0,SUMPRODUCT((AY_SONU!$O$7:$O$42="Evet")*(AY_SONU!$B$7:$B$42=DATE(YEAR($C1348),MONTH($C1348),1))))</f>
        <v>0</v>
      </c>
      <c r="AE1348" s="1" t="str">
        <f>IF($E1348="","",$E1348&amp;"|"&amp;COUNTIFS($E$7:$E1348,$E1348))</f>
        <v/>
      </c>
    </row>
    <row r="1349" spans="1:31" ht="18" customHeight="1" x14ac:dyDescent="0.3">
      <c r="A1349" s="2"/>
      <c r="B1349" s="65" t="str">
        <f>IF($C1349="","","GG"&amp;TEXT(ROW()-6,"00000"))</f>
        <v/>
      </c>
      <c r="C1349" s="66"/>
      <c r="D1349" s="60"/>
      <c r="E1349" s="61"/>
      <c r="F1349" s="61"/>
      <c r="G1349" s="67"/>
      <c r="H1349" s="60"/>
      <c r="I1349" s="60"/>
      <c r="J1349" s="61"/>
      <c r="K1349" s="61"/>
      <c r="L1349" s="60"/>
      <c r="M1349" s="74" t="str">
        <f>IF($C1349="","",IF($D1349="Gider",$E1349,IF($L1349&lt;&gt;"",$L1349,$H1349)))</f>
        <v/>
      </c>
      <c r="N1349" s="74" t="str">
        <f>IF($C1349="","",IF($D1349="Gider",$H1349,$E1349))</f>
        <v/>
      </c>
      <c r="O1349" s="73" t="str">
        <f>IF($C1349="","",DATE(YEAR($C1349),MONTH($C1349),1))</f>
        <v/>
      </c>
      <c r="P1349" s="65" t="str">
        <f ca="1">IF($C1349="","",IF(AND($D1349="Gelir",$L1349&lt;&gt;"",$T1349=""),"TANIMSIZ BORÇLU",IF($T1349&lt;&gt;"",IF(OR($E1349="",$G1349&lt;=0),"EKSİK",IF($I1349="Evet","TAHAKKUK NAKİT OLAMAZ",IF($C1349&gt;TODAY(),"İLERİ TARİH","TAHAKKUK"))),IF(AND($D1349&lt;&gt;"",$E1349&lt;&gt;"",$G1349&gt;0,$H1349&lt;&gt;"",$I1349&lt;&gt;""),IF($C1349&gt;TODAY(),"İLERİ TARİH",IF(COUNTIF($W$7:$W$3001,$W1349)&gt;1,"MÜKERRER?",IF($AD1349&gt;0,"KAPALI DÖNEM",IF($I1349="Hayır","ÖDENECEK","UYGUN")))),"EKSİK"))))</f>
        <v/>
      </c>
      <c r="Q1349" s="2"/>
      <c r="R1349" s="2"/>
      <c r="S1349" s="1" t="str">
        <f t="shared" ref="S1349:S1412" si="65">IF($L1349="","",UPPER(SUBSTITUTE(SUBSTITUTE(SUBSTITUTE(SUBSTITUTE(SUBSTITUTE(SUBSTITUTE(SUBSTITUTE(SUBSTITUTE(SUBSTITUTE(SUBSTITUTE(SUBSTITUTE(SUBSTITUTE(SUBSTITUTE(SUBSTITUTE(SUBSTITUTE(SUBSTITUTE(SUBSTITUTE(SUBSTITUTE(TRIM($L1349),"'",""),"İ","I"),"ı","I"),"i","I"),"Ş","S"),"ş","S"),"Ğ","G"),"ğ","G"),"Ü","U"),"ü","U"),"Ö","O"),"ö","O"),"Ç","C"),"ç","C"),".",""),",","")," ",""),"-","")))</f>
        <v/>
      </c>
      <c r="T1349" s="1" t="str">
        <f>IF(OR($C1349="",$D1349&lt;&gt;"Gelir",$L1349=""),"",IFERROR(INDEX(MUSTERILER!$B$7:$B$156,MATCH($S1349,MUSTERILER!$T$7:$T$156,0)),""))</f>
        <v/>
      </c>
      <c r="U1349" s="1" t="str">
        <f>IF($T1349="","",$T1349&amp;"|"&amp;COUNTIFS($T$7:$T1349,$T1349))</f>
        <v/>
      </c>
      <c r="V1349" s="1">
        <f t="shared" ref="V1349:V1412" si="66">IF($T1349="",0,1)</f>
        <v>0</v>
      </c>
      <c r="W1349" s="1" t="str">
        <f t="shared" ref="W1349:W1412" si="67">IF($C1349="","",$D1349&amp;"|"&amp;$E1349&amp;"|"&amp;TEXT($C1349,"0")&amp;"|"&amp;TEXT($G1349,"0")&amp;"|"&amp;$F1349&amp;"|"&amp;$J1349)</f>
        <v/>
      </c>
      <c r="X1349" s="1"/>
      <c r="Y1349" s="1"/>
      <c r="Z1349" s="1"/>
      <c r="AA1349" s="1"/>
      <c r="AB1349" s="1"/>
      <c r="AC1349" s="1"/>
      <c r="AD1349" s="1">
        <f>IF($C1349="",0,SUMPRODUCT((AY_SONU!$O$7:$O$42="Evet")*(AY_SONU!$B$7:$B$42=DATE(YEAR($C1349),MONTH($C1349),1))))</f>
        <v>0</v>
      </c>
      <c r="AE1349" s="1" t="str">
        <f>IF($E1349="","",$E1349&amp;"|"&amp;COUNTIFS($E$7:$E1349,$E1349))</f>
        <v/>
      </c>
    </row>
    <row r="1350" spans="1:31" ht="18" customHeight="1" x14ac:dyDescent="0.3">
      <c r="A1350" s="2"/>
      <c r="B1350" s="65" t="str">
        <f>IF($C1350="","","GG"&amp;TEXT(ROW()-6,"00000"))</f>
        <v/>
      </c>
      <c r="C1350" s="66"/>
      <c r="D1350" s="60"/>
      <c r="E1350" s="61"/>
      <c r="F1350" s="61"/>
      <c r="G1350" s="67"/>
      <c r="H1350" s="60"/>
      <c r="I1350" s="60"/>
      <c r="J1350" s="61"/>
      <c r="K1350" s="61"/>
      <c r="L1350" s="60"/>
      <c r="M1350" s="74" t="str">
        <f>IF($C1350="","",IF($D1350="Gider",$E1350,IF($L1350&lt;&gt;"",$L1350,$H1350)))</f>
        <v/>
      </c>
      <c r="N1350" s="74" t="str">
        <f>IF($C1350="","",IF($D1350="Gider",$H1350,$E1350))</f>
        <v/>
      </c>
      <c r="O1350" s="73" t="str">
        <f>IF($C1350="","",DATE(YEAR($C1350),MONTH($C1350),1))</f>
        <v/>
      </c>
      <c r="P1350" s="65" t="str">
        <f ca="1">IF($C1350="","",IF(AND($D1350="Gelir",$L1350&lt;&gt;"",$T1350=""),"TANIMSIZ BORÇLU",IF($T1350&lt;&gt;"",IF(OR($E1350="",$G1350&lt;=0),"EKSİK",IF($I1350="Evet","TAHAKKUK NAKİT OLAMAZ",IF($C1350&gt;TODAY(),"İLERİ TARİH","TAHAKKUK"))),IF(AND($D1350&lt;&gt;"",$E1350&lt;&gt;"",$G1350&gt;0,$H1350&lt;&gt;"",$I1350&lt;&gt;""),IF($C1350&gt;TODAY(),"İLERİ TARİH",IF(COUNTIF($W$7:$W$3001,$W1350)&gt;1,"MÜKERRER?",IF($AD1350&gt;0,"KAPALI DÖNEM",IF($I1350="Hayır","ÖDENECEK","UYGUN")))),"EKSİK"))))</f>
        <v/>
      </c>
      <c r="Q1350" s="2"/>
      <c r="R1350" s="2"/>
      <c r="S1350" s="1" t="str">
        <f t="shared" si="65"/>
        <v/>
      </c>
      <c r="T1350" s="1" t="str">
        <f>IF(OR($C1350="",$D1350&lt;&gt;"Gelir",$L1350=""),"",IFERROR(INDEX(MUSTERILER!$B$7:$B$156,MATCH($S1350,MUSTERILER!$T$7:$T$156,0)),""))</f>
        <v/>
      </c>
      <c r="U1350" s="1" t="str">
        <f>IF($T1350="","",$T1350&amp;"|"&amp;COUNTIFS($T$7:$T1350,$T1350))</f>
        <v/>
      </c>
      <c r="V1350" s="1">
        <f t="shared" si="66"/>
        <v>0</v>
      </c>
      <c r="W1350" s="1" t="str">
        <f t="shared" si="67"/>
        <v/>
      </c>
      <c r="X1350" s="1"/>
      <c r="Y1350" s="1"/>
      <c r="Z1350" s="1"/>
      <c r="AA1350" s="1"/>
      <c r="AB1350" s="1"/>
      <c r="AC1350" s="1"/>
      <c r="AD1350" s="1">
        <f>IF($C1350="",0,SUMPRODUCT((AY_SONU!$O$7:$O$42="Evet")*(AY_SONU!$B$7:$B$42=DATE(YEAR($C1350),MONTH($C1350),1))))</f>
        <v>0</v>
      </c>
      <c r="AE1350" s="1" t="str">
        <f>IF($E1350="","",$E1350&amp;"|"&amp;COUNTIFS($E$7:$E1350,$E1350))</f>
        <v/>
      </c>
    </row>
    <row r="1351" spans="1:31" ht="18" customHeight="1" x14ac:dyDescent="0.3">
      <c r="A1351" s="2"/>
      <c r="B1351" s="65" t="str">
        <f>IF($C1351="","","GG"&amp;TEXT(ROW()-6,"00000"))</f>
        <v/>
      </c>
      <c r="C1351" s="66"/>
      <c r="D1351" s="60"/>
      <c r="E1351" s="61"/>
      <c r="F1351" s="61"/>
      <c r="G1351" s="67"/>
      <c r="H1351" s="60"/>
      <c r="I1351" s="60"/>
      <c r="J1351" s="61"/>
      <c r="K1351" s="61"/>
      <c r="L1351" s="60"/>
      <c r="M1351" s="74" t="str">
        <f>IF($C1351="","",IF($D1351="Gider",$E1351,IF($L1351&lt;&gt;"",$L1351,$H1351)))</f>
        <v/>
      </c>
      <c r="N1351" s="74" t="str">
        <f>IF($C1351="","",IF($D1351="Gider",$H1351,$E1351))</f>
        <v/>
      </c>
      <c r="O1351" s="73" t="str">
        <f>IF($C1351="","",DATE(YEAR($C1351),MONTH($C1351),1))</f>
        <v/>
      </c>
      <c r="P1351" s="65" t="str">
        <f ca="1"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TARİH",IF(COUNTIF($W$7:$W$3001,$W1351)&gt;1,"MÜKERRER?",IF($AD1351&gt;0,"KAPALI DÖNEM",IF($I1351="Hayır","ÖDENECEK","UYGUN")))),"EKSİK"))))</f>
        <v/>
      </c>
      <c r="Q1351" s="2"/>
      <c r="R1351" s="2"/>
      <c r="S1351" s="1" t="str">
        <f t="shared" si="65"/>
        <v/>
      </c>
      <c r="T1351" s="1" t="str">
        <f>IF(OR($C1351="",$D1351&lt;&gt;"Gelir",$L1351=""),"",IFERROR(INDEX(MUSTERILER!$B$7:$B$156,MATCH($S1351,MUSTERILER!$T$7:$T$156,0)),""))</f>
        <v/>
      </c>
      <c r="U1351" s="1" t="str">
        <f>IF($T1351="","",$T1351&amp;"|"&amp;COUNTIFS($T$7:$T1351,$T1351))</f>
        <v/>
      </c>
      <c r="V1351" s="1">
        <f t="shared" si="66"/>
        <v>0</v>
      </c>
      <c r="W1351" s="1" t="str">
        <f t="shared" si="67"/>
        <v/>
      </c>
      <c r="X1351" s="1"/>
      <c r="Y1351" s="1"/>
      <c r="Z1351" s="1"/>
      <c r="AA1351" s="1"/>
      <c r="AB1351" s="1"/>
      <c r="AC1351" s="1"/>
      <c r="AD1351" s="1">
        <f>IF($C1351="",0,SUMPRODUCT((AY_SONU!$O$7:$O$42="Evet")*(AY_SONU!$B$7:$B$42=DATE(YEAR($C1351),MONTH($C1351),1))))</f>
        <v>0</v>
      </c>
      <c r="AE1351" s="1" t="str">
        <f>IF($E1351="","",$E1351&amp;"|"&amp;COUNTIFS($E$7:$E1351,$E1351))</f>
        <v/>
      </c>
    </row>
    <row r="1352" spans="1:31" ht="18" customHeight="1" x14ac:dyDescent="0.3">
      <c r="A1352" s="2"/>
      <c r="B1352" s="65" t="str">
        <f>IF($C1352="","","GG"&amp;TEXT(ROW()-6,"00000"))</f>
        <v/>
      </c>
      <c r="C1352" s="66"/>
      <c r="D1352" s="60"/>
      <c r="E1352" s="61"/>
      <c r="F1352" s="61"/>
      <c r="G1352" s="67"/>
      <c r="H1352" s="60"/>
      <c r="I1352" s="60"/>
      <c r="J1352" s="61"/>
      <c r="K1352" s="61"/>
      <c r="L1352" s="60"/>
      <c r="M1352" s="74" t="str">
        <f>IF($C1352="","",IF($D1352="Gider",$E1352,IF($L1352&lt;&gt;"",$L1352,$H1352)))</f>
        <v/>
      </c>
      <c r="N1352" s="74" t="str">
        <f>IF($C1352="","",IF($D1352="Gider",$H1352,$E1352))</f>
        <v/>
      </c>
      <c r="O1352" s="73" t="str">
        <f>IF($C1352="","",DATE(YEAR($C1352),MONTH($C1352),1))</f>
        <v/>
      </c>
      <c r="P1352" s="65" t="str">
        <f ca="1">IF($C1352="","",IF(AND($D1352="Gelir",$L1352&lt;&gt;"",$T1352=""),"TANIMSIZ BORÇLU",IF($T1352&lt;&gt;"",IF(OR($E1352="",$G1352&lt;=0),"EKSİK",IF($I1352="Evet","TAHAKKUK NAKİT OLAMAZ",IF($C1352&gt;TODAY(),"İLERİ TARİH","TAHAKKUK"))),IF(AND($D1352&lt;&gt;"",$E1352&lt;&gt;"",$G1352&gt;0,$H1352&lt;&gt;"",$I1352&lt;&gt;""),IF($C1352&gt;TODAY(),"İLERİ TARİH",IF(COUNTIF($W$7:$W$3001,$W1352)&gt;1,"MÜKERRER?",IF($AD1352&gt;0,"KAPALI DÖNEM",IF($I1352="Hayır","ÖDENECEK","UYGUN")))),"EKSİK"))))</f>
        <v/>
      </c>
      <c r="Q1352" s="2"/>
      <c r="R1352" s="2"/>
      <c r="S1352" s="1" t="str">
        <f t="shared" si="65"/>
        <v/>
      </c>
      <c r="T1352" s="1" t="str">
        <f>IF(OR($C1352="",$D1352&lt;&gt;"Gelir",$L1352=""),"",IFERROR(INDEX(MUSTERILER!$B$7:$B$156,MATCH($S1352,MUSTERILER!$T$7:$T$156,0)),""))</f>
        <v/>
      </c>
      <c r="U1352" s="1" t="str">
        <f>IF($T1352="","",$T1352&amp;"|"&amp;COUNTIFS($T$7:$T1352,$T1352))</f>
        <v/>
      </c>
      <c r="V1352" s="1">
        <f t="shared" si="66"/>
        <v>0</v>
      </c>
      <c r="W1352" s="1" t="str">
        <f t="shared" si="67"/>
        <v/>
      </c>
      <c r="X1352" s="1"/>
      <c r="Y1352" s="1"/>
      <c r="Z1352" s="1"/>
      <c r="AA1352" s="1"/>
      <c r="AB1352" s="1"/>
      <c r="AC1352" s="1"/>
      <c r="AD1352" s="1">
        <f>IF($C1352="",0,SUMPRODUCT((AY_SONU!$O$7:$O$42="Evet")*(AY_SONU!$B$7:$B$42=DATE(YEAR($C1352),MONTH($C1352),1))))</f>
        <v>0</v>
      </c>
      <c r="AE1352" s="1" t="str">
        <f>IF($E1352="","",$E1352&amp;"|"&amp;COUNTIFS($E$7:$E1352,$E1352))</f>
        <v/>
      </c>
    </row>
    <row r="1353" spans="1:31" ht="18" customHeight="1" x14ac:dyDescent="0.3">
      <c r="A1353" s="2"/>
      <c r="B1353" s="65" t="str">
        <f>IF($C1353="","","GG"&amp;TEXT(ROW()-6,"00000"))</f>
        <v/>
      </c>
      <c r="C1353" s="66"/>
      <c r="D1353" s="60"/>
      <c r="E1353" s="61"/>
      <c r="F1353" s="61"/>
      <c r="G1353" s="67"/>
      <c r="H1353" s="60"/>
      <c r="I1353" s="60"/>
      <c r="J1353" s="61"/>
      <c r="K1353" s="61"/>
      <c r="L1353" s="60"/>
      <c r="M1353" s="74" t="str">
        <f>IF($C1353="","",IF($D1353="Gider",$E1353,IF($L1353&lt;&gt;"",$L1353,$H1353)))</f>
        <v/>
      </c>
      <c r="N1353" s="74" t="str">
        <f>IF($C1353="","",IF($D1353="Gider",$H1353,$E1353))</f>
        <v/>
      </c>
      <c r="O1353" s="73" t="str">
        <f>IF($C1353="","",DATE(YEAR($C1353),MONTH($C1353),1))</f>
        <v/>
      </c>
      <c r="P1353" s="65" t="str">
        <f ca="1">IF($C1353="","",IF(AND($D1353="Gelir",$L1353&lt;&gt;"",$T1353=""),"TANIMSIZ BORÇLU",IF($T1353&lt;&gt;"",IF(OR($E1353="",$G1353&lt;=0),"EKSİK",IF($I1353="Evet","TAHAKKUK NAKİT OLAMAZ",IF($C1353&gt;TODAY(),"İLERİ TARİH","TAHAKKUK"))),IF(AND($D1353&lt;&gt;"",$E1353&lt;&gt;"",$G1353&gt;0,$H1353&lt;&gt;"",$I1353&lt;&gt;""),IF($C1353&gt;TODAY(),"İLERİ TARİH",IF(COUNTIF($W$7:$W$3001,$W1353)&gt;1,"MÜKERRER?",IF($AD1353&gt;0,"KAPALI DÖNEM",IF($I1353="Hayır","ÖDENECEK","UYGUN")))),"EKSİK"))))</f>
        <v/>
      </c>
      <c r="Q1353" s="2"/>
      <c r="R1353" s="2"/>
      <c r="S1353" s="1" t="str">
        <f t="shared" si="65"/>
        <v/>
      </c>
      <c r="T1353" s="1" t="str">
        <f>IF(OR($C1353="",$D1353&lt;&gt;"Gelir",$L1353=""),"",IFERROR(INDEX(MUSTERILER!$B$7:$B$156,MATCH($S1353,MUSTERILER!$T$7:$T$156,0)),""))</f>
        <v/>
      </c>
      <c r="U1353" s="1" t="str">
        <f>IF($T1353="","",$T1353&amp;"|"&amp;COUNTIFS($T$7:$T1353,$T1353))</f>
        <v/>
      </c>
      <c r="V1353" s="1">
        <f t="shared" si="66"/>
        <v>0</v>
      </c>
      <c r="W1353" s="1" t="str">
        <f t="shared" si="67"/>
        <v/>
      </c>
      <c r="X1353" s="1"/>
      <c r="Y1353" s="1"/>
      <c r="Z1353" s="1"/>
      <c r="AA1353" s="1"/>
      <c r="AB1353" s="1"/>
      <c r="AC1353" s="1"/>
      <c r="AD1353" s="1">
        <f>IF($C1353="",0,SUMPRODUCT((AY_SONU!$O$7:$O$42="Evet")*(AY_SONU!$B$7:$B$42=DATE(YEAR($C1353),MONTH($C1353),1))))</f>
        <v>0</v>
      </c>
      <c r="AE1353" s="1" t="str">
        <f>IF($E1353="","",$E1353&amp;"|"&amp;COUNTIFS($E$7:$E1353,$E1353))</f>
        <v/>
      </c>
    </row>
    <row r="1354" spans="1:31" ht="18" customHeight="1" x14ac:dyDescent="0.3">
      <c r="A1354" s="2"/>
      <c r="B1354" s="65" t="str">
        <f>IF($C1354="","","GG"&amp;TEXT(ROW()-6,"00000"))</f>
        <v/>
      </c>
      <c r="C1354" s="66"/>
      <c r="D1354" s="60"/>
      <c r="E1354" s="61"/>
      <c r="F1354" s="61"/>
      <c r="G1354" s="67"/>
      <c r="H1354" s="60"/>
      <c r="I1354" s="60"/>
      <c r="J1354" s="61"/>
      <c r="K1354" s="61"/>
      <c r="L1354" s="60"/>
      <c r="M1354" s="74" t="str">
        <f>IF($C1354="","",IF($D1354="Gider",$E1354,IF($L1354&lt;&gt;"",$L1354,$H1354)))</f>
        <v/>
      </c>
      <c r="N1354" s="74" t="str">
        <f>IF($C1354="","",IF($D1354="Gider",$H1354,$E1354))</f>
        <v/>
      </c>
      <c r="O1354" s="73" t="str">
        <f>IF($C1354="","",DATE(YEAR($C1354),MONTH($C1354),1))</f>
        <v/>
      </c>
      <c r="P1354" s="65" t="str">
        <f ca="1">IF($C1354="","",IF(AND($D1354="Gelir",$L1354&lt;&gt;"",$T1354=""),"TANIMSIZ BORÇLU",IF($T1354&lt;&gt;"",IF(OR($E1354="",$G1354&lt;=0),"EKSİK",IF($I1354="Evet","TAHAKKUK NAKİT OLAMAZ",IF($C1354&gt;TODAY(),"İLERİ TARİH","TAHAKKUK"))),IF(AND($D1354&lt;&gt;"",$E1354&lt;&gt;"",$G1354&gt;0,$H1354&lt;&gt;"",$I1354&lt;&gt;""),IF($C1354&gt;TODAY(),"İLERİ TARİH",IF(COUNTIF($W$7:$W$3001,$W1354)&gt;1,"MÜKERRER?",IF($AD1354&gt;0,"KAPALI DÖNEM",IF($I1354="Hayır","ÖDENECEK","UYGUN")))),"EKSİK"))))</f>
        <v/>
      </c>
      <c r="Q1354" s="2"/>
      <c r="R1354" s="2"/>
      <c r="S1354" s="1" t="str">
        <f t="shared" si="65"/>
        <v/>
      </c>
      <c r="T1354" s="1" t="str">
        <f>IF(OR($C1354="",$D1354&lt;&gt;"Gelir",$L1354=""),"",IFERROR(INDEX(MUSTERILER!$B$7:$B$156,MATCH($S1354,MUSTERILER!$T$7:$T$156,0)),""))</f>
        <v/>
      </c>
      <c r="U1354" s="1" t="str">
        <f>IF($T1354="","",$T1354&amp;"|"&amp;COUNTIFS($T$7:$T1354,$T1354))</f>
        <v/>
      </c>
      <c r="V1354" s="1">
        <f t="shared" si="66"/>
        <v>0</v>
      </c>
      <c r="W1354" s="1" t="str">
        <f t="shared" si="67"/>
        <v/>
      </c>
      <c r="X1354" s="1"/>
      <c r="Y1354" s="1"/>
      <c r="Z1354" s="1"/>
      <c r="AA1354" s="1"/>
      <c r="AB1354" s="1"/>
      <c r="AC1354" s="1"/>
      <c r="AD1354" s="1">
        <f>IF($C1354="",0,SUMPRODUCT((AY_SONU!$O$7:$O$42="Evet")*(AY_SONU!$B$7:$B$42=DATE(YEAR($C1354),MONTH($C1354),1))))</f>
        <v>0</v>
      </c>
      <c r="AE1354" s="1" t="str">
        <f>IF($E1354="","",$E1354&amp;"|"&amp;COUNTIFS($E$7:$E1354,$E1354))</f>
        <v/>
      </c>
    </row>
    <row r="1355" spans="1:31" ht="18" customHeight="1" x14ac:dyDescent="0.3">
      <c r="A1355" s="2"/>
      <c r="B1355" s="65" t="str">
        <f>IF($C1355="","","GG"&amp;TEXT(ROW()-6,"00000"))</f>
        <v/>
      </c>
      <c r="C1355" s="66"/>
      <c r="D1355" s="60"/>
      <c r="E1355" s="61"/>
      <c r="F1355" s="61"/>
      <c r="G1355" s="67"/>
      <c r="H1355" s="60"/>
      <c r="I1355" s="60"/>
      <c r="J1355" s="61"/>
      <c r="K1355" s="61"/>
      <c r="L1355" s="60"/>
      <c r="M1355" s="74" t="str">
        <f>IF($C1355="","",IF($D1355="Gider",$E1355,IF($L1355&lt;&gt;"",$L1355,$H1355)))</f>
        <v/>
      </c>
      <c r="N1355" s="74" t="str">
        <f>IF($C1355="","",IF($D1355="Gider",$H1355,$E1355))</f>
        <v/>
      </c>
      <c r="O1355" s="73" t="str">
        <f>IF($C1355="","",DATE(YEAR($C1355),MONTH($C1355),1))</f>
        <v/>
      </c>
      <c r="P1355" s="65" t="str">
        <f ca="1">IF($C1355="","",IF(AND($D1355="Gelir",$L1355&lt;&gt;"",$T1355=""),"TANIMSIZ BORÇLU",IF($T1355&lt;&gt;"",IF(OR($E1355="",$G1355&lt;=0),"EKSİK",IF($I1355="Evet","TAHAKKUK NAKİT OLAMAZ",IF($C1355&gt;TODAY(),"İLERİ TARİH","TAHAKKUK"))),IF(AND($D1355&lt;&gt;"",$E1355&lt;&gt;"",$G1355&gt;0,$H1355&lt;&gt;"",$I1355&lt;&gt;""),IF($C1355&gt;TODAY(),"İLERİ TARİH",IF(COUNTIF($W$7:$W$3001,$W1355)&gt;1,"MÜKERRER?",IF($AD1355&gt;0,"KAPALI DÖNEM",IF($I1355="Hayır","ÖDENECEK","UYGUN")))),"EKSİK"))))</f>
        <v/>
      </c>
      <c r="Q1355" s="2"/>
      <c r="R1355" s="2"/>
      <c r="S1355" s="1" t="str">
        <f t="shared" si="65"/>
        <v/>
      </c>
      <c r="T1355" s="1" t="str">
        <f>IF(OR($C1355="",$D1355&lt;&gt;"Gelir",$L1355=""),"",IFERROR(INDEX(MUSTERILER!$B$7:$B$156,MATCH($S1355,MUSTERILER!$T$7:$T$156,0)),""))</f>
        <v/>
      </c>
      <c r="U1355" s="1" t="str">
        <f>IF($T1355="","",$T1355&amp;"|"&amp;COUNTIFS($T$7:$T1355,$T1355))</f>
        <v/>
      </c>
      <c r="V1355" s="1">
        <f t="shared" si="66"/>
        <v>0</v>
      </c>
      <c r="W1355" s="1" t="str">
        <f t="shared" si="67"/>
        <v/>
      </c>
      <c r="X1355" s="1"/>
      <c r="Y1355" s="1"/>
      <c r="Z1355" s="1"/>
      <c r="AA1355" s="1"/>
      <c r="AB1355" s="1"/>
      <c r="AC1355" s="1"/>
      <c r="AD1355" s="1">
        <f>IF($C1355="",0,SUMPRODUCT((AY_SONU!$O$7:$O$42="Evet")*(AY_SONU!$B$7:$B$42=DATE(YEAR($C1355),MONTH($C1355),1))))</f>
        <v>0</v>
      </c>
      <c r="AE1355" s="1" t="str">
        <f>IF($E1355="","",$E1355&amp;"|"&amp;COUNTIFS($E$7:$E1355,$E1355))</f>
        <v/>
      </c>
    </row>
    <row r="1356" spans="1:31" ht="18" customHeight="1" x14ac:dyDescent="0.3">
      <c r="A1356" s="2"/>
      <c r="B1356" s="65" t="str">
        <f>IF($C1356="","","GG"&amp;TEXT(ROW()-6,"00000"))</f>
        <v/>
      </c>
      <c r="C1356" s="66"/>
      <c r="D1356" s="60"/>
      <c r="E1356" s="61"/>
      <c r="F1356" s="61"/>
      <c r="G1356" s="67"/>
      <c r="H1356" s="60"/>
      <c r="I1356" s="60"/>
      <c r="J1356" s="61"/>
      <c r="K1356" s="61"/>
      <c r="L1356" s="60"/>
      <c r="M1356" s="74" t="str">
        <f>IF($C1356="","",IF($D1356="Gider",$E1356,IF($L1356&lt;&gt;"",$L1356,$H1356)))</f>
        <v/>
      </c>
      <c r="N1356" s="74" t="str">
        <f>IF($C1356="","",IF($D1356="Gider",$H1356,$E1356))</f>
        <v/>
      </c>
      <c r="O1356" s="73" t="str">
        <f>IF($C1356="","",DATE(YEAR($C1356),MONTH($C1356),1))</f>
        <v/>
      </c>
      <c r="P1356" s="65" t="str">
        <f ca="1">IF($C1356="","",IF(AND($D1356="Gelir",$L1356&lt;&gt;"",$T1356=""),"TANIMSIZ BORÇLU",IF($T1356&lt;&gt;"",IF(OR($E1356="",$G1356&lt;=0),"EKSİK",IF($I1356="Evet","TAHAKKUK NAKİT OLAMAZ",IF($C1356&gt;TODAY(),"İLERİ TARİH","TAHAKKUK"))),IF(AND($D1356&lt;&gt;"",$E1356&lt;&gt;"",$G1356&gt;0,$H1356&lt;&gt;"",$I1356&lt;&gt;""),IF($C1356&gt;TODAY(),"İLERİ TARİH",IF(COUNTIF($W$7:$W$3001,$W1356)&gt;1,"MÜKERRER?",IF($AD1356&gt;0,"KAPALI DÖNEM",IF($I1356="Hayır","ÖDENECEK","UYGUN")))),"EKSİK"))))</f>
        <v/>
      </c>
      <c r="Q1356" s="2"/>
      <c r="R1356" s="2"/>
      <c r="S1356" s="1" t="str">
        <f t="shared" si="65"/>
        <v/>
      </c>
      <c r="T1356" s="1" t="str">
        <f>IF(OR($C1356="",$D1356&lt;&gt;"Gelir",$L1356=""),"",IFERROR(INDEX(MUSTERILER!$B$7:$B$156,MATCH($S1356,MUSTERILER!$T$7:$T$156,0)),""))</f>
        <v/>
      </c>
      <c r="U1356" s="1" t="str">
        <f>IF($T1356="","",$T1356&amp;"|"&amp;COUNTIFS($T$7:$T1356,$T1356))</f>
        <v/>
      </c>
      <c r="V1356" s="1">
        <f t="shared" si="66"/>
        <v>0</v>
      </c>
      <c r="W1356" s="1" t="str">
        <f t="shared" si="67"/>
        <v/>
      </c>
      <c r="X1356" s="1"/>
      <c r="Y1356" s="1"/>
      <c r="Z1356" s="1"/>
      <c r="AA1356" s="1"/>
      <c r="AB1356" s="1"/>
      <c r="AC1356" s="1"/>
      <c r="AD1356" s="1">
        <f>IF($C1356="",0,SUMPRODUCT((AY_SONU!$O$7:$O$42="Evet")*(AY_SONU!$B$7:$B$42=DATE(YEAR($C1356),MONTH($C1356),1))))</f>
        <v>0</v>
      </c>
      <c r="AE1356" s="1" t="str">
        <f>IF($E1356="","",$E1356&amp;"|"&amp;COUNTIFS($E$7:$E1356,$E1356))</f>
        <v/>
      </c>
    </row>
    <row r="1357" spans="1:31" ht="18" customHeight="1" x14ac:dyDescent="0.3">
      <c r="A1357" s="2"/>
      <c r="B1357" s="65" t="str">
        <f>IF($C1357="","","GG"&amp;TEXT(ROW()-6,"00000"))</f>
        <v/>
      </c>
      <c r="C1357" s="66"/>
      <c r="D1357" s="60"/>
      <c r="E1357" s="61"/>
      <c r="F1357" s="61"/>
      <c r="G1357" s="67"/>
      <c r="H1357" s="60"/>
      <c r="I1357" s="60"/>
      <c r="J1357" s="61"/>
      <c r="K1357" s="61"/>
      <c r="L1357" s="60"/>
      <c r="M1357" s="74" t="str">
        <f>IF($C1357="","",IF($D1357="Gider",$E1357,IF($L1357&lt;&gt;"",$L1357,$H1357)))</f>
        <v/>
      </c>
      <c r="N1357" s="74" t="str">
        <f>IF($C1357="","",IF($D1357="Gider",$H1357,$E1357))</f>
        <v/>
      </c>
      <c r="O1357" s="73" t="str">
        <f>IF($C1357="","",DATE(YEAR($C1357),MONTH($C1357),1))</f>
        <v/>
      </c>
      <c r="P1357" s="65" t="str">
        <f ca="1">IF($C1357="","",IF(AND($D1357="Gelir",$L1357&lt;&gt;"",$T1357=""),"TANIMSIZ BORÇLU",IF($T1357&lt;&gt;"",IF(OR($E1357="",$G1357&lt;=0),"EKSİK",IF($I1357="Evet","TAHAKKUK NAKİT OLAMAZ",IF($C1357&gt;TODAY(),"İLERİ TARİH","TAHAKKUK"))),IF(AND($D1357&lt;&gt;"",$E1357&lt;&gt;"",$G1357&gt;0,$H1357&lt;&gt;"",$I1357&lt;&gt;""),IF($C1357&gt;TODAY(),"İLERİ TARİH",IF(COUNTIF($W$7:$W$3001,$W1357)&gt;1,"MÜKERRER?",IF($AD1357&gt;0,"KAPALI DÖNEM",IF($I1357="Hayır","ÖDENECEK","UYGUN")))),"EKSİK"))))</f>
        <v/>
      </c>
      <c r="Q1357" s="2"/>
      <c r="R1357" s="2"/>
      <c r="S1357" s="1" t="str">
        <f t="shared" si="65"/>
        <v/>
      </c>
      <c r="T1357" s="1" t="str">
        <f>IF(OR($C1357="",$D1357&lt;&gt;"Gelir",$L1357=""),"",IFERROR(INDEX(MUSTERILER!$B$7:$B$156,MATCH($S1357,MUSTERILER!$T$7:$T$156,0)),""))</f>
        <v/>
      </c>
      <c r="U1357" s="1" t="str">
        <f>IF($T1357="","",$T1357&amp;"|"&amp;COUNTIFS($T$7:$T1357,$T1357))</f>
        <v/>
      </c>
      <c r="V1357" s="1">
        <f t="shared" si="66"/>
        <v>0</v>
      </c>
      <c r="W1357" s="1" t="str">
        <f t="shared" si="67"/>
        <v/>
      </c>
      <c r="X1357" s="1"/>
      <c r="Y1357" s="1"/>
      <c r="Z1357" s="1"/>
      <c r="AA1357" s="1"/>
      <c r="AB1357" s="1"/>
      <c r="AC1357" s="1"/>
      <c r="AD1357" s="1">
        <f>IF($C1357="",0,SUMPRODUCT((AY_SONU!$O$7:$O$42="Evet")*(AY_SONU!$B$7:$B$42=DATE(YEAR($C1357),MONTH($C1357),1))))</f>
        <v>0</v>
      </c>
      <c r="AE1357" s="1" t="str">
        <f>IF($E1357="","",$E1357&amp;"|"&amp;COUNTIFS($E$7:$E1357,$E1357))</f>
        <v/>
      </c>
    </row>
    <row r="1358" spans="1:31" ht="18" customHeight="1" x14ac:dyDescent="0.3">
      <c r="A1358" s="2"/>
      <c r="B1358" s="65" t="str">
        <f>IF($C1358="","","GG"&amp;TEXT(ROW()-6,"00000"))</f>
        <v/>
      </c>
      <c r="C1358" s="66"/>
      <c r="D1358" s="60"/>
      <c r="E1358" s="61"/>
      <c r="F1358" s="61"/>
      <c r="G1358" s="67"/>
      <c r="H1358" s="60"/>
      <c r="I1358" s="60"/>
      <c r="J1358" s="61"/>
      <c r="K1358" s="61"/>
      <c r="L1358" s="60"/>
      <c r="M1358" s="74" t="str">
        <f>IF($C1358="","",IF($D1358="Gider",$E1358,IF($L1358&lt;&gt;"",$L1358,$H1358)))</f>
        <v/>
      </c>
      <c r="N1358" s="74" t="str">
        <f>IF($C1358="","",IF($D1358="Gider",$H1358,$E1358))</f>
        <v/>
      </c>
      <c r="O1358" s="73" t="str">
        <f>IF($C1358="","",DATE(YEAR($C1358),MONTH($C1358),1))</f>
        <v/>
      </c>
      <c r="P1358" s="65" t="str">
        <f ca="1">IF($C1358="","",IF(AND($D1358="Gelir",$L1358&lt;&gt;"",$T1358=""),"TANIMSIZ BORÇLU",IF($T1358&lt;&gt;"",IF(OR($E1358="",$G1358&lt;=0),"EKSİK",IF($I1358="Evet","TAHAKKUK NAKİT OLAMAZ",IF($C1358&gt;TODAY(),"İLERİ TARİH","TAHAKKUK"))),IF(AND($D1358&lt;&gt;"",$E1358&lt;&gt;"",$G1358&gt;0,$H1358&lt;&gt;"",$I1358&lt;&gt;""),IF($C1358&gt;TODAY(),"İLERİ TARİH",IF(COUNTIF($W$7:$W$3001,$W1358)&gt;1,"MÜKERRER?",IF($AD1358&gt;0,"KAPALI DÖNEM",IF($I1358="Hayır","ÖDENECEK","UYGUN")))),"EKSİK"))))</f>
        <v/>
      </c>
      <c r="Q1358" s="2"/>
      <c r="R1358" s="2"/>
      <c r="S1358" s="1" t="str">
        <f t="shared" si="65"/>
        <v/>
      </c>
      <c r="T1358" s="1" t="str">
        <f>IF(OR($C1358="",$D1358&lt;&gt;"Gelir",$L1358=""),"",IFERROR(INDEX(MUSTERILER!$B$7:$B$156,MATCH($S1358,MUSTERILER!$T$7:$T$156,0)),""))</f>
        <v/>
      </c>
      <c r="U1358" s="1" t="str">
        <f>IF($T1358="","",$T1358&amp;"|"&amp;COUNTIFS($T$7:$T1358,$T1358))</f>
        <v/>
      </c>
      <c r="V1358" s="1">
        <f t="shared" si="66"/>
        <v>0</v>
      </c>
      <c r="W1358" s="1" t="str">
        <f t="shared" si="67"/>
        <v/>
      </c>
      <c r="X1358" s="1"/>
      <c r="Y1358" s="1"/>
      <c r="Z1358" s="1"/>
      <c r="AA1358" s="1"/>
      <c r="AB1358" s="1"/>
      <c r="AC1358" s="1"/>
      <c r="AD1358" s="1">
        <f>IF($C1358="",0,SUMPRODUCT((AY_SONU!$O$7:$O$42="Evet")*(AY_SONU!$B$7:$B$42=DATE(YEAR($C1358),MONTH($C1358),1))))</f>
        <v>0</v>
      </c>
      <c r="AE1358" s="1" t="str">
        <f>IF($E1358="","",$E1358&amp;"|"&amp;COUNTIFS($E$7:$E1358,$E1358))</f>
        <v/>
      </c>
    </row>
    <row r="1359" spans="1:31" ht="18" customHeight="1" x14ac:dyDescent="0.3">
      <c r="A1359" s="2"/>
      <c r="B1359" s="65" t="str">
        <f>IF($C1359="","","GG"&amp;TEXT(ROW()-6,"00000"))</f>
        <v/>
      </c>
      <c r="C1359" s="66"/>
      <c r="D1359" s="60"/>
      <c r="E1359" s="61"/>
      <c r="F1359" s="61"/>
      <c r="G1359" s="67"/>
      <c r="H1359" s="60"/>
      <c r="I1359" s="60"/>
      <c r="J1359" s="61"/>
      <c r="K1359" s="61"/>
      <c r="L1359" s="60"/>
      <c r="M1359" s="74" t="str">
        <f>IF($C1359="","",IF($D1359="Gider",$E1359,IF($L1359&lt;&gt;"",$L1359,$H1359)))</f>
        <v/>
      </c>
      <c r="N1359" s="74" t="str">
        <f>IF($C1359="","",IF($D1359="Gider",$H1359,$E1359))</f>
        <v/>
      </c>
      <c r="O1359" s="73" t="str">
        <f>IF($C1359="","",DATE(YEAR($C1359),MONTH($C1359),1))</f>
        <v/>
      </c>
      <c r="P1359" s="65" t="str">
        <f ca="1">IF($C1359="","",IF(AND($D1359="Gelir",$L1359&lt;&gt;"",$T1359=""),"TANIMSIZ BORÇLU",IF($T1359&lt;&gt;"",IF(OR($E1359="",$G1359&lt;=0),"EKSİK",IF($I1359="Evet","TAHAKKUK NAKİT OLAMAZ",IF($C1359&gt;TODAY(),"İLERİ TARİH","TAHAKKUK"))),IF(AND($D1359&lt;&gt;"",$E1359&lt;&gt;"",$G1359&gt;0,$H1359&lt;&gt;"",$I1359&lt;&gt;""),IF($C1359&gt;TODAY(),"İLERİ TARİH",IF(COUNTIF($W$7:$W$3001,$W1359)&gt;1,"MÜKERRER?",IF($AD1359&gt;0,"KAPALI DÖNEM",IF($I1359="Hayır","ÖDENECEK","UYGUN")))),"EKSİK"))))</f>
        <v/>
      </c>
      <c r="Q1359" s="2"/>
      <c r="R1359" s="2"/>
      <c r="S1359" s="1" t="str">
        <f t="shared" si="65"/>
        <v/>
      </c>
      <c r="T1359" s="1" t="str">
        <f>IF(OR($C1359="",$D1359&lt;&gt;"Gelir",$L1359=""),"",IFERROR(INDEX(MUSTERILER!$B$7:$B$156,MATCH($S1359,MUSTERILER!$T$7:$T$156,0)),""))</f>
        <v/>
      </c>
      <c r="U1359" s="1" t="str">
        <f>IF($T1359="","",$T1359&amp;"|"&amp;COUNTIFS($T$7:$T1359,$T1359))</f>
        <v/>
      </c>
      <c r="V1359" s="1">
        <f t="shared" si="66"/>
        <v>0</v>
      </c>
      <c r="W1359" s="1" t="str">
        <f t="shared" si="67"/>
        <v/>
      </c>
      <c r="X1359" s="1"/>
      <c r="Y1359" s="1"/>
      <c r="Z1359" s="1"/>
      <c r="AA1359" s="1"/>
      <c r="AB1359" s="1"/>
      <c r="AC1359" s="1"/>
      <c r="AD1359" s="1">
        <f>IF($C1359="",0,SUMPRODUCT((AY_SONU!$O$7:$O$42="Evet")*(AY_SONU!$B$7:$B$42=DATE(YEAR($C1359),MONTH($C1359),1))))</f>
        <v>0</v>
      </c>
      <c r="AE1359" s="1" t="str">
        <f>IF($E1359="","",$E1359&amp;"|"&amp;COUNTIFS($E$7:$E1359,$E1359))</f>
        <v/>
      </c>
    </row>
    <row r="1360" spans="1:31" ht="18" customHeight="1" x14ac:dyDescent="0.3">
      <c r="A1360" s="2"/>
      <c r="B1360" s="65" t="str">
        <f>IF($C1360="","","GG"&amp;TEXT(ROW()-6,"00000"))</f>
        <v/>
      </c>
      <c r="C1360" s="66"/>
      <c r="D1360" s="60"/>
      <c r="E1360" s="61"/>
      <c r="F1360" s="61"/>
      <c r="G1360" s="67"/>
      <c r="H1360" s="60"/>
      <c r="I1360" s="60"/>
      <c r="J1360" s="61"/>
      <c r="K1360" s="61"/>
      <c r="L1360" s="60"/>
      <c r="M1360" s="74" t="str">
        <f>IF($C1360="","",IF($D1360="Gider",$E1360,IF($L1360&lt;&gt;"",$L1360,$H1360)))</f>
        <v/>
      </c>
      <c r="N1360" s="74" t="str">
        <f>IF($C1360="","",IF($D1360="Gider",$H1360,$E1360))</f>
        <v/>
      </c>
      <c r="O1360" s="73" t="str">
        <f>IF($C1360="","",DATE(YEAR($C1360),MONTH($C1360),1))</f>
        <v/>
      </c>
      <c r="P1360" s="65" t="str">
        <f ca="1">IF($C1360="","",IF(AND($D1360="Gelir",$L1360&lt;&gt;"",$T1360=""),"TANIMSIZ BORÇLU",IF($T1360&lt;&gt;"",IF(OR($E1360="",$G1360&lt;=0),"EKSİK",IF($I1360="Evet","TAHAKKUK NAKİT OLAMAZ",IF($C1360&gt;TODAY(),"İLERİ TARİH","TAHAKKUK"))),IF(AND($D1360&lt;&gt;"",$E1360&lt;&gt;"",$G1360&gt;0,$H1360&lt;&gt;"",$I1360&lt;&gt;""),IF($C1360&gt;TODAY(),"İLERİ TARİH",IF(COUNTIF($W$7:$W$3001,$W1360)&gt;1,"MÜKERRER?",IF($AD1360&gt;0,"KAPALI DÖNEM",IF($I1360="Hayır","ÖDENECEK","UYGUN")))),"EKSİK"))))</f>
        <v/>
      </c>
      <c r="Q1360" s="2"/>
      <c r="R1360" s="2"/>
      <c r="S1360" s="1" t="str">
        <f t="shared" si="65"/>
        <v/>
      </c>
      <c r="T1360" s="1" t="str">
        <f>IF(OR($C1360="",$D1360&lt;&gt;"Gelir",$L1360=""),"",IFERROR(INDEX(MUSTERILER!$B$7:$B$156,MATCH($S1360,MUSTERILER!$T$7:$T$156,0)),""))</f>
        <v/>
      </c>
      <c r="U1360" s="1" t="str">
        <f>IF($T1360="","",$T1360&amp;"|"&amp;COUNTIFS($T$7:$T1360,$T1360))</f>
        <v/>
      </c>
      <c r="V1360" s="1">
        <f t="shared" si="66"/>
        <v>0</v>
      </c>
      <c r="W1360" s="1" t="str">
        <f t="shared" si="67"/>
        <v/>
      </c>
      <c r="X1360" s="1"/>
      <c r="Y1360" s="1"/>
      <c r="Z1360" s="1"/>
      <c r="AA1360" s="1"/>
      <c r="AB1360" s="1"/>
      <c r="AC1360" s="1"/>
      <c r="AD1360" s="1">
        <f>IF($C1360="",0,SUMPRODUCT((AY_SONU!$O$7:$O$42="Evet")*(AY_SONU!$B$7:$B$42=DATE(YEAR($C1360),MONTH($C1360),1))))</f>
        <v>0</v>
      </c>
      <c r="AE1360" s="1" t="str">
        <f>IF($E1360="","",$E1360&amp;"|"&amp;COUNTIFS($E$7:$E1360,$E1360))</f>
        <v/>
      </c>
    </row>
    <row r="1361" spans="1:31" ht="18" customHeight="1" x14ac:dyDescent="0.3">
      <c r="A1361" s="2"/>
      <c r="B1361" s="65" t="str">
        <f>IF($C1361="","","GG"&amp;TEXT(ROW()-6,"00000"))</f>
        <v/>
      </c>
      <c r="C1361" s="66"/>
      <c r="D1361" s="60"/>
      <c r="E1361" s="61"/>
      <c r="F1361" s="61"/>
      <c r="G1361" s="67"/>
      <c r="H1361" s="60"/>
      <c r="I1361" s="60"/>
      <c r="J1361" s="61"/>
      <c r="K1361" s="61"/>
      <c r="L1361" s="60"/>
      <c r="M1361" s="74" t="str">
        <f>IF($C1361="","",IF($D1361="Gider",$E1361,IF($L1361&lt;&gt;"",$L1361,$H1361)))</f>
        <v/>
      </c>
      <c r="N1361" s="74" t="str">
        <f>IF($C1361="","",IF($D1361="Gider",$H1361,$E1361))</f>
        <v/>
      </c>
      <c r="O1361" s="73" t="str">
        <f>IF($C1361="","",DATE(YEAR($C1361),MONTH($C1361),1))</f>
        <v/>
      </c>
      <c r="P1361" s="65" t="str">
        <f ca="1">IF($C1361="","",IF(AND($D1361="Gelir",$L1361&lt;&gt;"",$T1361=""),"TANIMSIZ BORÇLU",IF($T1361&lt;&gt;"",IF(OR($E1361="",$G1361&lt;=0),"EKSİK",IF($I1361="Evet","TAHAKKUK NAKİT OLAMAZ",IF($C1361&gt;TODAY(),"İLERİ TARİH","TAHAKKUK"))),IF(AND($D1361&lt;&gt;"",$E1361&lt;&gt;"",$G1361&gt;0,$H1361&lt;&gt;"",$I1361&lt;&gt;""),IF($C1361&gt;TODAY(),"İLERİ TARİH",IF(COUNTIF($W$7:$W$3001,$W1361)&gt;1,"MÜKERRER?",IF($AD1361&gt;0,"KAPALI DÖNEM",IF($I1361="Hayır","ÖDENECEK","UYGUN")))),"EKSİK"))))</f>
        <v/>
      </c>
      <c r="Q1361" s="2"/>
      <c r="R1361" s="2"/>
      <c r="S1361" s="1" t="str">
        <f t="shared" si="65"/>
        <v/>
      </c>
      <c r="T1361" s="1" t="str">
        <f>IF(OR($C1361="",$D1361&lt;&gt;"Gelir",$L1361=""),"",IFERROR(INDEX(MUSTERILER!$B$7:$B$156,MATCH($S1361,MUSTERILER!$T$7:$T$156,0)),""))</f>
        <v/>
      </c>
      <c r="U1361" s="1" t="str">
        <f>IF($T1361="","",$T1361&amp;"|"&amp;COUNTIFS($T$7:$T1361,$T1361))</f>
        <v/>
      </c>
      <c r="V1361" s="1">
        <f t="shared" si="66"/>
        <v>0</v>
      </c>
      <c r="W1361" s="1" t="str">
        <f t="shared" si="67"/>
        <v/>
      </c>
      <c r="X1361" s="1"/>
      <c r="Y1361" s="1"/>
      <c r="Z1361" s="1"/>
      <c r="AA1361" s="1"/>
      <c r="AB1361" s="1"/>
      <c r="AC1361" s="1"/>
      <c r="AD1361" s="1">
        <f>IF($C1361="",0,SUMPRODUCT((AY_SONU!$O$7:$O$42="Evet")*(AY_SONU!$B$7:$B$42=DATE(YEAR($C1361),MONTH($C1361),1))))</f>
        <v>0</v>
      </c>
      <c r="AE1361" s="1" t="str">
        <f>IF($E1361="","",$E1361&amp;"|"&amp;COUNTIFS($E$7:$E1361,$E1361))</f>
        <v/>
      </c>
    </row>
    <row r="1362" spans="1:31" ht="18" customHeight="1" x14ac:dyDescent="0.3">
      <c r="A1362" s="2"/>
      <c r="B1362" s="65" t="str">
        <f>IF($C1362="","","GG"&amp;TEXT(ROW()-6,"00000"))</f>
        <v/>
      </c>
      <c r="C1362" s="66"/>
      <c r="D1362" s="60"/>
      <c r="E1362" s="61"/>
      <c r="F1362" s="61"/>
      <c r="G1362" s="67"/>
      <c r="H1362" s="60"/>
      <c r="I1362" s="60"/>
      <c r="J1362" s="61"/>
      <c r="K1362" s="61"/>
      <c r="L1362" s="60"/>
      <c r="M1362" s="74" t="str">
        <f>IF($C1362="","",IF($D1362="Gider",$E1362,IF($L1362&lt;&gt;"",$L1362,$H1362)))</f>
        <v/>
      </c>
      <c r="N1362" s="74" t="str">
        <f>IF($C1362="","",IF($D1362="Gider",$H1362,$E1362))</f>
        <v/>
      </c>
      <c r="O1362" s="73" t="str">
        <f>IF($C1362="","",DATE(YEAR($C1362),MONTH($C1362),1))</f>
        <v/>
      </c>
      <c r="P1362" s="65" t="str">
        <f ca="1">IF($C1362="","",IF(AND($D1362="Gelir",$L1362&lt;&gt;"",$T1362=""),"TANIMSIZ BORÇLU",IF($T1362&lt;&gt;"",IF(OR($E1362="",$G1362&lt;=0),"EKSİK",IF($I1362="Evet","TAHAKKUK NAKİT OLAMAZ",IF($C1362&gt;TODAY(),"İLERİ TARİH","TAHAKKUK"))),IF(AND($D1362&lt;&gt;"",$E1362&lt;&gt;"",$G1362&gt;0,$H1362&lt;&gt;"",$I1362&lt;&gt;""),IF($C1362&gt;TODAY(),"İLERİ TARİH",IF(COUNTIF($W$7:$W$3001,$W1362)&gt;1,"MÜKERRER?",IF($AD1362&gt;0,"KAPALI DÖNEM",IF($I1362="Hayır","ÖDENECEK","UYGUN")))),"EKSİK"))))</f>
        <v/>
      </c>
      <c r="Q1362" s="2"/>
      <c r="R1362" s="2"/>
      <c r="S1362" s="1" t="str">
        <f t="shared" si="65"/>
        <v/>
      </c>
      <c r="T1362" s="1" t="str">
        <f>IF(OR($C1362="",$D1362&lt;&gt;"Gelir",$L1362=""),"",IFERROR(INDEX(MUSTERILER!$B$7:$B$156,MATCH($S1362,MUSTERILER!$T$7:$T$156,0)),""))</f>
        <v/>
      </c>
      <c r="U1362" s="1" t="str">
        <f>IF($T1362="","",$T1362&amp;"|"&amp;COUNTIFS($T$7:$T1362,$T1362))</f>
        <v/>
      </c>
      <c r="V1362" s="1">
        <f t="shared" si="66"/>
        <v>0</v>
      </c>
      <c r="W1362" s="1" t="str">
        <f t="shared" si="67"/>
        <v/>
      </c>
      <c r="X1362" s="1"/>
      <c r="Y1362" s="1"/>
      <c r="Z1362" s="1"/>
      <c r="AA1362" s="1"/>
      <c r="AB1362" s="1"/>
      <c r="AC1362" s="1"/>
      <c r="AD1362" s="1">
        <f>IF($C1362="",0,SUMPRODUCT((AY_SONU!$O$7:$O$42="Evet")*(AY_SONU!$B$7:$B$42=DATE(YEAR($C1362),MONTH($C1362),1))))</f>
        <v>0</v>
      </c>
      <c r="AE1362" s="1" t="str">
        <f>IF($E1362="","",$E1362&amp;"|"&amp;COUNTIFS($E$7:$E1362,$E1362))</f>
        <v/>
      </c>
    </row>
    <row r="1363" spans="1:31" ht="18" customHeight="1" x14ac:dyDescent="0.3">
      <c r="A1363" s="2"/>
      <c r="B1363" s="65" t="str">
        <f>IF($C1363="","","GG"&amp;TEXT(ROW()-6,"00000"))</f>
        <v/>
      </c>
      <c r="C1363" s="66"/>
      <c r="D1363" s="60"/>
      <c r="E1363" s="61"/>
      <c r="F1363" s="61"/>
      <c r="G1363" s="67"/>
      <c r="H1363" s="60"/>
      <c r="I1363" s="60"/>
      <c r="J1363" s="61"/>
      <c r="K1363" s="61"/>
      <c r="L1363" s="60"/>
      <c r="M1363" s="74" t="str">
        <f>IF($C1363="","",IF($D1363="Gider",$E1363,IF($L1363&lt;&gt;"",$L1363,$H1363)))</f>
        <v/>
      </c>
      <c r="N1363" s="74" t="str">
        <f>IF($C1363="","",IF($D1363="Gider",$H1363,$E1363))</f>
        <v/>
      </c>
      <c r="O1363" s="73" t="str">
        <f>IF($C1363="","",DATE(YEAR($C1363),MONTH($C1363),1))</f>
        <v/>
      </c>
      <c r="P1363" s="65" t="str">
        <f ca="1">IF($C1363="","",IF(AND($D1363="Gelir",$L1363&lt;&gt;"",$T1363=""),"TANIMSIZ BORÇLU",IF($T1363&lt;&gt;"",IF(OR($E1363="",$G1363&lt;=0),"EKSİK",IF($I1363="Evet","TAHAKKUK NAKİT OLAMAZ",IF($C1363&gt;TODAY(),"İLERİ TARİH","TAHAKKUK"))),IF(AND($D1363&lt;&gt;"",$E1363&lt;&gt;"",$G1363&gt;0,$H1363&lt;&gt;"",$I1363&lt;&gt;""),IF($C1363&gt;TODAY(),"İLERİ TARİH",IF(COUNTIF($W$7:$W$3001,$W1363)&gt;1,"MÜKERRER?",IF($AD1363&gt;0,"KAPALI DÖNEM",IF($I1363="Hayır","ÖDENECEK","UYGUN")))),"EKSİK"))))</f>
        <v/>
      </c>
      <c r="Q1363" s="2"/>
      <c r="R1363" s="2"/>
      <c r="S1363" s="1" t="str">
        <f t="shared" si="65"/>
        <v/>
      </c>
      <c r="T1363" s="1" t="str">
        <f>IF(OR($C1363="",$D1363&lt;&gt;"Gelir",$L1363=""),"",IFERROR(INDEX(MUSTERILER!$B$7:$B$156,MATCH($S1363,MUSTERILER!$T$7:$T$156,0)),""))</f>
        <v/>
      </c>
      <c r="U1363" s="1" t="str">
        <f>IF($T1363="","",$T1363&amp;"|"&amp;COUNTIFS($T$7:$T1363,$T1363))</f>
        <v/>
      </c>
      <c r="V1363" s="1">
        <f t="shared" si="66"/>
        <v>0</v>
      </c>
      <c r="W1363" s="1" t="str">
        <f t="shared" si="67"/>
        <v/>
      </c>
      <c r="X1363" s="1"/>
      <c r="Y1363" s="1"/>
      <c r="Z1363" s="1"/>
      <c r="AA1363" s="1"/>
      <c r="AB1363" s="1"/>
      <c r="AC1363" s="1"/>
      <c r="AD1363" s="1">
        <f>IF($C1363="",0,SUMPRODUCT((AY_SONU!$O$7:$O$42="Evet")*(AY_SONU!$B$7:$B$42=DATE(YEAR($C1363),MONTH($C1363),1))))</f>
        <v>0</v>
      </c>
      <c r="AE1363" s="1" t="str">
        <f>IF($E1363="","",$E1363&amp;"|"&amp;COUNTIFS($E$7:$E1363,$E1363))</f>
        <v/>
      </c>
    </row>
    <row r="1364" spans="1:31" ht="18" customHeight="1" x14ac:dyDescent="0.3">
      <c r="A1364" s="2"/>
      <c r="B1364" s="65" t="str">
        <f>IF($C1364="","","GG"&amp;TEXT(ROW()-6,"00000"))</f>
        <v/>
      </c>
      <c r="C1364" s="66"/>
      <c r="D1364" s="60"/>
      <c r="E1364" s="61"/>
      <c r="F1364" s="61"/>
      <c r="G1364" s="67"/>
      <c r="H1364" s="60"/>
      <c r="I1364" s="60"/>
      <c r="J1364" s="61"/>
      <c r="K1364" s="61"/>
      <c r="L1364" s="60"/>
      <c r="M1364" s="74" t="str">
        <f>IF($C1364="","",IF($D1364="Gider",$E1364,IF($L1364&lt;&gt;"",$L1364,$H1364)))</f>
        <v/>
      </c>
      <c r="N1364" s="74" t="str">
        <f>IF($C1364="","",IF($D1364="Gider",$H1364,$E1364))</f>
        <v/>
      </c>
      <c r="O1364" s="73" t="str">
        <f>IF($C1364="","",DATE(YEAR($C1364),MONTH($C1364),1))</f>
        <v/>
      </c>
      <c r="P1364" s="65" t="str">
        <f ca="1">IF($C1364="","",IF(AND($D1364="Gelir",$L1364&lt;&gt;"",$T1364=""),"TANIMSIZ BORÇLU",IF($T1364&lt;&gt;"",IF(OR($E1364="",$G1364&lt;=0),"EKSİK",IF($I1364="Evet","TAHAKKUK NAKİT OLAMAZ",IF($C1364&gt;TODAY(),"İLERİ TARİH","TAHAKKUK"))),IF(AND($D1364&lt;&gt;"",$E1364&lt;&gt;"",$G1364&gt;0,$H1364&lt;&gt;"",$I1364&lt;&gt;""),IF($C1364&gt;TODAY(),"İLERİ TARİH",IF(COUNTIF($W$7:$W$3001,$W1364)&gt;1,"MÜKERRER?",IF($AD1364&gt;0,"KAPALI DÖNEM",IF($I1364="Hayır","ÖDENECEK","UYGUN")))),"EKSİK"))))</f>
        <v/>
      </c>
      <c r="Q1364" s="2"/>
      <c r="R1364" s="2"/>
      <c r="S1364" s="1" t="str">
        <f t="shared" si="65"/>
        <v/>
      </c>
      <c r="T1364" s="1" t="str">
        <f>IF(OR($C1364="",$D1364&lt;&gt;"Gelir",$L1364=""),"",IFERROR(INDEX(MUSTERILER!$B$7:$B$156,MATCH($S1364,MUSTERILER!$T$7:$T$156,0)),""))</f>
        <v/>
      </c>
      <c r="U1364" s="1" t="str">
        <f>IF($T1364="","",$T1364&amp;"|"&amp;COUNTIFS($T$7:$T1364,$T1364))</f>
        <v/>
      </c>
      <c r="V1364" s="1">
        <f t="shared" si="66"/>
        <v>0</v>
      </c>
      <c r="W1364" s="1" t="str">
        <f t="shared" si="67"/>
        <v/>
      </c>
      <c r="X1364" s="1"/>
      <c r="Y1364" s="1"/>
      <c r="Z1364" s="1"/>
      <c r="AA1364" s="1"/>
      <c r="AB1364" s="1"/>
      <c r="AC1364" s="1"/>
      <c r="AD1364" s="1">
        <f>IF($C1364="",0,SUMPRODUCT((AY_SONU!$O$7:$O$42="Evet")*(AY_SONU!$B$7:$B$42=DATE(YEAR($C1364),MONTH($C1364),1))))</f>
        <v>0</v>
      </c>
      <c r="AE1364" s="1" t="str">
        <f>IF($E1364="","",$E1364&amp;"|"&amp;COUNTIFS($E$7:$E1364,$E1364))</f>
        <v/>
      </c>
    </row>
    <row r="1365" spans="1:31" ht="18" customHeight="1" x14ac:dyDescent="0.3">
      <c r="A1365" s="2"/>
      <c r="B1365" s="65" t="str">
        <f>IF($C1365="","","GG"&amp;TEXT(ROW()-6,"00000"))</f>
        <v/>
      </c>
      <c r="C1365" s="66"/>
      <c r="D1365" s="60"/>
      <c r="E1365" s="61"/>
      <c r="F1365" s="61"/>
      <c r="G1365" s="67"/>
      <c r="H1365" s="60"/>
      <c r="I1365" s="60"/>
      <c r="J1365" s="61"/>
      <c r="K1365" s="61"/>
      <c r="L1365" s="60"/>
      <c r="M1365" s="74" t="str">
        <f>IF($C1365="","",IF($D1365="Gider",$E1365,IF($L1365&lt;&gt;"",$L1365,$H1365)))</f>
        <v/>
      </c>
      <c r="N1365" s="74" t="str">
        <f>IF($C1365="","",IF($D1365="Gider",$H1365,$E1365))</f>
        <v/>
      </c>
      <c r="O1365" s="73" t="str">
        <f>IF($C1365="","",DATE(YEAR($C1365),MONTH($C1365),1))</f>
        <v/>
      </c>
      <c r="P1365" s="65" t="str">
        <f ca="1">IF($C1365="","",IF(AND($D1365="Gelir",$L1365&lt;&gt;"",$T1365=""),"TANIMSIZ BORÇLU",IF($T1365&lt;&gt;"",IF(OR($E1365="",$G1365&lt;=0),"EKSİK",IF($I1365="Evet","TAHAKKUK NAKİT OLAMAZ",IF($C1365&gt;TODAY(),"İLERİ TARİH","TAHAKKUK"))),IF(AND($D1365&lt;&gt;"",$E1365&lt;&gt;"",$G1365&gt;0,$H1365&lt;&gt;"",$I1365&lt;&gt;""),IF($C1365&gt;TODAY(),"İLERİ TARİH",IF(COUNTIF($W$7:$W$3001,$W1365)&gt;1,"MÜKERRER?",IF($AD1365&gt;0,"KAPALI DÖNEM",IF($I1365="Hayır","ÖDENECEK","UYGUN")))),"EKSİK"))))</f>
        <v/>
      </c>
      <c r="Q1365" s="2"/>
      <c r="R1365" s="2"/>
      <c r="S1365" s="1" t="str">
        <f t="shared" si="65"/>
        <v/>
      </c>
      <c r="T1365" s="1" t="str">
        <f>IF(OR($C1365="",$D1365&lt;&gt;"Gelir",$L1365=""),"",IFERROR(INDEX(MUSTERILER!$B$7:$B$156,MATCH($S1365,MUSTERILER!$T$7:$T$156,0)),""))</f>
        <v/>
      </c>
      <c r="U1365" s="1" t="str">
        <f>IF($T1365="","",$T1365&amp;"|"&amp;COUNTIFS($T$7:$T1365,$T1365))</f>
        <v/>
      </c>
      <c r="V1365" s="1">
        <f t="shared" si="66"/>
        <v>0</v>
      </c>
      <c r="W1365" s="1" t="str">
        <f t="shared" si="67"/>
        <v/>
      </c>
      <c r="X1365" s="1"/>
      <c r="Y1365" s="1"/>
      <c r="Z1365" s="1"/>
      <c r="AA1365" s="1"/>
      <c r="AB1365" s="1"/>
      <c r="AC1365" s="1"/>
      <c r="AD1365" s="1">
        <f>IF($C1365="",0,SUMPRODUCT((AY_SONU!$O$7:$O$42="Evet")*(AY_SONU!$B$7:$B$42=DATE(YEAR($C1365),MONTH($C1365),1))))</f>
        <v>0</v>
      </c>
      <c r="AE1365" s="1" t="str">
        <f>IF($E1365="","",$E1365&amp;"|"&amp;COUNTIFS($E$7:$E1365,$E1365))</f>
        <v/>
      </c>
    </row>
    <row r="1366" spans="1:31" ht="18" customHeight="1" x14ac:dyDescent="0.3">
      <c r="A1366" s="2"/>
      <c r="B1366" s="65" t="str">
        <f>IF($C1366="","","GG"&amp;TEXT(ROW()-6,"00000"))</f>
        <v/>
      </c>
      <c r="C1366" s="66"/>
      <c r="D1366" s="60"/>
      <c r="E1366" s="61"/>
      <c r="F1366" s="61"/>
      <c r="G1366" s="67"/>
      <c r="H1366" s="60"/>
      <c r="I1366" s="60"/>
      <c r="J1366" s="61"/>
      <c r="K1366" s="61"/>
      <c r="L1366" s="60"/>
      <c r="M1366" s="74" t="str">
        <f>IF($C1366="","",IF($D1366="Gider",$E1366,IF($L1366&lt;&gt;"",$L1366,$H1366)))</f>
        <v/>
      </c>
      <c r="N1366" s="74" t="str">
        <f>IF($C1366="","",IF($D1366="Gider",$H1366,$E1366))</f>
        <v/>
      </c>
      <c r="O1366" s="73" t="str">
        <f>IF($C1366="","",DATE(YEAR($C1366),MONTH($C1366),1))</f>
        <v/>
      </c>
      <c r="P1366" s="65" t="str">
        <f ca="1">IF($C1366="","",IF(AND($D1366="Gelir",$L1366&lt;&gt;"",$T1366=""),"TANIMSIZ BORÇLU",IF($T1366&lt;&gt;"",IF(OR($E1366="",$G1366&lt;=0),"EKSİK",IF($I1366="Evet","TAHAKKUK NAKİT OLAMAZ",IF($C1366&gt;TODAY(),"İLERİ TARİH","TAHAKKUK"))),IF(AND($D1366&lt;&gt;"",$E1366&lt;&gt;"",$G1366&gt;0,$H1366&lt;&gt;"",$I1366&lt;&gt;""),IF($C1366&gt;TODAY(),"İLERİ TARİH",IF(COUNTIF($W$7:$W$3001,$W1366)&gt;1,"MÜKERRER?",IF($AD1366&gt;0,"KAPALI DÖNEM",IF($I1366="Hayır","ÖDENECEK","UYGUN")))),"EKSİK"))))</f>
        <v/>
      </c>
      <c r="Q1366" s="2"/>
      <c r="R1366" s="2"/>
      <c r="S1366" s="1" t="str">
        <f t="shared" si="65"/>
        <v/>
      </c>
      <c r="T1366" s="1" t="str">
        <f>IF(OR($C1366="",$D1366&lt;&gt;"Gelir",$L1366=""),"",IFERROR(INDEX(MUSTERILER!$B$7:$B$156,MATCH($S1366,MUSTERILER!$T$7:$T$156,0)),""))</f>
        <v/>
      </c>
      <c r="U1366" s="1" t="str">
        <f>IF($T1366="","",$T1366&amp;"|"&amp;COUNTIFS($T$7:$T1366,$T1366))</f>
        <v/>
      </c>
      <c r="V1366" s="1">
        <f t="shared" si="66"/>
        <v>0</v>
      </c>
      <c r="W1366" s="1" t="str">
        <f t="shared" si="67"/>
        <v/>
      </c>
      <c r="X1366" s="1"/>
      <c r="Y1366" s="1"/>
      <c r="Z1366" s="1"/>
      <c r="AA1366" s="1"/>
      <c r="AB1366" s="1"/>
      <c r="AC1366" s="1"/>
      <c r="AD1366" s="1">
        <f>IF($C1366="",0,SUMPRODUCT((AY_SONU!$O$7:$O$42="Evet")*(AY_SONU!$B$7:$B$42=DATE(YEAR($C1366),MONTH($C1366),1))))</f>
        <v>0</v>
      </c>
      <c r="AE1366" s="1" t="str">
        <f>IF($E1366="","",$E1366&amp;"|"&amp;COUNTIFS($E$7:$E1366,$E1366))</f>
        <v/>
      </c>
    </row>
    <row r="1367" spans="1:31" ht="18" customHeight="1" x14ac:dyDescent="0.3">
      <c r="A1367" s="2"/>
      <c r="B1367" s="65" t="str">
        <f>IF($C1367="","","GG"&amp;TEXT(ROW()-6,"00000"))</f>
        <v/>
      </c>
      <c r="C1367" s="66"/>
      <c r="D1367" s="60"/>
      <c r="E1367" s="61"/>
      <c r="F1367" s="61"/>
      <c r="G1367" s="67"/>
      <c r="H1367" s="60"/>
      <c r="I1367" s="60"/>
      <c r="J1367" s="61"/>
      <c r="K1367" s="61"/>
      <c r="L1367" s="60"/>
      <c r="M1367" s="74" t="str">
        <f>IF($C1367="","",IF($D1367="Gider",$E1367,IF($L1367&lt;&gt;"",$L1367,$H1367)))</f>
        <v/>
      </c>
      <c r="N1367" s="74" t="str">
        <f>IF($C1367="","",IF($D1367="Gider",$H1367,$E1367))</f>
        <v/>
      </c>
      <c r="O1367" s="73" t="str">
        <f>IF($C1367="","",DATE(YEAR($C1367),MONTH($C1367),1))</f>
        <v/>
      </c>
      <c r="P1367" s="65" t="str">
        <f ca="1">IF($C1367="","",IF(AND($D1367="Gelir",$L1367&lt;&gt;"",$T1367=""),"TANIMSIZ BORÇLU",IF($T1367&lt;&gt;"",IF(OR($E1367="",$G1367&lt;=0),"EKSİK",IF($I1367="Evet","TAHAKKUK NAKİT OLAMAZ",IF($C1367&gt;TODAY(),"İLERİ TARİH","TAHAKKUK"))),IF(AND($D1367&lt;&gt;"",$E1367&lt;&gt;"",$G1367&gt;0,$H1367&lt;&gt;"",$I1367&lt;&gt;""),IF($C1367&gt;TODAY(),"İLERİ TARİH",IF(COUNTIF($W$7:$W$3001,$W1367)&gt;1,"MÜKERRER?",IF($AD1367&gt;0,"KAPALI DÖNEM",IF($I1367="Hayır","ÖDENECEK","UYGUN")))),"EKSİK"))))</f>
        <v/>
      </c>
      <c r="Q1367" s="2"/>
      <c r="R1367" s="2"/>
      <c r="S1367" s="1" t="str">
        <f t="shared" si="65"/>
        <v/>
      </c>
      <c r="T1367" s="1" t="str">
        <f>IF(OR($C1367="",$D1367&lt;&gt;"Gelir",$L1367=""),"",IFERROR(INDEX(MUSTERILER!$B$7:$B$156,MATCH($S1367,MUSTERILER!$T$7:$T$156,0)),""))</f>
        <v/>
      </c>
      <c r="U1367" s="1" t="str">
        <f>IF($T1367="","",$T1367&amp;"|"&amp;COUNTIFS($T$7:$T1367,$T1367))</f>
        <v/>
      </c>
      <c r="V1367" s="1">
        <f t="shared" si="66"/>
        <v>0</v>
      </c>
      <c r="W1367" s="1" t="str">
        <f t="shared" si="67"/>
        <v/>
      </c>
      <c r="X1367" s="1"/>
      <c r="Y1367" s="1"/>
      <c r="Z1367" s="1"/>
      <c r="AA1367" s="1"/>
      <c r="AB1367" s="1"/>
      <c r="AC1367" s="1"/>
      <c r="AD1367" s="1">
        <f>IF($C1367="",0,SUMPRODUCT((AY_SONU!$O$7:$O$42="Evet")*(AY_SONU!$B$7:$B$42=DATE(YEAR($C1367),MONTH($C1367),1))))</f>
        <v>0</v>
      </c>
      <c r="AE1367" s="1" t="str">
        <f>IF($E1367="","",$E1367&amp;"|"&amp;COUNTIFS($E$7:$E1367,$E1367))</f>
        <v/>
      </c>
    </row>
    <row r="1368" spans="1:31" ht="18" customHeight="1" x14ac:dyDescent="0.3">
      <c r="A1368" s="2"/>
      <c r="B1368" s="65" t="str">
        <f>IF($C1368="","","GG"&amp;TEXT(ROW()-6,"00000"))</f>
        <v/>
      </c>
      <c r="C1368" s="66"/>
      <c r="D1368" s="60"/>
      <c r="E1368" s="61"/>
      <c r="F1368" s="61"/>
      <c r="G1368" s="67"/>
      <c r="H1368" s="60"/>
      <c r="I1368" s="60"/>
      <c r="J1368" s="61"/>
      <c r="K1368" s="61"/>
      <c r="L1368" s="60"/>
      <c r="M1368" s="74" t="str">
        <f>IF($C1368="","",IF($D1368="Gider",$E1368,IF($L1368&lt;&gt;"",$L1368,$H1368)))</f>
        <v/>
      </c>
      <c r="N1368" s="74" t="str">
        <f>IF($C1368="","",IF($D1368="Gider",$H1368,$E1368))</f>
        <v/>
      </c>
      <c r="O1368" s="73" t="str">
        <f>IF($C1368="","",DATE(YEAR($C1368),MONTH($C1368),1))</f>
        <v/>
      </c>
      <c r="P1368" s="65" t="str">
        <f ca="1">IF($C1368="","",IF(AND($D1368="Gelir",$L1368&lt;&gt;"",$T1368=""),"TANIMSIZ BORÇLU",IF($T1368&lt;&gt;"",IF(OR($E1368="",$G1368&lt;=0),"EKSİK",IF($I1368="Evet","TAHAKKUK NAKİT OLAMAZ",IF($C1368&gt;TODAY(),"İLERİ TARİH","TAHAKKUK"))),IF(AND($D1368&lt;&gt;"",$E1368&lt;&gt;"",$G1368&gt;0,$H1368&lt;&gt;"",$I1368&lt;&gt;""),IF($C1368&gt;TODAY(),"İLERİ TARİH",IF(COUNTIF($W$7:$W$3001,$W1368)&gt;1,"MÜKERRER?",IF($AD1368&gt;0,"KAPALI DÖNEM",IF($I1368="Hayır","ÖDENECEK","UYGUN")))),"EKSİK"))))</f>
        <v/>
      </c>
      <c r="Q1368" s="2"/>
      <c r="R1368" s="2"/>
      <c r="S1368" s="1" t="str">
        <f t="shared" si="65"/>
        <v/>
      </c>
      <c r="T1368" s="1" t="str">
        <f>IF(OR($C1368="",$D1368&lt;&gt;"Gelir",$L1368=""),"",IFERROR(INDEX(MUSTERILER!$B$7:$B$156,MATCH($S1368,MUSTERILER!$T$7:$T$156,0)),""))</f>
        <v/>
      </c>
      <c r="U1368" s="1" t="str">
        <f>IF($T1368="","",$T1368&amp;"|"&amp;COUNTIFS($T$7:$T1368,$T1368))</f>
        <v/>
      </c>
      <c r="V1368" s="1">
        <f t="shared" si="66"/>
        <v>0</v>
      </c>
      <c r="W1368" s="1" t="str">
        <f t="shared" si="67"/>
        <v/>
      </c>
      <c r="X1368" s="1"/>
      <c r="Y1368" s="1"/>
      <c r="Z1368" s="1"/>
      <c r="AA1368" s="1"/>
      <c r="AB1368" s="1"/>
      <c r="AC1368" s="1"/>
      <c r="AD1368" s="1">
        <f>IF($C1368="",0,SUMPRODUCT((AY_SONU!$O$7:$O$42="Evet")*(AY_SONU!$B$7:$B$42=DATE(YEAR($C1368),MONTH($C1368),1))))</f>
        <v>0</v>
      </c>
      <c r="AE1368" s="1" t="str">
        <f>IF($E1368="","",$E1368&amp;"|"&amp;COUNTIFS($E$7:$E1368,$E1368))</f>
        <v/>
      </c>
    </row>
    <row r="1369" spans="1:31" ht="18" customHeight="1" x14ac:dyDescent="0.3">
      <c r="A1369" s="2"/>
      <c r="B1369" s="65" t="str">
        <f>IF($C1369="","","GG"&amp;TEXT(ROW()-6,"00000"))</f>
        <v/>
      </c>
      <c r="C1369" s="66"/>
      <c r="D1369" s="60"/>
      <c r="E1369" s="61"/>
      <c r="F1369" s="61"/>
      <c r="G1369" s="67"/>
      <c r="H1369" s="60"/>
      <c r="I1369" s="60"/>
      <c r="J1369" s="61"/>
      <c r="K1369" s="61"/>
      <c r="L1369" s="60"/>
      <c r="M1369" s="74" t="str">
        <f>IF($C1369="","",IF($D1369="Gider",$E1369,IF($L1369&lt;&gt;"",$L1369,$H1369)))</f>
        <v/>
      </c>
      <c r="N1369" s="74" t="str">
        <f>IF($C1369="","",IF($D1369="Gider",$H1369,$E1369))</f>
        <v/>
      </c>
      <c r="O1369" s="73" t="str">
        <f>IF($C1369="","",DATE(YEAR($C1369),MONTH($C1369),1))</f>
        <v/>
      </c>
      <c r="P1369" s="65" t="str">
        <f ca="1">IF($C1369="","",IF(AND($D1369="Gelir",$L1369&lt;&gt;"",$T1369=""),"TANIMSIZ BORÇLU",IF($T1369&lt;&gt;"",IF(OR($E1369="",$G1369&lt;=0),"EKSİK",IF($I1369="Evet","TAHAKKUK NAKİT OLAMAZ",IF($C1369&gt;TODAY(),"İLERİ TARİH","TAHAKKUK"))),IF(AND($D1369&lt;&gt;"",$E1369&lt;&gt;"",$G1369&gt;0,$H1369&lt;&gt;"",$I1369&lt;&gt;""),IF($C1369&gt;TODAY(),"İLERİ TARİH",IF(COUNTIF($W$7:$W$3001,$W1369)&gt;1,"MÜKERRER?",IF($AD1369&gt;0,"KAPALI DÖNEM",IF($I1369="Hayır","ÖDENECEK","UYGUN")))),"EKSİK"))))</f>
        <v/>
      </c>
      <c r="Q1369" s="2"/>
      <c r="R1369" s="2"/>
      <c r="S1369" s="1" t="str">
        <f t="shared" si="65"/>
        <v/>
      </c>
      <c r="T1369" s="1" t="str">
        <f>IF(OR($C1369="",$D1369&lt;&gt;"Gelir",$L1369=""),"",IFERROR(INDEX(MUSTERILER!$B$7:$B$156,MATCH($S1369,MUSTERILER!$T$7:$T$156,0)),""))</f>
        <v/>
      </c>
      <c r="U1369" s="1" t="str">
        <f>IF($T1369="","",$T1369&amp;"|"&amp;COUNTIFS($T$7:$T1369,$T1369))</f>
        <v/>
      </c>
      <c r="V1369" s="1">
        <f t="shared" si="66"/>
        <v>0</v>
      </c>
      <c r="W1369" s="1" t="str">
        <f t="shared" si="67"/>
        <v/>
      </c>
      <c r="X1369" s="1"/>
      <c r="Y1369" s="1"/>
      <c r="Z1369" s="1"/>
      <c r="AA1369" s="1"/>
      <c r="AB1369" s="1"/>
      <c r="AC1369" s="1"/>
      <c r="AD1369" s="1">
        <f>IF($C1369="",0,SUMPRODUCT((AY_SONU!$O$7:$O$42="Evet")*(AY_SONU!$B$7:$B$42=DATE(YEAR($C1369),MONTH($C1369),1))))</f>
        <v>0</v>
      </c>
      <c r="AE1369" s="1" t="str">
        <f>IF($E1369="","",$E1369&amp;"|"&amp;COUNTIFS($E$7:$E1369,$E1369))</f>
        <v/>
      </c>
    </row>
    <row r="1370" spans="1:31" ht="18" customHeight="1" x14ac:dyDescent="0.3">
      <c r="A1370" s="2"/>
      <c r="B1370" s="65" t="str">
        <f>IF($C1370="","","GG"&amp;TEXT(ROW()-6,"00000"))</f>
        <v/>
      </c>
      <c r="C1370" s="66"/>
      <c r="D1370" s="60"/>
      <c r="E1370" s="61"/>
      <c r="F1370" s="61"/>
      <c r="G1370" s="67"/>
      <c r="H1370" s="60"/>
      <c r="I1370" s="60"/>
      <c r="J1370" s="61"/>
      <c r="K1370" s="61"/>
      <c r="L1370" s="60"/>
      <c r="M1370" s="74" t="str">
        <f>IF($C1370="","",IF($D1370="Gider",$E1370,IF($L1370&lt;&gt;"",$L1370,$H1370)))</f>
        <v/>
      </c>
      <c r="N1370" s="74" t="str">
        <f>IF($C1370="","",IF($D1370="Gider",$H1370,$E1370))</f>
        <v/>
      </c>
      <c r="O1370" s="73" t="str">
        <f>IF($C1370="","",DATE(YEAR($C1370),MONTH($C1370),1))</f>
        <v/>
      </c>
      <c r="P1370" s="65" t="str">
        <f ca="1">IF($C1370="","",IF(AND($D1370="Gelir",$L1370&lt;&gt;"",$T1370=""),"TANIMSIZ BORÇLU",IF($T1370&lt;&gt;"",IF(OR($E1370="",$G1370&lt;=0),"EKSİK",IF($I1370="Evet","TAHAKKUK NAKİT OLAMAZ",IF($C1370&gt;TODAY(),"İLERİ TARİH","TAHAKKUK"))),IF(AND($D1370&lt;&gt;"",$E1370&lt;&gt;"",$G1370&gt;0,$H1370&lt;&gt;"",$I1370&lt;&gt;""),IF($C1370&gt;TODAY(),"İLERİ TARİH",IF(COUNTIF($W$7:$W$3001,$W1370)&gt;1,"MÜKERRER?",IF($AD1370&gt;0,"KAPALI DÖNEM",IF($I1370="Hayır","ÖDENECEK","UYGUN")))),"EKSİK"))))</f>
        <v/>
      </c>
      <c r="Q1370" s="2"/>
      <c r="R1370" s="2"/>
      <c r="S1370" s="1" t="str">
        <f t="shared" si="65"/>
        <v/>
      </c>
      <c r="T1370" s="1" t="str">
        <f>IF(OR($C1370="",$D1370&lt;&gt;"Gelir",$L1370=""),"",IFERROR(INDEX(MUSTERILER!$B$7:$B$156,MATCH($S1370,MUSTERILER!$T$7:$T$156,0)),""))</f>
        <v/>
      </c>
      <c r="U1370" s="1" t="str">
        <f>IF($T1370="","",$T1370&amp;"|"&amp;COUNTIFS($T$7:$T1370,$T1370))</f>
        <v/>
      </c>
      <c r="V1370" s="1">
        <f t="shared" si="66"/>
        <v>0</v>
      </c>
      <c r="W1370" s="1" t="str">
        <f t="shared" si="67"/>
        <v/>
      </c>
      <c r="X1370" s="1"/>
      <c r="Y1370" s="1"/>
      <c r="Z1370" s="1"/>
      <c r="AA1370" s="1"/>
      <c r="AB1370" s="1"/>
      <c r="AC1370" s="1"/>
      <c r="AD1370" s="1">
        <f>IF($C1370="",0,SUMPRODUCT((AY_SONU!$O$7:$O$42="Evet")*(AY_SONU!$B$7:$B$42=DATE(YEAR($C1370),MONTH($C1370),1))))</f>
        <v>0</v>
      </c>
      <c r="AE1370" s="1" t="str">
        <f>IF($E1370="","",$E1370&amp;"|"&amp;COUNTIFS($E$7:$E1370,$E1370))</f>
        <v/>
      </c>
    </row>
    <row r="1371" spans="1:31" ht="18" customHeight="1" x14ac:dyDescent="0.3">
      <c r="A1371" s="2"/>
      <c r="B1371" s="65" t="str">
        <f>IF($C1371="","","GG"&amp;TEXT(ROW()-6,"00000"))</f>
        <v/>
      </c>
      <c r="C1371" s="66"/>
      <c r="D1371" s="60"/>
      <c r="E1371" s="61"/>
      <c r="F1371" s="61"/>
      <c r="G1371" s="67"/>
      <c r="H1371" s="60"/>
      <c r="I1371" s="60"/>
      <c r="J1371" s="61"/>
      <c r="K1371" s="61"/>
      <c r="L1371" s="60"/>
      <c r="M1371" s="74" t="str">
        <f>IF($C1371="","",IF($D1371="Gider",$E1371,IF($L1371&lt;&gt;"",$L1371,$H1371)))</f>
        <v/>
      </c>
      <c r="N1371" s="74" t="str">
        <f>IF($C1371="","",IF($D1371="Gider",$H1371,$E1371))</f>
        <v/>
      </c>
      <c r="O1371" s="73" t="str">
        <f>IF($C1371="","",DATE(YEAR($C1371),MONTH($C1371),1))</f>
        <v/>
      </c>
      <c r="P1371" s="65" t="str">
        <f ca="1">IF($C1371="","",IF(AND($D1371="Gelir",$L1371&lt;&gt;"",$T1371=""),"TANIMSIZ BORÇLU",IF($T1371&lt;&gt;"",IF(OR($E1371="",$G1371&lt;=0),"EKSİK",IF($I1371="Evet","TAHAKKUK NAKİT OLAMAZ",IF($C1371&gt;TODAY(),"İLERİ TARİH","TAHAKKUK"))),IF(AND($D1371&lt;&gt;"",$E1371&lt;&gt;"",$G1371&gt;0,$H1371&lt;&gt;"",$I1371&lt;&gt;""),IF($C1371&gt;TODAY(),"İLERİ TARİH",IF(COUNTIF($W$7:$W$3001,$W1371)&gt;1,"MÜKERRER?",IF($AD1371&gt;0,"KAPALI DÖNEM",IF($I1371="Hayır","ÖDENECEK","UYGUN")))),"EKSİK"))))</f>
        <v/>
      </c>
      <c r="Q1371" s="2"/>
      <c r="R1371" s="2"/>
      <c r="S1371" s="1" t="str">
        <f t="shared" si="65"/>
        <v/>
      </c>
      <c r="T1371" s="1" t="str">
        <f>IF(OR($C1371="",$D1371&lt;&gt;"Gelir",$L1371=""),"",IFERROR(INDEX(MUSTERILER!$B$7:$B$156,MATCH($S1371,MUSTERILER!$T$7:$T$156,0)),""))</f>
        <v/>
      </c>
      <c r="U1371" s="1" t="str">
        <f>IF($T1371="","",$T1371&amp;"|"&amp;COUNTIFS($T$7:$T1371,$T1371))</f>
        <v/>
      </c>
      <c r="V1371" s="1">
        <f t="shared" si="66"/>
        <v>0</v>
      </c>
      <c r="W1371" s="1" t="str">
        <f t="shared" si="67"/>
        <v/>
      </c>
      <c r="X1371" s="1"/>
      <c r="Y1371" s="1"/>
      <c r="Z1371" s="1"/>
      <c r="AA1371" s="1"/>
      <c r="AB1371" s="1"/>
      <c r="AC1371" s="1"/>
      <c r="AD1371" s="1">
        <f>IF($C1371="",0,SUMPRODUCT((AY_SONU!$O$7:$O$42="Evet")*(AY_SONU!$B$7:$B$42=DATE(YEAR($C1371),MONTH($C1371),1))))</f>
        <v>0</v>
      </c>
      <c r="AE1371" s="1" t="str">
        <f>IF($E1371="","",$E1371&amp;"|"&amp;COUNTIFS($E$7:$E1371,$E1371))</f>
        <v/>
      </c>
    </row>
    <row r="1372" spans="1:31" ht="18" customHeight="1" x14ac:dyDescent="0.3">
      <c r="A1372" s="2"/>
      <c r="B1372" s="65" t="str">
        <f>IF($C1372="","","GG"&amp;TEXT(ROW()-6,"00000"))</f>
        <v/>
      </c>
      <c r="C1372" s="66"/>
      <c r="D1372" s="60"/>
      <c r="E1372" s="61"/>
      <c r="F1372" s="61"/>
      <c r="G1372" s="67"/>
      <c r="H1372" s="60"/>
      <c r="I1372" s="60"/>
      <c r="J1372" s="61"/>
      <c r="K1372" s="61"/>
      <c r="L1372" s="60"/>
      <c r="M1372" s="74" t="str">
        <f>IF($C1372="","",IF($D1372="Gider",$E1372,IF($L1372&lt;&gt;"",$L1372,$H1372)))</f>
        <v/>
      </c>
      <c r="N1372" s="74" t="str">
        <f>IF($C1372="","",IF($D1372="Gider",$H1372,$E1372))</f>
        <v/>
      </c>
      <c r="O1372" s="73" t="str">
        <f>IF($C1372="","",DATE(YEAR($C1372),MONTH($C1372),1))</f>
        <v/>
      </c>
      <c r="P1372" s="65" t="str">
        <f ca="1">IF($C1372="","",IF(AND($D1372="Gelir",$L1372&lt;&gt;"",$T1372=""),"TANIMSIZ BORÇLU",IF($T1372&lt;&gt;"",IF(OR($E1372="",$G1372&lt;=0),"EKSİK",IF($I1372="Evet","TAHAKKUK NAKİT OLAMAZ",IF($C1372&gt;TODAY(),"İLERİ TARİH","TAHAKKUK"))),IF(AND($D1372&lt;&gt;"",$E1372&lt;&gt;"",$G1372&gt;0,$H1372&lt;&gt;"",$I1372&lt;&gt;""),IF($C1372&gt;TODAY(),"İLERİ TARİH",IF(COUNTIF($W$7:$W$3001,$W1372)&gt;1,"MÜKERRER?",IF($AD1372&gt;0,"KAPALI DÖNEM",IF($I1372="Hayır","ÖDENECEK","UYGUN")))),"EKSİK"))))</f>
        <v/>
      </c>
      <c r="Q1372" s="2"/>
      <c r="R1372" s="2"/>
      <c r="S1372" s="1" t="str">
        <f t="shared" si="65"/>
        <v/>
      </c>
      <c r="T1372" s="1" t="str">
        <f>IF(OR($C1372="",$D1372&lt;&gt;"Gelir",$L1372=""),"",IFERROR(INDEX(MUSTERILER!$B$7:$B$156,MATCH($S1372,MUSTERILER!$T$7:$T$156,0)),""))</f>
        <v/>
      </c>
      <c r="U1372" s="1" t="str">
        <f>IF($T1372="","",$T1372&amp;"|"&amp;COUNTIFS($T$7:$T1372,$T1372))</f>
        <v/>
      </c>
      <c r="V1372" s="1">
        <f t="shared" si="66"/>
        <v>0</v>
      </c>
      <c r="W1372" s="1" t="str">
        <f t="shared" si="67"/>
        <v/>
      </c>
      <c r="X1372" s="1"/>
      <c r="Y1372" s="1"/>
      <c r="Z1372" s="1"/>
      <c r="AA1372" s="1"/>
      <c r="AB1372" s="1"/>
      <c r="AC1372" s="1"/>
      <c r="AD1372" s="1">
        <f>IF($C1372="",0,SUMPRODUCT((AY_SONU!$O$7:$O$42="Evet")*(AY_SONU!$B$7:$B$42=DATE(YEAR($C1372),MONTH($C1372),1))))</f>
        <v>0</v>
      </c>
      <c r="AE1372" s="1" t="str">
        <f>IF($E1372="","",$E1372&amp;"|"&amp;COUNTIFS($E$7:$E1372,$E1372))</f>
        <v/>
      </c>
    </row>
    <row r="1373" spans="1:31" ht="18" customHeight="1" x14ac:dyDescent="0.3">
      <c r="A1373" s="2"/>
      <c r="B1373" s="65" t="str">
        <f>IF($C1373="","","GG"&amp;TEXT(ROW()-6,"00000"))</f>
        <v/>
      </c>
      <c r="C1373" s="66"/>
      <c r="D1373" s="60"/>
      <c r="E1373" s="61"/>
      <c r="F1373" s="61"/>
      <c r="G1373" s="67"/>
      <c r="H1373" s="60"/>
      <c r="I1373" s="60"/>
      <c r="J1373" s="61"/>
      <c r="K1373" s="61"/>
      <c r="L1373" s="60"/>
      <c r="M1373" s="74" t="str">
        <f>IF($C1373="","",IF($D1373="Gider",$E1373,IF($L1373&lt;&gt;"",$L1373,$H1373)))</f>
        <v/>
      </c>
      <c r="N1373" s="74" t="str">
        <f>IF($C1373="","",IF($D1373="Gider",$H1373,$E1373))</f>
        <v/>
      </c>
      <c r="O1373" s="73" t="str">
        <f>IF($C1373="","",DATE(YEAR($C1373),MONTH($C1373),1))</f>
        <v/>
      </c>
      <c r="P1373" s="65" t="str">
        <f ca="1">IF($C1373="","",IF(AND($D1373="Gelir",$L1373&lt;&gt;"",$T1373=""),"TANIMSIZ BORÇLU",IF($T1373&lt;&gt;"",IF(OR($E1373="",$G1373&lt;=0),"EKSİK",IF($I1373="Evet","TAHAKKUK NAKİT OLAMAZ",IF($C1373&gt;TODAY(),"İLERİ TARİH","TAHAKKUK"))),IF(AND($D1373&lt;&gt;"",$E1373&lt;&gt;"",$G1373&gt;0,$H1373&lt;&gt;"",$I1373&lt;&gt;""),IF($C1373&gt;TODAY(),"İLERİ TARİH",IF(COUNTIF($W$7:$W$3001,$W1373)&gt;1,"MÜKERRER?",IF($AD1373&gt;0,"KAPALI DÖNEM",IF($I1373="Hayır","ÖDENECEK","UYGUN")))),"EKSİK"))))</f>
        <v/>
      </c>
      <c r="Q1373" s="2"/>
      <c r="R1373" s="2"/>
      <c r="S1373" s="1" t="str">
        <f t="shared" si="65"/>
        <v/>
      </c>
      <c r="T1373" s="1" t="str">
        <f>IF(OR($C1373="",$D1373&lt;&gt;"Gelir",$L1373=""),"",IFERROR(INDEX(MUSTERILER!$B$7:$B$156,MATCH($S1373,MUSTERILER!$T$7:$T$156,0)),""))</f>
        <v/>
      </c>
      <c r="U1373" s="1" t="str">
        <f>IF($T1373="","",$T1373&amp;"|"&amp;COUNTIFS($T$7:$T1373,$T1373))</f>
        <v/>
      </c>
      <c r="V1373" s="1">
        <f t="shared" si="66"/>
        <v>0</v>
      </c>
      <c r="W1373" s="1" t="str">
        <f t="shared" si="67"/>
        <v/>
      </c>
      <c r="X1373" s="1"/>
      <c r="Y1373" s="1"/>
      <c r="Z1373" s="1"/>
      <c r="AA1373" s="1"/>
      <c r="AB1373" s="1"/>
      <c r="AC1373" s="1"/>
      <c r="AD1373" s="1">
        <f>IF($C1373="",0,SUMPRODUCT((AY_SONU!$O$7:$O$42="Evet")*(AY_SONU!$B$7:$B$42=DATE(YEAR($C1373),MONTH($C1373),1))))</f>
        <v>0</v>
      </c>
      <c r="AE1373" s="1" t="str">
        <f>IF($E1373="","",$E1373&amp;"|"&amp;COUNTIFS($E$7:$E1373,$E1373))</f>
        <v/>
      </c>
    </row>
    <row r="1374" spans="1:31" ht="18" customHeight="1" x14ac:dyDescent="0.3">
      <c r="A1374" s="2"/>
      <c r="B1374" s="65" t="str">
        <f>IF($C1374="","","GG"&amp;TEXT(ROW()-6,"00000"))</f>
        <v/>
      </c>
      <c r="C1374" s="66"/>
      <c r="D1374" s="60"/>
      <c r="E1374" s="61"/>
      <c r="F1374" s="61"/>
      <c r="G1374" s="67"/>
      <c r="H1374" s="60"/>
      <c r="I1374" s="60"/>
      <c r="J1374" s="61"/>
      <c r="K1374" s="61"/>
      <c r="L1374" s="60"/>
      <c r="M1374" s="74" t="str">
        <f>IF($C1374="","",IF($D1374="Gider",$E1374,IF($L1374&lt;&gt;"",$L1374,$H1374)))</f>
        <v/>
      </c>
      <c r="N1374" s="74" t="str">
        <f>IF($C1374="","",IF($D1374="Gider",$H1374,$E1374))</f>
        <v/>
      </c>
      <c r="O1374" s="73" t="str">
        <f>IF($C1374="","",DATE(YEAR($C1374),MONTH($C1374),1))</f>
        <v/>
      </c>
      <c r="P1374" s="65" t="str">
        <f ca="1">IF($C1374="","",IF(AND($D1374="Gelir",$L1374&lt;&gt;"",$T1374=""),"TANIMSIZ BORÇLU",IF($T1374&lt;&gt;"",IF(OR($E1374="",$G1374&lt;=0),"EKSİK",IF($I1374="Evet","TAHAKKUK NAKİT OLAMAZ",IF($C1374&gt;TODAY(),"İLERİ TARİH","TAHAKKUK"))),IF(AND($D1374&lt;&gt;"",$E1374&lt;&gt;"",$G1374&gt;0,$H1374&lt;&gt;"",$I1374&lt;&gt;""),IF($C1374&gt;TODAY(),"İLERİ TARİH",IF(COUNTIF($W$7:$W$3001,$W1374)&gt;1,"MÜKERRER?",IF($AD1374&gt;0,"KAPALI DÖNEM",IF($I1374="Hayır","ÖDENECEK","UYGUN")))),"EKSİK"))))</f>
        <v/>
      </c>
      <c r="Q1374" s="2"/>
      <c r="R1374" s="2"/>
      <c r="S1374" s="1" t="str">
        <f t="shared" si="65"/>
        <v/>
      </c>
      <c r="T1374" s="1" t="str">
        <f>IF(OR($C1374="",$D1374&lt;&gt;"Gelir",$L1374=""),"",IFERROR(INDEX(MUSTERILER!$B$7:$B$156,MATCH($S1374,MUSTERILER!$T$7:$T$156,0)),""))</f>
        <v/>
      </c>
      <c r="U1374" s="1" t="str">
        <f>IF($T1374="","",$T1374&amp;"|"&amp;COUNTIFS($T$7:$T1374,$T1374))</f>
        <v/>
      </c>
      <c r="V1374" s="1">
        <f t="shared" si="66"/>
        <v>0</v>
      </c>
      <c r="W1374" s="1" t="str">
        <f t="shared" si="67"/>
        <v/>
      </c>
      <c r="X1374" s="1"/>
      <c r="Y1374" s="1"/>
      <c r="Z1374" s="1"/>
      <c r="AA1374" s="1"/>
      <c r="AB1374" s="1"/>
      <c r="AC1374" s="1"/>
      <c r="AD1374" s="1">
        <f>IF($C1374="",0,SUMPRODUCT((AY_SONU!$O$7:$O$42="Evet")*(AY_SONU!$B$7:$B$42=DATE(YEAR($C1374),MONTH($C1374),1))))</f>
        <v>0</v>
      </c>
      <c r="AE1374" s="1" t="str">
        <f>IF($E1374="","",$E1374&amp;"|"&amp;COUNTIFS($E$7:$E1374,$E1374))</f>
        <v/>
      </c>
    </row>
    <row r="1375" spans="1:31" ht="18" customHeight="1" x14ac:dyDescent="0.3">
      <c r="A1375" s="2"/>
      <c r="B1375" s="65" t="str">
        <f>IF($C1375="","","GG"&amp;TEXT(ROW()-6,"00000"))</f>
        <v/>
      </c>
      <c r="C1375" s="66"/>
      <c r="D1375" s="60"/>
      <c r="E1375" s="61"/>
      <c r="F1375" s="61"/>
      <c r="G1375" s="67"/>
      <c r="H1375" s="60"/>
      <c r="I1375" s="60"/>
      <c r="J1375" s="61"/>
      <c r="K1375" s="61"/>
      <c r="L1375" s="60"/>
      <c r="M1375" s="74" t="str">
        <f>IF($C1375="","",IF($D1375="Gider",$E1375,IF($L1375&lt;&gt;"",$L1375,$H1375)))</f>
        <v/>
      </c>
      <c r="N1375" s="74" t="str">
        <f>IF($C1375="","",IF($D1375="Gider",$H1375,$E1375))</f>
        <v/>
      </c>
      <c r="O1375" s="73" t="str">
        <f>IF($C1375="","",DATE(YEAR($C1375),MONTH($C1375),1))</f>
        <v/>
      </c>
      <c r="P1375" s="65" t="str">
        <f ca="1">IF($C1375="","",IF(AND($D1375="Gelir",$L1375&lt;&gt;"",$T1375=""),"TANIMSIZ BORÇLU",IF($T1375&lt;&gt;"",IF(OR($E1375="",$G1375&lt;=0),"EKSİK",IF($I1375="Evet","TAHAKKUK NAKİT OLAMAZ",IF($C1375&gt;TODAY(),"İLERİ TARİH","TAHAKKUK"))),IF(AND($D1375&lt;&gt;"",$E1375&lt;&gt;"",$G1375&gt;0,$H1375&lt;&gt;"",$I1375&lt;&gt;""),IF($C1375&gt;TODAY(),"İLERİ TARİH",IF(COUNTIF($W$7:$W$3001,$W1375)&gt;1,"MÜKERRER?",IF($AD1375&gt;0,"KAPALI DÖNEM",IF($I1375="Hayır","ÖDENECEK","UYGUN")))),"EKSİK"))))</f>
        <v/>
      </c>
      <c r="Q1375" s="2"/>
      <c r="R1375" s="2"/>
      <c r="S1375" s="1" t="str">
        <f t="shared" si="65"/>
        <v/>
      </c>
      <c r="T1375" s="1" t="str">
        <f>IF(OR($C1375="",$D1375&lt;&gt;"Gelir",$L1375=""),"",IFERROR(INDEX(MUSTERILER!$B$7:$B$156,MATCH($S1375,MUSTERILER!$T$7:$T$156,0)),""))</f>
        <v/>
      </c>
      <c r="U1375" s="1" t="str">
        <f>IF($T1375="","",$T1375&amp;"|"&amp;COUNTIFS($T$7:$T1375,$T1375))</f>
        <v/>
      </c>
      <c r="V1375" s="1">
        <f t="shared" si="66"/>
        <v>0</v>
      </c>
      <c r="W1375" s="1" t="str">
        <f t="shared" si="67"/>
        <v/>
      </c>
      <c r="X1375" s="1"/>
      <c r="Y1375" s="1"/>
      <c r="Z1375" s="1"/>
      <c r="AA1375" s="1"/>
      <c r="AB1375" s="1"/>
      <c r="AC1375" s="1"/>
      <c r="AD1375" s="1">
        <f>IF($C1375="",0,SUMPRODUCT((AY_SONU!$O$7:$O$42="Evet")*(AY_SONU!$B$7:$B$42=DATE(YEAR($C1375),MONTH($C1375),1))))</f>
        <v>0</v>
      </c>
      <c r="AE1375" s="1" t="str">
        <f>IF($E1375="","",$E1375&amp;"|"&amp;COUNTIFS($E$7:$E1375,$E1375))</f>
        <v/>
      </c>
    </row>
    <row r="1376" spans="1:31" ht="18" customHeight="1" x14ac:dyDescent="0.3">
      <c r="A1376" s="2"/>
      <c r="B1376" s="65" t="str">
        <f>IF($C1376="","","GG"&amp;TEXT(ROW()-6,"00000"))</f>
        <v/>
      </c>
      <c r="C1376" s="66"/>
      <c r="D1376" s="60"/>
      <c r="E1376" s="61"/>
      <c r="F1376" s="61"/>
      <c r="G1376" s="67"/>
      <c r="H1376" s="60"/>
      <c r="I1376" s="60"/>
      <c r="J1376" s="61"/>
      <c r="K1376" s="61"/>
      <c r="L1376" s="60"/>
      <c r="M1376" s="74" t="str">
        <f>IF($C1376="","",IF($D1376="Gider",$E1376,IF($L1376&lt;&gt;"",$L1376,$H1376)))</f>
        <v/>
      </c>
      <c r="N1376" s="74" t="str">
        <f>IF($C1376="","",IF($D1376="Gider",$H1376,$E1376))</f>
        <v/>
      </c>
      <c r="O1376" s="73" t="str">
        <f>IF($C1376="","",DATE(YEAR($C1376),MONTH($C1376),1))</f>
        <v/>
      </c>
      <c r="P1376" s="65" t="str">
        <f ca="1">IF($C1376="","",IF(AND($D1376="Gelir",$L1376&lt;&gt;"",$T1376=""),"TANIMSIZ BORÇLU",IF($T1376&lt;&gt;"",IF(OR($E1376="",$G1376&lt;=0),"EKSİK",IF($I1376="Evet","TAHAKKUK NAKİT OLAMAZ",IF($C1376&gt;TODAY(),"İLERİ TARİH","TAHAKKUK"))),IF(AND($D1376&lt;&gt;"",$E1376&lt;&gt;"",$G1376&gt;0,$H1376&lt;&gt;"",$I1376&lt;&gt;""),IF($C1376&gt;TODAY(),"İLERİ TARİH",IF(COUNTIF($W$7:$W$3001,$W1376)&gt;1,"MÜKERRER?",IF($AD1376&gt;0,"KAPALI DÖNEM",IF($I1376="Hayır","ÖDENECEK","UYGUN")))),"EKSİK"))))</f>
        <v/>
      </c>
      <c r="Q1376" s="2"/>
      <c r="R1376" s="2"/>
      <c r="S1376" s="1" t="str">
        <f t="shared" si="65"/>
        <v/>
      </c>
      <c r="T1376" s="1" t="str">
        <f>IF(OR($C1376="",$D1376&lt;&gt;"Gelir",$L1376=""),"",IFERROR(INDEX(MUSTERILER!$B$7:$B$156,MATCH($S1376,MUSTERILER!$T$7:$T$156,0)),""))</f>
        <v/>
      </c>
      <c r="U1376" s="1" t="str">
        <f>IF($T1376="","",$T1376&amp;"|"&amp;COUNTIFS($T$7:$T1376,$T1376))</f>
        <v/>
      </c>
      <c r="V1376" s="1">
        <f t="shared" si="66"/>
        <v>0</v>
      </c>
      <c r="W1376" s="1" t="str">
        <f t="shared" si="67"/>
        <v/>
      </c>
      <c r="X1376" s="1"/>
      <c r="Y1376" s="1"/>
      <c r="Z1376" s="1"/>
      <c r="AA1376" s="1"/>
      <c r="AB1376" s="1"/>
      <c r="AC1376" s="1"/>
      <c r="AD1376" s="1">
        <f>IF($C1376="",0,SUMPRODUCT((AY_SONU!$O$7:$O$42="Evet")*(AY_SONU!$B$7:$B$42=DATE(YEAR($C1376),MONTH($C1376),1))))</f>
        <v>0</v>
      </c>
      <c r="AE1376" s="1" t="str">
        <f>IF($E1376="","",$E1376&amp;"|"&amp;COUNTIFS($E$7:$E1376,$E1376))</f>
        <v/>
      </c>
    </row>
    <row r="1377" spans="1:31" ht="18" customHeight="1" x14ac:dyDescent="0.3">
      <c r="A1377" s="2"/>
      <c r="B1377" s="65" t="str">
        <f>IF($C1377="","","GG"&amp;TEXT(ROW()-6,"00000"))</f>
        <v/>
      </c>
      <c r="C1377" s="66"/>
      <c r="D1377" s="60"/>
      <c r="E1377" s="61"/>
      <c r="F1377" s="61"/>
      <c r="G1377" s="67"/>
      <c r="H1377" s="60"/>
      <c r="I1377" s="60"/>
      <c r="J1377" s="61"/>
      <c r="K1377" s="61"/>
      <c r="L1377" s="60"/>
      <c r="M1377" s="74" t="str">
        <f>IF($C1377="","",IF($D1377="Gider",$E1377,IF($L1377&lt;&gt;"",$L1377,$H1377)))</f>
        <v/>
      </c>
      <c r="N1377" s="74" t="str">
        <f>IF($C1377="","",IF($D1377="Gider",$H1377,$E1377))</f>
        <v/>
      </c>
      <c r="O1377" s="73" t="str">
        <f>IF($C1377="","",DATE(YEAR($C1377),MONTH($C1377),1))</f>
        <v/>
      </c>
      <c r="P1377" s="65" t="str">
        <f ca="1">IF($C1377="","",IF(AND($D1377="Gelir",$L1377&lt;&gt;"",$T1377=""),"TANIMSIZ BORÇLU",IF($T1377&lt;&gt;"",IF(OR($E1377="",$G1377&lt;=0),"EKSİK",IF($I1377="Evet","TAHAKKUK NAKİT OLAMAZ",IF($C1377&gt;TODAY(),"İLERİ TARİH","TAHAKKUK"))),IF(AND($D1377&lt;&gt;"",$E1377&lt;&gt;"",$G1377&gt;0,$H1377&lt;&gt;"",$I1377&lt;&gt;""),IF($C1377&gt;TODAY(),"İLERİ TARİH",IF(COUNTIF($W$7:$W$3001,$W1377)&gt;1,"MÜKERRER?",IF($AD1377&gt;0,"KAPALI DÖNEM",IF($I1377="Hayır","ÖDENECEK","UYGUN")))),"EKSİK"))))</f>
        <v/>
      </c>
      <c r="Q1377" s="2"/>
      <c r="R1377" s="2"/>
      <c r="S1377" s="1" t="str">
        <f t="shared" si="65"/>
        <v/>
      </c>
      <c r="T1377" s="1" t="str">
        <f>IF(OR($C1377="",$D1377&lt;&gt;"Gelir",$L1377=""),"",IFERROR(INDEX(MUSTERILER!$B$7:$B$156,MATCH($S1377,MUSTERILER!$T$7:$T$156,0)),""))</f>
        <v/>
      </c>
      <c r="U1377" s="1" t="str">
        <f>IF($T1377="","",$T1377&amp;"|"&amp;COUNTIFS($T$7:$T1377,$T1377))</f>
        <v/>
      </c>
      <c r="V1377" s="1">
        <f t="shared" si="66"/>
        <v>0</v>
      </c>
      <c r="W1377" s="1" t="str">
        <f t="shared" si="67"/>
        <v/>
      </c>
      <c r="X1377" s="1"/>
      <c r="Y1377" s="1"/>
      <c r="Z1377" s="1"/>
      <c r="AA1377" s="1"/>
      <c r="AB1377" s="1"/>
      <c r="AC1377" s="1"/>
      <c r="AD1377" s="1">
        <f>IF($C1377="",0,SUMPRODUCT((AY_SONU!$O$7:$O$42="Evet")*(AY_SONU!$B$7:$B$42=DATE(YEAR($C1377),MONTH($C1377),1))))</f>
        <v>0</v>
      </c>
      <c r="AE1377" s="1" t="str">
        <f>IF($E1377="","",$E1377&amp;"|"&amp;COUNTIFS($E$7:$E1377,$E1377))</f>
        <v/>
      </c>
    </row>
    <row r="1378" spans="1:31" ht="18" customHeight="1" x14ac:dyDescent="0.3">
      <c r="A1378" s="2"/>
      <c r="B1378" s="65" t="str">
        <f>IF($C1378="","","GG"&amp;TEXT(ROW()-6,"00000"))</f>
        <v/>
      </c>
      <c r="C1378" s="66"/>
      <c r="D1378" s="60"/>
      <c r="E1378" s="61"/>
      <c r="F1378" s="61"/>
      <c r="G1378" s="67"/>
      <c r="H1378" s="60"/>
      <c r="I1378" s="60"/>
      <c r="J1378" s="61"/>
      <c r="K1378" s="61"/>
      <c r="L1378" s="60"/>
      <c r="M1378" s="74" t="str">
        <f>IF($C1378="","",IF($D1378="Gider",$E1378,IF($L1378&lt;&gt;"",$L1378,$H1378)))</f>
        <v/>
      </c>
      <c r="N1378" s="74" t="str">
        <f>IF($C1378="","",IF($D1378="Gider",$H1378,$E1378))</f>
        <v/>
      </c>
      <c r="O1378" s="73" t="str">
        <f>IF($C1378="","",DATE(YEAR($C1378),MONTH($C1378),1))</f>
        <v/>
      </c>
      <c r="P1378" s="65" t="str">
        <f ca="1">IF($C1378="","",IF(AND($D1378="Gelir",$L1378&lt;&gt;"",$T1378=""),"TANIMSIZ BORÇLU",IF($T1378&lt;&gt;"",IF(OR($E1378="",$G1378&lt;=0),"EKSİK",IF($I1378="Evet","TAHAKKUK NAKİT OLAMAZ",IF($C1378&gt;TODAY(),"İLERİ TARİH","TAHAKKUK"))),IF(AND($D1378&lt;&gt;"",$E1378&lt;&gt;"",$G1378&gt;0,$H1378&lt;&gt;"",$I1378&lt;&gt;""),IF($C1378&gt;TODAY(),"İLERİ TARİH",IF(COUNTIF($W$7:$W$3001,$W1378)&gt;1,"MÜKERRER?",IF($AD1378&gt;0,"KAPALI DÖNEM",IF($I1378="Hayır","ÖDENECEK","UYGUN")))),"EKSİK"))))</f>
        <v/>
      </c>
      <c r="Q1378" s="2"/>
      <c r="R1378" s="2"/>
      <c r="S1378" s="1" t="str">
        <f t="shared" si="65"/>
        <v/>
      </c>
      <c r="T1378" s="1" t="str">
        <f>IF(OR($C1378="",$D1378&lt;&gt;"Gelir",$L1378=""),"",IFERROR(INDEX(MUSTERILER!$B$7:$B$156,MATCH($S1378,MUSTERILER!$T$7:$T$156,0)),""))</f>
        <v/>
      </c>
      <c r="U1378" s="1" t="str">
        <f>IF($T1378="","",$T1378&amp;"|"&amp;COUNTIFS($T$7:$T1378,$T1378))</f>
        <v/>
      </c>
      <c r="V1378" s="1">
        <f t="shared" si="66"/>
        <v>0</v>
      </c>
      <c r="W1378" s="1" t="str">
        <f t="shared" si="67"/>
        <v/>
      </c>
      <c r="X1378" s="1"/>
      <c r="Y1378" s="1"/>
      <c r="Z1378" s="1"/>
      <c r="AA1378" s="1"/>
      <c r="AB1378" s="1"/>
      <c r="AC1378" s="1"/>
      <c r="AD1378" s="1">
        <f>IF($C1378="",0,SUMPRODUCT((AY_SONU!$O$7:$O$42="Evet")*(AY_SONU!$B$7:$B$42=DATE(YEAR($C1378),MONTH($C1378),1))))</f>
        <v>0</v>
      </c>
      <c r="AE1378" s="1" t="str">
        <f>IF($E1378="","",$E1378&amp;"|"&amp;COUNTIFS($E$7:$E1378,$E1378))</f>
        <v/>
      </c>
    </row>
    <row r="1379" spans="1:31" ht="18" customHeight="1" x14ac:dyDescent="0.3">
      <c r="A1379" s="2"/>
      <c r="B1379" s="65" t="str">
        <f>IF($C1379="","","GG"&amp;TEXT(ROW()-6,"00000"))</f>
        <v/>
      </c>
      <c r="C1379" s="66"/>
      <c r="D1379" s="60"/>
      <c r="E1379" s="61"/>
      <c r="F1379" s="61"/>
      <c r="G1379" s="67"/>
      <c r="H1379" s="60"/>
      <c r="I1379" s="60"/>
      <c r="J1379" s="61"/>
      <c r="K1379" s="61"/>
      <c r="L1379" s="60"/>
      <c r="M1379" s="74" t="str">
        <f>IF($C1379="","",IF($D1379="Gider",$E1379,IF($L1379&lt;&gt;"",$L1379,$H1379)))</f>
        <v/>
      </c>
      <c r="N1379" s="74" t="str">
        <f>IF($C1379="","",IF($D1379="Gider",$H1379,$E1379))</f>
        <v/>
      </c>
      <c r="O1379" s="73" t="str">
        <f>IF($C1379="","",DATE(YEAR($C1379),MONTH($C1379),1))</f>
        <v/>
      </c>
      <c r="P1379" s="65" t="str">
        <f ca="1">IF($C1379="","",IF(AND($D1379="Gelir",$L1379&lt;&gt;"",$T1379=""),"TANIMSIZ BORÇLU",IF($T1379&lt;&gt;"",IF(OR($E1379="",$G1379&lt;=0),"EKSİK",IF($I1379="Evet","TAHAKKUK NAKİT OLAMAZ",IF($C1379&gt;TODAY(),"İLERİ TARİH","TAHAKKUK"))),IF(AND($D1379&lt;&gt;"",$E1379&lt;&gt;"",$G1379&gt;0,$H1379&lt;&gt;"",$I1379&lt;&gt;""),IF($C1379&gt;TODAY(),"İLERİ TARİH",IF(COUNTIF($W$7:$W$3001,$W1379)&gt;1,"MÜKERRER?",IF($AD1379&gt;0,"KAPALI DÖNEM",IF($I1379="Hayır","ÖDENECEK","UYGUN")))),"EKSİK"))))</f>
        <v/>
      </c>
      <c r="Q1379" s="2"/>
      <c r="R1379" s="2"/>
      <c r="S1379" s="1" t="str">
        <f t="shared" si="65"/>
        <v/>
      </c>
      <c r="T1379" s="1" t="str">
        <f>IF(OR($C1379="",$D1379&lt;&gt;"Gelir",$L1379=""),"",IFERROR(INDEX(MUSTERILER!$B$7:$B$156,MATCH($S1379,MUSTERILER!$T$7:$T$156,0)),""))</f>
        <v/>
      </c>
      <c r="U1379" s="1" t="str">
        <f>IF($T1379="","",$T1379&amp;"|"&amp;COUNTIFS($T$7:$T1379,$T1379))</f>
        <v/>
      </c>
      <c r="V1379" s="1">
        <f t="shared" si="66"/>
        <v>0</v>
      </c>
      <c r="W1379" s="1" t="str">
        <f t="shared" si="67"/>
        <v/>
      </c>
      <c r="X1379" s="1"/>
      <c r="Y1379" s="1"/>
      <c r="Z1379" s="1"/>
      <c r="AA1379" s="1"/>
      <c r="AB1379" s="1"/>
      <c r="AC1379" s="1"/>
      <c r="AD1379" s="1">
        <f>IF($C1379="",0,SUMPRODUCT((AY_SONU!$O$7:$O$42="Evet")*(AY_SONU!$B$7:$B$42=DATE(YEAR($C1379),MONTH($C1379),1))))</f>
        <v>0</v>
      </c>
      <c r="AE1379" s="1" t="str">
        <f>IF($E1379="","",$E1379&amp;"|"&amp;COUNTIFS($E$7:$E1379,$E1379))</f>
        <v/>
      </c>
    </row>
    <row r="1380" spans="1:31" ht="18" customHeight="1" x14ac:dyDescent="0.3">
      <c r="A1380" s="2"/>
      <c r="B1380" s="65" t="str">
        <f>IF($C1380="","","GG"&amp;TEXT(ROW()-6,"00000"))</f>
        <v/>
      </c>
      <c r="C1380" s="66"/>
      <c r="D1380" s="60"/>
      <c r="E1380" s="61"/>
      <c r="F1380" s="61"/>
      <c r="G1380" s="67"/>
      <c r="H1380" s="60"/>
      <c r="I1380" s="60"/>
      <c r="J1380" s="61"/>
      <c r="K1380" s="61"/>
      <c r="L1380" s="60"/>
      <c r="M1380" s="74" t="str">
        <f>IF($C1380="","",IF($D1380="Gider",$E1380,IF($L1380&lt;&gt;"",$L1380,$H1380)))</f>
        <v/>
      </c>
      <c r="N1380" s="74" t="str">
        <f>IF($C1380="","",IF($D1380="Gider",$H1380,$E1380))</f>
        <v/>
      </c>
      <c r="O1380" s="73" t="str">
        <f>IF($C1380="","",DATE(YEAR($C1380),MONTH($C1380),1))</f>
        <v/>
      </c>
      <c r="P1380" s="65" t="str">
        <f ca="1">IF($C1380="","",IF(AND($D1380="Gelir",$L1380&lt;&gt;"",$T1380=""),"TANIMSIZ BORÇLU",IF($T1380&lt;&gt;"",IF(OR($E1380="",$G1380&lt;=0),"EKSİK",IF($I1380="Evet","TAHAKKUK NAKİT OLAMAZ",IF($C1380&gt;TODAY(),"İLERİ TARİH","TAHAKKUK"))),IF(AND($D1380&lt;&gt;"",$E1380&lt;&gt;"",$G1380&gt;0,$H1380&lt;&gt;"",$I1380&lt;&gt;""),IF($C1380&gt;TODAY(),"İLERİ TARİH",IF(COUNTIF($W$7:$W$3001,$W1380)&gt;1,"MÜKERRER?",IF($AD1380&gt;0,"KAPALI DÖNEM",IF($I1380="Hayır","ÖDENECEK","UYGUN")))),"EKSİK"))))</f>
        <v/>
      </c>
      <c r="Q1380" s="2"/>
      <c r="R1380" s="2"/>
      <c r="S1380" s="1" t="str">
        <f t="shared" si="65"/>
        <v/>
      </c>
      <c r="T1380" s="1" t="str">
        <f>IF(OR($C1380="",$D1380&lt;&gt;"Gelir",$L1380=""),"",IFERROR(INDEX(MUSTERILER!$B$7:$B$156,MATCH($S1380,MUSTERILER!$T$7:$T$156,0)),""))</f>
        <v/>
      </c>
      <c r="U1380" s="1" t="str">
        <f>IF($T1380="","",$T1380&amp;"|"&amp;COUNTIFS($T$7:$T1380,$T1380))</f>
        <v/>
      </c>
      <c r="V1380" s="1">
        <f t="shared" si="66"/>
        <v>0</v>
      </c>
      <c r="W1380" s="1" t="str">
        <f t="shared" si="67"/>
        <v/>
      </c>
      <c r="X1380" s="1"/>
      <c r="Y1380" s="1"/>
      <c r="Z1380" s="1"/>
      <c r="AA1380" s="1"/>
      <c r="AB1380" s="1"/>
      <c r="AC1380" s="1"/>
      <c r="AD1380" s="1">
        <f>IF($C1380="",0,SUMPRODUCT((AY_SONU!$O$7:$O$42="Evet")*(AY_SONU!$B$7:$B$42=DATE(YEAR($C1380),MONTH($C1380),1))))</f>
        <v>0</v>
      </c>
      <c r="AE1380" s="1" t="str">
        <f>IF($E1380="","",$E1380&amp;"|"&amp;COUNTIFS($E$7:$E1380,$E1380))</f>
        <v/>
      </c>
    </row>
    <row r="1381" spans="1:31" ht="18" customHeight="1" x14ac:dyDescent="0.3">
      <c r="A1381" s="2"/>
      <c r="B1381" s="65" t="str">
        <f>IF($C1381="","","GG"&amp;TEXT(ROW()-6,"00000"))</f>
        <v/>
      </c>
      <c r="C1381" s="66"/>
      <c r="D1381" s="60"/>
      <c r="E1381" s="61"/>
      <c r="F1381" s="61"/>
      <c r="G1381" s="67"/>
      <c r="H1381" s="60"/>
      <c r="I1381" s="60"/>
      <c r="J1381" s="61"/>
      <c r="K1381" s="61"/>
      <c r="L1381" s="60"/>
      <c r="M1381" s="74" t="str">
        <f>IF($C1381="","",IF($D1381="Gider",$E1381,IF($L1381&lt;&gt;"",$L1381,$H1381)))</f>
        <v/>
      </c>
      <c r="N1381" s="74" t="str">
        <f>IF($C1381="","",IF($D1381="Gider",$H1381,$E1381))</f>
        <v/>
      </c>
      <c r="O1381" s="73" t="str">
        <f>IF($C1381="","",DATE(YEAR($C1381),MONTH($C1381),1))</f>
        <v/>
      </c>
      <c r="P1381" s="65" t="str">
        <f ca="1">IF($C1381="","",IF(AND($D1381="Gelir",$L1381&lt;&gt;"",$T1381=""),"TANIMSIZ BORÇLU",IF($T1381&lt;&gt;"",IF(OR($E1381="",$G1381&lt;=0),"EKSİK",IF($I1381="Evet","TAHAKKUK NAKİT OLAMAZ",IF($C1381&gt;TODAY(),"İLERİ TARİH","TAHAKKUK"))),IF(AND($D1381&lt;&gt;"",$E1381&lt;&gt;"",$G1381&gt;0,$H1381&lt;&gt;"",$I1381&lt;&gt;""),IF($C1381&gt;TODAY(),"İLERİ TARİH",IF(COUNTIF($W$7:$W$3001,$W1381)&gt;1,"MÜKERRER?",IF($AD1381&gt;0,"KAPALI DÖNEM",IF($I1381="Hayır","ÖDENECEK","UYGUN")))),"EKSİK"))))</f>
        <v/>
      </c>
      <c r="Q1381" s="2"/>
      <c r="R1381" s="2"/>
      <c r="S1381" s="1" t="str">
        <f t="shared" si="65"/>
        <v/>
      </c>
      <c r="T1381" s="1" t="str">
        <f>IF(OR($C1381="",$D1381&lt;&gt;"Gelir",$L1381=""),"",IFERROR(INDEX(MUSTERILER!$B$7:$B$156,MATCH($S1381,MUSTERILER!$T$7:$T$156,0)),""))</f>
        <v/>
      </c>
      <c r="U1381" s="1" t="str">
        <f>IF($T1381="","",$T1381&amp;"|"&amp;COUNTIFS($T$7:$T1381,$T1381))</f>
        <v/>
      </c>
      <c r="V1381" s="1">
        <f t="shared" si="66"/>
        <v>0</v>
      </c>
      <c r="W1381" s="1" t="str">
        <f t="shared" si="67"/>
        <v/>
      </c>
      <c r="X1381" s="1"/>
      <c r="Y1381" s="1"/>
      <c r="Z1381" s="1"/>
      <c r="AA1381" s="1"/>
      <c r="AB1381" s="1"/>
      <c r="AC1381" s="1"/>
      <c r="AD1381" s="1">
        <f>IF($C1381="",0,SUMPRODUCT((AY_SONU!$O$7:$O$42="Evet")*(AY_SONU!$B$7:$B$42=DATE(YEAR($C1381),MONTH($C1381),1))))</f>
        <v>0</v>
      </c>
      <c r="AE1381" s="1" t="str">
        <f>IF($E1381="","",$E1381&amp;"|"&amp;COUNTIFS($E$7:$E1381,$E1381))</f>
        <v/>
      </c>
    </row>
    <row r="1382" spans="1:31" ht="18" customHeight="1" x14ac:dyDescent="0.3">
      <c r="A1382" s="2"/>
      <c r="B1382" s="65" t="str">
        <f>IF($C1382="","","GG"&amp;TEXT(ROW()-6,"00000"))</f>
        <v/>
      </c>
      <c r="C1382" s="66"/>
      <c r="D1382" s="60"/>
      <c r="E1382" s="61"/>
      <c r="F1382" s="61"/>
      <c r="G1382" s="67"/>
      <c r="H1382" s="60"/>
      <c r="I1382" s="60"/>
      <c r="J1382" s="61"/>
      <c r="K1382" s="61"/>
      <c r="L1382" s="60"/>
      <c r="M1382" s="74" t="str">
        <f>IF($C1382="","",IF($D1382="Gider",$E1382,IF($L1382&lt;&gt;"",$L1382,$H1382)))</f>
        <v/>
      </c>
      <c r="N1382" s="74" t="str">
        <f>IF($C1382="","",IF($D1382="Gider",$H1382,$E1382))</f>
        <v/>
      </c>
      <c r="O1382" s="73" t="str">
        <f>IF($C1382="","",DATE(YEAR($C1382),MONTH($C1382),1))</f>
        <v/>
      </c>
      <c r="P1382" s="65" t="str">
        <f ca="1">IF($C1382="","",IF(AND($D1382="Gelir",$L1382&lt;&gt;"",$T1382=""),"TANIMSIZ BORÇLU",IF($T1382&lt;&gt;"",IF(OR($E1382="",$G1382&lt;=0),"EKSİK",IF($I1382="Evet","TAHAKKUK NAKİT OLAMAZ",IF($C1382&gt;TODAY(),"İLERİ TARİH","TAHAKKUK"))),IF(AND($D1382&lt;&gt;"",$E1382&lt;&gt;"",$G1382&gt;0,$H1382&lt;&gt;"",$I1382&lt;&gt;""),IF($C1382&gt;TODAY(),"İLERİ TARİH",IF(COUNTIF($W$7:$W$3001,$W1382)&gt;1,"MÜKERRER?",IF($AD1382&gt;0,"KAPALI DÖNEM",IF($I1382="Hayır","ÖDENECEK","UYGUN")))),"EKSİK"))))</f>
        <v/>
      </c>
      <c r="Q1382" s="2"/>
      <c r="R1382" s="2"/>
      <c r="S1382" s="1" t="str">
        <f t="shared" si="65"/>
        <v/>
      </c>
      <c r="T1382" s="1" t="str">
        <f>IF(OR($C1382="",$D1382&lt;&gt;"Gelir",$L1382=""),"",IFERROR(INDEX(MUSTERILER!$B$7:$B$156,MATCH($S1382,MUSTERILER!$T$7:$T$156,0)),""))</f>
        <v/>
      </c>
      <c r="U1382" s="1" t="str">
        <f>IF($T1382="","",$T1382&amp;"|"&amp;COUNTIFS($T$7:$T1382,$T1382))</f>
        <v/>
      </c>
      <c r="V1382" s="1">
        <f t="shared" si="66"/>
        <v>0</v>
      </c>
      <c r="W1382" s="1" t="str">
        <f t="shared" si="67"/>
        <v/>
      </c>
      <c r="X1382" s="1"/>
      <c r="Y1382" s="1"/>
      <c r="Z1382" s="1"/>
      <c r="AA1382" s="1"/>
      <c r="AB1382" s="1"/>
      <c r="AC1382" s="1"/>
      <c r="AD1382" s="1">
        <f>IF($C1382="",0,SUMPRODUCT((AY_SONU!$O$7:$O$42="Evet")*(AY_SONU!$B$7:$B$42=DATE(YEAR($C1382),MONTH($C1382),1))))</f>
        <v>0</v>
      </c>
      <c r="AE1382" s="1" t="str">
        <f>IF($E1382="","",$E1382&amp;"|"&amp;COUNTIFS($E$7:$E1382,$E1382))</f>
        <v/>
      </c>
    </row>
    <row r="1383" spans="1:31" ht="18" customHeight="1" x14ac:dyDescent="0.3">
      <c r="A1383" s="2"/>
      <c r="B1383" s="65" t="str">
        <f>IF($C1383="","","GG"&amp;TEXT(ROW()-6,"00000"))</f>
        <v/>
      </c>
      <c r="C1383" s="66"/>
      <c r="D1383" s="60"/>
      <c r="E1383" s="61"/>
      <c r="F1383" s="61"/>
      <c r="G1383" s="67"/>
      <c r="H1383" s="60"/>
      <c r="I1383" s="60"/>
      <c r="J1383" s="61"/>
      <c r="K1383" s="61"/>
      <c r="L1383" s="60"/>
      <c r="M1383" s="74" t="str">
        <f>IF($C1383="","",IF($D1383="Gider",$E1383,IF($L1383&lt;&gt;"",$L1383,$H1383)))</f>
        <v/>
      </c>
      <c r="N1383" s="74" t="str">
        <f>IF($C1383="","",IF($D1383="Gider",$H1383,$E1383))</f>
        <v/>
      </c>
      <c r="O1383" s="73" t="str">
        <f>IF($C1383="","",DATE(YEAR($C1383),MONTH($C1383),1))</f>
        <v/>
      </c>
      <c r="P1383" s="65" t="str">
        <f ca="1">IF($C1383="","",IF(AND($D1383="Gelir",$L1383&lt;&gt;"",$T1383=""),"TANIMSIZ BORÇLU",IF($T1383&lt;&gt;"",IF(OR($E1383="",$G1383&lt;=0),"EKSİK",IF($I1383="Evet","TAHAKKUK NAKİT OLAMAZ",IF($C1383&gt;TODAY(),"İLERİ TARİH","TAHAKKUK"))),IF(AND($D1383&lt;&gt;"",$E1383&lt;&gt;"",$G1383&gt;0,$H1383&lt;&gt;"",$I1383&lt;&gt;""),IF($C1383&gt;TODAY(),"İLERİ TARİH",IF(COUNTIF($W$7:$W$3001,$W1383)&gt;1,"MÜKERRER?",IF($AD1383&gt;0,"KAPALI DÖNEM",IF($I1383="Hayır","ÖDENECEK","UYGUN")))),"EKSİK"))))</f>
        <v/>
      </c>
      <c r="Q1383" s="2"/>
      <c r="R1383" s="2"/>
      <c r="S1383" s="1" t="str">
        <f t="shared" si="65"/>
        <v/>
      </c>
      <c r="T1383" s="1" t="str">
        <f>IF(OR($C1383="",$D1383&lt;&gt;"Gelir",$L1383=""),"",IFERROR(INDEX(MUSTERILER!$B$7:$B$156,MATCH($S1383,MUSTERILER!$T$7:$T$156,0)),""))</f>
        <v/>
      </c>
      <c r="U1383" s="1" t="str">
        <f>IF($T1383="","",$T1383&amp;"|"&amp;COUNTIFS($T$7:$T1383,$T1383))</f>
        <v/>
      </c>
      <c r="V1383" s="1">
        <f t="shared" si="66"/>
        <v>0</v>
      </c>
      <c r="W1383" s="1" t="str">
        <f t="shared" si="67"/>
        <v/>
      </c>
      <c r="X1383" s="1"/>
      <c r="Y1383" s="1"/>
      <c r="Z1383" s="1"/>
      <c r="AA1383" s="1"/>
      <c r="AB1383" s="1"/>
      <c r="AC1383" s="1"/>
      <c r="AD1383" s="1">
        <f>IF($C1383="",0,SUMPRODUCT((AY_SONU!$O$7:$O$42="Evet")*(AY_SONU!$B$7:$B$42=DATE(YEAR($C1383),MONTH($C1383),1))))</f>
        <v>0</v>
      </c>
      <c r="AE1383" s="1" t="str">
        <f>IF($E1383="","",$E1383&amp;"|"&amp;COUNTIFS($E$7:$E1383,$E1383))</f>
        <v/>
      </c>
    </row>
    <row r="1384" spans="1:31" ht="18" customHeight="1" x14ac:dyDescent="0.3">
      <c r="A1384" s="2"/>
      <c r="B1384" s="65" t="str">
        <f>IF($C1384="","","GG"&amp;TEXT(ROW()-6,"00000"))</f>
        <v/>
      </c>
      <c r="C1384" s="66"/>
      <c r="D1384" s="60"/>
      <c r="E1384" s="61"/>
      <c r="F1384" s="61"/>
      <c r="G1384" s="67"/>
      <c r="H1384" s="60"/>
      <c r="I1384" s="60"/>
      <c r="J1384" s="61"/>
      <c r="K1384" s="61"/>
      <c r="L1384" s="60"/>
      <c r="M1384" s="74" t="str">
        <f>IF($C1384="","",IF($D1384="Gider",$E1384,IF($L1384&lt;&gt;"",$L1384,$H1384)))</f>
        <v/>
      </c>
      <c r="N1384" s="74" t="str">
        <f>IF($C1384="","",IF($D1384="Gider",$H1384,$E1384))</f>
        <v/>
      </c>
      <c r="O1384" s="73" t="str">
        <f>IF($C1384="","",DATE(YEAR($C1384),MONTH($C1384),1))</f>
        <v/>
      </c>
      <c r="P1384" s="65" t="str">
        <f ca="1">IF($C1384="","",IF(AND($D1384="Gelir",$L1384&lt;&gt;"",$T1384=""),"TANIMSIZ BORÇLU",IF($T1384&lt;&gt;"",IF(OR($E1384="",$G1384&lt;=0),"EKSİK",IF($I1384="Evet","TAHAKKUK NAKİT OLAMAZ",IF($C1384&gt;TODAY(),"İLERİ TARİH","TAHAKKUK"))),IF(AND($D1384&lt;&gt;"",$E1384&lt;&gt;"",$G1384&gt;0,$H1384&lt;&gt;"",$I1384&lt;&gt;""),IF($C1384&gt;TODAY(),"İLERİ TARİH",IF(COUNTIF($W$7:$W$3001,$W1384)&gt;1,"MÜKERRER?",IF($AD1384&gt;0,"KAPALI DÖNEM",IF($I1384="Hayır","ÖDENECEK","UYGUN")))),"EKSİK"))))</f>
        <v/>
      </c>
      <c r="Q1384" s="2"/>
      <c r="R1384" s="2"/>
      <c r="S1384" s="1" t="str">
        <f t="shared" si="65"/>
        <v/>
      </c>
      <c r="T1384" s="1" t="str">
        <f>IF(OR($C1384="",$D1384&lt;&gt;"Gelir",$L1384=""),"",IFERROR(INDEX(MUSTERILER!$B$7:$B$156,MATCH($S1384,MUSTERILER!$T$7:$T$156,0)),""))</f>
        <v/>
      </c>
      <c r="U1384" s="1" t="str">
        <f>IF($T1384="","",$T1384&amp;"|"&amp;COUNTIFS($T$7:$T1384,$T1384))</f>
        <v/>
      </c>
      <c r="V1384" s="1">
        <f t="shared" si="66"/>
        <v>0</v>
      </c>
      <c r="W1384" s="1" t="str">
        <f t="shared" si="67"/>
        <v/>
      </c>
      <c r="X1384" s="1"/>
      <c r="Y1384" s="1"/>
      <c r="Z1384" s="1"/>
      <c r="AA1384" s="1"/>
      <c r="AB1384" s="1"/>
      <c r="AC1384" s="1"/>
      <c r="AD1384" s="1">
        <f>IF($C1384="",0,SUMPRODUCT((AY_SONU!$O$7:$O$42="Evet")*(AY_SONU!$B$7:$B$42=DATE(YEAR($C1384),MONTH($C1384),1))))</f>
        <v>0</v>
      </c>
      <c r="AE1384" s="1" t="str">
        <f>IF($E1384="","",$E1384&amp;"|"&amp;COUNTIFS($E$7:$E1384,$E1384))</f>
        <v/>
      </c>
    </row>
    <row r="1385" spans="1:31" ht="18" customHeight="1" x14ac:dyDescent="0.3">
      <c r="A1385" s="2"/>
      <c r="B1385" s="65" t="str">
        <f>IF($C1385="","","GG"&amp;TEXT(ROW()-6,"00000"))</f>
        <v/>
      </c>
      <c r="C1385" s="66"/>
      <c r="D1385" s="60"/>
      <c r="E1385" s="61"/>
      <c r="F1385" s="61"/>
      <c r="G1385" s="67"/>
      <c r="H1385" s="60"/>
      <c r="I1385" s="60"/>
      <c r="J1385" s="61"/>
      <c r="K1385" s="61"/>
      <c r="L1385" s="60"/>
      <c r="M1385" s="74" t="str">
        <f>IF($C1385="","",IF($D1385="Gider",$E1385,IF($L1385&lt;&gt;"",$L1385,$H1385)))</f>
        <v/>
      </c>
      <c r="N1385" s="74" t="str">
        <f>IF($C1385="","",IF($D1385="Gider",$H1385,$E1385))</f>
        <v/>
      </c>
      <c r="O1385" s="73" t="str">
        <f>IF($C1385="","",DATE(YEAR($C1385),MONTH($C1385),1))</f>
        <v/>
      </c>
      <c r="P1385" s="65" t="str">
        <f ca="1">IF($C1385="","",IF(AND($D1385="Gelir",$L1385&lt;&gt;"",$T1385=""),"TANIMSIZ BORÇLU",IF($T1385&lt;&gt;"",IF(OR($E1385="",$G1385&lt;=0),"EKSİK",IF($I1385="Evet","TAHAKKUK NAKİT OLAMAZ",IF($C1385&gt;TODAY(),"İLERİ TARİH","TAHAKKUK"))),IF(AND($D1385&lt;&gt;"",$E1385&lt;&gt;"",$G1385&gt;0,$H1385&lt;&gt;"",$I1385&lt;&gt;""),IF($C1385&gt;TODAY(),"İLERİ TARİH",IF(COUNTIF($W$7:$W$3001,$W1385)&gt;1,"MÜKERRER?",IF($AD1385&gt;0,"KAPALI DÖNEM",IF($I1385="Hayır","ÖDENECEK","UYGUN")))),"EKSİK"))))</f>
        <v/>
      </c>
      <c r="Q1385" s="2"/>
      <c r="R1385" s="2"/>
      <c r="S1385" s="1" t="str">
        <f t="shared" si="65"/>
        <v/>
      </c>
      <c r="T1385" s="1" t="str">
        <f>IF(OR($C1385="",$D1385&lt;&gt;"Gelir",$L1385=""),"",IFERROR(INDEX(MUSTERILER!$B$7:$B$156,MATCH($S1385,MUSTERILER!$T$7:$T$156,0)),""))</f>
        <v/>
      </c>
      <c r="U1385" s="1" t="str">
        <f>IF($T1385="","",$T1385&amp;"|"&amp;COUNTIFS($T$7:$T1385,$T1385))</f>
        <v/>
      </c>
      <c r="V1385" s="1">
        <f t="shared" si="66"/>
        <v>0</v>
      </c>
      <c r="W1385" s="1" t="str">
        <f t="shared" si="67"/>
        <v/>
      </c>
      <c r="X1385" s="1"/>
      <c r="Y1385" s="1"/>
      <c r="Z1385" s="1"/>
      <c r="AA1385" s="1"/>
      <c r="AB1385" s="1"/>
      <c r="AC1385" s="1"/>
      <c r="AD1385" s="1">
        <f>IF($C1385="",0,SUMPRODUCT((AY_SONU!$O$7:$O$42="Evet")*(AY_SONU!$B$7:$B$42=DATE(YEAR($C1385),MONTH($C1385),1))))</f>
        <v>0</v>
      </c>
      <c r="AE1385" s="1" t="str">
        <f>IF($E1385="","",$E1385&amp;"|"&amp;COUNTIFS($E$7:$E1385,$E1385))</f>
        <v/>
      </c>
    </row>
    <row r="1386" spans="1:31" ht="18" customHeight="1" x14ac:dyDescent="0.3">
      <c r="A1386" s="2"/>
      <c r="B1386" s="65" t="str">
        <f>IF($C1386="","","GG"&amp;TEXT(ROW()-6,"00000"))</f>
        <v/>
      </c>
      <c r="C1386" s="66"/>
      <c r="D1386" s="60"/>
      <c r="E1386" s="61"/>
      <c r="F1386" s="61"/>
      <c r="G1386" s="67"/>
      <c r="H1386" s="60"/>
      <c r="I1386" s="60"/>
      <c r="J1386" s="61"/>
      <c r="K1386" s="61"/>
      <c r="L1386" s="60"/>
      <c r="M1386" s="74" t="str">
        <f>IF($C1386="","",IF($D1386="Gider",$E1386,IF($L1386&lt;&gt;"",$L1386,$H1386)))</f>
        <v/>
      </c>
      <c r="N1386" s="74" t="str">
        <f>IF($C1386="","",IF($D1386="Gider",$H1386,$E1386))</f>
        <v/>
      </c>
      <c r="O1386" s="73" t="str">
        <f>IF($C1386="","",DATE(YEAR($C1386),MONTH($C1386),1))</f>
        <v/>
      </c>
      <c r="P1386" s="65" t="str">
        <f ca="1">IF($C1386="","",IF(AND($D1386="Gelir",$L1386&lt;&gt;"",$T1386=""),"TANIMSIZ BORÇLU",IF($T1386&lt;&gt;"",IF(OR($E1386="",$G1386&lt;=0),"EKSİK",IF($I1386="Evet","TAHAKKUK NAKİT OLAMAZ",IF($C1386&gt;TODAY(),"İLERİ TARİH","TAHAKKUK"))),IF(AND($D1386&lt;&gt;"",$E1386&lt;&gt;"",$G1386&gt;0,$H1386&lt;&gt;"",$I1386&lt;&gt;""),IF($C1386&gt;TODAY(),"İLERİ TARİH",IF(COUNTIF($W$7:$W$3001,$W1386)&gt;1,"MÜKERRER?",IF($AD1386&gt;0,"KAPALI DÖNEM",IF($I1386="Hayır","ÖDENECEK","UYGUN")))),"EKSİK"))))</f>
        <v/>
      </c>
      <c r="Q1386" s="2"/>
      <c r="R1386" s="2"/>
      <c r="S1386" s="1" t="str">
        <f t="shared" si="65"/>
        <v/>
      </c>
      <c r="T1386" s="1" t="str">
        <f>IF(OR($C1386="",$D1386&lt;&gt;"Gelir",$L1386=""),"",IFERROR(INDEX(MUSTERILER!$B$7:$B$156,MATCH($S1386,MUSTERILER!$T$7:$T$156,0)),""))</f>
        <v/>
      </c>
      <c r="U1386" s="1" t="str">
        <f>IF($T1386="","",$T1386&amp;"|"&amp;COUNTIFS($T$7:$T1386,$T1386))</f>
        <v/>
      </c>
      <c r="V1386" s="1">
        <f t="shared" si="66"/>
        <v>0</v>
      </c>
      <c r="W1386" s="1" t="str">
        <f t="shared" si="67"/>
        <v/>
      </c>
      <c r="X1386" s="1"/>
      <c r="Y1386" s="1"/>
      <c r="Z1386" s="1"/>
      <c r="AA1386" s="1"/>
      <c r="AB1386" s="1"/>
      <c r="AC1386" s="1"/>
      <c r="AD1386" s="1">
        <f>IF($C1386="",0,SUMPRODUCT((AY_SONU!$O$7:$O$42="Evet")*(AY_SONU!$B$7:$B$42=DATE(YEAR($C1386),MONTH($C1386),1))))</f>
        <v>0</v>
      </c>
      <c r="AE1386" s="1" t="str">
        <f>IF($E1386="","",$E1386&amp;"|"&amp;COUNTIFS($E$7:$E1386,$E1386))</f>
        <v/>
      </c>
    </row>
    <row r="1387" spans="1:31" ht="18" customHeight="1" x14ac:dyDescent="0.3">
      <c r="A1387" s="2"/>
      <c r="B1387" s="65" t="str">
        <f>IF($C1387="","","GG"&amp;TEXT(ROW()-6,"00000"))</f>
        <v/>
      </c>
      <c r="C1387" s="66"/>
      <c r="D1387" s="60"/>
      <c r="E1387" s="61"/>
      <c r="F1387" s="61"/>
      <c r="G1387" s="67"/>
      <c r="H1387" s="60"/>
      <c r="I1387" s="60"/>
      <c r="J1387" s="61"/>
      <c r="K1387" s="61"/>
      <c r="L1387" s="60"/>
      <c r="M1387" s="74" t="str">
        <f>IF($C1387="","",IF($D1387="Gider",$E1387,IF($L1387&lt;&gt;"",$L1387,$H1387)))</f>
        <v/>
      </c>
      <c r="N1387" s="74" t="str">
        <f>IF($C1387="","",IF($D1387="Gider",$H1387,$E1387))</f>
        <v/>
      </c>
      <c r="O1387" s="73" t="str">
        <f>IF($C1387="","",DATE(YEAR($C1387),MONTH($C1387),1))</f>
        <v/>
      </c>
      <c r="P1387" s="65" t="str">
        <f ca="1">IF($C1387="","",IF(AND($D1387="Gelir",$L1387&lt;&gt;"",$T1387=""),"TANIMSIZ BORÇLU",IF($T1387&lt;&gt;"",IF(OR($E1387="",$G1387&lt;=0),"EKSİK",IF($I1387="Evet","TAHAKKUK NAKİT OLAMAZ",IF($C1387&gt;TODAY(),"İLERİ TARİH","TAHAKKUK"))),IF(AND($D1387&lt;&gt;"",$E1387&lt;&gt;"",$G1387&gt;0,$H1387&lt;&gt;"",$I1387&lt;&gt;""),IF($C1387&gt;TODAY(),"İLERİ TARİH",IF(COUNTIF($W$7:$W$3001,$W1387)&gt;1,"MÜKERRER?",IF($AD1387&gt;0,"KAPALI DÖNEM",IF($I1387="Hayır","ÖDENECEK","UYGUN")))),"EKSİK"))))</f>
        <v/>
      </c>
      <c r="Q1387" s="2"/>
      <c r="R1387" s="2"/>
      <c r="S1387" s="1" t="str">
        <f t="shared" si="65"/>
        <v/>
      </c>
      <c r="T1387" s="1" t="str">
        <f>IF(OR($C1387="",$D1387&lt;&gt;"Gelir",$L1387=""),"",IFERROR(INDEX(MUSTERILER!$B$7:$B$156,MATCH($S1387,MUSTERILER!$T$7:$T$156,0)),""))</f>
        <v/>
      </c>
      <c r="U1387" s="1" t="str">
        <f>IF($T1387="","",$T1387&amp;"|"&amp;COUNTIFS($T$7:$T1387,$T1387))</f>
        <v/>
      </c>
      <c r="V1387" s="1">
        <f t="shared" si="66"/>
        <v>0</v>
      </c>
      <c r="W1387" s="1" t="str">
        <f t="shared" si="67"/>
        <v/>
      </c>
      <c r="X1387" s="1"/>
      <c r="Y1387" s="1"/>
      <c r="Z1387" s="1"/>
      <c r="AA1387" s="1"/>
      <c r="AB1387" s="1"/>
      <c r="AC1387" s="1"/>
      <c r="AD1387" s="1">
        <f>IF($C1387="",0,SUMPRODUCT((AY_SONU!$O$7:$O$42="Evet")*(AY_SONU!$B$7:$B$42=DATE(YEAR($C1387),MONTH($C1387),1))))</f>
        <v>0</v>
      </c>
      <c r="AE1387" s="1" t="str">
        <f>IF($E1387="","",$E1387&amp;"|"&amp;COUNTIFS($E$7:$E1387,$E1387))</f>
        <v/>
      </c>
    </row>
    <row r="1388" spans="1:31" ht="18" customHeight="1" x14ac:dyDescent="0.3">
      <c r="A1388" s="2"/>
      <c r="B1388" s="65" t="str">
        <f>IF($C1388="","","GG"&amp;TEXT(ROW()-6,"00000"))</f>
        <v/>
      </c>
      <c r="C1388" s="66"/>
      <c r="D1388" s="60"/>
      <c r="E1388" s="61"/>
      <c r="F1388" s="61"/>
      <c r="G1388" s="67"/>
      <c r="H1388" s="60"/>
      <c r="I1388" s="60"/>
      <c r="J1388" s="61"/>
      <c r="K1388" s="61"/>
      <c r="L1388" s="60"/>
      <c r="M1388" s="74" t="str">
        <f>IF($C1388="","",IF($D1388="Gider",$E1388,IF($L1388&lt;&gt;"",$L1388,$H1388)))</f>
        <v/>
      </c>
      <c r="N1388" s="74" t="str">
        <f>IF($C1388="","",IF($D1388="Gider",$H1388,$E1388))</f>
        <v/>
      </c>
      <c r="O1388" s="73" t="str">
        <f>IF($C1388="","",DATE(YEAR($C1388),MONTH($C1388),1))</f>
        <v/>
      </c>
      <c r="P1388" s="65" t="str">
        <f ca="1">IF($C1388="","",IF(AND($D1388="Gelir",$L1388&lt;&gt;"",$T1388=""),"TANIMSIZ BORÇLU",IF($T1388&lt;&gt;"",IF(OR($E1388="",$G1388&lt;=0),"EKSİK",IF($I1388="Evet","TAHAKKUK NAKİT OLAMAZ",IF($C1388&gt;TODAY(),"İLERİ TARİH","TAHAKKUK"))),IF(AND($D1388&lt;&gt;"",$E1388&lt;&gt;"",$G1388&gt;0,$H1388&lt;&gt;"",$I1388&lt;&gt;""),IF($C1388&gt;TODAY(),"İLERİ TARİH",IF(COUNTIF($W$7:$W$3001,$W1388)&gt;1,"MÜKERRER?",IF($AD1388&gt;0,"KAPALI DÖNEM",IF($I1388="Hayır","ÖDENECEK","UYGUN")))),"EKSİK"))))</f>
        <v/>
      </c>
      <c r="Q1388" s="2"/>
      <c r="R1388" s="2"/>
      <c r="S1388" s="1" t="str">
        <f t="shared" si="65"/>
        <v/>
      </c>
      <c r="T1388" s="1" t="str">
        <f>IF(OR($C1388="",$D1388&lt;&gt;"Gelir",$L1388=""),"",IFERROR(INDEX(MUSTERILER!$B$7:$B$156,MATCH($S1388,MUSTERILER!$T$7:$T$156,0)),""))</f>
        <v/>
      </c>
      <c r="U1388" s="1" t="str">
        <f>IF($T1388="","",$T1388&amp;"|"&amp;COUNTIFS($T$7:$T1388,$T1388))</f>
        <v/>
      </c>
      <c r="V1388" s="1">
        <f t="shared" si="66"/>
        <v>0</v>
      </c>
      <c r="W1388" s="1" t="str">
        <f t="shared" si="67"/>
        <v/>
      </c>
      <c r="X1388" s="1"/>
      <c r="Y1388" s="1"/>
      <c r="Z1388" s="1"/>
      <c r="AA1388" s="1"/>
      <c r="AB1388" s="1"/>
      <c r="AC1388" s="1"/>
      <c r="AD1388" s="1">
        <f>IF($C1388="",0,SUMPRODUCT((AY_SONU!$O$7:$O$42="Evet")*(AY_SONU!$B$7:$B$42=DATE(YEAR($C1388),MONTH($C1388),1))))</f>
        <v>0</v>
      </c>
      <c r="AE1388" s="1" t="str">
        <f>IF($E1388="","",$E1388&amp;"|"&amp;COUNTIFS($E$7:$E1388,$E1388))</f>
        <v/>
      </c>
    </row>
    <row r="1389" spans="1:31" ht="18" customHeight="1" x14ac:dyDescent="0.3">
      <c r="A1389" s="2"/>
      <c r="B1389" s="65" t="str">
        <f>IF($C1389="","","GG"&amp;TEXT(ROW()-6,"00000"))</f>
        <v/>
      </c>
      <c r="C1389" s="66"/>
      <c r="D1389" s="60"/>
      <c r="E1389" s="61"/>
      <c r="F1389" s="61"/>
      <c r="G1389" s="67"/>
      <c r="H1389" s="60"/>
      <c r="I1389" s="60"/>
      <c r="J1389" s="61"/>
      <c r="K1389" s="61"/>
      <c r="L1389" s="60"/>
      <c r="M1389" s="74" t="str">
        <f>IF($C1389="","",IF($D1389="Gider",$E1389,IF($L1389&lt;&gt;"",$L1389,$H1389)))</f>
        <v/>
      </c>
      <c r="N1389" s="74" t="str">
        <f>IF($C1389="","",IF($D1389="Gider",$H1389,$E1389))</f>
        <v/>
      </c>
      <c r="O1389" s="73" t="str">
        <f>IF($C1389="","",DATE(YEAR($C1389),MONTH($C1389),1))</f>
        <v/>
      </c>
      <c r="P1389" s="65" t="str">
        <f ca="1">IF($C1389="","",IF(AND($D1389="Gelir",$L1389&lt;&gt;"",$T1389=""),"TANIMSIZ BORÇLU",IF($T1389&lt;&gt;"",IF(OR($E1389="",$G1389&lt;=0),"EKSİK",IF($I1389="Evet","TAHAKKUK NAKİT OLAMAZ",IF($C1389&gt;TODAY(),"İLERİ TARİH","TAHAKKUK"))),IF(AND($D1389&lt;&gt;"",$E1389&lt;&gt;"",$G1389&gt;0,$H1389&lt;&gt;"",$I1389&lt;&gt;""),IF($C1389&gt;TODAY(),"İLERİ TARİH",IF(COUNTIF($W$7:$W$3001,$W1389)&gt;1,"MÜKERRER?",IF($AD1389&gt;0,"KAPALI DÖNEM",IF($I1389="Hayır","ÖDENECEK","UYGUN")))),"EKSİK"))))</f>
        <v/>
      </c>
      <c r="Q1389" s="2"/>
      <c r="R1389" s="2"/>
      <c r="S1389" s="1" t="str">
        <f t="shared" si="65"/>
        <v/>
      </c>
      <c r="T1389" s="1" t="str">
        <f>IF(OR($C1389="",$D1389&lt;&gt;"Gelir",$L1389=""),"",IFERROR(INDEX(MUSTERILER!$B$7:$B$156,MATCH($S1389,MUSTERILER!$T$7:$T$156,0)),""))</f>
        <v/>
      </c>
      <c r="U1389" s="1" t="str">
        <f>IF($T1389="","",$T1389&amp;"|"&amp;COUNTIFS($T$7:$T1389,$T1389))</f>
        <v/>
      </c>
      <c r="V1389" s="1">
        <f t="shared" si="66"/>
        <v>0</v>
      </c>
      <c r="W1389" s="1" t="str">
        <f t="shared" si="67"/>
        <v/>
      </c>
      <c r="X1389" s="1"/>
      <c r="Y1389" s="1"/>
      <c r="Z1389" s="1"/>
      <c r="AA1389" s="1"/>
      <c r="AB1389" s="1"/>
      <c r="AC1389" s="1"/>
      <c r="AD1389" s="1">
        <f>IF($C1389="",0,SUMPRODUCT((AY_SONU!$O$7:$O$42="Evet")*(AY_SONU!$B$7:$B$42=DATE(YEAR($C1389),MONTH($C1389),1))))</f>
        <v>0</v>
      </c>
      <c r="AE1389" s="1" t="str">
        <f>IF($E1389="","",$E1389&amp;"|"&amp;COUNTIFS($E$7:$E1389,$E1389))</f>
        <v/>
      </c>
    </row>
    <row r="1390" spans="1:31" ht="18" customHeight="1" x14ac:dyDescent="0.3">
      <c r="A1390" s="2"/>
      <c r="B1390" s="65" t="str">
        <f>IF($C1390="","","GG"&amp;TEXT(ROW()-6,"00000"))</f>
        <v/>
      </c>
      <c r="C1390" s="66"/>
      <c r="D1390" s="60"/>
      <c r="E1390" s="61"/>
      <c r="F1390" s="61"/>
      <c r="G1390" s="67"/>
      <c r="H1390" s="60"/>
      <c r="I1390" s="60"/>
      <c r="J1390" s="61"/>
      <c r="K1390" s="61"/>
      <c r="L1390" s="60"/>
      <c r="M1390" s="74" t="str">
        <f>IF($C1390="","",IF($D1390="Gider",$E1390,IF($L1390&lt;&gt;"",$L1390,$H1390)))</f>
        <v/>
      </c>
      <c r="N1390" s="74" t="str">
        <f>IF($C1390="","",IF($D1390="Gider",$H1390,$E1390))</f>
        <v/>
      </c>
      <c r="O1390" s="73" t="str">
        <f>IF($C1390="","",DATE(YEAR($C1390),MONTH($C1390),1))</f>
        <v/>
      </c>
      <c r="P1390" s="65" t="str">
        <f ca="1">IF($C1390="","",IF(AND($D1390="Gelir",$L1390&lt;&gt;"",$T1390=""),"TANIMSIZ BORÇLU",IF($T1390&lt;&gt;"",IF(OR($E1390="",$G1390&lt;=0),"EKSİK",IF($I1390="Evet","TAHAKKUK NAKİT OLAMAZ",IF($C1390&gt;TODAY(),"İLERİ TARİH","TAHAKKUK"))),IF(AND($D1390&lt;&gt;"",$E1390&lt;&gt;"",$G1390&gt;0,$H1390&lt;&gt;"",$I1390&lt;&gt;""),IF($C1390&gt;TODAY(),"İLERİ TARİH",IF(COUNTIF($W$7:$W$3001,$W1390)&gt;1,"MÜKERRER?",IF($AD1390&gt;0,"KAPALI DÖNEM",IF($I1390="Hayır","ÖDENECEK","UYGUN")))),"EKSİK"))))</f>
        <v/>
      </c>
      <c r="Q1390" s="2"/>
      <c r="R1390" s="2"/>
      <c r="S1390" s="1" t="str">
        <f t="shared" si="65"/>
        <v/>
      </c>
      <c r="T1390" s="1" t="str">
        <f>IF(OR($C1390="",$D1390&lt;&gt;"Gelir",$L1390=""),"",IFERROR(INDEX(MUSTERILER!$B$7:$B$156,MATCH($S1390,MUSTERILER!$T$7:$T$156,0)),""))</f>
        <v/>
      </c>
      <c r="U1390" s="1" t="str">
        <f>IF($T1390="","",$T1390&amp;"|"&amp;COUNTIFS($T$7:$T1390,$T1390))</f>
        <v/>
      </c>
      <c r="V1390" s="1">
        <f t="shared" si="66"/>
        <v>0</v>
      </c>
      <c r="W1390" s="1" t="str">
        <f t="shared" si="67"/>
        <v/>
      </c>
      <c r="X1390" s="1"/>
      <c r="Y1390" s="1"/>
      <c r="Z1390" s="1"/>
      <c r="AA1390" s="1"/>
      <c r="AB1390" s="1"/>
      <c r="AC1390" s="1"/>
      <c r="AD1390" s="1">
        <f>IF($C1390="",0,SUMPRODUCT((AY_SONU!$O$7:$O$42="Evet")*(AY_SONU!$B$7:$B$42=DATE(YEAR($C1390),MONTH($C1390),1))))</f>
        <v>0</v>
      </c>
      <c r="AE1390" s="1" t="str">
        <f>IF($E1390="","",$E1390&amp;"|"&amp;COUNTIFS($E$7:$E1390,$E1390))</f>
        <v/>
      </c>
    </row>
    <row r="1391" spans="1:31" ht="18" customHeight="1" x14ac:dyDescent="0.3">
      <c r="A1391" s="2"/>
      <c r="B1391" s="65" t="str">
        <f>IF($C1391="","","GG"&amp;TEXT(ROW()-6,"00000"))</f>
        <v/>
      </c>
      <c r="C1391" s="66"/>
      <c r="D1391" s="60"/>
      <c r="E1391" s="61"/>
      <c r="F1391" s="61"/>
      <c r="G1391" s="67"/>
      <c r="H1391" s="60"/>
      <c r="I1391" s="60"/>
      <c r="J1391" s="61"/>
      <c r="K1391" s="61"/>
      <c r="L1391" s="60"/>
      <c r="M1391" s="74" t="str">
        <f>IF($C1391="","",IF($D1391="Gider",$E1391,IF($L1391&lt;&gt;"",$L1391,$H1391)))</f>
        <v/>
      </c>
      <c r="N1391" s="74" t="str">
        <f>IF($C1391="","",IF($D1391="Gider",$H1391,$E1391))</f>
        <v/>
      </c>
      <c r="O1391" s="73" t="str">
        <f>IF($C1391="","",DATE(YEAR($C1391),MONTH($C1391),1))</f>
        <v/>
      </c>
      <c r="P1391" s="65" t="str">
        <f ca="1">IF($C1391="","",IF(AND($D1391="Gelir",$L1391&lt;&gt;"",$T1391=""),"TANIMSIZ BORÇLU",IF($T1391&lt;&gt;"",IF(OR($E1391="",$G1391&lt;=0),"EKSİK",IF($I1391="Evet","TAHAKKUK NAKİT OLAMAZ",IF($C1391&gt;TODAY(),"İLERİ TARİH","TAHAKKUK"))),IF(AND($D1391&lt;&gt;"",$E1391&lt;&gt;"",$G1391&gt;0,$H1391&lt;&gt;"",$I1391&lt;&gt;""),IF($C1391&gt;TODAY(),"İLERİ TARİH",IF(COUNTIF($W$7:$W$3001,$W1391)&gt;1,"MÜKERRER?",IF($AD1391&gt;0,"KAPALI DÖNEM",IF($I1391="Hayır","ÖDENECEK","UYGUN")))),"EKSİK"))))</f>
        <v/>
      </c>
      <c r="Q1391" s="2"/>
      <c r="R1391" s="2"/>
      <c r="S1391" s="1" t="str">
        <f t="shared" si="65"/>
        <v/>
      </c>
      <c r="T1391" s="1" t="str">
        <f>IF(OR($C1391="",$D1391&lt;&gt;"Gelir",$L1391=""),"",IFERROR(INDEX(MUSTERILER!$B$7:$B$156,MATCH($S1391,MUSTERILER!$T$7:$T$156,0)),""))</f>
        <v/>
      </c>
      <c r="U1391" s="1" t="str">
        <f>IF($T1391="","",$T1391&amp;"|"&amp;COUNTIFS($T$7:$T1391,$T1391))</f>
        <v/>
      </c>
      <c r="V1391" s="1">
        <f t="shared" si="66"/>
        <v>0</v>
      </c>
      <c r="W1391" s="1" t="str">
        <f t="shared" si="67"/>
        <v/>
      </c>
      <c r="X1391" s="1"/>
      <c r="Y1391" s="1"/>
      <c r="Z1391" s="1"/>
      <c r="AA1391" s="1"/>
      <c r="AB1391" s="1"/>
      <c r="AC1391" s="1"/>
      <c r="AD1391" s="1">
        <f>IF($C1391="",0,SUMPRODUCT((AY_SONU!$O$7:$O$42="Evet")*(AY_SONU!$B$7:$B$42=DATE(YEAR($C1391),MONTH($C1391),1))))</f>
        <v>0</v>
      </c>
      <c r="AE1391" s="1" t="str">
        <f>IF($E1391="","",$E1391&amp;"|"&amp;COUNTIFS($E$7:$E1391,$E1391))</f>
        <v/>
      </c>
    </row>
    <row r="1392" spans="1:31" ht="18" customHeight="1" x14ac:dyDescent="0.3">
      <c r="A1392" s="2"/>
      <c r="B1392" s="65" t="str">
        <f>IF($C1392="","","GG"&amp;TEXT(ROW()-6,"00000"))</f>
        <v/>
      </c>
      <c r="C1392" s="66"/>
      <c r="D1392" s="60"/>
      <c r="E1392" s="61"/>
      <c r="F1392" s="61"/>
      <c r="G1392" s="67"/>
      <c r="H1392" s="60"/>
      <c r="I1392" s="60"/>
      <c r="J1392" s="61"/>
      <c r="K1392" s="61"/>
      <c r="L1392" s="60"/>
      <c r="M1392" s="74" t="str">
        <f>IF($C1392="","",IF($D1392="Gider",$E1392,IF($L1392&lt;&gt;"",$L1392,$H1392)))</f>
        <v/>
      </c>
      <c r="N1392" s="74" t="str">
        <f>IF($C1392="","",IF($D1392="Gider",$H1392,$E1392))</f>
        <v/>
      </c>
      <c r="O1392" s="73" t="str">
        <f>IF($C1392="","",DATE(YEAR($C1392),MONTH($C1392),1))</f>
        <v/>
      </c>
      <c r="P1392" s="65" t="str">
        <f ca="1">IF($C1392="","",IF(AND($D1392="Gelir",$L1392&lt;&gt;"",$T1392=""),"TANIMSIZ BORÇLU",IF($T1392&lt;&gt;"",IF(OR($E1392="",$G1392&lt;=0),"EKSİK",IF($I1392="Evet","TAHAKKUK NAKİT OLAMAZ",IF($C1392&gt;TODAY(),"İLERİ TARİH","TAHAKKUK"))),IF(AND($D1392&lt;&gt;"",$E1392&lt;&gt;"",$G1392&gt;0,$H1392&lt;&gt;"",$I1392&lt;&gt;""),IF($C1392&gt;TODAY(),"İLERİ TARİH",IF(COUNTIF($W$7:$W$3001,$W1392)&gt;1,"MÜKERRER?",IF($AD1392&gt;0,"KAPALI DÖNEM",IF($I1392="Hayır","ÖDENECEK","UYGUN")))),"EKSİK"))))</f>
        <v/>
      </c>
      <c r="Q1392" s="2"/>
      <c r="R1392" s="2"/>
      <c r="S1392" s="1" t="str">
        <f t="shared" si="65"/>
        <v/>
      </c>
      <c r="T1392" s="1" t="str">
        <f>IF(OR($C1392="",$D1392&lt;&gt;"Gelir",$L1392=""),"",IFERROR(INDEX(MUSTERILER!$B$7:$B$156,MATCH($S1392,MUSTERILER!$T$7:$T$156,0)),""))</f>
        <v/>
      </c>
      <c r="U1392" s="1" t="str">
        <f>IF($T1392="","",$T1392&amp;"|"&amp;COUNTIFS($T$7:$T1392,$T1392))</f>
        <v/>
      </c>
      <c r="V1392" s="1">
        <f t="shared" si="66"/>
        <v>0</v>
      </c>
      <c r="W1392" s="1" t="str">
        <f t="shared" si="67"/>
        <v/>
      </c>
      <c r="X1392" s="1"/>
      <c r="Y1392" s="1"/>
      <c r="Z1392" s="1"/>
      <c r="AA1392" s="1"/>
      <c r="AB1392" s="1"/>
      <c r="AC1392" s="1"/>
      <c r="AD1392" s="1">
        <f>IF($C1392="",0,SUMPRODUCT((AY_SONU!$O$7:$O$42="Evet")*(AY_SONU!$B$7:$B$42=DATE(YEAR($C1392),MONTH($C1392),1))))</f>
        <v>0</v>
      </c>
      <c r="AE1392" s="1" t="str">
        <f>IF($E1392="","",$E1392&amp;"|"&amp;COUNTIFS($E$7:$E1392,$E1392))</f>
        <v/>
      </c>
    </row>
    <row r="1393" spans="1:31" ht="18" customHeight="1" x14ac:dyDescent="0.3">
      <c r="A1393" s="2"/>
      <c r="B1393" s="65" t="str">
        <f>IF($C1393="","","GG"&amp;TEXT(ROW()-6,"00000"))</f>
        <v/>
      </c>
      <c r="C1393" s="66"/>
      <c r="D1393" s="60"/>
      <c r="E1393" s="61"/>
      <c r="F1393" s="61"/>
      <c r="G1393" s="67"/>
      <c r="H1393" s="60"/>
      <c r="I1393" s="60"/>
      <c r="J1393" s="61"/>
      <c r="K1393" s="61"/>
      <c r="L1393" s="60"/>
      <c r="M1393" s="74" t="str">
        <f>IF($C1393="","",IF($D1393="Gider",$E1393,IF($L1393&lt;&gt;"",$L1393,$H1393)))</f>
        <v/>
      </c>
      <c r="N1393" s="74" t="str">
        <f>IF($C1393="","",IF($D1393="Gider",$H1393,$E1393))</f>
        <v/>
      </c>
      <c r="O1393" s="73" t="str">
        <f>IF($C1393="","",DATE(YEAR($C1393),MONTH($C1393),1))</f>
        <v/>
      </c>
      <c r="P1393" s="65" t="str">
        <f ca="1">IF($C1393="","",IF(AND($D1393="Gelir",$L1393&lt;&gt;"",$T1393=""),"TANIMSIZ BORÇLU",IF($T1393&lt;&gt;"",IF(OR($E1393="",$G1393&lt;=0),"EKSİK",IF($I1393="Evet","TAHAKKUK NAKİT OLAMAZ",IF($C1393&gt;TODAY(),"İLERİ TARİH","TAHAKKUK"))),IF(AND($D1393&lt;&gt;"",$E1393&lt;&gt;"",$G1393&gt;0,$H1393&lt;&gt;"",$I1393&lt;&gt;""),IF($C1393&gt;TODAY(),"İLERİ TARİH",IF(COUNTIF($W$7:$W$3001,$W1393)&gt;1,"MÜKERRER?",IF($AD1393&gt;0,"KAPALI DÖNEM",IF($I1393="Hayır","ÖDENECEK","UYGUN")))),"EKSİK"))))</f>
        <v/>
      </c>
      <c r="Q1393" s="2"/>
      <c r="R1393" s="2"/>
      <c r="S1393" s="1" t="str">
        <f t="shared" si="65"/>
        <v/>
      </c>
      <c r="T1393" s="1" t="str">
        <f>IF(OR($C1393="",$D1393&lt;&gt;"Gelir",$L1393=""),"",IFERROR(INDEX(MUSTERILER!$B$7:$B$156,MATCH($S1393,MUSTERILER!$T$7:$T$156,0)),""))</f>
        <v/>
      </c>
      <c r="U1393" s="1" t="str">
        <f>IF($T1393="","",$T1393&amp;"|"&amp;COUNTIFS($T$7:$T1393,$T1393))</f>
        <v/>
      </c>
      <c r="V1393" s="1">
        <f t="shared" si="66"/>
        <v>0</v>
      </c>
      <c r="W1393" s="1" t="str">
        <f t="shared" si="67"/>
        <v/>
      </c>
      <c r="X1393" s="1"/>
      <c r="Y1393" s="1"/>
      <c r="Z1393" s="1"/>
      <c r="AA1393" s="1"/>
      <c r="AB1393" s="1"/>
      <c r="AC1393" s="1"/>
      <c r="AD1393" s="1">
        <f>IF($C1393="",0,SUMPRODUCT((AY_SONU!$O$7:$O$42="Evet")*(AY_SONU!$B$7:$B$42=DATE(YEAR($C1393),MONTH($C1393),1))))</f>
        <v>0</v>
      </c>
      <c r="AE1393" s="1" t="str">
        <f>IF($E1393="","",$E1393&amp;"|"&amp;COUNTIFS($E$7:$E1393,$E1393))</f>
        <v/>
      </c>
    </row>
    <row r="1394" spans="1:31" ht="18" customHeight="1" x14ac:dyDescent="0.3">
      <c r="A1394" s="2"/>
      <c r="B1394" s="65" t="str">
        <f>IF($C1394="","","GG"&amp;TEXT(ROW()-6,"00000"))</f>
        <v/>
      </c>
      <c r="C1394" s="66"/>
      <c r="D1394" s="60"/>
      <c r="E1394" s="61"/>
      <c r="F1394" s="61"/>
      <c r="G1394" s="67"/>
      <c r="H1394" s="60"/>
      <c r="I1394" s="60"/>
      <c r="J1394" s="61"/>
      <c r="K1394" s="61"/>
      <c r="L1394" s="60"/>
      <c r="M1394" s="74" t="str">
        <f>IF($C1394="","",IF($D1394="Gider",$E1394,IF($L1394&lt;&gt;"",$L1394,$H1394)))</f>
        <v/>
      </c>
      <c r="N1394" s="74" t="str">
        <f>IF($C1394="","",IF($D1394="Gider",$H1394,$E1394))</f>
        <v/>
      </c>
      <c r="O1394" s="73" t="str">
        <f>IF($C1394="","",DATE(YEAR($C1394),MONTH($C1394),1))</f>
        <v/>
      </c>
      <c r="P1394" s="65" t="str">
        <f ca="1">IF($C1394="","",IF(AND($D1394="Gelir",$L1394&lt;&gt;"",$T1394=""),"TANIMSIZ BORÇLU",IF($T1394&lt;&gt;"",IF(OR($E1394="",$G1394&lt;=0),"EKSİK",IF($I1394="Evet","TAHAKKUK NAKİT OLAMAZ",IF($C1394&gt;TODAY(),"İLERİ TARİH","TAHAKKUK"))),IF(AND($D1394&lt;&gt;"",$E1394&lt;&gt;"",$G1394&gt;0,$H1394&lt;&gt;"",$I1394&lt;&gt;""),IF($C1394&gt;TODAY(),"İLERİ TARİH",IF(COUNTIF($W$7:$W$3001,$W1394)&gt;1,"MÜKERRER?",IF($AD1394&gt;0,"KAPALI DÖNEM",IF($I1394="Hayır","ÖDENECEK","UYGUN")))),"EKSİK"))))</f>
        <v/>
      </c>
      <c r="Q1394" s="2"/>
      <c r="R1394" s="2"/>
      <c r="S1394" s="1" t="str">
        <f t="shared" si="65"/>
        <v/>
      </c>
      <c r="T1394" s="1" t="str">
        <f>IF(OR($C1394="",$D1394&lt;&gt;"Gelir",$L1394=""),"",IFERROR(INDEX(MUSTERILER!$B$7:$B$156,MATCH($S1394,MUSTERILER!$T$7:$T$156,0)),""))</f>
        <v/>
      </c>
      <c r="U1394" s="1" t="str">
        <f>IF($T1394="","",$T1394&amp;"|"&amp;COUNTIFS($T$7:$T1394,$T1394))</f>
        <v/>
      </c>
      <c r="V1394" s="1">
        <f t="shared" si="66"/>
        <v>0</v>
      </c>
      <c r="W1394" s="1" t="str">
        <f t="shared" si="67"/>
        <v/>
      </c>
      <c r="X1394" s="1"/>
      <c r="Y1394" s="1"/>
      <c r="Z1394" s="1"/>
      <c r="AA1394" s="1"/>
      <c r="AB1394" s="1"/>
      <c r="AC1394" s="1"/>
      <c r="AD1394" s="1">
        <f>IF($C1394="",0,SUMPRODUCT((AY_SONU!$O$7:$O$42="Evet")*(AY_SONU!$B$7:$B$42=DATE(YEAR($C1394),MONTH($C1394),1))))</f>
        <v>0</v>
      </c>
      <c r="AE1394" s="1" t="str">
        <f>IF($E1394="","",$E1394&amp;"|"&amp;COUNTIFS($E$7:$E1394,$E1394))</f>
        <v/>
      </c>
    </row>
    <row r="1395" spans="1:31" ht="18" customHeight="1" x14ac:dyDescent="0.3">
      <c r="A1395" s="2"/>
      <c r="B1395" s="65" t="str">
        <f>IF($C1395="","","GG"&amp;TEXT(ROW()-6,"00000"))</f>
        <v/>
      </c>
      <c r="C1395" s="66"/>
      <c r="D1395" s="60"/>
      <c r="E1395" s="61"/>
      <c r="F1395" s="61"/>
      <c r="G1395" s="67"/>
      <c r="H1395" s="60"/>
      <c r="I1395" s="60"/>
      <c r="J1395" s="61"/>
      <c r="K1395" s="61"/>
      <c r="L1395" s="60"/>
      <c r="M1395" s="74" t="str">
        <f>IF($C1395="","",IF($D1395="Gider",$E1395,IF($L1395&lt;&gt;"",$L1395,$H1395)))</f>
        <v/>
      </c>
      <c r="N1395" s="74" t="str">
        <f>IF($C1395="","",IF($D1395="Gider",$H1395,$E1395))</f>
        <v/>
      </c>
      <c r="O1395" s="73" t="str">
        <f>IF($C1395="","",DATE(YEAR($C1395),MONTH($C1395),1))</f>
        <v/>
      </c>
      <c r="P1395" s="65" t="str">
        <f ca="1">IF($C1395="","",IF(AND($D1395="Gelir",$L1395&lt;&gt;"",$T1395=""),"TANIMSIZ BORÇLU",IF($T1395&lt;&gt;"",IF(OR($E1395="",$G1395&lt;=0),"EKSİK",IF($I1395="Evet","TAHAKKUK NAKİT OLAMAZ",IF($C1395&gt;TODAY(),"İLERİ TARİH","TAHAKKUK"))),IF(AND($D1395&lt;&gt;"",$E1395&lt;&gt;"",$G1395&gt;0,$H1395&lt;&gt;"",$I1395&lt;&gt;""),IF($C1395&gt;TODAY(),"İLERİ TARİH",IF(COUNTIF($W$7:$W$3001,$W1395)&gt;1,"MÜKERRER?",IF($AD1395&gt;0,"KAPALI DÖNEM",IF($I1395="Hayır","ÖDENECEK","UYGUN")))),"EKSİK"))))</f>
        <v/>
      </c>
      <c r="Q1395" s="2"/>
      <c r="R1395" s="2"/>
      <c r="S1395" s="1" t="str">
        <f t="shared" si="65"/>
        <v/>
      </c>
      <c r="T1395" s="1" t="str">
        <f>IF(OR($C1395="",$D1395&lt;&gt;"Gelir",$L1395=""),"",IFERROR(INDEX(MUSTERILER!$B$7:$B$156,MATCH($S1395,MUSTERILER!$T$7:$T$156,0)),""))</f>
        <v/>
      </c>
      <c r="U1395" s="1" t="str">
        <f>IF($T1395="","",$T1395&amp;"|"&amp;COUNTIFS($T$7:$T1395,$T1395))</f>
        <v/>
      </c>
      <c r="V1395" s="1">
        <f t="shared" si="66"/>
        <v>0</v>
      </c>
      <c r="W1395" s="1" t="str">
        <f t="shared" si="67"/>
        <v/>
      </c>
      <c r="X1395" s="1"/>
      <c r="Y1395" s="1"/>
      <c r="Z1395" s="1"/>
      <c r="AA1395" s="1"/>
      <c r="AB1395" s="1"/>
      <c r="AC1395" s="1"/>
      <c r="AD1395" s="1">
        <f>IF($C1395="",0,SUMPRODUCT((AY_SONU!$O$7:$O$42="Evet")*(AY_SONU!$B$7:$B$42=DATE(YEAR($C1395),MONTH($C1395),1))))</f>
        <v>0</v>
      </c>
      <c r="AE1395" s="1" t="str">
        <f>IF($E1395="","",$E1395&amp;"|"&amp;COUNTIFS($E$7:$E1395,$E1395))</f>
        <v/>
      </c>
    </row>
    <row r="1396" spans="1:31" ht="18" customHeight="1" x14ac:dyDescent="0.3">
      <c r="A1396" s="2"/>
      <c r="B1396" s="65" t="str">
        <f>IF($C1396="","","GG"&amp;TEXT(ROW()-6,"00000"))</f>
        <v/>
      </c>
      <c r="C1396" s="66"/>
      <c r="D1396" s="60"/>
      <c r="E1396" s="61"/>
      <c r="F1396" s="61"/>
      <c r="G1396" s="67"/>
      <c r="H1396" s="60"/>
      <c r="I1396" s="60"/>
      <c r="J1396" s="61"/>
      <c r="K1396" s="61"/>
      <c r="L1396" s="60"/>
      <c r="M1396" s="74" t="str">
        <f>IF($C1396="","",IF($D1396="Gider",$E1396,IF($L1396&lt;&gt;"",$L1396,$H1396)))</f>
        <v/>
      </c>
      <c r="N1396" s="74" t="str">
        <f>IF($C1396="","",IF($D1396="Gider",$H1396,$E1396))</f>
        <v/>
      </c>
      <c r="O1396" s="73" t="str">
        <f>IF($C1396="","",DATE(YEAR($C1396),MONTH($C1396),1))</f>
        <v/>
      </c>
      <c r="P1396" s="65" t="str">
        <f ca="1">IF($C1396="","",IF(AND($D1396="Gelir",$L1396&lt;&gt;"",$T1396=""),"TANIMSIZ BORÇLU",IF($T1396&lt;&gt;"",IF(OR($E1396="",$G1396&lt;=0),"EKSİK",IF($I1396="Evet","TAHAKKUK NAKİT OLAMAZ",IF($C1396&gt;TODAY(),"İLERİ TARİH","TAHAKKUK"))),IF(AND($D1396&lt;&gt;"",$E1396&lt;&gt;"",$G1396&gt;0,$H1396&lt;&gt;"",$I1396&lt;&gt;""),IF($C1396&gt;TODAY(),"İLERİ TARİH",IF(COUNTIF($W$7:$W$3001,$W1396)&gt;1,"MÜKERRER?",IF($AD1396&gt;0,"KAPALI DÖNEM",IF($I1396="Hayır","ÖDENECEK","UYGUN")))),"EKSİK"))))</f>
        <v/>
      </c>
      <c r="Q1396" s="2"/>
      <c r="R1396" s="2"/>
      <c r="S1396" s="1" t="str">
        <f t="shared" si="65"/>
        <v/>
      </c>
      <c r="T1396" s="1" t="str">
        <f>IF(OR($C1396="",$D1396&lt;&gt;"Gelir",$L1396=""),"",IFERROR(INDEX(MUSTERILER!$B$7:$B$156,MATCH($S1396,MUSTERILER!$T$7:$T$156,0)),""))</f>
        <v/>
      </c>
      <c r="U1396" s="1" t="str">
        <f>IF($T1396="","",$T1396&amp;"|"&amp;COUNTIFS($T$7:$T1396,$T1396))</f>
        <v/>
      </c>
      <c r="V1396" s="1">
        <f t="shared" si="66"/>
        <v>0</v>
      </c>
      <c r="W1396" s="1" t="str">
        <f t="shared" si="67"/>
        <v/>
      </c>
      <c r="X1396" s="1"/>
      <c r="Y1396" s="1"/>
      <c r="Z1396" s="1"/>
      <c r="AA1396" s="1"/>
      <c r="AB1396" s="1"/>
      <c r="AC1396" s="1"/>
      <c r="AD1396" s="1">
        <f>IF($C1396="",0,SUMPRODUCT((AY_SONU!$O$7:$O$42="Evet")*(AY_SONU!$B$7:$B$42=DATE(YEAR($C1396),MONTH($C1396),1))))</f>
        <v>0</v>
      </c>
      <c r="AE1396" s="1" t="str">
        <f>IF($E1396="","",$E1396&amp;"|"&amp;COUNTIFS($E$7:$E1396,$E1396))</f>
        <v/>
      </c>
    </row>
    <row r="1397" spans="1:31" ht="18" customHeight="1" x14ac:dyDescent="0.3">
      <c r="A1397" s="2"/>
      <c r="B1397" s="65" t="str">
        <f>IF($C1397="","","GG"&amp;TEXT(ROW()-6,"00000"))</f>
        <v/>
      </c>
      <c r="C1397" s="66"/>
      <c r="D1397" s="60"/>
      <c r="E1397" s="61"/>
      <c r="F1397" s="61"/>
      <c r="G1397" s="67"/>
      <c r="H1397" s="60"/>
      <c r="I1397" s="60"/>
      <c r="J1397" s="61"/>
      <c r="K1397" s="61"/>
      <c r="L1397" s="60"/>
      <c r="M1397" s="74" t="str">
        <f>IF($C1397="","",IF($D1397="Gider",$E1397,IF($L1397&lt;&gt;"",$L1397,$H1397)))</f>
        <v/>
      </c>
      <c r="N1397" s="74" t="str">
        <f>IF($C1397="","",IF($D1397="Gider",$H1397,$E1397))</f>
        <v/>
      </c>
      <c r="O1397" s="73" t="str">
        <f>IF($C1397="","",DATE(YEAR($C1397),MONTH($C1397),1))</f>
        <v/>
      </c>
      <c r="P1397" s="65" t="str">
        <f ca="1">IF($C1397="","",IF(AND($D1397="Gelir",$L1397&lt;&gt;"",$T1397=""),"TANIMSIZ BORÇLU",IF($T1397&lt;&gt;"",IF(OR($E1397="",$G1397&lt;=0),"EKSİK",IF($I1397="Evet","TAHAKKUK NAKİT OLAMAZ",IF($C1397&gt;TODAY(),"İLERİ TARİH","TAHAKKUK"))),IF(AND($D1397&lt;&gt;"",$E1397&lt;&gt;"",$G1397&gt;0,$H1397&lt;&gt;"",$I1397&lt;&gt;""),IF($C1397&gt;TODAY(),"İLERİ TARİH",IF(COUNTIF($W$7:$W$3001,$W1397)&gt;1,"MÜKERRER?",IF($AD1397&gt;0,"KAPALI DÖNEM",IF($I1397="Hayır","ÖDENECEK","UYGUN")))),"EKSİK"))))</f>
        <v/>
      </c>
      <c r="Q1397" s="2"/>
      <c r="R1397" s="2"/>
      <c r="S1397" s="1" t="str">
        <f t="shared" si="65"/>
        <v/>
      </c>
      <c r="T1397" s="1" t="str">
        <f>IF(OR($C1397="",$D1397&lt;&gt;"Gelir",$L1397=""),"",IFERROR(INDEX(MUSTERILER!$B$7:$B$156,MATCH($S1397,MUSTERILER!$T$7:$T$156,0)),""))</f>
        <v/>
      </c>
      <c r="U1397" s="1" t="str">
        <f>IF($T1397="","",$T1397&amp;"|"&amp;COUNTIFS($T$7:$T1397,$T1397))</f>
        <v/>
      </c>
      <c r="V1397" s="1">
        <f t="shared" si="66"/>
        <v>0</v>
      </c>
      <c r="W1397" s="1" t="str">
        <f t="shared" si="67"/>
        <v/>
      </c>
      <c r="X1397" s="1"/>
      <c r="Y1397" s="1"/>
      <c r="Z1397" s="1"/>
      <c r="AA1397" s="1"/>
      <c r="AB1397" s="1"/>
      <c r="AC1397" s="1"/>
      <c r="AD1397" s="1">
        <f>IF($C1397="",0,SUMPRODUCT((AY_SONU!$O$7:$O$42="Evet")*(AY_SONU!$B$7:$B$42=DATE(YEAR($C1397),MONTH($C1397),1))))</f>
        <v>0</v>
      </c>
      <c r="AE1397" s="1" t="str">
        <f>IF($E1397="","",$E1397&amp;"|"&amp;COUNTIFS($E$7:$E1397,$E1397))</f>
        <v/>
      </c>
    </row>
    <row r="1398" spans="1:31" ht="18" customHeight="1" x14ac:dyDescent="0.3">
      <c r="A1398" s="2"/>
      <c r="B1398" s="65" t="str">
        <f>IF($C1398="","","GG"&amp;TEXT(ROW()-6,"00000"))</f>
        <v/>
      </c>
      <c r="C1398" s="66"/>
      <c r="D1398" s="60"/>
      <c r="E1398" s="61"/>
      <c r="F1398" s="61"/>
      <c r="G1398" s="67"/>
      <c r="H1398" s="60"/>
      <c r="I1398" s="60"/>
      <c r="J1398" s="61"/>
      <c r="K1398" s="61"/>
      <c r="L1398" s="60"/>
      <c r="M1398" s="74" t="str">
        <f>IF($C1398="","",IF($D1398="Gider",$E1398,IF($L1398&lt;&gt;"",$L1398,$H1398)))</f>
        <v/>
      </c>
      <c r="N1398" s="74" t="str">
        <f>IF($C1398="","",IF($D1398="Gider",$H1398,$E1398))</f>
        <v/>
      </c>
      <c r="O1398" s="73" t="str">
        <f>IF($C1398="","",DATE(YEAR($C1398),MONTH($C1398),1))</f>
        <v/>
      </c>
      <c r="P1398" s="65" t="str">
        <f ca="1">IF($C1398="","",IF(AND($D1398="Gelir",$L1398&lt;&gt;"",$T1398=""),"TANIMSIZ BORÇLU",IF($T1398&lt;&gt;"",IF(OR($E1398="",$G1398&lt;=0),"EKSİK",IF($I1398="Evet","TAHAKKUK NAKİT OLAMAZ",IF($C1398&gt;TODAY(),"İLERİ TARİH","TAHAKKUK"))),IF(AND($D1398&lt;&gt;"",$E1398&lt;&gt;"",$G1398&gt;0,$H1398&lt;&gt;"",$I1398&lt;&gt;""),IF($C1398&gt;TODAY(),"İLERİ TARİH",IF(COUNTIF($W$7:$W$3001,$W1398)&gt;1,"MÜKERRER?",IF($AD1398&gt;0,"KAPALI DÖNEM",IF($I1398="Hayır","ÖDENECEK","UYGUN")))),"EKSİK"))))</f>
        <v/>
      </c>
      <c r="Q1398" s="2"/>
      <c r="R1398" s="2"/>
      <c r="S1398" s="1" t="str">
        <f t="shared" si="65"/>
        <v/>
      </c>
      <c r="T1398" s="1" t="str">
        <f>IF(OR($C1398="",$D1398&lt;&gt;"Gelir",$L1398=""),"",IFERROR(INDEX(MUSTERILER!$B$7:$B$156,MATCH($S1398,MUSTERILER!$T$7:$T$156,0)),""))</f>
        <v/>
      </c>
      <c r="U1398" s="1" t="str">
        <f>IF($T1398="","",$T1398&amp;"|"&amp;COUNTIFS($T$7:$T1398,$T1398))</f>
        <v/>
      </c>
      <c r="V1398" s="1">
        <f t="shared" si="66"/>
        <v>0</v>
      </c>
      <c r="W1398" s="1" t="str">
        <f t="shared" si="67"/>
        <v/>
      </c>
      <c r="X1398" s="1"/>
      <c r="Y1398" s="1"/>
      <c r="Z1398" s="1"/>
      <c r="AA1398" s="1"/>
      <c r="AB1398" s="1"/>
      <c r="AC1398" s="1"/>
      <c r="AD1398" s="1">
        <f>IF($C1398="",0,SUMPRODUCT((AY_SONU!$O$7:$O$42="Evet")*(AY_SONU!$B$7:$B$42=DATE(YEAR($C1398),MONTH($C1398),1))))</f>
        <v>0</v>
      </c>
      <c r="AE1398" s="1" t="str">
        <f>IF($E1398="","",$E1398&amp;"|"&amp;COUNTIFS($E$7:$E1398,$E1398))</f>
        <v/>
      </c>
    </row>
    <row r="1399" spans="1:31" ht="18" customHeight="1" x14ac:dyDescent="0.3">
      <c r="A1399" s="2"/>
      <c r="B1399" s="65" t="str">
        <f>IF($C1399="","","GG"&amp;TEXT(ROW()-6,"00000"))</f>
        <v/>
      </c>
      <c r="C1399" s="66"/>
      <c r="D1399" s="60"/>
      <c r="E1399" s="61"/>
      <c r="F1399" s="61"/>
      <c r="G1399" s="67"/>
      <c r="H1399" s="60"/>
      <c r="I1399" s="60"/>
      <c r="J1399" s="61"/>
      <c r="K1399" s="61"/>
      <c r="L1399" s="60"/>
      <c r="M1399" s="74" t="str">
        <f>IF($C1399="","",IF($D1399="Gider",$E1399,IF($L1399&lt;&gt;"",$L1399,$H1399)))</f>
        <v/>
      </c>
      <c r="N1399" s="74" t="str">
        <f>IF($C1399="","",IF($D1399="Gider",$H1399,$E1399))</f>
        <v/>
      </c>
      <c r="O1399" s="73" t="str">
        <f>IF($C1399="","",DATE(YEAR($C1399),MONTH($C1399),1))</f>
        <v/>
      </c>
      <c r="P1399" s="65" t="str">
        <f ca="1">IF($C1399="","",IF(AND($D1399="Gelir",$L1399&lt;&gt;"",$T1399=""),"TANIMSIZ BORÇLU",IF($T1399&lt;&gt;"",IF(OR($E1399="",$G1399&lt;=0),"EKSİK",IF($I1399="Evet","TAHAKKUK NAKİT OLAMAZ",IF($C1399&gt;TODAY(),"İLERİ TARİH","TAHAKKUK"))),IF(AND($D1399&lt;&gt;"",$E1399&lt;&gt;"",$G1399&gt;0,$H1399&lt;&gt;"",$I1399&lt;&gt;""),IF($C1399&gt;TODAY(),"İLERİ TARİH",IF(COUNTIF($W$7:$W$3001,$W1399)&gt;1,"MÜKERRER?",IF($AD1399&gt;0,"KAPALI DÖNEM",IF($I1399="Hayır","ÖDENECEK","UYGUN")))),"EKSİK"))))</f>
        <v/>
      </c>
      <c r="Q1399" s="2"/>
      <c r="R1399" s="2"/>
      <c r="S1399" s="1" t="str">
        <f t="shared" si="65"/>
        <v/>
      </c>
      <c r="T1399" s="1" t="str">
        <f>IF(OR($C1399="",$D1399&lt;&gt;"Gelir",$L1399=""),"",IFERROR(INDEX(MUSTERILER!$B$7:$B$156,MATCH($S1399,MUSTERILER!$T$7:$T$156,0)),""))</f>
        <v/>
      </c>
      <c r="U1399" s="1" t="str">
        <f>IF($T1399="","",$T1399&amp;"|"&amp;COUNTIFS($T$7:$T1399,$T1399))</f>
        <v/>
      </c>
      <c r="V1399" s="1">
        <f t="shared" si="66"/>
        <v>0</v>
      </c>
      <c r="W1399" s="1" t="str">
        <f t="shared" si="67"/>
        <v/>
      </c>
      <c r="X1399" s="1"/>
      <c r="Y1399" s="1"/>
      <c r="Z1399" s="1"/>
      <c r="AA1399" s="1"/>
      <c r="AB1399" s="1"/>
      <c r="AC1399" s="1"/>
      <c r="AD1399" s="1">
        <f>IF($C1399="",0,SUMPRODUCT((AY_SONU!$O$7:$O$42="Evet")*(AY_SONU!$B$7:$B$42=DATE(YEAR($C1399),MONTH($C1399),1))))</f>
        <v>0</v>
      </c>
      <c r="AE1399" s="1" t="str">
        <f>IF($E1399="","",$E1399&amp;"|"&amp;COUNTIFS($E$7:$E1399,$E1399))</f>
        <v/>
      </c>
    </row>
    <row r="1400" spans="1:31" ht="18" customHeight="1" x14ac:dyDescent="0.3">
      <c r="A1400" s="2"/>
      <c r="B1400" s="65" t="str">
        <f>IF($C1400="","","GG"&amp;TEXT(ROW()-6,"00000"))</f>
        <v/>
      </c>
      <c r="C1400" s="66"/>
      <c r="D1400" s="60"/>
      <c r="E1400" s="61"/>
      <c r="F1400" s="61"/>
      <c r="G1400" s="67"/>
      <c r="H1400" s="60"/>
      <c r="I1400" s="60"/>
      <c r="J1400" s="61"/>
      <c r="K1400" s="61"/>
      <c r="L1400" s="60"/>
      <c r="M1400" s="74" t="str">
        <f>IF($C1400="","",IF($D1400="Gider",$E1400,IF($L1400&lt;&gt;"",$L1400,$H1400)))</f>
        <v/>
      </c>
      <c r="N1400" s="74" t="str">
        <f>IF($C1400="","",IF($D1400="Gider",$H1400,$E1400))</f>
        <v/>
      </c>
      <c r="O1400" s="73" t="str">
        <f>IF($C1400="","",DATE(YEAR($C1400),MONTH($C1400),1))</f>
        <v/>
      </c>
      <c r="P1400" s="65" t="str">
        <f ca="1">IF($C1400="","",IF(AND($D1400="Gelir",$L1400&lt;&gt;"",$T1400=""),"TANIMSIZ BORÇLU",IF($T1400&lt;&gt;"",IF(OR($E1400="",$G1400&lt;=0),"EKSİK",IF($I1400="Evet","TAHAKKUK NAKİT OLAMAZ",IF($C1400&gt;TODAY(),"İLERİ TARİH","TAHAKKUK"))),IF(AND($D1400&lt;&gt;"",$E1400&lt;&gt;"",$G1400&gt;0,$H1400&lt;&gt;"",$I1400&lt;&gt;""),IF($C1400&gt;TODAY(),"İLERİ TARİH",IF(COUNTIF($W$7:$W$3001,$W1400)&gt;1,"MÜKERRER?",IF($AD1400&gt;0,"KAPALI DÖNEM",IF($I1400="Hayır","ÖDENECEK","UYGUN")))),"EKSİK"))))</f>
        <v/>
      </c>
      <c r="Q1400" s="2"/>
      <c r="R1400" s="2"/>
      <c r="S1400" s="1" t="str">
        <f t="shared" si="65"/>
        <v/>
      </c>
      <c r="T1400" s="1" t="str">
        <f>IF(OR($C1400="",$D1400&lt;&gt;"Gelir",$L1400=""),"",IFERROR(INDEX(MUSTERILER!$B$7:$B$156,MATCH($S1400,MUSTERILER!$T$7:$T$156,0)),""))</f>
        <v/>
      </c>
      <c r="U1400" s="1" t="str">
        <f>IF($T1400="","",$T1400&amp;"|"&amp;COUNTIFS($T$7:$T1400,$T1400))</f>
        <v/>
      </c>
      <c r="V1400" s="1">
        <f t="shared" si="66"/>
        <v>0</v>
      </c>
      <c r="W1400" s="1" t="str">
        <f t="shared" si="67"/>
        <v/>
      </c>
      <c r="X1400" s="1"/>
      <c r="Y1400" s="1"/>
      <c r="Z1400" s="1"/>
      <c r="AA1400" s="1"/>
      <c r="AB1400" s="1"/>
      <c r="AC1400" s="1"/>
      <c r="AD1400" s="1">
        <f>IF($C1400="",0,SUMPRODUCT((AY_SONU!$O$7:$O$42="Evet")*(AY_SONU!$B$7:$B$42=DATE(YEAR($C1400),MONTH($C1400),1))))</f>
        <v>0</v>
      </c>
      <c r="AE1400" s="1" t="str">
        <f>IF($E1400="","",$E1400&amp;"|"&amp;COUNTIFS($E$7:$E1400,$E1400))</f>
        <v/>
      </c>
    </row>
    <row r="1401" spans="1:31" ht="18" customHeight="1" x14ac:dyDescent="0.3">
      <c r="A1401" s="2"/>
      <c r="B1401" s="65" t="str">
        <f>IF($C1401="","","GG"&amp;TEXT(ROW()-6,"00000"))</f>
        <v/>
      </c>
      <c r="C1401" s="66"/>
      <c r="D1401" s="60"/>
      <c r="E1401" s="61"/>
      <c r="F1401" s="61"/>
      <c r="G1401" s="67"/>
      <c r="H1401" s="60"/>
      <c r="I1401" s="60"/>
      <c r="J1401" s="61"/>
      <c r="K1401" s="61"/>
      <c r="L1401" s="60"/>
      <c r="M1401" s="74" t="str">
        <f>IF($C1401="","",IF($D1401="Gider",$E1401,IF($L1401&lt;&gt;"",$L1401,$H1401)))</f>
        <v/>
      </c>
      <c r="N1401" s="74" t="str">
        <f>IF($C1401="","",IF($D1401="Gider",$H1401,$E1401))</f>
        <v/>
      </c>
      <c r="O1401" s="73" t="str">
        <f>IF($C1401="","",DATE(YEAR($C1401),MONTH($C1401),1))</f>
        <v/>
      </c>
      <c r="P1401" s="65" t="str">
        <f ca="1">IF($C1401="","",IF(AND($D1401="Gelir",$L1401&lt;&gt;"",$T1401=""),"TANIMSIZ BORÇLU",IF($T1401&lt;&gt;"",IF(OR($E1401="",$G1401&lt;=0),"EKSİK",IF($I1401="Evet","TAHAKKUK NAKİT OLAMAZ",IF($C1401&gt;TODAY(),"İLERİ TARİH","TAHAKKUK"))),IF(AND($D1401&lt;&gt;"",$E1401&lt;&gt;"",$G1401&gt;0,$H1401&lt;&gt;"",$I1401&lt;&gt;""),IF($C1401&gt;TODAY(),"İLERİ TARİH",IF(COUNTIF($W$7:$W$3001,$W1401)&gt;1,"MÜKERRER?",IF($AD1401&gt;0,"KAPALI DÖNEM",IF($I1401="Hayır","ÖDENECEK","UYGUN")))),"EKSİK"))))</f>
        <v/>
      </c>
      <c r="Q1401" s="2"/>
      <c r="R1401" s="2"/>
      <c r="S1401" s="1" t="str">
        <f t="shared" si="65"/>
        <v/>
      </c>
      <c r="T1401" s="1" t="str">
        <f>IF(OR($C1401="",$D1401&lt;&gt;"Gelir",$L1401=""),"",IFERROR(INDEX(MUSTERILER!$B$7:$B$156,MATCH($S1401,MUSTERILER!$T$7:$T$156,0)),""))</f>
        <v/>
      </c>
      <c r="U1401" s="1" t="str">
        <f>IF($T1401="","",$T1401&amp;"|"&amp;COUNTIFS($T$7:$T1401,$T1401))</f>
        <v/>
      </c>
      <c r="V1401" s="1">
        <f t="shared" si="66"/>
        <v>0</v>
      </c>
      <c r="W1401" s="1" t="str">
        <f t="shared" si="67"/>
        <v/>
      </c>
      <c r="X1401" s="1"/>
      <c r="Y1401" s="1"/>
      <c r="Z1401" s="1"/>
      <c r="AA1401" s="1"/>
      <c r="AB1401" s="1"/>
      <c r="AC1401" s="1"/>
      <c r="AD1401" s="1">
        <f>IF($C1401="",0,SUMPRODUCT((AY_SONU!$O$7:$O$42="Evet")*(AY_SONU!$B$7:$B$42=DATE(YEAR($C1401),MONTH($C1401),1))))</f>
        <v>0</v>
      </c>
      <c r="AE1401" s="1" t="str">
        <f>IF($E1401="","",$E1401&amp;"|"&amp;COUNTIFS($E$7:$E1401,$E1401))</f>
        <v/>
      </c>
    </row>
    <row r="1402" spans="1:31" ht="18" customHeight="1" x14ac:dyDescent="0.3">
      <c r="A1402" s="2"/>
      <c r="B1402" s="65" t="str">
        <f>IF($C1402="","","GG"&amp;TEXT(ROW()-6,"00000"))</f>
        <v/>
      </c>
      <c r="C1402" s="66"/>
      <c r="D1402" s="60"/>
      <c r="E1402" s="61"/>
      <c r="F1402" s="61"/>
      <c r="G1402" s="67"/>
      <c r="H1402" s="60"/>
      <c r="I1402" s="60"/>
      <c r="J1402" s="61"/>
      <c r="K1402" s="61"/>
      <c r="L1402" s="60"/>
      <c r="M1402" s="74" t="str">
        <f>IF($C1402="","",IF($D1402="Gider",$E1402,IF($L1402&lt;&gt;"",$L1402,$H1402)))</f>
        <v/>
      </c>
      <c r="N1402" s="74" t="str">
        <f>IF($C1402="","",IF($D1402="Gider",$H1402,$E1402))</f>
        <v/>
      </c>
      <c r="O1402" s="73" t="str">
        <f>IF($C1402="","",DATE(YEAR($C1402),MONTH($C1402),1))</f>
        <v/>
      </c>
      <c r="P1402" s="65" t="str">
        <f ca="1">IF($C1402="","",IF(AND($D1402="Gelir",$L1402&lt;&gt;"",$T1402=""),"TANIMSIZ BORÇLU",IF($T1402&lt;&gt;"",IF(OR($E1402="",$G1402&lt;=0),"EKSİK",IF($I1402="Evet","TAHAKKUK NAKİT OLAMAZ",IF($C1402&gt;TODAY(),"İLERİ TARİH","TAHAKKUK"))),IF(AND($D1402&lt;&gt;"",$E1402&lt;&gt;"",$G1402&gt;0,$H1402&lt;&gt;"",$I1402&lt;&gt;""),IF($C1402&gt;TODAY(),"İLERİ TARİH",IF(COUNTIF($W$7:$W$3001,$W1402)&gt;1,"MÜKERRER?",IF($AD1402&gt;0,"KAPALI DÖNEM",IF($I1402="Hayır","ÖDENECEK","UYGUN")))),"EKSİK"))))</f>
        <v/>
      </c>
      <c r="Q1402" s="2"/>
      <c r="R1402" s="2"/>
      <c r="S1402" s="1" t="str">
        <f t="shared" si="65"/>
        <v/>
      </c>
      <c r="T1402" s="1" t="str">
        <f>IF(OR($C1402="",$D1402&lt;&gt;"Gelir",$L1402=""),"",IFERROR(INDEX(MUSTERILER!$B$7:$B$156,MATCH($S1402,MUSTERILER!$T$7:$T$156,0)),""))</f>
        <v/>
      </c>
      <c r="U1402" s="1" t="str">
        <f>IF($T1402="","",$T1402&amp;"|"&amp;COUNTIFS($T$7:$T1402,$T1402))</f>
        <v/>
      </c>
      <c r="V1402" s="1">
        <f t="shared" si="66"/>
        <v>0</v>
      </c>
      <c r="W1402" s="1" t="str">
        <f t="shared" si="67"/>
        <v/>
      </c>
      <c r="X1402" s="1"/>
      <c r="Y1402" s="1"/>
      <c r="Z1402" s="1"/>
      <c r="AA1402" s="1"/>
      <c r="AB1402" s="1"/>
      <c r="AC1402" s="1"/>
      <c r="AD1402" s="1">
        <f>IF($C1402="",0,SUMPRODUCT((AY_SONU!$O$7:$O$42="Evet")*(AY_SONU!$B$7:$B$42=DATE(YEAR($C1402),MONTH($C1402),1))))</f>
        <v>0</v>
      </c>
      <c r="AE1402" s="1" t="str">
        <f>IF($E1402="","",$E1402&amp;"|"&amp;COUNTIFS($E$7:$E1402,$E1402))</f>
        <v/>
      </c>
    </row>
    <row r="1403" spans="1:31" ht="18" customHeight="1" x14ac:dyDescent="0.3">
      <c r="A1403" s="2"/>
      <c r="B1403" s="65" t="str">
        <f>IF($C1403="","","GG"&amp;TEXT(ROW()-6,"00000"))</f>
        <v/>
      </c>
      <c r="C1403" s="66"/>
      <c r="D1403" s="60"/>
      <c r="E1403" s="61"/>
      <c r="F1403" s="61"/>
      <c r="G1403" s="67"/>
      <c r="H1403" s="60"/>
      <c r="I1403" s="60"/>
      <c r="J1403" s="61"/>
      <c r="K1403" s="61"/>
      <c r="L1403" s="60"/>
      <c r="M1403" s="74" t="str">
        <f>IF($C1403="","",IF($D1403="Gider",$E1403,IF($L1403&lt;&gt;"",$L1403,$H1403)))</f>
        <v/>
      </c>
      <c r="N1403" s="74" t="str">
        <f>IF($C1403="","",IF($D1403="Gider",$H1403,$E1403))</f>
        <v/>
      </c>
      <c r="O1403" s="73" t="str">
        <f>IF($C1403="","",DATE(YEAR($C1403),MONTH($C1403),1))</f>
        <v/>
      </c>
      <c r="P1403" s="65" t="str">
        <f ca="1">IF($C1403="","",IF(AND($D1403="Gelir",$L1403&lt;&gt;"",$T1403=""),"TANIMSIZ BORÇLU",IF($T1403&lt;&gt;"",IF(OR($E1403="",$G1403&lt;=0),"EKSİK",IF($I1403="Evet","TAHAKKUK NAKİT OLAMAZ",IF($C1403&gt;TODAY(),"İLERİ TARİH","TAHAKKUK"))),IF(AND($D1403&lt;&gt;"",$E1403&lt;&gt;"",$G1403&gt;0,$H1403&lt;&gt;"",$I1403&lt;&gt;""),IF($C1403&gt;TODAY(),"İLERİ TARİH",IF(COUNTIF($W$7:$W$3001,$W1403)&gt;1,"MÜKERRER?",IF($AD1403&gt;0,"KAPALI DÖNEM",IF($I1403="Hayır","ÖDENECEK","UYGUN")))),"EKSİK"))))</f>
        <v/>
      </c>
      <c r="Q1403" s="2"/>
      <c r="R1403" s="2"/>
      <c r="S1403" s="1" t="str">
        <f t="shared" si="65"/>
        <v/>
      </c>
      <c r="T1403" s="1" t="str">
        <f>IF(OR($C1403="",$D1403&lt;&gt;"Gelir",$L1403=""),"",IFERROR(INDEX(MUSTERILER!$B$7:$B$156,MATCH($S1403,MUSTERILER!$T$7:$T$156,0)),""))</f>
        <v/>
      </c>
      <c r="U1403" s="1" t="str">
        <f>IF($T1403="","",$T1403&amp;"|"&amp;COUNTIFS($T$7:$T1403,$T1403))</f>
        <v/>
      </c>
      <c r="V1403" s="1">
        <f t="shared" si="66"/>
        <v>0</v>
      </c>
      <c r="W1403" s="1" t="str">
        <f t="shared" si="67"/>
        <v/>
      </c>
      <c r="X1403" s="1"/>
      <c r="Y1403" s="1"/>
      <c r="Z1403" s="1"/>
      <c r="AA1403" s="1"/>
      <c r="AB1403" s="1"/>
      <c r="AC1403" s="1"/>
      <c r="AD1403" s="1">
        <f>IF($C1403="",0,SUMPRODUCT((AY_SONU!$O$7:$O$42="Evet")*(AY_SONU!$B$7:$B$42=DATE(YEAR($C1403),MONTH($C1403),1))))</f>
        <v>0</v>
      </c>
      <c r="AE1403" s="1" t="str">
        <f>IF($E1403="","",$E1403&amp;"|"&amp;COUNTIFS($E$7:$E1403,$E1403))</f>
        <v/>
      </c>
    </row>
    <row r="1404" spans="1:31" ht="18" customHeight="1" x14ac:dyDescent="0.3">
      <c r="A1404" s="2"/>
      <c r="B1404" s="65" t="str">
        <f>IF($C1404="","","GG"&amp;TEXT(ROW()-6,"00000"))</f>
        <v/>
      </c>
      <c r="C1404" s="66"/>
      <c r="D1404" s="60"/>
      <c r="E1404" s="61"/>
      <c r="F1404" s="61"/>
      <c r="G1404" s="67"/>
      <c r="H1404" s="60"/>
      <c r="I1404" s="60"/>
      <c r="J1404" s="61"/>
      <c r="K1404" s="61"/>
      <c r="L1404" s="60"/>
      <c r="M1404" s="74" t="str">
        <f>IF($C1404="","",IF($D1404="Gider",$E1404,IF($L1404&lt;&gt;"",$L1404,$H1404)))</f>
        <v/>
      </c>
      <c r="N1404" s="74" t="str">
        <f>IF($C1404="","",IF($D1404="Gider",$H1404,$E1404))</f>
        <v/>
      </c>
      <c r="O1404" s="73" t="str">
        <f>IF($C1404="","",DATE(YEAR($C1404),MONTH($C1404),1))</f>
        <v/>
      </c>
      <c r="P1404" s="65" t="str">
        <f ca="1">IF($C1404="","",IF(AND($D1404="Gelir",$L1404&lt;&gt;"",$T1404=""),"TANIMSIZ BORÇLU",IF($T1404&lt;&gt;"",IF(OR($E1404="",$G1404&lt;=0),"EKSİK",IF($I1404="Evet","TAHAKKUK NAKİT OLAMAZ",IF($C1404&gt;TODAY(),"İLERİ TARİH","TAHAKKUK"))),IF(AND($D1404&lt;&gt;"",$E1404&lt;&gt;"",$G1404&gt;0,$H1404&lt;&gt;"",$I1404&lt;&gt;""),IF($C1404&gt;TODAY(),"İLERİ TARİH",IF(COUNTIF($W$7:$W$3001,$W1404)&gt;1,"MÜKERRER?",IF($AD1404&gt;0,"KAPALI DÖNEM",IF($I1404="Hayır","ÖDENECEK","UYGUN")))),"EKSİK"))))</f>
        <v/>
      </c>
      <c r="Q1404" s="2"/>
      <c r="R1404" s="2"/>
      <c r="S1404" s="1" t="str">
        <f t="shared" si="65"/>
        <v/>
      </c>
      <c r="T1404" s="1" t="str">
        <f>IF(OR($C1404="",$D1404&lt;&gt;"Gelir",$L1404=""),"",IFERROR(INDEX(MUSTERILER!$B$7:$B$156,MATCH($S1404,MUSTERILER!$T$7:$T$156,0)),""))</f>
        <v/>
      </c>
      <c r="U1404" s="1" t="str">
        <f>IF($T1404="","",$T1404&amp;"|"&amp;COUNTIFS($T$7:$T1404,$T1404))</f>
        <v/>
      </c>
      <c r="V1404" s="1">
        <f t="shared" si="66"/>
        <v>0</v>
      </c>
      <c r="W1404" s="1" t="str">
        <f t="shared" si="67"/>
        <v/>
      </c>
      <c r="X1404" s="1"/>
      <c r="Y1404" s="1"/>
      <c r="Z1404" s="1"/>
      <c r="AA1404" s="1"/>
      <c r="AB1404" s="1"/>
      <c r="AC1404" s="1"/>
      <c r="AD1404" s="1">
        <f>IF($C1404="",0,SUMPRODUCT((AY_SONU!$O$7:$O$42="Evet")*(AY_SONU!$B$7:$B$42=DATE(YEAR($C1404),MONTH($C1404),1))))</f>
        <v>0</v>
      </c>
      <c r="AE1404" s="1" t="str">
        <f>IF($E1404="","",$E1404&amp;"|"&amp;COUNTIFS($E$7:$E1404,$E1404))</f>
        <v/>
      </c>
    </row>
    <row r="1405" spans="1:31" ht="18" customHeight="1" x14ac:dyDescent="0.3">
      <c r="A1405" s="2"/>
      <c r="B1405" s="65" t="str">
        <f>IF($C1405="","","GG"&amp;TEXT(ROW()-6,"00000"))</f>
        <v/>
      </c>
      <c r="C1405" s="66"/>
      <c r="D1405" s="60"/>
      <c r="E1405" s="61"/>
      <c r="F1405" s="61"/>
      <c r="G1405" s="67"/>
      <c r="H1405" s="60"/>
      <c r="I1405" s="60"/>
      <c r="J1405" s="61"/>
      <c r="K1405" s="61"/>
      <c r="L1405" s="60"/>
      <c r="M1405" s="74" t="str">
        <f>IF($C1405="","",IF($D1405="Gider",$E1405,IF($L1405&lt;&gt;"",$L1405,$H1405)))</f>
        <v/>
      </c>
      <c r="N1405" s="74" t="str">
        <f>IF($C1405="","",IF($D1405="Gider",$H1405,$E1405))</f>
        <v/>
      </c>
      <c r="O1405" s="73" t="str">
        <f>IF($C1405="","",DATE(YEAR($C1405),MONTH($C1405),1))</f>
        <v/>
      </c>
      <c r="P1405" s="65" t="str">
        <f ca="1">IF($C1405="","",IF(AND($D1405="Gelir",$L1405&lt;&gt;"",$T1405=""),"TANIMSIZ BORÇLU",IF($T1405&lt;&gt;"",IF(OR($E1405="",$G1405&lt;=0),"EKSİK",IF($I1405="Evet","TAHAKKUK NAKİT OLAMAZ",IF($C1405&gt;TODAY(),"İLERİ TARİH","TAHAKKUK"))),IF(AND($D1405&lt;&gt;"",$E1405&lt;&gt;"",$G1405&gt;0,$H1405&lt;&gt;"",$I1405&lt;&gt;""),IF($C1405&gt;TODAY(),"İLERİ TARİH",IF(COUNTIF($W$7:$W$3001,$W1405)&gt;1,"MÜKERRER?",IF($AD1405&gt;0,"KAPALI DÖNEM",IF($I1405="Hayır","ÖDENECEK","UYGUN")))),"EKSİK"))))</f>
        <v/>
      </c>
      <c r="Q1405" s="2"/>
      <c r="R1405" s="2"/>
      <c r="S1405" s="1" t="str">
        <f t="shared" si="65"/>
        <v/>
      </c>
      <c r="T1405" s="1" t="str">
        <f>IF(OR($C1405="",$D1405&lt;&gt;"Gelir",$L1405=""),"",IFERROR(INDEX(MUSTERILER!$B$7:$B$156,MATCH($S1405,MUSTERILER!$T$7:$T$156,0)),""))</f>
        <v/>
      </c>
      <c r="U1405" s="1" t="str">
        <f>IF($T1405="","",$T1405&amp;"|"&amp;COUNTIFS($T$7:$T1405,$T1405))</f>
        <v/>
      </c>
      <c r="V1405" s="1">
        <f t="shared" si="66"/>
        <v>0</v>
      </c>
      <c r="W1405" s="1" t="str">
        <f t="shared" si="67"/>
        <v/>
      </c>
      <c r="X1405" s="1"/>
      <c r="Y1405" s="1"/>
      <c r="Z1405" s="1"/>
      <c r="AA1405" s="1"/>
      <c r="AB1405" s="1"/>
      <c r="AC1405" s="1"/>
      <c r="AD1405" s="1">
        <f>IF($C1405="",0,SUMPRODUCT((AY_SONU!$O$7:$O$42="Evet")*(AY_SONU!$B$7:$B$42=DATE(YEAR($C1405),MONTH($C1405),1))))</f>
        <v>0</v>
      </c>
      <c r="AE1405" s="1" t="str">
        <f>IF($E1405="","",$E1405&amp;"|"&amp;COUNTIFS($E$7:$E1405,$E1405))</f>
        <v/>
      </c>
    </row>
    <row r="1406" spans="1:31" ht="18" customHeight="1" x14ac:dyDescent="0.3">
      <c r="A1406" s="2"/>
      <c r="B1406" s="65" t="str">
        <f>IF($C1406="","","GG"&amp;TEXT(ROW()-6,"00000"))</f>
        <v/>
      </c>
      <c r="C1406" s="66"/>
      <c r="D1406" s="60"/>
      <c r="E1406" s="61"/>
      <c r="F1406" s="61"/>
      <c r="G1406" s="67"/>
      <c r="H1406" s="60"/>
      <c r="I1406" s="60"/>
      <c r="J1406" s="61"/>
      <c r="K1406" s="61"/>
      <c r="L1406" s="60"/>
      <c r="M1406" s="74" t="str">
        <f>IF($C1406="","",IF($D1406="Gider",$E1406,IF($L1406&lt;&gt;"",$L1406,$H1406)))</f>
        <v/>
      </c>
      <c r="N1406" s="74" t="str">
        <f>IF($C1406="","",IF($D1406="Gider",$H1406,$E1406))</f>
        <v/>
      </c>
      <c r="O1406" s="73" t="str">
        <f>IF($C1406="","",DATE(YEAR($C1406),MONTH($C1406),1))</f>
        <v/>
      </c>
      <c r="P1406" s="65" t="str">
        <f ca="1">IF($C1406="","",IF(AND($D1406="Gelir",$L1406&lt;&gt;"",$T1406=""),"TANIMSIZ BORÇLU",IF($T1406&lt;&gt;"",IF(OR($E1406="",$G1406&lt;=0),"EKSİK",IF($I1406="Evet","TAHAKKUK NAKİT OLAMAZ",IF($C1406&gt;TODAY(),"İLERİ TARİH","TAHAKKUK"))),IF(AND($D1406&lt;&gt;"",$E1406&lt;&gt;"",$G1406&gt;0,$H1406&lt;&gt;"",$I1406&lt;&gt;""),IF($C1406&gt;TODAY(),"İLERİ TARİH",IF(COUNTIF($W$7:$W$3001,$W1406)&gt;1,"MÜKERRER?",IF($AD1406&gt;0,"KAPALI DÖNEM",IF($I1406="Hayır","ÖDENECEK","UYGUN")))),"EKSİK"))))</f>
        <v/>
      </c>
      <c r="Q1406" s="2"/>
      <c r="R1406" s="2"/>
      <c r="S1406" s="1" t="str">
        <f t="shared" si="65"/>
        <v/>
      </c>
      <c r="T1406" s="1" t="str">
        <f>IF(OR($C1406="",$D1406&lt;&gt;"Gelir",$L1406=""),"",IFERROR(INDEX(MUSTERILER!$B$7:$B$156,MATCH($S1406,MUSTERILER!$T$7:$T$156,0)),""))</f>
        <v/>
      </c>
      <c r="U1406" s="1" t="str">
        <f>IF($T1406="","",$T1406&amp;"|"&amp;COUNTIFS($T$7:$T1406,$T1406))</f>
        <v/>
      </c>
      <c r="V1406" s="1">
        <f t="shared" si="66"/>
        <v>0</v>
      </c>
      <c r="W1406" s="1" t="str">
        <f t="shared" si="67"/>
        <v/>
      </c>
      <c r="X1406" s="1"/>
      <c r="Y1406" s="1"/>
      <c r="Z1406" s="1"/>
      <c r="AA1406" s="1"/>
      <c r="AB1406" s="1"/>
      <c r="AC1406" s="1"/>
      <c r="AD1406" s="1">
        <f>IF($C1406="",0,SUMPRODUCT((AY_SONU!$O$7:$O$42="Evet")*(AY_SONU!$B$7:$B$42=DATE(YEAR($C1406),MONTH($C1406),1))))</f>
        <v>0</v>
      </c>
      <c r="AE1406" s="1" t="str">
        <f>IF($E1406="","",$E1406&amp;"|"&amp;COUNTIFS($E$7:$E1406,$E1406))</f>
        <v/>
      </c>
    </row>
    <row r="1407" spans="1:31" ht="18" customHeight="1" x14ac:dyDescent="0.3">
      <c r="A1407" s="2"/>
      <c r="B1407" s="65" t="str">
        <f>IF($C1407="","","GG"&amp;TEXT(ROW()-6,"00000"))</f>
        <v/>
      </c>
      <c r="C1407" s="66"/>
      <c r="D1407" s="60"/>
      <c r="E1407" s="61"/>
      <c r="F1407" s="61"/>
      <c r="G1407" s="67"/>
      <c r="H1407" s="60"/>
      <c r="I1407" s="60"/>
      <c r="J1407" s="61"/>
      <c r="K1407" s="61"/>
      <c r="L1407" s="60"/>
      <c r="M1407" s="74" t="str">
        <f>IF($C1407="","",IF($D1407="Gider",$E1407,IF($L1407&lt;&gt;"",$L1407,$H1407)))</f>
        <v/>
      </c>
      <c r="N1407" s="74" t="str">
        <f>IF($C1407="","",IF($D1407="Gider",$H1407,$E1407))</f>
        <v/>
      </c>
      <c r="O1407" s="73" t="str">
        <f>IF($C1407="","",DATE(YEAR($C1407),MONTH($C1407),1))</f>
        <v/>
      </c>
      <c r="P1407" s="65" t="str">
        <f ca="1">IF($C1407="","",IF(AND($D1407="Gelir",$L1407&lt;&gt;"",$T1407=""),"TANIMSIZ BORÇLU",IF($T1407&lt;&gt;"",IF(OR($E1407="",$G1407&lt;=0),"EKSİK",IF($I1407="Evet","TAHAKKUK NAKİT OLAMAZ",IF($C1407&gt;TODAY(),"İLERİ TARİH","TAHAKKUK"))),IF(AND($D1407&lt;&gt;"",$E1407&lt;&gt;"",$G1407&gt;0,$H1407&lt;&gt;"",$I1407&lt;&gt;""),IF($C1407&gt;TODAY(),"İLERİ TARİH",IF(COUNTIF($W$7:$W$3001,$W1407)&gt;1,"MÜKERRER?",IF($AD1407&gt;0,"KAPALI DÖNEM",IF($I1407="Hayır","ÖDENECEK","UYGUN")))),"EKSİK"))))</f>
        <v/>
      </c>
      <c r="Q1407" s="2"/>
      <c r="R1407" s="2"/>
      <c r="S1407" s="1" t="str">
        <f t="shared" si="65"/>
        <v/>
      </c>
      <c r="T1407" s="1" t="str">
        <f>IF(OR($C1407="",$D1407&lt;&gt;"Gelir",$L1407=""),"",IFERROR(INDEX(MUSTERILER!$B$7:$B$156,MATCH($S1407,MUSTERILER!$T$7:$T$156,0)),""))</f>
        <v/>
      </c>
      <c r="U1407" s="1" t="str">
        <f>IF($T1407="","",$T1407&amp;"|"&amp;COUNTIFS($T$7:$T1407,$T1407))</f>
        <v/>
      </c>
      <c r="V1407" s="1">
        <f t="shared" si="66"/>
        <v>0</v>
      </c>
      <c r="W1407" s="1" t="str">
        <f t="shared" si="67"/>
        <v/>
      </c>
      <c r="X1407" s="1"/>
      <c r="Y1407" s="1"/>
      <c r="Z1407" s="1"/>
      <c r="AA1407" s="1"/>
      <c r="AB1407" s="1"/>
      <c r="AC1407" s="1"/>
      <c r="AD1407" s="1">
        <f>IF($C1407="",0,SUMPRODUCT((AY_SONU!$O$7:$O$42="Evet")*(AY_SONU!$B$7:$B$42=DATE(YEAR($C1407),MONTH($C1407),1))))</f>
        <v>0</v>
      </c>
      <c r="AE1407" s="1" t="str">
        <f>IF($E1407="","",$E1407&amp;"|"&amp;COUNTIFS($E$7:$E1407,$E1407))</f>
        <v/>
      </c>
    </row>
    <row r="1408" spans="1:31" ht="18" customHeight="1" x14ac:dyDescent="0.3">
      <c r="A1408" s="2"/>
      <c r="B1408" s="65" t="str">
        <f>IF($C1408="","","GG"&amp;TEXT(ROW()-6,"00000"))</f>
        <v/>
      </c>
      <c r="C1408" s="66"/>
      <c r="D1408" s="60"/>
      <c r="E1408" s="61"/>
      <c r="F1408" s="61"/>
      <c r="G1408" s="67"/>
      <c r="H1408" s="60"/>
      <c r="I1408" s="60"/>
      <c r="J1408" s="61"/>
      <c r="K1408" s="61"/>
      <c r="L1408" s="60"/>
      <c r="M1408" s="74" t="str">
        <f>IF($C1408="","",IF($D1408="Gider",$E1408,IF($L1408&lt;&gt;"",$L1408,$H1408)))</f>
        <v/>
      </c>
      <c r="N1408" s="74" t="str">
        <f>IF($C1408="","",IF($D1408="Gider",$H1408,$E1408))</f>
        <v/>
      </c>
      <c r="O1408" s="73" t="str">
        <f>IF($C1408="","",DATE(YEAR($C1408),MONTH($C1408),1))</f>
        <v/>
      </c>
      <c r="P1408" s="65" t="str">
        <f ca="1">IF($C1408="","",IF(AND($D1408="Gelir",$L1408&lt;&gt;"",$T1408=""),"TANIMSIZ BORÇLU",IF($T1408&lt;&gt;"",IF(OR($E1408="",$G1408&lt;=0),"EKSİK",IF($I1408="Evet","TAHAKKUK NAKİT OLAMAZ",IF($C1408&gt;TODAY(),"İLERİ TARİH","TAHAKKUK"))),IF(AND($D1408&lt;&gt;"",$E1408&lt;&gt;"",$G1408&gt;0,$H1408&lt;&gt;"",$I1408&lt;&gt;""),IF($C1408&gt;TODAY(),"İLERİ TARİH",IF(COUNTIF($W$7:$W$3001,$W1408)&gt;1,"MÜKERRER?",IF($AD1408&gt;0,"KAPALI DÖNEM",IF($I1408="Hayır","ÖDENECEK","UYGUN")))),"EKSİK"))))</f>
        <v/>
      </c>
      <c r="Q1408" s="2"/>
      <c r="R1408" s="2"/>
      <c r="S1408" s="1" t="str">
        <f t="shared" si="65"/>
        <v/>
      </c>
      <c r="T1408" s="1" t="str">
        <f>IF(OR($C1408="",$D1408&lt;&gt;"Gelir",$L1408=""),"",IFERROR(INDEX(MUSTERILER!$B$7:$B$156,MATCH($S1408,MUSTERILER!$T$7:$T$156,0)),""))</f>
        <v/>
      </c>
      <c r="U1408" s="1" t="str">
        <f>IF($T1408="","",$T1408&amp;"|"&amp;COUNTIFS($T$7:$T1408,$T1408))</f>
        <v/>
      </c>
      <c r="V1408" s="1">
        <f t="shared" si="66"/>
        <v>0</v>
      </c>
      <c r="W1408" s="1" t="str">
        <f t="shared" si="67"/>
        <v/>
      </c>
      <c r="X1408" s="1"/>
      <c r="Y1408" s="1"/>
      <c r="Z1408" s="1"/>
      <c r="AA1408" s="1"/>
      <c r="AB1408" s="1"/>
      <c r="AC1408" s="1"/>
      <c r="AD1408" s="1">
        <f>IF($C1408="",0,SUMPRODUCT((AY_SONU!$O$7:$O$42="Evet")*(AY_SONU!$B$7:$B$42=DATE(YEAR($C1408),MONTH($C1408),1))))</f>
        <v>0</v>
      </c>
      <c r="AE1408" s="1" t="str">
        <f>IF($E1408="","",$E1408&amp;"|"&amp;COUNTIFS($E$7:$E1408,$E1408))</f>
        <v/>
      </c>
    </row>
    <row r="1409" spans="1:31" ht="18" customHeight="1" x14ac:dyDescent="0.3">
      <c r="A1409" s="2"/>
      <c r="B1409" s="65" t="str">
        <f>IF($C1409="","","GG"&amp;TEXT(ROW()-6,"00000"))</f>
        <v/>
      </c>
      <c r="C1409" s="66"/>
      <c r="D1409" s="60"/>
      <c r="E1409" s="61"/>
      <c r="F1409" s="61"/>
      <c r="G1409" s="67"/>
      <c r="H1409" s="60"/>
      <c r="I1409" s="60"/>
      <c r="J1409" s="61"/>
      <c r="K1409" s="61"/>
      <c r="L1409" s="60"/>
      <c r="M1409" s="74" t="str">
        <f>IF($C1409="","",IF($D1409="Gider",$E1409,IF($L1409&lt;&gt;"",$L1409,$H1409)))</f>
        <v/>
      </c>
      <c r="N1409" s="74" t="str">
        <f>IF($C1409="","",IF($D1409="Gider",$H1409,$E1409))</f>
        <v/>
      </c>
      <c r="O1409" s="73" t="str">
        <f>IF($C1409="","",DATE(YEAR($C1409),MONTH($C1409),1))</f>
        <v/>
      </c>
      <c r="P1409" s="65" t="str">
        <f ca="1">IF($C1409="","",IF(AND($D1409="Gelir",$L1409&lt;&gt;"",$T1409=""),"TANIMSIZ BORÇLU",IF($T1409&lt;&gt;"",IF(OR($E1409="",$G1409&lt;=0),"EKSİK",IF($I1409="Evet","TAHAKKUK NAKİT OLAMAZ",IF($C1409&gt;TODAY(),"İLERİ TARİH","TAHAKKUK"))),IF(AND($D1409&lt;&gt;"",$E1409&lt;&gt;"",$G1409&gt;0,$H1409&lt;&gt;"",$I1409&lt;&gt;""),IF($C1409&gt;TODAY(),"İLERİ TARİH",IF(COUNTIF($W$7:$W$3001,$W1409)&gt;1,"MÜKERRER?",IF($AD1409&gt;0,"KAPALI DÖNEM",IF($I1409="Hayır","ÖDENECEK","UYGUN")))),"EKSİK"))))</f>
        <v/>
      </c>
      <c r="Q1409" s="2"/>
      <c r="R1409" s="2"/>
      <c r="S1409" s="1" t="str">
        <f t="shared" si="65"/>
        <v/>
      </c>
      <c r="T1409" s="1" t="str">
        <f>IF(OR($C1409="",$D1409&lt;&gt;"Gelir",$L1409=""),"",IFERROR(INDEX(MUSTERILER!$B$7:$B$156,MATCH($S1409,MUSTERILER!$T$7:$T$156,0)),""))</f>
        <v/>
      </c>
      <c r="U1409" s="1" t="str">
        <f>IF($T1409="","",$T1409&amp;"|"&amp;COUNTIFS($T$7:$T1409,$T1409))</f>
        <v/>
      </c>
      <c r="V1409" s="1">
        <f t="shared" si="66"/>
        <v>0</v>
      </c>
      <c r="W1409" s="1" t="str">
        <f t="shared" si="67"/>
        <v/>
      </c>
      <c r="X1409" s="1"/>
      <c r="Y1409" s="1"/>
      <c r="Z1409" s="1"/>
      <c r="AA1409" s="1"/>
      <c r="AB1409" s="1"/>
      <c r="AC1409" s="1"/>
      <c r="AD1409" s="1">
        <f>IF($C1409="",0,SUMPRODUCT((AY_SONU!$O$7:$O$42="Evet")*(AY_SONU!$B$7:$B$42=DATE(YEAR($C1409),MONTH($C1409),1))))</f>
        <v>0</v>
      </c>
      <c r="AE1409" s="1" t="str">
        <f>IF($E1409="","",$E1409&amp;"|"&amp;COUNTIFS($E$7:$E1409,$E1409))</f>
        <v/>
      </c>
    </row>
    <row r="1410" spans="1:31" ht="18" customHeight="1" x14ac:dyDescent="0.3">
      <c r="A1410" s="2"/>
      <c r="B1410" s="65" t="str">
        <f>IF($C1410="","","GG"&amp;TEXT(ROW()-6,"00000"))</f>
        <v/>
      </c>
      <c r="C1410" s="66"/>
      <c r="D1410" s="60"/>
      <c r="E1410" s="61"/>
      <c r="F1410" s="61"/>
      <c r="G1410" s="67"/>
      <c r="H1410" s="60"/>
      <c r="I1410" s="60"/>
      <c r="J1410" s="61"/>
      <c r="K1410" s="61"/>
      <c r="L1410" s="60"/>
      <c r="M1410" s="74" t="str">
        <f>IF($C1410="","",IF($D1410="Gider",$E1410,IF($L1410&lt;&gt;"",$L1410,$H1410)))</f>
        <v/>
      </c>
      <c r="N1410" s="74" t="str">
        <f>IF($C1410="","",IF($D1410="Gider",$H1410,$E1410))</f>
        <v/>
      </c>
      <c r="O1410" s="73" t="str">
        <f>IF($C1410="","",DATE(YEAR($C1410),MONTH($C1410),1))</f>
        <v/>
      </c>
      <c r="P1410" s="65" t="str">
        <f ca="1">IF($C1410="","",IF(AND($D1410="Gelir",$L1410&lt;&gt;"",$T1410=""),"TANIMSIZ BORÇLU",IF($T1410&lt;&gt;"",IF(OR($E1410="",$G1410&lt;=0),"EKSİK",IF($I1410="Evet","TAHAKKUK NAKİT OLAMAZ",IF($C1410&gt;TODAY(),"İLERİ TARİH","TAHAKKUK"))),IF(AND($D1410&lt;&gt;"",$E1410&lt;&gt;"",$G1410&gt;0,$H1410&lt;&gt;"",$I1410&lt;&gt;""),IF($C1410&gt;TODAY(),"İLERİ TARİH",IF(COUNTIF($W$7:$W$3001,$W1410)&gt;1,"MÜKERRER?",IF($AD1410&gt;0,"KAPALI DÖNEM",IF($I1410="Hayır","ÖDENECEK","UYGUN")))),"EKSİK"))))</f>
        <v/>
      </c>
      <c r="Q1410" s="2"/>
      <c r="R1410" s="2"/>
      <c r="S1410" s="1" t="str">
        <f t="shared" si="65"/>
        <v/>
      </c>
      <c r="T1410" s="1" t="str">
        <f>IF(OR($C1410="",$D1410&lt;&gt;"Gelir",$L1410=""),"",IFERROR(INDEX(MUSTERILER!$B$7:$B$156,MATCH($S1410,MUSTERILER!$T$7:$T$156,0)),""))</f>
        <v/>
      </c>
      <c r="U1410" s="1" t="str">
        <f>IF($T1410="","",$T1410&amp;"|"&amp;COUNTIFS($T$7:$T1410,$T1410))</f>
        <v/>
      </c>
      <c r="V1410" s="1">
        <f t="shared" si="66"/>
        <v>0</v>
      </c>
      <c r="W1410" s="1" t="str">
        <f t="shared" si="67"/>
        <v/>
      </c>
      <c r="X1410" s="1"/>
      <c r="Y1410" s="1"/>
      <c r="Z1410" s="1"/>
      <c r="AA1410" s="1"/>
      <c r="AB1410" s="1"/>
      <c r="AC1410" s="1"/>
      <c r="AD1410" s="1">
        <f>IF($C1410="",0,SUMPRODUCT((AY_SONU!$O$7:$O$42="Evet")*(AY_SONU!$B$7:$B$42=DATE(YEAR($C1410),MONTH($C1410),1))))</f>
        <v>0</v>
      </c>
      <c r="AE1410" s="1" t="str">
        <f>IF($E1410="","",$E1410&amp;"|"&amp;COUNTIFS($E$7:$E1410,$E1410))</f>
        <v/>
      </c>
    </row>
    <row r="1411" spans="1:31" ht="18" customHeight="1" x14ac:dyDescent="0.3">
      <c r="A1411" s="2"/>
      <c r="B1411" s="65" t="str">
        <f>IF($C1411="","","GG"&amp;TEXT(ROW()-6,"00000"))</f>
        <v/>
      </c>
      <c r="C1411" s="66"/>
      <c r="D1411" s="60"/>
      <c r="E1411" s="61"/>
      <c r="F1411" s="61"/>
      <c r="G1411" s="67"/>
      <c r="H1411" s="60"/>
      <c r="I1411" s="60"/>
      <c r="J1411" s="61"/>
      <c r="K1411" s="61"/>
      <c r="L1411" s="60"/>
      <c r="M1411" s="74" t="str">
        <f>IF($C1411="","",IF($D1411="Gider",$E1411,IF($L1411&lt;&gt;"",$L1411,$H1411)))</f>
        <v/>
      </c>
      <c r="N1411" s="74" t="str">
        <f>IF($C1411="","",IF($D1411="Gider",$H1411,$E1411))</f>
        <v/>
      </c>
      <c r="O1411" s="73" t="str">
        <f>IF($C1411="","",DATE(YEAR($C1411),MONTH($C1411),1))</f>
        <v/>
      </c>
      <c r="P1411" s="65" t="str">
        <f ca="1">IF($C1411="","",IF(AND($D1411="Gelir",$L1411&lt;&gt;"",$T1411=""),"TANIMSIZ BORÇLU",IF($T1411&lt;&gt;"",IF(OR($E1411="",$G1411&lt;=0),"EKSİK",IF($I1411="Evet","TAHAKKUK NAKİT OLAMAZ",IF($C1411&gt;TODAY(),"İLERİ TARİH","TAHAKKUK"))),IF(AND($D1411&lt;&gt;"",$E1411&lt;&gt;"",$G1411&gt;0,$H1411&lt;&gt;"",$I1411&lt;&gt;""),IF($C1411&gt;TODAY(),"İLERİ TARİH",IF(COUNTIF($W$7:$W$3001,$W1411)&gt;1,"MÜKERRER?",IF($AD1411&gt;0,"KAPALI DÖNEM",IF($I1411="Hayır","ÖDENECEK","UYGUN")))),"EKSİK"))))</f>
        <v/>
      </c>
      <c r="Q1411" s="2"/>
      <c r="R1411" s="2"/>
      <c r="S1411" s="1" t="str">
        <f t="shared" si="65"/>
        <v/>
      </c>
      <c r="T1411" s="1" t="str">
        <f>IF(OR($C1411="",$D1411&lt;&gt;"Gelir",$L1411=""),"",IFERROR(INDEX(MUSTERILER!$B$7:$B$156,MATCH($S1411,MUSTERILER!$T$7:$T$156,0)),""))</f>
        <v/>
      </c>
      <c r="U1411" s="1" t="str">
        <f>IF($T1411="","",$T1411&amp;"|"&amp;COUNTIFS($T$7:$T1411,$T1411))</f>
        <v/>
      </c>
      <c r="V1411" s="1">
        <f t="shared" si="66"/>
        <v>0</v>
      </c>
      <c r="W1411" s="1" t="str">
        <f t="shared" si="67"/>
        <v/>
      </c>
      <c r="X1411" s="1"/>
      <c r="Y1411" s="1"/>
      <c r="Z1411" s="1"/>
      <c r="AA1411" s="1"/>
      <c r="AB1411" s="1"/>
      <c r="AC1411" s="1"/>
      <c r="AD1411" s="1">
        <f>IF($C1411="",0,SUMPRODUCT((AY_SONU!$O$7:$O$42="Evet")*(AY_SONU!$B$7:$B$42=DATE(YEAR($C1411),MONTH($C1411),1))))</f>
        <v>0</v>
      </c>
      <c r="AE1411" s="1" t="str">
        <f>IF($E1411="","",$E1411&amp;"|"&amp;COUNTIFS($E$7:$E1411,$E1411))</f>
        <v/>
      </c>
    </row>
    <row r="1412" spans="1:31" ht="18" customHeight="1" x14ac:dyDescent="0.3">
      <c r="A1412" s="2"/>
      <c r="B1412" s="65" t="str">
        <f>IF($C1412="","","GG"&amp;TEXT(ROW()-6,"00000"))</f>
        <v/>
      </c>
      <c r="C1412" s="66"/>
      <c r="D1412" s="60"/>
      <c r="E1412" s="61"/>
      <c r="F1412" s="61"/>
      <c r="G1412" s="67"/>
      <c r="H1412" s="60"/>
      <c r="I1412" s="60"/>
      <c r="J1412" s="61"/>
      <c r="K1412" s="61"/>
      <c r="L1412" s="60"/>
      <c r="M1412" s="74" t="str">
        <f>IF($C1412="","",IF($D1412="Gider",$E1412,IF($L1412&lt;&gt;"",$L1412,$H1412)))</f>
        <v/>
      </c>
      <c r="N1412" s="74" t="str">
        <f>IF($C1412="","",IF($D1412="Gider",$H1412,$E1412))</f>
        <v/>
      </c>
      <c r="O1412" s="73" t="str">
        <f>IF($C1412="","",DATE(YEAR($C1412),MONTH($C1412),1))</f>
        <v/>
      </c>
      <c r="P1412" s="65" t="str">
        <f ca="1">IF($C1412="","",IF(AND($D1412="Gelir",$L1412&lt;&gt;"",$T1412=""),"TANIMSIZ BORÇLU",IF($T1412&lt;&gt;"",IF(OR($E1412="",$G1412&lt;=0),"EKSİK",IF($I1412="Evet","TAHAKKUK NAKİT OLAMAZ",IF($C1412&gt;TODAY(),"İLERİ TARİH","TAHAKKUK"))),IF(AND($D1412&lt;&gt;"",$E1412&lt;&gt;"",$G1412&gt;0,$H1412&lt;&gt;"",$I1412&lt;&gt;""),IF($C1412&gt;TODAY(),"İLERİ TARİH",IF(COUNTIF($W$7:$W$3001,$W1412)&gt;1,"MÜKERRER?",IF($AD1412&gt;0,"KAPALI DÖNEM",IF($I1412="Hayır","ÖDENECEK","UYGUN")))),"EKSİK"))))</f>
        <v/>
      </c>
      <c r="Q1412" s="2"/>
      <c r="R1412" s="2"/>
      <c r="S1412" s="1" t="str">
        <f t="shared" si="65"/>
        <v/>
      </c>
      <c r="T1412" s="1" t="str">
        <f>IF(OR($C1412="",$D1412&lt;&gt;"Gelir",$L1412=""),"",IFERROR(INDEX(MUSTERILER!$B$7:$B$156,MATCH($S1412,MUSTERILER!$T$7:$T$156,0)),""))</f>
        <v/>
      </c>
      <c r="U1412" s="1" t="str">
        <f>IF($T1412="","",$T1412&amp;"|"&amp;COUNTIFS($T$7:$T1412,$T1412))</f>
        <v/>
      </c>
      <c r="V1412" s="1">
        <f t="shared" si="66"/>
        <v>0</v>
      </c>
      <c r="W1412" s="1" t="str">
        <f t="shared" si="67"/>
        <v/>
      </c>
      <c r="X1412" s="1"/>
      <c r="Y1412" s="1"/>
      <c r="Z1412" s="1"/>
      <c r="AA1412" s="1"/>
      <c r="AB1412" s="1"/>
      <c r="AC1412" s="1"/>
      <c r="AD1412" s="1">
        <f>IF($C1412="",0,SUMPRODUCT((AY_SONU!$O$7:$O$42="Evet")*(AY_SONU!$B$7:$B$42=DATE(YEAR($C1412),MONTH($C1412),1))))</f>
        <v>0</v>
      </c>
      <c r="AE1412" s="1" t="str">
        <f>IF($E1412="","",$E1412&amp;"|"&amp;COUNTIFS($E$7:$E1412,$E1412))</f>
        <v/>
      </c>
    </row>
    <row r="1413" spans="1:31" ht="18" customHeight="1" x14ac:dyDescent="0.3">
      <c r="A1413" s="2"/>
      <c r="B1413" s="65" t="str">
        <f>IF($C1413="","","GG"&amp;TEXT(ROW()-6,"00000"))</f>
        <v/>
      </c>
      <c r="C1413" s="66"/>
      <c r="D1413" s="60"/>
      <c r="E1413" s="61"/>
      <c r="F1413" s="61"/>
      <c r="G1413" s="67"/>
      <c r="H1413" s="60"/>
      <c r="I1413" s="60"/>
      <c r="J1413" s="61"/>
      <c r="K1413" s="61"/>
      <c r="L1413" s="60"/>
      <c r="M1413" s="74" t="str">
        <f>IF($C1413="","",IF($D1413="Gider",$E1413,IF($L1413&lt;&gt;"",$L1413,$H1413)))</f>
        <v/>
      </c>
      <c r="N1413" s="74" t="str">
        <f>IF($C1413="","",IF($D1413="Gider",$H1413,$E1413))</f>
        <v/>
      </c>
      <c r="O1413" s="73" t="str">
        <f>IF($C1413="","",DATE(YEAR($C1413),MONTH($C1413),1))</f>
        <v/>
      </c>
      <c r="P1413" s="65" t="str">
        <f ca="1">IF($C1413="","",IF(AND($D1413="Gelir",$L1413&lt;&gt;"",$T1413=""),"TANIMSIZ BORÇLU",IF($T1413&lt;&gt;"",IF(OR($E1413="",$G1413&lt;=0),"EKSİK",IF($I1413="Evet","TAHAKKUK NAKİT OLAMAZ",IF($C1413&gt;TODAY(),"İLERİ TARİH","TAHAKKUK"))),IF(AND($D1413&lt;&gt;"",$E1413&lt;&gt;"",$G1413&gt;0,$H1413&lt;&gt;"",$I1413&lt;&gt;""),IF($C1413&gt;TODAY(),"İLERİ TARİH",IF(COUNTIF($W$7:$W$3001,$W1413)&gt;1,"MÜKERRER?",IF($AD1413&gt;0,"KAPALI DÖNEM",IF($I1413="Hayır","ÖDENECEK","UYGUN")))),"EKSİK"))))</f>
        <v/>
      </c>
      <c r="Q1413" s="2"/>
      <c r="R1413" s="2"/>
      <c r="S1413" s="1" t="str">
        <f t="shared" ref="S1413:S1476" si="68">IF($L1413="","",UPPER(SUBSTITUTE(SUBSTITUTE(SUBSTITUTE(SUBSTITUTE(SUBSTITUTE(SUBSTITUTE(SUBSTITUTE(SUBSTITUTE(SUBSTITUTE(SUBSTITUTE(SUBSTITUTE(SUBSTITUTE(SUBSTITUTE(SUBSTITUTE(SUBSTITUTE(SUBSTITUTE(SUBSTITUTE(SUBSTITUTE(TRIM($L1413),"'",""),"İ","I"),"ı","I"),"i","I"),"Ş","S"),"ş","S"),"Ğ","G"),"ğ","G"),"Ü","U"),"ü","U"),"Ö","O"),"ö","O"),"Ç","C"),"ç","C"),".",""),",","")," ",""),"-","")))</f>
        <v/>
      </c>
      <c r="T1413" s="1" t="str">
        <f>IF(OR($C1413="",$D1413&lt;&gt;"Gelir",$L1413=""),"",IFERROR(INDEX(MUSTERILER!$B$7:$B$156,MATCH($S1413,MUSTERILER!$T$7:$T$156,0)),""))</f>
        <v/>
      </c>
      <c r="U1413" s="1" t="str">
        <f>IF($T1413="","",$T1413&amp;"|"&amp;COUNTIFS($T$7:$T1413,$T1413))</f>
        <v/>
      </c>
      <c r="V1413" s="1">
        <f t="shared" ref="V1413:V1476" si="69">IF($T1413="",0,1)</f>
        <v>0</v>
      </c>
      <c r="W1413" s="1" t="str">
        <f t="shared" ref="W1413:W1476" si="70">IF($C1413="","",$D1413&amp;"|"&amp;$E1413&amp;"|"&amp;TEXT($C1413,"0")&amp;"|"&amp;TEXT($G1413,"0")&amp;"|"&amp;$F1413&amp;"|"&amp;$J1413)</f>
        <v/>
      </c>
      <c r="X1413" s="1"/>
      <c r="Y1413" s="1"/>
      <c r="Z1413" s="1"/>
      <c r="AA1413" s="1"/>
      <c r="AB1413" s="1"/>
      <c r="AC1413" s="1"/>
      <c r="AD1413" s="1">
        <f>IF($C1413="",0,SUMPRODUCT((AY_SONU!$O$7:$O$42="Evet")*(AY_SONU!$B$7:$B$42=DATE(YEAR($C1413),MONTH($C1413),1))))</f>
        <v>0</v>
      </c>
      <c r="AE1413" s="1" t="str">
        <f>IF($E1413="","",$E1413&amp;"|"&amp;COUNTIFS($E$7:$E1413,$E1413))</f>
        <v/>
      </c>
    </row>
    <row r="1414" spans="1:31" ht="18" customHeight="1" x14ac:dyDescent="0.3">
      <c r="A1414" s="2"/>
      <c r="B1414" s="65" t="str">
        <f>IF($C1414="","","GG"&amp;TEXT(ROW()-6,"00000"))</f>
        <v/>
      </c>
      <c r="C1414" s="66"/>
      <c r="D1414" s="60"/>
      <c r="E1414" s="61"/>
      <c r="F1414" s="61"/>
      <c r="G1414" s="67"/>
      <c r="H1414" s="60"/>
      <c r="I1414" s="60"/>
      <c r="J1414" s="61"/>
      <c r="K1414" s="61"/>
      <c r="L1414" s="60"/>
      <c r="M1414" s="74" t="str">
        <f>IF($C1414="","",IF($D1414="Gider",$E1414,IF($L1414&lt;&gt;"",$L1414,$H1414)))</f>
        <v/>
      </c>
      <c r="N1414" s="74" t="str">
        <f>IF($C1414="","",IF($D1414="Gider",$H1414,$E1414))</f>
        <v/>
      </c>
      <c r="O1414" s="73" t="str">
        <f>IF($C1414="","",DATE(YEAR($C1414),MONTH($C1414),1))</f>
        <v/>
      </c>
      <c r="P1414" s="65" t="str">
        <f ca="1">IF($C1414="","",IF(AND($D1414="Gelir",$L1414&lt;&gt;"",$T1414=""),"TANIMSIZ BORÇLU",IF($T1414&lt;&gt;"",IF(OR($E1414="",$G1414&lt;=0),"EKSİK",IF($I1414="Evet","TAHAKKUK NAKİT OLAMAZ",IF($C1414&gt;TODAY(),"İLERİ TARİH","TAHAKKUK"))),IF(AND($D1414&lt;&gt;"",$E1414&lt;&gt;"",$G1414&gt;0,$H1414&lt;&gt;"",$I1414&lt;&gt;""),IF($C1414&gt;TODAY(),"İLERİ TARİH",IF(COUNTIF($W$7:$W$3001,$W1414)&gt;1,"MÜKERRER?",IF($AD1414&gt;0,"KAPALI DÖNEM",IF($I1414="Hayır","ÖDENECEK","UYGUN")))),"EKSİK"))))</f>
        <v/>
      </c>
      <c r="Q1414" s="2"/>
      <c r="R1414" s="2"/>
      <c r="S1414" s="1" t="str">
        <f t="shared" si="68"/>
        <v/>
      </c>
      <c r="T1414" s="1" t="str">
        <f>IF(OR($C1414="",$D1414&lt;&gt;"Gelir",$L1414=""),"",IFERROR(INDEX(MUSTERILER!$B$7:$B$156,MATCH($S1414,MUSTERILER!$T$7:$T$156,0)),""))</f>
        <v/>
      </c>
      <c r="U1414" s="1" t="str">
        <f>IF($T1414="","",$T1414&amp;"|"&amp;COUNTIFS($T$7:$T1414,$T1414))</f>
        <v/>
      </c>
      <c r="V1414" s="1">
        <f t="shared" si="69"/>
        <v>0</v>
      </c>
      <c r="W1414" s="1" t="str">
        <f t="shared" si="70"/>
        <v/>
      </c>
      <c r="X1414" s="1"/>
      <c r="Y1414" s="1"/>
      <c r="Z1414" s="1"/>
      <c r="AA1414" s="1"/>
      <c r="AB1414" s="1"/>
      <c r="AC1414" s="1"/>
      <c r="AD1414" s="1">
        <f>IF($C1414="",0,SUMPRODUCT((AY_SONU!$O$7:$O$42="Evet")*(AY_SONU!$B$7:$B$42=DATE(YEAR($C1414),MONTH($C1414),1))))</f>
        <v>0</v>
      </c>
      <c r="AE1414" s="1" t="str">
        <f>IF($E1414="","",$E1414&amp;"|"&amp;COUNTIFS($E$7:$E1414,$E1414))</f>
        <v/>
      </c>
    </row>
    <row r="1415" spans="1:31" ht="18" customHeight="1" x14ac:dyDescent="0.3">
      <c r="A1415" s="2"/>
      <c r="B1415" s="65" t="str">
        <f>IF($C1415="","","GG"&amp;TEXT(ROW()-6,"00000"))</f>
        <v/>
      </c>
      <c r="C1415" s="66"/>
      <c r="D1415" s="60"/>
      <c r="E1415" s="61"/>
      <c r="F1415" s="61"/>
      <c r="G1415" s="67"/>
      <c r="H1415" s="60"/>
      <c r="I1415" s="60"/>
      <c r="J1415" s="61"/>
      <c r="K1415" s="61"/>
      <c r="L1415" s="60"/>
      <c r="M1415" s="74" t="str">
        <f>IF($C1415="","",IF($D1415="Gider",$E1415,IF($L1415&lt;&gt;"",$L1415,$H1415)))</f>
        <v/>
      </c>
      <c r="N1415" s="74" t="str">
        <f>IF($C1415="","",IF($D1415="Gider",$H1415,$E1415))</f>
        <v/>
      </c>
      <c r="O1415" s="73" t="str">
        <f>IF($C1415="","",DATE(YEAR($C1415),MONTH($C1415),1))</f>
        <v/>
      </c>
      <c r="P1415" s="65" t="str">
        <f ca="1"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TARİH",IF(COUNTIF($W$7:$W$3001,$W1415)&gt;1,"MÜKERRER?",IF($AD1415&gt;0,"KAPALI DÖNEM",IF($I1415="Hayır","ÖDENECEK","UYGUN")))),"EKSİK"))))</f>
        <v/>
      </c>
      <c r="Q1415" s="2"/>
      <c r="R1415" s="2"/>
      <c r="S1415" s="1" t="str">
        <f t="shared" si="68"/>
        <v/>
      </c>
      <c r="T1415" s="1" t="str">
        <f>IF(OR($C1415="",$D1415&lt;&gt;"Gelir",$L1415=""),"",IFERROR(INDEX(MUSTERILER!$B$7:$B$156,MATCH($S1415,MUSTERILER!$T$7:$T$156,0)),""))</f>
        <v/>
      </c>
      <c r="U1415" s="1" t="str">
        <f>IF($T1415="","",$T1415&amp;"|"&amp;COUNTIFS($T$7:$T1415,$T1415))</f>
        <v/>
      </c>
      <c r="V1415" s="1">
        <f t="shared" si="69"/>
        <v>0</v>
      </c>
      <c r="W1415" s="1" t="str">
        <f t="shared" si="70"/>
        <v/>
      </c>
      <c r="X1415" s="1"/>
      <c r="Y1415" s="1"/>
      <c r="Z1415" s="1"/>
      <c r="AA1415" s="1"/>
      <c r="AB1415" s="1"/>
      <c r="AC1415" s="1"/>
      <c r="AD1415" s="1">
        <f>IF($C1415="",0,SUMPRODUCT((AY_SONU!$O$7:$O$42="Evet")*(AY_SONU!$B$7:$B$42=DATE(YEAR($C1415),MONTH($C1415),1))))</f>
        <v>0</v>
      </c>
      <c r="AE1415" s="1" t="str">
        <f>IF($E1415="","",$E1415&amp;"|"&amp;COUNTIFS($E$7:$E1415,$E1415))</f>
        <v/>
      </c>
    </row>
    <row r="1416" spans="1:31" ht="18" customHeight="1" x14ac:dyDescent="0.3">
      <c r="A1416" s="2"/>
      <c r="B1416" s="65" t="str">
        <f>IF($C1416="","","GG"&amp;TEXT(ROW()-6,"00000"))</f>
        <v/>
      </c>
      <c r="C1416" s="66"/>
      <c r="D1416" s="60"/>
      <c r="E1416" s="61"/>
      <c r="F1416" s="61"/>
      <c r="G1416" s="67"/>
      <c r="H1416" s="60"/>
      <c r="I1416" s="60"/>
      <c r="J1416" s="61"/>
      <c r="K1416" s="61"/>
      <c r="L1416" s="60"/>
      <c r="M1416" s="74" t="str">
        <f>IF($C1416="","",IF($D1416="Gider",$E1416,IF($L1416&lt;&gt;"",$L1416,$H1416)))</f>
        <v/>
      </c>
      <c r="N1416" s="74" t="str">
        <f>IF($C1416="","",IF($D1416="Gider",$H1416,$E1416))</f>
        <v/>
      </c>
      <c r="O1416" s="73" t="str">
        <f>IF($C1416="","",DATE(YEAR($C1416),MONTH($C1416),1))</f>
        <v/>
      </c>
      <c r="P1416" s="65" t="str">
        <f ca="1">IF($C1416="","",IF(AND($D1416="Gelir",$L1416&lt;&gt;"",$T1416=""),"TANIMSIZ BORÇLU",IF($T1416&lt;&gt;"",IF(OR($E1416="",$G1416&lt;=0),"EKSİK",IF($I1416="Evet","TAHAKKUK NAKİT OLAMAZ",IF($C1416&gt;TODAY(),"İLERİ TARİH","TAHAKKUK"))),IF(AND($D1416&lt;&gt;"",$E1416&lt;&gt;"",$G1416&gt;0,$H1416&lt;&gt;"",$I1416&lt;&gt;""),IF($C1416&gt;TODAY(),"İLERİ TARİH",IF(COUNTIF($W$7:$W$3001,$W1416)&gt;1,"MÜKERRER?",IF($AD1416&gt;0,"KAPALI DÖNEM",IF($I1416="Hayır","ÖDENECEK","UYGUN")))),"EKSİK"))))</f>
        <v/>
      </c>
      <c r="Q1416" s="2"/>
      <c r="R1416" s="2"/>
      <c r="S1416" s="1" t="str">
        <f t="shared" si="68"/>
        <v/>
      </c>
      <c r="T1416" s="1" t="str">
        <f>IF(OR($C1416="",$D1416&lt;&gt;"Gelir",$L1416=""),"",IFERROR(INDEX(MUSTERILER!$B$7:$B$156,MATCH($S1416,MUSTERILER!$T$7:$T$156,0)),""))</f>
        <v/>
      </c>
      <c r="U1416" s="1" t="str">
        <f>IF($T1416="","",$T1416&amp;"|"&amp;COUNTIFS($T$7:$T1416,$T1416))</f>
        <v/>
      </c>
      <c r="V1416" s="1">
        <f t="shared" si="69"/>
        <v>0</v>
      </c>
      <c r="W1416" s="1" t="str">
        <f t="shared" si="70"/>
        <v/>
      </c>
      <c r="X1416" s="1"/>
      <c r="Y1416" s="1"/>
      <c r="Z1416" s="1"/>
      <c r="AA1416" s="1"/>
      <c r="AB1416" s="1"/>
      <c r="AC1416" s="1"/>
      <c r="AD1416" s="1">
        <f>IF($C1416="",0,SUMPRODUCT((AY_SONU!$O$7:$O$42="Evet")*(AY_SONU!$B$7:$B$42=DATE(YEAR($C1416),MONTH($C1416),1))))</f>
        <v>0</v>
      </c>
      <c r="AE1416" s="1" t="str">
        <f>IF($E1416="","",$E1416&amp;"|"&amp;COUNTIFS($E$7:$E1416,$E1416))</f>
        <v/>
      </c>
    </row>
    <row r="1417" spans="1:31" ht="18" customHeight="1" x14ac:dyDescent="0.3">
      <c r="A1417" s="2"/>
      <c r="B1417" s="65" t="str">
        <f>IF($C1417="","","GG"&amp;TEXT(ROW()-6,"00000"))</f>
        <v/>
      </c>
      <c r="C1417" s="66"/>
      <c r="D1417" s="60"/>
      <c r="E1417" s="61"/>
      <c r="F1417" s="61"/>
      <c r="G1417" s="67"/>
      <c r="H1417" s="60"/>
      <c r="I1417" s="60"/>
      <c r="J1417" s="61"/>
      <c r="K1417" s="61"/>
      <c r="L1417" s="60"/>
      <c r="M1417" s="74" t="str">
        <f>IF($C1417="","",IF($D1417="Gider",$E1417,IF($L1417&lt;&gt;"",$L1417,$H1417)))</f>
        <v/>
      </c>
      <c r="N1417" s="74" t="str">
        <f>IF($C1417="","",IF($D1417="Gider",$H1417,$E1417))</f>
        <v/>
      </c>
      <c r="O1417" s="73" t="str">
        <f>IF($C1417="","",DATE(YEAR($C1417),MONTH($C1417),1))</f>
        <v/>
      </c>
      <c r="P1417" s="65" t="str">
        <f ca="1">IF($C1417="","",IF(AND($D1417="Gelir",$L1417&lt;&gt;"",$T1417=""),"TANIMSIZ BORÇLU",IF($T1417&lt;&gt;"",IF(OR($E1417="",$G1417&lt;=0),"EKSİK",IF($I1417="Evet","TAHAKKUK NAKİT OLAMAZ",IF($C1417&gt;TODAY(),"İLERİ TARİH","TAHAKKUK"))),IF(AND($D1417&lt;&gt;"",$E1417&lt;&gt;"",$G1417&gt;0,$H1417&lt;&gt;"",$I1417&lt;&gt;""),IF($C1417&gt;TODAY(),"İLERİ TARİH",IF(COUNTIF($W$7:$W$3001,$W1417)&gt;1,"MÜKERRER?",IF($AD1417&gt;0,"KAPALI DÖNEM",IF($I1417="Hayır","ÖDENECEK","UYGUN")))),"EKSİK"))))</f>
        <v/>
      </c>
      <c r="Q1417" s="2"/>
      <c r="R1417" s="2"/>
      <c r="S1417" s="1" t="str">
        <f t="shared" si="68"/>
        <v/>
      </c>
      <c r="T1417" s="1" t="str">
        <f>IF(OR($C1417="",$D1417&lt;&gt;"Gelir",$L1417=""),"",IFERROR(INDEX(MUSTERILER!$B$7:$B$156,MATCH($S1417,MUSTERILER!$T$7:$T$156,0)),""))</f>
        <v/>
      </c>
      <c r="U1417" s="1" t="str">
        <f>IF($T1417="","",$T1417&amp;"|"&amp;COUNTIFS($T$7:$T1417,$T1417))</f>
        <v/>
      </c>
      <c r="V1417" s="1">
        <f t="shared" si="69"/>
        <v>0</v>
      </c>
      <c r="W1417" s="1" t="str">
        <f t="shared" si="70"/>
        <v/>
      </c>
      <c r="X1417" s="1"/>
      <c r="Y1417" s="1"/>
      <c r="Z1417" s="1"/>
      <c r="AA1417" s="1"/>
      <c r="AB1417" s="1"/>
      <c r="AC1417" s="1"/>
      <c r="AD1417" s="1">
        <f>IF($C1417="",0,SUMPRODUCT((AY_SONU!$O$7:$O$42="Evet")*(AY_SONU!$B$7:$B$42=DATE(YEAR($C1417),MONTH($C1417),1))))</f>
        <v>0</v>
      </c>
      <c r="AE1417" s="1" t="str">
        <f>IF($E1417="","",$E1417&amp;"|"&amp;COUNTIFS($E$7:$E1417,$E1417))</f>
        <v/>
      </c>
    </row>
    <row r="1418" spans="1:31" ht="18" customHeight="1" x14ac:dyDescent="0.3">
      <c r="A1418" s="2"/>
      <c r="B1418" s="65" t="str">
        <f>IF($C1418="","","GG"&amp;TEXT(ROW()-6,"00000"))</f>
        <v/>
      </c>
      <c r="C1418" s="66"/>
      <c r="D1418" s="60"/>
      <c r="E1418" s="61"/>
      <c r="F1418" s="61"/>
      <c r="G1418" s="67"/>
      <c r="H1418" s="60"/>
      <c r="I1418" s="60"/>
      <c r="J1418" s="61"/>
      <c r="K1418" s="61"/>
      <c r="L1418" s="60"/>
      <c r="M1418" s="74" t="str">
        <f>IF($C1418="","",IF($D1418="Gider",$E1418,IF($L1418&lt;&gt;"",$L1418,$H1418)))</f>
        <v/>
      </c>
      <c r="N1418" s="74" t="str">
        <f>IF($C1418="","",IF($D1418="Gider",$H1418,$E1418))</f>
        <v/>
      </c>
      <c r="O1418" s="73" t="str">
        <f>IF($C1418="","",DATE(YEAR($C1418),MONTH($C1418),1))</f>
        <v/>
      </c>
      <c r="P1418" s="65" t="str">
        <f ca="1">IF($C1418="","",IF(AND($D1418="Gelir",$L1418&lt;&gt;"",$T1418=""),"TANIMSIZ BORÇLU",IF($T1418&lt;&gt;"",IF(OR($E1418="",$G1418&lt;=0),"EKSİK",IF($I1418="Evet","TAHAKKUK NAKİT OLAMAZ",IF($C1418&gt;TODAY(),"İLERİ TARİH","TAHAKKUK"))),IF(AND($D1418&lt;&gt;"",$E1418&lt;&gt;"",$G1418&gt;0,$H1418&lt;&gt;"",$I1418&lt;&gt;""),IF($C1418&gt;TODAY(),"İLERİ TARİH",IF(COUNTIF($W$7:$W$3001,$W1418)&gt;1,"MÜKERRER?",IF($AD1418&gt;0,"KAPALI DÖNEM",IF($I1418="Hayır","ÖDENECEK","UYGUN")))),"EKSİK"))))</f>
        <v/>
      </c>
      <c r="Q1418" s="2"/>
      <c r="R1418" s="2"/>
      <c r="S1418" s="1" t="str">
        <f t="shared" si="68"/>
        <v/>
      </c>
      <c r="T1418" s="1" t="str">
        <f>IF(OR($C1418="",$D1418&lt;&gt;"Gelir",$L1418=""),"",IFERROR(INDEX(MUSTERILER!$B$7:$B$156,MATCH($S1418,MUSTERILER!$T$7:$T$156,0)),""))</f>
        <v/>
      </c>
      <c r="U1418" s="1" t="str">
        <f>IF($T1418="","",$T1418&amp;"|"&amp;COUNTIFS($T$7:$T1418,$T1418))</f>
        <v/>
      </c>
      <c r="V1418" s="1">
        <f t="shared" si="69"/>
        <v>0</v>
      </c>
      <c r="W1418" s="1" t="str">
        <f t="shared" si="70"/>
        <v/>
      </c>
      <c r="X1418" s="1"/>
      <c r="Y1418" s="1"/>
      <c r="Z1418" s="1"/>
      <c r="AA1418" s="1"/>
      <c r="AB1418" s="1"/>
      <c r="AC1418" s="1"/>
      <c r="AD1418" s="1">
        <f>IF($C1418="",0,SUMPRODUCT((AY_SONU!$O$7:$O$42="Evet")*(AY_SONU!$B$7:$B$42=DATE(YEAR($C1418),MONTH($C1418),1))))</f>
        <v>0</v>
      </c>
      <c r="AE1418" s="1" t="str">
        <f>IF($E1418="","",$E1418&amp;"|"&amp;COUNTIFS($E$7:$E1418,$E1418))</f>
        <v/>
      </c>
    </row>
    <row r="1419" spans="1:31" ht="18" customHeight="1" x14ac:dyDescent="0.3">
      <c r="A1419" s="2"/>
      <c r="B1419" s="65" t="str">
        <f>IF($C1419="","","GG"&amp;TEXT(ROW()-6,"00000"))</f>
        <v/>
      </c>
      <c r="C1419" s="66"/>
      <c r="D1419" s="60"/>
      <c r="E1419" s="61"/>
      <c r="F1419" s="61"/>
      <c r="G1419" s="67"/>
      <c r="H1419" s="60"/>
      <c r="I1419" s="60"/>
      <c r="J1419" s="61"/>
      <c r="K1419" s="61"/>
      <c r="L1419" s="60"/>
      <c r="M1419" s="74" t="str">
        <f>IF($C1419="","",IF($D1419="Gider",$E1419,IF($L1419&lt;&gt;"",$L1419,$H1419)))</f>
        <v/>
      </c>
      <c r="N1419" s="74" t="str">
        <f>IF($C1419="","",IF($D1419="Gider",$H1419,$E1419))</f>
        <v/>
      </c>
      <c r="O1419" s="73" t="str">
        <f>IF($C1419="","",DATE(YEAR($C1419),MONTH($C1419),1))</f>
        <v/>
      </c>
      <c r="P1419" s="65" t="str">
        <f ca="1">IF($C1419="","",IF(AND($D1419="Gelir",$L1419&lt;&gt;"",$T1419=""),"TANIMSIZ BORÇLU",IF($T1419&lt;&gt;"",IF(OR($E1419="",$G1419&lt;=0),"EKSİK",IF($I1419="Evet","TAHAKKUK NAKİT OLAMAZ",IF($C1419&gt;TODAY(),"İLERİ TARİH","TAHAKKUK"))),IF(AND($D1419&lt;&gt;"",$E1419&lt;&gt;"",$G1419&gt;0,$H1419&lt;&gt;"",$I1419&lt;&gt;""),IF($C1419&gt;TODAY(),"İLERİ TARİH",IF(COUNTIF($W$7:$W$3001,$W1419)&gt;1,"MÜKERRER?",IF($AD1419&gt;0,"KAPALI DÖNEM",IF($I1419="Hayır","ÖDENECEK","UYGUN")))),"EKSİK"))))</f>
        <v/>
      </c>
      <c r="Q1419" s="2"/>
      <c r="R1419" s="2"/>
      <c r="S1419" s="1" t="str">
        <f t="shared" si="68"/>
        <v/>
      </c>
      <c r="T1419" s="1" t="str">
        <f>IF(OR($C1419="",$D1419&lt;&gt;"Gelir",$L1419=""),"",IFERROR(INDEX(MUSTERILER!$B$7:$B$156,MATCH($S1419,MUSTERILER!$T$7:$T$156,0)),""))</f>
        <v/>
      </c>
      <c r="U1419" s="1" t="str">
        <f>IF($T1419="","",$T1419&amp;"|"&amp;COUNTIFS($T$7:$T1419,$T1419))</f>
        <v/>
      </c>
      <c r="V1419" s="1">
        <f t="shared" si="69"/>
        <v>0</v>
      </c>
      <c r="W1419" s="1" t="str">
        <f t="shared" si="70"/>
        <v/>
      </c>
      <c r="X1419" s="1"/>
      <c r="Y1419" s="1"/>
      <c r="Z1419" s="1"/>
      <c r="AA1419" s="1"/>
      <c r="AB1419" s="1"/>
      <c r="AC1419" s="1"/>
      <c r="AD1419" s="1">
        <f>IF($C1419="",0,SUMPRODUCT((AY_SONU!$O$7:$O$42="Evet")*(AY_SONU!$B$7:$B$42=DATE(YEAR($C1419),MONTH($C1419),1))))</f>
        <v>0</v>
      </c>
      <c r="AE1419" s="1" t="str">
        <f>IF($E1419="","",$E1419&amp;"|"&amp;COUNTIFS($E$7:$E1419,$E1419))</f>
        <v/>
      </c>
    </row>
    <row r="1420" spans="1:31" ht="18" customHeight="1" x14ac:dyDescent="0.3">
      <c r="A1420" s="2"/>
      <c r="B1420" s="65" t="str">
        <f>IF($C1420="","","GG"&amp;TEXT(ROW()-6,"00000"))</f>
        <v/>
      </c>
      <c r="C1420" s="66"/>
      <c r="D1420" s="60"/>
      <c r="E1420" s="61"/>
      <c r="F1420" s="61"/>
      <c r="G1420" s="67"/>
      <c r="H1420" s="60"/>
      <c r="I1420" s="60"/>
      <c r="J1420" s="61"/>
      <c r="K1420" s="61"/>
      <c r="L1420" s="60"/>
      <c r="M1420" s="74" t="str">
        <f>IF($C1420="","",IF($D1420="Gider",$E1420,IF($L1420&lt;&gt;"",$L1420,$H1420)))</f>
        <v/>
      </c>
      <c r="N1420" s="74" t="str">
        <f>IF($C1420="","",IF($D1420="Gider",$H1420,$E1420))</f>
        <v/>
      </c>
      <c r="O1420" s="73" t="str">
        <f>IF($C1420="","",DATE(YEAR($C1420),MONTH($C1420),1))</f>
        <v/>
      </c>
      <c r="P1420" s="65" t="str">
        <f ca="1">IF($C1420="","",IF(AND($D1420="Gelir",$L1420&lt;&gt;"",$T1420=""),"TANIMSIZ BORÇLU",IF($T1420&lt;&gt;"",IF(OR($E1420="",$G1420&lt;=0),"EKSİK",IF($I1420="Evet","TAHAKKUK NAKİT OLAMAZ",IF($C1420&gt;TODAY(),"İLERİ TARİH","TAHAKKUK"))),IF(AND($D1420&lt;&gt;"",$E1420&lt;&gt;"",$G1420&gt;0,$H1420&lt;&gt;"",$I1420&lt;&gt;""),IF($C1420&gt;TODAY(),"İLERİ TARİH",IF(COUNTIF($W$7:$W$3001,$W1420)&gt;1,"MÜKERRER?",IF($AD1420&gt;0,"KAPALI DÖNEM",IF($I1420="Hayır","ÖDENECEK","UYGUN")))),"EKSİK"))))</f>
        <v/>
      </c>
      <c r="Q1420" s="2"/>
      <c r="R1420" s="2"/>
      <c r="S1420" s="1" t="str">
        <f t="shared" si="68"/>
        <v/>
      </c>
      <c r="T1420" s="1" t="str">
        <f>IF(OR($C1420="",$D1420&lt;&gt;"Gelir",$L1420=""),"",IFERROR(INDEX(MUSTERILER!$B$7:$B$156,MATCH($S1420,MUSTERILER!$T$7:$T$156,0)),""))</f>
        <v/>
      </c>
      <c r="U1420" s="1" t="str">
        <f>IF($T1420="","",$T1420&amp;"|"&amp;COUNTIFS($T$7:$T1420,$T1420))</f>
        <v/>
      </c>
      <c r="V1420" s="1">
        <f t="shared" si="69"/>
        <v>0</v>
      </c>
      <c r="W1420" s="1" t="str">
        <f t="shared" si="70"/>
        <v/>
      </c>
      <c r="X1420" s="1"/>
      <c r="Y1420" s="1"/>
      <c r="Z1420" s="1"/>
      <c r="AA1420" s="1"/>
      <c r="AB1420" s="1"/>
      <c r="AC1420" s="1"/>
      <c r="AD1420" s="1">
        <f>IF($C1420="",0,SUMPRODUCT((AY_SONU!$O$7:$O$42="Evet")*(AY_SONU!$B$7:$B$42=DATE(YEAR($C1420),MONTH($C1420),1))))</f>
        <v>0</v>
      </c>
      <c r="AE1420" s="1" t="str">
        <f>IF($E1420="","",$E1420&amp;"|"&amp;COUNTIFS($E$7:$E1420,$E1420))</f>
        <v/>
      </c>
    </row>
    <row r="1421" spans="1:31" ht="18" customHeight="1" x14ac:dyDescent="0.3">
      <c r="A1421" s="2"/>
      <c r="B1421" s="65" t="str">
        <f>IF($C1421="","","GG"&amp;TEXT(ROW()-6,"00000"))</f>
        <v/>
      </c>
      <c r="C1421" s="66"/>
      <c r="D1421" s="60"/>
      <c r="E1421" s="61"/>
      <c r="F1421" s="61"/>
      <c r="G1421" s="67"/>
      <c r="H1421" s="60"/>
      <c r="I1421" s="60"/>
      <c r="J1421" s="61"/>
      <c r="K1421" s="61"/>
      <c r="L1421" s="60"/>
      <c r="M1421" s="74" t="str">
        <f>IF($C1421="","",IF($D1421="Gider",$E1421,IF($L1421&lt;&gt;"",$L1421,$H1421)))</f>
        <v/>
      </c>
      <c r="N1421" s="74" t="str">
        <f>IF($C1421="","",IF($D1421="Gider",$H1421,$E1421))</f>
        <v/>
      </c>
      <c r="O1421" s="73" t="str">
        <f>IF($C1421="","",DATE(YEAR($C1421),MONTH($C1421),1))</f>
        <v/>
      </c>
      <c r="P1421" s="65" t="str">
        <f ca="1">IF($C1421="","",IF(AND($D1421="Gelir",$L1421&lt;&gt;"",$T1421=""),"TANIMSIZ BORÇLU",IF($T1421&lt;&gt;"",IF(OR($E1421="",$G1421&lt;=0),"EKSİK",IF($I1421="Evet","TAHAKKUK NAKİT OLAMAZ",IF($C1421&gt;TODAY(),"İLERİ TARİH","TAHAKKUK"))),IF(AND($D1421&lt;&gt;"",$E1421&lt;&gt;"",$G1421&gt;0,$H1421&lt;&gt;"",$I1421&lt;&gt;""),IF($C1421&gt;TODAY(),"İLERİ TARİH",IF(COUNTIF($W$7:$W$3001,$W1421)&gt;1,"MÜKERRER?",IF($AD1421&gt;0,"KAPALI DÖNEM",IF($I1421="Hayır","ÖDENECEK","UYGUN")))),"EKSİK"))))</f>
        <v/>
      </c>
      <c r="Q1421" s="2"/>
      <c r="R1421" s="2"/>
      <c r="S1421" s="1" t="str">
        <f t="shared" si="68"/>
        <v/>
      </c>
      <c r="T1421" s="1" t="str">
        <f>IF(OR($C1421="",$D1421&lt;&gt;"Gelir",$L1421=""),"",IFERROR(INDEX(MUSTERILER!$B$7:$B$156,MATCH($S1421,MUSTERILER!$T$7:$T$156,0)),""))</f>
        <v/>
      </c>
      <c r="U1421" s="1" t="str">
        <f>IF($T1421="","",$T1421&amp;"|"&amp;COUNTIFS($T$7:$T1421,$T1421))</f>
        <v/>
      </c>
      <c r="V1421" s="1">
        <f t="shared" si="69"/>
        <v>0</v>
      </c>
      <c r="W1421" s="1" t="str">
        <f t="shared" si="70"/>
        <v/>
      </c>
      <c r="X1421" s="1"/>
      <c r="Y1421" s="1"/>
      <c r="Z1421" s="1"/>
      <c r="AA1421" s="1"/>
      <c r="AB1421" s="1"/>
      <c r="AC1421" s="1"/>
      <c r="AD1421" s="1">
        <f>IF($C1421="",0,SUMPRODUCT((AY_SONU!$O$7:$O$42="Evet")*(AY_SONU!$B$7:$B$42=DATE(YEAR($C1421),MONTH($C1421),1))))</f>
        <v>0</v>
      </c>
      <c r="AE1421" s="1" t="str">
        <f>IF($E1421="","",$E1421&amp;"|"&amp;COUNTIFS($E$7:$E1421,$E1421))</f>
        <v/>
      </c>
    </row>
    <row r="1422" spans="1:31" ht="18" customHeight="1" x14ac:dyDescent="0.3">
      <c r="A1422" s="2"/>
      <c r="B1422" s="65" t="str">
        <f>IF($C1422="","","GG"&amp;TEXT(ROW()-6,"00000"))</f>
        <v/>
      </c>
      <c r="C1422" s="66"/>
      <c r="D1422" s="60"/>
      <c r="E1422" s="61"/>
      <c r="F1422" s="61"/>
      <c r="G1422" s="67"/>
      <c r="H1422" s="60"/>
      <c r="I1422" s="60"/>
      <c r="J1422" s="61"/>
      <c r="K1422" s="61"/>
      <c r="L1422" s="60"/>
      <c r="M1422" s="74" t="str">
        <f>IF($C1422="","",IF($D1422="Gider",$E1422,IF($L1422&lt;&gt;"",$L1422,$H1422)))</f>
        <v/>
      </c>
      <c r="N1422" s="74" t="str">
        <f>IF($C1422="","",IF($D1422="Gider",$H1422,$E1422))</f>
        <v/>
      </c>
      <c r="O1422" s="73" t="str">
        <f>IF($C1422="","",DATE(YEAR($C1422),MONTH($C1422),1))</f>
        <v/>
      </c>
      <c r="P1422" s="65" t="str">
        <f ca="1">IF($C1422="","",IF(AND($D1422="Gelir",$L1422&lt;&gt;"",$T1422=""),"TANIMSIZ BORÇLU",IF($T1422&lt;&gt;"",IF(OR($E1422="",$G1422&lt;=0),"EKSİK",IF($I1422="Evet","TAHAKKUK NAKİT OLAMAZ",IF($C1422&gt;TODAY(),"İLERİ TARİH","TAHAKKUK"))),IF(AND($D1422&lt;&gt;"",$E1422&lt;&gt;"",$G1422&gt;0,$H1422&lt;&gt;"",$I1422&lt;&gt;""),IF($C1422&gt;TODAY(),"İLERİ TARİH",IF(COUNTIF($W$7:$W$3001,$W1422)&gt;1,"MÜKERRER?",IF($AD1422&gt;0,"KAPALI DÖNEM",IF($I1422="Hayır","ÖDENECEK","UYGUN")))),"EKSİK"))))</f>
        <v/>
      </c>
      <c r="Q1422" s="2"/>
      <c r="R1422" s="2"/>
      <c r="S1422" s="1" t="str">
        <f t="shared" si="68"/>
        <v/>
      </c>
      <c r="T1422" s="1" t="str">
        <f>IF(OR($C1422="",$D1422&lt;&gt;"Gelir",$L1422=""),"",IFERROR(INDEX(MUSTERILER!$B$7:$B$156,MATCH($S1422,MUSTERILER!$T$7:$T$156,0)),""))</f>
        <v/>
      </c>
      <c r="U1422" s="1" t="str">
        <f>IF($T1422="","",$T1422&amp;"|"&amp;COUNTIFS($T$7:$T1422,$T1422))</f>
        <v/>
      </c>
      <c r="V1422" s="1">
        <f t="shared" si="69"/>
        <v>0</v>
      </c>
      <c r="W1422" s="1" t="str">
        <f t="shared" si="70"/>
        <v/>
      </c>
      <c r="X1422" s="1"/>
      <c r="Y1422" s="1"/>
      <c r="Z1422" s="1"/>
      <c r="AA1422" s="1"/>
      <c r="AB1422" s="1"/>
      <c r="AC1422" s="1"/>
      <c r="AD1422" s="1">
        <f>IF($C1422="",0,SUMPRODUCT((AY_SONU!$O$7:$O$42="Evet")*(AY_SONU!$B$7:$B$42=DATE(YEAR($C1422),MONTH($C1422),1))))</f>
        <v>0</v>
      </c>
      <c r="AE1422" s="1" t="str">
        <f>IF($E1422="","",$E1422&amp;"|"&amp;COUNTIFS($E$7:$E1422,$E1422))</f>
        <v/>
      </c>
    </row>
    <row r="1423" spans="1:31" ht="18" customHeight="1" x14ac:dyDescent="0.3">
      <c r="A1423" s="2"/>
      <c r="B1423" s="65" t="str">
        <f>IF($C1423="","","GG"&amp;TEXT(ROW()-6,"00000"))</f>
        <v/>
      </c>
      <c r="C1423" s="66"/>
      <c r="D1423" s="60"/>
      <c r="E1423" s="61"/>
      <c r="F1423" s="61"/>
      <c r="G1423" s="67"/>
      <c r="H1423" s="60"/>
      <c r="I1423" s="60"/>
      <c r="J1423" s="61"/>
      <c r="K1423" s="61"/>
      <c r="L1423" s="60"/>
      <c r="M1423" s="74" t="str">
        <f>IF($C1423="","",IF($D1423="Gider",$E1423,IF($L1423&lt;&gt;"",$L1423,$H1423)))</f>
        <v/>
      </c>
      <c r="N1423" s="74" t="str">
        <f>IF($C1423="","",IF($D1423="Gider",$H1423,$E1423))</f>
        <v/>
      </c>
      <c r="O1423" s="73" t="str">
        <f>IF($C1423="","",DATE(YEAR($C1423),MONTH($C1423),1))</f>
        <v/>
      </c>
      <c r="P1423" s="65" t="str">
        <f ca="1">IF($C1423="","",IF(AND($D1423="Gelir",$L1423&lt;&gt;"",$T1423=""),"TANIMSIZ BORÇLU",IF($T1423&lt;&gt;"",IF(OR($E1423="",$G1423&lt;=0),"EKSİK",IF($I1423="Evet","TAHAKKUK NAKİT OLAMAZ",IF($C1423&gt;TODAY(),"İLERİ TARİH","TAHAKKUK"))),IF(AND($D1423&lt;&gt;"",$E1423&lt;&gt;"",$G1423&gt;0,$H1423&lt;&gt;"",$I1423&lt;&gt;""),IF($C1423&gt;TODAY(),"İLERİ TARİH",IF(COUNTIF($W$7:$W$3001,$W1423)&gt;1,"MÜKERRER?",IF($AD1423&gt;0,"KAPALI DÖNEM",IF($I1423="Hayır","ÖDENECEK","UYGUN")))),"EKSİK"))))</f>
        <v/>
      </c>
      <c r="Q1423" s="2"/>
      <c r="R1423" s="2"/>
      <c r="S1423" s="1" t="str">
        <f t="shared" si="68"/>
        <v/>
      </c>
      <c r="T1423" s="1" t="str">
        <f>IF(OR($C1423="",$D1423&lt;&gt;"Gelir",$L1423=""),"",IFERROR(INDEX(MUSTERILER!$B$7:$B$156,MATCH($S1423,MUSTERILER!$T$7:$T$156,0)),""))</f>
        <v/>
      </c>
      <c r="U1423" s="1" t="str">
        <f>IF($T1423="","",$T1423&amp;"|"&amp;COUNTIFS($T$7:$T1423,$T1423))</f>
        <v/>
      </c>
      <c r="V1423" s="1">
        <f t="shared" si="69"/>
        <v>0</v>
      </c>
      <c r="W1423" s="1" t="str">
        <f t="shared" si="70"/>
        <v/>
      </c>
      <c r="X1423" s="1"/>
      <c r="Y1423" s="1"/>
      <c r="Z1423" s="1"/>
      <c r="AA1423" s="1"/>
      <c r="AB1423" s="1"/>
      <c r="AC1423" s="1"/>
      <c r="AD1423" s="1">
        <f>IF($C1423="",0,SUMPRODUCT((AY_SONU!$O$7:$O$42="Evet")*(AY_SONU!$B$7:$B$42=DATE(YEAR($C1423),MONTH($C1423),1))))</f>
        <v>0</v>
      </c>
      <c r="AE1423" s="1" t="str">
        <f>IF($E1423="","",$E1423&amp;"|"&amp;COUNTIFS($E$7:$E1423,$E1423))</f>
        <v/>
      </c>
    </row>
    <row r="1424" spans="1:31" ht="18" customHeight="1" x14ac:dyDescent="0.3">
      <c r="A1424" s="2"/>
      <c r="B1424" s="65" t="str">
        <f>IF($C1424="","","GG"&amp;TEXT(ROW()-6,"00000"))</f>
        <v/>
      </c>
      <c r="C1424" s="66"/>
      <c r="D1424" s="60"/>
      <c r="E1424" s="61"/>
      <c r="F1424" s="61"/>
      <c r="G1424" s="67"/>
      <c r="H1424" s="60"/>
      <c r="I1424" s="60"/>
      <c r="J1424" s="61"/>
      <c r="K1424" s="61"/>
      <c r="L1424" s="60"/>
      <c r="M1424" s="74" t="str">
        <f>IF($C1424="","",IF($D1424="Gider",$E1424,IF($L1424&lt;&gt;"",$L1424,$H1424)))</f>
        <v/>
      </c>
      <c r="N1424" s="74" t="str">
        <f>IF($C1424="","",IF($D1424="Gider",$H1424,$E1424))</f>
        <v/>
      </c>
      <c r="O1424" s="73" t="str">
        <f>IF($C1424="","",DATE(YEAR($C1424),MONTH($C1424),1))</f>
        <v/>
      </c>
      <c r="P1424" s="65" t="str">
        <f ca="1">IF($C1424="","",IF(AND($D1424="Gelir",$L1424&lt;&gt;"",$T1424=""),"TANIMSIZ BORÇLU",IF($T1424&lt;&gt;"",IF(OR($E1424="",$G1424&lt;=0),"EKSİK",IF($I1424="Evet","TAHAKKUK NAKİT OLAMAZ",IF($C1424&gt;TODAY(),"İLERİ TARİH","TAHAKKUK"))),IF(AND($D1424&lt;&gt;"",$E1424&lt;&gt;"",$G1424&gt;0,$H1424&lt;&gt;"",$I1424&lt;&gt;""),IF($C1424&gt;TODAY(),"İLERİ TARİH",IF(COUNTIF($W$7:$W$3001,$W1424)&gt;1,"MÜKERRER?",IF($AD1424&gt;0,"KAPALI DÖNEM",IF($I1424="Hayır","ÖDENECEK","UYGUN")))),"EKSİK"))))</f>
        <v/>
      </c>
      <c r="Q1424" s="2"/>
      <c r="R1424" s="2"/>
      <c r="S1424" s="1" t="str">
        <f t="shared" si="68"/>
        <v/>
      </c>
      <c r="T1424" s="1" t="str">
        <f>IF(OR($C1424="",$D1424&lt;&gt;"Gelir",$L1424=""),"",IFERROR(INDEX(MUSTERILER!$B$7:$B$156,MATCH($S1424,MUSTERILER!$T$7:$T$156,0)),""))</f>
        <v/>
      </c>
      <c r="U1424" s="1" t="str">
        <f>IF($T1424="","",$T1424&amp;"|"&amp;COUNTIFS($T$7:$T1424,$T1424))</f>
        <v/>
      </c>
      <c r="V1424" s="1">
        <f t="shared" si="69"/>
        <v>0</v>
      </c>
      <c r="W1424" s="1" t="str">
        <f t="shared" si="70"/>
        <v/>
      </c>
      <c r="X1424" s="1"/>
      <c r="Y1424" s="1"/>
      <c r="Z1424" s="1"/>
      <c r="AA1424" s="1"/>
      <c r="AB1424" s="1"/>
      <c r="AC1424" s="1"/>
      <c r="AD1424" s="1">
        <f>IF($C1424="",0,SUMPRODUCT((AY_SONU!$O$7:$O$42="Evet")*(AY_SONU!$B$7:$B$42=DATE(YEAR($C1424),MONTH($C1424),1))))</f>
        <v>0</v>
      </c>
      <c r="AE1424" s="1" t="str">
        <f>IF($E1424="","",$E1424&amp;"|"&amp;COUNTIFS($E$7:$E1424,$E1424))</f>
        <v/>
      </c>
    </row>
    <row r="1425" spans="1:31" ht="18" customHeight="1" x14ac:dyDescent="0.3">
      <c r="A1425" s="2"/>
      <c r="B1425" s="65" t="str">
        <f>IF($C1425="","","GG"&amp;TEXT(ROW()-6,"00000"))</f>
        <v/>
      </c>
      <c r="C1425" s="66"/>
      <c r="D1425" s="60"/>
      <c r="E1425" s="61"/>
      <c r="F1425" s="61"/>
      <c r="G1425" s="67"/>
      <c r="H1425" s="60"/>
      <c r="I1425" s="60"/>
      <c r="J1425" s="61"/>
      <c r="K1425" s="61"/>
      <c r="L1425" s="60"/>
      <c r="M1425" s="74" t="str">
        <f>IF($C1425="","",IF($D1425="Gider",$E1425,IF($L1425&lt;&gt;"",$L1425,$H1425)))</f>
        <v/>
      </c>
      <c r="N1425" s="74" t="str">
        <f>IF($C1425="","",IF($D1425="Gider",$H1425,$E1425))</f>
        <v/>
      </c>
      <c r="O1425" s="73" t="str">
        <f>IF($C1425="","",DATE(YEAR($C1425),MONTH($C1425),1))</f>
        <v/>
      </c>
      <c r="P1425" s="65" t="str">
        <f ca="1">IF($C1425="","",IF(AND($D1425="Gelir",$L1425&lt;&gt;"",$T1425=""),"TANIMSIZ BORÇLU",IF($T1425&lt;&gt;"",IF(OR($E1425="",$G1425&lt;=0),"EKSİK",IF($I1425="Evet","TAHAKKUK NAKİT OLAMAZ",IF($C1425&gt;TODAY(),"İLERİ TARİH","TAHAKKUK"))),IF(AND($D1425&lt;&gt;"",$E1425&lt;&gt;"",$G1425&gt;0,$H1425&lt;&gt;"",$I1425&lt;&gt;""),IF($C1425&gt;TODAY(),"İLERİ TARİH",IF(COUNTIF($W$7:$W$3001,$W1425)&gt;1,"MÜKERRER?",IF($AD1425&gt;0,"KAPALI DÖNEM",IF($I1425="Hayır","ÖDENECEK","UYGUN")))),"EKSİK"))))</f>
        <v/>
      </c>
      <c r="Q1425" s="2"/>
      <c r="R1425" s="2"/>
      <c r="S1425" s="1" t="str">
        <f t="shared" si="68"/>
        <v/>
      </c>
      <c r="T1425" s="1" t="str">
        <f>IF(OR($C1425="",$D1425&lt;&gt;"Gelir",$L1425=""),"",IFERROR(INDEX(MUSTERILER!$B$7:$B$156,MATCH($S1425,MUSTERILER!$T$7:$T$156,0)),""))</f>
        <v/>
      </c>
      <c r="U1425" s="1" t="str">
        <f>IF($T1425="","",$T1425&amp;"|"&amp;COUNTIFS($T$7:$T1425,$T1425))</f>
        <v/>
      </c>
      <c r="V1425" s="1">
        <f t="shared" si="69"/>
        <v>0</v>
      </c>
      <c r="W1425" s="1" t="str">
        <f t="shared" si="70"/>
        <v/>
      </c>
      <c r="X1425" s="1"/>
      <c r="Y1425" s="1"/>
      <c r="Z1425" s="1"/>
      <c r="AA1425" s="1"/>
      <c r="AB1425" s="1"/>
      <c r="AC1425" s="1"/>
      <c r="AD1425" s="1">
        <f>IF($C1425="",0,SUMPRODUCT((AY_SONU!$O$7:$O$42="Evet")*(AY_SONU!$B$7:$B$42=DATE(YEAR($C1425),MONTH($C1425),1))))</f>
        <v>0</v>
      </c>
      <c r="AE1425" s="1" t="str">
        <f>IF($E1425="","",$E1425&amp;"|"&amp;COUNTIFS($E$7:$E1425,$E1425))</f>
        <v/>
      </c>
    </row>
    <row r="1426" spans="1:31" ht="18" customHeight="1" x14ac:dyDescent="0.3">
      <c r="A1426" s="2"/>
      <c r="B1426" s="65" t="str">
        <f>IF($C1426="","","GG"&amp;TEXT(ROW()-6,"00000"))</f>
        <v/>
      </c>
      <c r="C1426" s="66"/>
      <c r="D1426" s="60"/>
      <c r="E1426" s="61"/>
      <c r="F1426" s="61"/>
      <c r="G1426" s="67"/>
      <c r="H1426" s="60"/>
      <c r="I1426" s="60"/>
      <c r="J1426" s="61"/>
      <c r="K1426" s="61"/>
      <c r="L1426" s="60"/>
      <c r="M1426" s="74" t="str">
        <f>IF($C1426="","",IF($D1426="Gider",$E1426,IF($L1426&lt;&gt;"",$L1426,$H1426)))</f>
        <v/>
      </c>
      <c r="N1426" s="74" t="str">
        <f>IF($C1426="","",IF($D1426="Gider",$H1426,$E1426))</f>
        <v/>
      </c>
      <c r="O1426" s="73" t="str">
        <f>IF($C1426="","",DATE(YEAR($C1426),MONTH($C1426),1))</f>
        <v/>
      </c>
      <c r="P1426" s="65" t="str">
        <f ca="1">IF($C1426="","",IF(AND($D1426="Gelir",$L1426&lt;&gt;"",$T1426=""),"TANIMSIZ BORÇLU",IF($T1426&lt;&gt;"",IF(OR($E1426="",$G1426&lt;=0),"EKSİK",IF($I1426="Evet","TAHAKKUK NAKİT OLAMAZ",IF($C1426&gt;TODAY(),"İLERİ TARİH","TAHAKKUK"))),IF(AND($D1426&lt;&gt;"",$E1426&lt;&gt;"",$G1426&gt;0,$H1426&lt;&gt;"",$I1426&lt;&gt;""),IF($C1426&gt;TODAY(),"İLERİ TARİH",IF(COUNTIF($W$7:$W$3001,$W1426)&gt;1,"MÜKERRER?",IF($AD1426&gt;0,"KAPALI DÖNEM",IF($I1426="Hayır","ÖDENECEK","UYGUN")))),"EKSİK"))))</f>
        <v/>
      </c>
      <c r="Q1426" s="2"/>
      <c r="R1426" s="2"/>
      <c r="S1426" s="1" t="str">
        <f t="shared" si="68"/>
        <v/>
      </c>
      <c r="T1426" s="1" t="str">
        <f>IF(OR($C1426="",$D1426&lt;&gt;"Gelir",$L1426=""),"",IFERROR(INDEX(MUSTERILER!$B$7:$B$156,MATCH($S1426,MUSTERILER!$T$7:$T$156,0)),""))</f>
        <v/>
      </c>
      <c r="U1426" s="1" t="str">
        <f>IF($T1426="","",$T1426&amp;"|"&amp;COUNTIFS($T$7:$T1426,$T1426))</f>
        <v/>
      </c>
      <c r="V1426" s="1">
        <f t="shared" si="69"/>
        <v>0</v>
      </c>
      <c r="W1426" s="1" t="str">
        <f t="shared" si="70"/>
        <v/>
      </c>
      <c r="X1426" s="1"/>
      <c r="Y1426" s="1"/>
      <c r="Z1426" s="1"/>
      <c r="AA1426" s="1"/>
      <c r="AB1426" s="1"/>
      <c r="AC1426" s="1"/>
      <c r="AD1426" s="1">
        <f>IF($C1426="",0,SUMPRODUCT((AY_SONU!$O$7:$O$42="Evet")*(AY_SONU!$B$7:$B$42=DATE(YEAR($C1426),MONTH($C1426),1))))</f>
        <v>0</v>
      </c>
      <c r="AE1426" s="1" t="str">
        <f>IF($E1426="","",$E1426&amp;"|"&amp;COUNTIFS($E$7:$E1426,$E1426))</f>
        <v/>
      </c>
    </row>
    <row r="1427" spans="1:31" ht="18" customHeight="1" x14ac:dyDescent="0.3">
      <c r="A1427" s="2"/>
      <c r="B1427" s="65" t="str">
        <f>IF($C1427="","","GG"&amp;TEXT(ROW()-6,"00000"))</f>
        <v/>
      </c>
      <c r="C1427" s="66"/>
      <c r="D1427" s="60"/>
      <c r="E1427" s="61"/>
      <c r="F1427" s="61"/>
      <c r="G1427" s="67"/>
      <c r="H1427" s="60"/>
      <c r="I1427" s="60"/>
      <c r="J1427" s="61"/>
      <c r="K1427" s="61"/>
      <c r="L1427" s="60"/>
      <c r="M1427" s="74" t="str">
        <f>IF($C1427="","",IF($D1427="Gider",$E1427,IF($L1427&lt;&gt;"",$L1427,$H1427)))</f>
        <v/>
      </c>
      <c r="N1427" s="74" t="str">
        <f>IF($C1427="","",IF($D1427="Gider",$H1427,$E1427))</f>
        <v/>
      </c>
      <c r="O1427" s="73" t="str">
        <f>IF($C1427="","",DATE(YEAR($C1427),MONTH($C1427),1))</f>
        <v/>
      </c>
      <c r="P1427" s="65" t="str">
        <f ca="1">IF($C1427="","",IF(AND($D1427="Gelir",$L1427&lt;&gt;"",$T1427=""),"TANIMSIZ BORÇLU",IF($T1427&lt;&gt;"",IF(OR($E1427="",$G1427&lt;=0),"EKSİK",IF($I1427="Evet","TAHAKKUK NAKİT OLAMAZ",IF($C1427&gt;TODAY(),"İLERİ TARİH","TAHAKKUK"))),IF(AND($D1427&lt;&gt;"",$E1427&lt;&gt;"",$G1427&gt;0,$H1427&lt;&gt;"",$I1427&lt;&gt;""),IF($C1427&gt;TODAY(),"İLERİ TARİH",IF(COUNTIF($W$7:$W$3001,$W1427)&gt;1,"MÜKERRER?",IF($AD1427&gt;0,"KAPALI DÖNEM",IF($I1427="Hayır","ÖDENECEK","UYGUN")))),"EKSİK"))))</f>
        <v/>
      </c>
      <c r="Q1427" s="2"/>
      <c r="R1427" s="2"/>
      <c r="S1427" s="1" t="str">
        <f t="shared" si="68"/>
        <v/>
      </c>
      <c r="T1427" s="1" t="str">
        <f>IF(OR($C1427="",$D1427&lt;&gt;"Gelir",$L1427=""),"",IFERROR(INDEX(MUSTERILER!$B$7:$B$156,MATCH($S1427,MUSTERILER!$T$7:$T$156,0)),""))</f>
        <v/>
      </c>
      <c r="U1427" s="1" t="str">
        <f>IF($T1427="","",$T1427&amp;"|"&amp;COUNTIFS($T$7:$T1427,$T1427))</f>
        <v/>
      </c>
      <c r="V1427" s="1">
        <f t="shared" si="69"/>
        <v>0</v>
      </c>
      <c r="W1427" s="1" t="str">
        <f t="shared" si="70"/>
        <v/>
      </c>
      <c r="X1427" s="1"/>
      <c r="Y1427" s="1"/>
      <c r="Z1427" s="1"/>
      <c r="AA1427" s="1"/>
      <c r="AB1427" s="1"/>
      <c r="AC1427" s="1"/>
      <c r="AD1427" s="1">
        <f>IF($C1427="",0,SUMPRODUCT((AY_SONU!$O$7:$O$42="Evet")*(AY_SONU!$B$7:$B$42=DATE(YEAR($C1427),MONTH($C1427),1))))</f>
        <v>0</v>
      </c>
      <c r="AE1427" s="1" t="str">
        <f>IF($E1427="","",$E1427&amp;"|"&amp;COUNTIFS($E$7:$E1427,$E1427))</f>
        <v/>
      </c>
    </row>
    <row r="1428" spans="1:31" ht="18" customHeight="1" x14ac:dyDescent="0.3">
      <c r="A1428" s="2"/>
      <c r="B1428" s="65" t="str">
        <f>IF($C1428="","","GG"&amp;TEXT(ROW()-6,"00000"))</f>
        <v/>
      </c>
      <c r="C1428" s="66"/>
      <c r="D1428" s="60"/>
      <c r="E1428" s="61"/>
      <c r="F1428" s="61"/>
      <c r="G1428" s="67"/>
      <c r="H1428" s="60"/>
      <c r="I1428" s="60"/>
      <c r="J1428" s="61"/>
      <c r="K1428" s="61"/>
      <c r="L1428" s="60"/>
      <c r="M1428" s="74" t="str">
        <f>IF($C1428="","",IF($D1428="Gider",$E1428,IF($L1428&lt;&gt;"",$L1428,$H1428)))</f>
        <v/>
      </c>
      <c r="N1428" s="74" t="str">
        <f>IF($C1428="","",IF($D1428="Gider",$H1428,$E1428))</f>
        <v/>
      </c>
      <c r="O1428" s="73" t="str">
        <f>IF($C1428="","",DATE(YEAR($C1428),MONTH($C1428),1))</f>
        <v/>
      </c>
      <c r="P1428" s="65" t="str">
        <f ca="1">IF($C1428="","",IF(AND($D1428="Gelir",$L1428&lt;&gt;"",$T1428=""),"TANIMSIZ BORÇLU",IF($T1428&lt;&gt;"",IF(OR($E1428="",$G1428&lt;=0),"EKSİK",IF($I1428="Evet","TAHAKKUK NAKİT OLAMAZ",IF($C1428&gt;TODAY(),"İLERİ TARİH","TAHAKKUK"))),IF(AND($D1428&lt;&gt;"",$E1428&lt;&gt;"",$G1428&gt;0,$H1428&lt;&gt;"",$I1428&lt;&gt;""),IF($C1428&gt;TODAY(),"İLERİ TARİH",IF(COUNTIF($W$7:$W$3001,$W1428)&gt;1,"MÜKERRER?",IF($AD1428&gt;0,"KAPALI DÖNEM",IF($I1428="Hayır","ÖDENECEK","UYGUN")))),"EKSİK"))))</f>
        <v/>
      </c>
      <c r="Q1428" s="2"/>
      <c r="R1428" s="2"/>
      <c r="S1428" s="1" t="str">
        <f t="shared" si="68"/>
        <v/>
      </c>
      <c r="T1428" s="1" t="str">
        <f>IF(OR($C1428="",$D1428&lt;&gt;"Gelir",$L1428=""),"",IFERROR(INDEX(MUSTERILER!$B$7:$B$156,MATCH($S1428,MUSTERILER!$T$7:$T$156,0)),""))</f>
        <v/>
      </c>
      <c r="U1428" s="1" t="str">
        <f>IF($T1428="","",$T1428&amp;"|"&amp;COUNTIFS($T$7:$T1428,$T1428))</f>
        <v/>
      </c>
      <c r="V1428" s="1">
        <f t="shared" si="69"/>
        <v>0</v>
      </c>
      <c r="W1428" s="1" t="str">
        <f t="shared" si="70"/>
        <v/>
      </c>
      <c r="X1428" s="1"/>
      <c r="Y1428" s="1"/>
      <c r="Z1428" s="1"/>
      <c r="AA1428" s="1"/>
      <c r="AB1428" s="1"/>
      <c r="AC1428" s="1"/>
      <c r="AD1428" s="1">
        <f>IF($C1428="",0,SUMPRODUCT((AY_SONU!$O$7:$O$42="Evet")*(AY_SONU!$B$7:$B$42=DATE(YEAR($C1428),MONTH($C1428),1))))</f>
        <v>0</v>
      </c>
      <c r="AE1428" s="1" t="str">
        <f>IF($E1428="","",$E1428&amp;"|"&amp;COUNTIFS($E$7:$E1428,$E1428))</f>
        <v/>
      </c>
    </row>
    <row r="1429" spans="1:31" ht="18" customHeight="1" x14ac:dyDescent="0.3">
      <c r="A1429" s="2"/>
      <c r="B1429" s="65" t="str">
        <f>IF($C1429="","","GG"&amp;TEXT(ROW()-6,"00000"))</f>
        <v/>
      </c>
      <c r="C1429" s="66"/>
      <c r="D1429" s="60"/>
      <c r="E1429" s="61"/>
      <c r="F1429" s="61"/>
      <c r="G1429" s="67"/>
      <c r="H1429" s="60"/>
      <c r="I1429" s="60"/>
      <c r="J1429" s="61"/>
      <c r="K1429" s="61"/>
      <c r="L1429" s="60"/>
      <c r="M1429" s="74" t="str">
        <f>IF($C1429="","",IF($D1429="Gider",$E1429,IF($L1429&lt;&gt;"",$L1429,$H1429)))</f>
        <v/>
      </c>
      <c r="N1429" s="74" t="str">
        <f>IF($C1429="","",IF($D1429="Gider",$H1429,$E1429))</f>
        <v/>
      </c>
      <c r="O1429" s="73" t="str">
        <f>IF($C1429="","",DATE(YEAR($C1429),MONTH($C1429),1))</f>
        <v/>
      </c>
      <c r="P1429" s="65" t="str">
        <f ca="1">IF($C1429="","",IF(AND($D1429="Gelir",$L1429&lt;&gt;"",$T1429=""),"TANIMSIZ BORÇLU",IF($T1429&lt;&gt;"",IF(OR($E1429="",$G1429&lt;=0),"EKSİK",IF($I1429="Evet","TAHAKKUK NAKİT OLAMAZ",IF($C1429&gt;TODAY(),"İLERİ TARİH","TAHAKKUK"))),IF(AND($D1429&lt;&gt;"",$E1429&lt;&gt;"",$G1429&gt;0,$H1429&lt;&gt;"",$I1429&lt;&gt;""),IF($C1429&gt;TODAY(),"İLERİ TARİH",IF(COUNTIF($W$7:$W$3001,$W1429)&gt;1,"MÜKERRER?",IF($AD1429&gt;0,"KAPALI DÖNEM",IF($I1429="Hayır","ÖDENECEK","UYGUN")))),"EKSİK"))))</f>
        <v/>
      </c>
      <c r="Q1429" s="2"/>
      <c r="R1429" s="2"/>
      <c r="S1429" s="1" t="str">
        <f t="shared" si="68"/>
        <v/>
      </c>
      <c r="T1429" s="1" t="str">
        <f>IF(OR($C1429="",$D1429&lt;&gt;"Gelir",$L1429=""),"",IFERROR(INDEX(MUSTERILER!$B$7:$B$156,MATCH($S1429,MUSTERILER!$T$7:$T$156,0)),""))</f>
        <v/>
      </c>
      <c r="U1429" s="1" t="str">
        <f>IF($T1429="","",$T1429&amp;"|"&amp;COUNTIFS($T$7:$T1429,$T1429))</f>
        <v/>
      </c>
      <c r="V1429" s="1">
        <f t="shared" si="69"/>
        <v>0</v>
      </c>
      <c r="W1429" s="1" t="str">
        <f t="shared" si="70"/>
        <v/>
      </c>
      <c r="X1429" s="1"/>
      <c r="Y1429" s="1"/>
      <c r="Z1429" s="1"/>
      <c r="AA1429" s="1"/>
      <c r="AB1429" s="1"/>
      <c r="AC1429" s="1"/>
      <c r="AD1429" s="1">
        <f>IF($C1429="",0,SUMPRODUCT((AY_SONU!$O$7:$O$42="Evet")*(AY_SONU!$B$7:$B$42=DATE(YEAR($C1429),MONTH($C1429),1))))</f>
        <v>0</v>
      </c>
      <c r="AE1429" s="1" t="str">
        <f>IF($E1429="","",$E1429&amp;"|"&amp;COUNTIFS($E$7:$E1429,$E1429))</f>
        <v/>
      </c>
    </row>
    <row r="1430" spans="1:31" ht="18" customHeight="1" x14ac:dyDescent="0.3">
      <c r="A1430" s="2"/>
      <c r="B1430" s="65" t="str">
        <f>IF($C1430="","","GG"&amp;TEXT(ROW()-6,"00000"))</f>
        <v/>
      </c>
      <c r="C1430" s="66"/>
      <c r="D1430" s="60"/>
      <c r="E1430" s="61"/>
      <c r="F1430" s="61"/>
      <c r="G1430" s="67"/>
      <c r="H1430" s="60"/>
      <c r="I1430" s="60"/>
      <c r="J1430" s="61"/>
      <c r="K1430" s="61"/>
      <c r="L1430" s="60"/>
      <c r="M1430" s="74" t="str">
        <f>IF($C1430="","",IF($D1430="Gider",$E1430,IF($L1430&lt;&gt;"",$L1430,$H1430)))</f>
        <v/>
      </c>
      <c r="N1430" s="74" t="str">
        <f>IF($C1430="","",IF($D1430="Gider",$H1430,$E1430))</f>
        <v/>
      </c>
      <c r="O1430" s="73" t="str">
        <f>IF($C1430="","",DATE(YEAR($C1430),MONTH($C1430),1))</f>
        <v/>
      </c>
      <c r="P1430" s="65" t="str">
        <f ca="1">IF($C1430="","",IF(AND($D1430="Gelir",$L1430&lt;&gt;"",$T1430=""),"TANIMSIZ BORÇLU",IF($T1430&lt;&gt;"",IF(OR($E1430="",$G1430&lt;=0),"EKSİK",IF($I1430="Evet","TAHAKKUK NAKİT OLAMAZ",IF($C1430&gt;TODAY(),"İLERİ TARİH","TAHAKKUK"))),IF(AND($D1430&lt;&gt;"",$E1430&lt;&gt;"",$G1430&gt;0,$H1430&lt;&gt;"",$I1430&lt;&gt;""),IF($C1430&gt;TODAY(),"İLERİ TARİH",IF(COUNTIF($W$7:$W$3001,$W1430)&gt;1,"MÜKERRER?",IF($AD1430&gt;0,"KAPALI DÖNEM",IF($I1430="Hayır","ÖDENECEK","UYGUN")))),"EKSİK"))))</f>
        <v/>
      </c>
      <c r="Q1430" s="2"/>
      <c r="R1430" s="2"/>
      <c r="S1430" s="1" t="str">
        <f t="shared" si="68"/>
        <v/>
      </c>
      <c r="T1430" s="1" t="str">
        <f>IF(OR($C1430="",$D1430&lt;&gt;"Gelir",$L1430=""),"",IFERROR(INDEX(MUSTERILER!$B$7:$B$156,MATCH($S1430,MUSTERILER!$T$7:$T$156,0)),""))</f>
        <v/>
      </c>
      <c r="U1430" s="1" t="str">
        <f>IF($T1430="","",$T1430&amp;"|"&amp;COUNTIFS($T$7:$T1430,$T1430))</f>
        <v/>
      </c>
      <c r="V1430" s="1">
        <f t="shared" si="69"/>
        <v>0</v>
      </c>
      <c r="W1430" s="1" t="str">
        <f t="shared" si="70"/>
        <v/>
      </c>
      <c r="X1430" s="1"/>
      <c r="Y1430" s="1"/>
      <c r="Z1430" s="1"/>
      <c r="AA1430" s="1"/>
      <c r="AB1430" s="1"/>
      <c r="AC1430" s="1"/>
      <c r="AD1430" s="1">
        <f>IF($C1430="",0,SUMPRODUCT((AY_SONU!$O$7:$O$42="Evet")*(AY_SONU!$B$7:$B$42=DATE(YEAR($C1430),MONTH($C1430),1))))</f>
        <v>0</v>
      </c>
      <c r="AE1430" s="1" t="str">
        <f>IF($E1430="","",$E1430&amp;"|"&amp;COUNTIFS($E$7:$E1430,$E1430))</f>
        <v/>
      </c>
    </row>
    <row r="1431" spans="1:31" ht="18" customHeight="1" x14ac:dyDescent="0.3">
      <c r="A1431" s="2"/>
      <c r="B1431" s="65" t="str">
        <f>IF($C1431="","","GG"&amp;TEXT(ROW()-6,"00000"))</f>
        <v/>
      </c>
      <c r="C1431" s="66"/>
      <c r="D1431" s="60"/>
      <c r="E1431" s="61"/>
      <c r="F1431" s="61"/>
      <c r="G1431" s="67"/>
      <c r="H1431" s="60"/>
      <c r="I1431" s="60"/>
      <c r="J1431" s="61"/>
      <c r="K1431" s="61"/>
      <c r="L1431" s="60"/>
      <c r="M1431" s="74" t="str">
        <f>IF($C1431="","",IF($D1431="Gider",$E1431,IF($L1431&lt;&gt;"",$L1431,$H1431)))</f>
        <v/>
      </c>
      <c r="N1431" s="74" t="str">
        <f>IF($C1431="","",IF($D1431="Gider",$H1431,$E1431))</f>
        <v/>
      </c>
      <c r="O1431" s="73" t="str">
        <f>IF($C1431="","",DATE(YEAR($C1431),MONTH($C1431),1))</f>
        <v/>
      </c>
      <c r="P1431" s="65" t="str">
        <f ca="1">IF($C1431="","",IF(AND($D1431="Gelir",$L1431&lt;&gt;"",$T1431=""),"TANIMSIZ BORÇLU",IF($T1431&lt;&gt;"",IF(OR($E1431="",$G1431&lt;=0),"EKSİK",IF($I1431="Evet","TAHAKKUK NAKİT OLAMAZ",IF($C1431&gt;TODAY(),"İLERİ TARİH","TAHAKKUK"))),IF(AND($D1431&lt;&gt;"",$E1431&lt;&gt;"",$G1431&gt;0,$H1431&lt;&gt;"",$I1431&lt;&gt;""),IF($C1431&gt;TODAY(),"İLERİ TARİH",IF(COUNTIF($W$7:$W$3001,$W1431)&gt;1,"MÜKERRER?",IF($AD1431&gt;0,"KAPALI DÖNEM",IF($I1431="Hayır","ÖDENECEK","UYGUN")))),"EKSİK"))))</f>
        <v/>
      </c>
      <c r="Q1431" s="2"/>
      <c r="R1431" s="2"/>
      <c r="S1431" s="1" t="str">
        <f t="shared" si="68"/>
        <v/>
      </c>
      <c r="T1431" s="1" t="str">
        <f>IF(OR($C1431="",$D1431&lt;&gt;"Gelir",$L1431=""),"",IFERROR(INDEX(MUSTERILER!$B$7:$B$156,MATCH($S1431,MUSTERILER!$T$7:$T$156,0)),""))</f>
        <v/>
      </c>
      <c r="U1431" s="1" t="str">
        <f>IF($T1431="","",$T1431&amp;"|"&amp;COUNTIFS($T$7:$T1431,$T1431))</f>
        <v/>
      </c>
      <c r="V1431" s="1">
        <f t="shared" si="69"/>
        <v>0</v>
      </c>
      <c r="W1431" s="1" t="str">
        <f t="shared" si="70"/>
        <v/>
      </c>
      <c r="X1431" s="1"/>
      <c r="Y1431" s="1"/>
      <c r="Z1431" s="1"/>
      <c r="AA1431" s="1"/>
      <c r="AB1431" s="1"/>
      <c r="AC1431" s="1"/>
      <c r="AD1431" s="1">
        <f>IF($C1431="",0,SUMPRODUCT((AY_SONU!$O$7:$O$42="Evet")*(AY_SONU!$B$7:$B$42=DATE(YEAR($C1431),MONTH($C1431),1))))</f>
        <v>0</v>
      </c>
      <c r="AE1431" s="1" t="str">
        <f>IF($E1431="","",$E1431&amp;"|"&amp;COUNTIFS($E$7:$E1431,$E1431))</f>
        <v/>
      </c>
    </row>
    <row r="1432" spans="1:31" ht="18" customHeight="1" x14ac:dyDescent="0.3">
      <c r="A1432" s="2"/>
      <c r="B1432" s="65" t="str">
        <f>IF($C1432="","","GG"&amp;TEXT(ROW()-6,"00000"))</f>
        <v/>
      </c>
      <c r="C1432" s="66"/>
      <c r="D1432" s="60"/>
      <c r="E1432" s="61"/>
      <c r="F1432" s="61"/>
      <c r="G1432" s="67"/>
      <c r="H1432" s="60"/>
      <c r="I1432" s="60"/>
      <c r="J1432" s="61"/>
      <c r="K1432" s="61"/>
      <c r="L1432" s="60"/>
      <c r="M1432" s="74" t="str">
        <f>IF($C1432="","",IF($D1432="Gider",$E1432,IF($L1432&lt;&gt;"",$L1432,$H1432)))</f>
        <v/>
      </c>
      <c r="N1432" s="74" t="str">
        <f>IF($C1432="","",IF($D1432="Gider",$H1432,$E1432))</f>
        <v/>
      </c>
      <c r="O1432" s="73" t="str">
        <f>IF($C1432="","",DATE(YEAR($C1432),MONTH($C1432),1))</f>
        <v/>
      </c>
      <c r="P1432" s="65" t="str">
        <f ca="1">IF($C1432="","",IF(AND($D1432="Gelir",$L1432&lt;&gt;"",$T1432=""),"TANIMSIZ BORÇLU",IF($T1432&lt;&gt;"",IF(OR($E1432="",$G1432&lt;=0),"EKSİK",IF($I1432="Evet","TAHAKKUK NAKİT OLAMAZ",IF($C1432&gt;TODAY(),"İLERİ TARİH","TAHAKKUK"))),IF(AND($D1432&lt;&gt;"",$E1432&lt;&gt;"",$G1432&gt;0,$H1432&lt;&gt;"",$I1432&lt;&gt;""),IF($C1432&gt;TODAY(),"İLERİ TARİH",IF(COUNTIF($W$7:$W$3001,$W1432)&gt;1,"MÜKERRER?",IF($AD1432&gt;0,"KAPALI DÖNEM",IF($I1432="Hayır","ÖDENECEK","UYGUN")))),"EKSİK"))))</f>
        <v/>
      </c>
      <c r="Q1432" s="2"/>
      <c r="R1432" s="2"/>
      <c r="S1432" s="1" t="str">
        <f t="shared" si="68"/>
        <v/>
      </c>
      <c r="T1432" s="1" t="str">
        <f>IF(OR($C1432="",$D1432&lt;&gt;"Gelir",$L1432=""),"",IFERROR(INDEX(MUSTERILER!$B$7:$B$156,MATCH($S1432,MUSTERILER!$T$7:$T$156,0)),""))</f>
        <v/>
      </c>
      <c r="U1432" s="1" t="str">
        <f>IF($T1432="","",$T1432&amp;"|"&amp;COUNTIFS($T$7:$T1432,$T1432))</f>
        <v/>
      </c>
      <c r="V1432" s="1">
        <f t="shared" si="69"/>
        <v>0</v>
      </c>
      <c r="W1432" s="1" t="str">
        <f t="shared" si="70"/>
        <v/>
      </c>
      <c r="X1432" s="1"/>
      <c r="Y1432" s="1"/>
      <c r="Z1432" s="1"/>
      <c r="AA1432" s="1"/>
      <c r="AB1432" s="1"/>
      <c r="AC1432" s="1"/>
      <c r="AD1432" s="1">
        <f>IF($C1432="",0,SUMPRODUCT((AY_SONU!$O$7:$O$42="Evet")*(AY_SONU!$B$7:$B$42=DATE(YEAR($C1432),MONTH($C1432),1))))</f>
        <v>0</v>
      </c>
      <c r="AE1432" s="1" t="str">
        <f>IF($E1432="","",$E1432&amp;"|"&amp;COUNTIFS($E$7:$E1432,$E1432))</f>
        <v/>
      </c>
    </row>
    <row r="1433" spans="1:31" ht="18" customHeight="1" x14ac:dyDescent="0.3">
      <c r="A1433" s="2"/>
      <c r="B1433" s="65" t="str">
        <f>IF($C1433="","","GG"&amp;TEXT(ROW()-6,"00000"))</f>
        <v/>
      </c>
      <c r="C1433" s="66"/>
      <c r="D1433" s="60"/>
      <c r="E1433" s="61"/>
      <c r="F1433" s="61"/>
      <c r="G1433" s="67"/>
      <c r="H1433" s="60"/>
      <c r="I1433" s="60"/>
      <c r="J1433" s="61"/>
      <c r="K1433" s="61"/>
      <c r="L1433" s="60"/>
      <c r="M1433" s="74" t="str">
        <f>IF($C1433="","",IF($D1433="Gider",$E1433,IF($L1433&lt;&gt;"",$L1433,$H1433)))</f>
        <v/>
      </c>
      <c r="N1433" s="74" t="str">
        <f>IF($C1433="","",IF($D1433="Gider",$H1433,$E1433))</f>
        <v/>
      </c>
      <c r="O1433" s="73" t="str">
        <f>IF($C1433="","",DATE(YEAR($C1433),MONTH($C1433),1))</f>
        <v/>
      </c>
      <c r="P1433" s="65" t="str">
        <f ca="1">IF($C1433="","",IF(AND($D1433="Gelir",$L1433&lt;&gt;"",$T1433=""),"TANIMSIZ BORÇLU",IF($T1433&lt;&gt;"",IF(OR($E1433="",$G1433&lt;=0),"EKSİK",IF($I1433="Evet","TAHAKKUK NAKİT OLAMAZ",IF($C1433&gt;TODAY(),"İLERİ TARİH","TAHAKKUK"))),IF(AND($D1433&lt;&gt;"",$E1433&lt;&gt;"",$G1433&gt;0,$H1433&lt;&gt;"",$I1433&lt;&gt;""),IF($C1433&gt;TODAY(),"İLERİ TARİH",IF(COUNTIF($W$7:$W$3001,$W1433)&gt;1,"MÜKERRER?",IF($AD1433&gt;0,"KAPALI DÖNEM",IF($I1433="Hayır","ÖDENECEK","UYGUN")))),"EKSİK"))))</f>
        <v/>
      </c>
      <c r="Q1433" s="2"/>
      <c r="R1433" s="2"/>
      <c r="S1433" s="1" t="str">
        <f t="shared" si="68"/>
        <v/>
      </c>
      <c r="T1433" s="1" t="str">
        <f>IF(OR($C1433="",$D1433&lt;&gt;"Gelir",$L1433=""),"",IFERROR(INDEX(MUSTERILER!$B$7:$B$156,MATCH($S1433,MUSTERILER!$T$7:$T$156,0)),""))</f>
        <v/>
      </c>
      <c r="U1433" s="1" t="str">
        <f>IF($T1433="","",$T1433&amp;"|"&amp;COUNTIFS($T$7:$T1433,$T1433))</f>
        <v/>
      </c>
      <c r="V1433" s="1">
        <f t="shared" si="69"/>
        <v>0</v>
      </c>
      <c r="W1433" s="1" t="str">
        <f t="shared" si="70"/>
        <v/>
      </c>
      <c r="X1433" s="1"/>
      <c r="Y1433" s="1"/>
      <c r="Z1433" s="1"/>
      <c r="AA1433" s="1"/>
      <c r="AB1433" s="1"/>
      <c r="AC1433" s="1"/>
      <c r="AD1433" s="1">
        <f>IF($C1433="",0,SUMPRODUCT((AY_SONU!$O$7:$O$42="Evet")*(AY_SONU!$B$7:$B$42=DATE(YEAR($C1433),MONTH($C1433),1))))</f>
        <v>0</v>
      </c>
      <c r="AE1433" s="1" t="str">
        <f>IF($E1433="","",$E1433&amp;"|"&amp;COUNTIFS($E$7:$E1433,$E1433))</f>
        <v/>
      </c>
    </row>
    <row r="1434" spans="1:31" ht="18" customHeight="1" x14ac:dyDescent="0.3">
      <c r="A1434" s="2"/>
      <c r="B1434" s="65" t="str">
        <f>IF($C1434="","","GG"&amp;TEXT(ROW()-6,"00000"))</f>
        <v/>
      </c>
      <c r="C1434" s="66"/>
      <c r="D1434" s="60"/>
      <c r="E1434" s="61"/>
      <c r="F1434" s="61"/>
      <c r="G1434" s="67"/>
      <c r="H1434" s="60"/>
      <c r="I1434" s="60"/>
      <c r="J1434" s="61"/>
      <c r="K1434" s="61"/>
      <c r="L1434" s="60"/>
      <c r="M1434" s="74" t="str">
        <f>IF($C1434="","",IF($D1434="Gider",$E1434,IF($L1434&lt;&gt;"",$L1434,$H1434)))</f>
        <v/>
      </c>
      <c r="N1434" s="74" t="str">
        <f>IF($C1434="","",IF($D1434="Gider",$H1434,$E1434))</f>
        <v/>
      </c>
      <c r="O1434" s="73" t="str">
        <f>IF($C1434="","",DATE(YEAR($C1434),MONTH($C1434),1))</f>
        <v/>
      </c>
      <c r="P1434" s="65" t="str">
        <f ca="1">IF($C1434="","",IF(AND($D1434="Gelir",$L1434&lt;&gt;"",$T1434=""),"TANIMSIZ BORÇLU",IF($T1434&lt;&gt;"",IF(OR($E1434="",$G1434&lt;=0),"EKSİK",IF($I1434="Evet","TAHAKKUK NAKİT OLAMAZ",IF($C1434&gt;TODAY(),"İLERİ TARİH","TAHAKKUK"))),IF(AND($D1434&lt;&gt;"",$E1434&lt;&gt;"",$G1434&gt;0,$H1434&lt;&gt;"",$I1434&lt;&gt;""),IF($C1434&gt;TODAY(),"İLERİ TARİH",IF(COUNTIF($W$7:$W$3001,$W1434)&gt;1,"MÜKERRER?",IF($AD1434&gt;0,"KAPALI DÖNEM",IF($I1434="Hayır","ÖDENECEK","UYGUN")))),"EKSİK"))))</f>
        <v/>
      </c>
      <c r="Q1434" s="2"/>
      <c r="R1434" s="2"/>
      <c r="S1434" s="1" t="str">
        <f t="shared" si="68"/>
        <v/>
      </c>
      <c r="T1434" s="1" t="str">
        <f>IF(OR($C1434="",$D1434&lt;&gt;"Gelir",$L1434=""),"",IFERROR(INDEX(MUSTERILER!$B$7:$B$156,MATCH($S1434,MUSTERILER!$T$7:$T$156,0)),""))</f>
        <v/>
      </c>
      <c r="U1434" s="1" t="str">
        <f>IF($T1434="","",$T1434&amp;"|"&amp;COUNTIFS($T$7:$T1434,$T1434))</f>
        <v/>
      </c>
      <c r="V1434" s="1">
        <f t="shared" si="69"/>
        <v>0</v>
      </c>
      <c r="W1434" s="1" t="str">
        <f t="shared" si="70"/>
        <v/>
      </c>
      <c r="X1434" s="1"/>
      <c r="Y1434" s="1"/>
      <c r="Z1434" s="1"/>
      <c r="AA1434" s="1"/>
      <c r="AB1434" s="1"/>
      <c r="AC1434" s="1"/>
      <c r="AD1434" s="1">
        <f>IF($C1434="",0,SUMPRODUCT((AY_SONU!$O$7:$O$42="Evet")*(AY_SONU!$B$7:$B$42=DATE(YEAR($C1434),MONTH($C1434),1))))</f>
        <v>0</v>
      </c>
      <c r="AE1434" s="1" t="str">
        <f>IF($E1434="","",$E1434&amp;"|"&amp;COUNTIFS($E$7:$E1434,$E1434))</f>
        <v/>
      </c>
    </row>
    <row r="1435" spans="1:31" ht="18" customHeight="1" x14ac:dyDescent="0.3">
      <c r="A1435" s="2"/>
      <c r="B1435" s="65" t="str">
        <f>IF($C1435="","","GG"&amp;TEXT(ROW()-6,"00000"))</f>
        <v/>
      </c>
      <c r="C1435" s="66"/>
      <c r="D1435" s="60"/>
      <c r="E1435" s="61"/>
      <c r="F1435" s="61"/>
      <c r="G1435" s="67"/>
      <c r="H1435" s="60"/>
      <c r="I1435" s="60"/>
      <c r="J1435" s="61"/>
      <c r="K1435" s="61"/>
      <c r="L1435" s="60"/>
      <c r="M1435" s="74" t="str">
        <f>IF($C1435="","",IF($D1435="Gider",$E1435,IF($L1435&lt;&gt;"",$L1435,$H1435)))</f>
        <v/>
      </c>
      <c r="N1435" s="74" t="str">
        <f>IF($C1435="","",IF($D1435="Gider",$H1435,$E1435))</f>
        <v/>
      </c>
      <c r="O1435" s="73" t="str">
        <f>IF($C1435="","",DATE(YEAR($C1435),MONTH($C1435),1))</f>
        <v/>
      </c>
      <c r="P1435" s="65" t="str">
        <f ca="1">IF($C1435="","",IF(AND($D1435="Gelir",$L1435&lt;&gt;"",$T1435=""),"TANIMSIZ BORÇLU",IF($T1435&lt;&gt;"",IF(OR($E1435="",$G1435&lt;=0),"EKSİK",IF($I1435="Evet","TAHAKKUK NAKİT OLAMAZ",IF($C1435&gt;TODAY(),"İLERİ TARİH","TAHAKKUK"))),IF(AND($D1435&lt;&gt;"",$E1435&lt;&gt;"",$G1435&gt;0,$H1435&lt;&gt;"",$I1435&lt;&gt;""),IF($C1435&gt;TODAY(),"İLERİ TARİH",IF(COUNTIF($W$7:$W$3001,$W1435)&gt;1,"MÜKERRER?",IF($AD1435&gt;0,"KAPALI DÖNEM",IF($I1435="Hayır","ÖDENECEK","UYGUN")))),"EKSİK"))))</f>
        <v/>
      </c>
      <c r="Q1435" s="2"/>
      <c r="R1435" s="2"/>
      <c r="S1435" s="1" t="str">
        <f t="shared" si="68"/>
        <v/>
      </c>
      <c r="T1435" s="1" t="str">
        <f>IF(OR($C1435="",$D1435&lt;&gt;"Gelir",$L1435=""),"",IFERROR(INDEX(MUSTERILER!$B$7:$B$156,MATCH($S1435,MUSTERILER!$T$7:$T$156,0)),""))</f>
        <v/>
      </c>
      <c r="U1435" s="1" t="str">
        <f>IF($T1435="","",$T1435&amp;"|"&amp;COUNTIFS($T$7:$T1435,$T1435))</f>
        <v/>
      </c>
      <c r="V1435" s="1">
        <f t="shared" si="69"/>
        <v>0</v>
      </c>
      <c r="W1435" s="1" t="str">
        <f t="shared" si="70"/>
        <v/>
      </c>
      <c r="X1435" s="1"/>
      <c r="Y1435" s="1"/>
      <c r="Z1435" s="1"/>
      <c r="AA1435" s="1"/>
      <c r="AB1435" s="1"/>
      <c r="AC1435" s="1"/>
      <c r="AD1435" s="1">
        <f>IF($C1435="",0,SUMPRODUCT((AY_SONU!$O$7:$O$42="Evet")*(AY_SONU!$B$7:$B$42=DATE(YEAR($C1435),MONTH($C1435),1))))</f>
        <v>0</v>
      </c>
      <c r="AE1435" s="1" t="str">
        <f>IF($E1435="","",$E1435&amp;"|"&amp;COUNTIFS($E$7:$E1435,$E1435))</f>
        <v/>
      </c>
    </row>
    <row r="1436" spans="1:31" ht="18" customHeight="1" x14ac:dyDescent="0.3">
      <c r="A1436" s="2"/>
      <c r="B1436" s="65" t="str">
        <f>IF($C1436="","","GG"&amp;TEXT(ROW()-6,"00000"))</f>
        <v/>
      </c>
      <c r="C1436" s="66"/>
      <c r="D1436" s="60"/>
      <c r="E1436" s="61"/>
      <c r="F1436" s="61"/>
      <c r="G1436" s="67"/>
      <c r="H1436" s="60"/>
      <c r="I1436" s="60"/>
      <c r="J1436" s="61"/>
      <c r="K1436" s="61"/>
      <c r="L1436" s="60"/>
      <c r="M1436" s="74" t="str">
        <f>IF($C1436="","",IF($D1436="Gider",$E1436,IF($L1436&lt;&gt;"",$L1436,$H1436)))</f>
        <v/>
      </c>
      <c r="N1436" s="74" t="str">
        <f>IF($C1436="","",IF($D1436="Gider",$H1436,$E1436))</f>
        <v/>
      </c>
      <c r="O1436" s="73" t="str">
        <f>IF($C1436="","",DATE(YEAR($C1436),MONTH($C1436),1))</f>
        <v/>
      </c>
      <c r="P1436" s="65" t="str">
        <f ca="1">IF($C1436="","",IF(AND($D1436="Gelir",$L1436&lt;&gt;"",$T1436=""),"TANIMSIZ BORÇLU",IF($T1436&lt;&gt;"",IF(OR($E1436="",$G1436&lt;=0),"EKSİK",IF($I1436="Evet","TAHAKKUK NAKİT OLAMAZ",IF($C1436&gt;TODAY(),"İLERİ TARİH","TAHAKKUK"))),IF(AND($D1436&lt;&gt;"",$E1436&lt;&gt;"",$G1436&gt;0,$H1436&lt;&gt;"",$I1436&lt;&gt;""),IF($C1436&gt;TODAY(),"İLERİ TARİH",IF(COUNTIF($W$7:$W$3001,$W1436)&gt;1,"MÜKERRER?",IF($AD1436&gt;0,"KAPALI DÖNEM",IF($I1436="Hayır","ÖDENECEK","UYGUN")))),"EKSİK"))))</f>
        <v/>
      </c>
      <c r="Q1436" s="2"/>
      <c r="R1436" s="2"/>
      <c r="S1436" s="1" t="str">
        <f t="shared" si="68"/>
        <v/>
      </c>
      <c r="T1436" s="1" t="str">
        <f>IF(OR($C1436="",$D1436&lt;&gt;"Gelir",$L1436=""),"",IFERROR(INDEX(MUSTERILER!$B$7:$B$156,MATCH($S1436,MUSTERILER!$T$7:$T$156,0)),""))</f>
        <v/>
      </c>
      <c r="U1436" s="1" t="str">
        <f>IF($T1436="","",$T1436&amp;"|"&amp;COUNTIFS($T$7:$T1436,$T1436))</f>
        <v/>
      </c>
      <c r="V1436" s="1">
        <f t="shared" si="69"/>
        <v>0</v>
      </c>
      <c r="W1436" s="1" t="str">
        <f t="shared" si="70"/>
        <v/>
      </c>
      <c r="X1436" s="1"/>
      <c r="Y1436" s="1"/>
      <c r="Z1436" s="1"/>
      <c r="AA1436" s="1"/>
      <c r="AB1436" s="1"/>
      <c r="AC1436" s="1"/>
      <c r="AD1436" s="1">
        <f>IF($C1436="",0,SUMPRODUCT((AY_SONU!$O$7:$O$42="Evet")*(AY_SONU!$B$7:$B$42=DATE(YEAR($C1436),MONTH($C1436),1))))</f>
        <v>0</v>
      </c>
      <c r="AE1436" s="1" t="str">
        <f>IF($E1436="","",$E1436&amp;"|"&amp;COUNTIFS($E$7:$E1436,$E1436))</f>
        <v/>
      </c>
    </row>
    <row r="1437" spans="1:31" ht="18" customHeight="1" x14ac:dyDescent="0.3">
      <c r="A1437" s="2"/>
      <c r="B1437" s="65" t="str">
        <f>IF($C1437="","","GG"&amp;TEXT(ROW()-6,"00000"))</f>
        <v/>
      </c>
      <c r="C1437" s="66"/>
      <c r="D1437" s="60"/>
      <c r="E1437" s="61"/>
      <c r="F1437" s="61"/>
      <c r="G1437" s="67"/>
      <c r="H1437" s="60"/>
      <c r="I1437" s="60"/>
      <c r="J1437" s="61"/>
      <c r="K1437" s="61"/>
      <c r="L1437" s="60"/>
      <c r="M1437" s="74" t="str">
        <f>IF($C1437="","",IF($D1437="Gider",$E1437,IF($L1437&lt;&gt;"",$L1437,$H1437)))</f>
        <v/>
      </c>
      <c r="N1437" s="74" t="str">
        <f>IF($C1437="","",IF($D1437="Gider",$H1437,$E1437))</f>
        <v/>
      </c>
      <c r="O1437" s="73" t="str">
        <f>IF($C1437="","",DATE(YEAR($C1437),MONTH($C1437),1))</f>
        <v/>
      </c>
      <c r="P1437" s="65" t="str">
        <f ca="1">IF($C1437="","",IF(AND($D1437="Gelir",$L1437&lt;&gt;"",$T1437=""),"TANIMSIZ BORÇLU",IF($T1437&lt;&gt;"",IF(OR($E1437="",$G1437&lt;=0),"EKSİK",IF($I1437="Evet","TAHAKKUK NAKİT OLAMAZ",IF($C1437&gt;TODAY(),"İLERİ TARİH","TAHAKKUK"))),IF(AND($D1437&lt;&gt;"",$E1437&lt;&gt;"",$G1437&gt;0,$H1437&lt;&gt;"",$I1437&lt;&gt;""),IF($C1437&gt;TODAY(),"İLERİ TARİH",IF(COUNTIF($W$7:$W$3001,$W1437)&gt;1,"MÜKERRER?",IF($AD1437&gt;0,"KAPALI DÖNEM",IF($I1437="Hayır","ÖDENECEK","UYGUN")))),"EKSİK"))))</f>
        <v/>
      </c>
      <c r="Q1437" s="2"/>
      <c r="R1437" s="2"/>
      <c r="S1437" s="1" t="str">
        <f t="shared" si="68"/>
        <v/>
      </c>
      <c r="T1437" s="1" t="str">
        <f>IF(OR($C1437="",$D1437&lt;&gt;"Gelir",$L1437=""),"",IFERROR(INDEX(MUSTERILER!$B$7:$B$156,MATCH($S1437,MUSTERILER!$T$7:$T$156,0)),""))</f>
        <v/>
      </c>
      <c r="U1437" s="1" t="str">
        <f>IF($T1437="","",$T1437&amp;"|"&amp;COUNTIFS($T$7:$T1437,$T1437))</f>
        <v/>
      </c>
      <c r="V1437" s="1">
        <f t="shared" si="69"/>
        <v>0</v>
      </c>
      <c r="W1437" s="1" t="str">
        <f t="shared" si="70"/>
        <v/>
      </c>
      <c r="X1437" s="1"/>
      <c r="Y1437" s="1"/>
      <c r="Z1437" s="1"/>
      <c r="AA1437" s="1"/>
      <c r="AB1437" s="1"/>
      <c r="AC1437" s="1"/>
      <c r="AD1437" s="1">
        <f>IF($C1437="",0,SUMPRODUCT((AY_SONU!$O$7:$O$42="Evet")*(AY_SONU!$B$7:$B$42=DATE(YEAR($C1437),MONTH($C1437),1))))</f>
        <v>0</v>
      </c>
      <c r="AE1437" s="1" t="str">
        <f>IF($E1437="","",$E1437&amp;"|"&amp;COUNTIFS($E$7:$E1437,$E1437))</f>
        <v/>
      </c>
    </row>
    <row r="1438" spans="1:31" ht="18" customHeight="1" x14ac:dyDescent="0.3">
      <c r="A1438" s="2"/>
      <c r="B1438" s="65" t="str">
        <f>IF($C1438="","","GG"&amp;TEXT(ROW()-6,"00000"))</f>
        <v/>
      </c>
      <c r="C1438" s="66"/>
      <c r="D1438" s="60"/>
      <c r="E1438" s="61"/>
      <c r="F1438" s="61"/>
      <c r="G1438" s="67"/>
      <c r="H1438" s="60"/>
      <c r="I1438" s="60"/>
      <c r="J1438" s="61"/>
      <c r="K1438" s="61"/>
      <c r="L1438" s="60"/>
      <c r="M1438" s="74" t="str">
        <f>IF($C1438="","",IF($D1438="Gider",$E1438,IF($L1438&lt;&gt;"",$L1438,$H1438)))</f>
        <v/>
      </c>
      <c r="N1438" s="74" t="str">
        <f>IF($C1438="","",IF($D1438="Gider",$H1438,$E1438))</f>
        <v/>
      </c>
      <c r="O1438" s="73" t="str">
        <f>IF($C1438="","",DATE(YEAR($C1438),MONTH($C1438),1))</f>
        <v/>
      </c>
      <c r="P1438" s="65" t="str">
        <f ca="1">IF($C1438="","",IF(AND($D1438="Gelir",$L1438&lt;&gt;"",$T1438=""),"TANIMSIZ BORÇLU",IF($T1438&lt;&gt;"",IF(OR($E1438="",$G1438&lt;=0),"EKSİK",IF($I1438="Evet","TAHAKKUK NAKİT OLAMAZ",IF($C1438&gt;TODAY(),"İLERİ TARİH","TAHAKKUK"))),IF(AND($D1438&lt;&gt;"",$E1438&lt;&gt;"",$G1438&gt;0,$H1438&lt;&gt;"",$I1438&lt;&gt;""),IF($C1438&gt;TODAY(),"İLERİ TARİH",IF(COUNTIF($W$7:$W$3001,$W1438)&gt;1,"MÜKERRER?",IF($AD1438&gt;0,"KAPALI DÖNEM",IF($I1438="Hayır","ÖDENECEK","UYGUN")))),"EKSİK"))))</f>
        <v/>
      </c>
      <c r="Q1438" s="2"/>
      <c r="R1438" s="2"/>
      <c r="S1438" s="1" t="str">
        <f t="shared" si="68"/>
        <v/>
      </c>
      <c r="T1438" s="1" t="str">
        <f>IF(OR($C1438="",$D1438&lt;&gt;"Gelir",$L1438=""),"",IFERROR(INDEX(MUSTERILER!$B$7:$B$156,MATCH($S1438,MUSTERILER!$T$7:$T$156,0)),""))</f>
        <v/>
      </c>
      <c r="U1438" s="1" t="str">
        <f>IF($T1438="","",$T1438&amp;"|"&amp;COUNTIFS($T$7:$T1438,$T1438))</f>
        <v/>
      </c>
      <c r="V1438" s="1">
        <f t="shared" si="69"/>
        <v>0</v>
      </c>
      <c r="W1438" s="1" t="str">
        <f t="shared" si="70"/>
        <v/>
      </c>
      <c r="X1438" s="1"/>
      <c r="Y1438" s="1"/>
      <c r="Z1438" s="1"/>
      <c r="AA1438" s="1"/>
      <c r="AB1438" s="1"/>
      <c r="AC1438" s="1"/>
      <c r="AD1438" s="1">
        <f>IF($C1438="",0,SUMPRODUCT((AY_SONU!$O$7:$O$42="Evet")*(AY_SONU!$B$7:$B$42=DATE(YEAR($C1438),MONTH($C1438),1))))</f>
        <v>0</v>
      </c>
      <c r="AE1438" s="1" t="str">
        <f>IF($E1438="","",$E1438&amp;"|"&amp;COUNTIFS($E$7:$E1438,$E1438))</f>
        <v/>
      </c>
    </row>
    <row r="1439" spans="1:31" ht="18" customHeight="1" x14ac:dyDescent="0.3">
      <c r="A1439" s="2"/>
      <c r="B1439" s="65" t="str">
        <f>IF($C1439="","","GG"&amp;TEXT(ROW()-6,"00000"))</f>
        <v/>
      </c>
      <c r="C1439" s="66"/>
      <c r="D1439" s="60"/>
      <c r="E1439" s="61"/>
      <c r="F1439" s="61"/>
      <c r="G1439" s="67"/>
      <c r="H1439" s="60"/>
      <c r="I1439" s="60"/>
      <c r="J1439" s="61"/>
      <c r="K1439" s="61"/>
      <c r="L1439" s="60"/>
      <c r="M1439" s="74" t="str">
        <f>IF($C1439="","",IF($D1439="Gider",$E1439,IF($L1439&lt;&gt;"",$L1439,$H1439)))</f>
        <v/>
      </c>
      <c r="N1439" s="74" t="str">
        <f>IF($C1439="","",IF($D1439="Gider",$H1439,$E1439))</f>
        <v/>
      </c>
      <c r="O1439" s="73" t="str">
        <f>IF($C1439="","",DATE(YEAR($C1439),MONTH($C1439),1))</f>
        <v/>
      </c>
      <c r="P1439" s="65" t="str">
        <f ca="1">IF($C1439="","",IF(AND($D1439="Gelir",$L1439&lt;&gt;"",$T1439=""),"TANIMSIZ BORÇLU",IF($T1439&lt;&gt;"",IF(OR($E1439="",$G1439&lt;=0),"EKSİK",IF($I1439="Evet","TAHAKKUK NAKİT OLAMAZ",IF($C1439&gt;TODAY(),"İLERİ TARİH","TAHAKKUK"))),IF(AND($D1439&lt;&gt;"",$E1439&lt;&gt;"",$G1439&gt;0,$H1439&lt;&gt;"",$I1439&lt;&gt;""),IF($C1439&gt;TODAY(),"İLERİ TARİH",IF(COUNTIF($W$7:$W$3001,$W1439)&gt;1,"MÜKERRER?",IF($AD1439&gt;0,"KAPALI DÖNEM",IF($I1439="Hayır","ÖDENECEK","UYGUN")))),"EKSİK"))))</f>
        <v/>
      </c>
      <c r="Q1439" s="2"/>
      <c r="R1439" s="2"/>
      <c r="S1439" s="1" t="str">
        <f t="shared" si="68"/>
        <v/>
      </c>
      <c r="T1439" s="1" t="str">
        <f>IF(OR($C1439="",$D1439&lt;&gt;"Gelir",$L1439=""),"",IFERROR(INDEX(MUSTERILER!$B$7:$B$156,MATCH($S1439,MUSTERILER!$T$7:$T$156,0)),""))</f>
        <v/>
      </c>
      <c r="U1439" s="1" t="str">
        <f>IF($T1439="","",$T1439&amp;"|"&amp;COUNTIFS($T$7:$T1439,$T1439))</f>
        <v/>
      </c>
      <c r="V1439" s="1">
        <f t="shared" si="69"/>
        <v>0</v>
      </c>
      <c r="W1439" s="1" t="str">
        <f t="shared" si="70"/>
        <v/>
      </c>
      <c r="X1439" s="1"/>
      <c r="Y1439" s="1"/>
      <c r="Z1439" s="1"/>
      <c r="AA1439" s="1"/>
      <c r="AB1439" s="1"/>
      <c r="AC1439" s="1"/>
      <c r="AD1439" s="1">
        <f>IF($C1439="",0,SUMPRODUCT((AY_SONU!$O$7:$O$42="Evet")*(AY_SONU!$B$7:$B$42=DATE(YEAR($C1439),MONTH($C1439),1))))</f>
        <v>0</v>
      </c>
      <c r="AE1439" s="1" t="str">
        <f>IF($E1439="","",$E1439&amp;"|"&amp;COUNTIFS($E$7:$E1439,$E1439))</f>
        <v/>
      </c>
    </row>
    <row r="1440" spans="1:31" ht="18" customHeight="1" x14ac:dyDescent="0.3">
      <c r="A1440" s="2"/>
      <c r="B1440" s="65" t="str">
        <f>IF($C1440="","","GG"&amp;TEXT(ROW()-6,"00000"))</f>
        <v/>
      </c>
      <c r="C1440" s="66"/>
      <c r="D1440" s="60"/>
      <c r="E1440" s="61"/>
      <c r="F1440" s="61"/>
      <c r="G1440" s="67"/>
      <c r="H1440" s="60"/>
      <c r="I1440" s="60"/>
      <c r="J1440" s="61"/>
      <c r="K1440" s="61"/>
      <c r="L1440" s="60"/>
      <c r="M1440" s="74" t="str">
        <f>IF($C1440="","",IF($D1440="Gider",$E1440,IF($L1440&lt;&gt;"",$L1440,$H1440)))</f>
        <v/>
      </c>
      <c r="N1440" s="74" t="str">
        <f>IF($C1440="","",IF($D1440="Gider",$H1440,$E1440))</f>
        <v/>
      </c>
      <c r="O1440" s="73" t="str">
        <f>IF($C1440="","",DATE(YEAR($C1440),MONTH($C1440),1))</f>
        <v/>
      </c>
      <c r="P1440" s="65" t="str">
        <f ca="1">IF($C1440="","",IF(AND($D1440="Gelir",$L1440&lt;&gt;"",$T1440=""),"TANIMSIZ BORÇLU",IF($T1440&lt;&gt;"",IF(OR($E1440="",$G1440&lt;=0),"EKSİK",IF($I1440="Evet","TAHAKKUK NAKİT OLAMAZ",IF($C1440&gt;TODAY(),"İLERİ TARİH","TAHAKKUK"))),IF(AND($D1440&lt;&gt;"",$E1440&lt;&gt;"",$G1440&gt;0,$H1440&lt;&gt;"",$I1440&lt;&gt;""),IF($C1440&gt;TODAY(),"İLERİ TARİH",IF(COUNTIF($W$7:$W$3001,$W1440)&gt;1,"MÜKERRER?",IF($AD1440&gt;0,"KAPALI DÖNEM",IF($I1440="Hayır","ÖDENECEK","UYGUN")))),"EKSİK"))))</f>
        <v/>
      </c>
      <c r="Q1440" s="2"/>
      <c r="R1440" s="2"/>
      <c r="S1440" s="1" t="str">
        <f t="shared" si="68"/>
        <v/>
      </c>
      <c r="T1440" s="1" t="str">
        <f>IF(OR($C1440="",$D1440&lt;&gt;"Gelir",$L1440=""),"",IFERROR(INDEX(MUSTERILER!$B$7:$B$156,MATCH($S1440,MUSTERILER!$T$7:$T$156,0)),""))</f>
        <v/>
      </c>
      <c r="U1440" s="1" t="str">
        <f>IF($T1440="","",$T1440&amp;"|"&amp;COUNTIFS($T$7:$T1440,$T1440))</f>
        <v/>
      </c>
      <c r="V1440" s="1">
        <f t="shared" si="69"/>
        <v>0</v>
      </c>
      <c r="W1440" s="1" t="str">
        <f t="shared" si="70"/>
        <v/>
      </c>
      <c r="X1440" s="1"/>
      <c r="Y1440" s="1"/>
      <c r="Z1440" s="1"/>
      <c r="AA1440" s="1"/>
      <c r="AB1440" s="1"/>
      <c r="AC1440" s="1"/>
      <c r="AD1440" s="1">
        <f>IF($C1440="",0,SUMPRODUCT((AY_SONU!$O$7:$O$42="Evet")*(AY_SONU!$B$7:$B$42=DATE(YEAR($C1440),MONTH($C1440),1))))</f>
        <v>0</v>
      </c>
      <c r="AE1440" s="1" t="str">
        <f>IF($E1440="","",$E1440&amp;"|"&amp;COUNTIFS($E$7:$E1440,$E1440))</f>
        <v/>
      </c>
    </row>
    <row r="1441" spans="1:31" ht="18" customHeight="1" x14ac:dyDescent="0.3">
      <c r="A1441" s="2"/>
      <c r="B1441" s="65" t="str">
        <f>IF($C1441="","","GG"&amp;TEXT(ROW()-6,"00000"))</f>
        <v/>
      </c>
      <c r="C1441" s="66"/>
      <c r="D1441" s="60"/>
      <c r="E1441" s="61"/>
      <c r="F1441" s="61"/>
      <c r="G1441" s="67"/>
      <c r="H1441" s="60"/>
      <c r="I1441" s="60"/>
      <c r="J1441" s="61"/>
      <c r="K1441" s="61"/>
      <c r="L1441" s="60"/>
      <c r="M1441" s="74" t="str">
        <f>IF($C1441="","",IF($D1441="Gider",$E1441,IF($L1441&lt;&gt;"",$L1441,$H1441)))</f>
        <v/>
      </c>
      <c r="N1441" s="74" t="str">
        <f>IF($C1441="","",IF($D1441="Gider",$H1441,$E1441))</f>
        <v/>
      </c>
      <c r="O1441" s="73" t="str">
        <f>IF($C1441="","",DATE(YEAR($C1441),MONTH($C1441),1))</f>
        <v/>
      </c>
      <c r="P1441" s="65" t="str">
        <f ca="1">IF($C1441="","",IF(AND($D1441="Gelir",$L1441&lt;&gt;"",$T1441=""),"TANIMSIZ BORÇLU",IF($T1441&lt;&gt;"",IF(OR($E1441="",$G1441&lt;=0),"EKSİK",IF($I1441="Evet","TAHAKKUK NAKİT OLAMAZ",IF($C1441&gt;TODAY(),"İLERİ TARİH","TAHAKKUK"))),IF(AND($D1441&lt;&gt;"",$E1441&lt;&gt;"",$G1441&gt;0,$H1441&lt;&gt;"",$I1441&lt;&gt;""),IF($C1441&gt;TODAY(),"İLERİ TARİH",IF(COUNTIF($W$7:$W$3001,$W1441)&gt;1,"MÜKERRER?",IF($AD1441&gt;0,"KAPALI DÖNEM",IF($I1441="Hayır","ÖDENECEK","UYGUN")))),"EKSİK"))))</f>
        <v/>
      </c>
      <c r="Q1441" s="2"/>
      <c r="R1441" s="2"/>
      <c r="S1441" s="1" t="str">
        <f t="shared" si="68"/>
        <v/>
      </c>
      <c r="T1441" s="1" t="str">
        <f>IF(OR($C1441="",$D1441&lt;&gt;"Gelir",$L1441=""),"",IFERROR(INDEX(MUSTERILER!$B$7:$B$156,MATCH($S1441,MUSTERILER!$T$7:$T$156,0)),""))</f>
        <v/>
      </c>
      <c r="U1441" s="1" t="str">
        <f>IF($T1441="","",$T1441&amp;"|"&amp;COUNTIFS($T$7:$T1441,$T1441))</f>
        <v/>
      </c>
      <c r="V1441" s="1">
        <f t="shared" si="69"/>
        <v>0</v>
      </c>
      <c r="W1441" s="1" t="str">
        <f t="shared" si="70"/>
        <v/>
      </c>
      <c r="X1441" s="1"/>
      <c r="Y1441" s="1"/>
      <c r="Z1441" s="1"/>
      <c r="AA1441" s="1"/>
      <c r="AB1441" s="1"/>
      <c r="AC1441" s="1"/>
      <c r="AD1441" s="1">
        <f>IF($C1441="",0,SUMPRODUCT((AY_SONU!$O$7:$O$42="Evet")*(AY_SONU!$B$7:$B$42=DATE(YEAR($C1441),MONTH($C1441),1))))</f>
        <v>0</v>
      </c>
      <c r="AE1441" s="1" t="str">
        <f>IF($E1441="","",$E1441&amp;"|"&amp;COUNTIFS($E$7:$E1441,$E1441))</f>
        <v/>
      </c>
    </row>
    <row r="1442" spans="1:31" ht="18" customHeight="1" x14ac:dyDescent="0.3">
      <c r="A1442" s="2"/>
      <c r="B1442" s="65" t="str">
        <f>IF($C1442="","","GG"&amp;TEXT(ROW()-6,"00000"))</f>
        <v/>
      </c>
      <c r="C1442" s="66"/>
      <c r="D1442" s="60"/>
      <c r="E1442" s="61"/>
      <c r="F1442" s="61"/>
      <c r="G1442" s="67"/>
      <c r="H1442" s="60"/>
      <c r="I1442" s="60"/>
      <c r="J1442" s="61"/>
      <c r="K1442" s="61"/>
      <c r="L1442" s="60"/>
      <c r="M1442" s="74" t="str">
        <f>IF($C1442="","",IF($D1442="Gider",$E1442,IF($L1442&lt;&gt;"",$L1442,$H1442)))</f>
        <v/>
      </c>
      <c r="N1442" s="74" t="str">
        <f>IF($C1442="","",IF($D1442="Gider",$H1442,$E1442))</f>
        <v/>
      </c>
      <c r="O1442" s="73" t="str">
        <f>IF($C1442="","",DATE(YEAR($C1442),MONTH($C1442),1))</f>
        <v/>
      </c>
      <c r="P1442" s="65" t="str">
        <f ca="1">IF($C1442="","",IF(AND($D1442="Gelir",$L1442&lt;&gt;"",$T1442=""),"TANIMSIZ BORÇLU",IF($T1442&lt;&gt;"",IF(OR($E1442="",$G1442&lt;=0),"EKSİK",IF($I1442="Evet","TAHAKKUK NAKİT OLAMAZ",IF($C1442&gt;TODAY(),"İLERİ TARİH","TAHAKKUK"))),IF(AND($D1442&lt;&gt;"",$E1442&lt;&gt;"",$G1442&gt;0,$H1442&lt;&gt;"",$I1442&lt;&gt;""),IF($C1442&gt;TODAY(),"İLERİ TARİH",IF(COUNTIF($W$7:$W$3001,$W1442)&gt;1,"MÜKERRER?",IF($AD1442&gt;0,"KAPALI DÖNEM",IF($I1442="Hayır","ÖDENECEK","UYGUN")))),"EKSİK"))))</f>
        <v/>
      </c>
      <c r="Q1442" s="2"/>
      <c r="R1442" s="2"/>
      <c r="S1442" s="1" t="str">
        <f t="shared" si="68"/>
        <v/>
      </c>
      <c r="T1442" s="1" t="str">
        <f>IF(OR($C1442="",$D1442&lt;&gt;"Gelir",$L1442=""),"",IFERROR(INDEX(MUSTERILER!$B$7:$B$156,MATCH($S1442,MUSTERILER!$T$7:$T$156,0)),""))</f>
        <v/>
      </c>
      <c r="U1442" s="1" t="str">
        <f>IF($T1442="","",$T1442&amp;"|"&amp;COUNTIFS($T$7:$T1442,$T1442))</f>
        <v/>
      </c>
      <c r="V1442" s="1">
        <f t="shared" si="69"/>
        <v>0</v>
      </c>
      <c r="W1442" s="1" t="str">
        <f t="shared" si="70"/>
        <v/>
      </c>
      <c r="X1442" s="1"/>
      <c r="Y1442" s="1"/>
      <c r="Z1442" s="1"/>
      <c r="AA1442" s="1"/>
      <c r="AB1442" s="1"/>
      <c r="AC1442" s="1"/>
      <c r="AD1442" s="1">
        <f>IF($C1442="",0,SUMPRODUCT((AY_SONU!$O$7:$O$42="Evet")*(AY_SONU!$B$7:$B$42=DATE(YEAR($C1442),MONTH($C1442),1))))</f>
        <v>0</v>
      </c>
      <c r="AE1442" s="1" t="str">
        <f>IF($E1442="","",$E1442&amp;"|"&amp;COUNTIFS($E$7:$E1442,$E1442))</f>
        <v/>
      </c>
    </row>
    <row r="1443" spans="1:31" ht="18" customHeight="1" x14ac:dyDescent="0.3">
      <c r="A1443" s="2"/>
      <c r="B1443" s="65" t="str">
        <f>IF($C1443="","","GG"&amp;TEXT(ROW()-6,"00000"))</f>
        <v/>
      </c>
      <c r="C1443" s="66"/>
      <c r="D1443" s="60"/>
      <c r="E1443" s="61"/>
      <c r="F1443" s="61"/>
      <c r="G1443" s="67"/>
      <c r="H1443" s="60"/>
      <c r="I1443" s="60"/>
      <c r="J1443" s="61"/>
      <c r="K1443" s="61"/>
      <c r="L1443" s="60"/>
      <c r="M1443" s="74" t="str">
        <f>IF($C1443="","",IF($D1443="Gider",$E1443,IF($L1443&lt;&gt;"",$L1443,$H1443)))</f>
        <v/>
      </c>
      <c r="N1443" s="74" t="str">
        <f>IF($C1443="","",IF($D1443="Gider",$H1443,$E1443))</f>
        <v/>
      </c>
      <c r="O1443" s="73" t="str">
        <f>IF($C1443="","",DATE(YEAR($C1443),MONTH($C1443),1))</f>
        <v/>
      </c>
      <c r="P1443" s="65" t="str">
        <f ca="1">IF($C1443="","",IF(AND($D1443="Gelir",$L1443&lt;&gt;"",$T1443=""),"TANIMSIZ BORÇLU",IF($T1443&lt;&gt;"",IF(OR($E1443="",$G1443&lt;=0),"EKSİK",IF($I1443="Evet","TAHAKKUK NAKİT OLAMAZ",IF($C1443&gt;TODAY(),"İLERİ TARİH","TAHAKKUK"))),IF(AND($D1443&lt;&gt;"",$E1443&lt;&gt;"",$G1443&gt;0,$H1443&lt;&gt;"",$I1443&lt;&gt;""),IF($C1443&gt;TODAY(),"İLERİ TARİH",IF(COUNTIF($W$7:$W$3001,$W1443)&gt;1,"MÜKERRER?",IF($AD1443&gt;0,"KAPALI DÖNEM",IF($I1443="Hayır","ÖDENECEK","UYGUN")))),"EKSİK"))))</f>
        <v/>
      </c>
      <c r="Q1443" s="2"/>
      <c r="R1443" s="2"/>
      <c r="S1443" s="1" t="str">
        <f t="shared" si="68"/>
        <v/>
      </c>
      <c r="T1443" s="1" t="str">
        <f>IF(OR($C1443="",$D1443&lt;&gt;"Gelir",$L1443=""),"",IFERROR(INDEX(MUSTERILER!$B$7:$B$156,MATCH($S1443,MUSTERILER!$T$7:$T$156,0)),""))</f>
        <v/>
      </c>
      <c r="U1443" s="1" t="str">
        <f>IF($T1443="","",$T1443&amp;"|"&amp;COUNTIFS($T$7:$T1443,$T1443))</f>
        <v/>
      </c>
      <c r="V1443" s="1">
        <f t="shared" si="69"/>
        <v>0</v>
      </c>
      <c r="W1443" s="1" t="str">
        <f t="shared" si="70"/>
        <v/>
      </c>
      <c r="X1443" s="1"/>
      <c r="Y1443" s="1"/>
      <c r="Z1443" s="1"/>
      <c r="AA1443" s="1"/>
      <c r="AB1443" s="1"/>
      <c r="AC1443" s="1"/>
      <c r="AD1443" s="1">
        <f>IF($C1443="",0,SUMPRODUCT((AY_SONU!$O$7:$O$42="Evet")*(AY_SONU!$B$7:$B$42=DATE(YEAR($C1443),MONTH($C1443),1))))</f>
        <v>0</v>
      </c>
      <c r="AE1443" s="1" t="str">
        <f>IF($E1443="","",$E1443&amp;"|"&amp;COUNTIFS($E$7:$E1443,$E1443))</f>
        <v/>
      </c>
    </row>
    <row r="1444" spans="1:31" ht="18" customHeight="1" x14ac:dyDescent="0.3">
      <c r="A1444" s="2"/>
      <c r="B1444" s="65" t="str">
        <f>IF($C1444="","","GG"&amp;TEXT(ROW()-6,"00000"))</f>
        <v/>
      </c>
      <c r="C1444" s="66"/>
      <c r="D1444" s="60"/>
      <c r="E1444" s="61"/>
      <c r="F1444" s="61"/>
      <c r="G1444" s="67"/>
      <c r="H1444" s="60"/>
      <c r="I1444" s="60"/>
      <c r="J1444" s="61"/>
      <c r="K1444" s="61"/>
      <c r="L1444" s="60"/>
      <c r="M1444" s="74" t="str">
        <f>IF($C1444="","",IF($D1444="Gider",$E1444,IF($L1444&lt;&gt;"",$L1444,$H1444)))</f>
        <v/>
      </c>
      <c r="N1444" s="74" t="str">
        <f>IF($C1444="","",IF($D1444="Gider",$H1444,$E1444))</f>
        <v/>
      </c>
      <c r="O1444" s="73" t="str">
        <f>IF($C1444="","",DATE(YEAR($C1444),MONTH($C1444),1))</f>
        <v/>
      </c>
      <c r="P1444" s="65" t="str">
        <f ca="1">IF($C1444="","",IF(AND($D1444="Gelir",$L1444&lt;&gt;"",$T1444=""),"TANIMSIZ BORÇLU",IF($T1444&lt;&gt;"",IF(OR($E1444="",$G1444&lt;=0),"EKSİK",IF($I1444="Evet","TAHAKKUK NAKİT OLAMAZ",IF($C1444&gt;TODAY(),"İLERİ TARİH","TAHAKKUK"))),IF(AND($D1444&lt;&gt;"",$E1444&lt;&gt;"",$G1444&gt;0,$H1444&lt;&gt;"",$I1444&lt;&gt;""),IF($C1444&gt;TODAY(),"İLERİ TARİH",IF(COUNTIF($W$7:$W$3001,$W1444)&gt;1,"MÜKERRER?",IF($AD1444&gt;0,"KAPALI DÖNEM",IF($I1444="Hayır","ÖDENECEK","UYGUN")))),"EKSİK"))))</f>
        <v/>
      </c>
      <c r="Q1444" s="2"/>
      <c r="R1444" s="2"/>
      <c r="S1444" s="1" t="str">
        <f t="shared" si="68"/>
        <v/>
      </c>
      <c r="T1444" s="1" t="str">
        <f>IF(OR($C1444="",$D1444&lt;&gt;"Gelir",$L1444=""),"",IFERROR(INDEX(MUSTERILER!$B$7:$B$156,MATCH($S1444,MUSTERILER!$T$7:$T$156,0)),""))</f>
        <v/>
      </c>
      <c r="U1444" s="1" t="str">
        <f>IF($T1444="","",$T1444&amp;"|"&amp;COUNTIFS($T$7:$T1444,$T1444))</f>
        <v/>
      </c>
      <c r="V1444" s="1">
        <f t="shared" si="69"/>
        <v>0</v>
      </c>
      <c r="W1444" s="1" t="str">
        <f t="shared" si="70"/>
        <v/>
      </c>
      <c r="X1444" s="1"/>
      <c r="Y1444" s="1"/>
      <c r="Z1444" s="1"/>
      <c r="AA1444" s="1"/>
      <c r="AB1444" s="1"/>
      <c r="AC1444" s="1"/>
      <c r="AD1444" s="1">
        <f>IF($C1444="",0,SUMPRODUCT((AY_SONU!$O$7:$O$42="Evet")*(AY_SONU!$B$7:$B$42=DATE(YEAR($C1444),MONTH($C1444),1))))</f>
        <v>0</v>
      </c>
      <c r="AE1444" s="1" t="str">
        <f>IF($E1444="","",$E1444&amp;"|"&amp;COUNTIFS($E$7:$E1444,$E1444))</f>
        <v/>
      </c>
    </row>
    <row r="1445" spans="1:31" ht="18" customHeight="1" x14ac:dyDescent="0.3">
      <c r="A1445" s="2"/>
      <c r="B1445" s="65" t="str">
        <f>IF($C1445="","","GG"&amp;TEXT(ROW()-6,"00000"))</f>
        <v/>
      </c>
      <c r="C1445" s="66"/>
      <c r="D1445" s="60"/>
      <c r="E1445" s="61"/>
      <c r="F1445" s="61"/>
      <c r="G1445" s="67"/>
      <c r="H1445" s="60"/>
      <c r="I1445" s="60"/>
      <c r="J1445" s="61"/>
      <c r="K1445" s="61"/>
      <c r="L1445" s="60"/>
      <c r="M1445" s="74" t="str">
        <f>IF($C1445="","",IF($D1445="Gider",$E1445,IF($L1445&lt;&gt;"",$L1445,$H1445)))</f>
        <v/>
      </c>
      <c r="N1445" s="74" t="str">
        <f>IF($C1445="","",IF($D1445="Gider",$H1445,$E1445))</f>
        <v/>
      </c>
      <c r="O1445" s="73" t="str">
        <f>IF($C1445="","",DATE(YEAR($C1445),MONTH($C1445),1))</f>
        <v/>
      </c>
      <c r="P1445" s="65" t="str">
        <f ca="1">IF($C1445="","",IF(AND($D1445="Gelir",$L1445&lt;&gt;"",$T1445=""),"TANIMSIZ BORÇLU",IF($T1445&lt;&gt;"",IF(OR($E1445="",$G1445&lt;=0),"EKSİK",IF($I1445="Evet","TAHAKKUK NAKİT OLAMAZ",IF($C1445&gt;TODAY(),"İLERİ TARİH","TAHAKKUK"))),IF(AND($D1445&lt;&gt;"",$E1445&lt;&gt;"",$G1445&gt;0,$H1445&lt;&gt;"",$I1445&lt;&gt;""),IF($C1445&gt;TODAY(),"İLERİ TARİH",IF(COUNTIF($W$7:$W$3001,$W1445)&gt;1,"MÜKERRER?",IF($AD1445&gt;0,"KAPALI DÖNEM",IF($I1445="Hayır","ÖDENECEK","UYGUN")))),"EKSİK"))))</f>
        <v/>
      </c>
      <c r="Q1445" s="2"/>
      <c r="R1445" s="2"/>
      <c r="S1445" s="1" t="str">
        <f t="shared" si="68"/>
        <v/>
      </c>
      <c r="T1445" s="1" t="str">
        <f>IF(OR($C1445="",$D1445&lt;&gt;"Gelir",$L1445=""),"",IFERROR(INDEX(MUSTERILER!$B$7:$B$156,MATCH($S1445,MUSTERILER!$T$7:$T$156,0)),""))</f>
        <v/>
      </c>
      <c r="U1445" s="1" t="str">
        <f>IF($T1445="","",$T1445&amp;"|"&amp;COUNTIFS($T$7:$T1445,$T1445))</f>
        <v/>
      </c>
      <c r="V1445" s="1">
        <f t="shared" si="69"/>
        <v>0</v>
      </c>
      <c r="W1445" s="1" t="str">
        <f t="shared" si="70"/>
        <v/>
      </c>
      <c r="X1445" s="1"/>
      <c r="Y1445" s="1"/>
      <c r="Z1445" s="1"/>
      <c r="AA1445" s="1"/>
      <c r="AB1445" s="1"/>
      <c r="AC1445" s="1"/>
      <c r="AD1445" s="1">
        <f>IF($C1445="",0,SUMPRODUCT((AY_SONU!$O$7:$O$42="Evet")*(AY_SONU!$B$7:$B$42=DATE(YEAR($C1445),MONTH($C1445),1))))</f>
        <v>0</v>
      </c>
      <c r="AE1445" s="1" t="str">
        <f>IF($E1445="","",$E1445&amp;"|"&amp;COUNTIFS($E$7:$E1445,$E1445))</f>
        <v/>
      </c>
    </row>
    <row r="1446" spans="1:31" ht="18" customHeight="1" x14ac:dyDescent="0.3">
      <c r="A1446" s="2"/>
      <c r="B1446" s="65" t="str">
        <f>IF($C1446="","","GG"&amp;TEXT(ROW()-6,"00000"))</f>
        <v/>
      </c>
      <c r="C1446" s="66"/>
      <c r="D1446" s="60"/>
      <c r="E1446" s="61"/>
      <c r="F1446" s="61"/>
      <c r="G1446" s="67"/>
      <c r="H1446" s="60"/>
      <c r="I1446" s="60"/>
      <c r="J1446" s="61"/>
      <c r="K1446" s="61"/>
      <c r="L1446" s="60"/>
      <c r="M1446" s="74" t="str">
        <f>IF($C1446="","",IF($D1446="Gider",$E1446,IF($L1446&lt;&gt;"",$L1446,$H1446)))</f>
        <v/>
      </c>
      <c r="N1446" s="74" t="str">
        <f>IF($C1446="","",IF($D1446="Gider",$H1446,$E1446))</f>
        <v/>
      </c>
      <c r="O1446" s="73" t="str">
        <f>IF($C1446="","",DATE(YEAR($C1446),MONTH($C1446),1))</f>
        <v/>
      </c>
      <c r="P1446" s="65" t="str">
        <f ca="1">IF($C1446="","",IF(AND($D1446="Gelir",$L1446&lt;&gt;"",$T1446=""),"TANIMSIZ BORÇLU",IF($T1446&lt;&gt;"",IF(OR($E1446="",$G1446&lt;=0),"EKSİK",IF($I1446="Evet","TAHAKKUK NAKİT OLAMAZ",IF($C1446&gt;TODAY(),"İLERİ TARİH","TAHAKKUK"))),IF(AND($D1446&lt;&gt;"",$E1446&lt;&gt;"",$G1446&gt;0,$H1446&lt;&gt;"",$I1446&lt;&gt;""),IF($C1446&gt;TODAY(),"İLERİ TARİH",IF(COUNTIF($W$7:$W$3001,$W1446)&gt;1,"MÜKERRER?",IF($AD1446&gt;0,"KAPALI DÖNEM",IF($I1446="Hayır","ÖDENECEK","UYGUN")))),"EKSİK"))))</f>
        <v/>
      </c>
      <c r="Q1446" s="2"/>
      <c r="R1446" s="2"/>
      <c r="S1446" s="1" t="str">
        <f t="shared" si="68"/>
        <v/>
      </c>
      <c r="T1446" s="1" t="str">
        <f>IF(OR($C1446="",$D1446&lt;&gt;"Gelir",$L1446=""),"",IFERROR(INDEX(MUSTERILER!$B$7:$B$156,MATCH($S1446,MUSTERILER!$T$7:$T$156,0)),""))</f>
        <v/>
      </c>
      <c r="U1446" s="1" t="str">
        <f>IF($T1446="","",$T1446&amp;"|"&amp;COUNTIFS($T$7:$T1446,$T1446))</f>
        <v/>
      </c>
      <c r="V1446" s="1">
        <f t="shared" si="69"/>
        <v>0</v>
      </c>
      <c r="W1446" s="1" t="str">
        <f t="shared" si="70"/>
        <v/>
      </c>
      <c r="X1446" s="1"/>
      <c r="Y1446" s="1"/>
      <c r="Z1446" s="1"/>
      <c r="AA1446" s="1"/>
      <c r="AB1446" s="1"/>
      <c r="AC1446" s="1"/>
      <c r="AD1446" s="1">
        <f>IF($C1446="",0,SUMPRODUCT((AY_SONU!$O$7:$O$42="Evet")*(AY_SONU!$B$7:$B$42=DATE(YEAR($C1446),MONTH($C1446),1))))</f>
        <v>0</v>
      </c>
      <c r="AE1446" s="1" t="str">
        <f>IF($E1446="","",$E1446&amp;"|"&amp;COUNTIFS($E$7:$E1446,$E1446))</f>
        <v/>
      </c>
    </row>
    <row r="1447" spans="1:31" ht="18" customHeight="1" x14ac:dyDescent="0.3">
      <c r="A1447" s="2"/>
      <c r="B1447" s="65" t="str">
        <f>IF($C1447="","","GG"&amp;TEXT(ROW()-6,"00000"))</f>
        <v/>
      </c>
      <c r="C1447" s="66"/>
      <c r="D1447" s="60"/>
      <c r="E1447" s="61"/>
      <c r="F1447" s="61"/>
      <c r="G1447" s="67"/>
      <c r="H1447" s="60"/>
      <c r="I1447" s="60"/>
      <c r="J1447" s="61"/>
      <c r="K1447" s="61"/>
      <c r="L1447" s="60"/>
      <c r="M1447" s="74" t="str">
        <f>IF($C1447="","",IF($D1447="Gider",$E1447,IF($L1447&lt;&gt;"",$L1447,$H1447)))</f>
        <v/>
      </c>
      <c r="N1447" s="74" t="str">
        <f>IF($C1447="","",IF($D1447="Gider",$H1447,$E1447))</f>
        <v/>
      </c>
      <c r="O1447" s="73" t="str">
        <f>IF($C1447="","",DATE(YEAR($C1447),MONTH($C1447),1))</f>
        <v/>
      </c>
      <c r="P1447" s="65" t="str">
        <f ca="1">IF($C1447="","",IF(AND($D1447="Gelir",$L1447&lt;&gt;"",$T1447=""),"TANIMSIZ BORÇLU",IF($T1447&lt;&gt;"",IF(OR($E1447="",$G1447&lt;=0),"EKSİK",IF($I1447="Evet","TAHAKKUK NAKİT OLAMAZ",IF($C1447&gt;TODAY(),"İLERİ TARİH","TAHAKKUK"))),IF(AND($D1447&lt;&gt;"",$E1447&lt;&gt;"",$G1447&gt;0,$H1447&lt;&gt;"",$I1447&lt;&gt;""),IF($C1447&gt;TODAY(),"İLERİ TARİH",IF(COUNTIF($W$7:$W$3001,$W1447)&gt;1,"MÜKERRER?",IF($AD1447&gt;0,"KAPALI DÖNEM",IF($I1447="Hayır","ÖDENECEK","UYGUN")))),"EKSİK"))))</f>
        <v/>
      </c>
      <c r="Q1447" s="2"/>
      <c r="R1447" s="2"/>
      <c r="S1447" s="1" t="str">
        <f t="shared" si="68"/>
        <v/>
      </c>
      <c r="T1447" s="1" t="str">
        <f>IF(OR($C1447="",$D1447&lt;&gt;"Gelir",$L1447=""),"",IFERROR(INDEX(MUSTERILER!$B$7:$B$156,MATCH($S1447,MUSTERILER!$T$7:$T$156,0)),""))</f>
        <v/>
      </c>
      <c r="U1447" s="1" t="str">
        <f>IF($T1447="","",$T1447&amp;"|"&amp;COUNTIFS($T$7:$T1447,$T1447))</f>
        <v/>
      </c>
      <c r="V1447" s="1">
        <f t="shared" si="69"/>
        <v>0</v>
      </c>
      <c r="W1447" s="1" t="str">
        <f t="shared" si="70"/>
        <v/>
      </c>
      <c r="X1447" s="1"/>
      <c r="Y1447" s="1"/>
      <c r="Z1447" s="1"/>
      <c r="AA1447" s="1"/>
      <c r="AB1447" s="1"/>
      <c r="AC1447" s="1"/>
      <c r="AD1447" s="1">
        <f>IF($C1447="",0,SUMPRODUCT((AY_SONU!$O$7:$O$42="Evet")*(AY_SONU!$B$7:$B$42=DATE(YEAR($C1447),MONTH($C1447),1))))</f>
        <v>0</v>
      </c>
      <c r="AE1447" s="1" t="str">
        <f>IF($E1447="","",$E1447&amp;"|"&amp;COUNTIFS($E$7:$E1447,$E1447))</f>
        <v/>
      </c>
    </row>
    <row r="1448" spans="1:31" ht="18" customHeight="1" x14ac:dyDescent="0.3">
      <c r="A1448" s="2"/>
      <c r="B1448" s="65" t="str">
        <f>IF($C1448="","","GG"&amp;TEXT(ROW()-6,"00000"))</f>
        <v/>
      </c>
      <c r="C1448" s="66"/>
      <c r="D1448" s="60"/>
      <c r="E1448" s="61"/>
      <c r="F1448" s="61"/>
      <c r="G1448" s="67"/>
      <c r="H1448" s="60"/>
      <c r="I1448" s="60"/>
      <c r="J1448" s="61"/>
      <c r="K1448" s="61"/>
      <c r="L1448" s="60"/>
      <c r="M1448" s="74" t="str">
        <f>IF($C1448="","",IF($D1448="Gider",$E1448,IF($L1448&lt;&gt;"",$L1448,$H1448)))</f>
        <v/>
      </c>
      <c r="N1448" s="74" t="str">
        <f>IF($C1448="","",IF($D1448="Gider",$H1448,$E1448))</f>
        <v/>
      </c>
      <c r="O1448" s="73" t="str">
        <f>IF($C1448="","",DATE(YEAR($C1448),MONTH($C1448),1))</f>
        <v/>
      </c>
      <c r="P1448" s="65" t="str">
        <f ca="1">IF($C1448="","",IF(AND($D1448="Gelir",$L1448&lt;&gt;"",$T1448=""),"TANIMSIZ BORÇLU",IF($T1448&lt;&gt;"",IF(OR($E1448="",$G1448&lt;=0),"EKSİK",IF($I1448="Evet","TAHAKKUK NAKİT OLAMAZ",IF($C1448&gt;TODAY(),"İLERİ TARİH","TAHAKKUK"))),IF(AND($D1448&lt;&gt;"",$E1448&lt;&gt;"",$G1448&gt;0,$H1448&lt;&gt;"",$I1448&lt;&gt;""),IF($C1448&gt;TODAY(),"İLERİ TARİH",IF(COUNTIF($W$7:$W$3001,$W1448)&gt;1,"MÜKERRER?",IF($AD1448&gt;0,"KAPALI DÖNEM",IF($I1448="Hayır","ÖDENECEK","UYGUN")))),"EKSİK"))))</f>
        <v/>
      </c>
      <c r="Q1448" s="2"/>
      <c r="R1448" s="2"/>
      <c r="S1448" s="1" t="str">
        <f t="shared" si="68"/>
        <v/>
      </c>
      <c r="T1448" s="1" t="str">
        <f>IF(OR($C1448="",$D1448&lt;&gt;"Gelir",$L1448=""),"",IFERROR(INDEX(MUSTERILER!$B$7:$B$156,MATCH($S1448,MUSTERILER!$T$7:$T$156,0)),""))</f>
        <v/>
      </c>
      <c r="U1448" s="1" t="str">
        <f>IF($T1448="","",$T1448&amp;"|"&amp;COUNTIFS($T$7:$T1448,$T1448))</f>
        <v/>
      </c>
      <c r="V1448" s="1">
        <f t="shared" si="69"/>
        <v>0</v>
      </c>
      <c r="W1448" s="1" t="str">
        <f t="shared" si="70"/>
        <v/>
      </c>
      <c r="X1448" s="1"/>
      <c r="Y1448" s="1"/>
      <c r="Z1448" s="1"/>
      <c r="AA1448" s="1"/>
      <c r="AB1448" s="1"/>
      <c r="AC1448" s="1"/>
      <c r="AD1448" s="1">
        <f>IF($C1448="",0,SUMPRODUCT((AY_SONU!$O$7:$O$42="Evet")*(AY_SONU!$B$7:$B$42=DATE(YEAR($C1448),MONTH($C1448),1))))</f>
        <v>0</v>
      </c>
      <c r="AE1448" s="1" t="str">
        <f>IF($E1448="","",$E1448&amp;"|"&amp;COUNTIFS($E$7:$E1448,$E1448))</f>
        <v/>
      </c>
    </row>
    <row r="1449" spans="1:31" ht="18" customHeight="1" x14ac:dyDescent="0.3">
      <c r="A1449" s="2"/>
      <c r="B1449" s="65" t="str">
        <f>IF($C1449="","","GG"&amp;TEXT(ROW()-6,"00000"))</f>
        <v/>
      </c>
      <c r="C1449" s="66"/>
      <c r="D1449" s="60"/>
      <c r="E1449" s="61"/>
      <c r="F1449" s="61"/>
      <c r="G1449" s="67"/>
      <c r="H1449" s="60"/>
      <c r="I1449" s="60"/>
      <c r="J1449" s="61"/>
      <c r="K1449" s="61"/>
      <c r="L1449" s="60"/>
      <c r="M1449" s="74" t="str">
        <f>IF($C1449="","",IF($D1449="Gider",$E1449,IF($L1449&lt;&gt;"",$L1449,$H1449)))</f>
        <v/>
      </c>
      <c r="N1449" s="74" t="str">
        <f>IF($C1449="","",IF($D1449="Gider",$H1449,$E1449))</f>
        <v/>
      </c>
      <c r="O1449" s="73" t="str">
        <f>IF($C1449="","",DATE(YEAR($C1449),MONTH($C1449),1))</f>
        <v/>
      </c>
      <c r="P1449" s="65" t="str">
        <f ca="1">IF($C1449="","",IF(AND($D1449="Gelir",$L1449&lt;&gt;"",$T1449=""),"TANIMSIZ BORÇLU",IF($T1449&lt;&gt;"",IF(OR($E1449="",$G1449&lt;=0),"EKSİK",IF($I1449="Evet","TAHAKKUK NAKİT OLAMAZ",IF($C1449&gt;TODAY(),"İLERİ TARİH","TAHAKKUK"))),IF(AND($D1449&lt;&gt;"",$E1449&lt;&gt;"",$G1449&gt;0,$H1449&lt;&gt;"",$I1449&lt;&gt;""),IF($C1449&gt;TODAY(),"İLERİ TARİH",IF(COUNTIF($W$7:$W$3001,$W1449)&gt;1,"MÜKERRER?",IF($AD1449&gt;0,"KAPALI DÖNEM",IF($I1449="Hayır","ÖDENECEK","UYGUN")))),"EKSİK"))))</f>
        <v/>
      </c>
      <c r="Q1449" s="2"/>
      <c r="R1449" s="2"/>
      <c r="S1449" s="1" t="str">
        <f t="shared" si="68"/>
        <v/>
      </c>
      <c r="T1449" s="1" t="str">
        <f>IF(OR($C1449="",$D1449&lt;&gt;"Gelir",$L1449=""),"",IFERROR(INDEX(MUSTERILER!$B$7:$B$156,MATCH($S1449,MUSTERILER!$T$7:$T$156,0)),""))</f>
        <v/>
      </c>
      <c r="U1449" s="1" t="str">
        <f>IF($T1449="","",$T1449&amp;"|"&amp;COUNTIFS($T$7:$T1449,$T1449))</f>
        <v/>
      </c>
      <c r="V1449" s="1">
        <f t="shared" si="69"/>
        <v>0</v>
      </c>
      <c r="W1449" s="1" t="str">
        <f t="shared" si="70"/>
        <v/>
      </c>
      <c r="X1449" s="1"/>
      <c r="Y1449" s="1"/>
      <c r="Z1449" s="1"/>
      <c r="AA1449" s="1"/>
      <c r="AB1449" s="1"/>
      <c r="AC1449" s="1"/>
      <c r="AD1449" s="1">
        <f>IF($C1449="",0,SUMPRODUCT((AY_SONU!$O$7:$O$42="Evet")*(AY_SONU!$B$7:$B$42=DATE(YEAR($C1449),MONTH($C1449),1))))</f>
        <v>0</v>
      </c>
      <c r="AE1449" s="1" t="str">
        <f>IF($E1449="","",$E1449&amp;"|"&amp;COUNTIFS($E$7:$E1449,$E1449))</f>
        <v/>
      </c>
    </row>
    <row r="1450" spans="1:31" ht="18" customHeight="1" x14ac:dyDescent="0.3">
      <c r="A1450" s="2"/>
      <c r="B1450" s="65" t="str">
        <f>IF($C1450="","","GG"&amp;TEXT(ROW()-6,"00000"))</f>
        <v/>
      </c>
      <c r="C1450" s="66"/>
      <c r="D1450" s="60"/>
      <c r="E1450" s="61"/>
      <c r="F1450" s="61"/>
      <c r="G1450" s="67"/>
      <c r="H1450" s="60"/>
      <c r="I1450" s="60"/>
      <c r="J1450" s="61"/>
      <c r="K1450" s="61"/>
      <c r="L1450" s="60"/>
      <c r="M1450" s="74" t="str">
        <f>IF($C1450="","",IF($D1450="Gider",$E1450,IF($L1450&lt;&gt;"",$L1450,$H1450)))</f>
        <v/>
      </c>
      <c r="N1450" s="74" t="str">
        <f>IF($C1450="","",IF($D1450="Gider",$H1450,$E1450))</f>
        <v/>
      </c>
      <c r="O1450" s="73" t="str">
        <f>IF($C1450="","",DATE(YEAR($C1450),MONTH($C1450),1))</f>
        <v/>
      </c>
      <c r="P1450" s="65" t="str">
        <f ca="1">IF($C1450="","",IF(AND($D1450="Gelir",$L1450&lt;&gt;"",$T1450=""),"TANIMSIZ BORÇLU",IF($T1450&lt;&gt;"",IF(OR($E1450="",$G1450&lt;=0),"EKSİK",IF($I1450="Evet","TAHAKKUK NAKİT OLAMAZ",IF($C1450&gt;TODAY(),"İLERİ TARİH","TAHAKKUK"))),IF(AND($D1450&lt;&gt;"",$E1450&lt;&gt;"",$G1450&gt;0,$H1450&lt;&gt;"",$I1450&lt;&gt;""),IF($C1450&gt;TODAY(),"İLERİ TARİH",IF(COUNTIF($W$7:$W$3001,$W1450)&gt;1,"MÜKERRER?",IF($AD1450&gt;0,"KAPALI DÖNEM",IF($I1450="Hayır","ÖDENECEK","UYGUN")))),"EKSİK"))))</f>
        <v/>
      </c>
      <c r="Q1450" s="2"/>
      <c r="R1450" s="2"/>
      <c r="S1450" s="1" t="str">
        <f t="shared" si="68"/>
        <v/>
      </c>
      <c r="T1450" s="1" t="str">
        <f>IF(OR($C1450="",$D1450&lt;&gt;"Gelir",$L1450=""),"",IFERROR(INDEX(MUSTERILER!$B$7:$B$156,MATCH($S1450,MUSTERILER!$T$7:$T$156,0)),""))</f>
        <v/>
      </c>
      <c r="U1450" s="1" t="str">
        <f>IF($T1450="","",$T1450&amp;"|"&amp;COUNTIFS($T$7:$T1450,$T1450))</f>
        <v/>
      </c>
      <c r="V1450" s="1">
        <f t="shared" si="69"/>
        <v>0</v>
      </c>
      <c r="W1450" s="1" t="str">
        <f t="shared" si="70"/>
        <v/>
      </c>
      <c r="X1450" s="1"/>
      <c r="Y1450" s="1"/>
      <c r="Z1450" s="1"/>
      <c r="AA1450" s="1"/>
      <c r="AB1450" s="1"/>
      <c r="AC1450" s="1"/>
      <c r="AD1450" s="1">
        <f>IF($C1450="",0,SUMPRODUCT((AY_SONU!$O$7:$O$42="Evet")*(AY_SONU!$B$7:$B$42=DATE(YEAR($C1450),MONTH($C1450),1))))</f>
        <v>0</v>
      </c>
      <c r="AE1450" s="1" t="str">
        <f>IF($E1450="","",$E1450&amp;"|"&amp;COUNTIFS($E$7:$E1450,$E1450))</f>
        <v/>
      </c>
    </row>
    <row r="1451" spans="1:31" ht="18" customHeight="1" x14ac:dyDescent="0.3">
      <c r="A1451" s="2"/>
      <c r="B1451" s="65" t="str">
        <f>IF($C1451="","","GG"&amp;TEXT(ROW()-6,"00000"))</f>
        <v/>
      </c>
      <c r="C1451" s="66"/>
      <c r="D1451" s="60"/>
      <c r="E1451" s="61"/>
      <c r="F1451" s="61"/>
      <c r="G1451" s="67"/>
      <c r="H1451" s="60"/>
      <c r="I1451" s="60"/>
      <c r="J1451" s="61"/>
      <c r="K1451" s="61"/>
      <c r="L1451" s="60"/>
      <c r="M1451" s="74" t="str">
        <f>IF($C1451="","",IF($D1451="Gider",$E1451,IF($L1451&lt;&gt;"",$L1451,$H1451)))</f>
        <v/>
      </c>
      <c r="N1451" s="74" t="str">
        <f>IF($C1451="","",IF($D1451="Gider",$H1451,$E1451))</f>
        <v/>
      </c>
      <c r="O1451" s="73" t="str">
        <f>IF($C1451="","",DATE(YEAR($C1451),MONTH($C1451),1))</f>
        <v/>
      </c>
      <c r="P1451" s="65" t="str">
        <f ca="1">IF($C1451="","",IF(AND($D1451="Gelir",$L1451&lt;&gt;"",$T1451=""),"TANIMSIZ BORÇLU",IF($T1451&lt;&gt;"",IF(OR($E1451="",$G1451&lt;=0),"EKSİK",IF($I1451="Evet","TAHAKKUK NAKİT OLAMAZ",IF($C1451&gt;TODAY(),"İLERİ TARİH","TAHAKKUK"))),IF(AND($D1451&lt;&gt;"",$E1451&lt;&gt;"",$G1451&gt;0,$H1451&lt;&gt;"",$I1451&lt;&gt;""),IF($C1451&gt;TODAY(),"İLERİ TARİH",IF(COUNTIF($W$7:$W$3001,$W1451)&gt;1,"MÜKERRER?",IF($AD1451&gt;0,"KAPALI DÖNEM",IF($I1451="Hayır","ÖDENECEK","UYGUN")))),"EKSİK"))))</f>
        <v/>
      </c>
      <c r="Q1451" s="2"/>
      <c r="R1451" s="2"/>
      <c r="S1451" s="1" t="str">
        <f t="shared" si="68"/>
        <v/>
      </c>
      <c r="T1451" s="1" t="str">
        <f>IF(OR($C1451="",$D1451&lt;&gt;"Gelir",$L1451=""),"",IFERROR(INDEX(MUSTERILER!$B$7:$B$156,MATCH($S1451,MUSTERILER!$T$7:$T$156,0)),""))</f>
        <v/>
      </c>
      <c r="U1451" s="1" t="str">
        <f>IF($T1451="","",$T1451&amp;"|"&amp;COUNTIFS($T$7:$T1451,$T1451))</f>
        <v/>
      </c>
      <c r="V1451" s="1">
        <f t="shared" si="69"/>
        <v>0</v>
      </c>
      <c r="W1451" s="1" t="str">
        <f t="shared" si="70"/>
        <v/>
      </c>
      <c r="X1451" s="1"/>
      <c r="Y1451" s="1"/>
      <c r="Z1451" s="1"/>
      <c r="AA1451" s="1"/>
      <c r="AB1451" s="1"/>
      <c r="AC1451" s="1"/>
      <c r="AD1451" s="1">
        <f>IF($C1451="",0,SUMPRODUCT((AY_SONU!$O$7:$O$42="Evet")*(AY_SONU!$B$7:$B$42=DATE(YEAR($C1451),MONTH($C1451),1))))</f>
        <v>0</v>
      </c>
      <c r="AE1451" s="1" t="str">
        <f>IF($E1451="","",$E1451&amp;"|"&amp;COUNTIFS($E$7:$E1451,$E1451))</f>
        <v/>
      </c>
    </row>
    <row r="1452" spans="1:31" ht="18" customHeight="1" x14ac:dyDescent="0.3">
      <c r="A1452" s="2"/>
      <c r="B1452" s="65" t="str">
        <f>IF($C1452="","","GG"&amp;TEXT(ROW()-6,"00000"))</f>
        <v/>
      </c>
      <c r="C1452" s="66"/>
      <c r="D1452" s="60"/>
      <c r="E1452" s="61"/>
      <c r="F1452" s="61"/>
      <c r="G1452" s="67"/>
      <c r="H1452" s="60"/>
      <c r="I1452" s="60"/>
      <c r="J1452" s="61"/>
      <c r="K1452" s="61"/>
      <c r="L1452" s="60"/>
      <c r="M1452" s="74" t="str">
        <f>IF($C1452="","",IF($D1452="Gider",$E1452,IF($L1452&lt;&gt;"",$L1452,$H1452)))</f>
        <v/>
      </c>
      <c r="N1452" s="74" t="str">
        <f>IF($C1452="","",IF($D1452="Gider",$H1452,$E1452))</f>
        <v/>
      </c>
      <c r="O1452" s="73" t="str">
        <f>IF($C1452="","",DATE(YEAR($C1452),MONTH($C1452),1))</f>
        <v/>
      </c>
      <c r="P1452" s="65" t="str">
        <f ca="1">IF($C1452="","",IF(AND($D1452="Gelir",$L1452&lt;&gt;"",$T1452=""),"TANIMSIZ BORÇLU",IF($T1452&lt;&gt;"",IF(OR($E1452="",$G1452&lt;=0),"EKSİK",IF($I1452="Evet","TAHAKKUK NAKİT OLAMAZ",IF($C1452&gt;TODAY(),"İLERİ TARİH","TAHAKKUK"))),IF(AND($D1452&lt;&gt;"",$E1452&lt;&gt;"",$G1452&gt;0,$H1452&lt;&gt;"",$I1452&lt;&gt;""),IF($C1452&gt;TODAY(),"İLERİ TARİH",IF(COUNTIF($W$7:$W$3001,$W1452)&gt;1,"MÜKERRER?",IF($AD1452&gt;0,"KAPALI DÖNEM",IF($I1452="Hayır","ÖDENECEK","UYGUN")))),"EKSİK"))))</f>
        <v/>
      </c>
      <c r="Q1452" s="2"/>
      <c r="R1452" s="2"/>
      <c r="S1452" s="1" t="str">
        <f t="shared" si="68"/>
        <v/>
      </c>
      <c r="T1452" s="1" t="str">
        <f>IF(OR($C1452="",$D1452&lt;&gt;"Gelir",$L1452=""),"",IFERROR(INDEX(MUSTERILER!$B$7:$B$156,MATCH($S1452,MUSTERILER!$T$7:$T$156,0)),""))</f>
        <v/>
      </c>
      <c r="U1452" s="1" t="str">
        <f>IF($T1452="","",$T1452&amp;"|"&amp;COUNTIFS($T$7:$T1452,$T1452))</f>
        <v/>
      </c>
      <c r="V1452" s="1">
        <f t="shared" si="69"/>
        <v>0</v>
      </c>
      <c r="W1452" s="1" t="str">
        <f t="shared" si="70"/>
        <v/>
      </c>
      <c r="X1452" s="1"/>
      <c r="Y1452" s="1"/>
      <c r="Z1452" s="1"/>
      <c r="AA1452" s="1"/>
      <c r="AB1452" s="1"/>
      <c r="AC1452" s="1"/>
      <c r="AD1452" s="1">
        <f>IF($C1452="",0,SUMPRODUCT((AY_SONU!$O$7:$O$42="Evet")*(AY_SONU!$B$7:$B$42=DATE(YEAR($C1452),MONTH($C1452),1))))</f>
        <v>0</v>
      </c>
      <c r="AE1452" s="1" t="str">
        <f>IF($E1452="","",$E1452&amp;"|"&amp;COUNTIFS($E$7:$E1452,$E1452))</f>
        <v/>
      </c>
    </row>
    <row r="1453" spans="1:31" ht="18" customHeight="1" x14ac:dyDescent="0.3">
      <c r="A1453" s="2"/>
      <c r="B1453" s="65" t="str">
        <f>IF($C1453="","","GG"&amp;TEXT(ROW()-6,"00000"))</f>
        <v/>
      </c>
      <c r="C1453" s="66"/>
      <c r="D1453" s="60"/>
      <c r="E1453" s="61"/>
      <c r="F1453" s="61"/>
      <c r="G1453" s="67"/>
      <c r="H1453" s="60"/>
      <c r="I1453" s="60"/>
      <c r="J1453" s="61"/>
      <c r="K1453" s="61"/>
      <c r="L1453" s="60"/>
      <c r="M1453" s="74" t="str">
        <f>IF($C1453="","",IF($D1453="Gider",$E1453,IF($L1453&lt;&gt;"",$L1453,$H1453)))</f>
        <v/>
      </c>
      <c r="N1453" s="74" t="str">
        <f>IF($C1453="","",IF($D1453="Gider",$H1453,$E1453))</f>
        <v/>
      </c>
      <c r="O1453" s="73" t="str">
        <f>IF($C1453="","",DATE(YEAR($C1453),MONTH($C1453),1))</f>
        <v/>
      </c>
      <c r="P1453" s="65" t="str">
        <f ca="1">IF($C1453="","",IF(AND($D1453="Gelir",$L1453&lt;&gt;"",$T1453=""),"TANIMSIZ BORÇLU",IF($T1453&lt;&gt;"",IF(OR($E1453="",$G1453&lt;=0),"EKSİK",IF($I1453="Evet","TAHAKKUK NAKİT OLAMAZ",IF($C1453&gt;TODAY(),"İLERİ TARİH","TAHAKKUK"))),IF(AND($D1453&lt;&gt;"",$E1453&lt;&gt;"",$G1453&gt;0,$H1453&lt;&gt;"",$I1453&lt;&gt;""),IF($C1453&gt;TODAY(),"İLERİ TARİH",IF(COUNTIF($W$7:$W$3001,$W1453)&gt;1,"MÜKERRER?",IF($AD1453&gt;0,"KAPALI DÖNEM",IF($I1453="Hayır","ÖDENECEK","UYGUN")))),"EKSİK"))))</f>
        <v/>
      </c>
      <c r="Q1453" s="2"/>
      <c r="R1453" s="2"/>
      <c r="S1453" s="1" t="str">
        <f t="shared" si="68"/>
        <v/>
      </c>
      <c r="T1453" s="1" t="str">
        <f>IF(OR($C1453="",$D1453&lt;&gt;"Gelir",$L1453=""),"",IFERROR(INDEX(MUSTERILER!$B$7:$B$156,MATCH($S1453,MUSTERILER!$T$7:$T$156,0)),""))</f>
        <v/>
      </c>
      <c r="U1453" s="1" t="str">
        <f>IF($T1453="","",$T1453&amp;"|"&amp;COUNTIFS($T$7:$T1453,$T1453))</f>
        <v/>
      </c>
      <c r="V1453" s="1">
        <f t="shared" si="69"/>
        <v>0</v>
      </c>
      <c r="W1453" s="1" t="str">
        <f t="shared" si="70"/>
        <v/>
      </c>
      <c r="X1453" s="1"/>
      <c r="Y1453" s="1"/>
      <c r="Z1453" s="1"/>
      <c r="AA1453" s="1"/>
      <c r="AB1453" s="1"/>
      <c r="AC1453" s="1"/>
      <c r="AD1453" s="1">
        <f>IF($C1453="",0,SUMPRODUCT((AY_SONU!$O$7:$O$42="Evet")*(AY_SONU!$B$7:$B$42=DATE(YEAR($C1453),MONTH($C1453),1))))</f>
        <v>0</v>
      </c>
      <c r="AE1453" s="1" t="str">
        <f>IF($E1453="","",$E1453&amp;"|"&amp;COUNTIFS($E$7:$E1453,$E1453))</f>
        <v/>
      </c>
    </row>
    <row r="1454" spans="1:31" ht="18" customHeight="1" x14ac:dyDescent="0.3">
      <c r="A1454" s="2"/>
      <c r="B1454" s="65" t="str">
        <f>IF($C1454="","","GG"&amp;TEXT(ROW()-6,"00000"))</f>
        <v/>
      </c>
      <c r="C1454" s="66"/>
      <c r="D1454" s="60"/>
      <c r="E1454" s="61"/>
      <c r="F1454" s="61"/>
      <c r="G1454" s="67"/>
      <c r="H1454" s="60"/>
      <c r="I1454" s="60"/>
      <c r="J1454" s="61"/>
      <c r="K1454" s="61"/>
      <c r="L1454" s="60"/>
      <c r="M1454" s="74" t="str">
        <f>IF($C1454="","",IF($D1454="Gider",$E1454,IF($L1454&lt;&gt;"",$L1454,$H1454)))</f>
        <v/>
      </c>
      <c r="N1454" s="74" t="str">
        <f>IF($C1454="","",IF($D1454="Gider",$H1454,$E1454))</f>
        <v/>
      </c>
      <c r="O1454" s="73" t="str">
        <f>IF($C1454="","",DATE(YEAR($C1454),MONTH($C1454),1))</f>
        <v/>
      </c>
      <c r="P1454" s="65" t="str">
        <f ca="1">IF($C1454="","",IF(AND($D1454="Gelir",$L1454&lt;&gt;"",$T1454=""),"TANIMSIZ BORÇLU",IF($T1454&lt;&gt;"",IF(OR($E1454="",$G1454&lt;=0),"EKSİK",IF($I1454="Evet","TAHAKKUK NAKİT OLAMAZ",IF($C1454&gt;TODAY(),"İLERİ TARİH","TAHAKKUK"))),IF(AND($D1454&lt;&gt;"",$E1454&lt;&gt;"",$G1454&gt;0,$H1454&lt;&gt;"",$I1454&lt;&gt;""),IF($C1454&gt;TODAY(),"İLERİ TARİH",IF(COUNTIF($W$7:$W$3001,$W1454)&gt;1,"MÜKERRER?",IF($AD1454&gt;0,"KAPALI DÖNEM",IF($I1454="Hayır","ÖDENECEK","UYGUN")))),"EKSİK"))))</f>
        <v/>
      </c>
      <c r="Q1454" s="2"/>
      <c r="R1454" s="2"/>
      <c r="S1454" s="1" t="str">
        <f t="shared" si="68"/>
        <v/>
      </c>
      <c r="T1454" s="1" t="str">
        <f>IF(OR($C1454="",$D1454&lt;&gt;"Gelir",$L1454=""),"",IFERROR(INDEX(MUSTERILER!$B$7:$B$156,MATCH($S1454,MUSTERILER!$T$7:$T$156,0)),""))</f>
        <v/>
      </c>
      <c r="U1454" s="1" t="str">
        <f>IF($T1454="","",$T1454&amp;"|"&amp;COUNTIFS($T$7:$T1454,$T1454))</f>
        <v/>
      </c>
      <c r="V1454" s="1">
        <f t="shared" si="69"/>
        <v>0</v>
      </c>
      <c r="W1454" s="1" t="str">
        <f t="shared" si="70"/>
        <v/>
      </c>
      <c r="X1454" s="1"/>
      <c r="Y1454" s="1"/>
      <c r="Z1454" s="1"/>
      <c r="AA1454" s="1"/>
      <c r="AB1454" s="1"/>
      <c r="AC1454" s="1"/>
      <c r="AD1454" s="1">
        <f>IF($C1454="",0,SUMPRODUCT((AY_SONU!$O$7:$O$42="Evet")*(AY_SONU!$B$7:$B$42=DATE(YEAR($C1454),MONTH($C1454),1))))</f>
        <v>0</v>
      </c>
      <c r="AE1454" s="1" t="str">
        <f>IF($E1454="","",$E1454&amp;"|"&amp;COUNTIFS($E$7:$E1454,$E1454))</f>
        <v/>
      </c>
    </row>
    <row r="1455" spans="1:31" ht="18" customHeight="1" x14ac:dyDescent="0.3">
      <c r="A1455" s="2"/>
      <c r="B1455" s="65" t="str">
        <f>IF($C1455="","","GG"&amp;TEXT(ROW()-6,"00000"))</f>
        <v/>
      </c>
      <c r="C1455" s="66"/>
      <c r="D1455" s="60"/>
      <c r="E1455" s="61"/>
      <c r="F1455" s="61"/>
      <c r="G1455" s="67"/>
      <c r="H1455" s="60"/>
      <c r="I1455" s="60"/>
      <c r="J1455" s="61"/>
      <c r="K1455" s="61"/>
      <c r="L1455" s="60"/>
      <c r="M1455" s="74" t="str">
        <f>IF($C1455="","",IF($D1455="Gider",$E1455,IF($L1455&lt;&gt;"",$L1455,$H1455)))</f>
        <v/>
      </c>
      <c r="N1455" s="74" t="str">
        <f>IF($C1455="","",IF($D1455="Gider",$H1455,$E1455))</f>
        <v/>
      </c>
      <c r="O1455" s="73" t="str">
        <f>IF($C1455="","",DATE(YEAR($C1455),MONTH($C1455),1))</f>
        <v/>
      </c>
      <c r="P1455" s="65" t="str">
        <f ca="1">IF($C1455="","",IF(AND($D1455="Gelir",$L1455&lt;&gt;"",$T1455=""),"TANIMSIZ BORÇLU",IF($T1455&lt;&gt;"",IF(OR($E1455="",$G1455&lt;=0),"EKSİK",IF($I1455="Evet","TAHAKKUK NAKİT OLAMAZ",IF($C1455&gt;TODAY(),"İLERİ TARİH","TAHAKKUK"))),IF(AND($D1455&lt;&gt;"",$E1455&lt;&gt;"",$G1455&gt;0,$H1455&lt;&gt;"",$I1455&lt;&gt;""),IF($C1455&gt;TODAY(),"İLERİ TARİH",IF(COUNTIF($W$7:$W$3001,$W1455)&gt;1,"MÜKERRER?",IF($AD1455&gt;0,"KAPALI DÖNEM",IF($I1455="Hayır","ÖDENECEK","UYGUN")))),"EKSİK"))))</f>
        <v/>
      </c>
      <c r="Q1455" s="2"/>
      <c r="R1455" s="2"/>
      <c r="S1455" s="1" t="str">
        <f t="shared" si="68"/>
        <v/>
      </c>
      <c r="T1455" s="1" t="str">
        <f>IF(OR($C1455="",$D1455&lt;&gt;"Gelir",$L1455=""),"",IFERROR(INDEX(MUSTERILER!$B$7:$B$156,MATCH($S1455,MUSTERILER!$T$7:$T$156,0)),""))</f>
        <v/>
      </c>
      <c r="U1455" s="1" t="str">
        <f>IF($T1455="","",$T1455&amp;"|"&amp;COUNTIFS($T$7:$T1455,$T1455))</f>
        <v/>
      </c>
      <c r="V1455" s="1">
        <f t="shared" si="69"/>
        <v>0</v>
      </c>
      <c r="W1455" s="1" t="str">
        <f t="shared" si="70"/>
        <v/>
      </c>
      <c r="X1455" s="1"/>
      <c r="Y1455" s="1"/>
      <c r="Z1455" s="1"/>
      <c r="AA1455" s="1"/>
      <c r="AB1455" s="1"/>
      <c r="AC1455" s="1"/>
      <c r="AD1455" s="1">
        <f>IF($C1455="",0,SUMPRODUCT((AY_SONU!$O$7:$O$42="Evet")*(AY_SONU!$B$7:$B$42=DATE(YEAR($C1455),MONTH($C1455),1))))</f>
        <v>0</v>
      </c>
      <c r="AE1455" s="1" t="str">
        <f>IF($E1455="","",$E1455&amp;"|"&amp;COUNTIFS($E$7:$E1455,$E1455))</f>
        <v/>
      </c>
    </row>
    <row r="1456" spans="1:31" ht="18" customHeight="1" x14ac:dyDescent="0.3">
      <c r="A1456" s="2"/>
      <c r="B1456" s="65" t="str">
        <f>IF($C1456="","","GG"&amp;TEXT(ROW()-6,"00000"))</f>
        <v/>
      </c>
      <c r="C1456" s="66"/>
      <c r="D1456" s="60"/>
      <c r="E1456" s="61"/>
      <c r="F1456" s="61"/>
      <c r="G1456" s="67"/>
      <c r="H1456" s="60"/>
      <c r="I1456" s="60"/>
      <c r="J1456" s="61"/>
      <c r="K1456" s="61"/>
      <c r="L1456" s="60"/>
      <c r="M1456" s="74" t="str">
        <f>IF($C1456="","",IF($D1456="Gider",$E1456,IF($L1456&lt;&gt;"",$L1456,$H1456)))</f>
        <v/>
      </c>
      <c r="N1456" s="74" t="str">
        <f>IF($C1456="","",IF($D1456="Gider",$H1456,$E1456))</f>
        <v/>
      </c>
      <c r="O1456" s="73" t="str">
        <f>IF($C1456="","",DATE(YEAR($C1456),MONTH($C1456),1))</f>
        <v/>
      </c>
      <c r="P1456" s="65" t="str">
        <f ca="1">IF($C1456="","",IF(AND($D1456="Gelir",$L1456&lt;&gt;"",$T1456=""),"TANIMSIZ BORÇLU",IF($T1456&lt;&gt;"",IF(OR($E1456="",$G1456&lt;=0),"EKSİK",IF($I1456="Evet","TAHAKKUK NAKİT OLAMAZ",IF($C1456&gt;TODAY(),"İLERİ TARİH","TAHAKKUK"))),IF(AND($D1456&lt;&gt;"",$E1456&lt;&gt;"",$G1456&gt;0,$H1456&lt;&gt;"",$I1456&lt;&gt;""),IF($C1456&gt;TODAY(),"İLERİ TARİH",IF(COUNTIF($W$7:$W$3001,$W1456)&gt;1,"MÜKERRER?",IF($AD1456&gt;0,"KAPALI DÖNEM",IF($I1456="Hayır","ÖDENECEK","UYGUN")))),"EKSİK"))))</f>
        <v/>
      </c>
      <c r="Q1456" s="2"/>
      <c r="R1456" s="2"/>
      <c r="S1456" s="1" t="str">
        <f t="shared" si="68"/>
        <v/>
      </c>
      <c r="T1456" s="1" t="str">
        <f>IF(OR($C1456="",$D1456&lt;&gt;"Gelir",$L1456=""),"",IFERROR(INDEX(MUSTERILER!$B$7:$B$156,MATCH($S1456,MUSTERILER!$T$7:$T$156,0)),""))</f>
        <v/>
      </c>
      <c r="U1456" s="1" t="str">
        <f>IF($T1456="","",$T1456&amp;"|"&amp;COUNTIFS($T$7:$T1456,$T1456))</f>
        <v/>
      </c>
      <c r="V1456" s="1">
        <f t="shared" si="69"/>
        <v>0</v>
      </c>
      <c r="W1456" s="1" t="str">
        <f t="shared" si="70"/>
        <v/>
      </c>
      <c r="X1456" s="1"/>
      <c r="Y1456" s="1"/>
      <c r="Z1456" s="1"/>
      <c r="AA1456" s="1"/>
      <c r="AB1456" s="1"/>
      <c r="AC1456" s="1"/>
      <c r="AD1456" s="1">
        <f>IF($C1456="",0,SUMPRODUCT((AY_SONU!$O$7:$O$42="Evet")*(AY_SONU!$B$7:$B$42=DATE(YEAR($C1456),MONTH($C1456),1))))</f>
        <v>0</v>
      </c>
      <c r="AE1456" s="1" t="str">
        <f>IF($E1456="","",$E1456&amp;"|"&amp;COUNTIFS($E$7:$E1456,$E1456))</f>
        <v/>
      </c>
    </row>
    <row r="1457" spans="1:31" ht="18" customHeight="1" x14ac:dyDescent="0.3">
      <c r="A1457" s="2"/>
      <c r="B1457" s="65" t="str">
        <f>IF($C1457="","","GG"&amp;TEXT(ROW()-6,"00000"))</f>
        <v/>
      </c>
      <c r="C1457" s="66"/>
      <c r="D1457" s="60"/>
      <c r="E1457" s="61"/>
      <c r="F1457" s="61"/>
      <c r="G1457" s="67"/>
      <c r="H1457" s="60"/>
      <c r="I1457" s="60"/>
      <c r="J1457" s="61"/>
      <c r="K1457" s="61"/>
      <c r="L1457" s="60"/>
      <c r="M1457" s="74" t="str">
        <f>IF($C1457="","",IF($D1457="Gider",$E1457,IF($L1457&lt;&gt;"",$L1457,$H1457)))</f>
        <v/>
      </c>
      <c r="N1457" s="74" t="str">
        <f>IF($C1457="","",IF($D1457="Gider",$H1457,$E1457))</f>
        <v/>
      </c>
      <c r="O1457" s="73" t="str">
        <f>IF($C1457="","",DATE(YEAR($C1457),MONTH($C1457),1))</f>
        <v/>
      </c>
      <c r="P1457" s="65" t="str">
        <f ca="1">IF($C1457="","",IF(AND($D1457="Gelir",$L1457&lt;&gt;"",$T1457=""),"TANIMSIZ BORÇLU",IF($T1457&lt;&gt;"",IF(OR($E1457="",$G1457&lt;=0),"EKSİK",IF($I1457="Evet","TAHAKKUK NAKİT OLAMAZ",IF($C1457&gt;TODAY(),"İLERİ TARİH","TAHAKKUK"))),IF(AND($D1457&lt;&gt;"",$E1457&lt;&gt;"",$G1457&gt;0,$H1457&lt;&gt;"",$I1457&lt;&gt;""),IF($C1457&gt;TODAY(),"İLERİ TARİH",IF(COUNTIF($W$7:$W$3001,$W1457)&gt;1,"MÜKERRER?",IF($AD1457&gt;0,"KAPALI DÖNEM",IF($I1457="Hayır","ÖDENECEK","UYGUN")))),"EKSİK"))))</f>
        <v/>
      </c>
      <c r="Q1457" s="2"/>
      <c r="R1457" s="2"/>
      <c r="S1457" s="1" t="str">
        <f t="shared" si="68"/>
        <v/>
      </c>
      <c r="T1457" s="1" t="str">
        <f>IF(OR($C1457="",$D1457&lt;&gt;"Gelir",$L1457=""),"",IFERROR(INDEX(MUSTERILER!$B$7:$B$156,MATCH($S1457,MUSTERILER!$T$7:$T$156,0)),""))</f>
        <v/>
      </c>
      <c r="U1457" s="1" t="str">
        <f>IF($T1457="","",$T1457&amp;"|"&amp;COUNTIFS($T$7:$T1457,$T1457))</f>
        <v/>
      </c>
      <c r="V1457" s="1">
        <f t="shared" si="69"/>
        <v>0</v>
      </c>
      <c r="W1457" s="1" t="str">
        <f t="shared" si="70"/>
        <v/>
      </c>
      <c r="X1457" s="1"/>
      <c r="Y1457" s="1"/>
      <c r="Z1457" s="1"/>
      <c r="AA1457" s="1"/>
      <c r="AB1457" s="1"/>
      <c r="AC1457" s="1"/>
      <c r="AD1457" s="1">
        <f>IF($C1457="",0,SUMPRODUCT((AY_SONU!$O$7:$O$42="Evet")*(AY_SONU!$B$7:$B$42=DATE(YEAR($C1457),MONTH($C1457),1))))</f>
        <v>0</v>
      </c>
      <c r="AE1457" s="1" t="str">
        <f>IF($E1457="","",$E1457&amp;"|"&amp;COUNTIFS($E$7:$E1457,$E1457))</f>
        <v/>
      </c>
    </row>
    <row r="1458" spans="1:31" ht="18" customHeight="1" x14ac:dyDescent="0.3">
      <c r="A1458" s="2"/>
      <c r="B1458" s="65" t="str">
        <f>IF($C1458="","","GG"&amp;TEXT(ROW()-6,"00000"))</f>
        <v/>
      </c>
      <c r="C1458" s="66"/>
      <c r="D1458" s="60"/>
      <c r="E1458" s="61"/>
      <c r="F1458" s="61"/>
      <c r="G1458" s="67"/>
      <c r="H1458" s="60"/>
      <c r="I1458" s="60"/>
      <c r="J1458" s="61"/>
      <c r="K1458" s="61"/>
      <c r="L1458" s="60"/>
      <c r="M1458" s="74" t="str">
        <f>IF($C1458="","",IF($D1458="Gider",$E1458,IF($L1458&lt;&gt;"",$L1458,$H1458)))</f>
        <v/>
      </c>
      <c r="N1458" s="74" t="str">
        <f>IF($C1458="","",IF($D1458="Gider",$H1458,$E1458))</f>
        <v/>
      </c>
      <c r="O1458" s="73" t="str">
        <f>IF($C1458="","",DATE(YEAR($C1458),MONTH($C1458),1))</f>
        <v/>
      </c>
      <c r="P1458" s="65" t="str">
        <f ca="1">IF($C1458="","",IF(AND($D1458="Gelir",$L1458&lt;&gt;"",$T1458=""),"TANIMSIZ BORÇLU",IF($T1458&lt;&gt;"",IF(OR($E1458="",$G1458&lt;=0),"EKSİK",IF($I1458="Evet","TAHAKKUK NAKİT OLAMAZ",IF($C1458&gt;TODAY(),"İLERİ TARİH","TAHAKKUK"))),IF(AND($D1458&lt;&gt;"",$E1458&lt;&gt;"",$G1458&gt;0,$H1458&lt;&gt;"",$I1458&lt;&gt;""),IF($C1458&gt;TODAY(),"İLERİ TARİH",IF(COUNTIF($W$7:$W$3001,$W1458)&gt;1,"MÜKERRER?",IF($AD1458&gt;0,"KAPALI DÖNEM",IF($I1458="Hayır","ÖDENECEK","UYGUN")))),"EKSİK"))))</f>
        <v/>
      </c>
      <c r="Q1458" s="2"/>
      <c r="R1458" s="2"/>
      <c r="S1458" s="1" t="str">
        <f t="shared" si="68"/>
        <v/>
      </c>
      <c r="T1458" s="1" t="str">
        <f>IF(OR($C1458="",$D1458&lt;&gt;"Gelir",$L1458=""),"",IFERROR(INDEX(MUSTERILER!$B$7:$B$156,MATCH($S1458,MUSTERILER!$T$7:$T$156,0)),""))</f>
        <v/>
      </c>
      <c r="U1458" s="1" t="str">
        <f>IF($T1458="","",$T1458&amp;"|"&amp;COUNTIFS($T$7:$T1458,$T1458))</f>
        <v/>
      </c>
      <c r="V1458" s="1">
        <f t="shared" si="69"/>
        <v>0</v>
      </c>
      <c r="W1458" s="1" t="str">
        <f t="shared" si="70"/>
        <v/>
      </c>
      <c r="X1458" s="1"/>
      <c r="Y1458" s="1"/>
      <c r="Z1458" s="1"/>
      <c r="AA1458" s="1"/>
      <c r="AB1458" s="1"/>
      <c r="AC1458" s="1"/>
      <c r="AD1458" s="1">
        <f>IF($C1458="",0,SUMPRODUCT((AY_SONU!$O$7:$O$42="Evet")*(AY_SONU!$B$7:$B$42=DATE(YEAR($C1458),MONTH($C1458),1))))</f>
        <v>0</v>
      </c>
      <c r="AE1458" s="1" t="str">
        <f>IF($E1458="","",$E1458&amp;"|"&amp;COUNTIFS($E$7:$E1458,$E1458))</f>
        <v/>
      </c>
    </row>
    <row r="1459" spans="1:31" ht="18" customHeight="1" x14ac:dyDescent="0.3">
      <c r="A1459" s="2"/>
      <c r="B1459" s="65" t="str">
        <f>IF($C1459="","","GG"&amp;TEXT(ROW()-6,"00000"))</f>
        <v/>
      </c>
      <c r="C1459" s="66"/>
      <c r="D1459" s="60"/>
      <c r="E1459" s="61"/>
      <c r="F1459" s="61"/>
      <c r="G1459" s="67"/>
      <c r="H1459" s="60"/>
      <c r="I1459" s="60"/>
      <c r="J1459" s="61"/>
      <c r="K1459" s="61"/>
      <c r="L1459" s="60"/>
      <c r="M1459" s="74" t="str">
        <f>IF($C1459="","",IF($D1459="Gider",$E1459,IF($L1459&lt;&gt;"",$L1459,$H1459)))</f>
        <v/>
      </c>
      <c r="N1459" s="74" t="str">
        <f>IF($C1459="","",IF($D1459="Gider",$H1459,$E1459))</f>
        <v/>
      </c>
      <c r="O1459" s="73" t="str">
        <f>IF($C1459="","",DATE(YEAR($C1459),MONTH($C1459),1))</f>
        <v/>
      </c>
      <c r="P1459" s="65" t="str">
        <f ca="1">IF($C1459="","",IF(AND($D1459="Gelir",$L1459&lt;&gt;"",$T1459=""),"TANIMSIZ BORÇLU",IF($T1459&lt;&gt;"",IF(OR($E1459="",$G1459&lt;=0),"EKSİK",IF($I1459="Evet","TAHAKKUK NAKİT OLAMAZ",IF($C1459&gt;TODAY(),"İLERİ TARİH","TAHAKKUK"))),IF(AND($D1459&lt;&gt;"",$E1459&lt;&gt;"",$G1459&gt;0,$H1459&lt;&gt;"",$I1459&lt;&gt;""),IF($C1459&gt;TODAY(),"İLERİ TARİH",IF(COUNTIF($W$7:$W$3001,$W1459)&gt;1,"MÜKERRER?",IF($AD1459&gt;0,"KAPALI DÖNEM",IF($I1459="Hayır","ÖDENECEK","UYGUN")))),"EKSİK"))))</f>
        <v/>
      </c>
      <c r="Q1459" s="2"/>
      <c r="R1459" s="2"/>
      <c r="S1459" s="1" t="str">
        <f t="shared" si="68"/>
        <v/>
      </c>
      <c r="T1459" s="1" t="str">
        <f>IF(OR($C1459="",$D1459&lt;&gt;"Gelir",$L1459=""),"",IFERROR(INDEX(MUSTERILER!$B$7:$B$156,MATCH($S1459,MUSTERILER!$T$7:$T$156,0)),""))</f>
        <v/>
      </c>
      <c r="U1459" s="1" t="str">
        <f>IF($T1459="","",$T1459&amp;"|"&amp;COUNTIFS($T$7:$T1459,$T1459))</f>
        <v/>
      </c>
      <c r="V1459" s="1">
        <f t="shared" si="69"/>
        <v>0</v>
      </c>
      <c r="W1459" s="1" t="str">
        <f t="shared" si="70"/>
        <v/>
      </c>
      <c r="X1459" s="1"/>
      <c r="Y1459" s="1"/>
      <c r="Z1459" s="1"/>
      <c r="AA1459" s="1"/>
      <c r="AB1459" s="1"/>
      <c r="AC1459" s="1"/>
      <c r="AD1459" s="1">
        <f>IF($C1459="",0,SUMPRODUCT((AY_SONU!$O$7:$O$42="Evet")*(AY_SONU!$B$7:$B$42=DATE(YEAR($C1459),MONTH($C1459),1))))</f>
        <v>0</v>
      </c>
      <c r="AE1459" s="1" t="str">
        <f>IF($E1459="","",$E1459&amp;"|"&amp;COUNTIFS($E$7:$E1459,$E1459))</f>
        <v/>
      </c>
    </row>
    <row r="1460" spans="1:31" ht="18" customHeight="1" x14ac:dyDescent="0.3">
      <c r="A1460" s="2"/>
      <c r="B1460" s="65" t="str">
        <f>IF($C1460="","","GG"&amp;TEXT(ROW()-6,"00000"))</f>
        <v/>
      </c>
      <c r="C1460" s="66"/>
      <c r="D1460" s="60"/>
      <c r="E1460" s="61"/>
      <c r="F1460" s="61"/>
      <c r="G1460" s="67"/>
      <c r="H1460" s="60"/>
      <c r="I1460" s="60"/>
      <c r="J1460" s="61"/>
      <c r="K1460" s="61"/>
      <c r="L1460" s="60"/>
      <c r="M1460" s="74" t="str">
        <f>IF($C1460="","",IF($D1460="Gider",$E1460,IF($L1460&lt;&gt;"",$L1460,$H1460)))</f>
        <v/>
      </c>
      <c r="N1460" s="74" t="str">
        <f>IF($C1460="","",IF($D1460="Gider",$H1460,$E1460))</f>
        <v/>
      </c>
      <c r="O1460" s="73" t="str">
        <f>IF($C1460="","",DATE(YEAR($C1460),MONTH($C1460),1))</f>
        <v/>
      </c>
      <c r="P1460" s="65" t="str">
        <f ca="1">IF($C1460="","",IF(AND($D1460="Gelir",$L1460&lt;&gt;"",$T1460=""),"TANIMSIZ BORÇLU",IF($T1460&lt;&gt;"",IF(OR($E1460="",$G1460&lt;=0),"EKSİK",IF($I1460="Evet","TAHAKKUK NAKİT OLAMAZ",IF($C1460&gt;TODAY(),"İLERİ TARİH","TAHAKKUK"))),IF(AND($D1460&lt;&gt;"",$E1460&lt;&gt;"",$G1460&gt;0,$H1460&lt;&gt;"",$I1460&lt;&gt;""),IF($C1460&gt;TODAY(),"İLERİ TARİH",IF(COUNTIF($W$7:$W$3001,$W1460)&gt;1,"MÜKERRER?",IF($AD1460&gt;0,"KAPALI DÖNEM",IF($I1460="Hayır","ÖDENECEK","UYGUN")))),"EKSİK"))))</f>
        <v/>
      </c>
      <c r="Q1460" s="2"/>
      <c r="R1460" s="2"/>
      <c r="S1460" s="1" t="str">
        <f t="shared" si="68"/>
        <v/>
      </c>
      <c r="T1460" s="1" t="str">
        <f>IF(OR($C1460="",$D1460&lt;&gt;"Gelir",$L1460=""),"",IFERROR(INDEX(MUSTERILER!$B$7:$B$156,MATCH($S1460,MUSTERILER!$T$7:$T$156,0)),""))</f>
        <v/>
      </c>
      <c r="U1460" s="1" t="str">
        <f>IF($T1460="","",$T1460&amp;"|"&amp;COUNTIFS($T$7:$T1460,$T1460))</f>
        <v/>
      </c>
      <c r="V1460" s="1">
        <f t="shared" si="69"/>
        <v>0</v>
      </c>
      <c r="W1460" s="1" t="str">
        <f t="shared" si="70"/>
        <v/>
      </c>
      <c r="X1460" s="1"/>
      <c r="Y1460" s="1"/>
      <c r="Z1460" s="1"/>
      <c r="AA1460" s="1"/>
      <c r="AB1460" s="1"/>
      <c r="AC1460" s="1"/>
      <c r="AD1460" s="1">
        <f>IF($C1460="",0,SUMPRODUCT((AY_SONU!$O$7:$O$42="Evet")*(AY_SONU!$B$7:$B$42=DATE(YEAR($C1460),MONTH($C1460),1))))</f>
        <v>0</v>
      </c>
      <c r="AE1460" s="1" t="str">
        <f>IF($E1460="","",$E1460&amp;"|"&amp;COUNTIFS($E$7:$E1460,$E1460))</f>
        <v/>
      </c>
    </row>
    <row r="1461" spans="1:31" ht="18" customHeight="1" x14ac:dyDescent="0.3">
      <c r="A1461" s="2"/>
      <c r="B1461" s="65" t="str">
        <f>IF($C1461="","","GG"&amp;TEXT(ROW()-6,"00000"))</f>
        <v/>
      </c>
      <c r="C1461" s="66"/>
      <c r="D1461" s="60"/>
      <c r="E1461" s="61"/>
      <c r="F1461" s="61"/>
      <c r="G1461" s="67"/>
      <c r="H1461" s="60"/>
      <c r="I1461" s="60"/>
      <c r="J1461" s="61"/>
      <c r="K1461" s="61"/>
      <c r="L1461" s="60"/>
      <c r="M1461" s="74" t="str">
        <f>IF($C1461="","",IF($D1461="Gider",$E1461,IF($L1461&lt;&gt;"",$L1461,$H1461)))</f>
        <v/>
      </c>
      <c r="N1461" s="74" t="str">
        <f>IF($C1461="","",IF($D1461="Gider",$H1461,$E1461))</f>
        <v/>
      </c>
      <c r="O1461" s="73" t="str">
        <f>IF($C1461="","",DATE(YEAR($C1461),MONTH($C1461),1))</f>
        <v/>
      </c>
      <c r="P1461" s="65" t="str">
        <f ca="1">IF($C1461="","",IF(AND($D1461="Gelir",$L1461&lt;&gt;"",$T1461=""),"TANIMSIZ BORÇLU",IF($T1461&lt;&gt;"",IF(OR($E1461="",$G1461&lt;=0),"EKSİK",IF($I1461="Evet","TAHAKKUK NAKİT OLAMAZ",IF($C1461&gt;TODAY(),"İLERİ TARİH","TAHAKKUK"))),IF(AND($D1461&lt;&gt;"",$E1461&lt;&gt;"",$G1461&gt;0,$H1461&lt;&gt;"",$I1461&lt;&gt;""),IF($C1461&gt;TODAY(),"İLERİ TARİH",IF(COUNTIF($W$7:$W$3001,$W1461)&gt;1,"MÜKERRER?",IF($AD1461&gt;0,"KAPALI DÖNEM",IF($I1461="Hayır","ÖDENECEK","UYGUN")))),"EKSİK"))))</f>
        <v/>
      </c>
      <c r="Q1461" s="2"/>
      <c r="R1461" s="2"/>
      <c r="S1461" s="1" t="str">
        <f t="shared" si="68"/>
        <v/>
      </c>
      <c r="T1461" s="1" t="str">
        <f>IF(OR($C1461="",$D1461&lt;&gt;"Gelir",$L1461=""),"",IFERROR(INDEX(MUSTERILER!$B$7:$B$156,MATCH($S1461,MUSTERILER!$T$7:$T$156,0)),""))</f>
        <v/>
      </c>
      <c r="U1461" s="1" t="str">
        <f>IF($T1461="","",$T1461&amp;"|"&amp;COUNTIFS($T$7:$T1461,$T1461))</f>
        <v/>
      </c>
      <c r="V1461" s="1">
        <f t="shared" si="69"/>
        <v>0</v>
      </c>
      <c r="W1461" s="1" t="str">
        <f t="shared" si="70"/>
        <v/>
      </c>
      <c r="X1461" s="1"/>
      <c r="Y1461" s="1"/>
      <c r="Z1461" s="1"/>
      <c r="AA1461" s="1"/>
      <c r="AB1461" s="1"/>
      <c r="AC1461" s="1"/>
      <c r="AD1461" s="1">
        <f>IF($C1461="",0,SUMPRODUCT((AY_SONU!$O$7:$O$42="Evet")*(AY_SONU!$B$7:$B$42=DATE(YEAR($C1461),MONTH($C1461),1))))</f>
        <v>0</v>
      </c>
      <c r="AE1461" s="1" t="str">
        <f>IF($E1461="","",$E1461&amp;"|"&amp;COUNTIFS($E$7:$E1461,$E1461))</f>
        <v/>
      </c>
    </row>
    <row r="1462" spans="1:31" ht="18" customHeight="1" x14ac:dyDescent="0.3">
      <c r="A1462" s="2"/>
      <c r="B1462" s="65" t="str">
        <f>IF($C1462="","","GG"&amp;TEXT(ROW()-6,"00000"))</f>
        <v/>
      </c>
      <c r="C1462" s="66"/>
      <c r="D1462" s="60"/>
      <c r="E1462" s="61"/>
      <c r="F1462" s="61"/>
      <c r="G1462" s="67"/>
      <c r="H1462" s="60"/>
      <c r="I1462" s="60"/>
      <c r="J1462" s="61"/>
      <c r="K1462" s="61"/>
      <c r="L1462" s="60"/>
      <c r="M1462" s="74" t="str">
        <f>IF($C1462="","",IF($D1462="Gider",$E1462,IF($L1462&lt;&gt;"",$L1462,$H1462)))</f>
        <v/>
      </c>
      <c r="N1462" s="74" t="str">
        <f>IF($C1462="","",IF($D1462="Gider",$H1462,$E1462))</f>
        <v/>
      </c>
      <c r="O1462" s="73" t="str">
        <f>IF($C1462="","",DATE(YEAR($C1462),MONTH($C1462),1))</f>
        <v/>
      </c>
      <c r="P1462" s="65" t="str">
        <f ca="1">IF($C1462="","",IF(AND($D1462="Gelir",$L1462&lt;&gt;"",$T1462=""),"TANIMSIZ BORÇLU",IF($T1462&lt;&gt;"",IF(OR($E1462="",$G1462&lt;=0),"EKSİK",IF($I1462="Evet","TAHAKKUK NAKİT OLAMAZ",IF($C1462&gt;TODAY(),"İLERİ TARİH","TAHAKKUK"))),IF(AND($D1462&lt;&gt;"",$E1462&lt;&gt;"",$G1462&gt;0,$H1462&lt;&gt;"",$I1462&lt;&gt;""),IF($C1462&gt;TODAY(),"İLERİ TARİH",IF(COUNTIF($W$7:$W$3001,$W1462)&gt;1,"MÜKERRER?",IF($AD1462&gt;0,"KAPALI DÖNEM",IF($I1462="Hayır","ÖDENECEK","UYGUN")))),"EKSİK"))))</f>
        <v/>
      </c>
      <c r="Q1462" s="2"/>
      <c r="R1462" s="2"/>
      <c r="S1462" s="1" t="str">
        <f t="shared" si="68"/>
        <v/>
      </c>
      <c r="T1462" s="1" t="str">
        <f>IF(OR($C1462="",$D1462&lt;&gt;"Gelir",$L1462=""),"",IFERROR(INDEX(MUSTERILER!$B$7:$B$156,MATCH($S1462,MUSTERILER!$T$7:$T$156,0)),""))</f>
        <v/>
      </c>
      <c r="U1462" s="1" t="str">
        <f>IF($T1462="","",$T1462&amp;"|"&amp;COUNTIFS($T$7:$T1462,$T1462))</f>
        <v/>
      </c>
      <c r="V1462" s="1">
        <f t="shared" si="69"/>
        <v>0</v>
      </c>
      <c r="W1462" s="1" t="str">
        <f t="shared" si="70"/>
        <v/>
      </c>
      <c r="X1462" s="1"/>
      <c r="Y1462" s="1"/>
      <c r="Z1462" s="1"/>
      <c r="AA1462" s="1"/>
      <c r="AB1462" s="1"/>
      <c r="AC1462" s="1"/>
      <c r="AD1462" s="1">
        <f>IF($C1462="",0,SUMPRODUCT((AY_SONU!$O$7:$O$42="Evet")*(AY_SONU!$B$7:$B$42=DATE(YEAR($C1462),MONTH($C1462),1))))</f>
        <v>0</v>
      </c>
      <c r="AE1462" s="1" t="str">
        <f>IF($E1462="","",$E1462&amp;"|"&amp;COUNTIFS($E$7:$E1462,$E1462))</f>
        <v/>
      </c>
    </row>
    <row r="1463" spans="1:31" ht="18" customHeight="1" x14ac:dyDescent="0.3">
      <c r="A1463" s="2"/>
      <c r="B1463" s="65" t="str">
        <f>IF($C1463="","","GG"&amp;TEXT(ROW()-6,"00000"))</f>
        <v/>
      </c>
      <c r="C1463" s="66"/>
      <c r="D1463" s="60"/>
      <c r="E1463" s="61"/>
      <c r="F1463" s="61"/>
      <c r="G1463" s="67"/>
      <c r="H1463" s="60"/>
      <c r="I1463" s="60"/>
      <c r="J1463" s="61"/>
      <c r="K1463" s="61"/>
      <c r="L1463" s="60"/>
      <c r="M1463" s="74" t="str">
        <f>IF($C1463="","",IF($D1463="Gider",$E1463,IF($L1463&lt;&gt;"",$L1463,$H1463)))</f>
        <v/>
      </c>
      <c r="N1463" s="74" t="str">
        <f>IF($C1463="","",IF($D1463="Gider",$H1463,$E1463))</f>
        <v/>
      </c>
      <c r="O1463" s="73" t="str">
        <f>IF($C1463="","",DATE(YEAR($C1463),MONTH($C1463),1))</f>
        <v/>
      </c>
      <c r="P1463" s="65" t="str">
        <f ca="1">IF($C1463="","",IF(AND($D1463="Gelir",$L1463&lt;&gt;"",$T1463=""),"TANIMSIZ BORÇLU",IF($T1463&lt;&gt;"",IF(OR($E1463="",$G1463&lt;=0),"EKSİK",IF($I1463="Evet","TAHAKKUK NAKİT OLAMAZ",IF($C1463&gt;TODAY(),"İLERİ TARİH","TAHAKKUK"))),IF(AND($D1463&lt;&gt;"",$E1463&lt;&gt;"",$G1463&gt;0,$H1463&lt;&gt;"",$I1463&lt;&gt;""),IF($C1463&gt;TODAY(),"İLERİ TARİH",IF(COUNTIF($W$7:$W$3001,$W1463)&gt;1,"MÜKERRER?",IF($AD1463&gt;0,"KAPALI DÖNEM",IF($I1463="Hayır","ÖDENECEK","UYGUN")))),"EKSİK"))))</f>
        <v/>
      </c>
      <c r="Q1463" s="2"/>
      <c r="R1463" s="2"/>
      <c r="S1463" s="1" t="str">
        <f t="shared" si="68"/>
        <v/>
      </c>
      <c r="T1463" s="1" t="str">
        <f>IF(OR($C1463="",$D1463&lt;&gt;"Gelir",$L1463=""),"",IFERROR(INDEX(MUSTERILER!$B$7:$B$156,MATCH($S1463,MUSTERILER!$T$7:$T$156,0)),""))</f>
        <v/>
      </c>
      <c r="U1463" s="1" t="str">
        <f>IF($T1463="","",$T1463&amp;"|"&amp;COUNTIFS($T$7:$T1463,$T1463))</f>
        <v/>
      </c>
      <c r="V1463" s="1">
        <f t="shared" si="69"/>
        <v>0</v>
      </c>
      <c r="W1463" s="1" t="str">
        <f t="shared" si="70"/>
        <v/>
      </c>
      <c r="X1463" s="1"/>
      <c r="Y1463" s="1"/>
      <c r="Z1463" s="1"/>
      <c r="AA1463" s="1"/>
      <c r="AB1463" s="1"/>
      <c r="AC1463" s="1"/>
      <c r="AD1463" s="1">
        <f>IF($C1463="",0,SUMPRODUCT((AY_SONU!$O$7:$O$42="Evet")*(AY_SONU!$B$7:$B$42=DATE(YEAR($C1463),MONTH($C1463),1))))</f>
        <v>0</v>
      </c>
      <c r="AE1463" s="1" t="str">
        <f>IF($E1463="","",$E1463&amp;"|"&amp;COUNTIFS($E$7:$E1463,$E1463))</f>
        <v/>
      </c>
    </row>
    <row r="1464" spans="1:31" ht="18" customHeight="1" x14ac:dyDescent="0.3">
      <c r="A1464" s="2"/>
      <c r="B1464" s="65" t="str">
        <f>IF($C1464="","","GG"&amp;TEXT(ROW()-6,"00000"))</f>
        <v/>
      </c>
      <c r="C1464" s="66"/>
      <c r="D1464" s="60"/>
      <c r="E1464" s="61"/>
      <c r="F1464" s="61"/>
      <c r="G1464" s="67"/>
      <c r="H1464" s="60"/>
      <c r="I1464" s="60"/>
      <c r="J1464" s="61"/>
      <c r="K1464" s="61"/>
      <c r="L1464" s="60"/>
      <c r="M1464" s="74" t="str">
        <f>IF($C1464="","",IF($D1464="Gider",$E1464,IF($L1464&lt;&gt;"",$L1464,$H1464)))</f>
        <v/>
      </c>
      <c r="N1464" s="74" t="str">
        <f>IF($C1464="","",IF($D1464="Gider",$H1464,$E1464))</f>
        <v/>
      </c>
      <c r="O1464" s="73" t="str">
        <f>IF($C1464="","",DATE(YEAR($C1464),MONTH($C1464),1))</f>
        <v/>
      </c>
      <c r="P1464" s="65" t="str">
        <f ca="1">IF($C1464="","",IF(AND($D1464="Gelir",$L1464&lt;&gt;"",$T1464=""),"TANIMSIZ BORÇLU",IF($T1464&lt;&gt;"",IF(OR($E1464="",$G1464&lt;=0),"EKSİK",IF($I1464="Evet","TAHAKKUK NAKİT OLAMAZ",IF($C1464&gt;TODAY(),"İLERİ TARİH","TAHAKKUK"))),IF(AND($D1464&lt;&gt;"",$E1464&lt;&gt;"",$G1464&gt;0,$H1464&lt;&gt;"",$I1464&lt;&gt;""),IF($C1464&gt;TODAY(),"İLERİ TARİH",IF(COUNTIF($W$7:$W$3001,$W1464)&gt;1,"MÜKERRER?",IF($AD1464&gt;0,"KAPALI DÖNEM",IF($I1464="Hayır","ÖDENECEK","UYGUN")))),"EKSİK"))))</f>
        <v/>
      </c>
      <c r="Q1464" s="2"/>
      <c r="R1464" s="2"/>
      <c r="S1464" s="1" t="str">
        <f t="shared" si="68"/>
        <v/>
      </c>
      <c r="T1464" s="1" t="str">
        <f>IF(OR($C1464="",$D1464&lt;&gt;"Gelir",$L1464=""),"",IFERROR(INDEX(MUSTERILER!$B$7:$B$156,MATCH($S1464,MUSTERILER!$T$7:$T$156,0)),""))</f>
        <v/>
      </c>
      <c r="U1464" s="1" t="str">
        <f>IF($T1464="","",$T1464&amp;"|"&amp;COUNTIFS($T$7:$T1464,$T1464))</f>
        <v/>
      </c>
      <c r="V1464" s="1">
        <f t="shared" si="69"/>
        <v>0</v>
      </c>
      <c r="W1464" s="1" t="str">
        <f t="shared" si="70"/>
        <v/>
      </c>
      <c r="X1464" s="1"/>
      <c r="Y1464" s="1"/>
      <c r="Z1464" s="1"/>
      <c r="AA1464" s="1"/>
      <c r="AB1464" s="1"/>
      <c r="AC1464" s="1"/>
      <c r="AD1464" s="1">
        <f>IF($C1464="",0,SUMPRODUCT((AY_SONU!$O$7:$O$42="Evet")*(AY_SONU!$B$7:$B$42=DATE(YEAR($C1464),MONTH($C1464),1))))</f>
        <v>0</v>
      </c>
      <c r="AE1464" s="1" t="str">
        <f>IF($E1464="","",$E1464&amp;"|"&amp;COUNTIFS($E$7:$E1464,$E1464))</f>
        <v/>
      </c>
    </row>
    <row r="1465" spans="1:31" ht="18" customHeight="1" x14ac:dyDescent="0.3">
      <c r="A1465" s="2"/>
      <c r="B1465" s="65" t="str">
        <f>IF($C1465="","","GG"&amp;TEXT(ROW()-6,"00000"))</f>
        <v/>
      </c>
      <c r="C1465" s="66"/>
      <c r="D1465" s="60"/>
      <c r="E1465" s="61"/>
      <c r="F1465" s="61"/>
      <c r="G1465" s="67"/>
      <c r="H1465" s="60"/>
      <c r="I1465" s="60"/>
      <c r="J1465" s="61"/>
      <c r="K1465" s="61"/>
      <c r="L1465" s="60"/>
      <c r="M1465" s="74" t="str">
        <f>IF($C1465="","",IF($D1465="Gider",$E1465,IF($L1465&lt;&gt;"",$L1465,$H1465)))</f>
        <v/>
      </c>
      <c r="N1465" s="74" t="str">
        <f>IF($C1465="","",IF($D1465="Gider",$H1465,$E1465))</f>
        <v/>
      </c>
      <c r="O1465" s="73" t="str">
        <f>IF($C1465="","",DATE(YEAR($C1465),MONTH($C1465),1))</f>
        <v/>
      </c>
      <c r="P1465" s="65" t="str">
        <f ca="1">IF($C1465="","",IF(AND($D1465="Gelir",$L1465&lt;&gt;"",$T1465=""),"TANIMSIZ BORÇLU",IF($T1465&lt;&gt;"",IF(OR($E1465="",$G1465&lt;=0),"EKSİK",IF($I1465="Evet","TAHAKKUK NAKİT OLAMAZ",IF($C1465&gt;TODAY(),"İLERİ TARİH","TAHAKKUK"))),IF(AND($D1465&lt;&gt;"",$E1465&lt;&gt;"",$G1465&gt;0,$H1465&lt;&gt;"",$I1465&lt;&gt;""),IF($C1465&gt;TODAY(),"İLERİ TARİH",IF(COUNTIF($W$7:$W$3001,$W1465)&gt;1,"MÜKERRER?",IF($AD1465&gt;0,"KAPALI DÖNEM",IF($I1465="Hayır","ÖDENECEK","UYGUN")))),"EKSİK"))))</f>
        <v/>
      </c>
      <c r="Q1465" s="2"/>
      <c r="R1465" s="2"/>
      <c r="S1465" s="1" t="str">
        <f t="shared" si="68"/>
        <v/>
      </c>
      <c r="T1465" s="1" t="str">
        <f>IF(OR($C1465="",$D1465&lt;&gt;"Gelir",$L1465=""),"",IFERROR(INDEX(MUSTERILER!$B$7:$B$156,MATCH($S1465,MUSTERILER!$T$7:$T$156,0)),""))</f>
        <v/>
      </c>
      <c r="U1465" s="1" t="str">
        <f>IF($T1465="","",$T1465&amp;"|"&amp;COUNTIFS($T$7:$T1465,$T1465))</f>
        <v/>
      </c>
      <c r="V1465" s="1">
        <f t="shared" si="69"/>
        <v>0</v>
      </c>
      <c r="W1465" s="1" t="str">
        <f t="shared" si="70"/>
        <v/>
      </c>
      <c r="X1465" s="1"/>
      <c r="Y1465" s="1"/>
      <c r="Z1465" s="1"/>
      <c r="AA1465" s="1"/>
      <c r="AB1465" s="1"/>
      <c r="AC1465" s="1"/>
      <c r="AD1465" s="1">
        <f>IF($C1465="",0,SUMPRODUCT((AY_SONU!$O$7:$O$42="Evet")*(AY_SONU!$B$7:$B$42=DATE(YEAR($C1465),MONTH($C1465),1))))</f>
        <v>0</v>
      </c>
      <c r="AE1465" s="1" t="str">
        <f>IF($E1465="","",$E1465&amp;"|"&amp;COUNTIFS($E$7:$E1465,$E1465))</f>
        <v/>
      </c>
    </row>
    <row r="1466" spans="1:31" ht="18" customHeight="1" x14ac:dyDescent="0.3">
      <c r="A1466" s="2"/>
      <c r="B1466" s="65" t="str">
        <f>IF($C1466="","","GG"&amp;TEXT(ROW()-6,"00000"))</f>
        <v/>
      </c>
      <c r="C1466" s="66"/>
      <c r="D1466" s="60"/>
      <c r="E1466" s="61"/>
      <c r="F1466" s="61"/>
      <c r="G1466" s="67"/>
      <c r="H1466" s="60"/>
      <c r="I1466" s="60"/>
      <c r="J1466" s="61"/>
      <c r="K1466" s="61"/>
      <c r="L1466" s="60"/>
      <c r="M1466" s="74" t="str">
        <f>IF($C1466="","",IF($D1466="Gider",$E1466,IF($L1466&lt;&gt;"",$L1466,$H1466)))</f>
        <v/>
      </c>
      <c r="N1466" s="74" t="str">
        <f>IF($C1466="","",IF($D1466="Gider",$H1466,$E1466))</f>
        <v/>
      </c>
      <c r="O1466" s="73" t="str">
        <f>IF($C1466="","",DATE(YEAR($C1466),MONTH($C1466),1))</f>
        <v/>
      </c>
      <c r="P1466" s="65" t="str">
        <f ca="1">IF($C1466="","",IF(AND($D1466="Gelir",$L1466&lt;&gt;"",$T1466=""),"TANIMSIZ BORÇLU",IF($T1466&lt;&gt;"",IF(OR($E1466="",$G1466&lt;=0),"EKSİK",IF($I1466="Evet","TAHAKKUK NAKİT OLAMAZ",IF($C1466&gt;TODAY(),"İLERİ TARİH","TAHAKKUK"))),IF(AND($D1466&lt;&gt;"",$E1466&lt;&gt;"",$G1466&gt;0,$H1466&lt;&gt;"",$I1466&lt;&gt;""),IF($C1466&gt;TODAY(),"İLERİ TARİH",IF(COUNTIF($W$7:$W$3001,$W1466)&gt;1,"MÜKERRER?",IF($AD1466&gt;0,"KAPALI DÖNEM",IF($I1466="Hayır","ÖDENECEK","UYGUN")))),"EKSİK"))))</f>
        <v/>
      </c>
      <c r="Q1466" s="2"/>
      <c r="R1466" s="2"/>
      <c r="S1466" s="1" t="str">
        <f t="shared" si="68"/>
        <v/>
      </c>
      <c r="T1466" s="1" t="str">
        <f>IF(OR($C1466="",$D1466&lt;&gt;"Gelir",$L1466=""),"",IFERROR(INDEX(MUSTERILER!$B$7:$B$156,MATCH($S1466,MUSTERILER!$T$7:$T$156,0)),""))</f>
        <v/>
      </c>
      <c r="U1466" s="1" t="str">
        <f>IF($T1466="","",$T1466&amp;"|"&amp;COUNTIFS($T$7:$T1466,$T1466))</f>
        <v/>
      </c>
      <c r="V1466" s="1">
        <f t="shared" si="69"/>
        <v>0</v>
      </c>
      <c r="W1466" s="1" t="str">
        <f t="shared" si="70"/>
        <v/>
      </c>
      <c r="X1466" s="1"/>
      <c r="Y1466" s="1"/>
      <c r="Z1466" s="1"/>
      <c r="AA1466" s="1"/>
      <c r="AB1466" s="1"/>
      <c r="AC1466" s="1"/>
      <c r="AD1466" s="1">
        <f>IF($C1466="",0,SUMPRODUCT((AY_SONU!$O$7:$O$42="Evet")*(AY_SONU!$B$7:$B$42=DATE(YEAR($C1466),MONTH($C1466),1))))</f>
        <v>0</v>
      </c>
      <c r="AE1466" s="1" t="str">
        <f>IF($E1466="","",$E1466&amp;"|"&amp;COUNTIFS($E$7:$E1466,$E1466))</f>
        <v/>
      </c>
    </row>
    <row r="1467" spans="1:31" ht="18" customHeight="1" x14ac:dyDescent="0.3">
      <c r="A1467" s="2"/>
      <c r="B1467" s="65" t="str">
        <f>IF($C1467="","","GG"&amp;TEXT(ROW()-6,"00000"))</f>
        <v/>
      </c>
      <c r="C1467" s="66"/>
      <c r="D1467" s="60"/>
      <c r="E1467" s="61"/>
      <c r="F1467" s="61"/>
      <c r="G1467" s="67"/>
      <c r="H1467" s="60"/>
      <c r="I1467" s="60"/>
      <c r="J1467" s="61"/>
      <c r="K1467" s="61"/>
      <c r="L1467" s="60"/>
      <c r="M1467" s="74" t="str">
        <f>IF($C1467="","",IF($D1467="Gider",$E1467,IF($L1467&lt;&gt;"",$L1467,$H1467)))</f>
        <v/>
      </c>
      <c r="N1467" s="74" t="str">
        <f>IF($C1467="","",IF($D1467="Gider",$H1467,$E1467))</f>
        <v/>
      </c>
      <c r="O1467" s="73" t="str">
        <f>IF($C1467="","",DATE(YEAR($C1467),MONTH($C1467),1))</f>
        <v/>
      </c>
      <c r="P1467" s="65" t="str">
        <f ca="1">IF($C1467="","",IF(AND($D1467="Gelir",$L1467&lt;&gt;"",$T1467=""),"TANIMSIZ BORÇLU",IF($T1467&lt;&gt;"",IF(OR($E1467="",$G1467&lt;=0),"EKSİK",IF($I1467="Evet","TAHAKKUK NAKİT OLAMAZ",IF($C1467&gt;TODAY(),"İLERİ TARİH","TAHAKKUK"))),IF(AND($D1467&lt;&gt;"",$E1467&lt;&gt;"",$G1467&gt;0,$H1467&lt;&gt;"",$I1467&lt;&gt;""),IF($C1467&gt;TODAY(),"İLERİ TARİH",IF(COUNTIF($W$7:$W$3001,$W1467)&gt;1,"MÜKERRER?",IF($AD1467&gt;0,"KAPALI DÖNEM",IF($I1467="Hayır","ÖDENECEK","UYGUN")))),"EKSİK"))))</f>
        <v/>
      </c>
      <c r="Q1467" s="2"/>
      <c r="R1467" s="2"/>
      <c r="S1467" s="1" t="str">
        <f t="shared" si="68"/>
        <v/>
      </c>
      <c r="T1467" s="1" t="str">
        <f>IF(OR($C1467="",$D1467&lt;&gt;"Gelir",$L1467=""),"",IFERROR(INDEX(MUSTERILER!$B$7:$B$156,MATCH($S1467,MUSTERILER!$T$7:$T$156,0)),""))</f>
        <v/>
      </c>
      <c r="U1467" s="1" t="str">
        <f>IF($T1467="","",$T1467&amp;"|"&amp;COUNTIFS($T$7:$T1467,$T1467))</f>
        <v/>
      </c>
      <c r="V1467" s="1">
        <f t="shared" si="69"/>
        <v>0</v>
      </c>
      <c r="W1467" s="1" t="str">
        <f t="shared" si="70"/>
        <v/>
      </c>
      <c r="X1467" s="1"/>
      <c r="Y1467" s="1"/>
      <c r="Z1467" s="1"/>
      <c r="AA1467" s="1"/>
      <c r="AB1467" s="1"/>
      <c r="AC1467" s="1"/>
      <c r="AD1467" s="1">
        <f>IF($C1467="",0,SUMPRODUCT((AY_SONU!$O$7:$O$42="Evet")*(AY_SONU!$B$7:$B$42=DATE(YEAR($C1467),MONTH($C1467),1))))</f>
        <v>0</v>
      </c>
      <c r="AE1467" s="1" t="str">
        <f>IF($E1467="","",$E1467&amp;"|"&amp;COUNTIFS($E$7:$E1467,$E1467))</f>
        <v/>
      </c>
    </row>
    <row r="1468" spans="1:31" ht="18" customHeight="1" x14ac:dyDescent="0.3">
      <c r="A1468" s="2"/>
      <c r="B1468" s="65" t="str">
        <f>IF($C1468="","","GG"&amp;TEXT(ROW()-6,"00000"))</f>
        <v/>
      </c>
      <c r="C1468" s="66"/>
      <c r="D1468" s="60"/>
      <c r="E1468" s="61"/>
      <c r="F1468" s="61"/>
      <c r="G1468" s="67"/>
      <c r="H1468" s="60"/>
      <c r="I1468" s="60"/>
      <c r="J1468" s="61"/>
      <c r="K1468" s="61"/>
      <c r="L1468" s="60"/>
      <c r="M1468" s="74" t="str">
        <f>IF($C1468="","",IF($D1468="Gider",$E1468,IF($L1468&lt;&gt;"",$L1468,$H1468)))</f>
        <v/>
      </c>
      <c r="N1468" s="74" t="str">
        <f>IF($C1468="","",IF($D1468="Gider",$H1468,$E1468))</f>
        <v/>
      </c>
      <c r="O1468" s="73" t="str">
        <f>IF($C1468="","",DATE(YEAR($C1468),MONTH($C1468),1))</f>
        <v/>
      </c>
      <c r="P1468" s="65" t="str">
        <f ca="1">IF($C1468="","",IF(AND($D1468="Gelir",$L1468&lt;&gt;"",$T1468=""),"TANIMSIZ BORÇLU",IF($T1468&lt;&gt;"",IF(OR($E1468="",$G1468&lt;=0),"EKSİK",IF($I1468="Evet","TAHAKKUK NAKİT OLAMAZ",IF($C1468&gt;TODAY(),"İLERİ TARİH","TAHAKKUK"))),IF(AND($D1468&lt;&gt;"",$E1468&lt;&gt;"",$G1468&gt;0,$H1468&lt;&gt;"",$I1468&lt;&gt;""),IF($C1468&gt;TODAY(),"İLERİ TARİH",IF(COUNTIF($W$7:$W$3001,$W1468)&gt;1,"MÜKERRER?",IF($AD1468&gt;0,"KAPALI DÖNEM",IF($I1468="Hayır","ÖDENECEK","UYGUN")))),"EKSİK"))))</f>
        <v/>
      </c>
      <c r="Q1468" s="2"/>
      <c r="R1468" s="2"/>
      <c r="S1468" s="1" t="str">
        <f t="shared" si="68"/>
        <v/>
      </c>
      <c r="T1468" s="1" t="str">
        <f>IF(OR($C1468="",$D1468&lt;&gt;"Gelir",$L1468=""),"",IFERROR(INDEX(MUSTERILER!$B$7:$B$156,MATCH($S1468,MUSTERILER!$T$7:$T$156,0)),""))</f>
        <v/>
      </c>
      <c r="U1468" s="1" t="str">
        <f>IF($T1468="","",$T1468&amp;"|"&amp;COUNTIFS($T$7:$T1468,$T1468))</f>
        <v/>
      </c>
      <c r="V1468" s="1">
        <f t="shared" si="69"/>
        <v>0</v>
      </c>
      <c r="W1468" s="1" t="str">
        <f t="shared" si="70"/>
        <v/>
      </c>
      <c r="X1468" s="1"/>
      <c r="Y1468" s="1"/>
      <c r="Z1468" s="1"/>
      <c r="AA1468" s="1"/>
      <c r="AB1468" s="1"/>
      <c r="AC1468" s="1"/>
      <c r="AD1468" s="1">
        <f>IF($C1468="",0,SUMPRODUCT((AY_SONU!$O$7:$O$42="Evet")*(AY_SONU!$B$7:$B$42=DATE(YEAR($C1468),MONTH($C1468),1))))</f>
        <v>0</v>
      </c>
      <c r="AE1468" s="1" t="str">
        <f>IF($E1468="","",$E1468&amp;"|"&amp;COUNTIFS($E$7:$E1468,$E1468))</f>
        <v/>
      </c>
    </row>
    <row r="1469" spans="1:31" ht="18" customHeight="1" x14ac:dyDescent="0.3">
      <c r="A1469" s="2"/>
      <c r="B1469" s="65" t="str">
        <f>IF($C1469="","","GG"&amp;TEXT(ROW()-6,"00000"))</f>
        <v/>
      </c>
      <c r="C1469" s="66"/>
      <c r="D1469" s="60"/>
      <c r="E1469" s="61"/>
      <c r="F1469" s="61"/>
      <c r="G1469" s="67"/>
      <c r="H1469" s="60"/>
      <c r="I1469" s="60"/>
      <c r="J1469" s="61"/>
      <c r="K1469" s="61"/>
      <c r="L1469" s="60"/>
      <c r="M1469" s="74" t="str">
        <f>IF($C1469="","",IF($D1469="Gider",$E1469,IF($L1469&lt;&gt;"",$L1469,$H1469)))</f>
        <v/>
      </c>
      <c r="N1469" s="74" t="str">
        <f>IF($C1469="","",IF($D1469="Gider",$H1469,$E1469))</f>
        <v/>
      </c>
      <c r="O1469" s="73" t="str">
        <f>IF($C1469="","",DATE(YEAR($C1469),MONTH($C1469),1))</f>
        <v/>
      </c>
      <c r="P1469" s="65" t="str">
        <f ca="1">IF($C1469="","",IF(AND($D1469="Gelir",$L1469&lt;&gt;"",$T1469=""),"TANIMSIZ BORÇLU",IF($T1469&lt;&gt;"",IF(OR($E1469="",$G1469&lt;=0),"EKSİK",IF($I1469="Evet","TAHAKKUK NAKİT OLAMAZ",IF($C1469&gt;TODAY(),"İLERİ TARİH","TAHAKKUK"))),IF(AND($D1469&lt;&gt;"",$E1469&lt;&gt;"",$G1469&gt;0,$H1469&lt;&gt;"",$I1469&lt;&gt;""),IF($C1469&gt;TODAY(),"İLERİ TARİH",IF(COUNTIF($W$7:$W$3001,$W1469)&gt;1,"MÜKERRER?",IF($AD1469&gt;0,"KAPALI DÖNEM",IF($I1469="Hayır","ÖDENECEK","UYGUN")))),"EKSİK"))))</f>
        <v/>
      </c>
      <c r="Q1469" s="2"/>
      <c r="R1469" s="2"/>
      <c r="S1469" s="1" t="str">
        <f t="shared" si="68"/>
        <v/>
      </c>
      <c r="T1469" s="1" t="str">
        <f>IF(OR($C1469="",$D1469&lt;&gt;"Gelir",$L1469=""),"",IFERROR(INDEX(MUSTERILER!$B$7:$B$156,MATCH($S1469,MUSTERILER!$T$7:$T$156,0)),""))</f>
        <v/>
      </c>
      <c r="U1469" s="1" t="str">
        <f>IF($T1469="","",$T1469&amp;"|"&amp;COUNTIFS($T$7:$T1469,$T1469))</f>
        <v/>
      </c>
      <c r="V1469" s="1">
        <f t="shared" si="69"/>
        <v>0</v>
      </c>
      <c r="W1469" s="1" t="str">
        <f t="shared" si="70"/>
        <v/>
      </c>
      <c r="X1469" s="1"/>
      <c r="Y1469" s="1"/>
      <c r="Z1469" s="1"/>
      <c r="AA1469" s="1"/>
      <c r="AB1469" s="1"/>
      <c r="AC1469" s="1"/>
      <c r="AD1469" s="1">
        <f>IF($C1469="",0,SUMPRODUCT((AY_SONU!$O$7:$O$42="Evet")*(AY_SONU!$B$7:$B$42=DATE(YEAR($C1469),MONTH($C1469),1))))</f>
        <v>0</v>
      </c>
      <c r="AE1469" s="1" t="str">
        <f>IF($E1469="","",$E1469&amp;"|"&amp;COUNTIFS($E$7:$E1469,$E1469))</f>
        <v/>
      </c>
    </row>
    <row r="1470" spans="1:31" ht="18" customHeight="1" x14ac:dyDescent="0.3">
      <c r="A1470" s="2"/>
      <c r="B1470" s="65" t="str">
        <f>IF($C1470="","","GG"&amp;TEXT(ROW()-6,"00000"))</f>
        <v/>
      </c>
      <c r="C1470" s="66"/>
      <c r="D1470" s="60"/>
      <c r="E1470" s="61"/>
      <c r="F1470" s="61"/>
      <c r="G1470" s="67"/>
      <c r="H1470" s="60"/>
      <c r="I1470" s="60"/>
      <c r="J1470" s="61"/>
      <c r="K1470" s="61"/>
      <c r="L1470" s="60"/>
      <c r="M1470" s="74" t="str">
        <f>IF($C1470="","",IF($D1470="Gider",$E1470,IF($L1470&lt;&gt;"",$L1470,$H1470)))</f>
        <v/>
      </c>
      <c r="N1470" s="74" t="str">
        <f>IF($C1470="","",IF($D1470="Gider",$H1470,$E1470))</f>
        <v/>
      </c>
      <c r="O1470" s="73" t="str">
        <f>IF($C1470="","",DATE(YEAR($C1470),MONTH($C1470),1))</f>
        <v/>
      </c>
      <c r="P1470" s="65" t="str">
        <f ca="1">IF($C1470="","",IF(AND($D1470="Gelir",$L1470&lt;&gt;"",$T1470=""),"TANIMSIZ BORÇLU",IF($T1470&lt;&gt;"",IF(OR($E1470="",$G1470&lt;=0),"EKSİK",IF($I1470="Evet","TAHAKKUK NAKİT OLAMAZ",IF($C1470&gt;TODAY(),"İLERİ TARİH","TAHAKKUK"))),IF(AND($D1470&lt;&gt;"",$E1470&lt;&gt;"",$G1470&gt;0,$H1470&lt;&gt;"",$I1470&lt;&gt;""),IF($C1470&gt;TODAY(),"İLERİ TARİH",IF(COUNTIF($W$7:$W$3001,$W1470)&gt;1,"MÜKERRER?",IF($AD1470&gt;0,"KAPALI DÖNEM",IF($I1470="Hayır","ÖDENECEK","UYGUN")))),"EKSİK"))))</f>
        <v/>
      </c>
      <c r="Q1470" s="2"/>
      <c r="R1470" s="2"/>
      <c r="S1470" s="1" t="str">
        <f t="shared" si="68"/>
        <v/>
      </c>
      <c r="T1470" s="1" t="str">
        <f>IF(OR($C1470="",$D1470&lt;&gt;"Gelir",$L1470=""),"",IFERROR(INDEX(MUSTERILER!$B$7:$B$156,MATCH($S1470,MUSTERILER!$T$7:$T$156,0)),""))</f>
        <v/>
      </c>
      <c r="U1470" s="1" t="str">
        <f>IF($T1470="","",$T1470&amp;"|"&amp;COUNTIFS($T$7:$T1470,$T1470))</f>
        <v/>
      </c>
      <c r="V1470" s="1">
        <f t="shared" si="69"/>
        <v>0</v>
      </c>
      <c r="W1470" s="1" t="str">
        <f t="shared" si="70"/>
        <v/>
      </c>
      <c r="X1470" s="1"/>
      <c r="Y1470" s="1"/>
      <c r="Z1470" s="1"/>
      <c r="AA1470" s="1"/>
      <c r="AB1470" s="1"/>
      <c r="AC1470" s="1"/>
      <c r="AD1470" s="1">
        <f>IF($C1470="",0,SUMPRODUCT((AY_SONU!$O$7:$O$42="Evet")*(AY_SONU!$B$7:$B$42=DATE(YEAR($C1470),MONTH($C1470),1))))</f>
        <v>0</v>
      </c>
      <c r="AE1470" s="1" t="str">
        <f>IF($E1470="","",$E1470&amp;"|"&amp;COUNTIFS($E$7:$E1470,$E1470))</f>
        <v/>
      </c>
    </row>
    <row r="1471" spans="1:31" ht="18" customHeight="1" x14ac:dyDescent="0.3">
      <c r="A1471" s="2"/>
      <c r="B1471" s="65" t="str">
        <f>IF($C1471="","","GG"&amp;TEXT(ROW()-6,"00000"))</f>
        <v/>
      </c>
      <c r="C1471" s="66"/>
      <c r="D1471" s="60"/>
      <c r="E1471" s="61"/>
      <c r="F1471" s="61"/>
      <c r="G1471" s="67"/>
      <c r="H1471" s="60"/>
      <c r="I1471" s="60"/>
      <c r="J1471" s="61"/>
      <c r="K1471" s="61"/>
      <c r="L1471" s="60"/>
      <c r="M1471" s="74" t="str">
        <f>IF($C1471="","",IF($D1471="Gider",$E1471,IF($L1471&lt;&gt;"",$L1471,$H1471)))</f>
        <v/>
      </c>
      <c r="N1471" s="74" t="str">
        <f>IF($C1471="","",IF($D1471="Gider",$H1471,$E1471))</f>
        <v/>
      </c>
      <c r="O1471" s="73" t="str">
        <f>IF($C1471="","",DATE(YEAR($C1471),MONTH($C1471),1))</f>
        <v/>
      </c>
      <c r="P1471" s="65" t="str">
        <f ca="1">IF($C1471="","",IF(AND($D1471="Gelir",$L1471&lt;&gt;"",$T1471=""),"TANIMSIZ BORÇLU",IF($T1471&lt;&gt;"",IF(OR($E1471="",$G1471&lt;=0),"EKSİK",IF($I1471="Evet","TAHAKKUK NAKİT OLAMAZ",IF($C1471&gt;TODAY(),"İLERİ TARİH","TAHAKKUK"))),IF(AND($D1471&lt;&gt;"",$E1471&lt;&gt;"",$G1471&gt;0,$H1471&lt;&gt;"",$I1471&lt;&gt;""),IF($C1471&gt;TODAY(),"İLERİ TARİH",IF(COUNTIF($W$7:$W$3001,$W1471)&gt;1,"MÜKERRER?",IF($AD1471&gt;0,"KAPALI DÖNEM",IF($I1471="Hayır","ÖDENECEK","UYGUN")))),"EKSİK"))))</f>
        <v/>
      </c>
      <c r="Q1471" s="2"/>
      <c r="R1471" s="2"/>
      <c r="S1471" s="1" t="str">
        <f t="shared" si="68"/>
        <v/>
      </c>
      <c r="T1471" s="1" t="str">
        <f>IF(OR($C1471="",$D1471&lt;&gt;"Gelir",$L1471=""),"",IFERROR(INDEX(MUSTERILER!$B$7:$B$156,MATCH($S1471,MUSTERILER!$T$7:$T$156,0)),""))</f>
        <v/>
      </c>
      <c r="U1471" s="1" t="str">
        <f>IF($T1471="","",$T1471&amp;"|"&amp;COUNTIFS($T$7:$T1471,$T1471))</f>
        <v/>
      </c>
      <c r="V1471" s="1">
        <f t="shared" si="69"/>
        <v>0</v>
      </c>
      <c r="W1471" s="1" t="str">
        <f t="shared" si="70"/>
        <v/>
      </c>
      <c r="X1471" s="1"/>
      <c r="Y1471" s="1"/>
      <c r="Z1471" s="1"/>
      <c r="AA1471" s="1"/>
      <c r="AB1471" s="1"/>
      <c r="AC1471" s="1"/>
      <c r="AD1471" s="1">
        <f>IF($C1471="",0,SUMPRODUCT((AY_SONU!$O$7:$O$42="Evet")*(AY_SONU!$B$7:$B$42=DATE(YEAR($C1471),MONTH($C1471),1))))</f>
        <v>0</v>
      </c>
      <c r="AE1471" s="1" t="str">
        <f>IF($E1471="","",$E1471&amp;"|"&amp;COUNTIFS($E$7:$E1471,$E1471))</f>
        <v/>
      </c>
    </row>
    <row r="1472" spans="1:31" ht="18" customHeight="1" x14ac:dyDescent="0.3">
      <c r="A1472" s="2"/>
      <c r="B1472" s="65" t="str">
        <f>IF($C1472="","","GG"&amp;TEXT(ROW()-6,"00000"))</f>
        <v/>
      </c>
      <c r="C1472" s="66"/>
      <c r="D1472" s="60"/>
      <c r="E1472" s="61"/>
      <c r="F1472" s="61"/>
      <c r="G1472" s="67"/>
      <c r="H1472" s="60"/>
      <c r="I1472" s="60"/>
      <c r="J1472" s="61"/>
      <c r="K1472" s="61"/>
      <c r="L1472" s="60"/>
      <c r="M1472" s="74" t="str">
        <f>IF($C1472="","",IF($D1472="Gider",$E1472,IF($L1472&lt;&gt;"",$L1472,$H1472)))</f>
        <v/>
      </c>
      <c r="N1472" s="74" t="str">
        <f>IF($C1472="","",IF($D1472="Gider",$H1472,$E1472))</f>
        <v/>
      </c>
      <c r="O1472" s="73" t="str">
        <f>IF($C1472="","",DATE(YEAR($C1472),MONTH($C1472),1))</f>
        <v/>
      </c>
      <c r="P1472" s="65" t="str">
        <f ca="1">IF($C1472="","",IF(AND($D1472="Gelir",$L1472&lt;&gt;"",$T1472=""),"TANIMSIZ BORÇLU",IF($T1472&lt;&gt;"",IF(OR($E1472="",$G1472&lt;=0),"EKSİK",IF($I1472="Evet","TAHAKKUK NAKİT OLAMAZ",IF($C1472&gt;TODAY(),"İLERİ TARİH","TAHAKKUK"))),IF(AND($D1472&lt;&gt;"",$E1472&lt;&gt;"",$G1472&gt;0,$H1472&lt;&gt;"",$I1472&lt;&gt;""),IF($C1472&gt;TODAY(),"İLERİ TARİH",IF(COUNTIF($W$7:$W$3001,$W1472)&gt;1,"MÜKERRER?",IF($AD1472&gt;0,"KAPALI DÖNEM",IF($I1472="Hayır","ÖDENECEK","UYGUN")))),"EKSİK"))))</f>
        <v/>
      </c>
      <c r="Q1472" s="2"/>
      <c r="R1472" s="2"/>
      <c r="S1472" s="1" t="str">
        <f t="shared" si="68"/>
        <v/>
      </c>
      <c r="T1472" s="1" t="str">
        <f>IF(OR($C1472="",$D1472&lt;&gt;"Gelir",$L1472=""),"",IFERROR(INDEX(MUSTERILER!$B$7:$B$156,MATCH($S1472,MUSTERILER!$T$7:$T$156,0)),""))</f>
        <v/>
      </c>
      <c r="U1472" s="1" t="str">
        <f>IF($T1472="","",$T1472&amp;"|"&amp;COUNTIFS($T$7:$T1472,$T1472))</f>
        <v/>
      </c>
      <c r="V1472" s="1">
        <f t="shared" si="69"/>
        <v>0</v>
      </c>
      <c r="W1472" s="1" t="str">
        <f t="shared" si="70"/>
        <v/>
      </c>
      <c r="X1472" s="1"/>
      <c r="Y1472" s="1"/>
      <c r="Z1472" s="1"/>
      <c r="AA1472" s="1"/>
      <c r="AB1472" s="1"/>
      <c r="AC1472" s="1"/>
      <c r="AD1472" s="1">
        <f>IF($C1472="",0,SUMPRODUCT((AY_SONU!$O$7:$O$42="Evet")*(AY_SONU!$B$7:$B$42=DATE(YEAR($C1472),MONTH($C1472),1))))</f>
        <v>0</v>
      </c>
      <c r="AE1472" s="1" t="str">
        <f>IF($E1472="","",$E1472&amp;"|"&amp;COUNTIFS($E$7:$E1472,$E1472))</f>
        <v/>
      </c>
    </row>
    <row r="1473" spans="1:31" ht="18" customHeight="1" x14ac:dyDescent="0.3">
      <c r="A1473" s="2"/>
      <c r="B1473" s="65" t="str">
        <f>IF($C1473="","","GG"&amp;TEXT(ROW()-6,"00000"))</f>
        <v/>
      </c>
      <c r="C1473" s="66"/>
      <c r="D1473" s="60"/>
      <c r="E1473" s="61"/>
      <c r="F1473" s="61"/>
      <c r="G1473" s="67"/>
      <c r="H1473" s="60"/>
      <c r="I1473" s="60"/>
      <c r="J1473" s="61"/>
      <c r="K1473" s="61"/>
      <c r="L1473" s="60"/>
      <c r="M1473" s="74" t="str">
        <f>IF($C1473="","",IF($D1473="Gider",$E1473,IF($L1473&lt;&gt;"",$L1473,$H1473)))</f>
        <v/>
      </c>
      <c r="N1473" s="74" t="str">
        <f>IF($C1473="","",IF($D1473="Gider",$H1473,$E1473))</f>
        <v/>
      </c>
      <c r="O1473" s="73" t="str">
        <f>IF($C1473="","",DATE(YEAR($C1473),MONTH($C1473),1))</f>
        <v/>
      </c>
      <c r="P1473" s="65" t="str">
        <f ca="1">IF($C1473="","",IF(AND($D1473="Gelir",$L1473&lt;&gt;"",$T1473=""),"TANIMSIZ BORÇLU",IF($T1473&lt;&gt;"",IF(OR($E1473="",$G1473&lt;=0),"EKSİK",IF($I1473="Evet","TAHAKKUK NAKİT OLAMAZ",IF($C1473&gt;TODAY(),"İLERİ TARİH","TAHAKKUK"))),IF(AND($D1473&lt;&gt;"",$E1473&lt;&gt;"",$G1473&gt;0,$H1473&lt;&gt;"",$I1473&lt;&gt;""),IF($C1473&gt;TODAY(),"İLERİ TARİH",IF(COUNTIF($W$7:$W$3001,$W1473)&gt;1,"MÜKERRER?",IF($AD1473&gt;0,"KAPALI DÖNEM",IF($I1473="Hayır","ÖDENECEK","UYGUN")))),"EKSİK"))))</f>
        <v/>
      </c>
      <c r="Q1473" s="2"/>
      <c r="R1473" s="2"/>
      <c r="S1473" s="1" t="str">
        <f t="shared" si="68"/>
        <v/>
      </c>
      <c r="T1473" s="1" t="str">
        <f>IF(OR($C1473="",$D1473&lt;&gt;"Gelir",$L1473=""),"",IFERROR(INDEX(MUSTERILER!$B$7:$B$156,MATCH($S1473,MUSTERILER!$T$7:$T$156,0)),""))</f>
        <v/>
      </c>
      <c r="U1473" s="1" t="str">
        <f>IF($T1473="","",$T1473&amp;"|"&amp;COUNTIFS($T$7:$T1473,$T1473))</f>
        <v/>
      </c>
      <c r="V1473" s="1">
        <f t="shared" si="69"/>
        <v>0</v>
      </c>
      <c r="W1473" s="1" t="str">
        <f t="shared" si="70"/>
        <v/>
      </c>
      <c r="X1473" s="1"/>
      <c r="Y1473" s="1"/>
      <c r="Z1473" s="1"/>
      <c r="AA1473" s="1"/>
      <c r="AB1473" s="1"/>
      <c r="AC1473" s="1"/>
      <c r="AD1473" s="1">
        <f>IF($C1473="",0,SUMPRODUCT((AY_SONU!$O$7:$O$42="Evet")*(AY_SONU!$B$7:$B$42=DATE(YEAR($C1473),MONTH($C1473),1))))</f>
        <v>0</v>
      </c>
      <c r="AE1473" s="1" t="str">
        <f>IF($E1473="","",$E1473&amp;"|"&amp;COUNTIFS($E$7:$E1473,$E1473))</f>
        <v/>
      </c>
    </row>
    <row r="1474" spans="1:31" ht="18" customHeight="1" x14ac:dyDescent="0.3">
      <c r="A1474" s="2"/>
      <c r="B1474" s="65" t="str">
        <f>IF($C1474="","","GG"&amp;TEXT(ROW()-6,"00000"))</f>
        <v/>
      </c>
      <c r="C1474" s="66"/>
      <c r="D1474" s="60"/>
      <c r="E1474" s="61"/>
      <c r="F1474" s="61"/>
      <c r="G1474" s="67"/>
      <c r="H1474" s="60"/>
      <c r="I1474" s="60"/>
      <c r="J1474" s="61"/>
      <c r="K1474" s="61"/>
      <c r="L1474" s="60"/>
      <c r="M1474" s="74" t="str">
        <f>IF($C1474="","",IF($D1474="Gider",$E1474,IF($L1474&lt;&gt;"",$L1474,$H1474)))</f>
        <v/>
      </c>
      <c r="N1474" s="74" t="str">
        <f>IF($C1474="","",IF($D1474="Gider",$H1474,$E1474))</f>
        <v/>
      </c>
      <c r="O1474" s="73" t="str">
        <f>IF($C1474="","",DATE(YEAR($C1474),MONTH($C1474),1))</f>
        <v/>
      </c>
      <c r="P1474" s="65" t="str">
        <f ca="1">IF($C1474="","",IF(AND($D1474="Gelir",$L1474&lt;&gt;"",$T1474=""),"TANIMSIZ BORÇLU",IF($T1474&lt;&gt;"",IF(OR($E1474="",$G1474&lt;=0),"EKSİK",IF($I1474="Evet","TAHAKKUK NAKİT OLAMAZ",IF($C1474&gt;TODAY(),"İLERİ TARİH","TAHAKKUK"))),IF(AND($D1474&lt;&gt;"",$E1474&lt;&gt;"",$G1474&gt;0,$H1474&lt;&gt;"",$I1474&lt;&gt;""),IF($C1474&gt;TODAY(),"İLERİ TARİH",IF(COUNTIF($W$7:$W$3001,$W1474)&gt;1,"MÜKERRER?",IF($AD1474&gt;0,"KAPALI DÖNEM",IF($I1474="Hayır","ÖDENECEK","UYGUN")))),"EKSİK"))))</f>
        <v/>
      </c>
      <c r="Q1474" s="2"/>
      <c r="R1474" s="2"/>
      <c r="S1474" s="1" t="str">
        <f t="shared" si="68"/>
        <v/>
      </c>
      <c r="T1474" s="1" t="str">
        <f>IF(OR($C1474="",$D1474&lt;&gt;"Gelir",$L1474=""),"",IFERROR(INDEX(MUSTERILER!$B$7:$B$156,MATCH($S1474,MUSTERILER!$T$7:$T$156,0)),""))</f>
        <v/>
      </c>
      <c r="U1474" s="1" t="str">
        <f>IF($T1474="","",$T1474&amp;"|"&amp;COUNTIFS($T$7:$T1474,$T1474))</f>
        <v/>
      </c>
      <c r="V1474" s="1">
        <f t="shared" si="69"/>
        <v>0</v>
      </c>
      <c r="W1474" s="1" t="str">
        <f t="shared" si="70"/>
        <v/>
      </c>
      <c r="X1474" s="1"/>
      <c r="Y1474" s="1"/>
      <c r="Z1474" s="1"/>
      <c r="AA1474" s="1"/>
      <c r="AB1474" s="1"/>
      <c r="AC1474" s="1"/>
      <c r="AD1474" s="1">
        <f>IF($C1474="",0,SUMPRODUCT((AY_SONU!$O$7:$O$42="Evet")*(AY_SONU!$B$7:$B$42=DATE(YEAR($C1474),MONTH($C1474),1))))</f>
        <v>0</v>
      </c>
      <c r="AE1474" s="1" t="str">
        <f>IF($E1474="","",$E1474&amp;"|"&amp;COUNTIFS($E$7:$E1474,$E1474))</f>
        <v/>
      </c>
    </row>
    <row r="1475" spans="1:31" ht="18" customHeight="1" x14ac:dyDescent="0.3">
      <c r="A1475" s="2"/>
      <c r="B1475" s="65" t="str">
        <f>IF($C1475="","","GG"&amp;TEXT(ROW()-6,"00000"))</f>
        <v/>
      </c>
      <c r="C1475" s="66"/>
      <c r="D1475" s="60"/>
      <c r="E1475" s="61"/>
      <c r="F1475" s="61"/>
      <c r="G1475" s="67"/>
      <c r="H1475" s="60"/>
      <c r="I1475" s="60"/>
      <c r="J1475" s="61"/>
      <c r="K1475" s="61"/>
      <c r="L1475" s="60"/>
      <c r="M1475" s="74" t="str">
        <f>IF($C1475="","",IF($D1475="Gider",$E1475,IF($L1475&lt;&gt;"",$L1475,$H1475)))</f>
        <v/>
      </c>
      <c r="N1475" s="74" t="str">
        <f>IF($C1475="","",IF($D1475="Gider",$H1475,$E1475))</f>
        <v/>
      </c>
      <c r="O1475" s="73" t="str">
        <f>IF($C1475="","",DATE(YEAR($C1475),MONTH($C1475),1))</f>
        <v/>
      </c>
      <c r="P1475" s="65" t="str">
        <f ca="1">IF($C1475="","",IF(AND($D1475="Gelir",$L1475&lt;&gt;"",$T1475=""),"TANIMSIZ BORÇLU",IF($T1475&lt;&gt;"",IF(OR($E1475="",$G1475&lt;=0),"EKSİK",IF($I1475="Evet","TAHAKKUK NAKİT OLAMAZ",IF($C1475&gt;TODAY(),"İLERİ TARİH","TAHAKKUK"))),IF(AND($D1475&lt;&gt;"",$E1475&lt;&gt;"",$G1475&gt;0,$H1475&lt;&gt;"",$I1475&lt;&gt;""),IF($C1475&gt;TODAY(),"İLERİ TARİH",IF(COUNTIF($W$7:$W$3001,$W1475)&gt;1,"MÜKERRER?",IF($AD1475&gt;0,"KAPALI DÖNEM",IF($I1475="Hayır","ÖDENECEK","UYGUN")))),"EKSİK"))))</f>
        <v/>
      </c>
      <c r="Q1475" s="2"/>
      <c r="R1475" s="2"/>
      <c r="S1475" s="1" t="str">
        <f t="shared" si="68"/>
        <v/>
      </c>
      <c r="T1475" s="1" t="str">
        <f>IF(OR($C1475="",$D1475&lt;&gt;"Gelir",$L1475=""),"",IFERROR(INDEX(MUSTERILER!$B$7:$B$156,MATCH($S1475,MUSTERILER!$T$7:$T$156,0)),""))</f>
        <v/>
      </c>
      <c r="U1475" s="1" t="str">
        <f>IF($T1475="","",$T1475&amp;"|"&amp;COUNTIFS($T$7:$T1475,$T1475))</f>
        <v/>
      </c>
      <c r="V1475" s="1">
        <f t="shared" si="69"/>
        <v>0</v>
      </c>
      <c r="W1475" s="1" t="str">
        <f t="shared" si="70"/>
        <v/>
      </c>
      <c r="X1475" s="1"/>
      <c r="Y1475" s="1"/>
      <c r="Z1475" s="1"/>
      <c r="AA1475" s="1"/>
      <c r="AB1475" s="1"/>
      <c r="AC1475" s="1"/>
      <c r="AD1475" s="1">
        <f>IF($C1475="",0,SUMPRODUCT((AY_SONU!$O$7:$O$42="Evet")*(AY_SONU!$B$7:$B$42=DATE(YEAR($C1475),MONTH($C1475),1))))</f>
        <v>0</v>
      </c>
      <c r="AE1475" s="1" t="str">
        <f>IF($E1475="","",$E1475&amp;"|"&amp;COUNTIFS($E$7:$E1475,$E1475))</f>
        <v/>
      </c>
    </row>
    <row r="1476" spans="1:31" ht="18" customHeight="1" x14ac:dyDescent="0.3">
      <c r="A1476" s="2"/>
      <c r="B1476" s="65" t="str">
        <f>IF($C1476="","","GG"&amp;TEXT(ROW()-6,"00000"))</f>
        <v/>
      </c>
      <c r="C1476" s="66"/>
      <c r="D1476" s="60"/>
      <c r="E1476" s="61"/>
      <c r="F1476" s="61"/>
      <c r="G1476" s="67"/>
      <c r="H1476" s="60"/>
      <c r="I1476" s="60"/>
      <c r="J1476" s="61"/>
      <c r="K1476" s="61"/>
      <c r="L1476" s="60"/>
      <c r="M1476" s="74" t="str">
        <f>IF($C1476="","",IF($D1476="Gider",$E1476,IF($L1476&lt;&gt;"",$L1476,$H1476)))</f>
        <v/>
      </c>
      <c r="N1476" s="74" t="str">
        <f>IF($C1476="","",IF($D1476="Gider",$H1476,$E1476))</f>
        <v/>
      </c>
      <c r="O1476" s="73" t="str">
        <f>IF($C1476="","",DATE(YEAR($C1476),MONTH($C1476),1))</f>
        <v/>
      </c>
      <c r="P1476" s="65" t="str">
        <f ca="1">IF($C1476="","",IF(AND($D1476="Gelir",$L1476&lt;&gt;"",$T1476=""),"TANIMSIZ BORÇLU",IF($T1476&lt;&gt;"",IF(OR($E1476="",$G1476&lt;=0),"EKSİK",IF($I1476="Evet","TAHAKKUK NAKİT OLAMAZ",IF($C1476&gt;TODAY(),"İLERİ TARİH","TAHAKKUK"))),IF(AND($D1476&lt;&gt;"",$E1476&lt;&gt;"",$G1476&gt;0,$H1476&lt;&gt;"",$I1476&lt;&gt;""),IF($C1476&gt;TODAY(),"İLERİ TARİH",IF(COUNTIF($W$7:$W$3001,$W1476)&gt;1,"MÜKERRER?",IF($AD1476&gt;0,"KAPALI DÖNEM",IF($I1476="Hayır","ÖDENECEK","UYGUN")))),"EKSİK"))))</f>
        <v/>
      </c>
      <c r="Q1476" s="2"/>
      <c r="R1476" s="2"/>
      <c r="S1476" s="1" t="str">
        <f t="shared" si="68"/>
        <v/>
      </c>
      <c r="T1476" s="1" t="str">
        <f>IF(OR($C1476="",$D1476&lt;&gt;"Gelir",$L1476=""),"",IFERROR(INDEX(MUSTERILER!$B$7:$B$156,MATCH($S1476,MUSTERILER!$T$7:$T$156,0)),""))</f>
        <v/>
      </c>
      <c r="U1476" s="1" t="str">
        <f>IF($T1476="","",$T1476&amp;"|"&amp;COUNTIFS($T$7:$T1476,$T1476))</f>
        <v/>
      </c>
      <c r="V1476" s="1">
        <f t="shared" si="69"/>
        <v>0</v>
      </c>
      <c r="W1476" s="1" t="str">
        <f t="shared" si="70"/>
        <v/>
      </c>
      <c r="X1476" s="1"/>
      <c r="Y1476" s="1"/>
      <c r="Z1476" s="1"/>
      <c r="AA1476" s="1"/>
      <c r="AB1476" s="1"/>
      <c r="AC1476" s="1"/>
      <c r="AD1476" s="1">
        <f>IF($C1476="",0,SUMPRODUCT((AY_SONU!$O$7:$O$42="Evet")*(AY_SONU!$B$7:$B$42=DATE(YEAR($C1476),MONTH($C1476),1))))</f>
        <v>0</v>
      </c>
      <c r="AE1476" s="1" t="str">
        <f>IF($E1476="","",$E1476&amp;"|"&amp;COUNTIFS($E$7:$E1476,$E1476))</f>
        <v/>
      </c>
    </row>
    <row r="1477" spans="1:31" ht="18" customHeight="1" x14ac:dyDescent="0.3">
      <c r="A1477" s="2"/>
      <c r="B1477" s="65" t="str">
        <f>IF($C1477="","","GG"&amp;TEXT(ROW()-6,"00000"))</f>
        <v/>
      </c>
      <c r="C1477" s="66"/>
      <c r="D1477" s="60"/>
      <c r="E1477" s="61"/>
      <c r="F1477" s="61"/>
      <c r="G1477" s="67"/>
      <c r="H1477" s="60"/>
      <c r="I1477" s="60"/>
      <c r="J1477" s="61"/>
      <c r="K1477" s="61"/>
      <c r="L1477" s="60"/>
      <c r="M1477" s="74" t="str">
        <f>IF($C1477="","",IF($D1477="Gider",$E1477,IF($L1477&lt;&gt;"",$L1477,$H1477)))</f>
        <v/>
      </c>
      <c r="N1477" s="74" t="str">
        <f>IF($C1477="","",IF($D1477="Gider",$H1477,$E1477))</f>
        <v/>
      </c>
      <c r="O1477" s="73" t="str">
        <f>IF($C1477="","",DATE(YEAR($C1477),MONTH($C1477),1))</f>
        <v/>
      </c>
      <c r="P1477" s="65" t="str">
        <f ca="1">IF($C1477="","",IF(AND($D1477="Gelir",$L1477&lt;&gt;"",$T1477=""),"TANIMSIZ BORÇLU",IF($T1477&lt;&gt;"",IF(OR($E1477="",$G1477&lt;=0),"EKSİK",IF($I1477="Evet","TAHAKKUK NAKİT OLAMAZ",IF($C1477&gt;TODAY(),"İLERİ TARİH","TAHAKKUK"))),IF(AND($D1477&lt;&gt;"",$E1477&lt;&gt;"",$G1477&gt;0,$H1477&lt;&gt;"",$I1477&lt;&gt;""),IF($C1477&gt;TODAY(),"İLERİ TARİH",IF(COUNTIF($W$7:$W$3001,$W1477)&gt;1,"MÜKERRER?",IF($AD1477&gt;0,"KAPALI DÖNEM",IF($I1477="Hayır","ÖDENECEK","UYGUN")))),"EKSİK"))))</f>
        <v/>
      </c>
      <c r="Q1477" s="2"/>
      <c r="R1477" s="2"/>
      <c r="S1477" s="1" t="str">
        <f t="shared" ref="S1477:S1540" si="71">IF($L1477="","",UPPER(SUBSTITUTE(SUBSTITUTE(SUBSTITUTE(SUBSTITUTE(SUBSTITUTE(SUBSTITUTE(SUBSTITUTE(SUBSTITUTE(SUBSTITUTE(SUBSTITUTE(SUBSTITUTE(SUBSTITUTE(SUBSTITUTE(SUBSTITUTE(SUBSTITUTE(SUBSTITUTE(SUBSTITUTE(SUBSTITUTE(TRIM($L1477),"'",""),"İ","I"),"ı","I"),"i","I"),"Ş","S"),"ş","S"),"Ğ","G"),"ğ","G"),"Ü","U"),"ü","U"),"Ö","O"),"ö","O"),"Ç","C"),"ç","C"),".",""),",","")," ",""),"-","")))</f>
        <v/>
      </c>
      <c r="T1477" s="1" t="str">
        <f>IF(OR($C1477="",$D1477&lt;&gt;"Gelir",$L1477=""),"",IFERROR(INDEX(MUSTERILER!$B$7:$B$156,MATCH($S1477,MUSTERILER!$T$7:$T$156,0)),""))</f>
        <v/>
      </c>
      <c r="U1477" s="1" t="str">
        <f>IF($T1477="","",$T1477&amp;"|"&amp;COUNTIFS($T$7:$T1477,$T1477))</f>
        <v/>
      </c>
      <c r="V1477" s="1">
        <f t="shared" ref="V1477:V1540" si="72">IF($T1477="",0,1)</f>
        <v>0</v>
      </c>
      <c r="W1477" s="1" t="str">
        <f t="shared" ref="W1477:W1540" si="73">IF($C1477="","",$D1477&amp;"|"&amp;$E1477&amp;"|"&amp;TEXT($C1477,"0")&amp;"|"&amp;TEXT($G1477,"0")&amp;"|"&amp;$F1477&amp;"|"&amp;$J1477)</f>
        <v/>
      </c>
      <c r="X1477" s="1"/>
      <c r="Y1477" s="1"/>
      <c r="Z1477" s="1"/>
      <c r="AA1477" s="1"/>
      <c r="AB1477" s="1"/>
      <c r="AC1477" s="1"/>
      <c r="AD1477" s="1">
        <f>IF($C1477="",0,SUMPRODUCT((AY_SONU!$O$7:$O$42="Evet")*(AY_SONU!$B$7:$B$42=DATE(YEAR($C1477),MONTH($C1477),1))))</f>
        <v>0</v>
      </c>
      <c r="AE1477" s="1" t="str">
        <f>IF($E1477="","",$E1477&amp;"|"&amp;COUNTIFS($E$7:$E1477,$E1477))</f>
        <v/>
      </c>
    </row>
    <row r="1478" spans="1:31" ht="18" customHeight="1" x14ac:dyDescent="0.3">
      <c r="A1478" s="2"/>
      <c r="B1478" s="65" t="str">
        <f>IF($C1478="","","GG"&amp;TEXT(ROW()-6,"00000"))</f>
        <v/>
      </c>
      <c r="C1478" s="66"/>
      <c r="D1478" s="60"/>
      <c r="E1478" s="61"/>
      <c r="F1478" s="61"/>
      <c r="G1478" s="67"/>
      <c r="H1478" s="60"/>
      <c r="I1478" s="60"/>
      <c r="J1478" s="61"/>
      <c r="K1478" s="61"/>
      <c r="L1478" s="60"/>
      <c r="M1478" s="74" t="str">
        <f>IF($C1478="","",IF($D1478="Gider",$E1478,IF($L1478&lt;&gt;"",$L1478,$H1478)))</f>
        <v/>
      </c>
      <c r="N1478" s="74" t="str">
        <f>IF($C1478="","",IF($D1478="Gider",$H1478,$E1478))</f>
        <v/>
      </c>
      <c r="O1478" s="73" t="str">
        <f>IF($C1478="","",DATE(YEAR($C1478),MONTH($C1478),1))</f>
        <v/>
      </c>
      <c r="P1478" s="65" t="str">
        <f ca="1">IF($C1478="","",IF(AND($D1478="Gelir",$L1478&lt;&gt;"",$T1478=""),"TANIMSIZ BORÇLU",IF($T1478&lt;&gt;"",IF(OR($E1478="",$G1478&lt;=0),"EKSİK",IF($I1478="Evet","TAHAKKUK NAKİT OLAMAZ",IF($C1478&gt;TODAY(),"İLERİ TARİH","TAHAKKUK"))),IF(AND($D1478&lt;&gt;"",$E1478&lt;&gt;"",$G1478&gt;0,$H1478&lt;&gt;"",$I1478&lt;&gt;""),IF($C1478&gt;TODAY(),"İLERİ TARİH",IF(COUNTIF($W$7:$W$3001,$W1478)&gt;1,"MÜKERRER?",IF($AD1478&gt;0,"KAPALI DÖNEM",IF($I1478="Hayır","ÖDENECEK","UYGUN")))),"EKSİK"))))</f>
        <v/>
      </c>
      <c r="Q1478" s="2"/>
      <c r="R1478" s="2"/>
      <c r="S1478" s="1" t="str">
        <f t="shared" si="71"/>
        <v/>
      </c>
      <c r="T1478" s="1" t="str">
        <f>IF(OR($C1478="",$D1478&lt;&gt;"Gelir",$L1478=""),"",IFERROR(INDEX(MUSTERILER!$B$7:$B$156,MATCH($S1478,MUSTERILER!$T$7:$T$156,0)),""))</f>
        <v/>
      </c>
      <c r="U1478" s="1" t="str">
        <f>IF($T1478="","",$T1478&amp;"|"&amp;COUNTIFS($T$7:$T1478,$T1478))</f>
        <v/>
      </c>
      <c r="V1478" s="1">
        <f t="shared" si="72"/>
        <v>0</v>
      </c>
      <c r="W1478" s="1" t="str">
        <f t="shared" si="73"/>
        <v/>
      </c>
      <c r="X1478" s="1"/>
      <c r="Y1478" s="1"/>
      <c r="Z1478" s="1"/>
      <c r="AA1478" s="1"/>
      <c r="AB1478" s="1"/>
      <c r="AC1478" s="1"/>
      <c r="AD1478" s="1">
        <f>IF($C1478="",0,SUMPRODUCT((AY_SONU!$O$7:$O$42="Evet")*(AY_SONU!$B$7:$B$42=DATE(YEAR($C1478),MONTH($C1478),1))))</f>
        <v>0</v>
      </c>
      <c r="AE1478" s="1" t="str">
        <f>IF($E1478="","",$E1478&amp;"|"&amp;COUNTIFS($E$7:$E1478,$E1478))</f>
        <v/>
      </c>
    </row>
    <row r="1479" spans="1:31" ht="18" customHeight="1" x14ac:dyDescent="0.3">
      <c r="A1479" s="2"/>
      <c r="B1479" s="65" t="str">
        <f>IF($C1479="","","GG"&amp;TEXT(ROW()-6,"00000"))</f>
        <v/>
      </c>
      <c r="C1479" s="66"/>
      <c r="D1479" s="60"/>
      <c r="E1479" s="61"/>
      <c r="F1479" s="61"/>
      <c r="G1479" s="67"/>
      <c r="H1479" s="60"/>
      <c r="I1479" s="60"/>
      <c r="J1479" s="61"/>
      <c r="K1479" s="61"/>
      <c r="L1479" s="60"/>
      <c r="M1479" s="74" t="str">
        <f>IF($C1479="","",IF($D1479="Gider",$E1479,IF($L1479&lt;&gt;"",$L1479,$H1479)))</f>
        <v/>
      </c>
      <c r="N1479" s="74" t="str">
        <f>IF($C1479="","",IF($D1479="Gider",$H1479,$E1479))</f>
        <v/>
      </c>
      <c r="O1479" s="73" t="str">
        <f>IF($C1479="","",DATE(YEAR($C1479),MONTH($C1479),1))</f>
        <v/>
      </c>
      <c r="P1479" s="65" t="str">
        <f ca="1"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TARİH",IF(COUNTIF($W$7:$W$3001,$W1479)&gt;1,"MÜKERRER?",IF($AD1479&gt;0,"KAPALI DÖNEM",IF($I1479="Hayır","ÖDENECEK","UYGUN")))),"EKSİK"))))</f>
        <v/>
      </c>
      <c r="Q1479" s="2"/>
      <c r="R1479" s="2"/>
      <c r="S1479" s="1" t="str">
        <f t="shared" si="71"/>
        <v/>
      </c>
      <c r="T1479" s="1" t="str">
        <f>IF(OR($C1479="",$D1479&lt;&gt;"Gelir",$L1479=""),"",IFERROR(INDEX(MUSTERILER!$B$7:$B$156,MATCH($S1479,MUSTERILER!$T$7:$T$156,0)),""))</f>
        <v/>
      </c>
      <c r="U1479" s="1" t="str">
        <f>IF($T1479="","",$T1479&amp;"|"&amp;COUNTIFS($T$7:$T1479,$T1479))</f>
        <v/>
      </c>
      <c r="V1479" s="1">
        <f t="shared" si="72"/>
        <v>0</v>
      </c>
      <c r="W1479" s="1" t="str">
        <f t="shared" si="73"/>
        <v/>
      </c>
      <c r="X1479" s="1"/>
      <c r="Y1479" s="1"/>
      <c r="Z1479" s="1"/>
      <c r="AA1479" s="1"/>
      <c r="AB1479" s="1"/>
      <c r="AC1479" s="1"/>
      <c r="AD1479" s="1">
        <f>IF($C1479="",0,SUMPRODUCT((AY_SONU!$O$7:$O$42="Evet")*(AY_SONU!$B$7:$B$42=DATE(YEAR($C1479),MONTH($C1479),1))))</f>
        <v>0</v>
      </c>
      <c r="AE1479" s="1" t="str">
        <f>IF($E1479="","",$E1479&amp;"|"&amp;COUNTIFS($E$7:$E1479,$E1479))</f>
        <v/>
      </c>
    </row>
    <row r="1480" spans="1:31" ht="18" customHeight="1" x14ac:dyDescent="0.3">
      <c r="A1480" s="2"/>
      <c r="B1480" s="65" t="str">
        <f>IF($C1480="","","GG"&amp;TEXT(ROW()-6,"00000"))</f>
        <v/>
      </c>
      <c r="C1480" s="66"/>
      <c r="D1480" s="60"/>
      <c r="E1480" s="61"/>
      <c r="F1480" s="61"/>
      <c r="G1480" s="67"/>
      <c r="H1480" s="60"/>
      <c r="I1480" s="60"/>
      <c r="J1480" s="61"/>
      <c r="K1480" s="61"/>
      <c r="L1480" s="60"/>
      <c r="M1480" s="74" t="str">
        <f>IF($C1480="","",IF($D1480="Gider",$E1480,IF($L1480&lt;&gt;"",$L1480,$H1480)))</f>
        <v/>
      </c>
      <c r="N1480" s="74" t="str">
        <f>IF($C1480="","",IF($D1480="Gider",$H1480,$E1480))</f>
        <v/>
      </c>
      <c r="O1480" s="73" t="str">
        <f>IF($C1480="","",DATE(YEAR($C1480),MONTH($C1480),1))</f>
        <v/>
      </c>
      <c r="P1480" s="65" t="str">
        <f ca="1">IF($C1480="","",IF(AND($D1480="Gelir",$L1480&lt;&gt;"",$T1480=""),"TANIMSIZ BORÇLU",IF($T1480&lt;&gt;"",IF(OR($E1480="",$G1480&lt;=0),"EKSİK",IF($I1480="Evet","TAHAKKUK NAKİT OLAMAZ",IF($C1480&gt;TODAY(),"İLERİ TARİH","TAHAKKUK"))),IF(AND($D1480&lt;&gt;"",$E1480&lt;&gt;"",$G1480&gt;0,$H1480&lt;&gt;"",$I1480&lt;&gt;""),IF($C1480&gt;TODAY(),"İLERİ TARİH",IF(COUNTIF($W$7:$W$3001,$W1480)&gt;1,"MÜKERRER?",IF($AD1480&gt;0,"KAPALI DÖNEM",IF($I1480="Hayır","ÖDENECEK","UYGUN")))),"EKSİK"))))</f>
        <v/>
      </c>
      <c r="Q1480" s="2"/>
      <c r="R1480" s="2"/>
      <c r="S1480" s="1" t="str">
        <f t="shared" si="71"/>
        <v/>
      </c>
      <c r="T1480" s="1" t="str">
        <f>IF(OR($C1480="",$D1480&lt;&gt;"Gelir",$L1480=""),"",IFERROR(INDEX(MUSTERILER!$B$7:$B$156,MATCH($S1480,MUSTERILER!$T$7:$T$156,0)),""))</f>
        <v/>
      </c>
      <c r="U1480" s="1" t="str">
        <f>IF($T1480="","",$T1480&amp;"|"&amp;COUNTIFS($T$7:$T1480,$T1480))</f>
        <v/>
      </c>
      <c r="V1480" s="1">
        <f t="shared" si="72"/>
        <v>0</v>
      </c>
      <c r="W1480" s="1" t="str">
        <f t="shared" si="73"/>
        <v/>
      </c>
      <c r="X1480" s="1"/>
      <c r="Y1480" s="1"/>
      <c r="Z1480" s="1"/>
      <c r="AA1480" s="1"/>
      <c r="AB1480" s="1"/>
      <c r="AC1480" s="1"/>
      <c r="AD1480" s="1">
        <f>IF($C1480="",0,SUMPRODUCT((AY_SONU!$O$7:$O$42="Evet")*(AY_SONU!$B$7:$B$42=DATE(YEAR($C1480),MONTH($C1480),1))))</f>
        <v>0</v>
      </c>
      <c r="AE1480" s="1" t="str">
        <f>IF($E1480="","",$E1480&amp;"|"&amp;COUNTIFS($E$7:$E1480,$E1480))</f>
        <v/>
      </c>
    </row>
    <row r="1481" spans="1:31" ht="18" customHeight="1" x14ac:dyDescent="0.3">
      <c r="A1481" s="2"/>
      <c r="B1481" s="65" t="str">
        <f>IF($C1481="","","GG"&amp;TEXT(ROW()-6,"00000"))</f>
        <v/>
      </c>
      <c r="C1481" s="66"/>
      <c r="D1481" s="60"/>
      <c r="E1481" s="61"/>
      <c r="F1481" s="61"/>
      <c r="G1481" s="67"/>
      <c r="H1481" s="60"/>
      <c r="I1481" s="60"/>
      <c r="J1481" s="61"/>
      <c r="K1481" s="61"/>
      <c r="L1481" s="60"/>
      <c r="M1481" s="74" t="str">
        <f>IF($C1481="","",IF($D1481="Gider",$E1481,IF($L1481&lt;&gt;"",$L1481,$H1481)))</f>
        <v/>
      </c>
      <c r="N1481" s="74" t="str">
        <f>IF($C1481="","",IF($D1481="Gider",$H1481,$E1481))</f>
        <v/>
      </c>
      <c r="O1481" s="73" t="str">
        <f>IF($C1481="","",DATE(YEAR($C1481),MONTH($C1481),1))</f>
        <v/>
      </c>
      <c r="P1481" s="65" t="str">
        <f ca="1">IF($C1481="","",IF(AND($D1481="Gelir",$L1481&lt;&gt;"",$T1481=""),"TANIMSIZ BORÇLU",IF($T1481&lt;&gt;"",IF(OR($E1481="",$G1481&lt;=0),"EKSİK",IF($I1481="Evet","TAHAKKUK NAKİT OLAMAZ",IF($C1481&gt;TODAY(),"İLERİ TARİH","TAHAKKUK"))),IF(AND($D1481&lt;&gt;"",$E1481&lt;&gt;"",$G1481&gt;0,$H1481&lt;&gt;"",$I1481&lt;&gt;""),IF($C1481&gt;TODAY(),"İLERİ TARİH",IF(COUNTIF($W$7:$W$3001,$W1481)&gt;1,"MÜKERRER?",IF($AD1481&gt;0,"KAPALI DÖNEM",IF($I1481="Hayır","ÖDENECEK","UYGUN")))),"EKSİK"))))</f>
        <v/>
      </c>
      <c r="Q1481" s="2"/>
      <c r="R1481" s="2"/>
      <c r="S1481" s="1" t="str">
        <f t="shared" si="71"/>
        <v/>
      </c>
      <c r="T1481" s="1" t="str">
        <f>IF(OR($C1481="",$D1481&lt;&gt;"Gelir",$L1481=""),"",IFERROR(INDEX(MUSTERILER!$B$7:$B$156,MATCH($S1481,MUSTERILER!$T$7:$T$156,0)),""))</f>
        <v/>
      </c>
      <c r="U1481" s="1" t="str">
        <f>IF($T1481="","",$T1481&amp;"|"&amp;COUNTIFS($T$7:$T1481,$T1481))</f>
        <v/>
      </c>
      <c r="V1481" s="1">
        <f t="shared" si="72"/>
        <v>0</v>
      </c>
      <c r="W1481" s="1" t="str">
        <f t="shared" si="73"/>
        <v/>
      </c>
      <c r="X1481" s="1"/>
      <c r="Y1481" s="1"/>
      <c r="Z1481" s="1"/>
      <c r="AA1481" s="1"/>
      <c r="AB1481" s="1"/>
      <c r="AC1481" s="1"/>
      <c r="AD1481" s="1">
        <f>IF($C1481="",0,SUMPRODUCT((AY_SONU!$O$7:$O$42="Evet")*(AY_SONU!$B$7:$B$42=DATE(YEAR($C1481),MONTH($C1481),1))))</f>
        <v>0</v>
      </c>
      <c r="AE1481" s="1" t="str">
        <f>IF($E1481="","",$E1481&amp;"|"&amp;COUNTIFS($E$7:$E1481,$E1481))</f>
        <v/>
      </c>
    </row>
    <row r="1482" spans="1:31" ht="18" customHeight="1" x14ac:dyDescent="0.3">
      <c r="A1482" s="2"/>
      <c r="B1482" s="65" t="str">
        <f>IF($C1482="","","GG"&amp;TEXT(ROW()-6,"00000"))</f>
        <v/>
      </c>
      <c r="C1482" s="66"/>
      <c r="D1482" s="60"/>
      <c r="E1482" s="61"/>
      <c r="F1482" s="61"/>
      <c r="G1482" s="67"/>
      <c r="H1482" s="60"/>
      <c r="I1482" s="60"/>
      <c r="J1482" s="61"/>
      <c r="K1482" s="61"/>
      <c r="L1482" s="60"/>
      <c r="M1482" s="74" t="str">
        <f>IF($C1482="","",IF($D1482="Gider",$E1482,IF($L1482&lt;&gt;"",$L1482,$H1482)))</f>
        <v/>
      </c>
      <c r="N1482" s="74" t="str">
        <f>IF($C1482="","",IF($D1482="Gider",$H1482,$E1482))</f>
        <v/>
      </c>
      <c r="O1482" s="73" t="str">
        <f>IF($C1482="","",DATE(YEAR($C1482),MONTH($C1482),1))</f>
        <v/>
      </c>
      <c r="P1482" s="65" t="str">
        <f ca="1">IF($C1482="","",IF(AND($D1482="Gelir",$L1482&lt;&gt;"",$T1482=""),"TANIMSIZ BORÇLU",IF($T1482&lt;&gt;"",IF(OR($E1482="",$G1482&lt;=0),"EKSİK",IF($I1482="Evet","TAHAKKUK NAKİT OLAMAZ",IF($C1482&gt;TODAY(),"İLERİ TARİH","TAHAKKUK"))),IF(AND($D1482&lt;&gt;"",$E1482&lt;&gt;"",$G1482&gt;0,$H1482&lt;&gt;"",$I1482&lt;&gt;""),IF($C1482&gt;TODAY(),"İLERİ TARİH",IF(COUNTIF($W$7:$W$3001,$W1482)&gt;1,"MÜKERRER?",IF($AD1482&gt;0,"KAPALI DÖNEM",IF($I1482="Hayır","ÖDENECEK","UYGUN")))),"EKSİK"))))</f>
        <v/>
      </c>
      <c r="Q1482" s="2"/>
      <c r="R1482" s="2"/>
      <c r="S1482" s="1" t="str">
        <f t="shared" si="71"/>
        <v/>
      </c>
      <c r="T1482" s="1" t="str">
        <f>IF(OR($C1482="",$D1482&lt;&gt;"Gelir",$L1482=""),"",IFERROR(INDEX(MUSTERILER!$B$7:$B$156,MATCH($S1482,MUSTERILER!$T$7:$T$156,0)),""))</f>
        <v/>
      </c>
      <c r="U1482" s="1" t="str">
        <f>IF($T1482="","",$T1482&amp;"|"&amp;COUNTIFS($T$7:$T1482,$T1482))</f>
        <v/>
      </c>
      <c r="V1482" s="1">
        <f t="shared" si="72"/>
        <v>0</v>
      </c>
      <c r="W1482" s="1" t="str">
        <f t="shared" si="73"/>
        <v/>
      </c>
      <c r="X1482" s="1"/>
      <c r="Y1482" s="1"/>
      <c r="Z1482" s="1"/>
      <c r="AA1482" s="1"/>
      <c r="AB1482" s="1"/>
      <c r="AC1482" s="1"/>
      <c r="AD1482" s="1">
        <f>IF($C1482="",0,SUMPRODUCT((AY_SONU!$O$7:$O$42="Evet")*(AY_SONU!$B$7:$B$42=DATE(YEAR($C1482),MONTH($C1482),1))))</f>
        <v>0</v>
      </c>
      <c r="AE1482" s="1" t="str">
        <f>IF($E1482="","",$E1482&amp;"|"&amp;COUNTIFS($E$7:$E1482,$E1482))</f>
        <v/>
      </c>
    </row>
    <row r="1483" spans="1:31" ht="18" customHeight="1" x14ac:dyDescent="0.3">
      <c r="A1483" s="2"/>
      <c r="B1483" s="65" t="str">
        <f>IF($C1483="","","GG"&amp;TEXT(ROW()-6,"00000"))</f>
        <v/>
      </c>
      <c r="C1483" s="66"/>
      <c r="D1483" s="60"/>
      <c r="E1483" s="61"/>
      <c r="F1483" s="61"/>
      <c r="G1483" s="67"/>
      <c r="H1483" s="60"/>
      <c r="I1483" s="60"/>
      <c r="J1483" s="61"/>
      <c r="K1483" s="61"/>
      <c r="L1483" s="60"/>
      <c r="M1483" s="74" t="str">
        <f>IF($C1483="","",IF($D1483="Gider",$E1483,IF($L1483&lt;&gt;"",$L1483,$H1483)))</f>
        <v/>
      </c>
      <c r="N1483" s="74" t="str">
        <f>IF($C1483="","",IF($D1483="Gider",$H1483,$E1483))</f>
        <v/>
      </c>
      <c r="O1483" s="73" t="str">
        <f>IF($C1483="","",DATE(YEAR($C1483),MONTH($C1483),1))</f>
        <v/>
      </c>
      <c r="P1483" s="65" t="str">
        <f ca="1">IF($C1483="","",IF(AND($D1483="Gelir",$L1483&lt;&gt;"",$T1483=""),"TANIMSIZ BORÇLU",IF($T1483&lt;&gt;"",IF(OR($E1483="",$G1483&lt;=0),"EKSİK",IF($I1483="Evet","TAHAKKUK NAKİT OLAMAZ",IF($C1483&gt;TODAY(),"İLERİ TARİH","TAHAKKUK"))),IF(AND($D1483&lt;&gt;"",$E1483&lt;&gt;"",$G1483&gt;0,$H1483&lt;&gt;"",$I1483&lt;&gt;""),IF($C1483&gt;TODAY(),"İLERİ TARİH",IF(COUNTIF($W$7:$W$3001,$W1483)&gt;1,"MÜKERRER?",IF($AD1483&gt;0,"KAPALI DÖNEM",IF($I1483="Hayır","ÖDENECEK","UYGUN")))),"EKSİK"))))</f>
        <v/>
      </c>
      <c r="Q1483" s="2"/>
      <c r="R1483" s="2"/>
      <c r="S1483" s="1" t="str">
        <f t="shared" si="71"/>
        <v/>
      </c>
      <c r="T1483" s="1" t="str">
        <f>IF(OR($C1483="",$D1483&lt;&gt;"Gelir",$L1483=""),"",IFERROR(INDEX(MUSTERILER!$B$7:$B$156,MATCH($S1483,MUSTERILER!$T$7:$T$156,0)),""))</f>
        <v/>
      </c>
      <c r="U1483" s="1" t="str">
        <f>IF($T1483="","",$T1483&amp;"|"&amp;COUNTIFS($T$7:$T1483,$T1483))</f>
        <v/>
      </c>
      <c r="V1483" s="1">
        <f t="shared" si="72"/>
        <v>0</v>
      </c>
      <c r="W1483" s="1" t="str">
        <f t="shared" si="73"/>
        <v/>
      </c>
      <c r="X1483" s="1"/>
      <c r="Y1483" s="1"/>
      <c r="Z1483" s="1"/>
      <c r="AA1483" s="1"/>
      <c r="AB1483" s="1"/>
      <c r="AC1483" s="1"/>
      <c r="AD1483" s="1">
        <f>IF($C1483="",0,SUMPRODUCT((AY_SONU!$O$7:$O$42="Evet")*(AY_SONU!$B$7:$B$42=DATE(YEAR($C1483),MONTH($C1483),1))))</f>
        <v>0</v>
      </c>
      <c r="AE1483" s="1" t="str">
        <f>IF($E1483="","",$E1483&amp;"|"&amp;COUNTIFS($E$7:$E1483,$E1483))</f>
        <v/>
      </c>
    </row>
    <row r="1484" spans="1:31" ht="18" customHeight="1" x14ac:dyDescent="0.3">
      <c r="A1484" s="2"/>
      <c r="B1484" s="65" t="str">
        <f>IF($C1484="","","GG"&amp;TEXT(ROW()-6,"00000"))</f>
        <v/>
      </c>
      <c r="C1484" s="66"/>
      <c r="D1484" s="60"/>
      <c r="E1484" s="61"/>
      <c r="F1484" s="61"/>
      <c r="G1484" s="67"/>
      <c r="H1484" s="60"/>
      <c r="I1484" s="60"/>
      <c r="J1484" s="61"/>
      <c r="K1484" s="61"/>
      <c r="L1484" s="60"/>
      <c r="M1484" s="74" t="str">
        <f>IF($C1484="","",IF($D1484="Gider",$E1484,IF($L1484&lt;&gt;"",$L1484,$H1484)))</f>
        <v/>
      </c>
      <c r="N1484" s="74" t="str">
        <f>IF($C1484="","",IF($D1484="Gider",$H1484,$E1484))</f>
        <v/>
      </c>
      <c r="O1484" s="73" t="str">
        <f>IF($C1484="","",DATE(YEAR($C1484),MONTH($C1484),1))</f>
        <v/>
      </c>
      <c r="P1484" s="65" t="str">
        <f ca="1">IF($C1484="","",IF(AND($D1484="Gelir",$L1484&lt;&gt;"",$T1484=""),"TANIMSIZ BORÇLU",IF($T1484&lt;&gt;"",IF(OR($E1484="",$G1484&lt;=0),"EKSİK",IF($I1484="Evet","TAHAKKUK NAKİT OLAMAZ",IF($C1484&gt;TODAY(),"İLERİ TARİH","TAHAKKUK"))),IF(AND($D1484&lt;&gt;"",$E1484&lt;&gt;"",$G1484&gt;0,$H1484&lt;&gt;"",$I1484&lt;&gt;""),IF($C1484&gt;TODAY(),"İLERİ TARİH",IF(COUNTIF($W$7:$W$3001,$W1484)&gt;1,"MÜKERRER?",IF($AD1484&gt;0,"KAPALI DÖNEM",IF($I1484="Hayır","ÖDENECEK","UYGUN")))),"EKSİK"))))</f>
        <v/>
      </c>
      <c r="Q1484" s="2"/>
      <c r="R1484" s="2"/>
      <c r="S1484" s="1" t="str">
        <f t="shared" si="71"/>
        <v/>
      </c>
      <c r="T1484" s="1" t="str">
        <f>IF(OR($C1484="",$D1484&lt;&gt;"Gelir",$L1484=""),"",IFERROR(INDEX(MUSTERILER!$B$7:$B$156,MATCH($S1484,MUSTERILER!$T$7:$T$156,0)),""))</f>
        <v/>
      </c>
      <c r="U1484" s="1" t="str">
        <f>IF($T1484="","",$T1484&amp;"|"&amp;COUNTIFS($T$7:$T1484,$T1484))</f>
        <v/>
      </c>
      <c r="V1484" s="1">
        <f t="shared" si="72"/>
        <v>0</v>
      </c>
      <c r="W1484" s="1" t="str">
        <f t="shared" si="73"/>
        <v/>
      </c>
      <c r="X1484" s="1"/>
      <c r="Y1484" s="1"/>
      <c r="Z1484" s="1"/>
      <c r="AA1484" s="1"/>
      <c r="AB1484" s="1"/>
      <c r="AC1484" s="1"/>
      <c r="AD1484" s="1">
        <f>IF($C1484="",0,SUMPRODUCT((AY_SONU!$O$7:$O$42="Evet")*(AY_SONU!$B$7:$B$42=DATE(YEAR($C1484),MONTH($C1484),1))))</f>
        <v>0</v>
      </c>
      <c r="AE1484" s="1" t="str">
        <f>IF($E1484="","",$E1484&amp;"|"&amp;COUNTIFS($E$7:$E1484,$E1484))</f>
        <v/>
      </c>
    </row>
    <row r="1485" spans="1:31" ht="18" customHeight="1" x14ac:dyDescent="0.3">
      <c r="A1485" s="2"/>
      <c r="B1485" s="65" t="str">
        <f>IF($C1485="","","GG"&amp;TEXT(ROW()-6,"00000"))</f>
        <v/>
      </c>
      <c r="C1485" s="66"/>
      <c r="D1485" s="60"/>
      <c r="E1485" s="61"/>
      <c r="F1485" s="61"/>
      <c r="G1485" s="67"/>
      <c r="H1485" s="60"/>
      <c r="I1485" s="60"/>
      <c r="J1485" s="61"/>
      <c r="K1485" s="61"/>
      <c r="L1485" s="60"/>
      <c r="M1485" s="74" t="str">
        <f>IF($C1485="","",IF($D1485="Gider",$E1485,IF($L1485&lt;&gt;"",$L1485,$H1485)))</f>
        <v/>
      </c>
      <c r="N1485" s="74" t="str">
        <f>IF($C1485="","",IF($D1485="Gider",$H1485,$E1485))</f>
        <v/>
      </c>
      <c r="O1485" s="73" t="str">
        <f>IF($C1485="","",DATE(YEAR($C1485),MONTH($C1485),1))</f>
        <v/>
      </c>
      <c r="P1485" s="65" t="str">
        <f ca="1">IF($C1485="","",IF(AND($D1485="Gelir",$L1485&lt;&gt;"",$T1485=""),"TANIMSIZ BORÇLU",IF($T1485&lt;&gt;"",IF(OR($E1485="",$G1485&lt;=0),"EKSİK",IF($I1485="Evet","TAHAKKUK NAKİT OLAMAZ",IF($C1485&gt;TODAY(),"İLERİ TARİH","TAHAKKUK"))),IF(AND($D1485&lt;&gt;"",$E1485&lt;&gt;"",$G1485&gt;0,$H1485&lt;&gt;"",$I1485&lt;&gt;""),IF($C1485&gt;TODAY(),"İLERİ TARİH",IF(COUNTIF($W$7:$W$3001,$W1485)&gt;1,"MÜKERRER?",IF($AD1485&gt;0,"KAPALI DÖNEM",IF($I1485="Hayır","ÖDENECEK","UYGUN")))),"EKSİK"))))</f>
        <v/>
      </c>
      <c r="Q1485" s="2"/>
      <c r="R1485" s="2"/>
      <c r="S1485" s="1" t="str">
        <f t="shared" si="71"/>
        <v/>
      </c>
      <c r="T1485" s="1" t="str">
        <f>IF(OR($C1485="",$D1485&lt;&gt;"Gelir",$L1485=""),"",IFERROR(INDEX(MUSTERILER!$B$7:$B$156,MATCH($S1485,MUSTERILER!$T$7:$T$156,0)),""))</f>
        <v/>
      </c>
      <c r="U1485" s="1" t="str">
        <f>IF($T1485="","",$T1485&amp;"|"&amp;COUNTIFS($T$7:$T1485,$T1485))</f>
        <v/>
      </c>
      <c r="V1485" s="1">
        <f t="shared" si="72"/>
        <v>0</v>
      </c>
      <c r="W1485" s="1" t="str">
        <f t="shared" si="73"/>
        <v/>
      </c>
      <c r="X1485" s="1"/>
      <c r="Y1485" s="1"/>
      <c r="Z1485" s="1"/>
      <c r="AA1485" s="1"/>
      <c r="AB1485" s="1"/>
      <c r="AC1485" s="1"/>
      <c r="AD1485" s="1">
        <f>IF($C1485="",0,SUMPRODUCT((AY_SONU!$O$7:$O$42="Evet")*(AY_SONU!$B$7:$B$42=DATE(YEAR($C1485),MONTH($C1485),1))))</f>
        <v>0</v>
      </c>
      <c r="AE1485" s="1" t="str">
        <f>IF($E1485="","",$E1485&amp;"|"&amp;COUNTIFS($E$7:$E1485,$E1485))</f>
        <v/>
      </c>
    </row>
    <row r="1486" spans="1:31" ht="18" customHeight="1" x14ac:dyDescent="0.3">
      <c r="A1486" s="2"/>
      <c r="B1486" s="65" t="str">
        <f>IF($C1486="","","GG"&amp;TEXT(ROW()-6,"00000"))</f>
        <v/>
      </c>
      <c r="C1486" s="66"/>
      <c r="D1486" s="60"/>
      <c r="E1486" s="61"/>
      <c r="F1486" s="61"/>
      <c r="G1486" s="67"/>
      <c r="H1486" s="60"/>
      <c r="I1486" s="60"/>
      <c r="J1486" s="61"/>
      <c r="K1486" s="61"/>
      <c r="L1486" s="60"/>
      <c r="M1486" s="74" t="str">
        <f>IF($C1486="","",IF($D1486="Gider",$E1486,IF($L1486&lt;&gt;"",$L1486,$H1486)))</f>
        <v/>
      </c>
      <c r="N1486" s="74" t="str">
        <f>IF($C1486="","",IF($D1486="Gider",$H1486,$E1486))</f>
        <v/>
      </c>
      <c r="O1486" s="73" t="str">
        <f>IF($C1486="","",DATE(YEAR($C1486),MONTH($C1486),1))</f>
        <v/>
      </c>
      <c r="P1486" s="65" t="str">
        <f ca="1">IF($C1486="","",IF(AND($D1486="Gelir",$L1486&lt;&gt;"",$T1486=""),"TANIMSIZ BORÇLU",IF($T1486&lt;&gt;"",IF(OR($E1486="",$G1486&lt;=0),"EKSİK",IF($I1486="Evet","TAHAKKUK NAKİT OLAMAZ",IF($C1486&gt;TODAY(),"İLERİ TARİH","TAHAKKUK"))),IF(AND($D1486&lt;&gt;"",$E1486&lt;&gt;"",$G1486&gt;0,$H1486&lt;&gt;"",$I1486&lt;&gt;""),IF($C1486&gt;TODAY(),"İLERİ TARİH",IF(COUNTIF($W$7:$W$3001,$W1486)&gt;1,"MÜKERRER?",IF($AD1486&gt;0,"KAPALI DÖNEM",IF($I1486="Hayır","ÖDENECEK","UYGUN")))),"EKSİK"))))</f>
        <v/>
      </c>
      <c r="Q1486" s="2"/>
      <c r="R1486" s="2"/>
      <c r="S1486" s="1" t="str">
        <f t="shared" si="71"/>
        <v/>
      </c>
      <c r="T1486" s="1" t="str">
        <f>IF(OR($C1486="",$D1486&lt;&gt;"Gelir",$L1486=""),"",IFERROR(INDEX(MUSTERILER!$B$7:$B$156,MATCH($S1486,MUSTERILER!$T$7:$T$156,0)),""))</f>
        <v/>
      </c>
      <c r="U1486" s="1" t="str">
        <f>IF($T1486="","",$T1486&amp;"|"&amp;COUNTIFS($T$7:$T1486,$T1486))</f>
        <v/>
      </c>
      <c r="V1486" s="1">
        <f t="shared" si="72"/>
        <v>0</v>
      </c>
      <c r="W1486" s="1" t="str">
        <f t="shared" si="73"/>
        <v/>
      </c>
      <c r="X1486" s="1"/>
      <c r="Y1486" s="1"/>
      <c r="Z1486" s="1"/>
      <c r="AA1486" s="1"/>
      <c r="AB1486" s="1"/>
      <c r="AC1486" s="1"/>
      <c r="AD1486" s="1">
        <f>IF($C1486="",0,SUMPRODUCT((AY_SONU!$O$7:$O$42="Evet")*(AY_SONU!$B$7:$B$42=DATE(YEAR($C1486),MONTH($C1486),1))))</f>
        <v>0</v>
      </c>
      <c r="AE1486" s="1" t="str">
        <f>IF($E1486="","",$E1486&amp;"|"&amp;COUNTIFS($E$7:$E1486,$E1486))</f>
        <v/>
      </c>
    </row>
    <row r="1487" spans="1:31" ht="18" customHeight="1" x14ac:dyDescent="0.3">
      <c r="A1487" s="2"/>
      <c r="B1487" s="65" t="str">
        <f>IF($C1487="","","GG"&amp;TEXT(ROW()-6,"00000"))</f>
        <v/>
      </c>
      <c r="C1487" s="66"/>
      <c r="D1487" s="60"/>
      <c r="E1487" s="61"/>
      <c r="F1487" s="61"/>
      <c r="G1487" s="67"/>
      <c r="H1487" s="60"/>
      <c r="I1487" s="60"/>
      <c r="J1487" s="61"/>
      <c r="K1487" s="61"/>
      <c r="L1487" s="60"/>
      <c r="M1487" s="74" t="str">
        <f>IF($C1487="","",IF($D1487="Gider",$E1487,IF($L1487&lt;&gt;"",$L1487,$H1487)))</f>
        <v/>
      </c>
      <c r="N1487" s="74" t="str">
        <f>IF($C1487="","",IF($D1487="Gider",$H1487,$E1487))</f>
        <v/>
      </c>
      <c r="O1487" s="73" t="str">
        <f>IF($C1487="","",DATE(YEAR($C1487),MONTH($C1487),1))</f>
        <v/>
      </c>
      <c r="P1487" s="65" t="str">
        <f ca="1">IF($C1487="","",IF(AND($D1487="Gelir",$L1487&lt;&gt;"",$T1487=""),"TANIMSIZ BORÇLU",IF($T1487&lt;&gt;"",IF(OR($E1487="",$G1487&lt;=0),"EKSİK",IF($I1487="Evet","TAHAKKUK NAKİT OLAMAZ",IF($C1487&gt;TODAY(),"İLERİ TARİH","TAHAKKUK"))),IF(AND($D1487&lt;&gt;"",$E1487&lt;&gt;"",$G1487&gt;0,$H1487&lt;&gt;"",$I1487&lt;&gt;""),IF($C1487&gt;TODAY(),"İLERİ TARİH",IF(COUNTIF($W$7:$W$3001,$W1487)&gt;1,"MÜKERRER?",IF($AD1487&gt;0,"KAPALI DÖNEM",IF($I1487="Hayır","ÖDENECEK","UYGUN")))),"EKSİK"))))</f>
        <v/>
      </c>
      <c r="Q1487" s="2"/>
      <c r="R1487" s="2"/>
      <c r="S1487" s="1" t="str">
        <f t="shared" si="71"/>
        <v/>
      </c>
      <c r="T1487" s="1" t="str">
        <f>IF(OR($C1487="",$D1487&lt;&gt;"Gelir",$L1487=""),"",IFERROR(INDEX(MUSTERILER!$B$7:$B$156,MATCH($S1487,MUSTERILER!$T$7:$T$156,0)),""))</f>
        <v/>
      </c>
      <c r="U1487" s="1" t="str">
        <f>IF($T1487="","",$T1487&amp;"|"&amp;COUNTIFS($T$7:$T1487,$T1487))</f>
        <v/>
      </c>
      <c r="V1487" s="1">
        <f t="shared" si="72"/>
        <v>0</v>
      </c>
      <c r="W1487" s="1" t="str">
        <f t="shared" si="73"/>
        <v/>
      </c>
      <c r="X1487" s="1"/>
      <c r="Y1487" s="1"/>
      <c r="Z1487" s="1"/>
      <c r="AA1487" s="1"/>
      <c r="AB1487" s="1"/>
      <c r="AC1487" s="1"/>
      <c r="AD1487" s="1">
        <f>IF($C1487="",0,SUMPRODUCT((AY_SONU!$O$7:$O$42="Evet")*(AY_SONU!$B$7:$B$42=DATE(YEAR($C1487),MONTH($C1487),1))))</f>
        <v>0</v>
      </c>
      <c r="AE1487" s="1" t="str">
        <f>IF($E1487="","",$E1487&amp;"|"&amp;COUNTIFS($E$7:$E1487,$E1487))</f>
        <v/>
      </c>
    </row>
    <row r="1488" spans="1:31" ht="18" customHeight="1" x14ac:dyDescent="0.3">
      <c r="A1488" s="2"/>
      <c r="B1488" s="65" t="str">
        <f>IF($C1488="","","GG"&amp;TEXT(ROW()-6,"00000"))</f>
        <v/>
      </c>
      <c r="C1488" s="66"/>
      <c r="D1488" s="60"/>
      <c r="E1488" s="61"/>
      <c r="F1488" s="61"/>
      <c r="G1488" s="67"/>
      <c r="H1488" s="60"/>
      <c r="I1488" s="60"/>
      <c r="J1488" s="61"/>
      <c r="K1488" s="61"/>
      <c r="L1488" s="60"/>
      <c r="M1488" s="74" t="str">
        <f>IF($C1488="","",IF($D1488="Gider",$E1488,IF($L1488&lt;&gt;"",$L1488,$H1488)))</f>
        <v/>
      </c>
      <c r="N1488" s="74" t="str">
        <f>IF($C1488="","",IF($D1488="Gider",$H1488,$E1488))</f>
        <v/>
      </c>
      <c r="O1488" s="73" t="str">
        <f>IF($C1488="","",DATE(YEAR($C1488),MONTH($C1488),1))</f>
        <v/>
      </c>
      <c r="P1488" s="65" t="str">
        <f ca="1">IF($C1488="","",IF(AND($D1488="Gelir",$L1488&lt;&gt;"",$T1488=""),"TANIMSIZ BORÇLU",IF($T1488&lt;&gt;"",IF(OR($E1488="",$G1488&lt;=0),"EKSİK",IF($I1488="Evet","TAHAKKUK NAKİT OLAMAZ",IF($C1488&gt;TODAY(),"İLERİ TARİH","TAHAKKUK"))),IF(AND($D1488&lt;&gt;"",$E1488&lt;&gt;"",$G1488&gt;0,$H1488&lt;&gt;"",$I1488&lt;&gt;""),IF($C1488&gt;TODAY(),"İLERİ TARİH",IF(COUNTIF($W$7:$W$3001,$W1488)&gt;1,"MÜKERRER?",IF($AD1488&gt;0,"KAPALI DÖNEM",IF($I1488="Hayır","ÖDENECEK","UYGUN")))),"EKSİK"))))</f>
        <v/>
      </c>
      <c r="Q1488" s="2"/>
      <c r="R1488" s="2"/>
      <c r="S1488" s="1" t="str">
        <f t="shared" si="71"/>
        <v/>
      </c>
      <c r="T1488" s="1" t="str">
        <f>IF(OR($C1488="",$D1488&lt;&gt;"Gelir",$L1488=""),"",IFERROR(INDEX(MUSTERILER!$B$7:$B$156,MATCH($S1488,MUSTERILER!$T$7:$T$156,0)),""))</f>
        <v/>
      </c>
      <c r="U1488" s="1" t="str">
        <f>IF($T1488="","",$T1488&amp;"|"&amp;COUNTIFS($T$7:$T1488,$T1488))</f>
        <v/>
      </c>
      <c r="V1488" s="1">
        <f t="shared" si="72"/>
        <v>0</v>
      </c>
      <c r="W1488" s="1" t="str">
        <f t="shared" si="73"/>
        <v/>
      </c>
      <c r="X1488" s="1"/>
      <c r="Y1488" s="1"/>
      <c r="Z1488" s="1"/>
      <c r="AA1488" s="1"/>
      <c r="AB1488" s="1"/>
      <c r="AC1488" s="1"/>
      <c r="AD1488" s="1">
        <f>IF($C1488="",0,SUMPRODUCT((AY_SONU!$O$7:$O$42="Evet")*(AY_SONU!$B$7:$B$42=DATE(YEAR($C1488),MONTH($C1488),1))))</f>
        <v>0</v>
      </c>
      <c r="AE1488" s="1" t="str">
        <f>IF($E1488="","",$E1488&amp;"|"&amp;COUNTIFS($E$7:$E1488,$E1488))</f>
        <v/>
      </c>
    </row>
    <row r="1489" spans="1:31" ht="18" customHeight="1" x14ac:dyDescent="0.3">
      <c r="A1489" s="2"/>
      <c r="B1489" s="65" t="str">
        <f>IF($C1489="","","GG"&amp;TEXT(ROW()-6,"00000"))</f>
        <v/>
      </c>
      <c r="C1489" s="66"/>
      <c r="D1489" s="60"/>
      <c r="E1489" s="61"/>
      <c r="F1489" s="61"/>
      <c r="G1489" s="67"/>
      <c r="H1489" s="60"/>
      <c r="I1489" s="60"/>
      <c r="J1489" s="61"/>
      <c r="K1489" s="61"/>
      <c r="L1489" s="60"/>
      <c r="M1489" s="74" t="str">
        <f>IF($C1489="","",IF($D1489="Gider",$E1489,IF($L1489&lt;&gt;"",$L1489,$H1489)))</f>
        <v/>
      </c>
      <c r="N1489" s="74" t="str">
        <f>IF($C1489="","",IF($D1489="Gider",$H1489,$E1489))</f>
        <v/>
      </c>
      <c r="O1489" s="73" t="str">
        <f>IF($C1489="","",DATE(YEAR($C1489),MONTH($C1489),1))</f>
        <v/>
      </c>
      <c r="P1489" s="65" t="str">
        <f ca="1">IF($C1489="","",IF(AND($D1489="Gelir",$L1489&lt;&gt;"",$T1489=""),"TANIMSIZ BORÇLU",IF($T1489&lt;&gt;"",IF(OR($E1489="",$G1489&lt;=0),"EKSİK",IF($I1489="Evet","TAHAKKUK NAKİT OLAMAZ",IF($C1489&gt;TODAY(),"İLERİ TARİH","TAHAKKUK"))),IF(AND($D1489&lt;&gt;"",$E1489&lt;&gt;"",$G1489&gt;0,$H1489&lt;&gt;"",$I1489&lt;&gt;""),IF($C1489&gt;TODAY(),"İLERİ TARİH",IF(COUNTIF($W$7:$W$3001,$W1489)&gt;1,"MÜKERRER?",IF($AD1489&gt;0,"KAPALI DÖNEM",IF($I1489="Hayır","ÖDENECEK","UYGUN")))),"EKSİK"))))</f>
        <v/>
      </c>
      <c r="Q1489" s="2"/>
      <c r="R1489" s="2"/>
      <c r="S1489" s="1" t="str">
        <f t="shared" si="71"/>
        <v/>
      </c>
      <c r="T1489" s="1" t="str">
        <f>IF(OR($C1489="",$D1489&lt;&gt;"Gelir",$L1489=""),"",IFERROR(INDEX(MUSTERILER!$B$7:$B$156,MATCH($S1489,MUSTERILER!$T$7:$T$156,0)),""))</f>
        <v/>
      </c>
      <c r="U1489" s="1" t="str">
        <f>IF($T1489="","",$T1489&amp;"|"&amp;COUNTIFS($T$7:$T1489,$T1489))</f>
        <v/>
      </c>
      <c r="V1489" s="1">
        <f t="shared" si="72"/>
        <v>0</v>
      </c>
      <c r="W1489" s="1" t="str">
        <f t="shared" si="73"/>
        <v/>
      </c>
      <c r="X1489" s="1"/>
      <c r="Y1489" s="1"/>
      <c r="Z1489" s="1"/>
      <c r="AA1489" s="1"/>
      <c r="AB1489" s="1"/>
      <c r="AC1489" s="1"/>
      <c r="AD1489" s="1">
        <f>IF($C1489="",0,SUMPRODUCT((AY_SONU!$O$7:$O$42="Evet")*(AY_SONU!$B$7:$B$42=DATE(YEAR($C1489),MONTH($C1489),1))))</f>
        <v>0</v>
      </c>
      <c r="AE1489" s="1" t="str">
        <f>IF($E1489="","",$E1489&amp;"|"&amp;COUNTIFS($E$7:$E1489,$E1489))</f>
        <v/>
      </c>
    </row>
    <row r="1490" spans="1:31" ht="18" customHeight="1" x14ac:dyDescent="0.3">
      <c r="A1490" s="2"/>
      <c r="B1490" s="65" t="str">
        <f>IF($C1490="","","GG"&amp;TEXT(ROW()-6,"00000"))</f>
        <v/>
      </c>
      <c r="C1490" s="66"/>
      <c r="D1490" s="60"/>
      <c r="E1490" s="61"/>
      <c r="F1490" s="61"/>
      <c r="G1490" s="67"/>
      <c r="H1490" s="60"/>
      <c r="I1490" s="60"/>
      <c r="J1490" s="61"/>
      <c r="K1490" s="61"/>
      <c r="L1490" s="60"/>
      <c r="M1490" s="74" t="str">
        <f>IF($C1490="","",IF($D1490="Gider",$E1490,IF($L1490&lt;&gt;"",$L1490,$H1490)))</f>
        <v/>
      </c>
      <c r="N1490" s="74" t="str">
        <f>IF($C1490="","",IF($D1490="Gider",$H1490,$E1490))</f>
        <v/>
      </c>
      <c r="O1490" s="73" t="str">
        <f>IF($C1490="","",DATE(YEAR($C1490),MONTH($C1490),1))</f>
        <v/>
      </c>
      <c r="P1490" s="65" t="str">
        <f ca="1">IF($C1490="","",IF(AND($D1490="Gelir",$L1490&lt;&gt;"",$T1490=""),"TANIMSIZ BORÇLU",IF($T1490&lt;&gt;"",IF(OR($E1490="",$G1490&lt;=0),"EKSİK",IF($I1490="Evet","TAHAKKUK NAKİT OLAMAZ",IF($C1490&gt;TODAY(),"İLERİ TARİH","TAHAKKUK"))),IF(AND($D1490&lt;&gt;"",$E1490&lt;&gt;"",$G1490&gt;0,$H1490&lt;&gt;"",$I1490&lt;&gt;""),IF($C1490&gt;TODAY(),"İLERİ TARİH",IF(COUNTIF($W$7:$W$3001,$W1490)&gt;1,"MÜKERRER?",IF($AD1490&gt;0,"KAPALI DÖNEM",IF($I1490="Hayır","ÖDENECEK","UYGUN")))),"EKSİK"))))</f>
        <v/>
      </c>
      <c r="Q1490" s="2"/>
      <c r="R1490" s="2"/>
      <c r="S1490" s="1" t="str">
        <f t="shared" si="71"/>
        <v/>
      </c>
      <c r="T1490" s="1" t="str">
        <f>IF(OR($C1490="",$D1490&lt;&gt;"Gelir",$L1490=""),"",IFERROR(INDEX(MUSTERILER!$B$7:$B$156,MATCH($S1490,MUSTERILER!$T$7:$T$156,0)),""))</f>
        <v/>
      </c>
      <c r="U1490" s="1" t="str">
        <f>IF($T1490="","",$T1490&amp;"|"&amp;COUNTIFS($T$7:$T1490,$T1490))</f>
        <v/>
      </c>
      <c r="V1490" s="1">
        <f t="shared" si="72"/>
        <v>0</v>
      </c>
      <c r="W1490" s="1" t="str">
        <f t="shared" si="73"/>
        <v/>
      </c>
      <c r="X1490" s="1"/>
      <c r="Y1490" s="1"/>
      <c r="Z1490" s="1"/>
      <c r="AA1490" s="1"/>
      <c r="AB1490" s="1"/>
      <c r="AC1490" s="1"/>
      <c r="AD1490" s="1">
        <f>IF($C1490="",0,SUMPRODUCT((AY_SONU!$O$7:$O$42="Evet")*(AY_SONU!$B$7:$B$42=DATE(YEAR($C1490),MONTH($C1490),1))))</f>
        <v>0</v>
      </c>
      <c r="AE1490" s="1" t="str">
        <f>IF($E1490="","",$E1490&amp;"|"&amp;COUNTIFS($E$7:$E1490,$E1490))</f>
        <v/>
      </c>
    </row>
    <row r="1491" spans="1:31" ht="18" customHeight="1" x14ac:dyDescent="0.3">
      <c r="A1491" s="2"/>
      <c r="B1491" s="65" t="str">
        <f>IF($C1491="","","GG"&amp;TEXT(ROW()-6,"00000"))</f>
        <v/>
      </c>
      <c r="C1491" s="66"/>
      <c r="D1491" s="60"/>
      <c r="E1491" s="61"/>
      <c r="F1491" s="61"/>
      <c r="G1491" s="67"/>
      <c r="H1491" s="60"/>
      <c r="I1491" s="60"/>
      <c r="J1491" s="61"/>
      <c r="K1491" s="61"/>
      <c r="L1491" s="60"/>
      <c r="M1491" s="74" t="str">
        <f>IF($C1491="","",IF($D1491="Gider",$E1491,IF($L1491&lt;&gt;"",$L1491,$H1491)))</f>
        <v/>
      </c>
      <c r="N1491" s="74" t="str">
        <f>IF($C1491="","",IF($D1491="Gider",$H1491,$E1491))</f>
        <v/>
      </c>
      <c r="O1491" s="73" t="str">
        <f>IF($C1491="","",DATE(YEAR($C1491),MONTH($C1491),1))</f>
        <v/>
      </c>
      <c r="P1491" s="65" t="str">
        <f ca="1">IF($C1491="","",IF(AND($D1491="Gelir",$L1491&lt;&gt;"",$T1491=""),"TANIMSIZ BORÇLU",IF($T1491&lt;&gt;"",IF(OR($E1491="",$G1491&lt;=0),"EKSİK",IF($I1491="Evet","TAHAKKUK NAKİT OLAMAZ",IF($C1491&gt;TODAY(),"İLERİ TARİH","TAHAKKUK"))),IF(AND($D1491&lt;&gt;"",$E1491&lt;&gt;"",$G1491&gt;0,$H1491&lt;&gt;"",$I1491&lt;&gt;""),IF($C1491&gt;TODAY(),"İLERİ TARİH",IF(COUNTIF($W$7:$W$3001,$W1491)&gt;1,"MÜKERRER?",IF($AD1491&gt;0,"KAPALI DÖNEM",IF($I1491="Hayır","ÖDENECEK","UYGUN")))),"EKSİK"))))</f>
        <v/>
      </c>
      <c r="Q1491" s="2"/>
      <c r="R1491" s="2"/>
      <c r="S1491" s="1" t="str">
        <f t="shared" si="71"/>
        <v/>
      </c>
      <c r="T1491" s="1" t="str">
        <f>IF(OR($C1491="",$D1491&lt;&gt;"Gelir",$L1491=""),"",IFERROR(INDEX(MUSTERILER!$B$7:$B$156,MATCH($S1491,MUSTERILER!$T$7:$T$156,0)),""))</f>
        <v/>
      </c>
      <c r="U1491" s="1" t="str">
        <f>IF($T1491="","",$T1491&amp;"|"&amp;COUNTIFS($T$7:$T1491,$T1491))</f>
        <v/>
      </c>
      <c r="V1491" s="1">
        <f t="shared" si="72"/>
        <v>0</v>
      </c>
      <c r="W1491" s="1" t="str">
        <f t="shared" si="73"/>
        <v/>
      </c>
      <c r="X1491" s="1"/>
      <c r="Y1491" s="1"/>
      <c r="Z1491" s="1"/>
      <c r="AA1491" s="1"/>
      <c r="AB1491" s="1"/>
      <c r="AC1491" s="1"/>
      <c r="AD1491" s="1">
        <f>IF($C1491="",0,SUMPRODUCT((AY_SONU!$O$7:$O$42="Evet")*(AY_SONU!$B$7:$B$42=DATE(YEAR($C1491),MONTH($C1491),1))))</f>
        <v>0</v>
      </c>
      <c r="AE1491" s="1" t="str">
        <f>IF($E1491="","",$E1491&amp;"|"&amp;COUNTIFS($E$7:$E1491,$E1491))</f>
        <v/>
      </c>
    </row>
    <row r="1492" spans="1:31" ht="18" customHeight="1" x14ac:dyDescent="0.3">
      <c r="A1492" s="2"/>
      <c r="B1492" s="65" t="str">
        <f>IF($C1492="","","GG"&amp;TEXT(ROW()-6,"00000"))</f>
        <v/>
      </c>
      <c r="C1492" s="66"/>
      <c r="D1492" s="60"/>
      <c r="E1492" s="61"/>
      <c r="F1492" s="61"/>
      <c r="G1492" s="67"/>
      <c r="H1492" s="60"/>
      <c r="I1492" s="60"/>
      <c r="J1492" s="61"/>
      <c r="K1492" s="61"/>
      <c r="L1492" s="60"/>
      <c r="M1492" s="74" t="str">
        <f>IF($C1492="","",IF($D1492="Gider",$E1492,IF($L1492&lt;&gt;"",$L1492,$H1492)))</f>
        <v/>
      </c>
      <c r="N1492" s="74" t="str">
        <f>IF($C1492="","",IF($D1492="Gider",$H1492,$E1492))</f>
        <v/>
      </c>
      <c r="O1492" s="73" t="str">
        <f>IF($C1492="","",DATE(YEAR($C1492),MONTH($C1492),1))</f>
        <v/>
      </c>
      <c r="P1492" s="65" t="str">
        <f ca="1">IF($C1492="","",IF(AND($D1492="Gelir",$L1492&lt;&gt;"",$T1492=""),"TANIMSIZ BORÇLU",IF($T1492&lt;&gt;"",IF(OR($E1492="",$G1492&lt;=0),"EKSİK",IF($I1492="Evet","TAHAKKUK NAKİT OLAMAZ",IF($C1492&gt;TODAY(),"İLERİ TARİH","TAHAKKUK"))),IF(AND($D1492&lt;&gt;"",$E1492&lt;&gt;"",$G1492&gt;0,$H1492&lt;&gt;"",$I1492&lt;&gt;""),IF($C1492&gt;TODAY(),"İLERİ TARİH",IF(COUNTIF($W$7:$W$3001,$W1492)&gt;1,"MÜKERRER?",IF($AD1492&gt;0,"KAPALI DÖNEM",IF($I1492="Hayır","ÖDENECEK","UYGUN")))),"EKSİK"))))</f>
        <v/>
      </c>
      <c r="Q1492" s="2"/>
      <c r="R1492" s="2"/>
      <c r="S1492" s="1" t="str">
        <f t="shared" si="71"/>
        <v/>
      </c>
      <c r="T1492" s="1" t="str">
        <f>IF(OR($C1492="",$D1492&lt;&gt;"Gelir",$L1492=""),"",IFERROR(INDEX(MUSTERILER!$B$7:$B$156,MATCH($S1492,MUSTERILER!$T$7:$T$156,0)),""))</f>
        <v/>
      </c>
      <c r="U1492" s="1" t="str">
        <f>IF($T1492="","",$T1492&amp;"|"&amp;COUNTIFS($T$7:$T1492,$T1492))</f>
        <v/>
      </c>
      <c r="V1492" s="1">
        <f t="shared" si="72"/>
        <v>0</v>
      </c>
      <c r="W1492" s="1" t="str">
        <f t="shared" si="73"/>
        <v/>
      </c>
      <c r="X1492" s="1"/>
      <c r="Y1492" s="1"/>
      <c r="Z1492" s="1"/>
      <c r="AA1492" s="1"/>
      <c r="AB1492" s="1"/>
      <c r="AC1492" s="1"/>
      <c r="AD1492" s="1">
        <f>IF($C1492="",0,SUMPRODUCT((AY_SONU!$O$7:$O$42="Evet")*(AY_SONU!$B$7:$B$42=DATE(YEAR($C1492),MONTH($C1492),1))))</f>
        <v>0</v>
      </c>
      <c r="AE1492" s="1" t="str">
        <f>IF($E1492="","",$E1492&amp;"|"&amp;COUNTIFS($E$7:$E1492,$E1492))</f>
        <v/>
      </c>
    </row>
    <row r="1493" spans="1:31" ht="18" customHeight="1" x14ac:dyDescent="0.3">
      <c r="A1493" s="2"/>
      <c r="B1493" s="65" t="str">
        <f>IF($C1493="","","GG"&amp;TEXT(ROW()-6,"00000"))</f>
        <v/>
      </c>
      <c r="C1493" s="66"/>
      <c r="D1493" s="60"/>
      <c r="E1493" s="61"/>
      <c r="F1493" s="61"/>
      <c r="G1493" s="67"/>
      <c r="H1493" s="60"/>
      <c r="I1493" s="60"/>
      <c r="J1493" s="61"/>
      <c r="K1493" s="61"/>
      <c r="L1493" s="60"/>
      <c r="M1493" s="74" t="str">
        <f>IF($C1493="","",IF($D1493="Gider",$E1493,IF($L1493&lt;&gt;"",$L1493,$H1493)))</f>
        <v/>
      </c>
      <c r="N1493" s="74" t="str">
        <f>IF($C1493="","",IF($D1493="Gider",$H1493,$E1493))</f>
        <v/>
      </c>
      <c r="O1493" s="73" t="str">
        <f>IF($C1493="","",DATE(YEAR($C1493),MONTH($C1493),1))</f>
        <v/>
      </c>
      <c r="P1493" s="65" t="str">
        <f ca="1">IF($C1493="","",IF(AND($D1493="Gelir",$L1493&lt;&gt;"",$T1493=""),"TANIMSIZ BORÇLU",IF($T1493&lt;&gt;"",IF(OR($E1493="",$G1493&lt;=0),"EKSİK",IF($I1493="Evet","TAHAKKUK NAKİT OLAMAZ",IF($C1493&gt;TODAY(),"İLERİ TARİH","TAHAKKUK"))),IF(AND($D1493&lt;&gt;"",$E1493&lt;&gt;"",$G1493&gt;0,$H1493&lt;&gt;"",$I1493&lt;&gt;""),IF($C1493&gt;TODAY(),"İLERİ TARİH",IF(COUNTIF($W$7:$W$3001,$W1493)&gt;1,"MÜKERRER?",IF($AD1493&gt;0,"KAPALI DÖNEM",IF($I1493="Hayır","ÖDENECEK","UYGUN")))),"EKSİK"))))</f>
        <v/>
      </c>
      <c r="Q1493" s="2"/>
      <c r="R1493" s="2"/>
      <c r="S1493" s="1" t="str">
        <f t="shared" si="71"/>
        <v/>
      </c>
      <c r="T1493" s="1" t="str">
        <f>IF(OR($C1493="",$D1493&lt;&gt;"Gelir",$L1493=""),"",IFERROR(INDEX(MUSTERILER!$B$7:$B$156,MATCH($S1493,MUSTERILER!$T$7:$T$156,0)),""))</f>
        <v/>
      </c>
      <c r="U1493" s="1" t="str">
        <f>IF($T1493="","",$T1493&amp;"|"&amp;COUNTIFS($T$7:$T1493,$T1493))</f>
        <v/>
      </c>
      <c r="V1493" s="1">
        <f t="shared" si="72"/>
        <v>0</v>
      </c>
      <c r="W1493" s="1" t="str">
        <f t="shared" si="73"/>
        <v/>
      </c>
      <c r="X1493" s="1"/>
      <c r="Y1493" s="1"/>
      <c r="Z1493" s="1"/>
      <c r="AA1493" s="1"/>
      <c r="AB1493" s="1"/>
      <c r="AC1493" s="1"/>
      <c r="AD1493" s="1">
        <f>IF($C1493="",0,SUMPRODUCT((AY_SONU!$O$7:$O$42="Evet")*(AY_SONU!$B$7:$B$42=DATE(YEAR($C1493),MONTH($C1493),1))))</f>
        <v>0</v>
      </c>
      <c r="AE1493" s="1" t="str">
        <f>IF($E1493="","",$E1493&amp;"|"&amp;COUNTIFS($E$7:$E1493,$E1493))</f>
        <v/>
      </c>
    </row>
    <row r="1494" spans="1:31" ht="18" customHeight="1" x14ac:dyDescent="0.3">
      <c r="A1494" s="2"/>
      <c r="B1494" s="65" t="str">
        <f>IF($C1494="","","GG"&amp;TEXT(ROW()-6,"00000"))</f>
        <v/>
      </c>
      <c r="C1494" s="66"/>
      <c r="D1494" s="60"/>
      <c r="E1494" s="61"/>
      <c r="F1494" s="61"/>
      <c r="G1494" s="67"/>
      <c r="H1494" s="60"/>
      <c r="I1494" s="60"/>
      <c r="J1494" s="61"/>
      <c r="K1494" s="61"/>
      <c r="L1494" s="60"/>
      <c r="M1494" s="74" t="str">
        <f>IF($C1494="","",IF($D1494="Gider",$E1494,IF($L1494&lt;&gt;"",$L1494,$H1494)))</f>
        <v/>
      </c>
      <c r="N1494" s="74" t="str">
        <f>IF($C1494="","",IF($D1494="Gider",$H1494,$E1494))</f>
        <v/>
      </c>
      <c r="O1494" s="73" t="str">
        <f>IF($C1494="","",DATE(YEAR($C1494),MONTH($C1494),1))</f>
        <v/>
      </c>
      <c r="P1494" s="65" t="str">
        <f ca="1">IF($C1494="","",IF(AND($D1494="Gelir",$L1494&lt;&gt;"",$T1494=""),"TANIMSIZ BORÇLU",IF($T1494&lt;&gt;"",IF(OR($E1494="",$G1494&lt;=0),"EKSİK",IF($I1494="Evet","TAHAKKUK NAKİT OLAMAZ",IF($C1494&gt;TODAY(),"İLERİ TARİH","TAHAKKUK"))),IF(AND($D1494&lt;&gt;"",$E1494&lt;&gt;"",$G1494&gt;0,$H1494&lt;&gt;"",$I1494&lt;&gt;""),IF($C1494&gt;TODAY(),"İLERİ TARİH",IF(COUNTIF($W$7:$W$3001,$W1494)&gt;1,"MÜKERRER?",IF($AD1494&gt;0,"KAPALI DÖNEM",IF($I1494="Hayır","ÖDENECEK","UYGUN")))),"EKSİK"))))</f>
        <v/>
      </c>
      <c r="Q1494" s="2"/>
      <c r="R1494" s="2"/>
      <c r="S1494" s="1" t="str">
        <f t="shared" si="71"/>
        <v/>
      </c>
      <c r="T1494" s="1" t="str">
        <f>IF(OR($C1494="",$D1494&lt;&gt;"Gelir",$L1494=""),"",IFERROR(INDEX(MUSTERILER!$B$7:$B$156,MATCH($S1494,MUSTERILER!$T$7:$T$156,0)),""))</f>
        <v/>
      </c>
      <c r="U1494" s="1" t="str">
        <f>IF($T1494="","",$T1494&amp;"|"&amp;COUNTIFS($T$7:$T1494,$T1494))</f>
        <v/>
      </c>
      <c r="V1494" s="1">
        <f t="shared" si="72"/>
        <v>0</v>
      </c>
      <c r="W1494" s="1" t="str">
        <f t="shared" si="73"/>
        <v/>
      </c>
      <c r="X1494" s="1"/>
      <c r="Y1494" s="1"/>
      <c r="Z1494" s="1"/>
      <c r="AA1494" s="1"/>
      <c r="AB1494" s="1"/>
      <c r="AC1494" s="1"/>
      <c r="AD1494" s="1">
        <f>IF($C1494="",0,SUMPRODUCT((AY_SONU!$O$7:$O$42="Evet")*(AY_SONU!$B$7:$B$42=DATE(YEAR($C1494),MONTH($C1494),1))))</f>
        <v>0</v>
      </c>
      <c r="AE1494" s="1" t="str">
        <f>IF($E1494="","",$E1494&amp;"|"&amp;COUNTIFS($E$7:$E1494,$E1494))</f>
        <v/>
      </c>
    </row>
    <row r="1495" spans="1:31" ht="18" customHeight="1" x14ac:dyDescent="0.3">
      <c r="A1495" s="2"/>
      <c r="B1495" s="65" t="str">
        <f>IF($C1495="","","GG"&amp;TEXT(ROW()-6,"00000"))</f>
        <v/>
      </c>
      <c r="C1495" s="66"/>
      <c r="D1495" s="60"/>
      <c r="E1495" s="61"/>
      <c r="F1495" s="61"/>
      <c r="G1495" s="67"/>
      <c r="H1495" s="60"/>
      <c r="I1495" s="60"/>
      <c r="J1495" s="61"/>
      <c r="K1495" s="61"/>
      <c r="L1495" s="60"/>
      <c r="M1495" s="74" t="str">
        <f>IF($C1495="","",IF($D1495="Gider",$E1495,IF($L1495&lt;&gt;"",$L1495,$H1495)))</f>
        <v/>
      </c>
      <c r="N1495" s="74" t="str">
        <f>IF($C1495="","",IF($D1495="Gider",$H1495,$E1495))</f>
        <v/>
      </c>
      <c r="O1495" s="73" t="str">
        <f>IF($C1495="","",DATE(YEAR($C1495),MONTH($C1495),1))</f>
        <v/>
      </c>
      <c r="P1495" s="65" t="str">
        <f ca="1">IF($C1495="","",IF(AND($D1495="Gelir",$L1495&lt;&gt;"",$T1495=""),"TANIMSIZ BORÇLU",IF($T1495&lt;&gt;"",IF(OR($E1495="",$G1495&lt;=0),"EKSİK",IF($I1495="Evet","TAHAKKUK NAKİT OLAMAZ",IF($C1495&gt;TODAY(),"İLERİ TARİH","TAHAKKUK"))),IF(AND($D1495&lt;&gt;"",$E1495&lt;&gt;"",$G1495&gt;0,$H1495&lt;&gt;"",$I1495&lt;&gt;""),IF($C1495&gt;TODAY(),"İLERİ TARİH",IF(COUNTIF($W$7:$W$3001,$W1495)&gt;1,"MÜKERRER?",IF($AD1495&gt;0,"KAPALI DÖNEM",IF($I1495="Hayır","ÖDENECEK","UYGUN")))),"EKSİK"))))</f>
        <v/>
      </c>
      <c r="Q1495" s="2"/>
      <c r="R1495" s="2"/>
      <c r="S1495" s="1" t="str">
        <f t="shared" si="71"/>
        <v/>
      </c>
      <c r="T1495" s="1" t="str">
        <f>IF(OR($C1495="",$D1495&lt;&gt;"Gelir",$L1495=""),"",IFERROR(INDEX(MUSTERILER!$B$7:$B$156,MATCH($S1495,MUSTERILER!$T$7:$T$156,0)),""))</f>
        <v/>
      </c>
      <c r="U1495" s="1" t="str">
        <f>IF($T1495="","",$T1495&amp;"|"&amp;COUNTIFS($T$7:$T1495,$T1495))</f>
        <v/>
      </c>
      <c r="V1495" s="1">
        <f t="shared" si="72"/>
        <v>0</v>
      </c>
      <c r="W1495" s="1" t="str">
        <f t="shared" si="73"/>
        <v/>
      </c>
      <c r="X1495" s="1"/>
      <c r="Y1495" s="1"/>
      <c r="Z1495" s="1"/>
      <c r="AA1495" s="1"/>
      <c r="AB1495" s="1"/>
      <c r="AC1495" s="1"/>
      <c r="AD1495" s="1">
        <f>IF($C1495="",0,SUMPRODUCT((AY_SONU!$O$7:$O$42="Evet")*(AY_SONU!$B$7:$B$42=DATE(YEAR($C1495),MONTH($C1495),1))))</f>
        <v>0</v>
      </c>
      <c r="AE1495" s="1" t="str">
        <f>IF($E1495="","",$E1495&amp;"|"&amp;COUNTIFS($E$7:$E1495,$E1495))</f>
        <v/>
      </c>
    </row>
    <row r="1496" spans="1:31" ht="18" customHeight="1" x14ac:dyDescent="0.3">
      <c r="A1496" s="2"/>
      <c r="B1496" s="65" t="str">
        <f>IF($C1496="","","GG"&amp;TEXT(ROW()-6,"00000"))</f>
        <v/>
      </c>
      <c r="C1496" s="66"/>
      <c r="D1496" s="60"/>
      <c r="E1496" s="61"/>
      <c r="F1496" s="61"/>
      <c r="G1496" s="67"/>
      <c r="H1496" s="60"/>
      <c r="I1496" s="60"/>
      <c r="J1496" s="61"/>
      <c r="K1496" s="61"/>
      <c r="L1496" s="60"/>
      <c r="M1496" s="74" t="str">
        <f>IF($C1496="","",IF($D1496="Gider",$E1496,IF($L1496&lt;&gt;"",$L1496,$H1496)))</f>
        <v/>
      </c>
      <c r="N1496" s="74" t="str">
        <f>IF($C1496="","",IF($D1496="Gider",$H1496,$E1496))</f>
        <v/>
      </c>
      <c r="O1496" s="73" t="str">
        <f>IF($C1496="","",DATE(YEAR($C1496),MONTH($C1496),1))</f>
        <v/>
      </c>
      <c r="P1496" s="65" t="str">
        <f ca="1">IF($C1496="","",IF(AND($D1496="Gelir",$L1496&lt;&gt;"",$T1496=""),"TANIMSIZ BORÇLU",IF($T1496&lt;&gt;"",IF(OR($E1496="",$G1496&lt;=0),"EKSİK",IF($I1496="Evet","TAHAKKUK NAKİT OLAMAZ",IF($C1496&gt;TODAY(),"İLERİ TARİH","TAHAKKUK"))),IF(AND($D1496&lt;&gt;"",$E1496&lt;&gt;"",$G1496&gt;0,$H1496&lt;&gt;"",$I1496&lt;&gt;""),IF($C1496&gt;TODAY(),"İLERİ TARİH",IF(COUNTIF($W$7:$W$3001,$W1496)&gt;1,"MÜKERRER?",IF($AD1496&gt;0,"KAPALI DÖNEM",IF($I1496="Hayır","ÖDENECEK","UYGUN")))),"EKSİK"))))</f>
        <v/>
      </c>
      <c r="Q1496" s="2"/>
      <c r="R1496" s="2"/>
      <c r="S1496" s="1" t="str">
        <f t="shared" si="71"/>
        <v/>
      </c>
      <c r="T1496" s="1" t="str">
        <f>IF(OR($C1496="",$D1496&lt;&gt;"Gelir",$L1496=""),"",IFERROR(INDEX(MUSTERILER!$B$7:$B$156,MATCH($S1496,MUSTERILER!$T$7:$T$156,0)),""))</f>
        <v/>
      </c>
      <c r="U1496" s="1" t="str">
        <f>IF($T1496="","",$T1496&amp;"|"&amp;COUNTIFS($T$7:$T1496,$T1496))</f>
        <v/>
      </c>
      <c r="V1496" s="1">
        <f t="shared" si="72"/>
        <v>0</v>
      </c>
      <c r="W1496" s="1" t="str">
        <f t="shared" si="73"/>
        <v/>
      </c>
      <c r="X1496" s="1"/>
      <c r="Y1496" s="1"/>
      <c r="Z1496" s="1"/>
      <c r="AA1496" s="1"/>
      <c r="AB1496" s="1"/>
      <c r="AC1496" s="1"/>
      <c r="AD1496" s="1">
        <f>IF($C1496="",0,SUMPRODUCT((AY_SONU!$O$7:$O$42="Evet")*(AY_SONU!$B$7:$B$42=DATE(YEAR($C1496),MONTH($C1496),1))))</f>
        <v>0</v>
      </c>
      <c r="AE1496" s="1" t="str">
        <f>IF($E1496="","",$E1496&amp;"|"&amp;COUNTIFS($E$7:$E1496,$E1496))</f>
        <v/>
      </c>
    </row>
    <row r="1497" spans="1:31" ht="18" customHeight="1" x14ac:dyDescent="0.3">
      <c r="A1497" s="2"/>
      <c r="B1497" s="65" t="str">
        <f>IF($C1497="","","GG"&amp;TEXT(ROW()-6,"00000"))</f>
        <v/>
      </c>
      <c r="C1497" s="66"/>
      <c r="D1497" s="60"/>
      <c r="E1497" s="61"/>
      <c r="F1497" s="61"/>
      <c r="G1497" s="67"/>
      <c r="H1497" s="60"/>
      <c r="I1497" s="60"/>
      <c r="J1497" s="61"/>
      <c r="K1497" s="61"/>
      <c r="L1497" s="60"/>
      <c r="M1497" s="74" t="str">
        <f>IF($C1497="","",IF($D1497="Gider",$E1497,IF($L1497&lt;&gt;"",$L1497,$H1497)))</f>
        <v/>
      </c>
      <c r="N1497" s="74" t="str">
        <f>IF($C1497="","",IF($D1497="Gider",$H1497,$E1497))</f>
        <v/>
      </c>
      <c r="O1497" s="73" t="str">
        <f>IF($C1497="","",DATE(YEAR($C1497),MONTH($C1497),1))</f>
        <v/>
      </c>
      <c r="P1497" s="65" t="str">
        <f ca="1">IF($C1497="","",IF(AND($D1497="Gelir",$L1497&lt;&gt;"",$T1497=""),"TANIMSIZ BORÇLU",IF($T1497&lt;&gt;"",IF(OR($E1497="",$G1497&lt;=0),"EKSİK",IF($I1497="Evet","TAHAKKUK NAKİT OLAMAZ",IF($C1497&gt;TODAY(),"İLERİ TARİH","TAHAKKUK"))),IF(AND($D1497&lt;&gt;"",$E1497&lt;&gt;"",$G1497&gt;0,$H1497&lt;&gt;"",$I1497&lt;&gt;""),IF($C1497&gt;TODAY(),"İLERİ TARİH",IF(COUNTIF($W$7:$W$3001,$W1497)&gt;1,"MÜKERRER?",IF($AD1497&gt;0,"KAPALI DÖNEM",IF($I1497="Hayır","ÖDENECEK","UYGUN")))),"EKSİK"))))</f>
        <v/>
      </c>
      <c r="Q1497" s="2"/>
      <c r="R1497" s="2"/>
      <c r="S1497" s="1" t="str">
        <f t="shared" si="71"/>
        <v/>
      </c>
      <c r="T1497" s="1" t="str">
        <f>IF(OR($C1497="",$D1497&lt;&gt;"Gelir",$L1497=""),"",IFERROR(INDEX(MUSTERILER!$B$7:$B$156,MATCH($S1497,MUSTERILER!$T$7:$T$156,0)),""))</f>
        <v/>
      </c>
      <c r="U1497" s="1" t="str">
        <f>IF($T1497="","",$T1497&amp;"|"&amp;COUNTIFS($T$7:$T1497,$T1497))</f>
        <v/>
      </c>
      <c r="V1497" s="1">
        <f t="shared" si="72"/>
        <v>0</v>
      </c>
      <c r="W1497" s="1" t="str">
        <f t="shared" si="73"/>
        <v/>
      </c>
      <c r="X1497" s="1"/>
      <c r="Y1497" s="1"/>
      <c r="Z1497" s="1"/>
      <c r="AA1497" s="1"/>
      <c r="AB1497" s="1"/>
      <c r="AC1497" s="1"/>
      <c r="AD1497" s="1">
        <f>IF($C1497="",0,SUMPRODUCT((AY_SONU!$O$7:$O$42="Evet")*(AY_SONU!$B$7:$B$42=DATE(YEAR($C1497),MONTH($C1497),1))))</f>
        <v>0</v>
      </c>
      <c r="AE1497" s="1" t="str">
        <f>IF($E1497="","",$E1497&amp;"|"&amp;COUNTIFS($E$7:$E1497,$E1497))</f>
        <v/>
      </c>
    </row>
    <row r="1498" spans="1:31" ht="18" customHeight="1" x14ac:dyDescent="0.3">
      <c r="A1498" s="2"/>
      <c r="B1498" s="65" t="str">
        <f>IF($C1498="","","GG"&amp;TEXT(ROW()-6,"00000"))</f>
        <v/>
      </c>
      <c r="C1498" s="66"/>
      <c r="D1498" s="60"/>
      <c r="E1498" s="61"/>
      <c r="F1498" s="61"/>
      <c r="G1498" s="67"/>
      <c r="H1498" s="60"/>
      <c r="I1498" s="60"/>
      <c r="J1498" s="61"/>
      <c r="K1498" s="61"/>
      <c r="L1498" s="60"/>
      <c r="M1498" s="74" t="str">
        <f>IF($C1498="","",IF($D1498="Gider",$E1498,IF($L1498&lt;&gt;"",$L1498,$H1498)))</f>
        <v/>
      </c>
      <c r="N1498" s="74" t="str">
        <f>IF($C1498="","",IF($D1498="Gider",$H1498,$E1498))</f>
        <v/>
      </c>
      <c r="O1498" s="73" t="str">
        <f>IF($C1498="","",DATE(YEAR($C1498),MONTH($C1498),1))</f>
        <v/>
      </c>
      <c r="P1498" s="65" t="str">
        <f ca="1">IF($C1498="","",IF(AND($D1498="Gelir",$L1498&lt;&gt;"",$T1498=""),"TANIMSIZ BORÇLU",IF($T1498&lt;&gt;"",IF(OR($E1498="",$G1498&lt;=0),"EKSİK",IF($I1498="Evet","TAHAKKUK NAKİT OLAMAZ",IF($C1498&gt;TODAY(),"İLERİ TARİH","TAHAKKUK"))),IF(AND($D1498&lt;&gt;"",$E1498&lt;&gt;"",$G1498&gt;0,$H1498&lt;&gt;"",$I1498&lt;&gt;""),IF($C1498&gt;TODAY(),"İLERİ TARİH",IF(COUNTIF($W$7:$W$3001,$W1498)&gt;1,"MÜKERRER?",IF($AD1498&gt;0,"KAPALI DÖNEM",IF($I1498="Hayır","ÖDENECEK","UYGUN")))),"EKSİK"))))</f>
        <v/>
      </c>
      <c r="Q1498" s="2"/>
      <c r="R1498" s="2"/>
      <c r="S1498" s="1" t="str">
        <f t="shared" si="71"/>
        <v/>
      </c>
      <c r="T1498" s="1" t="str">
        <f>IF(OR($C1498="",$D1498&lt;&gt;"Gelir",$L1498=""),"",IFERROR(INDEX(MUSTERILER!$B$7:$B$156,MATCH($S1498,MUSTERILER!$T$7:$T$156,0)),""))</f>
        <v/>
      </c>
      <c r="U1498" s="1" t="str">
        <f>IF($T1498="","",$T1498&amp;"|"&amp;COUNTIFS($T$7:$T1498,$T1498))</f>
        <v/>
      </c>
      <c r="V1498" s="1">
        <f t="shared" si="72"/>
        <v>0</v>
      </c>
      <c r="W1498" s="1" t="str">
        <f t="shared" si="73"/>
        <v/>
      </c>
      <c r="X1498" s="1"/>
      <c r="Y1498" s="1"/>
      <c r="Z1498" s="1"/>
      <c r="AA1498" s="1"/>
      <c r="AB1498" s="1"/>
      <c r="AC1498" s="1"/>
      <c r="AD1498" s="1">
        <f>IF($C1498="",0,SUMPRODUCT((AY_SONU!$O$7:$O$42="Evet")*(AY_SONU!$B$7:$B$42=DATE(YEAR($C1498),MONTH($C1498),1))))</f>
        <v>0</v>
      </c>
      <c r="AE1498" s="1" t="str">
        <f>IF($E1498="","",$E1498&amp;"|"&amp;COUNTIFS($E$7:$E1498,$E1498))</f>
        <v/>
      </c>
    </row>
    <row r="1499" spans="1:31" ht="18" customHeight="1" x14ac:dyDescent="0.3">
      <c r="A1499" s="2"/>
      <c r="B1499" s="65" t="str">
        <f>IF($C1499="","","GG"&amp;TEXT(ROW()-6,"00000"))</f>
        <v/>
      </c>
      <c r="C1499" s="66"/>
      <c r="D1499" s="60"/>
      <c r="E1499" s="61"/>
      <c r="F1499" s="61"/>
      <c r="G1499" s="67"/>
      <c r="H1499" s="60"/>
      <c r="I1499" s="60"/>
      <c r="J1499" s="61"/>
      <c r="K1499" s="61"/>
      <c r="L1499" s="60"/>
      <c r="M1499" s="74" t="str">
        <f>IF($C1499="","",IF($D1499="Gider",$E1499,IF($L1499&lt;&gt;"",$L1499,$H1499)))</f>
        <v/>
      </c>
      <c r="N1499" s="74" t="str">
        <f>IF($C1499="","",IF($D1499="Gider",$H1499,$E1499))</f>
        <v/>
      </c>
      <c r="O1499" s="73" t="str">
        <f>IF($C1499="","",DATE(YEAR($C1499),MONTH($C1499),1))</f>
        <v/>
      </c>
      <c r="P1499" s="65" t="str">
        <f ca="1">IF($C1499="","",IF(AND($D1499="Gelir",$L1499&lt;&gt;"",$T1499=""),"TANIMSIZ BORÇLU",IF($T1499&lt;&gt;"",IF(OR($E1499="",$G1499&lt;=0),"EKSİK",IF($I1499="Evet","TAHAKKUK NAKİT OLAMAZ",IF($C1499&gt;TODAY(),"İLERİ TARİH","TAHAKKUK"))),IF(AND($D1499&lt;&gt;"",$E1499&lt;&gt;"",$G1499&gt;0,$H1499&lt;&gt;"",$I1499&lt;&gt;""),IF($C1499&gt;TODAY(),"İLERİ TARİH",IF(COUNTIF($W$7:$W$3001,$W1499)&gt;1,"MÜKERRER?",IF($AD1499&gt;0,"KAPALI DÖNEM",IF($I1499="Hayır","ÖDENECEK","UYGUN")))),"EKSİK"))))</f>
        <v/>
      </c>
      <c r="Q1499" s="2"/>
      <c r="R1499" s="2"/>
      <c r="S1499" s="1" t="str">
        <f t="shared" si="71"/>
        <v/>
      </c>
      <c r="T1499" s="1" t="str">
        <f>IF(OR($C1499="",$D1499&lt;&gt;"Gelir",$L1499=""),"",IFERROR(INDEX(MUSTERILER!$B$7:$B$156,MATCH($S1499,MUSTERILER!$T$7:$T$156,0)),""))</f>
        <v/>
      </c>
      <c r="U1499" s="1" t="str">
        <f>IF($T1499="","",$T1499&amp;"|"&amp;COUNTIFS($T$7:$T1499,$T1499))</f>
        <v/>
      </c>
      <c r="V1499" s="1">
        <f t="shared" si="72"/>
        <v>0</v>
      </c>
      <c r="W1499" s="1" t="str">
        <f t="shared" si="73"/>
        <v/>
      </c>
      <c r="X1499" s="1"/>
      <c r="Y1499" s="1"/>
      <c r="Z1499" s="1"/>
      <c r="AA1499" s="1"/>
      <c r="AB1499" s="1"/>
      <c r="AC1499" s="1"/>
      <c r="AD1499" s="1">
        <f>IF($C1499="",0,SUMPRODUCT((AY_SONU!$O$7:$O$42="Evet")*(AY_SONU!$B$7:$B$42=DATE(YEAR($C1499),MONTH($C1499),1))))</f>
        <v>0</v>
      </c>
      <c r="AE1499" s="1" t="str">
        <f>IF($E1499="","",$E1499&amp;"|"&amp;COUNTIFS($E$7:$E1499,$E1499))</f>
        <v/>
      </c>
    </row>
    <row r="1500" spans="1:31" ht="18" customHeight="1" x14ac:dyDescent="0.3">
      <c r="A1500" s="2"/>
      <c r="B1500" s="65" t="str">
        <f>IF($C1500="","","GG"&amp;TEXT(ROW()-6,"00000"))</f>
        <v/>
      </c>
      <c r="C1500" s="66"/>
      <c r="D1500" s="60"/>
      <c r="E1500" s="61"/>
      <c r="F1500" s="61"/>
      <c r="G1500" s="67"/>
      <c r="H1500" s="60"/>
      <c r="I1500" s="60"/>
      <c r="J1500" s="61"/>
      <c r="K1500" s="61"/>
      <c r="L1500" s="60"/>
      <c r="M1500" s="74" t="str">
        <f>IF($C1500="","",IF($D1500="Gider",$E1500,IF($L1500&lt;&gt;"",$L1500,$H1500)))</f>
        <v/>
      </c>
      <c r="N1500" s="74" t="str">
        <f>IF($C1500="","",IF($D1500="Gider",$H1500,$E1500))</f>
        <v/>
      </c>
      <c r="O1500" s="73" t="str">
        <f>IF($C1500="","",DATE(YEAR($C1500),MONTH($C1500),1))</f>
        <v/>
      </c>
      <c r="P1500" s="65" t="str">
        <f ca="1">IF($C1500="","",IF(AND($D1500="Gelir",$L1500&lt;&gt;"",$T1500=""),"TANIMSIZ BORÇLU",IF($T1500&lt;&gt;"",IF(OR($E1500="",$G1500&lt;=0),"EKSİK",IF($I1500="Evet","TAHAKKUK NAKİT OLAMAZ",IF($C1500&gt;TODAY(),"İLERİ TARİH","TAHAKKUK"))),IF(AND($D1500&lt;&gt;"",$E1500&lt;&gt;"",$G1500&gt;0,$H1500&lt;&gt;"",$I1500&lt;&gt;""),IF($C1500&gt;TODAY(),"İLERİ TARİH",IF(COUNTIF($W$7:$W$3001,$W1500)&gt;1,"MÜKERRER?",IF($AD1500&gt;0,"KAPALI DÖNEM",IF($I1500="Hayır","ÖDENECEK","UYGUN")))),"EKSİK"))))</f>
        <v/>
      </c>
      <c r="Q1500" s="2"/>
      <c r="R1500" s="2"/>
      <c r="S1500" s="1" t="str">
        <f t="shared" si="71"/>
        <v/>
      </c>
      <c r="T1500" s="1" t="str">
        <f>IF(OR($C1500="",$D1500&lt;&gt;"Gelir",$L1500=""),"",IFERROR(INDEX(MUSTERILER!$B$7:$B$156,MATCH($S1500,MUSTERILER!$T$7:$T$156,0)),""))</f>
        <v/>
      </c>
      <c r="U1500" s="1" t="str">
        <f>IF($T1500="","",$T1500&amp;"|"&amp;COUNTIFS($T$7:$T1500,$T1500))</f>
        <v/>
      </c>
      <c r="V1500" s="1">
        <f t="shared" si="72"/>
        <v>0</v>
      </c>
      <c r="W1500" s="1" t="str">
        <f t="shared" si="73"/>
        <v/>
      </c>
      <c r="X1500" s="1"/>
      <c r="Y1500" s="1"/>
      <c r="Z1500" s="1"/>
      <c r="AA1500" s="1"/>
      <c r="AB1500" s="1"/>
      <c r="AC1500" s="1"/>
      <c r="AD1500" s="1">
        <f>IF($C1500="",0,SUMPRODUCT((AY_SONU!$O$7:$O$42="Evet")*(AY_SONU!$B$7:$B$42=DATE(YEAR($C1500),MONTH($C1500),1))))</f>
        <v>0</v>
      </c>
      <c r="AE1500" s="1" t="str">
        <f>IF($E1500="","",$E1500&amp;"|"&amp;COUNTIFS($E$7:$E1500,$E1500))</f>
        <v/>
      </c>
    </row>
    <row r="1501" spans="1:31" ht="18" customHeight="1" x14ac:dyDescent="0.3">
      <c r="A1501" s="2"/>
      <c r="B1501" s="65" t="str">
        <f>IF($C1501="","","GG"&amp;TEXT(ROW()-6,"00000"))</f>
        <v/>
      </c>
      <c r="C1501" s="66"/>
      <c r="D1501" s="60"/>
      <c r="E1501" s="61"/>
      <c r="F1501" s="61"/>
      <c r="G1501" s="67"/>
      <c r="H1501" s="60"/>
      <c r="I1501" s="60"/>
      <c r="J1501" s="61"/>
      <c r="K1501" s="61"/>
      <c r="L1501" s="60"/>
      <c r="M1501" s="74" t="str">
        <f>IF($C1501="","",IF($D1501="Gider",$E1501,IF($L1501&lt;&gt;"",$L1501,$H1501)))</f>
        <v/>
      </c>
      <c r="N1501" s="74" t="str">
        <f>IF($C1501="","",IF($D1501="Gider",$H1501,$E1501))</f>
        <v/>
      </c>
      <c r="O1501" s="73" t="str">
        <f>IF($C1501="","",DATE(YEAR($C1501),MONTH($C1501),1))</f>
        <v/>
      </c>
      <c r="P1501" s="65" t="str">
        <f ca="1">IF($C1501="","",IF(AND($D1501="Gelir",$L1501&lt;&gt;"",$T1501=""),"TANIMSIZ BORÇLU",IF($T1501&lt;&gt;"",IF(OR($E1501="",$G1501&lt;=0),"EKSİK",IF($I1501="Evet","TAHAKKUK NAKİT OLAMAZ",IF($C1501&gt;TODAY(),"İLERİ TARİH","TAHAKKUK"))),IF(AND($D1501&lt;&gt;"",$E1501&lt;&gt;"",$G1501&gt;0,$H1501&lt;&gt;"",$I1501&lt;&gt;""),IF($C1501&gt;TODAY(),"İLERİ TARİH",IF(COUNTIF($W$7:$W$3001,$W1501)&gt;1,"MÜKERRER?",IF($AD1501&gt;0,"KAPALI DÖNEM",IF($I1501="Hayır","ÖDENECEK","UYGUN")))),"EKSİK"))))</f>
        <v/>
      </c>
      <c r="Q1501" s="2"/>
      <c r="R1501" s="2"/>
      <c r="S1501" s="1" t="str">
        <f t="shared" si="71"/>
        <v/>
      </c>
      <c r="T1501" s="1" t="str">
        <f>IF(OR($C1501="",$D1501&lt;&gt;"Gelir",$L1501=""),"",IFERROR(INDEX(MUSTERILER!$B$7:$B$156,MATCH($S1501,MUSTERILER!$T$7:$T$156,0)),""))</f>
        <v/>
      </c>
      <c r="U1501" s="1" t="str">
        <f>IF($T1501="","",$T1501&amp;"|"&amp;COUNTIFS($T$7:$T1501,$T1501))</f>
        <v/>
      </c>
      <c r="V1501" s="1">
        <f t="shared" si="72"/>
        <v>0</v>
      </c>
      <c r="W1501" s="1" t="str">
        <f t="shared" si="73"/>
        <v/>
      </c>
      <c r="X1501" s="1"/>
      <c r="Y1501" s="1"/>
      <c r="Z1501" s="1"/>
      <c r="AA1501" s="1"/>
      <c r="AB1501" s="1"/>
      <c r="AC1501" s="1"/>
      <c r="AD1501" s="1">
        <f>IF($C1501="",0,SUMPRODUCT((AY_SONU!$O$7:$O$42="Evet")*(AY_SONU!$B$7:$B$42=DATE(YEAR($C1501),MONTH($C1501),1))))</f>
        <v>0</v>
      </c>
      <c r="AE1501" s="1" t="str">
        <f>IF($E1501="","",$E1501&amp;"|"&amp;COUNTIFS($E$7:$E1501,$E1501))</f>
        <v/>
      </c>
    </row>
    <row r="1502" spans="1:31" ht="18" customHeight="1" x14ac:dyDescent="0.3">
      <c r="A1502" s="2"/>
      <c r="B1502" s="65" t="str">
        <f>IF($C1502="","","GG"&amp;TEXT(ROW()-6,"00000"))</f>
        <v/>
      </c>
      <c r="C1502" s="66"/>
      <c r="D1502" s="60"/>
      <c r="E1502" s="61"/>
      <c r="F1502" s="61"/>
      <c r="G1502" s="67"/>
      <c r="H1502" s="60"/>
      <c r="I1502" s="60"/>
      <c r="J1502" s="61"/>
      <c r="K1502" s="61"/>
      <c r="L1502" s="60"/>
      <c r="M1502" s="74" t="str">
        <f>IF($C1502="","",IF($D1502="Gider",$E1502,IF($L1502&lt;&gt;"",$L1502,$H1502)))</f>
        <v/>
      </c>
      <c r="N1502" s="74" t="str">
        <f>IF($C1502="","",IF($D1502="Gider",$H1502,$E1502))</f>
        <v/>
      </c>
      <c r="O1502" s="73" t="str">
        <f>IF($C1502="","",DATE(YEAR($C1502),MONTH($C1502),1))</f>
        <v/>
      </c>
      <c r="P1502" s="65" t="str">
        <f ca="1">IF($C1502="","",IF(AND($D1502="Gelir",$L1502&lt;&gt;"",$T1502=""),"TANIMSIZ BORÇLU",IF($T1502&lt;&gt;"",IF(OR($E1502="",$G1502&lt;=0),"EKSİK",IF($I1502="Evet","TAHAKKUK NAKİT OLAMAZ",IF($C1502&gt;TODAY(),"İLERİ TARİH","TAHAKKUK"))),IF(AND($D1502&lt;&gt;"",$E1502&lt;&gt;"",$G1502&gt;0,$H1502&lt;&gt;"",$I1502&lt;&gt;""),IF($C1502&gt;TODAY(),"İLERİ TARİH",IF(COUNTIF($W$7:$W$3001,$W1502)&gt;1,"MÜKERRER?",IF($AD1502&gt;0,"KAPALI DÖNEM",IF($I1502="Hayır","ÖDENECEK","UYGUN")))),"EKSİK"))))</f>
        <v/>
      </c>
      <c r="Q1502" s="2"/>
      <c r="R1502" s="2"/>
      <c r="S1502" s="1" t="str">
        <f t="shared" si="71"/>
        <v/>
      </c>
      <c r="T1502" s="1" t="str">
        <f>IF(OR($C1502="",$D1502&lt;&gt;"Gelir",$L1502=""),"",IFERROR(INDEX(MUSTERILER!$B$7:$B$156,MATCH($S1502,MUSTERILER!$T$7:$T$156,0)),""))</f>
        <v/>
      </c>
      <c r="U1502" s="1" t="str">
        <f>IF($T1502="","",$T1502&amp;"|"&amp;COUNTIFS($T$7:$T1502,$T1502))</f>
        <v/>
      </c>
      <c r="V1502" s="1">
        <f t="shared" si="72"/>
        <v>0</v>
      </c>
      <c r="W1502" s="1" t="str">
        <f t="shared" si="73"/>
        <v/>
      </c>
      <c r="X1502" s="1"/>
      <c r="Y1502" s="1"/>
      <c r="Z1502" s="1"/>
      <c r="AA1502" s="1"/>
      <c r="AB1502" s="1"/>
      <c r="AC1502" s="1"/>
      <c r="AD1502" s="1">
        <f>IF($C1502="",0,SUMPRODUCT((AY_SONU!$O$7:$O$42="Evet")*(AY_SONU!$B$7:$B$42=DATE(YEAR($C1502),MONTH($C1502),1))))</f>
        <v>0</v>
      </c>
      <c r="AE1502" s="1" t="str">
        <f>IF($E1502="","",$E1502&amp;"|"&amp;COUNTIFS($E$7:$E1502,$E1502))</f>
        <v/>
      </c>
    </row>
    <row r="1503" spans="1:31" ht="18" customHeight="1" x14ac:dyDescent="0.3">
      <c r="A1503" s="2"/>
      <c r="B1503" s="65" t="str">
        <f>IF($C1503="","","GG"&amp;TEXT(ROW()-6,"00000"))</f>
        <v/>
      </c>
      <c r="C1503" s="66"/>
      <c r="D1503" s="60"/>
      <c r="E1503" s="61"/>
      <c r="F1503" s="61"/>
      <c r="G1503" s="67"/>
      <c r="H1503" s="60"/>
      <c r="I1503" s="60"/>
      <c r="J1503" s="61"/>
      <c r="K1503" s="61"/>
      <c r="L1503" s="60"/>
      <c r="M1503" s="74" t="str">
        <f>IF($C1503="","",IF($D1503="Gider",$E1503,IF($L1503&lt;&gt;"",$L1503,$H1503)))</f>
        <v/>
      </c>
      <c r="N1503" s="74" t="str">
        <f>IF($C1503="","",IF($D1503="Gider",$H1503,$E1503))</f>
        <v/>
      </c>
      <c r="O1503" s="73" t="str">
        <f>IF($C1503="","",DATE(YEAR($C1503),MONTH($C1503),1))</f>
        <v/>
      </c>
      <c r="P1503" s="65" t="str">
        <f ca="1">IF($C1503="","",IF(AND($D1503="Gelir",$L1503&lt;&gt;"",$T1503=""),"TANIMSIZ BORÇLU",IF($T1503&lt;&gt;"",IF(OR($E1503="",$G1503&lt;=0),"EKSİK",IF($I1503="Evet","TAHAKKUK NAKİT OLAMAZ",IF($C1503&gt;TODAY(),"İLERİ TARİH","TAHAKKUK"))),IF(AND($D1503&lt;&gt;"",$E1503&lt;&gt;"",$G1503&gt;0,$H1503&lt;&gt;"",$I1503&lt;&gt;""),IF($C1503&gt;TODAY(),"İLERİ TARİH",IF(COUNTIF($W$7:$W$3001,$W1503)&gt;1,"MÜKERRER?",IF($AD1503&gt;0,"KAPALI DÖNEM",IF($I1503="Hayır","ÖDENECEK","UYGUN")))),"EKSİK"))))</f>
        <v/>
      </c>
      <c r="Q1503" s="2"/>
      <c r="R1503" s="2"/>
      <c r="S1503" s="1" t="str">
        <f t="shared" si="71"/>
        <v/>
      </c>
      <c r="T1503" s="1" t="str">
        <f>IF(OR($C1503="",$D1503&lt;&gt;"Gelir",$L1503=""),"",IFERROR(INDEX(MUSTERILER!$B$7:$B$156,MATCH($S1503,MUSTERILER!$T$7:$T$156,0)),""))</f>
        <v/>
      </c>
      <c r="U1503" s="1" t="str">
        <f>IF($T1503="","",$T1503&amp;"|"&amp;COUNTIFS($T$7:$T1503,$T1503))</f>
        <v/>
      </c>
      <c r="V1503" s="1">
        <f t="shared" si="72"/>
        <v>0</v>
      </c>
      <c r="W1503" s="1" t="str">
        <f t="shared" si="73"/>
        <v/>
      </c>
      <c r="X1503" s="1"/>
      <c r="Y1503" s="1"/>
      <c r="Z1503" s="1"/>
      <c r="AA1503" s="1"/>
      <c r="AB1503" s="1"/>
      <c r="AC1503" s="1"/>
      <c r="AD1503" s="1">
        <f>IF($C1503="",0,SUMPRODUCT((AY_SONU!$O$7:$O$42="Evet")*(AY_SONU!$B$7:$B$42=DATE(YEAR($C1503),MONTH($C1503),1))))</f>
        <v>0</v>
      </c>
      <c r="AE1503" s="1" t="str">
        <f>IF($E1503="","",$E1503&amp;"|"&amp;COUNTIFS($E$7:$E1503,$E1503))</f>
        <v/>
      </c>
    </row>
    <row r="1504" spans="1:31" ht="18" customHeight="1" x14ac:dyDescent="0.3">
      <c r="A1504" s="2"/>
      <c r="B1504" s="65" t="str">
        <f>IF($C1504="","","GG"&amp;TEXT(ROW()-6,"00000"))</f>
        <v/>
      </c>
      <c r="C1504" s="66"/>
      <c r="D1504" s="60"/>
      <c r="E1504" s="61"/>
      <c r="F1504" s="61"/>
      <c r="G1504" s="67"/>
      <c r="H1504" s="60"/>
      <c r="I1504" s="60"/>
      <c r="J1504" s="61"/>
      <c r="K1504" s="61"/>
      <c r="L1504" s="60"/>
      <c r="M1504" s="74" t="str">
        <f>IF($C1504="","",IF($D1504="Gider",$E1504,IF($L1504&lt;&gt;"",$L1504,$H1504)))</f>
        <v/>
      </c>
      <c r="N1504" s="74" t="str">
        <f>IF($C1504="","",IF($D1504="Gider",$H1504,$E1504))</f>
        <v/>
      </c>
      <c r="O1504" s="73" t="str">
        <f>IF($C1504="","",DATE(YEAR($C1504),MONTH($C1504),1))</f>
        <v/>
      </c>
      <c r="P1504" s="65" t="str">
        <f ca="1">IF($C1504="","",IF(AND($D1504="Gelir",$L1504&lt;&gt;"",$T1504=""),"TANIMSIZ BORÇLU",IF($T1504&lt;&gt;"",IF(OR($E1504="",$G1504&lt;=0),"EKSİK",IF($I1504="Evet","TAHAKKUK NAKİT OLAMAZ",IF($C1504&gt;TODAY(),"İLERİ TARİH","TAHAKKUK"))),IF(AND($D1504&lt;&gt;"",$E1504&lt;&gt;"",$G1504&gt;0,$H1504&lt;&gt;"",$I1504&lt;&gt;""),IF($C1504&gt;TODAY(),"İLERİ TARİH",IF(COUNTIF($W$7:$W$3001,$W1504)&gt;1,"MÜKERRER?",IF($AD1504&gt;0,"KAPALI DÖNEM",IF($I1504="Hayır","ÖDENECEK","UYGUN")))),"EKSİK"))))</f>
        <v/>
      </c>
      <c r="Q1504" s="2"/>
      <c r="R1504" s="2"/>
      <c r="S1504" s="1" t="str">
        <f t="shared" si="71"/>
        <v/>
      </c>
      <c r="T1504" s="1" t="str">
        <f>IF(OR($C1504="",$D1504&lt;&gt;"Gelir",$L1504=""),"",IFERROR(INDEX(MUSTERILER!$B$7:$B$156,MATCH($S1504,MUSTERILER!$T$7:$T$156,0)),""))</f>
        <v/>
      </c>
      <c r="U1504" s="1" t="str">
        <f>IF($T1504="","",$T1504&amp;"|"&amp;COUNTIFS($T$7:$T1504,$T1504))</f>
        <v/>
      </c>
      <c r="V1504" s="1">
        <f t="shared" si="72"/>
        <v>0</v>
      </c>
      <c r="W1504" s="1" t="str">
        <f t="shared" si="73"/>
        <v/>
      </c>
      <c r="X1504" s="1"/>
      <c r="Y1504" s="1"/>
      <c r="Z1504" s="1"/>
      <c r="AA1504" s="1"/>
      <c r="AB1504" s="1"/>
      <c r="AC1504" s="1"/>
      <c r="AD1504" s="1">
        <f>IF($C1504="",0,SUMPRODUCT((AY_SONU!$O$7:$O$42="Evet")*(AY_SONU!$B$7:$B$42=DATE(YEAR($C1504),MONTH($C1504),1))))</f>
        <v>0</v>
      </c>
      <c r="AE1504" s="1" t="str">
        <f>IF($E1504="","",$E1504&amp;"|"&amp;COUNTIFS($E$7:$E1504,$E1504))</f>
        <v/>
      </c>
    </row>
    <row r="1505" spans="1:31" ht="18" customHeight="1" x14ac:dyDescent="0.3">
      <c r="A1505" s="2"/>
      <c r="B1505" s="65" t="str">
        <f>IF($C1505="","","GG"&amp;TEXT(ROW()-6,"00000"))</f>
        <v/>
      </c>
      <c r="C1505" s="66"/>
      <c r="D1505" s="60"/>
      <c r="E1505" s="61"/>
      <c r="F1505" s="61"/>
      <c r="G1505" s="67"/>
      <c r="H1505" s="60"/>
      <c r="I1505" s="60"/>
      <c r="J1505" s="61"/>
      <c r="K1505" s="61"/>
      <c r="L1505" s="60"/>
      <c r="M1505" s="74" t="str">
        <f>IF($C1505="","",IF($D1505="Gider",$E1505,IF($L1505&lt;&gt;"",$L1505,$H1505)))</f>
        <v/>
      </c>
      <c r="N1505" s="74" t="str">
        <f>IF($C1505="","",IF($D1505="Gider",$H1505,$E1505))</f>
        <v/>
      </c>
      <c r="O1505" s="73" t="str">
        <f>IF($C1505="","",DATE(YEAR($C1505),MONTH($C1505),1))</f>
        <v/>
      </c>
      <c r="P1505" s="65" t="str">
        <f ca="1">IF($C1505="","",IF(AND($D1505="Gelir",$L1505&lt;&gt;"",$T1505=""),"TANIMSIZ BORÇLU",IF($T1505&lt;&gt;"",IF(OR($E1505="",$G1505&lt;=0),"EKSİK",IF($I1505="Evet","TAHAKKUK NAKİT OLAMAZ",IF($C1505&gt;TODAY(),"İLERİ TARİH","TAHAKKUK"))),IF(AND($D1505&lt;&gt;"",$E1505&lt;&gt;"",$G1505&gt;0,$H1505&lt;&gt;"",$I1505&lt;&gt;""),IF($C1505&gt;TODAY(),"İLERİ TARİH",IF(COUNTIF($W$7:$W$3001,$W1505)&gt;1,"MÜKERRER?",IF($AD1505&gt;0,"KAPALI DÖNEM",IF($I1505="Hayır","ÖDENECEK","UYGUN")))),"EKSİK"))))</f>
        <v/>
      </c>
      <c r="Q1505" s="2"/>
      <c r="R1505" s="2"/>
      <c r="S1505" s="1" t="str">
        <f t="shared" si="71"/>
        <v/>
      </c>
      <c r="T1505" s="1" t="str">
        <f>IF(OR($C1505="",$D1505&lt;&gt;"Gelir",$L1505=""),"",IFERROR(INDEX(MUSTERILER!$B$7:$B$156,MATCH($S1505,MUSTERILER!$T$7:$T$156,0)),""))</f>
        <v/>
      </c>
      <c r="U1505" s="1" t="str">
        <f>IF($T1505="","",$T1505&amp;"|"&amp;COUNTIFS($T$7:$T1505,$T1505))</f>
        <v/>
      </c>
      <c r="V1505" s="1">
        <f t="shared" si="72"/>
        <v>0</v>
      </c>
      <c r="W1505" s="1" t="str">
        <f t="shared" si="73"/>
        <v/>
      </c>
      <c r="X1505" s="1"/>
      <c r="Y1505" s="1"/>
      <c r="Z1505" s="1"/>
      <c r="AA1505" s="1"/>
      <c r="AB1505" s="1"/>
      <c r="AC1505" s="1"/>
      <c r="AD1505" s="1">
        <f>IF($C1505="",0,SUMPRODUCT((AY_SONU!$O$7:$O$42="Evet")*(AY_SONU!$B$7:$B$42=DATE(YEAR($C1505),MONTH($C1505),1))))</f>
        <v>0</v>
      </c>
      <c r="AE1505" s="1" t="str">
        <f>IF($E1505="","",$E1505&amp;"|"&amp;COUNTIFS($E$7:$E1505,$E1505))</f>
        <v/>
      </c>
    </row>
    <row r="1506" spans="1:31" ht="18" customHeight="1" x14ac:dyDescent="0.3">
      <c r="A1506" s="2"/>
      <c r="B1506" s="65" t="str">
        <f>IF($C1506="","","GG"&amp;TEXT(ROW()-6,"00000"))</f>
        <v/>
      </c>
      <c r="C1506" s="66"/>
      <c r="D1506" s="60"/>
      <c r="E1506" s="61"/>
      <c r="F1506" s="61"/>
      <c r="G1506" s="67"/>
      <c r="H1506" s="60"/>
      <c r="I1506" s="60"/>
      <c r="J1506" s="61"/>
      <c r="K1506" s="61"/>
      <c r="L1506" s="60"/>
      <c r="M1506" s="74" t="str">
        <f>IF($C1506="","",IF($D1506="Gider",$E1506,IF($L1506&lt;&gt;"",$L1506,$H1506)))</f>
        <v/>
      </c>
      <c r="N1506" s="74" t="str">
        <f>IF($C1506="","",IF($D1506="Gider",$H1506,$E1506))</f>
        <v/>
      </c>
      <c r="O1506" s="73" t="str">
        <f>IF($C1506="","",DATE(YEAR($C1506),MONTH($C1506),1))</f>
        <v/>
      </c>
      <c r="P1506" s="65" t="str">
        <f ca="1">IF($C1506="","",IF(AND($D1506="Gelir",$L1506&lt;&gt;"",$T1506=""),"TANIMSIZ BORÇLU",IF($T1506&lt;&gt;"",IF(OR($E1506="",$G1506&lt;=0),"EKSİK",IF($I1506="Evet","TAHAKKUK NAKİT OLAMAZ",IF($C1506&gt;TODAY(),"İLERİ TARİH","TAHAKKUK"))),IF(AND($D1506&lt;&gt;"",$E1506&lt;&gt;"",$G1506&gt;0,$H1506&lt;&gt;"",$I1506&lt;&gt;""),IF($C1506&gt;TODAY(),"İLERİ TARİH",IF(COUNTIF($W$7:$W$3001,$W1506)&gt;1,"MÜKERRER?",IF($AD1506&gt;0,"KAPALI DÖNEM",IF($I1506="Hayır","ÖDENECEK","UYGUN")))),"EKSİK"))))</f>
        <v/>
      </c>
      <c r="Q1506" s="2"/>
      <c r="R1506" s="2"/>
      <c r="S1506" s="1" t="str">
        <f t="shared" si="71"/>
        <v/>
      </c>
      <c r="T1506" s="1" t="str">
        <f>IF(OR($C1506="",$D1506&lt;&gt;"Gelir",$L1506=""),"",IFERROR(INDEX(MUSTERILER!$B$7:$B$156,MATCH($S1506,MUSTERILER!$T$7:$T$156,0)),""))</f>
        <v/>
      </c>
      <c r="U1506" s="1" t="str">
        <f>IF($T1506="","",$T1506&amp;"|"&amp;COUNTIFS($T$7:$T1506,$T1506))</f>
        <v/>
      </c>
      <c r="V1506" s="1">
        <f t="shared" si="72"/>
        <v>0</v>
      </c>
      <c r="W1506" s="1" t="str">
        <f t="shared" si="73"/>
        <v/>
      </c>
      <c r="X1506" s="1"/>
      <c r="Y1506" s="1"/>
      <c r="Z1506" s="1"/>
      <c r="AA1506" s="1"/>
      <c r="AB1506" s="1"/>
      <c r="AC1506" s="1"/>
      <c r="AD1506" s="1">
        <f>IF($C1506="",0,SUMPRODUCT((AY_SONU!$O$7:$O$42="Evet")*(AY_SONU!$B$7:$B$42=DATE(YEAR($C1506),MONTH($C1506),1))))</f>
        <v>0</v>
      </c>
      <c r="AE1506" s="1" t="str">
        <f>IF($E1506="","",$E1506&amp;"|"&amp;COUNTIFS($E$7:$E1506,$E1506))</f>
        <v/>
      </c>
    </row>
    <row r="1507" spans="1:31" ht="18" customHeight="1" x14ac:dyDescent="0.3">
      <c r="A1507" s="2"/>
      <c r="B1507" s="65" t="str">
        <f>IF($C1507="","","GG"&amp;TEXT(ROW()-6,"00000"))</f>
        <v/>
      </c>
      <c r="C1507" s="66"/>
      <c r="D1507" s="60"/>
      <c r="E1507" s="61"/>
      <c r="F1507" s="61"/>
      <c r="G1507" s="67"/>
      <c r="H1507" s="60"/>
      <c r="I1507" s="60"/>
      <c r="J1507" s="61"/>
      <c r="K1507" s="61"/>
      <c r="L1507" s="60"/>
      <c r="M1507" s="74" t="str">
        <f>IF($C1507="","",IF($D1507="Gider",$E1507,IF($L1507&lt;&gt;"",$L1507,$H1507)))</f>
        <v/>
      </c>
      <c r="N1507" s="74" t="str">
        <f>IF($C1507="","",IF($D1507="Gider",$H1507,$E1507))</f>
        <v/>
      </c>
      <c r="O1507" s="73" t="str">
        <f>IF($C1507="","",DATE(YEAR($C1507),MONTH($C1507),1))</f>
        <v/>
      </c>
      <c r="P1507" s="65" t="str">
        <f ca="1">IF($C1507="","",IF(AND($D1507="Gelir",$L1507&lt;&gt;"",$T1507=""),"TANIMSIZ BORÇLU",IF($T1507&lt;&gt;"",IF(OR($E1507="",$G1507&lt;=0),"EKSİK",IF($I1507="Evet","TAHAKKUK NAKİT OLAMAZ",IF($C1507&gt;TODAY(),"İLERİ TARİH","TAHAKKUK"))),IF(AND($D1507&lt;&gt;"",$E1507&lt;&gt;"",$G1507&gt;0,$H1507&lt;&gt;"",$I1507&lt;&gt;""),IF($C1507&gt;TODAY(),"İLERİ TARİH",IF(COUNTIF($W$7:$W$3001,$W1507)&gt;1,"MÜKERRER?",IF($AD1507&gt;0,"KAPALI DÖNEM",IF($I1507="Hayır","ÖDENECEK","UYGUN")))),"EKSİK"))))</f>
        <v/>
      </c>
      <c r="Q1507" s="2"/>
      <c r="R1507" s="2"/>
      <c r="S1507" s="1" t="str">
        <f t="shared" si="71"/>
        <v/>
      </c>
      <c r="T1507" s="1" t="str">
        <f>IF(OR($C1507="",$D1507&lt;&gt;"Gelir",$L1507=""),"",IFERROR(INDEX(MUSTERILER!$B$7:$B$156,MATCH($S1507,MUSTERILER!$T$7:$T$156,0)),""))</f>
        <v/>
      </c>
      <c r="U1507" s="1" t="str">
        <f>IF($T1507="","",$T1507&amp;"|"&amp;COUNTIFS($T$7:$T1507,$T1507))</f>
        <v/>
      </c>
      <c r="V1507" s="1">
        <f t="shared" si="72"/>
        <v>0</v>
      </c>
      <c r="W1507" s="1" t="str">
        <f t="shared" si="73"/>
        <v/>
      </c>
      <c r="X1507" s="1"/>
      <c r="Y1507" s="1"/>
      <c r="Z1507" s="1"/>
      <c r="AA1507" s="1"/>
      <c r="AB1507" s="1"/>
      <c r="AC1507" s="1"/>
      <c r="AD1507" s="1">
        <f>IF($C1507="",0,SUMPRODUCT((AY_SONU!$O$7:$O$42="Evet")*(AY_SONU!$B$7:$B$42=DATE(YEAR($C1507),MONTH($C1507),1))))</f>
        <v>0</v>
      </c>
      <c r="AE1507" s="1" t="str">
        <f>IF($E1507="","",$E1507&amp;"|"&amp;COUNTIFS($E$7:$E1507,$E1507))</f>
        <v/>
      </c>
    </row>
    <row r="1508" spans="1:31" ht="18" customHeight="1" x14ac:dyDescent="0.3">
      <c r="A1508" s="2"/>
      <c r="B1508" s="65" t="str">
        <f>IF($C1508="","","GG"&amp;TEXT(ROW()-6,"00000"))</f>
        <v/>
      </c>
      <c r="C1508" s="66"/>
      <c r="D1508" s="60"/>
      <c r="E1508" s="61"/>
      <c r="F1508" s="61"/>
      <c r="G1508" s="67"/>
      <c r="H1508" s="60"/>
      <c r="I1508" s="60"/>
      <c r="J1508" s="61"/>
      <c r="K1508" s="61"/>
      <c r="L1508" s="60"/>
      <c r="M1508" s="74" t="str">
        <f>IF($C1508="","",IF($D1508="Gider",$E1508,IF($L1508&lt;&gt;"",$L1508,$H1508)))</f>
        <v/>
      </c>
      <c r="N1508" s="74" t="str">
        <f>IF($C1508="","",IF($D1508="Gider",$H1508,$E1508))</f>
        <v/>
      </c>
      <c r="O1508" s="73" t="str">
        <f>IF($C1508="","",DATE(YEAR($C1508),MONTH($C1508),1))</f>
        <v/>
      </c>
      <c r="P1508" s="65" t="str">
        <f ca="1">IF($C1508="","",IF(AND($D1508="Gelir",$L1508&lt;&gt;"",$T1508=""),"TANIMSIZ BORÇLU",IF($T1508&lt;&gt;"",IF(OR($E1508="",$G1508&lt;=0),"EKSİK",IF($I1508="Evet","TAHAKKUK NAKİT OLAMAZ",IF($C1508&gt;TODAY(),"İLERİ TARİH","TAHAKKUK"))),IF(AND($D1508&lt;&gt;"",$E1508&lt;&gt;"",$G1508&gt;0,$H1508&lt;&gt;"",$I1508&lt;&gt;""),IF($C1508&gt;TODAY(),"İLERİ TARİH",IF(COUNTIF($W$7:$W$3001,$W1508)&gt;1,"MÜKERRER?",IF($AD1508&gt;0,"KAPALI DÖNEM",IF($I1508="Hayır","ÖDENECEK","UYGUN")))),"EKSİK"))))</f>
        <v/>
      </c>
      <c r="Q1508" s="2"/>
      <c r="R1508" s="2"/>
      <c r="S1508" s="1" t="str">
        <f t="shared" si="71"/>
        <v/>
      </c>
      <c r="T1508" s="1" t="str">
        <f>IF(OR($C1508="",$D1508&lt;&gt;"Gelir",$L1508=""),"",IFERROR(INDEX(MUSTERILER!$B$7:$B$156,MATCH($S1508,MUSTERILER!$T$7:$T$156,0)),""))</f>
        <v/>
      </c>
      <c r="U1508" s="1" t="str">
        <f>IF($T1508="","",$T1508&amp;"|"&amp;COUNTIFS($T$7:$T1508,$T1508))</f>
        <v/>
      </c>
      <c r="V1508" s="1">
        <f t="shared" si="72"/>
        <v>0</v>
      </c>
      <c r="W1508" s="1" t="str">
        <f t="shared" si="73"/>
        <v/>
      </c>
      <c r="X1508" s="1"/>
      <c r="Y1508" s="1"/>
      <c r="Z1508" s="1"/>
      <c r="AA1508" s="1"/>
      <c r="AB1508" s="1"/>
      <c r="AC1508" s="1"/>
      <c r="AD1508" s="1">
        <f>IF($C1508="",0,SUMPRODUCT((AY_SONU!$O$7:$O$42="Evet")*(AY_SONU!$B$7:$B$42=DATE(YEAR($C1508),MONTH($C1508),1))))</f>
        <v>0</v>
      </c>
      <c r="AE1508" s="1" t="str">
        <f>IF($E1508="","",$E1508&amp;"|"&amp;COUNTIFS($E$7:$E1508,$E1508))</f>
        <v/>
      </c>
    </row>
    <row r="1509" spans="1:31" ht="18" customHeight="1" x14ac:dyDescent="0.3">
      <c r="A1509" s="2"/>
      <c r="B1509" s="65" t="str">
        <f>IF($C1509="","","GG"&amp;TEXT(ROW()-6,"00000"))</f>
        <v/>
      </c>
      <c r="C1509" s="66"/>
      <c r="D1509" s="60"/>
      <c r="E1509" s="61"/>
      <c r="F1509" s="61"/>
      <c r="G1509" s="67"/>
      <c r="H1509" s="60"/>
      <c r="I1509" s="60"/>
      <c r="J1509" s="61"/>
      <c r="K1509" s="61"/>
      <c r="L1509" s="60"/>
      <c r="M1509" s="74" t="str">
        <f>IF($C1509="","",IF($D1509="Gider",$E1509,IF($L1509&lt;&gt;"",$L1509,$H1509)))</f>
        <v/>
      </c>
      <c r="N1509" s="74" t="str">
        <f>IF($C1509="","",IF($D1509="Gider",$H1509,$E1509))</f>
        <v/>
      </c>
      <c r="O1509" s="73" t="str">
        <f>IF($C1509="","",DATE(YEAR($C1509),MONTH($C1509),1))</f>
        <v/>
      </c>
      <c r="P1509" s="65" t="str">
        <f ca="1">IF($C1509="","",IF(AND($D1509="Gelir",$L1509&lt;&gt;"",$T1509=""),"TANIMSIZ BORÇLU",IF($T1509&lt;&gt;"",IF(OR($E1509="",$G1509&lt;=0),"EKSİK",IF($I1509="Evet","TAHAKKUK NAKİT OLAMAZ",IF($C1509&gt;TODAY(),"İLERİ TARİH","TAHAKKUK"))),IF(AND($D1509&lt;&gt;"",$E1509&lt;&gt;"",$G1509&gt;0,$H1509&lt;&gt;"",$I1509&lt;&gt;""),IF($C1509&gt;TODAY(),"İLERİ TARİH",IF(COUNTIF($W$7:$W$3001,$W1509)&gt;1,"MÜKERRER?",IF($AD1509&gt;0,"KAPALI DÖNEM",IF($I1509="Hayır","ÖDENECEK","UYGUN")))),"EKSİK"))))</f>
        <v/>
      </c>
      <c r="Q1509" s="2"/>
      <c r="R1509" s="2"/>
      <c r="S1509" s="1" t="str">
        <f t="shared" si="71"/>
        <v/>
      </c>
      <c r="T1509" s="1" t="str">
        <f>IF(OR($C1509="",$D1509&lt;&gt;"Gelir",$L1509=""),"",IFERROR(INDEX(MUSTERILER!$B$7:$B$156,MATCH($S1509,MUSTERILER!$T$7:$T$156,0)),""))</f>
        <v/>
      </c>
      <c r="U1509" s="1" t="str">
        <f>IF($T1509="","",$T1509&amp;"|"&amp;COUNTIFS($T$7:$T1509,$T1509))</f>
        <v/>
      </c>
      <c r="V1509" s="1">
        <f t="shared" si="72"/>
        <v>0</v>
      </c>
      <c r="W1509" s="1" t="str">
        <f t="shared" si="73"/>
        <v/>
      </c>
      <c r="X1509" s="1"/>
      <c r="Y1509" s="1"/>
      <c r="Z1509" s="1"/>
      <c r="AA1509" s="1"/>
      <c r="AB1509" s="1"/>
      <c r="AC1509" s="1"/>
      <c r="AD1509" s="1">
        <f>IF($C1509="",0,SUMPRODUCT((AY_SONU!$O$7:$O$42="Evet")*(AY_SONU!$B$7:$B$42=DATE(YEAR($C1509),MONTH($C1509),1))))</f>
        <v>0</v>
      </c>
      <c r="AE1509" s="1" t="str">
        <f>IF($E1509="","",$E1509&amp;"|"&amp;COUNTIFS($E$7:$E1509,$E1509))</f>
        <v/>
      </c>
    </row>
    <row r="1510" spans="1:31" ht="18" customHeight="1" x14ac:dyDescent="0.3">
      <c r="A1510" s="2"/>
      <c r="B1510" s="65" t="str">
        <f>IF($C1510="","","GG"&amp;TEXT(ROW()-6,"00000"))</f>
        <v/>
      </c>
      <c r="C1510" s="66"/>
      <c r="D1510" s="60"/>
      <c r="E1510" s="61"/>
      <c r="F1510" s="61"/>
      <c r="G1510" s="67"/>
      <c r="H1510" s="60"/>
      <c r="I1510" s="60"/>
      <c r="J1510" s="61"/>
      <c r="K1510" s="61"/>
      <c r="L1510" s="60"/>
      <c r="M1510" s="74" t="str">
        <f>IF($C1510="","",IF($D1510="Gider",$E1510,IF($L1510&lt;&gt;"",$L1510,$H1510)))</f>
        <v/>
      </c>
      <c r="N1510" s="74" t="str">
        <f>IF($C1510="","",IF($D1510="Gider",$H1510,$E1510))</f>
        <v/>
      </c>
      <c r="O1510" s="73" t="str">
        <f>IF($C1510="","",DATE(YEAR($C1510),MONTH($C1510),1))</f>
        <v/>
      </c>
      <c r="P1510" s="65" t="str">
        <f ca="1">IF($C1510="","",IF(AND($D1510="Gelir",$L1510&lt;&gt;"",$T1510=""),"TANIMSIZ BORÇLU",IF($T1510&lt;&gt;"",IF(OR($E1510="",$G1510&lt;=0),"EKSİK",IF($I1510="Evet","TAHAKKUK NAKİT OLAMAZ",IF($C1510&gt;TODAY(),"İLERİ TARİH","TAHAKKUK"))),IF(AND($D1510&lt;&gt;"",$E1510&lt;&gt;"",$G1510&gt;0,$H1510&lt;&gt;"",$I1510&lt;&gt;""),IF($C1510&gt;TODAY(),"İLERİ TARİH",IF(COUNTIF($W$7:$W$3001,$W1510)&gt;1,"MÜKERRER?",IF($AD1510&gt;0,"KAPALI DÖNEM",IF($I1510="Hayır","ÖDENECEK","UYGUN")))),"EKSİK"))))</f>
        <v/>
      </c>
      <c r="Q1510" s="2"/>
      <c r="R1510" s="2"/>
      <c r="S1510" s="1" t="str">
        <f t="shared" si="71"/>
        <v/>
      </c>
      <c r="T1510" s="1" t="str">
        <f>IF(OR($C1510="",$D1510&lt;&gt;"Gelir",$L1510=""),"",IFERROR(INDEX(MUSTERILER!$B$7:$B$156,MATCH($S1510,MUSTERILER!$T$7:$T$156,0)),""))</f>
        <v/>
      </c>
      <c r="U1510" s="1" t="str">
        <f>IF($T1510="","",$T1510&amp;"|"&amp;COUNTIFS($T$7:$T1510,$T1510))</f>
        <v/>
      </c>
      <c r="V1510" s="1">
        <f t="shared" si="72"/>
        <v>0</v>
      </c>
      <c r="W1510" s="1" t="str">
        <f t="shared" si="73"/>
        <v/>
      </c>
      <c r="X1510" s="1"/>
      <c r="Y1510" s="1"/>
      <c r="Z1510" s="1"/>
      <c r="AA1510" s="1"/>
      <c r="AB1510" s="1"/>
      <c r="AC1510" s="1"/>
      <c r="AD1510" s="1">
        <f>IF($C1510="",0,SUMPRODUCT((AY_SONU!$O$7:$O$42="Evet")*(AY_SONU!$B$7:$B$42=DATE(YEAR($C1510),MONTH($C1510),1))))</f>
        <v>0</v>
      </c>
      <c r="AE1510" s="1" t="str">
        <f>IF($E1510="","",$E1510&amp;"|"&amp;COUNTIFS($E$7:$E1510,$E1510))</f>
        <v/>
      </c>
    </row>
    <row r="1511" spans="1:31" ht="18" customHeight="1" x14ac:dyDescent="0.3">
      <c r="A1511" s="2"/>
      <c r="B1511" s="65" t="str">
        <f>IF($C1511="","","GG"&amp;TEXT(ROW()-6,"00000"))</f>
        <v/>
      </c>
      <c r="C1511" s="66"/>
      <c r="D1511" s="60"/>
      <c r="E1511" s="61"/>
      <c r="F1511" s="61"/>
      <c r="G1511" s="67"/>
      <c r="H1511" s="60"/>
      <c r="I1511" s="60"/>
      <c r="J1511" s="61"/>
      <c r="K1511" s="61"/>
      <c r="L1511" s="60"/>
      <c r="M1511" s="74" t="str">
        <f>IF($C1511="","",IF($D1511="Gider",$E1511,IF($L1511&lt;&gt;"",$L1511,$H1511)))</f>
        <v/>
      </c>
      <c r="N1511" s="74" t="str">
        <f>IF($C1511="","",IF($D1511="Gider",$H1511,$E1511))</f>
        <v/>
      </c>
      <c r="O1511" s="73" t="str">
        <f>IF($C1511="","",DATE(YEAR($C1511),MONTH($C1511),1))</f>
        <v/>
      </c>
      <c r="P1511" s="65" t="str">
        <f ca="1">IF($C1511="","",IF(AND($D1511="Gelir",$L1511&lt;&gt;"",$T1511=""),"TANIMSIZ BORÇLU",IF($T1511&lt;&gt;"",IF(OR($E1511="",$G1511&lt;=0),"EKSİK",IF($I1511="Evet","TAHAKKUK NAKİT OLAMAZ",IF($C1511&gt;TODAY(),"İLERİ TARİH","TAHAKKUK"))),IF(AND($D1511&lt;&gt;"",$E1511&lt;&gt;"",$G1511&gt;0,$H1511&lt;&gt;"",$I1511&lt;&gt;""),IF($C1511&gt;TODAY(),"İLERİ TARİH",IF(COUNTIF($W$7:$W$3001,$W1511)&gt;1,"MÜKERRER?",IF($AD1511&gt;0,"KAPALI DÖNEM",IF($I1511="Hayır","ÖDENECEK","UYGUN")))),"EKSİK"))))</f>
        <v/>
      </c>
      <c r="Q1511" s="2"/>
      <c r="R1511" s="2"/>
      <c r="S1511" s="1" t="str">
        <f t="shared" si="71"/>
        <v/>
      </c>
      <c r="T1511" s="1" t="str">
        <f>IF(OR($C1511="",$D1511&lt;&gt;"Gelir",$L1511=""),"",IFERROR(INDEX(MUSTERILER!$B$7:$B$156,MATCH($S1511,MUSTERILER!$T$7:$T$156,0)),""))</f>
        <v/>
      </c>
      <c r="U1511" s="1" t="str">
        <f>IF($T1511="","",$T1511&amp;"|"&amp;COUNTIFS($T$7:$T1511,$T1511))</f>
        <v/>
      </c>
      <c r="V1511" s="1">
        <f t="shared" si="72"/>
        <v>0</v>
      </c>
      <c r="W1511" s="1" t="str">
        <f t="shared" si="73"/>
        <v/>
      </c>
      <c r="X1511" s="1"/>
      <c r="Y1511" s="1"/>
      <c r="Z1511" s="1"/>
      <c r="AA1511" s="1"/>
      <c r="AB1511" s="1"/>
      <c r="AC1511" s="1"/>
      <c r="AD1511" s="1">
        <f>IF($C1511="",0,SUMPRODUCT((AY_SONU!$O$7:$O$42="Evet")*(AY_SONU!$B$7:$B$42=DATE(YEAR($C1511),MONTH($C1511),1))))</f>
        <v>0</v>
      </c>
      <c r="AE1511" s="1" t="str">
        <f>IF($E1511="","",$E1511&amp;"|"&amp;COUNTIFS($E$7:$E1511,$E1511))</f>
        <v/>
      </c>
    </row>
    <row r="1512" spans="1:31" ht="18" customHeight="1" x14ac:dyDescent="0.3">
      <c r="A1512" s="2"/>
      <c r="B1512" s="65" t="str">
        <f>IF($C1512="","","GG"&amp;TEXT(ROW()-6,"00000"))</f>
        <v/>
      </c>
      <c r="C1512" s="66"/>
      <c r="D1512" s="60"/>
      <c r="E1512" s="61"/>
      <c r="F1512" s="61"/>
      <c r="G1512" s="67"/>
      <c r="H1512" s="60"/>
      <c r="I1512" s="60"/>
      <c r="J1512" s="61"/>
      <c r="K1512" s="61"/>
      <c r="L1512" s="60"/>
      <c r="M1512" s="74" t="str">
        <f>IF($C1512="","",IF($D1512="Gider",$E1512,IF($L1512&lt;&gt;"",$L1512,$H1512)))</f>
        <v/>
      </c>
      <c r="N1512" s="74" t="str">
        <f>IF($C1512="","",IF($D1512="Gider",$H1512,$E1512))</f>
        <v/>
      </c>
      <c r="O1512" s="73" t="str">
        <f>IF($C1512="","",DATE(YEAR($C1512),MONTH($C1512),1))</f>
        <v/>
      </c>
      <c r="P1512" s="65" t="str">
        <f ca="1">IF($C1512="","",IF(AND($D1512="Gelir",$L1512&lt;&gt;"",$T1512=""),"TANIMSIZ BORÇLU",IF($T1512&lt;&gt;"",IF(OR($E1512="",$G1512&lt;=0),"EKSİK",IF($I1512="Evet","TAHAKKUK NAKİT OLAMAZ",IF($C1512&gt;TODAY(),"İLERİ TARİH","TAHAKKUK"))),IF(AND($D1512&lt;&gt;"",$E1512&lt;&gt;"",$G1512&gt;0,$H1512&lt;&gt;"",$I1512&lt;&gt;""),IF($C1512&gt;TODAY(),"İLERİ TARİH",IF(COUNTIF($W$7:$W$3001,$W1512)&gt;1,"MÜKERRER?",IF($AD1512&gt;0,"KAPALI DÖNEM",IF($I1512="Hayır","ÖDENECEK","UYGUN")))),"EKSİK"))))</f>
        <v/>
      </c>
      <c r="Q1512" s="2"/>
      <c r="R1512" s="2"/>
      <c r="S1512" s="1" t="str">
        <f t="shared" si="71"/>
        <v/>
      </c>
      <c r="T1512" s="1" t="str">
        <f>IF(OR($C1512="",$D1512&lt;&gt;"Gelir",$L1512=""),"",IFERROR(INDEX(MUSTERILER!$B$7:$B$156,MATCH($S1512,MUSTERILER!$T$7:$T$156,0)),""))</f>
        <v/>
      </c>
      <c r="U1512" s="1" t="str">
        <f>IF($T1512="","",$T1512&amp;"|"&amp;COUNTIFS($T$7:$T1512,$T1512))</f>
        <v/>
      </c>
      <c r="V1512" s="1">
        <f t="shared" si="72"/>
        <v>0</v>
      </c>
      <c r="W1512" s="1" t="str">
        <f t="shared" si="73"/>
        <v/>
      </c>
      <c r="X1512" s="1"/>
      <c r="Y1512" s="1"/>
      <c r="Z1512" s="1"/>
      <c r="AA1512" s="1"/>
      <c r="AB1512" s="1"/>
      <c r="AC1512" s="1"/>
      <c r="AD1512" s="1">
        <f>IF($C1512="",0,SUMPRODUCT((AY_SONU!$O$7:$O$42="Evet")*(AY_SONU!$B$7:$B$42=DATE(YEAR($C1512),MONTH($C1512),1))))</f>
        <v>0</v>
      </c>
      <c r="AE1512" s="1" t="str">
        <f>IF($E1512="","",$E1512&amp;"|"&amp;COUNTIFS($E$7:$E1512,$E1512))</f>
        <v/>
      </c>
    </row>
    <row r="1513" spans="1:31" ht="18" customHeight="1" x14ac:dyDescent="0.3">
      <c r="A1513" s="2"/>
      <c r="B1513" s="65" t="str">
        <f>IF($C1513="","","GG"&amp;TEXT(ROW()-6,"00000"))</f>
        <v/>
      </c>
      <c r="C1513" s="66"/>
      <c r="D1513" s="60"/>
      <c r="E1513" s="61"/>
      <c r="F1513" s="61"/>
      <c r="G1513" s="67"/>
      <c r="H1513" s="60"/>
      <c r="I1513" s="60"/>
      <c r="J1513" s="61"/>
      <c r="K1513" s="61"/>
      <c r="L1513" s="60"/>
      <c r="M1513" s="74" t="str">
        <f>IF($C1513="","",IF($D1513="Gider",$E1513,IF($L1513&lt;&gt;"",$L1513,$H1513)))</f>
        <v/>
      </c>
      <c r="N1513" s="74" t="str">
        <f>IF($C1513="","",IF($D1513="Gider",$H1513,$E1513))</f>
        <v/>
      </c>
      <c r="O1513" s="73" t="str">
        <f>IF($C1513="","",DATE(YEAR($C1513),MONTH($C1513),1))</f>
        <v/>
      </c>
      <c r="P1513" s="65" t="str">
        <f ca="1">IF($C1513="","",IF(AND($D1513="Gelir",$L1513&lt;&gt;"",$T1513=""),"TANIMSIZ BORÇLU",IF($T1513&lt;&gt;"",IF(OR($E1513="",$G1513&lt;=0),"EKSİK",IF($I1513="Evet","TAHAKKUK NAKİT OLAMAZ",IF($C1513&gt;TODAY(),"İLERİ TARİH","TAHAKKUK"))),IF(AND($D1513&lt;&gt;"",$E1513&lt;&gt;"",$G1513&gt;0,$H1513&lt;&gt;"",$I1513&lt;&gt;""),IF($C1513&gt;TODAY(),"İLERİ TARİH",IF(COUNTIF($W$7:$W$3001,$W1513)&gt;1,"MÜKERRER?",IF($AD1513&gt;0,"KAPALI DÖNEM",IF($I1513="Hayır","ÖDENECEK","UYGUN")))),"EKSİK"))))</f>
        <v/>
      </c>
      <c r="Q1513" s="2"/>
      <c r="R1513" s="2"/>
      <c r="S1513" s="1" t="str">
        <f t="shared" si="71"/>
        <v/>
      </c>
      <c r="T1513" s="1" t="str">
        <f>IF(OR($C1513="",$D1513&lt;&gt;"Gelir",$L1513=""),"",IFERROR(INDEX(MUSTERILER!$B$7:$B$156,MATCH($S1513,MUSTERILER!$T$7:$T$156,0)),""))</f>
        <v/>
      </c>
      <c r="U1513" s="1" t="str">
        <f>IF($T1513="","",$T1513&amp;"|"&amp;COUNTIFS($T$7:$T1513,$T1513))</f>
        <v/>
      </c>
      <c r="V1513" s="1">
        <f t="shared" si="72"/>
        <v>0</v>
      </c>
      <c r="W1513" s="1" t="str">
        <f t="shared" si="73"/>
        <v/>
      </c>
      <c r="X1513" s="1"/>
      <c r="Y1513" s="1"/>
      <c r="Z1513" s="1"/>
      <c r="AA1513" s="1"/>
      <c r="AB1513" s="1"/>
      <c r="AC1513" s="1"/>
      <c r="AD1513" s="1">
        <f>IF($C1513="",0,SUMPRODUCT((AY_SONU!$O$7:$O$42="Evet")*(AY_SONU!$B$7:$B$42=DATE(YEAR($C1513),MONTH($C1513),1))))</f>
        <v>0</v>
      </c>
      <c r="AE1513" s="1" t="str">
        <f>IF($E1513="","",$E1513&amp;"|"&amp;COUNTIFS($E$7:$E1513,$E1513))</f>
        <v/>
      </c>
    </row>
    <row r="1514" spans="1:31" ht="18" customHeight="1" x14ac:dyDescent="0.3">
      <c r="A1514" s="2"/>
      <c r="B1514" s="65" t="str">
        <f>IF($C1514="","","GG"&amp;TEXT(ROW()-6,"00000"))</f>
        <v/>
      </c>
      <c r="C1514" s="66"/>
      <c r="D1514" s="60"/>
      <c r="E1514" s="61"/>
      <c r="F1514" s="61"/>
      <c r="G1514" s="67"/>
      <c r="H1514" s="60"/>
      <c r="I1514" s="60"/>
      <c r="J1514" s="61"/>
      <c r="K1514" s="61"/>
      <c r="L1514" s="60"/>
      <c r="M1514" s="74" t="str">
        <f>IF($C1514="","",IF($D1514="Gider",$E1514,IF($L1514&lt;&gt;"",$L1514,$H1514)))</f>
        <v/>
      </c>
      <c r="N1514" s="74" t="str">
        <f>IF($C1514="","",IF($D1514="Gider",$H1514,$E1514))</f>
        <v/>
      </c>
      <c r="O1514" s="73" t="str">
        <f>IF($C1514="","",DATE(YEAR($C1514),MONTH($C1514),1))</f>
        <v/>
      </c>
      <c r="P1514" s="65" t="str">
        <f ca="1">IF($C1514="","",IF(AND($D1514="Gelir",$L1514&lt;&gt;"",$T1514=""),"TANIMSIZ BORÇLU",IF($T1514&lt;&gt;"",IF(OR($E1514="",$G1514&lt;=0),"EKSİK",IF($I1514="Evet","TAHAKKUK NAKİT OLAMAZ",IF($C1514&gt;TODAY(),"İLERİ TARİH","TAHAKKUK"))),IF(AND($D1514&lt;&gt;"",$E1514&lt;&gt;"",$G1514&gt;0,$H1514&lt;&gt;"",$I1514&lt;&gt;""),IF($C1514&gt;TODAY(),"İLERİ TARİH",IF(COUNTIF($W$7:$W$3001,$W1514)&gt;1,"MÜKERRER?",IF($AD1514&gt;0,"KAPALI DÖNEM",IF($I1514="Hayır","ÖDENECEK","UYGUN")))),"EKSİK"))))</f>
        <v/>
      </c>
      <c r="Q1514" s="2"/>
      <c r="R1514" s="2"/>
      <c r="S1514" s="1" t="str">
        <f t="shared" si="71"/>
        <v/>
      </c>
      <c r="T1514" s="1" t="str">
        <f>IF(OR($C1514="",$D1514&lt;&gt;"Gelir",$L1514=""),"",IFERROR(INDEX(MUSTERILER!$B$7:$B$156,MATCH($S1514,MUSTERILER!$T$7:$T$156,0)),""))</f>
        <v/>
      </c>
      <c r="U1514" s="1" t="str">
        <f>IF($T1514="","",$T1514&amp;"|"&amp;COUNTIFS($T$7:$T1514,$T1514))</f>
        <v/>
      </c>
      <c r="V1514" s="1">
        <f t="shared" si="72"/>
        <v>0</v>
      </c>
      <c r="W1514" s="1" t="str">
        <f t="shared" si="73"/>
        <v/>
      </c>
      <c r="X1514" s="1"/>
      <c r="Y1514" s="1"/>
      <c r="Z1514" s="1"/>
      <c r="AA1514" s="1"/>
      <c r="AB1514" s="1"/>
      <c r="AC1514" s="1"/>
      <c r="AD1514" s="1">
        <f>IF($C1514="",0,SUMPRODUCT((AY_SONU!$O$7:$O$42="Evet")*(AY_SONU!$B$7:$B$42=DATE(YEAR($C1514),MONTH($C1514),1))))</f>
        <v>0</v>
      </c>
      <c r="AE1514" s="1" t="str">
        <f>IF($E1514="","",$E1514&amp;"|"&amp;COUNTIFS($E$7:$E1514,$E1514))</f>
        <v/>
      </c>
    </row>
    <row r="1515" spans="1:31" ht="18" customHeight="1" x14ac:dyDescent="0.3">
      <c r="A1515" s="2"/>
      <c r="B1515" s="65" t="str">
        <f>IF($C1515="","","GG"&amp;TEXT(ROW()-6,"00000"))</f>
        <v/>
      </c>
      <c r="C1515" s="66"/>
      <c r="D1515" s="60"/>
      <c r="E1515" s="61"/>
      <c r="F1515" s="61"/>
      <c r="G1515" s="67"/>
      <c r="H1515" s="60"/>
      <c r="I1515" s="60"/>
      <c r="J1515" s="61"/>
      <c r="K1515" s="61"/>
      <c r="L1515" s="60"/>
      <c r="M1515" s="74" t="str">
        <f>IF($C1515="","",IF($D1515="Gider",$E1515,IF($L1515&lt;&gt;"",$L1515,$H1515)))</f>
        <v/>
      </c>
      <c r="N1515" s="74" t="str">
        <f>IF($C1515="","",IF($D1515="Gider",$H1515,$E1515))</f>
        <v/>
      </c>
      <c r="O1515" s="73" t="str">
        <f>IF($C1515="","",DATE(YEAR($C1515),MONTH($C1515),1))</f>
        <v/>
      </c>
      <c r="P1515" s="65" t="str">
        <f ca="1">IF($C1515="","",IF(AND($D1515="Gelir",$L1515&lt;&gt;"",$T1515=""),"TANIMSIZ BORÇLU",IF($T1515&lt;&gt;"",IF(OR($E1515="",$G1515&lt;=0),"EKSİK",IF($I1515="Evet","TAHAKKUK NAKİT OLAMAZ",IF($C1515&gt;TODAY(),"İLERİ TARİH","TAHAKKUK"))),IF(AND($D1515&lt;&gt;"",$E1515&lt;&gt;"",$G1515&gt;0,$H1515&lt;&gt;"",$I1515&lt;&gt;""),IF($C1515&gt;TODAY(),"İLERİ TARİH",IF(COUNTIF($W$7:$W$3001,$W1515)&gt;1,"MÜKERRER?",IF($AD1515&gt;0,"KAPALI DÖNEM",IF($I1515="Hayır","ÖDENECEK","UYGUN")))),"EKSİK"))))</f>
        <v/>
      </c>
      <c r="Q1515" s="2"/>
      <c r="R1515" s="2"/>
      <c r="S1515" s="1" t="str">
        <f t="shared" si="71"/>
        <v/>
      </c>
      <c r="T1515" s="1" t="str">
        <f>IF(OR($C1515="",$D1515&lt;&gt;"Gelir",$L1515=""),"",IFERROR(INDEX(MUSTERILER!$B$7:$B$156,MATCH($S1515,MUSTERILER!$T$7:$T$156,0)),""))</f>
        <v/>
      </c>
      <c r="U1515" s="1" t="str">
        <f>IF($T1515="","",$T1515&amp;"|"&amp;COUNTIFS($T$7:$T1515,$T1515))</f>
        <v/>
      </c>
      <c r="V1515" s="1">
        <f t="shared" si="72"/>
        <v>0</v>
      </c>
      <c r="W1515" s="1" t="str">
        <f t="shared" si="73"/>
        <v/>
      </c>
      <c r="X1515" s="1"/>
      <c r="Y1515" s="1"/>
      <c r="Z1515" s="1"/>
      <c r="AA1515" s="1"/>
      <c r="AB1515" s="1"/>
      <c r="AC1515" s="1"/>
      <c r="AD1515" s="1">
        <f>IF($C1515="",0,SUMPRODUCT((AY_SONU!$O$7:$O$42="Evet")*(AY_SONU!$B$7:$B$42=DATE(YEAR($C1515),MONTH($C1515),1))))</f>
        <v>0</v>
      </c>
      <c r="AE1515" s="1" t="str">
        <f>IF($E1515="","",$E1515&amp;"|"&amp;COUNTIFS($E$7:$E1515,$E1515))</f>
        <v/>
      </c>
    </row>
    <row r="1516" spans="1:31" ht="18" customHeight="1" x14ac:dyDescent="0.3">
      <c r="A1516" s="2"/>
      <c r="B1516" s="65" t="str">
        <f>IF($C1516="","","GG"&amp;TEXT(ROW()-6,"00000"))</f>
        <v/>
      </c>
      <c r="C1516" s="66"/>
      <c r="D1516" s="60"/>
      <c r="E1516" s="61"/>
      <c r="F1516" s="61"/>
      <c r="G1516" s="67"/>
      <c r="H1516" s="60"/>
      <c r="I1516" s="60"/>
      <c r="J1516" s="61"/>
      <c r="K1516" s="61"/>
      <c r="L1516" s="60"/>
      <c r="M1516" s="74" t="str">
        <f>IF($C1516="","",IF($D1516="Gider",$E1516,IF($L1516&lt;&gt;"",$L1516,$H1516)))</f>
        <v/>
      </c>
      <c r="N1516" s="74" t="str">
        <f>IF($C1516="","",IF($D1516="Gider",$H1516,$E1516))</f>
        <v/>
      </c>
      <c r="O1516" s="73" t="str">
        <f>IF($C1516="","",DATE(YEAR($C1516),MONTH($C1516),1))</f>
        <v/>
      </c>
      <c r="P1516" s="65" t="str">
        <f ca="1">IF($C1516="","",IF(AND($D1516="Gelir",$L1516&lt;&gt;"",$T1516=""),"TANIMSIZ BORÇLU",IF($T1516&lt;&gt;"",IF(OR($E1516="",$G1516&lt;=0),"EKSİK",IF($I1516="Evet","TAHAKKUK NAKİT OLAMAZ",IF($C1516&gt;TODAY(),"İLERİ TARİH","TAHAKKUK"))),IF(AND($D1516&lt;&gt;"",$E1516&lt;&gt;"",$G1516&gt;0,$H1516&lt;&gt;"",$I1516&lt;&gt;""),IF($C1516&gt;TODAY(),"İLERİ TARİH",IF(COUNTIF($W$7:$W$3001,$W1516)&gt;1,"MÜKERRER?",IF($AD1516&gt;0,"KAPALI DÖNEM",IF($I1516="Hayır","ÖDENECEK","UYGUN")))),"EKSİK"))))</f>
        <v/>
      </c>
      <c r="Q1516" s="2"/>
      <c r="R1516" s="2"/>
      <c r="S1516" s="1" t="str">
        <f t="shared" si="71"/>
        <v/>
      </c>
      <c r="T1516" s="1" t="str">
        <f>IF(OR($C1516="",$D1516&lt;&gt;"Gelir",$L1516=""),"",IFERROR(INDEX(MUSTERILER!$B$7:$B$156,MATCH($S1516,MUSTERILER!$T$7:$T$156,0)),""))</f>
        <v/>
      </c>
      <c r="U1516" s="1" t="str">
        <f>IF($T1516="","",$T1516&amp;"|"&amp;COUNTIFS($T$7:$T1516,$T1516))</f>
        <v/>
      </c>
      <c r="V1516" s="1">
        <f t="shared" si="72"/>
        <v>0</v>
      </c>
      <c r="W1516" s="1" t="str">
        <f t="shared" si="73"/>
        <v/>
      </c>
      <c r="X1516" s="1"/>
      <c r="Y1516" s="1"/>
      <c r="Z1516" s="1"/>
      <c r="AA1516" s="1"/>
      <c r="AB1516" s="1"/>
      <c r="AC1516" s="1"/>
      <c r="AD1516" s="1">
        <f>IF($C1516="",0,SUMPRODUCT((AY_SONU!$O$7:$O$42="Evet")*(AY_SONU!$B$7:$B$42=DATE(YEAR($C1516),MONTH($C1516),1))))</f>
        <v>0</v>
      </c>
      <c r="AE1516" s="1" t="str">
        <f>IF($E1516="","",$E1516&amp;"|"&amp;COUNTIFS($E$7:$E1516,$E1516))</f>
        <v/>
      </c>
    </row>
    <row r="1517" spans="1:31" ht="18" customHeight="1" x14ac:dyDescent="0.3">
      <c r="A1517" s="2"/>
      <c r="B1517" s="65" t="str">
        <f>IF($C1517="","","GG"&amp;TEXT(ROW()-6,"00000"))</f>
        <v/>
      </c>
      <c r="C1517" s="66"/>
      <c r="D1517" s="60"/>
      <c r="E1517" s="61"/>
      <c r="F1517" s="61"/>
      <c r="G1517" s="67"/>
      <c r="H1517" s="60"/>
      <c r="I1517" s="60"/>
      <c r="J1517" s="61"/>
      <c r="K1517" s="61"/>
      <c r="L1517" s="60"/>
      <c r="M1517" s="74" t="str">
        <f>IF($C1517="","",IF($D1517="Gider",$E1517,IF($L1517&lt;&gt;"",$L1517,$H1517)))</f>
        <v/>
      </c>
      <c r="N1517" s="74" t="str">
        <f>IF($C1517="","",IF($D1517="Gider",$H1517,$E1517))</f>
        <v/>
      </c>
      <c r="O1517" s="73" t="str">
        <f>IF($C1517="","",DATE(YEAR($C1517),MONTH($C1517),1))</f>
        <v/>
      </c>
      <c r="P1517" s="65" t="str">
        <f ca="1">IF($C1517="","",IF(AND($D1517="Gelir",$L1517&lt;&gt;"",$T1517=""),"TANIMSIZ BORÇLU",IF($T1517&lt;&gt;"",IF(OR($E1517="",$G1517&lt;=0),"EKSİK",IF($I1517="Evet","TAHAKKUK NAKİT OLAMAZ",IF($C1517&gt;TODAY(),"İLERİ TARİH","TAHAKKUK"))),IF(AND($D1517&lt;&gt;"",$E1517&lt;&gt;"",$G1517&gt;0,$H1517&lt;&gt;"",$I1517&lt;&gt;""),IF($C1517&gt;TODAY(),"İLERİ TARİH",IF(COUNTIF($W$7:$W$3001,$W1517)&gt;1,"MÜKERRER?",IF($AD1517&gt;0,"KAPALI DÖNEM",IF($I1517="Hayır","ÖDENECEK","UYGUN")))),"EKSİK"))))</f>
        <v/>
      </c>
      <c r="Q1517" s="2"/>
      <c r="R1517" s="2"/>
      <c r="S1517" s="1" t="str">
        <f t="shared" si="71"/>
        <v/>
      </c>
      <c r="T1517" s="1" t="str">
        <f>IF(OR($C1517="",$D1517&lt;&gt;"Gelir",$L1517=""),"",IFERROR(INDEX(MUSTERILER!$B$7:$B$156,MATCH($S1517,MUSTERILER!$T$7:$T$156,0)),""))</f>
        <v/>
      </c>
      <c r="U1517" s="1" t="str">
        <f>IF($T1517="","",$T1517&amp;"|"&amp;COUNTIFS($T$7:$T1517,$T1517))</f>
        <v/>
      </c>
      <c r="V1517" s="1">
        <f t="shared" si="72"/>
        <v>0</v>
      </c>
      <c r="W1517" s="1" t="str">
        <f t="shared" si="73"/>
        <v/>
      </c>
      <c r="X1517" s="1"/>
      <c r="Y1517" s="1"/>
      <c r="Z1517" s="1"/>
      <c r="AA1517" s="1"/>
      <c r="AB1517" s="1"/>
      <c r="AC1517" s="1"/>
      <c r="AD1517" s="1">
        <f>IF($C1517="",0,SUMPRODUCT((AY_SONU!$O$7:$O$42="Evet")*(AY_SONU!$B$7:$B$42=DATE(YEAR($C1517),MONTH($C1517),1))))</f>
        <v>0</v>
      </c>
      <c r="AE1517" s="1" t="str">
        <f>IF($E1517="","",$E1517&amp;"|"&amp;COUNTIFS($E$7:$E1517,$E1517))</f>
        <v/>
      </c>
    </row>
    <row r="1518" spans="1:31" ht="18" customHeight="1" x14ac:dyDescent="0.3">
      <c r="A1518" s="2"/>
      <c r="B1518" s="65" t="str">
        <f>IF($C1518="","","GG"&amp;TEXT(ROW()-6,"00000"))</f>
        <v/>
      </c>
      <c r="C1518" s="66"/>
      <c r="D1518" s="60"/>
      <c r="E1518" s="61"/>
      <c r="F1518" s="61"/>
      <c r="G1518" s="67"/>
      <c r="H1518" s="60"/>
      <c r="I1518" s="60"/>
      <c r="J1518" s="61"/>
      <c r="K1518" s="61"/>
      <c r="L1518" s="60"/>
      <c r="M1518" s="74" t="str">
        <f>IF($C1518="","",IF($D1518="Gider",$E1518,IF($L1518&lt;&gt;"",$L1518,$H1518)))</f>
        <v/>
      </c>
      <c r="N1518" s="74" t="str">
        <f>IF($C1518="","",IF($D1518="Gider",$H1518,$E1518))</f>
        <v/>
      </c>
      <c r="O1518" s="73" t="str">
        <f>IF($C1518="","",DATE(YEAR($C1518),MONTH($C1518),1))</f>
        <v/>
      </c>
      <c r="P1518" s="65" t="str">
        <f ca="1">IF($C1518="","",IF(AND($D1518="Gelir",$L1518&lt;&gt;"",$T1518=""),"TANIMSIZ BORÇLU",IF($T1518&lt;&gt;"",IF(OR($E1518="",$G1518&lt;=0),"EKSİK",IF($I1518="Evet","TAHAKKUK NAKİT OLAMAZ",IF($C1518&gt;TODAY(),"İLERİ TARİH","TAHAKKUK"))),IF(AND($D1518&lt;&gt;"",$E1518&lt;&gt;"",$G1518&gt;0,$H1518&lt;&gt;"",$I1518&lt;&gt;""),IF($C1518&gt;TODAY(),"İLERİ TARİH",IF(COUNTIF($W$7:$W$3001,$W1518)&gt;1,"MÜKERRER?",IF($AD1518&gt;0,"KAPALI DÖNEM",IF($I1518="Hayır","ÖDENECEK","UYGUN")))),"EKSİK"))))</f>
        <v/>
      </c>
      <c r="Q1518" s="2"/>
      <c r="R1518" s="2"/>
      <c r="S1518" s="1" t="str">
        <f t="shared" si="71"/>
        <v/>
      </c>
      <c r="T1518" s="1" t="str">
        <f>IF(OR($C1518="",$D1518&lt;&gt;"Gelir",$L1518=""),"",IFERROR(INDEX(MUSTERILER!$B$7:$B$156,MATCH($S1518,MUSTERILER!$T$7:$T$156,0)),""))</f>
        <v/>
      </c>
      <c r="U1518" s="1" t="str">
        <f>IF($T1518="","",$T1518&amp;"|"&amp;COUNTIFS($T$7:$T1518,$T1518))</f>
        <v/>
      </c>
      <c r="V1518" s="1">
        <f t="shared" si="72"/>
        <v>0</v>
      </c>
      <c r="W1518" s="1" t="str">
        <f t="shared" si="73"/>
        <v/>
      </c>
      <c r="X1518" s="1"/>
      <c r="Y1518" s="1"/>
      <c r="Z1518" s="1"/>
      <c r="AA1518" s="1"/>
      <c r="AB1518" s="1"/>
      <c r="AC1518" s="1"/>
      <c r="AD1518" s="1">
        <f>IF($C1518="",0,SUMPRODUCT((AY_SONU!$O$7:$O$42="Evet")*(AY_SONU!$B$7:$B$42=DATE(YEAR($C1518),MONTH($C1518),1))))</f>
        <v>0</v>
      </c>
      <c r="AE1518" s="1" t="str">
        <f>IF($E1518="","",$E1518&amp;"|"&amp;COUNTIFS($E$7:$E1518,$E1518))</f>
        <v/>
      </c>
    </row>
    <row r="1519" spans="1:31" ht="18" customHeight="1" x14ac:dyDescent="0.3">
      <c r="A1519" s="2"/>
      <c r="B1519" s="65" t="str">
        <f>IF($C1519="","","GG"&amp;TEXT(ROW()-6,"00000"))</f>
        <v/>
      </c>
      <c r="C1519" s="66"/>
      <c r="D1519" s="60"/>
      <c r="E1519" s="61"/>
      <c r="F1519" s="61"/>
      <c r="G1519" s="67"/>
      <c r="H1519" s="60"/>
      <c r="I1519" s="60"/>
      <c r="J1519" s="61"/>
      <c r="K1519" s="61"/>
      <c r="L1519" s="60"/>
      <c r="M1519" s="74" t="str">
        <f>IF($C1519="","",IF($D1519="Gider",$E1519,IF($L1519&lt;&gt;"",$L1519,$H1519)))</f>
        <v/>
      </c>
      <c r="N1519" s="74" t="str">
        <f>IF($C1519="","",IF($D1519="Gider",$H1519,$E1519))</f>
        <v/>
      </c>
      <c r="O1519" s="73" t="str">
        <f>IF($C1519="","",DATE(YEAR($C1519),MONTH($C1519),1))</f>
        <v/>
      </c>
      <c r="P1519" s="65" t="str">
        <f ca="1">IF($C1519="","",IF(AND($D1519="Gelir",$L1519&lt;&gt;"",$T1519=""),"TANIMSIZ BORÇLU",IF($T1519&lt;&gt;"",IF(OR($E1519="",$G1519&lt;=0),"EKSİK",IF($I1519="Evet","TAHAKKUK NAKİT OLAMAZ",IF($C1519&gt;TODAY(),"İLERİ TARİH","TAHAKKUK"))),IF(AND($D1519&lt;&gt;"",$E1519&lt;&gt;"",$G1519&gt;0,$H1519&lt;&gt;"",$I1519&lt;&gt;""),IF($C1519&gt;TODAY(),"İLERİ TARİH",IF(COUNTIF($W$7:$W$3001,$W1519)&gt;1,"MÜKERRER?",IF($AD1519&gt;0,"KAPALI DÖNEM",IF($I1519="Hayır","ÖDENECEK","UYGUN")))),"EKSİK"))))</f>
        <v/>
      </c>
      <c r="Q1519" s="2"/>
      <c r="R1519" s="2"/>
      <c r="S1519" s="1" t="str">
        <f t="shared" si="71"/>
        <v/>
      </c>
      <c r="T1519" s="1" t="str">
        <f>IF(OR($C1519="",$D1519&lt;&gt;"Gelir",$L1519=""),"",IFERROR(INDEX(MUSTERILER!$B$7:$B$156,MATCH($S1519,MUSTERILER!$T$7:$T$156,0)),""))</f>
        <v/>
      </c>
      <c r="U1519" s="1" t="str">
        <f>IF($T1519="","",$T1519&amp;"|"&amp;COUNTIFS($T$7:$T1519,$T1519))</f>
        <v/>
      </c>
      <c r="V1519" s="1">
        <f t="shared" si="72"/>
        <v>0</v>
      </c>
      <c r="W1519" s="1" t="str">
        <f t="shared" si="73"/>
        <v/>
      </c>
      <c r="X1519" s="1"/>
      <c r="Y1519" s="1"/>
      <c r="Z1519" s="1"/>
      <c r="AA1519" s="1"/>
      <c r="AB1519" s="1"/>
      <c r="AC1519" s="1"/>
      <c r="AD1519" s="1">
        <f>IF($C1519="",0,SUMPRODUCT((AY_SONU!$O$7:$O$42="Evet")*(AY_SONU!$B$7:$B$42=DATE(YEAR($C1519),MONTH($C1519),1))))</f>
        <v>0</v>
      </c>
      <c r="AE1519" s="1" t="str">
        <f>IF($E1519="","",$E1519&amp;"|"&amp;COUNTIFS($E$7:$E1519,$E1519))</f>
        <v/>
      </c>
    </row>
    <row r="1520" spans="1:31" ht="18" customHeight="1" x14ac:dyDescent="0.3">
      <c r="A1520" s="2"/>
      <c r="B1520" s="65" t="str">
        <f>IF($C1520="","","GG"&amp;TEXT(ROW()-6,"00000"))</f>
        <v/>
      </c>
      <c r="C1520" s="66"/>
      <c r="D1520" s="60"/>
      <c r="E1520" s="61"/>
      <c r="F1520" s="61"/>
      <c r="G1520" s="67"/>
      <c r="H1520" s="60"/>
      <c r="I1520" s="60"/>
      <c r="J1520" s="61"/>
      <c r="K1520" s="61"/>
      <c r="L1520" s="60"/>
      <c r="M1520" s="74" t="str">
        <f>IF($C1520="","",IF($D1520="Gider",$E1520,IF($L1520&lt;&gt;"",$L1520,$H1520)))</f>
        <v/>
      </c>
      <c r="N1520" s="74" t="str">
        <f>IF($C1520="","",IF($D1520="Gider",$H1520,$E1520))</f>
        <v/>
      </c>
      <c r="O1520" s="73" t="str">
        <f>IF($C1520="","",DATE(YEAR($C1520),MONTH($C1520),1))</f>
        <v/>
      </c>
      <c r="P1520" s="65" t="str">
        <f ca="1">IF($C1520="","",IF(AND($D1520="Gelir",$L1520&lt;&gt;"",$T1520=""),"TANIMSIZ BORÇLU",IF($T1520&lt;&gt;"",IF(OR($E1520="",$G1520&lt;=0),"EKSİK",IF($I1520="Evet","TAHAKKUK NAKİT OLAMAZ",IF($C1520&gt;TODAY(),"İLERİ TARİH","TAHAKKUK"))),IF(AND($D1520&lt;&gt;"",$E1520&lt;&gt;"",$G1520&gt;0,$H1520&lt;&gt;"",$I1520&lt;&gt;""),IF($C1520&gt;TODAY(),"İLERİ TARİH",IF(COUNTIF($W$7:$W$3001,$W1520)&gt;1,"MÜKERRER?",IF($AD1520&gt;0,"KAPALI DÖNEM",IF($I1520="Hayır","ÖDENECEK","UYGUN")))),"EKSİK"))))</f>
        <v/>
      </c>
      <c r="Q1520" s="2"/>
      <c r="R1520" s="2"/>
      <c r="S1520" s="1" t="str">
        <f t="shared" si="71"/>
        <v/>
      </c>
      <c r="T1520" s="1" t="str">
        <f>IF(OR($C1520="",$D1520&lt;&gt;"Gelir",$L1520=""),"",IFERROR(INDEX(MUSTERILER!$B$7:$B$156,MATCH($S1520,MUSTERILER!$T$7:$T$156,0)),""))</f>
        <v/>
      </c>
      <c r="U1520" s="1" t="str">
        <f>IF($T1520="","",$T1520&amp;"|"&amp;COUNTIFS($T$7:$T1520,$T1520))</f>
        <v/>
      </c>
      <c r="V1520" s="1">
        <f t="shared" si="72"/>
        <v>0</v>
      </c>
      <c r="W1520" s="1" t="str">
        <f t="shared" si="73"/>
        <v/>
      </c>
      <c r="X1520" s="1"/>
      <c r="Y1520" s="1"/>
      <c r="Z1520" s="1"/>
      <c r="AA1520" s="1"/>
      <c r="AB1520" s="1"/>
      <c r="AC1520" s="1"/>
      <c r="AD1520" s="1">
        <f>IF($C1520="",0,SUMPRODUCT((AY_SONU!$O$7:$O$42="Evet")*(AY_SONU!$B$7:$B$42=DATE(YEAR($C1520),MONTH($C1520),1))))</f>
        <v>0</v>
      </c>
      <c r="AE1520" s="1" t="str">
        <f>IF($E1520="","",$E1520&amp;"|"&amp;COUNTIFS($E$7:$E1520,$E1520))</f>
        <v/>
      </c>
    </row>
    <row r="1521" spans="1:31" ht="18" customHeight="1" x14ac:dyDescent="0.3">
      <c r="A1521" s="2"/>
      <c r="B1521" s="65" t="str">
        <f>IF($C1521="","","GG"&amp;TEXT(ROW()-6,"00000"))</f>
        <v/>
      </c>
      <c r="C1521" s="66"/>
      <c r="D1521" s="60"/>
      <c r="E1521" s="61"/>
      <c r="F1521" s="61"/>
      <c r="G1521" s="67"/>
      <c r="H1521" s="60"/>
      <c r="I1521" s="60"/>
      <c r="J1521" s="61"/>
      <c r="K1521" s="61"/>
      <c r="L1521" s="60"/>
      <c r="M1521" s="74" t="str">
        <f>IF($C1521="","",IF($D1521="Gider",$E1521,IF($L1521&lt;&gt;"",$L1521,$H1521)))</f>
        <v/>
      </c>
      <c r="N1521" s="74" t="str">
        <f>IF($C1521="","",IF($D1521="Gider",$H1521,$E1521))</f>
        <v/>
      </c>
      <c r="O1521" s="73" t="str">
        <f>IF($C1521="","",DATE(YEAR($C1521),MONTH($C1521),1))</f>
        <v/>
      </c>
      <c r="P1521" s="65" t="str">
        <f ca="1">IF($C1521="","",IF(AND($D1521="Gelir",$L1521&lt;&gt;"",$T1521=""),"TANIMSIZ BORÇLU",IF($T1521&lt;&gt;"",IF(OR($E1521="",$G1521&lt;=0),"EKSİK",IF($I1521="Evet","TAHAKKUK NAKİT OLAMAZ",IF($C1521&gt;TODAY(),"İLERİ TARİH","TAHAKKUK"))),IF(AND($D1521&lt;&gt;"",$E1521&lt;&gt;"",$G1521&gt;0,$H1521&lt;&gt;"",$I1521&lt;&gt;""),IF($C1521&gt;TODAY(),"İLERİ TARİH",IF(COUNTIF($W$7:$W$3001,$W1521)&gt;1,"MÜKERRER?",IF($AD1521&gt;0,"KAPALI DÖNEM",IF($I1521="Hayır","ÖDENECEK","UYGUN")))),"EKSİK"))))</f>
        <v/>
      </c>
      <c r="Q1521" s="2"/>
      <c r="R1521" s="2"/>
      <c r="S1521" s="1" t="str">
        <f t="shared" si="71"/>
        <v/>
      </c>
      <c r="T1521" s="1" t="str">
        <f>IF(OR($C1521="",$D1521&lt;&gt;"Gelir",$L1521=""),"",IFERROR(INDEX(MUSTERILER!$B$7:$B$156,MATCH($S1521,MUSTERILER!$T$7:$T$156,0)),""))</f>
        <v/>
      </c>
      <c r="U1521" s="1" t="str">
        <f>IF($T1521="","",$T1521&amp;"|"&amp;COUNTIFS($T$7:$T1521,$T1521))</f>
        <v/>
      </c>
      <c r="V1521" s="1">
        <f t="shared" si="72"/>
        <v>0</v>
      </c>
      <c r="W1521" s="1" t="str">
        <f t="shared" si="73"/>
        <v/>
      </c>
      <c r="X1521" s="1"/>
      <c r="Y1521" s="1"/>
      <c r="Z1521" s="1"/>
      <c r="AA1521" s="1"/>
      <c r="AB1521" s="1"/>
      <c r="AC1521" s="1"/>
      <c r="AD1521" s="1">
        <f>IF($C1521="",0,SUMPRODUCT((AY_SONU!$O$7:$O$42="Evet")*(AY_SONU!$B$7:$B$42=DATE(YEAR($C1521),MONTH($C1521),1))))</f>
        <v>0</v>
      </c>
      <c r="AE1521" s="1" t="str">
        <f>IF($E1521="","",$E1521&amp;"|"&amp;COUNTIFS($E$7:$E1521,$E1521))</f>
        <v/>
      </c>
    </row>
    <row r="1522" spans="1:31" ht="18" customHeight="1" x14ac:dyDescent="0.3">
      <c r="A1522" s="2"/>
      <c r="B1522" s="65" t="str">
        <f>IF($C1522="","","GG"&amp;TEXT(ROW()-6,"00000"))</f>
        <v/>
      </c>
      <c r="C1522" s="66"/>
      <c r="D1522" s="60"/>
      <c r="E1522" s="61"/>
      <c r="F1522" s="61"/>
      <c r="G1522" s="67"/>
      <c r="H1522" s="60"/>
      <c r="I1522" s="60"/>
      <c r="J1522" s="61"/>
      <c r="K1522" s="61"/>
      <c r="L1522" s="60"/>
      <c r="M1522" s="74" t="str">
        <f>IF($C1522="","",IF($D1522="Gider",$E1522,IF($L1522&lt;&gt;"",$L1522,$H1522)))</f>
        <v/>
      </c>
      <c r="N1522" s="74" t="str">
        <f>IF($C1522="","",IF($D1522="Gider",$H1522,$E1522))</f>
        <v/>
      </c>
      <c r="O1522" s="73" t="str">
        <f>IF($C1522="","",DATE(YEAR($C1522),MONTH($C1522),1))</f>
        <v/>
      </c>
      <c r="P1522" s="65" t="str">
        <f ca="1">IF($C1522="","",IF(AND($D1522="Gelir",$L1522&lt;&gt;"",$T1522=""),"TANIMSIZ BORÇLU",IF($T1522&lt;&gt;"",IF(OR($E1522="",$G1522&lt;=0),"EKSİK",IF($I1522="Evet","TAHAKKUK NAKİT OLAMAZ",IF($C1522&gt;TODAY(),"İLERİ TARİH","TAHAKKUK"))),IF(AND($D1522&lt;&gt;"",$E1522&lt;&gt;"",$G1522&gt;0,$H1522&lt;&gt;"",$I1522&lt;&gt;""),IF($C1522&gt;TODAY(),"İLERİ TARİH",IF(COUNTIF($W$7:$W$3001,$W1522)&gt;1,"MÜKERRER?",IF($AD1522&gt;0,"KAPALI DÖNEM",IF($I1522="Hayır","ÖDENECEK","UYGUN")))),"EKSİK"))))</f>
        <v/>
      </c>
      <c r="Q1522" s="2"/>
      <c r="R1522" s="2"/>
      <c r="S1522" s="1" t="str">
        <f t="shared" si="71"/>
        <v/>
      </c>
      <c r="T1522" s="1" t="str">
        <f>IF(OR($C1522="",$D1522&lt;&gt;"Gelir",$L1522=""),"",IFERROR(INDEX(MUSTERILER!$B$7:$B$156,MATCH($S1522,MUSTERILER!$T$7:$T$156,0)),""))</f>
        <v/>
      </c>
      <c r="U1522" s="1" t="str">
        <f>IF($T1522="","",$T1522&amp;"|"&amp;COUNTIFS($T$7:$T1522,$T1522))</f>
        <v/>
      </c>
      <c r="V1522" s="1">
        <f t="shared" si="72"/>
        <v>0</v>
      </c>
      <c r="W1522" s="1" t="str">
        <f t="shared" si="73"/>
        <v/>
      </c>
      <c r="X1522" s="1"/>
      <c r="Y1522" s="1"/>
      <c r="Z1522" s="1"/>
      <c r="AA1522" s="1"/>
      <c r="AB1522" s="1"/>
      <c r="AC1522" s="1"/>
      <c r="AD1522" s="1">
        <f>IF($C1522="",0,SUMPRODUCT((AY_SONU!$O$7:$O$42="Evet")*(AY_SONU!$B$7:$B$42=DATE(YEAR($C1522),MONTH($C1522),1))))</f>
        <v>0</v>
      </c>
      <c r="AE1522" s="1" t="str">
        <f>IF($E1522="","",$E1522&amp;"|"&amp;COUNTIFS($E$7:$E1522,$E1522))</f>
        <v/>
      </c>
    </row>
    <row r="1523" spans="1:31" ht="18" customHeight="1" x14ac:dyDescent="0.3">
      <c r="A1523" s="2"/>
      <c r="B1523" s="65" t="str">
        <f>IF($C1523="","","GG"&amp;TEXT(ROW()-6,"00000"))</f>
        <v/>
      </c>
      <c r="C1523" s="66"/>
      <c r="D1523" s="60"/>
      <c r="E1523" s="61"/>
      <c r="F1523" s="61"/>
      <c r="G1523" s="67"/>
      <c r="H1523" s="60"/>
      <c r="I1523" s="60"/>
      <c r="J1523" s="61"/>
      <c r="K1523" s="61"/>
      <c r="L1523" s="60"/>
      <c r="M1523" s="74" t="str">
        <f>IF($C1523="","",IF($D1523="Gider",$E1523,IF($L1523&lt;&gt;"",$L1523,$H1523)))</f>
        <v/>
      </c>
      <c r="N1523" s="74" t="str">
        <f>IF($C1523="","",IF($D1523="Gider",$H1523,$E1523))</f>
        <v/>
      </c>
      <c r="O1523" s="73" t="str">
        <f>IF($C1523="","",DATE(YEAR($C1523),MONTH($C1523),1))</f>
        <v/>
      </c>
      <c r="P1523" s="65" t="str">
        <f ca="1">IF($C1523="","",IF(AND($D1523="Gelir",$L1523&lt;&gt;"",$T1523=""),"TANIMSIZ BORÇLU",IF($T1523&lt;&gt;"",IF(OR($E1523="",$G1523&lt;=0),"EKSİK",IF($I1523="Evet","TAHAKKUK NAKİT OLAMAZ",IF($C1523&gt;TODAY(),"İLERİ TARİH","TAHAKKUK"))),IF(AND($D1523&lt;&gt;"",$E1523&lt;&gt;"",$G1523&gt;0,$H1523&lt;&gt;"",$I1523&lt;&gt;""),IF($C1523&gt;TODAY(),"İLERİ TARİH",IF(COUNTIF($W$7:$W$3001,$W1523)&gt;1,"MÜKERRER?",IF($AD1523&gt;0,"KAPALI DÖNEM",IF($I1523="Hayır","ÖDENECEK","UYGUN")))),"EKSİK"))))</f>
        <v/>
      </c>
      <c r="Q1523" s="2"/>
      <c r="R1523" s="2"/>
      <c r="S1523" s="1" t="str">
        <f t="shared" si="71"/>
        <v/>
      </c>
      <c r="T1523" s="1" t="str">
        <f>IF(OR($C1523="",$D1523&lt;&gt;"Gelir",$L1523=""),"",IFERROR(INDEX(MUSTERILER!$B$7:$B$156,MATCH($S1523,MUSTERILER!$T$7:$T$156,0)),""))</f>
        <v/>
      </c>
      <c r="U1523" s="1" t="str">
        <f>IF($T1523="","",$T1523&amp;"|"&amp;COUNTIFS($T$7:$T1523,$T1523))</f>
        <v/>
      </c>
      <c r="V1523" s="1">
        <f t="shared" si="72"/>
        <v>0</v>
      </c>
      <c r="W1523" s="1" t="str">
        <f t="shared" si="73"/>
        <v/>
      </c>
      <c r="X1523" s="1"/>
      <c r="Y1523" s="1"/>
      <c r="Z1523" s="1"/>
      <c r="AA1523" s="1"/>
      <c r="AB1523" s="1"/>
      <c r="AC1523" s="1"/>
      <c r="AD1523" s="1">
        <f>IF($C1523="",0,SUMPRODUCT((AY_SONU!$O$7:$O$42="Evet")*(AY_SONU!$B$7:$B$42=DATE(YEAR($C1523),MONTH($C1523),1))))</f>
        <v>0</v>
      </c>
      <c r="AE1523" s="1" t="str">
        <f>IF($E1523="","",$E1523&amp;"|"&amp;COUNTIFS($E$7:$E1523,$E1523))</f>
        <v/>
      </c>
    </row>
    <row r="1524" spans="1:31" ht="18" customHeight="1" x14ac:dyDescent="0.3">
      <c r="A1524" s="2"/>
      <c r="B1524" s="65" t="str">
        <f>IF($C1524="","","GG"&amp;TEXT(ROW()-6,"00000"))</f>
        <v/>
      </c>
      <c r="C1524" s="66"/>
      <c r="D1524" s="60"/>
      <c r="E1524" s="61"/>
      <c r="F1524" s="61"/>
      <c r="G1524" s="67"/>
      <c r="H1524" s="60"/>
      <c r="I1524" s="60"/>
      <c r="J1524" s="61"/>
      <c r="K1524" s="61"/>
      <c r="L1524" s="60"/>
      <c r="M1524" s="74" t="str">
        <f>IF($C1524="","",IF($D1524="Gider",$E1524,IF($L1524&lt;&gt;"",$L1524,$H1524)))</f>
        <v/>
      </c>
      <c r="N1524" s="74" t="str">
        <f>IF($C1524="","",IF($D1524="Gider",$H1524,$E1524))</f>
        <v/>
      </c>
      <c r="O1524" s="73" t="str">
        <f>IF($C1524="","",DATE(YEAR($C1524),MONTH($C1524),1))</f>
        <v/>
      </c>
      <c r="P1524" s="65" t="str">
        <f ca="1">IF($C1524="","",IF(AND($D1524="Gelir",$L1524&lt;&gt;"",$T1524=""),"TANIMSIZ BORÇLU",IF($T1524&lt;&gt;"",IF(OR($E1524="",$G1524&lt;=0),"EKSİK",IF($I1524="Evet","TAHAKKUK NAKİT OLAMAZ",IF($C1524&gt;TODAY(),"İLERİ TARİH","TAHAKKUK"))),IF(AND($D1524&lt;&gt;"",$E1524&lt;&gt;"",$G1524&gt;0,$H1524&lt;&gt;"",$I1524&lt;&gt;""),IF($C1524&gt;TODAY(),"İLERİ TARİH",IF(COUNTIF($W$7:$W$3001,$W1524)&gt;1,"MÜKERRER?",IF($AD1524&gt;0,"KAPALI DÖNEM",IF($I1524="Hayır","ÖDENECEK","UYGUN")))),"EKSİK"))))</f>
        <v/>
      </c>
      <c r="Q1524" s="2"/>
      <c r="R1524" s="2"/>
      <c r="S1524" s="1" t="str">
        <f t="shared" si="71"/>
        <v/>
      </c>
      <c r="T1524" s="1" t="str">
        <f>IF(OR($C1524="",$D1524&lt;&gt;"Gelir",$L1524=""),"",IFERROR(INDEX(MUSTERILER!$B$7:$B$156,MATCH($S1524,MUSTERILER!$T$7:$T$156,0)),""))</f>
        <v/>
      </c>
      <c r="U1524" s="1" t="str">
        <f>IF($T1524="","",$T1524&amp;"|"&amp;COUNTIFS($T$7:$T1524,$T1524))</f>
        <v/>
      </c>
      <c r="V1524" s="1">
        <f t="shared" si="72"/>
        <v>0</v>
      </c>
      <c r="W1524" s="1" t="str">
        <f t="shared" si="73"/>
        <v/>
      </c>
      <c r="X1524" s="1"/>
      <c r="Y1524" s="1"/>
      <c r="Z1524" s="1"/>
      <c r="AA1524" s="1"/>
      <c r="AB1524" s="1"/>
      <c r="AC1524" s="1"/>
      <c r="AD1524" s="1">
        <f>IF($C1524="",0,SUMPRODUCT((AY_SONU!$O$7:$O$42="Evet")*(AY_SONU!$B$7:$B$42=DATE(YEAR($C1524),MONTH($C1524),1))))</f>
        <v>0</v>
      </c>
      <c r="AE1524" s="1" t="str">
        <f>IF($E1524="","",$E1524&amp;"|"&amp;COUNTIFS($E$7:$E1524,$E1524))</f>
        <v/>
      </c>
    </row>
    <row r="1525" spans="1:31" ht="18" customHeight="1" x14ac:dyDescent="0.3">
      <c r="A1525" s="2"/>
      <c r="B1525" s="65" t="str">
        <f>IF($C1525="","","GG"&amp;TEXT(ROW()-6,"00000"))</f>
        <v/>
      </c>
      <c r="C1525" s="66"/>
      <c r="D1525" s="60"/>
      <c r="E1525" s="61"/>
      <c r="F1525" s="61"/>
      <c r="G1525" s="67"/>
      <c r="H1525" s="60"/>
      <c r="I1525" s="60"/>
      <c r="J1525" s="61"/>
      <c r="K1525" s="61"/>
      <c r="L1525" s="60"/>
      <c r="M1525" s="74" t="str">
        <f>IF($C1525="","",IF($D1525="Gider",$E1525,IF($L1525&lt;&gt;"",$L1525,$H1525)))</f>
        <v/>
      </c>
      <c r="N1525" s="74" t="str">
        <f>IF($C1525="","",IF($D1525="Gider",$H1525,$E1525))</f>
        <v/>
      </c>
      <c r="O1525" s="73" t="str">
        <f>IF($C1525="","",DATE(YEAR($C1525),MONTH($C1525),1))</f>
        <v/>
      </c>
      <c r="P1525" s="65" t="str">
        <f ca="1">IF($C1525="","",IF(AND($D1525="Gelir",$L1525&lt;&gt;"",$T1525=""),"TANIMSIZ BORÇLU",IF($T1525&lt;&gt;"",IF(OR($E1525="",$G1525&lt;=0),"EKSİK",IF($I1525="Evet","TAHAKKUK NAKİT OLAMAZ",IF($C1525&gt;TODAY(),"İLERİ TARİH","TAHAKKUK"))),IF(AND($D1525&lt;&gt;"",$E1525&lt;&gt;"",$G1525&gt;0,$H1525&lt;&gt;"",$I1525&lt;&gt;""),IF($C1525&gt;TODAY(),"İLERİ TARİH",IF(COUNTIF($W$7:$W$3001,$W1525)&gt;1,"MÜKERRER?",IF($AD1525&gt;0,"KAPALI DÖNEM",IF($I1525="Hayır","ÖDENECEK","UYGUN")))),"EKSİK"))))</f>
        <v/>
      </c>
      <c r="Q1525" s="2"/>
      <c r="R1525" s="2"/>
      <c r="S1525" s="1" t="str">
        <f t="shared" si="71"/>
        <v/>
      </c>
      <c r="T1525" s="1" t="str">
        <f>IF(OR($C1525="",$D1525&lt;&gt;"Gelir",$L1525=""),"",IFERROR(INDEX(MUSTERILER!$B$7:$B$156,MATCH($S1525,MUSTERILER!$T$7:$T$156,0)),""))</f>
        <v/>
      </c>
      <c r="U1525" s="1" t="str">
        <f>IF($T1525="","",$T1525&amp;"|"&amp;COUNTIFS($T$7:$T1525,$T1525))</f>
        <v/>
      </c>
      <c r="V1525" s="1">
        <f t="shared" si="72"/>
        <v>0</v>
      </c>
      <c r="W1525" s="1" t="str">
        <f t="shared" si="73"/>
        <v/>
      </c>
      <c r="X1525" s="1"/>
      <c r="Y1525" s="1"/>
      <c r="Z1525" s="1"/>
      <c r="AA1525" s="1"/>
      <c r="AB1525" s="1"/>
      <c r="AC1525" s="1"/>
      <c r="AD1525" s="1">
        <f>IF($C1525="",0,SUMPRODUCT((AY_SONU!$O$7:$O$42="Evet")*(AY_SONU!$B$7:$B$42=DATE(YEAR($C1525),MONTH($C1525),1))))</f>
        <v>0</v>
      </c>
      <c r="AE1525" s="1" t="str">
        <f>IF($E1525="","",$E1525&amp;"|"&amp;COUNTIFS($E$7:$E1525,$E1525))</f>
        <v/>
      </c>
    </row>
    <row r="1526" spans="1:31" ht="18" customHeight="1" x14ac:dyDescent="0.3">
      <c r="A1526" s="2"/>
      <c r="B1526" s="65" t="str">
        <f>IF($C1526="","","GG"&amp;TEXT(ROW()-6,"00000"))</f>
        <v/>
      </c>
      <c r="C1526" s="66"/>
      <c r="D1526" s="60"/>
      <c r="E1526" s="61"/>
      <c r="F1526" s="61"/>
      <c r="G1526" s="67"/>
      <c r="H1526" s="60"/>
      <c r="I1526" s="60"/>
      <c r="J1526" s="61"/>
      <c r="K1526" s="61"/>
      <c r="L1526" s="60"/>
      <c r="M1526" s="74" t="str">
        <f>IF($C1526="","",IF($D1526="Gider",$E1526,IF($L1526&lt;&gt;"",$L1526,$H1526)))</f>
        <v/>
      </c>
      <c r="N1526" s="74" t="str">
        <f>IF($C1526="","",IF($D1526="Gider",$H1526,$E1526))</f>
        <v/>
      </c>
      <c r="O1526" s="73" t="str">
        <f>IF($C1526="","",DATE(YEAR($C1526),MONTH($C1526),1))</f>
        <v/>
      </c>
      <c r="P1526" s="65" t="str">
        <f ca="1">IF($C1526="","",IF(AND($D1526="Gelir",$L1526&lt;&gt;"",$T1526=""),"TANIMSIZ BORÇLU",IF($T1526&lt;&gt;"",IF(OR($E1526="",$G1526&lt;=0),"EKSİK",IF($I1526="Evet","TAHAKKUK NAKİT OLAMAZ",IF($C1526&gt;TODAY(),"İLERİ TARİH","TAHAKKUK"))),IF(AND($D1526&lt;&gt;"",$E1526&lt;&gt;"",$G1526&gt;0,$H1526&lt;&gt;"",$I1526&lt;&gt;""),IF($C1526&gt;TODAY(),"İLERİ TARİH",IF(COUNTIF($W$7:$W$3001,$W1526)&gt;1,"MÜKERRER?",IF($AD1526&gt;0,"KAPALI DÖNEM",IF($I1526="Hayır","ÖDENECEK","UYGUN")))),"EKSİK"))))</f>
        <v/>
      </c>
      <c r="Q1526" s="2"/>
      <c r="R1526" s="2"/>
      <c r="S1526" s="1" t="str">
        <f t="shared" si="71"/>
        <v/>
      </c>
      <c r="T1526" s="1" t="str">
        <f>IF(OR($C1526="",$D1526&lt;&gt;"Gelir",$L1526=""),"",IFERROR(INDEX(MUSTERILER!$B$7:$B$156,MATCH($S1526,MUSTERILER!$T$7:$T$156,0)),""))</f>
        <v/>
      </c>
      <c r="U1526" s="1" t="str">
        <f>IF($T1526="","",$T1526&amp;"|"&amp;COUNTIFS($T$7:$T1526,$T1526))</f>
        <v/>
      </c>
      <c r="V1526" s="1">
        <f t="shared" si="72"/>
        <v>0</v>
      </c>
      <c r="W1526" s="1" t="str">
        <f t="shared" si="73"/>
        <v/>
      </c>
      <c r="X1526" s="1"/>
      <c r="Y1526" s="1"/>
      <c r="Z1526" s="1"/>
      <c r="AA1526" s="1"/>
      <c r="AB1526" s="1"/>
      <c r="AC1526" s="1"/>
      <c r="AD1526" s="1">
        <f>IF($C1526="",0,SUMPRODUCT((AY_SONU!$O$7:$O$42="Evet")*(AY_SONU!$B$7:$B$42=DATE(YEAR($C1526),MONTH($C1526),1))))</f>
        <v>0</v>
      </c>
      <c r="AE1526" s="1" t="str">
        <f>IF($E1526="","",$E1526&amp;"|"&amp;COUNTIFS($E$7:$E1526,$E1526))</f>
        <v/>
      </c>
    </row>
    <row r="1527" spans="1:31" ht="18" customHeight="1" x14ac:dyDescent="0.3">
      <c r="A1527" s="2"/>
      <c r="B1527" s="65" t="str">
        <f>IF($C1527="","","GG"&amp;TEXT(ROW()-6,"00000"))</f>
        <v/>
      </c>
      <c r="C1527" s="66"/>
      <c r="D1527" s="60"/>
      <c r="E1527" s="61"/>
      <c r="F1527" s="61"/>
      <c r="G1527" s="67"/>
      <c r="H1527" s="60"/>
      <c r="I1527" s="60"/>
      <c r="J1527" s="61"/>
      <c r="K1527" s="61"/>
      <c r="L1527" s="60"/>
      <c r="M1527" s="74" t="str">
        <f>IF($C1527="","",IF($D1527="Gider",$E1527,IF($L1527&lt;&gt;"",$L1527,$H1527)))</f>
        <v/>
      </c>
      <c r="N1527" s="74" t="str">
        <f>IF($C1527="","",IF($D1527="Gider",$H1527,$E1527))</f>
        <v/>
      </c>
      <c r="O1527" s="73" t="str">
        <f>IF($C1527="","",DATE(YEAR($C1527),MONTH($C1527),1))</f>
        <v/>
      </c>
      <c r="P1527" s="65" t="str">
        <f ca="1">IF($C1527="","",IF(AND($D1527="Gelir",$L1527&lt;&gt;"",$T1527=""),"TANIMSIZ BORÇLU",IF($T1527&lt;&gt;"",IF(OR($E1527="",$G1527&lt;=0),"EKSİK",IF($I1527="Evet","TAHAKKUK NAKİT OLAMAZ",IF($C1527&gt;TODAY(),"İLERİ TARİH","TAHAKKUK"))),IF(AND($D1527&lt;&gt;"",$E1527&lt;&gt;"",$G1527&gt;0,$H1527&lt;&gt;"",$I1527&lt;&gt;""),IF($C1527&gt;TODAY(),"İLERİ TARİH",IF(COUNTIF($W$7:$W$3001,$W1527)&gt;1,"MÜKERRER?",IF($AD1527&gt;0,"KAPALI DÖNEM",IF($I1527="Hayır","ÖDENECEK","UYGUN")))),"EKSİK"))))</f>
        <v/>
      </c>
      <c r="Q1527" s="2"/>
      <c r="R1527" s="2"/>
      <c r="S1527" s="1" t="str">
        <f t="shared" si="71"/>
        <v/>
      </c>
      <c r="T1527" s="1" t="str">
        <f>IF(OR($C1527="",$D1527&lt;&gt;"Gelir",$L1527=""),"",IFERROR(INDEX(MUSTERILER!$B$7:$B$156,MATCH($S1527,MUSTERILER!$T$7:$T$156,0)),""))</f>
        <v/>
      </c>
      <c r="U1527" s="1" t="str">
        <f>IF($T1527="","",$T1527&amp;"|"&amp;COUNTIFS($T$7:$T1527,$T1527))</f>
        <v/>
      </c>
      <c r="V1527" s="1">
        <f t="shared" si="72"/>
        <v>0</v>
      </c>
      <c r="W1527" s="1" t="str">
        <f t="shared" si="73"/>
        <v/>
      </c>
      <c r="X1527" s="1"/>
      <c r="Y1527" s="1"/>
      <c r="Z1527" s="1"/>
      <c r="AA1527" s="1"/>
      <c r="AB1527" s="1"/>
      <c r="AC1527" s="1"/>
      <c r="AD1527" s="1">
        <f>IF($C1527="",0,SUMPRODUCT((AY_SONU!$O$7:$O$42="Evet")*(AY_SONU!$B$7:$B$42=DATE(YEAR($C1527),MONTH($C1527),1))))</f>
        <v>0</v>
      </c>
      <c r="AE1527" s="1" t="str">
        <f>IF($E1527="","",$E1527&amp;"|"&amp;COUNTIFS($E$7:$E1527,$E1527))</f>
        <v/>
      </c>
    </row>
    <row r="1528" spans="1:31" ht="18" customHeight="1" x14ac:dyDescent="0.3">
      <c r="A1528" s="2"/>
      <c r="B1528" s="65" t="str">
        <f>IF($C1528="","","GG"&amp;TEXT(ROW()-6,"00000"))</f>
        <v/>
      </c>
      <c r="C1528" s="66"/>
      <c r="D1528" s="60"/>
      <c r="E1528" s="61"/>
      <c r="F1528" s="61"/>
      <c r="G1528" s="67"/>
      <c r="H1528" s="60"/>
      <c r="I1528" s="60"/>
      <c r="J1528" s="61"/>
      <c r="K1528" s="61"/>
      <c r="L1528" s="60"/>
      <c r="M1528" s="74" t="str">
        <f>IF($C1528="","",IF($D1528="Gider",$E1528,IF($L1528&lt;&gt;"",$L1528,$H1528)))</f>
        <v/>
      </c>
      <c r="N1528" s="74" t="str">
        <f>IF($C1528="","",IF($D1528="Gider",$H1528,$E1528))</f>
        <v/>
      </c>
      <c r="O1528" s="73" t="str">
        <f>IF($C1528="","",DATE(YEAR($C1528),MONTH($C1528),1))</f>
        <v/>
      </c>
      <c r="P1528" s="65" t="str">
        <f ca="1">IF($C1528="","",IF(AND($D1528="Gelir",$L1528&lt;&gt;"",$T1528=""),"TANIMSIZ BORÇLU",IF($T1528&lt;&gt;"",IF(OR($E1528="",$G1528&lt;=0),"EKSİK",IF($I1528="Evet","TAHAKKUK NAKİT OLAMAZ",IF($C1528&gt;TODAY(),"İLERİ TARİH","TAHAKKUK"))),IF(AND($D1528&lt;&gt;"",$E1528&lt;&gt;"",$G1528&gt;0,$H1528&lt;&gt;"",$I1528&lt;&gt;""),IF($C1528&gt;TODAY(),"İLERİ TARİH",IF(COUNTIF($W$7:$W$3001,$W1528)&gt;1,"MÜKERRER?",IF($AD1528&gt;0,"KAPALI DÖNEM",IF($I1528="Hayır","ÖDENECEK","UYGUN")))),"EKSİK"))))</f>
        <v/>
      </c>
      <c r="Q1528" s="2"/>
      <c r="R1528" s="2"/>
      <c r="S1528" s="1" t="str">
        <f t="shared" si="71"/>
        <v/>
      </c>
      <c r="T1528" s="1" t="str">
        <f>IF(OR($C1528="",$D1528&lt;&gt;"Gelir",$L1528=""),"",IFERROR(INDEX(MUSTERILER!$B$7:$B$156,MATCH($S1528,MUSTERILER!$T$7:$T$156,0)),""))</f>
        <v/>
      </c>
      <c r="U1528" s="1" t="str">
        <f>IF($T1528="","",$T1528&amp;"|"&amp;COUNTIFS($T$7:$T1528,$T1528))</f>
        <v/>
      </c>
      <c r="V1528" s="1">
        <f t="shared" si="72"/>
        <v>0</v>
      </c>
      <c r="W1528" s="1" t="str">
        <f t="shared" si="73"/>
        <v/>
      </c>
      <c r="X1528" s="1"/>
      <c r="Y1528" s="1"/>
      <c r="Z1528" s="1"/>
      <c r="AA1528" s="1"/>
      <c r="AB1528" s="1"/>
      <c r="AC1528" s="1"/>
      <c r="AD1528" s="1">
        <f>IF($C1528="",0,SUMPRODUCT((AY_SONU!$O$7:$O$42="Evet")*(AY_SONU!$B$7:$B$42=DATE(YEAR($C1528),MONTH($C1528),1))))</f>
        <v>0</v>
      </c>
      <c r="AE1528" s="1" t="str">
        <f>IF($E1528="","",$E1528&amp;"|"&amp;COUNTIFS($E$7:$E1528,$E1528))</f>
        <v/>
      </c>
    </row>
    <row r="1529" spans="1:31" ht="18" customHeight="1" x14ac:dyDescent="0.3">
      <c r="A1529" s="2"/>
      <c r="B1529" s="65" t="str">
        <f>IF($C1529="","","GG"&amp;TEXT(ROW()-6,"00000"))</f>
        <v/>
      </c>
      <c r="C1529" s="66"/>
      <c r="D1529" s="60"/>
      <c r="E1529" s="61"/>
      <c r="F1529" s="61"/>
      <c r="G1529" s="67"/>
      <c r="H1529" s="60"/>
      <c r="I1529" s="60"/>
      <c r="J1529" s="61"/>
      <c r="K1529" s="61"/>
      <c r="L1529" s="60"/>
      <c r="M1529" s="74" t="str">
        <f>IF($C1529="","",IF($D1529="Gider",$E1529,IF($L1529&lt;&gt;"",$L1529,$H1529)))</f>
        <v/>
      </c>
      <c r="N1529" s="74" t="str">
        <f>IF($C1529="","",IF($D1529="Gider",$H1529,$E1529))</f>
        <v/>
      </c>
      <c r="O1529" s="73" t="str">
        <f>IF($C1529="","",DATE(YEAR($C1529),MONTH($C1529),1))</f>
        <v/>
      </c>
      <c r="P1529" s="65" t="str">
        <f ca="1">IF($C1529="","",IF(AND($D1529="Gelir",$L1529&lt;&gt;"",$T1529=""),"TANIMSIZ BORÇLU",IF($T1529&lt;&gt;"",IF(OR($E1529="",$G1529&lt;=0),"EKSİK",IF($I1529="Evet","TAHAKKUK NAKİT OLAMAZ",IF($C1529&gt;TODAY(),"İLERİ TARİH","TAHAKKUK"))),IF(AND($D1529&lt;&gt;"",$E1529&lt;&gt;"",$G1529&gt;0,$H1529&lt;&gt;"",$I1529&lt;&gt;""),IF($C1529&gt;TODAY(),"İLERİ TARİH",IF(COUNTIF($W$7:$W$3001,$W1529)&gt;1,"MÜKERRER?",IF($AD1529&gt;0,"KAPALI DÖNEM",IF($I1529="Hayır","ÖDENECEK","UYGUN")))),"EKSİK"))))</f>
        <v/>
      </c>
      <c r="Q1529" s="2"/>
      <c r="R1529" s="2"/>
      <c r="S1529" s="1" t="str">
        <f t="shared" si="71"/>
        <v/>
      </c>
      <c r="T1529" s="1" t="str">
        <f>IF(OR($C1529="",$D1529&lt;&gt;"Gelir",$L1529=""),"",IFERROR(INDEX(MUSTERILER!$B$7:$B$156,MATCH($S1529,MUSTERILER!$T$7:$T$156,0)),""))</f>
        <v/>
      </c>
      <c r="U1529" s="1" t="str">
        <f>IF($T1529="","",$T1529&amp;"|"&amp;COUNTIFS($T$7:$T1529,$T1529))</f>
        <v/>
      </c>
      <c r="V1529" s="1">
        <f t="shared" si="72"/>
        <v>0</v>
      </c>
      <c r="W1529" s="1" t="str">
        <f t="shared" si="73"/>
        <v/>
      </c>
      <c r="X1529" s="1"/>
      <c r="Y1529" s="1"/>
      <c r="Z1529" s="1"/>
      <c r="AA1529" s="1"/>
      <c r="AB1529" s="1"/>
      <c r="AC1529" s="1"/>
      <c r="AD1529" s="1">
        <f>IF($C1529="",0,SUMPRODUCT((AY_SONU!$O$7:$O$42="Evet")*(AY_SONU!$B$7:$B$42=DATE(YEAR($C1529),MONTH($C1529),1))))</f>
        <v>0</v>
      </c>
      <c r="AE1529" s="1" t="str">
        <f>IF($E1529="","",$E1529&amp;"|"&amp;COUNTIFS($E$7:$E1529,$E1529))</f>
        <v/>
      </c>
    </row>
    <row r="1530" spans="1:31" ht="18" customHeight="1" x14ac:dyDescent="0.3">
      <c r="A1530" s="2"/>
      <c r="B1530" s="65" t="str">
        <f>IF($C1530="","","GG"&amp;TEXT(ROW()-6,"00000"))</f>
        <v/>
      </c>
      <c r="C1530" s="66"/>
      <c r="D1530" s="60"/>
      <c r="E1530" s="61"/>
      <c r="F1530" s="61"/>
      <c r="G1530" s="67"/>
      <c r="H1530" s="60"/>
      <c r="I1530" s="60"/>
      <c r="J1530" s="61"/>
      <c r="K1530" s="61"/>
      <c r="L1530" s="60"/>
      <c r="M1530" s="74" t="str">
        <f>IF($C1530="","",IF($D1530="Gider",$E1530,IF($L1530&lt;&gt;"",$L1530,$H1530)))</f>
        <v/>
      </c>
      <c r="N1530" s="74" t="str">
        <f>IF($C1530="","",IF($D1530="Gider",$H1530,$E1530))</f>
        <v/>
      </c>
      <c r="O1530" s="73" t="str">
        <f>IF($C1530="","",DATE(YEAR($C1530),MONTH($C1530),1))</f>
        <v/>
      </c>
      <c r="P1530" s="65" t="str">
        <f ca="1">IF($C1530="","",IF(AND($D1530="Gelir",$L1530&lt;&gt;"",$T1530=""),"TANIMSIZ BORÇLU",IF($T1530&lt;&gt;"",IF(OR($E1530="",$G1530&lt;=0),"EKSİK",IF($I1530="Evet","TAHAKKUK NAKİT OLAMAZ",IF($C1530&gt;TODAY(),"İLERİ TARİH","TAHAKKUK"))),IF(AND($D1530&lt;&gt;"",$E1530&lt;&gt;"",$G1530&gt;0,$H1530&lt;&gt;"",$I1530&lt;&gt;""),IF($C1530&gt;TODAY(),"İLERİ TARİH",IF(COUNTIF($W$7:$W$3001,$W1530)&gt;1,"MÜKERRER?",IF($AD1530&gt;0,"KAPALI DÖNEM",IF($I1530="Hayır","ÖDENECEK","UYGUN")))),"EKSİK"))))</f>
        <v/>
      </c>
      <c r="Q1530" s="2"/>
      <c r="R1530" s="2"/>
      <c r="S1530" s="1" t="str">
        <f t="shared" si="71"/>
        <v/>
      </c>
      <c r="T1530" s="1" t="str">
        <f>IF(OR($C1530="",$D1530&lt;&gt;"Gelir",$L1530=""),"",IFERROR(INDEX(MUSTERILER!$B$7:$B$156,MATCH($S1530,MUSTERILER!$T$7:$T$156,0)),""))</f>
        <v/>
      </c>
      <c r="U1530" s="1" t="str">
        <f>IF($T1530="","",$T1530&amp;"|"&amp;COUNTIFS($T$7:$T1530,$T1530))</f>
        <v/>
      </c>
      <c r="V1530" s="1">
        <f t="shared" si="72"/>
        <v>0</v>
      </c>
      <c r="W1530" s="1" t="str">
        <f t="shared" si="73"/>
        <v/>
      </c>
      <c r="X1530" s="1"/>
      <c r="Y1530" s="1"/>
      <c r="Z1530" s="1"/>
      <c r="AA1530" s="1"/>
      <c r="AB1530" s="1"/>
      <c r="AC1530" s="1"/>
      <c r="AD1530" s="1">
        <f>IF($C1530="",0,SUMPRODUCT((AY_SONU!$O$7:$O$42="Evet")*(AY_SONU!$B$7:$B$42=DATE(YEAR($C1530),MONTH($C1530),1))))</f>
        <v>0</v>
      </c>
      <c r="AE1530" s="1" t="str">
        <f>IF($E1530="","",$E1530&amp;"|"&amp;COUNTIFS($E$7:$E1530,$E1530))</f>
        <v/>
      </c>
    </row>
    <row r="1531" spans="1:31" ht="18" customHeight="1" x14ac:dyDescent="0.3">
      <c r="A1531" s="2"/>
      <c r="B1531" s="65" t="str">
        <f>IF($C1531="","","GG"&amp;TEXT(ROW()-6,"00000"))</f>
        <v/>
      </c>
      <c r="C1531" s="66"/>
      <c r="D1531" s="60"/>
      <c r="E1531" s="61"/>
      <c r="F1531" s="61"/>
      <c r="G1531" s="67"/>
      <c r="H1531" s="60"/>
      <c r="I1531" s="60"/>
      <c r="J1531" s="61"/>
      <c r="K1531" s="61"/>
      <c r="L1531" s="60"/>
      <c r="M1531" s="74" t="str">
        <f>IF($C1531="","",IF($D1531="Gider",$E1531,IF($L1531&lt;&gt;"",$L1531,$H1531)))</f>
        <v/>
      </c>
      <c r="N1531" s="74" t="str">
        <f>IF($C1531="","",IF($D1531="Gider",$H1531,$E1531))</f>
        <v/>
      </c>
      <c r="O1531" s="73" t="str">
        <f>IF($C1531="","",DATE(YEAR($C1531),MONTH($C1531),1))</f>
        <v/>
      </c>
      <c r="P1531" s="65" t="str">
        <f ca="1">IF($C1531="","",IF(AND($D1531="Gelir",$L1531&lt;&gt;"",$T1531=""),"TANIMSIZ BORÇLU",IF($T1531&lt;&gt;"",IF(OR($E1531="",$G1531&lt;=0),"EKSİK",IF($I1531="Evet","TAHAKKUK NAKİT OLAMAZ",IF($C1531&gt;TODAY(),"İLERİ TARİH","TAHAKKUK"))),IF(AND($D1531&lt;&gt;"",$E1531&lt;&gt;"",$G1531&gt;0,$H1531&lt;&gt;"",$I1531&lt;&gt;""),IF($C1531&gt;TODAY(),"İLERİ TARİH",IF(COUNTIF($W$7:$W$3001,$W1531)&gt;1,"MÜKERRER?",IF($AD1531&gt;0,"KAPALI DÖNEM",IF($I1531="Hayır","ÖDENECEK","UYGUN")))),"EKSİK"))))</f>
        <v/>
      </c>
      <c r="Q1531" s="2"/>
      <c r="R1531" s="2"/>
      <c r="S1531" s="1" t="str">
        <f t="shared" si="71"/>
        <v/>
      </c>
      <c r="T1531" s="1" t="str">
        <f>IF(OR($C1531="",$D1531&lt;&gt;"Gelir",$L1531=""),"",IFERROR(INDEX(MUSTERILER!$B$7:$B$156,MATCH($S1531,MUSTERILER!$T$7:$T$156,0)),""))</f>
        <v/>
      </c>
      <c r="U1531" s="1" t="str">
        <f>IF($T1531="","",$T1531&amp;"|"&amp;COUNTIFS($T$7:$T1531,$T1531))</f>
        <v/>
      </c>
      <c r="V1531" s="1">
        <f t="shared" si="72"/>
        <v>0</v>
      </c>
      <c r="W1531" s="1" t="str">
        <f t="shared" si="73"/>
        <v/>
      </c>
      <c r="X1531" s="1"/>
      <c r="Y1531" s="1"/>
      <c r="Z1531" s="1"/>
      <c r="AA1531" s="1"/>
      <c r="AB1531" s="1"/>
      <c r="AC1531" s="1"/>
      <c r="AD1531" s="1">
        <f>IF($C1531="",0,SUMPRODUCT((AY_SONU!$O$7:$O$42="Evet")*(AY_SONU!$B$7:$B$42=DATE(YEAR($C1531),MONTH($C1531),1))))</f>
        <v>0</v>
      </c>
      <c r="AE1531" s="1" t="str">
        <f>IF($E1531="","",$E1531&amp;"|"&amp;COUNTIFS($E$7:$E1531,$E1531))</f>
        <v/>
      </c>
    </row>
    <row r="1532" spans="1:31" ht="18" customHeight="1" x14ac:dyDescent="0.3">
      <c r="A1532" s="2"/>
      <c r="B1532" s="65" t="str">
        <f>IF($C1532="","","GG"&amp;TEXT(ROW()-6,"00000"))</f>
        <v/>
      </c>
      <c r="C1532" s="66"/>
      <c r="D1532" s="60"/>
      <c r="E1532" s="61"/>
      <c r="F1532" s="61"/>
      <c r="G1532" s="67"/>
      <c r="H1532" s="60"/>
      <c r="I1532" s="60"/>
      <c r="J1532" s="61"/>
      <c r="K1532" s="61"/>
      <c r="L1532" s="60"/>
      <c r="M1532" s="74" t="str">
        <f>IF($C1532="","",IF($D1532="Gider",$E1532,IF($L1532&lt;&gt;"",$L1532,$H1532)))</f>
        <v/>
      </c>
      <c r="N1532" s="74" t="str">
        <f>IF($C1532="","",IF($D1532="Gider",$H1532,$E1532))</f>
        <v/>
      </c>
      <c r="O1532" s="73" t="str">
        <f>IF($C1532="","",DATE(YEAR($C1532),MONTH($C1532),1))</f>
        <v/>
      </c>
      <c r="P1532" s="65" t="str">
        <f ca="1">IF($C1532="","",IF(AND($D1532="Gelir",$L1532&lt;&gt;"",$T1532=""),"TANIMSIZ BORÇLU",IF($T1532&lt;&gt;"",IF(OR($E1532="",$G1532&lt;=0),"EKSİK",IF($I1532="Evet","TAHAKKUK NAKİT OLAMAZ",IF($C1532&gt;TODAY(),"İLERİ TARİH","TAHAKKUK"))),IF(AND($D1532&lt;&gt;"",$E1532&lt;&gt;"",$G1532&gt;0,$H1532&lt;&gt;"",$I1532&lt;&gt;""),IF($C1532&gt;TODAY(),"İLERİ TARİH",IF(COUNTIF($W$7:$W$3001,$W1532)&gt;1,"MÜKERRER?",IF($AD1532&gt;0,"KAPALI DÖNEM",IF($I1532="Hayır","ÖDENECEK","UYGUN")))),"EKSİK"))))</f>
        <v/>
      </c>
      <c r="Q1532" s="2"/>
      <c r="R1532" s="2"/>
      <c r="S1532" s="1" t="str">
        <f t="shared" si="71"/>
        <v/>
      </c>
      <c r="T1532" s="1" t="str">
        <f>IF(OR($C1532="",$D1532&lt;&gt;"Gelir",$L1532=""),"",IFERROR(INDEX(MUSTERILER!$B$7:$B$156,MATCH($S1532,MUSTERILER!$T$7:$T$156,0)),""))</f>
        <v/>
      </c>
      <c r="U1532" s="1" t="str">
        <f>IF($T1532="","",$T1532&amp;"|"&amp;COUNTIFS($T$7:$T1532,$T1532))</f>
        <v/>
      </c>
      <c r="V1532" s="1">
        <f t="shared" si="72"/>
        <v>0</v>
      </c>
      <c r="W1532" s="1" t="str">
        <f t="shared" si="73"/>
        <v/>
      </c>
      <c r="X1532" s="1"/>
      <c r="Y1532" s="1"/>
      <c r="Z1532" s="1"/>
      <c r="AA1532" s="1"/>
      <c r="AB1532" s="1"/>
      <c r="AC1532" s="1"/>
      <c r="AD1532" s="1">
        <f>IF($C1532="",0,SUMPRODUCT((AY_SONU!$O$7:$O$42="Evet")*(AY_SONU!$B$7:$B$42=DATE(YEAR($C1532),MONTH($C1532),1))))</f>
        <v>0</v>
      </c>
      <c r="AE1532" s="1" t="str">
        <f>IF($E1532="","",$E1532&amp;"|"&amp;COUNTIFS($E$7:$E1532,$E1532))</f>
        <v/>
      </c>
    </row>
    <row r="1533" spans="1:31" ht="18" customHeight="1" x14ac:dyDescent="0.3">
      <c r="A1533" s="2"/>
      <c r="B1533" s="65" t="str">
        <f>IF($C1533="","","GG"&amp;TEXT(ROW()-6,"00000"))</f>
        <v/>
      </c>
      <c r="C1533" s="66"/>
      <c r="D1533" s="60"/>
      <c r="E1533" s="61"/>
      <c r="F1533" s="61"/>
      <c r="G1533" s="67"/>
      <c r="H1533" s="60"/>
      <c r="I1533" s="60"/>
      <c r="J1533" s="61"/>
      <c r="K1533" s="61"/>
      <c r="L1533" s="60"/>
      <c r="M1533" s="74" t="str">
        <f>IF($C1533="","",IF($D1533="Gider",$E1533,IF($L1533&lt;&gt;"",$L1533,$H1533)))</f>
        <v/>
      </c>
      <c r="N1533" s="74" t="str">
        <f>IF($C1533="","",IF($D1533="Gider",$H1533,$E1533))</f>
        <v/>
      </c>
      <c r="O1533" s="73" t="str">
        <f>IF($C1533="","",DATE(YEAR($C1533),MONTH($C1533),1))</f>
        <v/>
      </c>
      <c r="P1533" s="65" t="str">
        <f ca="1">IF($C1533="","",IF(AND($D1533="Gelir",$L1533&lt;&gt;"",$T1533=""),"TANIMSIZ BORÇLU",IF($T1533&lt;&gt;"",IF(OR($E1533="",$G1533&lt;=0),"EKSİK",IF($I1533="Evet","TAHAKKUK NAKİT OLAMAZ",IF($C1533&gt;TODAY(),"İLERİ TARİH","TAHAKKUK"))),IF(AND($D1533&lt;&gt;"",$E1533&lt;&gt;"",$G1533&gt;0,$H1533&lt;&gt;"",$I1533&lt;&gt;""),IF($C1533&gt;TODAY(),"İLERİ TARİH",IF(COUNTIF($W$7:$W$3001,$W1533)&gt;1,"MÜKERRER?",IF($AD1533&gt;0,"KAPALI DÖNEM",IF($I1533="Hayır","ÖDENECEK","UYGUN")))),"EKSİK"))))</f>
        <v/>
      </c>
      <c r="Q1533" s="2"/>
      <c r="R1533" s="2"/>
      <c r="S1533" s="1" t="str">
        <f t="shared" si="71"/>
        <v/>
      </c>
      <c r="T1533" s="1" t="str">
        <f>IF(OR($C1533="",$D1533&lt;&gt;"Gelir",$L1533=""),"",IFERROR(INDEX(MUSTERILER!$B$7:$B$156,MATCH($S1533,MUSTERILER!$T$7:$T$156,0)),""))</f>
        <v/>
      </c>
      <c r="U1533" s="1" t="str">
        <f>IF($T1533="","",$T1533&amp;"|"&amp;COUNTIFS($T$7:$T1533,$T1533))</f>
        <v/>
      </c>
      <c r="V1533" s="1">
        <f t="shared" si="72"/>
        <v>0</v>
      </c>
      <c r="W1533" s="1" t="str">
        <f t="shared" si="73"/>
        <v/>
      </c>
      <c r="X1533" s="1"/>
      <c r="Y1533" s="1"/>
      <c r="Z1533" s="1"/>
      <c r="AA1533" s="1"/>
      <c r="AB1533" s="1"/>
      <c r="AC1533" s="1"/>
      <c r="AD1533" s="1">
        <f>IF($C1533="",0,SUMPRODUCT((AY_SONU!$O$7:$O$42="Evet")*(AY_SONU!$B$7:$B$42=DATE(YEAR($C1533),MONTH($C1533),1))))</f>
        <v>0</v>
      </c>
      <c r="AE1533" s="1" t="str">
        <f>IF($E1533="","",$E1533&amp;"|"&amp;COUNTIFS($E$7:$E1533,$E1533))</f>
        <v/>
      </c>
    </row>
    <row r="1534" spans="1:31" ht="18" customHeight="1" x14ac:dyDescent="0.3">
      <c r="A1534" s="2"/>
      <c r="B1534" s="65" t="str">
        <f>IF($C1534="","","GG"&amp;TEXT(ROW()-6,"00000"))</f>
        <v/>
      </c>
      <c r="C1534" s="66"/>
      <c r="D1534" s="60"/>
      <c r="E1534" s="61"/>
      <c r="F1534" s="61"/>
      <c r="G1534" s="67"/>
      <c r="H1534" s="60"/>
      <c r="I1534" s="60"/>
      <c r="J1534" s="61"/>
      <c r="K1534" s="61"/>
      <c r="L1534" s="60"/>
      <c r="M1534" s="74" t="str">
        <f>IF($C1534="","",IF($D1534="Gider",$E1534,IF($L1534&lt;&gt;"",$L1534,$H1534)))</f>
        <v/>
      </c>
      <c r="N1534" s="74" t="str">
        <f>IF($C1534="","",IF($D1534="Gider",$H1534,$E1534))</f>
        <v/>
      </c>
      <c r="O1534" s="73" t="str">
        <f>IF($C1534="","",DATE(YEAR($C1534),MONTH($C1534),1))</f>
        <v/>
      </c>
      <c r="P1534" s="65" t="str">
        <f ca="1">IF($C1534="","",IF(AND($D1534="Gelir",$L1534&lt;&gt;"",$T1534=""),"TANIMSIZ BORÇLU",IF($T1534&lt;&gt;"",IF(OR($E1534="",$G1534&lt;=0),"EKSİK",IF($I1534="Evet","TAHAKKUK NAKİT OLAMAZ",IF($C1534&gt;TODAY(),"İLERİ TARİH","TAHAKKUK"))),IF(AND($D1534&lt;&gt;"",$E1534&lt;&gt;"",$G1534&gt;0,$H1534&lt;&gt;"",$I1534&lt;&gt;""),IF($C1534&gt;TODAY(),"İLERİ TARİH",IF(COUNTIF($W$7:$W$3001,$W1534)&gt;1,"MÜKERRER?",IF($AD1534&gt;0,"KAPALI DÖNEM",IF($I1534="Hayır","ÖDENECEK","UYGUN")))),"EKSİK"))))</f>
        <v/>
      </c>
      <c r="Q1534" s="2"/>
      <c r="R1534" s="2"/>
      <c r="S1534" s="1" t="str">
        <f t="shared" si="71"/>
        <v/>
      </c>
      <c r="T1534" s="1" t="str">
        <f>IF(OR($C1534="",$D1534&lt;&gt;"Gelir",$L1534=""),"",IFERROR(INDEX(MUSTERILER!$B$7:$B$156,MATCH($S1534,MUSTERILER!$T$7:$T$156,0)),""))</f>
        <v/>
      </c>
      <c r="U1534" s="1" t="str">
        <f>IF($T1534="","",$T1534&amp;"|"&amp;COUNTIFS($T$7:$T1534,$T1534))</f>
        <v/>
      </c>
      <c r="V1534" s="1">
        <f t="shared" si="72"/>
        <v>0</v>
      </c>
      <c r="W1534" s="1" t="str">
        <f t="shared" si="73"/>
        <v/>
      </c>
      <c r="X1534" s="1"/>
      <c r="Y1534" s="1"/>
      <c r="Z1534" s="1"/>
      <c r="AA1534" s="1"/>
      <c r="AB1534" s="1"/>
      <c r="AC1534" s="1"/>
      <c r="AD1534" s="1">
        <f>IF($C1534="",0,SUMPRODUCT((AY_SONU!$O$7:$O$42="Evet")*(AY_SONU!$B$7:$B$42=DATE(YEAR($C1534),MONTH($C1534),1))))</f>
        <v>0</v>
      </c>
      <c r="AE1534" s="1" t="str">
        <f>IF($E1534="","",$E1534&amp;"|"&amp;COUNTIFS($E$7:$E1534,$E1534))</f>
        <v/>
      </c>
    </row>
    <row r="1535" spans="1:31" ht="18" customHeight="1" x14ac:dyDescent="0.3">
      <c r="A1535" s="2"/>
      <c r="B1535" s="65" t="str">
        <f>IF($C1535="","","GG"&amp;TEXT(ROW()-6,"00000"))</f>
        <v/>
      </c>
      <c r="C1535" s="66"/>
      <c r="D1535" s="60"/>
      <c r="E1535" s="61"/>
      <c r="F1535" s="61"/>
      <c r="G1535" s="67"/>
      <c r="H1535" s="60"/>
      <c r="I1535" s="60"/>
      <c r="J1535" s="61"/>
      <c r="K1535" s="61"/>
      <c r="L1535" s="60"/>
      <c r="M1535" s="74" t="str">
        <f>IF($C1535="","",IF($D1535="Gider",$E1535,IF($L1535&lt;&gt;"",$L1535,$H1535)))</f>
        <v/>
      </c>
      <c r="N1535" s="74" t="str">
        <f>IF($C1535="","",IF($D1535="Gider",$H1535,$E1535))</f>
        <v/>
      </c>
      <c r="O1535" s="73" t="str">
        <f>IF($C1535="","",DATE(YEAR($C1535),MONTH($C1535),1))</f>
        <v/>
      </c>
      <c r="P1535" s="65" t="str">
        <f ca="1">IF($C1535="","",IF(AND($D1535="Gelir",$L1535&lt;&gt;"",$T1535=""),"TANIMSIZ BORÇLU",IF($T1535&lt;&gt;"",IF(OR($E1535="",$G1535&lt;=0),"EKSİK",IF($I1535="Evet","TAHAKKUK NAKİT OLAMAZ",IF($C1535&gt;TODAY(),"İLERİ TARİH","TAHAKKUK"))),IF(AND($D1535&lt;&gt;"",$E1535&lt;&gt;"",$G1535&gt;0,$H1535&lt;&gt;"",$I1535&lt;&gt;""),IF($C1535&gt;TODAY(),"İLERİ TARİH",IF(COUNTIF($W$7:$W$3001,$W1535)&gt;1,"MÜKERRER?",IF($AD1535&gt;0,"KAPALI DÖNEM",IF($I1535="Hayır","ÖDENECEK","UYGUN")))),"EKSİK"))))</f>
        <v/>
      </c>
      <c r="Q1535" s="2"/>
      <c r="R1535" s="2"/>
      <c r="S1535" s="1" t="str">
        <f t="shared" si="71"/>
        <v/>
      </c>
      <c r="T1535" s="1" t="str">
        <f>IF(OR($C1535="",$D1535&lt;&gt;"Gelir",$L1535=""),"",IFERROR(INDEX(MUSTERILER!$B$7:$B$156,MATCH($S1535,MUSTERILER!$T$7:$T$156,0)),""))</f>
        <v/>
      </c>
      <c r="U1535" s="1" t="str">
        <f>IF($T1535="","",$T1535&amp;"|"&amp;COUNTIFS($T$7:$T1535,$T1535))</f>
        <v/>
      </c>
      <c r="V1535" s="1">
        <f t="shared" si="72"/>
        <v>0</v>
      </c>
      <c r="W1535" s="1" t="str">
        <f t="shared" si="73"/>
        <v/>
      </c>
      <c r="X1535" s="1"/>
      <c r="Y1535" s="1"/>
      <c r="Z1535" s="1"/>
      <c r="AA1535" s="1"/>
      <c r="AB1535" s="1"/>
      <c r="AC1535" s="1"/>
      <c r="AD1535" s="1">
        <f>IF($C1535="",0,SUMPRODUCT((AY_SONU!$O$7:$O$42="Evet")*(AY_SONU!$B$7:$B$42=DATE(YEAR($C1535),MONTH($C1535),1))))</f>
        <v>0</v>
      </c>
      <c r="AE1535" s="1" t="str">
        <f>IF($E1535="","",$E1535&amp;"|"&amp;COUNTIFS($E$7:$E1535,$E1535))</f>
        <v/>
      </c>
    </row>
    <row r="1536" spans="1:31" ht="18" customHeight="1" x14ac:dyDescent="0.3">
      <c r="A1536" s="2"/>
      <c r="B1536" s="65" t="str">
        <f>IF($C1536="","","GG"&amp;TEXT(ROW()-6,"00000"))</f>
        <v/>
      </c>
      <c r="C1536" s="66"/>
      <c r="D1536" s="60"/>
      <c r="E1536" s="61"/>
      <c r="F1536" s="61"/>
      <c r="G1536" s="67"/>
      <c r="H1536" s="60"/>
      <c r="I1536" s="60"/>
      <c r="J1536" s="61"/>
      <c r="K1536" s="61"/>
      <c r="L1536" s="60"/>
      <c r="M1536" s="74" t="str">
        <f>IF($C1536="","",IF($D1536="Gider",$E1536,IF($L1536&lt;&gt;"",$L1536,$H1536)))</f>
        <v/>
      </c>
      <c r="N1536" s="74" t="str">
        <f>IF($C1536="","",IF($D1536="Gider",$H1536,$E1536))</f>
        <v/>
      </c>
      <c r="O1536" s="73" t="str">
        <f>IF($C1536="","",DATE(YEAR($C1536),MONTH($C1536),1))</f>
        <v/>
      </c>
      <c r="P1536" s="65" t="str">
        <f ca="1">IF($C1536="","",IF(AND($D1536="Gelir",$L1536&lt;&gt;"",$T1536=""),"TANIMSIZ BORÇLU",IF($T1536&lt;&gt;"",IF(OR($E1536="",$G1536&lt;=0),"EKSİK",IF($I1536="Evet","TAHAKKUK NAKİT OLAMAZ",IF($C1536&gt;TODAY(),"İLERİ TARİH","TAHAKKUK"))),IF(AND($D1536&lt;&gt;"",$E1536&lt;&gt;"",$G1536&gt;0,$H1536&lt;&gt;"",$I1536&lt;&gt;""),IF($C1536&gt;TODAY(),"İLERİ TARİH",IF(COUNTIF($W$7:$W$3001,$W1536)&gt;1,"MÜKERRER?",IF($AD1536&gt;0,"KAPALI DÖNEM",IF($I1536="Hayır","ÖDENECEK","UYGUN")))),"EKSİK"))))</f>
        <v/>
      </c>
      <c r="Q1536" s="2"/>
      <c r="R1536" s="2"/>
      <c r="S1536" s="1" t="str">
        <f t="shared" si="71"/>
        <v/>
      </c>
      <c r="T1536" s="1" t="str">
        <f>IF(OR($C1536="",$D1536&lt;&gt;"Gelir",$L1536=""),"",IFERROR(INDEX(MUSTERILER!$B$7:$B$156,MATCH($S1536,MUSTERILER!$T$7:$T$156,0)),""))</f>
        <v/>
      </c>
      <c r="U1536" s="1" t="str">
        <f>IF($T1536="","",$T1536&amp;"|"&amp;COUNTIFS($T$7:$T1536,$T1536))</f>
        <v/>
      </c>
      <c r="V1536" s="1">
        <f t="shared" si="72"/>
        <v>0</v>
      </c>
      <c r="W1536" s="1" t="str">
        <f t="shared" si="73"/>
        <v/>
      </c>
      <c r="X1536" s="1"/>
      <c r="Y1536" s="1"/>
      <c r="Z1536" s="1"/>
      <c r="AA1536" s="1"/>
      <c r="AB1536" s="1"/>
      <c r="AC1536" s="1"/>
      <c r="AD1536" s="1">
        <f>IF($C1536="",0,SUMPRODUCT((AY_SONU!$O$7:$O$42="Evet")*(AY_SONU!$B$7:$B$42=DATE(YEAR($C1536),MONTH($C1536),1))))</f>
        <v>0</v>
      </c>
      <c r="AE1536" s="1" t="str">
        <f>IF($E1536="","",$E1536&amp;"|"&amp;COUNTIFS($E$7:$E1536,$E1536))</f>
        <v/>
      </c>
    </row>
    <row r="1537" spans="1:31" ht="18" customHeight="1" x14ac:dyDescent="0.3">
      <c r="A1537" s="2"/>
      <c r="B1537" s="65" t="str">
        <f>IF($C1537="","","GG"&amp;TEXT(ROW()-6,"00000"))</f>
        <v/>
      </c>
      <c r="C1537" s="66"/>
      <c r="D1537" s="60"/>
      <c r="E1537" s="61"/>
      <c r="F1537" s="61"/>
      <c r="G1537" s="67"/>
      <c r="H1537" s="60"/>
      <c r="I1537" s="60"/>
      <c r="J1537" s="61"/>
      <c r="K1537" s="61"/>
      <c r="L1537" s="60"/>
      <c r="M1537" s="74" t="str">
        <f>IF($C1537="","",IF($D1537="Gider",$E1537,IF($L1537&lt;&gt;"",$L1537,$H1537)))</f>
        <v/>
      </c>
      <c r="N1537" s="74" t="str">
        <f>IF($C1537="","",IF($D1537="Gider",$H1537,$E1537))</f>
        <v/>
      </c>
      <c r="O1537" s="73" t="str">
        <f>IF($C1537="","",DATE(YEAR($C1537),MONTH($C1537),1))</f>
        <v/>
      </c>
      <c r="P1537" s="65" t="str">
        <f ca="1">IF($C1537="","",IF(AND($D1537="Gelir",$L1537&lt;&gt;"",$T1537=""),"TANIMSIZ BORÇLU",IF($T1537&lt;&gt;"",IF(OR($E1537="",$G1537&lt;=0),"EKSİK",IF($I1537="Evet","TAHAKKUK NAKİT OLAMAZ",IF($C1537&gt;TODAY(),"İLERİ TARİH","TAHAKKUK"))),IF(AND($D1537&lt;&gt;"",$E1537&lt;&gt;"",$G1537&gt;0,$H1537&lt;&gt;"",$I1537&lt;&gt;""),IF($C1537&gt;TODAY(),"İLERİ TARİH",IF(COUNTIF($W$7:$W$3001,$W1537)&gt;1,"MÜKERRER?",IF($AD1537&gt;0,"KAPALI DÖNEM",IF($I1537="Hayır","ÖDENECEK","UYGUN")))),"EKSİK"))))</f>
        <v/>
      </c>
      <c r="Q1537" s="2"/>
      <c r="R1537" s="2"/>
      <c r="S1537" s="1" t="str">
        <f t="shared" si="71"/>
        <v/>
      </c>
      <c r="T1537" s="1" t="str">
        <f>IF(OR($C1537="",$D1537&lt;&gt;"Gelir",$L1537=""),"",IFERROR(INDEX(MUSTERILER!$B$7:$B$156,MATCH($S1537,MUSTERILER!$T$7:$T$156,0)),""))</f>
        <v/>
      </c>
      <c r="U1537" s="1" t="str">
        <f>IF($T1537="","",$T1537&amp;"|"&amp;COUNTIFS($T$7:$T1537,$T1537))</f>
        <v/>
      </c>
      <c r="V1537" s="1">
        <f t="shared" si="72"/>
        <v>0</v>
      </c>
      <c r="W1537" s="1" t="str">
        <f t="shared" si="73"/>
        <v/>
      </c>
      <c r="X1537" s="1"/>
      <c r="Y1537" s="1"/>
      <c r="Z1537" s="1"/>
      <c r="AA1537" s="1"/>
      <c r="AB1537" s="1"/>
      <c r="AC1537" s="1"/>
      <c r="AD1537" s="1">
        <f>IF($C1537="",0,SUMPRODUCT((AY_SONU!$O$7:$O$42="Evet")*(AY_SONU!$B$7:$B$42=DATE(YEAR($C1537),MONTH($C1537),1))))</f>
        <v>0</v>
      </c>
      <c r="AE1537" s="1" t="str">
        <f>IF($E1537="","",$E1537&amp;"|"&amp;COUNTIFS($E$7:$E1537,$E1537))</f>
        <v/>
      </c>
    </row>
    <row r="1538" spans="1:31" ht="18" customHeight="1" x14ac:dyDescent="0.3">
      <c r="A1538" s="2"/>
      <c r="B1538" s="65" t="str">
        <f>IF($C1538="","","GG"&amp;TEXT(ROW()-6,"00000"))</f>
        <v/>
      </c>
      <c r="C1538" s="66"/>
      <c r="D1538" s="60"/>
      <c r="E1538" s="61"/>
      <c r="F1538" s="61"/>
      <c r="G1538" s="67"/>
      <c r="H1538" s="60"/>
      <c r="I1538" s="60"/>
      <c r="J1538" s="61"/>
      <c r="K1538" s="61"/>
      <c r="L1538" s="60"/>
      <c r="M1538" s="74" t="str">
        <f>IF($C1538="","",IF($D1538="Gider",$E1538,IF($L1538&lt;&gt;"",$L1538,$H1538)))</f>
        <v/>
      </c>
      <c r="N1538" s="74" t="str">
        <f>IF($C1538="","",IF($D1538="Gider",$H1538,$E1538))</f>
        <v/>
      </c>
      <c r="O1538" s="73" t="str">
        <f>IF($C1538="","",DATE(YEAR($C1538),MONTH($C1538),1))</f>
        <v/>
      </c>
      <c r="P1538" s="65" t="str">
        <f ca="1">IF($C1538="","",IF(AND($D1538="Gelir",$L1538&lt;&gt;"",$T1538=""),"TANIMSIZ BORÇLU",IF($T1538&lt;&gt;"",IF(OR($E1538="",$G1538&lt;=0),"EKSİK",IF($I1538="Evet","TAHAKKUK NAKİT OLAMAZ",IF($C1538&gt;TODAY(),"İLERİ TARİH","TAHAKKUK"))),IF(AND($D1538&lt;&gt;"",$E1538&lt;&gt;"",$G1538&gt;0,$H1538&lt;&gt;"",$I1538&lt;&gt;""),IF($C1538&gt;TODAY(),"İLERİ TARİH",IF(COUNTIF($W$7:$W$3001,$W1538)&gt;1,"MÜKERRER?",IF($AD1538&gt;0,"KAPALI DÖNEM",IF($I1538="Hayır","ÖDENECEK","UYGUN")))),"EKSİK"))))</f>
        <v/>
      </c>
      <c r="Q1538" s="2"/>
      <c r="R1538" s="2"/>
      <c r="S1538" s="1" t="str">
        <f t="shared" si="71"/>
        <v/>
      </c>
      <c r="T1538" s="1" t="str">
        <f>IF(OR($C1538="",$D1538&lt;&gt;"Gelir",$L1538=""),"",IFERROR(INDEX(MUSTERILER!$B$7:$B$156,MATCH($S1538,MUSTERILER!$T$7:$T$156,0)),""))</f>
        <v/>
      </c>
      <c r="U1538" s="1" t="str">
        <f>IF($T1538="","",$T1538&amp;"|"&amp;COUNTIFS($T$7:$T1538,$T1538))</f>
        <v/>
      </c>
      <c r="V1538" s="1">
        <f t="shared" si="72"/>
        <v>0</v>
      </c>
      <c r="W1538" s="1" t="str">
        <f t="shared" si="73"/>
        <v/>
      </c>
      <c r="X1538" s="1"/>
      <c r="Y1538" s="1"/>
      <c r="Z1538" s="1"/>
      <c r="AA1538" s="1"/>
      <c r="AB1538" s="1"/>
      <c r="AC1538" s="1"/>
      <c r="AD1538" s="1">
        <f>IF($C1538="",0,SUMPRODUCT((AY_SONU!$O$7:$O$42="Evet")*(AY_SONU!$B$7:$B$42=DATE(YEAR($C1538),MONTH($C1538),1))))</f>
        <v>0</v>
      </c>
      <c r="AE1538" s="1" t="str">
        <f>IF($E1538="","",$E1538&amp;"|"&amp;COUNTIFS($E$7:$E1538,$E1538))</f>
        <v/>
      </c>
    </row>
    <row r="1539" spans="1:31" ht="18" customHeight="1" x14ac:dyDescent="0.3">
      <c r="A1539" s="2"/>
      <c r="B1539" s="65" t="str">
        <f>IF($C1539="","","GG"&amp;TEXT(ROW()-6,"00000"))</f>
        <v/>
      </c>
      <c r="C1539" s="66"/>
      <c r="D1539" s="60"/>
      <c r="E1539" s="61"/>
      <c r="F1539" s="61"/>
      <c r="G1539" s="67"/>
      <c r="H1539" s="60"/>
      <c r="I1539" s="60"/>
      <c r="J1539" s="61"/>
      <c r="K1539" s="61"/>
      <c r="L1539" s="60"/>
      <c r="M1539" s="74" t="str">
        <f>IF($C1539="","",IF($D1539="Gider",$E1539,IF($L1539&lt;&gt;"",$L1539,$H1539)))</f>
        <v/>
      </c>
      <c r="N1539" s="74" t="str">
        <f>IF($C1539="","",IF($D1539="Gider",$H1539,$E1539))</f>
        <v/>
      </c>
      <c r="O1539" s="73" t="str">
        <f>IF($C1539="","",DATE(YEAR($C1539),MONTH($C1539),1))</f>
        <v/>
      </c>
      <c r="P1539" s="65" t="str">
        <f ca="1">IF($C1539="","",IF(AND($D1539="Gelir",$L1539&lt;&gt;"",$T1539=""),"TANIMSIZ BORÇLU",IF($T1539&lt;&gt;"",IF(OR($E1539="",$G1539&lt;=0),"EKSİK",IF($I1539="Evet","TAHAKKUK NAKİT OLAMAZ",IF($C1539&gt;TODAY(),"İLERİ TARİH","TAHAKKUK"))),IF(AND($D1539&lt;&gt;"",$E1539&lt;&gt;"",$G1539&gt;0,$H1539&lt;&gt;"",$I1539&lt;&gt;""),IF($C1539&gt;TODAY(),"İLERİ TARİH",IF(COUNTIF($W$7:$W$3001,$W1539)&gt;1,"MÜKERRER?",IF($AD1539&gt;0,"KAPALI DÖNEM",IF($I1539="Hayır","ÖDENECEK","UYGUN")))),"EKSİK"))))</f>
        <v/>
      </c>
      <c r="Q1539" s="2"/>
      <c r="R1539" s="2"/>
      <c r="S1539" s="1" t="str">
        <f t="shared" si="71"/>
        <v/>
      </c>
      <c r="T1539" s="1" t="str">
        <f>IF(OR($C1539="",$D1539&lt;&gt;"Gelir",$L1539=""),"",IFERROR(INDEX(MUSTERILER!$B$7:$B$156,MATCH($S1539,MUSTERILER!$T$7:$T$156,0)),""))</f>
        <v/>
      </c>
      <c r="U1539" s="1" t="str">
        <f>IF($T1539="","",$T1539&amp;"|"&amp;COUNTIFS($T$7:$T1539,$T1539))</f>
        <v/>
      </c>
      <c r="V1539" s="1">
        <f t="shared" si="72"/>
        <v>0</v>
      </c>
      <c r="W1539" s="1" t="str">
        <f t="shared" si="73"/>
        <v/>
      </c>
      <c r="X1539" s="1"/>
      <c r="Y1539" s="1"/>
      <c r="Z1539" s="1"/>
      <c r="AA1539" s="1"/>
      <c r="AB1539" s="1"/>
      <c r="AC1539" s="1"/>
      <c r="AD1539" s="1">
        <f>IF($C1539="",0,SUMPRODUCT((AY_SONU!$O$7:$O$42="Evet")*(AY_SONU!$B$7:$B$42=DATE(YEAR($C1539),MONTH($C1539),1))))</f>
        <v>0</v>
      </c>
      <c r="AE1539" s="1" t="str">
        <f>IF($E1539="","",$E1539&amp;"|"&amp;COUNTIFS($E$7:$E1539,$E1539))</f>
        <v/>
      </c>
    </row>
    <row r="1540" spans="1:31" ht="18" customHeight="1" x14ac:dyDescent="0.3">
      <c r="A1540" s="2"/>
      <c r="B1540" s="65" t="str">
        <f>IF($C1540="","","GG"&amp;TEXT(ROW()-6,"00000"))</f>
        <v/>
      </c>
      <c r="C1540" s="66"/>
      <c r="D1540" s="60"/>
      <c r="E1540" s="61"/>
      <c r="F1540" s="61"/>
      <c r="G1540" s="67"/>
      <c r="H1540" s="60"/>
      <c r="I1540" s="60"/>
      <c r="J1540" s="61"/>
      <c r="K1540" s="61"/>
      <c r="L1540" s="60"/>
      <c r="M1540" s="74" t="str">
        <f>IF($C1540="","",IF($D1540="Gider",$E1540,IF($L1540&lt;&gt;"",$L1540,$H1540)))</f>
        <v/>
      </c>
      <c r="N1540" s="74" t="str">
        <f>IF($C1540="","",IF($D1540="Gider",$H1540,$E1540))</f>
        <v/>
      </c>
      <c r="O1540" s="73" t="str">
        <f>IF($C1540="","",DATE(YEAR($C1540),MONTH($C1540),1))</f>
        <v/>
      </c>
      <c r="P1540" s="65" t="str">
        <f ca="1">IF($C1540="","",IF(AND($D1540="Gelir",$L1540&lt;&gt;"",$T1540=""),"TANIMSIZ BORÇLU",IF($T1540&lt;&gt;"",IF(OR($E1540="",$G1540&lt;=0),"EKSİK",IF($I1540="Evet","TAHAKKUK NAKİT OLAMAZ",IF($C1540&gt;TODAY(),"İLERİ TARİH","TAHAKKUK"))),IF(AND($D1540&lt;&gt;"",$E1540&lt;&gt;"",$G1540&gt;0,$H1540&lt;&gt;"",$I1540&lt;&gt;""),IF($C1540&gt;TODAY(),"İLERİ TARİH",IF(COUNTIF($W$7:$W$3001,$W1540)&gt;1,"MÜKERRER?",IF($AD1540&gt;0,"KAPALI DÖNEM",IF($I1540="Hayır","ÖDENECEK","UYGUN")))),"EKSİK"))))</f>
        <v/>
      </c>
      <c r="Q1540" s="2"/>
      <c r="R1540" s="2"/>
      <c r="S1540" s="1" t="str">
        <f t="shared" si="71"/>
        <v/>
      </c>
      <c r="T1540" s="1" t="str">
        <f>IF(OR($C1540="",$D1540&lt;&gt;"Gelir",$L1540=""),"",IFERROR(INDEX(MUSTERILER!$B$7:$B$156,MATCH($S1540,MUSTERILER!$T$7:$T$156,0)),""))</f>
        <v/>
      </c>
      <c r="U1540" s="1" t="str">
        <f>IF($T1540="","",$T1540&amp;"|"&amp;COUNTIFS($T$7:$T1540,$T1540))</f>
        <v/>
      </c>
      <c r="V1540" s="1">
        <f t="shared" si="72"/>
        <v>0</v>
      </c>
      <c r="W1540" s="1" t="str">
        <f t="shared" si="73"/>
        <v/>
      </c>
      <c r="X1540" s="1"/>
      <c r="Y1540" s="1"/>
      <c r="Z1540" s="1"/>
      <c r="AA1540" s="1"/>
      <c r="AB1540" s="1"/>
      <c r="AC1540" s="1"/>
      <c r="AD1540" s="1">
        <f>IF($C1540="",0,SUMPRODUCT((AY_SONU!$O$7:$O$42="Evet")*(AY_SONU!$B$7:$B$42=DATE(YEAR($C1540),MONTH($C1540),1))))</f>
        <v>0</v>
      </c>
      <c r="AE1540" s="1" t="str">
        <f>IF($E1540="","",$E1540&amp;"|"&amp;COUNTIFS($E$7:$E1540,$E1540))</f>
        <v/>
      </c>
    </row>
    <row r="1541" spans="1:31" ht="18" customHeight="1" x14ac:dyDescent="0.3">
      <c r="A1541" s="2"/>
      <c r="B1541" s="65" t="str">
        <f>IF($C1541="","","GG"&amp;TEXT(ROW()-6,"00000"))</f>
        <v/>
      </c>
      <c r="C1541" s="66"/>
      <c r="D1541" s="60"/>
      <c r="E1541" s="61"/>
      <c r="F1541" s="61"/>
      <c r="G1541" s="67"/>
      <c r="H1541" s="60"/>
      <c r="I1541" s="60"/>
      <c r="J1541" s="61"/>
      <c r="K1541" s="61"/>
      <c r="L1541" s="60"/>
      <c r="M1541" s="74" t="str">
        <f>IF($C1541="","",IF($D1541="Gider",$E1541,IF($L1541&lt;&gt;"",$L1541,$H1541)))</f>
        <v/>
      </c>
      <c r="N1541" s="74" t="str">
        <f>IF($C1541="","",IF($D1541="Gider",$H1541,$E1541))</f>
        <v/>
      </c>
      <c r="O1541" s="73" t="str">
        <f>IF($C1541="","",DATE(YEAR($C1541),MONTH($C1541),1))</f>
        <v/>
      </c>
      <c r="P1541" s="65" t="str">
        <f ca="1">IF($C1541="","",IF(AND($D1541="Gelir",$L1541&lt;&gt;"",$T1541=""),"TANIMSIZ BORÇLU",IF($T1541&lt;&gt;"",IF(OR($E1541="",$G1541&lt;=0),"EKSİK",IF($I1541="Evet","TAHAKKUK NAKİT OLAMAZ",IF($C1541&gt;TODAY(),"İLERİ TARİH","TAHAKKUK"))),IF(AND($D1541&lt;&gt;"",$E1541&lt;&gt;"",$G1541&gt;0,$H1541&lt;&gt;"",$I1541&lt;&gt;""),IF($C1541&gt;TODAY(),"İLERİ TARİH",IF(COUNTIF($W$7:$W$3001,$W1541)&gt;1,"MÜKERRER?",IF($AD1541&gt;0,"KAPALI DÖNEM",IF($I1541="Hayır","ÖDENECEK","UYGUN")))),"EKSİK"))))</f>
        <v/>
      </c>
      <c r="Q1541" s="2"/>
      <c r="R1541" s="2"/>
      <c r="S1541" s="1" t="str">
        <f t="shared" ref="S1541:S1604" si="74">IF($L1541="","",UPPER(SUBSTITUTE(SUBSTITUTE(SUBSTITUTE(SUBSTITUTE(SUBSTITUTE(SUBSTITUTE(SUBSTITUTE(SUBSTITUTE(SUBSTITUTE(SUBSTITUTE(SUBSTITUTE(SUBSTITUTE(SUBSTITUTE(SUBSTITUTE(SUBSTITUTE(SUBSTITUTE(SUBSTITUTE(SUBSTITUTE(TRIM($L1541),"'",""),"İ","I"),"ı","I"),"i","I"),"Ş","S"),"ş","S"),"Ğ","G"),"ğ","G"),"Ü","U"),"ü","U"),"Ö","O"),"ö","O"),"Ç","C"),"ç","C"),".",""),",","")," ",""),"-","")))</f>
        <v/>
      </c>
      <c r="T1541" s="1" t="str">
        <f>IF(OR($C1541="",$D1541&lt;&gt;"Gelir",$L1541=""),"",IFERROR(INDEX(MUSTERILER!$B$7:$B$156,MATCH($S1541,MUSTERILER!$T$7:$T$156,0)),""))</f>
        <v/>
      </c>
      <c r="U1541" s="1" t="str">
        <f>IF($T1541="","",$T1541&amp;"|"&amp;COUNTIFS($T$7:$T1541,$T1541))</f>
        <v/>
      </c>
      <c r="V1541" s="1">
        <f t="shared" ref="V1541:V1604" si="75">IF($T1541="",0,1)</f>
        <v>0</v>
      </c>
      <c r="W1541" s="1" t="str">
        <f t="shared" ref="W1541:W1604" si="76">IF($C1541="","",$D1541&amp;"|"&amp;$E1541&amp;"|"&amp;TEXT($C1541,"0")&amp;"|"&amp;TEXT($G1541,"0")&amp;"|"&amp;$F1541&amp;"|"&amp;$J1541)</f>
        <v/>
      </c>
      <c r="X1541" s="1"/>
      <c r="Y1541" s="1"/>
      <c r="Z1541" s="1"/>
      <c r="AA1541" s="1"/>
      <c r="AB1541" s="1"/>
      <c r="AC1541" s="1"/>
      <c r="AD1541" s="1">
        <f>IF($C1541="",0,SUMPRODUCT((AY_SONU!$O$7:$O$42="Evet")*(AY_SONU!$B$7:$B$42=DATE(YEAR($C1541),MONTH($C1541),1))))</f>
        <v>0</v>
      </c>
      <c r="AE1541" s="1" t="str">
        <f>IF($E1541="","",$E1541&amp;"|"&amp;COUNTIFS($E$7:$E1541,$E1541))</f>
        <v/>
      </c>
    </row>
    <row r="1542" spans="1:31" ht="18" customHeight="1" x14ac:dyDescent="0.3">
      <c r="A1542" s="2"/>
      <c r="B1542" s="65" t="str">
        <f>IF($C1542="","","GG"&amp;TEXT(ROW()-6,"00000"))</f>
        <v/>
      </c>
      <c r="C1542" s="66"/>
      <c r="D1542" s="60"/>
      <c r="E1542" s="61"/>
      <c r="F1542" s="61"/>
      <c r="G1542" s="67"/>
      <c r="H1542" s="60"/>
      <c r="I1542" s="60"/>
      <c r="J1542" s="61"/>
      <c r="K1542" s="61"/>
      <c r="L1542" s="60"/>
      <c r="M1542" s="74" t="str">
        <f>IF($C1542="","",IF($D1542="Gider",$E1542,IF($L1542&lt;&gt;"",$L1542,$H1542)))</f>
        <v/>
      </c>
      <c r="N1542" s="74" t="str">
        <f>IF($C1542="","",IF($D1542="Gider",$H1542,$E1542))</f>
        <v/>
      </c>
      <c r="O1542" s="73" t="str">
        <f>IF($C1542="","",DATE(YEAR($C1542),MONTH($C1542),1))</f>
        <v/>
      </c>
      <c r="P1542" s="65" t="str">
        <f ca="1">IF($C1542="","",IF(AND($D1542="Gelir",$L1542&lt;&gt;"",$T1542=""),"TANIMSIZ BORÇLU",IF($T1542&lt;&gt;"",IF(OR($E1542="",$G1542&lt;=0),"EKSİK",IF($I1542="Evet","TAHAKKUK NAKİT OLAMAZ",IF($C1542&gt;TODAY(),"İLERİ TARİH","TAHAKKUK"))),IF(AND($D1542&lt;&gt;"",$E1542&lt;&gt;"",$G1542&gt;0,$H1542&lt;&gt;"",$I1542&lt;&gt;""),IF($C1542&gt;TODAY(),"İLERİ TARİH",IF(COUNTIF($W$7:$W$3001,$W1542)&gt;1,"MÜKERRER?",IF($AD1542&gt;0,"KAPALI DÖNEM",IF($I1542="Hayır","ÖDENECEK","UYGUN")))),"EKSİK"))))</f>
        <v/>
      </c>
      <c r="Q1542" s="2"/>
      <c r="R1542" s="2"/>
      <c r="S1542" s="1" t="str">
        <f t="shared" si="74"/>
        <v/>
      </c>
      <c r="T1542" s="1" t="str">
        <f>IF(OR($C1542="",$D1542&lt;&gt;"Gelir",$L1542=""),"",IFERROR(INDEX(MUSTERILER!$B$7:$B$156,MATCH($S1542,MUSTERILER!$T$7:$T$156,0)),""))</f>
        <v/>
      </c>
      <c r="U1542" s="1" t="str">
        <f>IF($T1542="","",$T1542&amp;"|"&amp;COUNTIFS($T$7:$T1542,$T1542))</f>
        <v/>
      </c>
      <c r="V1542" s="1">
        <f t="shared" si="75"/>
        <v>0</v>
      </c>
      <c r="W1542" s="1" t="str">
        <f t="shared" si="76"/>
        <v/>
      </c>
      <c r="X1542" s="1"/>
      <c r="Y1542" s="1"/>
      <c r="Z1542" s="1"/>
      <c r="AA1542" s="1"/>
      <c r="AB1542" s="1"/>
      <c r="AC1542" s="1"/>
      <c r="AD1542" s="1">
        <f>IF($C1542="",0,SUMPRODUCT((AY_SONU!$O$7:$O$42="Evet")*(AY_SONU!$B$7:$B$42=DATE(YEAR($C1542),MONTH($C1542),1))))</f>
        <v>0</v>
      </c>
      <c r="AE1542" s="1" t="str">
        <f>IF($E1542="","",$E1542&amp;"|"&amp;COUNTIFS($E$7:$E1542,$E1542))</f>
        <v/>
      </c>
    </row>
    <row r="1543" spans="1:31" ht="18" customHeight="1" x14ac:dyDescent="0.3">
      <c r="A1543" s="2"/>
      <c r="B1543" s="65" t="str">
        <f>IF($C1543="","","GG"&amp;TEXT(ROW()-6,"00000"))</f>
        <v/>
      </c>
      <c r="C1543" s="66"/>
      <c r="D1543" s="60"/>
      <c r="E1543" s="61"/>
      <c r="F1543" s="61"/>
      <c r="G1543" s="67"/>
      <c r="H1543" s="60"/>
      <c r="I1543" s="60"/>
      <c r="J1543" s="61"/>
      <c r="K1543" s="61"/>
      <c r="L1543" s="60"/>
      <c r="M1543" s="74" t="str">
        <f>IF($C1543="","",IF($D1543="Gider",$E1543,IF($L1543&lt;&gt;"",$L1543,$H1543)))</f>
        <v/>
      </c>
      <c r="N1543" s="74" t="str">
        <f>IF($C1543="","",IF($D1543="Gider",$H1543,$E1543))</f>
        <v/>
      </c>
      <c r="O1543" s="73" t="str">
        <f>IF($C1543="","",DATE(YEAR($C1543),MONTH($C1543),1))</f>
        <v/>
      </c>
      <c r="P1543" s="65" t="str">
        <f ca="1"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TARİH",IF(COUNTIF($W$7:$W$3001,$W1543)&gt;1,"MÜKERRER?",IF($AD1543&gt;0,"KAPALI DÖNEM",IF($I1543="Hayır","ÖDENECEK","UYGUN")))),"EKSİK"))))</f>
        <v/>
      </c>
      <c r="Q1543" s="2"/>
      <c r="R1543" s="2"/>
      <c r="S1543" s="1" t="str">
        <f t="shared" si="74"/>
        <v/>
      </c>
      <c r="T1543" s="1" t="str">
        <f>IF(OR($C1543="",$D1543&lt;&gt;"Gelir",$L1543=""),"",IFERROR(INDEX(MUSTERILER!$B$7:$B$156,MATCH($S1543,MUSTERILER!$T$7:$T$156,0)),""))</f>
        <v/>
      </c>
      <c r="U1543" s="1" t="str">
        <f>IF($T1543="","",$T1543&amp;"|"&amp;COUNTIFS($T$7:$T1543,$T1543))</f>
        <v/>
      </c>
      <c r="V1543" s="1">
        <f t="shared" si="75"/>
        <v>0</v>
      </c>
      <c r="W1543" s="1" t="str">
        <f t="shared" si="76"/>
        <v/>
      </c>
      <c r="X1543" s="1"/>
      <c r="Y1543" s="1"/>
      <c r="Z1543" s="1"/>
      <c r="AA1543" s="1"/>
      <c r="AB1543" s="1"/>
      <c r="AC1543" s="1"/>
      <c r="AD1543" s="1">
        <f>IF($C1543="",0,SUMPRODUCT((AY_SONU!$O$7:$O$42="Evet")*(AY_SONU!$B$7:$B$42=DATE(YEAR($C1543),MONTH($C1543),1))))</f>
        <v>0</v>
      </c>
      <c r="AE1543" s="1" t="str">
        <f>IF($E1543="","",$E1543&amp;"|"&amp;COUNTIFS($E$7:$E1543,$E1543))</f>
        <v/>
      </c>
    </row>
    <row r="1544" spans="1:31" ht="18" customHeight="1" x14ac:dyDescent="0.3">
      <c r="A1544" s="2"/>
      <c r="B1544" s="65" t="str">
        <f>IF($C1544="","","GG"&amp;TEXT(ROW()-6,"00000"))</f>
        <v/>
      </c>
      <c r="C1544" s="66"/>
      <c r="D1544" s="60"/>
      <c r="E1544" s="61"/>
      <c r="F1544" s="61"/>
      <c r="G1544" s="67"/>
      <c r="H1544" s="60"/>
      <c r="I1544" s="60"/>
      <c r="J1544" s="61"/>
      <c r="K1544" s="61"/>
      <c r="L1544" s="60"/>
      <c r="M1544" s="74" t="str">
        <f>IF($C1544="","",IF($D1544="Gider",$E1544,IF($L1544&lt;&gt;"",$L1544,$H1544)))</f>
        <v/>
      </c>
      <c r="N1544" s="74" t="str">
        <f>IF($C1544="","",IF($D1544="Gider",$H1544,$E1544))</f>
        <v/>
      </c>
      <c r="O1544" s="73" t="str">
        <f>IF($C1544="","",DATE(YEAR($C1544),MONTH($C1544),1))</f>
        <v/>
      </c>
      <c r="P1544" s="65" t="str">
        <f ca="1">IF($C1544="","",IF(AND($D1544="Gelir",$L1544&lt;&gt;"",$T1544=""),"TANIMSIZ BORÇLU",IF($T1544&lt;&gt;"",IF(OR($E1544="",$G1544&lt;=0),"EKSİK",IF($I1544="Evet","TAHAKKUK NAKİT OLAMAZ",IF($C1544&gt;TODAY(),"İLERİ TARİH","TAHAKKUK"))),IF(AND($D1544&lt;&gt;"",$E1544&lt;&gt;"",$G1544&gt;0,$H1544&lt;&gt;"",$I1544&lt;&gt;""),IF($C1544&gt;TODAY(),"İLERİ TARİH",IF(COUNTIF($W$7:$W$3001,$W1544)&gt;1,"MÜKERRER?",IF($AD1544&gt;0,"KAPALI DÖNEM",IF($I1544="Hayır","ÖDENECEK","UYGUN")))),"EKSİK"))))</f>
        <v/>
      </c>
      <c r="Q1544" s="2"/>
      <c r="R1544" s="2"/>
      <c r="S1544" s="1" t="str">
        <f t="shared" si="74"/>
        <v/>
      </c>
      <c r="T1544" s="1" t="str">
        <f>IF(OR($C1544="",$D1544&lt;&gt;"Gelir",$L1544=""),"",IFERROR(INDEX(MUSTERILER!$B$7:$B$156,MATCH($S1544,MUSTERILER!$T$7:$T$156,0)),""))</f>
        <v/>
      </c>
      <c r="U1544" s="1" t="str">
        <f>IF($T1544="","",$T1544&amp;"|"&amp;COUNTIFS($T$7:$T1544,$T1544))</f>
        <v/>
      </c>
      <c r="V1544" s="1">
        <f t="shared" si="75"/>
        <v>0</v>
      </c>
      <c r="W1544" s="1" t="str">
        <f t="shared" si="76"/>
        <v/>
      </c>
      <c r="X1544" s="1"/>
      <c r="Y1544" s="1"/>
      <c r="Z1544" s="1"/>
      <c r="AA1544" s="1"/>
      <c r="AB1544" s="1"/>
      <c r="AC1544" s="1"/>
      <c r="AD1544" s="1">
        <f>IF($C1544="",0,SUMPRODUCT((AY_SONU!$O$7:$O$42="Evet")*(AY_SONU!$B$7:$B$42=DATE(YEAR($C1544),MONTH($C1544),1))))</f>
        <v>0</v>
      </c>
      <c r="AE1544" s="1" t="str">
        <f>IF($E1544="","",$E1544&amp;"|"&amp;COUNTIFS($E$7:$E1544,$E1544))</f>
        <v/>
      </c>
    </row>
    <row r="1545" spans="1:31" ht="18" customHeight="1" x14ac:dyDescent="0.3">
      <c r="A1545" s="2"/>
      <c r="B1545" s="65" t="str">
        <f>IF($C1545="","","GG"&amp;TEXT(ROW()-6,"00000"))</f>
        <v/>
      </c>
      <c r="C1545" s="66"/>
      <c r="D1545" s="60"/>
      <c r="E1545" s="61"/>
      <c r="F1545" s="61"/>
      <c r="G1545" s="67"/>
      <c r="H1545" s="60"/>
      <c r="I1545" s="60"/>
      <c r="J1545" s="61"/>
      <c r="K1545" s="61"/>
      <c r="L1545" s="60"/>
      <c r="M1545" s="74" t="str">
        <f>IF($C1545="","",IF($D1545="Gider",$E1545,IF($L1545&lt;&gt;"",$L1545,$H1545)))</f>
        <v/>
      </c>
      <c r="N1545" s="74" t="str">
        <f>IF($C1545="","",IF($D1545="Gider",$H1545,$E1545))</f>
        <v/>
      </c>
      <c r="O1545" s="73" t="str">
        <f>IF($C1545="","",DATE(YEAR($C1545),MONTH($C1545),1))</f>
        <v/>
      </c>
      <c r="P1545" s="65" t="str">
        <f ca="1">IF($C1545="","",IF(AND($D1545="Gelir",$L1545&lt;&gt;"",$T1545=""),"TANIMSIZ BORÇLU",IF($T1545&lt;&gt;"",IF(OR($E1545="",$G1545&lt;=0),"EKSİK",IF($I1545="Evet","TAHAKKUK NAKİT OLAMAZ",IF($C1545&gt;TODAY(),"İLERİ TARİH","TAHAKKUK"))),IF(AND($D1545&lt;&gt;"",$E1545&lt;&gt;"",$G1545&gt;0,$H1545&lt;&gt;"",$I1545&lt;&gt;""),IF($C1545&gt;TODAY(),"İLERİ TARİH",IF(COUNTIF($W$7:$W$3001,$W1545)&gt;1,"MÜKERRER?",IF($AD1545&gt;0,"KAPALI DÖNEM",IF($I1545="Hayır","ÖDENECEK","UYGUN")))),"EKSİK"))))</f>
        <v/>
      </c>
      <c r="Q1545" s="2"/>
      <c r="R1545" s="2"/>
      <c r="S1545" s="1" t="str">
        <f t="shared" si="74"/>
        <v/>
      </c>
      <c r="T1545" s="1" t="str">
        <f>IF(OR($C1545="",$D1545&lt;&gt;"Gelir",$L1545=""),"",IFERROR(INDEX(MUSTERILER!$B$7:$B$156,MATCH($S1545,MUSTERILER!$T$7:$T$156,0)),""))</f>
        <v/>
      </c>
      <c r="U1545" s="1" t="str">
        <f>IF($T1545="","",$T1545&amp;"|"&amp;COUNTIFS($T$7:$T1545,$T1545))</f>
        <v/>
      </c>
      <c r="V1545" s="1">
        <f t="shared" si="75"/>
        <v>0</v>
      </c>
      <c r="W1545" s="1" t="str">
        <f t="shared" si="76"/>
        <v/>
      </c>
      <c r="X1545" s="1"/>
      <c r="Y1545" s="1"/>
      <c r="Z1545" s="1"/>
      <c r="AA1545" s="1"/>
      <c r="AB1545" s="1"/>
      <c r="AC1545" s="1"/>
      <c r="AD1545" s="1">
        <f>IF($C1545="",0,SUMPRODUCT((AY_SONU!$O$7:$O$42="Evet")*(AY_SONU!$B$7:$B$42=DATE(YEAR($C1545),MONTH($C1545),1))))</f>
        <v>0</v>
      </c>
      <c r="AE1545" s="1" t="str">
        <f>IF($E1545="","",$E1545&amp;"|"&amp;COUNTIFS($E$7:$E1545,$E1545))</f>
        <v/>
      </c>
    </row>
    <row r="1546" spans="1:31" ht="18" customHeight="1" x14ac:dyDescent="0.3">
      <c r="A1546" s="2"/>
      <c r="B1546" s="65" t="str">
        <f>IF($C1546="","","GG"&amp;TEXT(ROW()-6,"00000"))</f>
        <v/>
      </c>
      <c r="C1546" s="66"/>
      <c r="D1546" s="60"/>
      <c r="E1546" s="61"/>
      <c r="F1546" s="61"/>
      <c r="G1546" s="67"/>
      <c r="H1546" s="60"/>
      <c r="I1546" s="60"/>
      <c r="J1546" s="61"/>
      <c r="K1546" s="61"/>
      <c r="L1546" s="60"/>
      <c r="M1546" s="74" t="str">
        <f>IF($C1546="","",IF($D1546="Gider",$E1546,IF($L1546&lt;&gt;"",$L1546,$H1546)))</f>
        <v/>
      </c>
      <c r="N1546" s="74" t="str">
        <f>IF($C1546="","",IF($D1546="Gider",$H1546,$E1546))</f>
        <v/>
      </c>
      <c r="O1546" s="73" t="str">
        <f>IF($C1546="","",DATE(YEAR($C1546),MONTH($C1546),1))</f>
        <v/>
      </c>
      <c r="P1546" s="65" t="str">
        <f ca="1">IF($C1546="","",IF(AND($D1546="Gelir",$L1546&lt;&gt;"",$T1546=""),"TANIMSIZ BORÇLU",IF($T1546&lt;&gt;"",IF(OR($E1546="",$G1546&lt;=0),"EKSİK",IF($I1546="Evet","TAHAKKUK NAKİT OLAMAZ",IF($C1546&gt;TODAY(),"İLERİ TARİH","TAHAKKUK"))),IF(AND($D1546&lt;&gt;"",$E1546&lt;&gt;"",$G1546&gt;0,$H1546&lt;&gt;"",$I1546&lt;&gt;""),IF($C1546&gt;TODAY(),"İLERİ TARİH",IF(COUNTIF($W$7:$W$3001,$W1546)&gt;1,"MÜKERRER?",IF($AD1546&gt;0,"KAPALI DÖNEM",IF($I1546="Hayır","ÖDENECEK","UYGUN")))),"EKSİK"))))</f>
        <v/>
      </c>
      <c r="Q1546" s="2"/>
      <c r="R1546" s="2"/>
      <c r="S1546" s="1" t="str">
        <f t="shared" si="74"/>
        <v/>
      </c>
      <c r="T1546" s="1" t="str">
        <f>IF(OR($C1546="",$D1546&lt;&gt;"Gelir",$L1546=""),"",IFERROR(INDEX(MUSTERILER!$B$7:$B$156,MATCH($S1546,MUSTERILER!$T$7:$T$156,0)),""))</f>
        <v/>
      </c>
      <c r="U1546" s="1" t="str">
        <f>IF($T1546="","",$T1546&amp;"|"&amp;COUNTIFS($T$7:$T1546,$T1546))</f>
        <v/>
      </c>
      <c r="V1546" s="1">
        <f t="shared" si="75"/>
        <v>0</v>
      </c>
      <c r="W1546" s="1" t="str">
        <f t="shared" si="76"/>
        <v/>
      </c>
      <c r="X1546" s="1"/>
      <c r="Y1546" s="1"/>
      <c r="Z1546" s="1"/>
      <c r="AA1546" s="1"/>
      <c r="AB1546" s="1"/>
      <c r="AC1546" s="1"/>
      <c r="AD1546" s="1">
        <f>IF($C1546="",0,SUMPRODUCT((AY_SONU!$O$7:$O$42="Evet")*(AY_SONU!$B$7:$B$42=DATE(YEAR($C1546),MONTH($C1546),1))))</f>
        <v>0</v>
      </c>
      <c r="AE1546" s="1" t="str">
        <f>IF($E1546="","",$E1546&amp;"|"&amp;COUNTIFS($E$7:$E1546,$E1546))</f>
        <v/>
      </c>
    </row>
    <row r="1547" spans="1:31" ht="18" customHeight="1" x14ac:dyDescent="0.3">
      <c r="A1547" s="2"/>
      <c r="B1547" s="65" t="str">
        <f>IF($C1547="","","GG"&amp;TEXT(ROW()-6,"00000"))</f>
        <v/>
      </c>
      <c r="C1547" s="66"/>
      <c r="D1547" s="60"/>
      <c r="E1547" s="61"/>
      <c r="F1547" s="61"/>
      <c r="G1547" s="67"/>
      <c r="H1547" s="60"/>
      <c r="I1547" s="60"/>
      <c r="J1547" s="61"/>
      <c r="K1547" s="61"/>
      <c r="L1547" s="60"/>
      <c r="M1547" s="74" t="str">
        <f>IF($C1547="","",IF($D1547="Gider",$E1547,IF($L1547&lt;&gt;"",$L1547,$H1547)))</f>
        <v/>
      </c>
      <c r="N1547" s="74" t="str">
        <f>IF($C1547="","",IF($D1547="Gider",$H1547,$E1547))</f>
        <v/>
      </c>
      <c r="O1547" s="73" t="str">
        <f>IF($C1547="","",DATE(YEAR($C1547),MONTH($C1547),1))</f>
        <v/>
      </c>
      <c r="P1547" s="65" t="str">
        <f ca="1">IF($C1547="","",IF(AND($D1547="Gelir",$L1547&lt;&gt;"",$T1547=""),"TANIMSIZ BORÇLU",IF($T1547&lt;&gt;"",IF(OR($E1547="",$G1547&lt;=0),"EKSİK",IF($I1547="Evet","TAHAKKUK NAKİT OLAMAZ",IF($C1547&gt;TODAY(),"İLERİ TARİH","TAHAKKUK"))),IF(AND($D1547&lt;&gt;"",$E1547&lt;&gt;"",$G1547&gt;0,$H1547&lt;&gt;"",$I1547&lt;&gt;""),IF($C1547&gt;TODAY(),"İLERİ TARİH",IF(COUNTIF($W$7:$W$3001,$W1547)&gt;1,"MÜKERRER?",IF($AD1547&gt;0,"KAPALI DÖNEM",IF($I1547="Hayır","ÖDENECEK","UYGUN")))),"EKSİK"))))</f>
        <v/>
      </c>
      <c r="Q1547" s="2"/>
      <c r="R1547" s="2"/>
      <c r="S1547" s="1" t="str">
        <f t="shared" si="74"/>
        <v/>
      </c>
      <c r="T1547" s="1" t="str">
        <f>IF(OR($C1547="",$D1547&lt;&gt;"Gelir",$L1547=""),"",IFERROR(INDEX(MUSTERILER!$B$7:$B$156,MATCH($S1547,MUSTERILER!$T$7:$T$156,0)),""))</f>
        <v/>
      </c>
      <c r="U1547" s="1" t="str">
        <f>IF($T1547="","",$T1547&amp;"|"&amp;COUNTIFS($T$7:$T1547,$T1547))</f>
        <v/>
      </c>
      <c r="V1547" s="1">
        <f t="shared" si="75"/>
        <v>0</v>
      </c>
      <c r="W1547" s="1" t="str">
        <f t="shared" si="76"/>
        <v/>
      </c>
      <c r="X1547" s="1"/>
      <c r="Y1547" s="1"/>
      <c r="Z1547" s="1"/>
      <c r="AA1547" s="1"/>
      <c r="AB1547" s="1"/>
      <c r="AC1547" s="1"/>
      <c r="AD1547" s="1">
        <f>IF($C1547="",0,SUMPRODUCT((AY_SONU!$O$7:$O$42="Evet")*(AY_SONU!$B$7:$B$42=DATE(YEAR($C1547),MONTH($C1547),1))))</f>
        <v>0</v>
      </c>
      <c r="AE1547" s="1" t="str">
        <f>IF($E1547="","",$E1547&amp;"|"&amp;COUNTIFS($E$7:$E1547,$E1547))</f>
        <v/>
      </c>
    </row>
    <row r="1548" spans="1:31" ht="18" customHeight="1" x14ac:dyDescent="0.3">
      <c r="A1548" s="2"/>
      <c r="B1548" s="65" t="str">
        <f>IF($C1548="","","GG"&amp;TEXT(ROW()-6,"00000"))</f>
        <v/>
      </c>
      <c r="C1548" s="66"/>
      <c r="D1548" s="60"/>
      <c r="E1548" s="61"/>
      <c r="F1548" s="61"/>
      <c r="G1548" s="67"/>
      <c r="H1548" s="60"/>
      <c r="I1548" s="60"/>
      <c r="J1548" s="61"/>
      <c r="K1548" s="61"/>
      <c r="L1548" s="60"/>
      <c r="M1548" s="74" t="str">
        <f>IF($C1548="","",IF($D1548="Gider",$E1548,IF($L1548&lt;&gt;"",$L1548,$H1548)))</f>
        <v/>
      </c>
      <c r="N1548" s="74" t="str">
        <f>IF($C1548="","",IF($D1548="Gider",$H1548,$E1548))</f>
        <v/>
      </c>
      <c r="O1548" s="73" t="str">
        <f>IF($C1548="","",DATE(YEAR($C1548),MONTH($C1548),1))</f>
        <v/>
      </c>
      <c r="P1548" s="65" t="str">
        <f ca="1">IF($C1548="","",IF(AND($D1548="Gelir",$L1548&lt;&gt;"",$T1548=""),"TANIMSIZ BORÇLU",IF($T1548&lt;&gt;"",IF(OR($E1548="",$G1548&lt;=0),"EKSİK",IF($I1548="Evet","TAHAKKUK NAKİT OLAMAZ",IF($C1548&gt;TODAY(),"İLERİ TARİH","TAHAKKUK"))),IF(AND($D1548&lt;&gt;"",$E1548&lt;&gt;"",$G1548&gt;0,$H1548&lt;&gt;"",$I1548&lt;&gt;""),IF($C1548&gt;TODAY(),"İLERİ TARİH",IF(COUNTIF($W$7:$W$3001,$W1548)&gt;1,"MÜKERRER?",IF($AD1548&gt;0,"KAPALI DÖNEM",IF($I1548="Hayır","ÖDENECEK","UYGUN")))),"EKSİK"))))</f>
        <v/>
      </c>
      <c r="Q1548" s="2"/>
      <c r="R1548" s="2"/>
      <c r="S1548" s="1" t="str">
        <f t="shared" si="74"/>
        <v/>
      </c>
      <c r="T1548" s="1" t="str">
        <f>IF(OR($C1548="",$D1548&lt;&gt;"Gelir",$L1548=""),"",IFERROR(INDEX(MUSTERILER!$B$7:$B$156,MATCH($S1548,MUSTERILER!$T$7:$T$156,0)),""))</f>
        <v/>
      </c>
      <c r="U1548" s="1" t="str">
        <f>IF($T1548="","",$T1548&amp;"|"&amp;COUNTIFS($T$7:$T1548,$T1548))</f>
        <v/>
      </c>
      <c r="V1548" s="1">
        <f t="shared" si="75"/>
        <v>0</v>
      </c>
      <c r="W1548" s="1" t="str">
        <f t="shared" si="76"/>
        <v/>
      </c>
      <c r="X1548" s="1"/>
      <c r="Y1548" s="1"/>
      <c r="Z1548" s="1"/>
      <c r="AA1548" s="1"/>
      <c r="AB1548" s="1"/>
      <c r="AC1548" s="1"/>
      <c r="AD1548" s="1">
        <f>IF($C1548="",0,SUMPRODUCT((AY_SONU!$O$7:$O$42="Evet")*(AY_SONU!$B$7:$B$42=DATE(YEAR($C1548),MONTH($C1548),1))))</f>
        <v>0</v>
      </c>
      <c r="AE1548" s="1" t="str">
        <f>IF($E1548="","",$E1548&amp;"|"&amp;COUNTIFS($E$7:$E1548,$E1548))</f>
        <v/>
      </c>
    </row>
    <row r="1549" spans="1:31" ht="18" customHeight="1" x14ac:dyDescent="0.3">
      <c r="A1549" s="2"/>
      <c r="B1549" s="65" t="str">
        <f>IF($C1549="","","GG"&amp;TEXT(ROW()-6,"00000"))</f>
        <v/>
      </c>
      <c r="C1549" s="66"/>
      <c r="D1549" s="60"/>
      <c r="E1549" s="61"/>
      <c r="F1549" s="61"/>
      <c r="G1549" s="67"/>
      <c r="H1549" s="60"/>
      <c r="I1549" s="60"/>
      <c r="J1549" s="61"/>
      <c r="K1549" s="61"/>
      <c r="L1549" s="60"/>
      <c r="M1549" s="74" t="str">
        <f>IF($C1549="","",IF($D1549="Gider",$E1549,IF($L1549&lt;&gt;"",$L1549,$H1549)))</f>
        <v/>
      </c>
      <c r="N1549" s="74" t="str">
        <f>IF($C1549="","",IF($D1549="Gider",$H1549,$E1549))</f>
        <v/>
      </c>
      <c r="O1549" s="73" t="str">
        <f>IF($C1549="","",DATE(YEAR($C1549),MONTH($C1549),1))</f>
        <v/>
      </c>
      <c r="P1549" s="65" t="str">
        <f ca="1">IF($C1549="","",IF(AND($D1549="Gelir",$L1549&lt;&gt;"",$T1549=""),"TANIMSIZ BORÇLU",IF($T1549&lt;&gt;"",IF(OR($E1549="",$G1549&lt;=0),"EKSİK",IF($I1549="Evet","TAHAKKUK NAKİT OLAMAZ",IF($C1549&gt;TODAY(),"İLERİ TARİH","TAHAKKUK"))),IF(AND($D1549&lt;&gt;"",$E1549&lt;&gt;"",$G1549&gt;0,$H1549&lt;&gt;"",$I1549&lt;&gt;""),IF($C1549&gt;TODAY(),"İLERİ TARİH",IF(COUNTIF($W$7:$W$3001,$W1549)&gt;1,"MÜKERRER?",IF($AD1549&gt;0,"KAPALI DÖNEM",IF($I1549="Hayır","ÖDENECEK","UYGUN")))),"EKSİK"))))</f>
        <v/>
      </c>
      <c r="Q1549" s="2"/>
      <c r="R1549" s="2"/>
      <c r="S1549" s="1" t="str">
        <f t="shared" si="74"/>
        <v/>
      </c>
      <c r="T1549" s="1" t="str">
        <f>IF(OR($C1549="",$D1549&lt;&gt;"Gelir",$L1549=""),"",IFERROR(INDEX(MUSTERILER!$B$7:$B$156,MATCH($S1549,MUSTERILER!$T$7:$T$156,0)),""))</f>
        <v/>
      </c>
      <c r="U1549" s="1" t="str">
        <f>IF($T1549="","",$T1549&amp;"|"&amp;COUNTIFS($T$7:$T1549,$T1549))</f>
        <v/>
      </c>
      <c r="V1549" s="1">
        <f t="shared" si="75"/>
        <v>0</v>
      </c>
      <c r="W1549" s="1" t="str">
        <f t="shared" si="76"/>
        <v/>
      </c>
      <c r="X1549" s="1"/>
      <c r="Y1549" s="1"/>
      <c r="Z1549" s="1"/>
      <c r="AA1549" s="1"/>
      <c r="AB1549" s="1"/>
      <c r="AC1549" s="1"/>
      <c r="AD1549" s="1">
        <f>IF($C1549="",0,SUMPRODUCT((AY_SONU!$O$7:$O$42="Evet")*(AY_SONU!$B$7:$B$42=DATE(YEAR($C1549),MONTH($C1549),1))))</f>
        <v>0</v>
      </c>
      <c r="AE1549" s="1" t="str">
        <f>IF($E1549="","",$E1549&amp;"|"&amp;COUNTIFS($E$7:$E1549,$E1549))</f>
        <v/>
      </c>
    </row>
    <row r="1550" spans="1:31" ht="18" customHeight="1" x14ac:dyDescent="0.3">
      <c r="A1550" s="2"/>
      <c r="B1550" s="65" t="str">
        <f>IF($C1550="","","GG"&amp;TEXT(ROW()-6,"00000"))</f>
        <v/>
      </c>
      <c r="C1550" s="66"/>
      <c r="D1550" s="60"/>
      <c r="E1550" s="61"/>
      <c r="F1550" s="61"/>
      <c r="G1550" s="67"/>
      <c r="H1550" s="60"/>
      <c r="I1550" s="60"/>
      <c r="J1550" s="61"/>
      <c r="K1550" s="61"/>
      <c r="L1550" s="60"/>
      <c r="M1550" s="74" t="str">
        <f>IF($C1550="","",IF($D1550="Gider",$E1550,IF($L1550&lt;&gt;"",$L1550,$H1550)))</f>
        <v/>
      </c>
      <c r="N1550" s="74" t="str">
        <f>IF($C1550="","",IF($D1550="Gider",$H1550,$E1550))</f>
        <v/>
      </c>
      <c r="O1550" s="73" t="str">
        <f>IF($C1550="","",DATE(YEAR($C1550),MONTH($C1550),1))</f>
        <v/>
      </c>
      <c r="P1550" s="65" t="str">
        <f ca="1">IF($C1550="","",IF(AND($D1550="Gelir",$L1550&lt;&gt;"",$T1550=""),"TANIMSIZ BORÇLU",IF($T1550&lt;&gt;"",IF(OR($E1550="",$G1550&lt;=0),"EKSİK",IF($I1550="Evet","TAHAKKUK NAKİT OLAMAZ",IF($C1550&gt;TODAY(),"İLERİ TARİH","TAHAKKUK"))),IF(AND($D1550&lt;&gt;"",$E1550&lt;&gt;"",$G1550&gt;0,$H1550&lt;&gt;"",$I1550&lt;&gt;""),IF($C1550&gt;TODAY(),"İLERİ TARİH",IF(COUNTIF($W$7:$W$3001,$W1550)&gt;1,"MÜKERRER?",IF($AD1550&gt;0,"KAPALI DÖNEM",IF($I1550="Hayır","ÖDENECEK","UYGUN")))),"EKSİK"))))</f>
        <v/>
      </c>
      <c r="Q1550" s="2"/>
      <c r="R1550" s="2"/>
      <c r="S1550" s="1" t="str">
        <f t="shared" si="74"/>
        <v/>
      </c>
      <c r="T1550" s="1" t="str">
        <f>IF(OR($C1550="",$D1550&lt;&gt;"Gelir",$L1550=""),"",IFERROR(INDEX(MUSTERILER!$B$7:$B$156,MATCH($S1550,MUSTERILER!$T$7:$T$156,0)),""))</f>
        <v/>
      </c>
      <c r="U1550" s="1" t="str">
        <f>IF($T1550="","",$T1550&amp;"|"&amp;COUNTIFS($T$7:$T1550,$T1550))</f>
        <v/>
      </c>
      <c r="V1550" s="1">
        <f t="shared" si="75"/>
        <v>0</v>
      </c>
      <c r="W1550" s="1" t="str">
        <f t="shared" si="76"/>
        <v/>
      </c>
      <c r="X1550" s="1"/>
      <c r="Y1550" s="1"/>
      <c r="Z1550" s="1"/>
      <c r="AA1550" s="1"/>
      <c r="AB1550" s="1"/>
      <c r="AC1550" s="1"/>
      <c r="AD1550" s="1">
        <f>IF($C1550="",0,SUMPRODUCT((AY_SONU!$O$7:$O$42="Evet")*(AY_SONU!$B$7:$B$42=DATE(YEAR($C1550),MONTH($C1550),1))))</f>
        <v>0</v>
      </c>
      <c r="AE1550" s="1" t="str">
        <f>IF($E1550="","",$E1550&amp;"|"&amp;COUNTIFS($E$7:$E1550,$E1550))</f>
        <v/>
      </c>
    </row>
    <row r="1551" spans="1:31" ht="18" customHeight="1" x14ac:dyDescent="0.3">
      <c r="A1551" s="2"/>
      <c r="B1551" s="65" t="str">
        <f>IF($C1551="","","GG"&amp;TEXT(ROW()-6,"00000"))</f>
        <v/>
      </c>
      <c r="C1551" s="66"/>
      <c r="D1551" s="60"/>
      <c r="E1551" s="61"/>
      <c r="F1551" s="61"/>
      <c r="G1551" s="67"/>
      <c r="H1551" s="60"/>
      <c r="I1551" s="60"/>
      <c r="J1551" s="61"/>
      <c r="K1551" s="61"/>
      <c r="L1551" s="60"/>
      <c r="M1551" s="74" t="str">
        <f>IF($C1551="","",IF($D1551="Gider",$E1551,IF($L1551&lt;&gt;"",$L1551,$H1551)))</f>
        <v/>
      </c>
      <c r="N1551" s="74" t="str">
        <f>IF($C1551="","",IF($D1551="Gider",$H1551,$E1551))</f>
        <v/>
      </c>
      <c r="O1551" s="73" t="str">
        <f>IF($C1551="","",DATE(YEAR($C1551),MONTH($C1551),1))</f>
        <v/>
      </c>
      <c r="P1551" s="65" t="str">
        <f ca="1">IF($C1551="","",IF(AND($D1551="Gelir",$L1551&lt;&gt;"",$T1551=""),"TANIMSIZ BORÇLU",IF($T1551&lt;&gt;"",IF(OR($E1551="",$G1551&lt;=0),"EKSİK",IF($I1551="Evet","TAHAKKUK NAKİT OLAMAZ",IF($C1551&gt;TODAY(),"İLERİ TARİH","TAHAKKUK"))),IF(AND($D1551&lt;&gt;"",$E1551&lt;&gt;"",$G1551&gt;0,$H1551&lt;&gt;"",$I1551&lt;&gt;""),IF($C1551&gt;TODAY(),"İLERİ TARİH",IF(COUNTIF($W$7:$W$3001,$W1551)&gt;1,"MÜKERRER?",IF($AD1551&gt;0,"KAPALI DÖNEM",IF($I1551="Hayır","ÖDENECEK","UYGUN")))),"EKSİK"))))</f>
        <v/>
      </c>
      <c r="Q1551" s="2"/>
      <c r="R1551" s="2"/>
      <c r="S1551" s="1" t="str">
        <f t="shared" si="74"/>
        <v/>
      </c>
      <c r="T1551" s="1" t="str">
        <f>IF(OR($C1551="",$D1551&lt;&gt;"Gelir",$L1551=""),"",IFERROR(INDEX(MUSTERILER!$B$7:$B$156,MATCH($S1551,MUSTERILER!$T$7:$T$156,0)),""))</f>
        <v/>
      </c>
      <c r="U1551" s="1" t="str">
        <f>IF($T1551="","",$T1551&amp;"|"&amp;COUNTIFS($T$7:$T1551,$T1551))</f>
        <v/>
      </c>
      <c r="V1551" s="1">
        <f t="shared" si="75"/>
        <v>0</v>
      </c>
      <c r="W1551" s="1" t="str">
        <f t="shared" si="76"/>
        <v/>
      </c>
      <c r="X1551" s="1"/>
      <c r="Y1551" s="1"/>
      <c r="Z1551" s="1"/>
      <c r="AA1551" s="1"/>
      <c r="AB1551" s="1"/>
      <c r="AC1551" s="1"/>
      <c r="AD1551" s="1">
        <f>IF($C1551="",0,SUMPRODUCT((AY_SONU!$O$7:$O$42="Evet")*(AY_SONU!$B$7:$B$42=DATE(YEAR($C1551),MONTH($C1551),1))))</f>
        <v>0</v>
      </c>
      <c r="AE1551" s="1" t="str">
        <f>IF($E1551="","",$E1551&amp;"|"&amp;COUNTIFS($E$7:$E1551,$E1551))</f>
        <v/>
      </c>
    </row>
    <row r="1552" spans="1:31" ht="18" customHeight="1" x14ac:dyDescent="0.3">
      <c r="A1552" s="2"/>
      <c r="B1552" s="65" t="str">
        <f>IF($C1552="","","GG"&amp;TEXT(ROW()-6,"00000"))</f>
        <v/>
      </c>
      <c r="C1552" s="66"/>
      <c r="D1552" s="60"/>
      <c r="E1552" s="61"/>
      <c r="F1552" s="61"/>
      <c r="G1552" s="67"/>
      <c r="H1552" s="60"/>
      <c r="I1552" s="60"/>
      <c r="J1552" s="61"/>
      <c r="K1552" s="61"/>
      <c r="L1552" s="60"/>
      <c r="M1552" s="74" t="str">
        <f>IF($C1552="","",IF($D1552="Gider",$E1552,IF($L1552&lt;&gt;"",$L1552,$H1552)))</f>
        <v/>
      </c>
      <c r="N1552" s="74" t="str">
        <f>IF($C1552="","",IF($D1552="Gider",$H1552,$E1552))</f>
        <v/>
      </c>
      <c r="O1552" s="73" t="str">
        <f>IF($C1552="","",DATE(YEAR($C1552),MONTH($C1552),1))</f>
        <v/>
      </c>
      <c r="P1552" s="65" t="str">
        <f ca="1">IF($C1552="","",IF(AND($D1552="Gelir",$L1552&lt;&gt;"",$T1552=""),"TANIMSIZ BORÇLU",IF($T1552&lt;&gt;"",IF(OR($E1552="",$G1552&lt;=0),"EKSİK",IF($I1552="Evet","TAHAKKUK NAKİT OLAMAZ",IF($C1552&gt;TODAY(),"İLERİ TARİH","TAHAKKUK"))),IF(AND($D1552&lt;&gt;"",$E1552&lt;&gt;"",$G1552&gt;0,$H1552&lt;&gt;"",$I1552&lt;&gt;""),IF($C1552&gt;TODAY(),"İLERİ TARİH",IF(COUNTIF($W$7:$W$3001,$W1552)&gt;1,"MÜKERRER?",IF($AD1552&gt;0,"KAPALI DÖNEM",IF($I1552="Hayır","ÖDENECEK","UYGUN")))),"EKSİK"))))</f>
        <v/>
      </c>
      <c r="Q1552" s="2"/>
      <c r="R1552" s="2"/>
      <c r="S1552" s="1" t="str">
        <f t="shared" si="74"/>
        <v/>
      </c>
      <c r="T1552" s="1" t="str">
        <f>IF(OR($C1552="",$D1552&lt;&gt;"Gelir",$L1552=""),"",IFERROR(INDEX(MUSTERILER!$B$7:$B$156,MATCH($S1552,MUSTERILER!$T$7:$T$156,0)),""))</f>
        <v/>
      </c>
      <c r="U1552" s="1" t="str">
        <f>IF($T1552="","",$T1552&amp;"|"&amp;COUNTIFS($T$7:$T1552,$T1552))</f>
        <v/>
      </c>
      <c r="V1552" s="1">
        <f t="shared" si="75"/>
        <v>0</v>
      </c>
      <c r="W1552" s="1" t="str">
        <f t="shared" si="76"/>
        <v/>
      </c>
      <c r="X1552" s="1"/>
      <c r="Y1552" s="1"/>
      <c r="Z1552" s="1"/>
      <c r="AA1552" s="1"/>
      <c r="AB1552" s="1"/>
      <c r="AC1552" s="1"/>
      <c r="AD1552" s="1">
        <f>IF($C1552="",0,SUMPRODUCT((AY_SONU!$O$7:$O$42="Evet")*(AY_SONU!$B$7:$B$42=DATE(YEAR($C1552),MONTH($C1552),1))))</f>
        <v>0</v>
      </c>
      <c r="AE1552" s="1" t="str">
        <f>IF($E1552="","",$E1552&amp;"|"&amp;COUNTIFS($E$7:$E1552,$E1552))</f>
        <v/>
      </c>
    </row>
    <row r="1553" spans="1:31" ht="18" customHeight="1" x14ac:dyDescent="0.3">
      <c r="A1553" s="2"/>
      <c r="B1553" s="65" t="str">
        <f>IF($C1553="","","GG"&amp;TEXT(ROW()-6,"00000"))</f>
        <v/>
      </c>
      <c r="C1553" s="66"/>
      <c r="D1553" s="60"/>
      <c r="E1553" s="61"/>
      <c r="F1553" s="61"/>
      <c r="G1553" s="67"/>
      <c r="H1553" s="60"/>
      <c r="I1553" s="60"/>
      <c r="J1553" s="61"/>
      <c r="K1553" s="61"/>
      <c r="L1553" s="60"/>
      <c r="M1553" s="74" t="str">
        <f>IF($C1553="","",IF($D1553="Gider",$E1553,IF($L1553&lt;&gt;"",$L1553,$H1553)))</f>
        <v/>
      </c>
      <c r="N1553" s="74" t="str">
        <f>IF($C1553="","",IF($D1553="Gider",$H1553,$E1553))</f>
        <v/>
      </c>
      <c r="O1553" s="73" t="str">
        <f>IF($C1553="","",DATE(YEAR($C1553),MONTH($C1553),1))</f>
        <v/>
      </c>
      <c r="P1553" s="65" t="str">
        <f ca="1">IF($C1553="","",IF(AND($D1553="Gelir",$L1553&lt;&gt;"",$T1553=""),"TANIMSIZ BORÇLU",IF($T1553&lt;&gt;"",IF(OR($E1553="",$G1553&lt;=0),"EKSİK",IF($I1553="Evet","TAHAKKUK NAKİT OLAMAZ",IF($C1553&gt;TODAY(),"İLERİ TARİH","TAHAKKUK"))),IF(AND($D1553&lt;&gt;"",$E1553&lt;&gt;"",$G1553&gt;0,$H1553&lt;&gt;"",$I1553&lt;&gt;""),IF($C1553&gt;TODAY(),"İLERİ TARİH",IF(COUNTIF($W$7:$W$3001,$W1553)&gt;1,"MÜKERRER?",IF($AD1553&gt;0,"KAPALI DÖNEM",IF($I1553="Hayır","ÖDENECEK","UYGUN")))),"EKSİK"))))</f>
        <v/>
      </c>
      <c r="Q1553" s="2"/>
      <c r="R1553" s="2"/>
      <c r="S1553" s="1" t="str">
        <f t="shared" si="74"/>
        <v/>
      </c>
      <c r="T1553" s="1" t="str">
        <f>IF(OR($C1553="",$D1553&lt;&gt;"Gelir",$L1553=""),"",IFERROR(INDEX(MUSTERILER!$B$7:$B$156,MATCH($S1553,MUSTERILER!$T$7:$T$156,0)),""))</f>
        <v/>
      </c>
      <c r="U1553" s="1" t="str">
        <f>IF($T1553="","",$T1553&amp;"|"&amp;COUNTIFS($T$7:$T1553,$T1553))</f>
        <v/>
      </c>
      <c r="V1553" s="1">
        <f t="shared" si="75"/>
        <v>0</v>
      </c>
      <c r="W1553" s="1" t="str">
        <f t="shared" si="76"/>
        <v/>
      </c>
      <c r="X1553" s="1"/>
      <c r="Y1553" s="1"/>
      <c r="Z1553" s="1"/>
      <c r="AA1553" s="1"/>
      <c r="AB1553" s="1"/>
      <c r="AC1553" s="1"/>
      <c r="AD1553" s="1">
        <f>IF($C1553="",0,SUMPRODUCT((AY_SONU!$O$7:$O$42="Evet")*(AY_SONU!$B$7:$B$42=DATE(YEAR($C1553),MONTH($C1553),1))))</f>
        <v>0</v>
      </c>
      <c r="AE1553" s="1" t="str">
        <f>IF($E1553="","",$E1553&amp;"|"&amp;COUNTIFS($E$7:$E1553,$E1553))</f>
        <v/>
      </c>
    </row>
    <row r="1554" spans="1:31" ht="18" customHeight="1" x14ac:dyDescent="0.3">
      <c r="A1554" s="2"/>
      <c r="B1554" s="65" t="str">
        <f>IF($C1554="","","GG"&amp;TEXT(ROW()-6,"00000"))</f>
        <v/>
      </c>
      <c r="C1554" s="66"/>
      <c r="D1554" s="60"/>
      <c r="E1554" s="61"/>
      <c r="F1554" s="61"/>
      <c r="G1554" s="67"/>
      <c r="H1554" s="60"/>
      <c r="I1554" s="60"/>
      <c r="J1554" s="61"/>
      <c r="K1554" s="61"/>
      <c r="L1554" s="60"/>
      <c r="M1554" s="74" t="str">
        <f>IF($C1554="","",IF($D1554="Gider",$E1554,IF($L1554&lt;&gt;"",$L1554,$H1554)))</f>
        <v/>
      </c>
      <c r="N1554" s="74" t="str">
        <f>IF($C1554="","",IF($D1554="Gider",$H1554,$E1554))</f>
        <v/>
      </c>
      <c r="O1554" s="73" t="str">
        <f>IF($C1554="","",DATE(YEAR($C1554),MONTH($C1554),1))</f>
        <v/>
      </c>
      <c r="P1554" s="65" t="str">
        <f ca="1">IF($C1554="","",IF(AND($D1554="Gelir",$L1554&lt;&gt;"",$T1554=""),"TANIMSIZ BORÇLU",IF($T1554&lt;&gt;"",IF(OR($E1554="",$G1554&lt;=0),"EKSİK",IF($I1554="Evet","TAHAKKUK NAKİT OLAMAZ",IF($C1554&gt;TODAY(),"İLERİ TARİH","TAHAKKUK"))),IF(AND($D1554&lt;&gt;"",$E1554&lt;&gt;"",$G1554&gt;0,$H1554&lt;&gt;"",$I1554&lt;&gt;""),IF($C1554&gt;TODAY(),"İLERİ TARİH",IF(COUNTIF($W$7:$W$3001,$W1554)&gt;1,"MÜKERRER?",IF($AD1554&gt;0,"KAPALI DÖNEM",IF($I1554="Hayır","ÖDENECEK","UYGUN")))),"EKSİK"))))</f>
        <v/>
      </c>
      <c r="Q1554" s="2"/>
      <c r="R1554" s="2"/>
      <c r="S1554" s="1" t="str">
        <f t="shared" si="74"/>
        <v/>
      </c>
      <c r="T1554" s="1" t="str">
        <f>IF(OR($C1554="",$D1554&lt;&gt;"Gelir",$L1554=""),"",IFERROR(INDEX(MUSTERILER!$B$7:$B$156,MATCH($S1554,MUSTERILER!$T$7:$T$156,0)),""))</f>
        <v/>
      </c>
      <c r="U1554" s="1" t="str">
        <f>IF($T1554="","",$T1554&amp;"|"&amp;COUNTIFS($T$7:$T1554,$T1554))</f>
        <v/>
      </c>
      <c r="V1554" s="1">
        <f t="shared" si="75"/>
        <v>0</v>
      </c>
      <c r="W1554" s="1" t="str">
        <f t="shared" si="76"/>
        <v/>
      </c>
      <c r="X1554" s="1"/>
      <c r="Y1554" s="1"/>
      <c r="Z1554" s="1"/>
      <c r="AA1554" s="1"/>
      <c r="AB1554" s="1"/>
      <c r="AC1554" s="1"/>
      <c r="AD1554" s="1">
        <f>IF($C1554="",0,SUMPRODUCT((AY_SONU!$O$7:$O$42="Evet")*(AY_SONU!$B$7:$B$42=DATE(YEAR($C1554),MONTH($C1554),1))))</f>
        <v>0</v>
      </c>
      <c r="AE1554" s="1" t="str">
        <f>IF($E1554="","",$E1554&amp;"|"&amp;COUNTIFS($E$7:$E1554,$E1554))</f>
        <v/>
      </c>
    </row>
    <row r="1555" spans="1:31" ht="18" customHeight="1" x14ac:dyDescent="0.3">
      <c r="A1555" s="2"/>
      <c r="B1555" s="65" t="str">
        <f>IF($C1555="","","GG"&amp;TEXT(ROW()-6,"00000"))</f>
        <v/>
      </c>
      <c r="C1555" s="66"/>
      <c r="D1555" s="60"/>
      <c r="E1555" s="61"/>
      <c r="F1555" s="61"/>
      <c r="G1555" s="67"/>
      <c r="H1555" s="60"/>
      <c r="I1555" s="60"/>
      <c r="J1555" s="61"/>
      <c r="K1555" s="61"/>
      <c r="L1555" s="60"/>
      <c r="M1555" s="74" t="str">
        <f>IF($C1555="","",IF($D1555="Gider",$E1555,IF($L1555&lt;&gt;"",$L1555,$H1555)))</f>
        <v/>
      </c>
      <c r="N1555" s="74" t="str">
        <f>IF($C1555="","",IF($D1555="Gider",$H1555,$E1555))</f>
        <v/>
      </c>
      <c r="O1555" s="73" t="str">
        <f>IF($C1555="","",DATE(YEAR($C1555),MONTH($C1555),1))</f>
        <v/>
      </c>
      <c r="P1555" s="65" t="str">
        <f ca="1">IF($C1555="","",IF(AND($D1555="Gelir",$L1555&lt;&gt;"",$T1555=""),"TANIMSIZ BORÇLU",IF($T1555&lt;&gt;"",IF(OR($E1555="",$G1555&lt;=0),"EKSİK",IF($I1555="Evet","TAHAKKUK NAKİT OLAMAZ",IF($C1555&gt;TODAY(),"İLERİ TARİH","TAHAKKUK"))),IF(AND($D1555&lt;&gt;"",$E1555&lt;&gt;"",$G1555&gt;0,$H1555&lt;&gt;"",$I1555&lt;&gt;""),IF($C1555&gt;TODAY(),"İLERİ TARİH",IF(COUNTIF($W$7:$W$3001,$W1555)&gt;1,"MÜKERRER?",IF($AD1555&gt;0,"KAPALI DÖNEM",IF($I1555="Hayır","ÖDENECEK","UYGUN")))),"EKSİK"))))</f>
        <v/>
      </c>
      <c r="Q1555" s="2"/>
      <c r="R1555" s="2"/>
      <c r="S1555" s="1" t="str">
        <f t="shared" si="74"/>
        <v/>
      </c>
      <c r="T1555" s="1" t="str">
        <f>IF(OR($C1555="",$D1555&lt;&gt;"Gelir",$L1555=""),"",IFERROR(INDEX(MUSTERILER!$B$7:$B$156,MATCH($S1555,MUSTERILER!$T$7:$T$156,0)),""))</f>
        <v/>
      </c>
      <c r="U1555" s="1" t="str">
        <f>IF($T1555="","",$T1555&amp;"|"&amp;COUNTIFS($T$7:$T1555,$T1555))</f>
        <v/>
      </c>
      <c r="V1555" s="1">
        <f t="shared" si="75"/>
        <v>0</v>
      </c>
      <c r="W1555" s="1" t="str">
        <f t="shared" si="76"/>
        <v/>
      </c>
      <c r="X1555" s="1"/>
      <c r="Y1555" s="1"/>
      <c r="Z1555" s="1"/>
      <c r="AA1555" s="1"/>
      <c r="AB1555" s="1"/>
      <c r="AC1555" s="1"/>
      <c r="AD1555" s="1">
        <f>IF($C1555="",0,SUMPRODUCT((AY_SONU!$O$7:$O$42="Evet")*(AY_SONU!$B$7:$B$42=DATE(YEAR($C1555),MONTH($C1555),1))))</f>
        <v>0</v>
      </c>
      <c r="AE1555" s="1" t="str">
        <f>IF($E1555="","",$E1555&amp;"|"&amp;COUNTIFS($E$7:$E1555,$E1555))</f>
        <v/>
      </c>
    </row>
    <row r="1556" spans="1:31" ht="18" customHeight="1" x14ac:dyDescent="0.3">
      <c r="A1556" s="2"/>
      <c r="B1556" s="65" t="str">
        <f>IF($C1556="","","GG"&amp;TEXT(ROW()-6,"00000"))</f>
        <v/>
      </c>
      <c r="C1556" s="66"/>
      <c r="D1556" s="60"/>
      <c r="E1556" s="61"/>
      <c r="F1556" s="61"/>
      <c r="G1556" s="67"/>
      <c r="H1556" s="60"/>
      <c r="I1556" s="60"/>
      <c r="J1556" s="61"/>
      <c r="K1556" s="61"/>
      <c r="L1556" s="60"/>
      <c r="M1556" s="74" t="str">
        <f>IF($C1556="","",IF($D1556="Gider",$E1556,IF($L1556&lt;&gt;"",$L1556,$H1556)))</f>
        <v/>
      </c>
      <c r="N1556" s="74" t="str">
        <f>IF($C1556="","",IF($D1556="Gider",$H1556,$E1556))</f>
        <v/>
      </c>
      <c r="O1556" s="73" t="str">
        <f>IF($C1556="","",DATE(YEAR($C1556),MONTH($C1556),1))</f>
        <v/>
      </c>
      <c r="P1556" s="65" t="str">
        <f ca="1">IF($C1556="","",IF(AND($D1556="Gelir",$L1556&lt;&gt;"",$T1556=""),"TANIMSIZ BORÇLU",IF($T1556&lt;&gt;"",IF(OR($E1556="",$G1556&lt;=0),"EKSİK",IF($I1556="Evet","TAHAKKUK NAKİT OLAMAZ",IF($C1556&gt;TODAY(),"İLERİ TARİH","TAHAKKUK"))),IF(AND($D1556&lt;&gt;"",$E1556&lt;&gt;"",$G1556&gt;0,$H1556&lt;&gt;"",$I1556&lt;&gt;""),IF($C1556&gt;TODAY(),"İLERİ TARİH",IF(COUNTIF($W$7:$W$3001,$W1556)&gt;1,"MÜKERRER?",IF($AD1556&gt;0,"KAPALI DÖNEM",IF($I1556="Hayır","ÖDENECEK","UYGUN")))),"EKSİK"))))</f>
        <v/>
      </c>
      <c r="Q1556" s="2"/>
      <c r="R1556" s="2"/>
      <c r="S1556" s="1" t="str">
        <f t="shared" si="74"/>
        <v/>
      </c>
      <c r="T1556" s="1" t="str">
        <f>IF(OR($C1556="",$D1556&lt;&gt;"Gelir",$L1556=""),"",IFERROR(INDEX(MUSTERILER!$B$7:$B$156,MATCH($S1556,MUSTERILER!$T$7:$T$156,0)),""))</f>
        <v/>
      </c>
      <c r="U1556" s="1" t="str">
        <f>IF($T1556="","",$T1556&amp;"|"&amp;COUNTIFS($T$7:$T1556,$T1556))</f>
        <v/>
      </c>
      <c r="V1556" s="1">
        <f t="shared" si="75"/>
        <v>0</v>
      </c>
      <c r="W1556" s="1" t="str">
        <f t="shared" si="76"/>
        <v/>
      </c>
      <c r="X1556" s="1"/>
      <c r="Y1556" s="1"/>
      <c r="Z1556" s="1"/>
      <c r="AA1556" s="1"/>
      <c r="AB1556" s="1"/>
      <c r="AC1556" s="1"/>
      <c r="AD1556" s="1">
        <f>IF($C1556="",0,SUMPRODUCT((AY_SONU!$O$7:$O$42="Evet")*(AY_SONU!$B$7:$B$42=DATE(YEAR($C1556),MONTH($C1556),1))))</f>
        <v>0</v>
      </c>
      <c r="AE1556" s="1" t="str">
        <f>IF($E1556="","",$E1556&amp;"|"&amp;COUNTIFS($E$7:$E1556,$E1556))</f>
        <v/>
      </c>
    </row>
    <row r="1557" spans="1:31" ht="18" customHeight="1" x14ac:dyDescent="0.3">
      <c r="A1557" s="2"/>
      <c r="B1557" s="65" t="str">
        <f>IF($C1557="","","GG"&amp;TEXT(ROW()-6,"00000"))</f>
        <v/>
      </c>
      <c r="C1557" s="66"/>
      <c r="D1557" s="60"/>
      <c r="E1557" s="61"/>
      <c r="F1557" s="61"/>
      <c r="G1557" s="67"/>
      <c r="H1557" s="60"/>
      <c r="I1557" s="60"/>
      <c r="J1557" s="61"/>
      <c r="K1557" s="61"/>
      <c r="L1557" s="60"/>
      <c r="M1557" s="74" t="str">
        <f>IF($C1557="","",IF($D1557="Gider",$E1557,IF($L1557&lt;&gt;"",$L1557,$H1557)))</f>
        <v/>
      </c>
      <c r="N1557" s="74" t="str">
        <f>IF($C1557="","",IF($D1557="Gider",$H1557,$E1557))</f>
        <v/>
      </c>
      <c r="O1557" s="73" t="str">
        <f>IF($C1557="","",DATE(YEAR($C1557),MONTH($C1557),1))</f>
        <v/>
      </c>
      <c r="P1557" s="65" t="str">
        <f ca="1">IF($C1557="","",IF(AND($D1557="Gelir",$L1557&lt;&gt;"",$T1557=""),"TANIMSIZ BORÇLU",IF($T1557&lt;&gt;"",IF(OR($E1557="",$G1557&lt;=0),"EKSİK",IF($I1557="Evet","TAHAKKUK NAKİT OLAMAZ",IF($C1557&gt;TODAY(),"İLERİ TARİH","TAHAKKUK"))),IF(AND($D1557&lt;&gt;"",$E1557&lt;&gt;"",$G1557&gt;0,$H1557&lt;&gt;"",$I1557&lt;&gt;""),IF($C1557&gt;TODAY(),"İLERİ TARİH",IF(COUNTIF($W$7:$W$3001,$W1557)&gt;1,"MÜKERRER?",IF($AD1557&gt;0,"KAPALI DÖNEM",IF($I1557="Hayır","ÖDENECEK","UYGUN")))),"EKSİK"))))</f>
        <v/>
      </c>
      <c r="Q1557" s="2"/>
      <c r="R1557" s="2"/>
      <c r="S1557" s="1" t="str">
        <f t="shared" si="74"/>
        <v/>
      </c>
      <c r="T1557" s="1" t="str">
        <f>IF(OR($C1557="",$D1557&lt;&gt;"Gelir",$L1557=""),"",IFERROR(INDEX(MUSTERILER!$B$7:$B$156,MATCH($S1557,MUSTERILER!$T$7:$T$156,0)),""))</f>
        <v/>
      </c>
      <c r="U1557" s="1" t="str">
        <f>IF($T1557="","",$T1557&amp;"|"&amp;COUNTIFS($T$7:$T1557,$T1557))</f>
        <v/>
      </c>
      <c r="V1557" s="1">
        <f t="shared" si="75"/>
        <v>0</v>
      </c>
      <c r="W1557" s="1" t="str">
        <f t="shared" si="76"/>
        <v/>
      </c>
      <c r="X1557" s="1"/>
      <c r="Y1557" s="1"/>
      <c r="Z1557" s="1"/>
      <c r="AA1557" s="1"/>
      <c r="AB1557" s="1"/>
      <c r="AC1557" s="1"/>
      <c r="AD1557" s="1">
        <f>IF($C1557="",0,SUMPRODUCT((AY_SONU!$O$7:$O$42="Evet")*(AY_SONU!$B$7:$B$42=DATE(YEAR($C1557),MONTH($C1557),1))))</f>
        <v>0</v>
      </c>
      <c r="AE1557" s="1" t="str">
        <f>IF($E1557="","",$E1557&amp;"|"&amp;COUNTIFS($E$7:$E1557,$E1557))</f>
        <v/>
      </c>
    </row>
    <row r="1558" spans="1:31" ht="18" customHeight="1" x14ac:dyDescent="0.3">
      <c r="A1558" s="2"/>
      <c r="B1558" s="65" t="str">
        <f>IF($C1558="","","GG"&amp;TEXT(ROW()-6,"00000"))</f>
        <v/>
      </c>
      <c r="C1558" s="66"/>
      <c r="D1558" s="60"/>
      <c r="E1558" s="61"/>
      <c r="F1558" s="61"/>
      <c r="G1558" s="67"/>
      <c r="H1558" s="60"/>
      <c r="I1558" s="60"/>
      <c r="J1558" s="61"/>
      <c r="K1558" s="61"/>
      <c r="L1558" s="60"/>
      <c r="M1558" s="74" t="str">
        <f>IF($C1558="","",IF($D1558="Gider",$E1558,IF($L1558&lt;&gt;"",$L1558,$H1558)))</f>
        <v/>
      </c>
      <c r="N1558" s="74" t="str">
        <f>IF($C1558="","",IF($D1558="Gider",$H1558,$E1558))</f>
        <v/>
      </c>
      <c r="O1558" s="73" t="str">
        <f>IF($C1558="","",DATE(YEAR($C1558),MONTH($C1558),1))</f>
        <v/>
      </c>
      <c r="P1558" s="65" t="str">
        <f ca="1">IF($C1558="","",IF(AND($D1558="Gelir",$L1558&lt;&gt;"",$T1558=""),"TANIMSIZ BORÇLU",IF($T1558&lt;&gt;"",IF(OR($E1558="",$G1558&lt;=0),"EKSİK",IF($I1558="Evet","TAHAKKUK NAKİT OLAMAZ",IF($C1558&gt;TODAY(),"İLERİ TARİH","TAHAKKUK"))),IF(AND($D1558&lt;&gt;"",$E1558&lt;&gt;"",$G1558&gt;0,$H1558&lt;&gt;"",$I1558&lt;&gt;""),IF($C1558&gt;TODAY(),"İLERİ TARİH",IF(COUNTIF($W$7:$W$3001,$W1558)&gt;1,"MÜKERRER?",IF($AD1558&gt;0,"KAPALI DÖNEM",IF($I1558="Hayır","ÖDENECEK","UYGUN")))),"EKSİK"))))</f>
        <v/>
      </c>
      <c r="Q1558" s="2"/>
      <c r="R1558" s="2"/>
      <c r="S1558" s="1" t="str">
        <f t="shared" si="74"/>
        <v/>
      </c>
      <c r="T1558" s="1" t="str">
        <f>IF(OR($C1558="",$D1558&lt;&gt;"Gelir",$L1558=""),"",IFERROR(INDEX(MUSTERILER!$B$7:$B$156,MATCH($S1558,MUSTERILER!$T$7:$T$156,0)),""))</f>
        <v/>
      </c>
      <c r="U1558" s="1" t="str">
        <f>IF($T1558="","",$T1558&amp;"|"&amp;COUNTIFS($T$7:$T1558,$T1558))</f>
        <v/>
      </c>
      <c r="V1558" s="1">
        <f t="shared" si="75"/>
        <v>0</v>
      </c>
      <c r="W1558" s="1" t="str">
        <f t="shared" si="76"/>
        <v/>
      </c>
      <c r="X1558" s="1"/>
      <c r="Y1558" s="1"/>
      <c r="Z1558" s="1"/>
      <c r="AA1558" s="1"/>
      <c r="AB1558" s="1"/>
      <c r="AC1558" s="1"/>
      <c r="AD1558" s="1">
        <f>IF($C1558="",0,SUMPRODUCT((AY_SONU!$O$7:$O$42="Evet")*(AY_SONU!$B$7:$B$42=DATE(YEAR($C1558),MONTH($C1558),1))))</f>
        <v>0</v>
      </c>
      <c r="AE1558" s="1" t="str">
        <f>IF($E1558="","",$E1558&amp;"|"&amp;COUNTIFS($E$7:$E1558,$E1558))</f>
        <v/>
      </c>
    </row>
    <row r="1559" spans="1:31" ht="18" customHeight="1" x14ac:dyDescent="0.3">
      <c r="A1559" s="2"/>
      <c r="B1559" s="65" t="str">
        <f>IF($C1559="","","GG"&amp;TEXT(ROW()-6,"00000"))</f>
        <v/>
      </c>
      <c r="C1559" s="66"/>
      <c r="D1559" s="60"/>
      <c r="E1559" s="61"/>
      <c r="F1559" s="61"/>
      <c r="G1559" s="67"/>
      <c r="H1559" s="60"/>
      <c r="I1559" s="60"/>
      <c r="J1559" s="61"/>
      <c r="K1559" s="61"/>
      <c r="L1559" s="60"/>
      <c r="M1559" s="74" t="str">
        <f>IF($C1559="","",IF($D1559="Gider",$E1559,IF($L1559&lt;&gt;"",$L1559,$H1559)))</f>
        <v/>
      </c>
      <c r="N1559" s="74" t="str">
        <f>IF($C1559="","",IF($D1559="Gider",$H1559,$E1559))</f>
        <v/>
      </c>
      <c r="O1559" s="73" t="str">
        <f>IF($C1559="","",DATE(YEAR($C1559),MONTH($C1559),1))</f>
        <v/>
      </c>
      <c r="P1559" s="65" t="str">
        <f ca="1">IF($C1559="","",IF(AND($D1559="Gelir",$L1559&lt;&gt;"",$T1559=""),"TANIMSIZ BORÇLU",IF($T1559&lt;&gt;"",IF(OR($E1559="",$G1559&lt;=0),"EKSİK",IF($I1559="Evet","TAHAKKUK NAKİT OLAMAZ",IF($C1559&gt;TODAY(),"İLERİ TARİH","TAHAKKUK"))),IF(AND($D1559&lt;&gt;"",$E1559&lt;&gt;"",$G1559&gt;0,$H1559&lt;&gt;"",$I1559&lt;&gt;""),IF($C1559&gt;TODAY(),"İLERİ TARİH",IF(COUNTIF($W$7:$W$3001,$W1559)&gt;1,"MÜKERRER?",IF($AD1559&gt;0,"KAPALI DÖNEM",IF($I1559="Hayır","ÖDENECEK","UYGUN")))),"EKSİK"))))</f>
        <v/>
      </c>
      <c r="Q1559" s="2"/>
      <c r="R1559" s="2"/>
      <c r="S1559" s="1" t="str">
        <f t="shared" si="74"/>
        <v/>
      </c>
      <c r="T1559" s="1" t="str">
        <f>IF(OR($C1559="",$D1559&lt;&gt;"Gelir",$L1559=""),"",IFERROR(INDEX(MUSTERILER!$B$7:$B$156,MATCH($S1559,MUSTERILER!$T$7:$T$156,0)),""))</f>
        <v/>
      </c>
      <c r="U1559" s="1" t="str">
        <f>IF($T1559="","",$T1559&amp;"|"&amp;COUNTIFS($T$7:$T1559,$T1559))</f>
        <v/>
      </c>
      <c r="V1559" s="1">
        <f t="shared" si="75"/>
        <v>0</v>
      </c>
      <c r="W1559" s="1" t="str">
        <f t="shared" si="76"/>
        <v/>
      </c>
      <c r="X1559" s="1"/>
      <c r="Y1559" s="1"/>
      <c r="Z1559" s="1"/>
      <c r="AA1559" s="1"/>
      <c r="AB1559" s="1"/>
      <c r="AC1559" s="1"/>
      <c r="AD1559" s="1">
        <f>IF($C1559="",0,SUMPRODUCT((AY_SONU!$O$7:$O$42="Evet")*(AY_SONU!$B$7:$B$42=DATE(YEAR($C1559),MONTH($C1559),1))))</f>
        <v>0</v>
      </c>
      <c r="AE1559" s="1" t="str">
        <f>IF($E1559="","",$E1559&amp;"|"&amp;COUNTIFS($E$7:$E1559,$E1559))</f>
        <v/>
      </c>
    </row>
    <row r="1560" spans="1:31" ht="18" customHeight="1" x14ac:dyDescent="0.3">
      <c r="A1560" s="2"/>
      <c r="B1560" s="65" t="str">
        <f>IF($C1560="","","GG"&amp;TEXT(ROW()-6,"00000"))</f>
        <v/>
      </c>
      <c r="C1560" s="66"/>
      <c r="D1560" s="60"/>
      <c r="E1560" s="61"/>
      <c r="F1560" s="61"/>
      <c r="G1560" s="67"/>
      <c r="H1560" s="60"/>
      <c r="I1560" s="60"/>
      <c r="J1560" s="61"/>
      <c r="K1560" s="61"/>
      <c r="L1560" s="60"/>
      <c r="M1560" s="74" t="str">
        <f>IF($C1560="","",IF($D1560="Gider",$E1560,IF($L1560&lt;&gt;"",$L1560,$H1560)))</f>
        <v/>
      </c>
      <c r="N1560" s="74" t="str">
        <f>IF($C1560="","",IF($D1560="Gider",$H1560,$E1560))</f>
        <v/>
      </c>
      <c r="O1560" s="73" t="str">
        <f>IF($C1560="","",DATE(YEAR($C1560),MONTH($C1560),1))</f>
        <v/>
      </c>
      <c r="P1560" s="65" t="str">
        <f ca="1">IF($C1560="","",IF(AND($D1560="Gelir",$L1560&lt;&gt;"",$T1560=""),"TANIMSIZ BORÇLU",IF($T1560&lt;&gt;"",IF(OR($E1560="",$G1560&lt;=0),"EKSİK",IF($I1560="Evet","TAHAKKUK NAKİT OLAMAZ",IF($C1560&gt;TODAY(),"İLERİ TARİH","TAHAKKUK"))),IF(AND($D1560&lt;&gt;"",$E1560&lt;&gt;"",$G1560&gt;0,$H1560&lt;&gt;"",$I1560&lt;&gt;""),IF($C1560&gt;TODAY(),"İLERİ TARİH",IF(COUNTIF($W$7:$W$3001,$W1560)&gt;1,"MÜKERRER?",IF($AD1560&gt;0,"KAPALI DÖNEM",IF($I1560="Hayır","ÖDENECEK","UYGUN")))),"EKSİK"))))</f>
        <v/>
      </c>
      <c r="Q1560" s="2"/>
      <c r="R1560" s="2"/>
      <c r="S1560" s="1" t="str">
        <f t="shared" si="74"/>
        <v/>
      </c>
      <c r="T1560" s="1" t="str">
        <f>IF(OR($C1560="",$D1560&lt;&gt;"Gelir",$L1560=""),"",IFERROR(INDEX(MUSTERILER!$B$7:$B$156,MATCH($S1560,MUSTERILER!$T$7:$T$156,0)),""))</f>
        <v/>
      </c>
      <c r="U1560" s="1" t="str">
        <f>IF($T1560="","",$T1560&amp;"|"&amp;COUNTIFS($T$7:$T1560,$T1560))</f>
        <v/>
      </c>
      <c r="V1560" s="1">
        <f t="shared" si="75"/>
        <v>0</v>
      </c>
      <c r="W1560" s="1" t="str">
        <f t="shared" si="76"/>
        <v/>
      </c>
      <c r="X1560" s="1"/>
      <c r="Y1560" s="1"/>
      <c r="Z1560" s="1"/>
      <c r="AA1560" s="1"/>
      <c r="AB1560" s="1"/>
      <c r="AC1560" s="1"/>
      <c r="AD1560" s="1">
        <f>IF($C1560="",0,SUMPRODUCT((AY_SONU!$O$7:$O$42="Evet")*(AY_SONU!$B$7:$B$42=DATE(YEAR($C1560),MONTH($C1560),1))))</f>
        <v>0</v>
      </c>
      <c r="AE1560" s="1" t="str">
        <f>IF($E1560="","",$E1560&amp;"|"&amp;COUNTIFS($E$7:$E1560,$E1560))</f>
        <v/>
      </c>
    </row>
    <row r="1561" spans="1:31" ht="18" customHeight="1" x14ac:dyDescent="0.3">
      <c r="A1561" s="2"/>
      <c r="B1561" s="65" t="str">
        <f>IF($C1561="","","GG"&amp;TEXT(ROW()-6,"00000"))</f>
        <v/>
      </c>
      <c r="C1561" s="66"/>
      <c r="D1561" s="60"/>
      <c r="E1561" s="61"/>
      <c r="F1561" s="61"/>
      <c r="G1561" s="67"/>
      <c r="H1561" s="60"/>
      <c r="I1561" s="60"/>
      <c r="J1561" s="61"/>
      <c r="K1561" s="61"/>
      <c r="L1561" s="60"/>
      <c r="M1561" s="74" t="str">
        <f>IF($C1561="","",IF($D1561="Gider",$E1561,IF($L1561&lt;&gt;"",$L1561,$H1561)))</f>
        <v/>
      </c>
      <c r="N1561" s="74" t="str">
        <f>IF($C1561="","",IF($D1561="Gider",$H1561,$E1561))</f>
        <v/>
      </c>
      <c r="O1561" s="73" t="str">
        <f>IF($C1561="","",DATE(YEAR($C1561),MONTH($C1561),1))</f>
        <v/>
      </c>
      <c r="P1561" s="65" t="str">
        <f ca="1">IF($C1561="","",IF(AND($D1561="Gelir",$L1561&lt;&gt;"",$T1561=""),"TANIMSIZ BORÇLU",IF($T1561&lt;&gt;"",IF(OR($E1561="",$G1561&lt;=0),"EKSİK",IF($I1561="Evet","TAHAKKUK NAKİT OLAMAZ",IF($C1561&gt;TODAY(),"İLERİ TARİH","TAHAKKUK"))),IF(AND($D1561&lt;&gt;"",$E1561&lt;&gt;"",$G1561&gt;0,$H1561&lt;&gt;"",$I1561&lt;&gt;""),IF($C1561&gt;TODAY(),"İLERİ TARİH",IF(COUNTIF($W$7:$W$3001,$W1561)&gt;1,"MÜKERRER?",IF($AD1561&gt;0,"KAPALI DÖNEM",IF($I1561="Hayır","ÖDENECEK","UYGUN")))),"EKSİK"))))</f>
        <v/>
      </c>
      <c r="Q1561" s="2"/>
      <c r="R1561" s="2"/>
      <c r="S1561" s="1" t="str">
        <f t="shared" si="74"/>
        <v/>
      </c>
      <c r="T1561" s="1" t="str">
        <f>IF(OR($C1561="",$D1561&lt;&gt;"Gelir",$L1561=""),"",IFERROR(INDEX(MUSTERILER!$B$7:$B$156,MATCH($S1561,MUSTERILER!$T$7:$T$156,0)),""))</f>
        <v/>
      </c>
      <c r="U1561" s="1" t="str">
        <f>IF($T1561="","",$T1561&amp;"|"&amp;COUNTIFS($T$7:$T1561,$T1561))</f>
        <v/>
      </c>
      <c r="V1561" s="1">
        <f t="shared" si="75"/>
        <v>0</v>
      </c>
      <c r="W1561" s="1" t="str">
        <f t="shared" si="76"/>
        <v/>
      </c>
      <c r="X1561" s="1"/>
      <c r="Y1561" s="1"/>
      <c r="Z1561" s="1"/>
      <c r="AA1561" s="1"/>
      <c r="AB1561" s="1"/>
      <c r="AC1561" s="1"/>
      <c r="AD1561" s="1">
        <f>IF($C1561="",0,SUMPRODUCT((AY_SONU!$O$7:$O$42="Evet")*(AY_SONU!$B$7:$B$42=DATE(YEAR($C1561),MONTH($C1561),1))))</f>
        <v>0</v>
      </c>
      <c r="AE1561" s="1" t="str">
        <f>IF($E1561="","",$E1561&amp;"|"&amp;COUNTIFS($E$7:$E1561,$E1561))</f>
        <v/>
      </c>
    </row>
    <row r="1562" spans="1:31" ht="18" customHeight="1" x14ac:dyDescent="0.3">
      <c r="A1562" s="2"/>
      <c r="B1562" s="65" t="str">
        <f>IF($C1562="","","GG"&amp;TEXT(ROW()-6,"00000"))</f>
        <v/>
      </c>
      <c r="C1562" s="66"/>
      <c r="D1562" s="60"/>
      <c r="E1562" s="61"/>
      <c r="F1562" s="61"/>
      <c r="G1562" s="67"/>
      <c r="H1562" s="60"/>
      <c r="I1562" s="60"/>
      <c r="J1562" s="61"/>
      <c r="K1562" s="61"/>
      <c r="L1562" s="60"/>
      <c r="M1562" s="74" t="str">
        <f>IF($C1562="","",IF($D1562="Gider",$E1562,IF($L1562&lt;&gt;"",$L1562,$H1562)))</f>
        <v/>
      </c>
      <c r="N1562" s="74" t="str">
        <f>IF($C1562="","",IF($D1562="Gider",$H1562,$E1562))</f>
        <v/>
      </c>
      <c r="O1562" s="73" t="str">
        <f>IF($C1562="","",DATE(YEAR($C1562),MONTH($C1562),1))</f>
        <v/>
      </c>
      <c r="P1562" s="65" t="str">
        <f ca="1">IF($C1562="","",IF(AND($D1562="Gelir",$L1562&lt;&gt;"",$T1562=""),"TANIMSIZ BORÇLU",IF($T1562&lt;&gt;"",IF(OR($E1562="",$G1562&lt;=0),"EKSİK",IF($I1562="Evet","TAHAKKUK NAKİT OLAMAZ",IF($C1562&gt;TODAY(),"İLERİ TARİH","TAHAKKUK"))),IF(AND($D1562&lt;&gt;"",$E1562&lt;&gt;"",$G1562&gt;0,$H1562&lt;&gt;"",$I1562&lt;&gt;""),IF($C1562&gt;TODAY(),"İLERİ TARİH",IF(COUNTIF($W$7:$W$3001,$W1562)&gt;1,"MÜKERRER?",IF($AD1562&gt;0,"KAPALI DÖNEM",IF($I1562="Hayır","ÖDENECEK","UYGUN")))),"EKSİK"))))</f>
        <v/>
      </c>
      <c r="Q1562" s="2"/>
      <c r="R1562" s="2"/>
      <c r="S1562" s="1" t="str">
        <f t="shared" si="74"/>
        <v/>
      </c>
      <c r="T1562" s="1" t="str">
        <f>IF(OR($C1562="",$D1562&lt;&gt;"Gelir",$L1562=""),"",IFERROR(INDEX(MUSTERILER!$B$7:$B$156,MATCH($S1562,MUSTERILER!$T$7:$T$156,0)),""))</f>
        <v/>
      </c>
      <c r="U1562" s="1" t="str">
        <f>IF($T1562="","",$T1562&amp;"|"&amp;COUNTIFS($T$7:$T1562,$T1562))</f>
        <v/>
      </c>
      <c r="V1562" s="1">
        <f t="shared" si="75"/>
        <v>0</v>
      </c>
      <c r="W1562" s="1" t="str">
        <f t="shared" si="76"/>
        <v/>
      </c>
      <c r="X1562" s="1"/>
      <c r="Y1562" s="1"/>
      <c r="Z1562" s="1"/>
      <c r="AA1562" s="1"/>
      <c r="AB1562" s="1"/>
      <c r="AC1562" s="1"/>
      <c r="AD1562" s="1">
        <f>IF($C1562="",0,SUMPRODUCT((AY_SONU!$O$7:$O$42="Evet")*(AY_SONU!$B$7:$B$42=DATE(YEAR($C1562),MONTH($C1562),1))))</f>
        <v>0</v>
      </c>
      <c r="AE1562" s="1" t="str">
        <f>IF($E1562="","",$E1562&amp;"|"&amp;COUNTIFS($E$7:$E1562,$E1562))</f>
        <v/>
      </c>
    </row>
    <row r="1563" spans="1:31" ht="18" customHeight="1" x14ac:dyDescent="0.3">
      <c r="A1563" s="2"/>
      <c r="B1563" s="65" t="str">
        <f>IF($C1563="","","GG"&amp;TEXT(ROW()-6,"00000"))</f>
        <v/>
      </c>
      <c r="C1563" s="66"/>
      <c r="D1563" s="60"/>
      <c r="E1563" s="61"/>
      <c r="F1563" s="61"/>
      <c r="G1563" s="67"/>
      <c r="H1563" s="60"/>
      <c r="I1563" s="60"/>
      <c r="J1563" s="61"/>
      <c r="K1563" s="61"/>
      <c r="L1563" s="60"/>
      <c r="M1563" s="74" t="str">
        <f>IF($C1563="","",IF($D1563="Gider",$E1563,IF($L1563&lt;&gt;"",$L1563,$H1563)))</f>
        <v/>
      </c>
      <c r="N1563" s="74" t="str">
        <f>IF($C1563="","",IF($D1563="Gider",$H1563,$E1563))</f>
        <v/>
      </c>
      <c r="O1563" s="73" t="str">
        <f>IF($C1563="","",DATE(YEAR($C1563),MONTH($C1563),1))</f>
        <v/>
      </c>
      <c r="P1563" s="65" t="str">
        <f ca="1">IF($C1563="","",IF(AND($D1563="Gelir",$L1563&lt;&gt;"",$T1563=""),"TANIMSIZ BORÇLU",IF($T1563&lt;&gt;"",IF(OR($E1563="",$G1563&lt;=0),"EKSİK",IF($I1563="Evet","TAHAKKUK NAKİT OLAMAZ",IF($C1563&gt;TODAY(),"İLERİ TARİH","TAHAKKUK"))),IF(AND($D1563&lt;&gt;"",$E1563&lt;&gt;"",$G1563&gt;0,$H1563&lt;&gt;"",$I1563&lt;&gt;""),IF($C1563&gt;TODAY(),"İLERİ TARİH",IF(COUNTIF($W$7:$W$3001,$W1563)&gt;1,"MÜKERRER?",IF($AD1563&gt;0,"KAPALI DÖNEM",IF($I1563="Hayır","ÖDENECEK","UYGUN")))),"EKSİK"))))</f>
        <v/>
      </c>
      <c r="Q1563" s="2"/>
      <c r="R1563" s="2"/>
      <c r="S1563" s="1" t="str">
        <f t="shared" si="74"/>
        <v/>
      </c>
      <c r="T1563" s="1" t="str">
        <f>IF(OR($C1563="",$D1563&lt;&gt;"Gelir",$L1563=""),"",IFERROR(INDEX(MUSTERILER!$B$7:$B$156,MATCH($S1563,MUSTERILER!$T$7:$T$156,0)),""))</f>
        <v/>
      </c>
      <c r="U1563" s="1" t="str">
        <f>IF($T1563="","",$T1563&amp;"|"&amp;COUNTIFS($T$7:$T1563,$T1563))</f>
        <v/>
      </c>
      <c r="V1563" s="1">
        <f t="shared" si="75"/>
        <v>0</v>
      </c>
      <c r="W1563" s="1" t="str">
        <f t="shared" si="76"/>
        <v/>
      </c>
      <c r="X1563" s="1"/>
      <c r="Y1563" s="1"/>
      <c r="Z1563" s="1"/>
      <c r="AA1563" s="1"/>
      <c r="AB1563" s="1"/>
      <c r="AC1563" s="1"/>
      <c r="AD1563" s="1">
        <f>IF($C1563="",0,SUMPRODUCT((AY_SONU!$O$7:$O$42="Evet")*(AY_SONU!$B$7:$B$42=DATE(YEAR($C1563),MONTH($C1563),1))))</f>
        <v>0</v>
      </c>
      <c r="AE1563" s="1" t="str">
        <f>IF($E1563="","",$E1563&amp;"|"&amp;COUNTIFS($E$7:$E1563,$E1563))</f>
        <v/>
      </c>
    </row>
    <row r="1564" spans="1:31" ht="18" customHeight="1" x14ac:dyDescent="0.3">
      <c r="A1564" s="2"/>
      <c r="B1564" s="65" t="str">
        <f>IF($C1564="","","GG"&amp;TEXT(ROW()-6,"00000"))</f>
        <v/>
      </c>
      <c r="C1564" s="66"/>
      <c r="D1564" s="60"/>
      <c r="E1564" s="61"/>
      <c r="F1564" s="61"/>
      <c r="G1564" s="67"/>
      <c r="H1564" s="60"/>
      <c r="I1564" s="60"/>
      <c r="J1564" s="61"/>
      <c r="K1564" s="61"/>
      <c r="L1564" s="60"/>
      <c r="M1564" s="74" t="str">
        <f>IF($C1564="","",IF($D1564="Gider",$E1564,IF($L1564&lt;&gt;"",$L1564,$H1564)))</f>
        <v/>
      </c>
      <c r="N1564" s="74" t="str">
        <f>IF($C1564="","",IF($D1564="Gider",$H1564,$E1564))</f>
        <v/>
      </c>
      <c r="O1564" s="73" t="str">
        <f>IF($C1564="","",DATE(YEAR($C1564),MONTH($C1564),1))</f>
        <v/>
      </c>
      <c r="P1564" s="65" t="str">
        <f ca="1">IF($C1564="","",IF(AND($D1564="Gelir",$L1564&lt;&gt;"",$T1564=""),"TANIMSIZ BORÇLU",IF($T1564&lt;&gt;"",IF(OR($E1564="",$G1564&lt;=0),"EKSİK",IF($I1564="Evet","TAHAKKUK NAKİT OLAMAZ",IF($C1564&gt;TODAY(),"İLERİ TARİH","TAHAKKUK"))),IF(AND($D1564&lt;&gt;"",$E1564&lt;&gt;"",$G1564&gt;0,$H1564&lt;&gt;"",$I1564&lt;&gt;""),IF($C1564&gt;TODAY(),"İLERİ TARİH",IF(COUNTIF($W$7:$W$3001,$W1564)&gt;1,"MÜKERRER?",IF($AD1564&gt;0,"KAPALI DÖNEM",IF($I1564="Hayır","ÖDENECEK","UYGUN")))),"EKSİK"))))</f>
        <v/>
      </c>
      <c r="Q1564" s="2"/>
      <c r="R1564" s="2"/>
      <c r="S1564" s="1" t="str">
        <f t="shared" si="74"/>
        <v/>
      </c>
      <c r="T1564" s="1" t="str">
        <f>IF(OR($C1564="",$D1564&lt;&gt;"Gelir",$L1564=""),"",IFERROR(INDEX(MUSTERILER!$B$7:$B$156,MATCH($S1564,MUSTERILER!$T$7:$T$156,0)),""))</f>
        <v/>
      </c>
      <c r="U1564" s="1" t="str">
        <f>IF($T1564="","",$T1564&amp;"|"&amp;COUNTIFS($T$7:$T1564,$T1564))</f>
        <v/>
      </c>
      <c r="V1564" s="1">
        <f t="shared" si="75"/>
        <v>0</v>
      </c>
      <c r="W1564" s="1" t="str">
        <f t="shared" si="76"/>
        <v/>
      </c>
      <c r="X1564" s="1"/>
      <c r="Y1564" s="1"/>
      <c r="Z1564" s="1"/>
      <c r="AA1564" s="1"/>
      <c r="AB1564" s="1"/>
      <c r="AC1564" s="1"/>
      <c r="AD1564" s="1">
        <f>IF($C1564="",0,SUMPRODUCT((AY_SONU!$O$7:$O$42="Evet")*(AY_SONU!$B$7:$B$42=DATE(YEAR($C1564),MONTH($C1564),1))))</f>
        <v>0</v>
      </c>
      <c r="AE1564" s="1" t="str">
        <f>IF($E1564="","",$E1564&amp;"|"&amp;COUNTIFS($E$7:$E1564,$E1564))</f>
        <v/>
      </c>
    </row>
    <row r="1565" spans="1:31" ht="18" customHeight="1" x14ac:dyDescent="0.3">
      <c r="A1565" s="2"/>
      <c r="B1565" s="65" t="str">
        <f>IF($C1565="","","GG"&amp;TEXT(ROW()-6,"00000"))</f>
        <v/>
      </c>
      <c r="C1565" s="66"/>
      <c r="D1565" s="60"/>
      <c r="E1565" s="61"/>
      <c r="F1565" s="61"/>
      <c r="G1565" s="67"/>
      <c r="H1565" s="60"/>
      <c r="I1565" s="60"/>
      <c r="J1565" s="61"/>
      <c r="K1565" s="61"/>
      <c r="L1565" s="60"/>
      <c r="M1565" s="74" t="str">
        <f>IF($C1565="","",IF($D1565="Gider",$E1565,IF($L1565&lt;&gt;"",$L1565,$H1565)))</f>
        <v/>
      </c>
      <c r="N1565" s="74" t="str">
        <f>IF($C1565="","",IF($D1565="Gider",$H1565,$E1565))</f>
        <v/>
      </c>
      <c r="O1565" s="73" t="str">
        <f>IF($C1565="","",DATE(YEAR($C1565),MONTH($C1565),1))</f>
        <v/>
      </c>
      <c r="P1565" s="65" t="str">
        <f ca="1">IF($C1565="","",IF(AND($D1565="Gelir",$L1565&lt;&gt;"",$T1565=""),"TANIMSIZ BORÇLU",IF($T1565&lt;&gt;"",IF(OR($E1565="",$G1565&lt;=0),"EKSİK",IF($I1565="Evet","TAHAKKUK NAKİT OLAMAZ",IF($C1565&gt;TODAY(),"İLERİ TARİH","TAHAKKUK"))),IF(AND($D1565&lt;&gt;"",$E1565&lt;&gt;"",$G1565&gt;0,$H1565&lt;&gt;"",$I1565&lt;&gt;""),IF($C1565&gt;TODAY(),"İLERİ TARİH",IF(COUNTIF($W$7:$W$3001,$W1565)&gt;1,"MÜKERRER?",IF($AD1565&gt;0,"KAPALI DÖNEM",IF($I1565="Hayır","ÖDENECEK","UYGUN")))),"EKSİK"))))</f>
        <v/>
      </c>
      <c r="Q1565" s="2"/>
      <c r="R1565" s="2"/>
      <c r="S1565" s="1" t="str">
        <f t="shared" si="74"/>
        <v/>
      </c>
      <c r="T1565" s="1" t="str">
        <f>IF(OR($C1565="",$D1565&lt;&gt;"Gelir",$L1565=""),"",IFERROR(INDEX(MUSTERILER!$B$7:$B$156,MATCH($S1565,MUSTERILER!$T$7:$T$156,0)),""))</f>
        <v/>
      </c>
      <c r="U1565" s="1" t="str">
        <f>IF($T1565="","",$T1565&amp;"|"&amp;COUNTIFS($T$7:$T1565,$T1565))</f>
        <v/>
      </c>
      <c r="V1565" s="1">
        <f t="shared" si="75"/>
        <v>0</v>
      </c>
      <c r="W1565" s="1" t="str">
        <f t="shared" si="76"/>
        <v/>
      </c>
      <c r="X1565" s="1"/>
      <c r="Y1565" s="1"/>
      <c r="Z1565" s="1"/>
      <c r="AA1565" s="1"/>
      <c r="AB1565" s="1"/>
      <c r="AC1565" s="1"/>
      <c r="AD1565" s="1">
        <f>IF($C1565="",0,SUMPRODUCT((AY_SONU!$O$7:$O$42="Evet")*(AY_SONU!$B$7:$B$42=DATE(YEAR($C1565),MONTH($C1565),1))))</f>
        <v>0</v>
      </c>
      <c r="AE1565" s="1" t="str">
        <f>IF($E1565="","",$E1565&amp;"|"&amp;COUNTIFS($E$7:$E1565,$E1565))</f>
        <v/>
      </c>
    </row>
    <row r="1566" spans="1:31" ht="18" customHeight="1" x14ac:dyDescent="0.3">
      <c r="A1566" s="2"/>
      <c r="B1566" s="65" t="str">
        <f>IF($C1566="","","GG"&amp;TEXT(ROW()-6,"00000"))</f>
        <v/>
      </c>
      <c r="C1566" s="66"/>
      <c r="D1566" s="60"/>
      <c r="E1566" s="61"/>
      <c r="F1566" s="61"/>
      <c r="G1566" s="67"/>
      <c r="H1566" s="60"/>
      <c r="I1566" s="60"/>
      <c r="J1566" s="61"/>
      <c r="K1566" s="61"/>
      <c r="L1566" s="60"/>
      <c r="M1566" s="74" t="str">
        <f>IF($C1566="","",IF($D1566="Gider",$E1566,IF($L1566&lt;&gt;"",$L1566,$H1566)))</f>
        <v/>
      </c>
      <c r="N1566" s="74" t="str">
        <f>IF($C1566="","",IF($D1566="Gider",$H1566,$E1566))</f>
        <v/>
      </c>
      <c r="O1566" s="73" t="str">
        <f>IF($C1566="","",DATE(YEAR($C1566),MONTH($C1566),1))</f>
        <v/>
      </c>
      <c r="P1566" s="65" t="str">
        <f ca="1">IF($C1566="","",IF(AND($D1566="Gelir",$L1566&lt;&gt;"",$T1566=""),"TANIMSIZ BORÇLU",IF($T1566&lt;&gt;"",IF(OR($E1566="",$G1566&lt;=0),"EKSİK",IF($I1566="Evet","TAHAKKUK NAKİT OLAMAZ",IF($C1566&gt;TODAY(),"İLERİ TARİH","TAHAKKUK"))),IF(AND($D1566&lt;&gt;"",$E1566&lt;&gt;"",$G1566&gt;0,$H1566&lt;&gt;"",$I1566&lt;&gt;""),IF($C1566&gt;TODAY(),"İLERİ TARİH",IF(COUNTIF($W$7:$W$3001,$W1566)&gt;1,"MÜKERRER?",IF($AD1566&gt;0,"KAPALI DÖNEM",IF($I1566="Hayır","ÖDENECEK","UYGUN")))),"EKSİK"))))</f>
        <v/>
      </c>
      <c r="Q1566" s="2"/>
      <c r="R1566" s="2"/>
      <c r="S1566" s="1" t="str">
        <f t="shared" si="74"/>
        <v/>
      </c>
      <c r="T1566" s="1" t="str">
        <f>IF(OR($C1566="",$D1566&lt;&gt;"Gelir",$L1566=""),"",IFERROR(INDEX(MUSTERILER!$B$7:$B$156,MATCH($S1566,MUSTERILER!$T$7:$T$156,0)),""))</f>
        <v/>
      </c>
      <c r="U1566" s="1" t="str">
        <f>IF($T1566="","",$T1566&amp;"|"&amp;COUNTIFS($T$7:$T1566,$T1566))</f>
        <v/>
      </c>
      <c r="V1566" s="1">
        <f t="shared" si="75"/>
        <v>0</v>
      </c>
      <c r="W1566" s="1" t="str">
        <f t="shared" si="76"/>
        <v/>
      </c>
      <c r="X1566" s="1"/>
      <c r="Y1566" s="1"/>
      <c r="Z1566" s="1"/>
      <c r="AA1566" s="1"/>
      <c r="AB1566" s="1"/>
      <c r="AC1566" s="1"/>
      <c r="AD1566" s="1">
        <f>IF($C1566="",0,SUMPRODUCT((AY_SONU!$O$7:$O$42="Evet")*(AY_SONU!$B$7:$B$42=DATE(YEAR($C1566),MONTH($C1566),1))))</f>
        <v>0</v>
      </c>
      <c r="AE1566" s="1" t="str">
        <f>IF($E1566="","",$E1566&amp;"|"&amp;COUNTIFS($E$7:$E1566,$E1566))</f>
        <v/>
      </c>
    </row>
    <row r="1567" spans="1:31" ht="18" customHeight="1" x14ac:dyDescent="0.3">
      <c r="A1567" s="2"/>
      <c r="B1567" s="65" t="str">
        <f>IF($C1567="","","GG"&amp;TEXT(ROW()-6,"00000"))</f>
        <v/>
      </c>
      <c r="C1567" s="66"/>
      <c r="D1567" s="60"/>
      <c r="E1567" s="61"/>
      <c r="F1567" s="61"/>
      <c r="G1567" s="67"/>
      <c r="H1567" s="60"/>
      <c r="I1567" s="60"/>
      <c r="J1567" s="61"/>
      <c r="K1567" s="61"/>
      <c r="L1567" s="60"/>
      <c r="M1567" s="74" t="str">
        <f>IF($C1567="","",IF($D1567="Gider",$E1567,IF($L1567&lt;&gt;"",$L1567,$H1567)))</f>
        <v/>
      </c>
      <c r="N1567" s="74" t="str">
        <f>IF($C1567="","",IF($D1567="Gider",$H1567,$E1567))</f>
        <v/>
      </c>
      <c r="O1567" s="73" t="str">
        <f>IF($C1567="","",DATE(YEAR($C1567),MONTH($C1567),1))</f>
        <v/>
      </c>
      <c r="P1567" s="65" t="str">
        <f ca="1">IF($C1567="","",IF(AND($D1567="Gelir",$L1567&lt;&gt;"",$T1567=""),"TANIMSIZ BORÇLU",IF($T1567&lt;&gt;"",IF(OR($E1567="",$G1567&lt;=0),"EKSİK",IF($I1567="Evet","TAHAKKUK NAKİT OLAMAZ",IF($C1567&gt;TODAY(),"İLERİ TARİH","TAHAKKUK"))),IF(AND($D1567&lt;&gt;"",$E1567&lt;&gt;"",$G1567&gt;0,$H1567&lt;&gt;"",$I1567&lt;&gt;""),IF($C1567&gt;TODAY(),"İLERİ TARİH",IF(COUNTIF($W$7:$W$3001,$W1567)&gt;1,"MÜKERRER?",IF($AD1567&gt;0,"KAPALI DÖNEM",IF($I1567="Hayır","ÖDENECEK","UYGUN")))),"EKSİK"))))</f>
        <v/>
      </c>
      <c r="Q1567" s="2"/>
      <c r="R1567" s="2"/>
      <c r="S1567" s="1" t="str">
        <f t="shared" si="74"/>
        <v/>
      </c>
      <c r="T1567" s="1" t="str">
        <f>IF(OR($C1567="",$D1567&lt;&gt;"Gelir",$L1567=""),"",IFERROR(INDEX(MUSTERILER!$B$7:$B$156,MATCH($S1567,MUSTERILER!$T$7:$T$156,0)),""))</f>
        <v/>
      </c>
      <c r="U1567" s="1" t="str">
        <f>IF($T1567="","",$T1567&amp;"|"&amp;COUNTIFS($T$7:$T1567,$T1567))</f>
        <v/>
      </c>
      <c r="V1567" s="1">
        <f t="shared" si="75"/>
        <v>0</v>
      </c>
      <c r="W1567" s="1" t="str">
        <f t="shared" si="76"/>
        <v/>
      </c>
      <c r="X1567" s="1"/>
      <c r="Y1567" s="1"/>
      <c r="Z1567" s="1"/>
      <c r="AA1567" s="1"/>
      <c r="AB1567" s="1"/>
      <c r="AC1567" s="1"/>
      <c r="AD1567" s="1">
        <f>IF($C1567="",0,SUMPRODUCT((AY_SONU!$O$7:$O$42="Evet")*(AY_SONU!$B$7:$B$42=DATE(YEAR($C1567),MONTH($C1567),1))))</f>
        <v>0</v>
      </c>
      <c r="AE1567" s="1" t="str">
        <f>IF($E1567="","",$E1567&amp;"|"&amp;COUNTIFS($E$7:$E1567,$E1567))</f>
        <v/>
      </c>
    </row>
    <row r="1568" spans="1:31" ht="18" customHeight="1" x14ac:dyDescent="0.3">
      <c r="A1568" s="2"/>
      <c r="B1568" s="65" t="str">
        <f>IF($C1568="","","GG"&amp;TEXT(ROW()-6,"00000"))</f>
        <v/>
      </c>
      <c r="C1568" s="66"/>
      <c r="D1568" s="60"/>
      <c r="E1568" s="61"/>
      <c r="F1568" s="61"/>
      <c r="G1568" s="67"/>
      <c r="H1568" s="60"/>
      <c r="I1568" s="60"/>
      <c r="J1568" s="61"/>
      <c r="K1568" s="61"/>
      <c r="L1568" s="60"/>
      <c r="M1568" s="74" t="str">
        <f>IF($C1568="","",IF($D1568="Gider",$E1568,IF($L1568&lt;&gt;"",$L1568,$H1568)))</f>
        <v/>
      </c>
      <c r="N1568" s="74" t="str">
        <f>IF($C1568="","",IF($D1568="Gider",$H1568,$E1568))</f>
        <v/>
      </c>
      <c r="O1568" s="73" t="str">
        <f>IF($C1568="","",DATE(YEAR($C1568),MONTH($C1568),1))</f>
        <v/>
      </c>
      <c r="P1568" s="65" t="str">
        <f ca="1">IF($C1568="","",IF(AND($D1568="Gelir",$L1568&lt;&gt;"",$T1568=""),"TANIMSIZ BORÇLU",IF($T1568&lt;&gt;"",IF(OR($E1568="",$G1568&lt;=0),"EKSİK",IF($I1568="Evet","TAHAKKUK NAKİT OLAMAZ",IF($C1568&gt;TODAY(),"İLERİ TARİH","TAHAKKUK"))),IF(AND($D1568&lt;&gt;"",$E1568&lt;&gt;"",$G1568&gt;0,$H1568&lt;&gt;"",$I1568&lt;&gt;""),IF($C1568&gt;TODAY(),"İLERİ TARİH",IF(COUNTIF($W$7:$W$3001,$W1568)&gt;1,"MÜKERRER?",IF($AD1568&gt;0,"KAPALI DÖNEM",IF($I1568="Hayır","ÖDENECEK","UYGUN")))),"EKSİK"))))</f>
        <v/>
      </c>
      <c r="Q1568" s="2"/>
      <c r="R1568" s="2"/>
      <c r="S1568" s="1" t="str">
        <f t="shared" si="74"/>
        <v/>
      </c>
      <c r="T1568" s="1" t="str">
        <f>IF(OR($C1568="",$D1568&lt;&gt;"Gelir",$L1568=""),"",IFERROR(INDEX(MUSTERILER!$B$7:$B$156,MATCH($S1568,MUSTERILER!$T$7:$T$156,0)),""))</f>
        <v/>
      </c>
      <c r="U1568" s="1" t="str">
        <f>IF($T1568="","",$T1568&amp;"|"&amp;COUNTIFS($T$7:$T1568,$T1568))</f>
        <v/>
      </c>
      <c r="V1568" s="1">
        <f t="shared" si="75"/>
        <v>0</v>
      </c>
      <c r="W1568" s="1" t="str">
        <f t="shared" si="76"/>
        <v/>
      </c>
      <c r="X1568" s="1"/>
      <c r="Y1568" s="1"/>
      <c r="Z1568" s="1"/>
      <c r="AA1568" s="1"/>
      <c r="AB1568" s="1"/>
      <c r="AC1568" s="1"/>
      <c r="AD1568" s="1">
        <f>IF($C1568="",0,SUMPRODUCT((AY_SONU!$O$7:$O$42="Evet")*(AY_SONU!$B$7:$B$42=DATE(YEAR($C1568),MONTH($C1568),1))))</f>
        <v>0</v>
      </c>
      <c r="AE1568" s="1" t="str">
        <f>IF($E1568="","",$E1568&amp;"|"&amp;COUNTIFS($E$7:$E1568,$E1568))</f>
        <v/>
      </c>
    </row>
    <row r="1569" spans="1:31" ht="18" customHeight="1" x14ac:dyDescent="0.3">
      <c r="A1569" s="2"/>
      <c r="B1569" s="65" t="str">
        <f>IF($C1569="","","GG"&amp;TEXT(ROW()-6,"00000"))</f>
        <v/>
      </c>
      <c r="C1569" s="66"/>
      <c r="D1569" s="60"/>
      <c r="E1569" s="61"/>
      <c r="F1569" s="61"/>
      <c r="G1569" s="67"/>
      <c r="H1569" s="60"/>
      <c r="I1569" s="60"/>
      <c r="J1569" s="61"/>
      <c r="K1569" s="61"/>
      <c r="L1569" s="60"/>
      <c r="M1569" s="74" t="str">
        <f>IF($C1569="","",IF($D1569="Gider",$E1569,IF($L1569&lt;&gt;"",$L1569,$H1569)))</f>
        <v/>
      </c>
      <c r="N1569" s="74" t="str">
        <f>IF($C1569="","",IF($D1569="Gider",$H1569,$E1569))</f>
        <v/>
      </c>
      <c r="O1569" s="73" t="str">
        <f>IF($C1569="","",DATE(YEAR($C1569),MONTH($C1569),1))</f>
        <v/>
      </c>
      <c r="P1569" s="65" t="str">
        <f ca="1">IF($C1569="","",IF(AND($D1569="Gelir",$L1569&lt;&gt;"",$T1569=""),"TANIMSIZ BORÇLU",IF($T1569&lt;&gt;"",IF(OR($E1569="",$G1569&lt;=0),"EKSİK",IF($I1569="Evet","TAHAKKUK NAKİT OLAMAZ",IF($C1569&gt;TODAY(),"İLERİ TARİH","TAHAKKUK"))),IF(AND($D1569&lt;&gt;"",$E1569&lt;&gt;"",$G1569&gt;0,$H1569&lt;&gt;"",$I1569&lt;&gt;""),IF($C1569&gt;TODAY(),"İLERİ TARİH",IF(COUNTIF($W$7:$W$3001,$W1569)&gt;1,"MÜKERRER?",IF($AD1569&gt;0,"KAPALI DÖNEM",IF($I1569="Hayır","ÖDENECEK","UYGUN")))),"EKSİK"))))</f>
        <v/>
      </c>
      <c r="Q1569" s="2"/>
      <c r="R1569" s="2"/>
      <c r="S1569" s="1" t="str">
        <f t="shared" si="74"/>
        <v/>
      </c>
      <c r="T1569" s="1" t="str">
        <f>IF(OR($C1569="",$D1569&lt;&gt;"Gelir",$L1569=""),"",IFERROR(INDEX(MUSTERILER!$B$7:$B$156,MATCH($S1569,MUSTERILER!$T$7:$T$156,0)),""))</f>
        <v/>
      </c>
      <c r="U1569" s="1" t="str">
        <f>IF($T1569="","",$T1569&amp;"|"&amp;COUNTIFS($T$7:$T1569,$T1569))</f>
        <v/>
      </c>
      <c r="V1569" s="1">
        <f t="shared" si="75"/>
        <v>0</v>
      </c>
      <c r="W1569" s="1" t="str">
        <f t="shared" si="76"/>
        <v/>
      </c>
      <c r="X1569" s="1"/>
      <c r="Y1569" s="1"/>
      <c r="Z1569" s="1"/>
      <c r="AA1569" s="1"/>
      <c r="AB1569" s="1"/>
      <c r="AC1569" s="1"/>
      <c r="AD1569" s="1">
        <f>IF($C1569="",0,SUMPRODUCT((AY_SONU!$O$7:$O$42="Evet")*(AY_SONU!$B$7:$B$42=DATE(YEAR($C1569),MONTH($C1569),1))))</f>
        <v>0</v>
      </c>
      <c r="AE1569" s="1" t="str">
        <f>IF($E1569="","",$E1569&amp;"|"&amp;COUNTIFS($E$7:$E1569,$E1569))</f>
        <v/>
      </c>
    </row>
    <row r="1570" spans="1:31" ht="18" customHeight="1" x14ac:dyDescent="0.3">
      <c r="A1570" s="2"/>
      <c r="B1570" s="65" t="str">
        <f>IF($C1570="","","GG"&amp;TEXT(ROW()-6,"00000"))</f>
        <v/>
      </c>
      <c r="C1570" s="66"/>
      <c r="D1570" s="60"/>
      <c r="E1570" s="61"/>
      <c r="F1570" s="61"/>
      <c r="G1570" s="67"/>
      <c r="H1570" s="60"/>
      <c r="I1570" s="60"/>
      <c r="J1570" s="61"/>
      <c r="K1570" s="61"/>
      <c r="L1570" s="60"/>
      <c r="M1570" s="74" t="str">
        <f>IF($C1570="","",IF($D1570="Gider",$E1570,IF($L1570&lt;&gt;"",$L1570,$H1570)))</f>
        <v/>
      </c>
      <c r="N1570" s="74" t="str">
        <f>IF($C1570="","",IF($D1570="Gider",$H1570,$E1570))</f>
        <v/>
      </c>
      <c r="O1570" s="73" t="str">
        <f>IF($C1570="","",DATE(YEAR($C1570),MONTH($C1570),1))</f>
        <v/>
      </c>
      <c r="P1570" s="65" t="str">
        <f ca="1">IF($C1570="","",IF(AND($D1570="Gelir",$L1570&lt;&gt;"",$T1570=""),"TANIMSIZ BORÇLU",IF($T1570&lt;&gt;"",IF(OR($E1570="",$G1570&lt;=0),"EKSİK",IF($I1570="Evet","TAHAKKUK NAKİT OLAMAZ",IF($C1570&gt;TODAY(),"İLERİ TARİH","TAHAKKUK"))),IF(AND($D1570&lt;&gt;"",$E1570&lt;&gt;"",$G1570&gt;0,$H1570&lt;&gt;"",$I1570&lt;&gt;""),IF($C1570&gt;TODAY(),"İLERİ TARİH",IF(COUNTIF($W$7:$W$3001,$W1570)&gt;1,"MÜKERRER?",IF($AD1570&gt;0,"KAPALI DÖNEM",IF($I1570="Hayır","ÖDENECEK","UYGUN")))),"EKSİK"))))</f>
        <v/>
      </c>
      <c r="Q1570" s="2"/>
      <c r="R1570" s="2"/>
      <c r="S1570" s="1" t="str">
        <f t="shared" si="74"/>
        <v/>
      </c>
      <c r="T1570" s="1" t="str">
        <f>IF(OR($C1570="",$D1570&lt;&gt;"Gelir",$L1570=""),"",IFERROR(INDEX(MUSTERILER!$B$7:$B$156,MATCH($S1570,MUSTERILER!$T$7:$T$156,0)),""))</f>
        <v/>
      </c>
      <c r="U1570" s="1" t="str">
        <f>IF($T1570="","",$T1570&amp;"|"&amp;COUNTIFS($T$7:$T1570,$T1570))</f>
        <v/>
      </c>
      <c r="V1570" s="1">
        <f t="shared" si="75"/>
        <v>0</v>
      </c>
      <c r="W1570" s="1" t="str">
        <f t="shared" si="76"/>
        <v/>
      </c>
      <c r="X1570" s="1"/>
      <c r="Y1570" s="1"/>
      <c r="Z1570" s="1"/>
      <c r="AA1570" s="1"/>
      <c r="AB1570" s="1"/>
      <c r="AC1570" s="1"/>
      <c r="AD1570" s="1">
        <f>IF($C1570="",0,SUMPRODUCT((AY_SONU!$O$7:$O$42="Evet")*(AY_SONU!$B$7:$B$42=DATE(YEAR($C1570),MONTH($C1570),1))))</f>
        <v>0</v>
      </c>
      <c r="AE1570" s="1" t="str">
        <f>IF($E1570="","",$E1570&amp;"|"&amp;COUNTIFS($E$7:$E1570,$E1570))</f>
        <v/>
      </c>
    </row>
    <row r="1571" spans="1:31" ht="18" customHeight="1" x14ac:dyDescent="0.3">
      <c r="A1571" s="2"/>
      <c r="B1571" s="65" t="str">
        <f>IF($C1571="","","GG"&amp;TEXT(ROW()-6,"00000"))</f>
        <v/>
      </c>
      <c r="C1571" s="66"/>
      <c r="D1571" s="60"/>
      <c r="E1571" s="61"/>
      <c r="F1571" s="61"/>
      <c r="G1571" s="67"/>
      <c r="H1571" s="60"/>
      <c r="I1571" s="60"/>
      <c r="J1571" s="61"/>
      <c r="K1571" s="61"/>
      <c r="L1571" s="60"/>
      <c r="M1571" s="74" t="str">
        <f>IF($C1571="","",IF($D1571="Gider",$E1571,IF($L1571&lt;&gt;"",$L1571,$H1571)))</f>
        <v/>
      </c>
      <c r="N1571" s="74" t="str">
        <f>IF($C1571="","",IF($D1571="Gider",$H1571,$E1571))</f>
        <v/>
      </c>
      <c r="O1571" s="73" t="str">
        <f>IF($C1571="","",DATE(YEAR($C1571),MONTH($C1571),1))</f>
        <v/>
      </c>
      <c r="P1571" s="65" t="str">
        <f ca="1">IF($C1571="","",IF(AND($D1571="Gelir",$L1571&lt;&gt;"",$T1571=""),"TANIMSIZ BORÇLU",IF($T1571&lt;&gt;"",IF(OR($E1571="",$G1571&lt;=0),"EKSİK",IF($I1571="Evet","TAHAKKUK NAKİT OLAMAZ",IF($C1571&gt;TODAY(),"İLERİ TARİH","TAHAKKUK"))),IF(AND($D1571&lt;&gt;"",$E1571&lt;&gt;"",$G1571&gt;0,$H1571&lt;&gt;"",$I1571&lt;&gt;""),IF($C1571&gt;TODAY(),"İLERİ TARİH",IF(COUNTIF($W$7:$W$3001,$W1571)&gt;1,"MÜKERRER?",IF($AD1571&gt;0,"KAPALI DÖNEM",IF($I1571="Hayır","ÖDENECEK","UYGUN")))),"EKSİK"))))</f>
        <v/>
      </c>
      <c r="Q1571" s="2"/>
      <c r="R1571" s="2"/>
      <c r="S1571" s="1" t="str">
        <f t="shared" si="74"/>
        <v/>
      </c>
      <c r="T1571" s="1" t="str">
        <f>IF(OR($C1571="",$D1571&lt;&gt;"Gelir",$L1571=""),"",IFERROR(INDEX(MUSTERILER!$B$7:$B$156,MATCH($S1571,MUSTERILER!$T$7:$T$156,0)),""))</f>
        <v/>
      </c>
      <c r="U1571" s="1" t="str">
        <f>IF($T1571="","",$T1571&amp;"|"&amp;COUNTIFS($T$7:$T1571,$T1571))</f>
        <v/>
      </c>
      <c r="V1571" s="1">
        <f t="shared" si="75"/>
        <v>0</v>
      </c>
      <c r="W1571" s="1" t="str">
        <f t="shared" si="76"/>
        <v/>
      </c>
      <c r="X1571" s="1"/>
      <c r="Y1571" s="1"/>
      <c r="Z1571" s="1"/>
      <c r="AA1571" s="1"/>
      <c r="AB1571" s="1"/>
      <c r="AC1571" s="1"/>
      <c r="AD1571" s="1">
        <f>IF($C1571="",0,SUMPRODUCT((AY_SONU!$O$7:$O$42="Evet")*(AY_SONU!$B$7:$B$42=DATE(YEAR($C1571),MONTH($C1571),1))))</f>
        <v>0</v>
      </c>
      <c r="AE1571" s="1" t="str">
        <f>IF($E1571="","",$E1571&amp;"|"&amp;COUNTIFS($E$7:$E1571,$E1571))</f>
        <v/>
      </c>
    </row>
    <row r="1572" spans="1:31" ht="18" customHeight="1" x14ac:dyDescent="0.3">
      <c r="A1572" s="2"/>
      <c r="B1572" s="65" t="str">
        <f>IF($C1572="","","GG"&amp;TEXT(ROW()-6,"00000"))</f>
        <v/>
      </c>
      <c r="C1572" s="66"/>
      <c r="D1572" s="60"/>
      <c r="E1572" s="61"/>
      <c r="F1572" s="61"/>
      <c r="G1572" s="67"/>
      <c r="H1572" s="60"/>
      <c r="I1572" s="60"/>
      <c r="J1572" s="61"/>
      <c r="K1572" s="61"/>
      <c r="L1572" s="60"/>
      <c r="M1572" s="74" t="str">
        <f>IF($C1572="","",IF($D1572="Gider",$E1572,IF($L1572&lt;&gt;"",$L1572,$H1572)))</f>
        <v/>
      </c>
      <c r="N1572" s="74" t="str">
        <f>IF($C1572="","",IF($D1572="Gider",$H1572,$E1572))</f>
        <v/>
      </c>
      <c r="O1572" s="73" t="str">
        <f>IF($C1572="","",DATE(YEAR($C1572),MONTH($C1572),1))</f>
        <v/>
      </c>
      <c r="P1572" s="65" t="str">
        <f ca="1">IF($C1572="","",IF(AND($D1572="Gelir",$L1572&lt;&gt;"",$T1572=""),"TANIMSIZ BORÇLU",IF($T1572&lt;&gt;"",IF(OR($E1572="",$G1572&lt;=0),"EKSİK",IF($I1572="Evet","TAHAKKUK NAKİT OLAMAZ",IF($C1572&gt;TODAY(),"İLERİ TARİH","TAHAKKUK"))),IF(AND($D1572&lt;&gt;"",$E1572&lt;&gt;"",$G1572&gt;0,$H1572&lt;&gt;"",$I1572&lt;&gt;""),IF($C1572&gt;TODAY(),"İLERİ TARİH",IF(COUNTIF($W$7:$W$3001,$W1572)&gt;1,"MÜKERRER?",IF($AD1572&gt;0,"KAPALI DÖNEM",IF($I1572="Hayır","ÖDENECEK","UYGUN")))),"EKSİK"))))</f>
        <v/>
      </c>
      <c r="Q1572" s="2"/>
      <c r="R1572" s="2"/>
      <c r="S1572" s="1" t="str">
        <f t="shared" si="74"/>
        <v/>
      </c>
      <c r="T1572" s="1" t="str">
        <f>IF(OR($C1572="",$D1572&lt;&gt;"Gelir",$L1572=""),"",IFERROR(INDEX(MUSTERILER!$B$7:$B$156,MATCH($S1572,MUSTERILER!$T$7:$T$156,0)),""))</f>
        <v/>
      </c>
      <c r="U1572" s="1" t="str">
        <f>IF($T1572="","",$T1572&amp;"|"&amp;COUNTIFS($T$7:$T1572,$T1572))</f>
        <v/>
      </c>
      <c r="V1572" s="1">
        <f t="shared" si="75"/>
        <v>0</v>
      </c>
      <c r="W1572" s="1" t="str">
        <f t="shared" si="76"/>
        <v/>
      </c>
      <c r="X1572" s="1"/>
      <c r="Y1572" s="1"/>
      <c r="Z1572" s="1"/>
      <c r="AA1572" s="1"/>
      <c r="AB1572" s="1"/>
      <c r="AC1572" s="1"/>
      <c r="AD1572" s="1">
        <f>IF($C1572="",0,SUMPRODUCT((AY_SONU!$O$7:$O$42="Evet")*(AY_SONU!$B$7:$B$42=DATE(YEAR($C1572),MONTH($C1572),1))))</f>
        <v>0</v>
      </c>
      <c r="AE1572" s="1" t="str">
        <f>IF($E1572="","",$E1572&amp;"|"&amp;COUNTIFS($E$7:$E1572,$E1572))</f>
        <v/>
      </c>
    </row>
    <row r="1573" spans="1:31" ht="18" customHeight="1" x14ac:dyDescent="0.3">
      <c r="A1573" s="2"/>
      <c r="B1573" s="65" t="str">
        <f>IF($C1573="","","GG"&amp;TEXT(ROW()-6,"00000"))</f>
        <v/>
      </c>
      <c r="C1573" s="66"/>
      <c r="D1573" s="60"/>
      <c r="E1573" s="61"/>
      <c r="F1573" s="61"/>
      <c r="G1573" s="67"/>
      <c r="H1573" s="60"/>
      <c r="I1573" s="60"/>
      <c r="J1573" s="61"/>
      <c r="K1573" s="61"/>
      <c r="L1573" s="60"/>
      <c r="M1573" s="74" t="str">
        <f>IF($C1573="","",IF($D1573="Gider",$E1573,IF($L1573&lt;&gt;"",$L1573,$H1573)))</f>
        <v/>
      </c>
      <c r="N1573" s="74" t="str">
        <f>IF($C1573="","",IF($D1573="Gider",$H1573,$E1573))</f>
        <v/>
      </c>
      <c r="O1573" s="73" t="str">
        <f>IF($C1573="","",DATE(YEAR($C1573),MONTH($C1573),1))</f>
        <v/>
      </c>
      <c r="P1573" s="65" t="str">
        <f ca="1">IF($C1573="","",IF(AND($D1573="Gelir",$L1573&lt;&gt;"",$T1573=""),"TANIMSIZ BORÇLU",IF($T1573&lt;&gt;"",IF(OR($E1573="",$G1573&lt;=0),"EKSİK",IF($I1573="Evet","TAHAKKUK NAKİT OLAMAZ",IF($C1573&gt;TODAY(),"İLERİ TARİH","TAHAKKUK"))),IF(AND($D1573&lt;&gt;"",$E1573&lt;&gt;"",$G1573&gt;0,$H1573&lt;&gt;"",$I1573&lt;&gt;""),IF($C1573&gt;TODAY(),"İLERİ TARİH",IF(COUNTIF($W$7:$W$3001,$W1573)&gt;1,"MÜKERRER?",IF($AD1573&gt;0,"KAPALI DÖNEM",IF($I1573="Hayır","ÖDENECEK","UYGUN")))),"EKSİK"))))</f>
        <v/>
      </c>
      <c r="Q1573" s="2"/>
      <c r="R1573" s="2"/>
      <c r="S1573" s="1" t="str">
        <f t="shared" si="74"/>
        <v/>
      </c>
      <c r="T1573" s="1" t="str">
        <f>IF(OR($C1573="",$D1573&lt;&gt;"Gelir",$L1573=""),"",IFERROR(INDEX(MUSTERILER!$B$7:$B$156,MATCH($S1573,MUSTERILER!$T$7:$T$156,0)),""))</f>
        <v/>
      </c>
      <c r="U1573" s="1" t="str">
        <f>IF($T1573="","",$T1573&amp;"|"&amp;COUNTIFS($T$7:$T1573,$T1573))</f>
        <v/>
      </c>
      <c r="V1573" s="1">
        <f t="shared" si="75"/>
        <v>0</v>
      </c>
      <c r="W1573" s="1" t="str">
        <f t="shared" si="76"/>
        <v/>
      </c>
      <c r="X1573" s="1"/>
      <c r="Y1573" s="1"/>
      <c r="Z1573" s="1"/>
      <c r="AA1573" s="1"/>
      <c r="AB1573" s="1"/>
      <c r="AC1573" s="1"/>
      <c r="AD1573" s="1">
        <f>IF($C1573="",0,SUMPRODUCT((AY_SONU!$O$7:$O$42="Evet")*(AY_SONU!$B$7:$B$42=DATE(YEAR($C1573),MONTH($C1573),1))))</f>
        <v>0</v>
      </c>
      <c r="AE1573" s="1" t="str">
        <f>IF($E1573="","",$E1573&amp;"|"&amp;COUNTIFS($E$7:$E1573,$E1573))</f>
        <v/>
      </c>
    </row>
    <row r="1574" spans="1:31" ht="18" customHeight="1" x14ac:dyDescent="0.3">
      <c r="A1574" s="2"/>
      <c r="B1574" s="65" t="str">
        <f>IF($C1574="","","GG"&amp;TEXT(ROW()-6,"00000"))</f>
        <v/>
      </c>
      <c r="C1574" s="66"/>
      <c r="D1574" s="60"/>
      <c r="E1574" s="61"/>
      <c r="F1574" s="61"/>
      <c r="G1574" s="67"/>
      <c r="H1574" s="60"/>
      <c r="I1574" s="60"/>
      <c r="J1574" s="61"/>
      <c r="K1574" s="61"/>
      <c r="L1574" s="60"/>
      <c r="M1574" s="74" t="str">
        <f>IF($C1574="","",IF($D1574="Gider",$E1574,IF($L1574&lt;&gt;"",$L1574,$H1574)))</f>
        <v/>
      </c>
      <c r="N1574" s="74" t="str">
        <f>IF($C1574="","",IF($D1574="Gider",$H1574,$E1574))</f>
        <v/>
      </c>
      <c r="O1574" s="73" t="str">
        <f>IF($C1574="","",DATE(YEAR($C1574),MONTH($C1574),1))</f>
        <v/>
      </c>
      <c r="P1574" s="65" t="str">
        <f ca="1">IF($C1574="","",IF(AND($D1574="Gelir",$L1574&lt;&gt;"",$T1574=""),"TANIMSIZ BORÇLU",IF($T1574&lt;&gt;"",IF(OR($E1574="",$G1574&lt;=0),"EKSİK",IF($I1574="Evet","TAHAKKUK NAKİT OLAMAZ",IF($C1574&gt;TODAY(),"İLERİ TARİH","TAHAKKUK"))),IF(AND($D1574&lt;&gt;"",$E1574&lt;&gt;"",$G1574&gt;0,$H1574&lt;&gt;"",$I1574&lt;&gt;""),IF($C1574&gt;TODAY(),"İLERİ TARİH",IF(COUNTIF($W$7:$W$3001,$W1574)&gt;1,"MÜKERRER?",IF($AD1574&gt;0,"KAPALI DÖNEM",IF($I1574="Hayır","ÖDENECEK","UYGUN")))),"EKSİK"))))</f>
        <v/>
      </c>
      <c r="Q1574" s="2"/>
      <c r="R1574" s="2"/>
      <c r="S1574" s="1" t="str">
        <f t="shared" si="74"/>
        <v/>
      </c>
      <c r="T1574" s="1" t="str">
        <f>IF(OR($C1574="",$D1574&lt;&gt;"Gelir",$L1574=""),"",IFERROR(INDEX(MUSTERILER!$B$7:$B$156,MATCH($S1574,MUSTERILER!$T$7:$T$156,0)),""))</f>
        <v/>
      </c>
      <c r="U1574" s="1" t="str">
        <f>IF($T1574="","",$T1574&amp;"|"&amp;COUNTIFS($T$7:$T1574,$T1574))</f>
        <v/>
      </c>
      <c r="V1574" s="1">
        <f t="shared" si="75"/>
        <v>0</v>
      </c>
      <c r="W1574" s="1" t="str">
        <f t="shared" si="76"/>
        <v/>
      </c>
      <c r="X1574" s="1"/>
      <c r="Y1574" s="1"/>
      <c r="Z1574" s="1"/>
      <c r="AA1574" s="1"/>
      <c r="AB1574" s="1"/>
      <c r="AC1574" s="1"/>
      <c r="AD1574" s="1">
        <f>IF($C1574="",0,SUMPRODUCT((AY_SONU!$O$7:$O$42="Evet")*(AY_SONU!$B$7:$B$42=DATE(YEAR($C1574),MONTH($C1574),1))))</f>
        <v>0</v>
      </c>
      <c r="AE1574" s="1" t="str">
        <f>IF($E1574="","",$E1574&amp;"|"&amp;COUNTIFS($E$7:$E1574,$E1574))</f>
        <v/>
      </c>
    </row>
    <row r="1575" spans="1:31" ht="18" customHeight="1" x14ac:dyDescent="0.3">
      <c r="A1575" s="2"/>
      <c r="B1575" s="65" t="str">
        <f>IF($C1575="","","GG"&amp;TEXT(ROW()-6,"00000"))</f>
        <v/>
      </c>
      <c r="C1575" s="66"/>
      <c r="D1575" s="60"/>
      <c r="E1575" s="61"/>
      <c r="F1575" s="61"/>
      <c r="G1575" s="67"/>
      <c r="H1575" s="60"/>
      <c r="I1575" s="60"/>
      <c r="J1575" s="61"/>
      <c r="K1575" s="61"/>
      <c r="L1575" s="60"/>
      <c r="M1575" s="74" t="str">
        <f>IF($C1575="","",IF($D1575="Gider",$E1575,IF($L1575&lt;&gt;"",$L1575,$H1575)))</f>
        <v/>
      </c>
      <c r="N1575" s="74" t="str">
        <f>IF($C1575="","",IF($D1575="Gider",$H1575,$E1575))</f>
        <v/>
      </c>
      <c r="O1575" s="73" t="str">
        <f>IF($C1575="","",DATE(YEAR($C1575),MONTH($C1575),1))</f>
        <v/>
      </c>
      <c r="P1575" s="65" t="str">
        <f ca="1">IF($C1575="","",IF(AND($D1575="Gelir",$L1575&lt;&gt;"",$T1575=""),"TANIMSIZ BORÇLU",IF($T1575&lt;&gt;"",IF(OR($E1575="",$G1575&lt;=0),"EKSİK",IF($I1575="Evet","TAHAKKUK NAKİT OLAMAZ",IF($C1575&gt;TODAY(),"İLERİ TARİH","TAHAKKUK"))),IF(AND($D1575&lt;&gt;"",$E1575&lt;&gt;"",$G1575&gt;0,$H1575&lt;&gt;"",$I1575&lt;&gt;""),IF($C1575&gt;TODAY(),"İLERİ TARİH",IF(COUNTIF($W$7:$W$3001,$W1575)&gt;1,"MÜKERRER?",IF($AD1575&gt;0,"KAPALI DÖNEM",IF($I1575="Hayır","ÖDENECEK","UYGUN")))),"EKSİK"))))</f>
        <v/>
      </c>
      <c r="Q1575" s="2"/>
      <c r="R1575" s="2"/>
      <c r="S1575" s="1" t="str">
        <f t="shared" si="74"/>
        <v/>
      </c>
      <c r="T1575" s="1" t="str">
        <f>IF(OR($C1575="",$D1575&lt;&gt;"Gelir",$L1575=""),"",IFERROR(INDEX(MUSTERILER!$B$7:$B$156,MATCH($S1575,MUSTERILER!$T$7:$T$156,0)),""))</f>
        <v/>
      </c>
      <c r="U1575" s="1" t="str">
        <f>IF($T1575="","",$T1575&amp;"|"&amp;COUNTIFS($T$7:$T1575,$T1575))</f>
        <v/>
      </c>
      <c r="V1575" s="1">
        <f t="shared" si="75"/>
        <v>0</v>
      </c>
      <c r="W1575" s="1" t="str">
        <f t="shared" si="76"/>
        <v/>
      </c>
      <c r="X1575" s="1"/>
      <c r="Y1575" s="1"/>
      <c r="Z1575" s="1"/>
      <c r="AA1575" s="1"/>
      <c r="AB1575" s="1"/>
      <c r="AC1575" s="1"/>
      <c r="AD1575" s="1">
        <f>IF($C1575="",0,SUMPRODUCT((AY_SONU!$O$7:$O$42="Evet")*(AY_SONU!$B$7:$B$42=DATE(YEAR($C1575),MONTH($C1575),1))))</f>
        <v>0</v>
      </c>
      <c r="AE1575" s="1" t="str">
        <f>IF($E1575="","",$E1575&amp;"|"&amp;COUNTIFS($E$7:$E1575,$E1575))</f>
        <v/>
      </c>
    </row>
    <row r="1576" spans="1:31" ht="18" customHeight="1" x14ac:dyDescent="0.3">
      <c r="A1576" s="2"/>
      <c r="B1576" s="65" t="str">
        <f>IF($C1576="","","GG"&amp;TEXT(ROW()-6,"00000"))</f>
        <v/>
      </c>
      <c r="C1576" s="66"/>
      <c r="D1576" s="60"/>
      <c r="E1576" s="61"/>
      <c r="F1576" s="61"/>
      <c r="G1576" s="67"/>
      <c r="H1576" s="60"/>
      <c r="I1576" s="60"/>
      <c r="J1576" s="61"/>
      <c r="K1576" s="61"/>
      <c r="L1576" s="60"/>
      <c r="M1576" s="74" t="str">
        <f>IF($C1576="","",IF($D1576="Gider",$E1576,IF($L1576&lt;&gt;"",$L1576,$H1576)))</f>
        <v/>
      </c>
      <c r="N1576" s="74" t="str">
        <f>IF($C1576="","",IF($D1576="Gider",$H1576,$E1576))</f>
        <v/>
      </c>
      <c r="O1576" s="73" t="str">
        <f>IF($C1576="","",DATE(YEAR($C1576),MONTH($C1576),1))</f>
        <v/>
      </c>
      <c r="P1576" s="65" t="str">
        <f ca="1">IF($C1576="","",IF(AND($D1576="Gelir",$L1576&lt;&gt;"",$T1576=""),"TANIMSIZ BORÇLU",IF($T1576&lt;&gt;"",IF(OR($E1576="",$G1576&lt;=0),"EKSİK",IF($I1576="Evet","TAHAKKUK NAKİT OLAMAZ",IF($C1576&gt;TODAY(),"İLERİ TARİH","TAHAKKUK"))),IF(AND($D1576&lt;&gt;"",$E1576&lt;&gt;"",$G1576&gt;0,$H1576&lt;&gt;"",$I1576&lt;&gt;""),IF($C1576&gt;TODAY(),"İLERİ TARİH",IF(COUNTIF($W$7:$W$3001,$W1576)&gt;1,"MÜKERRER?",IF($AD1576&gt;0,"KAPALI DÖNEM",IF($I1576="Hayır","ÖDENECEK","UYGUN")))),"EKSİK"))))</f>
        <v/>
      </c>
      <c r="Q1576" s="2"/>
      <c r="R1576" s="2"/>
      <c r="S1576" s="1" t="str">
        <f t="shared" si="74"/>
        <v/>
      </c>
      <c r="T1576" s="1" t="str">
        <f>IF(OR($C1576="",$D1576&lt;&gt;"Gelir",$L1576=""),"",IFERROR(INDEX(MUSTERILER!$B$7:$B$156,MATCH($S1576,MUSTERILER!$T$7:$T$156,0)),""))</f>
        <v/>
      </c>
      <c r="U1576" s="1" t="str">
        <f>IF($T1576="","",$T1576&amp;"|"&amp;COUNTIFS($T$7:$T1576,$T1576))</f>
        <v/>
      </c>
      <c r="V1576" s="1">
        <f t="shared" si="75"/>
        <v>0</v>
      </c>
      <c r="W1576" s="1" t="str">
        <f t="shared" si="76"/>
        <v/>
      </c>
      <c r="X1576" s="1"/>
      <c r="Y1576" s="1"/>
      <c r="Z1576" s="1"/>
      <c r="AA1576" s="1"/>
      <c r="AB1576" s="1"/>
      <c r="AC1576" s="1"/>
      <c r="AD1576" s="1">
        <f>IF($C1576="",0,SUMPRODUCT((AY_SONU!$O$7:$O$42="Evet")*(AY_SONU!$B$7:$B$42=DATE(YEAR($C1576),MONTH($C1576),1))))</f>
        <v>0</v>
      </c>
      <c r="AE1576" s="1" t="str">
        <f>IF($E1576="","",$E1576&amp;"|"&amp;COUNTIFS($E$7:$E1576,$E1576))</f>
        <v/>
      </c>
    </row>
    <row r="1577" spans="1:31" ht="18" customHeight="1" x14ac:dyDescent="0.3">
      <c r="A1577" s="2"/>
      <c r="B1577" s="65" t="str">
        <f>IF($C1577="","","GG"&amp;TEXT(ROW()-6,"00000"))</f>
        <v/>
      </c>
      <c r="C1577" s="66"/>
      <c r="D1577" s="60"/>
      <c r="E1577" s="61"/>
      <c r="F1577" s="61"/>
      <c r="G1577" s="67"/>
      <c r="H1577" s="60"/>
      <c r="I1577" s="60"/>
      <c r="J1577" s="61"/>
      <c r="K1577" s="61"/>
      <c r="L1577" s="60"/>
      <c r="M1577" s="74" t="str">
        <f>IF($C1577="","",IF($D1577="Gider",$E1577,IF($L1577&lt;&gt;"",$L1577,$H1577)))</f>
        <v/>
      </c>
      <c r="N1577" s="74" t="str">
        <f>IF($C1577="","",IF($D1577="Gider",$H1577,$E1577))</f>
        <v/>
      </c>
      <c r="O1577" s="73" t="str">
        <f>IF($C1577="","",DATE(YEAR($C1577),MONTH($C1577),1))</f>
        <v/>
      </c>
      <c r="P1577" s="65" t="str">
        <f ca="1">IF($C1577="","",IF(AND($D1577="Gelir",$L1577&lt;&gt;"",$T1577=""),"TANIMSIZ BORÇLU",IF($T1577&lt;&gt;"",IF(OR($E1577="",$G1577&lt;=0),"EKSİK",IF($I1577="Evet","TAHAKKUK NAKİT OLAMAZ",IF($C1577&gt;TODAY(),"İLERİ TARİH","TAHAKKUK"))),IF(AND($D1577&lt;&gt;"",$E1577&lt;&gt;"",$G1577&gt;0,$H1577&lt;&gt;"",$I1577&lt;&gt;""),IF($C1577&gt;TODAY(),"İLERİ TARİH",IF(COUNTIF($W$7:$W$3001,$W1577)&gt;1,"MÜKERRER?",IF($AD1577&gt;0,"KAPALI DÖNEM",IF($I1577="Hayır","ÖDENECEK","UYGUN")))),"EKSİK"))))</f>
        <v/>
      </c>
      <c r="Q1577" s="2"/>
      <c r="R1577" s="2"/>
      <c r="S1577" s="1" t="str">
        <f t="shared" si="74"/>
        <v/>
      </c>
      <c r="T1577" s="1" t="str">
        <f>IF(OR($C1577="",$D1577&lt;&gt;"Gelir",$L1577=""),"",IFERROR(INDEX(MUSTERILER!$B$7:$B$156,MATCH($S1577,MUSTERILER!$T$7:$T$156,0)),""))</f>
        <v/>
      </c>
      <c r="U1577" s="1" t="str">
        <f>IF($T1577="","",$T1577&amp;"|"&amp;COUNTIFS($T$7:$T1577,$T1577))</f>
        <v/>
      </c>
      <c r="V1577" s="1">
        <f t="shared" si="75"/>
        <v>0</v>
      </c>
      <c r="W1577" s="1" t="str">
        <f t="shared" si="76"/>
        <v/>
      </c>
      <c r="X1577" s="1"/>
      <c r="Y1577" s="1"/>
      <c r="Z1577" s="1"/>
      <c r="AA1577" s="1"/>
      <c r="AB1577" s="1"/>
      <c r="AC1577" s="1"/>
      <c r="AD1577" s="1">
        <f>IF($C1577="",0,SUMPRODUCT((AY_SONU!$O$7:$O$42="Evet")*(AY_SONU!$B$7:$B$42=DATE(YEAR($C1577),MONTH($C1577),1))))</f>
        <v>0</v>
      </c>
      <c r="AE1577" s="1" t="str">
        <f>IF($E1577="","",$E1577&amp;"|"&amp;COUNTIFS($E$7:$E1577,$E1577))</f>
        <v/>
      </c>
    </row>
    <row r="1578" spans="1:31" ht="18" customHeight="1" x14ac:dyDescent="0.3">
      <c r="A1578" s="2"/>
      <c r="B1578" s="65" t="str">
        <f>IF($C1578="","","GG"&amp;TEXT(ROW()-6,"00000"))</f>
        <v/>
      </c>
      <c r="C1578" s="66"/>
      <c r="D1578" s="60"/>
      <c r="E1578" s="61"/>
      <c r="F1578" s="61"/>
      <c r="G1578" s="67"/>
      <c r="H1578" s="60"/>
      <c r="I1578" s="60"/>
      <c r="J1578" s="61"/>
      <c r="K1578" s="61"/>
      <c r="L1578" s="60"/>
      <c r="M1578" s="74" t="str">
        <f>IF($C1578="","",IF($D1578="Gider",$E1578,IF($L1578&lt;&gt;"",$L1578,$H1578)))</f>
        <v/>
      </c>
      <c r="N1578" s="74" t="str">
        <f>IF($C1578="","",IF($D1578="Gider",$H1578,$E1578))</f>
        <v/>
      </c>
      <c r="O1578" s="73" t="str">
        <f>IF($C1578="","",DATE(YEAR($C1578),MONTH($C1578),1))</f>
        <v/>
      </c>
      <c r="P1578" s="65" t="str">
        <f ca="1">IF($C1578="","",IF(AND($D1578="Gelir",$L1578&lt;&gt;"",$T1578=""),"TANIMSIZ BORÇLU",IF($T1578&lt;&gt;"",IF(OR($E1578="",$G1578&lt;=0),"EKSİK",IF($I1578="Evet","TAHAKKUK NAKİT OLAMAZ",IF($C1578&gt;TODAY(),"İLERİ TARİH","TAHAKKUK"))),IF(AND($D1578&lt;&gt;"",$E1578&lt;&gt;"",$G1578&gt;0,$H1578&lt;&gt;"",$I1578&lt;&gt;""),IF($C1578&gt;TODAY(),"İLERİ TARİH",IF(COUNTIF($W$7:$W$3001,$W1578)&gt;1,"MÜKERRER?",IF($AD1578&gt;0,"KAPALI DÖNEM",IF($I1578="Hayır","ÖDENECEK","UYGUN")))),"EKSİK"))))</f>
        <v/>
      </c>
      <c r="Q1578" s="2"/>
      <c r="R1578" s="2"/>
      <c r="S1578" s="1" t="str">
        <f t="shared" si="74"/>
        <v/>
      </c>
      <c r="T1578" s="1" t="str">
        <f>IF(OR($C1578="",$D1578&lt;&gt;"Gelir",$L1578=""),"",IFERROR(INDEX(MUSTERILER!$B$7:$B$156,MATCH($S1578,MUSTERILER!$T$7:$T$156,0)),""))</f>
        <v/>
      </c>
      <c r="U1578" s="1" t="str">
        <f>IF($T1578="","",$T1578&amp;"|"&amp;COUNTIFS($T$7:$T1578,$T1578))</f>
        <v/>
      </c>
      <c r="V1578" s="1">
        <f t="shared" si="75"/>
        <v>0</v>
      </c>
      <c r="W1578" s="1" t="str">
        <f t="shared" si="76"/>
        <v/>
      </c>
      <c r="X1578" s="1"/>
      <c r="Y1578" s="1"/>
      <c r="Z1578" s="1"/>
      <c r="AA1578" s="1"/>
      <c r="AB1578" s="1"/>
      <c r="AC1578" s="1"/>
      <c r="AD1578" s="1">
        <f>IF($C1578="",0,SUMPRODUCT((AY_SONU!$O$7:$O$42="Evet")*(AY_SONU!$B$7:$B$42=DATE(YEAR($C1578),MONTH($C1578),1))))</f>
        <v>0</v>
      </c>
      <c r="AE1578" s="1" t="str">
        <f>IF($E1578="","",$E1578&amp;"|"&amp;COUNTIFS($E$7:$E1578,$E1578))</f>
        <v/>
      </c>
    </row>
    <row r="1579" spans="1:31" ht="18" customHeight="1" x14ac:dyDescent="0.3">
      <c r="A1579" s="2"/>
      <c r="B1579" s="65" t="str">
        <f>IF($C1579="","","GG"&amp;TEXT(ROW()-6,"00000"))</f>
        <v/>
      </c>
      <c r="C1579" s="66"/>
      <c r="D1579" s="60"/>
      <c r="E1579" s="61"/>
      <c r="F1579" s="61"/>
      <c r="G1579" s="67"/>
      <c r="H1579" s="60"/>
      <c r="I1579" s="60"/>
      <c r="J1579" s="61"/>
      <c r="K1579" s="61"/>
      <c r="L1579" s="60"/>
      <c r="M1579" s="74" t="str">
        <f>IF($C1579="","",IF($D1579="Gider",$E1579,IF($L1579&lt;&gt;"",$L1579,$H1579)))</f>
        <v/>
      </c>
      <c r="N1579" s="74" t="str">
        <f>IF($C1579="","",IF($D1579="Gider",$H1579,$E1579))</f>
        <v/>
      </c>
      <c r="O1579" s="73" t="str">
        <f>IF($C1579="","",DATE(YEAR($C1579),MONTH($C1579),1))</f>
        <v/>
      </c>
      <c r="P1579" s="65" t="str">
        <f ca="1">IF($C1579="","",IF(AND($D1579="Gelir",$L1579&lt;&gt;"",$T1579=""),"TANIMSIZ BORÇLU",IF($T1579&lt;&gt;"",IF(OR($E1579="",$G1579&lt;=0),"EKSİK",IF($I1579="Evet","TAHAKKUK NAKİT OLAMAZ",IF($C1579&gt;TODAY(),"İLERİ TARİH","TAHAKKUK"))),IF(AND($D1579&lt;&gt;"",$E1579&lt;&gt;"",$G1579&gt;0,$H1579&lt;&gt;"",$I1579&lt;&gt;""),IF($C1579&gt;TODAY(),"İLERİ TARİH",IF(COUNTIF($W$7:$W$3001,$W1579)&gt;1,"MÜKERRER?",IF($AD1579&gt;0,"KAPALI DÖNEM",IF($I1579="Hayır","ÖDENECEK","UYGUN")))),"EKSİK"))))</f>
        <v/>
      </c>
      <c r="Q1579" s="2"/>
      <c r="R1579" s="2"/>
      <c r="S1579" s="1" t="str">
        <f t="shared" si="74"/>
        <v/>
      </c>
      <c r="T1579" s="1" t="str">
        <f>IF(OR($C1579="",$D1579&lt;&gt;"Gelir",$L1579=""),"",IFERROR(INDEX(MUSTERILER!$B$7:$B$156,MATCH($S1579,MUSTERILER!$T$7:$T$156,0)),""))</f>
        <v/>
      </c>
      <c r="U1579" s="1" t="str">
        <f>IF($T1579="","",$T1579&amp;"|"&amp;COUNTIFS($T$7:$T1579,$T1579))</f>
        <v/>
      </c>
      <c r="V1579" s="1">
        <f t="shared" si="75"/>
        <v>0</v>
      </c>
      <c r="W1579" s="1" t="str">
        <f t="shared" si="76"/>
        <v/>
      </c>
      <c r="X1579" s="1"/>
      <c r="Y1579" s="1"/>
      <c r="Z1579" s="1"/>
      <c r="AA1579" s="1"/>
      <c r="AB1579" s="1"/>
      <c r="AC1579" s="1"/>
      <c r="AD1579" s="1">
        <f>IF($C1579="",0,SUMPRODUCT((AY_SONU!$O$7:$O$42="Evet")*(AY_SONU!$B$7:$B$42=DATE(YEAR($C1579),MONTH($C1579),1))))</f>
        <v>0</v>
      </c>
      <c r="AE1579" s="1" t="str">
        <f>IF($E1579="","",$E1579&amp;"|"&amp;COUNTIFS($E$7:$E1579,$E1579))</f>
        <v/>
      </c>
    </row>
    <row r="1580" spans="1:31" ht="18" customHeight="1" x14ac:dyDescent="0.3">
      <c r="A1580" s="2"/>
      <c r="B1580" s="65" t="str">
        <f>IF($C1580="","","GG"&amp;TEXT(ROW()-6,"00000"))</f>
        <v/>
      </c>
      <c r="C1580" s="66"/>
      <c r="D1580" s="60"/>
      <c r="E1580" s="61"/>
      <c r="F1580" s="61"/>
      <c r="G1580" s="67"/>
      <c r="H1580" s="60"/>
      <c r="I1580" s="60"/>
      <c r="J1580" s="61"/>
      <c r="K1580" s="61"/>
      <c r="L1580" s="60"/>
      <c r="M1580" s="74" t="str">
        <f>IF($C1580="","",IF($D1580="Gider",$E1580,IF($L1580&lt;&gt;"",$L1580,$H1580)))</f>
        <v/>
      </c>
      <c r="N1580" s="74" t="str">
        <f>IF($C1580="","",IF($D1580="Gider",$H1580,$E1580))</f>
        <v/>
      </c>
      <c r="O1580" s="73" t="str">
        <f>IF($C1580="","",DATE(YEAR($C1580),MONTH($C1580),1))</f>
        <v/>
      </c>
      <c r="P1580" s="65" t="str">
        <f ca="1">IF($C1580="","",IF(AND($D1580="Gelir",$L1580&lt;&gt;"",$T1580=""),"TANIMSIZ BORÇLU",IF($T1580&lt;&gt;"",IF(OR($E1580="",$G1580&lt;=0),"EKSİK",IF($I1580="Evet","TAHAKKUK NAKİT OLAMAZ",IF($C1580&gt;TODAY(),"İLERİ TARİH","TAHAKKUK"))),IF(AND($D1580&lt;&gt;"",$E1580&lt;&gt;"",$G1580&gt;0,$H1580&lt;&gt;"",$I1580&lt;&gt;""),IF($C1580&gt;TODAY(),"İLERİ TARİH",IF(COUNTIF($W$7:$W$3001,$W1580)&gt;1,"MÜKERRER?",IF($AD1580&gt;0,"KAPALI DÖNEM",IF($I1580="Hayır","ÖDENECEK","UYGUN")))),"EKSİK"))))</f>
        <v/>
      </c>
      <c r="Q1580" s="2"/>
      <c r="R1580" s="2"/>
      <c r="S1580" s="1" t="str">
        <f t="shared" si="74"/>
        <v/>
      </c>
      <c r="T1580" s="1" t="str">
        <f>IF(OR($C1580="",$D1580&lt;&gt;"Gelir",$L1580=""),"",IFERROR(INDEX(MUSTERILER!$B$7:$B$156,MATCH($S1580,MUSTERILER!$T$7:$T$156,0)),""))</f>
        <v/>
      </c>
      <c r="U1580" s="1" t="str">
        <f>IF($T1580="","",$T1580&amp;"|"&amp;COUNTIFS($T$7:$T1580,$T1580))</f>
        <v/>
      </c>
      <c r="V1580" s="1">
        <f t="shared" si="75"/>
        <v>0</v>
      </c>
      <c r="W1580" s="1" t="str">
        <f t="shared" si="76"/>
        <v/>
      </c>
      <c r="X1580" s="1"/>
      <c r="Y1580" s="1"/>
      <c r="Z1580" s="1"/>
      <c r="AA1580" s="1"/>
      <c r="AB1580" s="1"/>
      <c r="AC1580" s="1"/>
      <c r="AD1580" s="1">
        <f>IF($C1580="",0,SUMPRODUCT((AY_SONU!$O$7:$O$42="Evet")*(AY_SONU!$B$7:$B$42=DATE(YEAR($C1580),MONTH($C1580),1))))</f>
        <v>0</v>
      </c>
      <c r="AE1580" s="1" t="str">
        <f>IF($E1580="","",$E1580&amp;"|"&amp;COUNTIFS($E$7:$E1580,$E1580))</f>
        <v/>
      </c>
    </row>
    <row r="1581" spans="1:31" ht="18" customHeight="1" x14ac:dyDescent="0.3">
      <c r="A1581" s="2"/>
      <c r="B1581" s="65" t="str">
        <f>IF($C1581="","","GG"&amp;TEXT(ROW()-6,"00000"))</f>
        <v/>
      </c>
      <c r="C1581" s="66"/>
      <c r="D1581" s="60"/>
      <c r="E1581" s="61"/>
      <c r="F1581" s="61"/>
      <c r="G1581" s="67"/>
      <c r="H1581" s="60"/>
      <c r="I1581" s="60"/>
      <c r="J1581" s="61"/>
      <c r="K1581" s="61"/>
      <c r="L1581" s="60"/>
      <c r="M1581" s="74" t="str">
        <f>IF($C1581="","",IF($D1581="Gider",$E1581,IF($L1581&lt;&gt;"",$L1581,$H1581)))</f>
        <v/>
      </c>
      <c r="N1581" s="74" t="str">
        <f>IF($C1581="","",IF($D1581="Gider",$H1581,$E1581))</f>
        <v/>
      </c>
      <c r="O1581" s="73" t="str">
        <f>IF($C1581="","",DATE(YEAR($C1581),MONTH($C1581),1))</f>
        <v/>
      </c>
      <c r="P1581" s="65" t="str">
        <f ca="1">IF($C1581="","",IF(AND($D1581="Gelir",$L1581&lt;&gt;"",$T1581=""),"TANIMSIZ BORÇLU",IF($T1581&lt;&gt;"",IF(OR($E1581="",$G1581&lt;=0),"EKSİK",IF($I1581="Evet","TAHAKKUK NAKİT OLAMAZ",IF($C1581&gt;TODAY(),"İLERİ TARİH","TAHAKKUK"))),IF(AND($D1581&lt;&gt;"",$E1581&lt;&gt;"",$G1581&gt;0,$H1581&lt;&gt;"",$I1581&lt;&gt;""),IF($C1581&gt;TODAY(),"İLERİ TARİH",IF(COUNTIF($W$7:$W$3001,$W1581)&gt;1,"MÜKERRER?",IF($AD1581&gt;0,"KAPALI DÖNEM",IF($I1581="Hayır","ÖDENECEK","UYGUN")))),"EKSİK"))))</f>
        <v/>
      </c>
      <c r="Q1581" s="2"/>
      <c r="R1581" s="2"/>
      <c r="S1581" s="1" t="str">
        <f t="shared" si="74"/>
        <v/>
      </c>
      <c r="T1581" s="1" t="str">
        <f>IF(OR($C1581="",$D1581&lt;&gt;"Gelir",$L1581=""),"",IFERROR(INDEX(MUSTERILER!$B$7:$B$156,MATCH($S1581,MUSTERILER!$T$7:$T$156,0)),""))</f>
        <v/>
      </c>
      <c r="U1581" s="1" t="str">
        <f>IF($T1581="","",$T1581&amp;"|"&amp;COUNTIFS($T$7:$T1581,$T1581))</f>
        <v/>
      </c>
      <c r="V1581" s="1">
        <f t="shared" si="75"/>
        <v>0</v>
      </c>
      <c r="W1581" s="1" t="str">
        <f t="shared" si="76"/>
        <v/>
      </c>
      <c r="X1581" s="1"/>
      <c r="Y1581" s="1"/>
      <c r="Z1581" s="1"/>
      <c r="AA1581" s="1"/>
      <c r="AB1581" s="1"/>
      <c r="AC1581" s="1"/>
      <c r="AD1581" s="1">
        <f>IF($C1581="",0,SUMPRODUCT((AY_SONU!$O$7:$O$42="Evet")*(AY_SONU!$B$7:$B$42=DATE(YEAR($C1581),MONTH($C1581),1))))</f>
        <v>0</v>
      </c>
      <c r="AE1581" s="1" t="str">
        <f>IF($E1581="","",$E1581&amp;"|"&amp;COUNTIFS($E$7:$E1581,$E1581))</f>
        <v/>
      </c>
    </row>
    <row r="1582" spans="1:31" ht="18" customHeight="1" x14ac:dyDescent="0.3">
      <c r="A1582" s="2"/>
      <c r="B1582" s="65" t="str">
        <f>IF($C1582="","","GG"&amp;TEXT(ROW()-6,"00000"))</f>
        <v/>
      </c>
      <c r="C1582" s="66"/>
      <c r="D1582" s="60"/>
      <c r="E1582" s="61"/>
      <c r="F1582" s="61"/>
      <c r="G1582" s="67"/>
      <c r="H1582" s="60"/>
      <c r="I1582" s="60"/>
      <c r="J1582" s="61"/>
      <c r="K1582" s="61"/>
      <c r="L1582" s="60"/>
      <c r="M1582" s="74" t="str">
        <f>IF($C1582="","",IF($D1582="Gider",$E1582,IF($L1582&lt;&gt;"",$L1582,$H1582)))</f>
        <v/>
      </c>
      <c r="N1582" s="74" t="str">
        <f>IF($C1582="","",IF($D1582="Gider",$H1582,$E1582))</f>
        <v/>
      </c>
      <c r="O1582" s="73" t="str">
        <f>IF($C1582="","",DATE(YEAR($C1582),MONTH($C1582),1))</f>
        <v/>
      </c>
      <c r="P1582" s="65" t="str">
        <f ca="1">IF($C1582="","",IF(AND($D1582="Gelir",$L1582&lt;&gt;"",$T1582=""),"TANIMSIZ BORÇLU",IF($T1582&lt;&gt;"",IF(OR($E1582="",$G1582&lt;=0),"EKSİK",IF($I1582="Evet","TAHAKKUK NAKİT OLAMAZ",IF($C1582&gt;TODAY(),"İLERİ TARİH","TAHAKKUK"))),IF(AND($D1582&lt;&gt;"",$E1582&lt;&gt;"",$G1582&gt;0,$H1582&lt;&gt;"",$I1582&lt;&gt;""),IF($C1582&gt;TODAY(),"İLERİ TARİH",IF(COUNTIF($W$7:$W$3001,$W1582)&gt;1,"MÜKERRER?",IF($AD1582&gt;0,"KAPALI DÖNEM",IF($I1582="Hayır","ÖDENECEK","UYGUN")))),"EKSİK"))))</f>
        <v/>
      </c>
      <c r="Q1582" s="2"/>
      <c r="R1582" s="2"/>
      <c r="S1582" s="1" t="str">
        <f t="shared" si="74"/>
        <v/>
      </c>
      <c r="T1582" s="1" t="str">
        <f>IF(OR($C1582="",$D1582&lt;&gt;"Gelir",$L1582=""),"",IFERROR(INDEX(MUSTERILER!$B$7:$B$156,MATCH($S1582,MUSTERILER!$T$7:$T$156,0)),""))</f>
        <v/>
      </c>
      <c r="U1582" s="1" t="str">
        <f>IF($T1582="","",$T1582&amp;"|"&amp;COUNTIFS($T$7:$T1582,$T1582))</f>
        <v/>
      </c>
      <c r="V1582" s="1">
        <f t="shared" si="75"/>
        <v>0</v>
      </c>
      <c r="W1582" s="1" t="str">
        <f t="shared" si="76"/>
        <v/>
      </c>
      <c r="X1582" s="1"/>
      <c r="Y1582" s="1"/>
      <c r="Z1582" s="1"/>
      <c r="AA1582" s="1"/>
      <c r="AB1582" s="1"/>
      <c r="AC1582" s="1"/>
      <c r="AD1582" s="1">
        <f>IF($C1582="",0,SUMPRODUCT((AY_SONU!$O$7:$O$42="Evet")*(AY_SONU!$B$7:$B$42=DATE(YEAR($C1582),MONTH($C1582),1))))</f>
        <v>0</v>
      </c>
      <c r="AE1582" s="1" t="str">
        <f>IF($E1582="","",$E1582&amp;"|"&amp;COUNTIFS($E$7:$E1582,$E1582))</f>
        <v/>
      </c>
    </row>
    <row r="1583" spans="1:31" ht="18" customHeight="1" x14ac:dyDescent="0.3">
      <c r="A1583" s="2"/>
      <c r="B1583" s="65" t="str">
        <f>IF($C1583="","","GG"&amp;TEXT(ROW()-6,"00000"))</f>
        <v/>
      </c>
      <c r="C1583" s="66"/>
      <c r="D1583" s="60"/>
      <c r="E1583" s="61"/>
      <c r="F1583" s="61"/>
      <c r="G1583" s="67"/>
      <c r="H1583" s="60"/>
      <c r="I1583" s="60"/>
      <c r="J1583" s="61"/>
      <c r="K1583" s="61"/>
      <c r="L1583" s="60"/>
      <c r="M1583" s="74" t="str">
        <f>IF($C1583="","",IF($D1583="Gider",$E1583,IF($L1583&lt;&gt;"",$L1583,$H1583)))</f>
        <v/>
      </c>
      <c r="N1583" s="74" t="str">
        <f>IF($C1583="","",IF($D1583="Gider",$H1583,$E1583))</f>
        <v/>
      </c>
      <c r="O1583" s="73" t="str">
        <f>IF($C1583="","",DATE(YEAR($C1583),MONTH($C1583),1))</f>
        <v/>
      </c>
      <c r="P1583" s="65" t="str">
        <f ca="1">IF($C1583="","",IF(AND($D1583="Gelir",$L1583&lt;&gt;"",$T1583=""),"TANIMSIZ BORÇLU",IF($T1583&lt;&gt;"",IF(OR($E1583="",$G1583&lt;=0),"EKSİK",IF($I1583="Evet","TAHAKKUK NAKİT OLAMAZ",IF($C1583&gt;TODAY(),"İLERİ TARİH","TAHAKKUK"))),IF(AND($D1583&lt;&gt;"",$E1583&lt;&gt;"",$G1583&gt;0,$H1583&lt;&gt;"",$I1583&lt;&gt;""),IF($C1583&gt;TODAY(),"İLERİ TARİH",IF(COUNTIF($W$7:$W$3001,$W1583)&gt;1,"MÜKERRER?",IF($AD1583&gt;0,"KAPALI DÖNEM",IF($I1583="Hayır","ÖDENECEK","UYGUN")))),"EKSİK"))))</f>
        <v/>
      </c>
      <c r="Q1583" s="2"/>
      <c r="R1583" s="2"/>
      <c r="S1583" s="1" t="str">
        <f t="shared" si="74"/>
        <v/>
      </c>
      <c r="T1583" s="1" t="str">
        <f>IF(OR($C1583="",$D1583&lt;&gt;"Gelir",$L1583=""),"",IFERROR(INDEX(MUSTERILER!$B$7:$B$156,MATCH($S1583,MUSTERILER!$T$7:$T$156,0)),""))</f>
        <v/>
      </c>
      <c r="U1583" s="1" t="str">
        <f>IF($T1583="","",$T1583&amp;"|"&amp;COUNTIFS($T$7:$T1583,$T1583))</f>
        <v/>
      </c>
      <c r="V1583" s="1">
        <f t="shared" si="75"/>
        <v>0</v>
      </c>
      <c r="W1583" s="1" t="str">
        <f t="shared" si="76"/>
        <v/>
      </c>
      <c r="X1583" s="1"/>
      <c r="Y1583" s="1"/>
      <c r="Z1583" s="1"/>
      <c r="AA1583" s="1"/>
      <c r="AB1583" s="1"/>
      <c r="AC1583" s="1"/>
      <c r="AD1583" s="1">
        <f>IF($C1583="",0,SUMPRODUCT((AY_SONU!$O$7:$O$42="Evet")*(AY_SONU!$B$7:$B$42=DATE(YEAR($C1583),MONTH($C1583),1))))</f>
        <v>0</v>
      </c>
      <c r="AE1583" s="1" t="str">
        <f>IF($E1583="","",$E1583&amp;"|"&amp;COUNTIFS($E$7:$E1583,$E1583))</f>
        <v/>
      </c>
    </row>
    <row r="1584" spans="1:31" ht="18" customHeight="1" x14ac:dyDescent="0.3">
      <c r="A1584" s="2"/>
      <c r="B1584" s="65" t="str">
        <f>IF($C1584="","","GG"&amp;TEXT(ROW()-6,"00000"))</f>
        <v/>
      </c>
      <c r="C1584" s="66"/>
      <c r="D1584" s="60"/>
      <c r="E1584" s="61"/>
      <c r="F1584" s="61"/>
      <c r="G1584" s="67"/>
      <c r="H1584" s="60"/>
      <c r="I1584" s="60"/>
      <c r="J1584" s="61"/>
      <c r="K1584" s="61"/>
      <c r="L1584" s="60"/>
      <c r="M1584" s="74" t="str">
        <f>IF($C1584="","",IF($D1584="Gider",$E1584,IF($L1584&lt;&gt;"",$L1584,$H1584)))</f>
        <v/>
      </c>
      <c r="N1584" s="74" t="str">
        <f>IF($C1584="","",IF($D1584="Gider",$H1584,$E1584))</f>
        <v/>
      </c>
      <c r="O1584" s="73" t="str">
        <f>IF($C1584="","",DATE(YEAR($C1584),MONTH($C1584),1))</f>
        <v/>
      </c>
      <c r="P1584" s="65" t="str">
        <f ca="1">IF($C1584="","",IF(AND($D1584="Gelir",$L1584&lt;&gt;"",$T1584=""),"TANIMSIZ BORÇLU",IF($T1584&lt;&gt;"",IF(OR($E1584="",$G1584&lt;=0),"EKSİK",IF($I1584="Evet","TAHAKKUK NAKİT OLAMAZ",IF($C1584&gt;TODAY(),"İLERİ TARİH","TAHAKKUK"))),IF(AND($D1584&lt;&gt;"",$E1584&lt;&gt;"",$G1584&gt;0,$H1584&lt;&gt;"",$I1584&lt;&gt;""),IF($C1584&gt;TODAY(),"İLERİ TARİH",IF(COUNTIF($W$7:$W$3001,$W1584)&gt;1,"MÜKERRER?",IF($AD1584&gt;0,"KAPALI DÖNEM",IF($I1584="Hayır","ÖDENECEK","UYGUN")))),"EKSİK"))))</f>
        <v/>
      </c>
      <c r="Q1584" s="2"/>
      <c r="R1584" s="2"/>
      <c r="S1584" s="1" t="str">
        <f t="shared" si="74"/>
        <v/>
      </c>
      <c r="T1584" s="1" t="str">
        <f>IF(OR($C1584="",$D1584&lt;&gt;"Gelir",$L1584=""),"",IFERROR(INDEX(MUSTERILER!$B$7:$B$156,MATCH($S1584,MUSTERILER!$T$7:$T$156,0)),""))</f>
        <v/>
      </c>
      <c r="U1584" s="1" t="str">
        <f>IF($T1584="","",$T1584&amp;"|"&amp;COUNTIFS($T$7:$T1584,$T1584))</f>
        <v/>
      </c>
      <c r="V1584" s="1">
        <f t="shared" si="75"/>
        <v>0</v>
      </c>
      <c r="W1584" s="1" t="str">
        <f t="shared" si="76"/>
        <v/>
      </c>
      <c r="X1584" s="1"/>
      <c r="Y1584" s="1"/>
      <c r="Z1584" s="1"/>
      <c r="AA1584" s="1"/>
      <c r="AB1584" s="1"/>
      <c r="AC1584" s="1"/>
      <c r="AD1584" s="1">
        <f>IF($C1584="",0,SUMPRODUCT((AY_SONU!$O$7:$O$42="Evet")*(AY_SONU!$B$7:$B$42=DATE(YEAR($C1584),MONTH($C1584),1))))</f>
        <v>0</v>
      </c>
      <c r="AE1584" s="1" t="str">
        <f>IF($E1584="","",$E1584&amp;"|"&amp;COUNTIFS($E$7:$E1584,$E1584))</f>
        <v/>
      </c>
    </row>
    <row r="1585" spans="1:31" ht="18" customHeight="1" x14ac:dyDescent="0.3">
      <c r="A1585" s="2"/>
      <c r="B1585" s="65" t="str">
        <f>IF($C1585="","","GG"&amp;TEXT(ROW()-6,"00000"))</f>
        <v/>
      </c>
      <c r="C1585" s="66"/>
      <c r="D1585" s="60"/>
      <c r="E1585" s="61"/>
      <c r="F1585" s="61"/>
      <c r="G1585" s="67"/>
      <c r="H1585" s="60"/>
      <c r="I1585" s="60"/>
      <c r="J1585" s="61"/>
      <c r="K1585" s="61"/>
      <c r="L1585" s="60"/>
      <c r="M1585" s="74" t="str">
        <f>IF($C1585="","",IF($D1585="Gider",$E1585,IF($L1585&lt;&gt;"",$L1585,$H1585)))</f>
        <v/>
      </c>
      <c r="N1585" s="74" t="str">
        <f>IF($C1585="","",IF($D1585="Gider",$H1585,$E1585))</f>
        <v/>
      </c>
      <c r="O1585" s="73" t="str">
        <f>IF($C1585="","",DATE(YEAR($C1585),MONTH($C1585),1))</f>
        <v/>
      </c>
      <c r="P1585" s="65" t="str">
        <f ca="1">IF($C1585="","",IF(AND($D1585="Gelir",$L1585&lt;&gt;"",$T1585=""),"TANIMSIZ BORÇLU",IF($T1585&lt;&gt;"",IF(OR($E1585="",$G1585&lt;=0),"EKSİK",IF($I1585="Evet","TAHAKKUK NAKİT OLAMAZ",IF($C1585&gt;TODAY(),"İLERİ TARİH","TAHAKKUK"))),IF(AND($D1585&lt;&gt;"",$E1585&lt;&gt;"",$G1585&gt;0,$H1585&lt;&gt;"",$I1585&lt;&gt;""),IF($C1585&gt;TODAY(),"İLERİ TARİH",IF(COUNTIF($W$7:$W$3001,$W1585)&gt;1,"MÜKERRER?",IF($AD1585&gt;0,"KAPALI DÖNEM",IF($I1585="Hayır","ÖDENECEK","UYGUN")))),"EKSİK"))))</f>
        <v/>
      </c>
      <c r="Q1585" s="2"/>
      <c r="R1585" s="2"/>
      <c r="S1585" s="1" t="str">
        <f t="shared" si="74"/>
        <v/>
      </c>
      <c r="T1585" s="1" t="str">
        <f>IF(OR($C1585="",$D1585&lt;&gt;"Gelir",$L1585=""),"",IFERROR(INDEX(MUSTERILER!$B$7:$B$156,MATCH($S1585,MUSTERILER!$T$7:$T$156,0)),""))</f>
        <v/>
      </c>
      <c r="U1585" s="1" t="str">
        <f>IF($T1585="","",$T1585&amp;"|"&amp;COUNTIFS($T$7:$T1585,$T1585))</f>
        <v/>
      </c>
      <c r="V1585" s="1">
        <f t="shared" si="75"/>
        <v>0</v>
      </c>
      <c r="W1585" s="1" t="str">
        <f t="shared" si="76"/>
        <v/>
      </c>
      <c r="X1585" s="1"/>
      <c r="Y1585" s="1"/>
      <c r="Z1585" s="1"/>
      <c r="AA1585" s="1"/>
      <c r="AB1585" s="1"/>
      <c r="AC1585" s="1"/>
      <c r="AD1585" s="1">
        <f>IF($C1585="",0,SUMPRODUCT((AY_SONU!$O$7:$O$42="Evet")*(AY_SONU!$B$7:$B$42=DATE(YEAR($C1585),MONTH($C1585),1))))</f>
        <v>0</v>
      </c>
      <c r="AE1585" s="1" t="str">
        <f>IF($E1585="","",$E1585&amp;"|"&amp;COUNTIFS($E$7:$E1585,$E1585))</f>
        <v/>
      </c>
    </row>
    <row r="1586" spans="1:31" ht="18" customHeight="1" x14ac:dyDescent="0.3">
      <c r="A1586" s="2"/>
      <c r="B1586" s="65" t="str">
        <f>IF($C1586="","","GG"&amp;TEXT(ROW()-6,"00000"))</f>
        <v/>
      </c>
      <c r="C1586" s="66"/>
      <c r="D1586" s="60"/>
      <c r="E1586" s="61"/>
      <c r="F1586" s="61"/>
      <c r="G1586" s="67"/>
      <c r="H1586" s="60"/>
      <c r="I1586" s="60"/>
      <c r="J1586" s="61"/>
      <c r="K1586" s="61"/>
      <c r="L1586" s="60"/>
      <c r="M1586" s="74" t="str">
        <f>IF($C1586="","",IF($D1586="Gider",$E1586,IF($L1586&lt;&gt;"",$L1586,$H1586)))</f>
        <v/>
      </c>
      <c r="N1586" s="74" t="str">
        <f>IF($C1586="","",IF($D1586="Gider",$H1586,$E1586))</f>
        <v/>
      </c>
      <c r="O1586" s="73" t="str">
        <f>IF($C1586="","",DATE(YEAR($C1586),MONTH($C1586),1))</f>
        <v/>
      </c>
      <c r="P1586" s="65" t="str">
        <f ca="1">IF($C1586="","",IF(AND($D1586="Gelir",$L1586&lt;&gt;"",$T1586=""),"TANIMSIZ BORÇLU",IF($T1586&lt;&gt;"",IF(OR($E1586="",$G1586&lt;=0),"EKSİK",IF($I1586="Evet","TAHAKKUK NAKİT OLAMAZ",IF($C1586&gt;TODAY(),"İLERİ TARİH","TAHAKKUK"))),IF(AND($D1586&lt;&gt;"",$E1586&lt;&gt;"",$G1586&gt;0,$H1586&lt;&gt;"",$I1586&lt;&gt;""),IF($C1586&gt;TODAY(),"İLERİ TARİH",IF(COUNTIF($W$7:$W$3001,$W1586)&gt;1,"MÜKERRER?",IF($AD1586&gt;0,"KAPALI DÖNEM",IF($I1586="Hayır","ÖDENECEK","UYGUN")))),"EKSİK"))))</f>
        <v/>
      </c>
      <c r="Q1586" s="2"/>
      <c r="R1586" s="2"/>
      <c r="S1586" s="1" t="str">
        <f t="shared" si="74"/>
        <v/>
      </c>
      <c r="T1586" s="1" t="str">
        <f>IF(OR($C1586="",$D1586&lt;&gt;"Gelir",$L1586=""),"",IFERROR(INDEX(MUSTERILER!$B$7:$B$156,MATCH($S1586,MUSTERILER!$T$7:$T$156,0)),""))</f>
        <v/>
      </c>
      <c r="U1586" s="1" t="str">
        <f>IF($T1586="","",$T1586&amp;"|"&amp;COUNTIFS($T$7:$T1586,$T1586))</f>
        <v/>
      </c>
      <c r="V1586" s="1">
        <f t="shared" si="75"/>
        <v>0</v>
      </c>
      <c r="W1586" s="1" t="str">
        <f t="shared" si="76"/>
        <v/>
      </c>
      <c r="X1586" s="1"/>
      <c r="Y1586" s="1"/>
      <c r="Z1586" s="1"/>
      <c r="AA1586" s="1"/>
      <c r="AB1586" s="1"/>
      <c r="AC1586" s="1"/>
      <c r="AD1586" s="1">
        <f>IF($C1586="",0,SUMPRODUCT((AY_SONU!$O$7:$O$42="Evet")*(AY_SONU!$B$7:$B$42=DATE(YEAR($C1586),MONTH($C1586),1))))</f>
        <v>0</v>
      </c>
      <c r="AE1586" s="1" t="str">
        <f>IF($E1586="","",$E1586&amp;"|"&amp;COUNTIFS($E$7:$E1586,$E1586))</f>
        <v/>
      </c>
    </row>
    <row r="1587" spans="1:31" ht="18" customHeight="1" x14ac:dyDescent="0.3">
      <c r="A1587" s="2"/>
      <c r="B1587" s="65" t="str">
        <f>IF($C1587="","","GG"&amp;TEXT(ROW()-6,"00000"))</f>
        <v/>
      </c>
      <c r="C1587" s="66"/>
      <c r="D1587" s="60"/>
      <c r="E1587" s="61"/>
      <c r="F1587" s="61"/>
      <c r="G1587" s="67"/>
      <c r="H1587" s="60"/>
      <c r="I1587" s="60"/>
      <c r="J1587" s="61"/>
      <c r="K1587" s="61"/>
      <c r="L1587" s="60"/>
      <c r="M1587" s="74" t="str">
        <f>IF($C1587="","",IF($D1587="Gider",$E1587,IF($L1587&lt;&gt;"",$L1587,$H1587)))</f>
        <v/>
      </c>
      <c r="N1587" s="74" t="str">
        <f>IF($C1587="","",IF($D1587="Gider",$H1587,$E1587))</f>
        <v/>
      </c>
      <c r="O1587" s="73" t="str">
        <f>IF($C1587="","",DATE(YEAR($C1587),MONTH($C1587),1))</f>
        <v/>
      </c>
      <c r="P1587" s="65" t="str">
        <f ca="1">IF($C1587="","",IF(AND($D1587="Gelir",$L1587&lt;&gt;"",$T1587=""),"TANIMSIZ BORÇLU",IF($T1587&lt;&gt;"",IF(OR($E1587="",$G1587&lt;=0),"EKSİK",IF($I1587="Evet","TAHAKKUK NAKİT OLAMAZ",IF($C1587&gt;TODAY(),"İLERİ TARİH","TAHAKKUK"))),IF(AND($D1587&lt;&gt;"",$E1587&lt;&gt;"",$G1587&gt;0,$H1587&lt;&gt;"",$I1587&lt;&gt;""),IF($C1587&gt;TODAY(),"İLERİ TARİH",IF(COUNTIF($W$7:$W$3001,$W1587)&gt;1,"MÜKERRER?",IF($AD1587&gt;0,"KAPALI DÖNEM",IF($I1587="Hayır","ÖDENECEK","UYGUN")))),"EKSİK"))))</f>
        <v/>
      </c>
      <c r="Q1587" s="2"/>
      <c r="R1587" s="2"/>
      <c r="S1587" s="1" t="str">
        <f t="shared" si="74"/>
        <v/>
      </c>
      <c r="T1587" s="1" t="str">
        <f>IF(OR($C1587="",$D1587&lt;&gt;"Gelir",$L1587=""),"",IFERROR(INDEX(MUSTERILER!$B$7:$B$156,MATCH($S1587,MUSTERILER!$T$7:$T$156,0)),""))</f>
        <v/>
      </c>
      <c r="U1587" s="1" t="str">
        <f>IF($T1587="","",$T1587&amp;"|"&amp;COUNTIFS($T$7:$T1587,$T1587))</f>
        <v/>
      </c>
      <c r="V1587" s="1">
        <f t="shared" si="75"/>
        <v>0</v>
      </c>
      <c r="W1587" s="1" t="str">
        <f t="shared" si="76"/>
        <v/>
      </c>
      <c r="X1587" s="1"/>
      <c r="Y1587" s="1"/>
      <c r="Z1587" s="1"/>
      <c r="AA1587" s="1"/>
      <c r="AB1587" s="1"/>
      <c r="AC1587" s="1"/>
      <c r="AD1587" s="1">
        <f>IF($C1587="",0,SUMPRODUCT((AY_SONU!$O$7:$O$42="Evet")*(AY_SONU!$B$7:$B$42=DATE(YEAR($C1587),MONTH($C1587),1))))</f>
        <v>0</v>
      </c>
      <c r="AE1587" s="1" t="str">
        <f>IF($E1587="","",$E1587&amp;"|"&amp;COUNTIFS($E$7:$E1587,$E1587))</f>
        <v/>
      </c>
    </row>
    <row r="1588" spans="1:31" ht="18" customHeight="1" x14ac:dyDescent="0.3">
      <c r="A1588" s="2"/>
      <c r="B1588" s="65" t="str">
        <f>IF($C1588="","","GG"&amp;TEXT(ROW()-6,"00000"))</f>
        <v/>
      </c>
      <c r="C1588" s="66"/>
      <c r="D1588" s="60"/>
      <c r="E1588" s="61"/>
      <c r="F1588" s="61"/>
      <c r="G1588" s="67"/>
      <c r="H1588" s="60"/>
      <c r="I1588" s="60"/>
      <c r="J1588" s="61"/>
      <c r="K1588" s="61"/>
      <c r="L1588" s="60"/>
      <c r="M1588" s="74" t="str">
        <f>IF($C1588="","",IF($D1588="Gider",$E1588,IF($L1588&lt;&gt;"",$L1588,$H1588)))</f>
        <v/>
      </c>
      <c r="N1588" s="74" t="str">
        <f>IF($C1588="","",IF($D1588="Gider",$H1588,$E1588))</f>
        <v/>
      </c>
      <c r="O1588" s="73" t="str">
        <f>IF($C1588="","",DATE(YEAR($C1588),MONTH($C1588),1))</f>
        <v/>
      </c>
      <c r="P1588" s="65" t="str">
        <f ca="1">IF($C1588="","",IF(AND($D1588="Gelir",$L1588&lt;&gt;"",$T1588=""),"TANIMSIZ BORÇLU",IF($T1588&lt;&gt;"",IF(OR($E1588="",$G1588&lt;=0),"EKSİK",IF($I1588="Evet","TAHAKKUK NAKİT OLAMAZ",IF($C1588&gt;TODAY(),"İLERİ TARİH","TAHAKKUK"))),IF(AND($D1588&lt;&gt;"",$E1588&lt;&gt;"",$G1588&gt;0,$H1588&lt;&gt;"",$I1588&lt;&gt;""),IF($C1588&gt;TODAY(),"İLERİ TARİH",IF(COUNTIF($W$7:$W$3001,$W1588)&gt;1,"MÜKERRER?",IF($AD1588&gt;0,"KAPALI DÖNEM",IF($I1588="Hayır","ÖDENECEK","UYGUN")))),"EKSİK"))))</f>
        <v/>
      </c>
      <c r="Q1588" s="2"/>
      <c r="R1588" s="2"/>
      <c r="S1588" s="1" t="str">
        <f t="shared" si="74"/>
        <v/>
      </c>
      <c r="T1588" s="1" t="str">
        <f>IF(OR($C1588="",$D1588&lt;&gt;"Gelir",$L1588=""),"",IFERROR(INDEX(MUSTERILER!$B$7:$B$156,MATCH($S1588,MUSTERILER!$T$7:$T$156,0)),""))</f>
        <v/>
      </c>
      <c r="U1588" s="1" t="str">
        <f>IF($T1588="","",$T1588&amp;"|"&amp;COUNTIFS($T$7:$T1588,$T1588))</f>
        <v/>
      </c>
      <c r="V1588" s="1">
        <f t="shared" si="75"/>
        <v>0</v>
      </c>
      <c r="W1588" s="1" t="str">
        <f t="shared" si="76"/>
        <v/>
      </c>
      <c r="X1588" s="1"/>
      <c r="Y1588" s="1"/>
      <c r="Z1588" s="1"/>
      <c r="AA1588" s="1"/>
      <c r="AB1588" s="1"/>
      <c r="AC1588" s="1"/>
      <c r="AD1588" s="1">
        <f>IF($C1588="",0,SUMPRODUCT((AY_SONU!$O$7:$O$42="Evet")*(AY_SONU!$B$7:$B$42=DATE(YEAR($C1588),MONTH($C1588),1))))</f>
        <v>0</v>
      </c>
      <c r="AE1588" s="1" t="str">
        <f>IF($E1588="","",$E1588&amp;"|"&amp;COUNTIFS($E$7:$E1588,$E1588))</f>
        <v/>
      </c>
    </row>
    <row r="1589" spans="1:31" ht="18" customHeight="1" x14ac:dyDescent="0.3">
      <c r="A1589" s="2"/>
      <c r="B1589" s="65" t="str">
        <f>IF($C1589="","","GG"&amp;TEXT(ROW()-6,"00000"))</f>
        <v/>
      </c>
      <c r="C1589" s="66"/>
      <c r="D1589" s="60"/>
      <c r="E1589" s="61"/>
      <c r="F1589" s="61"/>
      <c r="G1589" s="67"/>
      <c r="H1589" s="60"/>
      <c r="I1589" s="60"/>
      <c r="J1589" s="61"/>
      <c r="K1589" s="61"/>
      <c r="L1589" s="60"/>
      <c r="M1589" s="74" t="str">
        <f>IF($C1589="","",IF($D1589="Gider",$E1589,IF($L1589&lt;&gt;"",$L1589,$H1589)))</f>
        <v/>
      </c>
      <c r="N1589" s="74" t="str">
        <f>IF($C1589="","",IF($D1589="Gider",$H1589,$E1589))</f>
        <v/>
      </c>
      <c r="O1589" s="73" t="str">
        <f>IF($C1589="","",DATE(YEAR($C1589),MONTH($C1589),1))</f>
        <v/>
      </c>
      <c r="P1589" s="65" t="str">
        <f ca="1">IF($C1589="","",IF(AND($D1589="Gelir",$L1589&lt;&gt;"",$T1589=""),"TANIMSIZ BORÇLU",IF($T1589&lt;&gt;"",IF(OR($E1589="",$G1589&lt;=0),"EKSİK",IF($I1589="Evet","TAHAKKUK NAKİT OLAMAZ",IF($C1589&gt;TODAY(),"İLERİ TARİH","TAHAKKUK"))),IF(AND($D1589&lt;&gt;"",$E1589&lt;&gt;"",$G1589&gt;0,$H1589&lt;&gt;"",$I1589&lt;&gt;""),IF($C1589&gt;TODAY(),"İLERİ TARİH",IF(COUNTIF($W$7:$W$3001,$W1589)&gt;1,"MÜKERRER?",IF($AD1589&gt;0,"KAPALI DÖNEM",IF($I1589="Hayır","ÖDENECEK","UYGUN")))),"EKSİK"))))</f>
        <v/>
      </c>
      <c r="Q1589" s="2"/>
      <c r="R1589" s="2"/>
      <c r="S1589" s="1" t="str">
        <f t="shared" si="74"/>
        <v/>
      </c>
      <c r="T1589" s="1" t="str">
        <f>IF(OR($C1589="",$D1589&lt;&gt;"Gelir",$L1589=""),"",IFERROR(INDEX(MUSTERILER!$B$7:$B$156,MATCH($S1589,MUSTERILER!$T$7:$T$156,0)),""))</f>
        <v/>
      </c>
      <c r="U1589" s="1" t="str">
        <f>IF($T1589="","",$T1589&amp;"|"&amp;COUNTIFS($T$7:$T1589,$T1589))</f>
        <v/>
      </c>
      <c r="V1589" s="1">
        <f t="shared" si="75"/>
        <v>0</v>
      </c>
      <c r="W1589" s="1" t="str">
        <f t="shared" si="76"/>
        <v/>
      </c>
      <c r="X1589" s="1"/>
      <c r="Y1589" s="1"/>
      <c r="Z1589" s="1"/>
      <c r="AA1589" s="1"/>
      <c r="AB1589" s="1"/>
      <c r="AC1589" s="1"/>
      <c r="AD1589" s="1">
        <f>IF($C1589="",0,SUMPRODUCT((AY_SONU!$O$7:$O$42="Evet")*(AY_SONU!$B$7:$B$42=DATE(YEAR($C1589),MONTH($C1589),1))))</f>
        <v>0</v>
      </c>
      <c r="AE1589" s="1" t="str">
        <f>IF($E1589="","",$E1589&amp;"|"&amp;COUNTIFS($E$7:$E1589,$E1589))</f>
        <v/>
      </c>
    </row>
    <row r="1590" spans="1:31" ht="18" customHeight="1" x14ac:dyDescent="0.3">
      <c r="A1590" s="2"/>
      <c r="B1590" s="65" t="str">
        <f>IF($C1590="","","GG"&amp;TEXT(ROW()-6,"00000"))</f>
        <v/>
      </c>
      <c r="C1590" s="66"/>
      <c r="D1590" s="60"/>
      <c r="E1590" s="61"/>
      <c r="F1590" s="61"/>
      <c r="G1590" s="67"/>
      <c r="H1590" s="60"/>
      <c r="I1590" s="60"/>
      <c r="J1590" s="61"/>
      <c r="K1590" s="61"/>
      <c r="L1590" s="60"/>
      <c r="M1590" s="74" t="str">
        <f>IF($C1590="","",IF($D1590="Gider",$E1590,IF($L1590&lt;&gt;"",$L1590,$H1590)))</f>
        <v/>
      </c>
      <c r="N1590" s="74" t="str">
        <f>IF($C1590="","",IF($D1590="Gider",$H1590,$E1590))</f>
        <v/>
      </c>
      <c r="O1590" s="73" t="str">
        <f>IF($C1590="","",DATE(YEAR($C1590),MONTH($C1590),1))</f>
        <v/>
      </c>
      <c r="P1590" s="65" t="str">
        <f ca="1">IF($C1590="","",IF(AND($D1590="Gelir",$L1590&lt;&gt;"",$T1590=""),"TANIMSIZ BORÇLU",IF($T1590&lt;&gt;"",IF(OR($E1590="",$G1590&lt;=0),"EKSİK",IF($I1590="Evet","TAHAKKUK NAKİT OLAMAZ",IF($C1590&gt;TODAY(),"İLERİ TARİH","TAHAKKUK"))),IF(AND($D1590&lt;&gt;"",$E1590&lt;&gt;"",$G1590&gt;0,$H1590&lt;&gt;"",$I1590&lt;&gt;""),IF($C1590&gt;TODAY(),"İLERİ TARİH",IF(COUNTIF($W$7:$W$3001,$W1590)&gt;1,"MÜKERRER?",IF($AD1590&gt;0,"KAPALI DÖNEM",IF($I1590="Hayır","ÖDENECEK","UYGUN")))),"EKSİK"))))</f>
        <v/>
      </c>
      <c r="Q1590" s="2"/>
      <c r="R1590" s="2"/>
      <c r="S1590" s="1" t="str">
        <f t="shared" si="74"/>
        <v/>
      </c>
      <c r="T1590" s="1" t="str">
        <f>IF(OR($C1590="",$D1590&lt;&gt;"Gelir",$L1590=""),"",IFERROR(INDEX(MUSTERILER!$B$7:$B$156,MATCH($S1590,MUSTERILER!$T$7:$T$156,0)),""))</f>
        <v/>
      </c>
      <c r="U1590" s="1" t="str">
        <f>IF($T1590="","",$T1590&amp;"|"&amp;COUNTIFS($T$7:$T1590,$T1590))</f>
        <v/>
      </c>
      <c r="V1590" s="1">
        <f t="shared" si="75"/>
        <v>0</v>
      </c>
      <c r="W1590" s="1" t="str">
        <f t="shared" si="76"/>
        <v/>
      </c>
      <c r="X1590" s="1"/>
      <c r="Y1590" s="1"/>
      <c r="Z1590" s="1"/>
      <c r="AA1590" s="1"/>
      <c r="AB1590" s="1"/>
      <c r="AC1590" s="1"/>
      <c r="AD1590" s="1">
        <f>IF($C1590="",0,SUMPRODUCT((AY_SONU!$O$7:$O$42="Evet")*(AY_SONU!$B$7:$B$42=DATE(YEAR($C1590),MONTH($C1590),1))))</f>
        <v>0</v>
      </c>
      <c r="AE1590" s="1" t="str">
        <f>IF($E1590="","",$E1590&amp;"|"&amp;COUNTIFS($E$7:$E1590,$E1590))</f>
        <v/>
      </c>
    </row>
    <row r="1591" spans="1:31" ht="18" customHeight="1" x14ac:dyDescent="0.3">
      <c r="A1591" s="2"/>
      <c r="B1591" s="65" t="str">
        <f>IF($C1591="","","GG"&amp;TEXT(ROW()-6,"00000"))</f>
        <v/>
      </c>
      <c r="C1591" s="66"/>
      <c r="D1591" s="60"/>
      <c r="E1591" s="61"/>
      <c r="F1591" s="61"/>
      <c r="G1591" s="67"/>
      <c r="H1591" s="60"/>
      <c r="I1591" s="60"/>
      <c r="J1591" s="61"/>
      <c r="K1591" s="61"/>
      <c r="L1591" s="60"/>
      <c r="M1591" s="74" t="str">
        <f>IF($C1591="","",IF($D1591="Gider",$E1591,IF($L1591&lt;&gt;"",$L1591,$H1591)))</f>
        <v/>
      </c>
      <c r="N1591" s="74" t="str">
        <f>IF($C1591="","",IF($D1591="Gider",$H1591,$E1591))</f>
        <v/>
      </c>
      <c r="O1591" s="73" t="str">
        <f>IF($C1591="","",DATE(YEAR($C1591),MONTH($C1591),1))</f>
        <v/>
      </c>
      <c r="P1591" s="65" t="str">
        <f ca="1">IF($C1591="","",IF(AND($D1591="Gelir",$L1591&lt;&gt;"",$T1591=""),"TANIMSIZ BORÇLU",IF($T1591&lt;&gt;"",IF(OR($E1591="",$G1591&lt;=0),"EKSİK",IF($I1591="Evet","TAHAKKUK NAKİT OLAMAZ",IF($C1591&gt;TODAY(),"İLERİ TARİH","TAHAKKUK"))),IF(AND($D1591&lt;&gt;"",$E1591&lt;&gt;"",$G1591&gt;0,$H1591&lt;&gt;"",$I1591&lt;&gt;""),IF($C1591&gt;TODAY(),"İLERİ TARİH",IF(COUNTIF($W$7:$W$3001,$W1591)&gt;1,"MÜKERRER?",IF($AD1591&gt;0,"KAPALI DÖNEM",IF($I1591="Hayır","ÖDENECEK","UYGUN")))),"EKSİK"))))</f>
        <v/>
      </c>
      <c r="Q1591" s="2"/>
      <c r="R1591" s="2"/>
      <c r="S1591" s="1" t="str">
        <f t="shared" si="74"/>
        <v/>
      </c>
      <c r="T1591" s="1" t="str">
        <f>IF(OR($C1591="",$D1591&lt;&gt;"Gelir",$L1591=""),"",IFERROR(INDEX(MUSTERILER!$B$7:$B$156,MATCH($S1591,MUSTERILER!$T$7:$T$156,0)),""))</f>
        <v/>
      </c>
      <c r="U1591" s="1" t="str">
        <f>IF($T1591="","",$T1591&amp;"|"&amp;COUNTIFS($T$7:$T1591,$T1591))</f>
        <v/>
      </c>
      <c r="V1591" s="1">
        <f t="shared" si="75"/>
        <v>0</v>
      </c>
      <c r="W1591" s="1" t="str">
        <f t="shared" si="76"/>
        <v/>
      </c>
      <c r="X1591" s="1"/>
      <c r="Y1591" s="1"/>
      <c r="Z1591" s="1"/>
      <c r="AA1591" s="1"/>
      <c r="AB1591" s="1"/>
      <c r="AC1591" s="1"/>
      <c r="AD1591" s="1">
        <f>IF($C1591="",0,SUMPRODUCT((AY_SONU!$O$7:$O$42="Evet")*(AY_SONU!$B$7:$B$42=DATE(YEAR($C1591),MONTH($C1591),1))))</f>
        <v>0</v>
      </c>
      <c r="AE1591" s="1" t="str">
        <f>IF($E1591="","",$E1591&amp;"|"&amp;COUNTIFS($E$7:$E1591,$E1591))</f>
        <v/>
      </c>
    </row>
    <row r="1592" spans="1:31" ht="18" customHeight="1" x14ac:dyDescent="0.3">
      <c r="A1592" s="2"/>
      <c r="B1592" s="65" t="str">
        <f>IF($C1592="","","GG"&amp;TEXT(ROW()-6,"00000"))</f>
        <v/>
      </c>
      <c r="C1592" s="66"/>
      <c r="D1592" s="60"/>
      <c r="E1592" s="61"/>
      <c r="F1592" s="61"/>
      <c r="G1592" s="67"/>
      <c r="H1592" s="60"/>
      <c r="I1592" s="60"/>
      <c r="J1592" s="61"/>
      <c r="K1592" s="61"/>
      <c r="L1592" s="60"/>
      <c r="M1592" s="74" t="str">
        <f>IF($C1592="","",IF($D1592="Gider",$E1592,IF($L1592&lt;&gt;"",$L1592,$H1592)))</f>
        <v/>
      </c>
      <c r="N1592" s="74" t="str">
        <f>IF($C1592="","",IF($D1592="Gider",$H1592,$E1592))</f>
        <v/>
      </c>
      <c r="O1592" s="73" t="str">
        <f>IF($C1592="","",DATE(YEAR($C1592),MONTH($C1592),1))</f>
        <v/>
      </c>
      <c r="P1592" s="65" t="str">
        <f ca="1">IF($C1592="","",IF(AND($D1592="Gelir",$L1592&lt;&gt;"",$T1592=""),"TANIMSIZ BORÇLU",IF($T1592&lt;&gt;"",IF(OR($E1592="",$G1592&lt;=0),"EKSİK",IF($I1592="Evet","TAHAKKUK NAKİT OLAMAZ",IF($C1592&gt;TODAY(),"İLERİ TARİH","TAHAKKUK"))),IF(AND($D1592&lt;&gt;"",$E1592&lt;&gt;"",$G1592&gt;0,$H1592&lt;&gt;"",$I1592&lt;&gt;""),IF($C1592&gt;TODAY(),"İLERİ TARİH",IF(COUNTIF($W$7:$W$3001,$W1592)&gt;1,"MÜKERRER?",IF($AD1592&gt;0,"KAPALI DÖNEM",IF($I1592="Hayır","ÖDENECEK","UYGUN")))),"EKSİK"))))</f>
        <v/>
      </c>
      <c r="Q1592" s="2"/>
      <c r="R1592" s="2"/>
      <c r="S1592" s="1" t="str">
        <f t="shared" si="74"/>
        <v/>
      </c>
      <c r="T1592" s="1" t="str">
        <f>IF(OR($C1592="",$D1592&lt;&gt;"Gelir",$L1592=""),"",IFERROR(INDEX(MUSTERILER!$B$7:$B$156,MATCH($S1592,MUSTERILER!$T$7:$T$156,0)),""))</f>
        <v/>
      </c>
      <c r="U1592" s="1" t="str">
        <f>IF($T1592="","",$T1592&amp;"|"&amp;COUNTIFS($T$7:$T1592,$T1592))</f>
        <v/>
      </c>
      <c r="V1592" s="1">
        <f t="shared" si="75"/>
        <v>0</v>
      </c>
      <c r="W1592" s="1" t="str">
        <f t="shared" si="76"/>
        <v/>
      </c>
      <c r="X1592" s="1"/>
      <c r="Y1592" s="1"/>
      <c r="Z1592" s="1"/>
      <c r="AA1592" s="1"/>
      <c r="AB1592" s="1"/>
      <c r="AC1592" s="1"/>
      <c r="AD1592" s="1">
        <f>IF($C1592="",0,SUMPRODUCT((AY_SONU!$O$7:$O$42="Evet")*(AY_SONU!$B$7:$B$42=DATE(YEAR($C1592),MONTH($C1592),1))))</f>
        <v>0</v>
      </c>
      <c r="AE1592" s="1" t="str">
        <f>IF($E1592="","",$E1592&amp;"|"&amp;COUNTIFS($E$7:$E1592,$E1592))</f>
        <v/>
      </c>
    </row>
    <row r="1593" spans="1:31" ht="18" customHeight="1" x14ac:dyDescent="0.3">
      <c r="A1593" s="2"/>
      <c r="B1593" s="65" t="str">
        <f>IF($C1593="","","GG"&amp;TEXT(ROW()-6,"00000"))</f>
        <v/>
      </c>
      <c r="C1593" s="66"/>
      <c r="D1593" s="60"/>
      <c r="E1593" s="61"/>
      <c r="F1593" s="61"/>
      <c r="G1593" s="67"/>
      <c r="H1593" s="60"/>
      <c r="I1593" s="60"/>
      <c r="J1593" s="61"/>
      <c r="K1593" s="61"/>
      <c r="L1593" s="60"/>
      <c r="M1593" s="74" t="str">
        <f>IF($C1593="","",IF($D1593="Gider",$E1593,IF($L1593&lt;&gt;"",$L1593,$H1593)))</f>
        <v/>
      </c>
      <c r="N1593" s="74" t="str">
        <f>IF($C1593="","",IF($D1593="Gider",$H1593,$E1593))</f>
        <v/>
      </c>
      <c r="O1593" s="73" t="str">
        <f>IF($C1593="","",DATE(YEAR($C1593),MONTH($C1593),1))</f>
        <v/>
      </c>
      <c r="P1593" s="65" t="str">
        <f ca="1">IF($C1593="","",IF(AND($D1593="Gelir",$L1593&lt;&gt;"",$T1593=""),"TANIMSIZ BORÇLU",IF($T1593&lt;&gt;"",IF(OR($E1593="",$G1593&lt;=0),"EKSİK",IF($I1593="Evet","TAHAKKUK NAKİT OLAMAZ",IF($C1593&gt;TODAY(),"İLERİ TARİH","TAHAKKUK"))),IF(AND($D1593&lt;&gt;"",$E1593&lt;&gt;"",$G1593&gt;0,$H1593&lt;&gt;"",$I1593&lt;&gt;""),IF($C1593&gt;TODAY(),"İLERİ TARİH",IF(COUNTIF($W$7:$W$3001,$W1593)&gt;1,"MÜKERRER?",IF($AD1593&gt;0,"KAPALI DÖNEM",IF($I1593="Hayır","ÖDENECEK","UYGUN")))),"EKSİK"))))</f>
        <v/>
      </c>
      <c r="Q1593" s="2"/>
      <c r="R1593" s="2"/>
      <c r="S1593" s="1" t="str">
        <f t="shared" si="74"/>
        <v/>
      </c>
      <c r="T1593" s="1" t="str">
        <f>IF(OR($C1593="",$D1593&lt;&gt;"Gelir",$L1593=""),"",IFERROR(INDEX(MUSTERILER!$B$7:$B$156,MATCH($S1593,MUSTERILER!$T$7:$T$156,0)),""))</f>
        <v/>
      </c>
      <c r="U1593" s="1" t="str">
        <f>IF($T1593="","",$T1593&amp;"|"&amp;COUNTIFS($T$7:$T1593,$T1593))</f>
        <v/>
      </c>
      <c r="V1593" s="1">
        <f t="shared" si="75"/>
        <v>0</v>
      </c>
      <c r="W1593" s="1" t="str">
        <f t="shared" si="76"/>
        <v/>
      </c>
      <c r="X1593" s="1"/>
      <c r="Y1593" s="1"/>
      <c r="Z1593" s="1"/>
      <c r="AA1593" s="1"/>
      <c r="AB1593" s="1"/>
      <c r="AC1593" s="1"/>
      <c r="AD1593" s="1">
        <f>IF($C1593="",0,SUMPRODUCT((AY_SONU!$O$7:$O$42="Evet")*(AY_SONU!$B$7:$B$42=DATE(YEAR($C1593),MONTH($C1593),1))))</f>
        <v>0</v>
      </c>
      <c r="AE1593" s="1" t="str">
        <f>IF($E1593="","",$E1593&amp;"|"&amp;COUNTIFS($E$7:$E1593,$E1593))</f>
        <v/>
      </c>
    </row>
    <row r="1594" spans="1:31" ht="18" customHeight="1" x14ac:dyDescent="0.3">
      <c r="A1594" s="2"/>
      <c r="B1594" s="65" t="str">
        <f>IF($C1594="","","GG"&amp;TEXT(ROW()-6,"00000"))</f>
        <v/>
      </c>
      <c r="C1594" s="66"/>
      <c r="D1594" s="60"/>
      <c r="E1594" s="61"/>
      <c r="F1594" s="61"/>
      <c r="G1594" s="67"/>
      <c r="H1594" s="60"/>
      <c r="I1594" s="60"/>
      <c r="J1594" s="61"/>
      <c r="K1594" s="61"/>
      <c r="L1594" s="60"/>
      <c r="M1594" s="74" t="str">
        <f>IF($C1594="","",IF($D1594="Gider",$E1594,IF($L1594&lt;&gt;"",$L1594,$H1594)))</f>
        <v/>
      </c>
      <c r="N1594" s="74" t="str">
        <f>IF($C1594="","",IF($D1594="Gider",$H1594,$E1594))</f>
        <v/>
      </c>
      <c r="O1594" s="73" t="str">
        <f>IF($C1594="","",DATE(YEAR($C1594),MONTH($C1594),1))</f>
        <v/>
      </c>
      <c r="P1594" s="65" t="str">
        <f ca="1">IF($C1594="","",IF(AND($D1594="Gelir",$L1594&lt;&gt;"",$T1594=""),"TANIMSIZ BORÇLU",IF($T1594&lt;&gt;"",IF(OR($E1594="",$G1594&lt;=0),"EKSİK",IF($I1594="Evet","TAHAKKUK NAKİT OLAMAZ",IF($C1594&gt;TODAY(),"İLERİ TARİH","TAHAKKUK"))),IF(AND($D1594&lt;&gt;"",$E1594&lt;&gt;"",$G1594&gt;0,$H1594&lt;&gt;"",$I1594&lt;&gt;""),IF($C1594&gt;TODAY(),"İLERİ TARİH",IF(COUNTIF($W$7:$W$3001,$W1594)&gt;1,"MÜKERRER?",IF($AD1594&gt;0,"KAPALI DÖNEM",IF($I1594="Hayır","ÖDENECEK","UYGUN")))),"EKSİK"))))</f>
        <v/>
      </c>
      <c r="Q1594" s="2"/>
      <c r="R1594" s="2"/>
      <c r="S1594" s="1" t="str">
        <f t="shared" si="74"/>
        <v/>
      </c>
      <c r="T1594" s="1" t="str">
        <f>IF(OR($C1594="",$D1594&lt;&gt;"Gelir",$L1594=""),"",IFERROR(INDEX(MUSTERILER!$B$7:$B$156,MATCH($S1594,MUSTERILER!$T$7:$T$156,0)),""))</f>
        <v/>
      </c>
      <c r="U1594" s="1" t="str">
        <f>IF($T1594="","",$T1594&amp;"|"&amp;COUNTIFS($T$7:$T1594,$T1594))</f>
        <v/>
      </c>
      <c r="V1594" s="1">
        <f t="shared" si="75"/>
        <v>0</v>
      </c>
      <c r="W1594" s="1" t="str">
        <f t="shared" si="76"/>
        <v/>
      </c>
      <c r="X1594" s="1"/>
      <c r="Y1594" s="1"/>
      <c r="Z1594" s="1"/>
      <c r="AA1594" s="1"/>
      <c r="AB1594" s="1"/>
      <c r="AC1594" s="1"/>
      <c r="AD1594" s="1">
        <f>IF($C1594="",0,SUMPRODUCT((AY_SONU!$O$7:$O$42="Evet")*(AY_SONU!$B$7:$B$42=DATE(YEAR($C1594),MONTH($C1594),1))))</f>
        <v>0</v>
      </c>
      <c r="AE1594" s="1" t="str">
        <f>IF($E1594="","",$E1594&amp;"|"&amp;COUNTIFS($E$7:$E1594,$E1594))</f>
        <v/>
      </c>
    </row>
    <row r="1595" spans="1:31" ht="18" customHeight="1" x14ac:dyDescent="0.3">
      <c r="A1595" s="2"/>
      <c r="B1595" s="65" t="str">
        <f>IF($C1595="","","GG"&amp;TEXT(ROW()-6,"00000"))</f>
        <v/>
      </c>
      <c r="C1595" s="66"/>
      <c r="D1595" s="60"/>
      <c r="E1595" s="61"/>
      <c r="F1595" s="61"/>
      <c r="G1595" s="67"/>
      <c r="H1595" s="60"/>
      <c r="I1595" s="60"/>
      <c r="J1595" s="61"/>
      <c r="K1595" s="61"/>
      <c r="L1595" s="60"/>
      <c r="M1595" s="74" t="str">
        <f>IF($C1595="","",IF($D1595="Gider",$E1595,IF($L1595&lt;&gt;"",$L1595,$H1595)))</f>
        <v/>
      </c>
      <c r="N1595" s="74" t="str">
        <f>IF($C1595="","",IF($D1595="Gider",$H1595,$E1595))</f>
        <v/>
      </c>
      <c r="O1595" s="73" t="str">
        <f>IF($C1595="","",DATE(YEAR($C1595),MONTH($C1595),1))</f>
        <v/>
      </c>
      <c r="P1595" s="65" t="str">
        <f ca="1">IF($C1595="","",IF(AND($D1595="Gelir",$L1595&lt;&gt;"",$T1595=""),"TANIMSIZ BORÇLU",IF($T1595&lt;&gt;"",IF(OR($E1595="",$G1595&lt;=0),"EKSİK",IF($I1595="Evet","TAHAKKUK NAKİT OLAMAZ",IF($C1595&gt;TODAY(),"İLERİ TARİH","TAHAKKUK"))),IF(AND($D1595&lt;&gt;"",$E1595&lt;&gt;"",$G1595&gt;0,$H1595&lt;&gt;"",$I1595&lt;&gt;""),IF($C1595&gt;TODAY(),"İLERİ TARİH",IF(COUNTIF($W$7:$W$3001,$W1595)&gt;1,"MÜKERRER?",IF($AD1595&gt;0,"KAPALI DÖNEM",IF($I1595="Hayır","ÖDENECEK","UYGUN")))),"EKSİK"))))</f>
        <v/>
      </c>
      <c r="Q1595" s="2"/>
      <c r="R1595" s="2"/>
      <c r="S1595" s="1" t="str">
        <f t="shared" si="74"/>
        <v/>
      </c>
      <c r="T1595" s="1" t="str">
        <f>IF(OR($C1595="",$D1595&lt;&gt;"Gelir",$L1595=""),"",IFERROR(INDEX(MUSTERILER!$B$7:$B$156,MATCH($S1595,MUSTERILER!$T$7:$T$156,0)),""))</f>
        <v/>
      </c>
      <c r="U1595" s="1" t="str">
        <f>IF($T1595="","",$T1595&amp;"|"&amp;COUNTIFS($T$7:$T1595,$T1595))</f>
        <v/>
      </c>
      <c r="V1595" s="1">
        <f t="shared" si="75"/>
        <v>0</v>
      </c>
      <c r="W1595" s="1" t="str">
        <f t="shared" si="76"/>
        <v/>
      </c>
      <c r="X1595" s="1"/>
      <c r="Y1595" s="1"/>
      <c r="Z1595" s="1"/>
      <c r="AA1595" s="1"/>
      <c r="AB1595" s="1"/>
      <c r="AC1595" s="1"/>
      <c r="AD1595" s="1">
        <f>IF($C1595="",0,SUMPRODUCT((AY_SONU!$O$7:$O$42="Evet")*(AY_SONU!$B$7:$B$42=DATE(YEAR($C1595),MONTH($C1595),1))))</f>
        <v>0</v>
      </c>
      <c r="AE1595" s="1" t="str">
        <f>IF($E1595="","",$E1595&amp;"|"&amp;COUNTIFS($E$7:$E1595,$E1595))</f>
        <v/>
      </c>
    </row>
    <row r="1596" spans="1:31" ht="18" customHeight="1" x14ac:dyDescent="0.3">
      <c r="A1596" s="2"/>
      <c r="B1596" s="65" t="str">
        <f>IF($C1596="","","GG"&amp;TEXT(ROW()-6,"00000"))</f>
        <v/>
      </c>
      <c r="C1596" s="66"/>
      <c r="D1596" s="60"/>
      <c r="E1596" s="61"/>
      <c r="F1596" s="61"/>
      <c r="G1596" s="67"/>
      <c r="H1596" s="60"/>
      <c r="I1596" s="60"/>
      <c r="J1596" s="61"/>
      <c r="K1596" s="61"/>
      <c r="L1596" s="60"/>
      <c r="M1596" s="74" t="str">
        <f>IF($C1596="","",IF($D1596="Gider",$E1596,IF($L1596&lt;&gt;"",$L1596,$H1596)))</f>
        <v/>
      </c>
      <c r="N1596" s="74" t="str">
        <f>IF($C1596="","",IF($D1596="Gider",$H1596,$E1596))</f>
        <v/>
      </c>
      <c r="O1596" s="73" t="str">
        <f>IF($C1596="","",DATE(YEAR($C1596),MONTH($C1596),1))</f>
        <v/>
      </c>
      <c r="P1596" s="65" t="str">
        <f ca="1">IF($C1596="","",IF(AND($D1596="Gelir",$L1596&lt;&gt;"",$T1596=""),"TANIMSIZ BORÇLU",IF($T1596&lt;&gt;"",IF(OR($E1596="",$G1596&lt;=0),"EKSİK",IF($I1596="Evet","TAHAKKUK NAKİT OLAMAZ",IF($C1596&gt;TODAY(),"İLERİ TARİH","TAHAKKUK"))),IF(AND($D1596&lt;&gt;"",$E1596&lt;&gt;"",$G1596&gt;0,$H1596&lt;&gt;"",$I1596&lt;&gt;""),IF($C1596&gt;TODAY(),"İLERİ TARİH",IF(COUNTIF($W$7:$W$3001,$W1596)&gt;1,"MÜKERRER?",IF($AD1596&gt;0,"KAPALI DÖNEM",IF($I1596="Hayır","ÖDENECEK","UYGUN")))),"EKSİK"))))</f>
        <v/>
      </c>
      <c r="Q1596" s="2"/>
      <c r="R1596" s="2"/>
      <c r="S1596" s="1" t="str">
        <f t="shared" si="74"/>
        <v/>
      </c>
      <c r="T1596" s="1" t="str">
        <f>IF(OR($C1596="",$D1596&lt;&gt;"Gelir",$L1596=""),"",IFERROR(INDEX(MUSTERILER!$B$7:$B$156,MATCH($S1596,MUSTERILER!$T$7:$T$156,0)),""))</f>
        <v/>
      </c>
      <c r="U1596" s="1" t="str">
        <f>IF($T1596="","",$T1596&amp;"|"&amp;COUNTIFS($T$7:$T1596,$T1596))</f>
        <v/>
      </c>
      <c r="V1596" s="1">
        <f t="shared" si="75"/>
        <v>0</v>
      </c>
      <c r="W1596" s="1" t="str">
        <f t="shared" si="76"/>
        <v/>
      </c>
      <c r="X1596" s="1"/>
      <c r="Y1596" s="1"/>
      <c r="Z1596" s="1"/>
      <c r="AA1596" s="1"/>
      <c r="AB1596" s="1"/>
      <c r="AC1596" s="1"/>
      <c r="AD1596" s="1">
        <f>IF($C1596="",0,SUMPRODUCT((AY_SONU!$O$7:$O$42="Evet")*(AY_SONU!$B$7:$B$42=DATE(YEAR($C1596),MONTH($C1596),1))))</f>
        <v>0</v>
      </c>
      <c r="AE1596" s="1" t="str">
        <f>IF($E1596="","",$E1596&amp;"|"&amp;COUNTIFS($E$7:$E1596,$E1596))</f>
        <v/>
      </c>
    </row>
    <row r="1597" spans="1:31" ht="18" customHeight="1" x14ac:dyDescent="0.3">
      <c r="A1597" s="2"/>
      <c r="B1597" s="65" t="str">
        <f>IF($C1597="","","GG"&amp;TEXT(ROW()-6,"00000"))</f>
        <v/>
      </c>
      <c r="C1597" s="66"/>
      <c r="D1597" s="60"/>
      <c r="E1597" s="61"/>
      <c r="F1597" s="61"/>
      <c r="G1597" s="67"/>
      <c r="H1597" s="60"/>
      <c r="I1597" s="60"/>
      <c r="J1597" s="61"/>
      <c r="K1597" s="61"/>
      <c r="L1597" s="60"/>
      <c r="M1597" s="74" t="str">
        <f>IF($C1597="","",IF($D1597="Gider",$E1597,IF($L1597&lt;&gt;"",$L1597,$H1597)))</f>
        <v/>
      </c>
      <c r="N1597" s="74" t="str">
        <f>IF($C1597="","",IF($D1597="Gider",$H1597,$E1597))</f>
        <v/>
      </c>
      <c r="O1597" s="73" t="str">
        <f>IF($C1597="","",DATE(YEAR($C1597),MONTH($C1597),1))</f>
        <v/>
      </c>
      <c r="P1597" s="65" t="str">
        <f ca="1">IF($C1597="","",IF(AND($D1597="Gelir",$L1597&lt;&gt;"",$T1597=""),"TANIMSIZ BORÇLU",IF($T1597&lt;&gt;"",IF(OR($E1597="",$G1597&lt;=0),"EKSİK",IF($I1597="Evet","TAHAKKUK NAKİT OLAMAZ",IF($C1597&gt;TODAY(),"İLERİ TARİH","TAHAKKUK"))),IF(AND($D1597&lt;&gt;"",$E1597&lt;&gt;"",$G1597&gt;0,$H1597&lt;&gt;"",$I1597&lt;&gt;""),IF($C1597&gt;TODAY(),"İLERİ TARİH",IF(COUNTIF($W$7:$W$3001,$W1597)&gt;1,"MÜKERRER?",IF($AD1597&gt;0,"KAPALI DÖNEM",IF($I1597="Hayır","ÖDENECEK","UYGUN")))),"EKSİK"))))</f>
        <v/>
      </c>
      <c r="Q1597" s="2"/>
      <c r="R1597" s="2"/>
      <c r="S1597" s="1" t="str">
        <f t="shared" si="74"/>
        <v/>
      </c>
      <c r="T1597" s="1" t="str">
        <f>IF(OR($C1597="",$D1597&lt;&gt;"Gelir",$L1597=""),"",IFERROR(INDEX(MUSTERILER!$B$7:$B$156,MATCH($S1597,MUSTERILER!$T$7:$T$156,0)),""))</f>
        <v/>
      </c>
      <c r="U1597" s="1" t="str">
        <f>IF($T1597="","",$T1597&amp;"|"&amp;COUNTIFS($T$7:$T1597,$T1597))</f>
        <v/>
      </c>
      <c r="V1597" s="1">
        <f t="shared" si="75"/>
        <v>0</v>
      </c>
      <c r="W1597" s="1" t="str">
        <f t="shared" si="76"/>
        <v/>
      </c>
      <c r="X1597" s="1"/>
      <c r="Y1597" s="1"/>
      <c r="Z1597" s="1"/>
      <c r="AA1597" s="1"/>
      <c r="AB1597" s="1"/>
      <c r="AC1597" s="1"/>
      <c r="AD1597" s="1">
        <f>IF($C1597="",0,SUMPRODUCT((AY_SONU!$O$7:$O$42="Evet")*(AY_SONU!$B$7:$B$42=DATE(YEAR($C1597),MONTH($C1597),1))))</f>
        <v>0</v>
      </c>
      <c r="AE1597" s="1" t="str">
        <f>IF($E1597="","",$E1597&amp;"|"&amp;COUNTIFS($E$7:$E1597,$E1597))</f>
        <v/>
      </c>
    </row>
    <row r="1598" spans="1:31" ht="18" customHeight="1" x14ac:dyDescent="0.3">
      <c r="A1598" s="2"/>
      <c r="B1598" s="65" t="str">
        <f>IF($C1598="","","GG"&amp;TEXT(ROW()-6,"00000"))</f>
        <v/>
      </c>
      <c r="C1598" s="66"/>
      <c r="D1598" s="60"/>
      <c r="E1598" s="61"/>
      <c r="F1598" s="61"/>
      <c r="G1598" s="67"/>
      <c r="H1598" s="60"/>
      <c r="I1598" s="60"/>
      <c r="J1598" s="61"/>
      <c r="K1598" s="61"/>
      <c r="L1598" s="60"/>
      <c r="M1598" s="74" t="str">
        <f>IF($C1598="","",IF($D1598="Gider",$E1598,IF($L1598&lt;&gt;"",$L1598,$H1598)))</f>
        <v/>
      </c>
      <c r="N1598" s="74" t="str">
        <f>IF($C1598="","",IF($D1598="Gider",$H1598,$E1598))</f>
        <v/>
      </c>
      <c r="O1598" s="73" t="str">
        <f>IF($C1598="","",DATE(YEAR($C1598),MONTH($C1598),1))</f>
        <v/>
      </c>
      <c r="P1598" s="65" t="str">
        <f ca="1">IF($C1598="","",IF(AND($D1598="Gelir",$L1598&lt;&gt;"",$T1598=""),"TANIMSIZ BORÇLU",IF($T1598&lt;&gt;"",IF(OR($E1598="",$G1598&lt;=0),"EKSİK",IF($I1598="Evet","TAHAKKUK NAKİT OLAMAZ",IF($C1598&gt;TODAY(),"İLERİ TARİH","TAHAKKUK"))),IF(AND($D1598&lt;&gt;"",$E1598&lt;&gt;"",$G1598&gt;0,$H1598&lt;&gt;"",$I1598&lt;&gt;""),IF($C1598&gt;TODAY(),"İLERİ TARİH",IF(COUNTIF($W$7:$W$3001,$W1598)&gt;1,"MÜKERRER?",IF($AD1598&gt;0,"KAPALI DÖNEM",IF($I1598="Hayır","ÖDENECEK","UYGUN")))),"EKSİK"))))</f>
        <v/>
      </c>
      <c r="Q1598" s="2"/>
      <c r="R1598" s="2"/>
      <c r="S1598" s="1" t="str">
        <f t="shared" si="74"/>
        <v/>
      </c>
      <c r="T1598" s="1" t="str">
        <f>IF(OR($C1598="",$D1598&lt;&gt;"Gelir",$L1598=""),"",IFERROR(INDEX(MUSTERILER!$B$7:$B$156,MATCH($S1598,MUSTERILER!$T$7:$T$156,0)),""))</f>
        <v/>
      </c>
      <c r="U1598" s="1" t="str">
        <f>IF($T1598="","",$T1598&amp;"|"&amp;COUNTIFS($T$7:$T1598,$T1598))</f>
        <v/>
      </c>
      <c r="V1598" s="1">
        <f t="shared" si="75"/>
        <v>0</v>
      </c>
      <c r="W1598" s="1" t="str">
        <f t="shared" si="76"/>
        <v/>
      </c>
      <c r="X1598" s="1"/>
      <c r="Y1598" s="1"/>
      <c r="Z1598" s="1"/>
      <c r="AA1598" s="1"/>
      <c r="AB1598" s="1"/>
      <c r="AC1598" s="1"/>
      <c r="AD1598" s="1">
        <f>IF($C1598="",0,SUMPRODUCT((AY_SONU!$O$7:$O$42="Evet")*(AY_SONU!$B$7:$B$42=DATE(YEAR($C1598),MONTH($C1598),1))))</f>
        <v>0</v>
      </c>
      <c r="AE1598" s="1" t="str">
        <f>IF($E1598="","",$E1598&amp;"|"&amp;COUNTIFS($E$7:$E1598,$E1598))</f>
        <v/>
      </c>
    </row>
    <row r="1599" spans="1:31" ht="18" customHeight="1" x14ac:dyDescent="0.3">
      <c r="A1599" s="2"/>
      <c r="B1599" s="65" t="str">
        <f>IF($C1599="","","GG"&amp;TEXT(ROW()-6,"00000"))</f>
        <v/>
      </c>
      <c r="C1599" s="66"/>
      <c r="D1599" s="60"/>
      <c r="E1599" s="61"/>
      <c r="F1599" s="61"/>
      <c r="G1599" s="67"/>
      <c r="H1599" s="60"/>
      <c r="I1599" s="60"/>
      <c r="J1599" s="61"/>
      <c r="K1599" s="61"/>
      <c r="L1599" s="60"/>
      <c r="M1599" s="74" t="str">
        <f>IF($C1599="","",IF($D1599="Gider",$E1599,IF($L1599&lt;&gt;"",$L1599,$H1599)))</f>
        <v/>
      </c>
      <c r="N1599" s="74" t="str">
        <f>IF($C1599="","",IF($D1599="Gider",$H1599,$E1599))</f>
        <v/>
      </c>
      <c r="O1599" s="73" t="str">
        <f>IF($C1599="","",DATE(YEAR($C1599),MONTH($C1599),1))</f>
        <v/>
      </c>
      <c r="P1599" s="65" t="str">
        <f ca="1">IF($C1599="","",IF(AND($D1599="Gelir",$L1599&lt;&gt;"",$T1599=""),"TANIMSIZ BORÇLU",IF($T1599&lt;&gt;"",IF(OR($E1599="",$G1599&lt;=0),"EKSİK",IF($I1599="Evet","TAHAKKUK NAKİT OLAMAZ",IF($C1599&gt;TODAY(),"İLERİ TARİH","TAHAKKUK"))),IF(AND($D1599&lt;&gt;"",$E1599&lt;&gt;"",$G1599&gt;0,$H1599&lt;&gt;"",$I1599&lt;&gt;""),IF($C1599&gt;TODAY(),"İLERİ TARİH",IF(COUNTIF($W$7:$W$3001,$W1599)&gt;1,"MÜKERRER?",IF($AD1599&gt;0,"KAPALI DÖNEM",IF($I1599="Hayır","ÖDENECEK","UYGUN")))),"EKSİK"))))</f>
        <v/>
      </c>
      <c r="Q1599" s="2"/>
      <c r="R1599" s="2"/>
      <c r="S1599" s="1" t="str">
        <f t="shared" si="74"/>
        <v/>
      </c>
      <c r="T1599" s="1" t="str">
        <f>IF(OR($C1599="",$D1599&lt;&gt;"Gelir",$L1599=""),"",IFERROR(INDEX(MUSTERILER!$B$7:$B$156,MATCH($S1599,MUSTERILER!$T$7:$T$156,0)),""))</f>
        <v/>
      </c>
      <c r="U1599" s="1" t="str">
        <f>IF($T1599="","",$T1599&amp;"|"&amp;COUNTIFS($T$7:$T1599,$T1599))</f>
        <v/>
      </c>
      <c r="V1599" s="1">
        <f t="shared" si="75"/>
        <v>0</v>
      </c>
      <c r="W1599" s="1" t="str">
        <f t="shared" si="76"/>
        <v/>
      </c>
      <c r="X1599" s="1"/>
      <c r="Y1599" s="1"/>
      <c r="Z1599" s="1"/>
      <c r="AA1599" s="1"/>
      <c r="AB1599" s="1"/>
      <c r="AC1599" s="1"/>
      <c r="AD1599" s="1">
        <f>IF($C1599="",0,SUMPRODUCT((AY_SONU!$O$7:$O$42="Evet")*(AY_SONU!$B$7:$B$42=DATE(YEAR($C1599),MONTH($C1599),1))))</f>
        <v>0</v>
      </c>
      <c r="AE1599" s="1" t="str">
        <f>IF($E1599="","",$E1599&amp;"|"&amp;COUNTIFS($E$7:$E1599,$E1599))</f>
        <v/>
      </c>
    </row>
    <row r="1600" spans="1:31" ht="18" customHeight="1" x14ac:dyDescent="0.3">
      <c r="A1600" s="2"/>
      <c r="B1600" s="65" t="str">
        <f>IF($C1600="","","GG"&amp;TEXT(ROW()-6,"00000"))</f>
        <v/>
      </c>
      <c r="C1600" s="66"/>
      <c r="D1600" s="60"/>
      <c r="E1600" s="61"/>
      <c r="F1600" s="61"/>
      <c r="G1600" s="67"/>
      <c r="H1600" s="60"/>
      <c r="I1600" s="60"/>
      <c r="J1600" s="61"/>
      <c r="K1600" s="61"/>
      <c r="L1600" s="60"/>
      <c r="M1600" s="74" t="str">
        <f>IF($C1600="","",IF($D1600="Gider",$E1600,IF($L1600&lt;&gt;"",$L1600,$H1600)))</f>
        <v/>
      </c>
      <c r="N1600" s="74" t="str">
        <f>IF($C1600="","",IF($D1600="Gider",$H1600,$E1600))</f>
        <v/>
      </c>
      <c r="O1600" s="73" t="str">
        <f>IF($C1600="","",DATE(YEAR($C1600),MONTH($C1600),1))</f>
        <v/>
      </c>
      <c r="P1600" s="65" t="str">
        <f ca="1">IF($C1600="","",IF(AND($D1600="Gelir",$L1600&lt;&gt;"",$T1600=""),"TANIMSIZ BORÇLU",IF($T1600&lt;&gt;"",IF(OR($E1600="",$G1600&lt;=0),"EKSİK",IF($I1600="Evet","TAHAKKUK NAKİT OLAMAZ",IF($C1600&gt;TODAY(),"İLERİ TARİH","TAHAKKUK"))),IF(AND($D1600&lt;&gt;"",$E1600&lt;&gt;"",$G1600&gt;0,$H1600&lt;&gt;"",$I1600&lt;&gt;""),IF($C1600&gt;TODAY(),"İLERİ TARİH",IF(COUNTIF($W$7:$W$3001,$W1600)&gt;1,"MÜKERRER?",IF($AD1600&gt;0,"KAPALI DÖNEM",IF($I1600="Hayır","ÖDENECEK","UYGUN")))),"EKSİK"))))</f>
        <v/>
      </c>
      <c r="Q1600" s="2"/>
      <c r="R1600" s="2"/>
      <c r="S1600" s="1" t="str">
        <f t="shared" si="74"/>
        <v/>
      </c>
      <c r="T1600" s="1" t="str">
        <f>IF(OR($C1600="",$D1600&lt;&gt;"Gelir",$L1600=""),"",IFERROR(INDEX(MUSTERILER!$B$7:$B$156,MATCH($S1600,MUSTERILER!$T$7:$T$156,0)),""))</f>
        <v/>
      </c>
      <c r="U1600" s="1" t="str">
        <f>IF($T1600="","",$T1600&amp;"|"&amp;COUNTIFS($T$7:$T1600,$T1600))</f>
        <v/>
      </c>
      <c r="V1600" s="1">
        <f t="shared" si="75"/>
        <v>0</v>
      </c>
      <c r="W1600" s="1" t="str">
        <f t="shared" si="76"/>
        <v/>
      </c>
      <c r="X1600" s="1"/>
      <c r="Y1600" s="1"/>
      <c r="Z1600" s="1"/>
      <c r="AA1600" s="1"/>
      <c r="AB1600" s="1"/>
      <c r="AC1600" s="1"/>
      <c r="AD1600" s="1">
        <f>IF($C1600="",0,SUMPRODUCT((AY_SONU!$O$7:$O$42="Evet")*(AY_SONU!$B$7:$B$42=DATE(YEAR($C1600),MONTH($C1600),1))))</f>
        <v>0</v>
      </c>
      <c r="AE1600" s="1" t="str">
        <f>IF($E1600="","",$E1600&amp;"|"&amp;COUNTIFS($E$7:$E1600,$E1600))</f>
        <v/>
      </c>
    </row>
    <row r="1601" spans="1:31" ht="18" customHeight="1" x14ac:dyDescent="0.3">
      <c r="A1601" s="2"/>
      <c r="B1601" s="65" t="str">
        <f>IF($C1601="","","GG"&amp;TEXT(ROW()-6,"00000"))</f>
        <v/>
      </c>
      <c r="C1601" s="66"/>
      <c r="D1601" s="60"/>
      <c r="E1601" s="61"/>
      <c r="F1601" s="61"/>
      <c r="G1601" s="67"/>
      <c r="H1601" s="60"/>
      <c r="I1601" s="60"/>
      <c r="J1601" s="61"/>
      <c r="K1601" s="61"/>
      <c r="L1601" s="60"/>
      <c r="M1601" s="74" t="str">
        <f>IF($C1601="","",IF($D1601="Gider",$E1601,IF($L1601&lt;&gt;"",$L1601,$H1601)))</f>
        <v/>
      </c>
      <c r="N1601" s="74" t="str">
        <f>IF($C1601="","",IF($D1601="Gider",$H1601,$E1601))</f>
        <v/>
      </c>
      <c r="O1601" s="73" t="str">
        <f>IF($C1601="","",DATE(YEAR($C1601),MONTH($C1601),1))</f>
        <v/>
      </c>
      <c r="P1601" s="65" t="str">
        <f ca="1">IF($C1601="","",IF(AND($D1601="Gelir",$L1601&lt;&gt;"",$T1601=""),"TANIMSIZ BORÇLU",IF($T1601&lt;&gt;"",IF(OR($E1601="",$G1601&lt;=0),"EKSİK",IF($I1601="Evet","TAHAKKUK NAKİT OLAMAZ",IF($C1601&gt;TODAY(),"İLERİ TARİH","TAHAKKUK"))),IF(AND($D1601&lt;&gt;"",$E1601&lt;&gt;"",$G1601&gt;0,$H1601&lt;&gt;"",$I1601&lt;&gt;""),IF($C1601&gt;TODAY(),"İLERİ TARİH",IF(COUNTIF($W$7:$W$3001,$W1601)&gt;1,"MÜKERRER?",IF($AD1601&gt;0,"KAPALI DÖNEM",IF($I1601="Hayır","ÖDENECEK","UYGUN")))),"EKSİK"))))</f>
        <v/>
      </c>
      <c r="Q1601" s="2"/>
      <c r="R1601" s="2"/>
      <c r="S1601" s="1" t="str">
        <f t="shared" si="74"/>
        <v/>
      </c>
      <c r="T1601" s="1" t="str">
        <f>IF(OR($C1601="",$D1601&lt;&gt;"Gelir",$L1601=""),"",IFERROR(INDEX(MUSTERILER!$B$7:$B$156,MATCH($S1601,MUSTERILER!$T$7:$T$156,0)),""))</f>
        <v/>
      </c>
      <c r="U1601" s="1" t="str">
        <f>IF($T1601="","",$T1601&amp;"|"&amp;COUNTIFS($T$7:$T1601,$T1601))</f>
        <v/>
      </c>
      <c r="V1601" s="1">
        <f t="shared" si="75"/>
        <v>0</v>
      </c>
      <c r="W1601" s="1" t="str">
        <f t="shared" si="76"/>
        <v/>
      </c>
      <c r="X1601" s="1"/>
      <c r="Y1601" s="1"/>
      <c r="Z1601" s="1"/>
      <c r="AA1601" s="1"/>
      <c r="AB1601" s="1"/>
      <c r="AC1601" s="1"/>
      <c r="AD1601" s="1">
        <f>IF($C1601="",0,SUMPRODUCT((AY_SONU!$O$7:$O$42="Evet")*(AY_SONU!$B$7:$B$42=DATE(YEAR($C1601),MONTH($C1601),1))))</f>
        <v>0</v>
      </c>
      <c r="AE1601" s="1" t="str">
        <f>IF($E1601="","",$E1601&amp;"|"&amp;COUNTIFS($E$7:$E1601,$E1601))</f>
        <v/>
      </c>
    </row>
    <row r="1602" spans="1:31" ht="18" customHeight="1" x14ac:dyDescent="0.3">
      <c r="A1602" s="2"/>
      <c r="B1602" s="65" t="str">
        <f>IF($C1602="","","GG"&amp;TEXT(ROW()-6,"00000"))</f>
        <v/>
      </c>
      <c r="C1602" s="66"/>
      <c r="D1602" s="60"/>
      <c r="E1602" s="61"/>
      <c r="F1602" s="61"/>
      <c r="G1602" s="67"/>
      <c r="H1602" s="60"/>
      <c r="I1602" s="60"/>
      <c r="J1602" s="61"/>
      <c r="K1602" s="61"/>
      <c r="L1602" s="60"/>
      <c r="M1602" s="74" t="str">
        <f>IF($C1602="","",IF($D1602="Gider",$E1602,IF($L1602&lt;&gt;"",$L1602,$H1602)))</f>
        <v/>
      </c>
      <c r="N1602" s="74" t="str">
        <f>IF($C1602="","",IF($D1602="Gider",$H1602,$E1602))</f>
        <v/>
      </c>
      <c r="O1602" s="73" t="str">
        <f>IF($C1602="","",DATE(YEAR($C1602),MONTH($C1602),1))</f>
        <v/>
      </c>
      <c r="P1602" s="65" t="str">
        <f ca="1">IF($C1602="","",IF(AND($D1602="Gelir",$L1602&lt;&gt;"",$T1602=""),"TANIMSIZ BORÇLU",IF($T1602&lt;&gt;"",IF(OR($E1602="",$G1602&lt;=0),"EKSİK",IF($I1602="Evet","TAHAKKUK NAKİT OLAMAZ",IF($C1602&gt;TODAY(),"İLERİ TARİH","TAHAKKUK"))),IF(AND($D1602&lt;&gt;"",$E1602&lt;&gt;"",$G1602&gt;0,$H1602&lt;&gt;"",$I1602&lt;&gt;""),IF($C1602&gt;TODAY(),"İLERİ TARİH",IF(COUNTIF($W$7:$W$3001,$W1602)&gt;1,"MÜKERRER?",IF($AD1602&gt;0,"KAPALI DÖNEM",IF($I1602="Hayır","ÖDENECEK","UYGUN")))),"EKSİK"))))</f>
        <v/>
      </c>
      <c r="Q1602" s="2"/>
      <c r="R1602" s="2"/>
      <c r="S1602" s="1" t="str">
        <f t="shared" si="74"/>
        <v/>
      </c>
      <c r="T1602" s="1" t="str">
        <f>IF(OR($C1602="",$D1602&lt;&gt;"Gelir",$L1602=""),"",IFERROR(INDEX(MUSTERILER!$B$7:$B$156,MATCH($S1602,MUSTERILER!$T$7:$T$156,0)),""))</f>
        <v/>
      </c>
      <c r="U1602" s="1" t="str">
        <f>IF($T1602="","",$T1602&amp;"|"&amp;COUNTIFS($T$7:$T1602,$T1602))</f>
        <v/>
      </c>
      <c r="V1602" s="1">
        <f t="shared" si="75"/>
        <v>0</v>
      </c>
      <c r="W1602" s="1" t="str">
        <f t="shared" si="76"/>
        <v/>
      </c>
      <c r="X1602" s="1"/>
      <c r="Y1602" s="1"/>
      <c r="Z1602" s="1"/>
      <c r="AA1602" s="1"/>
      <c r="AB1602" s="1"/>
      <c r="AC1602" s="1"/>
      <c r="AD1602" s="1">
        <f>IF($C1602="",0,SUMPRODUCT((AY_SONU!$O$7:$O$42="Evet")*(AY_SONU!$B$7:$B$42=DATE(YEAR($C1602),MONTH($C1602),1))))</f>
        <v>0</v>
      </c>
      <c r="AE1602" s="1" t="str">
        <f>IF($E1602="","",$E1602&amp;"|"&amp;COUNTIFS($E$7:$E1602,$E1602))</f>
        <v/>
      </c>
    </row>
    <row r="1603" spans="1:31" ht="18" customHeight="1" x14ac:dyDescent="0.3">
      <c r="A1603" s="2"/>
      <c r="B1603" s="65" t="str">
        <f>IF($C1603="","","GG"&amp;TEXT(ROW()-6,"00000"))</f>
        <v/>
      </c>
      <c r="C1603" s="66"/>
      <c r="D1603" s="60"/>
      <c r="E1603" s="61"/>
      <c r="F1603" s="61"/>
      <c r="G1603" s="67"/>
      <c r="H1603" s="60"/>
      <c r="I1603" s="60"/>
      <c r="J1603" s="61"/>
      <c r="K1603" s="61"/>
      <c r="L1603" s="60"/>
      <c r="M1603" s="74" t="str">
        <f>IF($C1603="","",IF($D1603="Gider",$E1603,IF($L1603&lt;&gt;"",$L1603,$H1603)))</f>
        <v/>
      </c>
      <c r="N1603" s="74" t="str">
        <f>IF($C1603="","",IF($D1603="Gider",$H1603,$E1603))</f>
        <v/>
      </c>
      <c r="O1603" s="73" t="str">
        <f>IF($C1603="","",DATE(YEAR($C1603),MONTH($C1603),1))</f>
        <v/>
      </c>
      <c r="P1603" s="65" t="str">
        <f ca="1">IF($C1603="","",IF(AND($D1603="Gelir",$L1603&lt;&gt;"",$T1603=""),"TANIMSIZ BORÇLU",IF($T1603&lt;&gt;"",IF(OR($E1603="",$G1603&lt;=0),"EKSİK",IF($I1603="Evet","TAHAKKUK NAKİT OLAMAZ",IF($C1603&gt;TODAY(),"İLERİ TARİH","TAHAKKUK"))),IF(AND($D1603&lt;&gt;"",$E1603&lt;&gt;"",$G1603&gt;0,$H1603&lt;&gt;"",$I1603&lt;&gt;""),IF($C1603&gt;TODAY(),"İLERİ TARİH",IF(COUNTIF($W$7:$W$3001,$W1603)&gt;1,"MÜKERRER?",IF($AD1603&gt;0,"KAPALI DÖNEM",IF($I1603="Hayır","ÖDENECEK","UYGUN")))),"EKSİK"))))</f>
        <v/>
      </c>
      <c r="Q1603" s="2"/>
      <c r="R1603" s="2"/>
      <c r="S1603" s="1" t="str">
        <f t="shared" si="74"/>
        <v/>
      </c>
      <c r="T1603" s="1" t="str">
        <f>IF(OR($C1603="",$D1603&lt;&gt;"Gelir",$L1603=""),"",IFERROR(INDEX(MUSTERILER!$B$7:$B$156,MATCH($S1603,MUSTERILER!$T$7:$T$156,0)),""))</f>
        <v/>
      </c>
      <c r="U1603" s="1" t="str">
        <f>IF($T1603="","",$T1603&amp;"|"&amp;COUNTIFS($T$7:$T1603,$T1603))</f>
        <v/>
      </c>
      <c r="V1603" s="1">
        <f t="shared" si="75"/>
        <v>0</v>
      </c>
      <c r="W1603" s="1" t="str">
        <f t="shared" si="76"/>
        <v/>
      </c>
      <c r="X1603" s="1"/>
      <c r="Y1603" s="1"/>
      <c r="Z1603" s="1"/>
      <c r="AA1603" s="1"/>
      <c r="AB1603" s="1"/>
      <c r="AC1603" s="1"/>
      <c r="AD1603" s="1">
        <f>IF($C1603="",0,SUMPRODUCT((AY_SONU!$O$7:$O$42="Evet")*(AY_SONU!$B$7:$B$42=DATE(YEAR($C1603),MONTH($C1603),1))))</f>
        <v>0</v>
      </c>
      <c r="AE1603" s="1" t="str">
        <f>IF($E1603="","",$E1603&amp;"|"&amp;COUNTIFS($E$7:$E1603,$E1603))</f>
        <v/>
      </c>
    </row>
    <row r="1604" spans="1:31" ht="18" customHeight="1" x14ac:dyDescent="0.3">
      <c r="A1604" s="2"/>
      <c r="B1604" s="65" t="str">
        <f>IF($C1604="","","GG"&amp;TEXT(ROW()-6,"00000"))</f>
        <v/>
      </c>
      <c r="C1604" s="66"/>
      <c r="D1604" s="60"/>
      <c r="E1604" s="61"/>
      <c r="F1604" s="61"/>
      <c r="G1604" s="67"/>
      <c r="H1604" s="60"/>
      <c r="I1604" s="60"/>
      <c r="J1604" s="61"/>
      <c r="K1604" s="61"/>
      <c r="L1604" s="60"/>
      <c r="M1604" s="74" t="str">
        <f>IF($C1604="","",IF($D1604="Gider",$E1604,IF($L1604&lt;&gt;"",$L1604,$H1604)))</f>
        <v/>
      </c>
      <c r="N1604" s="74" t="str">
        <f>IF($C1604="","",IF($D1604="Gider",$H1604,$E1604))</f>
        <v/>
      </c>
      <c r="O1604" s="73" t="str">
        <f>IF($C1604="","",DATE(YEAR($C1604),MONTH($C1604),1))</f>
        <v/>
      </c>
      <c r="P1604" s="65" t="str">
        <f ca="1">IF($C1604="","",IF(AND($D1604="Gelir",$L1604&lt;&gt;"",$T1604=""),"TANIMSIZ BORÇLU",IF($T1604&lt;&gt;"",IF(OR($E1604="",$G1604&lt;=0),"EKSİK",IF($I1604="Evet","TAHAKKUK NAKİT OLAMAZ",IF($C1604&gt;TODAY(),"İLERİ TARİH","TAHAKKUK"))),IF(AND($D1604&lt;&gt;"",$E1604&lt;&gt;"",$G1604&gt;0,$H1604&lt;&gt;"",$I1604&lt;&gt;""),IF($C1604&gt;TODAY(),"İLERİ TARİH",IF(COUNTIF($W$7:$W$3001,$W1604)&gt;1,"MÜKERRER?",IF($AD1604&gt;0,"KAPALI DÖNEM",IF($I1604="Hayır","ÖDENECEK","UYGUN")))),"EKSİK"))))</f>
        <v/>
      </c>
      <c r="Q1604" s="2"/>
      <c r="R1604" s="2"/>
      <c r="S1604" s="1" t="str">
        <f t="shared" si="74"/>
        <v/>
      </c>
      <c r="T1604" s="1" t="str">
        <f>IF(OR($C1604="",$D1604&lt;&gt;"Gelir",$L1604=""),"",IFERROR(INDEX(MUSTERILER!$B$7:$B$156,MATCH($S1604,MUSTERILER!$T$7:$T$156,0)),""))</f>
        <v/>
      </c>
      <c r="U1604" s="1" t="str">
        <f>IF($T1604="","",$T1604&amp;"|"&amp;COUNTIFS($T$7:$T1604,$T1604))</f>
        <v/>
      </c>
      <c r="V1604" s="1">
        <f t="shared" si="75"/>
        <v>0</v>
      </c>
      <c r="W1604" s="1" t="str">
        <f t="shared" si="76"/>
        <v/>
      </c>
      <c r="X1604" s="1"/>
      <c r="Y1604" s="1"/>
      <c r="Z1604" s="1"/>
      <c r="AA1604" s="1"/>
      <c r="AB1604" s="1"/>
      <c r="AC1604" s="1"/>
      <c r="AD1604" s="1">
        <f>IF($C1604="",0,SUMPRODUCT((AY_SONU!$O$7:$O$42="Evet")*(AY_SONU!$B$7:$B$42=DATE(YEAR($C1604),MONTH($C1604),1))))</f>
        <v>0</v>
      </c>
      <c r="AE1604" s="1" t="str">
        <f>IF($E1604="","",$E1604&amp;"|"&amp;COUNTIFS($E$7:$E1604,$E1604))</f>
        <v/>
      </c>
    </row>
    <row r="1605" spans="1:31" ht="18" customHeight="1" x14ac:dyDescent="0.3">
      <c r="A1605" s="2"/>
      <c r="B1605" s="65" t="str">
        <f>IF($C1605="","","GG"&amp;TEXT(ROW()-6,"00000"))</f>
        <v/>
      </c>
      <c r="C1605" s="66"/>
      <c r="D1605" s="60"/>
      <c r="E1605" s="61"/>
      <c r="F1605" s="61"/>
      <c r="G1605" s="67"/>
      <c r="H1605" s="60"/>
      <c r="I1605" s="60"/>
      <c r="J1605" s="61"/>
      <c r="K1605" s="61"/>
      <c r="L1605" s="60"/>
      <c r="M1605" s="74" t="str">
        <f>IF($C1605="","",IF($D1605="Gider",$E1605,IF($L1605&lt;&gt;"",$L1605,$H1605)))</f>
        <v/>
      </c>
      <c r="N1605" s="74" t="str">
        <f>IF($C1605="","",IF($D1605="Gider",$H1605,$E1605))</f>
        <v/>
      </c>
      <c r="O1605" s="73" t="str">
        <f>IF($C1605="","",DATE(YEAR($C1605),MONTH($C1605),1))</f>
        <v/>
      </c>
      <c r="P1605" s="65" t="str">
        <f ca="1">IF($C1605="","",IF(AND($D1605="Gelir",$L1605&lt;&gt;"",$T1605=""),"TANIMSIZ BORÇLU",IF($T1605&lt;&gt;"",IF(OR($E1605="",$G1605&lt;=0),"EKSİK",IF($I1605="Evet","TAHAKKUK NAKİT OLAMAZ",IF($C1605&gt;TODAY(),"İLERİ TARİH","TAHAKKUK"))),IF(AND($D1605&lt;&gt;"",$E1605&lt;&gt;"",$G1605&gt;0,$H1605&lt;&gt;"",$I1605&lt;&gt;""),IF($C1605&gt;TODAY(),"İLERİ TARİH",IF(COUNTIF($W$7:$W$3001,$W1605)&gt;1,"MÜKERRER?",IF($AD1605&gt;0,"KAPALI DÖNEM",IF($I1605="Hayır","ÖDENECEK","UYGUN")))),"EKSİK"))))</f>
        <v/>
      </c>
      <c r="Q1605" s="2"/>
      <c r="R1605" s="2"/>
      <c r="S1605" s="1" t="str">
        <f t="shared" ref="S1605:S1668" si="77">IF($L1605="","",UPPER(SUBSTITUTE(SUBSTITUTE(SUBSTITUTE(SUBSTITUTE(SUBSTITUTE(SUBSTITUTE(SUBSTITUTE(SUBSTITUTE(SUBSTITUTE(SUBSTITUTE(SUBSTITUTE(SUBSTITUTE(SUBSTITUTE(SUBSTITUTE(SUBSTITUTE(SUBSTITUTE(SUBSTITUTE(SUBSTITUTE(TRIM($L1605),"'",""),"İ","I"),"ı","I"),"i","I"),"Ş","S"),"ş","S"),"Ğ","G"),"ğ","G"),"Ü","U"),"ü","U"),"Ö","O"),"ö","O"),"Ç","C"),"ç","C"),".",""),",","")," ",""),"-","")))</f>
        <v/>
      </c>
      <c r="T1605" s="1" t="str">
        <f>IF(OR($C1605="",$D1605&lt;&gt;"Gelir",$L1605=""),"",IFERROR(INDEX(MUSTERILER!$B$7:$B$156,MATCH($S1605,MUSTERILER!$T$7:$T$156,0)),""))</f>
        <v/>
      </c>
      <c r="U1605" s="1" t="str">
        <f>IF($T1605="","",$T1605&amp;"|"&amp;COUNTIFS($T$7:$T1605,$T1605))</f>
        <v/>
      </c>
      <c r="V1605" s="1">
        <f t="shared" ref="V1605:V1668" si="78">IF($T1605="",0,1)</f>
        <v>0</v>
      </c>
      <c r="W1605" s="1" t="str">
        <f t="shared" ref="W1605:W1668" si="79">IF($C1605="","",$D1605&amp;"|"&amp;$E1605&amp;"|"&amp;TEXT($C1605,"0")&amp;"|"&amp;TEXT($G1605,"0")&amp;"|"&amp;$F1605&amp;"|"&amp;$J1605)</f>
        <v/>
      </c>
      <c r="X1605" s="1"/>
      <c r="Y1605" s="1"/>
      <c r="Z1605" s="1"/>
      <c r="AA1605" s="1"/>
      <c r="AB1605" s="1"/>
      <c r="AC1605" s="1"/>
      <c r="AD1605" s="1">
        <f>IF($C1605="",0,SUMPRODUCT((AY_SONU!$O$7:$O$42="Evet")*(AY_SONU!$B$7:$B$42=DATE(YEAR($C1605),MONTH($C1605),1))))</f>
        <v>0</v>
      </c>
      <c r="AE1605" s="1" t="str">
        <f>IF($E1605="","",$E1605&amp;"|"&amp;COUNTIFS($E$7:$E1605,$E1605))</f>
        <v/>
      </c>
    </row>
    <row r="1606" spans="1:31" ht="18" customHeight="1" x14ac:dyDescent="0.3">
      <c r="A1606" s="2"/>
      <c r="B1606" s="65" t="str">
        <f>IF($C1606="","","GG"&amp;TEXT(ROW()-6,"00000"))</f>
        <v/>
      </c>
      <c r="C1606" s="66"/>
      <c r="D1606" s="60"/>
      <c r="E1606" s="61"/>
      <c r="F1606" s="61"/>
      <c r="G1606" s="67"/>
      <c r="H1606" s="60"/>
      <c r="I1606" s="60"/>
      <c r="J1606" s="61"/>
      <c r="K1606" s="61"/>
      <c r="L1606" s="60"/>
      <c r="M1606" s="74" t="str">
        <f>IF($C1606="","",IF($D1606="Gider",$E1606,IF($L1606&lt;&gt;"",$L1606,$H1606)))</f>
        <v/>
      </c>
      <c r="N1606" s="74" t="str">
        <f>IF($C1606="","",IF($D1606="Gider",$H1606,$E1606))</f>
        <v/>
      </c>
      <c r="O1606" s="73" t="str">
        <f>IF($C1606="","",DATE(YEAR($C1606),MONTH($C1606),1))</f>
        <v/>
      </c>
      <c r="P1606" s="65" t="str">
        <f ca="1">IF($C1606="","",IF(AND($D1606="Gelir",$L1606&lt;&gt;"",$T1606=""),"TANIMSIZ BORÇLU",IF($T1606&lt;&gt;"",IF(OR($E1606="",$G1606&lt;=0),"EKSİK",IF($I1606="Evet","TAHAKKUK NAKİT OLAMAZ",IF($C1606&gt;TODAY(),"İLERİ TARİH","TAHAKKUK"))),IF(AND($D1606&lt;&gt;"",$E1606&lt;&gt;"",$G1606&gt;0,$H1606&lt;&gt;"",$I1606&lt;&gt;""),IF($C1606&gt;TODAY(),"İLERİ TARİH",IF(COUNTIF($W$7:$W$3001,$W1606)&gt;1,"MÜKERRER?",IF($AD1606&gt;0,"KAPALI DÖNEM",IF($I1606="Hayır","ÖDENECEK","UYGUN")))),"EKSİK"))))</f>
        <v/>
      </c>
      <c r="Q1606" s="2"/>
      <c r="R1606" s="2"/>
      <c r="S1606" s="1" t="str">
        <f t="shared" si="77"/>
        <v/>
      </c>
      <c r="T1606" s="1" t="str">
        <f>IF(OR($C1606="",$D1606&lt;&gt;"Gelir",$L1606=""),"",IFERROR(INDEX(MUSTERILER!$B$7:$B$156,MATCH($S1606,MUSTERILER!$T$7:$T$156,0)),""))</f>
        <v/>
      </c>
      <c r="U1606" s="1" t="str">
        <f>IF($T1606="","",$T1606&amp;"|"&amp;COUNTIFS($T$7:$T1606,$T1606))</f>
        <v/>
      </c>
      <c r="V1606" s="1">
        <f t="shared" si="78"/>
        <v>0</v>
      </c>
      <c r="W1606" s="1" t="str">
        <f t="shared" si="79"/>
        <v/>
      </c>
      <c r="X1606" s="1"/>
      <c r="Y1606" s="1"/>
      <c r="Z1606" s="1"/>
      <c r="AA1606" s="1"/>
      <c r="AB1606" s="1"/>
      <c r="AC1606" s="1"/>
      <c r="AD1606" s="1">
        <f>IF($C1606="",0,SUMPRODUCT((AY_SONU!$O$7:$O$42="Evet")*(AY_SONU!$B$7:$B$42=DATE(YEAR($C1606),MONTH($C1606),1))))</f>
        <v>0</v>
      </c>
      <c r="AE1606" s="1" t="str">
        <f>IF($E1606="","",$E1606&amp;"|"&amp;COUNTIFS($E$7:$E1606,$E1606))</f>
        <v/>
      </c>
    </row>
    <row r="1607" spans="1:31" ht="18" customHeight="1" x14ac:dyDescent="0.3">
      <c r="A1607" s="2"/>
      <c r="B1607" s="65" t="str">
        <f>IF($C1607="","","GG"&amp;TEXT(ROW()-6,"00000"))</f>
        <v/>
      </c>
      <c r="C1607" s="66"/>
      <c r="D1607" s="60"/>
      <c r="E1607" s="61"/>
      <c r="F1607" s="61"/>
      <c r="G1607" s="67"/>
      <c r="H1607" s="60"/>
      <c r="I1607" s="60"/>
      <c r="J1607" s="61"/>
      <c r="K1607" s="61"/>
      <c r="L1607" s="60"/>
      <c r="M1607" s="74" t="str">
        <f>IF($C1607="","",IF($D1607="Gider",$E1607,IF($L1607&lt;&gt;"",$L1607,$H1607)))</f>
        <v/>
      </c>
      <c r="N1607" s="74" t="str">
        <f>IF($C1607="","",IF($D1607="Gider",$H1607,$E1607))</f>
        <v/>
      </c>
      <c r="O1607" s="73" t="str">
        <f>IF($C1607="","",DATE(YEAR($C1607),MONTH($C1607),1))</f>
        <v/>
      </c>
      <c r="P1607" s="65" t="str">
        <f ca="1"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TARİH",IF(COUNTIF($W$7:$W$3001,$W1607)&gt;1,"MÜKERRER?",IF($AD1607&gt;0,"KAPALI DÖNEM",IF($I1607="Hayır","ÖDENECEK","UYGUN")))),"EKSİK"))))</f>
        <v/>
      </c>
      <c r="Q1607" s="2"/>
      <c r="R1607" s="2"/>
      <c r="S1607" s="1" t="str">
        <f t="shared" si="77"/>
        <v/>
      </c>
      <c r="T1607" s="1" t="str">
        <f>IF(OR($C1607="",$D1607&lt;&gt;"Gelir",$L1607=""),"",IFERROR(INDEX(MUSTERILER!$B$7:$B$156,MATCH($S1607,MUSTERILER!$T$7:$T$156,0)),""))</f>
        <v/>
      </c>
      <c r="U1607" s="1" t="str">
        <f>IF($T1607="","",$T1607&amp;"|"&amp;COUNTIFS($T$7:$T1607,$T1607))</f>
        <v/>
      </c>
      <c r="V1607" s="1">
        <f t="shared" si="78"/>
        <v>0</v>
      </c>
      <c r="W1607" s="1" t="str">
        <f t="shared" si="79"/>
        <v/>
      </c>
      <c r="X1607" s="1"/>
      <c r="Y1607" s="1"/>
      <c r="Z1607" s="1"/>
      <c r="AA1607" s="1"/>
      <c r="AB1607" s="1"/>
      <c r="AC1607" s="1"/>
      <c r="AD1607" s="1">
        <f>IF($C1607="",0,SUMPRODUCT((AY_SONU!$O$7:$O$42="Evet")*(AY_SONU!$B$7:$B$42=DATE(YEAR($C1607),MONTH($C1607),1))))</f>
        <v>0</v>
      </c>
      <c r="AE1607" s="1" t="str">
        <f>IF($E1607="","",$E1607&amp;"|"&amp;COUNTIFS($E$7:$E1607,$E1607))</f>
        <v/>
      </c>
    </row>
    <row r="1608" spans="1:31" ht="18" customHeight="1" x14ac:dyDescent="0.3">
      <c r="A1608" s="2"/>
      <c r="B1608" s="65" t="str">
        <f>IF($C1608="","","GG"&amp;TEXT(ROW()-6,"00000"))</f>
        <v/>
      </c>
      <c r="C1608" s="66"/>
      <c r="D1608" s="60"/>
      <c r="E1608" s="61"/>
      <c r="F1608" s="61"/>
      <c r="G1608" s="67"/>
      <c r="H1608" s="60"/>
      <c r="I1608" s="60"/>
      <c r="J1608" s="61"/>
      <c r="K1608" s="61"/>
      <c r="L1608" s="60"/>
      <c r="M1608" s="74" t="str">
        <f>IF($C1608="","",IF($D1608="Gider",$E1608,IF($L1608&lt;&gt;"",$L1608,$H1608)))</f>
        <v/>
      </c>
      <c r="N1608" s="74" t="str">
        <f>IF($C1608="","",IF($D1608="Gider",$H1608,$E1608))</f>
        <v/>
      </c>
      <c r="O1608" s="73" t="str">
        <f>IF($C1608="","",DATE(YEAR($C1608),MONTH($C1608),1))</f>
        <v/>
      </c>
      <c r="P1608" s="65" t="str">
        <f ca="1">IF($C1608="","",IF(AND($D1608="Gelir",$L1608&lt;&gt;"",$T1608=""),"TANIMSIZ BORÇLU",IF($T1608&lt;&gt;"",IF(OR($E1608="",$G1608&lt;=0),"EKSİK",IF($I1608="Evet","TAHAKKUK NAKİT OLAMAZ",IF($C1608&gt;TODAY(),"İLERİ TARİH","TAHAKKUK"))),IF(AND($D1608&lt;&gt;"",$E1608&lt;&gt;"",$G1608&gt;0,$H1608&lt;&gt;"",$I1608&lt;&gt;""),IF($C1608&gt;TODAY(),"İLERİ TARİH",IF(COUNTIF($W$7:$W$3001,$W1608)&gt;1,"MÜKERRER?",IF($AD1608&gt;0,"KAPALI DÖNEM",IF($I1608="Hayır","ÖDENECEK","UYGUN")))),"EKSİK"))))</f>
        <v/>
      </c>
      <c r="Q1608" s="2"/>
      <c r="R1608" s="2"/>
      <c r="S1608" s="1" t="str">
        <f t="shared" si="77"/>
        <v/>
      </c>
      <c r="T1608" s="1" t="str">
        <f>IF(OR($C1608="",$D1608&lt;&gt;"Gelir",$L1608=""),"",IFERROR(INDEX(MUSTERILER!$B$7:$B$156,MATCH($S1608,MUSTERILER!$T$7:$T$156,0)),""))</f>
        <v/>
      </c>
      <c r="U1608" s="1" t="str">
        <f>IF($T1608="","",$T1608&amp;"|"&amp;COUNTIFS($T$7:$T1608,$T1608))</f>
        <v/>
      </c>
      <c r="V1608" s="1">
        <f t="shared" si="78"/>
        <v>0</v>
      </c>
      <c r="W1608" s="1" t="str">
        <f t="shared" si="79"/>
        <v/>
      </c>
      <c r="X1608" s="1"/>
      <c r="Y1608" s="1"/>
      <c r="Z1608" s="1"/>
      <c r="AA1608" s="1"/>
      <c r="AB1608" s="1"/>
      <c r="AC1608" s="1"/>
      <c r="AD1608" s="1">
        <f>IF($C1608="",0,SUMPRODUCT((AY_SONU!$O$7:$O$42="Evet")*(AY_SONU!$B$7:$B$42=DATE(YEAR($C1608),MONTH($C1608),1))))</f>
        <v>0</v>
      </c>
      <c r="AE1608" s="1" t="str">
        <f>IF($E1608="","",$E1608&amp;"|"&amp;COUNTIFS($E$7:$E1608,$E1608))</f>
        <v/>
      </c>
    </row>
    <row r="1609" spans="1:31" ht="18" customHeight="1" x14ac:dyDescent="0.3">
      <c r="A1609" s="2"/>
      <c r="B1609" s="65" t="str">
        <f>IF($C1609="","","GG"&amp;TEXT(ROW()-6,"00000"))</f>
        <v/>
      </c>
      <c r="C1609" s="66"/>
      <c r="D1609" s="60"/>
      <c r="E1609" s="61"/>
      <c r="F1609" s="61"/>
      <c r="G1609" s="67"/>
      <c r="H1609" s="60"/>
      <c r="I1609" s="60"/>
      <c r="J1609" s="61"/>
      <c r="K1609" s="61"/>
      <c r="L1609" s="60"/>
      <c r="M1609" s="74" t="str">
        <f>IF($C1609="","",IF($D1609="Gider",$E1609,IF($L1609&lt;&gt;"",$L1609,$H1609)))</f>
        <v/>
      </c>
      <c r="N1609" s="74" t="str">
        <f>IF($C1609="","",IF($D1609="Gider",$H1609,$E1609))</f>
        <v/>
      </c>
      <c r="O1609" s="73" t="str">
        <f>IF($C1609="","",DATE(YEAR($C1609),MONTH($C1609),1))</f>
        <v/>
      </c>
      <c r="P1609" s="65" t="str">
        <f ca="1">IF($C1609="","",IF(AND($D1609="Gelir",$L1609&lt;&gt;"",$T1609=""),"TANIMSIZ BORÇLU",IF($T1609&lt;&gt;"",IF(OR($E1609="",$G1609&lt;=0),"EKSİK",IF($I1609="Evet","TAHAKKUK NAKİT OLAMAZ",IF($C1609&gt;TODAY(),"İLERİ TARİH","TAHAKKUK"))),IF(AND($D1609&lt;&gt;"",$E1609&lt;&gt;"",$G1609&gt;0,$H1609&lt;&gt;"",$I1609&lt;&gt;""),IF($C1609&gt;TODAY(),"İLERİ TARİH",IF(COUNTIF($W$7:$W$3001,$W1609)&gt;1,"MÜKERRER?",IF($AD1609&gt;0,"KAPALI DÖNEM",IF($I1609="Hayır","ÖDENECEK","UYGUN")))),"EKSİK"))))</f>
        <v/>
      </c>
      <c r="Q1609" s="2"/>
      <c r="R1609" s="2"/>
      <c r="S1609" s="1" t="str">
        <f t="shared" si="77"/>
        <v/>
      </c>
      <c r="T1609" s="1" t="str">
        <f>IF(OR($C1609="",$D1609&lt;&gt;"Gelir",$L1609=""),"",IFERROR(INDEX(MUSTERILER!$B$7:$B$156,MATCH($S1609,MUSTERILER!$T$7:$T$156,0)),""))</f>
        <v/>
      </c>
      <c r="U1609" s="1" t="str">
        <f>IF($T1609="","",$T1609&amp;"|"&amp;COUNTIFS($T$7:$T1609,$T1609))</f>
        <v/>
      </c>
      <c r="V1609" s="1">
        <f t="shared" si="78"/>
        <v>0</v>
      </c>
      <c r="W1609" s="1" t="str">
        <f t="shared" si="79"/>
        <v/>
      </c>
      <c r="X1609" s="1"/>
      <c r="Y1609" s="1"/>
      <c r="Z1609" s="1"/>
      <c r="AA1609" s="1"/>
      <c r="AB1609" s="1"/>
      <c r="AC1609" s="1"/>
      <c r="AD1609" s="1">
        <f>IF($C1609="",0,SUMPRODUCT((AY_SONU!$O$7:$O$42="Evet")*(AY_SONU!$B$7:$B$42=DATE(YEAR($C1609),MONTH($C1609),1))))</f>
        <v>0</v>
      </c>
      <c r="AE1609" s="1" t="str">
        <f>IF($E1609="","",$E1609&amp;"|"&amp;COUNTIFS($E$7:$E1609,$E1609))</f>
        <v/>
      </c>
    </row>
    <row r="1610" spans="1:31" ht="18" customHeight="1" x14ac:dyDescent="0.3">
      <c r="A1610" s="2"/>
      <c r="B1610" s="65" t="str">
        <f>IF($C1610="","","GG"&amp;TEXT(ROW()-6,"00000"))</f>
        <v/>
      </c>
      <c r="C1610" s="66"/>
      <c r="D1610" s="60"/>
      <c r="E1610" s="61"/>
      <c r="F1610" s="61"/>
      <c r="G1610" s="67"/>
      <c r="H1610" s="60"/>
      <c r="I1610" s="60"/>
      <c r="J1610" s="61"/>
      <c r="K1610" s="61"/>
      <c r="L1610" s="60"/>
      <c r="M1610" s="74" t="str">
        <f>IF($C1610="","",IF($D1610="Gider",$E1610,IF($L1610&lt;&gt;"",$L1610,$H1610)))</f>
        <v/>
      </c>
      <c r="N1610" s="74" t="str">
        <f>IF($C1610="","",IF($D1610="Gider",$H1610,$E1610))</f>
        <v/>
      </c>
      <c r="O1610" s="73" t="str">
        <f>IF($C1610="","",DATE(YEAR($C1610),MONTH($C1610),1))</f>
        <v/>
      </c>
      <c r="P1610" s="65" t="str">
        <f ca="1">IF($C1610="","",IF(AND($D1610="Gelir",$L1610&lt;&gt;"",$T1610=""),"TANIMSIZ BORÇLU",IF($T1610&lt;&gt;"",IF(OR($E1610="",$G1610&lt;=0),"EKSİK",IF($I1610="Evet","TAHAKKUK NAKİT OLAMAZ",IF($C1610&gt;TODAY(),"İLERİ TARİH","TAHAKKUK"))),IF(AND($D1610&lt;&gt;"",$E1610&lt;&gt;"",$G1610&gt;0,$H1610&lt;&gt;"",$I1610&lt;&gt;""),IF($C1610&gt;TODAY(),"İLERİ TARİH",IF(COUNTIF($W$7:$W$3001,$W1610)&gt;1,"MÜKERRER?",IF($AD1610&gt;0,"KAPALI DÖNEM",IF($I1610="Hayır","ÖDENECEK","UYGUN")))),"EKSİK"))))</f>
        <v/>
      </c>
      <c r="Q1610" s="2"/>
      <c r="R1610" s="2"/>
      <c r="S1610" s="1" t="str">
        <f t="shared" si="77"/>
        <v/>
      </c>
      <c r="T1610" s="1" t="str">
        <f>IF(OR($C1610="",$D1610&lt;&gt;"Gelir",$L1610=""),"",IFERROR(INDEX(MUSTERILER!$B$7:$B$156,MATCH($S1610,MUSTERILER!$T$7:$T$156,0)),""))</f>
        <v/>
      </c>
      <c r="U1610" s="1" t="str">
        <f>IF($T1610="","",$T1610&amp;"|"&amp;COUNTIFS($T$7:$T1610,$T1610))</f>
        <v/>
      </c>
      <c r="V1610" s="1">
        <f t="shared" si="78"/>
        <v>0</v>
      </c>
      <c r="W1610" s="1" t="str">
        <f t="shared" si="79"/>
        <v/>
      </c>
      <c r="X1610" s="1"/>
      <c r="Y1610" s="1"/>
      <c r="Z1610" s="1"/>
      <c r="AA1610" s="1"/>
      <c r="AB1610" s="1"/>
      <c r="AC1610" s="1"/>
      <c r="AD1610" s="1">
        <f>IF($C1610="",0,SUMPRODUCT((AY_SONU!$O$7:$O$42="Evet")*(AY_SONU!$B$7:$B$42=DATE(YEAR($C1610),MONTH($C1610),1))))</f>
        <v>0</v>
      </c>
      <c r="AE1610" s="1" t="str">
        <f>IF($E1610="","",$E1610&amp;"|"&amp;COUNTIFS($E$7:$E1610,$E1610))</f>
        <v/>
      </c>
    </row>
    <row r="1611" spans="1:31" ht="18" customHeight="1" x14ac:dyDescent="0.3">
      <c r="A1611" s="2"/>
      <c r="B1611" s="65" t="str">
        <f>IF($C1611="","","GG"&amp;TEXT(ROW()-6,"00000"))</f>
        <v/>
      </c>
      <c r="C1611" s="66"/>
      <c r="D1611" s="60"/>
      <c r="E1611" s="61"/>
      <c r="F1611" s="61"/>
      <c r="G1611" s="67"/>
      <c r="H1611" s="60"/>
      <c r="I1611" s="60"/>
      <c r="J1611" s="61"/>
      <c r="K1611" s="61"/>
      <c r="L1611" s="60"/>
      <c r="M1611" s="74" t="str">
        <f>IF($C1611="","",IF($D1611="Gider",$E1611,IF($L1611&lt;&gt;"",$L1611,$H1611)))</f>
        <v/>
      </c>
      <c r="N1611" s="74" t="str">
        <f>IF($C1611="","",IF($D1611="Gider",$H1611,$E1611))</f>
        <v/>
      </c>
      <c r="O1611" s="73" t="str">
        <f>IF($C1611="","",DATE(YEAR($C1611),MONTH($C1611),1))</f>
        <v/>
      </c>
      <c r="P1611" s="65" t="str">
        <f ca="1">IF($C1611="","",IF(AND($D1611="Gelir",$L1611&lt;&gt;"",$T1611=""),"TANIMSIZ BORÇLU",IF($T1611&lt;&gt;"",IF(OR($E1611="",$G1611&lt;=0),"EKSİK",IF($I1611="Evet","TAHAKKUK NAKİT OLAMAZ",IF($C1611&gt;TODAY(),"İLERİ TARİH","TAHAKKUK"))),IF(AND($D1611&lt;&gt;"",$E1611&lt;&gt;"",$G1611&gt;0,$H1611&lt;&gt;"",$I1611&lt;&gt;""),IF($C1611&gt;TODAY(),"İLERİ TARİH",IF(COUNTIF($W$7:$W$3001,$W1611)&gt;1,"MÜKERRER?",IF($AD1611&gt;0,"KAPALI DÖNEM",IF($I1611="Hayır","ÖDENECEK","UYGUN")))),"EKSİK"))))</f>
        <v/>
      </c>
      <c r="Q1611" s="2"/>
      <c r="R1611" s="2"/>
      <c r="S1611" s="1" t="str">
        <f t="shared" si="77"/>
        <v/>
      </c>
      <c r="T1611" s="1" t="str">
        <f>IF(OR($C1611="",$D1611&lt;&gt;"Gelir",$L1611=""),"",IFERROR(INDEX(MUSTERILER!$B$7:$B$156,MATCH($S1611,MUSTERILER!$T$7:$T$156,0)),""))</f>
        <v/>
      </c>
      <c r="U1611" s="1" t="str">
        <f>IF($T1611="","",$T1611&amp;"|"&amp;COUNTIFS($T$7:$T1611,$T1611))</f>
        <v/>
      </c>
      <c r="V1611" s="1">
        <f t="shared" si="78"/>
        <v>0</v>
      </c>
      <c r="W1611" s="1" t="str">
        <f t="shared" si="79"/>
        <v/>
      </c>
      <c r="X1611" s="1"/>
      <c r="Y1611" s="1"/>
      <c r="Z1611" s="1"/>
      <c r="AA1611" s="1"/>
      <c r="AB1611" s="1"/>
      <c r="AC1611" s="1"/>
      <c r="AD1611" s="1">
        <f>IF($C1611="",0,SUMPRODUCT((AY_SONU!$O$7:$O$42="Evet")*(AY_SONU!$B$7:$B$42=DATE(YEAR($C1611),MONTH($C1611),1))))</f>
        <v>0</v>
      </c>
      <c r="AE1611" s="1" t="str">
        <f>IF($E1611="","",$E1611&amp;"|"&amp;COUNTIFS($E$7:$E1611,$E1611))</f>
        <v/>
      </c>
    </row>
    <row r="1612" spans="1:31" ht="18" customHeight="1" x14ac:dyDescent="0.3">
      <c r="A1612" s="2"/>
      <c r="B1612" s="65" t="str">
        <f>IF($C1612="","","GG"&amp;TEXT(ROW()-6,"00000"))</f>
        <v/>
      </c>
      <c r="C1612" s="66"/>
      <c r="D1612" s="60"/>
      <c r="E1612" s="61"/>
      <c r="F1612" s="61"/>
      <c r="G1612" s="67"/>
      <c r="H1612" s="60"/>
      <c r="I1612" s="60"/>
      <c r="J1612" s="61"/>
      <c r="K1612" s="61"/>
      <c r="L1612" s="60"/>
      <c r="M1612" s="74" t="str">
        <f>IF($C1612="","",IF($D1612="Gider",$E1612,IF($L1612&lt;&gt;"",$L1612,$H1612)))</f>
        <v/>
      </c>
      <c r="N1612" s="74" t="str">
        <f>IF($C1612="","",IF($D1612="Gider",$H1612,$E1612))</f>
        <v/>
      </c>
      <c r="O1612" s="73" t="str">
        <f>IF($C1612="","",DATE(YEAR($C1612),MONTH($C1612),1))</f>
        <v/>
      </c>
      <c r="P1612" s="65" t="str">
        <f ca="1">IF($C1612="","",IF(AND($D1612="Gelir",$L1612&lt;&gt;"",$T1612=""),"TANIMSIZ BORÇLU",IF($T1612&lt;&gt;"",IF(OR($E1612="",$G1612&lt;=0),"EKSİK",IF($I1612="Evet","TAHAKKUK NAKİT OLAMAZ",IF($C1612&gt;TODAY(),"İLERİ TARİH","TAHAKKUK"))),IF(AND($D1612&lt;&gt;"",$E1612&lt;&gt;"",$G1612&gt;0,$H1612&lt;&gt;"",$I1612&lt;&gt;""),IF($C1612&gt;TODAY(),"İLERİ TARİH",IF(COUNTIF($W$7:$W$3001,$W1612)&gt;1,"MÜKERRER?",IF($AD1612&gt;0,"KAPALI DÖNEM",IF($I1612="Hayır","ÖDENECEK","UYGUN")))),"EKSİK"))))</f>
        <v/>
      </c>
      <c r="Q1612" s="2"/>
      <c r="R1612" s="2"/>
      <c r="S1612" s="1" t="str">
        <f t="shared" si="77"/>
        <v/>
      </c>
      <c r="T1612" s="1" t="str">
        <f>IF(OR($C1612="",$D1612&lt;&gt;"Gelir",$L1612=""),"",IFERROR(INDEX(MUSTERILER!$B$7:$B$156,MATCH($S1612,MUSTERILER!$T$7:$T$156,0)),""))</f>
        <v/>
      </c>
      <c r="U1612" s="1" t="str">
        <f>IF($T1612="","",$T1612&amp;"|"&amp;COUNTIFS($T$7:$T1612,$T1612))</f>
        <v/>
      </c>
      <c r="V1612" s="1">
        <f t="shared" si="78"/>
        <v>0</v>
      </c>
      <c r="W1612" s="1" t="str">
        <f t="shared" si="79"/>
        <v/>
      </c>
      <c r="X1612" s="1"/>
      <c r="Y1612" s="1"/>
      <c r="Z1612" s="1"/>
      <c r="AA1612" s="1"/>
      <c r="AB1612" s="1"/>
      <c r="AC1612" s="1"/>
      <c r="AD1612" s="1">
        <f>IF($C1612="",0,SUMPRODUCT((AY_SONU!$O$7:$O$42="Evet")*(AY_SONU!$B$7:$B$42=DATE(YEAR($C1612),MONTH($C1612),1))))</f>
        <v>0</v>
      </c>
      <c r="AE1612" s="1" t="str">
        <f>IF($E1612="","",$E1612&amp;"|"&amp;COUNTIFS($E$7:$E1612,$E1612))</f>
        <v/>
      </c>
    </row>
    <row r="1613" spans="1:31" ht="18" customHeight="1" x14ac:dyDescent="0.3">
      <c r="A1613" s="2"/>
      <c r="B1613" s="65" t="str">
        <f>IF($C1613="","","GG"&amp;TEXT(ROW()-6,"00000"))</f>
        <v/>
      </c>
      <c r="C1613" s="66"/>
      <c r="D1613" s="60"/>
      <c r="E1613" s="61"/>
      <c r="F1613" s="61"/>
      <c r="G1613" s="67"/>
      <c r="H1613" s="60"/>
      <c r="I1613" s="60"/>
      <c r="J1613" s="61"/>
      <c r="K1613" s="61"/>
      <c r="L1613" s="60"/>
      <c r="M1613" s="74" t="str">
        <f>IF($C1613="","",IF($D1613="Gider",$E1613,IF($L1613&lt;&gt;"",$L1613,$H1613)))</f>
        <v/>
      </c>
      <c r="N1613" s="74" t="str">
        <f>IF($C1613="","",IF($D1613="Gider",$H1613,$E1613))</f>
        <v/>
      </c>
      <c r="O1613" s="73" t="str">
        <f>IF($C1613="","",DATE(YEAR($C1613),MONTH($C1613),1))</f>
        <v/>
      </c>
      <c r="P1613" s="65" t="str">
        <f ca="1">IF($C1613="","",IF(AND($D1613="Gelir",$L1613&lt;&gt;"",$T1613=""),"TANIMSIZ BORÇLU",IF($T1613&lt;&gt;"",IF(OR($E1613="",$G1613&lt;=0),"EKSİK",IF($I1613="Evet","TAHAKKUK NAKİT OLAMAZ",IF($C1613&gt;TODAY(),"İLERİ TARİH","TAHAKKUK"))),IF(AND($D1613&lt;&gt;"",$E1613&lt;&gt;"",$G1613&gt;0,$H1613&lt;&gt;"",$I1613&lt;&gt;""),IF($C1613&gt;TODAY(),"İLERİ TARİH",IF(COUNTIF($W$7:$W$3001,$W1613)&gt;1,"MÜKERRER?",IF($AD1613&gt;0,"KAPALI DÖNEM",IF($I1613="Hayır","ÖDENECEK","UYGUN")))),"EKSİK"))))</f>
        <v/>
      </c>
      <c r="Q1613" s="2"/>
      <c r="R1613" s="2"/>
      <c r="S1613" s="1" t="str">
        <f t="shared" si="77"/>
        <v/>
      </c>
      <c r="T1613" s="1" t="str">
        <f>IF(OR($C1613="",$D1613&lt;&gt;"Gelir",$L1613=""),"",IFERROR(INDEX(MUSTERILER!$B$7:$B$156,MATCH($S1613,MUSTERILER!$T$7:$T$156,0)),""))</f>
        <v/>
      </c>
      <c r="U1613" s="1" t="str">
        <f>IF($T1613="","",$T1613&amp;"|"&amp;COUNTIFS($T$7:$T1613,$T1613))</f>
        <v/>
      </c>
      <c r="V1613" s="1">
        <f t="shared" si="78"/>
        <v>0</v>
      </c>
      <c r="W1613" s="1" t="str">
        <f t="shared" si="79"/>
        <v/>
      </c>
      <c r="X1613" s="1"/>
      <c r="Y1613" s="1"/>
      <c r="Z1613" s="1"/>
      <c r="AA1613" s="1"/>
      <c r="AB1613" s="1"/>
      <c r="AC1613" s="1"/>
      <c r="AD1613" s="1">
        <f>IF($C1613="",0,SUMPRODUCT((AY_SONU!$O$7:$O$42="Evet")*(AY_SONU!$B$7:$B$42=DATE(YEAR($C1613),MONTH($C1613),1))))</f>
        <v>0</v>
      </c>
      <c r="AE1613" s="1" t="str">
        <f>IF($E1613="","",$E1613&amp;"|"&amp;COUNTIFS($E$7:$E1613,$E1613))</f>
        <v/>
      </c>
    </row>
    <row r="1614" spans="1:31" ht="18" customHeight="1" x14ac:dyDescent="0.3">
      <c r="A1614" s="2"/>
      <c r="B1614" s="65" t="str">
        <f>IF($C1614="","","GG"&amp;TEXT(ROW()-6,"00000"))</f>
        <v/>
      </c>
      <c r="C1614" s="66"/>
      <c r="D1614" s="60"/>
      <c r="E1614" s="61"/>
      <c r="F1614" s="61"/>
      <c r="G1614" s="67"/>
      <c r="H1614" s="60"/>
      <c r="I1614" s="60"/>
      <c r="J1614" s="61"/>
      <c r="K1614" s="61"/>
      <c r="L1614" s="60"/>
      <c r="M1614" s="74" t="str">
        <f>IF($C1614="","",IF($D1614="Gider",$E1614,IF($L1614&lt;&gt;"",$L1614,$H1614)))</f>
        <v/>
      </c>
      <c r="N1614" s="74" t="str">
        <f>IF($C1614="","",IF($D1614="Gider",$H1614,$E1614))</f>
        <v/>
      </c>
      <c r="O1614" s="73" t="str">
        <f>IF($C1614="","",DATE(YEAR($C1614),MONTH($C1614),1))</f>
        <v/>
      </c>
      <c r="P1614" s="65" t="str">
        <f ca="1">IF($C1614="","",IF(AND($D1614="Gelir",$L1614&lt;&gt;"",$T1614=""),"TANIMSIZ BORÇLU",IF($T1614&lt;&gt;"",IF(OR($E1614="",$G1614&lt;=0),"EKSİK",IF($I1614="Evet","TAHAKKUK NAKİT OLAMAZ",IF($C1614&gt;TODAY(),"İLERİ TARİH","TAHAKKUK"))),IF(AND($D1614&lt;&gt;"",$E1614&lt;&gt;"",$G1614&gt;0,$H1614&lt;&gt;"",$I1614&lt;&gt;""),IF($C1614&gt;TODAY(),"İLERİ TARİH",IF(COUNTIF($W$7:$W$3001,$W1614)&gt;1,"MÜKERRER?",IF($AD1614&gt;0,"KAPALI DÖNEM",IF($I1614="Hayır","ÖDENECEK","UYGUN")))),"EKSİK"))))</f>
        <v/>
      </c>
      <c r="Q1614" s="2"/>
      <c r="R1614" s="2"/>
      <c r="S1614" s="1" t="str">
        <f t="shared" si="77"/>
        <v/>
      </c>
      <c r="T1614" s="1" t="str">
        <f>IF(OR($C1614="",$D1614&lt;&gt;"Gelir",$L1614=""),"",IFERROR(INDEX(MUSTERILER!$B$7:$B$156,MATCH($S1614,MUSTERILER!$T$7:$T$156,0)),""))</f>
        <v/>
      </c>
      <c r="U1614" s="1" t="str">
        <f>IF($T1614="","",$T1614&amp;"|"&amp;COUNTIFS($T$7:$T1614,$T1614))</f>
        <v/>
      </c>
      <c r="V1614" s="1">
        <f t="shared" si="78"/>
        <v>0</v>
      </c>
      <c r="W1614" s="1" t="str">
        <f t="shared" si="79"/>
        <v/>
      </c>
      <c r="X1614" s="1"/>
      <c r="Y1614" s="1"/>
      <c r="Z1614" s="1"/>
      <c r="AA1614" s="1"/>
      <c r="AB1614" s="1"/>
      <c r="AC1614" s="1"/>
      <c r="AD1614" s="1">
        <f>IF($C1614="",0,SUMPRODUCT((AY_SONU!$O$7:$O$42="Evet")*(AY_SONU!$B$7:$B$42=DATE(YEAR($C1614),MONTH($C1614),1))))</f>
        <v>0</v>
      </c>
      <c r="AE1614" s="1" t="str">
        <f>IF($E1614="","",$E1614&amp;"|"&amp;COUNTIFS($E$7:$E1614,$E1614))</f>
        <v/>
      </c>
    </row>
    <row r="1615" spans="1:31" ht="18" customHeight="1" x14ac:dyDescent="0.3">
      <c r="A1615" s="2"/>
      <c r="B1615" s="65" t="str">
        <f>IF($C1615="","","GG"&amp;TEXT(ROW()-6,"00000"))</f>
        <v/>
      </c>
      <c r="C1615" s="66"/>
      <c r="D1615" s="60"/>
      <c r="E1615" s="61"/>
      <c r="F1615" s="61"/>
      <c r="G1615" s="67"/>
      <c r="H1615" s="60"/>
      <c r="I1615" s="60"/>
      <c r="J1615" s="61"/>
      <c r="K1615" s="61"/>
      <c r="L1615" s="60"/>
      <c r="M1615" s="74" t="str">
        <f>IF($C1615="","",IF($D1615="Gider",$E1615,IF($L1615&lt;&gt;"",$L1615,$H1615)))</f>
        <v/>
      </c>
      <c r="N1615" s="74" t="str">
        <f>IF($C1615="","",IF($D1615="Gider",$H1615,$E1615))</f>
        <v/>
      </c>
      <c r="O1615" s="73" t="str">
        <f>IF($C1615="","",DATE(YEAR($C1615),MONTH($C1615),1))</f>
        <v/>
      </c>
      <c r="P1615" s="65" t="str">
        <f ca="1">IF($C1615="","",IF(AND($D1615="Gelir",$L1615&lt;&gt;"",$T1615=""),"TANIMSIZ BORÇLU",IF($T1615&lt;&gt;"",IF(OR($E1615="",$G1615&lt;=0),"EKSİK",IF($I1615="Evet","TAHAKKUK NAKİT OLAMAZ",IF($C1615&gt;TODAY(),"İLERİ TARİH","TAHAKKUK"))),IF(AND($D1615&lt;&gt;"",$E1615&lt;&gt;"",$G1615&gt;0,$H1615&lt;&gt;"",$I1615&lt;&gt;""),IF($C1615&gt;TODAY(),"İLERİ TARİH",IF(COUNTIF($W$7:$W$3001,$W1615)&gt;1,"MÜKERRER?",IF($AD1615&gt;0,"KAPALI DÖNEM",IF($I1615="Hayır","ÖDENECEK","UYGUN")))),"EKSİK"))))</f>
        <v/>
      </c>
      <c r="Q1615" s="2"/>
      <c r="R1615" s="2"/>
      <c r="S1615" s="1" t="str">
        <f t="shared" si="77"/>
        <v/>
      </c>
      <c r="T1615" s="1" t="str">
        <f>IF(OR($C1615="",$D1615&lt;&gt;"Gelir",$L1615=""),"",IFERROR(INDEX(MUSTERILER!$B$7:$B$156,MATCH($S1615,MUSTERILER!$T$7:$T$156,0)),""))</f>
        <v/>
      </c>
      <c r="U1615" s="1" t="str">
        <f>IF($T1615="","",$T1615&amp;"|"&amp;COUNTIFS($T$7:$T1615,$T1615))</f>
        <v/>
      </c>
      <c r="V1615" s="1">
        <f t="shared" si="78"/>
        <v>0</v>
      </c>
      <c r="W1615" s="1" t="str">
        <f t="shared" si="79"/>
        <v/>
      </c>
      <c r="X1615" s="1"/>
      <c r="Y1615" s="1"/>
      <c r="Z1615" s="1"/>
      <c r="AA1615" s="1"/>
      <c r="AB1615" s="1"/>
      <c r="AC1615" s="1"/>
      <c r="AD1615" s="1">
        <f>IF($C1615="",0,SUMPRODUCT((AY_SONU!$O$7:$O$42="Evet")*(AY_SONU!$B$7:$B$42=DATE(YEAR($C1615),MONTH($C1615),1))))</f>
        <v>0</v>
      </c>
      <c r="AE1615" s="1" t="str">
        <f>IF($E1615="","",$E1615&amp;"|"&amp;COUNTIFS($E$7:$E1615,$E1615))</f>
        <v/>
      </c>
    </row>
    <row r="1616" spans="1:31" ht="18" customHeight="1" x14ac:dyDescent="0.3">
      <c r="A1616" s="2"/>
      <c r="B1616" s="65" t="str">
        <f>IF($C1616="","","GG"&amp;TEXT(ROW()-6,"00000"))</f>
        <v/>
      </c>
      <c r="C1616" s="66"/>
      <c r="D1616" s="60"/>
      <c r="E1616" s="61"/>
      <c r="F1616" s="61"/>
      <c r="G1616" s="67"/>
      <c r="H1616" s="60"/>
      <c r="I1616" s="60"/>
      <c r="J1616" s="61"/>
      <c r="K1616" s="61"/>
      <c r="L1616" s="60"/>
      <c r="M1616" s="74" t="str">
        <f>IF($C1616="","",IF($D1616="Gider",$E1616,IF($L1616&lt;&gt;"",$L1616,$H1616)))</f>
        <v/>
      </c>
      <c r="N1616" s="74" t="str">
        <f>IF($C1616="","",IF($D1616="Gider",$H1616,$E1616))</f>
        <v/>
      </c>
      <c r="O1616" s="73" t="str">
        <f>IF($C1616="","",DATE(YEAR($C1616),MONTH($C1616),1))</f>
        <v/>
      </c>
      <c r="P1616" s="65" t="str">
        <f ca="1">IF($C1616="","",IF(AND($D1616="Gelir",$L1616&lt;&gt;"",$T1616=""),"TANIMSIZ BORÇLU",IF($T1616&lt;&gt;"",IF(OR($E1616="",$G1616&lt;=0),"EKSİK",IF($I1616="Evet","TAHAKKUK NAKİT OLAMAZ",IF($C1616&gt;TODAY(),"İLERİ TARİH","TAHAKKUK"))),IF(AND($D1616&lt;&gt;"",$E1616&lt;&gt;"",$G1616&gt;0,$H1616&lt;&gt;"",$I1616&lt;&gt;""),IF($C1616&gt;TODAY(),"İLERİ TARİH",IF(COUNTIF($W$7:$W$3001,$W1616)&gt;1,"MÜKERRER?",IF($AD1616&gt;0,"KAPALI DÖNEM",IF($I1616="Hayır","ÖDENECEK","UYGUN")))),"EKSİK"))))</f>
        <v/>
      </c>
      <c r="Q1616" s="2"/>
      <c r="R1616" s="2"/>
      <c r="S1616" s="1" t="str">
        <f t="shared" si="77"/>
        <v/>
      </c>
      <c r="T1616" s="1" t="str">
        <f>IF(OR($C1616="",$D1616&lt;&gt;"Gelir",$L1616=""),"",IFERROR(INDEX(MUSTERILER!$B$7:$B$156,MATCH($S1616,MUSTERILER!$T$7:$T$156,0)),""))</f>
        <v/>
      </c>
      <c r="U1616" s="1" t="str">
        <f>IF($T1616="","",$T1616&amp;"|"&amp;COUNTIFS($T$7:$T1616,$T1616))</f>
        <v/>
      </c>
      <c r="V1616" s="1">
        <f t="shared" si="78"/>
        <v>0</v>
      </c>
      <c r="W1616" s="1" t="str">
        <f t="shared" si="79"/>
        <v/>
      </c>
      <c r="X1616" s="1"/>
      <c r="Y1616" s="1"/>
      <c r="Z1616" s="1"/>
      <c r="AA1616" s="1"/>
      <c r="AB1616" s="1"/>
      <c r="AC1616" s="1"/>
      <c r="AD1616" s="1">
        <f>IF($C1616="",0,SUMPRODUCT((AY_SONU!$O$7:$O$42="Evet")*(AY_SONU!$B$7:$B$42=DATE(YEAR($C1616),MONTH($C1616),1))))</f>
        <v>0</v>
      </c>
      <c r="AE1616" s="1" t="str">
        <f>IF($E1616="","",$E1616&amp;"|"&amp;COUNTIFS($E$7:$E1616,$E1616))</f>
        <v/>
      </c>
    </row>
    <row r="1617" spans="1:31" ht="18" customHeight="1" x14ac:dyDescent="0.3">
      <c r="A1617" s="2"/>
      <c r="B1617" s="65" t="str">
        <f>IF($C1617="","","GG"&amp;TEXT(ROW()-6,"00000"))</f>
        <v/>
      </c>
      <c r="C1617" s="66"/>
      <c r="D1617" s="60"/>
      <c r="E1617" s="61"/>
      <c r="F1617" s="61"/>
      <c r="G1617" s="67"/>
      <c r="H1617" s="60"/>
      <c r="I1617" s="60"/>
      <c r="J1617" s="61"/>
      <c r="K1617" s="61"/>
      <c r="L1617" s="60"/>
      <c r="M1617" s="74" t="str">
        <f>IF($C1617="","",IF($D1617="Gider",$E1617,IF($L1617&lt;&gt;"",$L1617,$H1617)))</f>
        <v/>
      </c>
      <c r="N1617" s="74" t="str">
        <f>IF($C1617="","",IF($D1617="Gider",$H1617,$E1617))</f>
        <v/>
      </c>
      <c r="O1617" s="73" t="str">
        <f>IF($C1617="","",DATE(YEAR($C1617),MONTH($C1617),1))</f>
        <v/>
      </c>
      <c r="P1617" s="65" t="str">
        <f ca="1">IF($C1617="","",IF(AND($D1617="Gelir",$L1617&lt;&gt;"",$T1617=""),"TANIMSIZ BORÇLU",IF($T1617&lt;&gt;"",IF(OR($E1617="",$G1617&lt;=0),"EKSİK",IF($I1617="Evet","TAHAKKUK NAKİT OLAMAZ",IF($C1617&gt;TODAY(),"İLERİ TARİH","TAHAKKUK"))),IF(AND($D1617&lt;&gt;"",$E1617&lt;&gt;"",$G1617&gt;0,$H1617&lt;&gt;"",$I1617&lt;&gt;""),IF($C1617&gt;TODAY(),"İLERİ TARİH",IF(COUNTIF($W$7:$W$3001,$W1617)&gt;1,"MÜKERRER?",IF($AD1617&gt;0,"KAPALI DÖNEM",IF($I1617="Hayır","ÖDENECEK","UYGUN")))),"EKSİK"))))</f>
        <v/>
      </c>
      <c r="Q1617" s="2"/>
      <c r="R1617" s="2"/>
      <c r="S1617" s="1" t="str">
        <f t="shared" si="77"/>
        <v/>
      </c>
      <c r="T1617" s="1" t="str">
        <f>IF(OR($C1617="",$D1617&lt;&gt;"Gelir",$L1617=""),"",IFERROR(INDEX(MUSTERILER!$B$7:$B$156,MATCH($S1617,MUSTERILER!$T$7:$T$156,0)),""))</f>
        <v/>
      </c>
      <c r="U1617" s="1" t="str">
        <f>IF($T1617="","",$T1617&amp;"|"&amp;COUNTIFS($T$7:$T1617,$T1617))</f>
        <v/>
      </c>
      <c r="V1617" s="1">
        <f t="shared" si="78"/>
        <v>0</v>
      </c>
      <c r="W1617" s="1" t="str">
        <f t="shared" si="79"/>
        <v/>
      </c>
      <c r="X1617" s="1"/>
      <c r="Y1617" s="1"/>
      <c r="Z1617" s="1"/>
      <c r="AA1617" s="1"/>
      <c r="AB1617" s="1"/>
      <c r="AC1617" s="1"/>
      <c r="AD1617" s="1">
        <f>IF($C1617="",0,SUMPRODUCT((AY_SONU!$O$7:$O$42="Evet")*(AY_SONU!$B$7:$B$42=DATE(YEAR($C1617),MONTH($C1617),1))))</f>
        <v>0</v>
      </c>
      <c r="AE1617" s="1" t="str">
        <f>IF($E1617="","",$E1617&amp;"|"&amp;COUNTIFS($E$7:$E1617,$E1617))</f>
        <v/>
      </c>
    </row>
    <row r="1618" spans="1:31" ht="18" customHeight="1" x14ac:dyDescent="0.3">
      <c r="A1618" s="2"/>
      <c r="B1618" s="65" t="str">
        <f>IF($C1618="","","GG"&amp;TEXT(ROW()-6,"00000"))</f>
        <v/>
      </c>
      <c r="C1618" s="66"/>
      <c r="D1618" s="60"/>
      <c r="E1618" s="61"/>
      <c r="F1618" s="61"/>
      <c r="G1618" s="67"/>
      <c r="H1618" s="60"/>
      <c r="I1618" s="60"/>
      <c r="J1618" s="61"/>
      <c r="K1618" s="61"/>
      <c r="L1618" s="60"/>
      <c r="M1618" s="74" t="str">
        <f>IF($C1618="","",IF($D1618="Gider",$E1618,IF($L1618&lt;&gt;"",$L1618,$H1618)))</f>
        <v/>
      </c>
      <c r="N1618" s="74" t="str">
        <f>IF($C1618="","",IF($D1618="Gider",$H1618,$E1618))</f>
        <v/>
      </c>
      <c r="O1618" s="73" t="str">
        <f>IF($C1618="","",DATE(YEAR($C1618),MONTH($C1618),1))</f>
        <v/>
      </c>
      <c r="P1618" s="65" t="str">
        <f ca="1">IF($C1618="","",IF(AND($D1618="Gelir",$L1618&lt;&gt;"",$T1618=""),"TANIMSIZ BORÇLU",IF($T1618&lt;&gt;"",IF(OR($E1618="",$G1618&lt;=0),"EKSİK",IF($I1618="Evet","TAHAKKUK NAKİT OLAMAZ",IF($C1618&gt;TODAY(),"İLERİ TARİH","TAHAKKUK"))),IF(AND($D1618&lt;&gt;"",$E1618&lt;&gt;"",$G1618&gt;0,$H1618&lt;&gt;"",$I1618&lt;&gt;""),IF($C1618&gt;TODAY(),"İLERİ TARİH",IF(COUNTIF($W$7:$W$3001,$W1618)&gt;1,"MÜKERRER?",IF($AD1618&gt;0,"KAPALI DÖNEM",IF($I1618="Hayır","ÖDENECEK","UYGUN")))),"EKSİK"))))</f>
        <v/>
      </c>
      <c r="Q1618" s="2"/>
      <c r="R1618" s="2"/>
      <c r="S1618" s="1" t="str">
        <f t="shared" si="77"/>
        <v/>
      </c>
      <c r="T1618" s="1" t="str">
        <f>IF(OR($C1618="",$D1618&lt;&gt;"Gelir",$L1618=""),"",IFERROR(INDEX(MUSTERILER!$B$7:$B$156,MATCH($S1618,MUSTERILER!$T$7:$T$156,0)),""))</f>
        <v/>
      </c>
      <c r="U1618" s="1" t="str">
        <f>IF($T1618="","",$T1618&amp;"|"&amp;COUNTIFS($T$7:$T1618,$T1618))</f>
        <v/>
      </c>
      <c r="V1618" s="1">
        <f t="shared" si="78"/>
        <v>0</v>
      </c>
      <c r="W1618" s="1" t="str">
        <f t="shared" si="79"/>
        <v/>
      </c>
      <c r="X1618" s="1"/>
      <c r="Y1618" s="1"/>
      <c r="Z1618" s="1"/>
      <c r="AA1618" s="1"/>
      <c r="AB1618" s="1"/>
      <c r="AC1618" s="1"/>
      <c r="AD1618" s="1">
        <f>IF($C1618="",0,SUMPRODUCT((AY_SONU!$O$7:$O$42="Evet")*(AY_SONU!$B$7:$B$42=DATE(YEAR($C1618),MONTH($C1618),1))))</f>
        <v>0</v>
      </c>
      <c r="AE1618" s="1" t="str">
        <f>IF($E1618="","",$E1618&amp;"|"&amp;COUNTIFS($E$7:$E1618,$E1618))</f>
        <v/>
      </c>
    </row>
    <row r="1619" spans="1:31" ht="18" customHeight="1" x14ac:dyDescent="0.3">
      <c r="A1619" s="2"/>
      <c r="B1619" s="65" t="str">
        <f>IF($C1619="","","GG"&amp;TEXT(ROW()-6,"00000"))</f>
        <v/>
      </c>
      <c r="C1619" s="66"/>
      <c r="D1619" s="60"/>
      <c r="E1619" s="61"/>
      <c r="F1619" s="61"/>
      <c r="G1619" s="67"/>
      <c r="H1619" s="60"/>
      <c r="I1619" s="60"/>
      <c r="J1619" s="61"/>
      <c r="K1619" s="61"/>
      <c r="L1619" s="60"/>
      <c r="M1619" s="74" t="str">
        <f>IF($C1619="","",IF($D1619="Gider",$E1619,IF($L1619&lt;&gt;"",$L1619,$H1619)))</f>
        <v/>
      </c>
      <c r="N1619" s="74" t="str">
        <f>IF($C1619="","",IF($D1619="Gider",$H1619,$E1619))</f>
        <v/>
      </c>
      <c r="O1619" s="73" t="str">
        <f>IF($C1619="","",DATE(YEAR($C1619),MONTH($C1619),1))</f>
        <v/>
      </c>
      <c r="P1619" s="65" t="str">
        <f ca="1">IF($C1619="","",IF(AND($D1619="Gelir",$L1619&lt;&gt;"",$T1619=""),"TANIMSIZ BORÇLU",IF($T1619&lt;&gt;"",IF(OR($E1619="",$G1619&lt;=0),"EKSİK",IF($I1619="Evet","TAHAKKUK NAKİT OLAMAZ",IF($C1619&gt;TODAY(),"İLERİ TARİH","TAHAKKUK"))),IF(AND($D1619&lt;&gt;"",$E1619&lt;&gt;"",$G1619&gt;0,$H1619&lt;&gt;"",$I1619&lt;&gt;""),IF($C1619&gt;TODAY(),"İLERİ TARİH",IF(COUNTIF($W$7:$W$3001,$W1619)&gt;1,"MÜKERRER?",IF($AD1619&gt;0,"KAPALI DÖNEM",IF($I1619="Hayır","ÖDENECEK","UYGUN")))),"EKSİK"))))</f>
        <v/>
      </c>
      <c r="Q1619" s="2"/>
      <c r="R1619" s="2"/>
      <c r="S1619" s="1" t="str">
        <f t="shared" si="77"/>
        <v/>
      </c>
      <c r="T1619" s="1" t="str">
        <f>IF(OR($C1619="",$D1619&lt;&gt;"Gelir",$L1619=""),"",IFERROR(INDEX(MUSTERILER!$B$7:$B$156,MATCH($S1619,MUSTERILER!$T$7:$T$156,0)),""))</f>
        <v/>
      </c>
      <c r="U1619" s="1" t="str">
        <f>IF($T1619="","",$T1619&amp;"|"&amp;COUNTIFS($T$7:$T1619,$T1619))</f>
        <v/>
      </c>
      <c r="V1619" s="1">
        <f t="shared" si="78"/>
        <v>0</v>
      </c>
      <c r="W1619" s="1" t="str">
        <f t="shared" si="79"/>
        <v/>
      </c>
      <c r="X1619" s="1"/>
      <c r="Y1619" s="1"/>
      <c r="Z1619" s="1"/>
      <c r="AA1619" s="1"/>
      <c r="AB1619" s="1"/>
      <c r="AC1619" s="1"/>
      <c r="AD1619" s="1">
        <f>IF($C1619="",0,SUMPRODUCT((AY_SONU!$O$7:$O$42="Evet")*(AY_SONU!$B$7:$B$42=DATE(YEAR($C1619),MONTH($C1619),1))))</f>
        <v>0</v>
      </c>
      <c r="AE1619" s="1" t="str">
        <f>IF($E1619="","",$E1619&amp;"|"&amp;COUNTIFS($E$7:$E1619,$E1619))</f>
        <v/>
      </c>
    </row>
    <row r="1620" spans="1:31" ht="18" customHeight="1" x14ac:dyDescent="0.3">
      <c r="A1620" s="2"/>
      <c r="B1620" s="65" t="str">
        <f>IF($C1620="","","GG"&amp;TEXT(ROW()-6,"00000"))</f>
        <v/>
      </c>
      <c r="C1620" s="66"/>
      <c r="D1620" s="60"/>
      <c r="E1620" s="61"/>
      <c r="F1620" s="61"/>
      <c r="G1620" s="67"/>
      <c r="H1620" s="60"/>
      <c r="I1620" s="60"/>
      <c r="J1620" s="61"/>
      <c r="K1620" s="61"/>
      <c r="L1620" s="60"/>
      <c r="M1620" s="74" t="str">
        <f>IF($C1620="","",IF($D1620="Gider",$E1620,IF($L1620&lt;&gt;"",$L1620,$H1620)))</f>
        <v/>
      </c>
      <c r="N1620" s="74" t="str">
        <f>IF($C1620="","",IF($D1620="Gider",$H1620,$E1620))</f>
        <v/>
      </c>
      <c r="O1620" s="73" t="str">
        <f>IF($C1620="","",DATE(YEAR($C1620),MONTH($C1620),1))</f>
        <v/>
      </c>
      <c r="P1620" s="65" t="str">
        <f ca="1">IF($C1620="","",IF(AND($D1620="Gelir",$L1620&lt;&gt;"",$T1620=""),"TANIMSIZ BORÇLU",IF($T1620&lt;&gt;"",IF(OR($E1620="",$G1620&lt;=0),"EKSİK",IF($I1620="Evet","TAHAKKUK NAKİT OLAMAZ",IF($C1620&gt;TODAY(),"İLERİ TARİH","TAHAKKUK"))),IF(AND($D1620&lt;&gt;"",$E1620&lt;&gt;"",$G1620&gt;0,$H1620&lt;&gt;"",$I1620&lt;&gt;""),IF($C1620&gt;TODAY(),"İLERİ TARİH",IF(COUNTIF($W$7:$W$3001,$W1620)&gt;1,"MÜKERRER?",IF($AD1620&gt;0,"KAPALI DÖNEM",IF($I1620="Hayır","ÖDENECEK","UYGUN")))),"EKSİK"))))</f>
        <v/>
      </c>
      <c r="Q1620" s="2"/>
      <c r="R1620" s="2"/>
      <c r="S1620" s="1" t="str">
        <f t="shared" si="77"/>
        <v/>
      </c>
      <c r="T1620" s="1" t="str">
        <f>IF(OR($C1620="",$D1620&lt;&gt;"Gelir",$L1620=""),"",IFERROR(INDEX(MUSTERILER!$B$7:$B$156,MATCH($S1620,MUSTERILER!$T$7:$T$156,0)),""))</f>
        <v/>
      </c>
      <c r="U1620" s="1" t="str">
        <f>IF($T1620="","",$T1620&amp;"|"&amp;COUNTIFS($T$7:$T1620,$T1620))</f>
        <v/>
      </c>
      <c r="V1620" s="1">
        <f t="shared" si="78"/>
        <v>0</v>
      </c>
      <c r="W1620" s="1" t="str">
        <f t="shared" si="79"/>
        <v/>
      </c>
      <c r="X1620" s="1"/>
      <c r="Y1620" s="1"/>
      <c r="Z1620" s="1"/>
      <c r="AA1620" s="1"/>
      <c r="AB1620" s="1"/>
      <c r="AC1620" s="1"/>
      <c r="AD1620" s="1">
        <f>IF($C1620="",0,SUMPRODUCT((AY_SONU!$O$7:$O$42="Evet")*(AY_SONU!$B$7:$B$42=DATE(YEAR($C1620),MONTH($C1620),1))))</f>
        <v>0</v>
      </c>
      <c r="AE1620" s="1" t="str">
        <f>IF($E1620="","",$E1620&amp;"|"&amp;COUNTIFS($E$7:$E1620,$E1620))</f>
        <v/>
      </c>
    </row>
    <row r="1621" spans="1:31" ht="18" customHeight="1" x14ac:dyDescent="0.3">
      <c r="A1621" s="2"/>
      <c r="B1621" s="65" t="str">
        <f>IF($C1621="","","GG"&amp;TEXT(ROW()-6,"00000"))</f>
        <v/>
      </c>
      <c r="C1621" s="66"/>
      <c r="D1621" s="60"/>
      <c r="E1621" s="61"/>
      <c r="F1621" s="61"/>
      <c r="G1621" s="67"/>
      <c r="H1621" s="60"/>
      <c r="I1621" s="60"/>
      <c r="J1621" s="61"/>
      <c r="K1621" s="61"/>
      <c r="L1621" s="60"/>
      <c r="M1621" s="74" t="str">
        <f>IF($C1621="","",IF($D1621="Gider",$E1621,IF($L1621&lt;&gt;"",$L1621,$H1621)))</f>
        <v/>
      </c>
      <c r="N1621" s="74" t="str">
        <f>IF($C1621="","",IF($D1621="Gider",$H1621,$E1621))</f>
        <v/>
      </c>
      <c r="O1621" s="73" t="str">
        <f>IF($C1621="","",DATE(YEAR($C1621),MONTH($C1621),1))</f>
        <v/>
      </c>
      <c r="P1621" s="65" t="str">
        <f ca="1">IF($C1621="","",IF(AND($D1621="Gelir",$L1621&lt;&gt;"",$T1621=""),"TANIMSIZ BORÇLU",IF($T1621&lt;&gt;"",IF(OR($E1621="",$G1621&lt;=0),"EKSİK",IF($I1621="Evet","TAHAKKUK NAKİT OLAMAZ",IF($C1621&gt;TODAY(),"İLERİ TARİH","TAHAKKUK"))),IF(AND($D1621&lt;&gt;"",$E1621&lt;&gt;"",$G1621&gt;0,$H1621&lt;&gt;"",$I1621&lt;&gt;""),IF($C1621&gt;TODAY(),"İLERİ TARİH",IF(COUNTIF($W$7:$W$3001,$W1621)&gt;1,"MÜKERRER?",IF($AD1621&gt;0,"KAPALI DÖNEM",IF($I1621="Hayır","ÖDENECEK","UYGUN")))),"EKSİK"))))</f>
        <v/>
      </c>
      <c r="Q1621" s="2"/>
      <c r="R1621" s="2"/>
      <c r="S1621" s="1" t="str">
        <f t="shared" si="77"/>
        <v/>
      </c>
      <c r="T1621" s="1" t="str">
        <f>IF(OR($C1621="",$D1621&lt;&gt;"Gelir",$L1621=""),"",IFERROR(INDEX(MUSTERILER!$B$7:$B$156,MATCH($S1621,MUSTERILER!$T$7:$T$156,0)),""))</f>
        <v/>
      </c>
      <c r="U1621" s="1" t="str">
        <f>IF($T1621="","",$T1621&amp;"|"&amp;COUNTIFS($T$7:$T1621,$T1621))</f>
        <v/>
      </c>
      <c r="V1621" s="1">
        <f t="shared" si="78"/>
        <v>0</v>
      </c>
      <c r="W1621" s="1" t="str">
        <f t="shared" si="79"/>
        <v/>
      </c>
      <c r="X1621" s="1"/>
      <c r="Y1621" s="1"/>
      <c r="Z1621" s="1"/>
      <c r="AA1621" s="1"/>
      <c r="AB1621" s="1"/>
      <c r="AC1621" s="1"/>
      <c r="AD1621" s="1">
        <f>IF($C1621="",0,SUMPRODUCT((AY_SONU!$O$7:$O$42="Evet")*(AY_SONU!$B$7:$B$42=DATE(YEAR($C1621),MONTH($C1621),1))))</f>
        <v>0</v>
      </c>
      <c r="AE1621" s="1" t="str">
        <f>IF($E1621="","",$E1621&amp;"|"&amp;COUNTIFS($E$7:$E1621,$E1621))</f>
        <v/>
      </c>
    </row>
    <row r="1622" spans="1:31" ht="18" customHeight="1" x14ac:dyDescent="0.3">
      <c r="A1622" s="2"/>
      <c r="B1622" s="65" t="str">
        <f>IF($C1622="","","GG"&amp;TEXT(ROW()-6,"00000"))</f>
        <v/>
      </c>
      <c r="C1622" s="66"/>
      <c r="D1622" s="60"/>
      <c r="E1622" s="61"/>
      <c r="F1622" s="61"/>
      <c r="G1622" s="67"/>
      <c r="H1622" s="60"/>
      <c r="I1622" s="60"/>
      <c r="J1622" s="61"/>
      <c r="K1622" s="61"/>
      <c r="L1622" s="60"/>
      <c r="M1622" s="74" t="str">
        <f>IF($C1622="","",IF($D1622="Gider",$E1622,IF($L1622&lt;&gt;"",$L1622,$H1622)))</f>
        <v/>
      </c>
      <c r="N1622" s="74" t="str">
        <f>IF($C1622="","",IF($D1622="Gider",$H1622,$E1622))</f>
        <v/>
      </c>
      <c r="O1622" s="73" t="str">
        <f>IF($C1622="","",DATE(YEAR($C1622),MONTH($C1622),1))</f>
        <v/>
      </c>
      <c r="P1622" s="65" t="str">
        <f ca="1">IF($C1622="","",IF(AND($D1622="Gelir",$L1622&lt;&gt;"",$T1622=""),"TANIMSIZ BORÇLU",IF($T1622&lt;&gt;"",IF(OR($E1622="",$G1622&lt;=0),"EKSİK",IF($I1622="Evet","TAHAKKUK NAKİT OLAMAZ",IF($C1622&gt;TODAY(),"İLERİ TARİH","TAHAKKUK"))),IF(AND($D1622&lt;&gt;"",$E1622&lt;&gt;"",$G1622&gt;0,$H1622&lt;&gt;"",$I1622&lt;&gt;""),IF($C1622&gt;TODAY(),"İLERİ TARİH",IF(COUNTIF($W$7:$W$3001,$W1622)&gt;1,"MÜKERRER?",IF($AD1622&gt;0,"KAPALI DÖNEM",IF($I1622="Hayır","ÖDENECEK","UYGUN")))),"EKSİK"))))</f>
        <v/>
      </c>
      <c r="Q1622" s="2"/>
      <c r="R1622" s="2"/>
      <c r="S1622" s="1" t="str">
        <f t="shared" si="77"/>
        <v/>
      </c>
      <c r="T1622" s="1" t="str">
        <f>IF(OR($C1622="",$D1622&lt;&gt;"Gelir",$L1622=""),"",IFERROR(INDEX(MUSTERILER!$B$7:$B$156,MATCH($S1622,MUSTERILER!$T$7:$T$156,0)),""))</f>
        <v/>
      </c>
      <c r="U1622" s="1" t="str">
        <f>IF($T1622="","",$T1622&amp;"|"&amp;COUNTIFS($T$7:$T1622,$T1622))</f>
        <v/>
      </c>
      <c r="V1622" s="1">
        <f t="shared" si="78"/>
        <v>0</v>
      </c>
      <c r="W1622" s="1" t="str">
        <f t="shared" si="79"/>
        <v/>
      </c>
      <c r="X1622" s="1"/>
      <c r="Y1622" s="1"/>
      <c r="Z1622" s="1"/>
      <c r="AA1622" s="1"/>
      <c r="AB1622" s="1"/>
      <c r="AC1622" s="1"/>
      <c r="AD1622" s="1">
        <f>IF($C1622="",0,SUMPRODUCT((AY_SONU!$O$7:$O$42="Evet")*(AY_SONU!$B$7:$B$42=DATE(YEAR($C1622),MONTH($C1622),1))))</f>
        <v>0</v>
      </c>
      <c r="AE1622" s="1" t="str">
        <f>IF($E1622="","",$E1622&amp;"|"&amp;COUNTIFS($E$7:$E1622,$E1622))</f>
        <v/>
      </c>
    </row>
    <row r="1623" spans="1:31" ht="18" customHeight="1" x14ac:dyDescent="0.3">
      <c r="A1623" s="2"/>
      <c r="B1623" s="65" t="str">
        <f>IF($C1623="","","GG"&amp;TEXT(ROW()-6,"00000"))</f>
        <v/>
      </c>
      <c r="C1623" s="66"/>
      <c r="D1623" s="60"/>
      <c r="E1623" s="61"/>
      <c r="F1623" s="61"/>
      <c r="G1623" s="67"/>
      <c r="H1623" s="60"/>
      <c r="I1623" s="60"/>
      <c r="J1623" s="61"/>
      <c r="K1623" s="61"/>
      <c r="L1623" s="60"/>
      <c r="M1623" s="74" t="str">
        <f>IF($C1623="","",IF($D1623="Gider",$E1623,IF($L1623&lt;&gt;"",$L1623,$H1623)))</f>
        <v/>
      </c>
      <c r="N1623" s="74" t="str">
        <f>IF($C1623="","",IF($D1623="Gider",$H1623,$E1623))</f>
        <v/>
      </c>
      <c r="O1623" s="73" t="str">
        <f>IF($C1623="","",DATE(YEAR($C1623),MONTH($C1623),1))</f>
        <v/>
      </c>
      <c r="P1623" s="65" t="str">
        <f ca="1">IF($C1623="","",IF(AND($D1623="Gelir",$L1623&lt;&gt;"",$T1623=""),"TANIMSIZ BORÇLU",IF($T1623&lt;&gt;"",IF(OR($E1623="",$G1623&lt;=0),"EKSİK",IF($I1623="Evet","TAHAKKUK NAKİT OLAMAZ",IF($C1623&gt;TODAY(),"İLERİ TARİH","TAHAKKUK"))),IF(AND($D1623&lt;&gt;"",$E1623&lt;&gt;"",$G1623&gt;0,$H1623&lt;&gt;"",$I1623&lt;&gt;""),IF($C1623&gt;TODAY(),"İLERİ TARİH",IF(COUNTIF($W$7:$W$3001,$W1623)&gt;1,"MÜKERRER?",IF($AD1623&gt;0,"KAPALI DÖNEM",IF($I1623="Hayır","ÖDENECEK","UYGUN")))),"EKSİK"))))</f>
        <v/>
      </c>
      <c r="Q1623" s="2"/>
      <c r="R1623" s="2"/>
      <c r="S1623" s="1" t="str">
        <f t="shared" si="77"/>
        <v/>
      </c>
      <c r="T1623" s="1" t="str">
        <f>IF(OR($C1623="",$D1623&lt;&gt;"Gelir",$L1623=""),"",IFERROR(INDEX(MUSTERILER!$B$7:$B$156,MATCH($S1623,MUSTERILER!$T$7:$T$156,0)),""))</f>
        <v/>
      </c>
      <c r="U1623" s="1" t="str">
        <f>IF($T1623="","",$T1623&amp;"|"&amp;COUNTIFS($T$7:$T1623,$T1623))</f>
        <v/>
      </c>
      <c r="V1623" s="1">
        <f t="shared" si="78"/>
        <v>0</v>
      </c>
      <c r="W1623" s="1" t="str">
        <f t="shared" si="79"/>
        <v/>
      </c>
      <c r="X1623" s="1"/>
      <c r="Y1623" s="1"/>
      <c r="Z1623" s="1"/>
      <c r="AA1623" s="1"/>
      <c r="AB1623" s="1"/>
      <c r="AC1623" s="1"/>
      <c r="AD1623" s="1">
        <f>IF($C1623="",0,SUMPRODUCT((AY_SONU!$O$7:$O$42="Evet")*(AY_SONU!$B$7:$B$42=DATE(YEAR($C1623),MONTH($C1623),1))))</f>
        <v>0</v>
      </c>
      <c r="AE1623" s="1" t="str">
        <f>IF($E1623="","",$E1623&amp;"|"&amp;COUNTIFS($E$7:$E1623,$E1623))</f>
        <v/>
      </c>
    </row>
    <row r="1624" spans="1:31" ht="18" customHeight="1" x14ac:dyDescent="0.3">
      <c r="A1624" s="2"/>
      <c r="B1624" s="65" t="str">
        <f>IF($C1624="","","GG"&amp;TEXT(ROW()-6,"00000"))</f>
        <v/>
      </c>
      <c r="C1624" s="66"/>
      <c r="D1624" s="60"/>
      <c r="E1624" s="61"/>
      <c r="F1624" s="61"/>
      <c r="G1624" s="67"/>
      <c r="H1624" s="60"/>
      <c r="I1624" s="60"/>
      <c r="J1624" s="61"/>
      <c r="K1624" s="61"/>
      <c r="L1624" s="60"/>
      <c r="M1624" s="74" t="str">
        <f>IF($C1624="","",IF($D1624="Gider",$E1624,IF($L1624&lt;&gt;"",$L1624,$H1624)))</f>
        <v/>
      </c>
      <c r="N1624" s="74" t="str">
        <f>IF($C1624="","",IF($D1624="Gider",$H1624,$E1624))</f>
        <v/>
      </c>
      <c r="O1624" s="73" t="str">
        <f>IF($C1624="","",DATE(YEAR($C1624),MONTH($C1624),1))</f>
        <v/>
      </c>
      <c r="P1624" s="65" t="str">
        <f ca="1">IF($C1624="","",IF(AND($D1624="Gelir",$L1624&lt;&gt;"",$T1624=""),"TANIMSIZ BORÇLU",IF($T1624&lt;&gt;"",IF(OR($E1624="",$G1624&lt;=0),"EKSİK",IF($I1624="Evet","TAHAKKUK NAKİT OLAMAZ",IF($C1624&gt;TODAY(),"İLERİ TARİH","TAHAKKUK"))),IF(AND($D1624&lt;&gt;"",$E1624&lt;&gt;"",$G1624&gt;0,$H1624&lt;&gt;"",$I1624&lt;&gt;""),IF($C1624&gt;TODAY(),"İLERİ TARİH",IF(COUNTIF($W$7:$W$3001,$W1624)&gt;1,"MÜKERRER?",IF($AD1624&gt;0,"KAPALI DÖNEM",IF($I1624="Hayır","ÖDENECEK","UYGUN")))),"EKSİK"))))</f>
        <v/>
      </c>
      <c r="Q1624" s="2"/>
      <c r="R1624" s="2"/>
      <c r="S1624" s="1" t="str">
        <f t="shared" si="77"/>
        <v/>
      </c>
      <c r="T1624" s="1" t="str">
        <f>IF(OR($C1624="",$D1624&lt;&gt;"Gelir",$L1624=""),"",IFERROR(INDEX(MUSTERILER!$B$7:$B$156,MATCH($S1624,MUSTERILER!$T$7:$T$156,0)),""))</f>
        <v/>
      </c>
      <c r="U1624" s="1" t="str">
        <f>IF($T1624="","",$T1624&amp;"|"&amp;COUNTIFS($T$7:$T1624,$T1624))</f>
        <v/>
      </c>
      <c r="V1624" s="1">
        <f t="shared" si="78"/>
        <v>0</v>
      </c>
      <c r="W1624" s="1" t="str">
        <f t="shared" si="79"/>
        <v/>
      </c>
      <c r="X1624" s="1"/>
      <c r="Y1624" s="1"/>
      <c r="Z1624" s="1"/>
      <c r="AA1624" s="1"/>
      <c r="AB1624" s="1"/>
      <c r="AC1624" s="1"/>
      <c r="AD1624" s="1">
        <f>IF($C1624="",0,SUMPRODUCT((AY_SONU!$O$7:$O$42="Evet")*(AY_SONU!$B$7:$B$42=DATE(YEAR($C1624),MONTH($C1624),1))))</f>
        <v>0</v>
      </c>
      <c r="AE1624" s="1" t="str">
        <f>IF($E1624="","",$E1624&amp;"|"&amp;COUNTIFS($E$7:$E1624,$E1624))</f>
        <v/>
      </c>
    </row>
    <row r="1625" spans="1:31" ht="18" customHeight="1" x14ac:dyDescent="0.3">
      <c r="A1625" s="2"/>
      <c r="B1625" s="65" t="str">
        <f>IF($C1625="","","GG"&amp;TEXT(ROW()-6,"00000"))</f>
        <v/>
      </c>
      <c r="C1625" s="66"/>
      <c r="D1625" s="60"/>
      <c r="E1625" s="61"/>
      <c r="F1625" s="61"/>
      <c r="G1625" s="67"/>
      <c r="H1625" s="60"/>
      <c r="I1625" s="60"/>
      <c r="J1625" s="61"/>
      <c r="K1625" s="61"/>
      <c r="L1625" s="60"/>
      <c r="M1625" s="74" t="str">
        <f>IF($C1625="","",IF($D1625="Gider",$E1625,IF($L1625&lt;&gt;"",$L1625,$H1625)))</f>
        <v/>
      </c>
      <c r="N1625" s="74" t="str">
        <f>IF($C1625="","",IF($D1625="Gider",$H1625,$E1625))</f>
        <v/>
      </c>
      <c r="O1625" s="73" t="str">
        <f>IF($C1625="","",DATE(YEAR($C1625),MONTH($C1625),1))</f>
        <v/>
      </c>
      <c r="P1625" s="65" t="str">
        <f ca="1">IF($C1625="","",IF(AND($D1625="Gelir",$L1625&lt;&gt;"",$T1625=""),"TANIMSIZ BORÇLU",IF($T1625&lt;&gt;"",IF(OR($E1625="",$G1625&lt;=0),"EKSİK",IF($I1625="Evet","TAHAKKUK NAKİT OLAMAZ",IF($C1625&gt;TODAY(),"İLERİ TARİH","TAHAKKUK"))),IF(AND($D1625&lt;&gt;"",$E1625&lt;&gt;"",$G1625&gt;0,$H1625&lt;&gt;"",$I1625&lt;&gt;""),IF($C1625&gt;TODAY(),"İLERİ TARİH",IF(COUNTIF($W$7:$W$3001,$W1625)&gt;1,"MÜKERRER?",IF($AD1625&gt;0,"KAPALI DÖNEM",IF($I1625="Hayır","ÖDENECEK","UYGUN")))),"EKSİK"))))</f>
        <v/>
      </c>
      <c r="Q1625" s="2"/>
      <c r="R1625" s="2"/>
      <c r="S1625" s="1" t="str">
        <f t="shared" si="77"/>
        <v/>
      </c>
      <c r="T1625" s="1" t="str">
        <f>IF(OR($C1625="",$D1625&lt;&gt;"Gelir",$L1625=""),"",IFERROR(INDEX(MUSTERILER!$B$7:$B$156,MATCH($S1625,MUSTERILER!$T$7:$T$156,0)),""))</f>
        <v/>
      </c>
      <c r="U1625" s="1" t="str">
        <f>IF($T1625="","",$T1625&amp;"|"&amp;COUNTIFS($T$7:$T1625,$T1625))</f>
        <v/>
      </c>
      <c r="V1625" s="1">
        <f t="shared" si="78"/>
        <v>0</v>
      </c>
      <c r="W1625" s="1" t="str">
        <f t="shared" si="79"/>
        <v/>
      </c>
      <c r="X1625" s="1"/>
      <c r="Y1625" s="1"/>
      <c r="Z1625" s="1"/>
      <c r="AA1625" s="1"/>
      <c r="AB1625" s="1"/>
      <c r="AC1625" s="1"/>
      <c r="AD1625" s="1">
        <f>IF($C1625="",0,SUMPRODUCT((AY_SONU!$O$7:$O$42="Evet")*(AY_SONU!$B$7:$B$42=DATE(YEAR($C1625),MONTH($C1625),1))))</f>
        <v>0</v>
      </c>
      <c r="AE1625" s="1" t="str">
        <f>IF($E1625="","",$E1625&amp;"|"&amp;COUNTIFS($E$7:$E1625,$E1625))</f>
        <v/>
      </c>
    </row>
    <row r="1626" spans="1:31" ht="18" customHeight="1" x14ac:dyDescent="0.3">
      <c r="A1626" s="2"/>
      <c r="B1626" s="65" t="str">
        <f>IF($C1626="","","GG"&amp;TEXT(ROW()-6,"00000"))</f>
        <v/>
      </c>
      <c r="C1626" s="66"/>
      <c r="D1626" s="60"/>
      <c r="E1626" s="61"/>
      <c r="F1626" s="61"/>
      <c r="G1626" s="67"/>
      <c r="H1626" s="60"/>
      <c r="I1626" s="60"/>
      <c r="J1626" s="61"/>
      <c r="K1626" s="61"/>
      <c r="L1626" s="60"/>
      <c r="M1626" s="74" t="str">
        <f>IF($C1626="","",IF($D1626="Gider",$E1626,IF($L1626&lt;&gt;"",$L1626,$H1626)))</f>
        <v/>
      </c>
      <c r="N1626" s="74" t="str">
        <f>IF($C1626="","",IF($D1626="Gider",$H1626,$E1626))</f>
        <v/>
      </c>
      <c r="O1626" s="73" t="str">
        <f>IF($C1626="","",DATE(YEAR($C1626),MONTH($C1626),1))</f>
        <v/>
      </c>
      <c r="P1626" s="65" t="str">
        <f ca="1">IF($C1626="","",IF(AND($D1626="Gelir",$L1626&lt;&gt;"",$T1626=""),"TANIMSIZ BORÇLU",IF($T1626&lt;&gt;"",IF(OR($E1626="",$G1626&lt;=0),"EKSİK",IF($I1626="Evet","TAHAKKUK NAKİT OLAMAZ",IF($C1626&gt;TODAY(),"İLERİ TARİH","TAHAKKUK"))),IF(AND($D1626&lt;&gt;"",$E1626&lt;&gt;"",$G1626&gt;0,$H1626&lt;&gt;"",$I1626&lt;&gt;""),IF($C1626&gt;TODAY(),"İLERİ TARİH",IF(COUNTIF($W$7:$W$3001,$W1626)&gt;1,"MÜKERRER?",IF($AD1626&gt;0,"KAPALI DÖNEM",IF($I1626="Hayır","ÖDENECEK","UYGUN")))),"EKSİK"))))</f>
        <v/>
      </c>
      <c r="Q1626" s="2"/>
      <c r="R1626" s="2"/>
      <c r="S1626" s="1" t="str">
        <f t="shared" si="77"/>
        <v/>
      </c>
      <c r="T1626" s="1" t="str">
        <f>IF(OR($C1626="",$D1626&lt;&gt;"Gelir",$L1626=""),"",IFERROR(INDEX(MUSTERILER!$B$7:$B$156,MATCH($S1626,MUSTERILER!$T$7:$T$156,0)),""))</f>
        <v/>
      </c>
      <c r="U1626" s="1" t="str">
        <f>IF($T1626="","",$T1626&amp;"|"&amp;COUNTIFS($T$7:$T1626,$T1626))</f>
        <v/>
      </c>
      <c r="V1626" s="1">
        <f t="shared" si="78"/>
        <v>0</v>
      </c>
      <c r="W1626" s="1" t="str">
        <f t="shared" si="79"/>
        <v/>
      </c>
      <c r="X1626" s="1"/>
      <c r="Y1626" s="1"/>
      <c r="Z1626" s="1"/>
      <c r="AA1626" s="1"/>
      <c r="AB1626" s="1"/>
      <c r="AC1626" s="1"/>
      <c r="AD1626" s="1">
        <f>IF($C1626="",0,SUMPRODUCT((AY_SONU!$O$7:$O$42="Evet")*(AY_SONU!$B$7:$B$42=DATE(YEAR($C1626),MONTH($C1626),1))))</f>
        <v>0</v>
      </c>
      <c r="AE1626" s="1" t="str">
        <f>IF($E1626="","",$E1626&amp;"|"&amp;COUNTIFS($E$7:$E1626,$E1626))</f>
        <v/>
      </c>
    </row>
    <row r="1627" spans="1:31" ht="18" customHeight="1" x14ac:dyDescent="0.3">
      <c r="A1627" s="2"/>
      <c r="B1627" s="65" t="str">
        <f>IF($C1627="","","GG"&amp;TEXT(ROW()-6,"00000"))</f>
        <v/>
      </c>
      <c r="C1627" s="66"/>
      <c r="D1627" s="60"/>
      <c r="E1627" s="61"/>
      <c r="F1627" s="61"/>
      <c r="G1627" s="67"/>
      <c r="H1627" s="60"/>
      <c r="I1627" s="60"/>
      <c r="J1627" s="61"/>
      <c r="K1627" s="61"/>
      <c r="L1627" s="60"/>
      <c r="M1627" s="74" t="str">
        <f>IF($C1627="","",IF($D1627="Gider",$E1627,IF($L1627&lt;&gt;"",$L1627,$H1627)))</f>
        <v/>
      </c>
      <c r="N1627" s="74" t="str">
        <f>IF($C1627="","",IF($D1627="Gider",$H1627,$E1627))</f>
        <v/>
      </c>
      <c r="O1627" s="73" t="str">
        <f>IF($C1627="","",DATE(YEAR($C1627),MONTH($C1627),1))</f>
        <v/>
      </c>
      <c r="P1627" s="65" t="str">
        <f ca="1">IF($C1627="","",IF(AND($D1627="Gelir",$L1627&lt;&gt;"",$T1627=""),"TANIMSIZ BORÇLU",IF($T1627&lt;&gt;"",IF(OR($E1627="",$G1627&lt;=0),"EKSİK",IF($I1627="Evet","TAHAKKUK NAKİT OLAMAZ",IF($C1627&gt;TODAY(),"İLERİ TARİH","TAHAKKUK"))),IF(AND($D1627&lt;&gt;"",$E1627&lt;&gt;"",$G1627&gt;0,$H1627&lt;&gt;"",$I1627&lt;&gt;""),IF($C1627&gt;TODAY(),"İLERİ TARİH",IF(COUNTIF($W$7:$W$3001,$W1627)&gt;1,"MÜKERRER?",IF($AD1627&gt;0,"KAPALI DÖNEM",IF($I1627="Hayır","ÖDENECEK","UYGUN")))),"EKSİK"))))</f>
        <v/>
      </c>
      <c r="Q1627" s="2"/>
      <c r="R1627" s="2"/>
      <c r="S1627" s="1" t="str">
        <f t="shared" si="77"/>
        <v/>
      </c>
      <c r="T1627" s="1" t="str">
        <f>IF(OR($C1627="",$D1627&lt;&gt;"Gelir",$L1627=""),"",IFERROR(INDEX(MUSTERILER!$B$7:$B$156,MATCH($S1627,MUSTERILER!$T$7:$T$156,0)),""))</f>
        <v/>
      </c>
      <c r="U1627" s="1" t="str">
        <f>IF($T1627="","",$T1627&amp;"|"&amp;COUNTIFS($T$7:$T1627,$T1627))</f>
        <v/>
      </c>
      <c r="V1627" s="1">
        <f t="shared" si="78"/>
        <v>0</v>
      </c>
      <c r="W1627" s="1" t="str">
        <f t="shared" si="79"/>
        <v/>
      </c>
      <c r="X1627" s="1"/>
      <c r="Y1627" s="1"/>
      <c r="Z1627" s="1"/>
      <c r="AA1627" s="1"/>
      <c r="AB1627" s="1"/>
      <c r="AC1627" s="1"/>
      <c r="AD1627" s="1">
        <f>IF($C1627="",0,SUMPRODUCT((AY_SONU!$O$7:$O$42="Evet")*(AY_SONU!$B$7:$B$42=DATE(YEAR($C1627),MONTH($C1627),1))))</f>
        <v>0</v>
      </c>
      <c r="AE1627" s="1" t="str">
        <f>IF($E1627="","",$E1627&amp;"|"&amp;COUNTIFS($E$7:$E1627,$E1627))</f>
        <v/>
      </c>
    </row>
    <row r="1628" spans="1:31" ht="18" customHeight="1" x14ac:dyDescent="0.3">
      <c r="A1628" s="2"/>
      <c r="B1628" s="65" t="str">
        <f>IF($C1628="","","GG"&amp;TEXT(ROW()-6,"00000"))</f>
        <v/>
      </c>
      <c r="C1628" s="66"/>
      <c r="D1628" s="60"/>
      <c r="E1628" s="61"/>
      <c r="F1628" s="61"/>
      <c r="G1628" s="67"/>
      <c r="H1628" s="60"/>
      <c r="I1628" s="60"/>
      <c r="J1628" s="61"/>
      <c r="K1628" s="61"/>
      <c r="L1628" s="60"/>
      <c r="M1628" s="74" t="str">
        <f>IF($C1628="","",IF($D1628="Gider",$E1628,IF($L1628&lt;&gt;"",$L1628,$H1628)))</f>
        <v/>
      </c>
      <c r="N1628" s="74" t="str">
        <f>IF($C1628="","",IF($D1628="Gider",$H1628,$E1628))</f>
        <v/>
      </c>
      <c r="O1628" s="73" t="str">
        <f>IF($C1628="","",DATE(YEAR($C1628),MONTH($C1628),1))</f>
        <v/>
      </c>
      <c r="P1628" s="65" t="str">
        <f ca="1">IF($C1628="","",IF(AND($D1628="Gelir",$L1628&lt;&gt;"",$T1628=""),"TANIMSIZ BORÇLU",IF($T1628&lt;&gt;"",IF(OR($E1628="",$G1628&lt;=0),"EKSİK",IF($I1628="Evet","TAHAKKUK NAKİT OLAMAZ",IF($C1628&gt;TODAY(),"İLERİ TARİH","TAHAKKUK"))),IF(AND($D1628&lt;&gt;"",$E1628&lt;&gt;"",$G1628&gt;0,$H1628&lt;&gt;"",$I1628&lt;&gt;""),IF($C1628&gt;TODAY(),"İLERİ TARİH",IF(COUNTIF($W$7:$W$3001,$W1628)&gt;1,"MÜKERRER?",IF($AD1628&gt;0,"KAPALI DÖNEM",IF($I1628="Hayır","ÖDENECEK","UYGUN")))),"EKSİK"))))</f>
        <v/>
      </c>
      <c r="Q1628" s="2"/>
      <c r="R1628" s="2"/>
      <c r="S1628" s="1" t="str">
        <f t="shared" si="77"/>
        <v/>
      </c>
      <c r="T1628" s="1" t="str">
        <f>IF(OR($C1628="",$D1628&lt;&gt;"Gelir",$L1628=""),"",IFERROR(INDEX(MUSTERILER!$B$7:$B$156,MATCH($S1628,MUSTERILER!$T$7:$T$156,0)),""))</f>
        <v/>
      </c>
      <c r="U1628" s="1" t="str">
        <f>IF($T1628="","",$T1628&amp;"|"&amp;COUNTIFS($T$7:$T1628,$T1628))</f>
        <v/>
      </c>
      <c r="V1628" s="1">
        <f t="shared" si="78"/>
        <v>0</v>
      </c>
      <c r="W1628" s="1" t="str">
        <f t="shared" si="79"/>
        <v/>
      </c>
      <c r="X1628" s="1"/>
      <c r="Y1628" s="1"/>
      <c r="Z1628" s="1"/>
      <c r="AA1628" s="1"/>
      <c r="AB1628" s="1"/>
      <c r="AC1628" s="1"/>
      <c r="AD1628" s="1">
        <f>IF($C1628="",0,SUMPRODUCT((AY_SONU!$O$7:$O$42="Evet")*(AY_SONU!$B$7:$B$42=DATE(YEAR($C1628),MONTH($C1628),1))))</f>
        <v>0</v>
      </c>
      <c r="AE1628" s="1" t="str">
        <f>IF($E1628="","",$E1628&amp;"|"&amp;COUNTIFS($E$7:$E1628,$E1628))</f>
        <v/>
      </c>
    </row>
    <row r="1629" spans="1:31" ht="18" customHeight="1" x14ac:dyDescent="0.3">
      <c r="A1629" s="2"/>
      <c r="B1629" s="65" t="str">
        <f>IF($C1629="","","GG"&amp;TEXT(ROW()-6,"00000"))</f>
        <v/>
      </c>
      <c r="C1629" s="66"/>
      <c r="D1629" s="60"/>
      <c r="E1629" s="61"/>
      <c r="F1629" s="61"/>
      <c r="G1629" s="67"/>
      <c r="H1629" s="60"/>
      <c r="I1629" s="60"/>
      <c r="J1629" s="61"/>
      <c r="K1629" s="61"/>
      <c r="L1629" s="60"/>
      <c r="M1629" s="74" t="str">
        <f>IF($C1629="","",IF($D1629="Gider",$E1629,IF($L1629&lt;&gt;"",$L1629,$H1629)))</f>
        <v/>
      </c>
      <c r="N1629" s="74" t="str">
        <f>IF($C1629="","",IF($D1629="Gider",$H1629,$E1629))</f>
        <v/>
      </c>
      <c r="O1629" s="73" t="str">
        <f>IF($C1629="","",DATE(YEAR($C1629),MONTH($C1629),1))</f>
        <v/>
      </c>
      <c r="P1629" s="65" t="str">
        <f ca="1">IF($C1629="","",IF(AND($D1629="Gelir",$L1629&lt;&gt;"",$T1629=""),"TANIMSIZ BORÇLU",IF($T1629&lt;&gt;"",IF(OR($E1629="",$G1629&lt;=0),"EKSİK",IF($I1629="Evet","TAHAKKUK NAKİT OLAMAZ",IF($C1629&gt;TODAY(),"İLERİ TARİH","TAHAKKUK"))),IF(AND($D1629&lt;&gt;"",$E1629&lt;&gt;"",$G1629&gt;0,$H1629&lt;&gt;"",$I1629&lt;&gt;""),IF($C1629&gt;TODAY(),"İLERİ TARİH",IF(COUNTIF($W$7:$W$3001,$W1629)&gt;1,"MÜKERRER?",IF($AD1629&gt;0,"KAPALI DÖNEM",IF($I1629="Hayır","ÖDENECEK","UYGUN")))),"EKSİK"))))</f>
        <v/>
      </c>
      <c r="Q1629" s="2"/>
      <c r="R1629" s="2"/>
      <c r="S1629" s="1" t="str">
        <f t="shared" si="77"/>
        <v/>
      </c>
      <c r="T1629" s="1" t="str">
        <f>IF(OR($C1629="",$D1629&lt;&gt;"Gelir",$L1629=""),"",IFERROR(INDEX(MUSTERILER!$B$7:$B$156,MATCH($S1629,MUSTERILER!$T$7:$T$156,0)),""))</f>
        <v/>
      </c>
      <c r="U1629" s="1" t="str">
        <f>IF($T1629="","",$T1629&amp;"|"&amp;COUNTIFS($T$7:$T1629,$T1629))</f>
        <v/>
      </c>
      <c r="V1629" s="1">
        <f t="shared" si="78"/>
        <v>0</v>
      </c>
      <c r="W1629" s="1" t="str">
        <f t="shared" si="79"/>
        <v/>
      </c>
      <c r="X1629" s="1"/>
      <c r="Y1629" s="1"/>
      <c r="Z1629" s="1"/>
      <c r="AA1629" s="1"/>
      <c r="AB1629" s="1"/>
      <c r="AC1629" s="1"/>
      <c r="AD1629" s="1">
        <f>IF($C1629="",0,SUMPRODUCT((AY_SONU!$O$7:$O$42="Evet")*(AY_SONU!$B$7:$B$42=DATE(YEAR($C1629),MONTH($C1629),1))))</f>
        <v>0</v>
      </c>
      <c r="AE1629" s="1" t="str">
        <f>IF($E1629="","",$E1629&amp;"|"&amp;COUNTIFS($E$7:$E1629,$E1629))</f>
        <v/>
      </c>
    </row>
    <row r="1630" spans="1:31" ht="18" customHeight="1" x14ac:dyDescent="0.3">
      <c r="A1630" s="2"/>
      <c r="B1630" s="65" t="str">
        <f>IF($C1630="","","GG"&amp;TEXT(ROW()-6,"00000"))</f>
        <v/>
      </c>
      <c r="C1630" s="66"/>
      <c r="D1630" s="60"/>
      <c r="E1630" s="61"/>
      <c r="F1630" s="61"/>
      <c r="G1630" s="67"/>
      <c r="H1630" s="60"/>
      <c r="I1630" s="60"/>
      <c r="J1630" s="61"/>
      <c r="K1630" s="61"/>
      <c r="L1630" s="60"/>
      <c r="M1630" s="74" t="str">
        <f>IF($C1630="","",IF($D1630="Gider",$E1630,IF($L1630&lt;&gt;"",$L1630,$H1630)))</f>
        <v/>
      </c>
      <c r="N1630" s="74" t="str">
        <f>IF($C1630="","",IF($D1630="Gider",$H1630,$E1630))</f>
        <v/>
      </c>
      <c r="O1630" s="73" t="str">
        <f>IF($C1630="","",DATE(YEAR($C1630),MONTH($C1630),1))</f>
        <v/>
      </c>
      <c r="P1630" s="65" t="str">
        <f ca="1">IF($C1630="","",IF(AND($D1630="Gelir",$L1630&lt;&gt;"",$T1630=""),"TANIMSIZ BORÇLU",IF($T1630&lt;&gt;"",IF(OR($E1630="",$G1630&lt;=0),"EKSİK",IF($I1630="Evet","TAHAKKUK NAKİT OLAMAZ",IF($C1630&gt;TODAY(),"İLERİ TARİH","TAHAKKUK"))),IF(AND($D1630&lt;&gt;"",$E1630&lt;&gt;"",$G1630&gt;0,$H1630&lt;&gt;"",$I1630&lt;&gt;""),IF($C1630&gt;TODAY(),"İLERİ TARİH",IF(COUNTIF($W$7:$W$3001,$W1630)&gt;1,"MÜKERRER?",IF($AD1630&gt;0,"KAPALI DÖNEM",IF($I1630="Hayır","ÖDENECEK","UYGUN")))),"EKSİK"))))</f>
        <v/>
      </c>
      <c r="Q1630" s="2"/>
      <c r="R1630" s="2"/>
      <c r="S1630" s="1" t="str">
        <f t="shared" si="77"/>
        <v/>
      </c>
      <c r="T1630" s="1" t="str">
        <f>IF(OR($C1630="",$D1630&lt;&gt;"Gelir",$L1630=""),"",IFERROR(INDEX(MUSTERILER!$B$7:$B$156,MATCH($S1630,MUSTERILER!$T$7:$T$156,0)),""))</f>
        <v/>
      </c>
      <c r="U1630" s="1" t="str">
        <f>IF($T1630="","",$T1630&amp;"|"&amp;COUNTIFS($T$7:$T1630,$T1630))</f>
        <v/>
      </c>
      <c r="V1630" s="1">
        <f t="shared" si="78"/>
        <v>0</v>
      </c>
      <c r="W1630" s="1" t="str">
        <f t="shared" si="79"/>
        <v/>
      </c>
      <c r="X1630" s="1"/>
      <c r="Y1630" s="1"/>
      <c r="Z1630" s="1"/>
      <c r="AA1630" s="1"/>
      <c r="AB1630" s="1"/>
      <c r="AC1630" s="1"/>
      <c r="AD1630" s="1">
        <f>IF($C1630="",0,SUMPRODUCT((AY_SONU!$O$7:$O$42="Evet")*(AY_SONU!$B$7:$B$42=DATE(YEAR($C1630),MONTH($C1630),1))))</f>
        <v>0</v>
      </c>
      <c r="AE1630" s="1" t="str">
        <f>IF($E1630="","",$E1630&amp;"|"&amp;COUNTIFS($E$7:$E1630,$E1630))</f>
        <v/>
      </c>
    </row>
    <row r="1631" spans="1:31" ht="18" customHeight="1" x14ac:dyDescent="0.3">
      <c r="A1631" s="2"/>
      <c r="B1631" s="65" t="str">
        <f>IF($C1631="","","GG"&amp;TEXT(ROW()-6,"00000"))</f>
        <v/>
      </c>
      <c r="C1631" s="66"/>
      <c r="D1631" s="60"/>
      <c r="E1631" s="61"/>
      <c r="F1631" s="61"/>
      <c r="G1631" s="67"/>
      <c r="H1631" s="60"/>
      <c r="I1631" s="60"/>
      <c r="J1631" s="61"/>
      <c r="K1631" s="61"/>
      <c r="L1631" s="60"/>
      <c r="M1631" s="74" t="str">
        <f>IF($C1631="","",IF($D1631="Gider",$E1631,IF($L1631&lt;&gt;"",$L1631,$H1631)))</f>
        <v/>
      </c>
      <c r="N1631" s="74" t="str">
        <f>IF($C1631="","",IF($D1631="Gider",$H1631,$E1631))</f>
        <v/>
      </c>
      <c r="O1631" s="73" t="str">
        <f>IF($C1631="","",DATE(YEAR($C1631),MONTH($C1631),1))</f>
        <v/>
      </c>
      <c r="P1631" s="65" t="str">
        <f ca="1">IF($C1631="","",IF(AND($D1631="Gelir",$L1631&lt;&gt;"",$T1631=""),"TANIMSIZ BORÇLU",IF($T1631&lt;&gt;"",IF(OR($E1631="",$G1631&lt;=0),"EKSİK",IF($I1631="Evet","TAHAKKUK NAKİT OLAMAZ",IF($C1631&gt;TODAY(),"İLERİ TARİH","TAHAKKUK"))),IF(AND($D1631&lt;&gt;"",$E1631&lt;&gt;"",$G1631&gt;0,$H1631&lt;&gt;"",$I1631&lt;&gt;""),IF($C1631&gt;TODAY(),"İLERİ TARİH",IF(COUNTIF($W$7:$W$3001,$W1631)&gt;1,"MÜKERRER?",IF($AD1631&gt;0,"KAPALI DÖNEM",IF($I1631="Hayır","ÖDENECEK","UYGUN")))),"EKSİK"))))</f>
        <v/>
      </c>
      <c r="Q1631" s="2"/>
      <c r="R1631" s="2"/>
      <c r="S1631" s="1" t="str">
        <f t="shared" si="77"/>
        <v/>
      </c>
      <c r="T1631" s="1" t="str">
        <f>IF(OR($C1631="",$D1631&lt;&gt;"Gelir",$L1631=""),"",IFERROR(INDEX(MUSTERILER!$B$7:$B$156,MATCH($S1631,MUSTERILER!$T$7:$T$156,0)),""))</f>
        <v/>
      </c>
      <c r="U1631" s="1" t="str">
        <f>IF($T1631="","",$T1631&amp;"|"&amp;COUNTIFS($T$7:$T1631,$T1631))</f>
        <v/>
      </c>
      <c r="V1631" s="1">
        <f t="shared" si="78"/>
        <v>0</v>
      </c>
      <c r="W1631" s="1" t="str">
        <f t="shared" si="79"/>
        <v/>
      </c>
      <c r="X1631" s="1"/>
      <c r="Y1631" s="1"/>
      <c r="Z1631" s="1"/>
      <c r="AA1631" s="1"/>
      <c r="AB1631" s="1"/>
      <c r="AC1631" s="1"/>
      <c r="AD1631" s="1">
        <f>IF($C1631="",0,SUMPRODUCT((AY_SONU!$O$7:$O$42="Evet")*(AY_SONU!$B$7:$B$42=DATE(YEAR($C1631),MONTH($C1631),1))))</f>
        <v>0</v>
      </c>
      <c r="AE1631" s="1" t="str">
        <f>IF($E1631="","",$E1631&amp;"|"&amp;COUNTIFS($E$7:$E1631,$E1631))</f>
        <v/>
      </c>
    </row>
    <row r="1632" spans="1:31" ht="18" customHeight="1" x14ac:dyDescent="0.3">
      <c r="A1632" s="2"/>
      <c r="B1632" s="65" t="str">
        <f>IF($C1632="","","GG"&amp;TEXT(ROW()-6,"00000"))</f>
        <v/>
      </c>
      <c r="C1632" s="66"/>
      <c r="D1632" s="60"/>
      <c r="E1632" s="61"/>
      <c r="F1632" s="61"/>
      <c r="G1632" s="67"/>
      <c r="H1632" s="60"/>
      <c r="I1632" s="60"/>
      <c r="J1632" s="61"/>
      <c r="K1632" s="61"/>
      <c r="L1632" s="60"/>
      <c r="M1632" s="74" t="str">
        <f>IF($C1632="","",IF($D1632="Gider",$E1632,IF($L1632&lt;&gt;"",$L1632,$H1632)))</f>
        <v/>
      </c>
      <c r="N1632" s="74" t="str">
        <f>IF($C1632="","",IF($D1632="Gider",$H1632,$E1632))</f>
        <v/>
      </c>
      <c r="O1632" s="73" t="str">
        <f>IF($C1632="","",DATE(YEAR($C1632),MONTH($C1632),1))</f>
        <v/>
      </c>
      <c r="P1632" s="65" t="str">
        <f ca="1">IF($C1632="","",IF(AND($D1632="Gelir",$L1632&lt;&gt;"",$T1632=""),"TANIMSIZ BORÇLU",IF($T1632&lt;&gt;"",IF(OR($E1632="",$G1632&lt;=0),"EKSİK",IF($I1632="Evet","TAHAKKUK NAKİT OLAMAZ",IF($C1632&gt;TODAY(),"İLERİ TARİH","TAHAKKUK"))),IF(AND($D1632&lt;&gt;"",$E1632&lt;&gt;"",$G1632&gt;0,$H1632&lt;&gt;"",$I1632&lt;&gt;""),IF($C1632&gt;TODAY(),"İLERİ TARİH",IF(COUNTIF($W$7:$W$3001,$W1632)&gt;1,"MÜKERRER?",IF($AD1632&gt;0,"KAPALI DÖNEM",IF($I1632="Hayır","ÖDENECEK","UYGUN")))),"EKSİK"))))</f>
        <v/>
      </c>
      <c r="Q1632" s="2"/>
      <c r="R1632" s="2"/>
      <c r="S1632" s="1" t="str">
        <f t="shared" si="77"/>
        <v/>
      </c>
      <c r="T1632" s="1" t="str">
        <f>IF(OR($C1632="",$D1632&lt;&gt;"Gelir",$L1632=""),"",IFERROR(INDEX(MUSTERILER!$B$7:$B$156,MATCH($S1632,MUSTERILER!$T$7:$T$156,0)),""))</f>
        <v/>
      </c>
      <c r="U1632" s="1" t="str">
        <f>IF($T1632="","",$T1632&amp;"|"&amp;COUNTIFS($T$7:$T1632,$T1632))</f>
        <v/>
      </c>
      <c r="V1632" s="1">
        <f t="shared" si="78"/>
        <v>0</v>
      </c>
      <c r="W1632" s="1" t="str">
        <f t="shared" si="79"/>
        <v/>
      </c>
      <c r="X1632" s="1"/>
      <c r="Y1632" s="1"/>
      <c r="Z1632" s="1"/>
      <c r="AA1632" s="1"/>
      <c r="AB1632" s="1"/>
      <c r="AC1632" s="1"/>
      <c r="AD1632" s="1">
        <f>IF($C1632="",0,SUMPRODUCT((AY_SONU!$O$7:$O$42="Evet")*(AY_SONU!$B$7:$B$42=DATE(YEAR($C1632),MONTH($C1632),1))))</f>
        <v>0</v>
      </c>
      <c r="AE1632" s="1" t="str">
        <f>IF($E1632="","",$E1632&amp;"|"&amp;COUNTIFS($E$7:$E1632,$E1632))</f>
        <v/>
      </c>
    </row>
    <row r="1633" spans="1:31" ht="18" customHeight="1" x14ac:dyDescent="0.3">
      <c r="A1633" s="2"/>
      <c r="B1633" s="65" t="str">
        <f>IF($C1633="","","GG"&amp;TEXT(ROW()-6,"00000"))</f>
        <v/>
      </c>
      <c r="C1633" s="66"/>
      <c r="D1633" s="60"/>
      <c r="E1633" s="61"/>
      <c r="F1633" s="61"/>
      <c r="G1633" s="67"/>
      <c r="H1633" s="60"/>
      <c r="I1633" s="60"/>
      <c r="J1633" s="61"/>
      <c r="K1633" s="61"/>
      <c r="L1633" s="60"/>
      <c r="M1633" s="74" t="str">
        <f>IF($C1633="","",IF($D1633="Gider",$E1633,IF($L1633&lt;&gt;"",$L1633,$H1633)))</f>
        <v/>
      </c>
      <c r="N1633" s="74" t="str">
        <f>IF($C1633="","",IF($D1633="Gider",$H1633,$E1633))</f>
        <v/>
      </c>
      <c r="O1633" s="73" t="str">
        <f>IF($C1633="","",DATE(YEAR($C1633),MONTH($C1633),1))</f>
        <v/>
      </c>
      <c r="P1633" s="65" t="str">
        <f ca="1">IF($C1633="","",IF(AND($D1633="Gelir",$L1633&lt;&gt;"",$T1633=""),"TANIMSIZ BORÇLU",IF($T1633&lt;&gt;"",IF(OR($E1633="",$G1633&lt;=0),"EKSİK",IF($I1633="Evet","TAHAKKUK NAKİT OLAMAZ",IF($C1633&gt;TODAY(),"İLERİ TARİH","TAHAKKUK"))),IF(AND($D1633&lt;&gt;"",$E1633&lt;&gt;"",$G1633&gt;0,$H1633&lt;&gt;"",$I1633&lt;&gt;""),IF($C1633&gt;TODAY(),"İLERİ TARİH",IF(COUNTIF($W$7:$W$3001,$W1633)&gt;1,"MÜKERRER?",IF($AD1633&gt;0,"KAPALI DÖNEM",IF($I1633="Hayır","ÖDENECEK","UYGUN")))),"EKSİK"))))</f>
        <v/>
      </c>
      <c r="Q1633" s="2"/>
      <c r="R1633" s="2"/>
      <c r="S1633" s="1" t="str">
        <f t="shared" si="77"/>
        <v/>
      </c>
      <c r="T1633" s="1" t="str">
        <f>IF(OR($C1633="",$D1633&lt;&gt;"Gelir",$L1633=""),"",IFERROR(INDEX(MUSTERILER!$B$7:$B$156,MATCH($S1633,MUSTERILER!$T$7:$T$156,0)),""))</f>
        <v/>
      </c>
      <c r="U1633" s="1" t="str">
        <f>IF($T1633="","",$T1633&amp;"|"&amp;COUNTIFS($T$7:$T1633,$T1633))</f>
        <v/>
      </c>
      <c r="V1633" s="1">
        <f t="shared" si="78"/>
        <v>0</v>
      </c>
      <c r="W1633" s="1" t="str">
        <f t="shared" si="79"/>
        <v/>
      </c>
      <c r="X1633" s="1"/>
      <c r="Y1633" s="1"/>
      <c r="Z1633" s="1"/>
      <c r="AA1633" s="1"/>
      <c r="AB1633" s="1"/>
      <c r="AC1633" s="1"/>
      <c r="AD1633" s="1">
        <f>IF($C1633="",0,SUMPRODUCT((AY_SONU!$O$7:$O$42="Evet")*(AY_SONU!$B$7:$B$42=DATE(YEAR($C1633),MONTH($C1633),1))))</f>
        <v>0</v>
      </c>
      <c r="AE1633" s="1" t="str">
        <f>IF($E1633="","",$E1633&amp;"|"&amp;COUNTIFS($E$7:$E1633,$E1633))</f>
        <v/>
      </c>
    </row>
    <row r="1634" spans="1:31" ht="18" customHeight="1" x14ac:dyDescent="0.3">
      <c r="A1634" s="2"/>
      <c r="B1634" s="65" t="str">
        <f>IF($C1634="","","GG"&amp;TEXT(ROW()-6,"00000"))</f>
        <v/>
      </c>
      <c r="C1634" s="66"/>
      <c r="D1634" s="60"/>
      <c r="E1634" s="61"/>
      <c r="F1634" s="61"/>
      <c r="G1634" s="67"/>
      <c r="H1634" s="60"/>
      <c r="I1634" s="60"/>
      <c r="J1634" s="61"/>
      <c r="K1634" s="61"/>
      <c r="L1634" s="60"/>
      <c r="M1634" s="74" t="str">
        <f>IF($C1634="","",IF($D1634="Gider",$E1634,IF($L1634&lt;&gt;"",$L1634,$H1634)))</f>
        <v/>
      </c>
      <c r="N1634" s="74" t="str">
        <f>IF($C1634="","",IF($D1634="Gider",$H1634,$E1634))</f>
        <v/>
      </c>
      <c r="O1634" s="73" t="str">
        <f>IF($C1634="","",DATE(YEAR($C1634),MONTH($C1634),1))</f>
        <v/>
      </c>
      <c r="P1634" s="65" t="str">
        <f ca="1">IF($C1634="","",IF(AND($D1634="Gelir",$L1634&lt;&gt;"",$T1634=""),"TANIMSIZ BORÇLU",IF($T1634&lt;&gt;"",IF(OR($E1634="",$G1634&lt;=0),"EKSİK",IF($I1634="Evet","TAHAKKUK NAKİT OLAMAZ",IF($C1634&gt;TODAY(),"İLERİ TARİH","TAHAKKUK"))),IF(AND($D1634&lt;&gt;"",$E1634&lt;&gt;"",$G1634&gt;0,$H1634&lt;&gt;"",$I1634&lt;&gt;""),IF($C1634&gt;TODAY(),"İLERİ TARİH",IF(COUNTIF($W$7:$W$3001,$W1634)&gt;1,"MÜKERRER?",IF($AD1634&gt;0,"KAPALI DÖNEM",IF($I1634="Hayır","ÖDENECEK","UYGUN")))),"EKSİK"))))</f>
        <v/>
      </c>
      <c r="Q1634" s="2"/>
      <c r="R1634" s="2"/>
      <c r="S1634" s="1" t="str">
        <f t="shared" si="77"/>
        <v/>
      </c>
      <c r="T1634" s="1" t="str">
        <f>IF(OR($C1634="",$D1634&lt;&gt;"Gelir",$L1634=""),"",IFERROR(INDEX(MUSTERILER!$B$7:$B$156,MATCH($S1634,MUSTERILER!$T$7:$T$156,0)),""))</f>
        <v/>
      </c>
      <c r="U1634" s="1" t="str">
        <f>IF($T1634="","",$T1634&amp;"|"&amp;COUNTIFS($T$7:$T1634,$T1634))</f>
        <v/>
      </c>
      <c r="V1634" s="1">
        <f t="shared" si="78"/>
        <v>0</v>
      </c>
      <c r="W1634" s="1" t="str">
        <f t="shared" si="79"/>
        <v/>
      </c>
      <c r="X1634" s="1"/>
      <c r="Y1634" s="1"/>
      <c r="Z1634" s="1"/>
      <c r="AA1634" s="1"/>
      <c r="AB1634" s="1"/>
      <c r="AC1634" s="1"/>
      <c r="AD1634" s="1">
        <f>IF($C1634="",0,SUMPRODUCT((AY_SONU!$O$7:$O$42="Evet")*(AY_SONU!$B$7:$B$42=DATE(YEAR($C1634),MONTH($C1634),1))))</f>
        <v>0</v>
      </c>
      <c r="AE1634" s="1" t="str">
        <f>IF($E1634="","",$E1634&amp;"|"&amp;COUNTIFS($E$7:$E1634,$E1634))</f>
        <v/>
      </c>
    </row>
    <row r="1635" spans="1:31" ht="18" customHeight="1" x14ac:dyDescent="0.3">
      <c r="A1635" s="2"/>
      <c r="B1635" s="65" t="str">
        <f>IF($C1635="","","GG"&amp;TEXT(ROW()-6,"00000"))</f>
        <v/>
      </c>
      <c r="C1635" s="66"/>
      <c r="D1635" s="60"/>
      <c r="E1635" s="61"/>
      <c r="F1635" s="61"/>
      <c r="G1635" s="67"/>
      <c r="H1635" s="60"/>
      <c r="I1635" s="60"/>
      <c r="J1635" s="61"/>
      <c r="K1635" s="61"/>
      <c r="L1635" s="60"/>
      <c r="M1635" s="74" t="str">
        <f>IF($C1635="","",IF($D1635="Gider",$E1635,IF($L1635&lt;&gt;"",$L1635,$H1635)))</f>
        <v/>
      </c>
      <c r="N1635" s="74" t="str">
        <f>IF($C1635="","",IF($D1635="Gider",$H1635,$E1635))</f>
        <v/>
      </c>
      <c r="O1635" s="73" t="str">
        <f>IF($C1635="","",DATE(YEAR($C1635),MONTH($C1635),1))</f>
        <v/>
      </c>
      <c r="P1635" s="65" t="str">
        <f ca="1">IF($C1635="","",IF(AND($D1635="Gelir",$L1635&lt;&gt;"",$T1635=""),"TANIMSIZ BORÇLU",IF($T1635&lt;&gt;"",IF(OR($E1635="",$G1635&lt;=0),"EKSİK",IF($I1635="Evet","TAHAKKUK NAKİT OLAMAZ",IF($C1635&gt;TODAY(),"İLERİ TARİH","TAHAKKUK"))),IF(AND($D1635&lt;&gt;"",$E1635&lt;&gt;"",$G1635&gt;0,$H1635&lt;&gt;"",$I1635&lt;&gt;""),IF($C1635&gt;TODAY(),"İLERİ TARİH",IF(COUNTIF($W$7:$W$3001,$W1635)&gt;1,"MÜKERRER?",IF($AD1635&gt;0,"KAPALI DÖNEM",IF($I1635="Hayır","ÖDENECEK","UYGUN")))),"EKSİK"))))</f>
        <v/>
      </c>
      <c r="Q1635" s="2"/>
      <c r="R1635" s="2"/>
      <c r="S1635" s="1" t="str">
        <f t="shared" si="77"/>
        <v/>
      </c>
      <c r="T1635" s="1" t="str">
        <f>IF(OR($C1635="",$D1635&lt;&gt;"Gelir",$L1635=""),"",IFERROR(INDEX(MUSTERILER!$B$7:$B$156,MATCH($S1635,MUSTERILER!$T$7:$T$156,0)),""))</f>
        <v/>
      </c>
      <c r="U1635" s="1" t="str">
        <f>IF($T1635="","",$T1635&amp;"|"&amp;COUNTIFS($T$7:$T1635,$T1635))</f>
        <v/>
      </c>
      <c r="V1635" s="1">
        <f t="shared" si="78"/>
        <v>0</v>
      </c>
      <c r="W1635" s="1" t="str">
        <f t="shared" si="79"/>
        <v/>
      </c>
      <c r="X1635" s="1"/>
      <c r="Y1635" s="1"/>
      <c r="Z1635" s="1"/>
      <c r="AA1635" s="1"/>
      <c r="AB1635" s="1"/>
      <c r="AC1635" s="1"/>
      <c r="AD1635" s="1">
        <f>IF($C1635="",0,SUMPRODUCT((AY_SONU!$O$7:$O$42="Evet")*(AY_SONU!$B$7:$B$42=DATE(YEAR($C1635),MONTH($C1635),1))))</f>
        <v>0</v>
      </c>
      <c r="AE1635" s="1" t="str">
        <f>IF($E1635="","",$E1635&amp;"|"&amp;COUNTIFS($E$7:$E1635,$E1635))</f>
        <v/>
      </c>
    </row>
    <row r="1636" spans="1:31" ht="18" customHeight="1" x14ac:dyDescent="0.3">
      <c r="A1636" s="2"/>
      <c r="B1636" s="65" t="str">
        <f>IF($C1636="","","GG"&amp;TEXT(ROW()-6,"00000"))</f>
        <v/>
      </c>
      <c r="C1636" s="66"/>
      <c r="D1636" s="60"/>
      <c r="E1636" s="61"/>
      <c r="F1636" s="61"/>
      <c r="G1636" s="67"/>
      <c r="H1636" s="60"/>
      <c r="I1636" s="60"/>
      <c r="J1636" s="61"/>
      <c r="K1636" s="61"/>
      <c r="L1636" s="60"/>
      <c r="M1636" s="74" t="str">
        <f>IF($C1636="","",IF($D1636="Gider",$E1636,IF($L1636&lt;&gt;"",$L1636,$H1636)))</f>
        <v/>
      </c>
      <c r="N1636" s="74" t="str">
        <f>IF($C1636="","",IF($D1636="Gider",$H1636,$E1636))</f>
        <v/>
      </c>
      <c r="O1636" s="73" t="str">
        <f>IF($C1636="","",DATE(YEAR($C1636),MONTH($C1636),1))</f>
        <v/>
      </c>
      <c r="P1636" s="65" t="str">
        <f ca="1">IF($C1636="","",IF(AND($D1636="Gelir",$L1636&lt;&gt;"",$T1636=""),"TANIMSIZ BORÇLU",IF($T1636&lt;&gt;"",IF(OR($E1636="",$G1636&lt;=0),"EKSİK",IF($I1636="Evet","TAHAKKUK NAKİT OLAMAZ",IF($C1636&gt;TODAY(),"İLERİ TARİH","TAHAKKUK"))),IF(AND($D1636&lt;&gt;"",$E1636&lt;&gt;"",$G1636&gt;0,$H1636&lt;&gt;"",$I1636&lt;&gt;""),IF($C1636&gt;TODAY(),"İLERİ TARİH",IF(COUNTIF($W$7:$W$3001,$W1636)&gt;1,"MÜKERRER?",IF($AD1636&gt;0,"KAPALI DÖNEM",IF($I1636="Hayır","ÖDENECEK","UYGUN")))),"EKSİK"))))</f>
        <v/>
      </c>
      <c r="Q1636" s="2"/>
      <c r="R1636" s="2"/>
      <c r="S1636" s="1" t="str">
        <f t="shared" si="77"/>
        <v/>
      </c>
      <c r="T1636" s="1" t="str">
        <f>IF(OR($C1636="",$D1636&lt;&gt;"Gelir",$L1636=""),"",IFERROR(INDEX(MUSTERILER!$B$7:$B$156,MATCH($S1636,MUSTERILER!$T$7:$T$156,0)),""))</f>
        <v/>
      </c>
      <c r="U1636" s="1" t="str">
        <f>IF($T1636="","",$T1636&amp;"|"&amp;COUNTIFS($T$7:$T1636,$T1636))</f>
        <v/>
      </c>
      <c r="V1636" s="1">
        <f t="shared" si="78"/>
        <v>0</v>
      </c>
      <c r="W1636" s="1" t="str">
        <f t="shared" si="79"/>
        <v/>
      </c>
      <c r="X1636" s="1"/>
      <c r="Y1636" s="1"/>
      <c r="Z1636" s="1"/>
      <c r="AA1636" s="1"/>
      <c r="AB1636" s="1"/>
      <c r="AC1636" s="1"/>
      <c r="AD1636" s="1">
        <f>IF($C1636="",0,SUMPRODUCT((AY_SONU!$O$7:$O$42="Evet")*(AY_SONU!$B$7:$B$42=DATE(YEAR($C1636),MONTH($C1636),1))))</f>
        <v>0</v>
      </c>
      <c r="AE1636" s="1" t="str">
        <f>IF($E1636="","",$E1636&amp;"|"&amp;COUNTIFS($E$7:$E1636,$E1636))</f>
        <v/>
      </c>
    </row>
    <row r="1637" spans="1:31" ht="18" customHeight="1" x14ac:dyDescent="0.3">
      <c r="A1637" s="2"/>
      <c r="B1637" s="65" t="str">
        <f>IF($C1637="","","GG"&amp;TEXT(ROW()-6,"00000"))</f>
        <v/>
      </c>
      <c r="C1637" s="66"/>
      <c r="D1637" s="60"/>
      <c r="E1637" s="61"/>
      <c r="F1637" s="61"/>
      <c r="G1637" s="67"/>
      <c r="H1637" s="60"/>
      <c r="I1637" s="60"/>
      <c r="J1637" s="61"/>
      <c r="K1637" s="61"/>
      <c r="L1637" s="60"/>
      <c r="M1637" s="74" t="str">
        <f>IF($C1637="","",IF($D1637="Gider",$E1637,IF($L1637&lt;&gt;"",$L1637,$H1637)))</f>
        <v/>
      </c>
      <c r="N1637" s="74" t="str">
        <f>IF($C1637="","",IF($D1637="Gider",$H1637,$E1637))</f>
        <v/>
      </c>
      <c r="O1637" s="73" t="str">
        <f>IF($C1637="","",DATE(YEAR($C1637),MONTH($C1637),1))</f>
        <v/>
      </c>
      <c r="P1637" s="65" t="str">
        <f ca="1">IF($C1637="","",IF(AND($D1637="Gelir",$L1637&lt;&gt;"",$T1637=""),"TANIMSIZ BORÇLU",IF($T1637&lt;&gt;"",IF(OR($E1637="",$G1637&lt;=0),"EKSİK",IF($I1637="Evet","TAHAKKUK NAKİT OLAMAZ",IF($C1637&gt;TODAY(),"İLERİ TARİH","TAHAKKUK"))),IF(AND($D1637&lt;&gt;"",$E1637&lt;&gt;"",$G1637&gt;0,$H1637&lt;&gt;"",$I1637&lt;&gt;""),IF($C1637&gt;TODAY(),"İLERİ TARİH",IF(COUNTIF($W$7:$W$3001,$W1637)&gt;1,"MÜKERRER?",IF($AD1637&gt;0,"KAPALI DÖNEM",IF($I1637="Hayır","ÖDENECEK","UYGUN")))),"EKSİK"))))</f>
        <v/>
      </c>
      <c r="Q1637" s="2"/>
      <c r="R1637" s="2"/>
      <c r="S1637" s="1" t="str">
        <f t="shared" si="77"/>
        <v/>
      </c>
      <c r="T1637" s="1" t="str">
        <f>IF(OR($C1637="",$D1637&lt;&gt;"Gelir",$L1637=""),"",IFERROR(INDEX(MUSTERILER!$B$7:$B$156,MATCH($S1637,MUSTERILER!$T$7:$T$156,0)),""))</f>
        <v/>
      </c>
      <c r="U1637" s="1" t="str">
        <f>IF($T1637="","",$T1637&amp;"|"&amp;COUNTIFS($T$7:$T1637,$T1637))</f>
        <v/>
      </c>
      <c r="V1637" s="1">
        <f t="shared" si="78"/>
        <v>0</v>
      </c>
      <c r="W1637" s="1" t="str">
        <f t="shared" si="79"/>
        <v/>
      </c>
      <c r="X1637" s="1"/>
      <c r="Y1637" s="1"/>
      <c r="Z1637" s="1"/>
      <c r="AA1637" s="1"/>
      <c r="AB1637" s="1"/>
      <c r="AC1637" s="1"/>
      <c r="AD1637" s="1">
        <f>IF($C1637="",0,SUMPRODUCT((AY_SONU!$O$7:$O$42="Evet")*(AY_SONU!$B$7:$B$42=DATE(YEAR($C1637),MONTH($C1637),1))))</f>
        <v>0</v>
      </c>
      <c r="AE1637" s="1" t="str">
        <f>IF($E1637="","",$E1637&amp;"|"&amp;COUNTIFS($E$7:$E1637,$E1637))</f>
        <v/>
      </c>
    </row>
    <row r="1638" spans="1:31" ht="18" customHeight="1" x14ac:dyDescent="0.3">
      <c r="A1638" s="2"/>
      <c r="B1638" s="65" t="str">
        <f>IF($C1638="","","GG"&amp;TEXT(ROW()-6,"00000"))</f>
        <v/>
      </c>
      <c r="C1638" s="66"/>
      <c r="D1638" s="60"/>
      <c r="E1638" s="61"/>
      <c r="F1638" s="61"/>
      <c r="G1638" s="67"/>
      <c r="H1638" s="60"/>
      <c r="I1638" s="60"/>
      <c r="J1638" s="61"/>
      <c r="K1638" s="61"/>
      <c r="L1638" s="60"/>
      <c r="M1638" s="74" t="str">
        <f>IF($C1638="","",IF($D1638="Gider",$E1638,IF($L1638&lt;&gt;"",$L1638,$H1638)))</f>
        <v/>
      </c>
      <c r="N1638" s="74" t="str">
        <f>IF($C1638="","",IF($D1638="Gider",$H1638,$E1638))</f>
        <v/>
      </c>
      <c r="O1638" s="73" t="str">
        <f>IF($C1638="","",DATE(YEAR($C1638),MONTH($C1638),1))</f>
        <v/>
      </c>
      <c r="P1638" s="65" t="str">
        <f ca="1">IF($C1638="","",IF(AND($D1638="Gelir",$L1638&lt;&gt;"",$T1638=""),"TANIMSIZ BORÇLU",IF($T1638&lt;&gt;"",IF(OR($E1638="",$G1638&lt;=0),"EKSİK",IF($I1638="Evet","TAHAKKUK NAKİT OLAMAZ",IF($C1638&gt;TODAY(),"İLERİ TARİH","TAHAKKUK"))),IF(AND($D1638&lt;&gt;"",$E1638&lt;&gt;"",$G1638&gt;0,$H1638&lt;&gt;"",$I1638&lt;&gt;""),IF($C1638&gt;TODAY(),"İLERİ TARİH",IF(COUNTIF($W$7:$W$3001,$W1638)&gt;1,"MÜKERRER?",IF($AD1638&gt;0,"KAPALI DÖNEM",IF($I1638="Hayır","ÖDENECEK","UYGUN")))),"EKSİK"))))</f>
        <v/>
      </c>
      <c r="Q1638" s="2"/>
      <c r="R1638" s="2"/>
      <c r="S1638" s="1" t="str">
        <f t="shared" si="77"/>
        <v/>
      </c>
      <c r="T1638" s="1" t="str">
        <f>IF(OR($C1638="",$D1638&lt;&gt;"Gelir",$L1638=""),"",IFERROR(INDEX(MUSTERILER!$B$7:$B$156,MATCH($S1638,MUSTERILER!$T$7:$T$156,0)),""))</f>
        <v/>
      </c>
      <c r="U1638" s="1" t="str">
        <f>IF($T1638="","",$T1638&amp;"|"&amp;COUNTIFS($T$7:$T1638,$T1638))</f>
        <v/>
      </c>
      <c r="V1638" s="1">
        <f t="shared" si="78"/>
        <v>0</v>
      </c>
      <c r="W1638" s="1" t="str">
        <f t="shared" si="79"/>
        <v/>
      </c>
      <c r="X1638" s="1"/>
      <c r="Y1638" s="1"/>
      <c r="Z1638" s="1"/>
      <c r="AA1638" s="1"/>
      <c r="AB1638" s="1"/>
      <c r="AC1638" s="1"/>
      <c r="AD1638" s="1">
        <f>IF($C1638="",0,SUMPRODUCT((AY_SONU!$O$7:$O$42="Evet")*(AY_SONU!$B$7:$B$42=DATE(YEAR($C1638),MONTH($C1638),1))))</f>
        <v>0</v>
      </c>
      <c r="AE1638" s="1" t="str">
        <f>IF($E1638="","",$E1638&amp;"|"&amp;COUNTIFS($E$7:$E1638,$E1638))</f>
        <v/>
      </c>
    </row>
    <row r="1639" spans="1:31" ht="18" customHeight="1" x14ac:dyDescent="0.3">
      <c r="A1639" s="2"/>
      <c r="B1639" s="65" t="str">
        <f>IF($C1639="","","GG"&amp;TEXT(ROW()-6,"00000"))</f>
        <v/>
      </c>
      <c r="C1639" s="66"/>
      <c r="D1639" s="60"/>
      <c r="E1639" s="61"/>
      <c r="F1639" s="61"/>
      <c r="G1639" s="67"/>
      <c r="H1639" s="60"/>
      <c r="I1639" s="60"/>
      <c r="J1639" s="61"/>
      <c r="K1639" s="61"/>
      <c r="L1639" s="60"/>
      <c r="M1639" s="74" t="str">
        <f>IF($C1639="","",IF($D1639="Gider",$E1639,IF($L1639&lt;&gt;"",$L1639,$H1639)))</f>
        <v/>
      </c>
      <c r="N1639" s="74" t="str">
        <f>IF($C1639="","",IF($D1639="Gider",$H1639,$E1639))</f>
        <v/>
      </c>
      <c r="O1639" s="73" t="str">
        <f>IF($C1639="","",DATE(YEAR($C1639),MONTH($C1639),1))</f>
        <v/>
      </c>
      <c r="P1639" s="65" t="str">
        <f ca="1">IF($C1639="","",IF(AND($D1639="Gelir",$L1639&lt;&gt;"",$T1639=""),"TANIMSIZ BORÇLU",IF($T1639&lt;&gt;"",IF(OR($E1639="",$G1639&lt;=0),"EKSİK",IF($I1639="Evet","TAHAKKUK NAKİT OLAMAZ",IF($C1639&gt;TODAY(),"İLERİ TARİH","TAHAKKUK"))),IF(AND($D1639&lt;&gt;"",$E1639&lt;&gt;"",$G1639&gt;0,$H1639&lt;&gt;"",$I1639&lt;&gt;""),IF($C1639&gt;TODAY(),"İLERİ TARİH",IF(COUNTIF($W$7:$W$3001,$W1639)&gt;1,"MÜKERRER?",IF($AD1639&gt;0,"KAPALI DÖNEM",IF($I1639="Hayır","ÖDENECEK","UYGUN")))),"EKSİK"))))</f>
        <v/>
      </c>
      <c r="Q1639" s="2"/>
      <c r="R1639" s="2"/>
      <c r="S1639" s="1" t="str">
        <f t="shared" si="77"/>
        <v/>
      </c>
      <c r="T1639" s="1" t="str">
        <f>IF(OR($C1639="",$D1639&lt;&gt;"Gelir",$L1639=""),"",IFERROR(INDEX(MUSTERILER!$B$7:$B$156,MATCH($S1639,MUSTERILER!$T$7:$T$156,0)),""))</f>
        <v/>
      </c>
      <c r="U1639" s="1" t="str">
        <f>IF($T1639="","",$T1639&amp;"|"&amp;COUNTIFS($T$7:$T1639,$T1639))</f>
        <v/>
      </c>
      <c r="V1639" s="1">
        <f t="shared" si="78"/>
        <v>0</v>
      </c>
      <c r="W1639" s="1" t="str">
        <f t="shared" si="79"/>
        <v/>
      </c>
      <c r="X1639" s="1"/>
      <c r="Y1639" s="1"/>
      <c r="Z1639" s="1"/>
      <c r="AA1639" s="1"/>
      <c r="AB1639" s="1"/>
      <c r="AC1639" s="1"/>
      <c r="AD1639" s="1">
        <f>IF($C1639="",0,SUMPRODUCT((AY_SONU!$O$7:$O$42="Evet")*(AY_SONU!$B$7:$B$42=DATE(YEAR($C1639),MONTH($C1639),1))))</f>
        <v>0</v>
      </c>
      <c r="AE1639" s="1" t="str">
        <f>IF($E1639="","",$E1639&amp;"|"&amp;COUNTIFS($E$7:$E1639,$E1639))</f>
        <v/>
      </c>
    </row>
    <row r="1640" spans="1:31" ht="18" customHeight="1" x14ac:dyDescent="0.3">
      <c r="A1640" s="2"/>
      <c r="B1640" s="65" t="str">
        <f>IF($C1640="","","GG"&amp;TEXT(ROW()-6,"00000"))</f>
        <v/>
      </c>
      <c r="C1640" s="66"/>
      <c r="D1640" s="60"/>
      <c r="E1640" s="61"/>
      <c r="F1640" s="61"/>
      <c r="G1640" s="67"/>
      <c r="H1640" s="60"/>
      <c r="I1640" s="60"/>
      <c r="J1640" s="61"/>
      <c r="K1640" s="61"/>
      <c r="L1640" s="60"/>
      <c r="M1640" s="74" t="str">
        <f>IF($C1640="","",IF($D1640="Gider",$E1640,IF($L1640&lt;&gt;"",$L1640,$H1640)))</f>
        <v/>
      </c>
      <c r="N1640" s="74" t="str">
        <f>IF($C1640="","",IF($D1640="Gider",$H1640,$E1640))</f>
        <v/>
      </c>
      <c r="O1640" s="73" t="str">
        <f>IF($C1640="","",DATE(YEAR($C1640),MONTH($C1640),1))</f>
        <v/>
      </c>
      <c r="P1640" s="65" t="str">
        <f ca="1">IF($C1640="","",IF(AND($D1640="Gelir",$L1640&lt;&gt;"",$T1640=""),"TANIMSIZ BORÇLU",IF($T1640&lt;&gt;"",IF(OR($E1640="",$G1640&lt;=0),"EKSİK",IF($I1640="Evet","TAHAKKUK NAKİT OLAMAZ",IF($C1640&gt;TODAY(),"İLERİ TARİH","TAHAKKUK"))),IF(AND($D1640&lt;&gt;"",$E1640&lt;&gt;"",$G1640&gt;0,$H1640&lt;&gt;"",$I1640&lt;&gt;""),IF($C1640&gt;TODAY(),"İLERİ TARİH",IF(COUNTIF($W$7:$W$3001,$W1640)&gt;1,"MÜKERRER?",IF($AD1640&gt;0,"KAPALI DÖNEM",IF($I1640="Hayır","ÖDENECEK","UYGUN")))),"EKSİK"))))</f>
        <v/>
      </c>
      <c r="Q1640" s="2"/>
      <c r="R1640" s="2"/>
      <c r="S1640" s="1" t="str">
        <f t="shared" si="77"/>
        <v/>
      </c>
      <c r="T1640" s="1" t="str">
        <f>IF(OR($C1640="",$D1640&lt;&gt;"Gelir",$L1640=""),"",IFERROR(INDEX(MUSTERILER!$B$7:$B$156,MATCH($S1640,MUSTERILER!$T$7:$T$156,0)),""))</f>
        <v/>
      </c>
      <c r="U1640" s="1" t="str">
        <f>IF($T1640="","",$T1640&amp;"|"&amp;COUNTIFS($T$7:$T1640,$T1640))</f>
        <v/>
      </c>
      <c r="V1640" s="1">
        <f t="shared" si="78"/>
        <v>0</v>
      </c>
      <c r="W1640" s="1" t="str">
        <f t="shared" si="79"/>
        <v/>
      </c>
      <c r="X1640" s="1"/>
      <c r="Y1640" s="1"/>
      <c r="Z1640" s="1"/>
      <c r="AA1640" s="1"/>
      <c r="AB1640" s="1"/>
      <c r="AC1640" s="1"/>
      <c r="AD1640" s="1">
        <f>IF($C1640="",0,SUMPRODUCT((AY_SONU!$O$7:$O$42="Evet")*(AY_SONU!$B$7:$B$42=DATE(YEAR($C1640),MONTH($C1640),1))))</f>
        <v>0</v>
      </c>
      <c r="AE1640" s="1" t="str">
        <f>IF($E1640="","",$E1640&amp;"|"&amp;COUNTIFS($E$7:$E1640,$E1640))</f>
        <v/>
      </c>
    </row>
    <row r="1641" spans="1:31" ht="18" customHeight="1" x14ac:dyDescent="0.3">
      <c r="A1641" s="2"/>
      <c r="B1641" s="65" t="str">
        <f>IF($C1641="","","GG"&amp;TEXT(ROW()-6,"00000"))</f>
        <v/>
      </c>
      <c r="C1641" s="66"/>
      <c r="D1641" s="60"/>
      <c r="E1641" s="61"/>
      <c r="F1641" s="61"/>
      <c r="G1641" s="67"/>
      <c r="H1641" s="60"/>
      <c r="I1641" s="60"/>
      <c r="J1641" s="61"/>
      <c r="K1641" s="61"/>
      <c r="L1641" s="60"/>
      <c r="M1641" s="74" t="str">
        <f>IF($C1641="","",IF($D1641="Gider",$E1641,IF($L1641&lt;&gt;"",$L1641,$H1641)))</f>
        <v/>
      </c>
      <c r="N1641" s="74" t="str">
        <f>IF($C1641="","",IF($D1641="Gider",$H1641,$E1641))</f>
        <v/>
      </c>
      <c r="O1641" s="73" t="str">
        <f>IF($C1641="","",DATE(YEAR($C1641),MONTH($C1641),1))</f>
        <v/>
      </c>
      <c r="P1641" s="65" t="str">
        <f ca="1">IF($C1641="","",IF(AND($D1641="Gelir",$L1641&lt;&gt;"",$T1641=""),"TANIMSIZ BORÇLU",IF($T1641&lt;&gt;"",IF(OR($E1641="",$G1641&lt;=0),"EKSİK",IF($I1641="Evet","TAHAKKUK NAKİT OLAMAZ",IF($C1641&gt;TODAY(),"İLERİ TARİH","TAHAKKUK"))),IF(AND($D1641&lt;&gt;"",$E1641&lt;&gt;"",$G1641&gt;0,$H1641&lt;&gt;"",$I1641&lt;&gt;""),IF($C1641&gt;TODAY(),"İLERİ TARİH",IF(COUNTIF($W$7:$W$3001,$W1641)&gt;1,"MÜKERRER?",IF($AD1641&gt;0,"KAPALI DÖNEM",IF($I1641="Hayır","ÖDENECEK","UYGUN")))),"EKSİK"))))</f>
        <v/>
      </c>
      <c r="Q1641" s="2"/>
      <c r="R1641" s="2"/>
      <c r="S1641" s="1" t="str">
        <f t="shared" si="77"/>
        <v/>
      </c>
      <c r="T1641" s="1" t="str">
        <f>IF(OR($C1641="",$D1641&lt;&gt;"Gelir",$L1641=""),"",IFERROR(INDEX(MUSTERILER!$B$7:$B$156,MATCH($S1641,MUSTERILER!$T$7:$T$156,0)),""))</f>
        <v/>
      </c>
      <c r="U1641" s="1" t="str">
        <f>IF($T1641="","",$T1641&amp;"|"&amp;COUNTIFS($T$7:$T1641,$T1641))</f>
        <v/>
      </c>
      <c r="V1641" s="1">
        <f t="shared" si="78"/>
        <v>0</v>
      </c>
      <c r="W1641" s="1" t="str">
        <f t="shared" si="79"/>
        <v/>
      </c>
      <c r="X1641" s="1"/>
      <c r="Y1641" s="1"/>
      <c r="Z1641" s="1"/>
      <c r="AA1641" s="1"/>
      <c r="AB1641" s="1"/>
      <c r="AC1641" s="1"/>
      <c r="AD1641" s="1">
        <f>IF($C1641="",0,SUMPRODUCT((AY_SONU!$O$7:$O$42="Evet")*(AY_SONU!$B$7:$B$42=DATE(YEAR($C1641),MONTH($C1641),1))))</f>
        <v>0</v>
      </c>
      <c r="AE1641" s="1" t="str">
        <f>IF($E1641="","",$E1641&amp;"|"&amp;COUNTIFS($E$7:$E1641,$E1641))</f>
        <v/>
      </c>
    </row>
    <row r="1642" spans="1:31" ht="18" customHeight="1" x14ac:dyDescent="0.3">
      <c r="A1642" s="2"/>
      <c r="B1642" s="65" t="str">
        <f>IF($C1642="","","GG"&amp;TEXT(ROW()-6,"00000"))</f>
        <v/>
      </c>
      <c r="C1642" s="66"/>
      <c r="D1642" s="60"/>
      <c r="E1642" s="61"/>
      <c r="F1642" s="61"/>
      <c r="G1642" s="67"/>
      <c r="H1642" s="60"/>
      <c r="I1642" s="60"/>
      <c r="J1642" s="61"/>
      <c r="K1642" s="61"/>
      <c r="L1642" s="60"/>
      <c r="M1642" s="74" t="str">
        <f>IF($C1642="","",IF($D1642="Gider",$E1642,IF($L1642&lt;&gt;"",$L1642,$H1642)))</f>
        <v/>
      </c>
      <c r="N1642" s="74" t="str">
        <f>IF($C1642="","",IF($D1642="Gider",$H1642,$E1642))</f>
        <v/>
      </c>
      <c r="O1642" s="73" t="str">
        <f>IF($C1642="","",DATE(YEAR($C1642),MONTH($C1642),1))</f>
        <v/>
      </c>
      <c r="P1642" s="65" t="str">
        <f ca="1">IF($C1642="","",IF(AND($D1642="Gelir",$L1642&lt;&gt;"",$T1642=""),"TANIMSIZ BORÇLU",IF($T1642&lt;&gt;"",IF(OR($E1642="",$G1642&lt;=0),"EKSİK",IF($I1642="Evet","TAHAKKUK NAKİT OLAMAZ",IF($C1642&gt;TODAY(),"İLERİ TARİH","TAHAKKUK"))),IF(AND($D1642&lt;&gt;"",$E1642&lt;&gt;"",$G1642&gt;0,$H1642&lt;&gt;"",$I1642&lt;&gt;""),IF($C1642&gt;TODAY(),"İLERİ TARİH",IF(COUNTIF($W$7:$W$3001,$W1642)&gt;1,"MÜKERRER?",IF($AD1642&gt;0,"KAPALI DÖNEM",IF($I1642="Hayır","ÖDENECEK","UYGUN")))),"EKSİK"))))</f>
        <v/>
      </c>
      <c r="Q1642" s="2"/>
      <c r="R1642" s="2"/>
      <c r="S1642" s="1" t="str">
        <f t="shared" si="77"/>
        <v/>
      </c>
      <c r="T1642" s="1" t="str">
        <f>IF(OR($C1642="",$D1642&lt;&gt;"Gelir",$L1642=""),"",IFERROR(INDEX(MUSTERILER!$B$7:$B$156,MATCH($S1642,MUSTERILER!$T$7:$T$156,0)),""))</f>
        <v/>
      </c>
      <c r="U1642" s="1" t="str">
        <f>IF($T1642="","",$T1642&amp;"|"&amp;COUNTIFS($T$7:$T1642,$T1642))</f>
        <v/>
      </c>
      <c r="V1642" s="1">
        <f t="shared" si="78"/>
        <v>0</v>
      </c>
      <c r="W1642" s="1" t="str">
        <f t="shared" si="79"/>
        <v/>
      </c>
      <c r="X1642" s="1"/>
      <c r="Y1642" s="1"/>
      <c r="Z1642" s="1"/>
      <c r="AA1642" s="1"/>
      <c r="AB1642" s="1"/>
      <c r="AC1642" s="1"/>
      <c r="AD1642" s="1">
        <f>IF($C1642="",0,SUMPRODUCT((AY_SONU!$O$7:$O$42="Evet")*(AY_SONU!$B$7:$B$42=DATE(YEAR($C1642),MONTH($C1642),1))))</f>
        <v>0</v>
      </c>
      <c r="AE1642" s="1" t="str">
        <f>IF($E1642="","",$E1642&amp;"|"&amp;COUNTIFS($E$7:$E1642,$E1642))</f>
        <v/>
      </c>
    </row>
    <row r="1643" spans="1:31" ht="18" customHeight="1" x14ac:dyDescent="0.3">
      <c r="A1643" s="2"/>
      <c r="B1643" s="65" t="str">
        <f>IF($C1643="","","GG"&amp;TEXT(ROW()-6,"00000"))</f>
        <v/>
      </c>
      <c r="C1643" s="66"/>
      <c r="D1643" s="60"/>
      <c r="E1643" s="61"/>
      <c r="F1643" s="61"/>
      <c r="G1643" s="67"/>
      <c r="H1643" s="60"/>
      <c r="I1643" s="60"/>
      <c r="J1643" s="61"/>
      <c r="K1643" s="61"/>
      <c r="L1643" s="60"/>
      <c r="M1643" s="74" t="str">
        <f>IF($C1643="","",IF($D1643="Gider",$E1643,IF($L1643&lt;&gt;"",$L1643,$H1643)))</f>
        <v/>
      </c>
      <c r="N1643" s="74" t="str">
        <f>IF($C1643="","",IF($D1643="Gider",$H1643,$E1643))</f>
        <v/>
      </c>
      <c r="O1643" s="73" t="str">
        <f>IF($C1643="","",DATE(YEAR($C1643),MONTH($C1643),1))</f>
        <v/>
      </c>
      <c r="P1643" s="65" t="str">
        <f ca="1">IF($C1643="","",IF(AND($D1643="Gelir",$L1643&lt;&gt;"",$T1643=""),"TANIMSIZ BORÇLU",IF($T1643&lt;&gt;"",IF(OR($E1643="",$G1643&lt;=0),"EKSİK",IF($I1643="Evet","TAHAKKUK NAKİT OLAMAZ",IF($C1643&gt;TODAY(),"İLERİ TARİH","TAHAKKUK"))),IF(AND($D1643&lt;&gt;"",$E1643&lt;&gt;"",$G1643&gt;0,$H1643&lt;&gt;"",$I1643&lt;&gt;""),IF($C1643&gt;TODAY(),"İLERİ TARİH",IF(COUNTIF($W$7:$W$3001,$W1643)&gt;1,"MÜKERRER?",IF($AD1643&gt;0,"KAPALI DÖNEM",IF($I1643="Hayır","ÖDENECEK","UYGUN")))),"EKSİK"))))</f>
        <v/>
      </c>
      <c r="Q1643" s="2"/>
      <c r="R1643" s="2"/>
      <c r="S1643" s="1" t="str">
        <f t="shared" si="77"/>
        <v/>
      </c>
      <c r="T1643" s="1" t="str">
        <f>IF(OR($C1643="",$D1643&lt;&gt;"Gelir",$L1643=""),"",IFERROR(INDEX(MUSTERILER!$B$7:$B$156,MATCH($S1643,MUSTERILER!$T$7:$T$156,0)),""))</f>
        <v/>
      </c>
      <c r="U1643" s="1" t="str">
        <f>IF($T1643="","",$T1643&amp;"|"&amp;COUNTIFS($T$7:$T1643,$T1643))</f>
        <v/>
      </c>
      <c r="V1643" s="1">
        <f t="shared" si="78"/>
        <v>0</v>
      </c>
      <c r="W1643" s="1" t="str">
        <f t="shared" si="79"/>
        <v/>
      </c>
      <c r="X1643" s="1"/>
      <c r="Y1643" s="1"/>
      <c r="Z1643" s="1"/>
      <c r="AA1643" s="1"/>
      <c r="AB1643" s="1"/>
      <c r="AC1643" s="1"/>
      <c r="AD1643" s="1">
        <f>IF($C1643="",0,SUMPRODUCT((AY_SONU!$O$7:$O$42="Evet")*(AY_SONU!$B$7:$B$42=DATE(YEAR($C1643),MONTH($C1643),1))))</f>
        <v>0</v>
      </c>
      <c r="AE1643" s="1" t="str">
        <f>IF($E1643="","",$E1643&amp;"|"&amp;COUNTIFS($E$7:$E1643,$E1643))</f>
        <v/>
      </c>
    </row>
    <row r="1644" spans="1:31" ht="18" customHeight="1" x14ac:dyDescent="0.3">
      <c r="A1644" s="2"/>
      <c r="B1644" s="65" t="str">
        <f>IF($C1644="","","GG"&amp;TEXT(ROW()-6,"00000"))</f>
        <v/>
      </c>
      <c r="C1644" s="66"/>
      <c r="D1644" s="60"/>
      <c r="E1644" s="61"/>
      <c r="F1644" s="61"/>
      <c r="G1644" s="67"/>
      <c r="H1644" s="60"/>
      <c r="I1644" s="60"/>
      <c r="J1644" s="61"/>
      <c r="K1644" s="61"/>
      <c r="L1644" s="60"/>
      <c r="M1644" s="74" t="str">
        <f>IF($C1644="","",IF($D1644="Gider",$E1644,IF($L1644&lt;&gt;"",$L1644,$H1644)))</f>
        <v/>
      </c>
      <c r="N1644" s="74" t="str">
        <f>IF($C1644="","",IF($D1644="Gider",$H1644,$E1644))</f>
        <v/>
      </c>
      <c r="O1644" s="73" t="str">
        <f>IF($C1644="","",DATE(YEAR($C1644),MONTH($C1644),1))</f>
        <v/>
      </c>
      <c r="P1644" s="65" t="str">
        <f ca="1">IF($C1644="","",IF(AND($D1644="Gelir",$L1644&lt;&gt;"",$T1644=""),"TANIMSIZ BORÇLU",IF($T1644&lt;&gt;"",IF(OR($E1644="",$G1644&lt;=0),"EKSİK",IF($I1644="Evet","TAHAKKUK NAKİT OLAMAZ",IF($C1644&gt;TODAY(),"İLERİ TARİH","TAHAKKUK"))),IF(AND($D1644&lt;&gt;"",$E1644&lt;&gt;"",$G1644&gt;0,$H1644&lt;&gt;"",$I1644&lt;&gt;""),IF($C1644&gt;TODAY(),"İLERİ TARİH",IF(COUNTIF($W$7:$W$3001,$W1644)&gt;1,"MÜKERRER?",IF($AD1644&gt;0,"KAPALI DÖNEM",IF($I1644="Hayır","ÖDENECEK","UYGUN")))),"EKSİK"))))</f>
        <v/>
      </c>
      <c r="Q1644" s="2"/>
      <c r="R1644" s="2"/>
      <c r="S1644" s="1" t="str">
        <f t="shared" si="77"/>
        <v/>
      </c>
      <c r="T1644" s="1" t="str">
        <f>IF(OR($C1644="",$D1644&lt;&gt;"Gelir",$L1644=""),"",IFERROR(INDEX(MUSTERILER!$B$7:$B$156,MATCH($S1644,MUSTERILER!$T$7:$T$156,0)),""))</f>
        <v/>
      </c>
      <c r="U1644" s="1" t="str">
        <f>IF($T1644="","",$T1644&amp;"|"&amp;COUNTIFS($T$7:$T1644,$T1644))</f>
        <v/>
      </c>
      <c r="V1644" s="1">
        <f t="shared" si="78"/>
        <v>0</v>
      </c>
      <c r="W1644" s="1" t="str">
        <f t="shared" si="79"/>
        <v/>
      </c>
      <c r="X1644" s="1"/>
      <c r="Y1644" s="1"/>
      <c r="Z1644" s="1"/>
      <c r="AA1644" s="1"/>
      <c r="AB1644" s="1"/>
      <c r="AC1644" s="1"/>
      <c r="AD1644" s="1">
        <f>IF($C1644="",0,SUMPRODUCT((AY_SONU!$O$7:$O$42="Evet")*(AY_SONU!$B$7:$B$42=DATE(YEAR($C1644),MONTH($C1644),1))))</f>
        <v>0</v>
      </c>
      <c r="AE1644" s="1" t="str">
        <f>IF($E1644="","",$E1644&amp;"|"&amp;COUNTIFS($E$7:$E1644,$E1644))</f>
        <v/>
      </c>
    </row>
    <row r="1645" spans="1:31" ht="18" customHeight="1" x14ac:dyDescent="0.3">
      <c r="A1645" s="2"/>
      <c r="B1645" s="65" t="str">
        <f>IF($C1645="","","GG"&amp;TEXT(ROW()-6,"00000"))</f>
        <v/>
      </c>
      <c r="C1645" s="66"/>
      <c r="D1645" s="60"/>
      <c r="E1645" s="61"/>
      <c r="F1645" s="61"/>
      <c r="G1645" s="67"/>
      <c r="H1645" s="60"/>
      <c r="I1645" s="60"/>
      <c r="J1645" s="61"/>
      <c r="K1645" s="61"/>
      <c r="L1645" s="60"/>
      <c r="M1645" s="74" t="str">
        <f>IF($C1645="","",IF($D1645="Gider",$E1645,IF($L1645&lt;&gt;"",$L1645,$H1645)))</f>
        <v/>
      </c>
      <c r="N1645" s="74" t="str">
        <f>IF($C1645="","",IF($D1645="Gider",$H1645,$E1645))</f>
        <v/>
      </c>
      <c r="O1645" s="73" t="str">
        <f>IF($C1645="","",DATE(YEAR($C1645),MONTH($C1645),1))</f>
        <v/>
      </c>
      <c r="P1645" s="65" t="str">
        <f ca="1">IF($C1645="","",IF(AND($D1645="Gelir",$L1645&lt;&gt;"",$T1645=""),"TANIMSIZ BORÇLU",IF($T1645&lt;&gt;"",IF(OR($E1645="",$G1645&lt;=0),"EKSİK",IF($I1645="Evet","TAHAKKUK NAKİT OLAMAZ",IF($C1645&gt;TODAY(),"İLERİ TARİH","TAHAKKUK"))),IF(AND($D1645&lt;&gt;"",$E1645&lt;&gt;"",$G1645&gt;0,$H1645&lt;&gt;"",$I1645&lt;&gt;""),IF($C1645&gt;TODAY(),"İLERİ TARİH",IF(COUNTIF($W$7:$W$3001,$W1645)&gt;1,"MÜKERRER?",IF($AD1645&gt;0,"KAPALI DÖNEM",IF($I1645="Hayır","ÖDENECEK","UYGUN")))),"EKSİK"))))</f>
        <v/>
      </c>
      <c r="Q1645" s="2"/>
      <c r="R1645" s="2"/>
      <c r="S1645" s="1" t="str">
        <f t="shared" si="77"/>
        <v/>
      </c>
      <c r="T1645" s="1" t="str">
        <f>IF(OR($C1645="",$D1645&lt;&gt;"Gelir",$L1645=""),"",IFERROR(INDEX(MUSTERILER!$B$7:$B$156,MATCH($S1645,MUSTERILER!$T$7:$T$156,0)),""))</f>
        <v/>
      </c>
      <c r="U1645" s="1" t="str">
        <f>IF($T1645="","",$T1645&amp;"|"&amp;COUNTIFS($T$7:$T1645,$T1645))</f>
        <v/>
      </c>
      <c r="V1645" s="1">
        <f t="shared" si="78"/>
        <v>0</v>
      </c>
      <c r="W1645" s="1" t="str">
        <f t="shared" si="79"/>
        <v/>
      </c>
      <c r="X1645" s="1"/>
      <c r="Y1645" s="1"/>
      <c r="Z1645" s="1"/>
      <c r="AA1645" s="1"/>
      <c r="AB1645" s="1"/>
      <c r="AC1645" s="1"/>
      <c r="AD1645" s="1">
        <f>IF($C1645="",0,SUMPRODUCT((AY_SONU!$O$7:$O$42="Evet")*(AY_SONU!$B$7:$B$42=DATE(YEAR($C1645),MONTH($C1645),1))))</f>
        <v>0</v>
      </c>
      <c r="AE1645" s="1" t="str">
        <f>IF($E1645="","",$E1645&amp;"|"&amp;COUNTIFS($E$7:$E1645,$E1645))</f>
        <v/>
      </c>
    </row>
    <row r="1646" spans="1:31" ht="18" customHeight="1" x14ac:dyDescent="0.3">
      <c r="A1646" s="2"/>
      <c r="B1646" s="65" t="str">
        <f>IF($C1646="","","GG"&amp;TEXT(ROW()-6,"00000"))</f>
        <v/>
      </c>
      <c r="C1646" s="66"/>
      <c r="D1646" s="60"/>
      <c r="E1646" s="61"/>
      <c r="F1646" s="61"/>
      <c r="G1646" s="67"/>
      <c r="H1646" s="60"/>
      <c r="I1646" s="60"/>
      <c r="J1646" s="61"/>
      <c r="K1646" s="61"/>
      <c r="L1646" s="60"/>
      <c r="M1646" s="74" t="str">
        <f>IF($C1646="","",IF($D1646="Gider",$E1646,IF($L1646&lt;&gt;"",$L1646,$H1646)))</f>
        <v/>
      </c>
      <c r="N1646" s="74" t="str">
        <f>IF($C1646="","",IF($D1646="Gider",$H1646,$E1646))</f>
        <v/>
      </c>
      <c r="O1646" s="73" t="str">
        <f>IF($C1646="","",DATE(YEAR($C1646),MONTH($C1646),1))</f>
        <v/>
      </c>
      <c r="P1646" s="65" t="str">
        <f ca="1">IF($C1646="","",IF(AND($D1646="Gelir",$L1646&lt;&gt;"",$T1646=""),"TANIMSIZ BORÇLU",IF($T1646&lt;&gt;"",IF(OR($E1646="",$G1646&lt;=0),"EKSİK",IF($I1646="Evet","TAHAKKUK NAKİT OLAMAZ",IF($C1646&gt;TODAY(),"İLERİ TARİH","TAHAKKUK"))),IF(AND($D1646&lt;&gt;"",$E1646&lt;&gt;"",$G1646&gt;0,$H1646&lt;&gt;"",$I1646&lt;&gt;""),IF($C1646&gt;TODAY(),"İLERİ TARİH",IF(COUNTIF($W$7:$W$3001,$W1646)&gt;1,"MÜKERRER?",IF($AD1646&gt;0,"KAPALI DÖNEM",IF($I1646="Hayır","ÖDENECEK","UYGUN")))),"EKSİK"))))</f>
        <v/>
      </c>
      <c r="Q1646" s="2"/>
      <c r="R1646" s="2"/>
      <c r="S1646" s="1" t="str">
        <f t="shared" si="77"/>
        <v/>
      </c>
      <c r="T1646" s="1" t="str">
        <f>IF(OR($C1646="",$D1646&lt;&gt;"Gelir",$L1646=""),"",IFERROR(INDEX(MUSTERILER!$B$7:$B$156,MATCH($S1646,MUSTERILER!$T$7:$T$156,0)),""))</f>
        <v/>
      </c>
      <c r="U1646" s="1" t="str">
        <f>IF($T1646="","",$T1646&amp;"|"&amp;COUNTIFS($T$7:$T1646,$T1646))</f>
        <v/>
      </c>
      <c r="V1646" s="1">
        <f t="shared" si="78"/>
        <v>0</v>
      </c>
      <c r="W1646" s="1" t="str">
        <f t="shared" si="79"/>
        <v/>
      </c>
      <c r="X1646" s="1"/>
      <c r="Y1646" s="1"/>
      <c r="Z1646" s="1"/>
      <c r="AA1646" s="1"/>
      <c r="AB1646" s="1"/>
      <c r="AC1646" s="1"/>
      <c r="AD1646" s="1">
        <f>IF($C1646="",0,SUMPRODUCT((AY_SONU!$O$7:$O$42="Evet")*(AY_SONU!$B$7:$B$42=DATE(YEAR($C1646),MONTH($C1646),1))))</f>
        <v>0</v>
      </c>
      <c r="AE1646" s="1" t="str">
        <f>IF($E1646="","",$E1646&amp;"|"&amp;COUNTIFS($E$7:$E1646,$E1646))</f>
        <v/>
      </c>
    </row>
    <row r="1647" spans="1:31" ht="18" customHeight="1" x14ac:dyDescent="0.3">
      <c r="A1647" s="2"/>
      <c r="B1647" s="65" t="str">
        <f>IF($C1647="","","GG"&amp;TEXT(ROW()-6,"00000"))</f>
        <v/>
      </c>
      <c r="C1647" s="66"/>
      <c r="D1647" s="60"/>
      <c r="E1647" s="61"/>
      <c r="F1647" s="61"/>
      <c r="G1647" s="67"/>
      <c r="H1647" s="60"/>
      <c r="I1647" s="60"/>
      <c r="J1647" s="61"/>
      <c r="K1647" s="61"/>
      <c r="L1647" s="60"/>
      <c r="M1647" s="74" t="str">
        <f>IF($C1647="","",IF($D1647="Gider",$E1647,IF($L1647&lt;&gt;"",$L1647,$H1647)))</f>
        <v/>
      </c>
      <c r="N1647" s="74" t="str">
        <f>IF($C1647="","",IF($D1647="Gider",$H1647,$E1647))</f>
        <v/>
      </c>
      <c r="O1647" s="73" t="str">
        <f>IF($C1647="","",DATE(YEAR($C1647),MONTH($C1647),1))</f>
        <v/>
      </c>
      <c r="P1647" s="65" t="str">
        <f ca="1">IF($C1647="","",IF(AND($D1647="Gelir",$L1647&lt;&gt;"",$T1647=""),"TANIMSIZ BORÇLU",IF($T1647&lt;&gt;"",IF(OR($E1647="",$G1647&lt;=0),"EKSİK",IF($I1647="Evet","TAHAKKUK NAKİT OLAMAZ",IF($C1647&gt;TODAY(),"İLERİ TARİH","TAHAKKUK"))),IF(AND($D1647&lt;&gt;"",$E1647&lt;&gt;"",$G1647&gt;0,$H1647&lt;&gt;"",$I1647&lt;&gt;""),IF($C1647&gt;TODAY(),"İLERİ TARİH",IF(COUNTIF($W$7:$W$3001,$W1647)&gt;1,"MÜKERRER?",IF($AD1647&gt;0,"KAPALI DÖNEM",IF($I1647="Hayır","ÖDENECEK","UYGUN")))),"EKSİK"))))</f>
        <v/>
      </c>
      <c r="Q1647" s="2"/>
      <c r="R1647" s="2"/>
      <c r="S1647" s="1" t="str">
        <f t="shared" si="77"/>
        <v/>
      </c>
      <c r="T1647" s="1" t="str">
        <f>IF(OR($C1647="",$D1647&lt;&gt;"Gelir",$L1647=""),"",IFERROR(INDEX(MUSTERILER!$B$7:$B$156,MATCH($S1647,MUSTERILER!$T$7:$T$156,0)),""))</f>
        <v/>
      </c>
      <c r="U1647" s="1" t="str">
        <f>IF($T1647="","",$T1647&amp;"|"&amp;COUNTIFS($T$7:$T1647,$T1647))</f>
        <v/>
      </c>
      <c r="V1647" s="1">
        <f t="shared" si="78"/>
        <v>0</v>
      </c>
      <c r="W1647" s="1" t="str">
        <f t="shared" si="79"/>
        <v/>
      </c>
      <c r="X1647" s="1"/>
      <c r="Y1647" s="1"/>
      <c r="Z1647" s="1"/>
      <c r="AA1647" s="1"/>
      <c r="AB1647" s="1"/>
      <c r="AC1647" s="1"/>
      <c r="AD1647" s="1">
        <f>IF($C1647="",0,SUMPRODUCT((AY_SONU!$O$7:$O$42="Evet")*(AY_SONU!$B$7:$B$42=DATE(YEAR($C1647),MONTH($C1647),1))))</f>
        <v>0</v>
      </c>
      <c r="AE1647" s="1" t="str">
        <f>IF($E1647="","",$E1647&amp;"|"&amp;COUNTIFS($E$7:$E1647,$E1647))</f>
        <v/>
      </c>
    </row>
    <row r="1648" spans="1:31" ht="18" customHeight="1" x14ac:dyDescent="0.3">
      <c r="A1648" s="2"/>
      <c r="B1648" s="65" t="str">
        <f>IF($C1648="","","GG"&amp;TEXT(ROW()-6,"00000"))</f>
        <v/>
      </c>
      <c r="C1648" s="66"/>
      <c r="D1648" s="60"/>
      <c r="E1648" s="61"/>
      <c r="F1648" s="61"/>
      <c r="G1648" s="67"/>
      <c r="H1648" s="60"/>
      <c r="I1648" s="60"/>
      <c r="J1648" s="61"/>
      <c r="K1648" s="61"/>
      <c r="L1648" s="60"/>
      <c r="M1648" s="74" t="str">
        <f>IF($C1648="","",IF($D1648="Gider",$E1648,IF($L1648&lt;&gt;"",$L1648,$H1648)))</f>
        <v/>
      </c>
      <c r="N1648" s="74" t="str">
        <f>IF($C1648="","",IF($D1648="Gider",$H1648,$E1648))</f>
        <v/>
      </c>
      <c r="O1648" s="73" t="str">
        <f>IF($C1648="","",DATE(YEAR($C1648),MONTH($C1648),1))</f>
        <v/>
      </c>
      <c r="P1648" s="65" t="str">
        <f ca="1">IF($C1648="","",IF(AND($D1648="Gelir",$L1648&lt;&gt;"",$T1648=""),"TANIMSIZ BORÇLU",IF($T1648&lt;&gt;"",IF(OR($E1648="",$G1648&lt;=0),"EKSİK",IF($I1648="Evet","TAHAKKUK NAKİT OLAMAZ",IF($C1648&gt;TODAY(),"İLERİ TARİH","TAHAKKUK"))),IF(AND($D1648&lt;&gt;"",$E1648&lt;&gt;"",$G1648&gt;0,$H1648&lt;&gt;"",$I1648&lt;&gt;""),IF($C1648&gt;TODAY(),"İLERİ TARİH",IF(COUNTIF($W$7:$W$3001,$W1648)&gt;1,"MÜKERRER?",IF($AD1648&gt;0,"KAPALI DÖNEM",IF($I1648="Hayır","ÖDENECEK","UYGUN")))),"EKSİK"))))</f>
        <v/>
      </c>
      <c r="Q1648" s="2"/>
      <c r="R1648" s="2"/>
      <c r="S1648" s="1" t="str">
        <f t="shared" si="77"/>
        <v/>
      </c>
      <c r="T1648" s="1" t="str">
        <f>IF(OR($C1648="",$D1648&lt;&gt;"Gelir",$L1648=""),"",IFERROR(INDEX(MUSTERILER!$B$7:$B$156,MATCH($S1648,MUSTERILER!$T$7:$T$156,0)),""))</f>
        <v/>
      </c>
      <c r="U1648" s="1" t="str">
        <f>IF($T1648="","",$T1648&amp;"|"&amp;COUNTIFS($T$7:$T1648,$T1648))</f>
        <v/>
      </c>
      <c r="V1648" s="1">
        <f t="shared" si="78"/>
        <v>0</v>
      </c>
      <c r="W1648" s="1" t="str">
        <f t="shared" si="79"/>
        <v/>
      </c>
      <c r="X1648" s="1"/>
      <c r="Y1648" s="1"/>
      <c r="Z1648" s="1"/>
      <c r="AA1648" s="1"/>
      <c r="AB1648" s="1"/>
      <c r="AC1648" s="1"/>
      <c r="AD1648" s="1">
        <f>IF($C1648="",0,SUMPRODUCT((AY_SONU!$O$7:$O$42="Evet")*(AY_SONU!$B$7:$B$42=DATE(YEAR($C1648),MONTH($C1648),1))))</f>
        <v>0</v>
      </c>
      <c r="AE1648" s="1" t="str">
        <f>IF($E1648="","",$E1648&amp;"|"&amp;COUNTIFS($E$7:$E1648,$E1648))</f>
        <v/>
      </c>
    </row>
    <row r="1649" spans="1:31" ht="18" customHeight="1" x14ac:dyDescent="0.3">
      <c r="A1649" s="2"/>
      <c r="B1649" s="65" t="str">
        <f>IF($C1649="","","GG"&amp;TEXT(ROW()-6,"00000"))</f>
        <v/>
      </c>
      <c r="C1649" s="66"/>
      <c r="D1649" s="60"/>
      <c r="E1649" s="61"/>
      <c r="F1649" s="61"/>
      <c r="G1649" s="67"/>
      <c r="H1649" s="60"/>
      <c r="I1649" s="60"/>
      <c r="J1649" s="61"/>
      <c r="K1649" s="61"/>
      <c r="L1649" s="60"/>
      <c r="M1649" s="74" t="str">
        <f>IF($C1649="","",IF($D1649="Gider",$E1649,IF($L1649&lt;&gt;"",$L1649,$H1649)))</f>
        <v/>
      </c>
      <c r="N1649" s="74" t="str">
        <f>IF($C1649="","",IF($D1649="Gider",$H1649,$E1649))</f>
        <v/>
      </c>
      <c r="O1649" s="73" t="str">
        <f>IF($C1649="","",DATE(YEAR($C1649),MONTH($C1649),1))</f>
        <v/>
      </c>
      <c r="P1649" s="65" t="str">
        <f ca="1">IF($C1649="","",IF(AND($D1649="Gelir",$L1649&lt;&gt;"",$T1649=""),"TANIMSIZ BORÇLU",IF($T1649&lt;&gt;"",IF(OR($E1649="",$G1649&lt;=0),"EKSİK",IF($I1649="Evet","TAHAKKUK NAKİT OLAMAZ",IF($C1649&gt;TODAY(),"İLERİ TARİH","TAHAKKUK"))),IF(AND($D1649&lt;&gt;"",$E1649&lt;&gt;"",$G1649&gt;0,$H1649&lt;&gt;"",$I1649&lt;&gt;""),IF($C1649&gt;TODAY(),"İLERİ TARİH",IF(COUNTIF($W$7:$W$3001,$W1649)&gt;1,"MÜKERRER?",IF($AD1649&gt;0,"KAPALI DÖNEM",IF($I1649="Hayır","ÖDENECEK","UYGUN")))),"EKSİK"))))</f>
        <v/>
      </c>
      <c r="Q1649" s="2"/>
      <c r="R1649" s="2"/>
      <c r="S1649" s="1" t="str">
        <f t="shared" si="77"/>
        <v/>
      </c>
      <c r="T1649" s="1" t="str">
        <f>IF(OR($C1649="",$D1649&lt;&gt;"Gelir",$L1649=""),"",IFERROR(INDEX(MUSTERILER!$B$7:$B$156,MATCH($S1649,MUSTERILER!$T$7:$T$156,0)),""))</f>
        <v/>
      </c>
      <c r="U1649" s="1" t="str">
        <f>IF($T1649="","",$T1649&amp;"|"&amp;COUNTIFS($T$7:$T1649,$T1649))</f>
        <v/>
      </c>
      <c r="V1649" s="1">
        <f t="shared" si="78"/>
        <v>0</v>
      </c>
      <c r="W1649" s="1" t="str">
        <f t="shared" si="79"/>
        <v/>
      </c>
      <c r="X1649" s="1"/>
      <c r="Y1649" s="1"/>
      <c r="Z1649" s="1"/>
      <c r="AA1649" s="1"/>
      <c r="AB1649" s="1"/>
      <c r="AC1649" s="1"/>
      <c r="AD1649" s="1">
        <f>IF($C1649="",0,SUMPRODUCT((AY_SONU!$O$7:$O$42="Evet")*(AY_SONU!$B$7:$B$42=DATE(YEAR($C1649),MONTH($C1649),1))))</f>
        <v>0</v>
      </c>
      <c r="AE1649" s="1" t="str">
        <f>IF($E1649="","",$E1649&amp;"|"&amp;COUNTIFS($E$7:$E1649,$E1649))</f>
        <v/>
      </c>
    </row>
    <row r="1650" spans="1:31" ht="18" customHeight="1" x14ac:dyDescent="0.3">
      <c r="A1650" s="2"/>
      <c r="B1650" s="65" t="str">
        <f>IF($C1650="","","GG"&amp;TEXT(ROW()-6,"00000"))</f>
        <v/>
      </c>
      <c r="C1650" s="66"/>
      <c r="D1650" s="60"/>
      <c r="E1650" s="61"/>
      <c r="F1650" s="61"/>
      <c r="G1650" s="67"/>
      <c r="H1650" s="60"/>
      <c r="I1650" s="60"/>
      <c r="J1650" s="61"/>
      <c r="K1650" s="61"/>
      <c r="L1650" s="60"/>
      <c r="M1650" s="74" t="str">
        <f>IF($C1650="","",IF($D1650="Gider",$E1650,IF($L1650&lt;&gt;"",$L1650,$H1650)))</f>
        <v/>
      </c>
      <c r="N1650" s="74" t="str">
        <f>IF($C1650="","",IF($D1650="Gider",$H1650,$E1650))</f>
        <v/>
      </c>
      <c r="O1650" s="73" t="str">
        <f>IF($C1650="","",DATE(YEAR($C1650),MONTH($C1650),1))</f>
        <v/>
      </c>
      <c r="P1650" s="65" t="str">
        <f ca="1">IF($C1650="","",IF(AND($D1650="Gelir",$L1650&lt;&gt;"",$T1650=""),"TANIMSIZ BORÇLU",IF($T1650&lt;&gt;"",IF(OR($E1650="",$G1650&lt;=0),"EKSİK",IF($I1650="Evet","TAHAKKUK NAKİT OLAMAZ",IF($C1650&gt;TODAY(),"İLERİ TARİH","TAHAKKUK"))),IF(AND($D1650&lt;&gt;"",$E1650&lt;&gt;"",$G1650&gt;0,$H1650&lt;&gt;"",$I1650&lt;&gt;""),IF($C1650&gt;TODAY(),"İLERİ TARİH",IF(COUNTIF($W$7:$W$3001,$W1650)&gt;1,"MÜKERRER?",IF($AD1650&gt;0,"KAPALI DÖNEM",IF($I1650="Hayır","ÖDENECEK","UYGUN")))),"EKSİK"))))</f>
        <v/>
      </c>
      <c r="Q1650" s="2"/>
      <c r="R1650" s="2"/>
      <c r="S1650" s="1" t="str">
        <f t="shared" si="77"/>
        <v/>
      </c>
      <c r="T1650" s="1" t="str">
        <f>IF(OR($C1650="",$D1650&lt;&gt;"Gelir",$L1650=""),"",IFERROR(INDEX(MUSTERILER!$B$7:$B$156,MATCH($S1650,MUSTERILER!$T$7:$T$156,0)),""))</f>
        <v/>
      </c>
      <c r="U1650" s="1" t="str">
        <f>IF($T1650="","",$T1650&amp;"|"&amp;COUNTIFS($T$7:$T1650,$T1650))</f>
        <v/>
      </c>
      <c r="V1650" s="1">
        <f t="shared" si="78"/>
        <v>0</v>
      </c>
      <c r="W1650" s="1" t="str">
        <f t="shared" si="79"/>
        <v/>
      </c>
      <c r="X1650" s="1"/>
      <c r="Y1650" s="1"/>
      <c r="Z1650" s="1"/>
      <c r="AA1650" s="1"/>
      <c r="AB1650" s="1"/>
      <c r="AC1650" s="1"/>
      <c r="AD1650" s="1">
        <f>IF($C1650="",0,SUMPRODUCT((AY_SONU!$O$7:$O$42="Evet")*(AY_SONU!$B$7:$B$42=DATE(YEAR($C1650),MONTH($C1650),1))))</f>
        <v>0</v>
      </c>
      <c r="AE1650" s="1" t="str">
        <f>IF($E1650="","",$E1650&amp;"|"&amp;COUNTIFS($E$7:$E1650,$E1650))</f>
        <v/>
      </c>
    </row>
    <row r="1651" spans="1:31" ht="18" customHeight="1" x14ac:dyDescent="0.3">
      <c r="A1651" s="2"/>
      <c r="B1651" s="65" t="str">
        <f>IF($C1651="","","GG"&amp;TEXT(ROW()-6,"00000"))</f>
        <v/>
      </c>
      <c r="C1651" s="66"/>
      <c r="D1651" s="60"/>
      <c r="E1651" s="61"/>
      <c r="F1651" s="61"/>
      <c r="G1651" s="67"/>
      <c r="H1651" s="60"/>
      <c r="I1651" s="60"/>
      <c r="J1651" s="61"/>
      <c r="K1651" s="61"/>
      <c r="L1651" s="60"/>
      <c r="M1651" s="74" t="str">
        <f>IF($C1651="","",IF($D1651="Gider",$E1651,IF($L1651&lt;&gt;"",$L1651,$H1651)))</f>
        <v/>
      </c>
      <c r="N1651" s="74" t="str">
        <f>IF($C1651="","",IF($D1651="Gider",$H1651,$E1651))</f>
        <v/>
      </c>
      <c r="O1651" s="73" t="str">
        <f>IF($C1651="","",DATE(YEAR($C1651),MONTH($C1651),1))</f>
        <v/>
      </c>
      <c r="P1651" s="65" t="str">
        <f ca="1">IF($C1651="","",IF(AND($D1651="Gelir",$L1651&lt;&gt;"",$T1651=""),"TANIMSIZ BORÇLU",IF($T1651&lt;&gt;"",IF(OR($E1651="",$G1651&lt;=0),"EKSİK",IF($I1651="Evet","TAHAKKUK NAKİT OLAMAZ",IF($C1651&gt;TODAY(),"İLERİ TARİH","TAHAKKUK"))),IF(AND($D1651&lt;&gt;"",$E1651&lt;&gt;"",$G1651&gt;0,$H1651&lt;&gt;"",$I1651&lt;&gt;""),IF($C1651&gt;TODAY(),"İLERİ TARİH",IF(COUNTIF($W$7:$W$3001,$W1651)&gt;1,"MÜKERRER?",IF($AD1651&gt;0,"KAPALI DÖNEM",IF($I1651="Hayır","ÖDENECEK","UYGUN")))),"EKSİK"))))</f>
        <v/>
      </c>
      <c r="Q1651" s="2"/>
      <c r="R1651" s="2"/>
      <c r="S1651" s="1" t="str">
        <f t="shared" si="77"/>
        <v/>
      </c>
      <c r="T1651" s="1" t="str">
        <f>IF(OR($C1651="",$D1651&lt;&gt;"Gelir",$L1651=""),"",IFERROR(INDEX(MUSTERILER!$B$7:$B$156,MATCH($S1651,MUSTERILER!$T$7:$T$156,0)),""))</f>
        <v/>
      </c>
      <c r="U1651" s="1" t="str">
        <f>IF($T1651="","",$T1651&amp;"|"&amp;COUNTIFS($T$7:$T1651,$T1651))</f>
        <v/>
      </c>
      <c r="V1651" s="1">
        <f t="shared" si="78"/>
        <v>0</v>
      </c>
      <c r="W1651" s="1" t="str">
        <f t="shared" si="79"/>
        <v/>
      </c>
      <c r="X1651" s="1"/>
      <c r="Y1651" s="1"/>
      <c r="Z1651" s="1"/>
      <c r="AA1651" s="1"/>
      <c r="AB1651" s="1"/>
      <c r="AC1651" s="1"/>
      <c r="AD1651" s="1">
        <f>IF($C1651="",0,SUMPRODUCT((AY_SONU!$O$7:$O$42="Evet")*(AY_SONU!$B$7:$B$42=DATE(YEAR($C1651),MONTH($C1651),1))))</f>
        <v>0</v>
      </c>
      <c r="AE1651" s="1" t="str">
        <f>IF($E1651="","",$E1651&amp;"|"&amp;COUNTIFS($E$7:$E1651,$E1651))</f>
        <v/>
      </c>
    </row>
    <row r="1652" spans="1:31" ht="18" customHeight="1" x14ac:dyDescent="0.3">
      <c r="A1652" s="2"/>
      <c r="B1652" s="65" t="str">
        <f>IF($C1652="","","GG"&amp;TEXT(ROW()-6,"00000"))</f>
        <v/>
      </c>
      <c r="C1652" s="66"/>
      <c r="D1652" s="60"/>
      <c r="E1652" s="61"/>
      <c r="F1652" s="61"/>
      <c r="G1652" s="67"/>
      <c r="H1652" s="60"/>
      <c r="I1652" s="60"/>
      <c r="J1652" s="61"/>
      <c r="K1652" s="61"/>
      <c r="L1652" s="60"/>
      <c r="M1652" s="74" t="str">
        <f>IF($C1652="","",IF($D1652="Gider",$E1652,IF($L1652&lt;&gt;"",$L1652,$H1652)))</f>
        <v/>
      </c>
      <c r="N1652" s="74" t="str">
        <f>IF($C1652="","",IF($D1652="Gider",$H1652,$E1652))</f>
        <v/>
      </c>
      <c r="O1652" s="73" t="str">
        <f>IF($C1652="","",DATE(YEAR($C1652),MONTH($C1652),1))</f>
        <v/>
      </c>
      <c r="P1652" s="65" t="str">
        <f ca="1">IF($C1652="","",IF(AND($D1652="Gelir",$L1652&lt;&gt;"",$T1652=""),"TANIMSIZ BORÇLU",IF($T1652&lt;&gt;"",IF(OR($E1652="",$G1652&lt;=0),"EKSİK",IF($I1652="Evet","TAHAKKUK NAKİT OLAMAZ",IF($C1652&gt;TODAY(),"İLERİ TARİH","TAHAKKUK"))),IF(AND($D1652&lt;&gt;"",$E1652&lt;&gt;"",$G1652&gt;0,$H1652&lt;&gt;"",$I1652&lt;&gt;""),IF($C1652&gt;TODAY(),"İLERİ TARİH",IF(COUNTIF($W$7:$W$3001,$W1652)&gt;1,"MÜKERRER?",IF($AD1652&gt;0,"KAPALI DÖNEM",IF($I1652="Hayır","ÖDENECEK","UYGUN")))),"EKSİK"))))</f>
        <v/>
      </c>
      <c r="Q1652" s="2"/>
      <c r="R1652" s="2"/>
      <c r="S1652" s="1" t="str">
        <f t="shared" si="77"/>
        <v/>
      </c>
      <c r="T1652" s="1" t="str">
        <f>IF(OR($C1652="",$D1652&lt;&gt;"Gelir",$L1652=""),"",IFERROR(INDEX(MUSTERILER!$B$7:$B$156,MATCH($S1652,MUSTERILER!$T$7:$T$156,0)),""))</f>
        <v/>
      </c>
      <c r="U1652" s="1" t="str">
        <f>IF($T1652="","",$T1652&amp;"|"&amp;COUNTIFS($T$7:$T1652,$T1652))</f>
        <v/>
      </c>
      <c r="V1652" s="1">
        <f t="shared" si="78"/>
        <v>0</v>
      </c>
      <c r="W1652" s="1" t="str">
        <f t="shared" si="79"/>
        <v/>
      </c>
      <c r="X1652" s="1"/>
      <c r="Y1652" s="1"/>
      <c r="Z1652" s="1"/>
      <c r="AA1652" s="1"/>
      <c r="AB1652" s="1"/>
      <c r="AC1652" s="1"/>
      <c r="AD1652" s="1">
        <f>IF($C1652="",0,SUMPRODUCT((AY_SONU!$O$7:$O$42="Evet")*(AY_SONU!$B$7:$B$42=DATE(YEAR($C1652),MONTH($C1652),1))))</f>
        <v>0</v>
      </c>
      <c r="AE1652" s="1" t="str">
        <f>IF($E1652="","",$E1652&amp;"|"&amp;COUNTIFS($E$7:$E1652,$E1652))</f>
        <v/>
      </c>
    </row>
    <row r="1653" spans="1:31" ht="18" customHeight="1" x14ac:dyDescent="0.3">
      <c r="A1653" s="2"/>
      <c r="B1653" s="65" t="str">
        <f>IF($C1653="","","GG"&amp;TEXT(ROW()-6,"00000"))</f>
        <v/>
      </c>
      <c r="C1653" s="66"/>
      <c r="D1653" s="60"/>
      <c r="E1653" s="61"/>
      <c r="F1653" s="61"/>
      <c r="G1653" s="67"/>
      <c r="H1653" s="60"/>
      <c r="I1653" s="60"/>
      <c r="J1653" s="61"/>
      <c r="K1653" s="61"/>
      <c r="L1653" s="60"/>
      <c r="M1653" s="74" t="str">
        <f>IF($C1653="","",IF($D1653="Gider",$E1653,IF($L1653&lt;&gt;"",$L1653,$H1653)))</f>
        <v/>
      </c>
      <c r="N1653" s="74" t="str">
        <f>IF($C1653="","",IF($D1653="Gider",$H1653,$E1653))</f>
        <v/>
      </c>
      <c r="O1653" s="73" t="str">
        <f>IF($C1653="","",DATE(YEAR($C1653),MONTH($C1653),1))</f>
        <v/>
      </c>
      <c r="P1653" s="65" t="str">
        <f ca="1">IF($C1653="","",IF(AND($D1653="Gelir",$L1653&lt;&gt;"",$T1653=""),"TANIMSIZ BORÇLU",IF($T1653&lt;&gt;"",IF(OR($E1653="",$G1653&lt;=0),"EKSİK",IF($I1653="Evet","TAHAKKUK NAKİT OLAMAZ",IF($C1653&gt;TODAY(),"İLERİ TARİH","TAHAKKUK"))),IF(AND($D1653&lt;&gt;"",$E1653&lt;&gt;"",$G1653&gt;0,$H1653&lt;&gt;"",$I1653&lt;&gt;""),IF($C1653&gt;TODAY(),"İLERİ TARİH",IF(COUNTIF($W$7:$W$3001,$W1653)&gt;1,"MÜKERRER?",IF($AD1653&gt;0,"KAPALI DÖNEM",IF($I1653="Hayır","ÖDENECEK","UYGUN")))),"EKSİK"))))</f>
        <v/>
      </c>
      <c r="Q1653" s="2"/>
      <c r="R1653" s="2"/>
      <c r="S1653" s="1" t="str">
        <f t="shared" si="77"/>
        <v/>
      </c>
      <c r="T1653" s="1" t="str">
        <f>IF(OR($C1653="",$D1653&lt;&gt;"Gelir",$L1653=""),"",IFERROR(INDEX(MUSTERILER!$B$7:$B$156,MATCH($S1653,MUSTERILER!$T$7:$T$156,0)),""))</f>
        <v/>
      </c>
      <c r="U1653" s="1" t="str">
        <f>IF($T1653="","",$T1653&amp;"|"&amp;COUNTIFS($T$7:$T1653,$T1653))</f>
        <v/>
      </c>
      <c r="V1653" s="1">
        <f t="shared" si="78"/>
        <v>0</v>
      </c>
      <c r="W1653" s="1" t="str">
        <f t="shared" si="79"/>
        <v/>
      </c>
      <c r="X1653" s="1"/>
      <c r="Y1653" s="1"/>
      <c r="Z1653" s="1"/>
      <c r="AA1653" s="1"/>
      <c r="AB1653" s="1"/>
      <c r="AC1653" s="1"/>
      <c r="AD1653" s="1">
        <f>IF($C1653="",0,SUMPRODUCT((AY_SONU!$O$7:$O$42="Evet")*(AY_SONU!$B$7:$B$42=DATE(YEAR($C1653),MONTH($C1653),1))))</f>
        <v>0</v>
      </c>
      <c r="AE1653" s="1" t="str">
        <f>IF($E1653="","",$E1653&amp;"|"&amp;COUNTIFS($E$7:$E1653,$E1653))</f>
        <v/>
      </c>
    </row>
    <row r="1654" spans="1:31" ht="18" customHeight="1" x14ac:dyDescent="0.3">
      <c r="A1654" s="2"/>
      <c r="B1654" s="65" t="str">
        <f>IF($C1654="","","GG"&amp;TEXT(ROW()-6,"00000"))</f>
        <v/>
      </c>
      <c r="C1654" s="66"/>
      <c r="D1654" s="60"/>
      <c r="E1654" s="61"/>
      <c r="F1654" s="61"/>
      <c r="G1654" s="67"/>
      <c r="H1654" s="60"/>
      <c r="I1654" s="60"/>
      <c r="J1654" s="61"/>
      <c r="K1654" s="61"/>
      <c r="L1654" s="60"/>
      <c r="M1654" s="74" t="str">
        <f>IF($C1654="","",IF($D1654="Gider",$E1654,IF($L1654&lt;&gt;"",$L1654,$H1654)))</f>
        <v/>
      </c>
      <c r="N1654" s="74" t="str">
        <f>IF($C1654="","",IF($D1654="Gider",$H1654,$E1654))</f>
        <v/>
      </c>
      <c r="O1654" s="73" t="str">
        <f>IF($C1654="","",DATE(YEAR($C1654),MONTH($C1654),1))</f>
        <v/>
      </c>
      <c r="P1654" s="65" t="str">
        <f ca="1">IF($C1654="","",IF(AND($D1654="Gelir",$L1654&lt;&gt;"",$T1654=""),"TANIMSIZ BORÇLU",IF($T1654&lt;&gt;"",IF(OR($E1654="",$G1654&lt;=0),"EKSİK",IF($I1654="Evet","TAHAKKUK NAKİT OLAMAZ",IF($C1654&gt;TODAY(),"İLERİ TARİH","TAHAKKUK"))),IF(AND($D1654&lt;&gt;"",$E1654&lt;&gt;"",$G1654&gt;0,$H1654&lt;&gt;"",$I1654&lt;&gt;""),IF($C1654&gt;TODAY(),"İLERİ TARİH",IF(COUNTIF($W$7:$W$3001,$W1654)&gt;1,"MÜKERRER?",IF($AD1654&gt;0,"KAPALI DÖNEM",IF($I1654="Hayır","ÖDENECEK","UYGUN")))),"EKSİK"))))</f>
        <v/>
      </c>
      <c r="Q1654" s="2"/>
      <c r="R1654" s="2"/>
      <c r="S1654" s="1" t="str">
        <f t="shared" si="77"/>
        <v/>
      </c>
      <c r="T1654" s="1" t="str">
        <f>IF(OR($C1654="",$D1654&lt;&gt;"Gelir",$L1654=""),"",IFERROR(INDEX(MUSTERILER!$B$7:$B$156,MATCH($S1654,MUSTERILER!$T$7:$T$156,0)),""))</f>
        <v/>
      </c>
      <c r="U1654" s="1" t="str">
        <f>IF($T1654="","",$T1654&amp;"|"&amp;COUNTIFS($T$7:$T1654,$T1654))</f>
        <v/>
      </c>
      <c r="V1654" s="1">
        <f t="shared" si="78"/>
        <v>0</v>
      </c>
      <c r="W1654" s="1" t="str">
        <f t="shared" si="79"/>
        <v/>
      </c>
      <c r="X1654" s="1"/>
      <c r="Y1654" s="1"/>
      <c r="Z1654" s="1"/>
      <c r="AA1654" s="1"/>
      <c r="AB1654" s="1"/>
      <c r="AC1654" s="1"/>
      <c r="AD1654" s="1">
        <f>IF($C1654="",0,SUMPRODUCT((AY_SONU!$O$7:$O$42="Evet")*(AY_SONU!$B$7:$B$42=DATE(YEAR($C1654),MONTH($C1654),1))))</f>
        <v>0</v>
      </c>
      <c r="AE1654" s="1" t="str">
        <f>IF($E1654="","",$E1654&amp;"|"&amp;COUNTIFS($E$7:$E1654,$E1654))</f>
        <v/>
      </c>
    </row>
    <row r="1655" spans="1:31" ht="18" customHeight="1" x14ac:dyDescent="0.3">
      <c r="A1655" s="2"/>
      <c r="B1655" s="65" t="str">
        <f>IF($C1655="","","GG"&amp;TEXT(ROW()-6,"00000"))</f>
        <v/>
      </c>
      <c r="C1655" s="66"/>
      <c r="D1655" s="60"/>
      <c r="E1655" s="61"/>
      <c r="F1655" s="61"/>
      <c r="G1655" s="67"/>
      <c r="H1655" s="60"/>
      <c r="I1655" s="60"/>
      <c r="J1655" s="61"/>
      <c r="K1655" s="61"/>
      <c r="L1655" s="60"/>
      <c r="M1655" s="74" t="str">
        <f>IF($C1655="","",IF($D1655="Gider",$E1655,IF($L1655&lt;&gt;"",$L1655,$H1655)))</f>
        <v/>
      </c>
      <c r="N1655" s="74" t="str">
        <f>IF($C1655="","",IF($D1655="Gider",$H1655,$E1655))</f>
        <v/>
      </c>
      <c r="O1655" s="73" t="str">
        <f>IF($C1655="","",DATE(YEAR($C1655),MONTH($C1655),1))</f>
        <v/>
      </c>
      <c r="P1655" s="65" t="str">
        <f ca="1">IF($C1655="","",IF(AND($D1655="Gelir",$L1655&lt;&gt;"",$T1655=""),"TANIMSIZ BORÇLU",IF($T1655&lt;&gt;"",IF(OR($E1655="",$G1655&lt;=0),"EKSİK",IF($I1655="Evet","TAHAKKUK NAKİT OLAMAZ",IF($C1655&gt;TODAY(),"İLERİ TARİH","TAHAKKUK"))),IF(AND($D1655&lt;&gt;"",$E1655&lt;&gt;"",$G1655&gt;0,$H1655&lt;&gt;"",$I1655&lt;&gt;""),IF($C1655&gt;TODAY(),"İLERİ TARİH",IF(COUNTIF($W$7:$W$3001,$W1655)&gt;1,"MÜKERRER?",IF($AD1655&gt;0,"KAPALI DÖNEM",IF($I1655="Hayır","ÖDENECEK","UYGUN")))),"EKSİK"))))</f>
        <v/>
      </c>
      <c r="Q1655" s="2"/>
      <c r="R1655" s="2"/>
      <c r="S1655" s="1" t="str">
        <f t="shared" si="77"/>
        <v/>
      </c>
      <c r="T1655" s="1" t="str">
        <f>IF(OR($C1655="",$D1655&lt;&gt;"Gelir",$L1655=""),"",IFERROR(INDEX(MUSTERILER!$B$7:$B$156,MATCH($S1655,MUSTERILER!$T$7:$T$156,0)),""))</f>
        <v/>
      </c>
      <c r="U1655" s="1" t="str">
        <f>IF($T1655="","",$T1655&amp;"|"&amp;COUNTIFS($T$7:$T1655,$T1655))</f>
        <v/>
      </c>
      <c r="V1655" s="1">
        <f t="shared" si="78"/>
        <v>0</v>
      </c>
      <c r="W1655" s="1" t="str">
        <f t="shared" si="79"/>
        <v/>
      </c>
      <c r="X1655" s="1"/>
      <c r="Y1655" s="1"/>
      <c r="Z1655" s="1"/>
      <c r="AA1655" s="1"/>
      <c r="AB1655" s="1"/>
      <c r="AC1655" s="1"/>
      <c r="AD1655" s="1">
        <f>IF($C1655="",0,SUMPRODUCT((AY_SONU!$O$7:$O$42="Evet")*(AY_SONU!$B$7:$B$42=DATE(YEAR($C1655),MONTH($C1655),1))))</f>
        <v>0</v>
      </c>
      <c r="AE1655" s="1" t="str">
        <f>IF($E1655="","",$E1655&amp;"|"&amp;COUNTIFS($E$7:$E1655,$E1655))</f>
        <v/>
      </c>
    </row>
    <row r="1656" spans="1:31" ht="18" customHeight="1" x14ac:dyDescent="0.3">
      <c r="A1656" s="2"/>
      <c r="B1656" s="65" t="str">
        <f>IF($C1656="","","GG"&amp;TEXT(ROW()-6,"00000"))</f>
        <v/>
      </c>
      <c r="C1656" s="66"/>
      <c r="D1656" s="60"/>
      <c r="E1656" s="61"/>
      <c r="F1656" s="61"/>
      <c r="G1656" s="67"/>
      <c r="H1656" s="60"/>
      <c r="I1656" s="60"/>
      <c r="J1656" s="61"/>
      <c r="K1656" s="61"/>
      <c r="L1656" s="60"/>
      <c r="M1656" s="74" t="str">
        <f>IF($C1656="","",IF($D1656="Gider",$E1656,IF($L1656&lt;&gt;"",$L1656,$H1656)))</f>
        <v/>
      </c>
      <c r="N1656" s="74" t="str">
        <f>IF($C1656="","",IF($D1656="Gider",$H1656,$E1656))</f>
        <v/>
      </c>
      <c r="O1656" s="73" t="str">
        <f>IF($C1656="","",DATE(YEAR($C1656),MONTH($C1656),1))</f>
        <v/>
      </c>
      <c r="P1656" s="65" t="str">
        <f ca="1">IF($C1656="","",IF(AND($D1656="Gelir",$L1656&lt;&gt;"",$T1656=""),"TANIMSIZ BORÇLU",IF($T1656&lt;&gt;"",IF(OR($E1656="",$G1656&lt;=0),"EKSİK",IF($I1656="Evet","TAHAKKUK NAKİT OLAMAZ",IF($C1656&gt;TODAY(),"İLERİ TARİH","TAHAKKUK"))),IF(AND($D1656&lt;&gt;"",$E1656&lt;&gt;"",$G1656&gt;0,$H1656&lt;&gt;"",$I1656&lt;&gt;""),IF($C1656&gt;TODAY(),"İLERİ TARİH",IF(COUNTIF($W$7:$W$3001,$W1656)&gt;1,"MÜKERRER?",IF($AD1656&gt;0,"KAPALI DÖNEM",IF($I1656="Hayır","ÖDENECEK","UYGUN")))),"EKSİK"))))</f>
        <v/>
      </c>
      <c r="Q1656" s="2"/>
      <c r="R1656" s="2"/>
      <c r="S1656" s="1" t="str">
        <f t="shared" si="77"/>
        <v/>
      </c>
      <c r="T1656" s="1" t="str">
        <f>IF(OR($C1656="",$D1656&lt;&gt;"Gelir",$L1656=""),"",IFERROR(INDEX(MUSTERILER!$B$7:$B$156,MATCH($S1656,MUSTERILER!$T$7:$T$156,0)),""))</f>
        <v/>
      </c>
      <c r="U1656" s="1" t="str">
        <f>IF($T1656="","",$T1656&amp;"|"&amp;COUNTIFS($T$7:$T1656,$T1656))</f>
        <v/>
      </c>
      <c r="V1656" s="1">
        <f t="shared" si="78"/>
        <v>0</v>
      </c>
      <c r="W1656" s="1" t="str">
        <f t="shared" si="79"/>
        <v/>
      </c>
      <c r="X1656" s="1"/>
      <c r="Y1656" s="1"/>
      <c r="Z1656" s="1"/>
      <c r="AA1656" s="1"/>
      <c r="AB1656" s="1"/>
      <c r="AC1656" s="1"/>
      <c r="AD1656" s="1">
        <f>IF($C1656="",0,SUMPRODUCT((AY_SONU!$O$7:$O$42="Evet")*(AY_SONU!$B$7:$B$42=DATE(YEAR($C1656),MONTH($C1656),1))))</f>
        <v>0</v>
      </c>
      <c r="AE1656" s="1" t="str">
        <f>IF($E1656="","",$E1656&amp;"|"&amp;COUNTIFS($E$7:$E1656,$E1656))</f>
        <v/>
      </c>
    </row>
    <row r="1657" spans="1:31" ht="18" customHeight="1" x14ac:dyDescent="0.3">
      <c r="A1657" s="2"/>
      <c r="B1657" s="65" t="str">
        <f>IF($C1657="","","GG"&amp;TEXT(ROW()-6,"00000"))</f>
        <v/>
      </c>
      <c r="C1657" s="66"/>
      <c r="D1657" s="60"/>
      <c r="E1657" s="61"/>
      <c r="F1657" s="61"/>
      <c r="G1657" s="67"/>
      <c r="H1657" s="60"/>
      <c r="I1657" s="60"/>
      <c r="J1657" s="61"/>
      <c r="K1657" s="61"/>
      <c r="L1657" s="60"/>
      <c r="M1657" s="74" t="str">
        <f>IF($C1657="","",IF($D1657="Gider",$E1657,IF($L1657&lt;&gt;"",$L1657,$H1657)))</f>
        <v/>
      </c>
      <c r="N1657" s="74" t="str">
        <f>IF($C1657="","",IF($D1657="Gider",$H1657,$E1657))</f>
        <v/>
      </c>
      <c r="O1657" s="73" t="str">
        <f>IF($C1657="","",DATE(YEAR($C1657),MONTH($C1657),1))</f>
        <v/>
      </c>
      <c r="P1657" s="65" t="str">
        <f ca="1">IF($C1657="","",IF(AND($D1657="Gelir",$L1657&lt;&gt;"",$T1657=""),"TANIMSIZ BORÇLU",IF($T1657&lt;&gt;"",IF(OR($E1657="",$G1657&lt;=0),"EKSİK",IF($I1657="Evet","TAHAKKUK NAKİT OLAMAZ",IF($C1657&gt;TODAY(),"İLERİ TARİH","TAHAKKUK"))),IF(AND($D1657&lt;&gt;"",$E1657&lt;&gt;"",$G1657&gt;0,$H1657&lt;&gt;"",$I1657&lt;&gt;""),IF($C1657&gt;TODAY(),"İLERİ TARİH",IF(COUNTIF($W$7:$W$3001,$W1657)&gt;1,"MÜKERRER?",IF($AD1657&gt;0,"KAPALI DÖNEM",IF($I1657="Hayır","ÖDENECEK","UYGUN")))),"EKSİK"))))</f>
        <v/>
      </c>
      <c r="Q1657" s="2"/>
      <c r="R1657" s="2"/>
      <c r="S1657" s="1" t="str">
        <f t="shared" si="77"/>
        <v/>
      </c>
      <c r="T1657" s="1" t="str">
        <f>IF(OR($C1657="",$D1657&lt;&gt;"Gelir",$L1657=""),"",IFERROR(INDEX(MUSTERILER!$B$7:$B$156,MATCH($S1657,MUSTERILER!$T$7:$T$156,0)),""))</f>
        <v/>
      </c>
      <c r="U1657" s="1" t="str">
        <f>IF($T1657="","",$T1657&amp;"|"&amp;COUNTIFS($T$7:$T1657,$T1657))</f>
        <v/>
      </c>
      <c r="V1657" s="1">
        <f t="shared" si="78"/>
        <v>0</v>
      </c>
      <c r="W1657" s="1" t="str">
        <f t="shared" si="79"/>
        <v/>
      </c>
      <c r="X1657" s="1"/>
      <c r="Y1657" s="1"/>
      <c r="Z1657" s="1"/>
      <c r="AA1657" s="1"/>
      <c r="AB1657" s="1"/>
      <c r="AC1657" s="1"/>
      <c r="AD1657" s="1">
        <f>IF($C1657="",0,SUMPRODUCT((AY_SONU!$O$7:$O$42="Evet")*(AY_SONU!$B$7:$B$42=DATE(YEAR($C1657),MONTH($C1657),1))))</f>
        <v>0</v>
      </c>
      <c r="AE1657" s="1" t="str">
        <f>IF($E1657="","",$E1657&amp;"|"&amp;COUNTIFS($E$7:$E1657,$E1657))</f>
        <v/>
      </c>
    </row>
    <row r="1658" spans="1:31" ht="18" customHeight="1" x14ac:dyDescent="0.3">
      <c r="A1658" s="2"/>
      <c r="B1658" s="65" t="str">
        <f>IF($C1658="","","GG"&amp;TEXT(ROW()-6,"00000"))</f>
        <v/>
      </c>
      <c r="C1658" s="66"/>
      <c r="D1658" s="60"/>
      <c r="E1658" s="61"/>
      <c r="F1658" s="61"/>
      <c r="G1658" s="67"/>
      <c r="H1658" s="60"/>
      <c r="I1658" s="60"/>
      <c r="J1658" s="61"/>
      <c r="K1658" s="61"/>
      <c r="L1658" s="60"/>
      <c r="M1658" s="74" t="str">
        <f>IF($C1658="","",IF($D1658="Gider",$E1658,IF($L1658&lt;&gt;"",$L1658,$H1658)))</f>
        <v/>
      </c>
      <c r="N1658" s="74" t="str">
        <f>IF($C1658="","",IF($D1658="Gider",$H1658,$E1658))</f>
        <v/>
      </c>
      <c r="O1658" s="73" t="str">
        <f>IF($C1658="","",DATE(YEAR($C1658),MONTH($C1658),1))</f>
        <v/>
      </c>
      <c r="P1658" s="65" t="str">
        <f ca="1">IF($C1658="","",IF(AND($D1658="Gelir",$L1658&lt;&gt;"",$T1658=""),"TANIMSIZ BORÇLU",IF($T1658&lt;&gt;"",IF(OR($E1658="",$G1658&lt;=0),"EKSİK",IF($I1658="Evet","TAHAKKUK NAKİT OLAMAZ",IF($C1658&gt;TODAY(),"İLERİ TARİH","TAHAKKUK"))),IF(AND($D1658&lt;&gt;"",$E1658&lt;&gt;"",$G1658&gt;0,$H1658&lt;&gt;"",$I1658&lt;&gt;""),IF($C1658&gt;TODAY(),"İLERİ TARİH",IF(COUNTIF($W$7:$W$3001,$W1658)&gt;1,"MÜKERRER?",IF($AD1658&gt;0,"KAPALI DÖNEM",IF($I1658="Hayır","ÖDENECEK","UYGUN")))),"EKSİK"))))</f>
        <v/>
      </c>
      <c r="Q1658" s="2"/>
      <c r="R1658" s="2"/>
      <c r="S1658" s="1" t="str">
        <f t="shared" si="77"/>
        <v/>
      </c>
      <c r="T1658" s="1" t="str">
        <f>IF(OR($C1658="",$D1658&lt;&gt;"Gelir",$L1658=""),"",IFERROR(INDEX(MUSTERILER!$B$7:$B$156,MATCH($S1658,MUSTERILER!$T$7:$T$156,0)),""))</f>
        <v/>
      </c>
      <c r="U1658" s="1" t="str">
        <f>IF($T1658="","",$T1658&amp;"|"&amp;COUNTIFS($T$7:$T1658,$T1658))</f>
        <v/>
      </c>
      <c r="V1658" s="1">
        <f t="shared" si="78"/>
        <v>0</v>
      </c>
      <c r="W1658" s="1" t="str">
        <f t="shared" si="79"/>
        <v/>
      </c>
      <c r="X1658" s="1"/>
      <c r="Y1658" s="1"/>
      <c r="Z1658" s="1"/>
      <c r="AA1658" s="1"/>
      <c r="AB1658" s="1"/>
      <c r="AC1658" s="1"/>
      <c r="AD1658" s="1">
        <f>IF($C1658="",0,SUMPRODUCT((AY_SONU!$O$7:$O$42="Evet")*(AY_SONU!$B$7:$B$42=DATE(YEAR($C1658),MONTH($C1658),1))))</f>
        <v>0</v>
      </c>
      <c r="AE1658" s="1" t="str">
        <f>IF($E1658="","",$E1658&amp;"|"&amp;COUNTIFS($E$7:$E1658,$E1658))</f>
        <v/>
      </c>
    </row>
    <row r="1659" spans="1:31" ht="18" customHeight="1" x14ac:dyDescent="0.3">
      <c r="A1659" s="2"/>
      <c r="B1659" s="65" t="str">
        <f>IF($C1659="","","GG"&amp;TEXT(ROW()-6,"00000"))</f>
        <v/>
      </c>
      <c r="C1659" s="66"/>
      <c r="D1659" s="60"/>
      <c r="E1659" s="61"/>
      <c r="F1659" s="61"/>
      <c r="G1659" s="67"/>
      <c r="H1659" s="60"/>
      <c r="I1659" s="60"/>
      <c r="J1659" s="61"/>
      <c r="K1659" s="61"/>
      <c r="L1659" s="60"/>
      <c r="M1659" s="74" t="str">
        <f>IF($C1659="","",IF($D1659="Gider",$E1659,IF($L1659&lt;&gt;"",$L1659,$H1659)))</f>
        <v/>
      </c>
      <c r="N1659" s="74" t="str">
        <f>IF($C1659="","",IF($D1659="Gider",$H1659,$E1659))</f>
        <v/>
      </c>
      <c r="O1659" s="73" t="str">
        <f>IF($C1659="","",DATE(YEAR($C1659),MONTH($C1659),1))</f>
        <v/>
      </c>
      <c r="P1659" s="65" t="str">
        <f ca="1">IF($C1659="","",IF(AND($D1659="Gelir",$L1659&lt;&gt;"",$T1659=""),"TANIMSIZ BORÇLU",IF($T1659&lt;&gt;"",IF(OR($E1659="",$G1659&lt;=0),"EKSİK",IF($I1659="Evet","TAHAKKUK NAKİT OLAMAZ",IF($C1659&gt;TODAY(),"İLERİ TARİH","TAHAKKUK"))),IF(AND($D1659&lt;&gt;"",$E1659&lt;&gt;"",$G1659&gt;0,$H1659&lt;&gt;"",$I1659&lt;&gt;""),IF($C1659&gt;TODAY(),"İLERİ TARİH",IF(COUNTIF($W$7:$W$3001,$W1659)&gt;1,"MÜKERRER?",IF($AD1659&gt;0,"KAPALI DÖNEM",IF($I1659="Hayır","ÖDENECEK","UYGUN")))),"EKSİK"))))</f>
        <v/>
      </c>
      <c r="Q1659" s="2"/>
      <c r="R1659" s="2"/>
      <c r="S1659" s="1" t="str">
        <f t="shared" si="77"/>
        <v/>
      </c>
      <c r="T1659" s="1" t="str">
        <f>IF(OR($C1659="",$D1659&lt;&gt;"Gelir",$L1659=""),"",IFERROR(INDEX(MUSTERILER!$B$7:$B$156,MATCH($S1659,MUSTERILER!$T$7:$T$156,0)),""))</f>
        <v/>
      </c>
      <c r="U1659" s="1" t="str">
        <f>IF($T1659="","",$T1659&amp;"|"&amp;COUNTIFS($T$7:$T1659,$T1659))</f>
        <v/>
      </c>
      <c r="V1659" s="1">
        <f t="shared" si="78"/>
        <v>0</v>
      </c>
      <c r="W1659" s="1" t="str">
        <f t="shared" si="79"/>
        <v/>
      </c>
      <c r="X1659" s="1"/>
      <c r="Y1659" s="1"/>
      <c r="Z1659" s="1"/>
      <c r="AA1659" s="1"/>
      <c r="AB1659" s="1"/>
      <c r="AC1659" s="1"/>
      <c r="AD1659" s="1">
        <f>IF($C1659="",0,SUMPRODUCT((AY_SONU!$O$7:$O$42="Evet")*(AY_SONU!$B$7:$B$42=DATE(YEAR($C1659),MONTH($C1659),1))))</f>
        <v>0</v>
      </c>
      <c r="AE1659" s="1" t="str">
        <f>IF($E1659="","",$E1659&amp;"|"&amp;COUNTIFS($E$7:$E1659,$E1659))</f>
        <v/>
      </c>
    </row>
    <row r="1660" spans="1:31" ht="18" customHeight="1" x14ac:dyDescent="0.3">
      <c r="A1660" s="2"/>
      <c r="B1660" s="65" t="str">
        <f>IF($C1660="","","GG"&amp;TEXT(ROW()-6,"00000"))</f>
        <v/>
      </c>
      <c r="C1660" s="66"/>
      <c r="D1660" s="60"/>
      <c r="E1660" s="61"/>
      <c r="F1660" s="61"/>
      <c r="G1660" s="67"/>
      <c r="H1660" s="60"/>
      <c r="I1660" s="60"/>
      <c r="J1660" s="61"/>
      <c r="K1660" s="61"/>
      <c r="L1660" s="60"/>
      <c r="M1660" s="74" t="str">
        <f>IF($C1660="","",IF($D1660="Gider",$E1660,IF($L1660&lt;&gt;"",$L1660,$H1660)))</f>
        <v/>
      </c>
      <c r="N1660" s="74" t="str">
        <f>IF($C1660="","",IF($D1660="Gider",$H1660,$E1660))</f>
        <v/>
      </c>
      <c r="O1660" s="73" t="str">
        <f>IF($C1660="","",DATE(YEAR($C1660),MONTH($C1660),1))</f>
        <v/>
      </c>
      <c r="P1660" s="65" t="str">
        <f ca="1">IF($C1660="","",IF(AND($D1660="Gelir",$L1660&lt;&gt;"",$T1660=""),"TANIMSIZ BORÇLU",IF($T1660&lt;&gt;"",IF(OR($E1660="",$G1660&lt;=0),"EKSİK",IF($I1660="Evet","TAHAKKUK NAKİT OLAMAZ",IF($C1660&gt;TODAY(),"İLERİ TARİH","TAHAKKUK"))),IF(AND($D1660&lt;&gt;"",$E1660&lt;&gt;"",$G1660&gt;0,$H1660&lt;&gt;"",$I1660&lt;&gt;""),IF($C1660&gt;TODAY(),"İLERİ TARİH",IF(COUNTIF($W$7:$W$3001,$W1660)&gt;1,"MÜKERRER?",IF($AD1660&gt;0,"KAPALI DÖNEM",IF($I1660="Hayır","ÖDENECEK","UYGUN")))),"EKSİK"))))</f>
        <v/>
      </c>
      <c r="Q1660" s="2"/>
      <c r="R1660" s="2"/>
      <c r="S1660" s="1" t="str">
        <f t="shared" si="77"/>
        <v/>
      </c>
      <c r="T1660" s="1" t="str">
        <f>IF(OR($C1660="",$D1660&lt;&gt;"Gelir",$L1660=""),"",IFERROR(INDEX(MUSTERILER!$B$7:$B$156,MATCH($S1660,MUSTERILER!$T$7:$T$156,0)),""))</f>
        <v/>
      </c>
      <c r="U1660" s="1" t="str">
        <f>IF($T1660="","",$T1660&amp;"|"&amp;COUNTIFS($T$7:$T1660,$T1660))</f>
        <v/>
      </c>
      <c r="V1660" s="1">
        <f t="shared" si="78"/>
        <v>0</v>
      </c>
      <c r="W1660" s="1" t="str">
        <f t="shared" si="79"/>
        <v/>
      </c>
      <c r="X1660" s="1"/>
      <c r="Y1660" s="1"/>
      <c r="Z1660" s="1"/>
      <c r="AA1660" s="1"/>
      <c r="AB1660" s="1"/>
      <c r="AC1660" s="1"/>
      <c r="AD1660" s="1">
        <f>IF($C1660="",0,SUMPRODUCT((AY_SONU!$O$7:$O$42="Evet")*(AY_SONU!$B$7:$B$42=DATE(YEAR($C1660),MONTH($C1660),1))))</f>
        <v>0</v>
      </c>
      <c r="AE1660" s="1" t="str">
        <f>IF($E1660="","",$E1660&amp;"|"&amp;COUNTIFS($E$7:$E1660,$E1660))</f>
        <v/>
      </c>
    </row>
    <row r="1661" spans="1:31" ht="18" customHeight="1" x14ac:dyDescent="0.3">
      <c r="A1661" s="2"/>
      <c r="B1661" s="65" t="str">
        <f>IF($C1661="","","GG"&amp;TEXT(ROW()-6,"00000"))</f>
        <v/>
      </c>
      <c r="C1661" s="66"/>
      <c r="D1661" s="60"/>
      <c r="E1661" s="61"/>
      <c r="F1661" s="61"/>
      <c r="G1661" s="67"/>
      <c r="H1661" s="60"/>
      <c r="I1661" s="60"/>
      <c r="J1661" s="61"/>
      <c r="K1661" s="61"/>
      <c r="L1661" s="60"/>
      <c r="M1661" s="74" t="str">
        <f>IF($C1661="","",IF($D1661="Gider",$E1661,IF($L1661&lt;&gt;"",$L1661,$H1661)))</f>
        <v/>
      </c>
      <c r="N1661" s="74" t="str">
        <f>IF($C1661="","",IF($D1661="Gider",$H1661,$E1661))</f>
        <v/>
      </c>
      <c r="O1661" s="73" t="str">
        <f>IF($C1661="","",DATE(YEAR($C1661),MONTH($C1661),1))</f>
        <v/>
      </c>
      <c r="P1661" s="65" t="str">
        <f ca="1">IF($C1661="","",IF(AND($D1661="Gelir",$L1661&lt;&gt;"",$T1661=""),"TANIMSIZ BORÇLU",IF($T1661&lt;&gt;"",IF(OR($E1661="",$G1661&lt;=0),"EKSİK",IF($I1661="Evet","TAHAKKUK NAKİT OLAMAZ",IF($C1661&gt;TODAY(),"İLERİ TARİH","TAHAKKUK"))),IF(AND($D1661&lt;&gt;"",$E1661&lt;&gt;"",$G1661&gt;0,$H1661&lt;&gt;"",$I1661&lt;&gt;""),IF($C1661&gt;TODAY(),"İLERİ TARİH",IF(COUNTIF($W$7:$W$3001,$W1661)&gt;1,"MÜKERRER?",IF($AD1661&gt;0,"KAPALI DÖNEM",IF($I1661="Hayır","ÖDENECEK","UYGUN")))),"EKSİK"))))</f>
        <v/>
      </c>
      <c r="Q1661" s="2"/>
      <c r="R1661" s="2"/>
      <c r="S1661" s="1" t="str">
        <f t="shared" si="77"/>
        <v/>
      </c>
      <c r="T1661" s="1" t="str">
        <f>IF(OR($C1661="",$D1661&lt;&gt;"Gelir",$L1661=""),"",IFERROR(INDEX(MUSTERILER!$B$7:$B$156,MATCH($S1661,MUSTERILER!$T$7:$T$156,0)),""))</f>
        <v/>
      </c>
      <c r="U1661" s="1" t="str">
        <f>IF($T1661="","",$T1661&amp;"|"&amp;COUNTIFS($T$7:$T1661,$T1661))</f>
        <v/>
      </c>
      <c r="V1661" s="1">
        <f t="shared" si="78"/>
        <v>0</v>
      </c>
      <c r="W1661" s="1" t="str">
        <f t="shared" si="79"/>
        <v/>
      </c>
      <c r="X1661" s="1"/>
      <c r="Y1661" s="1"/>
      <c r="Z1661" s="1"/>
      <c r="AA1661" s="1"/>
      <c r="AB1661" s="1"/>
      <c r="AC1661" s="1"/>
      <c r="AD1661" s="1">
        <f>IF($C1661="",0,SUMPRODUCT((AY_SONU!$O$7:$O$42="Evet")*(AY_SONU!$B$7:$B$42=DATE(YEAR($C1661),MONTH($C1661),1))))</f>
        <v>0</v>
      </c>
      <c r="AE1661" s="1" t="str">
        <f>IF($E1661="","",$E1661&amp;"|"&amp;COUNTIFS($E$7:$E1661,$E1661))</f>
        <v/>
      </c>
    </row>
    <row r="1662" spans="1:31" ht="18" customHeight="1" x14ac:dyDescent="0.3">
      <c r="A1662" s="2"/>
      <c r="B1662" s="65" t="str">
        <f>IF($C1662="","","GG"&amp;TEXT(ROW()-6,"00000"))</f>
        <v/>
      </c>
      <c r="C1662" s="66"/>
      <c r="D1662" s="60"/>
      <c r="E1662" s="61"/>
      <c r="F1662" s="61"/>
      <c r="G1662" s="67"/>
      <c r="H1662" s="60"/>
      <c r="I1662" s="60"/>
      <c r="J1662" s="61"/>
      <c r="K1662" s="61"/>
      <c r="L1662" s="60"/>
      <c r="M1662" s="74" t="str">
        <f>IF($C1662="","",IF($D1662="Gider",$E1662,IF($L1662&lt;&gt;"",$L1662,$H1662)))</f>
        <v/>
      </c>
      <c r="N1662" s="74" t="str">
        <f>IF($C1662="","",IF($D1662="Gider",$H1662,$E1662))</f>
        <v/>
      </c>
      <c r="O1662" s="73" t="str">
        <f>IF($C1662="","",DATE(YEAR($C1662),MONTH($C1662),1))</f>
        <v/>
      </c>
      <c r="P1662" s="65" t="str">
        <f ca="1">IF($C1662="","",IF(AND($D1662="Gelir",$L1662&lt;&gt;"",$T1662=""),"TANIMSIZ BORÇLU",IF($T1662&lt;&gt;"",IF(OR($E1662="",$G1662&lt;=0),"EKSİK",IF($I1662="Evet","TAHAKKUK NAKİT OLAMAZ",IF($C1662&gt;TODAY(),"İLERİ TARİH","TAHAKKUK"))),IF(AND($D1662&lt;&gt;"",$E1662&lt;&gt;"",$G1662&gt;0,$H1662&lt;&gt;"",$I1662&lt;&gt;""),IF($C1662&gt;TODAY(),"İLERİ TARİH",IF(COUNTIF($W$7:$W$3001,$W1662)&gt;1,"MÜKERRER?",IF($AD1662&gt;0,"KAPALI DÖNEM",IF($I1662="Hayır","ÖDENECEK","UYGUN")))),"EKSİK"))))</f>
        <v/>
      </c>
      <c r="Q1662" s="2"/>
      <c r="R1662" s="2"/>
      <c r="S1662" s="1" t="str">
        <f t="shared" si="77"/>
        <v/>
      </c>
      <c r="T1662" s="1" t="str">
        <f>IF(OR($C1662="",$D1662&lt;&gt;"Gelir",$L1662=""),"",IFERROR(INDEX(MUSTERILER!$B$7:$B$156,MATCH($S1662,MUSTERILER!$T$7:$T$156,0)),""))</f>
        <v/>
      </c>
      <c r="U1662" s="1" t="str">
        <f>IF($T1662="","",$T1662&amp;"|"&amp;COUNTIFS($T$7:$T1662,$T1662))</f>
        <v/>
      </c>
      <c r="V1662" s="1">
        <f t="shared" si="78"/>
        <v>0</v>
      </c>
      <c r="W1662" s="1" t="str">
        <f t="shared" si="79"/>
        <v/>
      </c>
      <c r="X1662" s="1"/>
      <c r="Y1662" s="1"/>
      <c r="Z1662" s="1"/>
      <c r="AA1662" s="1"/>
      <c r="AB1662" s="1"/>
      <c r="AC1662" s="1"/>
      <c r="AD1662" s="1">
        <f>IF($C1662="",0,SUMPRODUCT((AY_SONU!$O$7:$O$42="Evet")*(AY_SONU!$B$7:$B$42=DATE(YEAR($C1662),MONTH($C1662),1))))</f>
        <v>0</v>
      </c>
      <c r="AE1662" s="1" t="str">
        <f>IF($E1662="","",$E1662&amp;"|"&amp;COUNTIFS($E$7:$E1662,$E1662))</f>
        <v/>
      </c>
    </row>
    <row r="1663" spans="1:31" ht="18" customHeight="1" x14ac:dyDescent="0.3">
      <c r="A1663" s="2"/>
      <c r="B1663" s="65" t="str">
        <f>IF($C1663="","","GG"&amp;TEXT(ROW()-6,"00000"))</f>
        <v/>
      </c>
      <c r="C1663" s="66"/>
      <c r="D1663" s="60"/>
      <c r="E1663" s="61"/>
      <c r="F1663" s="61"/>
      <c r="G1663" s="67"/>
      <c r="H1663" s="60"/>
      <c r="I1663" s="60"/>
      <c r="J1663" s="61"/>
      <c r="K1663" s="61"/>
      <c r="L1663" s="60"/>
      <c r="M1663" s="74" t="str">
        <f>IF($C1663="","",IF($D1663="Gider",$E1663,IF($L1663&lt;&gt;"",$L1663,$H1663)))</f>
        <v/>
      </c>
      <c r="N1663" s="74" t="str">
        <f>IF($C1663="","",IF($D1663="Gider",$H1663,$E1663))</f>
        <v/>
      </c>
      <c r="O1663" s="73" t="str">
        <f>IF($C1663="","",DATE(YEAR($C1663),MONTH($C1663),1))</f>
        <v/>
      </c>
      <c r="P1663" s="65" t="str">
        <f ca="1">IF($C1663="","",IF(AND($D1663="Gelir",$L1663&lt;&gt;"",$T1663=""),"TANIMSIZ BORÇLU",IF($T1663&lt;&gt;"",IF(OR($E1663="",$G1663&lt;=0),"EKSİK",IF($I1663="Evet","TAHAKKUK NAKİT OLAMAZ",IF($C1663&gt;TODAY(),"İLERİ TARİH","TAHAKKUK"))),IF(AND($D1663&lt;&gt;"",$E1663&lt;&gt;"",$G1663&gt;0,$H1663&lt;&gt;"",$I1663&lt;&gt;""),IF($C1663&gt;TODAY(),"İLERİ TARİH",IF(COUNTIF($W$7:$W$3001,$W1663)&gt;1,"MÜKERRER?",IF($AD1663&gt;0,"KAPALI DÖNEM",IF($I1663="Hayır","ÖDENECEK","UYGUN")))),"EKSİK"))))</f>
        <v/>
      </c>
      <c r="Q1663" s="2"/>
      <c r="R1663" s="2"/>
      <c r="S1663" s="1" t="str">
        <f t="shared" si="77"/>
        <v/>
      </c>
      <c r="T1663" s="1" t="str">
        <f>IF(OR($C1663="",$D1663&lt;&gt;"Gelir",$L1663=""),"",IFERROR(INDEX(MUSTERILER!$B$7:$B$156,MATCH($S1663,MUSTERILER!$T$7:$T$156,0)),""))</f>
        <v/>
      </c>
      <c r="U1663" s="1" t="str">
        <f>IF($T1663="","",$T1663&amp;"|"&amp;COUNTIFS($T$7:$T1663,$T1663))</f>
        <v/>
      </c>
      <c r="V1663" s="1">
        <f t="shared" si="78"/>
        <v>0</v>
      </c>
      <c r="W1663" s="1" t="str">
        <f t="shared" si="79"/>
        <v/>
      </c>
      <c r="X1663" s="1"/>
      <c r="Y1663" s="1"/>
      <c r="Z1663" s="1"/>
      <c r="AA1663" s="1"/>
      <c r="AB1663" s="1"/>
      <c r="AC1663" s="1"/>
      <c r="AD1663" s="1">
        <f>IF($C1663="",0,SUMPRODUCT((AY_SONU!$O$7:$O$42="Evet")*(AY_SONU!$B$7:$B$42=DATE(YEAR($C1663),MONTH($C1663),1))))</f>
        <v>0</v>
      </c>
      <c r="AE1663" s="1" t="str">
        <f>IF($E1663="","",$E1663&amp;"|"&amp;COUNTIFS($E$7:$E1663,$E1663))</f>
        <v/>
      </c>
    </row>
    <row r="1664" spans="1:31" ht="18" customHeight="1" x14ac:dyDescent="0.3">
      <c r="A1664" s="2"/>
      <c r="B1664" s="65" t="str">
        <f>IF($C1664="","","GG"&amp;TEXT(ROW()-6,"00000"))</f>
        <v/>
      </c>
      <c r="C1664" s="66"/>
      <c r="D1664" s="60"/>
      <c r="E1664" s="61"/>
      <c r="F1664" s="61"/>
      <c r="G1664" s="67"/>
      <c r="H1664" s="60"/>
      <c r="I1664" s="60"/>
      <c r="J1664" s="61"/>
      <c r="K1664" s="61"/>
      <c r="L1664" s="60"/>
      <c r="M1664" s="74" t="str">
        <f>IF($C1664="","",IF($D1664="Gider",$E1664,IF($L1664&lt;&gt;"",$L1664,$H1664)))</f>
        <v/>
      </c>
      <c r="N1664" s="74" t="str">
        <f>IF($C1664="","",IF($D1664="Gider",$H1664,$E1664))</f>
        <v/>
      </c>
      <c r="O1664" s="73" t="str">
        <f>IF($C1664="","",DATE(YEAR($C1664),MONTH($C1664),1))</f>
        <v/>
      </c>
      <c r="P1664" s="65" t="str">
        <f ca="1">IF($C1664="","",IF(AND($D1664="Gelir",$L1664&lt;&gt;"",$T1664=""),"TANIMSIZ BORÇLU",IF($T1664&lt;&gt;"",IF(OR($E1664="",$G1664&lt;=0),"EKSİK",IF($I1664="Evet","TAHAKKUK NAKİT OLAMAZ",IF($C1664&gt;TODAY(),"İLERİ TARİH","TAHAKKUK"))),IF(AND($D1664&lt;&gt;"",$E1664&lt;&gt;"",$G1664&gt;0,$H1664&lt;&gt;"",$I1664&lt;&gt;""),IF($C1664&gt;TODAY(),"İLERİ TARİH",IF(COUNTIF($W$7:$W$3001,$W1664)&gt;1,"MÜKERRER?",IF($AD1664&gt;0,"KAPALI DÖNEM",IF($I1664="Hayır","ÖDENECEK","UYGUN")))),"EKSİK"))))</f>
        <v/>
      </c>
      <c r="Q1664" s="2"/>
      <c r="R1664" s="2"/>
      <c r="S1664" s="1" t="str">
        <f t="shared" si="77"/>
        <v/>
      </c>
      <c r="T1664" s="1" t="str">
        <f>IF(OR($C1664="",$D1664&lt;&gt;"Gelir",$L1664=""),"",IFERROR(INDEX(MUSTERILER!$B$7:$B$156,MATCH($S1664,MUSTERILER!$T$7:$T$156,0)),""))</f>
        <v/>
      </c>
      <c r="U1664" s="1" t="str">
        <f>IF($T1664="","",$T1664&amp;"|"&amp;COUNTIFS($T$7:$T1664,$T1664))</f>
        <v/>
      </c>
      <c r="V1664" s="1">
        <f t="shared" si="78"/>
        <v>0</v>
      </c>
      <c r="W1664" s="1" t="str">
        <f t="shared" si="79"/>
        <v/>
      </c>
      <c r="X1664" s="1"/>
      <c r="Y1664" s="1"/>
      <c r="Z1664" s="1"/>
      <c r="AA1664" s="1"/>
      <c r="AB1664" s="1"/>
      <c r="AC1664" s="1"/>
      <c r="AD1664" s="1">
        <f>IF($C1664="",0,SUMPRODUCT((AY_SONU!$O$7:$O$42="Evet")*(AY_SONU!$B$7:$B$42=DATE(YEAR($C1664),MONTH($C1664),1))))</f>
        <v>0</v>
      </c>
      <c r="AE1664" s="1" t="str">
        <f>IF($E1664="","",$E1664&amp;"|"&amp;COUNTIFS($E$7:$E1664,$E1664))</f>
        <v/>
      </c>
    </row>
    <row r="1665" spans="1:31" ht="18" customHeight="1" x14ac:dyDescent="0.3">
      <c r="A1665" s="2"/>
      <c r="B1665" s="65" t="str">
        <f>IF($C1665="","","GG"&amp;TEXT(ROW()-6,"00000"))</f>
        <v/>
      </c>
      <c r="C1665" s="66"/>
      <c r="D1665" s="60"/>
      <c r="E1665" s="61"/>
      <c r="F1665" s="61"/>
      <c r="G1665" s="67"/>
      <c r="H1665" s="60"/>
      <c r="I1665" s="60"/>
      <c r="J1665" s="61"/>
      <c r="K1665" s="61"/>
      <c r="L1665" s="60"/>
      <c r="M1665" s="74" t="str">
        <f>IF($C1665="","",IF($D1665="Gider",$E1665,IF($L1665&lt;&gt;"",$L1665,$H1665)))</f>
        <v/>
      </c>
      <c r="N1665" s="74" t="str">
        <f>IF($C1665="","",IF($D1665="Gider",$H1665,$E1665))</f>
        <v/>
      </c>
      <c r="O1665" s="73" t="str">
        <f>IF($C1665="","",DATE(YEAR($C1665),MONTH($C1665),1))</f>
        <v/>
      </c>
      <c r="P1665" s="65" t="str">
        <f ca="1">IF($C1665="","",IF(AND($D1665="Gelir",$L1665&lt;&gt;"",$T1665=""),"TANIMSIZ BORÇLU",IF($T1665&lt;&gt;"",IF(OR($E1665="",$G1665&lt;=0),"EKSİK",IF($I1665="Evet","TAHAKKUK NAKİT OLAMAZ",IF($C1665&gt;TODAY(),"İLERİ TARİH","TAHAKKUK"))),IF(AND($D1665&lt;&gt;"",$E1665&lt;&gt;"",$G1665&gt;0,$H1665&lt;&gt;"",$I1665&lt;&gt;""),IF($C1665&gt;TODAY(),"İLERİ TARİH",IF(COUNTIF($W$7:$W$3001,$W1665)&gt;1,"MÜKERRER?",IF($AD1665&gt;0,"KAPALI DÖNEM",IF($I1665="Hayır","ÖDENECEK","UYGUN")))),"EKSİK"))))</f>
        <v/>
      </c>
      <c r="Q1665" s="2"/>
      <c r="R1665" s="2"/>
      <c r="S1665" s="1" t="str">
        <f t="shared" si="77"/>
        <v/>
      </c>
      <c r="T1665" s="1" t="str">
        <f>IF(OR($C1665="",$D1665&lt;&gt;"Gelir",$L1665=""),"",IFERROR(INDEX(MUSTERILER!$B$7:$B$156,MATCH($S1665,MUSTERILER!$T$7:$T$156,0)),""))</f>
        <v/>
      </c>
      <c r="U1665" s="1" t="str">
        <f>IF($T1665="","",$T1665&amp;"|"&amp;COUNTIFS($T$7:$T1665,$T1665))</f>
        <v/>
      </c>
      <c r="V1665" s="1">
        <f t="shared" si="78"/>
        <v>0</v>
      </c>
      <c r="W1665" s="1" t="str">
        <f t="shared" si="79"/>
        <v/>
      </c>
      <c r="X1665" s="1"/>
      <c r="Y1665" s="1"/>
      <c r="Z1665" s="1"/>
      <c r="AA1665" s="1"/>
      <c r="AB1665" s="1"/>
      <c r="AC1665" s="1"/>
      <c r="AD1665" s="1">
        <f>IF($C1665="",0,SUMPRODUCT((AY_SONU!$O$7:$O$42="Evet")*(AY_SONU!$B$7:$B$42=DATE(YEAR($C1665),MONTH($C1665),1))))</f>
        <v>0</v>
      </c>
      <c r="AE1665" s="1" t="str">
        <f>IF($E1665="","",$E1665&amp;"|"&amp;COUNTIFS($E$7:$E1665,$E1665))</f>
        <v/>
      </c>
    </row>
    <row r="1666" spans="1:31" ht="18" customHeight="1" x14ac:dyDescent="0.3">
      <c r="A1666" s="2"/>
      <c r="B1666" s="65" t="str">
        <f>IF($C1666="","","GG"&amp;TEXT(ROW()-6,"00000"))</f>
        <v/>
      </c>
      <c r="C1666" s="66"/>
      <c r="D1666" s="60"/>
      <c r="E1666" s="61"/>
      <c r="F1666" s="61"/>
      <c r="G1666" s="67"/>
      <c r="H1666" s="60"/>
      <c r="I1666" s="60"/>
      <c r="J1666" s="61"/>
      <c r="K1666" s="61"/>
      <c r="L1666" s="60"/>
      <c r="M1666" s="74" t="str">
        <f>IF($C1666="","",IF($D1666="Gider",$E1666,IF($L1666&lt;&gt;"",$L1666,$H1666)))</f>
        <v/>
      </c>
      <c r="N1666" s="74" t="str">
        <f>IF($C1666="","",IF($D1666="Gider",$H1666,$E1666))</f>
        <v/>
      </c>
      <c r="O1666" s="73" t="str">
        <f>IF($C1666="","",DATE(YEAR($C1666),MONTH($C1666),1))</f>
        <v/>
      </c>
      <c r="P1666" s="65" t="str">
        <f ca="1">IF($C1666="","",IF(AND($D1666="Gelir",$L1666&lt;&gt;"",$T1666=""),"TANIMSIZ BORÇLU",IF($T1666&lt;&gt;"",IF(OR($E1666="",$G1666&lt;=0),"EKSİK",IF($I1666="Evet","TAHAKKUK NAKİT OLAMAZ",IF($C1666&gt;TODAY(),"İLERİ TARİH","TAHAKKUK"))),IF(AND($D1666&lt;&gt;"",$E1666&lt;&gt;"",$G1666&gt;0,$H1666&lt;&gt;"",$I1666&lt;&gt;""),IF($C1666&gt;TODAY(),"İLERİ TARİH",IF(COUNTIF($W$7:$W$3001,$W1666)&gt;1,"MÜKERRER?",IF($AD1666&gt;0,"KAPALI DÖNEM",IF($I1666="Hayır","ÖDENECEK","UYGUN")))),"EKSİK"))))</f>
        <v/>
      </c>
      <c r="Q1666" s="2"/>
      <c r="R1666" s="2"/>
      <c r="S1666" s="1" t="str">
        <f t="shared" si="77"/>
        <v/>
      </c>
      <c r="T1666" s="1" t="str">
        <f>IF(OR($C1666="",$D1666&lt;&gt;"Gelir",$L1666=""),"",IFERROR(INDEX(MUSTERILER!$B$7:$B$156,MATCH($S1666,MUSTERILER!$T$7:$T$156,0)),""))</f>
        <v/>
      </c>
      <c r="U1666" s="1" t="str">
        <f>IF($T1666="","",$T1666&amp;"|"&amp;COUNTIFS($T$7:$T1666,$T1666))</f>
        <v/>
      </c>
      <c r="V1666" s="1">
        <f t="shared" si="78"/>
        <v>0</v>
      </c>
      <c r="W1666" s="1" t="str">
        <f t="shared" si="79"/>
        <v/>
      </c>
      <c r="X1666" s="1"/>
      <c r="Y1666" s="1"/>
      <c r="Z1666" s="1"/>
      <c r="AA1666" s="1"/>
      <c r="AB1666" s="1"/>
      <c r="AC1666" s="1"/>
      <c r="AD1666" s="1">
        <f>IF($C1666="",0,SUMPRODUCT((AY_SONU!$O$7:$O$42="Evet")*(AY_SONU!$B$7:$B$42=DATE(YEAR($C1666),MONTH($C1666),1))))</f>
        <v>0</v>
      </c>
      <c r="AE1666" s="1" t="str">
        <f>IF($E1666="","",$E1666&amp;"|"&amp;COUNTIFS($E$7:$E1666,$E1666))</f>
        <v/>
      </c>
    </row>
    <row r="1667" spans="1:31" ht="18" customHeight="1" x14ac:dyDescent="0.3">
      <c r="A1667" s="2"/>
      <c r="B1667" s="65" t="str">
        <f>IF($C1667="","","GG"&amp;TEXT(ROW()-6,"00000"))</f>
        <v/>
      </c>
      <c r="C1667" s="66"/>
      <c r="D1667" s="60"/>
      <c r="E1667" s="61"/>
      <c r="F1667" s="61"/>
      <c r="G1667" s="67"/>
      <c r="H1667" s="60"/>
      <c r="I1667" s="60"/>
      <c r="J1667" s="61"/>
      <c r="K1667" s="61"/>
      <c r="L1667" s="60"/>
      <c r="M1667" s="74" t="str">
        <f>IF($C1667="","",IF($D1667="Gider",$E1667,IF($L1667&lt;&gt;"",$L1667,$H1667)))</f>
        <v/>
      </c>
      <c r="N1667" s="74" t="str">
        <f>IF($C1667="","",IF($D1667="Gider",$H1667,$E1667))</f>
        <v/>
      </c>
      <c r="O1667" s="73" t="str">
        <f>IF($C1667="","",DATE(YEAR($C1667),MONTH($C1667),1))</f>
        <v/>
      </c>
      <c r="P1667" s="65" t="str">
        <f ca="1">IF($C1667="","",IF(AND($D1667="Gelir",$L1667&lt;&gt;"",$T1667=""),"TANIMSIZ BORÇLU",IF($T1667&lt;&gt;"",IF(OR($E1667="",$G1667&lt;=0),"EKSİK",IF($I1667="Evet","TAHAKKUK NAKİT OLAMAZ",IF($C1667&gt;TODAY(),"İLERİ TARİH","TAHAKKUK"))),IF(AND($D1667&lt;&gt;"",$E1667&lt;&gt;"",$G1667&gt;0,$H1667&lt;&gt;"",$I1667&lt;&gt;""),IF($C1667&gt;TODAY(),"İLERİ TARİH",IF(COUNTIF($W$7:$W$3001,$W1667)&gt;1,"MÜKERRER?",IF($AD1667&gt;0,"KAPALI DÖNEM",IF($I1667="Hayır","ÖDENECEK","UYGUN")))),"EKSİK"))))</f>
        <v/>
      </c>
      <c r="Q1667" s="2"/>
      <c r="R1667" s="2"/>
      <c r="S1667" s="1" t="str">
        <f t="shared" si="77"/>
        <v/>
      </c>
      <c r="T1667" s="1" t="str">
        <f>IF(OR($C1667="",$D1667&lt;&gt;"Gelir",$L1667=""),"",IFERROR(INDEX(MUSTERILER!$B$7:$B$156,MATCH($S1667,MUSTERILER!$T$7:$T$156,0)),""))</f>
        <v/>
      </c>
      <c r="U1667" s="1" t="str">
        <f>IF($T1667="","",$T1667&amp;"|"&amp;COUNTIFS($T$7:$T1667,$T1667))</f>
        <v/>
      </c>
      <c r="V1667" s="1">
        <f t="shared" si="78"/>
        <v>0</v>
      </c>
      <c r="W1667" s="1" t="str">
        <f t="shared" si="79"/>
        <v/>
      </c>
      <c r="X1667" s="1"/>
      <c r="Y1667" s="1"/>
      <c r="Z1667" s="1"/>
      <c r="AA1667" s="1"/>
      <c r="AB1667" s="1"/>
      <c r="AC1667" s="1"/>
      <c r="AD1667" s="1">
        <f>IF($C1667="",0,SUMPRODUCT((AY_SONU!$O$7:$O$42="Evet")*(AY_SONU!$B$7:$B$42=DATE(YEAR($C1667),MONTH($C1667),1))))</f>
        <v>0</v>
      </c>
      <c r="AE1667" s="1" t="str">
        <f>IF($E1667="","",$E1667&amp;"|"&amp;COUNTIFS($E$7:$E1667,$E1667))</f>
        <v/>
      </c>
    </row>
    <row r="1668" spans="1:31" ht="18" customHeight="1" x14ac:dyDescent="0.3">
      <c r="A1668" s="2"/>
      <c r="B1668" s="65" t="str">
        <f>IF($C1668="","","GG"&amp;TEXT(ROW()-6,"00000"))</f>
        <v/>
      </c>
      <c r="C1668" s="66"/>
      <c r="D1668" s="60"/>
      <c r="E1668" s="61"/>
      <c r="F1668" s="61"/>
      <c r="G1668" s="67"/>
      <c r="H1668" s="60"/>
      <c r="I1668" s="60"/>
      <c r="J1668" s="61"/>
      <c r="K1668" s="61"/>
      <c r="L1668" s="60"/>
      <c r="M1668" s="74" t="str">
        <f>IF($C1668="","",IF($D1668="Gider",$E1668,IF($L1668&lt;&gt;"",$L1668,$H1668)))</f>
        <v/>
      </c>
      <c r="N1668" s="74" t="str">
        <f>IF($C1668="","",IF($D1668="Gider",$H1668,$E1668))</f>
        <v/>
      </c>
      <c r="O1668" s="73" t="str">
        <f>IF($C1668="","",DATE(YEAR($C1668),MONTH($C1668),1))</f>
        <v/>
      </c>
      <c r="P1668" s="65" t="str">
        <f ca="1">IF($C1668="","",IF(AND($D1668="Gelir",$L1668&lt;&gt;"",$T1668=""),"TANIMSIZ BORÇLU",IF($T1668&lt;&gt;"",IF(OR($E1668="",$G1668&lt;=0),"EKSİK",IF($I1668="Evet","TAHAKKUK NAKİT OLAMAZ",IF($C1668&gt;TODAY(),"İLERİ TARİH","TAHAKKUK"))),IF(AND($D1668&lt;&gt;"",$E1668&lt;&gt;"",$G1668&gt;0,$H1668&lt;&gt;"",$I1668&lt;&gt;""),IF($C1668&gt;TODAY(),"İLERİ TARİH",IF(COUNTIF($W$7:$W$3001,$W1668)&gt;1,"MÜKERRER?",IF($AD1668&gt;0,"KAPALI DÖNEM",IF($I1668="Hayır","ÖDENECEK","UYGUN")))),"EKSİK"))))</f>
        <v/>
      </c>
      <c r="Q1668" s="2"/>
      <c r="R1668" s="2"/>
      <c r="S1668" s="1" t="str">
        <f t="shared" si="77"/>
        <v/>
      </c>
      <c r="T1668" s="1" t="str">
        <f>IF(OR($C1668="",$D1668&lt;&gt;"Gelir",$L1668=""),"",IFERROR(INDEX(MUSTERILER!$B$7:$B$156,MATCH($S1668,MUSTERILER!$T$7:$T$156,0)),""))</f>
        <v/>
      </c>
      <c r="U1668" s="1" t="str">
        <f>IF($T1668="","",$T1668&amp;"|"&amp;COUNTIFS($T$7:$T1668,$T1668))</f>
        <v/>
      </c>
      <c r="V1668" s="1">
        <f t="shared" si="78"/>
        <v>0</v>
      </c>
      <c r="W1668" s="1" t="str">
        <f t="shared" si="79"/>
        <v/>
      </c>
      <c r="X1668" s="1"/>
      <c r="Y1668" s="1"/>
      <c r="Z1668" s="1"/>
      <c r="AA1668" s="1"/>
      <c r="AB1668" s="1"/>
      <c r="AC1668" s="1"/>
      <c r="AD1668" s="1">
        <f>IF($C1668="",0,SUMPRODUCT((AY_SONU!$O$7:$O$42="Evet")*(AY_SONU!$B$7:$B$42=DATE(YEAR($C1668),MONTH($C1668),1))))</f>
        <v>0</v>
      </c>
      <c r="AE1668" s="1" t="str">
        <f>IF($E1668="","",$E1668&amp;"|"&amp;COUNTIFS($E$7:$E1668,$E1668))</f>
        <v/>
      </c>
    </row>
    <row r="1669" spans="1:31" ht="18" customHeight="1" x14ac:dyDescent="0.3">
      <c r="A1669" s="2"/>
      <c r="B1669" s="65" t="str">
        <f>IF($C1669="","","GG"&amp;TEXT(ROW()-6,"00000"))</f>
        <v/>
      </c>
      <c r="C1669" s="66"/>
      <c r="D1669" s="60"/>
      <c r="E1669" s="61"/>
      <c r="F1669" s="61"/>
      <c r="G1669" s="67"/>
      <c r="H1669" s="60"/>
      <c r="I1669" s="60"/>
      <c r="J1669" s="61"/>
      <c r="K1669" s="61"/>
      <c r="L1669" s="60"/>
      <c r="M1669" s="74" t="str">
        <f>IF($C1669="","",IF($D1669="Gider",$E1669,IF($L1669&lt;&gt;"",$L1669,$H1669)))</f>
        <v/>
      </c>
      <c r="N1669" s="74" t="str">
        <f>IF($C1669="","",IF($D1669="Gider",$H1669,$E1669))</f>
        <v/>
      </c>
      <c r="O1669" s="73" t="str">
        <f>IF($C1669="","",DATE(YEAR($C1669),MONTH($C1669),1))</f>
        <v/>
      </c>
      <c r="P1669" s="65" t="str">
        <f ca="1">IF($C1669="","",IF(AND($D1669="Gelir",$L1669&lt;&gt;"",$T1669=""),"TANIMSIZ BORÇLU",IF($T1669&lt;&gt;"",IF(OR($E1669="",$G1669&lt;=0),"EKSİK",IF($I1669="Evet","TAHAKKUK NAKİT OLAMAZ",IF($C1669&gt;TODAY(),"İLERİ TARİH","TAHAKKUK"))),IF(AND($D1669&lt;&gt;"",$E1669&lt;&gt;"",$G1669&gt;0,$H1669&lt;&gt;"",$I1669&lt;&gt;""),IF($C1669&gt;TODAY(),"İLERİ TARİH",IF(COUNTIF($W$7:$W$3001,$W1669)&gt;1,"MÜKERRER?",IF($AD1669&gt;0,"KAPALI DÖNEM",IF($I1669="Hayır","ÖDENECEK","UYGUN")))),"EKSİK"))))</f>
        <v/>
      </c>
      <c r="Q1669" s="2"/>
      <c r="R1669" s="2"/>
      <c r="S1669" s="1" t="str">
        <f t="shared" ref="S1669:S1732" si="80">IF($L1669="","",UPPER(SUBSTITUTE(SUBSTITUTE(SUBSTITUTE(SUBSTITUTE(SUBSTITUTE(SUBSTITUTE(SUBSTITUTE(SUBSTITUTE(SUBSTITUTE(SUBSTITUTE(SUBSTITUTE(SUBSTITUTE(SUBSTITUTE(SUBSTITUTE(SUBSTITUTE(SUBSTITUTE(SUBSTITUTE(SUBSTITUTE(TRIM($L1669),"'",""),"İ","I"),"ı","I"),"i","I"),"Ş","S"),"ş","S"),"Ğ","G"),"ğ","G"),"Ü","U"),"ü","U"),"Ö","O"),"ö","O"),"Ç","C"),"ç","C"),".",""),",","")," ",""),"-","")))</f>
        <v/>
      </c>
      <c r="T1669" s="1" t="str">
        <f>IF(OR($C1669="",$D1669&lt;&gt;"Gelir",$L1669=""),"",IFERROR(INDEX(MUSTERILER!$B$7:$B$156,MATCH($S1669,MUSTERILER!$T$7:$T$156,0)),""))</f>
        <v/>
      </c>
      <c r="U1669" s="1" t="str">
        <f>IF($T1669="","",$T1669&amp;"|"&amp;COUNTIFS($T$7:$T1669,$T1669))</f>
        <v/>
      </c>
      <c r="V1669" s="1">
        <f t="shared" ref="V1669:V1732" si="81">IF($T1669="",0,1)</f>
        <v>0</v>
      </c>
      <c r="W1669" s="1" t="str">
        <f t="shared" ref="W1669:W1732" si="82">IF($C1669="","",$D1669&amp;"|"&amp;$E1669&amp;"|"&amp;TEXT($C1669,"0")&amp;"|"&amp;TEXT($G1669,"0")&amp;"|"&amp;$F1669&amp;"|"&amp;$J1669)</f>
        <v/>
      </c>
      <c r="X1669" s="1"/>
      <c r="Y1669" s="1"/>
      <c r="Z1669" s="1"/>
      <c r="AA1669" s="1"/>
      <c r="AB1669" s="1"/>
      <c r="AC1669" s="1"/>
      <c r="AD1669" s="1">
        <f>IF($C1669="",0,SUMPRODUCT((AY_SONU!$O$7:$O$42="Evet")*(AY_SONU!$B$7:$B$42=DATE(YEAR($C1669),MONTH($C1669),1))))</f>
        <v>0</v>
      </c>
      <c r="AE1669" s="1" t="str">
        <f>IF($E1669="","",$E1669&amp;"|"&amp;COUNTIFS($E$7:$E1669,$E1669))</f>
        <v/>
      </c>
    </row>
    <row r="1670" spans="1:31" ht="18" customHeight="1" x14ac:dyDescent="0.3">
      <c r="A1670" s="2"/>
      <c r="B1670" s="65" t="str">
        <f>IF($C1670="","","GG"&amp;TEXT(ROW()-6,"00000"))</f>
        <v/>
      </c>
      <c r="C1670" s="66"/>
      <c r="D1670" s="60"/>
      <c r="E1670" s="61"/>
      <c r="F1670" s="61"/>
      <c r="G1670" s="67"/>
      <c r="H1670" s="60"/>
      <c r="I1670" s="60"/>
      <c r="J1670" s="61"/>
      <c r="K1670" s="61"/>
      <c r="L1670" s="60"/>
      <c r="M1670" s="74" t="str">
        <f>IF($C1670="","",IF($D1670="Gider",$E1670,IF($L1670&lt;&gt;"",$L1670,$H1670)))</f>
        <v/>
      </c>
      <c r="N1670" s="74" t="str">
        <f>IF($C1670="","",IF($D1670="Gider",$H1670,$E1670))</f>
        <v/>
      </c>
      <c r="O1670" s="73" t="str">
        <f>IF($C1670="","",DATE(YEAR($C1670),MONTH($C1670),1))</f>
        <v/>
      </c>
      <c r="P1670" s="65" t="str">
        <f ca="1">IF($C1670="","",IF(AND($D1670="Gelir",$L1670&lt;&gt;"",$T1670=""),"TANIMSIZ BORÇLU",IF($T1670&lt;&gt;"",IF(OR($E1670="",$G1670&lt;=0),"EKSİK",IF($I1670="Evet","TAHAKKUK NAKİT OLAMAZ",IF($C1670&gt;TODAY(),"İLERİ TARİH","TAHAKKUK"))),IF(AND($D1670&lt;&gt;"",$E1670&lt;&gt;"",$G1670&gt;0,$H1670&lt;&gt;"",$I1670&lt;&gt;""),IF($C1670&gt;TODAY(),"İLERİ TARİH",IF(COUNTIF($W$7:$W$3001,$W1670)&gt;1,"MÜKERRER?",IF($AD1670&gt;0,"KAPALI DÖNEM",IF($I1670="Hayır","ÖDENECEK","UYGUN")))),"EKSİK"))))</f>
        <v/>
      </c>
      <c r="Q1670" s="2"/>
      <c r="R1670" s="2"/>
      <c r="S1670" s="1" t="str">
        <f t="shared" si="80"/>
        <v/>
      </c>
      <c r="T1670" s="1" t="str">
        <f>IF(OR($C1670="",$D1670&lt;&gt;"Gelir",$L1670=""),"",IFERROR(INDEX(MUSTERILER!$B$7:$B$156,MATCH($S1670,MUSTERILER!$T$7:$T$156,0)),""))</f>
        <v/>
      </c>
      <c r="U1670" s="1" t="str">
        <f>IF($T1670="","",$T1670&amp;"|"&amp;COUNTIFS($T$7:$T1670,$T1670))</f>
        <v/>
      </c>
      <c r="V1670" s="1">
        <f t="shared" si="81"/>
        <v>0</v>
      </c>
      <c r="W1670" s="1" t="str">
        <f t="shared" si="82"/>
        <v/>
      </c>
      <c r="X1670" s="1"/>
      <c r="Y1670" s="1"/>
      <c r="Z1670" s="1"/>
      <c r="AA1670" s="1"/>
      <c r="AB1670" s="1"/>
      <c r="AC1670" s="1"/>
      <c r="AD1670" s="1">
        <f>IF($C1670="",0,SUMPRODUCT((AY_SONU!$O$7:$O$42="Evet")*(AY_SONU!$B$7:$B$42=DATE(YEAR($C1670),MONTH($C1670),1))))</f>
        <v>0</v>
      </c>
      <c r="AE1670" s="1" t="str">
        <f>IF($E1670="","",$E1670&amp;"|"&amp;COUNTIFS($E$7:$E1670,$E1670))</f>
        <v/>
      </c>
    </row>
    <row r="1671" spans="1:31" ht="18" customHeight="1" x14ac:dyDescent="0.3">
      <c r="A1671" s="2"/>
      <c r="B1671" s="65" t="str">
        <f>IF($C1671="","","GG"&amp;TEXT(ROW()-6,"00000"))</f>
        <v/>
      </c>
      <c r="C1671" s="66"/>
      <c r="D1671" s="60"/>
      <c r="E1671" s="61"/>
      <c r="F1671" s="61"/>
      <c r="G1671" s="67"/>
      <c r="H1671" s="60"/>
      <c r="I1671" s="60"/>
      <c r="J1671" s="61"/>
      <c r="K1671" s="61"/>
      <c r="L1671" s="60"/>
      <c r="M1671" s="74" t="str">
        <f>IF($C1671="","",IF($D1671="Gider",$E1671,IF($L1671&lt;&gt;"",$L1671,$H1671)))</f>
        <v/>
      </c>
      <c r="N1671" s="74" t="str">
        <f>IF($C1671="","",IF($D1671="Gider",$H1671,$E1671))</f>
        <v/>
      </c>
      <c r="O1671" s="73" t="str">
        <f>IF($C1671="","",DATE(YEAR($C1671),MONTH($C1671),1))</f>
        <v/>
      </c>
      <c r="P1671" s="65" t="str">
        <f ca="1"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TARİH",IF(COUNTIF($W$7:$W$3001,$W1671)&gt;1,"MÜKERRER?",IF($AD1671&gt;0,"KAPALI DÖNEM",IF($I1671="Hayır","ÖDENECEK","UYGUN")))),"EKSİK"))))</f>
        <v/>
      </c>
      <c r="Q1671" s="2"/>
      <c r="R1671" s="2"/>
      <c r="S1671" s="1" t="str">
        <f t="shared" si="80"/>
        <v/>
      </c>
      <c r="T1671" s="1" t="str">
        <f>IF(OR($C1671="",$D1671&lt;&gt;"Gelir",$L1671=""),"",IFERROR(INDEX(MUSTERILER!$B$7:$B$156,MATCH($S1671,MUSTERILER!$T$7:$T$156,0)),""))</f>
        <v/>
      </c>
      <c r="U1671" s="1" t="str">
        <f>IF($T1671="","",$T1671&amp;"|"&amp;COUNTIFS($T$7:$T1671,$T1671))</f>
        <v/>
      </c>
      <c r="V1671" s="1">
        <f t="shared" si="81"/>
        <v>0</v>
      </c>
      <c r="W1671" s="1" t="str">
        <f t="shared" si="82"/>
        <v/>
      </c>
      <c r="X1671" s="1"/>
      <c r="Y1671" s="1"/>
      <c r="Z1671" s="1"/>
      <c r="AA1671" s="1"/>
      <c r="AB1671" s="1"/>
      <c r="AC1671" s="1"/>
      <c r="AD1671" s="1">
        <f>IF($C1671="",0,SUMPRODUCT((AY_SONU!$O$7:$O$42="Evet")*(AY_SONU!$B$7:$B$42=DATE(YEAR($C1671),MONTH($C1671),1))))</f>
        <v>0</v>
      </c>
      <c r="AE1671" s="1" t="str">
        <f>IF($E1671="","",$E1671&amp;"|"&amp;COUNTIFS($E$7:$E1671,$E1671))</f>
        <v/>
      </c>
    </row>
    <row r="1672" spans="1:31" ht="18" customHeight="1" x14ac:dyDescent="0.3">
      <c r="A1672" s="2"/>
      <c r="B1672" s="65" t="str">
        <f>IF($C1672="","","GG"&amp;TEXT(ROW()-6,"00000"))</f>
        <v/>
      </c>
      <c r="C1672" s="66"/>
      <c r="D1672" s="60"/>
      <c r="E1672" s="61"/>
      <c r="F1672" s="61"/>
      <c r="G1672" s="67"/>
      <c r="H1672" s="60"/>
      <c r="I1672" s="60"/>
      <c r="J1672" s="61"/>
      <c r="K1672" s="61"/>
      <c r="L1672" s="60"/>
      <c r="M1672" s="74" t="str">
        <f>IF($C1672="","",IF($D1672="Gider",$E1672,IF($L1672&lt;&gt;"",$L1672,$H1672)))</f>
        <v/>
      </c>
      <c r="N1672" s="74" t="str">
        <f>IF($C1672="","",IF($D1672="Gider",$H1672,$E1672))</f>
        <v/>
      </c>
      <c r="O1672" s="73" t="str">
        <f>IF($C1672="","",DATE(YEAR($C1672),MONTH($C1672),1))</f>
        <v/>
      </c>
      <c r="P1672" s="65" t="str">
        <f ca="1">IF($C1672="","",IF(AND($D1672="Gelir",$L1672&lt;&gt;"",$T1672=""),"TANIMSIZ BORÇLU",IF($T1672&lt;&gt;"",IF(OR($E1672="",$G1672&lt;=0),"EKSİK",IF($I1672="Evet","TAHAKKUK NAKİT OLAMAZ",IF($C1672&gt;TODAY(),"İLERİ TARİH","TAHAKKUK"))),IF(AND($D1672&lt;&gt;"",$E1672&lt;&gt;"",$G1672&gt;0,$H1672&lt;&gt;"",$I1672&lt;&gt;""),IF($C1672&gt;TODAY(),"İLERİ TARİH",IF(COUNTIF($W$7:$W$3001,$W1672)&gt;1,"MÜKERRER?",IF($AD1672&gt;0,"KAPALI DÖNEM",IF($I1672="Hayır","ÖDENECEK","UYGUN")))),"EKSİK"))))</f>
        <v/>
      </c>
      <c r="Q1672" s="2"/>
      <c r="R1672" s="2"/>
      <c r="S1672" s="1" t="str">
        <f t="shared" si="80"/>
        <v/>
      </c>
      <c r="T1672" s="1" t="str">
        <f>IF(OR($C1672="",$D1672&lt;&gt;"Gelir",$L1672=""),"",IFERROR(INDEX(MUSTERILER!$B$7:$B$156,MATCH($S1672,MUSTERILER!$T$7:$T$156,0)),""))</f>
        <v/>
      </c>
      <c r="U1672" s="1" t="str">
        <f>IF($T1672="","",$T1672&amp;"|"&amp;COUNTIFS($T$7:$T1672,$T1672))</f>
        <v/>
      </c>
      <c r="V1672" s="1">
        <f t="shared" si="81"/>
        <v>0</v>
      </c>
      <c r="W1672" s="1" t="str">
        <f t="shared" si="82"/>
        <v/>
      </c>
      <c r="X1672" s="1"/>
      <c r="Y1672" s="1"/>
      <c r="Z1672" s="1"/>
      <c r="AA1672" s="1"/>
      <c r="AB1672" s="1"/>
      <c r="AC1672" s="1"/>
      <c r="AD1672" s="1">
        <f>IF($C1672="",0,SUMPRODUCT((AY_SONU!$O$7:$O$42="Evet")*(AY_SONU!$B$7:$B$42=DATE(YEAR($C1672),MONTH($C1672),1))))</f>
        <v>0</v>
      </c>
      <c r="AE1672" s="1" t="str">
        <f>IF($E1672="","",$E1672&amp;"|"&amp;COUNTIFS($E$7:$E1672,$E1672))</f>
        <v/>
      </c>
    </row>
    <row r="1673" spans="1:31" ht="18" customHeight="1" x14ac:dyDescent="0.3">
      <c r="A1673" s="2"/>
      <c r="B1673" s="65" t="str">
        <f>IF($C1673="","","GG"&amp;TEXT(ROW()-6,"00000"))</f>
        <v/>
      </c>
      <c r="C1673" s="66"/>
      <c r="D1673" s="60"/>
      <c r="E1673" s="61"/>
      <c r="F1673" s="61"/>
      <c r="G1673" s="67"/>
      <c r="H1673" s="60"/>
      <c r="I1673" s="60"/>
      <c r="J1673" s="61"/>
      <c r="K1673" s="61"/>
      <c r="L1673" s="60"/>
      <c r="M1673" s="74" t="str">
        <f>IF($C1673="","",IF($D1673="Gider",$E1673,IF($L1673&lt;&gt;"",$L1673,$H1673)))</f>
        <v/>
      </c>
      <c r="N1673" s="74" t="str">
        <f>IF($C1673="","",IF($D1673="Gider",$H1673,$E1673))</f>
        <v/>
      </c>
      <c r="O1673" s="73" t="str">
        <f>IF($C1673="","",DATE(YEAR($C1673),MONTH($C1673),1))</f>
        <v/>
      </c>
      <c r="P1673" s="65" t="str">
        <f ca="1">IF($C1673="","",IF(AND($D1673="Gelir",$L1673&lt;&gt;"",$T1673=""),"TANIMSIZ BORÇLU",IF($T1673&lt;&gt;"",IF(OR($E1673="",$G1673&lt;=0),"EKSİK",IF($I1673="Evet","TAHAKKUK NAKİT OLAMAZ",IF($C1673&gt;TODAY(),"İLERİ TARİH","TAHAKKUK"))),IF(AND($D1673&lt;&gt;"",$E1673&lt;&gt;"",$G1673&gt;0,$H1673&lt;&gt;"",$I1673&lt;&gt;""),IF($C1673&gt;TODAY(),"İLERİ TARİH",IF(COUNTIF($W$7:$W$3001,$W1673)&gt;1,"MÜKERRER?",IF($AD1673&gt;0,"KAPALI DÖNEM",IF($I1673="Hayır","ÖDENECEK","UYGUN")))),"EKSİK"))))</f>
        <v/>
      </c>
      <c r="Q1673" s="2"/>
      <c r="R1673" s="2"/>
      <c r="S1673" s="1" t="str">
        <f t="shared" si="80"/>
        <v/>
      </c>
      <c r="T1673" s="1" t="str">
        <f>IF(OR($C1673="",$D1673&lt;&gt;"Gelir",$L1673=""),"",IFERROR(INDEX(MUSTERILER!$B$7:$B$156,MATCH($S1673,MUSTERILER!$T$7:$T$156,0)),""))</f>
        <v/>
      </c>
      <c r="U1673" s="1" t="str">
        <f>IF($T1673="","",$T1673&amp;"|"&amp;COUNTIFS($T$7:$T1673,$T1673))</f>
        <v/>
      </c>
      <c r="V1673" s="1">
        <f t="shared" si="81"/>
        <v>0</v>
      </c>
      <c r="W1673" s="1" t="str">
        <f t="shared" si="82"/>
        <v/>
      </c>
      <c r="X1673" s="1"/>
      <c r="Y1673" s="1"/>
      <c r="Z1673" s="1"/>
      <c r="AA1673" s="1"/>
      <c r="AB1673" s="1"/>
      <c r="AC1673" s="1"/>
      <c r="AD1673" s="1">
        <f>IF($C1673="",0,SUMPRODUCT((AY_SONU!$O$7:$O$42="Evet")*(AY_SONU!$B$7:$B$42=DATE(YEAR($C1673),MONTH($C1673),1))))</f>
        <v>0</v>
      </c>
      <c r="AE1673" s="1" t="str">
        <f>IF($E1673="","",$E1673&amp;"|"&amp;COUNTIFS($E$7:$E1673,$E1673))</f>
        <v/>
      </c>
    </row>
    <row r="1674" spans="1:31" ht="18" customHeight="1" x14ac:dyDescent="0.3">
      <c r="A1674" s="2"/>
      <c r="B1674" s="65" t="str">
        <f>IF($C1674="","","GG"&amp;TEXT(ROW()-6,"00000"))</f>
        <v/>
      </c>
      <c r="C1674" s="66"/>
      <c r="D1674" s="60"/>
      <c r="E1674" s="61"/>
      <c r="F1674" s="61"/>
      <c r="G1674" s="67"/>
      <c r="H1674" s="60"/>
      <c r="I1674" s="60"/>
      <c r="J1674" s="61"/>
      <c r="K1674" s="61"/>
      <c r="L1674" s="60"/>
      <c r="M1674" s="74" t="str">
        <f>IF($C1674="","",IF($D1674="Gider",$E1674,IF($L1674&lt;&gt;"",$L1674,$H1674)))</f>
        <v/>
      </c>
      <c r="N1674" s="74" t="str">
        <f>IF($C1674="","",IF($D1674="Gider",$H1674,$E1674))</f>
        <v/>
      </c>
      <c r="O1674" s="73" t="str">
        <f>IF($C1674="","",DATE(YEAR($C1674),MONTH($C1674),1))</f>
        <v/>
      </c>
      <c r="P1674" s="65" t="str">
        <f ca="1">IF($C1674="","",IF(AND($D1674="Gelir",$L1674&lt;&gt;"",$T1674=""),"TANIMSIZ BORÇLU",IF($T1674&lt;&gt;"",IF(OR($E1674="",$G1674&lt;=0),"EKSİK",IF($I1674="Evet","TAHAKKUK NAKİT OLAMAZ",IF($C1674&gt;TODAY(),"İLERİ TARİH","TAHAKKUK"))),IF(AND($D1674&lt;&gt;"",$E1674&lt;&gt;"",$G1674&gt;0,$H1674&lt;&gt;"",$I1674&lt;&gt;""),IF($C1674&gt;TODAY(),"İLERİ TARİH",IF(COUNTIF($W$7:$W$3001,$W1674)&gt;1,"MÜKERRER?",IF($AD1674&gt;0,"KAPALI DÖNEM",IF($I1674="Hayır","ÖDENECEK","UYGUN")))),"EKSİK"))))</f>
        <v/>
      </c>
      <c r="Q1674" s="2"/>
      <c r="R1674" s="2"/>
      <c r="S1674" s="1" t="str">
        <f t="shared" si="80"/>
        <v/>
      </c>
      <c r="T1674" s="1" t="str">
        <f>IF(OR($C1674="",$D1674&lt;&gt;"Gelir",$L1674=""),"",IFERROR(INDEX(MUSTERILER!$B$7:$B$156,MATCH($S1674,MUSTERILER!$T$7:$T$156,0)),""))</f>
        <v/>
      </c>
      <c r="U1674" s="1" t="str">
        <f>IF($T1674="","",$T1674&amp;"|"&amp;COUNTIFS($T$7:$T1674,$T1674))</f>
        <v/>
      </c>
      <c r="V1674" s="1">
        <f t="shared" si="81"/>
        <v>0</v>
      </c>
      <c r="W1674" s="1" t="str">
        <f t="shared" si="82"/>
        <v/>
      </c>
      <c r="X1674" s="1"/>
      <c r="Y1674" s="1"/>
      <c r="Z1674" s="1"/>
      <c r="AA1674" s="1"/>
      <c r="AB1674" s="1"/>
      <c r="AC1674" s="1"/>
      <c r="AD1674" s="1">
        <f>IF($C1674="",0,SUMPRODUCT((AY_SONU!$O$7:$O$42="Evet")*(AY_SONU!$B$7:$B$42=DATE(YEAR($C1674),MONTH($C1674),1))))</f>
        <v>0</v>
      </c>
      <c r="AE1674" s="1" t="str">
        <f>IF($E1674="","",$E1674&amp;"|"&amp;COUNTIFS($E$7:$E1674,$E1674))</f>
        <v/>
      </c>
    </row>
    <row r="1675" spans="1:31" ht="18" customHeight="1" x14ac:dyDescent="0.3">
      <c r="A1675" s="2"/>
      <c r="B1675" s="65" t="str">
        <f>IF($C1675="","","GG"&amp;TEXT(ROW()-6,"00000"))</f>
        <v/>
      </c>
      <c r="C1675" s="66"/>
      <c r="D1675" s="60"/>
      <c r="E1675" s="61"/>
      <c r="F1675" s="61"/>
      <c r="G1675" s="67"/>
      <c r="H1675" s="60"/>
      <c r="I1675" s="60"/>
      <c r="J1675" s="61"/>
      <c r="K1675" s="61"/>
      <c r="L1675" s="60"/>
      <c r="M1675" s="74" t="str">
        <f>IF($C1675="","",IF($D1675="Gider",$E1675,IF($L1675&lt;&gt;"",$L1675,$H1675)))</f>
        <v/>
      </c>
      <c r="N1675" s="74" t="str">
        <f>IF($C1675="","",IF($D1675="Gider",$H1675,$E1675))</f>
        <v/>
      </c>
      <c r="O1675" s="73" t="str">
        <f>IF($C1675="","",DATE(YEAR($C1675),MONTH($C1675),1))</f>
        <v/>
      </c>
      <c r="P1675" s="65" t="str">
        <f ca="1">IF($C1675="","",IF(AND($D1675="Gelir",$L1675&lt;&gt;"",$T1675=""),"TANIMSIZ BORÇLU",IF($T1675&lt;&gt;"",IF(OR($E1675="",$G1675&lt;=0),"EKSİK",IF($I1675="Evet","TAHAKKUK NAKİT OLAMAZ",IF($C1675&gt;TODAY(),"İLERİ TARİH","TAHAKKUK"))),IF(AND($D1675&lt;&gt;"",$E1675&lt;&gt;"",$G1675&gt;0,$H1675&lt;&gt;"",$I1675&lt;&gt;""),IF($C1675&gt;TODAY(),"İLERİ TARİH",IF(COUNTIF($W$7:$W$3001,$W1675)&gt;1,"MÜKERRER?",IF($AD1675&gt;0,"KAPALI DÖNEM",IF($I1675="Hayır","ÖDENECEK","UYGUN")))),"EKSİK"))))</f>
        <v/>
      </c>
      <c r="Q1675" s="2"/>
      <c r="R1675" s="2"/>
      <c r="S1675" s="1" t="str">
        <f t="shared" si="80"/>
        <v/>
      </c>
      <c r="T1675" s="1" t="str">
        <f>IF(OR($C1675="",$D1675&lt;&gt;"Gelir",$L1675=""),"",IFERROR(INDEX(MUSTERILER!$B$7:$B$156,MATCH($S1675,MUSTERILER!$T$7:$T$156,0)),""))</f>
        <v/>
      </c>
      <c r="U1675" s="1" t="str">
        <f>IF($T1675="","",$T1675&amp;"|"&amp;COUNTIFS($T$7:$T1675,$T1675))</f>
        <v/>
      </c>
      <c r="V1675" s="1">
        <f t="shared" si="81"/>
        <v>0</v>
      </c>
      <c r="W1675" s="1" t="str">
        <f t="shared" si="82"/>
        <v/>
      </c>
      <c r="X1675" s="1"/>
      <c r="Y1675" s="1"/>
      <c r="Z1675" s="1"/>
      <c r="AA1675" s="1"/>
      <c r="AB1675" s="1"/>
      <c r="AC1675" s="1"/>
      <c r="AD1675" s="1">
        <f>IF($C1675="",0,SUMPRODUCT((AY_SONU!$O$7:$O$42="Evet")*(AY_SONU!$B$7:$B$42=DATE(YEAR($C1675),MONTH($C1675),1))))</f>
        <v>0</v>
      </c>
      <c r="AE1675" s="1" t="str">
        <f>IF($E1675="","",$E1675&amp;"|"&amp;COUNTIFS($E$7:$E1675,$E1675))</f>
        <v/>
      </c>
    </row>
    <row r="1676" spans="1:31" ht="18" customHeight="1" x14ac:dyDescent="0.3">
      <c r="A1676" s="2"/>
      <c r="B1676" s="65" t="str">
        <f>IF($C1676="","","GG"&amp;TEXT(ROW()-6,"00000"))</f>
        <v/>
      </c>
      <c r="C1676" s="66"/>
      <c r="D1676" s="60"/>
      <c r="E1676" s="61"/>
      <c r="F1676" s="61"/>
      <c r="G1676" s="67"/>
      <c r="H1676" s="60"/>
      <c r="I1676" s="60"/>
      <c r="J1676" s="61"/>
      <c r="K1676" s="61"/>
      <c r="L1676" s="60"/>
      <c r="M1676" s="74" t="str">
        <f>IF($C1676="","",IF($D1676="Gider",$E1676,IF($L1676&lt;&gt;"",$L1676,$H1676)))</f>
        <v/>
      </c>
      <c r="N1676" s="74" t="str">
        <f>IF($C1676="","",IF($D1676="Gider",$H1676,$E1676))</f>
        <v/>
      </c>
      <c r="O1676" s="73" t="str">
        <f>IF($C1676="","",DATE(YEAR($C1676),MONTH($C1676),1))</f>
        <v/>
      </c>
      <c r="P1676" s="65" t="str">
        <f ca="1">IF($C1676="","",IF(AND($D1676="Gelir",$L1676&lt;&gt;"",$T1676=""),"TANIMSIZ BORÇLU",IF($T1676&lt;&gt;"",IF(OR($E1676="",$G1676&lt;=0),"EKSİK",IF($I1676="Evet","TAHAKKUK NAKİT OLAMAZ",IF($C1676&gt;TODAY(),"İLERİ TARİH","TAHAKKUK"))),IF(AND($D1676&lt;&gt;"",$E1676&lt;&gt;"",$G1676&gt;0,$H1676&lt;&gt;"",$I1676&lt;&gt;""),IF($C1676&gt;TODAY(),"İLERİ TARİH",IF(COUNTIF($W$7:$W$3001,$W1676)&gt;1,"MÜKERRER?",IF($AD1676&gt;0,"KAPALI DÖNEM",IF($I1676="Hayır","ÖDENECEK","UYGUN")))),"EKSİK"))))</f>
        <v/>
      </c>
      <c r="Q1676" s="2"/>
      <c r="R1676" s="2"/>
      <c r="S1676" s="1" t="str">
        <f t="shared" si="80"/>
        <v/>
      </c>
      <c r="T1676" s="1" t="str">
        <f>IF(OR($C1676="",$D1676&lt;&gt;"Gelir",$L1676=""),"",IFERROR(INDEX(MUSTERILER!$B$7:$B$156,MATCH($S1676,MUSTERILER!$T$7:$T$156,0)),""))</f>
        <v/>
      </c>
      <c r="U1676" s="1" t="str">
        <f>IF($T1676="","",$T1676&amp;"|"&amp;COUNTIFS($T$7:$T1676,$T1676))</f>
        <v/>
      </c>
      <c r="V1676" s="1">
        <f t="shared" si="81"/>
        <v>0</v>
      </c>
      <c r="W1676" s="1" t="str">
        <f t="shared" si="82"/>
        <v/>
      </c>
      <c r="X1676" s="1"/>
      <c r="Y1676" s="1"/>
      <c r="Z1676" s="1"/>
      <c r="AA1676" s="1"/>
      <c r="AB1676" s="1"/>
      <c r="AC1676" s="1"/>
      <c r="AD1676" s="1">
        <f>IF($C1676="",0,SUMPRODUCT((AY_SONU!$O$7:$O$42="Evet")*(AY_SONU!$B$7:$B$42=DATE(YEAR($C1676),MONTH($C1676),1))))</f>
        <v>0</v>
      </c>
      <c r="AE1676" s="1" t="str">
        <f>IF($E1676="","",$E1676&amp;"|"&amp;COUNTIFS($E$7:$E1676,$E1676))</f>
        <v/>
      </c>
    </row>
    <row r="1677" spans="1:31" ht="18" customHeight="1" x14ac:dyDescent="0.3">
      <c r="A1677" s="2"/>
      <c r="B1677" s="65" t="str">
        <f>IF($C1677="","","GG"&amp;TEXT(ROW()-6,"00000"))</f>
        <v/>
      </c>
      <c r="C1677" s="66"/>
      <c r="D1677" s="60"/>
      <c r="E1677" s="61"/>
      <c r="F1677" s="61"/>
      <c r="G1677" s="67"/>
      <c r="H1677" s="60"/>
      <c r="I1677" s="60"/>
      <c r="J1677" s="61"/>
      <c r="K1677" s="61"/>
      <c r="L1677" s="60"/>
      <c r="M1677" s="74" t="str">
        <f>IF($C1677="","",IF($D1677="Gider",$E1677,IF($L1677&lt;&gt;"",$L1677,$H1677)))</f>
        <v/>
      </c>
      <c r="N1677" s="74" t="str">
        <f>IF($C1677="","",IF($D1677="Gider",$H1677,$E1677))</f>
        <v/>
      </c>
      <c r="O1677" s="73" t="str">
        <f>IF($C1677="","",DATE(YEAR($C1677),MONTH($C1677),1))</f>
        <v/>
      </c>
      <c r="P1677" s="65" t="str">
        <f ca="1">IF($C1677="","",IF(AND($D1677="Gelir",$L1677&lt;&gt;"",$T1677=""),"TANIMSIZ BORÇLU",IF($T1677&lt;&gt;"",IF(OR($E1677="",$G1677&lt;=0),"EKSİK",IF($I1677="Evet","TAHAKKUK NAKİT OLAMAZ",IF($C1677&gt;TODAY(),"İLERİ TARİH","TAHAKKUK"))),IF(AND($D1677&lt;&gt;"",$E1677&lt;&gt;"",$G1677&gt;0,$H1677&lt;&gt;"",$I1677&lt;&gt;""),IF($C1677&gt;TODAY(),"İLERİ TARİH",IF(COUNTIF($W$7:$W$3001,$W1677)&gt;1,"MÜKERRER?",IF($AD1677&gt;0,"KAPALI DÖNEM",IF($I1677="Hayır","ÖDENECEK","UYGUN")))),"EKSİK"))))</f>
        <v/>
      </c>
      <c r="Q1677" s="2"/>
      <c r="R1677" s="2"/>
      <c r="S1677" s="1" t="str">
        <f t="shared" si="80"/>
        <v/>
      </c>
      <c r="T1677" s="1" t="str">
        <f>IF(OR($C1677="",$D1677&lt;&gt;"Gelir",$L1677=""),"",IFERROR(INDEX(MUSTERILER!$B$7:$B$156,MATCH($S1677,MUSTERILER!$T$7:$T$156,0)),""))</f>
        <v/>
      </c>
      <c r="U1677" s="1" t="str">
        <f>IF($T1677="","",$T1677&amp;"|"&amp;COUNTIFS($T$7:$T1677,$T1677))</f>
        <v/>
      </c>
      <c r="V1677" s="1">
        <f t="shared" si="81"/>
        <v>0</v>
      </c>
      <c r="W1677" s="1" t="str">
        <f t="shared" si="82"/>
        <v/>
      </c>
      <c r="X1677" s="1"/>
      <c r="Y1677" s="1"/>
      <c r="Z1677" s="1"/>
      <c r="AA1677" s="1"/>
      <c r="AB1677" s="1"/>
      <c r="AC1677" s="1"/>
      <c r="AD1677" s="1">
        <f>IF($C1677="",0,SUMPRODUCT((AY_SONU!$O$7:$O$42="Evet")*(AY_SONU!$B$7:$B$42=DATE(YEAR($C1677),MONTH($C1677),1))))</f>
        <v>0</v>
      </c>
      <c r="AE1677" s="1" t="str">
        <f>IF($E1677="","",$E1677&amp;"|"&amp;COUNTIFS($E$7:$E1677,$E1677))</f>
        <v/>
      </c>
    </row>
    <row r="1678" spans="1:31" ht="18" customHeight="1" x14ac:dyDescent="0.3">
      <c r="A1678" s="2"/>
      <c r="B1678" s="65" t="str">
        <f>IF($C1678="","","GG"&amp;TEXT(ROW()-6,"00000"))</f>
        <v/>
      </c>
      <c r="C1678" s="66"/>
      <c r="D1678" s="60"/>
      <c r="E1678" s="61"/>
      <c r="F1678" s="61"/>
      <c r="G1678" s="67"/>
      <c r="H1678" s="60"/>
      <c r="I1678" s="60"/>
      <c r="J1678" s="61"/>
      <c r="K1678" s="61"/>
      <c r="L1678" s="60"/>
      <c r="M1678" s="74" t="str">
        <f>IF($C1678="","",IF($D1678="Gider",$E1678,IF($L1678&lt;&gt;"",$L1678,$H1678)))</f>
        <v/>
      </c>
      <c r="N1678" s="74" t="str">
        <f>IF($C1678="","",IF($D1678="Gider",$H1678,$E1678))</f>
        <v/>
      </c>
      <c r="O1678" s="73" t="str">
        <f>IF($C1678="","",DATE(YEAR($C1678),MONTH($C1678),1))</f>
        <v/>
      </c>
      <c r="P1678" s="65" t="str">
        <f ca="1">IF($C1678="","",IF(AND($D1678="Gelir",$L1678&lt;&gt;"",$T1678=""),"TANIMSIZ BORÇLU",IF($T1678&lt;&gt;"",IF(OR($E1678="",$G1678&lt;=0),"EKSİK",IF($I1678="Evet","TAHAKKUK NAKİT OLAMAZ",IF($C1678&gt;TODAY(),"İLERİ TARİH","TAHAKKUK"))),IF(AND($D1678&lt;&gt;"",$E1678&lt;&gt;"",$G1678&gt;0,$H1678&lt;&gt;"",$I1678&lt;&gt;""),IF($C1678&gt;TODAY(),"İLERİ TARİH",IF(COUNTIF($W$7:$W$3001,$W1678)&gt;1,"MÜKERRER?",IF($AD1678&gt;0,"KAPALI DÖNEM",IF($I1678="Hayır","ÖDENECEK","UYGUN")))),"EKSİK"))))</f>
        <v/>
      </c>
      <c r="Q1678" s="2"/>
      <c r="R1678" s="2"/>
      <c r="S1678" s="1" t="str">
        <f t="shared" si="80"/>
        <v/>
      </c>
      <c r="T1678" s="1" t="str">
        <f>IF(OR($C1678="",$D1678&lt;&gt;"Gelir",$L1678=""),"",IFERROR(INDEX(MUSTERILER!$B$7:$B$156,MATCH($S1678,MUSTERILER!$T$7:$T$156,0)),""))</f>
        <v/>
      </c>
      <c r="U1678" s="1" t="str">
        <f>IF($T1678="","",$T1678&amp;"|"&amp;COUNTIFS($T$7:$T1678,$T1678))</f>
        <v/>
      </c>
      <c r="V1678" s="1">
        <f t="shared" si="81"/>
        <v>0</v>
      </c>
      <c r="W1678" s="1" t="str">
        <f t="shared" si="82"/>
        <v/>
      </c>
      <c r="X1678" s="1"/>
      <c r="Y1678" s="1"/>
      <c r="Z1678" s="1"/>
      <c r="AA1678" s="1"/>
      <c r="AB1678" s="1"/>
      <c r="AC1678" s="1"/>
      <c r="AD1678" s="1">
        <f>IF($C1678="",0,SUMPRODUCT((AY_SONU!$O$7:$O$42="Evet")*(AY_SONU!$B$7:$B$42=DATE(YEAR($C1678),MONTH($C1678),1))))</f>
        <v>0</v>
      </c>
      <c r="AE1678" s="1" t="str">
        <f>IF($E1678="","",$E1678&amp;"|"&amp;COUNTIFS($E$7:$E1678,$E1678))</f>
        <v/>
      </c>
    </row>
    <row r="1679" spans="1:31" ht="18" customHeight="1" x14ac:dyDescent="0.3">
      <c r="A1679" s="2"/>
      <c r="B1679" s="65" t="str">
        <f>IF($C1679="","","GG"&amp;TEXT(ROW()-6,"00000"))</f>
        <v/>
      </c>
      <c r="C1679" s="66"/>
      <c r="D1679" s="60"/>
      <c r="E1679" s="61"/>
      <c r="F1679" s="61"/>
      <c r="G1679" s="67"/>
      <c r="H1679" s="60"/>
      <c r="I1679" s="60"/>
      <c r="J1679" s="61"/>
      <c r="K1679" s="61"/>
      <c r="L1679" s="60"/>
      <c r="M1679" s="74" t="str">
        <f>IF($C1679="","",IF($D1679="Gider",$E1679,IF($L1679&lt;&gt;"",$L1679,$H1679)))</f>
        <v/>
      </c>
      <c r="N1679" s="74" t="str">
        <f>IF($C1679="","",IF($D1679="Gider",$H1679,$E1679))</f>
        <v/>
      </c>
      <c r="O1679" s="73" t="str">
        <f>IF($C1679="","",DATE(YEAR($C1679),MONTH($C1679),1))</f>
        <v/>
      </c>
      <c r="P1679" s="65" t="str">
        <f ca="1">IF($C1679="","",IF(AND($D1679="Gelir",$L1679&lt;&gt;"",$T1679=""),"TANIMSIZ BORÇLU",IF($T1679&lt;&gt;"",IF(OR($E1679="",$G1679&lt;=0),"EKSİK",IF($I1679="Evet","TAHAKKUK NAKİT OLAMAZ",IF($C1679&gt;TODAY(),"İLERİ TARİH","TAHAKKUK"))),IF(AND($D1679&lt;&gt;"",$E1679&lt;&gt;"",$G1679&gt;0,$H1679&lt;&gt;"",$I1679&lt;&gt;""),IF($C1679&gt;TODAY(),"İLERİ TARİH",IF(COUNTIF($W$7:$W$3001,$W1679)&gt;1,"MÜKERRER?",IF($AD1679&gt;0,"KAPALI DÖNEM",IF($I1679="Hayır","ÖDENECEK","UYGUN")))),"EKSİK"))))</f>
        <v/>
      </c>
      <c r="Q1679" s="2"/>
      <c r="R1679" s="2"/>
      <c r="S1679" s="1" t="str">
        <f t="shared" si="80"/>
        <v/>
      </c>
      <c r="T1679" s="1" t="str">
        <f>IF(OR($C1679="",$D1679&lt;&gt;"Gelir",$L1679=""),"",IFERROR(INDEX(MUSTERILER!$B$7:$B$156,MATCH($S1679,MUSTERILER!$T$7:$T$156,0)),""))</f>
        <v/>
      </c>
      <c r="U1679" s="1" t="str">
        <f>IF($T1679="","",$T1679&amp;"|"&amp;COUNTIFS($T$7:$T1679,$T1679))</f>
        <v/>
      </c>
      <c r="V1679" s="1">
        <f t="shared" si="81"/>
        <v>0</v>
      </c>
      <c r="W1679" s="1" t="str">
        <f t="shared" si="82"/>
        <v/>
      </c>
      <c r="X1679" s="1"/>
      <c r="Y1679" s="1"/>
      <c r="Z1679" s="1"/>
      <c r="AA1679" s="1"/>
      <c r="AB1679" s="1"/>
      <c r="AC1679" s="1"/>
      <c r="AD1679" s="1">
        <f>IF($C1679="",0,SUMPRODUCT((AY_SONU!$O$7:$O$42="Evet")*(AY_SONU!$B$7:$B$42=DATE(YEAR($C1679),MONTH($C1679),1))))</f>
        <v>0</v>
      </c>
      <c r="AE1679" s="1" t="str">
        <f>IF($E1679="","",$E1679&amp;"|"&amp;COUNTIFS($E$7:$E1679,$E1679))</f>
        <v/>
      </c>
    </row>
    <row r="1680" spans="1:31" ht="18" customHeight="1" x14ac:dyDescent="0.3">
      <c r="A1680" s="2"/>
      <c r="B1680" s="65" t="str">
        <f>IF($C1680="","","GG"&amp;TEXT(ROW()-6,"00000"))</f>
        <v/>
      </c>
      <c r="C1680" s="66"/>
      <c r="D1680" s="60"/>
      <c r="E1680" s="61"/>
      <c r="F1680" s="61"/>
      <c r="G1680" s="67"/>
      <c r="H1680" s="60"/>
      <c r="I1680" s="60"/>
      <c r="J1680" s="61"/>
      <c r="K1680" s="61"/>
      <c r="L1680" s="60"/>
      <c r="M1680" s="74" t="str">
        <f>IF($C1680="","",IF($D1680="Gider",$E1680,IF($L1680&lt;&gt;"",$L1680,$H1680)))</f>
        <v/>
      </c>
      <c r="N1680" s="74" t="str">
        <f>IF($C1680="","",IF($D1680="Gider",$H1680,$E1680))</f>
        <v/>
      </c>
      <c r="O1680" s="73" t="str">
        <f>IF($C1680="","",DATE(YEAR($C1680),MONTH($C1680),1))</f>
        <v/>
      </c>
      <c r="P1680" s="65" t="str">
        <f ca="1">IF($C1680="","",IF(AND($D1680="Gelir",$L1680&lt;&gt;"",$T1680=""),"TANIMSIZ BORÇLU",IF($T1680&lt;&gt;"",IF(OR($E1680="",$G1680&lt;=0),"EKSİK",IF($I1680="Evet","TAHAKKUK NAKİT OLAMAZ",IF($C1680&gt;TODAY(),"İLERİ TARİH","TAHAKKUK"))),IF(AND($D1680&lt;&gt;"",$E1680&lt;&gt;"",$G1680&gt;0,$H1680&lt;&gt;"",$I1680&lt;&gt;""),IF($C1680&gt;TODAY(),"İLERİ TARİH",IF(COUNTIF($W$7:$W$3001,$W1680)&gt;1,"MÜKERRER?",IF($AD1680&gt;0,"KAPALI DÖNEM",IF($I1680="Hayır","ÖDENECEK","UYGUN")))),"EKSİK"))))</f>
        <v/>
      </c>
      <c r="Q1680" s="2"/>
      <c r="R1680" s="2"/>
      <c r="S1680" s="1" t="str">
        <f t="shared" si="80"/>
        <v/>
      </c>
      <c r="T1680" s="1" t="str">
        <f>IF(OR($C1680="",$D1680&lt;&gt;"Gelir",$L1680=""),"",IFERROR(INDEX(MUSTERILER!$B$7:$B$156,MATCH($S1680,MUSTERILER!$T$7:$T$156,0)),""))</f>
        <v/>
      </c>
      <c r="U1680" s="1" t="str">
        <f>IF($T1680="","",$T1680&amp;"|"&amp;COUNTIFS($T$7:$T1680,$T1680))</f>
        <v/>
      </c>
      <c r="V1680" s="1">
        <f t="shared" si="81"/>
        <v>0</v>
      </c>
      <c r="W1680" s="1" t="str">
        <f t="shared" si="82"/>
        <v/>
      </c>
      <c r="X1680" s="1"/>
      <c r="Y1680" s="1"/>
      <c r="Z1680" s="1"/>
      <c r="AA1680" s="1"/>
      <c r="AB1680" s="1"/>
      <c r="AC1680" s="1"/>
      <c r="AD1680" s="1">
        <f>IF($C1680="",0,SUMPRODUCT((AY_SONU!$O$7:$O$42="Evet")*(AY_SONU!$B$7:$B$42=DATE(YEAR($C1680),MONTH($C1680),1))))</f>
        <v>0</v>
      </c>
      <c r="AE1680" s="1" t="str">
        <f>IF($E1680="","",$E1680&amp;"|"&amp;COUNTIFS($E$7:$E1680,$E1680))</f>
        <v/>
      </c>
    </row>
    <row r="1681" spans="1:31" ht="18" customHeight="1" x14ac:dyDescent="0.3">
      <c r="A1681" s="2"/>
      <c r="B1681" s="65" t="str">
        <f>IF($C1681="","","GG"&amp;TEXT(ROW()-6,"00000"))</f>
        <v/>
      </c>
      <c r="C1681" s="66"/>
      <c r="D1681" s="60"/>
      <c r="E1681" s="61"/>
      <c r="F1681" s="61"/>
      <c r="G1681" s="67"/>
      <c r="H1681" s="60"/>
      <c r="I1681" s="60"/>
      <c r="J1681" s="61"/>
      <c r="K1681" s="61"/>
      <c r="L1681" s="60"/>
      <c r="M1681" s="74" t="str">
        <f>IF($C1681="","",IF($D1681="Gider",$E1681,IF($L1681&lt;&gt;"",$L1681,$H1681)))</f>
        <v/>
      </c>
      <c r="N1681" s="74" t="str">
        <f>IF($C1681="","",IF($D1681="Gider",$H1681,$E1681))</f>
        <v/>
      </c>
      <c r="O1681" s="73" t="str">
        <f>IF($C1681="","",DATE(YEAR($C1681),MONTH($C1681),1))</f>
        <v/>
      </c>
      <c r="P1681" s="65" t="str">
        <f ca="1">IF($C1681="","",IF(AND($D1681="Gelir",$L1681&lt;&gt;"",$T1681=""),"TANIMSIZ BORÇLU",IF($T1681&lt;&gt;"",IF(OR($E1681="",$G1681&lt;=0),"EKSİK",IF($I1681="Evet","TAHAKKUK NAKİT OLAMAZ",IF($C1681&gt;TODAY(),"İLERİ TARİH","TAHAKKUK"))),IF(AND($D1681&lt;&gt;"",$E1681&lt;&gt;"",$G1681&gt;0,$H1681&lt;&gt;"",$I1681&lt;&gt;""),IF($C1681&gt;TODAY(),"İLERİ TARİH",IF(COUNTIF($W$7:$W$3001,$W1681)&gt;1,"MÜKERRER?",IF($AD1681&gt;0,"KAPALI DÖNEM",IF($I1681="Hayır","ÖDENECEK","UYGUN")))),"EKSİK"))))</f>
        <v/>
      </c>
      <c r="Q1681" s="2"/>
      <c r="R1681" s="2"/>
      <c r="S1681" s="1" t="str">
        <f t="shared" si="80"/>
        <v/>
      </c>
      <c r="T1681" s="1" t="str">
        <f>IF(OR($C1681="",$D1681&lt;&gt;"Gelir",$L1681=""),"",IFERROR(INDEX(MUSTERILER!$B$7:$B$156,MATCH($S1681,MUSTERILER!$T$7:$T$156,0)),""))</f>
        <v/>
      </c>
      <c r="U1681" s="1" t="str">
        <f>IF($T1681="","",$T1681&amp;"|"&amp;COUNTIFS($T$7:$T1681,$T1681))</f>
        <v/>
      </c>
      <c r="V1681" s="1">
        <f t="shared" si="81"/>
        <v>0</v>
      </c>
      <c r="W1681" s="1" t="str">
        <f t="shared" si="82"/>
        <v/>
      </c>
      <c r="X1681" s="1"/>
      <c r="Y1681" s="1"/>
      <c r="Z1681" s="1"/>
      <c r="AA1681" s="1"/>
      <c r="AB1681" s="1"/>
      <c r="AC1681" s="1"/>
      <c r="AD1681" s="1">
        <f>IF($C1681="",0,SUMPRODUCT((AY_SONU!$O$7:$O$42="Evet")*(AY_SONU!$B$7:$B$42=DATE(YEAR($C1681),MONTH($C1681),1))))</f>
        <v>0</v>
      </c>
      <c r="AE1681" s="1" t="str">
        <f>IF($E1681="","",$E1681&amp;"|"&amp;COUNTIFS($E$7:$E1681,$E1681))</f>
        <v/>
      </c>
    </row>
    <row r="1682" spans="1:31" ht="18" customHeight="1" x14ac:dyDescent="0.3">
      <c r="A1682" s="2"/>
      <c r="B1682" s="65" t="str">
        <f>IF($C1682="","","GG"&amp;TEXT(ROW()-6,"00000"))</f>
        <v/>
      </c>
      <c r="C1682" s="66"/>
      <c r="D1682" s="60"/>
      <c r="E1682" s="61"/>
      <c r="F1682" s="61"/>
      <c r="G1682" s="67"/>
      <c r="H1682" s="60"/>
      <c r="I1682" s="60"/>
      <c r="J1682" s="61"/>
      <c r="K1682" s="61"/>
      <c r="L1682" s="60"/>
      <c r="M1682" s="74" t="str">
        <f>IF($C1682="","",IF($D1682="Gider",$E1682,IF($L1682&lt;&gt;"",$L1682,$H1682)))</f>
        <v/>
      </c>
      <c r="N1682" s="74" t="str">
        <f>IF($C1682="","",IF($D1682="Gider",$H1682,$E1682))</f>
        <v/>
      </c>
      <c r="O1682" s="73" t="str">
        <f>IF($C1682="","",DATE(YEAR($C1682),MONTH($C1682),1))</f>
        <v/>
      </c>
      <c r="P1682" s="65" t="str">
        <f ca="1">IF($C1682="","",IF(AND($D1682="Gelir",$L1682&lt;&gt;"",$T1682=""),"TANIMSIZ BORÇLU",IF($T1682&lt;&gt;"",IF(OR($E1682="",$G1682&lt;=0),"EKSİK",IF($I1682="Evet","TAHAKKUK NAKİT OLAMAZ",IF($C1682&gt;TODAY(),"İLERİ TARİH","TAHAKKUK"))),IF(AND($D1682&lt;&gt;"",$E1682&lt;&gt;"",$G1682&gt;0,$H1682&lt;&gt;"",$I1682&lt;&gt;""),IF($C1682&gt;TODAY(),"İLERİ TARİH",IF(COUNTIF($W$7:$W$3001,$W1682)&gt;1,"MÜKERRER?",IF($AD1682&gt;0,"KAPALI DÖNEM",IF($I1682="Hayır","ÖDENECEK","UYGUN")))),"EKSİK"))))</f>
        <v/>
      </c>
      <c r="Q1682" s="2"/>
      <c r="R1682" s="2"/>
      <c r="S1682" s="1" t="str">
        <f t="shared" si="80"/>
        <v/>
      </c>
      <c r="T1682" s="1" t="str">
        <f>IF(OR($C1682="",$D1682&lt;&gt;"Gelir",$L1682=""),"",IFERROR(INDEX(MUSTERILER!$B$7:$B$156,MATCH($S1682,MUSTERILER!$T$7:$T$156,0)),""))</f>
        <v/>
      </c>
      <c r="U1682" s="1" t="str">
        <f>IF($T1682="","",$T1682&amp;"|"&amp;COUNTIFS($T$7:$T1682,$T1682))</f>
        <v/>
      </c>
      <c r="V1682" s="1">
        <f t="shared" si="81"/>
        <v>0</v>
      </c>
      <c r="W1682" s="1" t="str">
        <f t="shared" si="82"/>
        <v/>
      </c>
      <c r="X1682" s="1"/>
      <c r="Y1682" s="1"/>
      <c r="Z1682" s="1"/>
      <c r="AA1682" s="1"/>
      <c r="AB1682" s="1"/>
      <c r="AC1682" s="1"/>
      <c r="AD1682" s="1">
        <f>IF($C1682="",0,SUMPRODUCT((AY_SONU!$O$7:$O$42="Evet")*(AY_SONU!$B$7:$B$42=DATE(YEAR($C1682),MONTH($C1682),1))))</f>
        <v>0</v>
      </c>
      <c r="AE1682" s="1" t="str">
        <f>IF($E1682="","",$E1682&amp;"|"&amp;COUNTIFS($E$7:$E1682,$E1682))</f>
        <v/>
      </c>
    </row>
    <row r="1683" spans="1:31" ht="18" customHeight="1" x14ac:dyDescent="0.3">
      <c r="A1683" s="2"/>
      <c r="B1683" s="65" t="str">
        <f>IF($C1683="","","GG"&amp;TEXT(ROW()-6,"00000"))</f>
        <v/>
      </c>
      <c r="C1683" s="66"/>
      <c r="D1683" s="60"/>
      <c r="E1683" s="61"/>
      <c r="F1683" s="61"/>
      <c r="G1683" s="67"/>
      <c r="H1683" s="60"/>
      <c r="I1683" s="60"/>
      <c r="J1683" s="61"/>
      <c r="K1683" s="61"/>
      <c r="L1683" s="60"/>
      <c r="M1683" s="74" t="str">
        <f>IF($C1683="","",IF($D1683="Gider",$E1683,IF($L1683&lt;&gt;"",$L1683,$H1683)))</f>
        <v/>
      </c>
      <c r="N1683" s="74" t="str">
        <f>IF($C1683="","",IF($D1683="Gider",$H1683,$E1683))</f>
        <v/>
      </c>
      <c r="O1683" s="73" t="str">
        <f>IF($C1683="","",DATE(YEAR($C1683),MONTH($C1683),1))</f>
        <v/>
      </c>
      <c r="P1683" s="65" t="str">
        <f ca="1">IF($C1683="","",IF(AND($D1683="Gelir",$L1683&lt;&gt;"",$T1683=""),"TANIMSIZ BORÇLU",IF($T1683&lt;&gt;"",IF(OR($E1683="",$G1683&lt;=0),"EKSİK",IF($I1683="Evet","TAHAKKUK NAKİT OLAMAZ",IF($C1683&gt;TODAY(),"İLERİ TARİH","TAHAKKUK"))),IF(AND($D1683&lt;&gt;"",$E1683&lt;&gt;"",$G1683&gt;0,$H1683&lt;&gt;"",$I1683&lt;&gt;""),IF($C1683&gt;TODAY(),"İLERİ TARİH",IF(COUNTIF($W$7:$W$3001,$W1683)&gt;1,"MÜKERRER?",IF($AD1683&gt;0,"KAPALI DÖNEM",IF($I1683="Hayır","ÖDENECEK","UYGUN")))),"EKSİK"))))</f>
        <v/>
      </c>
      <c r="Q1683" s="2"/>
      <c r="R1683" s="2"/>
      <c r="S1683" s="1" t="str">
        <f t="shared" si="80"/>
        <v/>
      </c>
      <c r="T1683" s="1" t="str">
        <f>IF(OR($C1683="",$D1683&lt;&gt;"Gelir",$L1683=""),"",IFERROR(INDEX(MUSTERILER!$B$7:$B$156,MATCH($S1683,MUSTERILER!$T$7:$T$156,0)),""))</f>
        <v/>
      </c>
      <c r="U1683" s="1" t="str">
        <f>IF($T1683="","",$T1683&amp;"|"&amp;COUNTIFS($T$7:$T1683,$T1683))</f>
        <v/>
      </c>
      <c r="V1683" s="1">
        <f t="shared" si="81"/>
        <v>0</v>
      </c>
      <c r="W1683" s="1" t="str">
        <f t="shared" si="82"/>
        <v/>
      </c>
      <c r="X1683" s="1"/>
      <c r="Y1683" s="1"/>
      <c r="Z1683" s="1"/>
      <c r="AA1683" s="1"/>
      <c r="AB1683" s="1"/>
      <c r="AC1683" s="1"/>
      <c r="AD1683" s="1">
        <f>IF($C1683="",0,SUMPRODUCT((AY_SONU!$O$7:$O$42="Evet")*(AY_SONU!$B$7:$B$42=DATE(YEAR($C1683),MONTH($C1683),1))))</f>
        <v>0</v>
      </c>
      <c r="AE1683" s="1" t="str">
        <f>IF($E1683="","",$E1683&amp;"|"&amp;COUNTIFS($E$7:$E1683,$E1683))</f>
        <v/>
      </c>
    </row>
    <row r="1684" spans="1:31" ht="18" customHeight="1" x14ac:dyDescent="0.3">
      <c r="A1684" s="2"/>
      <c r="B1684" s="65" t="str">
        <f>IF($C1684="","","GG"&amp;TEXT(ROW()-6,"00000"))</f>
        <v/>
      </c>
      <c r="C1684" s="66"/>
      <c r="D1684" s="60"/>
      <c r="E1684" s="61"/>
      <c r="F1684" s="61"/>
      <c r="G1684" s="67"/>
      <c r="H1684" s="60"/>
      <c r="I1684" s="60"/>
      <c r="J1684" s="61"/>
      <c r="K1684" s="61"/>
      <c r="L1684" s="60"/>
      <c r="M1684" s="74" t="str">
        <f>IF($C1684="","",IF($D1684="Gider",$E1684,IF($L1684&lt;&gt;"",$L1684,$H1684)))</f>
        <v/>
      </c>
      <c r="N1684" s="74" t="str">
        <f>IF($C1684="","",IF($D1684="Gider",$H1684,$E1684))</f>
        <v/>
      </c>
      <c r="O1684" s="73" t="str">
        <f>IF($C1684="","",DATE(YEAR($C1684),MONTH($C1684),1))</f>
        <v/>
      </c>
      <c r="P1684" s="65" t="str">
        <f ca="1">IF($C1684="","",IF(AND($D1684="Gelir",$L1684&lt;&gt;"",$T1684=""),"TANIMSIZ BORÇLU",IF($T1684&lt;&gt;"",IF(OR($E1684="",$G1684&lt;=0),"EKSİK",IF($I1684="Evet","TAHAKKUK NAKİT OLAMAZ",IF($C1684&gt;TODAY(),"İLERİ TARİH","TAHAKKUK"))),IF(AND($D1684&lt;&gt;"",$E1684&lt;&gt;"",$G1684&gt;0,$H1684&lt;&gt;"",$I1684&lt;&gt;""),IF($C1684&gt;TODAY(),"İLERİ TARİH",IF(COUNTIF($W$7:$W$3001,$W1684)&gt;1,"MÜKERRER?",IF($AD1684&gt;0,"KAPALI DÖNEM",IF($I1684="Hayır","ÖDENECEK","UYGUN")))),"EKSİK"))))</f>
        <v/>
      </c>
      <c r="Q1684" s="2"/>
      <c r="R1684" s="2"/>
      <c r="S1684" s="1" t="str">
        <f t="shared" si="80"/>
        <v/>
      </c>
      <c r="T1684" s="1" t="str">
        <f>IF(OR($C1684="",$D1684&lt;&gt;"Gelir",$L1684=""),"",IFERROR(INDEX(MUSTERILER!$B$7:$B$156,MATCH($S1684,MUSTERILER!$T$7:$T$156,0)),""))</f>
        <v/>
      </c>
      <c r="U1684" s="1" t="str">
        <f>IF($T1684="","",$T1684&amp;"|"&amp;COUNTIFS($T$7:$T1684,$T1684))</f>
        <v/>
      </c>
      <c r="V1684" s="1">
        <f t="shared" si="81"/>
        <v>0</v>
      </c>
      <c r="W1684" s="1" t="str">
        <f t="shared" si="82"/>
        <v/>
      </c>
      <c r="X1684" s="1"/>
      <c r="Y1684" s="1"/>
      <c r="Z1684" s="1"/>
      <c r="AA1684" s="1"/>
      <c r="AB1684" s="1"/>
      <c r="AC1684" s="1"/>
      <c r="AD1684" s="1">
        <f>IF($C1684="",0,SUMPRODUCT((AY_SONU!$O$7:$O$42="Evet")*(AY_SONU!$B$7:$B$42=DATE(YEAR($C1684),MONTH($C1684),1))))</f>
        <v>0</v>
      </c>
      <c r="AE1684" s="1" t="str">
        <f>IF($E1684="","",$E1684&amp;"|"&amp;COUNTIFS($E$7:$E1684,$E1684))</f>
        <v/>
      </c>
    </row>
    <row r="1685" spans="1:31" ht="18" customHeight="1" x14ac:dyDescent="0.3">
      <c r="A1685" s="2"/>
      <c r="B1685" s="65" t="str">
        <f>IF($C1685="","","GG"&amp;TEXT(ROW()-6,"00000"))</f>
        <v/>
      </c>
      <c r="C1685" s="66"/>
      <c r="D1685" s="60"/>
      <c r="E1685" s="61"/>
      <c r="F1685" s="61"/>
      <c r="G1685" s="67"/>
      <c r="H1685" s="60"/>
      <c r="I1685" s="60"/>
      <c r="J1685" s="61"/>
      <c r="K1685" s="61"/>
      <c r="L1685" s="60"/>
      <c r="M1685" s="74" t="str">
        <f>IF($C1685="","",IF($D1685="Gider",$E1685,IF($L1685&lt;&gt;"",$L1685,$H1685)))</f>
        <v/>
      </c>
      <c r="N1685" s="74" t="str">
        <f>IF($C1685="","",IF($D1685="Gider",$H1685,$E1685))</f>
        <v/>
      </c>
      <c r="O1685" s="73" t="str">
        <f>IF($C1685="","",DATE(YEAR($C1685),MONTH($C1685),1))</f>
        <v/>
      </c>
      <c r="P1685" s="65" t="str">
        <f ca="1">IF($C1685="","",IF(AND($D1685="Gelir",$L1685&lt;&gt;"",$T1685=""),"TANIMSIZ BORÇLU",IF($T1685&lt;&gt;"",IF(OR($E1685="",$G1685&lt;=0),"EKSİK",IF($I1685="Evet","TAHAKKUK NAKİT OLAMAZ",IF($C1685&gt;TODAY(),"İLERİ TARİH","TAHAKKUK"))),IF(AND($D1685&lt;&gt;"",$E1685&lt;&gt;"",$G1685&gt;0,$H1685&lt;&gt;"",$I1685&lt;&gt;""),IF($C1685&gt;TODAY(),"İLERİ TARİH",IF(COUNTIF($W$7:$W$3001,$W1685)&gt;1,"MÜKERRER?",IF($AD1685&gt;0,"KAPALI DÖNEM",IF($I1685="Hayır","ÖDENECEK","UYGUN")))),"EKSİK"))))</f>
        <v/>
      </c>
      <c r="Q1685" s="2"/>
      <c r="R1685" s="2"/>
      <c r="S1685" s="1" t="str">
        <f t="shared" si="80"/>
        <v/>
      </c>
      <c r="T1685" s="1" t="str">
        <f>IF(OR($C1685="",$D1685&lt;&gt;"Gelir",$L1685=""),"",IFERROR(INDEX(MUSTERILER!$B$7:$B$156,MATCH($S1685,MUSTERILER!$T$7:$T$156,0)),""))</f>
        <v/>
      </c>
      <c r="U1685" s="1" t="str">
        <f>IF($T1685="","",$T1685&amp;"|"&amp;COUNTIFS($T$7:$T1685,$T1685))</f>
        <v/>
      </c>
      <c r="V1685" s="1">
        <f t="shared" si="81"/>
        <v>0</v>
      </c>
      <c r="W1685" s="1" t="str">
        <f t="shared" si="82"/>
        <v/>
      </c>
      <c r="X1685" s="1"/>
      <c r="Y1685" s="1"/>
      <c r="Z1685" s="1"/>
      <c r="AA1685" s="1"/>
      <c r="AB1685" s="1"/>
      <c r="AC1685" s="1"/>
      <c r="AD1685" s="1">
        <f>IF($C1685="",0,SUMPRODUCT((AY_SONU!$O$7:$O$42="Evet")*(AY_SONU!$B$7:$B$42=DATE(YEAR($C1685),MONTH($C1685),1))))</f>
        <v>0</v>
      </c>
      <c r="AE1685" s="1" t="str">
        <f>IF($E1685="","",$E1685&amp;"|"&amp;COUNTIFS($E$7:$E1685,$E1685))</f>
        <v/>
      </c>
    </row>
    <row r="1686" spans="1:31" ht="18" customHeight="1" x14ac:dyDescent="0.3">
      <c r="A1686" s="2"/>
      <c r="B1686" s="65" t="str">
        <f>IF($C1686="","","GG"&amp;TEXT(ROW()-6,"00000"))</f>
        <v/>
      </c>
      <c r="C1686" s="66"/>
      <c r="D1686" s="60"/>
      <c r="E1686" s="61"/>
      <c r="F1686" s="61"/>
      <c r="G1686" s="67"/>
      <c r="H1686" s="60"/>
      <c r="I1686" s="60"/>
      <c r="J1686" s="61"/>
      <c r="K1686" s="61"/>
      <c r="L1686" s="60"/>
      <c r="M1686" s="74" t="str">
        <f>IF($C1686="","",IF($D1686="Gider",$E1686,IF($L1686&lt;&gt;"",$L1686,$H1686)))</f>
        <v/>
      </c>
      <c r="N1686" s="74" t="str">
        <f>IF($C1686="","",IF($D1686="Gider",$H1686,$E1686))</f>
        <v/>
      </c>
      <c r="O1686" s="73" t="str">
        <f>IF($C1686="","",DATE(YEAR($C1686),MONTH($C1686),1))</f>
        <v/>
      </c>
      <c r="P1686" s="65" t="str">
        <f ca="1">IF($C1686="","",IF(AND($D1686="Gelir",$L1686&lt;&gt;"",$T1686=""),"TANIMSIZ BORÇLU",IF($T1686&lt;&gt;"",IF(OR($E1686="",$G1686&lt;=0),"EKSİK",IF($I1686="Evet","TAHAKKUK NAKİT OLAMAZ",IF($C1686&gt;TODAY(),"İLERİ TARİH","TAHAKKUK"))),IF(AND($D1686&lt;&gt;"",$E1686&lt;&gt;"",$G1686&gt;0,$H1686&lt;&gt;"",$I1686&lt;&gt;""),IF($C1686&gt;TODAY(),"İLERİ TARİH",IF(COUNTIF($W$7:$W$3001,$W1686)&gt;1,"MÜKERRER?",IF($AD1686&gt;0,"KAPALI DÖNEM",IF($I1686="Hayır","ÖDENECEK","UYGUN")))),"EKSİK"))))</f>
        <v/>
      </c>
      <c r="Q1686" s="2"/>
      <c r="R1686" s="2"/>
      <c r="S1686" s="1" t="str">
        <f t="shared" si="80"/>
        <v/>
      </c>
      <c r="T1686" s="1" t="str">
        <f>IF(OR($C1686="",$D1686&lt;&gt;"Gelir",$L1686=""),"",IFERROR(INDEX(MUSTERILER!$B$7:$B$156,MATCH($S1686,MUSTERILER!$T$7:$T$156,0)),""))</f>
        <v/>
      </c>
      <c r="U1686" s="1" t="str">
        <f>IF($T1686="","",$T1686&amp;"|"&amp;COUNTIFS($T$7:$T1686,$T1686))</f>
        <v/>
      </c>
      <c r="V1686" s="1">
        <f t="shared" si="81"/>
        <v>0</v>
      </c>
      <c r="W1686" s="1" t="str">
        <f t="shared" si="82"/>
        <v/>
      </c>
      <c r="X1686" s="1"/>
      <c r="Y1686" s="1"/>
      <c r="Z1686" s="1"/>
      <c r="AA1686" s="1"/>
      <c r="AB1686" s="1"/>
      <c r="AC1686" s="1"/>
      <c r="AD1686" s="1">
        <f>IF($C1686="",0,SUMPRODUCT((AY_SONU!$O$7:$O$42="Evet")*(AY_SONU!$B$7:$B$42=DATE(YEAR($C1686),MONTH($C1686),1))))</f>
        <v>0</v>
      </c>
      <c r="AE1686" s="1" t="str">
        <f>IF($E1686="","",$E1686&amp;"|"&amp;COUNTIFS($E$7:$E1686,$E1686))</f>
        <v/>
      </c>
    </row>
    <row r="1687" spans="1:31" ht="18" customHeight="1" x14ac:dyDescent="0.3">
      <c r="A1687" s="2"/>
      <c r="B1687" s="65" t="str">
        <f>IF($C1687="","","GG"&amp;TEXT(ROW()-6,"00000"))</f>
        <v/>
      </c>
      <c r="C1687" s="66"/>
      <c r="D1687" s="60"/>
      <c r="E1687" s="61"/>
      <c r="F1687" s="61"/>
      <c r="G1687" s="67"/>
      <c r="H1687" s="60"/>
      <c r="I1687" s="60"/>
      <c r="J1687" s="61"/>
      <c r="K1687" s="61"/>
      <c r="L1687" s="60"/>
      <c r="M1687" s="74" t="str">
        <f>IF($C1687="","",IF($D1687="Gider",$E1687,IF($L1687&lt;&gt;"",$L1687,$H1687)))</f>
        <v/>
      </c>
      <c r="N1687" s="74" t="str">
        <f>IF($C1687="","",IF($D1687="Gider",$H1687,$E1687))</f>
        <v/>
      </c>
      <c r="O1687" s="73" t="str">
        <f>IF($C1687="","",DATE(YEAR($C1687),MONTH($C1687),1))</f>
        <v/>
      </c>
      <c r="P1687" s="65" t="str">
        <f ca="1">IF($C1687="","",IF(AND($D1687="Gelir",$L1687&lt;&gt;"",$T1687=""),"TANIMSIZ BORÇLU",IF($T1687&lt;&gt;"",IF(OR($E1687="",$G1687&lt;=0),"EKSİK",IF($I1687="Evet","TAHAKKUK NAKİT OLAMAZ",IF($C1687&gt;TODAY(),"İLERİ TARİH","TAHAKKUK"))),IF(AND($D1687&lt;&gt;"",$E1687&lt;&gt;"",$G1687&gt;0,$H1687&lt;&gt;"",$I1687&lt;&gt;""),IF($C1687&gt;TODAY(),"İLERİ TARİH",IF(COUNTIF($W$7:$W$3001,$W1687)&gt;1,"MÜKERRER?",IF($AD1687&gt;0,"KAPALI DÖNEM",IF($I1687="Hayır","ÖDENECEK","UYGUN")))),"EKSİK"))))</f>
        <v/>
      </c>
      <c r="Q1687" s="2"/>
      <c r="R1687" s="2"/>
      <c r="S1687" s="1" t="str">
        <f t="shared" si="80"/>
        <v/>
      </c>
      <c r="T1687" s="1" t="str">
        <f>IF(OR($C1687="",$D1687&lt;&gt;"Gelir",$L1687=""),"",IFERROR(INDEX(MUSTERILER!$B$7:$B$156,MATCH($S1687,MUSTERILER!$T$7:$T$156,0)),""))</f>
        <v/>
      </c>
      <c r="U1687" s="1" t="str">
        <f>IF($T1687="","",$T1687&amp;"|"&amp;COUNTIFS($T$7:$T1687,$T1687))</f>
        <v/>
      </c>
      <c r="V1687" s="1">
        <f t="shared" si="81"/>
        <v>0</v>
      </c>
      <c r="W1687" s="1" t="str">
        <f t="shared" si="82"/>
        <v/>
      </c>
      <c r="X1687" s="1"/>
      <c r="Y1687" s="1"/>
      <c r="Z1687" s="1"/>
      <c r="AA1687" s="1"/>
      <c r="AB1687" s="1"/>
      <c r="AC1687" s="1"/>
      <c r="AD1687" s="1">
        <f>IF($C1687="",0,SUMPRODUCT((AY_SONU!$O$7:$O$42="Evet")*(AY_SONU!$B$7:$B$42=DATE(YEAR($C1687),MONTH($C1687),1))))</f>
        <v>0</v>
      </c>
      <c r="AE1687" s="1" t="str">
        <f>IF($E1687="","",$E1687&amp;"|"&amp;COUNTIFS($E$7:$E1687,$E1687))</f>
        <v/>
      </c>
    </row>
    <row r="1688" spans="1:31" ht="18" customHeight="1" x14ac:dyDescent="0.3">
      <c r="A1688" s="2"/>
      <c r="B1688" s="65" t="str">
        <f>IF($C1688="","","GG"&amp;TEXT(ROW()-6,"00000"))</f>
        <v/>
      </c>
      <c r="C1688" s="66"/>
      <c r="D1688" s="60"/>
      <c r="E1688" s="61"/>
      <c r="F1688" s="61"/>
      <c r="G1688" s="67"/>
      <c r="H1688" s="60"/>
      <c r="I1688" s="60"/>
      <c r="J1688" s="61"/>
      <c r="K1688" s="61"/>
      <c r="L1688" s="60"/>
      <c r="M1688" s="74" t="str">
        <f>IF($C1688="","",IF($D1688="Gider",$E1688,IF($L1688&lt;&gt;"",$L1688,$H1688)))</f>
        <v/>
      </c>
      <c r="N1688" s="74" t="str">
        <f>IF($C1688="","",IF($D1688="Gider",$H1688,$E1688))</f>
        <v/>
      </c>
      <c r="O1688" s="73" t="str">
        <f>IF($C1688="","",DATE(YEAR($C1688),MONTH($C1688),1))</f>
        <v/>
      </c>
      <c r="P1688" s="65" t="str">
        <f ca="1">IF($C1688="","",IF(AND($D1688="Gelir",$L1688&lt;&gt;"",$T1688=""),"TANIMSIZ BORÇLU",IF($T1688&lt;&gt;"",IF(OR($E1688="",$G1688&lt;=0),"EKSİK",IF($I1688="Evet","TAHAKKUK NAKİT OLAMAZ",IF($C1688&gt;TODAY(),"İLERİ TARİH","TAHAKKUK"))),IF(AND($D1688&lt;&gt;"",$E1688&lt;&gt;"",$G1688&gt;0,$H1688&lt;&gt;"",$I1688&lt;&gt;""),IF($C1688&gt;TODAY(),"İLERİ TARİH",IF(COUNTIF($W$7:$W$3001,$W1688)&gt;1,"MÜKERRER?",IF($AD1688&gt;0,"KAPALI DÖNEM",IF($I1688="Hayır","ÖDENECEK","UYGUN")))),"EKSİK"))))</f>
        <v/>
      </c>
      <c r="Q1688" s="2"/>
      <c r="R1688" s="2"/>
      <c r="S1688" s="1" t="str">
        <f t="shared" si="80"/>
        <v/>
      </c>
      <c r="T1688" s="1" t="str">
        <f>IF(OR($C1688="",$D1688&lt;&gt;"Gelir",$L1688=""),"",IFERROR(INDEX(MUSTERILER!$B$7:$B$156,MATCH($S1688,MUSTERILER!$T$7:$T$156,0)),""))</f>
        <v/>
      </c>
      <c r="U1688" s="1" t="str">
        <f>IF($T1688="","",$T1688&amp;"|"&amp;COUNTIFS($T$7:$T1688,$T1688))</f>
        <v/>
      </c>
      <c r="V1688" s="1">
        <f t="shared" si="81"/>
        <v>0</v>
      </c>
      <c r="W1688" s="1" t="str">
        <f t="shared" si="82"/>
        <v/>
      </c>
      <c r="X1688" s="1"/>
      <c r="Y1688" s="1"/>
      <c r="Z1688" s="1"/>
      <c r="AA1688" s="1"/>
      <c r="AB1688" s="1"/>
      <c r="AC1688" s="1"/>
      <c r="AD1688" s="1">
        <f>IF($C1688="",0,SUMPRODUCT((AY_SONU!$O$7:$O$42="Evet")*(AY_SONU!$B$7:$B$42=DATE(YEAR($C1688),MONTH($C1688),1))))</f>
        <v>0</v>
      </c>
      <c r="AE1688" s="1" t="str">
        <f>IF($E1688="","",$E1688&amp;"|"&amp;COUNTIFS($E$7:$E1688,$E1688))</f>
        <v/>
      </c>
    </row>
    <row r="1689" spans="1:31" ht="18" customHeight="1" x14ac:dyDescent="0.3">
      <c r="A1689" s="2"/>
      <c r="B1689" s="65" t="str">
        <f>IF($C1689="","","GG"&amp;TEXT(ROW()-6,"00000"))</f>
        <v/>
      </c>
      <c r="C1689" s="66"/>
      <c r="D1689" s="60"/>
      <c r="E1689" s="61"/>
      <c r="F1689" s="61"/>
      <c r="G1689" s="67"/>
      <c r="H1689" s="60"/>
      <c r="I1689" s="60"/>
      <c r="J1689" s="61"/>
      <c r="K1689" s="61"/>
      <c r="L1689" s="60"/>
      <c r="M1689" s="74" t="str">
        <f>IF($C1689="","",IF($D1689="Gider",$E1689,IF($L1689&lt;&gt;"",$L1689,$H1689)))</f>
        <v/>
      </c>
      <c r="N1689" s="74" t="str">
        <f>IF($C1689="","",IF($D1689="Gider",$H1689,$E1689))</f>
        <v/>
      </c>
      <c r="O1689" s="73" t="str">
        <f>IF($C1689="","",DATE(YEAR($C1689),MONTH($C1689),1))</f>
        <v/>
      </c>
      <c r="P1689" s="65" t="str">
        <f ca="1">IF($C1689="","",IF(AND($D1689="Gelir",$L1689&lt;&gt;"",$T1689=""),"TANIMSIZ BORÇLU",IF($T1689&lt;&gt;"",IF(OR($E1689="",$G1689&lt;=0),"EKSİK",IF($I1689="Evet","TAHAKKUK NAKİT OLAMAZ",IF($C1689&gt;TODAY(),"İLERİ TARİH","TAHAKKUK"))),IF(AND($D1689&lt;&gt;"",$E1689&lt;&gt;"",$G1689&gt;0,$H1689&lt;&gt;"",$I1689&lt;&gt;""),IF($C1689&gt;TODAY(),"İLERİ TARİH",IF(COUNTIF($W$7:$W$3001,$W1689)&gt;1,"MÜKERRER?",IF($AD1689&gt;0,"KAPALI DÖNEM",IF($I1689="Hayır","ÖDENECEK","UYGUN")))),"EKSİK"))))</f>
        <v/>
      </c>
      <c r="Q1689" s="2"/>
      <c r="R1689" s="2"/>
      <c r="S1689" s="1" t="str">
        <f t="shared" si="80"/>
        <v/>
      </c>
      <c r="T1689" s="1" t="str">
        <f>IF(OR($C1689="",$D1689&lt;&gt;"Gelir",$L1689=""),"",IFERROR(INDEX(MUSTERILER!$B$7:$B$156,MATCH($S1689,MUSTERILER!$T$7:$T$156,0)),""))</f>
        <v/>
      </c>
      <c r="U1689" s="1" t="str">
        <f>IF($T1689="","",$T1689&amp;"|"&amp;COUNTIFS($T$7:$T1689,$T1689))</f>
        <v/>
      </c>
      <c r="V1689" s="1">
        <f t="shared" si="81"/>
        <v>0</v>
      </c>
      <c r="W1689" s="1" t="str">
        <f t="shared" si="82"/>
        <v/>
      </c>
      <c r="X1689" s="1"/>
      <c r="Y1689" s="1"/>
      <c r="Z1689" s="1"/>
      <c r="AA1689" s="1"/>
      <c r="AB1689" s="1"/>
      <c r="AC1689" s="1"/>
      <c r="AD1689" s="1">
        <f>IF($C1689="",0,SUMPRODUCT((AY_SONU!$O$7:$O$42="Evet")*(AY_SONU!$B$7:$B$42=DATE(YEAR($C1689),MONTH($C1689),1))))</f>
        <v>0</v>
      </c>
      <c r="AE1689" s="1" t="str">
        <f>IF($E1689="","",$E1689&amp;"|"&amp;COUNTIFS($E$7:$E1689,$E1689))</f>
        <v/>
      </c>
    </row>
    <row r="1690" spans="1:31" ht="18" customHeight="1" x14ac:dyDescent="0.3">
      <c r="A1690" s="2"/>
      <c r="B1690" s="65" t="str">
        <f>IF($C1690="","","GG"&amp;TEXT(ROW()-6,"00000"))</f>
        <v/>
      </c>
      <c r="C1690" s="66"/>
      <c r="D1690" s="60"/>
      <c r="E1690" s="61"/>
      <c r="F1690" s="61"/>
      <c r="G1690" s="67"/>
      <c r="H1690" s="60"/>
      <c r="I1690" s="60"/>
      <c r="J1690" s="61"/>
      <c r="K1690" s="61"/>
      <c r="L1690" s="60"/>
      <c r="M1690" s="74" t="str">
        <f>IF($C1690="","",IF($D1690="Gider",$E1690,IF($L1690&lt;&gt;"",$L1690,$H1690)))</f>
        <v/>
      </c>
      <c r="N1690" s="74" t="str">
        <f>IF($C1690="","",IF($D1690="Gider",$H1690,$E1690))</f>
        <v/>
      </c>
      <c r="O1690" s="73" t="str">
        <f>IF($C1690="","",DATE(YEAR($C1690),MONTH($C1690),1))</f>
        <v/>
      </c>
      <c r="P1690" s="65" t="str">
        <f ca="1">IF($C1690="","",IF(AND($D1690="Gelir",$L1690&lt;&gt;"",$T1690=""),"TANIMSIZ BORÇLU",IF($T1690&lt;&gt;"",IF(OR($E1690="",$G1690&lt;=0),"EKSİK",IF($I1690="Evet","TAHAKKUK NAKİT OLAMAZ",IF($C1690&gt;TODAY(),"İLERİ TARİH","TAHAKKUK"))),IF(AND($D1690&lt;&gt;"",$E1690&lt;&gt;"",$G1690&gt;0,$H1690&lt;&gt;"",$I1690&lt;&gt;""),IF($C1690&gt;TODAY(),"İLERİ TARİH",IF(COUNTIF($W$7:$W$3001,$W1690)&gt;1,"MÜKERRER?",IF($AD1690&gt;0,"KAPALI DÖNEM",IF($I1690="Hayır","ÖDENECEK","UYGUN")))),"EKSİK"))))</f>
        <v/>
      </c>
      <c r="Q1690" s="2"/>
      <c r="R1690" s="2"/>
      <c r="S1690" s="1" t="str">
        <f t="shared" si="80"/>
        <v/>
      </c>
      <c r="T1690" s="1" t="str">
        <f>IF(OR($C1690="",$D1690&lt;&gt;"Gelir",$L1690=""),"",IFERROR(INDEX(MUSTERILER!$B$7:$B$156,MATCH($S1690,MUSTERILER!$T$7:$T$156,0)),""))</f>
        <v/>
      </c>
      <c r="U1690" s="1" t="str">
        <f>IF($T1690="","",$T1690&amp;"|"&amp;COUNTIFS($T$7:$T1690,$T1690))</f>
        <v/>
      </c>
      <c r="V1690" s="1">
        <f t="shared" si="81"/>
        <v>0</v>
      </c>
      <c r="W1690" s="1" t="str">
        <f t="shared" si="82"/>
        <v/>
      </c>
      <c r="X1690" s="1"/>
      <c r="Y1690" s="1"/>
      <c r="Z1690" s="1"/>
      <c r="AA1690" s="1"/>
      <c r="AB1690" s="1"/>
      <c r="AC1690" s="1"/>
      <c r="AD1690" s="1">
        <f>IF($C1690="",0,SUMPRODUCT((AY_SONU!$O$7:$O$42="Evet")*(AY_SONU!$B$7:$B$42=DATE(YEAR($C1690),MONTH($C1690),1))))</f>
        <v>0</v>
      </c>
      <c r="AE1690" s="1" t="str">
        <f>IF($E1690="","",$E1690&amp;"|"&amp;COUNTIFS($E$7:$E1690,$E1690))</f>
        <v/>
      </c>
    </row>
    <row r="1691" spans="1:31" ht="18" customHeight="1" x14ac:dyDescent="0.3">
      <c r="A1691" s="2"/>
      <c r="B1691" s="65" t="str">
        <f>IF($C1691="","","GG"&amp;TEXT(ROW()-6,"00000"))</f>
        <v/>
      </c>
      <c r="C1691" s="66"/>
      <c r="D1691" s="60"/>
      <c r="E1691" s="61"/>
      <c r="F1691" s="61"/>
      <c r="G1691" s="67"/>
      <c r="H1691" s="60"/>
      <c r="I1691" s="60"/>
      <c r="J1691" s="61"/>
      <c r="K1691" s="61"/>
      <c r="L1691" s="60"/>
      <c r="M1691" s="74" t="str">
        <f>IF($C1691="","",IF($D1691="Gider",$E1691,IF($L1691&lt;&gt;"",$L1691,$H1691)))</f>
        <v/>
      </c>
      <c r="N1691" s="74" t="str">
        <f>IF($C1691="","",IF($D1691="Gider",$H1691,$E1691))</f>
        <v/>
      </c>
      <c r="O1691" s="73" t="str">
        <f>IF($C1691="","",DATE(YEAR($C1691),MONTH($C1691),1))</f>
        <v/>
      </c>
      <c r="P1691" s="65" t="str">
        <f ca="1">IF($C1691="","",IF(AND($D1691="Gelir",$L1691&lt;&gt;"",$T1691=""),"TANIMSIZ BORÇLU",IF($T1691&lt;&gt;"",IF(OR($E1691="",$G1691&lt;=0),"EKSİK",IF($I1691="Evet","TAHAKKUK NAKİT OLAMAZ",IF($C1691&gt;TODAY(),"İLERİ TARİH","TAHAKKUK"))),IF(AND($D1691&lt;&gt;"",$E1691&lt;&gt;"",$G1691&gt;0,$H1691&lt;&gt;"",$I1691&lt;&gt;""),IF($C1691&gt;TODAY(),"İLERİ TARİH",IF(COUNTIF($W$7:$W$3001,$W1691)&gt;1,"MÜKERRER?",IF($AD1691&gt;0,"KAPALI DÖNEM",IF($I1691="Hayır","ÖDENECEK","UYGUN")))),"EKSİK"))))</f>
        <v/>
      </c>
      <c r="Q1691" s="2"/>
      <c r="R1691" s="2"/>
      <c r="S1691" s="1" t="str">
        <f t="shared" si="80"/>
        <v/>
      </c>
      <c r="T1691" s="1" t="str">
        <f>IF(OR($C1691="",$D1691&lt;&gt;"Gelir",$L1691=""),"",IFERROR(INDEX(MUSTERILER!$B$7:$B$156,MATCH($S1691,MUSTERILER!$T$7:$T$156,0)),""))</f>
        <v/>
      </c>
      <c r="U1691" s="1" t="str">
        <f>IF($T1691="","",$T1691&amp;"|"&amp;COUNTIFS($T$7:$T1691,$T1691))</f>
        <v/>
      </c>
      <c r="V1691" s="1">
        <f t="shared" si="81"/>
        <v>0</v>
      </c>
      <c r="W1691" s="1" t="str">
        <f t="shared" si="82"/>
        <v/>
      </c>
      <c r="X1691" s="1"/>
      <c r="Y1691" s="1"/>
      <c r="Z1691" s="1"/>
      <c r="AA1691" s="1"/>
      <c r="AB1691" s="1"/>
      <c r="AC1691" s="1"/>
      <c r="AD1691" s="1">
        <f>IF($C1691="",0,SUMPRODUCT((AY_SONU!$O$7:$O$42="Evet")*(AY_SONU!$B$7:$B$42=DATE(YEAR($C1691),MONTH($C1691),1))))</f>
        <v>0</v>
      </c>
      <c r="AE1691" s="1" t="str">
        <f>IF($E1691="","",$E1691&amp;"|"&amp;COUNTIFS($E$7:$E1691,$E1691))</f>
        <v/>
      </c>
    </row>
    <row r="1692" spans="1:31" ht="18" customHeight="1" x14ac:dyDescent="0.3">
      <c r="A1692" s="2"/>
      <c r="B1692" s="65" t="str">
        <f>IF($C1692="","","GG"&amp;TEXT(ROW()-6,"00000"))</f>
        <v/>
      </c>
      <c r="C1692" s="66"/>
      <c r="D1692" s="60"/>
      <c r="E1692" s="61"/>
      <c r="F1692" s="61"/>
      <c r="G1692" s="67"/>
      <c r="H1692" s="60"/>
      <c r="I1692" s="60"/>
      <c r="J1692" s="61"/>
      <c r="K1692" s="61"/>
      <c r="L1692" s="60"/>
      <c r="M1692" s="74" t="str">
        <f>IF($C1692="","",IF($D1692="Gider",$E1692,IF($L1692&lt;&gt;"",$L1692,$H1692)))</f>
        <v/>
      </c>
      <c r="N1692" s="74" t="str">
        <f>IF($C1692="","",IF($D1692="Gider",$H1692,$E1692))</f>
        <v/>
      </c>
      <c r="O1692" s="73" t="str">
        <f>IF($C1692="","",DATE(YEAR($C1692),MONTH($C1692),1))</f>
        <v/>
      </c>
      <c r="P1692" s="65" t="str">
        <f ca="1">IF($C1692="","",IF(AND($D1692="Gelir",$L1692&lt;&gt;"",$T1692=""),"TANIMSIZ BORÇLU",IF($T1692&lt;&gt;"",IF(OR($E1692="",$G1692&lt;=0),"EKSİK",IF($I1692="Evet","TAHAKKUK NAKİT OLAMAZ",IF($C1692&gt;TODAY(),"İLERİ TARİH","TAHAKKUK"))),IF(AND($D1692&lt;&gt;"",$E1692&lt;&gt;"",$G1692&gt;0,$H1692&lt;&gt;"",$I1692&lt;&gt;""),IF($C1692&gt;TODAY(),"İLERİ TARİH",IF(COUNTIF($W$7:$W$3001,$W1692)&gt;1,"MÜKERRER?",IF($AD1692&gt;0,"KAPALI DÖNEM",IF($I1692="Hayır","ÖDENECEK","UYGUN")))),"EKSİK"))))</f>
        <v/>
      </c>
      <c r="Q1692" s="2"/>
      <c r="R1692" s="2"/>
      <c r="S1692" s="1" t="str">
        <f t="shared" si="80"/>
        <v/>
      </c>
      <c r="T1692" s="1" t="str">
        <f>IF(OR($C1692="",$D1692&lt;&gt;"Gelir",$L1692=""),"",IFERROR(INDEX(MUSTERILER!$B$7:$B$156,MATCH($S1692,MUSTERILER!$T$7:$T$156,0)),""))</f>
        <v/>
      </c>
      <c r="U1692" s="1" t="str">
        <f>IF($T1692="","",$T1692&amp;"|"&amp;COUNTIFS($T$7:$T1692,$T1692))</f>
        <v/>
      </c>
      <c r="V1692" s="1">
        <f t="shared" si="81"/>
        <v>0</v>
      </c>
      <c r="W1692" s="1" t="str">
        <f t="shared" si="82"/>
        <v/>
      </c>
      <c r="X1692" s="1"/>
      <c r="Y1692" s="1"/>
      <c r="Z1692" s="1"/>
      <c r="AA1692" s="1"/>
      <c r="AB1692" s="1"/>
      <c r="AC1692" s="1"/>
      <c r="AD1692" s="1">
        <f>IF($C1692="",0,SUMPRODUCT((AY_SONU!$O$7:$O$42="Evet")*(AY_SONU!$B$7:$B$42=DATE(YEAR($C1692),MONTH($C1692),1))))</f>
        <v>0</v>
      </c>
      <c r="AE1692" s="1" t="str">
        <f>IF($E1692="","",$E1692&amp;"|"&amp;COUNTIFS($E$7:$E1692,$E1692))</f>
        <v/>
      </c>
    </row>
    <row r="1693" spans="1:31" ht="18" customHeight="1" x14ac:dyDescent="0.3">
      <c r="A1693" s="2"/>
      <c r="B1693" s="65" t="str">
        <f>IF($C1693="","","GG"&amp;TEXT(ROW()-6,"00000"))</f>
        <v/>
      </c>
      <c r="C1693" s="66"/>
      <c r="D1693" s="60"/>
      <c r="E1693" s="61"/>
      <c r="F1693" s="61"/>
      <c r="G1693" s="67"/>
      <c r="H1693" s="60"/>
      <c r="I1693" s="60"/>
      <c r="J1693" s="61"/>
      <c r="K1693" s="61"/>
      <c r="L1693" s="60"/>
      <c r="M1693" s="74" t="str">
        <f>IF($C1693="","",IF($D1693="Gider",$E1693,IF($L1693&lt;&gt;"",$L1693,$H1693)))</f>
        <v/>
      </c>
      <c r="N1693" s="74" t="str">
        <f>IF($C1693="","",IF($D1693="Gider",$H1693,$E1693))</f>
        <v/>
      </c>
      <c r="O1693" s="73" t="str">
        <f>IF($C1693="","",DATE(YEAR($C1693),MONTH($C1693),1))</f>
        <v/>
      </c>
      <c r="P1693" s="65" t="str">
        <f ca="1">IF($C1693="","",IF(AND($D1693="Gelir",$L1693&lt;&gt;"",$T1693=""),"TANIMSIZ BORÇLU",IF($T1693&lt;&gt;"",IF(OR($E1693="",$G1693&lt;=0),"EKSİK",IF($I1693="Evet","TAHAKKUK NAKİT OLAMAZ",IF($C1693&gt;TODAY(),"İLERİ TARİH","TAHAKKUK"))),IF(AND($D1693&lt;&gt;"",$E1693&lt;&gt;"",$G1693&gt;0,$H1693&lt;&gt;"",$I1693&lt;&gt;""),IF($C1693&gt;TODAY(),"İLERİ TARİH",IF(COUNTIF($W$7:$W$3001,$W1693)&gt;1,"MÜKERRER?",IF($AD1693&gt;0,"KAPALI DÖNEM",IF($I1693="Hayır","ÖDENECEK","UYGUN")))),"EKSİK"))))</f>
        <v/>
      </c>
      <c r="Q1693" s="2"/>
      <c r="R1693" s="2"/>
      <c r="S1693" s="1" t="str">
        <f t="shared" si="80"/>
        <v/>
      </c>
      <c r="T1693" s="1" t="str">
        <f>IF(OR($C1693="",$D1693&lt;&gt;"Gelir",$L1693=""),"",IFERROR(INDEX(MUSTERILER!$B$7:$B$156,MATCH($S1693,MUSTERILER!$T$7:$T$156,0)),""))</f>
        <v/>
      </c>
      <c r="U1693" s="1" t="str">
        <f>IF($T1693="","",$T1693&amp;"|"&amp;COUNTIFS($T$7:$T1693,$T1693))</f>
        <v/>
      </c>
      <c r="V1693" s="1">
        <f t="shared" si="81"/>
        <v>0</v>
      </c>
      <c r="W1693" s="1" t="str">
        <f t="shared" si="82"/>
        <v/>
      </c>
      <c r="X1693" s="1"/>
      <c r="Y1693" s="1"/>
      <c r="Z1693" s="1"/>
      <c r="AA1693" s="1"/>
      <c r="AB1693" s="1"/>
      <c r="AC1693" s="1"/>
      <c r="AD1693" s="1">
        <f>IF($C1693="",0,SUMPRODUCT((AY_SONU!$O$7:$O$42="Evet")*(AY_SONU!$B$7:$B$42=DATE(YEAR($C1693),MONTH($C1693),1))))</f>
        <v>0</v>
      </c>
      <c r="AE1693" s="1" t="str">
        <f>IF($E1693="","",$E1693&amp;"|"&amp;COUNTIFS($E$7:$E1693,$E1693))</f>
        <v/>
      </c>
    </row>
    <row r="1694" spans="1:31" ht="18" customHeight="1" x14ac:dyDescent="0.3">
      <c r="A1694" s="2"/>
      <c r="B1694" s="65" t="str">
        <f>IF($C1694="","","GG"&amp;TEXT(ROW()-6,"00000"))</f>
        <v/>
      </c>
      <c r="C1694" s="66"/>
      <c r="D1694" s="60"/>
      <c r="E1694" s="61"/>
      <c r="F1694" s="61"/>
      <c r="G1694" s="67"/>
      <c r="H1694" s="60"/>
      <c r="I1694" s="60"/>
      <c r="J1694" s="61"/>
      <c r="K1694" s="61"/>
      <c r="L1694" s="60"/>
      <c r="M1694" s="74" t="str">
        <f>IF($C1694="","",IF($D1694="Gider",$E1694,IF($L1694&lt;&gt;"",$L1694,$H1694)))</f>
        <v/>
      </c>
      <c r="N1694" s="74" t="str">
        <f>IF($C1694="","",IF($D1694="Gider",$H1694,$E1694))</f>
        <v/>
      </c>
      <c r="O1694" s="73" t="str">
        <f>IF($C1694="","",DATE(YEAR($C1694),MONTH($C1694),1))</f>
        <v/>
      </c>
      <c r="P1694" s="65" t="str">
        <f ca="1">IF($C1694="","",IF(AND($D1694="Gelir",$L1694&lt;&gt;"",$T1694=""),"TANIMSIZ BORÇLU",IF($T1694&lt;&gt;"",IF(OR($E1694="",$G1694&lt;=0),"EKSİK",IF($I1694="Evet","TAHAKKUK NAKİT OLAMAZ",IF($C1694&gt;TODAY(),"İLERİ TARİH","TAHAKKUK"))),IF(AND($D1694&lt;&gt;"",$E1694&lt;&gt;"",$G1694&gt;0,$H1694&lt;&gt;"",$I1694&lt;&gt;""),IF($C1694&gt;TODAY(),"İLERİ TARİH",IF(COUNTIF($W$7:$W$3001,$W1694)&gt;1,"MÜKERRER?",IF($AD1694&gt;0,"KAPALI DÖNEM",IF($I1694="Hayır","ÖDENECEK","UYGUN")))),"EKSİK"))))</f>
        <v/>
      </c>
      <c r="Q1694" s="2"/>
      <c r="R1694" s="2"/>
      <c r="S1694" s="1" t="str">
        <f t="shared" si="80"/>
        <v/>
      </c>
      <c r="T1694" s="1" t="str">
        <f>IF(OR($C1694="",$D1694&lt;&gt;"Gelir",$L1694=""),"",IFERROR(INDEX(MUSTERILER!$B$7:$B$156,MATCH($S1694,MUSTERILER!$T$7:$T$156,0)),""))</f>
        <v/>
      </c>
      <c r="U1694" s="1" t="str">
        <f>IF($T1694="","",$T1694&amp;"|"&amp;COUNTIFS($T$7:$T1694,$T1694))</f>
        <v/>
      </c>
      <c r="V1694" s="1">
        <f t="shared" si="81"/>
        <v>0</v>
      </c>
      <c r="W1694" s="1" t="str">
        <f t="shared" si="82"/>
        <v/>
      </c>
      <c r="X1694" s="1"/>
      <c r="Y1694" s="1"/>
      <c r="Z1694" s="1"/>
      <c r="AA1694" s="1"/>
      <c r="AB1694" s="1"/>
      <c r="AC1694" s="1"/>
      <c r="AD1694" s="1">
        <f>IF($C1694="",0,SUMPRODUCT((AY_SONU!$O$7:$O$42="Evet")*(AY_SONU!$B$7:$B$42=DATE(YEAR($C1694),MONTH($C1694),1))))</f>
        <v>0</v>
      </c>
      <c r="AE1694" s="1" t="str">
        <f>IF($E1694="","",$E1694&amp;"|"&amp;COUNTIFS($E$7:$E1694,$E1694))</f>
        <v/>
      </c>
    </row>
    <row r="1695" spans="1:31" ht="18" customHeight="1" x14ac:dyDescent="0.3">
      <c r="A1695" s="2"/>
      <c r="B1695" s="65" t="str">
        <f>IF($C1695="","","GG"&amp;TEXT(ROW()-6,"00000"))</f>
        <v/>
      </c>
      <c r="C1695" s="66"/>
      <c r="D1695" s="60"/>
      <c r="E1695" s="61"/>
      <c r="F1695" s="61"/>
      <c r="G1695" s="67"/>
      <c r="H1695" s="60"/>
      <c r="I1695" s="60"/>
      <c r="J1695" s="61"/>
      <c r="K1695" s="61"/>
      <c r="L1695" s="60"/>
      <c r="M1695" s="74" t="str">
        <f>IF($C1695="","",IF($D1695="Gider",$E1695,IF($L1695&lt;&gt;"",$L1695,$H1695)))</f>
        <v/>
      </c>
      <c r="N1695" s="74" t="str">
        <f>IF($C1695="","",IF($D1695="Gider",$H1695,$E1695))</f>
        <v/>
      </c>
      <c r="O1695" s="73" t="str">
        <f>IF($C1695="","",DATE(YEAR($C1695),MONTH($C1695),1))</f>
        <v/>
      </c>
      <c r="P1695" s="65" t="str">
        <f ca="1">IF($C1695="","",IF(AND($D1695="Gelir",$L1695&lt;&gt;"",$T1695=""),"TANIMSIZ BORÇLU",IF($T1695&lt;&gt;"",IF(OR($E1695="",$G1695&lt;=0),"EKSİK",IF($I1695="Evet","TAHAKKUK NAKİT OLAMAZ",IF($C1695&gt;TODAY(),"İLERİ TARİH","TAHAKKUK"))),IF(AND($D1695&lt;&gt;"",$E1695&lt;&gt;"",$G1695&gt;0,$H1695&lt;&gt;"",$I1695&lt;&gt;""),IF($C1695&gt;TODAY(),"İLERİ TARİH",IF(COUNTIF($W$7:$W$3001,$W1695)&gt;1,"MÜKERRER?",IF($AD1695&gt;0,"KAPALI DÖNEM",IF($I1695="Hayır","ÖDENECEK","UYGUN")))),"EKSİK"))))</f>
        <v/>
      </c>
      <c r="Q1695" s="2"/>
      <c r="R1695" s="2"/>
      <c r="S1695" s="1" t="str">
        <f t="shared" si="80"/>
        <v/>
      </c>
      <c r="T1695" s="1" t="str">
        <f>IF(OR($C1695="",$D1695&lt;&gt;"Gelir",$L1695=""),"",IFERROR(INDEX(MUSTERILER!$B$7:$B$156,MATCH($S1695,MUSTERILER!$T$7:$T$156,0)),""))</f>
        <v/>
      </c>
      <c r="U1695" s="1" t="str">
        <f>IF($T1695="","",$T1695&amp;"|"&amp;COUNTIFS($T$7:$T1695,$T1695))</f>
        <v/>
      </c>
      <c r="V1695" s="1">
        <f t="shared" si="81"/>
        <v>0</v>
      </c>
      <c r="W1695" s="1" t="str">
        <f t="shared" si="82"/>
        <v/>
      </c>
      <c r="X1695" s="1"/>
      <c r="Y1695" s="1"/>
      <c r="Z1695" s="1"/>
      <c r="AA1695" s="1"/>
      <c r="AB1695" s="1"/>
      <c r="AC1695" s="1"/>
      <c r="AD1695" s="1">
        <f>IF($C1695="",0,SUMPRODUCT((AY_SONU!$O$7:$O$42="Evet")*(AY_SONU!$B$7:$B$42=DATE(YEAR($C1695),MONTH($C1695),1))))</f>
        <v>0</v>
      </c>
      <c r="AE1695" s="1" t="str">
        <f>IF($E1695="","",$E1695&amp;"|"&amp;COUNTIFS($E$7:$E1695,$E1695))</f>
        <v/>
      </c>
    </row>
    <row r="1696" spans="1:31" ht="18" customHeight="1" x14ac:dyDescent="0.3">
      <c r="A1696" s="2"/>
      <c r="B1696" s="65" t="str">
        <f>IF($C1696="","","GG"&amp;TEXT(ROW()-6,"00000"))</f>
        <v/>
      </c>
      <c r="C1696" s="66"/>
      <c r="D1696" s="60"/>
      <c r="E1696" s="61"/>
      <c r="F1696" s="61"/>
      <c r="G1696" s="67"/>
      <c r="H1696" s="60"/>
      <c r="I1696" s="60"/>
      <c r="J1696" s="61"/>
      <c r="K1696" s="61"/>
      <c r="L1696" s="60"/>
      <c r="M1696" s="74" t="str">
        <f>IF($C1696="","",IF($D1696="Gider",$E1696,IF($L1696&lt;&gt;"",$L1696,$H1696)))</f>
        <v/>
      </c>
      <c r="N1696" s="74" t="str">
        <f>IF($C1696="","",IF($D1696="Gider",$H1696,$E1696))</f>
        <v/>
      </c>
      <c r="O1696" s="73" t="str">
        <f>IF($C1696="","",DATE(YEAR($C1696),MONTH($C1696),1))</f>
        <v/>
      </c>
      <c r="P1696" s="65" t="str">
        <f ca="1">IF($C1696="","",IF(AND($D1696="Gelir",$L1696&lt;&gt;"",$T1696=""),"TANIMSIZ BORÇLU",IF($T1696&lt;&gt;"",IF(OR($E1696="",$G1696&lt;=0),"EKSİK",IF($I1696="Evet","TAHAKKUK NAKİT OLAMAZ",IF($C1696&gt;TODAY(),"İLERİ TARİH","TAHAKKUK"))),IF(AND($D1696&lt;&gt;"",$E1696&lt;&gt;"",$G1696&gt;0,$H1696&lt;&gt;"",$I1696&lt;&gt;""),IF($C1696&gt;TODAY(),"İLERİ TARİH",IF(COUNTIF($W$7:$W$3001,$W1696)&gt;1,"MÜKERRER?",IF($AD1696&gt;0,"KAPALI DÖNEM",IF($I1696="Hayır","ÖDENECEK","UYGUN")))),"EKSİK"))))</f>
        <v/>
      </c>
      <c r="Q1696" s="2"/>
      <c r="R1696" s="2"/>
      <c r="S1696" s="1" t="str">
        <f t="shared" si="80"/>
        <v/>
      </c>
      <c r="T1696" s="1" t="str">
        <f>IF(OR($C1696="",$D1696&lt;&gt;"Gelir",$L1696=""),"",IFERROR(INDEX(MUSTERILER!$B$7:$B$156,MATCH($S1696,MUSTERILER!$T$7:$T$156,0)),""))</f>
        <v/>
      </c>
      <c r="U1696" s="1" t="str">
        <f>IF($T1696="","",$T1696&amp;"|"&amp;COUNTIFS($T$7:$T1696,$T1696))</f>
        <v/>
      </c>
      <c r="V1696" s="1">
        <f t="shared" si="81"/>
        <v>0</v>
      </c>
      <c r="W1696" s="1" t="str">
        <f t="shared" si="82"/>
        <v/>
      </c>
      <c r="X1696" s="1"/>
      <c r="Y1696" s="1"/>
      <c r="Z1696" s="1"/>
      <c r="AA1696" s="1"/>
      <c r="AB1696" s="1"/>
      <c r="AC1696" s="1"/>
      <c r="AD1696" s="1">
        <f>IF($C1696="",0,SUMPRODUCT((AY_SONU!$O$7:$O$42="Evet")*(AY_SONU!$B$7:$B$42=DATE(YEAR($C1696),MONTH($C1696),1))))</f>
        <v>0</v>
      </c>
      <c r="AE1696" s="1" t="str">
        <f>IF($E1696="","",$E1696&amp;"|"&amp;COUNTIFS($E$7:$E1696,$E1696))</f>
        <v/>
      </c>
    </row>
    <row r="1697" spans="1:31" ht="18" customHeight="1" x14ac:dyDescent="0.3">
      <c r="A1697" s="2"/>
      <c r="B1697" s="65" t="str">
        <f>IF($C1697="","","GG"&amp;TEXT(ROW()-6,"00000"))</f>
        <v/>
      </c>
      <c r="C1697" s="66"/>
      <c r="D1697" s="60"/>
      <c r="E1697" s="61"/>
      <c r="F1697" s="61"/>
      <c r="G1697" s="67"/>
      <c r="H1697" s="60"/>
      <c r="I1697" s="60"/>
      <c r="J1697" s="61"/>
      <c r="K1697" s="61"/>
      <c r="L1697" s="60"/>
      <c r="M1697" s="74" t="str">
        <f>IF($C1697="","",IF($D1697="Gider",$E1697,IF($L1697&lt;&gt;"",$L1697,$H1697)))</f>
        <v/>
      </c>
      <c r="N1697" s="74" t="str">
        <f>IF($C1697="","",IF($D1697="Gider",$H1697,$E1697))</f>
        <v/>
      </c>
      <c r="O1697" s="73" t="str">
        <f>IF($C1697="","",DATE(YEAR($C1697),MONTH($C1697),1))</f>
        <v/>
      </c>
      <c r="P1697" s="65" t="str">
        <f ca="1">IF($C1697="","",IF(AND($D1697="Gelir",$L1697&lt;&gt;"",$T1697=""),"TANIMSIZ BORÇLU",IF($T1697&lt;&gt;"",IF(OR($E1697="",$G1697&lt;=0),"EKSİK",IF($I1697="Evet","TAHAKKUK NAKİT OLAMAZ",IF($C1697&gt;TODAY(),"İLERİ TARİH","TAHAKKUK"))),IF(AND($D1697&lt;&gt;"",$E1697&lt;&gt;"",$G1697&gt;0,$H1697&lt;&gt;"",$I1697&lt;&gt;""),IF($C1697&gt;TODAY(),"İLERİ TARİH",IF(COUNTIF($W$7:$W$3001,$W1697)&gt;1,"MÜKERRER?",IF($AD1697&gt;0,"KAPALI DÖNEM",IF($I1697="Hayır","ÖDENECEK","UYGUN")))),"EKSİK"))))</f>
        <v/>
      </c>
      <c r="Q1697" s="2"/>
      <c r="R1697" s="2"/>
      <c r="S1697" s="1" t="str">
        <f t="shared" si="80"/>
        <v/>
      </c>
      <c r="T1697" s="1" t="str">
        <f>IF(OR($C1697="",$D1697&lt;&gt;"Gelir",$L1697=""),"",IFERROR(INDEX(MUSTERILER!$B$7:$B$156,MATCH($S1697,MUSTERILER!$T$7:$T$156,0)),""))</f>
        <v/>
      </c>
      <c r="U1697" s="1" t="str">
        <f>IF($T1697="","",$T1697&amp;"|"&amp;COUNTIFS($T$7:$T1697,$T1697))</f>
        <v/>
      </c>
      <c r="V1697" s="1">
        <f t="shared" si="81"/>
        <v>0</v>
      </c>
      <c r="W1697" s="1" t="str">
        <f t="shared" si="82"/>
        <v/>
      </c>
      <c r="X1697" s="1"/>
      <c r="Y1697" s="1"/>
      <c r="Z1697" s="1"/>
      <c r="AA1697" s="1"/>
      <c r="AB1697" s="1"/>
      <c r="AC1697" s="1"/>
      <c r="AD1697" s="1">
        <f>IF($C1697="",0,SUMPRODUCT((AY_SONU!$O$7:$O$42="Evet")*(AY_SONU!$B$7:$B$42=DATE(YEAR($C1697),MONTH($C1697),1))))</f>
        <v>0</v>
      </c>
      <c r="AE1697" s="1" t="str">
        <f>IF($E1697="","",$E1697&amp;"|"&amp;COUNTIFS($E$7:$E1697,$E1697))</f>
        <v/>
      </c>
    </row>
    <row r="1698" spans="1:31" ht="18" customHeight="1" x14ac:dyDescent="0.3">
      <c r="A1698" s="2"/>
      <c r="B1698" s="65" t="str">
        <f>IF($C1698="","","GG"&amp;TEXT(ROW()-6,"00000"))</f>
        <v/>
      </c>
      <c r="C1698" s="66"/>
      <c r="D1698" s="60"/>
      <c r="E1698" s="61"/>
      <c r="F1698" s="61"/>
      <c r="G1698" s="67"/>
      <c r="H1698" s="60"/>
      <c r="I1698" s="60"/>
      <c r="J1698" s="61"/>
      <c r="K1698" s="61"/>
      <c r="L1698" s="60"/>
      <c r="M1698" s="74" t="str">
        <f>IF($C1698="","",IF($D1698="Gider",$E1698,IF($L1698&lt;&gt;"",$L1698,$H1698)))</f>
        <v/>
      </c>
      <c r="N1698" s="74" t="str">
        <f>IF($C1698="","",IF($D1698="Gider",$H1698,$E1698))</f>
        <v/>
      </c>
      <c r="O1698" s="73" t="str">
        <f>IF($C1698="","",DATE(YEAR($C1698),MONTH($C1698),1))</f>
        <v/>
      </c>
      <c r="P1698" s="65" t="str">
        <f ca="1">IF($C1698="","",IF(AND($D1698="Gelir",$L1698&lt;&gt;"",$T1698=""),"TANIMSIZ BORÇLU",IF($T1698&lt;&gt;"",IF(OR($E1698="",$G1698&lt;=0),"EKSİK",IF($I1698="Evet","TAHAKKUK NAKİT OLAMAZ",IF($C1698&gt;TODAY(),"İLERİ TARİH","TAHAKKUK"))),IF(AND($D1698&lt;&gt;"",$E1698&lt;&gt;"",$G1698&gt;0,$H1698&lt;&gt;"",$I1698&lt;&gt;""),IF($C1698&gt;TODAY(),"İLERİ TARİH",IF(COUNTIF($W$7:$W$3001,$W1698)&gt;1,"MÜKERRER?",IF($AD1698&gt;0,"KAPALI DÖNEM",IF($I1698="Hayır","ÖDENECEK","UYGUN")))),"EKSİK"))))</f>
        <v/>
      </c>
      <c r="Q1698" s="2"/>
      <c r="R1698" s="2"/>
      <c r="S1698" s="1" t="str">
        <f t="shared" si="80"/>
        <v/>
      </c>
      <c r="T1698" s="1" t="str">
        <f>IF(OR($C1698="",$D1698&lt;&gt;"Gelir",$L1698=""),"",IFERROR(INDEX(MUSTERILER!$B$7:$B$156,MATCH($S1698,MUSTERILER!$T$7:$T$156,0)),""))</f>
        <v/>
      </c>
      <c r="U1698" s="1" t="str">
        <f>IF($T1698="","",$T1698&amp;"|"&amp;COUNTIFS($T$7:$T1698,$T1698))</f>
        <v/>
      </c>
      <c r="V1698" s="1">
        <f t="shared" si="81"/>
        <v>0</v>
      </c>
      <c r="W1698" s="1" t="str">
        <f t="shared" si="82"/>
        <v/>
      </c>
      <c r="X1698" s="1"/>
      <c r="Y1698" s="1"/>
      <c r="Z1698" s="1"/>
      <c r="AA1698" s="1"/>
      <c r="AB1698" s="1"/>
      <c r="AC1698" s="1"/>
      <c r="AD1698" s="1">
        <f>IF($C1698="",0,SUMPRODUCT((AY_SONU!$O$7:$O$42="Evet")*(AY_SONU!$B$7:$B$42=DATE(YEAR($C1698),MONTH($C1698),1))))</f>
        <v>0</v>
      </c>
      <c r="AE1698" s="1" t="str">
        <f>IF($E1698="","",$E1698&amp;"|"&amp;COUNTIFS($E$7:$E1698,$E1698))</f>
        <v/>
      </c>
    </row>
    <row r="1699" spans="1:31" ht="18" customHeight="1" x14ac:dyDescent="0.3">
      <c r="A1699" s="2"/>
      <c r="B1699" s="65" t="str">
        <f>IF($C1699="","","GG"&amp;TEXT(ROW()-6,"00000"))</f>
        <v/>
      </c>
      <c r="C1699" s="66"/>
      <c r="D1699" s="60"/>
      <c r="E1699" s="61"/>
      <c r="F1699" s="61"/>
      <c r="G1699" s="67"/>
      <c r="H1699" s="60"/>
      <c r="I1699" s="60"/>
      <c r="J1699" s="61"/>
      <c r="K1699" s="61"/>
      <c r="L1699" s="60"/>
      <c r="M1699" s="74" t="str">
        <f>IF($C1699="","",IF($D1699="Gider",$E1699,IF($L1699&lt;&gt;"",$L1699,$H1699)))</f>
        <v/>
      </c>
      <c r="N1699" s="74" t="str">
        <f>IF($C1699="","",IF($D1699="Gider",$H1699,$E1699))</f>
        <v/>
      </c>
      <c r="O1699" s="73" t="str">
        <f>IF($C1699="","",DATE(YEAR($C1699),MONTH($C1699),1))</f>
        <v/>
      </c>
      <c r="P1699" s="65" t="str">
        <f ca="1">IF($C1699="","",IF(AND($D1699="Gelir",$L1699&lt;&gt;"",$T1699=""),"TANIMSIZ BORÇLU",IF($T1699&lt;&gt;"",IF(OR($E1699="",$G1699&lt;=0),"EKSİK",IF($I1699="Evet","TAHAKKUK NAKİT OLAMAZ",IF($C1699&gt;TODAY(),"İLERİ TARİH","TAHAKKUK"))),IF(AND($D1699&lt;&gt;"",$E1699&lt;&gt;"",$G1699&gt;0,$H1699&lt;&gt;"",$I1699&lt;&gt;""),IF($C1699&gt;TODAY(),"İLERİ TARİH",IF(COUNTIF($W$7:$W$3001,$W1699)&gt;1,"MÜKERRER?",IF($AD1699&gt;0,"KAPALI DÖNEM",IF($I1699="Hayır","ÖDENECEK","UYGUN")))),"EKSİK"))))</f>
        <v/>
      </c>
      <c r="Q1699" s="2"/>
      <c r="R1699" s="2"/>
      <c r="S1699" s="1" t="str">
        <f t="shared" si="80"/>
        <v/>
      </c>
      <c r="T1699" s="1" t="str">
        <f>IF(OR($C1699="",$D1699&lt;&gt;"Gelir",$L1699=""),"",IFERROR(INDEX(MUSTERILER!$B$7:$B$156,MATCH($S1699,MUSTERILER!$T$7:$T$156,0)),""))</f>
        <v/>
      </c>
      <c r="U1699" s="1" t="str">
        <f>IF($T1699="","",$T1699&amp;"|"&amp;COUNTIFS($T$7:$T1699,$T1699))</f>
        <v/>
      </c>
      <c r="V1699" s="1">
        <f t="shared" si="81"/>
        <v>0</v>
      </c>
      <c r="W1699" s="1" t="str">
        <f t="shared" si="82"/>
        <v/>
      </c>
      <c r="X1699" s="1"/>
      <c r="Y1699" s="1"/>
      <c r="Z1699" s="1"/>
      <c r="AA1699" s="1"/>
      <c r="AB1699" s="1"/>
      <c r="AC1699" s="1"/>
      <c r="AD1699" s="1">
        <f>IF($C1699="",0,SUMPRODUCT((AY_SONU!$O$7:$O$42="Evet")*(AY_SONU!$B$7:$B$42=DATE(YEAR($C1699),MONTH($C1699),1))))</f>
        <v>0</v>
      </c>
      <c r="AE1699" s="1" t="str">
        <f>IF($E1699="","",$E1699&amp;"|"&amp;COUNTIFS($E$7:$E1699,$E1699))</f>
        <v/>
      </c>
    </row>
    <row r="1700" spans="1:31" ht="18" customHeight="1" x14ac:dyDescent="0.3">
      <c r="A1700" s="2"/>
      <c r="B1700" s="65" t="str">
        <f>IF($C1700="","","GG"&amp;TEXT(ROW()-6,"00000"))</f>
        <v/>
      </c>
      <c r="C1700" s="66"/>
      <c r="D1700" s="60"/>
      <c r="E1700" s="61"/>
      <c r="F1700" s="61"/>
      <c r="G1700" s="67"/>
      <c r="H1700" s="60"/>
      <c r="I1700" s="60"/>
      <c r="J1700" s="61"/>
      <c r="K1700" s="61"/>
      <c r="L1700" s="60"/>
      <c r="M1700" s="74" t="str">
        <f>IF($C1700="","",IF($D1700="Gider",$E1700,IF($L1700&lt;&gt;"",$L1700,$H1700)))</f>
        <v/>
      </c>
      <c r="N1700" s="74" t="str">
        <f>IF($C1700="","",IF($D1700="Gider",$H1700,$E1700))</f>
        <v/>
      </c>
      <c r="O1700" s="73" t="str">
        <f>IF($C1700="","",DATE(YEAR($C1700),MONTH($C1700),1))</f>
        <v/>
      </c>
      <c r="P1700" s="65" t="str">
        <f ca="1">IF($C1700="","",IF(AND($D1700="Gelir",$L1700&lt;&gt;"",$T1700=""),"TANIMSIZ BORÇLU",IF($T1700&lt;&gt;"",IF(OR($E1700="",$G1700&lt;=0),"EKSİK",IF($I1700="Evet","TAHAKKUK NAKİT OLAMAZ",IF($C1700&gt;TODAY(),"İLERİ TARİH","TAHAKKUK"))),IF(AND($D1700&lt;&gt;"",$E1700&lt;&gt;"",$G1700&gt;0,$H1700&lt;&gt;"",$I1700&lt;&gt;""),IF($C1700&gt;TODAY(),"İLERİ TARİH",IF(COUNTIF($W$7:$W$3001,$W1700)&gt;1,"MÜKERRER?",IF($AD1700&gt;0,"KAPALI DÖNEM",IF($I1700="Hayır","ÖDENECEK","UYGUN")))),"EKSİK"))))</f>
        <v/>
      </c>
      <c r="Q1700" s="2"/>
      <c r="R1700" s="2"/>
      <c r="S1700" s="1" t="str">
        <f t="shared" si="80"/>
        <v/>
      </c>
      <c r="T1700" s="1" t="str">
        <f>IF(OR($C1700="",$D1700&lt;&gt;"Gelir",$L1700=""),"",IFERROR(INDEX(MUSTERILER!$B$7:$B$156,MATCH($S1700,MUSTERILER!$T$7:$T$156,0)),""))</f>
        <v/>
      </c>
      <c r="U1700" s="1" t="str">
        <f>IF($T1700="","",$T1700&amp;"|"&amp;COUNTIFS($T$7:$T1700,$T1700))</f>
        <v/>
      </c>
      <c r="V1700" s="1">
        <f t="shared" si="81"/>
        <v>0</v>
      </c>
      <c r="W1700" s="1" t="str">
        <f t="shared" si="82"/>
        <v/>
      </c>
      <c r="X1700" s="1"/>
      <c r="Y1700" s="1"/>
      <c r="Z1700" s="1"/>
      <c r="AA1700" s="1"/>
      <c r="AB1700" s="1"/>
      <c r="AC1700" s="1"/>
      <c r="AD1700" s="1">
        <f>IF($C1700="",0,SUMPRODUCT((AY_SONU!$O$7:$O$42="Evet")*(AY_SONU!$B$7:$B$42=DATE(YEAR($C1700),MONTH($C1700),1))))</f>
        <v>0</v>
      </c>
      <c r="AE1700" s="1" t="str">
        <f>IF($E1700="","",$E1700&amp;"|"&amp;COUNTIFS($E$7:$E1700,$E1700))</f>
        <v/>
      </c>
    </row>
    <row r="1701" spans="1:31" ht="18" customHeight="1" x14ac:dyDescent="0.3">
      <c r="A1701" s="2"/>
      <c r="B1701" s="65" t="str">
        <f>IF($C1701="","","GG"&amp;TEXT(ROW()-6,"00000"))</f>
        <v/>
      </c>
      <c r="C1701" s="66"/>
      <c r="D1701" s="60"/>
      <c r="E1701" s="61"/>
      <c r="F1701" s="61"/>
      <c r="G1701" s="67"/>
      <c r="H1701" s="60"/>
      <c r="I1701" s="60"/>
      <c r="J1701" s="61"/>
      <c r="K1701" s="61"/>
      <c r="L1701" s="60"/>
      <c r="M1701" s="74" t="str">
        <f>IF($C1701="","",IF($D1701="Gider",$E1701,IF($L1701&lt;&gt;"",$L1701,$H1701)))</f>
        <v/>
      </c>
      <c r="N1701" s="74" t="str">
        <f>IF($C1701="","",IF($D1701="Gider",$H1701,$E1701))</f>
        <v/>
      </c>
      <c r="O1701" s="73" t="str">
        <f>IF($C1701="","",DATE(YEAR($C1701),MONTH($C1701),1))</f>
        <v/>
      </c>
      <c r="P1701" s="65" t="str">
        <f ca="1">IF($C1701="","",IF(AND($D1701="Gelir",$L1701&lt;&gt;"",$T1701=""),"TANIMSIZ BORÇLU",IF($T1701&lt;&gt;"",IF(OR($E1701="",$G1701&lt;=0),"EKSİK",IF($I1701="Evet","TAHAKKUK NAKİT OLAMAZ",IF($C1701&gt;TODAY(),"İLERİ TARİH","TAHAKKUK"))),IF(AND($D1701&lt;&gt;"",$E1701&lt;&gt;"",$G1701&gt;0,$H1701&lt;&gt;"",$I1701&lt;&gt;""),IF($C1701&gt;TODAY(),"İLERİ TARİH",IF(COUNTIF($W$7:$W$3001,$W1701)&gt;1,"MÜKERRER?",IF($AD1701&gt;0,"KAPALI DÖNEM",IF($I1701="Hayır","ÖDENECEK","UYGUN")))),"EKSİK"))))</f>
        <v/>
      </c>
      <c r="Q1701" s="2"/>
      <c r="R1701" s="2"/>
      <c r="S1701" s="1" t="str">
        <f t="shared" si="80"/>
        <v/>
      </c>
      <c r="T1701" s="1" t="str">
        <f>IF(OR($C1701="",$D1701&lt;&gt;"Gelir",$L1701=""),"",IFERROR(INDEX(MUSTERILER!$B$7:$B$156,MATCH($S1701,MUSTERILER!$T$7:$T$156,0)),""))</f>
        <v/>
      </c>
      <c r="U1701" s="1" t="str">
        <f>IF($T1701="","",$T1701&amp;"|"&amp;COUNTIFS($T$7:$T1701,$T1701))</f>
        <v/>
      </c>
      <c r="V1701" s="1">
        <f t="shared" si="81"/>
        <v>0</v>
      </c>
      <c r="W1701" s="1" t="str">
        <f t="shared" si="82"/>
        <v/>
      </c>
      <c r="X1701" s="1"/>
      <c r="Y1701" s="1"/>
      <c r="Z1701" s="1"/>
      <c r="AA1701" s="1"/>
      <c r="AB1701" s="1"/>
      <c r="AC1701" s="1"/>
      <c r="AD1701" s="1">
        <f>IF($C1701="",0,SUMPRODUCT((AY_SONU!$O$7:$O$42="Evet")*(AY_SONU!$B$7:$B$42=DATE(YEAR($C1701),MONTH($C1701),1))))</f>
        <v>0</v>
      </c>
      <c r="AE1701" s="1" t="str">
        <f>IF($E1701="","",$E1701&amp;"|"&amp;COUNTIFS($E$7:$E1701,$E1701))</f>
        <v/>
      </c>
    </row>
    <row r="1702" spans="1:31" ht="18" customHeight="1" x14ac:dyDescent="0.3">
      <c r="A1702" s="2"/>
      <c r="B1702" s="65" t="str">
        <f>IF($C1702="","","GG"&amp;TEXT(ROW()-6,"00000"))</f>
        <v/>
      </c>
      <c r="C1702" s="66"/>
      <c r="D1702" s="60"/>
      <c r="E1702" s="61"/>
      <c r="F1702" s="61"/>
      <c r="G1702" s="67"/>
      <c r="H1702" s="60"/>
      <c r="I1702" s="60"/>
      <c r="J1702" s="61"/>
      <c r="K1702" s="61"/>
      <c r="L1702" s="60"/>
      <c r="M1702" s="74" t="str">
        <f>IF($C1702="","",IF($D1702="Gider",$E1702,IF($L1702&lt;&gt;"",$L1702,$H1702)))</f>
        <v/>
      </c>
      <c r="N1702" s="74" t="str">
        <f>IF($C1702="","",IF($D1702="Gider",$H1702,$E1702))</f>
        <v/>
      </c>
      <c r="O1702" s="73" t="str">
        <f>IF($C1702="","",DATE(YEAR($C1702),MONTH($C1702),1))</f>
        <v/>
      </c>
      <c r="P1702" s="65" t="str">
        <f ca="1">IF($C1702="","",IF(AND($D1702="Gelir",$L1702&lt;&gt;"",$T1702=""),"TANIMSIZ BORÇLU",IF($T1702&lt;&gt;"",IF(OR($E1702="",$G1702&lt;=0),"EKSİK",IF($I1702="Evet","TAHAKKUK NAKİT OLAMAZ",IF($C1702&gt;TODAY(),"İLERİ TARİH","TAHAKKUK"))),IF(AND($D1702&lt;&gt;"",$E1702&lt;&gt;"",$G1702&gt;0,$H1702&lt;&gt;"",$I1702&lt;&gt;""),IF($C1702&gt;TODAY(),"İLERİ TARİH",IF(COUNTIF($W$7:$W$3001,$W1702)&gt;1,"MÜKERRER?",IF($AD1702&gt;0,"KAPALI DÖNEM",IF($I1702="Hayır","ÖDENECEK","UYGUN")))),"EKSİK"))))</f>
        <v/>
      </c>
      <c r="Q1702" s="2"/>
      <c r="R1702" s="2"/>
      <c r="S1702" s="1" t="str">
        <f t="shared" si="80"/>
        <v/>
      </c>
      <c r="T1702" s="1" t="str">
        <f>IF(OR($C1702="",$D1702&lt;&gt;"Gelir",$L1702=""),"",IFERROR(INDEX(MUSTERILER!$B$7:$B$156,MATCH($S1702,MUSTERILER!$T$7:$T$156,0)),""))</f>
        <v/>
      </c>
      <c r="U1702" s="1" t="str">
        <f>IF($T1702="","",$T1702&amp;"|"&amp;COUNTIFS($T$7:$T1702,$T1702))</f>
        <v/>
      </c>
      <c r="V1702" s="1">
        <f t="shared" si="81"/>
        <v>0</v>
      </c>
      <c r="W1702" s="1" t="str">
        <f t="shared" si="82"/>
        <v/>
      </c>
      <c r="X1702" s="1"/>
      <c r="Y1702" s="1"/>
      <c r="Z1702" s="1"/>
      <c r="AA1702" s="1"/>
      <c r="AB1702" s="1"/>
      <c r="AC1702" s="1"/>
      <c r="AD1702" s="1">
        <f>IF($C1702="",0,SUMPRODUCT((AY_SONU!$O$7:$O$42="Evet")*(AY_SONU!$B$7:$B$42=DATE(YEAR($C1702),MONTH($C1702),1))))</f>
        <v>0</v>
      </c>
      <c r="AE1702" s="1" t="str">
        <f>IF($E1702="","",$E1702&amp;"|"&amp;COUNTIFS($E$7:$E1702,$E1702))</f>
        <v/>
      </c>
    </row>
    <row r="1703" spans="1:31" ht="18" customHeight="1" x14ac:dyDescent="0.3">
      <c r="A1703" s="2"/>
      <c r="B1703" s="65" t="str">
        <f>IF($C1703="","","GG"&amp;TEXT(ROW()-6,"00000"))</f>
        <v/>
      </c>
      <c r="C1703" s="66"/>
      <c r="D1703" s="60"/>
      <c r="E1703" s="61"/>
      <c r="F1703" s="61"/>
      <c r="G1703" s="67"/>
      <c r="H1703" s="60"/>
      <c r="I1703" s="60"/>
      <c r="J1703" s="61"/>
      <c r="K1703" s="61"/>
      <c r="L1703" s="60"/>
      <c r="M1703" s="74" t="str">
        <f>IF($C1703="","",IF($D1703="Gider",$E1703,IF($L1703&lt;&gt;"",$L1703,$H1703)))</f>
        <v/>
      </c>
      <c r="N1703" s="74" t="str">
        <f>IF($C1703="","",IF($D1703="Gider",$H1703,$E1703))</f>
        <v/>
      </c>
      <c r="O1703" s="73" t="str">
        <f>IF($C1703="","",DATE(YEAR($C1703),MONTH($C1703),1))</f>
        <v/>
      </c>
      <c r="P1703" s="65" t="str">
        <f ca="1">IF($C1703="","",IF(AND($D1703="Gelir",$L1703&lt;&gt;"",$T1703=""),"TANIMSIZ BORÇLU",IF($T1703&lt;&gt;"",IF(OR($E1703="",$G1703&lt;=0),"EKSİK",IF($I1703="Evet","TAHAKKUK NAKİT OLAMAZ",IF($C1703&gt;TODAY(),"İLERİ TARİH","TAHAKKUK"))),IF(AND($D1703&lt;&gt;"",$E1703&lt;&gt;"",$G1703&gt;0,$H1703&lt;&gt;"",$I1703&lt;&gt;""),IF($C1703&gt;TODAY(),"İLERİ TARİH",IF(COUNTIF($W$7:$W$3001,$W1703)&gt;1,"MÜKERRER?",IF($AD1703&gt;0,"KAPALI DÖNEM",IF($I1703="Hayır","ÖDENECEK","UYGUN")))),"EKSİK"))))</f>
        <v/>
      </c>
      <c r="Q1703" s="2"/>
      <c r="R1703" s="2"/>
      <c r="S1703" s="1" t="str">
        <f t="shared" si="80"/>
        <v/>
      </c>
      <c r="T1703" s="1" t="str">
        <f>IF(OR($C1703="",$D1703&lt;&gt;"Gelir",$L1703=""),"",IFERROR(INDEX(MUSTERILER!$B$7:$B$156,MATCH($S1703,MUSTERILER!$T$7:$T$156,0)),""))</f>
        <v/>
      </c>
      <c r="U1703" s="1" t="str">
        <f>IF($T1703="","",$T1703&amp;"|"&amp;COUNTIFS($T$7:$T1703,$T1703))</f>
        <v/>
      </c>
      <c r="V1703" s="1">
        <f t="shared" si="81"/>
        <v>0</v>
      </c>
      <c r="W1703" s="1" t="str">
        <f t="shared" si="82"/>
        <v/>
      </c>
      <c r="X1703" s="1"/>
      <c r="Y1703" s="1"/>
      <c r="Z1703" s="1"/>
      <c r="AA1703" s="1"/>
      <c r="AB1703" s="1"/>
      <c r="AC1703" s="1"/>
      <c r="AD1703" s="1">
        <f>IF($C1703="",0,SUMPRODUCT((AY_SONU!$O$7:$O$42="Evet")*(AY_SONU!$B$7:$B$42=DATE(YEAR($C1703),MONTH($C1703),1))))</f>
        <v>0</v>
      </c>
      <c r="AE1703" s="1" t="str">
        <f>IF($E1703="","",$E1703&amp;"|"&amp;COUNTIFS($E$7:$E1703,$E1703))</f>
        <v/>
      </c>
    </row>
    <row r="1704" spans="1:31" ht="18" customHeight="1" x14ac:dyDescent="0.3">
      <c r="A1704" s="2"/>
      <c r="B1704" s="65" t="str">
        <f>IF($C1704="","","GG"&amp;TEXT(ROW()-6,"00000"))</f>
        <v/>
      </c>
      <c r="C1704" s="66"/>
      <c r="D1704" s="60"/>
      <c r="E1704" s="61"/>
      <c r="F1704" s="61"/>
      <c r="G1704" s="67"/>
      <c r="H1704" s="60"/>
      <c r="I1704" s="60"/>
      <c r="J1704" s="61"/>
      <c r="K1704" s="61"/>
      <c r="L1704" s="60"/>
      <c r="M1704" s="74" t="str">
        <f>IF($C1704="","",IF($D1704="Gider",$E1704,IF($L1704&lt;&gt;"",$L1704,$H1704)))</f>
        <v/>
      </c>
      <c r="N1704" s="74" t="str">
        <f>IF($C1704="","",IF($D1704="Gider",$H1704,$E1704))</f>
        <v/>
      </c>
      <c r="O1704" s="73" t="str">
        <f>IF($C1704="","",DATE(YEAR($C1704),MONTH($C1704),1))</f>
        <v/>
      </c>
      <c r="P1704" s="65" t="str">
        <f ca="1">IF($C1704="","",IF(AND($D1704="Gelir",$L1704&lt;&gt;"",$T1704=""),"TANIMSIZ BORÇLU",IF($T1704&lt;&gt;"",IF(OR($E1704="",$G1704&lt;=0),"EKSİK",IF($I1704="Evet","TAHAKKUK NAKİT OLAMAZ",IF($C1704&gt;TODAY(),"İLERİ TARİH","TAHAKKUK"))),IF(AND($D1704&lt;&gt;"",$E1704&lt;&gt;"",$G1704&gt;0,$H1704&lt;&gt;"",$I1704&lt;&gt;""),IF($C1704&gt;TODAY(),"İLERİ TARİH",IF(COUNTIF($W$7:$W$3001,$W1704)&gt;1,"MÜKERRER?",IF($AD1704&gt;0,"KAPALI DÖNEM",IF($I1704="Hayır","ÖDENECEK","UYGUN")))),"EKSİK"))))</f>
        <v/>
      </c>
      <c r="Q1704" s="2"/>
      <c r="R1704" s="2"/>
      <c r="S1704" s="1" t="str">
        <f t="shared" si="80"/>
        <v/>
      </c>
      <c r="T1704" s="1" t="str">
        <f>IF(OR($C1704="",$D1704&lt;&gt;"Gelir",$L1704=""),"",IFERROR(INDEX(MUSTERILER!$B$7:$B$156,MATCH($S1704,MUSTERILER!$T$7:$T$156,0)),""))</f>
        <v/>
      </c>
      <c r="U1704" s="1" t="str">
        <f>IF($T1704="","",$T1704&amp;"|"&amp;COUNTIFS($T$7:$T1704,$T1704))</f>
        <v/>
      </c>
      <c r="V1704" s="1">
        <f t="shared" si="81"/>
        <v>0</v>
      </c>
      <c r="W1704" s="1" t="str">
        <f t="shared" si="82"/>
        <v/>
      </c>
      <c r="X1704" s="1"/>
      <c r="Y1704" s="1"/>
      <c r="Z1704" s="1"/>
      <c r="AA1704" s="1"/>
      <c r="AB1704" s="1"/>
      <c r="AC1704" s="1"/>
      <c r="AD1704" s="1">
        <f>IF($C1704="",0,SUMPRODUCT((AY_SONU!$O$7:$O$42="Evet")*(AY_SONU!$B$7:$B$42=DATE(YEAR($C1704),MONTH($C1704),1))))</f>
        <v>0</v>
      </c>
      <c r="AE1704" s="1" t="str">
        <f>IF($E1704="","",$E1704&amp;"|"&amp;COUNTIFS($E$7:$E1704,$E1704))</f>
        <v/>
      </c>
    </row>
    <row r="1705" spans="1:31" ht="18" customHeight="1" x14ac:dyDescent="0.3">
      <c r="A1705" s="2"/>
      <c r="B1705" s="65" t="str">
        <f>IF($C1705="","","GG"&amp;TEXT(ROW()-6,"00000"))</f>
        <v/>
      </c>
      <c r="C1705" s="66"/>
      <c r="D1705" s="60"/>
      <c r="E1705" s="61"/>
      <c r="F1705" s="61"/>
      <c r="G1705" s="67"/>
      <c r="H1705" s="60"/>
      <c r="I1705" s="60"/>
      <c r="J1705" s="61"/>
      <c r="K1705" s="61"/>
      <c r="L1705" s="60"/>
      <c r="M1705" s="74" t="str">
        <f>IF($C1705="","",IF($D1705="Gider",$E1705,IF($L1705&lt;&gt;"",$L1705,$H1705)))</f>
        <v/>
      </c>
      <c r="N1705" s="74" t="str">
        <f>IF($C1705="","",IF($D1705="Gider",$H1705,$E1705))</f>
        <v/>
      </c>
      <c r="O1705" s="73" t="str">
        <f>IF($C1705="","",DATE(YEAR($C1705),MONTH($C1705),1))</f>
        <v/>
      </c>
      <c r="P1705" s="65" t="str">
        <f ca="1">IF($C1705="","",IF(AND($D1705="Gelir",$L1705&lt;&gt;"",$T1705=""),"TANIMSIZ BORÇLU",IF($T1705&lt;&gt;"",IF(OR($E1705="",$G1705&lt;=0),"EKSİK",IF($I1705="Evet","TAHAKKUK NAKİT OLAMAZ",IF($C1705&gt;TODAY(),"İLERİ TARİH","TAHAKKUK"))),IF(AND($D1705&lt;&gt;"",$E1705&lt;&gt;"",$G1705&gt;0,$H1705&lt;&gt;"",$I1705&lt;&gt;""),IF($C1705&gt;TODAY(),"İLERİ TARİH",IF(COUNTIF($W$7:$W$3001,$W1705)&gt;1,"MÜKERRER?",IF($AD1705&gt;0,"KAPALI DÖNEM",IF($I1705="Hayır","ÖDENECEK","UYGUN")))),"EKSİK"))))</f>
        <v/>
      </c>
      <c r="Q1705" s="2"/>
      <c r="R1705" s="2"/>
      <c r="S1705" s="1" t="str">
        <f t="shared" si="80"/>
        <v/>
      </c>
      <c r="T1705" s="1" t="str">
        <f>IF(OR($C1705="",$D1705&lt;&gt;"Gelir",$L1705=""),"",IFERROR(INDEX(MUSTERILER!$B$7:$B$156,MATCH($S1705,MUSTERILER!$T$7:$T$156,0)),""))</f>
        <v/>
      </c>
      <c r="U1705" s="1" t="str">
        <f>IF($T1705="","",$T1705&amp;"|"&amp;COUNTIFS($T$7:$T1705,$T1705))</f>
        <v/>
      </c>
      <c r="V1705" s="1">
        <f t="shared" si="81"/>
        <v>0</v>
      </c>
      <c r="W1705" s="1" t="str">
        <f t="shared" si="82"/>
        <v/>
      </c>
      <c r="X1705" s="1"/>
      <c r="Y1705" s="1"/>
      <c r="Z1705" s="1"/>
      <c r="AA1705" s="1"/>
      <c r="AB1705" s="1"/>
      <c r="AC1705" s="1"/>
      <c r="AD1705" s="1">
        <f>IF($C1705="",0,SUMPRODUCT((AY_SONU!$O$7:$O$42="Evet")*(AY_SONU!$B$7:$B$42=DATE(YEAR($C1705),MONTH($C1705),1))))</f>
        <v>0</v>
      </c>
      <c r="AE1705" s="1" t="str">
        <f>IF($E1705="","",$E1705&amp;"|"&amp;COUNTIFS($E$7:$E1705,$E1705))</f>
        <v/>
      </c>
    </row>
    <row r="1706" spans="1:31" ht="18" customHeight="1" x14ac:dyDescent="0.3">
      <c r="A1706" s="2"/>
      <c r="B1706" s="65" t="str">
        <f>IF($C1706="","","GG"&amp;TEXT(ROW()-6,"00000"))</f>
        <v/>
      </c>
      <c r="C1706" s="66"/>
      <c r="D1706" s="60"/>
      <c r="E1706" s="61"/>
      <c r="F1706" s="61"/>
      <c r="G1706" s="67"/>
      <c r="H1706" s="60"/>
      <c r="I1706" s="60"/>
      <c r="J1706" s="61"/>
      <c r="K1706" s="61"/>
      <c r="L1706" s="60"/>
      <c r="M1706" s="74" t="str">
        <f>IF($C1706="","",IF($D1706="Gider",$E1706,IF($L1706&lt;&gt;"",$L1706,$H1706)))</f>
        <v/>
      </c>
      <c r="N1706" s="74" t="str">
        <f>IF($C1706="","",IF($D1706="Gider",$H1706,$E1706))</f>
        <v/>
      </c>
      <c r="O1706" s="73" t="str">
        <f>IF($C1706="","",DATE(YEAR($C1706),MONTH($C1706),1))</f>
        <v/>
      </c>
      <c r="P1706" s="65" t="str">
        <f ca="1">IF($C1706="","",IF(AND($D1706="Gelir",$L1706&lt;&gt;"",$T1706=""),"TANIMSIZ BORÇLU",IF($T1706&lt;&gt;"",IF(OR($E1706="",$G1706&lt;=0),"EKSİK",IF($I1706="Evet","TAHAKKUK NAKİT OLAMAZ",IF($C1706&gt;TODAY(),"İLERİ TARİH","TAHAKKUK"))),IF(AND($D1706&lt;&gt;"",$E1706&lt;&gt;"",$G1706&gt;0,$H1706&lt;&gt;"",$I1706&lt;&gt;""),IF($C1706&gt;TODAY(),"İLERİ TARİH",IF(COUNTIF($W$7:$W$3001,$W1706)&gt;1,"MÜKERRER?",IF($AD1706&gt;0,"KAPALI DÖNEM",IF($I1706="Hayır","ÖDENECEK","UYGUN")))),"EKSİK"))))</f>
        <v/>
      </c>
      <c r="Q1706" s="2"/>
      <c r="R1706" s="2"/>
      <c r="S1706" s="1" t="str">
        <f t="shared" si="80"/>
        <v/>
      </c>
      <c r="T1706" s="1" t="str">
        <f>IF(OR($C1706="",$D1706&lt;&gt;"Gelir",$L1706=""),"",IFERROR(INDEX(MUSTERILER!$B$7:$B$156,MATCH($S1706,MUSTERILER!$T$7:$T$156,0)),""))</f>
        <v/>
      </c>
      <c r="U1706" s="1" t="str">
        <f>IF($T1706="","",$T1706&amp;"|"&amp;COUNTIFS($T$7:$T1706,$T1706))</f>
        <v/>
      </c>
      <c r="V1706" s="1">
        <f t="shared" si="81"/>
        <v>0</v>
      </c>
      <c r="W1706" s="1" t="str">
        <f t="shared" si="82"/>
        <v/>
      </c>
      <c r="X1706" s="1"/>
      <c r="Y1706" s="1"/>
      <c r="Z1706" s="1"/>
      <c r="AA1706" s="1"/>
      <c r="AB1706" s="1"/>
      <c r="AC1706" s="1"/>
      <c r="AD1706" s="1">
        <f>IF($C1706="",0,SUMPRODUCT((AY_SONU!$O$7:$O$42="Evet")*(AY_SONU!$B$7:$B$42=DATE(YEAR($C1706),MONTH($C1706),1))))</f>
        <v>0</v>
      </c>
      <c r="AE1706" s="1" t="str">
        <f>IF($E1706="","",$E1706&amp;"|"&amp;COUNTIFS($E$7:$E1706,$E1706))</f>
        <v/>
      </c>
    </row>
    <row r="1707" spans="1:31" ht="18" customHeight="1" x14ac:dyDescent="0.3">
      <c r="A1707" s="2"/>
      <c r="B1707" s="65" t="str">
        <f>IF($C1707="","","GG"&amp;TEXT(ROW()-6,"00000"))</f>
        <v/>
      </c>
      <c r="C1707" s="66"/>
      <c r="D1707" s="60"/>
      <c r="E1707" s="61"/>
      <c r="F1707" s="61"/>
      <c r="G1707" s="67"/>
      <c r="H1707" s="60"/>
      <c r="I1707" s="60"/>
      <c r="J1707" s="61"/>
      <c r="K1707" s="61"/>
      <c r="L1707" s="60"/>
      <c r="M1707" s="74" t="str">
        <f>IF($C1707="","",IF($D1707="Gider",$E1707,IF($L1707&lt;&gt;"",$L1707,$H1707)))</f>
        <v/>
      </c>
      <c r="N1707" s="74" t="str">
        <f>IF($C1707="","",IF($D1707="Gider",$H1707,$E1707))</f>
        <v/>
      </c>
      <c r="O1707" s="73" t="str">
        <f>IF($C1707="","",DATE(YEAR($C1707),MONTH($C1707),1))</f>
        <v/>
      </c>
      <c r="P1707" s="65" t="str">
        <f ca="1">IF($C1707="","",IF(AND($D1707="Gelir",$L1707&lt;&gt;"",$T1707=""),"TANIMSIZ BORÇLU",IF($T1707&lt;&gt;"",IF(OR($E1707="",$G1707&lt;=0),"EKSİK",IF($I1707="Evet","TAHAKKUK NAKİT OLAMAZ",IF($C1707&gt;TODAY(),"İLERİ TARİH","TAHAKKUK"))),IF(AND($D1707&lt;&gt;"",$E1707&lt;&gt;"",$G1707&gt;0,$H1707&lt;&gt;"",$I1707&lt;&gt;""),IF($C1707&gt;TODAY(),"İLERİ TARİH",IF(COUNTIF($W$7:$W$3001,$W1707)&gt;1,"MÜKERRER?",IF($AD1707&gt;0,"KAPALI DÖNEM",IF($I1707="Hayır","ÖDENECEK","UYGUN")))),"EKSİK"))))</f>
        <v/>
      </c>
      <c r="Q1707" s="2"/>
      <c r="R1707" s="2"/>
      <c r="S1707" s="1" t="str">
        <f t="shared" si="80"/>
        <v/>
      </c>
      <c r="T1707" s="1" t="str">
        <f>IF(OR($C1707="",$D1707&lt;&gt;"Gelir",$L1707=""),"",IFERROR(INDEX(MUSTERILER!$B$7:$B$156,MATCH($S1707,MUSTERILER!$T$7:$T$156,0)),""))</f>
        <v/>
      </c>
      <c r="U1707" s="1" t="str">
        <f>IF($T1707="","",$T1707&amp;"|"&amp;COUNTIFS($T$7:$T1707,$T1707))</f>
        <v/>
      </c>
      <c r="V1707" s="1">
        <f t="shared" si="81"/>
        <v>0</v>
      </c>
      <c r="W1707" s="1" t="str">
        <f t="shared" si="82"/>
        <v/>
      </c>
      <c r="X1707" s="1"/>
      <c r="Y1707" s="1"/>
      <c r="Z1707" s="1"/>
      <c r="AA1707" s="1"/>
      <c r="AB1707" s="1"/>
      <c r="AC1707" s="1"/>
      <c r="AD1707" s="1">
        <f>IF($C1707="",0,SUMPRODUCT((AY_SONU!$O$7:$O$42="Evet")*(AY_SONU!$B$7:$B$42=DATE(YEAR($C1707),MONTH($C1707),1))))</f>
        <v>0</v>
      </c>
      <c r="AE1707" s="1" t="str">
        <f>IF($E1707="","",$E1707&amp;"|"&amp;COUNTIFS($E$7:$E1707,$E1707))</f>
        <v/>
      </c>
    </row>
    <row r="1708" spans="1:31" ht="18" customHeight="1" x14ac:dyDescent="0.3">
      <c r="A1708" s="2"/>
      <c r="B1708" s="65" t="str">
        <f>IF($C1708="","","GG"&amp;TEXT(ROW()-6,"00000"))</f>
        <v/>
      </c>
      <c r="C1708" s="66"/>
      <c r="D1708" s="60"/>
      <c r="E1708" s="61"/>
      <c r="F1708" s="61"/>
      <c r="G1708" s="67"/>
      <c r="H1708" s="60"/>
      <c r="I1708" s="60"/>
      <c r="J1708" s="61"/>
      <c r="K1708" s="61"/>
      <c r="L1708" s="60"/>
      <c r="M1708" s="74" t="str">
        <f>IF($C1708="","",IF($D1708="Gider",$E1708,IF($L1708&lt;&gt;"",$L1708,$H1708)))</f>
        <v/>
      </c>
      <c r="N1708" s="74" t="str">
        <f>IF($C1708="","",IF($D1708="Gider",$H1708,$E1708))</f>
        <v/>
      </c>
      <c r="O1708" s="73" t="str">
        <f>IF($C1708="","",DATE(YEAR($C1708),MONTH($C1708),1))</f>
        <v/>
      </c>
      <c r="P1708" s="65" t="str">
        <f ca="1">IF($C1708="","",IF(AND($D1708="Gelir",$L1708&lt;&gt;"",$T1708=""),"TANIMSIZ BORÇLU",IF($T1708&lt;&gt;"",IF(OR($E1708="",$G1708&lt;=0),"EKSİK",IF($I1708="Evet","TAHAKKUK NAKİT OLAMAZ",IF($C1708&gt;TODAY(),"İLERİ TARİH","TAHAKKUK"))),IF(AND($D1708&lt;&gt;"",$E1708&lt;&gt;"",$G1708&gt;0,$H1708&lt;&gt;"",$I1708&lt;&gt;""),IF($C1708&gt;TODAY(),"İLERİ TARİH",IF(COUNTIF($W$7:$W$3001,$W1708)&gt;1,"MÜKERRER?",IF($AD1708&gt;0,"KAPALI DÖNEM",IF($I1708="Hayır","ÖDENECEK","UYGUN")))),"EKSİK"))))</f>
        <v/>
      </c>
      <c r="Q1708" s="2"/>
      <c r="R1708" s="2"/>
      <c r="S1708" s="1" t="str">
        <f t="shared" si="80"/>
        <v/>
      </c>
      <c r="T1708" s="1" t="str">
        <f>IF(OR($C1708="",$D1708&lt;&gt;"Gelir",$L1708=""),"",IFERROR(INDEX(MUSTERILER!$B$7:$B$156,MATCH($S1708,MUSTERILER!$T$7:$T$156,0)),""))</f>
        <v/>
      </c>
      <c r="U1708" s="1" t="str">
        <f>IF($T1708="","",$T1708&amp;"|"&amp;COUNTIFS($T$7:$T1708,$T1708))</f>
        <v/>
      </c>
      <c r="V1708" s="1">
        <f t="shared" si="81"/>
        <v>0</v>
      </c>
      <c r="W1708" s="1" t="str">
        <f t="shared" si="82"/>
        <v/>
      </c>
      <c r="X1708" s="1"/>
      <c r="Y1708" s="1"/>
      <c r="Z1708" s="1"/>
      <c r="AA1708" s="1"/>
      <c r="AB1708" s="1"/>
      <c r="AC1708" s="1"/>
      <c r="AD1708" s="1">
        <f>IF($C1708="",0,SUMPRODUCT((AY_SONU!$O$7:$O$42="Evet")*(AY_SONU!$B$7:$B$42=DATE(YEAR($C1708),MONTH($C1708),1))))</f>
        <v>0</v>
      </c>
      <c r="AE1708" s="1" t="str">
        <f>IF($E1708="","",$E1708&amp;"|"&amp;COUNTIFS($E$7:$E1708,$E1708))</f>
        <v/>
      </c>
    </row>
    <row r="1709" spans="1:31" ht="18" customHeight="1" x14ac:dyDescent="0.3">
      <c r="A1709" s="2"/>
      <c r="B1709" s="65" t="str">
        <f>IF($C1709="","","GG"&amp;TEXT(ROW()-6,"00000"))</f>
        <v/>
      </c>
      <c r="C1709" s="66"/>
      <c r="D1709" s="60"/>
      <c r="E1709" s="61"/>
      <c r="F1709" s="61"/>
      <c r="G1709" s="67"/>
      <c r="H1709" s="60"/>
      <c r="I1709" s="60"/>
      <c r="J1709" s="61"/>
      <c r="K1709" s="61"/>
      <c r="L1709" s="60"/>
      <c r="M1709" s="74" t="str">
        <f>IF($C1709="","",IF($D1709="Gider",$E1709,IF($L1709&lt;&gt;"",$L1709,$H1709)))</f>
        <v/>
      </c>
      <c r="N1709" s="74" t="str">
        <f>IF($C1709="","",IF($D1709="Gider",$H1709,$E1709))</f>
        <v/>
      </c>
      <c r="O1709" s="73" t="str">
        <f>IF($C1709="","",DATE(YEAR($C1709),MONTH($C1709),1))</f>
        <v/>
      </c>
      <c r="P1709" s="65" t="str">
        <f ca="1">IF($C1709="","",IF(AND($D1709="Gelir",$L1709&lt;&gt;"",$T1709=""),"TANIMSIZ BORÇLU",IF($T1709&lt;&gt;"",IF(OR($E1709="",$G1709&lt;=0),"EKSİK",IF($I1709="Evet","TAHAKKUK NAKİT OLAMAZ",IF($C1709&gt;TODAY(),"İLERİ TARİH","TAHAKKUK"))),IF(AND($D1709&lt;&gt;"",$E1709&lt;&gt;"",$G1709&gt;0,$H1709&lt;&gt;"",$I1709&lt;&gt;""),IF($C1709&gt;TODAY(),"İLERİ TARİH",IF(COUNTIF($W$7:$W$3001,$W1709)&gt;1,"MÜKERRER?",IF($AD1709&gt;0,"KAPALI DÖNEM",IF($I1709="Hayır","ÖDENECEK","UYGUN")))),"EKSİK"))))</f>
        <v/>
      </c>
      <c r="Q1709" s="2"/>
      <c r="R1709" s="2"/>
      <c r="S1709" s="1" t="str">
        <f t="shared" si="80"/>
        <v/>
      </c>
      <c r="T1709" s="1" t="str">
        <f>IF(OR($C1709="",$D1709&lt;&gt;"Gelir",$L1709=""),"",IFERROR(INDEX(MUSTERILER!$B$7:$B$156,MATCH($S1709,MUSTERILER!$T$7:$T$156,0)),""))</f>
        <v/>
      </c>
      <c r="U1709" s="1" t="str">
        <f>IF($T1709="","",$T1709&amp;"|"&amp;COUNTIFS($T$7:$T1709,$T1709))</f>
        <v/>
      </c>
      <c r="V1709" s="1">
        <f t="shared" si="81"/>
        <v>0</v>
      </c>
      <c r="W1709" s="1" t="str">
        <f t="shared" si="82"/>
        <v/>
      </c>
      <c r="X1709" s="1"/>
      <c r="Y1709" s="1"/>
      <c r="Z1709" s="1"/>
      <c r="AA1709" s="1"/>
      <c r="AB1709" s="1"/>
      <c r="AC1709" s="1"/>
      <c r="AD1709" s="1">
        <f>IF($C1709="",0,SUMPRODUCT((AY_SONU!$O$7:$O$42="Evet")*(AY_SONU!$B$7:$B$42=DATE(YEAR($C1709),MONTH($C1709),1))))</f>
        <v>0</v>
      </c>
      <c r="AE1709" s="1" t="str">
        <f>IF($E1709="","",$E1709&amp;"|"&amp;COUNTIFS($E$7:$E1709,$E1709))</f>
        <v/>
      </c>
    </row>
    <row r="1710" spans="1:31" ht="18" customHeight="1" x14ac:dyDescent="0.3">
      <c r="A1710" s="2"/>
      <c r="B1710" s="65" t="str">
        <f>IF($C1710="","","GG"&amp;TEXT(ROW()-6,"00000"))</f>
        <v/>
      </c>
      <c r="C1710" s="66"/>
      <c r="D1710" s="60"/>
      <c r="E1710" s="61"/>
      <c r="F1710" s="61"/>
      <c r="G1710" s="67"/>
      <c r="H1710" s="60"/>
      <c r="I1710" s="60"/>
      <c r="J1710" s="61"/>
      <c r="K1710" s="61"/>
      <c r="L1710" s="60"/>
      <c r="M1710" s="74" t="str">
        <f>IF($C1710="","",IF($D1710="Gider",$E1710,IF($L1710&lt;&gt;"",$L1710,$H1710)))</f>
        <v/>
      </c>
      <c r="N1710" s="74" t="str">
        <f>IF($C1710="","",IF($D1710="Gider",$H1710,$E1710))</f>
        <v/>
      </c>
      <c r="O1710" s="73" t="str">
        <f>IF($C1710="","",DATE(YEAR($C1710),MONTH($C1710),1))</f>
        <v/>
      </c>
      <c r="P1710" s="65" t="str">
        <f ca="1">IF($C1710="","",IF(AND($D1710="Gelir",$L1710&lt;&gt;"",$T1710=""),"TANIMSIZ BORÇLU",IF($T1710&lt;&gt;"",IF(OR($E1710="",$G1710&lt;=0),"EKSİK",IF($I1710="Evet","TAHAKKUK NAKİT OLAMAZ",IF($C1710&gt;TODAY(),"İLERİ TARİH","TAHAKKUK"))),IF(AND($D1710&lt;&gt;"",$E1710&lt;&gt;"",$G1710&gt;0,$H1710&lt;&gt;"",$I1710&lt;&gt;""),IF($C1710&gt;TODAY(),"İLERİ TARİH",IF(COUNTIF($W$7:$W$3001,$W1710)&gt;1,"MÜKERRER?",IF($AD1710&gt;0,"KAPALI DÖNEM",IF($I1710="Hayır","ÖDENECEK","UYGUN")))),"EKSİK"))))</f>
        <v/>
      </c>
      <c r="Q1710" s="2"/>
      <c r="R1710" s="2"/>
      <c r="S1710" s="1" t="str">
        <f t="shared" si="80"/>
        <v/>
      </c>
      <c r="T1710" s="1" t="str">
        <f>IF(OR($C1710="",$D1710&lt;&gt;"Gelir",$L1710=""),"",IFERROR(INDEX(MUSTERILER!$B$7:$B$156,MATCH($S1710,MUSTERILER!$T$7:$T$156,0)),""))</f>
        <v/>
      </c>
      <c r="U1710" s="1" t="str">
        <f>IF($T1710="","",$T1710&amp;"|"&amp;COUNTIFS($T$7:$T1710,$T1710))</f>
        <v/>
      </c>
      <c r="V1710" s="1">
        <f t="shared" si="81"/>
        <v>0</v>
      </c>
      <c r="W1710" s="1" t="str">
        <f t="shared" si="82"/>
        <v/>
      </c>
      <c r="X1710" s="1"/>
      <c r="Y1710" s="1"/>
      <c r="Z1710" s="1"/>
      <c r="AA1710" s="1"/>
      <c r="AB1710" s="1"/>
      <c r="AC1710" s="1"/>
      <c r="AD1710" s="1">
        <f>IF($C1710="",0,SUMPRODUCT((AY_SONU!$O$7:$O$42="Evet")*(AY_SONU!$B$7:$B$42=DATE(YEAR($C1710),MONTH($C1710),1))))</f>
        <v>0</v>
      </c>
      <c r="AE1710" s="1" t="str">
        <f>IF($E1710="","",$E1710&amp;"|"&amp;COUNTIFS($E$7:$E1710,$E1710))</f>
        <v/>
      </c>
    </row>
    <row r="1711" spans="1:31" ht="18" customHeight="1" x14ac:dyDescent="0.3">
      <c r="A1711" s="2"/>
      <c r="B1711" s="65" t="str">
        <f>IF($C1711="","","GG"&amp;TEXT(ROW()-6,"00000"))</f>
        <v/>
      </c>
      <c r="C1711" s="66"/>
      <c r="D1711" s="60"/>
      <c r="E1711" s="61"/>
      <c r="F1711" s="61"/>
      <c r="G1711" s="67"/>
      <c r="H1711" s="60"/>
      <c r="I1711" s="60"/>
      <c r="J1711" s="61"/>
      <c r="K1711" s="61"/>
      <c r="L1711" s="60"/>
      <c r="M1711" s="74" t="str">
        <f>IF($C1711="","",IF($D1711="Gider",$E1711,IF($L1711&lt;&gt;"",$L1711,$H1711)))</f>
        <v/>
      </c>
      <c r="N1711" s="74" t="str">
        <f>IF($C1711="","",IF($D1711="Gider",$H1711,$E1711))</f>
        <v/>
      </c>
      <c r="O1711" s="73" t="str">
        <f>IF($C1711="","",DATE(YEAR($C1711),MONTH($C1711),1))</f>
        <v/>
      </c>
      <c r="P1711" s="65" t="str">
        <f ca="1">IF($C1711="","",IF(AND($D1711="Gelir",$L1711&lt;&gt;"",$T1711=""),"TANIMSIZ BORÇLU",IF($T1711&lt;&gt;"",IF(OR($E1711="",$G1711&lt;=0),"EKSİK",IF($I1711="Evet","TAHAKKUK NAKİT OLAMAZ",IF($C1711&gt;TODAY(),"İLERİ TARİH","TAHAKKUK"))),IF(AND($D1711&lt;&gt;"",$E1711&lt;&gt;"",$G1711&gt;0,$H1711&lt;&gt;"",$I1711&lt;&gt;""),IF($C1711&gt;TODAY(),"İLERİ TARİH",IF(COUNTIF($W$7:$W$3001,$W1711)&gt;1,"MÜKERRER?",IF($AD1711&gt;0,"KAPALI DÖNEM",IF($I1711="Hayır","ÖDENECEK","UYGUN")))),"EKSİK"))))</f>
        <v/>
      </c>
      <c r="Q1711" s="2"/>
      <c r="R1711" s="2"/>
      <c r="S1711" s="1" t="str">
        <f t="shared" si="80"/>
        <v/>
      </c>
      <c r="T1711" s="1" t="str">
        <f>IF(OR($C1711="",$D1711&lt;&gt;"Gelir",$L1711=""),"",IFERROR(INDEX(MUSTERILER!$B$7:$B$156,MATCH($S1711,MUSTERILER!$T$7:$T$156,0)),""))</f>
        <v/>
      </c>
      <c r="U1711" s="1" t="str">
        <f>IF($T1711="","",$T1711&amp;"|"&amp;COUNTIFS($T$7:$T1711,$T1711))</f>
        <v/>
      </c>
      <c r="V1711" s="1">
        <f t="shared" si="81"/>
        <v>0</v>
      </c>
      <c r="W1711" s="1" t="str">
        <f t="shared" si="82"/>
        <v/>
      </c>
      <c r="X1711" s="1"/>
      <c r="Y1711" s="1"/>
      <c r="Z1711" s="1"/>
      <c r="AA1711" s="1"/>
      <c r="AB1711" s="1"/>
      <c r="AC1711" s="1"/>
      <c r="AD1711" s="1">
        <f>IF($C1711="",0,SUMPRODUCT((AY_SONU!$O$7:$O$42="Evet")*(AY_SONU!$B$7:$B$42=DATE(YEAR($C1711),MONTH($C1711),1))))</f>
        <v>0</v>
      </c>
      <c r="AE1711" s="1" t="str">
        <f>IF($E1711="","",$E1711&amp;"|"&amp;COUNTIFS($E$7:$E1711,$E1711))</f>
        <v/>
      </c>
    </row>
    <row r="1712" spans="1:31" ht="18" customHeight="1" x14ac:dyDescent="0.3">
      <c r="A1712" s="2"/>
      <c r="B1712" s="65" t="str">
        <f>IF($C1712="","","GG"&amp;TEXT(ROW()-6,"00000"))</f>
        <v/>
      </c>
      <c r="C1712" s="66"/>
      <c r="D1712" s="60"/>
      <c r="E1712" s="61"/>
      <c r="F1712" s="61"/>
      <c r="G1712" s="67"/>
      <c r="H1712" s="60"/>
      <c r="I1712" s="60"/>
      <c r="J1712" s="61"/>
      <c r="K1712" s="61"/>
      <c r="L1712" s="60"/>
      <c r="M1712" s="74" t="str">
        <f>IF($C1712="","",IF($D1712="Gider",$E1712,IF($L1712&lt;&gt;"",$L1712,$H1712)))</f>
        <v/>
      </c>
      <c r="N1712" s="74" t="str">
        <f>IF($C1712="","",IF($D1712="Gider",$H1712,$E1712))</f>
        <v/>
      </c>
      <c r="O1712" s="73" t="str">
        <f>IF($C1712="","",DATE(YEAR($C1712),MONTH($C1712),1))</f>
        <v/>
      </c>
      <c r="P1712" s="65" t="str">
        <f ca="1">IF($C1712="","",IF(AND($D1712="Gelir",$L1712&lt;&gt;"",$T1712=""),"TANIMSIZ BORÇLU",IF($T1712&lt;&gt;"",IF(OR($E1712="",$G1712&lt;=0),"EKSİK",IF($I1712="Evet","TAHAKKUK NAKİT OLAMAZ",IF($C1712&gt;TODAY(),"İLERİ TARİH","TAHAKKUK"))),IF(AND($D1712&lt;&gt;"",$E1712&lt;&gt;"",$G1712&gt;0,$H1712&lt;&gt;"",$I1712&lt;&gt;""),IF($C1712&gt;TODAY(),"İLERİ TARİH",IF(COUNTIF($W$7:$W$3001,$W1712)&gt;1,"MÜKERRER?",IF($AD1712&gt;0,"KAPALI DÖNEM",IF($I1712="Hayır","ÖDENECEK","UYGUN")))),"EKSİK"))))</f>
        <v/>
      </c>
      <c r="Q1712" s="2"/>
      <c r="R1712" s="2"/>
      <c r="S1712" s="1" t="str">
        <f t="shared" si="80"/>
        <v/>
      </c>
      <c r="T1712" s="1" t="str">
        <f>IF(OR($C1712="",$D1712&lt;&gt;"Gelir",$L1712=""),"",IFERROR(INDEX(MUSTERILER!$B$7:$B$156,MATCH($S1712,MUSTERILER!$T$7:$T$156,0)),""))</f>
        <v/>
      </c>
      <c r="U1712" s="1" t="str">
        <f>IF($T1712="","",$T1712&amp;"|"&amp;COUNTIFS($T$7:$T1712,$T1712))</f>
        <v/>
      </c>
      <c r="V1712" s="1">
        <f t="shared" si="81"/>
        <v>0</v>
      </c>
      <c r="W1712" s="1" t="str">
        <f t="shared" si="82"/>
        <v/>
      </c>
      <c r="X1712" s="1"/>
      <c r="Y1712" s="1"/>
      <c r="Z1712" s="1"/>
      <c r="AA1712" s="1"/>
      <c r="AB1712" s="1"/>
      <c r="AC1712" s="1"/>
      <c r="AD1712" s="1">
        <f>IF($C1712="",0,SUMPRODUCT((AY_SONU!$O$7:$O$42="Evet")*(AY_SONU!$B$7:$B$42=DATE(YEAR($C1712),MONTH($C1712),1))))</f>
        <v>0</v>
      </c>
      <c r="AE1712" s="1" t="str">
        <f>IF($E1712="","",$E1712&amp;"|"&amp;COUNTIFS($E$7:$E1712,$E1712))</f>
        <v/>
      </c>
    </row>
    <row r="1713" spans="1:31" ht="18" customHeight="1" x14ac:dyDescent="0.3">
      <c r="A1713" s="2"/>
      <c r="B1713" s="65" t="str">
        <f>IF($C1713="","","GG"&amp;TEXT(ROW()-6,"00000"))</f>
        <v/>
      </c>
      <c r="C1713" s="66"/>
      <c r="D1713" s="60"/>
      <c r="E1713" s="61"/>
      <c r="F1713" s="61"/>
      <c r="G1713" s="67"/>
      <c r="H1713" s="60"/>
      <c r="I1713" s="60"/>
      <c r="J1713" s="61"/>
      <c r="K1713" s="61"/>
      <c r="L1713" s="60"/>
      <c r="M1713" s="74" t="str">
        <f>IF($C1713="","",IF($D1713="Gider",$E1713,IF($L1713&lt;&gt;"",$L1713,$H1713)))</f>
        <v/>
      </c>
      <c r="N1713" s="74" t="str">
        <f>IF($C1713="","",IF($D1713="Gider",$H1713,$E1713))</f>
        <v/>
      </c>
      <c r="O1713" s="73" t="str">
        <f>IF($C1713="","",DATE(YEAR($C1713),MONTH($C1713),1))</f>
        <v/>
      </c>
      <c r="P1713" s="65" t="str">
        <f ca="1">IF($C1713="","",IF(AND($D1713="Gelir",$L1713&lt;&gt;"",$T1713=""),"TANIMSIZ BORÇLU",IF($T1713&lt;&gt;"",IF(OR($E1713="",$G1713&lt;=0),"EKSİK",IF($I1713="Evet","TAHAKKUK NAKİT OLAMAZ",IF($C1713&gt;TODAY(),"İLERİ TARİH","TAHAKKUK"))),IF(AND($D1713&lt;&gt;"",$E1713&lt;&gt;"",$G1713&gt;0,$H1713&lt;&gt;"",$I1713&lt;&gt;""),IF($C1713&gt;TODAY(),"İLERİ TARİH",IF(COUNTIF($W$7:$W$3001,$W1713)&gt;1,"MÜKERRER?",IF($AD1713&gt;0,"KAPALI DÖNEM",IF($I1713="Hayır","ÖDENECEK","UYGUN")))),"EKSİK"))))</f>
        <v/>
      </c>
      <c r="Q1713" s="2"/>
      <c r="R1713" s="2"/>
      <c r="S1713" s="1" t="str">
        <f t="shared" si="80"/>
        <v/>
      </c>
      <c r="T1713" s="1" t="str">
        <f>IF(OR($C1713="",$D1713&lt;&gt;"Gelir",$L1713=""),"",IFERROR(INDEX(MUSTERILER!$B$7:$B$156,MATCH($S1713,MUSTERILER!$T$7:$T$156,0)),""))</f>
        <v/>
      </c>
      <c r="U1713" s="1" t="str">
        <f>IF($T1713="","",$T1713&amp;"|"&amp;COUNTIFS($T$7:$T1713,$T1713))</f>
        <v/>
      </c>
      <c r="V1713" s="1">
        <f t="shared" si="81"/>
        <v>0</v>
      </c>
      <c r="W1713" s="1" t="str">
        <f t="shared" si="82"/>
        <v/>
      </c>
      <c r="X1713" s="1"/>
      <c r="Y1713" s="1"/>
      <c r="Z1713" s="1"/>
      <c r="AA1713" s="1"/>
      <c r="AB1713" s="1"/>
      <c r="AC1713" s="1"/>
      <c r="AD1713" s="1">
        <f>IF($C1713="",0,SUMPRODUCT((AY_SONU!$O$7:$O$42="Evet")*(AY_SONU!$B$7:$B$42=DATE(YEAR($C1713),MONTH($C1713),1))))</f>
        <v>0</v>
      </c>
      <c r="AE1713" s="1" t="str">
        <f>IF($E1713="","",$E1713&amp;"|"&amp;COUNTIFS($E$7:$E1713,$E1713))</f>
        <v/>
      </c>
    </row>
    <row r="1714" spans="1:31" ht="18" customHeight="1" x14ac:dyDescent="0.3">
      <c r="A1714" s="2"/>
      <c r="B1714" s="65" t="str">
        <f>IF($C1714="","","GG"&amp;TEXT(ROW()-6,"00000"))</f>
        <v/>
      </c>
      <c r="C1714" s="66"/>
      <c r="D1714" s="60"/>
      <c r="E1714" s="61"/>
      <c r="F1714" s="61"/>
      <c r="G1714" s="67"/>
      <c r="H1714" s="60"/>
      <c r="I1714" s="60"/>
      <c r="J1714" s="61"/>
      <c r="K1714" s="61"/>
      <c r="L1714" s="60"/>
      <c r="M1714" s="74" t="str">
        <f>IF($C1714="","",IF($D1714="Gider",$E1714,IF($L1714&lt;&gt;"",$L1714,$H1714)))</f>
        <v/>
      </c>
      <c r="N1714" s="74" t="str">
        <f>IF($C1714="","",IF($D1714="Gider",$H1714,$E1714))</f>
        <v/>
      </c>
      <c r="O1714" s="73" t="str">
        <f>IF($C1714="","",DATE(YEAR($C1714),MONTH($C1714),1))</f>
        <v/>
      </c>
      <c r="P1714" s="65" t="str">
        <f ca="1">IF($C1714="","",IF(AND($D1714="Gelir",$L1714&lt;&gt;"",$T1714=""),"TANIMSIZ BORÇLU",IF($T1714&lt;&gt;"",IF(OR($E1714="",$G1714&lt;=0),"EKSİK",IF($I1714="Evet","TAHAKKUK NAKİT OLAMAZ",IF($C1714&gt;TODAY(),"İLERİ TARİH","TAHAKKUK"))),IF(AND($D1714&lt;&gt;"",$E1714&lt;&gt;"",$G1714&gt;0,$H1714&lt;&gt;"",$I1714&lt;&gt;""),IF($C1714&gt;TODAY(),"İLERİ TARİH",IF(COUNTIF($W$7:$W$3001,$W1714)&gt;1,"MÜKERRER?",IF($AD1714&gt;0,"KAPALI DÖNEM",IF($I1714="Hayır","ÖDENECEK","UYGUN")))),"EKSİK"))))</f>
        <v/>
      </c>
      <c r="Q1714" s="2"/>
      <c r="R1714" s="2"/>
      <c r="S1714" s="1" t="str">
        <f t="shared" si="80"/>
        <v/>
      </c>
      <c r="T1714" s="1" t="str">
        <f>IF(OR($C1714="",$D1714&lt;&gt;"Gelir",$L1714=""),"",IFERROR(INDEX(MUSTERILER!$B$7:$B$156,MATCH($S1714,MUSTERILER!$T$7:$T$156,0)),""))</f>
        <v/>
      </c>
      <c r="U1714" s="1" t="str">
        <f>IF($T1714="","",$T1714&amp;"|"&amp;COUNTIFS($T$7:$T1714,$T1714))</f>
        <v/>
      </c>
      <c r="V1714" s="1">
        <f t="shared" si="81"/>
        <v>0</v>
      </c>
      <c r="W1714" s="1" t="str">
        <f t="shared" si="82"/>
        <v/>
      </c>
      <c r="X1714" s="1"/>
      <c r="Y1714" s="1"/>
      <c r="Z1714" s="1"/>
      <c r="AA1714" s="1"/>
      <c r="AB1714" s="1"/>
      <c r="AC1714" s="1"/>
      <c r="AD1714" s="1">
        <f>IF($C1714="",0,SUMPRODUCT((AY_SONU!$O$7:$O$42="Evet")*(AY_SONU!$B$7:$B$42=DATE(YEAR($C1714),MONTH($C1714),1))))</f>
        <v>0</v>
      </c>
      <c r="AE1714" s="1" t="str">
        <f>IF($E1714="","",$E1714&amp;"|"&amp;COUNTIFS($E$7:$E1714,$E1714))</f>
        <v/>
      </c>
    </row>
    <row r="1715" spans="1:31" ht="18" customHeight="1" x14ac:dyDescent="0.3">
      <c r="A1715" s="2"/>
      <c r="B1715" s="65" t="str">
        <f>IF($C1715="","","GG"&amp;TEXT(ROW()-6,"00000"))</f>
        <v/>
      </c>
      <c r="C1715" s="66"/>
      <c r="D1715" s="60"/>
      <c r="E1715" s="61"/>
      <c r="F1715" s="61"/>
      <c r="G1715" s="67"/>
      <c r="H1715" s="60"/>
      <c r="I1715" s="60"/>
      <c r="J1715" s="61"/>
      <c r="K1715" s="61"/>
      <c r="L1715" s="60"/>
      <c r="M1715" s="74" t="str">
        <f>IF($C1715="","",IF($D1715="Gider",$E1715,IF($L1715&lt;&gt;"",$L1715,$H1715)))</f>
        <v/>
      </c>
      <c r="N1715" s="74" t="str">
        <f>IF($C1715="","",IF($D1715="Gider",$H1715,$E1715))</f>
        <v/>
      </c>
      <c r="O1715" s="73" t="str">
        <f>IF($C1715="","",DATE(YEAR($C1715),MONTH($C1715),1))</f>
        <v/>
      </c>
      <c r="P1715" s="65" t="str">
        <f ca="1">IF($C1715="","",IF(AND($D1715="Gelir",$L1715&lt;&gt;"",$T1715=""),"TANIMSIZ BORÇLU",IF($T1715&lt;&gt;"",IF(OR($E1715="",$G1715&lt;=0),"EKSİK",IF($I1715="Evet","TAHAKKUK NAKİT OLAMAZ",IF($C1715&gt;TODAY(),"İLERİ TARİH","TAHAKKUK"))),IF(AND($D1715&lt;&gt;"",$E1715&lt;&gt;"",$G1715&gt;0,$H1715&lt;&gt;"",$I1715&lt;&gt;""),IF($C1715&gt;TODAY(),"İLERİ TARİH",IF(COUNTIF($W$7:$W$3001,$W1715)&gt;1,"MÜKERRER?",IF($AD1715&gt;0,"KAPALI DÖNEM",IF($I1715="Hayır","ÖDENECEK","UYGUN")))),"EKSİK"))))</f>
        <v/>
      </c>
      <c r="Q1715" s="2"/>
      <c r="R1715" s="2"/>
      <c r="S1715" s="1" t="str">
        <f t="shared" si="80"/>
        <v/>
      </c>
      <c r="T1715" s="1" t="str">
        <f>IF(OR($C1715="",$D1715&lt;&gt;"Gelir",$L1715=""),"",IFERROR(INDEX(MUSTERILER!$B$7:$B$156,MATCH($S1715,MUSTERILER!$T$7:$T$156,0)),""))</f>
        <v/>
      </c>
      <c r="U1715" s="1" t="str">
        <f>IF($T1715="","",$T1715&amp;"|"&amp;COUNTIFS($T$7:$T1715,$T1715))</f>
        <v/>
      </c>
      <c r="V1715" s="1">
        <f t="shared" si="81"/>
        <v>0</v>
      </c>
      <c r="W1715" s="1" t="str">
        <f t="shared" si="82"/>
        <v/>
      </c>
      <c r="X1715" s="1"/>
      <c r="Y1715" s="1"/>
      <c r="Z1715" s="1"/>
      <c r="AA1715" s="1"/>
      <c r="AB1715" s="1"/>
      <c r="AC1715" s="1"/>
      <c r="AD1715" s="1">
        <f>IF($C1715="",0,SUMPRODUCT((AY_SONU!$O$7:$O$42="Evet")*(AY_SONU!$B$7:$B$42=DATE(YEAR($C1715),MONTH($C1715),1))))</f>
        <v>0</v>
      </c>
      <c r="AE1715" s="1" t="str">
        <f>IF($E1715="","",$E1715&amp;"|"&amp;COUNTIFS($E$7:$E1715,$E1715))</f>
        <v/>
      </c>
    </row>
    <row r="1716" spans="1:31" ht="18" customHeight="1" x14ac:dyDescent="0.3">
      <c r="A1716" s="2"/>
      <c r="B1716" s="65" t="str">
        <f>IF($C1716="","","GG"&amp;TEXT(ROW()-6,"00000"))</f>
        <v/>
      </c>
      <c r="C1716" s="66"/>
      <c r="D1716" s="60"/>
      <c r="E1716" s="61"/>
      <c r="F1716" s="61"/>
      <c r="G1716" s="67"/>
      <c r="H1716" s="60"/>
      <c r="I1716" s="60"/>
      <c r="J1716" s="61"/>
      <c r="K1716" s="61"/>
      <c r="L1716" s="60"/>
      <c r="M1716" s="74" t="str">
        <f>IF($C1716="","",IF($D1716="Gider",$E1716,IF($L1716&lt;&gt;"",$L1716,$H1716)))</f>
        <v/>
      </c>
      <c r="N1716" s="74" t="str">
        <f>IF($C1716="","",IF($D1716="Gider",$H1716,$E1716))</f>
        <v/>
      </c>
      <c r="O1716" s="73" t="str">
        <f>IF($C1716="","",DATE(YEAR($C1716),MONTH($C1716),1))</f>
        <v/>
      </c>
      <c r="P1716" s="65" t="str">
        <f ca="1">IF($C1716="","",IF(AND($D1716="Gelir",$L1716&lt;&gt;"",$T1716=""),"TANIMSIZ BORÇLU",IF($T1716&lt;&gt;"",IF(OR($E1716="",$G1716&lt;=0),"EKSİK",IF($I1716="Evet","TAHAKKUK NAKİT OLAMAZ",IF($C1716&gt;TODAY(),"İLERİ TARİH","TAHAKKUK"))),IF(AND($D1716&lt;&gt;"",$E1716&lt;&gt;"",$G1716&gt;0,$H1716&lt;&gt;"",$I1716&lt;&gt;""),IF($C1716&gt;TODAY(),"İLERİ TARİH",IF(COUNTIF($W$7:$W$3001,$W1716)&gt;1,"MÜKERRER?",IF($AD1716&gt;0,"KAPALI DÖNEM",IF($I1716="Hayır","ÖDENECEK","UYGUN")))),"EKSİK"))))</f>
        <v/>
      </c>
      <c r="Q1716" s="2"/>
      <c r="R1716" s="2"/>
      <c r="S1716" s="1" t="str">
        <f t="shared" si="80"/>
        <v/>
      </c>
      <c r="T1716" s="1" t="str">
        <f>IF(OR($C1716="",$D1716&lt;&gt;"Gelir",$L1716=""),"",IFERROR(INDEX(MUSTERILER!$B$7:$B$156,MATCH($S1716,MUSTERILER!$T$7:$T$156,0)),""))</f>
        <v/>
      </c>
      <c r="U1716" s="1" t="str">
        <f>IF($T1716="","",$T1716&amp;"|"&amp;COUNTIFS($T$7:$T1716,$T1716))</f>
        <v/>
      </c>
      <c r="V1716" s="1">
        <f t="shared" si="81"/>
        <v>0</v>
      </c>
      <c r="W1716" s="1" t="str">
        <f t="shared" si="82"/>
        <v/>
      </c>
      <c r="X1716" s="1"/>
      <c r="Y1716" s="1"/>
      <c r="Z1716" s="1"/>
      <c r="AA1716" s="1"/>
      <c r="AB1716" s="1"/>
      <c r="AC1716" s="1"/>
      <c r="AD1716" s="1">
        <f>IF($C1716="",0,SUMPRODUCT((AY_SONU!$O$7:$O$42="Evet")*(AY_SONU!$B$7:$B$42=DATE(YEAR($C1716),MONTH($C1716),1))))</f>
        <v>0</v>
      </c>
      <c r="AE1716" s="1" t="str">
        <f>IF($E1716="","",$E1716&amp;"|"&amp;COUNTIFS($E$7:$E1716,$E1716))</f>
        <v/>
      </c>
    </row>
    <row r="1717" spans="1:31" ht="18" customHeight="1" x14ac:dyDescent="0.3">
      <c r="A1717" s="2"/>
      <c r="B1717" s="65" t="str">
        <f>IF($C1717="","","GG"&amp;TEXT(ROW()-6,"00000"))</f>
        <v/>
      </c>
      <c r="C1717" s="66"/>
      <c r="D1717" s="60"/>
      <c r="E1717" s="61"/>
      <c r="F1717" s="61"/>
      <c r="G1717" s="67"/>
      <c r="H1717" s="60"/>
      <c r="I1717" s="60"/>
      <c r="J1717" s="61"/>
      <c r="K1717" s="61"/>
      <c r="L1717" s="60"/>
      <c r="M1717" s="74" t="str">
        <f>IF($C1717="","",IF($D1717="Gider",$E1717,IF($L1717&lt;&gt;"",$L1717,$H1717)))</f>
        <v/>
      </c>
      <c r="N1717" s="74" t="str">
        <f>IF($C1717="","",IF($D1717="Gider",$H1717,$E1717))</f>
        <v/>
      </c>
      <c r="O1717" s="73" t="str">
        <f>IF($C1717="","",DATE(YEAR($C1717),MONTH($C1717),1))</f>
        <v/>
      </c>
      <c r="P1717" s="65" t="str">
        <f ca="1">IF($C1717="","",IF(AND($D1717="Gelir",$L1717&lt;&gt;"",$T1717=""),"TANIMSIZ BORÇLU",IF($T1717&lt;&gt;"",IF(OR($E1717="",$G1717&lt;=0),"EKSİK",IF($I1717="Evet","TAHAKKUK NAKİT OLAMAZ",IF($C1717&gt;TODAY(),"İLERİ TARİH","TAHAKKUK"))),IF(AND($D1717&lt;&gt;"",$E1717&lt;&gt;"",$G1717&gt;0,$H1717&lt;&gt;"",$I1717&lt;&gt;""),IF($C1717&gt;TODAY(),"İLERİ TARİH",IF(COUNTIF($W$7:$W$3001,$W1717)&gt;1,"MÜKERRER?",IF($AD1717&gt;0,"KAPALI DÖNEM",IF($I1717="Hayır","ÖDENECEK","UYGUN")))),"EKSİK"))))</f>
        <v/>
      </c>
      <c r="Q1717" s="2"/>
      <c r="R1717" s="2"/>
      <c r="S1717" s="1" t="str">
        <f t="shared" si="80"/>
        <v/>
      </c>
      <c r="T1717" s="1" t="str">
        <f>IF(OR($C1717="",$D1717&lt;&gt;"Gelir",$L1717=""),"",IFERROR(INDEX(MUSTERILER!$B$7:$B$156,MATCH($S1717,MUSTERILER!$T$7:$T$156,0)),""))</f>
        <v/>
      </c>
      <c r="U1717" s="1" t="str">
        <f>IF($T1717="","",$T1717&amp;"|"&amp;COUNTIFS($T$7:$T1717,$T1717))</f>
        <v/>
      </c>
      <c r="V1717" s="1">
        <f t="shared" si="81"/>
        <v>0</v>
      </c>
      <c r="W1717" s="1" t="str">
        <f t="shared" si="82"/>
        <v/>
      </c>
      <c r="X1717" s="1"/>
      <c r="Y1717" s="1"/>
      <c r="Z1717" s="1"/>
      <c r="AA1717" s="1"/>
      <c r="AB1717" s="1"/>
      <c r="AC1717" s="1"/>
      <c r="AD1717" s="1">
        <f>IF($C1717="",0,SUMPRODUCT((AY_SONU!$O$7:$O$42="Evet")*(AY_SONU!$B$7:$B$42=DATE(YEAR($C1717),MONTH($C1717),1))))</f>
        <v>0</v>
      </c>
      <c r="AE1717" s="1" t="str">
        <f>IF($E1717="","",$E1717&amp;"|"&amp;COUNTIFS($E$7:$E1717,$E1717))</f>
        <v/>
      </c>
    </row>
    <row r="1718" spans="1:31" ht="18" customHeight="1" x14ac:dyDescent="0.3">
      <c r="A1718" s="2"/>
      <c r="B1718" s="65" t="str">
        <f>IF($C1718="","","GG"&amp;TEXT(ROW()-6,"00000"))</f>
        <v/>
      </c>
      <c r="C1718" s="66"/>
      <c r="D1718" s="60"/>
      <c r="E1718" s="61"/>
      <c r="F1718" s="61"/>
      <c r="G1718" s="67"/>
      <c r="H1718" s="60"/>
      <c r="I1718" s="60"/>
      <c r="J1718" s="61"/>
      <c r="K1718" s="61"/>
      <c r="L1718" s="60"/>
      <c r="M1718" s="74" t="str">
        <f>IF($C1718="","",IF($D1718="Gider",$E1718,IF($L1718&lt;&gt;"",$L1718,$H1718)))</f>
        <v/>
      </c>
      <c r="N1718" s="74" t="str">
        <f>IF($C1718="","",IF($D1718="Gider",$H1718,$E1718))</f>
        <v/>
      </c>
      <c r="O1718" s="73" t="str">
        <f>IF($C1718="","",DATE(YEAR($C1718),MONTH($C1718),1))</f>
        <v/>
      </c>
      <c r="P1718" s="65" t="str">
        <f ca="1">IF($C1718="","",IF(AND($D1718="Gelir",$L1718&lt;&gt;"",$T1718=""),"TANIMSIZ BORÇLU",IF($T1718&lt;&gt;"",IF(OR($E1718="",$G1718&lt;=0),"EKSİK",IF($I1718="Evet","TAHAKKUK NAKİT OLAMAZ",IF($C1718&gt;TODAY(),"İLERİ TARİH","TAHAKKUK"))),IF(AND($D1718&lt;&gt;"",$E1718&lt;&gt;"",$G1718&gt;0,$H1718&lt;&gt;"",$I1718&lt;&gt;""),IF($C1718&gt;TODAY(),"İLERİ TARİH",IF(COUNTIF($W$7:$W$3001,$W1718)&gt;1,"MÜKERRER?",IF($AD1718&gt;0,"KAPALI DÖNEM",IF($I1718="Hayır","ÖDENECEK","UYGUN")))),"EKSİK"))))</f>
        <v/>
      </c>
      <c r="Q1718" s="2"/>
      <c r="R1718" s="2"/>
      <c r="S1718" s="1" t="str">
        <f t="shared" si="80"/>
        <v/>
      </c>
      <c r="T1718" s="1" t="str">
        <f>IF(OR($C1718="",$D1718&lt;&gt;"Gelir",$L1718=""),"",IFERROR(INDEX(MUSTERILER!$B$7:$B$156,MATCH($S1718,MUSTERILER!$T$7:$T$156,0)),""))</f>
        <v/>
      </c>
      <c r="U1718" s="1" t="str">
        <f>IF($T1718="","",$T1718&amp;"|"&amp;COUNTIFS($T$7:$T1718,$T1718))</f>
        <v/>
      </c>
      <c r="V1718" s="1">
        <f t="shared" si="81"/>
        <v>0</v>
      </c>
      <c r="W1718" s="1" t="str">
        <f t="shared" si="82"/>
        <v/>
      </c>
      <c r="X1718" s="1"/>
      <c r="Y1718" s="1"/>
      <c r="Z1718" s="1"/>
      <c r="AA1718" s="1"/>
      <c r="AB1718" s="1"/>
      <c r="AC1718" s="1"/>
      <c r="AD1718" s="1">
        <f>IF($C1718="",0,SUMPRODUCT((AY_SONU!$O$7:$O$42="Evet")*(AY_SONU!$B$7:$B$42=DATE(YEAR($C1718),MONTH($C1718),1))))</f>
        <v>0</v>
      </c>
      <c r="AE1718" s="1" t="str">
        <f>IF($E1718="","",$E1718&amp;"|"&amp;COUNTIFS($E$7:$E1718,$E1718))</f>
        <v/>
      </c>
    </row>
    <row r="1719" spans="1:31" ht="18" customHeight="1" x14ac:dyDescent="0.3">
      <c r="A1719" s="2"/>
      <c r="B1719" s="65" t="str">
        <f>IF($C1719="","","GG"&amp;TEXT(ROW()-6,"00000"))</f>
        <v/>
      </c>
      <c r="C1719" s="66"/>
      <c r="D1719" s="60"/>
      <c r="E1719" s="61"/>
      <c r="F1719" s="61"/>
      <c r="G1719" s="67"/>
      <c r="H1719" s="60"/>
      <c r="I1719" s="60"/>
      <c r="J1719" s="61"/>
      <c r="K1719" s="61"/>
      <c r="L1719" s="60"/>
      <c r="M1719" s="74" t="str">
        <f>IF($C1719="","",IF($D1719="Gider",$E1719,IF($L1719&lt;&gt;"",$L1719,$H1719)))</f>
        <v/>
      </c>
      <c r="N1719" s="74" t="str">
        <f>IF($C1719="","",IF($D1719="Gider",$H1719,$E1719))</f>
        <v/>
      </c>
      <c r="O1719" s="73" t="str">
        <f>IF($C1719="","",DATE(YEAR($C1719),MONTH($C1719),1))</f>
        <v/>
      </c>
      <c r="P1719" s="65" t="str">
        <f ca="1">IF($C1719="","",IF(AND($D1719="Gelir",$L1719&lt;&gt;"",$T1719=""),"TANIMSIZ BORÇLU",IF($T1719&lt;&gt;"",IF(OR($E1719="",$G1719&lt;=0),"EKSİK",IF($I1719="Evet","TAHAKKUK NAKİT OLAMAZ",IF($C1719&gt;TODAY(),"İLERİ TARİH","TAHAKKUK"))),IF(AND($D1719&lt;&gt;"",$E1719&lt;&gt;"",$G1719&gt;0,$H1719&lt;&gt;"",$I1719&lt;&gt;""),IF($C1719&gt;TODAY(),"İLERİ TARİH",IF(COUNTIF($W$7:$W$3001,$W1719)&gt;1,"MÜKERRER?",IF($AD1719&gt;0,"KAPALI DÖNEM",IF($I1719="Hayır","ÖDENECEK","UYGUN")))),"EKSİK"))))</f>
        <v/>
      </c>
      <c r="Q1719" s="2"/>
      <c r="R1719" s="2"/>
      <c r="S1719" s="1" t="str">
        <f t="shared" si="80"/>
        <v/>
      </c>
      <c r="T1719" s="1" t="str">
        <f>IF(OR($C1719="",$D1719&lt;&gt;"Gelir",$L1719=""),"",IFERROR(INDEX(MUSTERILER!$B$7:$B$156,MATCH($S1719,MUSTERILER!$T$7:$T$156,0)),""))</f>
        <v/>
      </c>
      <c r="U1719" s="1" t="str">
        <f>IF($T1719="","",$T1719&amp;"|"&amp;COUNTIFS($T$7:$T1719,$T1719))</f>
        <v/>
      </c>
      <c r="V1719" s="1">
        <f t="shared" si="81"/>
        <v>0</v>
      </c>
      <c r="W1719" s="1" t="str">
        <f t="shared" si="82"/>
        <v/>
      </c>
      <c r="X1719" s="1"/>
      <c r="Y1719" s="1"/>
      <c r="Z1719" s="1"/>
      <c r="AA1719" s="1"/>
      <c r="AB1719" s="1"/>
      <c r="AC1719" s="1"/>
      <c r="AD1719" s="1">
        <f>IF($C1719="",0,SUMPRODUCT((AY_SONU!$O$7:$O$42="Evet")*(AY_SONU!$B$7:$B$42=DATE(YEAR($C1719),MONTH($C1719),1))))</f>
        <v>0</v>
      </c>
      <c r="AE1719" s="1" t="str">
        <f>IF($E1719="","",$E1719&amp;"|"&amp;COUNTIFS($E$7:$E1719,$E1719))</f>
        <v/>
      </c>
    </row>
    <row r="1720" spans="1:31" ht="18" customHeight="1" x14ac:dyDescent="0.3">
      <c r="A1720" s="2"/>
      <c r="B1720" s="65" t="str">
        <f>IF($C1720="","","GG"&amp;TEXT(ROW()-6,"00000"))</f>
        <v/>
      </c>
      <c r="C1720" s="66"/>
      <c r="D1720" s="60"/>
      <c r="E1720" s="61"/>
      <c r="F1720" s="61"/>
      <c r="G1720" s="67"/>
      <c r="H1720" s="60"/>
      <c r="I1720" s="60"/>
      <c r="J1720" s="61"/>
      <c r="K1720" s="61"/>
      <c r="L1720" s="60"/>
      <c r="M1720" s="74" t="str">
        <f>IF($C1720="","",IF($D1720="Gider",$E1720,IF($L1720&lt;&gt;"",$L1720,$H1720)))</f>
        <v/>
      </c>
      <c r="N1720" s="74" t="str">
        <f>IF($C1720="","",IF($D1720="Gider",$H1720,$E1720))</f>
        <v/>
      </c>
      <c r="O1720" s="73" t="str">
        <f>IF($C1720="","",DATE(YEAR($C1720),MONTH($C1720),1))</f>
        <v/>
      </c>
      <c r="P1720" s="65" t="str">
        <f ca="1">IF($C1720="","",IF(AND($D1720="Gelir",$L1720&lt;&gt;"",$T1720=""),"TANIMSIZ BORÇLU",IF($T1720&lt;&gt;"",IF(OR($E1720="",$G1720&lt;=0),"EKSİK",IF($I1720="Evet","TAHAKKUK NAKİT OLAMAZ",IF($C1720&gt;TODAY(),"İLERİ TARİH","TAHAKKUK"))),IF(AND($D1720&lt;&gt;"",$E1720&lt;&gt;"",$G1720&gt;0,$H1720&lt;&gt;"",$I1720&lt;&gt;""),IF($C1720&gt;TODAY(),"İLERİ TARİH",IF(COUNTIF($W$7:$W$3001,$W1720)&gt;1,"MÜKERRER?",IF($AD1720&gt;0,"KAPALI DÖNEM",IF($I1720="Hayır","ÖDENECEK","UYGUN")))),"EKSİK"))))</f>
        <v/>
      </c>
      <c r="Q1720" s="2"/>
      <c r="R1720" s="2"/>
      <c r="S1720" s="1" t="str">
        <f t="shared" si="80"/>
        <v/>
      </c>
      <c r="T1720" s="1" t="str">
        <f>IF(OR($C1720="",$D1720&lt;&gt;"Gelir",$L1720=""),"",IFERROR(INDEX(MUSTERILER!$B$7:$B$156,MATCH($S1720,MUSTERILER!$T$7:$T$156,0)),""))</f>
        <v/>
      </c>
      <c r="U1720" s="1" t="str">
        <f>IF($T1720="","",$T1720&amp;"|"&amp;COUNTIFS($T$7:$T1720,$T1720))</f>
        <v/>
      </c>
      <c r="V1720" s="1">
        <f t="shared" si="81"/>
        <v>0</v>
      </c>
      <c r="W1720" s="1" t="str">
        <f t="shared" si="82"/>
        <v/>
      </c>
      <c r="X1720" s="1"/>
      <c r="Y1720" s="1"/>
      <c r="Z1720" s="1"/>
      <c r="AA1720" s="1"/>
      <c r="AB1720" s="1"/>
      <c r="AC1720" s="1"/>
      <c r="AD1720" s="1">
        <f>IF($C1720="",0,SUMPRODUCT((AY_SONU!$O$7:$O$42="Evet")*(AY_SONU!$B$7:$B$42=DATE(YEAR($C1720),MONTH($C1720),1))))</f>
        <v>0</v>
      </c>
      <c r="AE1720" s="1" t="str">
        <f>IF($E1720="","",$E1720&amp;"|"&amp;COUNTIFS($E$7:$E1720,$E1720))</f>
        <v/>
      </c>
    </row>
    <row r="1721" spans="1:31" ht="18" customHeight="1" x14ac:dyDescent="0.3">
      <c r="A1721" s="2"/>
      <c r="B1721" s="65" t="str">
        <f>IF($C1721="","","GG"&amp;TEXT(ROW()-6,"00000"))</f>
        <v/>
      </c>
      <c r="C1721" s="66"/>
      <c r="D1721" s="60"/>
      <c r="E1721" s="61"/>
      <c r="F1721" s="61"/>
      <c r="G1721" s="67"/>
      <c r="H1721" s="60"/>
      <c r="I1721" s="60"/>
      <c r="J1721" s="61"/>
      <c r="K1721" s="61"/>
      <c r="L1721" s="60"/>
      <c r="M1721" s="74" t="str">
        <f>IF($C1721="","",IF($D1721="Gider",$E1721,IF($L1721&lt;&gt;"",$L1721,$H1721)))</f>
        <v/>
      </c>
      <c r="N1721" s="74" t="str">
        <f>IF($C1721="","",IF($D1721="Gider",$H1721,$E1721))</f>
        <v/>
      </c>
      <c r="O1721" s="73" t="str">
        <f>IF($C1721="","",DATE(YEAR($C1721),MONTH($C1721),1))</f>
        <v/>
      </c>
      <c r="P1721" s="65" t="str">
        <f ca="1">IF($C1721="","",IF(AND($D1721="Gelir",$L1721&lt;&gt;"",$T1721=""),"TANIMSIZ BORÇLU",IF($T1721&lt;&gt;"",IF(OR($E1721="",$G1721&lt;=0),"EKSİK",IF($I1721="Evet","TAHAKKUK NAKİT OLAMAZ",IF($C1721&gt;TODAY(),"İLERİ TARİH","TAHAKKUK"))),IF(AND($D1721&lt;&gt;"",$E1721&lt;&gt;"",$G1721&gt;0,$H1721&lt;&gt;"",$I1721&lt;&gt;""),IF($C1721&gt;TODAY(),"İLERİ TARİH",IF(COUNTIF($W$7:$W$3001,$W1721)&gt;1,"MÜKERRER?",IF($AD1721&gt;0,"KAPALI DÖNEM",IF($I1721="Hayır","ÖDENECEK","UYGUN")))),"EKSİK"))))</f>
        <v/>
      </c>
      <c r="Q1721" s="2"/>
      <c r="R1721" s="2"/>
      <c r="S1721" s="1" t="str">
        <f t="shared" si="80"/>
        <v/>
      </c>
      <c r="T1721" s="1" t="str">
        <f>IF(OR($C1721="",$D1721&lt;&gt;"Gelir",$L1721=""),"",IFERROR(INDEX(MUSTERILER!$B$7:$B$156,MATCH($S1721,MUSTERILER!$T$7:$T$156,0)),""))</f>
        <v/>
      </c>
      <c r="U1721" s="1" t="str">
        <f>IF($T1721="","",$T1721&amp;"|"&amp;COUNTIFS($T$7:$T1721,$T1721))</f>
        <v/>
      </c>
      <c r="V1721" s="1">
        <f t="shared" si="81"/>
        <v>0</v>
      </c>
      <c r="W1721" s="1" t="str">
        <f t="shared" si="82"/>
        <v/>
      </c>
      <c r="X1721" s="1"/>
      <c r="Y1721" s="1"/>
      <c r="Z1721" s="1"/>
      <c r="AA1721" s="1"/>
      <c r="AB1721" s="1"/>
      <c r="AC1721" s="1"/>
      <c r="AD1721" s="1">
        <f>IF($C1721="",0,SUMPRODUCT((AY_SONU!$O$7:$O$42="Evet")*(AY_SONU!$B$7:$B$42=DATE(YEAR($C1721),MONTH($C1721),1))))</f>
        <v>0</v>
      </c>
      <c r="AE1721" s="1" t="str">
        <f>IF($E1721="","",$E1721&amp;"|"&amp;COUNTIFS($E$7:$E1721,$E1721))</f>
        <v/>
      </c>
    </row>
    <row r="1722" spans="1:31" ht="18" customHeight="1" x14ac:dyDescent="0.3">
      <c r="A1722" s="2"/>
      <c r="B1722" s="65" t="str">
        <f>IF($C1722="","","GG"&amp;TEXT(ROW()-6,"00000"))</f>
        <v/>
      </c>
      <c r="C1722" s="66"/>
      <c r="D1722" s="60"/>
      <c r="E1722" s="61"/>
      <c r="F1722" s="61"/>
      <c r="G1722" s="67"/>
      <c r="H1722" s="60"/>
      <c r="I1722" s="60"/>
      <c r="J1722" s="61"/>
      <c r="K1722" s="61"/>
      <c r="L1722" s="60"/>
      <c r="M1722" s="74" t="str">
        <f>IF($C1722="","",IF($D1722="Gider",$E1722,IF($L1722&lt;&gt;"",$L1722,$H1722)))</f>
        <v/>
      </c>
      <c r="N1722" s="74" t="str">
        <f>IF($C1722="","",IF($D1722="Gider",$H1722,$E1722))</f>
        <v/>
      </c>
      <c r="O1722" s="73" t="str">
        <f>IF($C1722="","",DATE(YEAR($C1722),MONTH($C1722),1))</f>
        <v/>
      </c>
      <c r="P1722" s="65" t="str">
        <f ca="1">IF($C1722="","",IF(AND($D1722="Gelir",$L1722&lt;&gt;"",$T1722=""),"TANIMSIZ BORÇLU",IF($T1722&lt;&gt;"",IF(OR($E1722="",$G1722&lt;=0),"EKSİK",IF($I1722="Evet","TAHAKKUK NAKİT OLAMAZ",IF($C1722&gt;TODAY(),"İLERİ TARİH","TAHAKKUK"))),IF(AND($D1722&lt;&gt;"",$E1722&lt;&gt;"",$G1722&gt;0,$H1722&lt;&gt;"",$I1722&lt;&gt;""),IF($C1722&gt;TODAY(),"İLERİ TARİH",IF(COUNTIF($W$7:$W$3001,$W1722)&gt;1,"MÜKERRER?",IF($AD1722&gt;0,"KAPALI DÖNEM",IF($I1722="Hayır","ÖDENECEK","UYGUN")))),"EKSİK"))))</f>
        <v/>
      </c>
      <c r="Q1722" s="2"/>
      <c r="R1722" s="2"/>
      <c r="S1722" s="1" t="str">
        <f t="shared" si="80"/>
        <v/>
      </c>
      <c r="T1722" s="1" t="str">
        <f>IF(OR($C1722="",$D1722&lt;&gt;"Gelir",$L1722=""),"",IFERROR(INDEX(MUSTERILER!$B$7:$B$156,MATCH($S1722,MUSTERILER!$T$7:$T$156,0)),""))</f>
        <v/>
      </c>
      <c r="U1722" s="1" t="str">
        <f>IF($T1722="","",$T1722&amp;"|"&amp;COUNTIFS($T$7:$T1722,$T1722))</f>
        <v/>
      </c>
      <c r="V1722" s="1">
        <f t="shared" si="81"/>
        <v>0</v>
      </c>
      <c r="W1722" s="1" t="str">
        <f t="shared" si="82"/>
        <v/>
      </c>
      <c r="X1722" s="1"/>
      <c r="Y1722" s="1"/>
      <c r="Z1722" s="1"/>
      <c r="AA1722" s="1"/>
      <c r="AB1722" s="1"/>
      <c r="AC1722" s="1"/>
      <c r="AD1722" s="1">
        <f>IF($C1722="",0,SUMPRODUCT((AY_SONU!$O$7:$O$42="Evet")*(AY_SONU!$B$7:$B$42=DATE(YEAR($C1722),MONTH($C1722),1))))</f>
        <v>0</v>
      </c>
      <c r="AE1722" s="1" t="str">
        <f>IF($E1722="","",$E1722&amp;"|"&amp;COUNTIFS($E$7:$E1722,$E1722))</f>
        <v/>
      </c>
    </row>
    <row r="1723" spans="1:31" ht="18" customHeight="1" x14ac:dyDescent="0.3">
      <c r="A1723" s="2"/>
      <c r="B1723" s="65" t="str">
        <f>IF($C1723="","","GG"&amp;TEXT(ROW()-6,"00000"))</f>
        <v/>
      </c>
      <c r="C1723" s="66"/>
      <c r="D1723" s="60"/>
      <c r="E1723" s="61"/>
      <c r="F1723" s="61"/>
      <c r="G1723" s="67"/>
      <c r="H1723" s="60"/>
      <c r="I1723" s="60"/>
      <c r="J1723" s="61"/>
      <c r="K1723" s="61"/>
      <c r="L1723" s="60"/>
      <c r="M1723" s="74" t="str">
        <f>IF($C1723="","",IF($D1723="Gider",$E1723,IF($L1723&lt;&gt;"",$L1723,$H1723)))</f>
        <v/>
      </c>
      <c r="N1723" s="74" t="str">
        <f>IF($C1723="","",IF($D1723="Gider",$H1723,$E1723))</f>
        <v/>
      </c>
      <c r="O1723" s="73" t="str">
        <f>IF($C1723="","",DATE(YEAR($C1723),MONTH($C1723),1))</f>
        <v/>
      </c>
      <c r="P1723" s="65" t="str">
        <f ca="1">IF($C1723="","",IF(AND($D1723="Gelir",$L1723&lt;&gt;"",$T1723=""),"TANIMSIZ BORÇLU",IF($T1723&lt;&gt;"",IF(OR($E1723="",$G1723&lt;=0),"EKSİK",IF($I1723="Evet","TAHAKKUK NAKİT OLAMAZ",IF($C1723&gt;TODAY(),"İLERİ TARİH","TAHAKKUK"))),IF(AND($D1723&lt;&gt;"",$E1723&lt;&gt;"",$G1723&gt;0,$H1723&lt;&gt;"",$I1723&lt;&gt;""),IF($C1723&gt;TODAY(),"İLERİ TARİH",IF(COUNTIF($W$7:$W$3001,$W1723)&gt;1,"MÜKERRER?",IF($AD1723&gt;0,"KAPALI DÖNEM",IF($I1723="Hayır","ÖDENECEK","UYGUN")))),"EKSİK"))))</f>
        <v/>
      </c>
      <c r="Q1723" s="2"/>
      <c r="R1723" s="2"/>
      <c r="S1723" s="1" t="str">
        <f t="shared" si="80"/>
        <v/>
      </c>
      <c r="T1723" s="1" t="str">
        <f>IF(OR($C1723="",$D1723&lt;&gt;"Gelir",$L1723=""),"",IFERROR(INDEX(MUSTERILER!$B$7:$B$156,MATCH($S1723,MUSTERILER!$T$7:$T$156,0)),""))</f>
        <v/>
      </c>
      <c r="U1723" s="1" t="str">
        <f>IF($T1723="","",$T1723&amp;"|"&amp;COUNTIFS($T$7:$T1723,$T1723))</f>
        <v/>
      </c>
      <c r="V1723" s="1">
        <f t="shared" si="81"/>
        <v>0</v>
      </c>
      <c r="W1723" s="1" t="str">
        <f t="shared" si="82"/>
        <v/>
      </c>
      <c r="X1723" s="1"/>
      <c r="Y1723" s="1"/>
      <c r="Z1723" s="1"/>
      <c r="AA1723" s="1"/>
      <c r="AB1723" s="1"/>
      <c r="AC1723" s="1"/>
      <c r="AD1723" s="1">
        <f>IF($C1723="",0,SUMPRODUCT((AY_SONU!$O$7:$O$42="Evet")*(AY_SONU!$B$7:$B$42=DATE(YEAR($C1723),MONTH($C1723),1))))</f>
        <v>0</v>
      </c>
      <c r="AE1723" s="1" t="str">
        <f>IF($E1723="","",$E1723&amp;"|"&amp;COUNTIFS($E$7:$E1723,$E1723))</f>
        <v/>
      </c>
    </row>
    <row r="1724" spans="1:31" ht="18" customHeight="1" x14ac:dyDescent="0.3">
      <c r="A1724" s="2"/>
      <c r="B1724" s="65" t="str">
        <f>IF($C1724="","","GG"&amp;TEXT(ROW()-6,"00000"))</f>
        <v/>
      </c>
      <c r="C1724" s="66"/>
      <c r="D1724" s="60"/>
      <c r="E1724" s="61"/>
      <c r="F1724" s="61"/>
      <c r="G1724" s="67"/>
      <c r="H1724" s="60"/>
      <c r="I1724" s="60"/>
      <c r="J1724" s="61"/>
      <c r="K1724" s="61"/>
      <c r="L1724" s="60"/>
      <c r="M1724" s="74" t="str">
        <f>IF($C1724="","",IF($D1724="Gider",$E1724,IF($L1724&lt;&gt;"",$L1724,$H1724)))</f>
        <v/>
      </c>
      <c r="N1724" s="74" t="str">
        <f>IF($C1724="","",IF($D1724="Gider",$H1724,$E1724))</f>
        <v/>
      </c>
      <c r="O1724" s="73" t="str">
        <f>IF($C1724="","",DATE(YEAR($C1724),MONTH($C1724),1))</f>
        <v/>
      </c>
      <c r="P1724" s="65" t="str">
        <f ca="1">IF($C1724="","",IF(AND($D1724="Gelir",$L1724&lt;&gt;"",$T1724=""),"TANIMSIZ BORÇLU",IF($T1724&lt;&gt;"",IF(OR($E1724="",$G1724&lt;=0),"EKSİK",IF($I1724="Evet","TAHAKKUK NAKİT OLAMAZ",IF($C1724&gt;TODAY(),"İLERİ TARİH","TAHAKKUK"))),IF(AND($D1724&lt;&gt;"",$E1724&lt;&gt;"",$G1724&gt;0,$H1724&lt;&gt;"",$I1724&lt;&gt;""),IF($C1724&gt;TODAY(),"İLERİ TARİH",IF(COUNTIF($W$7:$W$3001,$W1724)&gt;1,"MÜKERRER?",IF($AD1724&gt;0,"KAPALI DÖNEM",IF($I1724="Hayır","ÖDENECEK","UYGUN")))),"EKSİK"))))</f>
        <v/>
      </c>
      <c r="Q1724" s="2"/>
      <c r="R1724" s="2"/>
      <c r="S1724" s="1" t="str">
        <f t="shared" si="80"/>
        <v/>
      </c>
      <c r="T1724" s="1" t="str">
        <f>IF(OR($C1724="",$D1724&lt;&gt;"Gelir",$L1724=""),"",IFERROR(INDEX(MUSTERILER!$B$7:$B$156,MATCH($S1724,MUSTERILER!$T$7:$T$156,0)),""))</f>
        <v/>
      </c>
      <c r="U1724" s="1" t="str">
        <f>IF($T1724="","",$T1724&amp;"|"&amp;COUNTIFS($T$7:$T1724,$T1724))</f>
        <v/>
      </c>
      <c r="V1724" s="1">
        <f t="shared" si="81"/>
        <v>0</v>
      </c>
      <c r="W1724" s="1" t="str">
        <f t="shared" si="82"/>
        <v/>
      </c>
      <c r="X1724" s="1"/>
      <c r="Y1724" s="1"/>
      <c r="Z1724" s="1"/>
      <c r="AA1724" s="1"/>
      <c r="AB1724" s="1"/>
      <c r="AC1724" s="1"/>
      <c r="AD1724" s="1">
        <f>IF($C1724="",0,SUMPRODUCT((AY_SONU!$O$7:$O$42="Evet")*(AY_SONU!$B$7:$B$42=DATE(YEAR($C1724),MONTH($C1724),1))))</f>
        <v>0</v>
      </c>
      <c r="AE1724" s="1" t="str">
        <f>IF($E1724="","",$E1724&amp;"|"&amp;COUNTIFS($E$7:$E1724,$E1724))</f>
        <v/>
      </c>
    </row>
    <row r="1725" spans="1:31" ht="18" customHeight="1" x14ac:dyDescent="0.3">
      <c r="A1725" s="2"/>
      <c r="B1725" s="65" t="str">
        <f>IF($C1725="","","GG"&amp;TEXT(ROW()-6,"00000"))</f>
        <v/>
      </c>
      <c r="C1725" s="66"/>
      <c r="D1725" s="60"/>
      <c r="E1725" s="61"/>
      <c r="F1725" s="61"/>
      <c r="G1725" s="67"/>
      <c r="H1725" s="60"/>
      <c r="I1725" s="60"/>
      <c r="J1725" s="61"/>
      <c r="K1725" s="61"/>
      <c r="L1725" s="60"/>
      <c r="M1725" s="74" t="str">
        <f>IF($C1725="","",IF($D1725="Gider",$E1725,IF($L1725&lt;&gt;"",$L1725,$H1725)))</f>
        <v/>
      </c>
      <c r="N1725" s="74" t="str">
        <f>IF($C1725="","",IF($D1725="Gider",$H1725,$E1725))</f>
        <v/>
      </c>
      <c r="O1725" s="73" t="str">
        <f>IF($C1725="","",DATE(YEAR($C1725),MONTH($C1725),1))</f>
        <v/>
      </c>
      <c r="P1725" s="65" t="str">
        <f ca="1">IF($C1725="","",IF(AND($D1725="Gelir",$L1725&lt;&gt;"",$T1725=""),"TANIMSIZ BORÇLU",IF($T1725&lt;&gt;"",IF(OR($E1725="",$G1725&lt;=0),"EKSİK",IF($I1725="Evet","TAHAKKUK NAKİT OLAMAZ",IF($C1725&gt;TODAY(),"İLERİ TARİH","TAHAKKUK"))),IF(AND($D1725&lt;&gt;"",$E1725&lt;&gt;"",$G1725&gt;0,$H1725&lt;&gt;"",$I1725&lt;&gt;""),IF($C1725&gt;TODAY(),"İLERİ TARİH",IF(COUNTIF($W$7:$W$3001,$W1725)&gt;1,"MÜKERRER?",IF($AD1725&gt;0,"KAPALI DÖNEM",IF($I1725="Hayır","ÖDENECEK","UYGUN")))),"EKSİK"))))</f>
        <v/>
      </c>
      <c r="Q1725" s="2"/>
      <c r="R1725" s="2"/>
      <c r="S1725" s="1" t="str">
        <f t="shared" si="80"/>
        <v/>
      </c>
      <c r="T1725" s="1" t="str">
        <f>IF(OR($C1725="",$D1725&lt;&gt;"Gelir",$L1725=""),"",IFERROR(INDEX(MUSTERILER!$B$7:$B$156,MATCH($S1725,MUSTERILER!$T$7:$T$156,0)),""))</f>
        <v/>
      </c>
      <c r="U1725" s="1" t="str">
        <f>IF($T1725="","",$T1725&amp;"|"&amp;COUNTIFS($T$7:$T1725,$T1725))</f>
        <v/>
      </c>
      <c r="V1725" s="1">
        <f t="shared" si="81"/>
        <v>0</v>
      </c>
      <c r="W1725" s="1" t="str">
        <f t="shared" si="82"/>
        <v/>
      </c>
      <c r="X1725" s="1"/>
      <c r="Y1725" s="1"/>
      <c r="Z1725" s="1"/>
      <c r="AA1725" s="1"/>
      <c r="AB1725" s="1"/>
      <c r="AC1725" s="1"/>
      <c r="AD1725" s="1">
        <f>IF($C1725="",0,SUMPRODUCT((AY_SONU!$O$7:$O$42="Evet")*(AY_SONU!$B$7:$B$42=DATE(YEAR($C1725),MONTH($C1725),1))))</f>
        <v>0</v>
      </c>
      <c r="AE1725" s="1" t="str">
        <f>IF($E1725="","",$E1725&amp;"|"&amp;COUNTIFS($E$7:$E1725,$E1725))</f>
        <v/>
      </c>
    </row>
    <row r="1726" spans="1:31" ht="18" customHeight="1" x14ac:dyDescent="0.3">
      <c r="A1726" s="2"/>
      <c r="B1726" s="65" t="str">
        <f>IF($C1726="","","GG"&amp;TEXT(ROW()-6,"00000"))</f>
        <v/>
      </c>
      <c r="C1726" s="66"/>
      <c r="D1726" s="60"/>
      <c r="E1726" s="61"/>
      <c r="F1726" s="61"/>
      <c r="G1726" s="67"/>
      <c r="H1726" s="60"/>
      <c r="I1726" s="60"/>
      <c r="J1726" s="61"/>
      <c r="K1726" s="61"/>
      <c r="L1726" s="60"/>
      <c r="M1726" s="74" t="str">
        <f>IF($C1726="","",IF($D1726="Gider",$E1726,IF($L1726&lt;&gt;"",$L1726,$H1726)))</f>
        <v/>
      </c>
      <c r="N1726" s="74" t="str">
        <f>IF($C1726="","",IF($D1726="Gider",$H1726,$E1726))</f>
        <v/>
      </c>
      <c r="O1726" s="73" t="str">
        <f>IF($C1726="","",DATE(YEAR($C1726),MONTH($C1726),1))</f>
        <v/>
      </c>
      <c r="P1726" s="65" t="str">
        <f ca="1">IF($C1726="","",IF(AND($D1726="Gelir",$L1726&lt;&gt;"",$T1726=""),"TANIMSIZ BORÇLU",IF($T1726&lt;&gt;"",IF(OR($E1726="",$G1726&lt;=0),"EKSİK",IF($I1726="Evet","TAHAKKUK NAKİT OLAMAZ",IF($C1726&gt;TODAY(),"İLERİ TARİH","TAHAKKUK"))),IF(AND($D1726&lt;&gt;"",$E1726&lt;&gt;"",$G1726&gt;0,$H1726&lt;&gt;"",$I1726&lt;&gt;""),IF($C1726&gt;TODAY(),"İLERİ TARİH",IF(COUNTIF($W$7:$W$3001,$W1726)&gt;1,"MÜKERRER?",IF($AD1726&gt;0,"KAPALI DÖNEM",IF($I1726="Hayır","ÖDENECEK","UYGUN")))),"EKSİK"))))</f>
        <v/>
      </c>
      <c r="Q1726" s="2"/>
      <c r="R1726" s="2"/>
      <c r="S1726" s="1" t="str">
        <f t="shared" si="80"/>
        <v/>
      </c>
      <c r="T1726" s="1" t="str">
        <f>IF(OR($C1726="",$D1726&lt;&gt;"Gelir",$L1726=""),"",IFERROR(INDEX(MUSTERILER!$B$7:$B$156,MATCH($S1726,MUSTERILER!$T$7:$T$156,0)),""))</f>
        <v/>
      </c>
      <c r="U1726" s="1" t="str">
        <f>IF($T1726="","",$T1726&amp;"|"&amp;COUNTIFS($T$7:$T1726,$T1726))</f>
        <v/>
      </c>
      <c r="V1726" s="1">
        <f t="shared" si="81"/>
        <v>0</v>
      </c>
      <c r="W1726" s="1" t="str">
        <f t="shared" si="82"/>
        <v/>
      </c>
      <c r="X1726" s="1"/>
      <c r="Y1726" s="1"/>
      <c r="Z1726" s="1"/>
      <c r="AA1726" s="1"/>
      <c r="AB1726" s="1"/>
      <c r="AC1726" s="1"/>
      <c r="AD1726" s="1">
        <f>IF($C1726="",0,SUMPRODUCT((AY_SONU!$O$7:$O$42="Evet")*(AY_SONU!$B$7:$B$42=DATE(YEAR($C1726),MONTH($C1726),1))))</f>
        <v>0</v>
      </c>
      <c r="AE1726" s="1" t="str">
        <f>IF($E1726="","",$E1726&amp;"|"&amp;COUNTIFS($E$7:$E1726,$E1726))</f>
        <v/>
      </c>
    </row>
    <row r="1727" spans="1:31" ht="18" customHeight="1" x14ac:dyDescent="0.3">
      <c r="A1727" s="2"/>
      <c r="B1727" s="65" t="str">
        <f>IF($C1727="","","GG"&amp;TEXT(ROW()-6,"00000"))</f>
        <v/>
      </c>
      <c r="C1727" s="66"/>
      <c r="D1727" s="60"/>
      <c r="E1727" s="61"/>
      <c r="F1727" s="61"/>
      <c r="G1727" s="67"/>
      <c r="H1727" s="60"/>
      <c r="I1727" s="60"/>
      <c r="J1727" s="61"/>
      <c r="K1727" s="61"/>
      <c r="L1727" s="60"/>
      <c r="M1727" s="74" t="str">
        <f>IF($C1727="","",IF($D1727="Gider",$E1727,IF($L1727&lt;&gt;"",$L1727,$H1727)))</f>
        <v/>
      </c>
      <c r="N1727" s="74" t="str">
        <f>IF($C1727="","",IF($D1727="Gider",$H1727,$E1727))</f>
        <v/>
      </c>
      <c r="O1727" s="73" t="str">
        <f>IF($C1727="","",DATE(YEAR($C1727),MONTH($C1727),1))</f>
        <v/>
      </c>
      <c r="P1727" s="65" t="str">
        <f ca="1">IF($C1727="","",IF(AND($D1727="Gelir",$L1727&lt;&gt;"",$T1727=""),"TANIMSIZ BORÇLU",IF($T1727&lt;&gt;"",IF(OR($E1727="",$G1727&lt;=0),"EKSİK",IF($I1727="Evet","TAHAKKUK NAKİT OLAMAZ",IF($C1727&gt;TODAY(),"İLERİ TARİH","TAHAKKUK"))),IF(AND($D1727&lt;&gt;"",$E1727&lt;&gt;"",$G1727&gt;0,$H1727&lt;&gt;"",$I1727&lt;&gt;""),IF($C1727&gt;TODAY(),"İLERİ TARİH",IF(COUNTIF($W$7:$W$3001,$W1727)&gt;1,"MÜKERRER?",IF($AD1727&gt;0,"KAPALI DÖNEM",IF($I1727="Hayır","ÖDENECEK","UYGUN")))),"EKSİK"))))</f>
        <v/>
      </c>
      <c r="Q1727" s="2"/>
      <c r="R1727" s="2"/>
      <c r="S1727" s="1" t="str">
        <f t="shared" si="80"/>
        <v/>
      </c>
      <c r="T1727" s="1" t="str">
        <f>IF(OR($C1727="",$D1727&lt;&gt;"Gelir",$L1727=""),"",IFERROR(INDEX(MUSTERILER!$B$7:$B$156,MATCH($S1727,MUSTERILER!$T$7:$T$156,0)),""))</f>
        <v/>
      </c>
      <c r="U1727" s="1" t="str">
        <f>IF($T1727="","",$T1727&amp;"|"&amp;COUNTIFS($T$7:$T1727,$T1727))</f>
        <v/>
      </c>
      <c r="V1727" s="1">
        <f t="shared" si="81"/>
        <v>0</v>
      </c>
      <c r="W1727" s="1" t="str">
        <f t="shared" si="82"/>
        <v/>
      </c>
      <c r="X1727" s="1"/>
      <c r="Y1727" s="1"/>
      <c r="Z1727" s="1"/>
      <c r="AA1727" s="1"/>
      <c r="AB1727" s="1"/>
      <c r="AC1727" s="1"/>
      <c r="AD1727" s="1">
        <f>IF($C1727="",0,SUMPRODUCT((AY_SONU!$O$7:$O$42="Evet")*(AY_SONU!$B$7:$B$42=DATE(YEAR($C1727),MONTH($C1727),1))))</f>
        <v>0</v>
      </c>
      <c r="AE1727" s="1" t="str">
        <f>IF($E1727="","",$E1727&amp;"|"&amp;COUNTIFS($E$7:$E1727,$E1727))</f>
        <v/>
      </c>
    </row>
    <row r="1728" spans="1:31" ht="18" customHeight="1" x14ac:dyDescent="0.3">
      <c r="A1728" s="2"/>
      <c r="B1728" s="65" t="str">
        <f>IF($C1728="","","GG"&amp;TEXT(ROW()-6,"00000"))</f>
        <v/>
      </c>
      <c r="C1728" s="66"/>
      <c r="D1728" s="60"/>
      <c r="E1728" s="61"/>
      <c r="F1728" s="61"/>
      <c r="G1728" s="67"/>
      <c r="H1728" s="60"/>
      <c r="I1728" s="60"/>
      <c r="J1728" s="61"/>
      <c r="K1728" s="61"/>
      <c r="L1728" s="60"/>
      <c r="M1728" s="74" t="str">
        <f>IF($C1728="","",IF($D1728="Gider",$E1728,IF($L1728&lt;&gt;"",$L1728,$H1728)))</f>
        <v/>
      </c>
      <c r="N1728" s="74" t="str">
        <f>IF($C1728="","",IF($D1728="Gider",$H1728,$E1728))</f>
        <v/>
      </c>
      <c r="O1728" s="73" t="str">
        <f>IF($C1728="","",DATE(YEAR($C1728),MONTH($C1728),1))</f>
        <v/>
      </c>
      <c r="P1728" s="65" t="str">
        <f ca="1">IF($C1728="","",IF(AND($D1728="Gelir",$L1728&lt;&gt;"",$T1728=""),"TANIMSIZ BORÇLU",IF($T1728&lt;&gt;"",IF(OR($E1728="",$G1728&lt;=0),"EKSİK",IF($I1728="Evet","TAHAKKUK NAKİT OLAMAZ",IF($C1728&gt;TODAY(),"İLERİ TARİH","TAHAKKUK"))),IF(AND($D1728&lt;&gt;"",$E1728&lt;&gt;"",$G1728&gt;0,$H1728&lt;&gt;"",$I1728&lt;&gt;""),IF($C1728&gt;TODAY(),"İLERİ TARİH",IF(COUNTIF($W$7:$W$3001,$W1728)&gt;1,"MÜKERRER?",IF($AD1728&gt;0,"KAPALI DÖNEM",IF($I1728="Hayır","ÖDENECEK","UYGUN")))),"EKSİK"))))</f>
        <v/>
      </c>
      <c r="Q1728" s="2"/>
      <c r="R1728" s="2"/>
      <c r="S1728" s="1" t="str">
        <f t="shared" si="80"/>
        <v/>
      </c>
      <c r="T1728" s="1" t="str">
        <f>IF(OR($C1728="",$D1728&lt;&gt;"Gelir",$L1728=""),"",IFERROR(INDEX(MUSTERILER!$B$7:$B$156,MATCH($S1728,MUSTERILER!$T$7:$T$156,0)),""))</f>
        <v/>
      </c>
      <c r="U1728" s="1" t="str">
        <f>IF($T1728="","",$T1728&amp;"|"&amp;COUNTIFS($T$7:$T1728,$T1728))</f>
        <v/>
      </c>
      <c r="V1728" s="1">
        <f t="shared" si="81"/>
        <v>0</v>
      </c>
      <c r="W1728" s="1" t="str">
        <f t="shared" si="82"/>
        <v/>
      </c>
      <c r="X1728" s="1"/>
      <c r="Y1728" s="1"/>
      <c r="Z1728" s="1"/>
      <c r="AA1728" s="1"/>
      <c r="AB1728" s="1"/>
      <c r="AC1728" s="1"/>
      <c r="AD1728" s="1">
        <f>IF($C1728="",0,SUMPRODUCT((AY_SONU!$O$7:$O$42="Evet")*(AY_SONU!$B$7:$B$42=DATE(YEAR($C1728),MONTH($C1728),1))))</f>
        <v>0</v>
      </c>
      <c r="AE1728" s="1" t="str">
        <f>IF($E1728="","",$E1728&amp;"|"&amp;COUNTIFS($E$7:$E1728,$E1728))</f>
        <v/>
      </c>
    </row>
    <row r="1729" spans="1:31" ht="18" customHeight="1" x14ac:dyDescent="0.3">
      <c r="A1729" s="2"/>
      <c r="B1729" s="65" t="str">
        <f>IF($C1729="","","GG"&amp;TEXT(ROW()-6,"00000"))</f>
        <v/>
      </c>
      <c r="C1729" s="66"/>
      <c r="D1729" s="60"/>
      <c r="E1729" s="61"/>
      <c r="F1729" s="61"/>
      <c r="G1729" s="67"/>
      <c r="H1729" s="60"/>
      <c r="I1729" s="60"/>
      <c r="J1729" s="61"/>
      <c r="K1729" s="61"/>
      <c r="L1729" s="60"/>
      <c r="M1729" s="74" t="str">
        <f>IF($C1729="","",IF($D1729="Gider",$E1729,IF($L1729&lt;&gt;"",$L1729,$H1729)))</f>
        <v/>
      </c>
      <c r="N1729" s="74" t="str">
        <f>IF($C1729="","",IF($D1729="Gider",$H1729,$E1729))</f>
        <v/>
      </c>
      <c r="O1729" s="73" t="str">
        <f>IF($C1729="","",DATE(YEAR($C1729),MONTH($C1729),1))</f>
        <v/>
      </c>
      <c r="P1729" s="65" t="str">
        <f ca="1">IF($C1729="","",IF(AND($D1729="Gelir",$L1729&lt;&gt;"",$T1729=""),"TANIMSIZ BORÇLU",IF($T1729&lt;&gt;"",IF(OR($E1729="",$G1729&lt;=0),"EKSİK",IF($I1729="Evet","TAHAKKUK NAKİT OLAMAZ",IF($C1729&gt;TODAY(),"İLERİ TARİH","TAHAKKUK"))),IF(AND($D1729&lt;&gt;"",$E1729&lt;&gt;"",$G1729&gt;0,$H1729&lt;&gt;"",$I1729&lt;&gt;""),IF($C1729&gt;TODAY(),"İLERİ TARİH",IF(COUNTIF($W$7:$W$3001,$W1729)&gt;1,"MÜKERRER?",IF($AD1729&gt;0,"KAPALI DÖNEM",IF($I1729="Hayır","ÖDENECEK","UYGUN")))),"EKSİK"))))</f>
        <v/>
      </c>
      <c r="Q1729" s="2"/>
      <c r="R1729" s="2"/>
      <c r="S1729" s="1" t="str">
        <f t="shared" si="80"/>
        <v/>
      </c>
      <c r="T1729" s="1" t="str">
        <f>IF(OR($C1729="",$D1729&lt;&gt;"Gelir",$L1729=""),"",IFERROR(INDEX(MUSTERILER!$B$7:$B$156,MATCH($S1729,MUSTERILER!$T$7:$T$156,0)),""))</f>
        <v/>
      </c>
      <c r="U1729" s="1" t="str">
        <f>IF($T1729="","",$T1729&amp;"|"&amp;COUNTIFS($T$7:$T1729,$T1729))</f>
        <v/>
      </c>
      <c r="V1729" s="1">
        <f t="shared" si="81"/>
        <v>0</v>
      </c>
      <c r="W1729" s="1" t="str">
        <f t="shared" si="82"/>
        <v/>
      </c>
      <c r="X1729" s="1"/>
      <c r="Y1729" s="1"/>
      <c r="Z1729" s="1"/>
      <c r="AA1729" s="1"/>
      <c r="AB1729" s="1"/>
      <c r="AC1729" s="1"/>
      <c r="AD1729" s="1">
        <f>IF($C1729="",0,SUMPRODUCT((AY_SONU!$O$7:$O$42="Evet")*(AY_SONU!$B$7:$B$42=DATE(YEAR($C1729),MONTH($C1729),1))))</f>
        <v>0</v>
      </c>
      <c r="AE1729" s="1" t="str">
        <f>IF($E1729="","",$E1729&amp;"|"&amp;COUNTIFS($E$7:$E1729,$E1729))</f>
        <v/>
      </c>
    </row>
    <row r="1730" spans="1:31" ht="18" customHeight="1" x14ac:dyDescent="0.3">
      <c r="A1730" s="2"/>
      <c r="B1730" s="65" t="str">
        <f>IF($C1730="","","GG"&amp;TEXT(ROW()-6,"00000"))</f>
        <v/>
      </c>
      <c r="C1730" s="66"/>
      <c r="D1730" s="60"/>
      <c r="E1730" s="61"/>
      <c r="F1730" s="61"/>
      <c r="G1730" s="67"/>
      <c r="H1730" s="60"/>
      <c r="I1730" s="60"/>
      <c r="J1730" s="61"/>
      <c r="K1730" s="61"/>
      <c r="L1730" s="60"/>
      <c r="M1730" s="74" t="str">
        <f>IF($C1730="","",IF($D1730="Gider",$E1730,IF($L1730&lt;&gt;"",$L1730,$H1730)))</f>
        <v/>
      </c>
      <c r="N1730" s="74" t="str">
        <f>IF($C1730="","",IF($D1730="Gider",$H1730,$E1730))</f>
        <v/>
      </c>
      <c r="O1730" s="73" t="str">
        <f>IF($C1730="","",DATE(YEAR($C1730),MONTH($C1730),1))</f>
        <v/>
      </c>
      <c r="P1730" s="65" t="str">
        <f ca="1">IF($C1730="","",IF(AND($D1730="Gelir",$L1730&lt;&gt;"",$T1730=""),"TANIMSIZ BORÇLU",IF($T1730&lt;&gt;"",IF(OR($E1730="",$G1730&lt;=0),"EKSİK",IF($I1730="Evet","TAHAKKUK NAKİT OLAMAZ",IF($C1730&gt;TODAY(),"İLERİ TARİH","TAHAKKUK"))),IF(AND($D1730&lt;&gt;"",$E1730&lt;&gt;"",$G1730&gt;0,$H1730&lt;&gt;"",$I1730&lt;&gt;""),IF($C1730&gt;TODAY(),"İLERİ TARİH",IF(COUNTIF($W$7:$W$3001,$W1730)&gt;1,"MÜKERRER?",IF($AD1730&gt;0,"KAPALI DÖNEM",IF($I1730="Hayır","ÖDENECEK","UYGUN")))),"EKSİK"))))</f>
        <v/>
      </c>
      <c r="Q1730" s="2"/>
      <c r="R1730" s="2"/>
      <c r="S1730" s="1" t="str">
        <f t="shared" si="80"/>
        <v/>
      </c>
      <c r="T1730" s="1" t="str">
        <f>IF(OR($C1730="",$D1730&lt;&gt;"Gelir",$L1730=""),"",IFERROR(INDEX(MUSTERILER!$B$7:$B$156,MATCH($S1730,MUSTERILER!$T$7:$T$156,0)),""))</f>
        <v/>
      </c>
      <c r="U1730" s="1" t="str">
        <f>IF($T1730="","",$T1730&amp;"|"&amp;COUNTIFS($T$7:$T1730,$T1730))</f>
        <v/>
      </c>
      <c r="V1730" s="1">
        <f t="shared" si="81"/>
        <v>0</v>
      </c>
      <c r="W1730" s="1" t="str">
        <f t="shared" si="82"/>
        <v/>
      </c>
      <c r="X1730" s="1"/>
      <c r="Y1730" s="1"/>
      <c r="Z1730" s="1"/>
      <c r="AA1730" s="1"/>
      <c r="AB1730" s="1"/>
      <c r="AC1730" s="1"/>
      <c r="AD1730" s="1">
        <f>IF($C1730="",0,SUMPRODUCT((AY_SONU!$O$7:$O$42="Evet")*(AY_SONU!$B$7:$B$42=DATE(YEAR($C1730),MONTH($C1730),1))))</f>
        <v>0</v>
      </c>
      <c r="AE1730" s="1" t="str">
        <f>IF($E1730="","",$E1730&amp;"|"&amp;COUNTIFS($E$7:$E1730,$E1730))</f>
        <v/>
      </c>
    </row>
    <row r="1731" spans="1:31" ht="18" customHeight="1" x14ac:dyDescent="0.3">
      <c r="A1731" s="2"/>
      <c r="B1731" s="65" t="str">
        <f>IF($C1731="","","GG"&amp;TEXT(ROW()-6,"00000"))</f>
        <v/>
      </c>
      <c r="C1731" s="66"/>
      <c r="D1731" s="60"/>
      <c r="E1731" s="61"/>
      <c r="F1731" s="61"/>
      <c r="G1731" s="67"/>
      <c r="H1731" s="60"/>
      <c r="I1731" s="60"/>
      <c r="J1731" s="61"/>
      <c r="K1731" s="61"/>
      <c r="L1731" s="60"/>
      <c r="M1731" s="74" t="str">
        <f>IF($C1731="","",IF($D1731="Gider",$E1731,IF($L1731&lt;&gt;"",$L1731,$H1731)))</f>
        <v/>
      </c>
      <c r="N1731" s="74" t="str">
        <f>IF($C1731="","",IF($D1731="Gider",$H1731,$E1731))</f>
        <v/>
      </c>
      <c r="O1731" s="73" t="str">
        <f>IF($C1731="","",DATE(YEAR($C1731),MONTH($C1731),1))</f>
        <v/>
      </c>
      <c r="P1731" s="65" t="str">
        <f ca="1">IF($C1731="","",IF(AND($D1731="Gelir",$L1731&lt;&gt;"",$T1731=""),"TANIMSIZ BORÇLU",IF($T1731&lt;&gt;"",IF(OR($E1731="",$G1731&lt;=0),"EKSİK",IF($I1731="Evet","TAHAKKUK NAKİT OLAMAZ",IF($C1731&gt;TODAY(),"İLERİ TARİH","TAHAKKUK"))),IF(AND($D1731&lt;&gt;"",$E1731&lt;&gt;"",$G1731&gt;0,$H1731&lt;&gt;"",$I1731&lt;&gt;""),IF($C1731&gt;TODAY(),"İLERİ TARİH",IF(COUNTIF($W$7:$W$3001,$W1731)&gt;1,"MÜKERRER?",IF($AD1731&gt;0,"KAPALI DÖNEM",IF($I1731="Hayır","ÖDENECEK","UYGUN")))),"EKSİK"))))</f>
        <v/>
      </c>
      <c r="Q1731" s="2"/>
      <c r="R1731" s="2"/>
      <c r="S1731" s="1" t="str">
        <f t="shared" si="80"/>
        <v/>
      </c>
      <c r="T1731" s="1" t="str">
        <f>IF(OR($C1731="",$D1731&lt;&gt;"Gelir",$L1731=""),"",IFERROR(INDEX(MUSTERILER!$B$7:$B$156,MATCH($S1731,MUSTERILER!$T$7:$T$156,0)),""))</f>
        <v/>
      </c>
      <c r="U1731" s="1" t="str">
        <f>IF($T1731="","",$T1731&amp;"|"&amp;COUNTIFS($T$7:$T1731,$T1731))</f>
        <v/>
      </c>
      <c r="V1731" s="1">
        <f t="shared" si="81"/>
        <v>0</v>
      </c>
      <c r="W1731" s="1" t="str">
        <f t="shared" si="82"/>
        <v/>
      </c>
      <c r="X1731" s="1"/>
      <c r="Y1731" s="1"/>
      <c r="Z1731" s="1"/>
      <c r="AA1731" s="1"/>
      <c r="AB1731" s="1"/>
      <c r="AC1731" s="1"/>
      <c r="AD1731" s="1">
        <f>IF($C1731="",0,SUMPRODUCT((AY_SONU!$O$7:$O$42="Evet")*(AY_SONU!$B$7:$B$42=DATE(YEAR($C1731),MONTH($C1731),1))))</f>
        <v>0</v>
      </c>
      <c r="AE1731" s="1" t="str">
        <f>IF($E1731="","",$E1731&amp;"|"&amp;COUNTIFS($E$7:$E1731,$E1731))</f>
        <v/>
      </c>
    </row>
    <row r="1732" spans="1:31" ht="18" customHeight="1" x14ac:dyDescent="0.3">
      <c r="A1732" s="2"/>
      <c r="B1732" s="65" t="str">
        <f>IF($C1732="","","GG"&amp;TEXT(ROW()-6,"00000"))</f>
        <v/>
      </c>
      <c r="C1732" s="66"/>
      <c r="D1732" s="60"/>
      <c r="E1732" s="61"/>
      <c r="F1732" s="61"/>
      <c r="G1732" s="67"/>
      <c r="H1732" s="60"/>
      <c r="I1732" s="60"/>
      <c r="J1732" s="61"/>
      <c r="K1732" s="61"/>
      <c r="L1732" s="60"/>
      <c r="M1732" s="74" t="str">
        <f>IF($C1732="","",IF($D1732="Gider",$E1732,IF($L1732&lt;&gt;"",$L1732,$H1732)))</f>
        <v/>
      </c>
      <c r="N1732" s="74" t="str">
        <f>IF($C1732="","",IF($D1732="Gider",$H1732,$E1732))</f>
        <v/>
      </c>
      <c r="O1732" s="73" t="str">
        <f>IF($C1732="","",DATE(YEAR($C1732),MONTH($C1732),1))</f>
        <v/>
      </c>
      <c r="P1732" s="65" t="str">
        <f ca="1">IF($C1732="","",IF(AND($D1732="Gelir",$L1732&lt;&gt;"",$T1732=""),"TANIMSIZ BORÇLU",IF($T1732&lt;&gt;"",IF(OR($E1732="",$G1732&lt;=0),"EKSİK",IF($I1732="Evet","TAHAKKUK NAKİT OLAMAZ",IF($C1732&gt;TODAY(),"İLERİ TARİH","TAHAKKUK"))),IF(AND($D1732&lt;&gt;"",$E1732&lt;&gt;"",$G1732&gt;0,$H1732&lt;&gt;"",$I1732&lt;&gt;""),IF($C1732&gt;TODAY(),"İLERİ TARİH",IF(COUNTIF($W$7:$W$3001,$W1732)&gt;1,"MÜKERRER?",IF($AD1732&gt;0,"KAPALI DÖNEM",IF($I1732="Hayır","ÖDENECEK","UYGUN")))),"EKSİK"))))</f>
        <v/>
      </c>
      <c r="Q1732" s="2"/>
      <c r="R1732" s="2"/>
      <c r="S1732" s="1" t="str">
        <f t="shared" si="80"/>
        <v/>
      </c>
      <c r="T1732" s="1" t="str">
        <f>IF(OR($C1732="",$D1732&lt;&gt;"Gelir",$L1732=""),"",IFERROR(INDEX(MUSTERILER!$B$7:$B$156,MATCH($S1732,MUSTERILER!$T$7:$T$156,0)),""))</f>
        <v/>
      </c>
      <c r="U1732" s="1" t="str">
        <f>IF($T1732="","",$T1732&amp;"|"&amp;COUNTIFS($T$7:$T1732,$T1732))</f>
        <v/>
      </c>
      <c r="V1732" s="1">
        <f t="shared" si="81"/>
        <v>0</v>
      </c>
      <c r="W1732" s="1" t="str">
        <f t="shared" si="82"/>
        <v/>
      </c>
      <c r="X1732" s="1"/>
      <c r="Y1732" s="1"/>
      <c r="Z1732" s="1"/>
      <c r="AA1732" s="1"/>
      <c r="AB1732" s="1"/>
      <c r="AC1732" s="1"/>
      <c r="AD1732" s="1">
        <f>IF($C1732="",0,SUMPRODUCT((AY_SONU!$O$7:$O$42="Evet")*(AY_SONU!$B$7:$B$42=DATE(YEAR($C1732),MONTH($C1732),1))))</f>
        <v>0</v>
      </c>
      <c r="AE1732" s="1" t="str">
        <f>IF($E1732="","",$E1732&amp;"|"&amp;COUNTIFS($E$7:$E1732,$E1732))</f>
        <v/>
      </c>
    </row>
    <row r="1733" spans="1:31" ht="18" customHeight="1" x14ac:dyDescent="0.3">
      <c r="A1733" s="2"/>
      <c r="B1733" s="65" t="str">
        <f>IF($C1733="","","GG"&amp;TEXT(ROW()-6,"00000"))</f>
        <v/>
      </c>
      <c r="C1733" s="66"/>
      <c r="D1733" s="60"/>
      <c r="E1733" s="61"/>
      <c r="F1733" s="61"/>
      <c r="G1733" s="67"/>
      <c r="H1733" s="60"/>
      <c r="I1733" s="60"/>
      <c r="J1733" s="61"/>
      <c r="K1733" s="61"/>
      <c r="L1733" s="60"/>
      <c r="M1733" s="74" t="str">
        <f>IF($C1733="","",IF($D1733="Gider",$E1733,IF($L1733&lt;&gt;"",$L1733,$H1733)))</f>
        <v/>
      </c>
      <c r="N1733" s="74" t="str">
        <f>IF($C1733="","",IF($D1733="Gider",$H1733,$E1733))</f>
        <v/>
      </c>
      <c r="O1733" s="73" t="str">
        <f>IF($C1733="","",DATE(YEAR($C1733),MONTH($C1733),1))</f>
        <v/>
      </c>
      <c r="P1733" s="65" t="str">
        <f ca="1">IF($C1733="","",IF(AND($D1733="Gelir",$L1733&lt;&gt;"",$T1733=""),"TANIMSIZ BORÇLU",IF($T1733&lt;&gt;"",IF(OR($E1733="",$G1733&lt;=0),"EKSİK",IF($I1733="Evet","TAHAKKUK NAKİT OLAMAZ",IF($C1733&gt;TODAY(),"İLERİ TARİH","TAHAKKUK"))),IF(AND($D1733&lt;&gt;"",$E1733&lt;&gt;"",$G1733&gt;0,$H1733&lt;&gt;"",$I1733&lt;&gt;""),IF($C1733&gt;TODAY(),"İLERİ TARİH",IF(COUNTIF($W$7:$W$3001,$W1733)&gt;1,"MÜKERRER?",IF($AD1733&gt;0,"KAPALI DÖNEM",IF($I1733="Hayır","ÖDENECEK","UYGUN")))),"EKSİK"))))</f>
        <v/>
      </c>
      <c r="Q1733" s="2"/>
      <c r="R1733" s="2"/>
      <c r="S1733" s="1" t="str">
        <f t="shared" ref="S1733:S1796" si="83">IF($L1733="","",UPPER(SUBSTITUTE(SUBSTITUTE(SUBSTITUTE(SUBSTITUTE(SUBSTITUTE(SUBSTITUTE(SUBSTITUTE(SUBSTITUTE(SUBSTITUTE(SUBSTITUTE(SUBSTITUTE(SUBSTITUTE(SUBSTITUTE(SUBSTITUTE(SUBSTITUTE(SUBSTITUTE(SUBSTITUTE(SUBSTITUTE(TRIM($L1733),"'",""),"İ","I"),"ı","I"),"i","I"),"Ş","S"),"ş","S"),"Ğ","G"),"ğ","G"),"Ü","U"),"ü","U"),"Ö","O"),"ö","O"),"Ç","C"),"ç","C"),".",""),",","")," ",""),"-","")))</f>
        <v/>
      </c>
      <c r="T1733" s="1" t="str">
        <f>IF(OR($C1733="",$D1733&lt;&gt;"Gelir",$L1733=""),"",IFERROR(INDEX(MUSTERILER!$B$7:$B$156,MATCH($S1733,MUSTERILER!$T$7:$T$156,0)),""))</f>
        <v/>
      </c>
      <c r="U1733" s="1" t="str">
        <f>IF($T1733="","",$T1733&amp;"|"&amp;COUNTIFS($T$7:$T1733,$T1733))</f>
        <v/>
      </c>
      <c r="V1733" s="1">
        <f t="shared" ref="V1733:V1796" si="84">IF($T1733="",0,1)</f>
        <v>0</v>
      </c>
      <c r="W1733" s="1" t="str">
        <f t="shared" ref="W1733:W1796" si="85">IF($C1733="","",$D1733&amp;"|"&amp;$E1733&amp;"|"&amp;TEXT($C1733,"0")&amp;"|"&amp;TEXT($G1733,"0")&amp;"|"&amp;$F1733&amp;"|"&amp;$J1733)</f>
        <v/>
      </c>
      <c r="X1733" s="1"/>
      <c r="Y1733" s="1"/>
      <c r="Z1733" s="1"/>
      <c r="AA1733" s="1"/>
      <c r="AB1733" s="1"/>
      <c r="AC1733" s="1"/>
      <c r="AD1733" s="1">
        <f>IF($C1733="",0,SUMPRODUCT((AY_SONU!$O$7:$O$42="Evet")*(AY_SONU!$B$7:$B$42=DATE(YEAR($C1733),MONTH($C1733),1))))</f>
        <v>0</v>
      </c>
      <c r="AE1733" s="1" t="str">
        <f>IF($E1733="","",$E1733&amp;"|"&amp;COUNTIFS($E$7:$E1733,$E1733))</f>
        <v/>
      </c>
    </row>
    <row r="1734" spans="1:31" ht="18" customHeight="1" x14ac:dyDescent="0.3">
      <c r="A1734" s="2"/>
      <c r="B1734" s="65" t="str">
        <f>IF($C1734="","","GG"&amp;TEXT(ROW()-6,"00000"))</f>
        <v/>
      </c>
      <c r="C1734" s="66"/>
      <c r="D1734" s="60"/>
      <c r="E1734" s="61"/>
      <c r="F1734" s="61"/>
      <c r="G1734" s="67"/>
      <c r="H1734" s="60"/>
      <c r="I1734" s="60"/>
      <c r="J1734" s="61"/>
      <c r="K1734" s="61"/>
      <c r="L1734" s="60"/>
      <c r="M1734" s="74" t="str">
        <f>IF($C1734="","",IF($D1734="Gider",$E1734,IF($L1734&lt;&gt;"",$L1734,$H1734)))</f>
        <v/>
      </c>
      <c r="N1734" s="74" t="str">
        <f>IF($C1734="","",IF($D1734="Gider",$H1734,$E1734))</f>
        <v/>
      </c>
      <c r="O1734" s="73" t="str">
        <f>IF($C1734="","",DATE(YEAR($C1734),MONTH($C1734),1))</f>
        <v/>
      </c>
      <c r="P1734" s="65" t="str">
        <f ca="1">IF($C1734="","",IF(AND($D1734="Gelir",$L1734&lt;&gt;"",$T1734=""),"TANIMSIZ BORÇLU",IF($T1734&lt;&gt;"",IF(OR($E1734="",$G1734&lt;=0),"EKSİK",IF($I1734="Evet","TAHAKKUK NAKİT OLAMAZ",IF($C1734&gt;TODAY(),"İLERİ TARİH","TAHAKKUK"))),IF(AND($D1734&lt;&gt;"",$E1734&lt;&gt;"",$G1734&gt;0,$H1734&lt;&gt;"",$I1734&lt;&gt;""),IF($C1734&gt;TODAY(),"İLERİ TARİH",IF(COUNTIF($W$7:$W$3001,$W1734)&gt;1,"MÜKERRER?",IF($AD1734&gt;0,"KAPALI DÖNEM",IF($I1734="Hayır","ÖDENECEK","UYGUN")))),"EKSİK"))))</f>
        <v/>
      </c>
      <c r="Q1734" s="2"/>
      <c r="R1734" s="2"/>
      <c r="S1734" s="1" t="str">
        <f t="shared" si="83"/>
        <v/>
      </c>
      <c r="T1734" s="1" t="str">
        <f>IF(OR($C1734="",$D1734&lt;&gt;"Gelir",$L1734=""),"",IFERROR(INDEX(MUSTERILER!$B$7:$B$156,MATCH($S1734,MUSTERILER!$T$7:$T$156,0)),""))</f>
        <v/>
      </c>
      <c r="U1734" s="1" t="str">
        <f>IF($T1734="","",$T1734&amp;"|"&amp;COUNTIFS($T$7:$T1734,$T1734))</f>
        <v/>
      </c>
      <c r="V1734" s="1">
        <f t="shared" si="84"/>
        <v>0</v>
      </c>
      <c r="W1734" s="1" t="str">
        <f t="shared" si="85"/>
        <v/>
      </c>
      <c r="X1734" s="1"/>
      <c r="Y1734" s="1"/>
      <c r="Z1734" s="1"/>
      <c r="AA1734" s="1"/>
      <c r="AB1734" s="1"/>
      <c r="AC1734" s="1"/>
      <c r="AD1734" s="1">
        <f>IF($C1734="",0,SUMPRODUCT((AY_SONU!$O$7:$O$42="Evet")*(AY_SONU!$B$7:$B$42=DATE(YEAR($C1734),MONTH($C1734),1))))</f>
        <v>0</v>
      </c>
      <c r="AE1734" s="1" t="str">
        <f>IF($E1734="","",$E1734&amp;"|"&amp;COUNTIFS($E$7:$E1734,$E1734))</f>
        <v/>
      </c>
    </row>
    <row r="1735" spans="1:31" ht="18" customHeight="1" x14ac:dyDescent="0.3">
      <c r="A1735" s="2"/>
      <c r="B1735" s="65" t="str">
        <f>IF($C1735="","","GG"&amp;TEXT(ROW()-6,"00000"))</f>
        <v/>
      </c>
      <c r="C1735" s="66"/>
      <c r="D1735" s="60"/>
      <c r="E1735" s="61"/>
      <c r="F1735" s="61"/>
      <c r="G1735" s="67"/>
      <c r="H1735" s="60"/>
      <c r="I1735" s="60"/>
      <c r="J1735" s="61"/>
      <c r="K1735" s="61"/>
      <c r="L1735" s="60"/>
      <c r="M1735" s="74" t="str">
        <f>IF($C1735="","",IF($D1735="Gider",$E1735,IF($L1735&lt;&gt;"",$L1735,$H1735)))</f>
        <v/>
      </c>
      <c r="N1735" s="74" t="str">
        <f>IF($C1735="","",IF($D1735="Gider",$H1735,$E1735))</f>
        <v/>
      </c>
      <c r="O1735" s="73" t="str">
        <f>IF($C1735="","",DATE(YEAR($C1735),MONTH($C1735),1))</f>
        <v/>
      </c>
      <c r="P1735" s="65" t="str">
        <f ca="1"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TARİH",IF(COUNTIF($W$7:$W$3001,$W1735)&gt;1,"MÜKERRER?",IF($AD1735&gt;0,"KAPALI DÖNEM",IF($I1735="Hayır","ÖDENECEK","UYGUN")))),"EKSİK"))))</f>
        <v/>
      </c>
      <c r="Q1735" s="2"/>
      <c r="R1735" s="2"/>
      <c r="S1735" s="1" t="str">
        <f t="shared" si="83"/>
        <v/>
      </c>
      <c r="T1735" s="1" t="str">
        <f>IF(OR($C1735="",$D1735&lt;&gt;"Gelir",$L1735=""),"",IFERROR(INDEX(MUSTERILER!$B$7:$B$156,MATCH($S1735,MUSTERILER!$T$7:$T$156,0)),""))</f>
        <v/>
      </c>
      <c r="U1735" s="1" t="str">
        <f>IF($T1735="","",$T1735&amp;"|"&amp;COUNTIFS($T$7:$T1735,$T1735))</f>
        <v/>
      </c>
      <c r="V1735" s="1">
        <f t="shared" si="84"/>
        <v>0</v>
      </c>
      <c r="W1735" s="1" t="str">
        <f t="shared" si="85"/>
        <v/>
      </c>
      <c r="X1735" s="1"/>
      <c r="Y1735" s="1"/>
      <c r="Z1735" s="1"/>
      <c r="AA1735" s="1"/>
      <c r="AB1735" s="1"/>
      <c r="AC1735" s="1"/>
      <c r="AD1735" s="1">
        <f>IF($C1735="",0,SUMPRODUCT((AY_SONU!$O$7:$O$42="Evet")*(AY_SONU!$B$7:$B$42=DATE(YEAR($C1735),MONTH($C1735),1))))</f>
        <v>0</v>
      </c>
      <c r="AE1735" s="1" t="str">
        <f>IF($E1735="","",$E1735&amp;"|"&amp;COUNTIFS($E$7:$E1735,$E1735))</f>
        <v/>
      </c>
    </row>
    <row r="1736" spans="1:31" ht="18" customHeight="1" x14ac:dyDescent="0.3">
      <c r="A1736" s="2"/>
      <c r="B1736" s="65" t="str">
        <f>IF($C1736="","","GG"&amp;TEXT(ROW()-6,"00000"))</f>
        <v/>
      </c>
      <c r="C1736" s="66"/>
      <c r="D1736" s="60"/>
      <c r="E1736" s="61"/>
      <c r="F1736" s="61"/>
      <c r="G1736" s="67"/>
      <c r="H1736" s="60"/>
      <c r="I1736" s="60"/>
      <c r="J1736" s="61"/>
      <c r="K1736" s="61"/>
      <c r="L1736" s="60"/>
      <c r="M1736" s="74" t="str">
        <f>IF($C1736="","",IF($D1736="Gider",$E1736,IF($L1736&lt;&gt;"",$L1736,$H1736)))</f>
        <v/>
      </c>
      <c r="N1736" s="74" t="str">
        <f>IF($C1736="","",IF($D1736="Gider",$H1736,$E1736))</f>
        <v/>
      </c>
      <c r="O1736" s="73" t="str">
        <f>IF($C1736="","",DATE(YEAR($C1736),MONTH($C1736),1))</f>
        <v/>
      </c>
      <c r="P1736" s="65" t="str">
        <f ca="1">IF($C1736="","",IF(AND($D1736="Gelir",$L1736&lt;&gt;"",$T1736=""),"TANIMSIZ BORÇLU",IF($T1736&lt;&gt;"",IF(OR($E1736="",$G1736&lt;=0),"EKSİK",IF($I1736="Evet","TAHAKKUK NAKİT OLAMAZ",IF($C1736&gt;TODAY(),"İLERİ TARİH","TAHAKKUK"))),IF(AND($D1736&lt;&gt;"",$E1736&lt;&gt;"",$G1736&gt;0,$H1736&lt;&gt;"",$I1736&lt;&gt;""),IF($C1736&gt;TODAY(),"İLERİ TARİH",IF(COUNTIF($W$7:$W$3001,$W1736)&gt;1,"MÜKERRER?",IF($AD1736&gt;0,"KAPALI DÖNEM",IF($I1736="Hayır","ÖDENECEK","UYGUN")))),"EKSİK"))))</f>
        <v/>
      </c>
      <c r="Q1736" s="2"/>
      <c r="R1736" s="2"/>
      <c r="S1736" s="1" t="str">
        <f t="shared" si="83"/>
        <v/>
      </c>
      <c r="T1736" s="1" t="str">
        <f>IF(OR($C1736="",$D1736&lt;&gt;"Gelir",$L1736=""),"",IFERROR(INDEX(MUSTERILER!$B$7:$B$156,MATCH($S1736,MUSTERILER!$T$7:$T$156,0)),""))</f>
        <v/>
      </c>
      <c r="U1736" s="1" t="str">
        <f>IF($T1736="","",$T1736&amp;"|"&amp;COUNTIFS($T$7:$T1736,$T1736))</f>
        <v/>
      </c>
      <c r="V1736" s="1">
        <f t="shared" si="84"/>
        <v>0</v>
      </c>
      <c r="W1736" s="1" t="str">
        <f t="shared" si="85"/>
        <v/>
      </c>
      <c r="X1736" s="1"/>
      <c r="Y1736" s="1"/>
      <c r="Z1736" s="1"/>
      <c r="AA1736" s="1"/>
      <c r="AB1736" s="1"/>
      <c r="AC1736" s="1"/>
      <c r="AD1736" s="1">
        <f>IF($C1736="",0,SUMPRODUCT((AY_SONU!$O$7:$O$42="Evet")*(AY_SONU!$B$7:$B$42=DATE(YEAR($C1736),MONTH($C1736),1))))</f>
        <v>0</v>
      </c>
      <c r="AE1736" s="1" t="str">
        <f>IF($E1736="","",$E1736&amp;"|"&amp;COUNTIFS($E$7:$E1736,$E1736))</f>
        <v/>
      </c>
    </row>
    <row r="1737" spans="1:31" ht="18" customHeight="1" x14ac:dyDescent="0.3">
      <c r="A1737" s="2"/>
      <c r="B1737" s="65" t="str">
        <f>IF($C1737="","","GG"&amp;TEXT(ROW()-6,"00000"))</f>
        <v/>
      </c>
      <c r="C1737" s="66"/>
      <c r="D1737" s="60"/>
      <c r="E1737" s="61"/>
      <c r="F1737" s="61"/>
      <c r="G1737" s="67"/>
      <c r="H1737" s="60"/>
      <c r="I1737" s="60"/>
      <c r="J1737" s="61"/>
      <c r="K1737" s="61"/>
      <c r="L1737" s="60"/>
      <c r="M1737" s="74" t="str">
        <f>IF($C1737="","",IF($D1737="Gider",$E1737,IF($L1737&lt;&gt;"",$L1737,$H1737)))</f>
        <v/>
      </c>
      <c r="N1737" s="74" t="str">
        <f>IF($C1737="","",IF($D1737="Gider",$H1737,$E1737))</f>
        <v/>
      </c>
      <c r="O1737" s="73" t="str">
        <f>IF($C1737="","",DATE(YEAR($C1737),MONTH($C1737),1))</f>
        <v/>
      </c>
      <c r="P1737" s="65" t="str">
        <f ca="1">IF($C1737="","",IF(AND($D1737="Gelir",$L1737&lt;&gt;"",$T1737=""),"TANIMSIZ BORÇLU",IF($T1737&lt;&gt;"",IF(OR($E1737="",$G1737&lt;=0),"EKSİK",IF($I1737="Evet","TAHAKKUK NAKİT OLAMAZ",IF($C1737&gt;TODAY(),"İLERİ TARİH","TAHAKKUK"))),IF(AND($D1737&lt;&gt;"",$E1737&lt;&gt;"",$G1737&gt;0,$H1737&lt;&gt;"",$I1737&lt;&gt;""),IF($C1737&gt;TODAY(),"İLERİ TARİH",IF(COUNTIF($W$7:$W$3001,$W1737)&gt;1,"MÜKERRER?",IF($AD1737&gt;0,"KAPALI DÖNEM",IF($I1737="Hayır","ÖDENECEK","UYGUN")))),"EKSİK"))))</f>
        <v/>
      </c>
      <c r="Q1737" s="2"/>
      <c r="R1737" s="2"/>
      <c r="S1737" s="1" t="str">
        <f t="shared" si="83"/>
        <v/>
      </c>
      <c r="T1737" s="1" t="str">
        <f>IF(OR($C1737="",$D1737&lt;&gt;"Gelir",$L1737=""),"",IFERROR(INDEX(MUSTERILER!$B$7:$B$156,MATCH($S1737,MUSTERILER!$T$7:$T$156,0)),""))</f>
        <v/>
      </c>
      <c r="U1737" s="1" t="str">
        <f>IF($T1737="","",$T1737&amp;"|"&amp;COUNTIFS($T$7:$T1737,$T1737))</f>
        <v/>
      </c>
      <c r="V1737" s="1">
        <f t="shared" si="84"/>
        <v>0</v>
      </c>
      <c r="W1737" s="1" t="str">
        <f t="shared" si="85"/>
        <v/>
      </c>
      <c r="X1737" s="1"/>
      <c r="Y1737" s="1"/>
      <c r="Z1737" s="1"/>
      <c r="AA1737" s="1"/>
      <c r="AB1737" s="1"/>
      <c r="AC1737" s="1"/>
      <c r="AD1737" s="1">
        <f>IF($C1737="",0,SUMPRODUCT((AY_SONU!$O$7:$O$42="Evet")*(AY_SONU!$B$7:$B$42=DATE(YEAR($C1737),MONTH($C1737),1))))</f>
        <v>0</v>
      </c>
      <c r="AE1737" s="1" t="str">
        <f>IF($E1737="","",$E1737&amp;"|"&amp;COUNTIFS($E$7:$E1737,$E1737))</f>
        <v/>
      </c>
    </row>
    <row r="1738" spans="1:31" ht="18" customHeight="1" x14ac:dyDescent="0.3">
      <c r="A1738" s="2"/>
      <c r="B1738" s="65" t="str">
        <f>IF($C1738="","","GG"&amp;TEXT(ROW()-6,"00000"))</f>
        <v/>
      </c>
      <c r="C1738" s="66"/>
      <c r="D1738" s="60"/>
      <c r="E1738" s="61"/>
      <c r="F1738" s="61"/>
      <c r="G1738" s="67"/>
      <c r="H1738" s="60"/>
      <c r="I1738" s="60"/>
      <c r="J1738" s="61"/>
      <c r="K1738" s="61"/>
      <c r="L1738" s="60"/>
      <c r="M1738" s="74" t="str">
        <f>IF($C1738="","",IF($D1738="Gider",$E1738,IF($L1738&lt;&gt;"",$L1738,$H1738)))</f>
        <v/>
      </c>
      <c r="N1738" s="74" t="str">
        <f>IF($C1738="","",IF($D1738="Gider",$H1738,$E1738))</f>
        <v/>
      </c>
      <c r="O1738" s="73" t="str">
        <f>IF($C1738="","",DATE(YEAR($C1738),MONTH($C1738),1))</f>
        <v/>
      </c>
      <c r="P1738" s="65" t="str">
        <f ca="1">IF($C1738="","",IF(AND($D1738="Gelir",$L1738&lt;&gt;"",$T1738=""),"TANIMSIZ BORÇLU",IF($T1738&lt;&gt;"",IF(OR($E1738="",$G1738&lt;=0),"EKSİK",IF($I1738="Evet","TAHAKKUK NAKİT OLAMAZ",IF($C1738&gt;TODAY(),"İLERİ TARİH","TAHAKKUK"))),IF(AND($D1738&lt;&gt;"",$E1738&lt;&gt;"",$G1738&gt;0,$H1738&lt;&gt;"",$I1738&lt;&gt;""),IF($C1738&gt;TODAY(),"İLERİ TARİH",IF(COUNTIF($W$7:$W$3001,$W1738)&gt;1,"MÜKERRER?",IF($AD1738&gt;0,"KAPALI DÖNEM",IF($I1738="Hayır","ÖDENECEK","UYGUN")))),"EKSİK"))))</f>
        <v/>
      </c>
      <c r="Q1738" s="2"/>
      <c r="R1738" s="2"/>
      <c r="S1738" s="1" t="str">
        <f t="shared" si="83"/>
        <v/>
      </c>
      <c r="T1738" s="1" t="str">
        <f>IF(OR($C1738="",$D1738&lt;&gt;"Gelir",$L1738=""),"",IFERROR(INDEX(MUSTERILER!$B$7:$B$156,MATCH($S1738,MUSTERILER!$T$7:$T$156,0)),""))</f>
        <v/>
      </c>
      <c r="U1738" s="1" t="str">
        <f>IF($T1738="","",$T1738&amp;"|"&amp;COUNTIFS($T$7:$T1738,$T1738))</f>
        <v/>
      </c>
      <c r="V1738" s="1">
        <f t="shared" si="84"/>
        <v>0</v>
      </c>
      <c r="W1738" s="1" t="str">
        <f t="shared" si="85"/>
        <v/>
      </c>
      <c r="X1738" s="1"/>
      <c r="Y1738" s="1"/>
      <c r="Z1738" s="1"/>
      <c r="AA1738" s="1"/>
      <c r="AB1738" s="1"/>
      <c r="AC1738" s="1"/>
      <c r="AD1738" s="1">
        <f>IF($C1738="",0,SUMPRODUCT((AY_SONU!$O$7:$O$42="Evet")*(AY_SONU!$B$7:$B$42=DATE(YEAR($C1738),MONTH($C1738),1))))</f>
        <v>0</v>
      </c>
      <c r="AE1738" s="1" t="str">
        <f>IF($E1738="","",$E1738&amp;"|"&amp;COUNTIFS($E$7:$E1738,$E1738))</f>
        <v/>
      </c>
    </row>
    <row r="1739" spans="1:31" ht="18" customHeight="1" x14ac:dyDescent="0.3">
      <c r="A1739" s="2"/>
      <c r="B1739" s="65" t="str">
        <f>IF($C1739="","","GG"&amp;TEXT(ROW()-6,"00000"))</f>
        <v/>
      </c>
      <c r="C1739" s="66"/>
      <c r="D1739" s="60"/>
      <c r="E1739" s="61"/>
      <c r="F1739" s="61"/>
      <c r="G1739" s="67"/>
      <c r="H1739" s="60"/>
      <c r="I1739" s="60"/>
      <c r="J1739" s="61"/>
      <c r="K1739" s="61"/>
      <c r="L1739" s="60"/>
      <c r="M1739" s="74" t="str">
        <f>IF($C1739="","",IF($D1739="Gider",$E1739,IF($L1739&lt;&gt;"",$L1739,$H1739)))</f>
        <v/>
      </c>
      <c r="N1739" s="74" t="str">
        <f>IF($C1739="","",IF($D1739="Gider",$H1739,$E1739))</f>
        <v/>
      </c>
      <c r="O1739" s="73" t="str">
        <f>IF($C1739="","",DATE(YEAR($C1739),MONTH($C1739),1))</f>
        <v/>
      </c>
      <c r="P1739" s="65" t="str">
        <f ca="1">IF($C1739="","",IF(AND($D1739="Gelir",$L1739&lt;&gt;"",$T1739=""),"TANIMSIZ BORÇLU",IF($T1739&lt;&gt;"",IF(OR($E1739="",$G1739&lt;=0),"EKSİK",IF($I1739="Evet","TAHAKKUK NAKİT OLAMAZ",IF($C1739&gt;TODAY(),"İLERİ TARİH","TAHAKKUK"))),IF(AND($D1739&lt;&gt;"",$E1739&lt;&gt;"",$G1739&gt;0,$H1739&lt;&gt;"",$I1739&lt;&gt;""),IF($C1739&gt;TODAY(),"İLERİ TARİH",IF(COUNTIF($W$7:$W$3001,$W1739)&gt;1,"MÜKERRER?",IF($AD1739&gt;0,"KAPALI DÖNEM",IF($I1739="Hayır","ÖDENECEK","UYGUN")))),"EKSİK"))))</f>
        <v/>
      </c>
      <c r="Q1739" s="2"/>
      <c r="R1739" s="2"/>
      <c r="S1739" s="1" t="str">
        <f t="shared" si="83"/>
        <v/>
      </c>
      <c r="T1739" s="1" t="str">
        <f>IF(OR($C1739="",$D1739&lt;&gt;"Gelir",$L1739=""),"",IFERROR(INDEX(MUSTERILER!$B$7:$B$156,MATCH($S1739,MUSTERILER!$T$7:$T$156,0)),""))</f>
        <v/>
      </c>
      <c r="U1739" s="1" t="str">
        <f>IF($T1739="","",$T1739&amp;"|"&amp;COUNTIFS($T$7:$T1739,$T1739))</f>
        <v/>
      </c>
      <c r="V1739" s="1">
        <f t="shared" si="84"/>
        <v>0</v>
      </c>
      <c r="W1739" s="1" t="str">
        <f t="shared" si="85"/>
        <v/>
      </c>
      <c r="X1739" s="1"/>
      <c r="Y1739" s="1"/>
      <c r="Z1739" s="1"/>
      <c r="AA1739" s="1"/>
      <c r="AB1739" s="1"/>
      <c r="AC1739" s="1"/>
      <c r="AD1739" s="1">
        <f>IF($C1739="",0,SUMPRODUCT((AY_SONU!$O$7:$O$42="Evet")*(AY_SONU!$B$7:$B$42=DATE(YEAR($C1739),MONTH($C1739),1))))</f>
        <v>0</v>
      </c>
      <c r="AE1739" s="1" t="str">
        <f>IF($E1739="","",$E1739&amp;"|"&amp;COUNTIFS($E$7:$E1739,$E1739))</f>
        <v/>
      </c>
    </row>
    <row r="1740" spans="1:31" ht="18" customHeight="1" x14ac:dyDescent="0.3">
      <c r="A1740" s="2"/>
      <c r="B1740" s="65" t="str">
        <f>IF($C1740="","","GG"&amp;TEXT(ROW()-6,"00000"))</f>
        <v/>
      </c>
      <c r="C1740" s="66"/>
      <c r="D1740" s="60"/>
      <c r="E1740" s="61"/>
      <c r="F1740" s="61"/>
      <c r="G1740" s="67"/>
      <c r="H1740" s="60"/>
      <c r="I1740" s="60"/>
      <c r="J1740" s="61"/>
      <c r="K1740" s="61"/>
      <c r="L1740" s="60"/>
      <c r="M1740" s="74" t="str">
        <f>IF($C1740="","",IF($D1740="Gider",$E1740,IF($L1740&lt;&gt;"",$L1740,$H1740)))</f>
        <v/>
      </c>
      <c r="N1740" s="74" t="str">
        <f>IF($C1740="","",IF($D1740="Gider",$H1740,$E1740))</f>
        <v/>
      </c>
      <c r="O1740" s="73" t="str">
        <f>IF($C1740="","",DATE(YEAR($C1740),MONTH($C1740),1))</f>
        <v/>
      </c>
      <c r="P1740" s="65" t="str">
        <f ca="1">IF($C1740="","",IF(AND($D1740="Gelir",$L1740&lt;&gt;"",$T1740=""),"TANIMSIZ BORÇLU",IF($T1740&lt;&gt;"",IF(OR($E1740="",$G1740&lt;=0),"EKSİK",IF($I1740="Evet","TAHAKKUK NAKİT OLAMAZ",IF($C1740&gt;TODAY(),"İLERİ TARİH","TAHAKKUK"))),IF(AND($D1740&lt;&gt;"",$E1740&lt;&gt;"",$G1740&gt;0,$H1740&lt;&gt;"",$I1740&lt;&gt;""),IF($C1740&gt;TODAY(),"İLERİ TARİH",IF(COUNTIF($W$7:$W$3001,$W1740)&gt;1,"MÜKERRER?",IF($AD1740&gt;0,"KAPALI DÖNEM",IF($I1740="Hayır","ÖDENECEK","UYGUN")))),"EKSİK"))))</f>
        <v/>
      </c>
      <c r="Q1740" s="2"/>
      <c r="R1740" s="2"/>
      <c r="S1740" s="1" t="str">
        <f t="shared" si="83"/>
        <v/>
      </c>
      <c r="T1740" s="1" t="str">
        <f>IF(OR($C1740="",$D1740&lt;&gt;"Gelir",$L1740=""),"",IFERROR(INDEX(MUSTERILER!$B$7:$B$156,MATCH($S1740,MUSTERILER!$T$7:$T$156,0)),""))</f>
        <v/>
      </c>
      <c r="U1740" s="1" t="str">
        <f>IF($T1740="","",$T1740&amp;"|"&amp;COUNTIFS($T$7:$T1740,$T1740))</f>
        <v/>
      </c>
      <c r="V1740" s="1">
        <f t="shared" si="84"/>
        <v>0</v>
      </c>
      <c r="W1740" s="1" t="str">
        <f t="shared" si="85"/>
        <v/>
      </c>
      <c r="X1740" s="1"/>
      <c r="Y1740" s="1"/>
      <c r="Z1740" s="1"/>
      <c r="AA1740" s="1"/>
      <c r="AB1740" s="1"/>
      <c r="AC1740" s="1"/>
      <c r="AD1740" s="1">
        <f>IF($C1740="",0,SUMPRODUCT((AY_SONU!$O$7:$O$42="Evet")*(AY_SONU!$B$7:$B$42=DATE(YEAR($C1740),MONTH($C1740),1))))</f>
        <v>0</v>
      </c>
      <c r="AE1740" s="1" t="str">
        <f>IF($E1740="","",$E1740&amp;"|"&amp;COUNTIFS($E$7:$E1740,$E1740))</f>
        <v/>
      </c>
    </row>
    <row r="1741" spans="1:31" ht="18" customHeight="1" x14ac:dyDescent="0.3">
      <c r="A1741" s="2"/>
      <c r="B1741" s="65" t="str">
        <f>IF($C1741="","","GG"&amp;TEXT(ROW()-6,"00000"))</f>
        <v/>
      </c>
      <c r="C1741" s="66"/>
      <c r="D1741" s="60"/>
      <c r="E1741" s="61"/>
      <c r="F1741" s="61"/>
      <c r="G1741" s="67"/>
      <c r="H1741" s="60"/>
      <c r="I1741" s="60"/>
      <c r="J1741" s="61"/>
      <c r="K1741" s="61"/>
      <c r="L1741" s="60"/>
      <c r="M1741" s="74" t="str">
        <f>IF($C1741="","",IF($D1741="Gider",$E1741,IF($L1741&lt;&gt;"",$L1741,$H1741)))</f>
        <v/>
      </c>
      <c r="N1741" s="74" t="str">
        <f>IF($C1741="","",IF($D1741="Gider",$H1741,$E1741))</f>
        <v/>
      </c>
      <c r="O1741" s="73" t="str">
        <f>IF($C1741="","",DATE(YEAR($C1741),MONTH($C1741),1))</f>
        <v/>
      </c>
      <c r="P1741" s="65" t="str">
        <f ca="1">IF($C1741="","",IF(AND($D1741="Gelir",$L1741&lt;&gt;"",$T1741=""),"TANIMSIZ BORÇLU",IF($T1741&lt;&gt;"",IF(OR($E1741="",$G1741&lt;=0),"EKSİK",IF($I1741="Evet","TAHAKKUK NAKİT OLAMAZ",IF($C1741&gt;TODAY(),"İLERİ TARİH","TAHAKKUK"))),IF(AND($D1741&lt;&gt;"",$E1741&lt;&gt;"",$G1741&gt;0,$H1741&lt;&gt;"",$I1741&lt;&gt;""),IF($C1741&gt;TODAY(),"İLERİ TARİH",IF(COUNTIF($W$7:$W$3001,$W1741)&gt;1,"MÜKERRER?",IF($AD1741&gt;0,"KAPALI DÖNEM",IF($I1741="Hayır","ÖDENECEK","UYGUN")))),"EKSİK"))))</f>
        <v/>
      </c>
      <c r="Q1741" s="2"/>
      <c r="R1741" s="2"/>
      <c r="S1741" s="1" t="str">
        <f t="shared" si="83"/>
        <v/>
      </c>
      <c r="T1741" s="1" t="str">
        <f>IF(OR($C1741="",$D1741&lt;&gt;"Gelir",$L1741=""),"",IFERROR(INDEX(MUSTERILER!$B$7:$B$156,MATCH($S1741,MUSTERILER!$T$7:$T$156,0)),""))</f>
        <v/>
      </c>
      <c r="U1741" s="1" t="str">
        <f>IF($T1741="","",$T1741&amp;"|"&amp;COUNTIFS($T$7:$T1741,$T1741))</f>
        <v/>
      </c>
      <c r="V1741" s="1">
        <f t="shared" si="84"/>
        <v>0</v>
      </c>
      <c r="W1741" s="1" t="str">
        <f t="shared" si="85"/>
        <v/>
      </c>
      <c r="X1741" s="1"/>
      <c r="Y1741" s="1"/>
      <c r="Z1741" s="1"/>
      <c r="AA1741" s="1"/>
      <c r="AB1741" s="1"/>
      <c r="AC1741" s="1"/>
      <c r="AD1741" s="1">
        <f>IF($C1741="",0,SUMPRODUCT((AY_SONU!$O$7:$O$42="Evet")*(AY_SONU!$B$7:$B$42=DATE(YEAR($C1741),MONTH($C1741),1))))</f>
        <v>0</v>
      </c>
      <c r="AE1741" s="1" t="str">
        <f>IF($E1741="","",$E1741&amp;"|"&amp;COUNTIFS($E$7:$E1741,$E1741))</f>
        <v/>
      </c>
    </row>
    <row r="1742" spans="1:31" ht="18" customHeight="1" x14ac:dyDescent="0.3">
      <c r="A1742" s="2"/>
      <c r="B1742" s="65" t="str">
        <f>IF($C1742="","","GG"&amp;TEXT(ROW()-6,"00000"))</f>
        <v/>
      </c>
      <c r="C1742" s="66"/>
      <c r="D1742" s="60"/>
      <c r="E1742" s="61"/>
      <c r="F1742" s="61"/>
      <c r="G1742" s="67"/>
      <c r="H1742" s="60"/>
      <c r="I1742" s="60"/>
      <c r="J1742" s="61"/>
      <c r="K1742" s="61"/>
      <c r="L1742" s="60"/>
      <c r="M1742" s="74" t="str">
        <f>IF($C1742="","",IF($D1742="Gider",$E1742,IF($L1742&lt;&gt;"",$L1742,$H1742)))</f>
        <v/>
      </c>
      <c r="N1742" s="74" t="str">
        <f>IF($C1742="","",IF($D1742="Gider",$H1742,$E1742))</f>
        <v/>
      </c>
      <c r="O1742" s="73" t="str">
        <f>IF($C1742="","",DATE(YEAR($C1742),MONTH($C1742),1))</f>
        <v/>
      </c>
      <c r="P1742" s="65" t="str">
        <f ca="1">IF($C1742="","",IF(AND($D1742="Gelir",$L1742&lt;&gt;"",$T1742=""),"TANIMSIZ BORÇLU",IF($T1742&lt;&gt;"",IF(OR($E1742="",$G1742&lt;=0),"EKSİK",IF($I1742="Evet","TAHAKKUK NAKİT OLAMAZ",IF($C1742&gt;TODAY(),"İLERİ TARİH","TAHAKKUK"))),IF(AND($D1742&lt;&gt;"",$E1742&lt;&gt;"",$G1742&gt;0,$H1742&lt;&gt;"",$I1742&lt;&gt;""),IF($C1742&gt;TODAY(),"İLERİ TARİH",IF(COUNTIF($W$7:$W$3001,$W1742)&gt;1,"MÜKERRER?",IF($AD1742&gt;0,"KAPALI DÖNEM",IF($I1742="Hayır","ÖDENECEK","UYGUN")))),"EKSİK"))))</f>
        <v/>
      </c>
      <c r="Q1742" s="2"/>
      <c r="R1742" s="2"/>
      <c r="S1742" s="1" t="str">
        <f t="shared" si="83"/>
        <v/>
      </c>
      <c r="T1742" s="1" t="str">
        <f>IF(OR($C1742="",$D1742&lt;&gt;"Gelir",$L1742=""),"",IFERROR(INDEX(MUSTERILER!$B$7:$B$156,MATCH($S1742,MUSTERILER!$T$7:$T$156,0)),""))</f>
        <v/>
      </c>
      <c r="U1742" s="1" t="str">
        <f>IF($T1742="","",$T1742&amp;"|"&amp;COUNTIFS($T$7:$T1742,$T1742))</f>
        <v/>
      </c>
      <c r="V1742" s="1">
        <f t="shared" si="84"/>
        <v>0</v>
      </c>
      <c r="W1742" s="1" t="str">
        <f t="shared" si="85"/>
        <v/>
      </c>
      <c r="X1742" s="1"/>
      <c r="Y1742" s="1"/>
      <c r="Z1742" s="1"/>
      <c r="AA1742" s="1"/>
      <c r="AB1742" s="1"/>
      <c r="AC1742" s="1"/>
      <c r="AD1742" s="1">
        <f>IF($C1742="",0,SUMPRODUCT((AY_SONU!$O$7:$O$42="Evet")*(AY_SONU!$B$7:$B$42=DATE(YEAR($C1742),MONTH($C1742),1))))</f>
        <v>0</v>
      </c>
      <c r="AE1742" s="1" t="str">
        <f>IF($E1742="","",$E1742&amp;"|"&amp;COUNTIFS($E$7:$E1742,$E1742))</f>
        <v/>
      </c>
    </row>
    <row r="1743" spans="1:31" ht="18" customHeight="1" x14ac:dyDescent="0.3">
      <c r="A1743" s="2"/>
      <c r="B1743" s="65" t="str">
        <f>IF($C1743="","","GG"&amp;TEXT(ROW()-6,"00000"))</f>
        <v/>
      </c>
      <c r="C1743" s="66"/>
      <c r="D1743" s="60"/>
      <c r="E1743" s="61"/>
      <c r="F1743" s="61"/>
      <c r="G1743" s="67"/>
      <c r="H1743" s="60"/>
      <c r="I1743" s="60"/>
      <c r="J1743" s="61"/>
      <c r="K1743" s="61"/>
      <c r="L1743" s="60"/>
      <c r="M1743" s="74" t="str">
        <f>IF($C1743="","",IF($D1743="Gider",$E1743,IF($L1743&lt;&gt;"",$L1743,$H1743)))</f>
        <v/>
      </c>
      <c r="N1743" s="74" t="str">
        <f>IF($C1743="","",IF($D1743="Gider",$H1743,$E1743))</f>
        <v/>
      </c>
      <c r="O1743" s="73" t="str">
        <f>IF($C1743="","",DATE(YEAR($C1743),MONTH($C1743),1))</f>
        <v/>
      </c>
      <c r="P1743" s="65" t="str">
        <f ca="1">IF($C1743="","",IF(AND($D1743="Gelir",$L1743&lt;&gt;"",$T1743=""),"TANIMSIZ BORÇLU",IF($T1743&lt;&gt;"",IF(OR($E1743="",$G1743&lt;=0),"EKSİK",IF($I1743="Evet","TAHAKKUK NAKİT OLAMAZ",IF($C1743&gt;TODAY(),"İLERİ TARİH","TAHAKKUK"))),IF(AND($D1743&lt;&gt;"",$E1743&lt;&gt;"",$G1743&gt;0,$H1743&lt;&gt;"",$I1743&lt;&gt;""),IF($C1743&gt;TODAY(),"İLERİ TARİH",IF(COUNTIF($W$7:$W$3001,$W1743)&gt;1,"MÜKERRER?",IF($AD1743&gt;0,"KAPALI DÖNEM",IF($I1743="Hayır","ÖDENECEK","UYGUN")))),"EKSİK"))))</f>
        <v/>
      </c>
      <c r="Q1743" s="2"/>
      <c r="R1743" s="2"/>
      <c r="S1743" s="1" t="str">
        <f t="shared" si="83"/>
        <v/>
      </c>
      <c r="T1743" s="1" t="str">
        <f>IF(OR($C1743="",$D1743&lt;&gt;"Gelir",$L1743=""),"",IFERROR(INDEX(MUSTERILER!$B$7:$B$156,MATCH($S1743,MUSTERILER!$T$7:$T$156,0)),""))</f>
        <v/>
      </c>
      <c r="U1743" s="1" t="str">
        <f>IF($T1743="","",$T1743&amp;"|"&amp;COUNTIFS($T$7:$T1743,$T1743))</f>
        <v/>
      </c>
      <c r="V1743" s="1">
        <f t="shared" si="84"/>
        <v>0</v>
      </c>
      <c r="W1743" s="1" t="str">
        <f t="shared" si="85"/>
        <v/>
      </c>
      <c r="X1743" s="1"/>
      <c r="Y1743" s="1"/>
      <c r="Z1743" s="1"/>
      <c r="AA1743" s="1"/>
      <c r="AB1743" s="1"/>
      <c r="AC1743" s="1"/>
      <c r="AD1743" s="1">
        <f>IF($C1743="",0,SUMPRODUCT((AY_SONU!$O$7:$O$42="Evet")*(AY_SONU!$B$7:$B$42=DATE(YEAR($C1743),MONTH($C1743),1))))</f>
        <v>0</v>
      </c>
      <c r="AE1743" s="1" t="str">
        <f>IF($E1743="","",$E1743&amp;"|"&amp;COUNTIFS($E$7:$E1743,$E1743))</f>
        <v/>
      </c>
    </row>
    <row r="1744" spans="1:31" ht="18" customHeight="1" x14ac:dyDescent="0.3">
      <c r="A1744" s="2"/>
      <c r="B1744" s="65" t="str">
        <f>IF($C1744="","","GG"&amp;TEXT(ROW()-6,"00000"))</f>
        <v/>
      </c>
      <c r="C1744" s="66"/>
      <c r="D1744" s="60"/>
      <c r="E1744" s="61"/>
      <c r="F1744" s="61"/>
      <c r="G1744" s="67"/>
      <c r="H1744" s="60"/>
      <c r="I1744" s="60"/>
      <c r="J1744" s="61"/>
      <c r="K1744" s="61"/>
      <c r="L1744" s="60"/>
      <c r="M1744" s="74" t="str">
        <f>IF($C1744="","",IF($D1744="Gider",$E1744,IF($L1744&lt;&gt;"",$L1744,$H1744)))</f>
        <v/>
      </c>
      <c r="N1744" s="74" t="str">
        <f>IF($C1744="","",IF($D1744="Gider",$H1744,$E1744))</f>
        <v/>
      </c>
      <c r="O1744" s="73" t="str">
        <f>IF($C1744="","",DATE(YEAR($C1744),MONTH($C1744),1))</f>
        <v/>
      </c>
      <c r="P1744" s="65" t="str">
        <f ca="1">IF($C1744="","",IF(AND($D1744="Gelir",$L1744&lt;&gt;"",$T1744=""),"TANIMSIZ BORÇLU",IF($T1744&lt;&gt;"",IF(OR($E1744="",$G1744&lt;=0),"EKSİK",IF($I1744="Evet","TAHAKKUK NAKİT OLAMAZ",IF($C1744&gt;TODAY(),"İLERİ TARİH","TAHAKKUK"))),IF(AND($D1744&lt;&gt;"",$E1744&lt;&gt;"",$G1744&gt;0,$H1744&lt;&gt;"",$I1744&lt;&gt;""),IF($C1744&gt;TODAY(),"İLERİ TARİH",IF(COUNTIF($W$7:$W$3001,$W1744)&gt;1,"MÜKERRER?",IF($AD1744&gt;0,"KAPALI DÖNEM",IF($I1744="Hayır","ÖDENECEK","UYGUN")))),"EKSİK"))))</f>
        <v/>
      </c>
      <c r="Q1744" s="2"/>
      <c r="R1744" s="2"/>
      <c r="S1744" s="1" t="str">
        <f t="shared" si="83"/>
        <v/>
      </c>
      <c r="T1744" s="1" t="str">
        <f>IF(OR($C1744="",$D1744&lt;&gt;"Gelir",$L1744=""),"",IFERROR(INDEX(MUSTERILER!$B$7:$B$156,MATCH($S1744,MUSTERILER!$T$7:$T$156,0)),""))</f>
        <v/>
      </c>
      <c r="U1744" s="1" t="str">
        <f>IF($T1744="","",$T1744&amp;"|"&amp;COUNTIFS($T$7:$T1744,$T1744))</f>
        <v/>
      </c>
      <c r="V1744" s="1">
        <f t="shared" si="84"/>
        <v>0</v>
      </c>
      <c r="W1744" s="1" t="str">
        <f t="shared" si="85"/>
        <v/>
      </c>
      <c r="X1744" s="1"/>
      <c r="Y1744" s="1"/>
      <c r="Z1744" s="1"/>
      <c r="AA1744" s="1"/>
      <c r="AB1744" s="1"/>
      <c r="AC1744" s="1"/>
      <c r="AD1744" s="1">
        <f>IF($C1744="",0,SUMPRODUCT((AY_SONU!$O$7:$O$42="Evet")*(AY_SONU!$B$7:$B$42=DATE(YEAR($C1744),MONTH($C1744),1))))</f>
        <v>0</v>
      </c>
      <c r="AE1744" s="1" t="str">
        <f>IF($E1744="","",$E1744&amp;"|"&amp;COUNTIFS($E$7:$E1744,$E1744))</f>
        <v/>
      </c>
    </row>
    <row r="1745" spans="1:31" ht="18" customHeight="1" x14ac:dyDescent="0.3">
      <c r="A1745" s="2"/>
      <c r="B1745" s="65" t="str">
        <f>IF($C1745="","","GG"&amp;TEXT(ROW()-6,"00000"))</f>
        <v/>
      </c>
      <c r="C1745" s="66"/>
      <c r="D1745" s="60"/>
      <c r="E1745" s="61"/>
      <c r="F1745" s="61"/>
      <c r="G1745" s="67"/>
      <c r="H1745" s="60"/>
      <c r="I1745" s="60"/>
      <c r="J1745" s="61"/>
      <c r="K1745" s="61"/>
      <c r="L1745" s="60"/>
      <c r="M1745" s="74" t="str">
        <f>IF($C1745="","",IF($D1745="Gider",$E1745,IF($L1745&lt;&gt;"",$L1745,$H1745)))</f>
        <v/>
      </c>
      <c r="N1745" s="74" t="str">
        <f>IF($C1745="","",IF($D1745="Gider",$H1745,$E1745))</f>
        <v/>
      </c>
      <c r="O1745" s="73" t="str">
        <f>IF($C1745="","",DATE(YEAR($C1745),MONTH($C1745),1))</f>
        <v/>
      </c>
      <c r="P1745" s="65" t="str">
        <f ca="1">IF($C1745="","",IF(AND($D1745="Gelir",$L1745&lt;&gt;"",$T1745=""),"TANIMSIZ BORÇLU",IF($T1745&lt;&gt;"",IF(OR($E1745="",$G1745&lt;=0),"EKSİK",IF($I1745="Evet","TAHAKKUK NAKİT OLAMAZ",IF($C1745&gt;TODAY(),"İLERİ TARİH","TAHAKKUK"))),IF(AND($D1745&lt;&gt;"",$E1745&lt;&gt;"",$G1745&gt;0,$H1745&lt;&gt;"",$I1745&lt;&gt;""),IF($C1745&gt;TODAY(),"İLERİ TARİH",IF(COUNTIF($W$7:$W$3001,$W1745)&gt;1,"MÜKERRER?",IF($AD1745&gt;0,"KAPALI DÖNEM",IF($I1745="Hayır","ÖDENECEK","UYGUN")))),"EKSİK"))))</f>
        <v/>
      </c>
      <c r="Q1745" s="2"/>
      <c r="R1745" s="2"/>
      <c r="S1745" s="1" t="str">
        <f t="shared" si="83"/>
        <v/>
      </c>
      <c r="T1745" s="1" t="str">
        <f>IF(OR($C1745="",$D1745&lt;&gt;"Gelir",$L1745=""),"",IFERROR(INDEX(MUSTERILER!$B$7:$B$156,MATCH($S1745,MUSTERILER!$T$7:$T$156,0)),""))</f>
        <v/>
      </c>
      <c r="U1745" s="1" t="str">
        <f>IF($T1745="","",$T1745&amp;"|"&amp;COUNTIFS($T$7:$T1745,$T1745))</f>
        <v/>
      </c>
      <c r="V1745" s="1">
        <f t="shared" si="84"/>
        <v>0</v>
      </c>
      <c r="W1745" s="1" t="str">
        <f t="shared" si="85"/>
        <v/>
      </c>
      <c r="X1745" s="1"/>
      <c r="Y1745" s="1"/>
      <c r="Z1745" s="1"/>
      <c r="AA1745" s="1"/>
      <c r="AB1745" s="1"/>
      <c r="AC1745" s="1"/>
      <c r="AD1745" s="1">
        <f>IF($C1745="",0,SUMPRODUCT((AY_SONU!$O$7:$O$42="Evet")*(AY_SONU!$B$7:$B$42=DATE(YEAR($C1745),MONTH($C1745),1))))</f>
        <v>0</v>
      </c>
      <c r="AE1745" s="1" t="str">
        <f>IF($E1745="","",$E1745&amp;"|"&amp;COUNTIFS($E$7:$E1745,$E1745))</f>
        <v/>
      </c>
    </row>
    <row r="1746" spans="1:31" ht="18" customHeight="1" x14ac:dyDescent="0.3">
      <c r="A1746" s="2"/>
      <c r="B1746" s="65" t="str">
        <f>IF($C1746="","","GG"&amp;TEXT(ROW()-6,"00000"))</f>
        <v/>
      </c>
      <c r="C1746" s="66"/>
      <c r="D1746" s="60"/>
      <c r="E1746" s="61"/>
      <c r="F1746" s="61"/>
      <c r="G1746" s="67"/>
      <c r="H1746" s="60"/>
      <c r="I1746" s="60"/>
      <c r="J1746" s="61"/>
      <c r="K1746" s="61"/>
      <c r="L1746" s="60"/>
      <c r="M1746" s="74" t="str">
        <f>IF($C1746="","",IF($D1746="Gider",$E1746,IF($L1746&lt;&gt;"",$L1746,$H1746)))</f>
        <v/>
      </c>
      <c r="N1746" s="74" t="str">
        <f>IF($C1746="","",IF($D1746="Gider",$H1746,$E1746))</f>
        <v/>
      </c>
      <c r="O1746" s="73" t="str">
        <f>IF($C1746="","",DATE(YEAR($C1746),MONTH($C1746),1))</f>
        <v/>
      </c>
      <c r="P1746" s="65" t="str">
        <f ca="1">IF($C1746="","",IF(AND($D1746="Gelir",$L1746&lt;&gt;"",$T1746=""),"TANIMSIZ BORÇLU",IF($T1746&lt;&gt;"",IF(OR($E1746="",$G1746&lt;=0),"EKSİK",IF($I1746="Evet","TAHAKKUK NAKİT OLAMAZ",IF($C1746&gt;TODAY(),"İLERİ TARİH","TAHAKKUK"))),IF(AND($D1746&lt;&gt;"",$E1746&lt;&gt;"",$G1746&gt;0,$H1746&lt;&gt;"",$I1746&lt;&gt;""),IF($C1746&gt;TODAY(),"İLERİ TARİH",IF(COUNTIF($W$7:$W$3001,$W1746)&gt;1,"MÜKERRER?",IF($AD1746&gt;0,"KAPALI DÖNEM",IF($I1746="Hayır","ÖDENECEK","UYGUN")))),"EKSİK"))))</f>
        <v/>
      </c>
      <c r="Q1746" s="2"/>
      <c r="R1746" s="2"/>
      <c r="S1746" s="1" t="str">
        <f t="shared" si="83"/>
        <v/>
      </c>
      <c r="T1746" s="1" t="str">
        <f>IF(OR($C1746="",$D1746&lt;&gt;"Gelir",$L1746=""),"",IFERROR(INDEX(MUSTERILER!$B$7:$B$156,MATCH($S1746,MUSTERILER!$T$7:$T$156,0)),""))</f>
        <v/>
      </c>
      <c r="U1746" s="1" t="str">
        <f>IF($T1746="","",$T1746&amp;"|"&amp;COUNTIFS($T$7:$T1746,$T1746))</f>
        <v/>
      </c>
      <c r="V1746" s="1">
        <f t="shared" si="84"/>
        <v>0</v>
      </c>
      <c r="W1746" s="1" t="str">
        <f t="shared" si="85"/>
        <v/>
      </c>
      <c r="X1746" s="1"/>
      <c r="Y1746" s="1"/>
      <c r="Z1746" s="1"/>
      <c r="AA1746" s="1"/>
      <c r="AB1746" s="1"/>
      <c r="AC1746" s="1"/>
      <c r="AD1746" s="1">
        <f>IF($C1746="",0,SUMPRODUCT((AY_SONU!$O$7:$O$42="Evet")*(AY_SONU!$B$7:$B$42=DATE(YEAR($C1746),MONTH($C1746),1))))</f>
        <v>0</v>
      </c>
      <c r="AE1746" s="1" t="str">
        <f>IF($E1746="","",$E1746&amp;"|"&amp;COUNTIFS($E$7:$E1746,$E1746))</f>
        <v/>
      </c>
    </row>
    <row r="1747" spans="1:31" ht="18" customHeight="1" x14ac:dyDescent="0.3">
      <c r="A1747" s="2"/>
      <c r="B1747" s="65" t="str">
        <f>IF($C1747="","","GG"&amp;TEXT(ROW()-6,"00000"))</f>
        <v/>
      </c>
      <c r="C1747" s="66"/>
      <c r="D1747" s="60"/>
      <c r="E1747" s="61"/>
      <c r="F1747" s="61"/>
      <c r="G1747" s="67"/>
      <c r="H1747" s="60"/>
      <c r="I1747" s="60"/>
      <c r="J1747" s="61"/>
      <c r="K1747" s="61"/>
      <c r="L1747" s="60"/>
      <c r="M1747" s="74" t="str">
        <f>IF($C1747="","",IF($D1747="Gider",$E1747,IF($L1747&lt;&gt;"",$L1747,$H1747)))</f>
        <v/>
      </c>
      <c r="N1747" s="74" t="str">
        <f>IF($C1747="","",IF($D1747="Gider",$H1747,$E1747))</f>
        <v/>
      </c>
      <c r="O1747" s="73" t="str">
        <f>IF($C1747="","",DATE(YEAR($C1747),MONTH($C1747),1))</f>
        <v/>
      </c>
      <c r="P1747" s="65" t="str">
        <f ca="1">IF($C1747="","",IF(AND($D1747="Gelir",$L1747&lt;&gt;"",$T1747=""),"TANIMSIZ BORÇLU",IF($T1747&lt;&gt;"",IF(OR($E1747="",$G1747&lt;=0),"EKSİK",IF($I1747="Evet","TAHAKKUK NAKİT OLAMAZ",IF($C1747&gt;TODAY(),"İLERİ TARİH","TAHAKKUK"))),IF(AND($D1747&lt;&gt;"",$E1747&lt;&gt;"",$G1747&gt;0,$H1747&lt;&gt;"",$I1747&lt;&gt;""),IF($C1747&gt;TODAY(),"İLERİ TARİH",IF(COUNTIF($W$7:$W$3001,$W1747)&gt;1,"MÜKERRER?",IF($AD1747&gt;0,"KAPALI DÖNEM",IF($I1747="Hayır","ÖDENECEK","UYGUN")))),"EKSİK"))))</f>
        <v/>
      </c>
      <c r="Q1747" s="2"/>
      <c r="R1747" s="2"/>
      <c r="S1747" s="1" t="str">
        <f t="shared" si="83"/>
        <v/>
      </c>
      <c r="T1747" s="1" t="str">
        <f>IF(OR($C1747="",$D1747&lt;&gt;"Gelir",$L1747=""),"",IFERROR(INDEX(MUSTERILER!$B$7:$B$156,MATCH($S1747,MUSTERILER!$T$7:$T$156,0)),""))</f>
        <v/>
      </c>
      <c r="U1747" s="1" t="str">
        <f>IF($T1747="","",$T1747&amp;"|"&amp;COUNTIFS($T$7:$T1747,$T1747))</f>
        <v/>
      </c>
      <c r="V1747" s="1">
        <f t="shared" si="84"/>
        <v>0</v>
      </c>
      <c r="W1747" s="1" t="str">
        <f t="shared" si="85"/>
        <v/>
      </c>
      <c r="X1747" s="1"/>
      <c r="Y1747" s="1"/>
      <c r="Z1747" s="1"/>
      <c r="AA1747" s="1"/>
      <c r="AB1747" s="1"/>
      <c r="AC1747" s="1"/>
      <c r="AD1747" s="1">
        <f>IF($C1747="",0,SUMPRODUCT((AY_SONU!$O$7:$O$42="Evet")*(AY_SONU!$B$7:$B$42=DATE(YEAR($C1747),MONTH($C1747),1))))</f>
        <v>0</v>
      </c>
      <c r="AE1747" s="1" t="str">
        <f>IF($E1747="","",$E1747&amp;"|"&amp;COUNTIFS($E$7:$E1747,$E1747))</f>
        <v/>
      </c>
    </row>
    <row r="1748" spans="1:31" ht="18" customHeight="1" x14ac:dyDescent="0.3">
      <c r="A1748" s="2"/>
      <c r="B1748" s="65" t="str">
        <f>IF($C1748="","","GG"&amp;TEXT(ROW()-6,"00000"))</f>
        <v/>
      </c>
      <c r="C1748" s="66"/>
      <c r="D1748" s="60"/>
      <c r="E1748" s="61"/>
      <c r="F1748" s="61"/>
      <c r="G1748" s="67"/>
      <c r="H1748" s="60"/>
      <c r="I1748" s="60"/>
      <c r="J1748" s="61"/>
      <c r="K1748" s="61"/>
      <c r="L1748" s="60"/>
      <c r="M1748" s="74" t="str">
        <f>IF($C1748="","",IF($D1748="Gider",$E1748,IF($L1748&lt;&gt;"",$L1748,$H1748)))</f>
        <v/>
      </c>
      <c r="N1748" s="74" t="str">
        <f>IF($C1748="","",IF($D1748="Gider",$H1748,$E1748))</f>
        <v/>
      </c>
      <c r="O1748" s="73" t="str">
        <f>IF($C1748="","",DATE(YEAR($C1748),MONTH($C1748),1))</f>
        <v/>
      </c>
      <c r="P1748" s="65" t="str">
        <f ca="1">IF($C1748="","",IF(AND($D1748="Gelir",$L1748&lt;&gt;"",$T1748=""),"TANIMSIZ BORÇLU",IF($T1748&lt;&gt;"",IF(OR($E1748="",$G1748&lt;=0),"EKSİK",IF($I1748="Evet","TAHAKKUK NAKİT OLAMAZ",IF($C1748&gt;TODAY(),"İLERİ TARİH","TAHAKKUK"))),IF(AND($D1748&lt;&gt;"",$E1748&lt;&gt;"",$G1748&gt;0,$H1748&lt;&gt;"",$I1748&lt;&gt;""),IF($C1748&gt;TODAY(),"İLERİ TARİH",IF(COUNTIF($W$7:$W$3001,$W1748)&gt;1,"MÜKERRER?",IF($AD1748&gt;0,"KAPALI DÖNEM",IF($I1748="Hayır","ÖDENECEK","UYGUN")))),"EKSİK"))))</f>
        <v/>
      </c>
      <c r="Q1748" s="2"/>
      <c r="R1748" s="2"/>
      <c r="S1748" s="1" t="str">
        <f t="shared" si="83"/>
        <v/>
      </c>
      <c r="T1748" s="1" t="str">
        <f>IF(OR($C1748="",$D1748&lt;&gt;"Gelir",$L1748=""),"",IFERROR(INDEX(MUSTERILER!$B$7:$B$156,MATCH($S1748,MUSTERILER!$T$7:$T$156,0)),""))</f>
        <v/>
      </c>
      <c r="U1748" s="1" t="str">
        <f>IF($T1748="","",$T1748&amp;"|"&amp;COUNTIFS($T$7:$T1748,$T1748))</f>
        <v/>
      </c>
      <c r="V1748" s="1">
        <f t="shared" si="84"/>
        <v>0</v>
      </c>
      <c r="W1748" s="1" t="str">
        <f t="shared" si="85"/>
        <v/>
      </c>
      <c r="X1748" s="1"/>
      <c r="Y1748" s="1"/>
      <c r="Z1748" s="1"/>
      <c r="AA1748" s="1"/>
      <c r="AB1748" s="1"/>
      <c r="AC1748" s="1"/>
      <c r="AD1748" s="1">
        <f>IF($C1748="",0,SUMPRODUCT((AY_SONU!$O$7:$O$42="Evet")*(AY_SONU!$B$7:$B$42=DATE(YEAR($C1748),MONTH($C1748),1))))</f>
        <v>0</v>
      </c>
      <c r="AE1748" s="1" t="str">
        <f>IF($E1748="","",$E1748&amp;"|"&amp;COUNTIFS($E$7:$E1748,$E1748))</f>
        <v/>
      </c>
    </row>
    <row r="1749" spans="1:31" ht="18" customHeight="1" x14ac:dyDescent="0.3">
      <c r="A1749" s="2"/>
      <c r="B1749" s="65" t="str">
        <f>IF($C1749="","","GG"&amp;TEXT(ROW()-6,"00000"))</f>
        <v/>
      </c>
      <c r="C1749" s="66"/>
      <c r="D1749" s="60"/>
      <c r="E1749" s="61"/>
      <c r="F1749" s="61"/>
      <c r="G1749" s="67"/>
      <c r="H1749" s="60"/>
      <c r="I1749" s="60"/>
      <c r="J1749" s="61"/>
      <c r="K1749" s="61"/>
      <c r="L1749" s="60"/>
      <c r="M1749" s="74" t="str">
        <f>IF($C1749="","",IF($D1749="Gider",$E1749,IF($L1749&lt;&gt;"",$L1749,$H1749)))</f>
        <v/>
      </c>
      <c r="N1749" s="74" t="str">
        <f>IF($C1749="","",IF($D1749="Gider",$H1749,$E1749))</f>
        <v/>
      </c>
      <c r="O1749" s="73" t="str">
        <f>IF($C1749="","",DATE(YEAR($C1749),MONTH($C1749),1))</f>
        <v/>
      </c>
      <c r="P1749" s="65" t="str">
        <f ca="1">IF($C1749="","",IF(AND($D1749="Gelir",$L1749&lt;&gt;"",$T1749=""),"TANIMSIZ BORÇLU",IF($T1749&lt;&gt;"",IF(OR($E1749="",$G1749&lt;=0),"EKSİK",IF($I1749="Evet","TAHAKKUK NAKİT OLAMAZ",IF($C1749&gt;TODAY(),"İLERİ TARİH","TAHAKKUK"))),IF(AND($D1749&lt;&gt;"",$E1749&lt;&gt;"",$G1749&gt;0,$H1749&lt;&gt;"",$I1749&lt;&gt;""),IF($C1749&gt;TODAY(),"İLERİ TARİH",IF(COUNTIF($W$7:$W$3001,$W1749)&gt;1,"MÜKERRER?",IF($AD1749&gt;0,"KAPALI DÖNEM",IF($I1749="Hayır","ÖDENECEK","UYGUN")))),"EKSİK"))))</f>
        <v/>
      </c>
      <c r="Q1749" s="2"/>
      <c r="R1749" s="2"/>
      <c r="S1749" s="1" t="str">
        <f t="shared" si="83"/>
        <v/>
      </c>
      <c r="T1749" s="1" t="str">
        <f>IF(OR($C1749="",$D1749&lt;&gt;"Gelir",$L1749=""),"",IFERROR(INDEX(MUSTERILER!$B$7:$B$156,MATCH($S1749,MUSTERILER!$T$7:$T$156,0)),""))</f>
        <v/>
      </c>
      <c r="U1749" s="1" t="str">
        <f>IF($T1749="","",$T1749&amp;"|"&amp;COUNTIFS($T$7:$T1749,$T1749))</f>
        <v/>
      </c>
      <c r="V1749" s="1">
        <f t="shared" si="84"/>
        <v>0</v>
      </c>
      <c r="W1749" s="1" t="str">
        <f t="shared" si="85"/>
        <v/>
      </c>
      <c r="X1749" s="1"/>
      <c r="Y1749" s="1"/>
      <c r="Z1749" s="1"/>
      <c r="AA1749" s="1"/>
      <c r="AB1749" s="1"/>
      <c r="AC1749" s="1"/>
      <c r="AD1749" s="1">
        <f>IF($C1749="",0,SUMPRODUCT((AY_SONU!$O$7:$O$42="Evet")*(AY_SONU!$B$7:$B$42=DATE(YEAR($C1749),MONTH($C1749),1))))</f>
        <v>0</v>
      </c>
      <c r="AE1749" s="1" t="str">
        <f>IF($E1749="","",$E1749&amp;"|"&amp;COUNTIFS($E$7:$E1749,$E1749))</f>
        <v/>
      </c>
    </row>
    <row r="1750" spans="1:31" ht="18" customHeight="1" x14ac:dyDescent="0.3">
      <c r="A1750" s="2"/>
      <c r="B1750" s="65" t="str">
        <f>IF($C1750="","","GG"&amp;TEXT(ROW()-6,"00000"))</f>
        <v/>
      </c>
      <c r="C1750" s="66"/>
      <c r="D1750" s="60"/>
      <c r="E1750" s="61"/>
      <c r="F1750" s="61"/>
      <c r="G1750" s="67"/>
      <c r="H1750" s="60"/>
      <c r="I1750" s="60"/>
      <c r="J1750" s="61"/>
      <c r="K1750" s="61"/>
      <c r="L1750" s="60"/>
      <c r="M1750" s="74" t="str">
        <f>IF($C1750="","",IF($D1750="Gider",$E1750,IF($L1750&lt;&gt;"",$L1750,$H1750)))</f>
        <v/>
      </c>
      <c r="N1750" s="74" t="str">
        <f>IF($C1750="","",IF($D1750="Gider",$H1750,$E1750))</f>
        <v/>
      </c>
      <c r="O1750" s="73" t="str">
        <f>IF($C1750="","",DATE(YEAR($C1750),MONTH($C1750),1))</f>
        <v/>
      </c>
      <c r="P1750" s="65" t="str">
        <f ca="1">IF($C1750="","",IF(AND($D1750="Gelir",$L1750&lt;&gt;"",$T1750=""),"TANIMSIZ BORÇLU",IF($T1750&lt;&gt;"",IF(OR($E1750="",$G1750&lt;=0),"EKSİK",IF($I1750="Evet","TAHAKKUK NAKİT OLAMAZ",IF($C1750&gt;TODAY(),"İLERİ TARİH","TAHAKKUK"))),IF(AND($D1750&lt;&gt;"",$E1750&lt;&gt;"",$G1750&gt;0,$H1750&lt;&gt;"",$I1750&lt;&gt;""),IF($C1750&gt;TODAY(),"İLERİ TARİH",IF(COUNTIF($W$7:$W$3001,$W1750)&gt;1,"MÜKERRER?",IF($AD1750&gt;0,"KAPALI DÖNEM",IF($I1750="Hayır","ÖDENECEK","UYGUN")))),"EKSİK"))))</f>
        <v/>
      </c>
      <c r="Q1750" s="2"/>
      <c r="R1750" s="2"/>
      <c r="S1750" s="1" t="str">
        <f t="shared" si="83"/>
        <v/>
      </c>
      <c r="T1750" s="1" t="str">
        <f>IF(OR($C1750="",$D1750&lt;&gt;"Gelir",$L1750=""),"",IFERROR(INDEX(MUSTERILER!$B$7:$B$156,MATCH($S1750,MUSTERILER!$T$7:$T$156,0)),""))</f>
        <v/>
      </c>
      <c r="U1750" s="1" t="str">
        <f>IF($T1750="","",$T1750&amp;"|"&amp;COUNTIFS($T$7:$T1750,$T1750))</f>
        <v/>
      </c>
      <c r="V1750" s="1">
        <f t="shared" si="84"/>
        <v>0</v>
      </c>
      <c r="W1750" s="1" t="str">
        <f t="shared" si="85"/>
        <v/>
      </c>
      <c r="X1750" s="1"/>
      <c r="Y1750" s="1"/>
      <c r="Z1750" s="1"/>
      <c r="AA1750" s="1"/>
      <c r="AB1750" s="1"/>
      <c r="AC1750" s="1"/>
      <c r="AD1750" s="1">
        <f>IF($C1750="",0,SUMPRODUCT((AY_SONU!$O$7:$O$42="Evet")*(AY_SONU!$B$7:$B$42=DATE(YEAR($C1750),MONTH($C1750),1))))</f>
        <v>0</v>
      </c>
      <c r="AE1750" s="1" t="str">
        <f>IF($E1750="","",$E1750&amp;"|"&amp;COUNTIFS($E$7:$E1750,$E1750))</f>
        <v/>
      </c>
    </row>
    <row r="1751" spans="1:31" ht="18" customHeight="1" x14ac:dyDescent="0.3">
      <c r="A1751" s="2"/>
      <c r="B1751" s="65" t="str">
        <f>IF($C1751="","","GG"&amp;TEXT(ROW()-6,"00000"))</f>
        <v/>
      </c>
      <c r="C1751" s="66"/>
      <c r="D1751" s="60"/>
      <c r="E1751" s="61"/>
      <c r="F1751" s="61"/>
      <c r="G1751" s="67"/>
      <c r="H1751" s="60"/>
      <c r="I1751" s="60"/>
      <c r="J1751" s="61"/>
      <c r="K1751" s="61"/>
      <c r="L1751" s="60"/>
      <c r="M1751" s="74" t="str">
        <f>IF($C1751="","",IF($D1751="Gider",$E1751,IF($L1751&lt;&gt;"",$L1751,$H1751)))</f>
        <v/>
      </c>
      <c r="N1751" s="74" t="str">
        <f>IF($C1751="","",IF($D1751="Gider",$H1751,$E1751))</f>
        <v/>
      </c>
      <c r="O1751" s="73" t="str">
        <f>IF($C1751="","",DATE(YEAR($C1751),MONTH($C1751),1))</f>
        <v/>
      </c>
      <c r="P1751" s="65" t="str">
        <f ca="1">IF($C1751="","",IF(AND($D1751="Gelir",$L1751&lt;&gt;"",$T1751=""),"TANIMSIZ BORÇLU",IF($T1751&lt;&gt;"",IF(OR($E1751="",$G1751&lt;=0),"EKSİK",IF($I1751="Evet","TAHAKKUK NAKİT OLAMAZ",IF($C1751&gt;TODAY(),"İLERİ TARİH","TAHAKKUK"))),IF(AND($D1751&lt;&gt;"",$E1751&lt;&gt;"",$G1751&gt;0,$H1751&lt;&gt;"",$I1751&lt;&gt;""),IF($C1751&gt;TODAY(),"İLERİ TARİH",IF(COUNTIF($W$7:$W$3001,$W1751)&gt;1,"MÜKERRER?",IF($AD1751&gt;0,"KAPALI DÖNEM",IF($I1751="Hayır","ÖDENECEK","UYGUN")))),"EKSİK"))))</f>
        <v/>
      </c>
      <c r="Q1751" s="2"/>
      <c r="R1751" s="2"/>
      <c r="S1751" s="1" t="str">
        <f t="shared" si="83"/>
        <v/>
      </c>
      <c r="T1751" s="1" t="str">
        <f>IF(OR($C1751="",$D1751&lt;&gt;"Gelir",$L1751=""),"",IFERROR(INDEX(MUSTERILER!$B$7:$B$156,MATCH($S1751,MUSTERILER!$T$7:$T$156,0)),""))</f>
        <v/>
      </c>
      <c r="U1751" s="1" t="str">
        <f>IF($T1751="","",$T1751&amp;"|"&amp;COUNTIFS($T$7:$T1751,$T1751))</f>
        <v/>
      </c>
      <c r="V1751" s="1">
        <f t="shared" si="84"/>
        <v>0</v>
      </c>
      <c r="W1751" s="1" t="str">
        <f t="shared" si="85"/>
        <v/>
      </c>
      <c r="X1751" s="1"/>
      <c r="Y1751" s="1"/>
      <c r="Z1751" s="1"/>
      <c r="AA1751" s="1"/>
      <c r="AB1751" s="1"/>
      <c r="AC1751" s="1"/>
      <c r="AD1751" s="1">
        <f>IF($C1751="",0,SUMPRODUCT((AY_SONU!$O$7:$O$42="Evet")*(AY_SONU!$B$7:$B$42=DATE(YEAR($C1751),MONTH($C1751),1))))</f>
        <v>0</v>
      </c>
      <c r="AE1751" s="1" t="str">
        <f>IF($E1751="","",$E1751&amp;"|"&amp;COUNTIFS($E$7:$E1751,$E1751))</f>
        <v/>
      </c>
    </row>
    <row r="1752" spans="1:31" ht="18" customHeight="1" x14ac:dyDescent="0.3">
      <c r="A1752" s="2"/>
      <c r="B1752" s="65" t="str">
        <f>IF($C1752="","","GG"&amp;TEXT(ROW()-6,"00000"))</f>
        <v/>
      </c>
      <c r="C1752" s="66"/>
      <c r="D1752" s="60"/>
      <c r="E1752" s="61"/>
      <c r="F1752" s="61"/>
      <c r="G1752" s="67"/>
      <c r="H1752" s="60"/>
      <c r="I1752" s="60"/>
      <c r="J1752" s="61"/>
      <c r="K1752" s="61"/>
      <c r="L1752" s="60"/>
      <c r="M1752" s="74" t="str">
        <f>IF($C1752="","",IF($D1752="Gider",$E1752,IF($L1752&lt;&gt;"",$L1752,$H1752)))</f>
        <v/>
      </c>
      <c r="N1752" s="74" t="str">
        <f>IF($C1752="","",IF($D1752="Gider",$H1752,$E1752))</f>
        <v/>
      </c>
      <c r="O1752" s="73" t="str">
        <f>IF($C1752="","",DATE(YEAR($C1752),MONTH($C1752),1))</f>
        <v/>
      </c>
      <c r="P1752" s="65" t="str">
        <f ca="1">IF($C1752="","",IF(AND($D1752="Gelir",$L1752&lt;&gt;"",$T1752=""),"TANIMSIZ BORÇLU",IF($T1752&lt;&gt;"",IF(OR($E1752="",$G1752&lt;=0),"EKSİK",IF($I1752="Evet","TAHAKKUK NAKİT OLAMAZ",IF($C1752&gt;TODAY(),"İLERİ TARİH","TAHAKKUK"))),IF(AND($D1752&lt;&gt;"",$E1752&lt;&gt;"",$G1752&gt;0,$H1752&lt;&gt;"",$I1752&lt;&gt;""),IF($C1752&gt;TODAY(),"İLERİ TARİH",IF(COUNTIF($W$7:$W$3001,$W1752)&gt;1,"MÜKERRER?",IF($AD1752&gt;0,"KAPALI DÖNEM",IF($I1752="Hayır","ÖDENECEK","UYGUN")))),"EKSİK"))))</f>
        <v/>
      </c>
      <c r="Q1752" s="2"/>
      <c r="R1752" s="2"/>
      <c r="S1752" s="1" t="str">
        <f t="shared" si="83"/>
        <v/>
      </c>
      <c r="T1752" s="1" t="str">
        <f>IF(OR($C1752="",$D1752&lt;&gt;"Gelir",$L1752=""),"",IFERROR(INDEX(MUSTERILER!$B$7:$B$156,MATCH($S1752,MUSTERILER!$T$7:$T$156,0)),""))</f>
        <v/>
      </c>
      <c r="U1752" s="1" t="str">
        <f>IF($T1752="","",$T1752&amp;"|"&amp;COUNTIFS($T$7:$T1752,$T1752))</f>
        <v/>
      </c>
      <c r="V1752" s="1">
        <f t="shared" si="84"/>
        <v>0</v>
      </c>
      <c r="W1752" s="1" t="str">
        <f t="shared" si="85"/>
        <v/>
      </c>
      <c r="X1752" s="1"/>
      <c r="Y1752" s="1"/>
      <c r="Z1752" s="1"/>
      <c r="AA1752" s="1"/>
      <c r="AB1752" s="1"/>
      <c r="AC1752" s="1"/>
      <c r="AD1752" s="1">
        <f>IF($C1752="",0,SUMPRODUCT((AY_SONU!$O$7:$O$42="Evet")*(AY_SONU!$B$7:$B$42=DATE(YEAR($C1752),MONTH($C1752),1))))</f>
        <v>0</v>
      </c>
      <c r="AE1752" s="1" t="str">
        <f>IF($E1752="","",$E1752&amp;"|"&amp;COUNTIFS($E$7:$E1752,$E1752))</f>
        <v/>
      </c>
    </row>
    <row r="1753" spans="1:31" ht="18" customHeight="1" x14ac:dyDescent="0.3">
      <c r="A1753" s="2"/>
      <c r="B1753" s="65" t="str">
        <f>IF($C1753="","","GG"&amp;TEXT(ROW()-6,"00000"))</f>
        <v/>
      </c>
      <c r="C1753" s="66"/>
      <c r="D1753" s="60"/>
      <c r="E1753" s="61"/>
      <c r="F1753" s="61"/>
      <c r="G1753" s="67"/>
      <c r="H1753" s="60"/>
      <c r="I1753" s="60"/>
      <c r="J1753" s="61"/>
      <c r="K1753" s="61"/>
      <c r="L1753" s="60"/>
      <c r="M1753" s="74" t="str">
        <f>IF($C1753="","",IF($D1753="Gider",$E1753,IF($L1753&lt;&gt;"",$L1753,$H1753)))</f>
        <v/>
      </c>
      <c r="N1753" s="74" t="str">
        <f>IF($C1753="","",IF($D1753="Gider",$H1753,$E1753))</f>
        <v/>
      </c>
      <c r="O1753" s="73" t="str">
        <f>IF($C1753="","",DATE(YEAR($C1753),MONTH($C1753),1))</f>
        <v/>
      </c>
      <c r="P1753" s="65" t="str">
        <f ca="1">IF($C1753="","",IF(AND($D1753="Gelir",$L1753&lt;&gt;"",$T1753=""),"TANIMSIZ BORÇLU",IF($T1753&lt;&gt;"",IF(OR($E1753="",$G1753&lt;=0),"EKSİK",IF($I1753="Evet","TAHAKKUK NAKİT OLAMAZ",IF($C1753&gt;TODAY(),"İLERİ TARİH","TAHAKKUK"))),IF(AND($D1753&lt;&gt;"",$E1753&lt;&gt;"",$G1753&gt;0,$H1753&lt;&gt;"",$I1753&lt;&gt;""),IF($C1753&gt;TODAY(),"İLERİ TARİH",IF(COUNTIF($W$7:$W$3001,$W1753)&gt;1,"MÜKERRER?",IF($AD1753&gt;0,"KAPALI DÖNEM",IF($I1753="Hayır","ÖDENECEK","UYGUN")))),"EKSİK"))))</f>
        <v/>
      </c>
      <c r="Q1753" s="2"/>
      <c r="R1753" s="2"/>
      <c r="S1753" s="1" t="str">
        <f t="shared" si="83"/>
        <v/>
      </c>
      <c r="T1753" s="1" t="str">
        <f>IF(OR($C1753="",$D1753&lt;&gt;"Gelir",$L1753=""),"",IFERROR(INDEX(MUSTERILER!$B$7:$B$156,MATCH($S1753,MUSTERILER!$T$7:$T$156,0)),""))</f>
        <v/>
      </c>
      <c r="U1753" s="1" t="str">
        <f>IF($T1753="","",$T1753&amp;"|"&amp;COUNTIFS($T$7:$T1753,$T1753))</f>
        <v/>
      </c>
      <c r="V1753" s="1">
        <f t="shared" si="84"/>
        <v>0</v>
      </c>
      <c r="W1753" s="1" t="str">
        <f t="shared" si="85"/>
        <v/>
      </c>
      <c r="X1753" s="1"/>
      <c r="Y1753" s="1"/>
      <c r="Z1753" s="1"/>
      <c r="AA1753" s="1"/>
      <c r="AB1753" s="1"/>
      <c r="AC1753" s="1"/>
      <c r="AD1753" s="1">
        <f>IF($C1753="",0,SUMPRODUCT((AY_SONU!$O$7:$O$42="Evet")*(AY_SONU!$B$7:$B$42=DATE(YEAR($C1753),MONTH($C1753),1))))</f>
        <v>0</v>
      </c>
      <c r="AE1753" s="1" t="str">
        <f>IF($E1753="","",$E1753&amp;"|"&amp;COUNTIFS($E$7:$E1753,$E1753))</f>
        <v/>
      </c>
    </row>
    <row r="1754" spans="1:31" ht="18" customHeight="1" x14ac:dyDescent="0.3">
      <c r="A1754" s="2"/>
      <c r="B1754" s="65" t="str">
        <f>IF($C1754="","","GG"&amp;TEXT(ROW()-6,"00000"))</f>
        <v/>
      </c>
      <c r="C1754" s="66"/>
      <c r="D1754" s="60"/>
      <c r="E1754" s="61"/>
      <c r="F1754" s="61"/>
      <c r="G1754" s="67"/>
      <c r="H1754" s="60"/>
      <c r="I1754" s="60"/>
      <c r="J1754" s="61"/>
      <c r="K1754" s="61"/>
      <c r="L1754" s="60"/>
      <c r="M1754" s="74" t="str">
        <f>IF($C1754="","",IF($D1754="Gider",$E1754,IF($L1754&lt;&gt;"",$L1754,$H1754)))</f>
        <v/>
      </c>
      <c r="N1754" s="74" t="str">
        <f>IF($C1754="","",IF($D1754="Gider",$H1754,$E1754))</f>
        <v/>
      </c>
      <c r="O1754" s="73" t="str">
        <f>IF($C1754="","",DATE(YEAR($C1754),MONTH($C1754),1))</f>
        <v/>
      </c>
      <c r="P1754" s="65" t="str">
        <f ca="1">IF($C1754="","",IF(AND($D1754="Gelir",$L1754&lt;&gt;"",$T1754=""),"TANIMSIZ BORÇLU",IF($T1754&lt;&gt;"",IF(OR($E1754="",$G1754&lt;=0),"EKSİK",IF($I1754="Evet","TAHAKKUK NAKİT OLAMAZ",IF($C1754&gt;TODAY(),"İLERİ TARİH","TAHAKKUK"))),IF(AND($D1754&lt;&gt;"",$E1754&lt;&gt;"",$G1754&gt;0,$H1754&lt;&gt;"",$I1754&lt;&gt;""),IF($C1754&gt;TODAY(),"İLERİ TARİH",IF(COUNTIF($W$7:$W$3001,$W1754)&gt;1,"MÜKERRER?",IF($AD1754&gt;0,"KAPALI DÖNEM",IF($I1754="Hayır","ÖDENECEK","UYGUN")))),"EKSİK"))))</f>
        <v/>
      </c>
      <c r="Q1754" s="2"/>
      <c r="R1754" s="2"/>
      <c r="S1754" s="1" t="str">
        <f t="shared" si="83"/>
        <v/>
      </c>
      <c r="T1754" s="1" t="str">
        <f>IF(OR($C1754="",$D1754&lt;&gt;"Gelir",$L1754=""),"",IFERROR(INDEX(MUSTERILER!$B$7:$B$156,MATCH($S1754,MUSTERILER!$T$7:$T$156,0)),""))</f>
        <v/>
      </c>
      <c r="U1754" s="1" t="str">
        <f>IF($T1754="","",$T1754&amp;"|"&amp;COUNTIFS($T$7:$T1754,$T1754))</f>
        <v/>
      </c>
      <c r="V1754" s="1">
        <f t="shared" si="84"/>
        <v>0</v>
      </c>
      <c r="W1754" s="1" t="str">
        <f t="shared" si="85"/>
        <v/>
      </c>
      <c r="X1754" s="1"/>
      <c r="Y1754" s="1"/>
      <c r="Z1754" s="1"/>
      <c r="AA1754" s="1"/>
      <c r="AB1754" s="1"/>
      <c r="AC1754" s="1"/>
      <c r="AD1754" s="1">
        <f>IF($C1754="",0,SUMPRODUCT((AY_SONU!$O$7:$O$42="Evet")*(AY_SONU!$B$7:$B$42=DATE(YEAR($C1754),MONTH($C1754),1))))</f>
        <v>0</v>
      </c>
      <c r="AE1754" s="1" t="str">
        <f>IF($E1754="","",$E1754&amp;"|"&amp;COUNTIFS($E$7:$E1754,$E1754))</f>
        <v/>
      </c>
    </row>
    <row r="1755" spans="1:31" ht="18" customHeight="1" x14ac:dyDescent="0.3">
      <c r="A1755" s="2"/>
      <c r="B1755" s="65" t="str">
        <f>IF($C1755="","","GG"&amp;TEXT(ROW()-6,"00000"))</f>
        <v/>
      </c>
      <c r="C1755" s="66"/>
      <c r="D1755" s="60"/>
      <c r="E1755" s="61"/>
      <c r="F1755" s="61"/>
      <c r="G1755" s="67"/>
      <c r="H1755" s="60"/>
      <c r="I1755" s="60"/>
      <c r="J1755" s="61"/>
      <c r="K1755" s="61"/>
      <c r="L1755" s="60"/>
      <c r="M1755" s="74" t="str">
        <f>IF($C1755="","",IF($D1755="Gider",$E1755,IF($L1755&lt;&gt;"",$L1755,$H1755)))</f>
        <v/>
      </c>
      <c r="N1755" s="74" t="str">
        <f>IF($C1755="","",IF($D1755="Gider",$H1755,$E1755))</f>
        <v/>
      </c>
      <c r="O1755" s="73" t="str">
        <f>IF($C1755="","",DATE(YEAR($C1755),MONTH($C1755),1))</f>
        <v/>
      </c>
      <c r="P1755" s="65" t="str">
        <f ca="1">IF($C1755="","",IF(AND($D1755="Gelir",$L1755&lt;&gt;"",$T1755=""),"TANIMSIZ BORÇLU",IF($T1755&lt;&gt;"",IF(OR($E1755="",$G1755&lt;=0),"EKSİK",IF($I1755="Evet","TAHAKKUK NAKİT OLAMAZ",IF($C1755&gt;TODAY(),"İLERİ TARİH","TAHAKKUK"))),IF(AND($D1755&lt;&gt;"",$E1755&lt;&gt;"",$G1755&gt;0,$H1755&lt;&gt;"",$I1755&lt;&gt;""),IF($C1755&gt;TODAY(),"İLERİ TARİH",IF(COUNTIF($W$7:$W$3001,$W1755)&gt;1,"MÜKERRER?",IF($AD1755&gt;0,"KAPALI DÖNEM",IF($I1755="Hayır","ÖDENECEK","UYGUN")))),"EKSİK"))))</f>
        <v/>
      </c>
      <c r="Q1755" s="2"/>
      <c r="R1755" s="2"/>
      <c r="S1755" s="1" t="str">
        <f t="shared" si="83"/>
        <v/>
      </c>
      <c r="T1755" s="1" t="str">
        <f>IF(OR($C1755="",$D1755&lt;&gt;"Gelir",$L1755=""),"",IFERROR(INDEX(MUSTERILER!$B$7:$B$156,MATCH($S1755,MUSTERILER!$T$7:$T$156,0)),""))</f>
        <v/>
      </c>
      <c r="U1755" s="1" t="str">
        <f>IF($T1755="","",$T1755&amp;"|"&amp;COUNTIFS($T$7:$T1755,$T1755))</f>
        <v/>
      </c>
      <c r="V1755" s="1">
        <f t="shared" si="84"/>
        <v>0</v>
      </c>
      <c r="W1755" s="1" t="str">
        <f t="shared" si="85"/>
        <v/>
      </c>
      <c r="X1755" s="1"/>
      <c r="Y1755" s="1"/>
      <c r="Z1755" s="1"/>
      <c r="AA1755" s="1"/>
      <c r="AB1755" s="1"/>
      <c r="AC1755" s="1"/>
      <c r="AD1755" s="1">
        <f>IF($C1755="",0,SUMPRODUCT((AY_SONU!$O$7:$O$42="Evet")*(AY_SONU!$B$7:$B$42=DATE(YEAR($C1755),MONTH($C1755),1))))</f>
        <v>0</v>
      </c>
      <c r="AE1755" s="1" t="str">
        <f>IF($E1755="","",$E1755&amp;"|"&amp;COUNTIFS($E$7:$E1755,$E1755))</f>
        <v/>
      </c>
    </row>
    <row r="1756" spans="1:31" ht="18" customHeight="1" x14ac:dyDescent="0.3">
      <c r="A1756" s="2"/>
      <c r="B1756" s="65" t="str">
        <f>IF($C1756="","","GG"&amp;TEXT(ROW()-6,"00000"))</f>
        <v/>
      </c>
      <c r="C1756" s="66"/>
      <c r="D1756" s="60"/>
      <c r="E1756" s="61"/>
      <c r="F1756" s="61"/>
      <c r="G1756" s="67"/>
      <c r="H1756" s="60"/>
      <c r="I1756" s="60"/>
      <c r="J1756" s="61"/>
      <c r="K1756" s="61"/>
      <c r="L1756" s="60"/>
      <c r="M1756" s="74" t="str">
        <f>IF($C1756="","",IF($D1756="Gider",$E1756,IF($L1756&lt;&gt;"",$L1756,$H1756)))</f>
        <v/>
      </c>
      <c r="N1756" s="74" t="str">
        <f>IF($C1756="","",IF($D1756="Gider",$H1756,$E1756))</f>
        <v/>
      </c>
      <c r="O1756" s="73" t="str">
        <f>IF($C1756="","",DATE(YEAR($C1756),MONTH($C1756),1))</f>
        <v/>
      </c>
      <c r="P1756" s="65" t="str">
        <f ca="1">IF($C1756="","",IF(AND($D1756="Gelir",$L1756&lt;&gt;"",$T1756=""),"TANIMSIZ BORÇLU",IF($T1756&lt;&gt;"",IF(OR($E1756="",$G1756&lt;=0),"EKSİK",IF($I1756="Evet","TAHAKKUK NAKİT OLAMAZ",IF($C1756&gt;TODAY(),"İLERİ TARİH","TAHAKKUK"))),IF(AND($D1756&lt;&gt;"",$E1756&lt;&gt;"",$G1756&gt;0,$H1756&lt;&gt;"",$I1756&lt;&gt;""),IF($C1756&gt;TODAY(),"İLERİ TARİH",IF(COUNTIF($W$7:$W$3001,$W1756)&gt;1,"MÜKERRER?",IF($AD1756&gt;0,"KAPALI DÖNEM",IF($I1756="Hayır","ÖDENECEK","UYGUN")))),"EKSİK"))))</f>
        <v/>
      </c>
      <c r="Q1756" s="2"/>
      <c r="R1756" s="2"/>
      <c r="S1756" s="1" t="str">
        <f t="shared" si="83"/>
        <v/>
      </c>
      <c r="T1756" s="1" t="str">
        <f>IF(OR($C1756="",$D1756&lt;&gt;"Gelir",$L1756=""),"",IFERROR(INDEX(MUSTERILER!$B$7:$B$156,MATCH($S1756,MUSTERILER!$T$7:$T$156,0)),""))</f>
        <v/>
      </c>
      <c r="U1756" s="1" t="str">
        <f>IF($T1756="","",$T1756&amp;"|"&amp;COUNTIFS($T$7:$T1756,$T1756))</f>
        <v/>
      </c>
      <c r="V1756" s="1">
        <f t="shared" si="84"/>
        <v>0</v>
      </c>
      <c r="W1756" s="1" t="str">
        <f t="shared" si="85"/>
        <v/>
      </c>
      <c r="X1756" s="1"/>
      <c r="Y1756" s="1"/>
      <c r="Z1756" s="1"/>
      <c r="AA1756" s="1"/>
      <c r="AB1756" s="1"/>
      <c r="AC1756" s="1"/>
      <c r="AD1756" s="1">
        <f>IF($C1756="",0,SUMPRODUCT((AY_SONU!$O$7:$O$42="Evet")*(AY_SONU!$B$7:$B$42=DATE(YEAR($C1756),MONTH($C1756),1))))</f>
        <v>0</v>
      </c>
      <c r="AE1756" s="1" t="str">
        <f>IF($E1756="","",$E1756&amp;"|"&amp;COUNTIFS($E$7:$E1756,$E1756))</f>
        <v/>
      </c>
    </row>
    <row r="1757" spans="1:31" ht="18" customHeight="1" x14ac:dyDescent="0.3">
      <c r="A1757" s="2"/>
      <c r="B1757" s="65" t="str">
        <f>IF($C1757="","","GG"&amp;TEXT(ROW()-6,"00000"))</f>
        <v/>
      </c>
      <c r="C1757" s="66"/>
      <c r="D1757" s="60"/>
      <c r="E1757" s="61"/>
      <c r="F1757" s="61"/>
      <c r="G1757" s="67"/>
      <c r="H1757" s="60"/>
      <c r="I1757" s="60"/>
      <c r="J1757" s="61"/>
      <c r="K1757" s="61"/>
      <c r="L1757" s="60"/>
      <c r="M1757" s="74" t="str">
        <f>IF($C1757="","",IF($D1757="Gider",$E1757,IF($L1757&lt;&gt;"",$L1757,$H1757)))</f>
        <v/>
      </c>
      <c r="N1757" s="74" t="str">
        <f>IF($C1757="","",IF($D1757="Gider",$H1757,$E1757))</f>
        <v/>
      </c>
      <c r="O1757" s="73" t="str">
        <f>IF($C1757="","",DATE(YEAR($C1757),MONTH($C1757),1))</f>
        <v/>
      </c>
      <c r="P1757" s="65" t="str">
        <f ca="1">IF($C1757="","",IF(AND($D1757="Gelir",$L1757&lt;&gt;"",$T1757=""),"TANIMSIZ BORÇLU",IF($T1757&lt;&gt;"",IF(OR($E1757="",$G1757&lt;=0),"EKSİK",IF($I1757="Evet","TAHAKKUK NAKİT OLAMAZ",IF($C1757&gt;TODAY(),"İLERİ TARİH","TAHAKKUK"))),IF(AND($D1757&lt;&gt;"",$E1757&lt;&gt;"",$G1757&gt;0,$H1757&lt;&gt;"",$I1757&lt;&gt;""),IF($C1757&gt;TODAY(),"İLERİ TARİH",IF(COUNTIF($W$7:$W$3001,$W1757)&gt;1,"MÜKERRER?",IF($AD1757&gt;0,"KAPALI DÖNEM",IF($I1757="Hayır","ÖDENECEK","UYGUN")))),"EKSİK"))))</f>
        <v/>
      </c>
      <c r="Q1757" s="2"/>
      <c r="R1757" s="2"/>
      <c r="S1757" s="1" t="str">
        <f t="shared" si="83"/>
        <v/>
      </c>
      <c r="T1757" s="1" t="str">
        <f>IF(OR($C1757="",$D1757&lt;&gt;"Gelir",$L1757=""),"",IFERROR(INDEX(MUSTERILER!$B$7:$B$156,MATCH($S1757,MUSTERILER!$T$7:$T$156,0)),""))</f>
        <v/>
      </c>
      <c r="U1757" s="1" t="str">
        <f>IF($T1757="","",$T1757&amp;"|"&amp;COUNTIFS($T$7:$T1757,$T1757))</f>
        <v/>
      </c>
      <c r="V1757" s="1">
        <f t="shared" si="84"/>
        <v>0</v>
      </c>
      <c r="W1757" s="1" t="str">
        <f t="shared" si="85"/>
        <v/>
      </c>
      <c r="X1757" s="1"/>
      <c r="Y1757" s="1"/>
      <c r="Z1757" s="1"/>
      <c r="AA1757" s="1"/>
      <c r="AB1757" s="1"/>
      <c r="AC1757" s="1"/>
      <c r="AD1757" s="1">
        <f>IF($C1757="",0,SUMPRODUCT((AY_SONU!$O$7:$O$42="Evet")*(AY_SONU!$B$7:$B$42=DATE(YEAR($C1757),MONTH($C1757),1))))</f>
        <v>0</v>
      </c>
      <c r="AE1757" s="1" t="str">
        <f>IF($E1757="","",$E1757&amp;"|"&amp;COUNTIFS($E$7:$E1757,$E1757))</f>
        <v/>
      </c>
    </row>
    <row r="1758" spans="1:31" ht="18" customHeight="1" x14ac:dyDescent="0.3">
      <c r="A1758" s="2"/>
      <c r="B1758" s="65" t="str">
        <f>IF($C1758="","","GG"&amp;TEXT(ROW()-6,"00000"))</f>
        <v/>
      </c>
      <c r="C1758" s="66"/>
      <c r="D1758" s="60"/>
      <c r="E1758" s="61"/>
      <c r="F1758" s="61"/>
      <c r="G1758" s="67"/>
      <c r="H1758" s="60"/>
      <c r="I1758" s="60"/>
      <c r="J1758" s="61"/>
      <c r="K1758" s="61"/>
      <c r="L1758" s="60"/>
      <c r="M1758" s="74" t="str">
        <f>IF($C1758="","",IF($D1758="Gider",$E1758,IF($L1758&lt;&gt;"",$L1758,$H1758)))</f>
        <v/>
      </c>
      <c r="N1758" s="74" t="str">
        <f>IF($C1758="","",IF($D1758="Gider",$H1758,$E1758))</f>
        <v/>
      </c>
      <c r="O1758" s="73" t="str">
        <f>IF($C1758="","",DATE(YEAR($C1758),MONTH($C1758),1))</f>
        <v/>
      </c>
      <c r="P1758" s="65" t="str">
        <f ca="1">IF($C1758="","",IF(AND($D1758="Gelir",$L1758&lt;&gt;"",$T1758=""),"TANIMSIZ BORÇLU",IF($T1758&lt;&gt;"",IF(OR($E1758="",$G1758&lt;=0),"EKSİK",IF($I1758="Evet","TAHAKKUK NAKİT OLAMAZ",IF($C1758&gt;TODAY(),"İLERİ TARİH","TAHAKKUK"))),IF(AND($D1758&lt;&gt;"",$E1758&lt;&gt;"",$G1758&gt;0,$H1758&lt;&gt;"",$I1758&lt;&gt;""),IF($C1758&gt;TODAY(),"İLERİ TARİH",IF(COUNTIF($W$7:$W$3001,$W1758)&gt;1,"MÜKERRER?",IF($AD1758&gt;0,"KAPALI DÖNEM",IF($I1758="Hayır","ÖDENECEK","UYGUN")))),"EKSİK"))))</f>
        <v/>
      </c>
      <c r="Q1758" s="2"/>
      <c r="R1758" s="2"/>
      <c r="S1758" s="1" t="str">
        <f t="shared" si="83"/>
        <v/>
      </c>
      <c r="T1758" s="1" t="str">
        <f>IF(OR($C1758="",$D1758&lt;&gt;"Gelir",$L1758=""),"",IFERROR(INDEX(MUSTERILER!$B$7:$B$156,MATCH($S1758,MUSTERILER!$T$7:$T$156,0)),""))</f>
        <v/>
      </c>
      <c r="U1758" s="1" t="str">
        <f>IF($T1758="","",$T1758&amp;"|"&amp;COUNTIFS($T$7:$T1758,$T1758))</f>
        <v/>
      </c>
      <c r="V1758" s="1">
        <f t="shared" si="84"/>
        <v>0</v>
      </c>
      <c r="W1758" s="1" t="str">
        <f t="shared" si="85"/>
        <v/>
      </c>
      <c r="X1758" s="1"/>
      <c r="Y1758" s="1"/>
      <c r="Z1758" s="1"/>
      <c r="AA1758" s="1"/>
      <c r="AB1758" s="1"/>
      <c r="AC1758" s="1"/>
      <c r="AD1758" s="1">
        <f>IF($C1758="",0,SUMPRODUCT((AY_SONU!$O$7:$O$42="Evet")*(AY_SONU!$B$7:$B$42=DATE(YEAR($C1758),MONTH($C1758),1))))</f>
        <v>0</v>
      </c>
      <c r="AE1758" s="1" t="str">
        <f>IF($E1758="","",$E1758&amp;"|"&amp;COUNTIFS($E$7:$E1758,$E1758))</f>
        <v/>
      </c>
    </row>
    <row r="1759" spans="1:31" ht="18" customHeight="1" x14ac:dyDescent="0.3">
      <c r="A1759" s="2"/>
      <c r="B1759" s="65" t="str">
        <f>IF($C1759="","","GG"&amp;TEXT(ROW()-6,"00000"))</f>
        <v/>
      </c>
      <c r="C1759" s="66"/>
      <c r="D1759" s="60"/>
      <c r="E1759" s="61"/>
      <c r="F1759" s="61"/>
      <c r="G1759" s="67"/>
      <c r="H1759" s="60"/>
      <c r="I1759" s="60"/>
      <c r="J1759" s="61"/>
      <c r="K1759" s="61"/>
      <c r="L1759" s="60"/>
      <c r="M1759" s="74" t="str">
        <f>IF($C1759="","",IF($D1759="Gider",$E1759,IF($L1759&lt;&gt;"",$L1759,$H1759)))</f>
        <v/>
      </c>
      <c r="N1759" s="74" t="str">
        <f>IF($C1759="","",IF($D1759="Gider",$H1759,$E1759))</f>
        <v/>
      </c>
      <c r="O1759" s="73" t="str">
        <f>IF($C1759="","",DATE(YEAR($C1759),MONTH($C1759),1))</f>
        <v/>
      </c>
      <c r="P1759" s="65" t="str">
        <f ca="1">IF($C1759="","",IF(AND($D1759="Gelir",$L1759&lt;&gt;"",$T1759=""),"TANIMSIZ BORÇLU",IF($T1759&lt;&gt;"",IF(OR($E1759="",$G1759&lt;=0),"EKSİK",IF($I1759="Evet","TAHAKKUK NAKİT OLAMAZ",IF($C1759&gt;TODAY(),"İLERİ TARİH","TAHAKKUK"))),IF(AND($D1759&lt;&gt;"",$E1759&lt;&gt;"",$G1759&gt;0,$H1759&lt;&gt;"",$I1759&lt;&gt;""),IF($C1759&gt;TODAY(),"İLERİ TARİH",IF(COUNTIF($W$7:$W$3001,$W1759)&gt;1,"MÜKERRER?",IF($AD1759&gt;0,"KAPALI DÖNEM",IF($I1759="Hayır","ÖDENECEK","UYGUN")))),"EKSİK"))))</f>
        <v/>
      </c>
      <c r="Q1759" s="2"/>
      <c r="R1759" s="2"/>
      <c r="S1759" s="1" t="str">
        <f t="shared" si="83"/>
        <v/>
      </c>
      <c r="T1759" s="1" t="str">
        <f>IF(OR($C1759="",$D1759&lt;&gt;"Gelir",$L1759=""),"",IFERROR(INDEX(MUSTERILER!$B$7:$B$156,MATCH($S1759,MUSTERILER!$T$7:$T$156,0)),""))</f>
        <v/>
      </c>
      <c r="U1759" s="1" t="str">
        <f>IF($T1759="","",$T1759&amp;"|"&amp;COUNTIFS($T$7:$T1759,$T1759))</f>
        <v/>
      </c>
      <c r="V1759" s="1">
        <f t="shared" si="84"/>
        <v>0</v>
      </c>
      <c r="W1759" s="1" t="str">
        <f t="shared" si="85"/>
        <v/>
      </c>
      <c r="X1759" s="1"/>
      <c r="Y1759" s="1"/>
      <c r="Z1759" s="1"/>
      <c r="AA1759" s="1"/>
      <c r="AB1759" s="1"/>
      <c r="AC1759" s="1"/>
      <c r="AD1759" s="1">
        <f>IF($C1759="",0,SUMPRODUCT((AY_SONU!$O$7:$O$42="Evet")*(AY_SONU!$B$7:$B$42=DATE(YEAR($C1759),MONTH($C1759),1))))</f>
        <v>0</v>
      </c>
      <c r="AE1759" s="1" t="str">
        <f>IF($E1759="","",$E1759&amp;"|"&amp;COUNTIFS($E$7:$E1759,$E1759))</f>
        <v/>
      </c>
    </row>
    <row r="1760" spans="1:31" ht="18" customHeight="1" x14ac:dyDescent="0.3">
      <c r="A1760" s="2"/>
      <c r="B1760" s="65" t="str">
        <f>IF($C1760="","","GG"&amp;TEXT(ROW()-6,"00000"))</f>
        <v/>
      </c>
      <c r="C1760" s="66"/>
      <c r="D1760" s="60"/>
      <c r="E1760" s="61"/>
      <c r="F1760" s="61"/>
      <c r="G1760" s="67"/>
      <c r="H1760" s="60"/>
      <c r="I1760" s="60"/>
      <c r="J1760" s="61"/>
      <c r="K1760" s="61"/>
      <c r="L1760" s="60"/>
      <c r="M1760" s="74" t="str">
        <f>IF($C1760="","",IF($D1760="Gider",$E1760,IF($L1760&lt;&gt;"",$L1760,$H1760)))</f>
        <v/>
      </c>
      <c r="N1760" s="74" t="str">
        <f>IF($C1760="","",IF($D1760="Gider",$H1760,$E1760))</f>
        <v/>
      </c>
      <c r="O1760" s="73" t="str">
        <f>IF($C1760="","",DATE(YEAR($C1760),MONTH($C1760),1))</f>
        <v/>
      </c>
      <c r="P1760" s="65" t="str">
        <f ca="1">IF($C1760="","",IF(AND($D1760="Gelir",$L1760&lt;&gt;"",$T1760=""),"TANIMSIZ BORÇLU",IF($T1760&lt;&gt;"",IF(OR($E1760="",$G1760&lt;=0),"EKSİK",IF($I1760="Evet","TAHAKKUK NAKİT OLAMAZ",IF($C1760&gt;TODAY(),"İLERİ TARİH","TAHAKKUK"))),IF(AND($D1760&lt;&gt;"",$E1760&lt;&gt;"",$G1760&gt;0,$H1760&lt;&gt;"",$I1760&lt;&gt;""),IF($C1760&gt;TODAY(),"İLERİ TARİH",IF(COUNTIF($W$7:$W$3001,$W1760)&gt;1,"MÜKERRER?",IF($AD1760&gt;0,"KAPALI DÖNEM",IF($I1760="Hayır","ÖDENECEK","UYGUN")))),"EKSİK"))))</f>
        <v/>
      </c>
      <c r="Q1760" s="2"/>
      <c r="R1760" s="2"/>
      <c r="S1760" s="1" t="str">
        <f t="shared" si="83"/>
        <v/>
      </c>
      <c r="T1760" s="1" t="str">
        <f>IF(OR($C1760="",$D1760&lt;&gt;"Gelir",$L1760=""),"",IFERROR(INDEX(MUSTERILER!$B$7:$B$156,MATCH($S1760,MUSTERILER!$T$7:$T$156,0)),""))</f>
        <v/>
      </c>
      <c r="U1760" s="1" t="str">
        <f>IF($T1760="","",$T1760&amp;"|"&amp;COUNTIFS($T$7:$T1760,$T1760))</f>
        <v/>
      </c>
      <c r="V1760" s="1">
        <f t="shared" si="84"/>
        <v>0</v>
      </c>
      <c r="W1760" s="1" t="str">
        <f t="shared" si="85"/>
        <v/>
      </c>
      <c r="X1760" s="1"/>
      <c r="Y1760" s="1"/>
      <c r="Z1760" s="1"/>
      <c r="AA1760" s="1"/>
      <c r="AB1760" s="1"/>
      <c r="AC1760" s="1"/>
      <c r="AD1760" s="1">
        <f>IF($C1760="",0,SUMPRODUCT((AY_SONU!$O$7:$O$42="Evet")*(AY_SONU!$B$7:$B$42=DATE(YEAR($C1760),MONTH($C1760),1))))</f>
        <v>0</v>
      </c>
      <c r="AE1760" s="1" t="str">
        <f>IF($E1760="","",$E1760&amp;"|"&amp;COUNTIFS($E$7:$E1760,$E1760))</f>
        <v/>
      </c>
    </row>
    <row r="1761" spans="1:31" ht="18" customHeight="1" x14ac:dyDescent="0.3">
      <c r="A1761" s="2"/>
      <c r="B1761" s="65" t="str">
        <f>IF($C1761="","","GG"&amp;TEXT(ROW()-6,"00000"))</f>
        <v/>
      </c>
      <c r="C1761" s="66"/>
      <c r="D1761" s="60"/>
      <c r="E1761" s="61"/>
      <c r="F1761" s="61"/>
      <c r="G1761" s="67"/>
      <c r="H1761" s="60"/>
      <c r="I1761" s="60"/>
      <c r="J1761" s="61"/>
      <c r="K1761" s="61"/>
      <c r="L1761" s="60"/>
      <c r="M1761" s="74" t="str">
        <f>IF($C1761="","",IF($D1761="Gider",$E1761,IF($L1761&lt;&gt;"",$L1761,$H1761)))</f>
        <v/>
      </c>
      <c r="N1761" s="74" t="str">
        <f>IF($C1761="","",IF($D1761="Gider",$H1761,$E1761))</f>
        <v/>
      </c>
      <c r="O1761" s="73" t="str">
        <f>IF($C1761="","",DATE(YEAR($C1761),MONTH($C1761),1))</f>
        <v/>
      </c>
      <c r="P1761" s="65" t="str">
        <f ca="1">IF($C1761="","",IF(AND($D1761="Gelir",$L1761&lt;&gt;"",$T1761=""),"TANIMSIZ BORÇLU",IF($T1761&lt;&gt;"",IF(OR($E1761="",$G1761&lt;=0),"EKSİK",IF($I1761="Evet","TAHAKKUK NAKİT OLAMAZ",IF($C1761&gt;TODAY(),"İLERİ TARİH","TAHAKKUK"))),IF(AND($D1761&lt;&gt;"",$E1761&lt;&gt;"",$G1761&gt;0,$H1761&lt;&gt;"",$I1761&lt;&gt;""),IF($C1761&gt;TODAY(),"İLERİ TARİH",IF(COUNTIF($W$7:$W$3001,$W1761)&gt;1,"MÜKERRER?",IF($AD1761&gt;0,"KAPALI DÖNEM",IF($I1761="Hayır","ÖDENECEK","UYGUN")))),"EKSİK"))))</f>
        <v/>
      </c>
      <c r="Q1761" s="2"/>
      <c r="R1761" s="2"/>
      <c r="S1761" s="1" t="str">
        <f t="shared" si="83"/>
        <v/>
      </c>
      <c r="T1761" s="1" t="str">
        <f>IF(OR($C1761="",$D1761&lt;&gt;"Gelir",$L1761=""),"",IFERROR(INDEX(MUSTERILER!$B$7:$B$156,MATCH($S1761,MUSTERILER!$T$7:$T$156,0)),""))</f>
        <v/>
      </c>
      <c r="U1761" s="1" t="str">
        <f>IF($T1761="","",$T1761&amp;"|"&amp;COUNTIFS($T$7:$T1761,$T1761))</f>
        <v/>
      </c>
      <c r="V1761" s="1">
        <f t="shared" si="84"/>
        <v>0</v>
      </c>
      <c r="W1761" s="1" t="str">
        <f t="shared" si="85"/>
        <v/>
      </c>
      <c r="X1761" s="1"/>
      <c r="Y1761" s="1"/>
      <c r="Z1761" s="1"/>
      <c r="AA1761" s="1"/>
      <c r="AB1761" s="1"/>
      <c r="AC1761" s="1"/>
      <c r="AD1761" s="1">
        <f>IF($C1761="",0,SUMPRODUCT((AY_SONU!$O$7:$O$42="Evet")*(AY_SONU!$B$7:$B$42=DATE(YEAR($C1761),MONTH($C1761),1))))</f>
        <v>0</v>
      </c>
      <c r="AE1761" s="1" t="str">
        <f>IF($E1761="","",$E1761&amp;"|"&amp;COUNTIFS($E$7:$E1761,$E1761))</f>
        <v/>
      </c>
    </row>
    <row r="1762" spans="1:31" ht="18" customHeight="1" x14ac:dyDescent="0.3">
      <c r="A1762" s="2"/>
      <c r="B1762" s="65" t="str">
        <f>IF($C1762="","","GG"&amp;TEXT(ROW()-6,"00000"))</f>
        <v/>
      </c>
      <c r="C1762" s="66"/>
      <c r="D1762" s="60"/>
      <c r="E1762" s="61"/>
      <c r="F1762" s="61"/>
      <c r="G1762" s="67"/>
      <c r="H1762" s="60"/>
      <c r="I1762" s="60"/>
      <c r="J1762" s="61"/>
      <c r="K1762" s="61"/>
      <c r="L1762" s="60"/>
      <c r="M1762" s="74" t="str">
        <f>IF($C1762="","",IF($D1762="Gider",$E1762,IF($L1762&lt;&gt;"",$L1762,$H1762)))</f>
        <v/>
      </c>
      <c r="N1762" s="74" t="str">
        <f>IF($C1762="","",IF($D1762="Gider",$H1762,$E1762))</f>
        <v/>
      </c>
      <c r="O1762" s="73" t="str">
        <f>IF($C1762="","",DATE(YEAR($C1762),MONTH($C1762),1))</f>
        <v/>
      </c>
      <c r="P1762" s="65" t="str">
        <f ca="1">IF($C1762="","",IF(AND($D1762="Gelir",$L1762&lt;&gt;"",$T1762=""),"TANIMSIZ BORÇLU",IF($T1762&lt;&gt;"",IF(OR($E1762="",$G1762&lt;=0),"EKSİK",IF($I1762="Evet","TAHAKKUK NAKİT OLAMAZ",IF($C1762&gt;TODAY(),"İLERİ TARİH","TAHAKKUK"))),IF(AND($D1762&lt;&gt;"",$E1762&lt;&gt;"",$G1762&gt;0,$H1762&lt;&gt;"",$I1762&lt;&gt;""),IF($C1762&gt;TODAY(),"İLERİ TARİH",IF(COUNTIF($W$7:$W$3001,$W1762)&gt;1,"MÜKERRER?",IF($AD1762&gt;0,"KAPALI DÖNEM",IF($I1762="Hayır","ÖDENECEK","UYGUN")))),"EKSİK"))))</f>
        <v/>
      </c>
      <c r="Q1762" s="2"/>
      <c r="R1762" s="2"/>
      <c r="S1762" s="1" t="str">
        <f t="shared" si="83"/>
        <v/>
      </c>
      <c r="T1762" s="1" t="str">
        <f>IF(OR($C1762="",$D1762&lt;&gt;"Gelir",$L1762=""),"",IFERROR(INDEX(MUSTERILER!$B$7:$B$156,MATCH($S1762,MUSTERILER!$T$7:$T$156,0)),""))</f>
        <v/>
      </c>
      <c r="U1762" s="1" t="str">
        <f>IF($T1762="","",$T1762&amp;"|"&amp;COUNTIFS($T$7:$T1762,$T1762))</f>
        <v/>
      </c>
      <c r="V1762" s="1">
        <f t="shared" si="84"/>
        <v>0</v>
      </c>
      <c r="W1762" s="1" t="str">
        <f t="shared" si="85"/>
        <v/>
      </c>
      <c r="X1762" s="1"/>
      <c r="Y1762" s="1"/>
      <c r="Z1762" s="1"/>
      <c r="AA1762" s="1"/>
      <c r="AB1762" s="1"/>
      <c r="AC1762" s="1"/>
      <c r="AD1762" s="1">
        <f>IF($C1762="",0,SUMPRODUCT((AY_SONU!$O$7:$O$42="Evet")*(AY_SONU!$B$7:$B$42=DATE(YEAR($C1762),MONTH($C1762),1))))</f>
        <v>0</v>
      </c>
      <c r="AE1762" s="1" t="str">
        <f>IF($E1762="","",$E1762&amp;"|"&amp;COUNTIFS($E$7:$E1762,$E1762))</f>
        <v/>
      </c>
    </row>
    <row r="1763" spans="1:31" ht="18" customHeight="1" x14ac:dyDescent="0.3">
      <c r="A1763" s="2"/>
      <c r="B1763" s="65" t="str">
        <f>IF($C1763="","","GG"&amp;TEXT(ROW()-6,"00000"))</f>
        <v/>
      </c>
      <c r="C1763" s="66"/>
      <c r="D1763" s="60"/>
      <c r="E1763" s="61"/>
      <c r="F1763" s="61"/>
      <c r="G1763" s="67"/>
      <c r="H1763" s="60"/>
      <c r="I1763" s="60"/>
      <c r="J1763" s="61"/>
      <c r="K1763" s="61"/>
      <c r="L1763" s="60"/>
      <c r="M1763" s="74" t="str">
        <f>IF($C1763="","",IF($D1763="Gider",$E1763,IF($L1763&lt;&gt;"",$L1763,$H1763)))</f>
        <v/>
      </c>
      <c r="N1763" s="74" t="str">
        <f>IF($C1763="","",IF($D1763="Gider",$H1763,$E1763))</f>
        <v/>
      </c>
      <c r="O1763" s="73" t="str">
        <f>IF($C1763="","",DATE(YEAR($C1763),MONTH($C1763),1))</f>
        <v/>
      </c>
      <c r="P1763" s="65" t="str">
        <f ca="1">IF($C1763="","",IF(AND($D1763="Gelir",$L1763&lt;&gt;"",$T1763=""),"TANIMSIZ BORÇLU",IF($T1763&lt;&gt;"",IF(OR($E1763="",$G1763&lt;=0),"EKSİK",IF($I1763="Evet","TAHAKKUK NAKİT OLAMAZ",IF($C1763&gt;TODAY(),"İLERİ TARİH","TAHAKKUK"))),IF(AND($D1763&lt;&gt;"",$E1763&lt;&gt;"",$G1763&gt;0,$H1763&lt;&gt;"",$I1763&lt;&gt;""),IF($C1763&gt;TODAY(),"İLERİ TARİH",IF(COUNTIF($W$7:$W$3001,$W1763)&gt;1,"MÜKERRER?",IF($AD1763&gt;0,"KAPALI DÖNEM",IF($I1763="Hayır","ÖDENECEK","UYGUN")))),"EKSİK"))))</f>
        <v/>
      </c>
      <c r="Q1763" s="2"/>
      <c r="R1763" s="2"/>
      <c r="S1763" s="1" t="str">
        <f t="shared" si="83"/>
        <v/>
      </c>
      <c r="T1763" s="1" t="str">
        <f>IF(OR($C1763="",$D1763&lt;&gt;"Gelir",$L1763=""),"",IFERROR(INDEX(MUSTERILER!$B$7:$B$156,MATCH($S1763,MUSTERILER!$T$7:$T$156,0)),""))</f>
        <v/>
      </c>
      <c r="U1763" s="1" t="str">
        <f>IF($T1763="","",$T1763&amp;"|"&amp;COUNTIFS($T$7:$T1763,$T1763))</f>
        <v/>
      </c>
      <c r="V1763" s="1">
        <f t="shared" si="84"/>
        <v>0</v>
      </c>
      <c r="W1763" s="1" t="str">
        <f t="shared" si="85"/>
        <v/>
      </c>
      <c r="X1763" s="1"/>
      <c r="Y1763" s="1"/>
      <c r="Z1763" s="1"/>
      <c r="AA1763" s="1"/>
      <c r="AB1763" s="1"/>
      <c r="AC1763" s="1"/>
      <c r="AD1763" s="1">
        <f>IF($C1763="",0,SUMPRODUCT((AY_SONU!$O$7:$O$42="Evet")*(AY_SONU!$B$7:$B$42=DATE(YEAR($C1763),MONTH($C1763),1))))</f>
        <v>0</v>
      </c>
      <c r="AE1763" s="1" t="str">
        <f>IF($E1763="","",$E1763&amp;"|"&amp;COUNTIFS($E$7:$E1763,$E1763))</f>
        <v/>
      </c>
    </row>
    <row r="1764" spans="1:31" ht="18" customHeight="1" x14ac:dyDescent="0.3">
      <c r="A1764" s="2"/>
      <c r="B1764" s="65" t="str">
        <f>IF($C1764="","","GG"&amp;TEXT(ROW()-6,"00000"))</f>
        <v/>
      </c>
      <c r="C1764" s="66"/>
      <c r="D1764" s="60"/>
      <c r="E1764" s="61"/>
      <c r="F1764" s="61"/>
      <c r="G1764" s="67"/>
      <c r="H1764" s="60"/>
      <c r="I1764" s="60"/>
      <c r="J1764" s="61"/>
      <c r="K1764" s="61"/>
      <c r="L1764" s="60"/>
      <c r="M1764" s="74" t="str">
        <f>IF($C1764="","",IF($D1764="Gider",$E1764,IF($L1764&lt;&gt;"",$L1764,$H1764)))</f>
        <v/>
      </c>
      <c r="N1764" s="74" t="str">
        <f>IF($C1764="","",IF($D1764="Gider",$H1764,$E1764))</f>
        <v/>
      </c>
      <c r="O1764" s="73" t="str">
        <f>IF($C1764="","",DATE(YEAR($C1764),MONTH($C1764),1))</f>
        <v/>
      </c>
      <c r="P1764" s="65" t="str">
        <f ca="1">IF($C1764="","",IF(AND($D1764="Gelir",$L1764&lt;&gt;"",$T1764=""),"TANIMSIZ BORÇLU",IF($T1764&lt;&gt;"",IF(OR($E1764="",$G1764&lt;=0),"EKSİK",IF($I1764="Evet","TAHAKKUK NAKİT OLAMAZ",IF($C1764&gt;TODAY(),"İLERİ TARİH","TAHAKKUK"))),IF(AND($D1764&lt;&gt;"",$E1764&lt;&gt;"",$G1764&gt;0,$H1764&lt;&gt;"",$I1764&lt;&gt;""),IF($C1764&gt;TODAY(),"İLERİ TARİH",IF(COUNTIF($W$7:$W$3001,$W1764)&gt;1,"MÜKERRER?",IF($AD1764&gt;0,"KAPALI DÖNEM",IF($I1764="Hayır","ÖDENECEK","UYGUN")))),"EKSİK"))))</f>
        <v/>
      </c>
      <c r="Q1764" s="2"/>
      <c r="R1764" s="2"/>
      <c r="S1764" s="1" t="str">
        <f t="shared" si="83"/>
        <v/>
      </c>
      <c r="T1764" s="1" t="str">
        <f>IF(OR($C1764="",$D1764&lt;&gt;"Gelir",$L1764=""),"",IFERROR(INDEX(MUSTERILER!$B$7:$B$156,MATCH($S1764,MUSTERILER!$T$7:$T$156,0)),""))</f>
        <v/>
      </c>
      <c r="U1764" s="1" t="str">
        <f>IF($T1764="","",$T1764&amp;"|"&amp;COUNTIFS($T$7:$T1764,$T1764))</f>
        <v/>
      </c>
      <c r="V1764" s="1">
        <f t="shared" si="84"/>
        <v>0</v>
      </c>
      <c r="W1764" s="1" t="str">
        <f t="shared" si="85"/>
        <v/>
      </c>
      <c r="X1764" s="1"/>
      <c r="Y1764" s="1"/>
      <c r="Z1764" s="1"/>
      <c r="AA1764" s="1"/>
      <c r="AB1764" s="1"/>
      <c r="AC1764" s="1"/>
      <c r="AD1764" s="1">
        <f>IF($C1764="",0,SUMPRODUCT((AY_SONU!$O$7:$O$42="Evet")*(AY_SONU!$B$7:$B$42=DATE(YEAR($C1764),MONTH($C1764),1))))</f>
        <v>0</v>
      </c>
      <c r="AE1764" s="1" t="str">
        <f>IF($E1764="","",$E1764&amp;"|"&amp;COUNTIFS($E$7:$E1764,$E1764))</f>
        <v/>
      </c>
    </row>
    <row r="1765" spans="1:31" ht="18" customHeight="1" x14ac:dyDescent="0.3">
      <c r="A1765" s="2"/>
      <c r="B1765" s="65" t="str">
        <f>IF($C1765="","","GG"&amp;TEXT(ROW()-6,"00000"))</f>
        <v/>
      </c>
      <c r="C1765" s="66"/>
      <c r="D1765" s="60"/>
      <c r="E1765" s="61"/>
      <c r="F1765" s="61"/>
      <c r="G1765" s="67"/>
      <c r="H1765" s="60"/>
      <c r="I1765" s="60"/>
      <c r="J1765" s="61"/>
      <c r="K1765" s="61"/>
      <c r="L1765" s="60"/>
      <c r="M1765" s="74" t="str">
        <f>IF($C1765="","",IF($D1765="Gider",$E1765,IF($L1765&lt;&gt;"",$L1765,$H1765)))</f>
        <v/>
      </c>
      <c r="N1765" s="74" t="str">
        <f>IF($C1765="","",IF($D1765="Gider",$H1765,$E1765))</f>
        <v/>
      </c>
      <c r="O1765" s="73" t="str">
        <f>IF($C1765="","",DATE(YEAR($C1765),MONTH($C1765),1))</f>
        <v/>
      </c>
      <c r="P1765" s="65" t="str">
        <f ca="1">IF($C1765="","",IF(AND($D1765="Gelir",$L1765&lt;&gt;"",$T1765=""),"TANIMSIZ BORÇLU",IF($T1765&lt;&gt;"",IF(OR($E1765="",$G1765&lt;=0),"EKSİK",IF($I1765="Evet","TAHAKKUK NAKİT OLAMAZ",IF($C1765&gt;TODAY(),"İLERİ TARİH","TAHAKKUK"))),IF(AND($D1765&lt;&gt;"",$E1765&lt;&gt;"",$G1765&gt;0,$H1765&lt;&gt;"",$I1765&lt;&gt;""),IF($C1765&gt;TODAY(),"İLERİ TARİH",IF(COUNTIF($W$7:$W$3001,$W1765)&gt;1,"MÜKERRER?",IF($AD1765&gt;0,"KAPALI DÖNEM",IF($I1765="Hayır","ÖDENECEK","UYGUN")))),"EKSİK"))))</f>
        <v/>
      </c>
      <c r="Q1765" s="2"/>
      <c r="R1765" s="2"/>
      <c r="S1765" s="1" t="str">
        <f t="shared" si="83"/>
        <v/>
      </c>
      <c r="T1765" s="1" t="str">
        <f>IF(OR($C1765="",$D1765&lt;&gt;"Gelir",$L1765=""),"",IFERROR(INDEX(MUSTERILER!$B$7:$B$156,MATCH($S1765,MUSTERILER!$T$7:$T$156,0)),""))</f>
        <v/>
      </c>
      <c r="U1765" s="1" t="str">
        <f>IF($T1765="","",$T1765&amp;"|"&amp;COUNTIFS($T$7:$T1765,$T1765))</f>
        <v/>
      </c>
      <c r="V1765" s="1">
        <f t="shared" si="84"/>
        <v>0</v>
      </c>
      <c r="W1765" s="1" t="str">
        <f t="shared" si="85"/>
        <v/>
      </c>
      <c r="X1765" s="1"/>
      <c r="Y1765" s="1"/>
      <c r="Z1765" s="1"/>
      <c r="AA1765" s="1"/>
      <c r="AB1765" s="1"/>
      <c r="AC1765" s="1"/>
      <c r="AD1765" s="1">
        <f>IF($C1765="",0,SUMPRODUCT((AY_SONU!$O$7:$O$42="Evet")*(AY_SONU!$B$7:$B$42=DATE(YEAR($C1765),MONTH($C1765),1))))</f>
        <v>0</v>
      </c>
      <c r="AE1765" s="1" t="str">
        <f>IF($E1765="","",$E1765&amp;"|"&amp;COUNTIFS($E$7:$E1765,$E1765))</f>
        <v/>
      </c>
    </row>
    <row r="1766" spans="1:31" ht="18" customHeight="1" x14ac:dyDescent="0.3">
      <c r="A1766" s="2"/>
      <c r="B1766" s="65" t="str">
        <f>IF($C1766="","","GG"&amp;TEXT(ROW()-6,"00000"))</f>
        <v/>
      </c>
      <c r="C1766" s="66"/>
      <c r="D1766" s="60"/>
      <c r="E1766" s="61"/>
      <c r="F1766" s="61"/>
      <c r="G1766" s="67"/>
      <c r="H1766" s="60"/>
      <c r="I1766" s="60"/>
      <c r="J1766" s="61"/>
      <c r="K1766" s="61"/>
      <c r="L1766" s="60"/>
      <c r="M1766" s="74" t="str">
        <f>IF($C1766="","",IF($D1766="Gider",$E1766,IF($L1766&lt;&gt;"",$L1766,$H1766)))</f>
        <v/>
      </c>
      <c r="N1766" s="74" t="str">
        <f>IF($C1766="","",IF($D1766="Gider",$H1766,$E1766))</f>
        <v/>
      </c>
      <c r="O1766" s="73" t="str">
        <f>IF($C1766="","",DATE(YEAR($C1766),MONTH($C1766),1))</f>
        <v/>
      </c>
      <c r="P1766" s="65" t="str">
        <f ca="1">IF($C1766="","",IF(AND($D1766="Gelir",$L1766&lt;&gt;"",$T1766=""),"TANIMSIZ BORÇLU",IF($T1766&lt;&gt;"",IF(OR($E1766="",$G1766&lt;=0),"EKSİK",IF($I1766="Evet","TAHAKKUK NAKİT OLAMAZ",IF($C1766&gt;TODAY(),"İLERİ TARİH","TAHAKKUK"))),IF(AND($D1766&lt;&gt;"",$E1766&lt;&gt;"",$G1766&gt;0,$H1766&lt;&gt;"",$I1766&lt;&gt;""),IF($C1766&gt;TODAY(),"İLERİ TARİH",IF(COUNTIF($W$7:$W$3001,$W1766)&gt;1,"MÜKERRER?",IF($AD1766&gt;0,"KAPALI DÖNEM",IF($I1766="Hayır","ÖDENECEK","UYGUN")))),"EKSİK"))))</f>
        <v/>
      </c>
      <c r="Q1766" s="2"/>
      <c r="R1766" s="2"/>
      <c r="S1766" s="1" t="str">
        <f t="shared" si="83"/>
        <v/>
      </c>
      <c r="T1766" s="1" t="str">
        <f>IF(OR($C1766="",$D1766&lt;&gt;"Gelir",$L1766=""),"",IFERROR(INDEX(MUSTERILER!$B$7:$B$156,MATCH($S1766,MUSTERILER!$T$7:$T$156,0)),""))</f>
        <v/>
      </c>
      <c r="U1766" s="1" t="str">
        <f>IF($T1766="","",$T1766&amp;"|"&amp;COUNTIFS($T$7:$T1766,$T1766))</f>
        <v/>
      </c>
      <c r="V1766" s="1">
        <f t="shared" si="84"/>
        <v>0</v>
      </c>
      <c r="W1766" s="1" t="str">
        <f t="shared" si="85"/>
        <v/>
      </c>
      <c r="X1766" s="1"/>
      <c r="Y1766" s="1"/>
      <c r="Z1766" s="1"/>
      <c r="AA1766" s="1"/>
      <c r="AB1766" s="1"/>
      <c r="AC1766" s="1"/>
      <c r="AD1766" s="1">
        <f>IF($C1766="",0,SUMPRODUCT((AY_SONU!$O$7:$O$42="Evet")*(AY_SONU!$B$7:$B$42=DATE(YEAR($C1766),MONTH($C1766),1))))</f>
        <v>0</v>
      </c>
      <c r="AE1766" s="1" t="str">
        <f>IF($E1766="","",$E1766&amp;"|"&amp;COUNTIFS($E$7:$E1766,$E1766))</f>
        <v/>
      </c>
    </row>
    <row r="1767" spans="1:31" ht="18" customHeight="1" x14ac:dyDescent="0.3">
      <c r="A1767" s="2"/>
      <c r="B1767" s="65" t="str">
        <f>IF($C1767="","","GG"&amp;TEXT(ROW()-6,"00000"))</f>
        <v/>
      </c>
      <c r="C1767" s="66"/>
      <c r="D1767" s="60"/>
      <c r="E1767" s="61"/>
      <c r="F1767" s="61"/>
      <c r="G1767" s="67"/>
      <c r="H1767" s="60"/>
      <c r="I1767" s="60"/>
      <c r="J1767" s="61"/>
      <c r="K1767" s="61"/>
      <c r="L1767" s="60"/>
      <c r="M1767" s="74" t="str">
        <f>IF($C1767="","",IF($D1767="Gider",$E1767,IF($L1767&lt;&gt;"",$L1767,$H1767)))</f>
        <v/>
      </c>
      <c r="N1767" s="74" t="str">
        <f>IF($C1767="","",IF($D1767="Gider",$H1767,$E1767))</f>
        <v/>
      </c>
      <c r="O1767" s="73" t="str">
        <f>IF($C1767="","",DATE(YEAR($C1767),MONTH($C1767),1))</f>
        <v/>
      </c>
      <c r="P1767" s="65" t="str">
        <f ca="1">IF($C1767="","",IF(AND($D1767="Gelir",$L1767&lt;&gt;"",$T1767=""),"TANIMSIZ BORÇLU",IF($T1767&lt;&gt;"",IF(OR($E1767="",$G1767&lt;=0),"EKSİK",IF($I1767="Evet","TAHAKKUK NAKİT OLAMAZ",IF($C1767&gt;TODAY(),"İLERİ TARİH","TAHAKKUK"))),IF(AND($D1767&lt;&gt;"",$E1767&lt;&gt;"",$G1767&gt;0,$H1767&lt;&gt;"",$I1767&lt;&gt;""),IF($C1767&gt;TODAY(),"İLERİ TARİH",IF(COUNTIF($W$7:$W$3001,$W1767)&gt;1,"MÜKERRER?",IF($AD1767&gt;0,"KAPALI DÖNEM",IF($I1767="Hayır","ÖDENECEK","UYGUN")))),"EKSİK"))))</f>
        <v/>
      </c>
      <c r="Q1767" s="2"/>
      <c r="R1767" s="2"/>
      <c r="S1767" s="1" t="str">
        <f t="shared" si="83"/>
        <v/>
      </c>
      <c r="T1767" s="1" t="str">
        <f>IF(OR($C1767="",$D1767&lt;&gt;"Gelir",$L1767=""),"",IFERROR(INDEX(MUSTERILER!$B$7:$B$156,MATCH($S1767,MUSTERILER!$T$7:$T$156,0)),""))</f>
        <v/>
      </c>
      <c r="U1767" s="1" t="str">
        <f>IF($T1767="","",$T1767&amp;"|"&amp;COUNTIFS($T$7:$T1767,$T1767))</f>
        <v/>
      </c>
      <c r="V1767" s="1">
        <f t="shared" si="84"/>
        <v>0</v>
      </c>
      <c r="W1767" s="1" t="str">
        <f t="shared" si="85"/>
        <v/>
      </c>
      <c r="X1767" s="1"/>
      <c r="Y1767" s="1"/>
      <c r="Z1767" s="1"/>
      <c r="AA1767" s="1"/>
      <c r="AB1767" s="1"/>
      <c r="AC1767" s="1"/>
      <c r="AD1767" s="1">
        <f>IF($C1767="",0,SUMPRODUCT((AY_SONU!$O$7:$O$42="Evet")*(AY_SONU!$B$7:$B$42=DATE(YEAR($C1767),MONTH($C1767),1))))</f>
        <v>0</v>
      </c>
      <c r="AE1767" s="1" t="str">
        <f>IF($E1767="","",$E1767&amp;"|"&amp;COUNTIFS($E$7:$E1767,$E1767))</f>
        <v/>
      </c>
    </row>
    <row r="1768" spans="1:31" ht="18" customHeight="1" x14ac:dyDescent="0.3">
      <c r="A1768" s="2"/>
      <c r="B1768" s="65" t="str">
        <f>IF($C1768="","","GG"&amp;TEXT(ROW()-6,"00000"))</f>
        <v/>
      </c>
      <c r="C1768" s="66"/>
      <c r="D1768" s="60"/>
      <c r="E1768" s="61"/>
      <c r="F1768" s="61"/>
      <c r="G1768" s="67"/>
      <c r="H1768" s="60"/>
      <c r="I1768" s="60"/>
      <c r="J1768" s="61"/>
      <c r="K1768" s="61"/>
      <c r="L1768" s="60"/>
      <c r="M1768" s="74" t="str">
        <f>IF($C1768="","",IF($D1768="Gider",$E1768,IF($L1768&lt;&gt;"",$L1768,$H1768)))</f>
        <v/>
      </c>
      <c r="N1768" s="74" t="str">
        <f>IF($C1768="","",IF($D1768="Gider",$H1768,$E1768))</f>
        <v/>
      </c>
      <c r="O1768" s="73" t="str">
        <f>IF($C1768="","",DATE(YEAR($C1768),MONTH($C1768),1))</f>
        <v/>
      </c>
      <c r="P1768" s="65" t="str">
        <f ca="1">IF($C1768="","",IF(AND($D1768="Gelir",$L1768&lt;&gt;"",$T1768=""),"TANIMSIZ BORÇLU",IF($T1768&lt;&gt;"",IF(OR($E1768="",$G1768&lt;=0),"EKSİK",IF($I1768="Evet","TAHAKKUK NAKİT OLAMAZ",IF($C1768&gt;TODAY(),"İLERİ TARİH","TAHAKKUK"))),IF(AND($D1768&lt;&gt;"",$E1768&lt;&gt;"",$G1768&gt;0,$H1768&lt;&gt;"",$I1768&lt;&gt;""),IF($C1768&gt;TODAY(),"İLERİ TARİH",IF(COUNTIF($W$7:$W$3001,$W1768)&gt;1,"MÜKERRER?",IF($AD1768&gt;0,"KAPALI DÖNEM",IF($I1768="Hayır","ÖDENECEK","UYGUN")))),"EKSİK"))))</f>
        <v/>
      </c>
      <c r="Q1768" s="2"/>
      <c r="R1768" s="2"/>
      <c r="S1768" s="1" t="str">
        <f t="shared" si="83"/>
        <v/>
      </c>
      <c r="T1768" s="1" t="str">
        <f>IF(OR($C1768="",$D1768&lt;&gt;"Gelir",$L1768=""),"",IFERROR(INDEX(MUSTERILER!$B$7:$B$156,MATCH($S1768,MUSTERILER!$T$7:$T$156,0)),""))</f>
        <v/>
      </c>
      <c r="U1768" s="1" t="str">
        <f>IF($T1768="","",$T1768&amp;"|"&amp;COUNTIFS($T$7:$T1768,$T1768))</f>
        <v/>
      </c>
      <c r="V1768" s="1">
        <f t="shared" si="84"/>
        <v>0</v>
      </c>
      <c r="W1768" s="1" t="str">
        <f t="shared" si="85"/>
        <v/>
      </c>
      <c r="X1768" s="1"/>
      <c r="Y1768" s="1"/>
      <c r="Z1768" s="1"/>
      <c r="AA1768" s="1"/>
      <c r="AB1768" s="1"/>
      <c r="AC1768" s="1"/>
      <c r="AD1768" s="1">
        <f>IF($C1768="",0,SUMPRODUCT((AY_SONU!$O$7:$O$42="Evet")*(AY_SONU!$B$7:$B$42=DATE(YEAR($C1768),MONTH($C1768),1))))</f>
        <v>0</v>
      </c>
      <c r="AE1768" s="1" t="str">
        <f>IF($E1768="","",$E1768&amp;"|"&amp;COUNTIFS($E$7:$E1768,$E1768))</f>
        <v/>
      </c>
    </row>
    <row r="1769" spans="1:31" ht="18" customHeight="1" x14ac:dyDescent="0.3">
      <c r="A1769" s="2"/>
      <c r="B1769" s="65" t="str">
        <f>IF($C1769="","","GG"&amp;TEXT(ROW()-6,"00000"))</f>
        <v/>
      </c>
      <c r="C1769" s="66"/>
      <c r="D1769" s="60"/>
      <c r="E1769" s="61"/>
      <c r="F1769" s="61"/>
      <c r="G1769" s="67"/>
      <c r="H1769" s="60"/>
      <c r="I1769" s="60"/>
      <c r="J1769" s="61"/>
      <c r="K1769" s="61"/>
      <c r="L1769" s="60"/>
      <c r="M1769" s="74" t="str">
        <f>IF($C1769="","",IF($D1769="Gider",$E1769,IF($L1769&lt;&gt;"",$L1769,$H1769)))</f>
        <v/>
      </c>
      <c r="N1769" s="74" t="str">
        <f>IF($C1769="","",IF($D1769="Gider",$H1769,$E1769))</f>
        <v/>
      </c>
      <c r="O1769" s="73" t="str">
        <f>IF($C1769="","",DATE(YEAR($C1769),MONTH($C1769),1))</f>
        <v/>
      </c>
      <c r="P1769" s="65" t="str">
        <f ca="1">IF($C1769="","",IF(AND($D1769="Gelir",$L1769&lt;&gt;"",$T1769=""),"TANIMSIZ BORÇLU",IF($T1769&lt;&gt;"",IF(OR($E1769="",$G1769&lt;=0),"EKSİK",IF($I1769="Evet","TAHAKKUK NAKİT OLAMAZ",IF($C1769&gt;TODAY(),"İLERİ TARİH","TAHAKKUK"))),IF(AND($D1769&lt;&gt;"",$E1769&lt;&gt;"",$G1769&gt;0,$H1769&lt;&gt;"",$I1769&lt;&gt;""),IF($C1769&gt;TODAY(),"İLERİ TARİH",IF(COUNTIF($W$7:$W$3001,$W1769)&gt;1,"MÜKERRER?",IF($AD1769&gt;0,"KAPALI DÖNEM",IF($I1769="Hayır","ÖDENECEK","UYGUN")))),"EKSİK"))))</f>
        <v/>
      </c>
      <c r="Q1769" s="2"/>
      <c r="R1769" s="2"/>
      <c r="S1769" s="1" t="str">
        <f t="shared" si="83"/>
        <v/>
      </c>
      <c r="T1769" s="1" t="str">
        <f>IF(OR($C1769="",$D1769&lt;&gt;"Gelir",$L1769=""),"",IFERROR(INDEX(MUSTERILER!$B$7:$B$156,MATCH($S1769,MUSTERILER!$T$7:$T$156,0)),""))</f>
        <v/>
      </c>
      <c r="U1769" s="1" t="str">
        <f>IF($T1769="","",$T1769&amp;"|"&amp;COUNTIFS($T$7:$T1769,$T1769))</f>
        <v/>
      </c>
      <c r="V1769" s="1">
        <f t="shared" si="84"/>
        <v>0</v>
      </c>
      <c r="W1769" s="1" t="str">
        <f t="shared" si="85"/>
        <v/>
      </c>
      <c r="X1769" s="1"/>
      <c r="Y1769" s="1"/>
      <c r="Z1769" s="1"/>
      <c r="AA1769" s="1"/>
      <c r="AB1769" s="1"/>
      <c r="AC1769" s="1"/>
      <c r="AD1769" s="1">
        <f>IF($C1769="",0,SUMPRODUCT((AY_SONU!$O$7:$O$42="Evet")*(AY_SONU!$B$7:$B$42=DATE(YEAR($C1769),MONTH($C1769),1))))</f>
        <v>0</v>
      </c>
      <c r="AE1769" s="1" t="str">
        <f>IF($E1769="","",$E1769&amp;"|"&amp;COUNTIFS($E$7:$E1769,$E1769))</f>
        <v/>
      </c>
    </row>
    <row r="1770" spans="1:31" ht="18" customHeight="1" x14ac:dyDescent="0.3">
      <c r="A1770" s="2"/>
      <c r="B1770" s="65" t="str">
        <f>IF($C1770="","","GG"&amp;TEXT(ROW()-6,"00000"))</f>
        <v/>
      </c>
      <c r="C1770" s="66"/>
      <c r="D1770" s="60"/>
      <c r="E1770" s="61"/>
      <c r="F1770" s="61"/>
      <c r="G1770" s="67"/>
      <c r="H1770" s="60"/>
      <c r="I1770" s="60"/>
      <c r="J1770" s="61"/>
      <c r="K1770" s="61"/>
      <c r="L1770" s="60"/>
      <c r="M1770" s="74" t="str">
        <f>IF($C1770="","",IF($D1770="Gider",$E1770,IF($L1770&lt;&gt;"",$L1770,$H1770)))</f>
        <v/>
      </c>
      <c r="N1770" s="74" t="str">
        <f>IF($C1770="","",IF($D1770="Gider",$H1770,$E1770))</f>
        <v/>
      </c>
      <c r="O1770" s="73" t="str">
        <f>IF($C1770="","",DATE(YEAR($C1770),MONTH($C1770),1))</f>
        <v/>
      </c>
      <c r="P1770" s="65" t="str">
        <f ca="1">IF($C1770="","",IF(AND($D1770="Gelir",$L1770&lt;&gt;"",$T1770=""),"TANIMSIZ BORÇLU",IF($T1770&lt;&gt;"",IF(OR($E1770="",$G1770&lt;=0),"EKSİK",IF($I1770="Evet","TAHAKKUK NAKİT OLAMAZ",IF($C1770&gt;TODAY(),"İLERİ TARİH","TAHAKKUK"))),IF(AND($D1770&lt;&gt;"",$E1770&lt;&gt;"",$G1770&gt;0,$H1770&lt;&gt;"",$I1770&lt;&gt;""),IF($C1770&gt;TODAY(),"İLERİ TARİH",IF(COUNTIF($W$7:$W$3001,$W1770)&gt;1,"MÜKERRER?",IF($AD1770&gt;0,"KAPALI DÖNEM",IF($I1770="Hayır","ÖDENECEK","UYGUN")))),"EKSİK"))))</f>
        <v/>
      </c>
      <c r="Q1770" s="2"/>
      <c r="R1770" s="2"/>
      <c r="S1770" s="1" t="str">
        <f t="shared" si="83"/>
        <v/>
      </c>
      <c r="T1770" s="1" t="str">
        <f>IF(OR($C1770="",$D1770&lt;&gt;"Gelir",$L1770=""),"",IFERROR(INDEX(MUSTERILER!$B$7:$B$156,MATCH($S1770,MUSTERILER!$T$7:$T$156,0)),""))</f>
        <v/>
      </c>
      <c r="U1770" s="1" t="str">
        <f>IF($T1770="","",$T1770&amp;"|"&amp;COUNTIFS($T$7:$T1770,$T1770))</f>
        <v/>
      </c>
      <c r="V1770" s="1">
        <f t="shared" si="84"/>
        <v>0</v>
      </c>
      <c r="W1770" s="1" t="str">
        <f t="shared" si="85"/>
        <v/>
      </c>
      <c r="X1770" s="1"/>
      <c r="Y1770" s="1"/>
      <c r="Z1770" s="1"/>
      <c r="AA1770" s="1"/>
      <c r="AB1770" s="1"/>
      <c r="AC1770" s="1"/>
      <c r="AD1770" s="1">
        <f>IF($C1770="",0,SUMPRODUCT((AY_SONU!$O$7:$O$42="Evet")*(AY_SONU!$B$7:$B$42=DATE(YEAR($C1770),MONTH($C1770),1))))</f>
        <v>0</v>
      </c>
      <c r="AE1770" s="1" t="str">
        <f>IF($E1770="","",$E1770&amp;"|"&amp;COUNTIFS($E$7:$E1770,$E1770))</f>
        <v/>
      </c>
    </row>
    <row r="1771" spans="1:31" ht="18" customHeight="1" x14ac:dyDescent="0.3">
      <c r="A1771" s="2"/>
      <c r="B1771" s="65" t="str">
        <f>IF($C1771="","","GG"&amp;TEXT(ROW()-6,"00000"))</f>
        <v/>
      </c>
      <c r="C1771" s="66"/>
      <c r="D1771" s="60"/>
      <c r="E1771" s="61"/>
      <c r="F1771" s="61"/>
      <c r="G1771" s="67"/>
      <c r="H1771" s="60"/>
      <c r="I1771" s="60"/>
      <c r="J1771" s="61"/>
      <c r="K1771" s="61"/>
      <c r="L1771" s="60"/>
      <c r="M1771" s="74" t="str">
        <f>IF($C1771="","",IF($D1771="Gider",$E1771,IF($L1771&lt;&gt;"",$L1771,$H1771)))</f>
        <v/>
      </c>
      <c r="N1771" s="74" t="str">
        <f>IF($C1771="","",IF($D1771="Gider",$H1771,$E1771))</f>
        <v/>
      </c>
      <c r="O1771" s="73" t="str">
        <f>IF($C1771="","",DATE(YEAR($C1771),MONTH($C1771),1))</f>
        <v/>
      </c>
      <c r="P1771" s="65" t="str">
        <f ca="1">IF($C1771="","",IF(AND($D1771="Gelir",$L1771&lt;&gt;"",$T1771=""),"TANIMSIZ BORÇLU",IF($T1771&lt;&gt;"",IF(OR($E1771="",$G1771&lt;=0),"EKSİK",IF($I1771="Evet","TAHAKKUK NAKİT OLAMAZ",IF($C1771&gt;TODAY(),"İLERİ TARİH","TAHAKKUK"))),IF(AND($D1771&lt;&gt;"",$E1771&lt;&gt;"",$G1771&gt;0,$H1771&lt;&gt;"",$I1771&lt;&gt;""),IF($C1771&gt;TODAY(),"İLERİ TARİH",IF(COUNTIF($W$7:$W$3001,$W1771)&gt;1,"MÜKERRER?",IF($AD1771&gt;0,"KAPALI DÖNEM",IF($I1771="Hayır","ÖDENECEK","UYGUN")))),"EKSİK"))))</f>
        <v/>
      </c>
      <c r="Q1771" s="2"/>
      <c r="R1771" s="2"/>
      <c r="S1771" s="1" t="str">
        <f t="shared" si="83"/>
        <v/>
      </c>
      <c r="T1771" s="1" t="str">
        <f>IF(OR($C1771="",$D1771&lt;&gt;"Gelir",$L1771=""),"",IFERROR(INDEX(MUSTERILER!$B$7:$B$156,MATCH($S1771,MUSTERILER!$T$7:$T$156,0)),""))</f>
        <v/>
      </c>
      <c r="U1771" s="1" t="str">
        <f>IF($T1771="","",$T1771&amp;"|"&amp;COUNTIFS($T$7:$T1771,$T1771))</f>
        <v/>
      </c>
      <c r="V1771" s="1">
        <f t="shared" si="84"/>
        <v>0</v>
      </c>
      <c r="W1771" s="1" t="str">
        <f t="shared" si="85"/>
        <v/>
      </c>
      <c r="X1771" s="1"/>
      <c r="Y1771" s="1"/>
      <c r="Z1771" s="1"/>
      <c r="AA1771" s="1"/>
      <c r="AB1771" s="1"/>
      <c r="AC1771" s="1"/>
      <c r="AD1771" s="1">
        <f>IF($C1771="",0,SUMPRODUCT((AY_SONU!$O$7:$O$42="Evet")*(AY_SONU!$B$7:$B$42=DATE(YEAR($C1771),MONTH($C1771),1))))</f>
        <v>0</v>
      </c>
      <c r="AE1771" s="1" t="str">
        <f>IF($E1771="","",$E1771&amp;"|"&amp;COUNTIFS($E$7:$E1771,$E1771))</f>
        <v/>
      </c>
    </row>
    <row r="1772" spans="1:31" ht="18" customHeight="1" x14ac:dyDescent="0.3">
      <c r="A1772" s="2"/>
      <c r="B1772" s="65" t="str">
        <f>IF($C1772="","","GG"&amp;TEXT(ROW()-6,"00000"))</f>
        <v/>
      </c>
      <c r="C1772" s="66"/>
      <c r="D1772" s="60"/>
      <c r="E1772" s="61"/>
      <c r="F1772" s="61"/>
      <c r="G1772" s="67"/>
      <c r="H1772" s="60"/>
      <c r="I1772" s="60"/>
      <c r="J1772" s="61"/>
      <c r="K1772" s="61"/>
      <c r="L1772" s="60"/>
      <c r="M1772" s="74" t="str">
        <f>IF($C1772="","",IF($D1772="Gider",$E1772,IF($L1772&lt;&gt;"",$L1772,$H1772)))</f>
        <v/>
      </c>
      <c r="N1772" s="74" t="str">
        <f>IF($C1772="","",IF($D1772="Gider",$H1772,$E1772))</f>
        <v/>
      </c>
      <c r="O1772" s="73" t="str">
        <f>IF($C1772="","",DATE(YEAR($C1772),MONTH($C1772),1))</f>
        <v/>
      </c>
      <c r="P1772" s="65" t="str">
        <f ca="1">IF($C1772="","",IF(AND($D1772="Gelir",$L1772&lt;&gt;"",$T1772=""),"TANIMSIZ BORÇLU",IF($T1772&lt;&gt;"",IF(OR($E1772="",$G1772&lt;=0),"EKSİK",IF($I1772="Evet","TAHAKKUK NAKİT OLAMAZ",IF($C1772&gt;TODAY(),"İLERİ TARİH","TAHAKKUK"))),IF(AND($D1772&lt;&gt;"",$E1772&lt;&gt;"",$G1772&gt;0,$H1772&lt;&gt;"",$I1772&lt;&gt;""),IF($C1772&gt;TODAY(),"İLERİ TARİH",IF(COUNTIF($W$7:$W$3001,$W1772)&gt;1,"MÜKERRER?",IF($AD1772&gt;0,"KAPALI DÖNEM",IF($I1772="Hayır","ÖDENECEK","UYGUN")))),"EKSİK"))))</f>
        <v/>
      </c>
      <c r="Q1772" s="2"/>
      <c r="R1772" s="2"/>
      <c r="S1772" s="1" t="str">
        <f t="shared" si="83"/>
        <v/>
      </c>
      <c r="T1772" s="1" t="str">
        <f>IF(OR($C1772="",$D1772&lt;&gt;"Gelir",$L1772=""),"",IFERROR(INDEX(MUSTERILER!$B$7:$B$156,MATCH($S1772,MUSTERILER!$T$7:$T$156,0)),""))</f>
        <v/>
      </c>
      <c r="U1772" s="1" t="str">
        <f>IF($T1772="","",$T1772&amp;"|"&amp;COUNTIFS($T$7:$T1772,$T1772))</f>
        <v/>
      </c>
      <c r="V1772" s="1">
        <f t="shared" si="84"/>
        <v>0</v>
      </c>
      <c r="W1772" s="1" t="str">
        <f t="shared" si="85"/>
        <v/>
      </c>
      <c r="X1772" s="1"/>
      <c r="Y1772" s="1"/>
      <c r="Z1772" s="1"/>
      <c r="AA1772" s="1"/>
      <c r="AB1772" s="1"/>
      <c r="AC1772" s="1"/>
      <c r="AD1772" s="1">
        <f>IF($C1772="",0,SUMPRODUCT((AY_SONU!$O$7:$O$42="Evet")*(AY_SONU!$B$7:$B$42=DATE(YEAR($C1772),MONTH($C1772),1))))</f>
        <v>0</v>
      </c>
      <c r="AE1772" s="1" t="str">
        <f>IF($E1772="","",$E1772&amp;"|"&amp;COUNTIFS($E$7:$E1772,$E1772))</f>
        <v/>
      </c>
    </row>
    <row r="1773" spans="1:31" ht="18" customHeight="1" x14ac:dyDescent="0.3">
      <c r="A1773" s="2"/>
      <c r="B1773" s="65" t="str">
        <f>IF($C1773="","","GG"&amp;TEXT(ROW()-6,"00000"))</f>
        <v/>
      </c>
      <c r="C1773" s="66"/>
      <c r="D1773" s="60"/>
      <c r="E1773" s="61"/>
      <c r="F1773" s="61"/>
      <c r="G1773" s="67"/>
      <c r="H1773" s="60"/>
      <c r="I1773" s="60"/>
      <c r="J1773" s="61"/>
      <c r="K1773" s="61"/>
      <c r="L1773" s="60"/>
      <c r="M1773" s="74" t="str">
        <f>IF($C1773="","",IF($D1773="Gider",$E1773,IF($L1773&lt;&gt;"",$L1773,$H1773)))</f>
        <v/>
      </c>
      <c r="N1773" s="74" t="str">
        <f>IF($C1773="","",IF($D1773="Gider",$H1773,$E1773))</f>
        <v/>
      </c>
      <c r="O1773" s="73" t="str">
        <f>IF($C1773="","",DATE(YEAR($C1773),MONTH($C1773),1))</f>
        <v/>
      </c>
      <c r="P1773" s="65" t="str">
        <f ca="1">IF($C1773="","",IF(AND($D1773="Gelir",$L1773&lt;&gt;"",$T1773=""),"TANIMSIZ BORÇLU",IF($T1773&lt;&gt;"",IF(OR($E1773="",$G1773&lt;=0),"EKSİK",IF($I1773="Evet","TAHAKKUK NAKİT OLAMAZ",IF($C1773&gt;TODAY(),"İLERİ TARİH","TAHAKKUK"))),IF(AND($D1773&lt;&gt;"",$E1773&lt;&gt;"",$G1773&gt;0,$H1773&lt;&gt;"",$I1773&lt;&gt;""),IF($C1773&gt;TODAY(),"İLERİ TARİH",IF(COUNTIF($W$7:$W$3001,$W1773)&gt;1,"MÜKERRER?",IF($AD1773&gt;0,"KAPALI DÖNEM",IF($I1773="Hayır","ÖDENECEK","UYGUN")))),"EKSİK"))))</f>
        <v/>
      </c>
      <c r="Q1773" s="2"/>
      <c r="R1773" s="2"/>
      <c r="S1773" s="1" t="str">
        <f t="shared" si="83"/>
        <v/>
      </c>
      <c r="T1773" s="1" t="str">
        <f>IF(OR($C1773="",$D1773&lt;&gt;"Gelir",$L1773=""),"",IFERROR(INDEX(MUSTERILER!$B$7:$B$156,MATCH($S1773,MUSTERILER!$T$7:$T$156,0)),""))</f>
        <v/>
      </c>
      <c r="U1773" s="1" t="str">
        <f>IF($T1773="","",$T1773&amp;"|"&amp;COUNTIFS($T$7:$T1773,$T1773))</f>
        <v/>
      </c>
      <c r="V1773" s="1">
        <f t="shared" si="84"/>
        <v>0</v>
      </c>
      <c r="W1773" s="1" t="str">
        <f t="shared" si="85"/>
        <v/>
      </c>
      <c r="X1773" s="1"/>
      <c r="Y1773" s="1"/>
      <c r="Z1773" s="1"/>
      <c r="AA1773" s="1"/>
      <c r="AB1773" s="1"/>
      <c r="AC1773" s="1"/>
      <c r="AD1773" s="1">
        <f>IF($C1773="",0,SUMPRODUCT((AY_SONU!$O$7:$O$42="Evet")*(AY_SONU!$B$7:$B$42=DATE(YEAR($C1773),MONTH($C1773),1))))</f>
        <v>0</v>
      </c>
      <c r="AE1773" s="1" t="str">
        <f>IF($E1773="","",$E1773&amp;"|"&amp;COUNTIFS($E$7:$E1773,$E1773))</f>
        <v/>
      </c>
    </row>
    <row r="1774" spans="1:31" ht="18" customHeight="1" x14ac:dyDescent="0.3">
      <c r="A1774" s="2"/>
      <c r="B1774" s="65" t="str">
        <f>IF($C1774="","","GG"&amp;TEXT(ROW()-6,"00000"))</f>
        <v/>
      </c>
      <c r="C1774" s="66"/>
      <c r="D1774" s="60"/>
      <c r="E1774" s="61"/>
      <c r="F1774" s="61"/>
      <c r="G1774" s="67"/>
      <c r="H1774" s="60"/>
      <c r="I1774" s="60"/>
      <c r="J1774" s="61"/>
      <c r="K1774" s="61"/>
      <c r="L1774" s="60"/>
      <c r="M1774" s="74" t="str">
        <f>IF($C1774="","",IF($D1774="Gider",$E1774,IF($L1774&lt;&gt;"",$L1774,$H1774)))</f>
        <v/>
      </c>
      <c r="N1774" s="74" t="str">
        <f>IF($C1774="","",IF($D1774="Gider",$H1774,$E1774))</f>
        <v/>
      </c>
      <c r="O1774" s="73" t="str">
        <f>IF($C1774="","",DATE(YEAR($C1774),MONTH($C1774),1))</f>
        <v/>
      </c>
      <c r="P1774" s="65" t="str">
        <f ca="1">IF($C1774="","",IF(AND($D1774="Gelir",$L1774&lt;&gt;"",$T1774=""),"TANIMSIZ BORÇLU",IF($T1774&lt;&gt;"",IF(OR($E1774="",$G1774&lt;=0),"EKSİK",IF($I1774="Evet","TAHAKKUK NAKİT OLAMAZ",IF($C1774&gt;TODAY(),"İLERİ TARİH","TAHAKKUK"))),IF(AND($D1774&lt;&gt;"",$E1774&lt;&gt;"",$G1774&gt;0,$H1774&lt;&gt;"",$I1774&lt;&gt;""),IF($C1774&gt;TODAY(),"İLERİ TARİH",IF(COUNTIF($W$7:$W$3001,$W1774)&gt;1,"MÜKERRER?",IF($AD1774&gt;0,"KAPALI DÖNEM",IF($I1774="Hayır","ÖDENECEK","UYGUN")))),"EKSİK"))))</f>
        <v/>
      </c>
      <c r="Q1774" s="2"/>
      <c r="R1774" s="2"/>
      <c r="S1774" s="1" t="str">
        <f t="shared" si="83"/>
        <v/>
      </c>
      <c r="T1774" s="1" t="str">
        <f>IF(OR($C1774="",$D1774&lt;&gt;"Gelir",$L1774=""),"",IFERROR(INDEX(MUSTERILER!$B$7:$B$156,MATCH($S1774,MUSTERILER!$T$7:$T$156,0)),""))</f>
        <v/>
      </c>
      <c r="U1774" s="1" t="str">
        <f>IF($T1774="","",$T1774&amp;"|"&amp;COUNTIFS($T$7:$T1774,$T1774))</f>
        <v/>
      </c>
      <c r="V1774" s="1">
        <f t="shared" si="84"/>
        <v>0</v>
      </c>
      <c r="W1774" s="1" t="str">
        <f t="shared" si="85"/>
        <v/>
      </c>
      <c r="X1774" s="1"/>
      <c r="Y1774" s="1"/>
      <c r="Z1774" s="1"/>
      <c r="AA1774" s="1"/>
      <c r="AB1774" s="1"/>
      <c r="AC1774" s="1"/>
      <c r="AD1774" s="1">
        <f>IF($C1774="",0,SUMPRODUCT((AY_SONU!$O$7:$O$42="Evet")*(AY_SONU!$B$7:$B$42=DATE(YEAR($C1774),MONTH($C1774),1))))</f>
        <v>0</v>
      </c>
      <c r="AE1774" s="1" t="str">
        <f>IF($E1774="","",$E1774&amp;"|"&amp;COUNTIFS($E$7:$E1774,$E1774))</f>
        <v/>
      </c>
    </row>
    <row r="1775" spans="1:31" ht="18" customHeight="1" x14ac:dyDescent="0.3">
      <c r="A1775" s="2"/>
      <c r="B1775" s="65" t="str">
        <f>IF($C1775="","","GG"&amp;TEXT(ROW()-6,"00000"))</f>
        <v/>
      </c>
      <c r="C1775" s="66"/>
      <c r="D1775" s="60"/>
      <c r="E1775" s="61"/>
      <c r="F1775" s="61"/>
      <c r="G1775" s="67"/>
      <c r="H1775" s="60"/>
      <c r="I1775" s="60"/>
      <c r="J1775" s="61"/>
      <c r="K1775" s="61"/>
      <c r="L1775" s="60"/>
      <c r="M1775" s="74" t="str">
        <f>IF($C1775="","",IF($D1775="Gider",$E1775,IF($L1775&lt;&gt;"",$L1775,$H1775)))</f>
        <v/>
      </c>
      <c r="N1775" s="74" t="str">
        <f>IF($C1775="","",IF($D1775="Gider",$H1775,$E1775))</f>
        <v/>
      </c>
      <c r="O1775" s="73" t="str">
        <f>IF($C1775="","",DATE(YEAR($C1775),MONTH($C1775),1))</f>
        <v/>
      </c>
      <c r="P1775" s="65" t="str">
        <f ca="1">IF($C1775="","",IF(AND($D1775="Gelir",$L1775&lt;&gt;"",$T1775=""),"TANIMSIZ BORÇLU",IF($T1775&lt;&gt;"",IF(OR($E1775="",$G1775&lt;=0),"EKSİK",IF($I1775="Evet","TAHAKKUK NAKİT OLAMAZ",IF($C1775&gt;TODAY(),"İLERİ TARİH","TAHAKKUK"))),IF(AND($D1775&lt;&gt;"",$E1775&lt;&gt;"",$G1775&gt;0,$H1775&lt;&gt;"",$I1775&lt;&gt;""),IF($C1775&gt;TODAY(),"İLERİ TARİH",IF(COUNTIF($W$7:$W$3001,$W1775)&gt;1,"MÜKERRER?",IF($AD1775&gt;0,"KAPALI DÖNEM",IF($I1775="Hayır","ÖDENECEK","UYGUN")))),"EKSİK"))))</f>
        <v/>
      </c>
      <c r="Q1775" s="2"/>
      <c r="R1775" s="2"/>
      <c r="S1775" s="1" t="str">
        <f t="shared" si="83"/>
        <v/>
      </c>
      <c r="T1775" s="1" t="str">
        <f>IF(OR($C1775="",$D1775&lt;&gt;"Gelir",$L1775=""),"",IFERROR(INDEX(MUSTERILER!$B$7:$B$156,MATCH($S1775,MUSTERILER!$T$7:$T$156,0)),""))</f>
        <v/>
      </c>
      <c r="U1775" s="1" t="str">
        <f>IF($T1775="","",$T1775&amp;"|"&amp;COUNTIFS($T$7:$T1775,$T1775))</f>
        <v/>
      </c>
      <c r="V1775" s="1">
        <f t="shared" si="84"/>
        <v>0</v>
      </c>
      <c r="W1775" s="1" t="str">
        <f t="shared" si="85"/>
        <v/>
      </c>
      <c r="X1775" s="1"/>
      <c r="Y1775" s="1"/>
      <c r="Z1775" s="1"/>
      <c r="AA1775" s="1"/>
      <c r="AB1775" s="1"/>
      <c r="AC1775" s="1"/>
      <c r="AD1775" s="1">
        <f>IF($C1775="",0,SUMPRODUCT((AY_SONU!$O$7:$O$42="Evet")*(AY_SONU!$B$7:$B$42=DATE(YEAR($C1775),MONTH($C1775),1))))</f>
        <v>0</v>
      </c>
      <c r="AE1775" s="1" t="str">
        <f>IF($E1775="","",$E1775&amp;"|"&amp;COUNTIFS($E$7:$E1775,$E1775))</f>
        <v/>
      </c>
    </row>
    <row r="1776" spans="1:31" ht="18" customHeight="1" x14ac:dyDescent="0.3">
      <c r="A1776" s="2"/>
      <c r="B1776" s="65" t="str">
        <f>IF($C1776="","","GG"&amp;TEXT(ROW()-6,"00000"))</f>
        <v/>
      </c>
      <c r="C1776" s="66"/>
      <c r="D1776" s="60"/>
      <c r="E1776" s="61"/>
      <c r="F1776" s="61"/>
      <c r="G1776" s="67"/>
      <c r="H1776" s="60"/>
      <c r="I1776" s="60"/>
      <c r="J1776" s="61"/>
      <c r="K1776" s="61"/>
      <c r="L1776" s="60"/>
      <c r="M1776" s="74" t="str">
        <f>IF($C1776="","",IF($D1776="Gider",$E1776,IF($L1776&lt;&gt;"",$L1776,$H1776)))</f>
        <v/>
      </c>
      <c r="N1776" s="74" t="str">
        <f>IF($C1776="","",IF($D1776="Gider",$H1776,$E1776))</f>
        <v/>
      </c>
      <c r="O1776" s="73" t="str">
        <f>IF($C1776="","",DATE(YEAR($C1776),MONTH($C1776),1))</f>
        <v/>
      </c>
      <c r="P1776" s="65" t="str">
        <f ca="1">IF($C1776="","",IF(AND($D1776="Gelir",$L1776&lt;&gt;"",$T1776=""),"TANIMSIZ BORÇLU",IF($T1776&lt;&gt;"",IF(OR($E1776="",$G1776&lt;=0),"EKSİK",IF($I1776="Evet","TAHAKKUK NAKİT OLAMAZ",IF($C1776&gt;TODAY(),"İLERİ TARİH","TAHAKKUK"))),IF(AND($D1776&lt;&gt;"",$E1776&lt;&gt;"",$G1776&gt;0,$H1776&lt;&gt;"",$I1776&lt;&gt;""),IF($C1776&gt;TODAY(),"İLERİ TARİH",IF(COUNTIF($W$7:$W$3001,$W1776)&gt;1,"MÜKERRER?",IF($AD1776&gt;0,"KAPALI DÖNEM",IF($I1776="Hayır","ÖDENECEK","UYGUN")))),"EKSİK"))))</f>
        <v/>
      </c>
      <c r="Q1776" s="2"/>
      <c r="R1776" s="2"/>
      <c r="S1776" s="1" t="str">
        <f t="shared" si="83"/>
        <v/>
      </c>
      <c r="T1776" s="1" t="str">
        <f>IF(OR($C1776="",$D1776&lt;&gt;"Gelir",$L1776=""),"",IFERROR(INDEX(MUSTERILER!$B$7:$B$156,MATCH($S1776,MUSTERILER!$T$7:$T$156,0)),""))</f>
        <v/>
      </c>
      <c r="U1776" s="1" t="str">
        <f>IF($T1776="","",$T1776&amp;"|"&amp;COUNTIFS($T$7:$T1776,$T1776))</f>
        <v/>
      </c>
      <c r="V1776" s="1">
        <f t="shared" si="84"/>
        <v>0</v>
      </c>
      <c r="W1776" s="1" t="str">
        <f t="shared" si="85"/>
        <v/>
      </c>
      <c r="X1776" s="1"/>
      <c r="Y1776" s="1"/>
      <c r="Z1776" s="1"/>
      <c r="AA1776" s="1"/>
      <c r="AB1776" s="1"/>
      <c r="AC1776" s="1"/>
      <c r="AD1776" s="1">
        <f>IF($C1776="",0,SUMPRODUCT((AY_SONU!$O$7:$O$42="Evet")*(AY_SONU!$B$7:$B$42=DATE(YEAR($C1776),MONTH($C1776),1))))</f>
        <v>0</v>
      </c>
      <c r="AE1776" s="1" t="str">
        <f>IF($E1776="","",$E1776&amp;"|"&amp;COUNTIFS($E$7:$E1776,$E1776))</f>
        <v/>
      </c>
    </row>
    <row r="1777" spans="1:31" ht="18" customHeight="1" x14ac:dyDescent="0.3">
      <c r="A1777" s="2"/>
      <c r="B1777" s="65" t="str">
        <f>IF($C1777="","","GG"&amp;TEXT(ROW()-6,"00000"))</f>
        <v/>
      </c>
      <c r="C1777" s="66"/>
      <c r="D1777" s="60"/>
      <c r="E1777" s="61"/>
      <c r="F1777" s="61"/>
      <c r="G1777" s="67"/>
      <c r="H1777" s="60"/>
      <c r="I1777" s="60"/>
      <c r="J1777" s="61"/>
      <c r="K1777" s="61"/>
      <c r="L1777" s="60"/>
      <c r="M1777" s="74" t="str">
        <f>IF($C1777="","",IF($D1777="Gider",$E1777,IF($L1777&lt;&gt;"",$L1777,$H1777)))</f>
        <v/>
      </c>
      <c r="N1777" s="74" t="str">
        <f>IF($C1777="","",IF($D1777="Gider",$H1777,$E1777))</f>
        <v/>
      </c>
      <c r="O1777" s="73" t="str">
        <f>IF($C1777="","",DATE(YEAR($C1777),MONTH($C1777),1))</f>
        <v/>
      </c>
      <c r="P1777" s="65" t="str">
        <f ca="1">IF($C1777="","",IF(AND($D1777="Gelir",$L1777&lt;&gt;"",$T1777=""),"TANIMSIZ BORÇLU",IF($T1777&lt;&gt;"",IF(OR($E1777="",$G1777&lt;=0),"EKSİK",IF($I1777="Evet","TAHAKKUK NAKİT OLAMAZ",IF($C1777&gt;TODAY(),"İLERİ TARİH","TAHAKKUK"))),IF(AND($D1777&lt;&gt;"",$E1777&lt;&gt;"",$G1777&gt;0,$H1777&lt;&gt;"",$I1777&lt;&gt;""),IF($C1777&gt;TODAY(),"İLERİ TARİH",IF(COUNTIF($W$7:$W$3001,$W1777)&gt;1,"MÜKERRER?",IF($AD1777&gt;0,"KAPALI DÖNEM",IF($I1777="Hayır","ÖDENECEK","UYGUN")))),"EKSİK"))))</f>
        <v/>
      </c>
      <c r="Q1777" s="2"/>
      <c r="R1777" s="2"/>
      <c r="S1777" s="1" t="str">
        <f t="shared" si="83"/>
        <v/>
      </c>
      <c r="T1777" s="1" t="str">
        <f>IF(OR($C1777="",$D1777&lt;&gt;"Gelir",$L1777=""),"",IFERROR(INDEX(MUSTERILER!$B$7:$B$156,MATCH($S1777,MUSTERILER!$T$7:$T$156,0)),""))</f>
        <v/>
      </c>
      <c r="U1777" s="1" t="str">
        <f>IF($T1777="","",$T1777&amp;"|"&amp;COUNTIFS($T$7:$T1777,$T1777))</f>
        <v/>
      </c>
      <c r="V1777" s="1">
        <f t="shared" si="84"/>
        <v>0</v>
      </c>
      <c r="W1777" s="1" t="str">
        <f t="shared" si="85"/>
        <v/>
      </c>
      <c r="X1777" s="1"/>
      <c r="Y1777" s="1"/>
      <c r="Z1777" s="1"/>
      <c r="AA1777" s="1"/>
      <c r="AB1777" s="1"/>
      <c r="AC1777" s="1"/>
      <c r="AD1777" s="1">
        <f>IF($C1777="",0,SUMPRODUCT((AY_SONU!$O$7:$O$42="Evet")*(AY_SONU!$B$7:$B$42=DATE(YEAR($C1777),MONTH($C1777),1))))</f>
        <v>0</v>
      </c>
      <c r="AE1777" s="1" t="str">
        <f>IF($E1777="","",$E1777&amp;"|"&amp;COUNTIFS($E$7:$E1777,$E1777))</f>
        <v/>
      </c>
    </row>
    <row r="1778" spans="1:31" ht="18" customHeight="1" x14ac:dyDescent="0.3">
      <c r="A1778" s="2"/>
      <c r="B1778" s="65" t="str">
        <f>IF($C1778="","","GG"&amp;TEXT(ROW()-6,"00000"))</f>
        <v/>
      </c>
      <c r="C1778" s="66"/>
      <c r="D1778" s="60"/>
      <c r="E1778" s="61"/>
      <c r="F1778" s="61"/>
      <c r="G1778" s="67"/>
      <c r="H1778" s="60"/>
      <c r="I1778" s="60"/>
      <c r="J1778" s="61"/>
      <c r="K1778" s="61"/>
      <c r="L1778" s="60"/>
      <c r="M1778" s="74" t="str">
        <f>IF($C1778="","",IF($D1778="Gider",$E1778,IF($L1778&lt;&gt;"",$L1778,$H1778)))</f>
        <v/>
      </c>
      <c r="N1778" s="74" t="str">
        <f>IF($C1778="","",IF($D1778="Gider",$H1778,$E1778))</f>
        <v/>
      </c>
      <c r="O1778" s="73" t="str">
        <f>IF($C1778="","",DATE(YEAR($C1778),MONTH($C1778),1))</f>
        <v/>
      </c>
      <c r="P1778" s="65" t="str">
        <f ca="1">IF($C1778="","",IF(AND($D1778="Gelir",$L1778&lt;&gt;"",$T1778=""),"TANIMSIZ BORÇLU",IF($T1778&lt;&gt;"",IF(OR($E1778="",$G1778&lt;=0),"EKSİK",IF($I1778="Evet","TAHAKKUK NAKİT OLAMAZ",IF($C1778&gt;TODAY(),"İLERİ TARİH","TAHAKKUK"))),IF(AND($D1778&lt;&gt;"",$E1778&lt;&gt;"",$G1778&gt;0,$H1778&lt;&gt;"",$I1778&lt;&gt;""),IF($C1778&gt;TODAY(),"İLERİ TARİH",IF(COUNTIF($W$7:$W$3001,$W1778)&gt;1,"MÜKERRER?",IF($AD1778&gt;0,"KAPALI DÖNEM",IF($I1778="Hayır","ÖDENECEK","UYGUN")))),"EKSİK"))))</f>
        <v/>
      </c>
      <c r="Q1778" s="2"/>
      <c r="R1778" s="2"/>
      <c r="S1778" s="1" t="str">
        <f t="shared" si="83"/>
        <v/>
      </c>
      <c r="T1778" s="1" t="str">
        <f>IF(OR($C1778="",$D1778&lt;&gt;"Gelir",$L1778=""),"",IFERROR(INDEX(MUSTERILER!$B$7:$B$156,MATCH($S1778,MUSTERILER!$T$7:$T$156,0)),""))</f>
        <v/>
      </c>
      <c r="U1778" s="1" t="str">
        <f>IF($T1778="","",$T1778&amp;"|"&amp;COUNTIFS($T$7:$T1778,$T1778))</f>
        <v/>
      </c>
      <c r="V1778" s="1">
        <f t="shared" si="84"/>
        <v>0</v>
      </c>
      <c r="W1778" s="1" t="str">
        <f t="shared" si="85"/>
        <v/>
      </c>
      <c r="X1778" s="1"/>
      <c r="Y1778" s="1"/>
      <c r="Z1778" s="1"/>
      <c r="AA1778" s="1"/>
      <c r="AB1778" s="1"/>
      <c r="AC1778" s="1"/>
      <c r="AD1778" s="1">
        <f>IF($C1778="",0,SUMPRODUCT((AY_SONU!$O$7:$O$42="Evet")*(AY_SONU!$B$7:$B$42=DATE(YEAR($C1778),MONTH($C1778),1))))</f>
        <v>0</v>
      </c>
      <c r="AE1778" s="1" t="str">
        <f>IF($E1778="","",$E1778&amp;"|"&amp;COUNTIFS($E$7:$E1778,$E1778))</f>
        <v/>
      </c>
    </row>
    <row r="1779" spans="1:31" ht="18" customHeight="1" x14ac:dyDescent="0.3">
      <c r="A1779" s="2"/>
      <c r="B1779" s="65" t="str">
        <f>IF($C1779="","","GG"&amp;TEXT(ROW()-6,"00000"))</f>
        <v/>
      </c>
      <c r="C1779" s="66"/>
      <c r="D1779" s="60"/>
      <c r="E1779" s="61"/>
      <c r="F1779" s="61"/>
      <c r="G1779" s="67"/>
      <c r="H1779" s="60"/>
      <c r="I1779" s="60"/>
      <c r="J1779" s="61"/>
      <c r="K1779" s="61"/>
      <c r="L1779" s="60"/>
      <c r="M1779" s="74" t="str">
        <f>IF($C1779="","",IF($D1779="Gider",$E1779,IF($L1779&lt;&gt;"",$L1779,$H1779)))</f>
        <v/>
      </c>
      <c r="N1779" s="74" t="str">
        <f>IF($C1779="","",IF($D1779="Gider",$H1779,$E1779))</f>
        <v/>
      </c>
      <c r="O1779" s="73" t="str">
        <f>IF($C1779="","",DATE(YEAR($C1779),MONTH($C1779),1))</f>
        <v/>
      </c>
      <c r="P1779" s="65" t="str">
        <f ca="1">IF($C1779="","",IF(AND($D1779="Gelir",$L1779&lt;&gt;"",$T1779=""),"TANIMSIZ BORÇLU",IF($T1779&lt;&gt;"",IF(OR($E1779="",$G1779&lt;=0),"EKSİK",IF($I1779="Evet","TAHAKKUK NAKİT OLAMAZ",IF($C1779&gt;TODAY(),"İLERİ TARİH","TAHAKKUK"))),IF(AND($D1779&lt;&gt;"",$E1779&lt;&gt;"",$G1779&gt;0,$H1779&lt;&gt;"",$I1779&lt;&gt;""),IF($C1779&gt;TODAY(),"İLERİ TARİH",IF(COUNTIF($W$7:$W$3001,$W1779)&gt;1,"MÜKERRER?",IF($AD1779&gt;0,"KAPALI DÖNEM",IF($I1779="Hayır","ÖDENECEK","UYGUN")))),"EKSİK"))))</f>
        <v/>
      </c>
      <c r="Q1779" s="2"/>
      <c r="R1779" s="2"/>
      <c r="S1779" s="1" t="str">
        <f t="shared" si="83"/>
        <v/>
      </c>
      <c r="T1779" s="1" t="str">
        <f>IF(OR($C1779="",$D1779&lt;&gt;"Gelir",$L1779=""),"",IFERROR(INDEX(MUSTERILER!$B$7:$B$156,MATCH($S1779,MUSTERILER!$T$7:$T$156,0)),""))</f>
        <v/>
      </c>
      <c r="U1779" s="1" t="str">
        <f>IF($T1779="","",$T1779&amp;"|"&amp;COUNTIFS($T$7:$T1779,$T1779))</f>
        <v/>
      </c>
      <c r="V1779" s="1">
        <f t="shared" si="84"/>
        <v>0</v>
      </c>
      <c r="W1779" s="1" t="str">
        <f t="shared" si="85"/>
        <v/>
      </c>
      <c r="X1779" s="1"/>
      <c r="Y1779" s="1"/>
      <c r="Z1779" s="1"/>
      <c r="AA1779" s="1"/>
      <c r="AB1779" s="1"/>
      <c r="AC1779" s="1"/>
      <c r="AD1779" s="1">
        <f>IF($C1779="",0,SUMPRODUCT((AY_SONU!$O$7:$O$42="Evet")*(AY_SONU!$B$7:$B$42=DATE(YEAR($C1779),MONTH($C1779),1))))</f>
        <v>0</v>
      </c>
      <c r="AE1779" s="1" t="str">
        <f>IF($E1779="","",$E1779&amp;"|"&amp;COUNTIFS($E$7:$E1779,$E1779))</f>
        <v/>
      </c>
    </row>
    <row r="1780" spans="1:31" ht="18" customHeight="1" x14ac:dyDescent="0.3">
      <c r="A1780" s="2"/>
      <c r="B1780" s="65" t="str">
        <f>IF($C1780="","","GG"&amp;TEXT(ROW()-6,"00000"))</f>
        <v/>
      </c>
      <c r="C1780" s="66"/>
      <c r="D1780" s="60"/>
      <c r="E1780" s="61"/>
      <c r="F1780" s="61"/>
      <c r="G1780" s="67"/>
      <c r="H1780" s="60"/>
      <c r="I1780" s="60"/>
      <c r="J1780" s="61"/>
      <c r="K1780" s="61"/>
      <c r="L1780" s="60"/>
      <c r="M1780" s="74" t="str">
        <f>IF($C1780="","",IF($D1780="Gider",$E1780,IF($L1780&lt;&gt;"",$L1780,$H1780)))</f>
        <v/>
      </c>
      <c r="N1780" s="74" t="str">
        <f>IF($C1780="","",IF($D1780="Gider",$H1780,$E1780))</f>
        <v/>
      </c>
      <c r="O1780" s="73" t="str">
        <f>IF($C1780="","",DATE(YEAR($C1780),MONTH($C1780),1))</f>
        <v/>
      </c>
      <c r="P1780" s="65" t="str">
        <f ca="1">IF($C1780="","",IF(AND($D1780="Gelir",$L1780&lt;&gt;"",$T1780=""),"TANIMSIZ BORÇLU",IF($T1780&lt;&gt;"",IF(OR($E1780="",$G1780&lt;=0),"EKSİK",IF($I1780="Evet","TAHAKKUK NAKİT OLAMAZ",IF($C1780&gt;TODAY(),"İLERİ TARİH","TAHAKKUK"))),IF(AND($D1780&lt;&gt;"",$E1780&lt;&gt;"",$G1780&gt;0,$H1780&lt;&gt;"",$I1780&lt;&gt;""),IF($C1780&gt;TODAY(),"İLERİ TARİH",IF(COUNTIF($W$7:$W$3001,$W1780)&gt;1,"MÜKERRER?",IF($AD1780&gt;0,"KAPALI DÖNEM",IF($I1780="Hayır","ÖDENECEK","UYGUN")))),"EKSİK"))))</f>
        <v/>
      </c>
      <c r="Q1780" s="2"/>
      <c r="R1780" s="2"/>
      <c r="S1780" s="1" t="str">
        <f t="shared" si="83"/>
        <v/>
      </c>
      <c r="T1780" s="1" t="str">
        <f>IF(OR($C1780="",$D1780&lt;&gt;"Gelir",$L1780=""),"",IFERROR(INDEX(MUSTERILER!$B$7:$B$156,MATCH($S1780,MUSTERILER!$T$7:$T$156,0)),""))</f>
        <v/>
      </c>
      <c r="U1780" s="1" t="str">
        <f>IF($T1780="","",$T1780&amp;"|"&amp;COUNTIFS($T$7:$T1780,$T1780))</f>
        <v/>
      </c>
      <c r="V1780" s="1">
        <f t="shared" si="84"/>
        <v>0</v>
      </c>
      <c r="W1780" s="1" t="str">
        <f t="shared" si="85"/>
        <v/>
      </c>
      <c r="X1780" s="1"/>
      <c r="Y1780" s="1"/>
      <c r="Z1780" s="1"/>
      <c r="AA1780" s="1"/>
      <c r="AB1780" s="1"/>
      <c r="AC1780" s="1"/>
      <c r="AD1780" s="1">
        <f>IF($C1780="",0,SUMPRODUCT((AY_SONU!$O$7:$O$42="Evet")*(AY_SONU!$B$7:$B$42=DATE(YEAR($C1780),MONTH($C1780),1))))</f>
        <v>0</v>
      </c>
      <c r="AE1780" s="1" t="str">
        <f>IF($E1780="","",$E1780&amp;"|"&amp;COUNTIFS($E$7:$E1780,$E1780))</f>
        <v/>
      </c>
    </row>
    <row r="1781" spans="1:31" ht="18" customHeight="1" x14ac:dyDescent="0.3">
      <c r="A1781" s="2"/>
      <c r="B1781" s="65" t="str">
        <f>IF($C1781="","","GG"&amp;TEXT(ROW()-6,"00000"))</f>
        <v/>
      </c>
      <c r="C1781" s="66"/>
      <c r="D1781" s="60"/>
      <c r="E1781" s="61"/>
      <c r="F1781" s="61"/>
      <c r="G1781" s="67"/>
      <c r="H1781" s="60"/>
      <c r="I1781" s="60"/>
      <c r="J1781" s="61"/>
      <c r="K1781" s="61"/>
      <c r="L1781" s="60"/>
      <c r="M1781" s="74" t="str">
        <f>IF($C1781="","",IF($D1781="Gider",$E1781,IF($L1781&lt;&gt;"",$L1781,$H1781)))</f>
        <v/>
      </c>
      <c r="N1781" s="74" t="str">
        <f>IF($C1781="","",IF($D1781="Gider",$H1781,$E1781))</f>
        <v/>
      </c>
      <c r="O1781" s="73" t="str">
        <f>IF($C1781="","",DATE(YEAR($C1781),MONTH($C1781),1))</f>
        <v/>
      </c>
      <c r="P1781" s="65" t="str">
        <f ca="1">IF($C1781="","",IF(AND($D1781="Gelir",$L1781&lt;&gt;"",$T1781=""),"TANIMSIZ BORÇLU",IF($T1781&lt;&gt;"",IF(OR($E1781="",$G1781&lt;=0),"EKSİK",IF($I1781="Evet","TAHAKKUK NAKİT OLAMAZ",IF($C1781&gt;TODAY(),"İLERİ TARİH","TAHAKKUK"))),IF(AND($D1781&lt;&gt;"",$E1781&lt;&gt;"",$G1781&gt;0,$H1781&lt;&gt;"",$I1781&lt;&gt;""),IF($C1781&gt;TODAY(),"İLERİ TARİH",IF(COUNTIF($W$7:$W$3001,$W1781)&gt;1,"MÜKERRER?",IF($AD1781&gt;0,"KAPALI DÖNEM",IF($I1781="Hayır","ÖDENECEK","UYGUN")))),"EKSİK"))))</f>
        <v/>
      </c>
      <c r="Q1781" s="2"/>
      <c r="R1781" s="2"/>
      <c r="S1781" s="1" t="str">
        <f t="shared" si="83"/>
        <v/>
      </c>
      <c r="T1781" s="1" t="str">
        <f>IF(OR($C1781="",$D1781&lt;&gt;"Gelir",$L1781=""),"",IFERROR(INDEX(MUSTERILER!$B$7:$B$156,MATCH($S1781,MUSTERILER!$T$7:$T$156,0)),""))</f>
        <v/>
      </c>
      <c r="U1781" s="1" t="str">
        <f>IF($T1781="","",$T1781&amp;"|"&amp;COUNTIFS($T$7:$T1781,$T1781))</f>
        <v/>
      </c>
      <c r="V1781" s="1">
        <f t="shared" si="84"/>
        <v>0</v>
      </c>
      <c r="W1781" s="1" t="str">
        <f t="shared" si="85"/>
        <v/>
      </c>
      <c r="X1781" s="1"/>
      <c r="Y1781" s="1"/>
      <c r="Z1781" s="1"/>
      <c r="AA1781" s="1"/>
      <c r="AB1781" s="1"/>
      <c r="AC1781" s="1"/>
      <c r="AD1781" s="1">
        <f>IF($C1781="",0,SUMPRODUCT((AY_SONU!$O$7:$O$42="Evet")*(AY_SONU!$B$7:$B$42=DATE(YEAR($C1781),MONTH($C1781),1))))</f>
        <v>0</v>
      </c>
      <c r="AE1781" s="1" t="str">
        <f>IF($E1781="","",$E1781&amp;"|"&amp;COUNTIFS($E$7:$E1781,$E1781))</f>
        <v/>
      </c>
    </row>
    <row r="1782" spans="1:31" ht="18" customHeight="1" x14ac:dyDescent="0.3">
      <c r="A1782" s="2"/>
      <c r="B1782" s="65" t="str">
        <f>IF($C1782="","","GG"&amp;TEXT(ROW()-6,"00000"))</f>
        <v/>
      </c>
      <c r="C1782" s="66"/>
      <c r="D1782" s="60"/>
      <c r="E1782" s="61"/>
      <c r="F1782" s="61"/>
      <c r="G1782" s="67"/>
      <c r="H1782" s="60"/>
      <c r="I1782" s="60"/>
      <c r="J1782" s="61"/>
      <c r="K1782" s="61"/>
      <c r="L1782" s="60"/>
      <c r="M1782" s="74" t="str">
        <f>IF($C1782="","",IF($D1782="Gider",$E1782,IF($L1782&lt;&gt;"",$L1782,$H1782)))</f>
        <v/>
      </c>
      <c r="N1782" s="74" t="str">
        <f>IF($C1782="","",IF($D1782="Gider",$H1782,$E1782))</f>
        <v/>
      </c>
      <c r="O1782" s="73" t="str">
        <f>IF($C1782="","",DATE(YEAR($C1782),MONTH($C1782),1))</f>
        <v/>
      </c>
      <c r="P1782" s="65" t="str">
        <f ca="1">IF($C1782="","",IF(AND($D1782="Gelir",$L1782&lt;&gt;"",$T1782=""),"TANIMSIZ BORÇLU",IF($T1782&lt;&gt;"",IF(OR($E1782="",$G1782&lt;=0),"EKSİK",IF($I1782="Evet","TAHAKKUK NAKİT OLAMAZ",IF($C1782&gt;TODAY(),"İLERİ TARİH","TAHAKKUK"))),IF(AND($D1782&lt;&gt;"",$E1782&lt;&gt;"",$G1782&gt;0,$H1782&lt;&gt;"",$I1782&lt;&gt;""),IF($C1782&gt;TODAY(),"İLERİ TARİH",IF(COUNTIF($W$7:$W$3001,$W1782)&gt;1,"MÜKERRER?",IF($AD1782&gt;0,"KAPALI DÖNEM",IF($I1782="Hayır","ÖDENECEK","UYGUN")))),"EKSİK"))))</f>
        <v/>
      </c>
      <c r="Q1782" s="2"/>
      <c r="R1782" s="2"/>
      <c r="S1782" s="1" t="str">
        <f t="shared" si="83"/>
        <v/>
      </c>
      <c r="T1782" s="1" t="str">
        <f>IF(OR($C1782="",$D1782&lt;&gt;"Gelir",$L1782=""),"",IFERROR(INDEX(MUSTERILER!$B$7:$B$156,MATCH($S1782,MUSTERILER!$T$7:$T$156,0)),""))</f>
        <v/>
      </c>
      <c r="U1782" s="1" t="str">
        <f>IF($T1782="","",$T1782&amp;"|"&amp;COUNTIFS($T$7:$T1782,$T1782))</f>
        <v/>
      </c>
      <c r="V1782" s="1">
        <f t="shared" si="84"/>
        <v>0</v>
      </c>
      <c r="W1782" s="1" t="str">
        <f t="shared" si="85"/>
        <v/>
      </c>
      <c r="X1782" s="1"/>
      <c r="Y1782" s="1"/>
      <c r="Z1782" s="1"/>
      <c r="AA1782" s="1"/>
      <c r="AB1782" s="1"/>
      <c r="AC1782" s="1"/>
      <c r="AD1782" s="1">
        <f>IF($C1782="",0,SUMPRODUCT((AY_SONU!$O$7:$O$42="Evet")*(AY_SONU!$B$7:$B$42=DATE(YEAR($C1782),MONTH($C1782),1))))</f>
        <v>0</v>
      </c>
      <c r="AE1782" s="1" t="str">
        <f>IF($E1782="","",$E1782&amp;"|"&amp;COUNTIFS($E$7:$E1782,$E1782))</f>
        <v/>
      </c>
    </row>
    <row r="1783" spans="1:31" ht="18" customHeight="1" x14ac:dyDescent="0.3">
      <c r="A1783" s="2"/>
      <c r="B1783" s="65" t="str">
        <f>IF($C1783="","","GG"&amp;TEXT(ROW()-6,"00000"))</f>
        <v/>
      </c>
      <c r="C1783" s="66"/>
      <c r="D1783" s="60"/>
      <c r="E1783" s="61"/>
      <c r="F1783" s="61"/>
      <c r="G1783" s="67"/>
      <c r="H1783" s="60"/>
      <c r="I1783" s="60"/>
      <c r="J1783" s="61"/>
      <c r="K1783" s="61"/>
      <c r="L1783" s="60"/>
      <c r="M1783" s="74" t="str">
        <f>IF($C1783="","",IF($D1783="Gider",$E1783,IF($L1783&lt;&gt;"",$L1783,$H1783)))</f>
        <v/>
      </c>
      <c r="N1783" s="74" t="str">
        <f>IF($C1783="","",IF($D1783="Gider",$H1783,$E1783))</f>
        <v/>
      </c>
      <c r="O1783" s="73" t="str">
        <f>IF($C1783="","",DATE(YEAR($C1783),MONTH($C1783),1))</f>
        <v/>
      </c>
      <c r="P1783" s="65" t="str">
        <f ca="1">IF($C1783="","",IF(AND($D1783="Gelir",$L1783&lt;&gt;"",$T1783=""),"TANIMSIZ BORÇLU",IF($T1783&lt;&gt;"",IF(OR($E1783="",$G1783&lt;=0),"EKSİK",IF($I1783="Evet","TAHAKKUK NAKİT OLAMAZ",IF($C1783&gt;TODAY(),"İLERİ TARİH","TAHAKKUK"))),IF(AND($D1783&lt;&gt;"",$E1783&lt;&gt;"",$G1783&gt;0,$H1783&lt;&gt;"",$I1783&lt;&gt;""),IF($C1783&gt;TODAY(),"İLERİ TARİH",IF(COUNTIF($W$7:$W$3001,$W1783)&gt;1,"MÜKERRER?",IF($AD1783&gt;0,"KAPALI DÖNEM",IF($I1783="Hayır","ÖDENECEK","UYGUN")))),"EKSİK"))))</f>
        <v/>
      </c>
      <c r="Q1783" s="2"/>
      <c r="R1783" s="2"/>
      <c r="S1783" s="1" t="str">
        <f t="shared" si="83"/>
        <v/>
      </c>
      <c r="T1783" s="1" t="str">
        <f>IF(OR($C1783="",$D1783&lt;&gt;"Gelir",$L1783=""),"",IFERROR(INDEX(MUSTERILER!$B$7:$B$156,MATCH($S1783,MUSTERILER!$T$7:$T$156,0)),""))</f>
        <v/>
      </c>
      <c r="U1783" s="1" t="str">
        <f>IF($T1783="","",$T1783&amp;"|"&amp;COUNTIFS($T$7:$T1783,$T1783))</f>
        <v/>
      </c>
      <c r="V1783" s="1">
        <f t="shared" si="84"/>
        <v>0</v>
      </c>
      <c r="W1783" s="1" t="str">
        <f t="shared" si="85"/>
        <v/>
      </c>
      <c r="X1783" s="1"/>
      <c r="Y1783" s="1"/>
      <c r="Z1783" s="1"/>
      <c r="AA1783" s="1"/>
      <c r="AB1783" s="1"/>
      <c r="AC1783" s="1"/>
      <c r="AD1783" s="1">
        <f>IF($C1783="",0,SUMPRODUCT((AY_SONU!$O$7:$O$42="Evet")*(AY_SONU!$B$7:$B$42=DATE(YEAR($C1783),MONTH($C1783),1))))</f>
        <v>0</v>
      </c>
      <c r="AE1783" s="1" t="str">
        <f>IF($E1783="","",$E1783&amp;"|"&amp;COUNTIFS($E$7:$E1783,$E1783))</f>
        <v/>
      </c>
    </row>
    <row r="1784" spans="1:31" ht="18" customHeight="1" x14ac:dyDescent="0.3">
      <c r="A1784" s="2"/>
      <c r="B1784" s="65" t="str">
        <f>IF($C1784="","","GG"&amp;TEXT(ROW()-6,"00000"))</f>
        <v/>
      </c>
      <c r="C1784" s="66"/>
      <c r="D1784" s="60"/>
      <c r="E1784" s="61"/>
      <c r="F1784" s="61"/>
      <c r="G1784" s="67"/>
      <c r="H1784" s="60"/>
      <c r="I1784" s="60"/>
      <c r="J1784" s="61"/>
      <c r="K1784" s="61"/>
      <c r="L1784" s="60"/>
      <c r="M1784" s="74" t="str">
        <f>IF($C1784="","",IF($D1784="Gider",$E1784,IF($L1784&lt;&gt;"",$L1784,$H1784)))</f>
        <v/>
      </c>
      <c r="N1784" s="74" t="str">
        <f>IF($C1784="","",IF($D1784="Gider",$H1784,$E1784))</f>
        <v/>
      </c>
      <c r="O1784" s="73" t="str">
        <f>IF($C1784="","",DATE(YEAR($C1784),MONTH($C1784),1))</f>
        <v/>
      </c>
      <c r="P1784" s="65" t="str">
        <f ca="1">IF($C1784="","",IF(AND($D1784="Gelir",$L1784&lt;&gt;"",$T1784=""),"TANIMSIZ BORÇLU",IF($T1784&lt;&gt;"",IF(OR($E1784="",$G1784&lt;=0),"EKSİK",IF($I1784="Evet","TAHAKKUK NAKİT OLAMAZ",IF($C1784&gt;TODAY(),"İLERİ TARİH","TAHAKKUK"))),IF(AND($D1784&lt;&gt;"",$E1784&lt;&gt;"",$G1784&gt;0,$H1784&lt;&gt;"",$I1784&lt;&gt;""),IF($C1784&gt;TODAY(),"İLERİ TARİH",IF(COUNTIF($W$7:$W$3001,$W1784)&gt;1,"MÜKERRER?",IF($AD1784&gt;0,"KAPALI DÖNEM",IF($I1784="Hayır","ÖDENECEK","UYGUN")))),"EKSİK"))))</f>
        <v/>
      </c>
      <c r="Q1784" s="2"/>
      <c r="R1784" s="2"/>
      <c r="S1784" s="1" t="str">
        <f t="shared" si="83"/>
        <v/>
      </c>
      <c r="T1784" s="1" t="str">
        <f>IF(OR($C1784="",$D1784&lt;&gt;"Gelir",$L1784=""),"",IFERROR(INDEX(MUSTERILER!$B$7:$B$156,MATCH($S1784,MUSTERILER!$T$7:$T$156,0)),""))</f>
        <v/>
      </c>
      <c r="U1784" s="1" t="str">
        <f>IF($T1784="","",$T1784&amp;"|"&amp;COUNTIFS($T$7:$T1784,$T1784))</f>
        <v/>
      </c>
      <c r="V1784" s="1">
        <f t="shared" si="84"/>
        <v>0</v>
      </c>
      <c r="W1784" s="1" t="str">
        <f t="shared" si="85"/>
        <v/>
      </c>
      <c r="X1784" s="1"/>
      <c r="Y1784" s="1"/>
      <c r="Z1784" s="1"/>
      <c r="AA1784" s="1"/>
      <c r="AB1784" s="1"/>
      <c r="AC1784" s="1"/>
      <c r="AD1784" s="1">
        <f>IF($C1784="",0,SUMPRODUCT((AY_SONU!$O$7:$O$42="Evet")*(AY_SONU!$B$7:$B$42=DATE(YEAR($C1784),MONTH($C1784),1))))</f>
        <v>0</v>
      </c>
      <c r="AE1784" s="1" t="str">
        <f>IF($E1784="","",$E1784&amp;"|"&amp;COUNTIFS($E$7:$E1784,$E1784))</f>
        <v/>
      </c>
    </row>
    <row r="1785" spans="1:31" ht="18" customHeight="1" x14ac:dyDescent="0.3">
      <c r="A1785" s="2"/>
      <c r="B1785" s="65" t="str">
        <f>IF($C1785="","","GG"&amp;TEXT(ROW()-6,"00000"))</f>
        <v/>
      </c>
      <c r="C1785" s="66"/>
      <c r="D1785" s="60"/>
      <c r="E1785" s="61"/>
      <c r="F1785" s="61"/>
      <c r="G1785" s="67"/>
      <c r="H1785" s="60"/>
      <c r="I1785" s="60"/>
      <c r="J1785" s="61"/>
      <c r="K1785" s="61"/>
      <c r="L1785" s="60"/>
      <c r="M1785" s="74" t="str">
        <f>IF($C1785="","",IF($D1785="Gider",$E1785,IF($L1785&lt;&gt;"",$L1785,$H1785)))</f>
        <v/>
      </c>
      <c r="N1785" s="74" t="str">
        <f>IF($C1785="","",IF($D1785="Gider",$H1785,$E1785))</f>
        <v/>
      </c>
      <c r="O1785" s="73" t="str">
        <f>IF($C1785="","",DATE(YEAR($C1785),MONTH($C1785),1))</f>
        <v/>
      </c>
      <c r="P1785" s="65" t="str">
        <f ca="1">IF($C1785="","",IF(AND($D1785="Gelir",$L1785&lt;&gt;"",$T1785=""),"TANIMSIZ BORÇLU",IF($T1785&lt;&gt;"",IF(OR($E1785="",$G1785&lt;=0),"EKSİK",IF($I1785="Evet","TAHAKKUK NAKİT OLAMAZ",IF($C1785&gt;TODAY(),"İLERİ TARİH","TAHAKKUK"))),IF(AND($D1785&lt;&gt;"",$E1785&lt;&gt;"",$G1785&gt;0,$H1785&lt;&gt;"",$I1785&lt;&gt;""),IF($C1785&gt;TODAY(),"İLERİ TARİH",IF(COUNTIF($W$7:$W$3001,$W1785)&gt;1,"MÜKERRER?",IF($AD1785&gt;0,"KAPALI DÖNEM",IF($I1785="Hayır","ÖDENECEK","UYGUN")))),"EKSİK"))))</f>
        <v/>
      </c>
      <c r="Q1785" s="2"/>
      <c r="R1785" s="2"/>
      <c r="S1785" s="1" t="str">
        <f t="shared" si="83"/>
        <v/>
      </c>
      <c r="T1785" s="1" t="str">
        <f>IF(OR($C1785="",$D1785&lt;&gt;"Gelir",$L1785=""),"",IFERROR(INDEX(MUSTERILER!$B$7:$B$156,MATCH($S1785,MUSTERILER!$T$7:$T$156,0)),""))</f>
        <v/>
      </c>
      <c r="U1785" s="1" t="str">
        <f>IF($T1785="","",$T1785&amp;"|"&amp;COUNTIFS($T$7:$T1785,$T1785))</f>
        <v/>
      </c>
      <c r="V1785" s="1">
        <f t="shared" si="84"/>
        <v>0</v>
      </c>
      <c r="W1785" s="1" t="str">
        <f t="shared" si="85"/>
        <v/>
      </c>
      <c r="X1785" s="1"/>
      <c r="Y1785" s="1"/>
      <c r="Z1785" s="1"/>
      <c r="AA1785" s="1"/>
      <c r="AB1785" s="1"/>
      <c r="AC1785" s="1"/>
      <c r="AD1785" s="1">
        <f>IF($C1785="",0,SUMPRODUCT((AY_SONU!$O$7:$O$42="Evet")*(AY_SONU!$B$7:$B$42=DATE(YEAR($C1785),MONTH($C1785),1))))</f>
        <v>0</v>
      </c>
      <c r="AE1785" s="1" t="str">
        <f>IF($E1785="","",$E1785&amp;"|"&amp;COUNTIFS($E$7:$E1785,$E1785))</f>
        <v/>
      </c>
    </row>
    <row r="1786" spans="1:31" ht="18" customHeight="1" x14ac:dyDescent="0.3">
      <c r="A1786" s="2"/>
      <c r="B1786" s="65" t="str">
        <f>IF($C1786="","","GG"&amp;TEXT(ROW()-6,"00000"))</f>
        <v/>
      </c>
      <c r="C1786" s="66"/>
      <c r="D1786" s="60"/>
      <c r="E1786" s="61"/>
      <c r="F1786" s="61"/>
      <c r="G1786" s="67"/>
      <c r="H1786" s="60"/>
      <c r="I1786" s="60"/>
      <c r="J1786" s="61"/>
      <c r="K1786" s="61"/>
      <c r="L1786" s="60"/>
      <c r="M1786" s="74" t="str">
        <f>IF($C1786="","",IF($D1786="Gider",$E1786,IF($L1786&lt;&gt;"",$L1786,$H1786)))</f>
        <v/>
      </c>
      <c r="N1786" s="74" t="str">
        <f>IF($C1786="","",IF($D1786="Gider",$H1786,$E1786))</f>
        <v/>
      </c>
      <c r="O1786" s="73" t="str">
        <f>IF($C1786="","",DATE(YEAR($C1786),MONTH($C1786),1))</f>
        <v/>
      </c>
      <c r="P1786" s="65" t="str">
        <f ca="1">IF($C1786="","",IF(AND($D1786="Gelir",$L1786&lt;&gt;"",$T1786=""),"TANIMSIZ BORÇLU",IF($T1786&lt;&gt;"",IF(OR($E1786="",$G1786&lt;=0),"EKSİK",IF($I1786="Evet","TAHAKKUK NAKİT OLAMAZ",IF($C1786&gt;TODAY(),"İLERİ TARİH","TAHAKKUK"))),IF(AND($D1786&lt;&gt;"",$E1786&lt;&gt;"",$G1786&gt;0,$H1786&lt;&gt;"",$I1786&lt;&gt;""),IF($C1786&gt;TODAY(),"İLERİ TARİH",IF(COUNTIF($W$7:$W$3001,$W1786)&gt;1,"MÜKERRER?",IF($AD1786&gt;0,"KAPALI DÖNEM",IF($I1786="Hayır","ÖDENECEK","UYGUN")))),"EKSİK"))))</f>
        <v/>
      </c>
      <c r="Q1786" s="2"/>
      <c r="R1786" s="2"/>
      <c r="S1786" s="1" t="str">
        <f t="shared" si="83"/>
        <v/>
      </c>
      <c r="T1786" s="1" t="str">
        <f>IF(OR($C1786="",$D1786&lt;&gt;"Gelir",$L1786=""),"",IFERROR(INDEX(MUSTERILER!$B$7:$B$156,MATCH($S1786,MUSTERILER!$T$7:$T$156,0)),""))</f>
        <v/>
      </c>
      <c r="U1786" s="1" t="str">
        <f>IF($T1786="","",$T1786&amp;"|"&amp;COUNTIFS($T$7:$T1786,$T1786))</f>
        <v/>
      </c>
      <c r="V1786" s="1">
        <f t="shared" si="84"/>
        <v>0</v>
      </c>
      <c r="W1786" s="1" t="str">
        <f t="shared" si="85"/>
        <v/>
      </c>
      <c r="X1786" s="1"/>
      <c r="Y1786" s="1"/>
      <c r="Z1786" s="1"/>
      <c r="AA1786" s="1"/>
      <c r="AB1786" s="1"/>
      <c r="AC1786" s="1"/>
      <c r="AD1786" s="1">
        <f>IF($C1786="",0,SUMPRODUCT((AY_SONU!$O$7:$O$42="Evet")*(AY_SONU!$B$7:$B$42=DATE(YEAR($C1786),MONTH($C1786),1))))</f>
        <v>0</v>
      </c>
      <c r="AE1786" s="1" t="str">
        <f>IF($E1786="","",$E1786&amp;"|"&amp;COUNTIFS($E$7:$E1786,$E1786))</f>
        <v/>
      </c>
    </row>
    <row r="1787" spans="1:31" ht="18" customHeight="1" x14ac:dyDescent="0.3">
      <c r="A1787" s="2"/>
      <c r="B1787" s="65" t="str">
        <f>IF($C1787="","","GG"&amp;TEXT(ROW()-6,"00000"))</f>
        <v/>
      </c>
      <c r="C1787" s="66"/>
      <c r="D1787" s="60"/>
      <c r="E1787" s="61"/>
      <c r="F1787" s="61"/>
      <c r="G1787" s="67"/>
      <c r="H1787" s="60"/>
      <c r="I1787" s="60"/>
      <c r="J1787" s="61"/>
      <c r="K1787" s="61"/>
      <c r="L1787" s="60"/>
      <c r="M1787" s="74" t="str">
        <f>IF($C1787="","",IF($D1787="Gider",$E1787,IF($L1787&lt;&gt;"",$L1787,$H1787)))</f>
        <v/>
      </c>
      <c r="N1787" s="74" t="str">
        <f>IF($C1787="","",IF($D1787="Gider",$H1787,$E1787))</f>
        <v/>
      </c>
      <c r="O1787" s="73" t="str">
        <f>IF($C1787="","",DATE(YEAR($C1787),MONTH($C1787),1))</f>
        <v/>
      </c>
      <c r="P1787" s="65" t="str">
        <f ca="1">IF($C1787="","",IF(AND($D1787="Gelir",$L1787&lt;&gt;"",$T1787=""),"TANIMSIZ BORÇLU",IF($T1787&lt;&gt;"",IF(OR($E1787="",$G1787&lt;=0),"EKSİK",IF($I1787="Evet","TAHAKKUK NAKİT OLAMAZ",IF($C1787&gt;TODAY(),"İLERİ TARİH","TAHAKKUK"))),IF(AND($D1787&lt;&gt;"",$E1787&lt;&gt;"",$G1787&gt;0,$H1787&lt;&gt;"",$I1787&lt;&gt;""),IF($C1787&gt;TODAY(),"İLERİ TARİH",IF(COUNTIF($W$7:$W$3001,$W1787)&gt;1,"MÜKERRER?",IF($AD1787&gt;0,"KAPALI DÖNEM",IF($I1787="Hayır","ÖDENECEK","UYGUN")))),"EKSİK"))))</f>
        <v/>
      </c>
      <c r="Q1787" s="2"/>
      <c r="R1787" s="2"/>
      <c r="S1787" s="1" t="str">
        <f t="shared" si="83"/>
        <v/>
      </c>
      <c r="T1787" s="1" t="str">
        <f>IF(OR($C1787="",$D1787&lt;&gt;"Gelir",$L1787=""),"",IFERROR(INDEX(MUSTERILER!$B$7:$B$156,MATCH($S1787,MUSTERILER!$T$7:$T$156,0)),""))</f>
        <v/>
      </c>
      <c r="U1787" s="1" t="str">
        <f>IF($T1787="","",$T1787&amp;"|"&amp;COUNTIFS($T$7:$T1787,$T1787))</f>
        <v/>
      </c>
      <c r="V1787" s="1">
        <f t="shared" si="84"/>
        <v>0</v>
      </c>
      <c r="W1787" s="1" t="str">
        <f t="shared" si="85"/>
        <v/>
      </c>
      <c r="X1787" s="1"/>
      <c r="Y1787" s="1"/>
      <c r="Z1787" s="1"/>
      <c r="AA1787" s="1"/>
      <c r="AB1787" s="1"/>
      <c r="AC1787" s="1"/>
      <c r="AD1787" s="1">
        <f>IF($C1787="",0,SUMPRODUCT((AY_SONU!$O$7:$O$42="Evet")*(AY_SONU!$B$7:$B$42=DATE(YEAR($C1787),MONTH($C1787),1))))</f>
        <v>0</v>
      </c>
      <c r="AE1787" s="1" t="str">
        <f>IF($E1787="","",$E1787&amp;"|"&amp;COUNTIFS($E$7:$E1787,$E1787))</f>
        <v/>
      </c>
    </row>
    <row r="1788" spans="1:31" ht="18" customHeight="1" x14ac:dyDescent="0.3">
      <c r="A1788" s="2"/>
      <c r="B1788" s="65" t="str">
        <f>IF($C1788="","","GG"&amp;TEXT(ROW()-6,"00000"))</f>
        <v/>
      </c>
      <c r="C1788" s="66"/>
      <c r="D1788" s="60"/>
      <c r="E1788" s="61"/>
      <c r="F1788" s="61"/>
      <c r="G1788" s="67"/>
      <c r="H1788" s="60"/>
      <c r="I1788" s="60"/>
      <c r="J1788" s="61"/>
      <c r="K1788" s="61"/>
      <c r="L1788" s="60"/>
      <c r="M1788" s="74" t="str">
        <f>IF($C1788="","",IF($D1788="Gider",$E1788,IF($L1788&lt;&gt;"",$L1788,$H1788)))</f>
        <v/>
      </c>
      <c r="N1788" s="74" t="str">
        <f>IF($C1788="","",IF($D1788="Gider",$H1788,$E1788))</f>
        <v/>
      </c>
      <c r="O1788" s="73" t="str">
        <f>IF($C1788="","",DATE(YEAR($C1788),MONTH($C1788),1))</f>
        <v/>
      </c>
      <c r="P1788" s="65" t="str">
        <f ca="1">IF($C1788="","",IF(AND($D1788="Gelir",$L1788&lt;&gt;"",$T1788=""),"TANIMSIZ BORÇLU",IF($T1788&lt;&gt;"",IF(OR($E1788="",$G1788&lt;=0),"EKSİK",IF($I1788="Evet","TAHAKKUK NAKİT OLAMAZ",IF($C1788&gt;TODAY(),"İLERİ TARİH","TAHAKKUK"))),IF(AND($D1788&lt;&gt;"",$E1788&lt;&gt;"",$G1788&gt;0,$H1788&lt;&gt;"",$I1788&lt;&gt;""),IF($C1788&gt;TODAY(),"İLERİ TARİH",IF(COUNTIF($W$7:$W$3001,$W1788)&gt;1,"MÜKERRER?",IF($AD1788&gt;0,"KAPALI DÖNEM",IF($I1788="Hayır","ÖDENECEK","UYGUN")))),"EKSİK"))))</f>
        <v/>
      </c>
      <c r="Q1788" s="2"/>
      <c r="R1788" s="2"/>
      <c r="S1788" s="1" t="str">
        <f t="shared" si="83"/>
        <v/>
      </c>
      <c r="T1788" s="1" t="str">
        <f>IF(OR($C1788="",$D1788&lt;&gt;"Gelir",$L1788=""),"",IFERROR(INDEX(MUSTERILER!$B$7:$B$156,MATCH($S1788,MUSTERILER!$T$7:$T$156,0)),""))</f>
        <v/>
      </c>
      <c r="U1788" s="1" t="str">
        <f>IF($T1788="","",$T1788&amp;"|"&amp;COUNTIFS($T$7:$T1788,$T1788))</f>
        <v/>
      </c>
      <c r="V1788" s="1">
        <f t="shared" si="84"/>
        <v>0</v>
      </c>
      <c r="W1788" s="1" t="str">
        <f t="shared" si="85"/>
        <v/>
      </c>
      <c r="X1788" s="1"/>
      <c r="Y1788" s="1"/>
      <c r="Z1788" s="1"/>
      <c r="AA1788" s="1"/>
      <c r="AB1788" s="1"/>
      <c r="AC1788" s="1"/>
      <c r="AD1788" s="1">
        <f>IF($C1788="",0,SUMPRODUCT((AY_SONU!$O$7:$O$42="Evet")*(AY_SONU!$B$7:$B$42=DATE(YEAR($C1788),MONTH($C1788),1))))</f>
        <v>0</v>
      </c>
      <c r="AE1788" s="1" t="str">
        <f>IF($E1788="","",$E1788&amp;"|"&amp;COUNTIFS($E$7:$E1788,$E1788))</f>
        <v/>
      </c>
    </row>
    <row r="1789" spans="1:31" ht="18" customHeight="1" x14ac:dyDescent="0.3">
      <c r="A1789" s="2"/>
      <c r="B1789" s="65" t="str">
        <f>IF($C1789="","","GG"&amp;TEXT(ROW()-6,"00000"))</f>
        <v/>
      </c>
      <c r="C1789" s="66"/>
      <c r="D1789" s="60"/>
      <c r="E1789" s="61"/>
      <c r="F1789" s="61"/>
      <c r="G1789" s="67"/>
      <c r="H1789" s="60"/>
      <c r="I1789" s="60"/>
      <c r="J1789" s="61"/>
      <c r="K1789" s="61"/>
      <c r="L1789" s="60"/>
      <c r="M1789" s="74" t="str">
        <f>IF($C1789="","",IF($D1789="Gider",$E1789,IF($L1789&lt;&gt;"",$L1789,$H1789)))</f>
        <v/>
      </c>
      <c r="N1789" s="74" t="str">
        <f>IF($C1789="","",IF($D1789="Gider",$H1789,$E1789))</f>
        <v/>
      </c>
      <c r="O1789" s="73" t="str">
        <f>IF($C1789="","",DATE(YEAR($C1789),MONTH($C1789),1))</f>
        <v/>
      </c>
      <c r="P1789" s="65" t="str">
        <f ca="1">IF($C1789="","",IF(AND($D1789="Gelir",$L1789&lt;&gt;"",$T1789=""),"TANIMSIZ BORÇLU",IF($T1789&lt;&gt;"",IF(OR($E1789="",$G1789&lt;=0),"EKSİK",IF($I1789="Evet","TAHAKKUK NAKİT OLAMAZ",IF($C1789&gt;TODAY(),"İLERİ TARİH","TAHAKKUK"))),IF(AND($D1789&lt;&gt;"",$E1789&lt;&gt;"",$G1789&gt;0,$H1789&lt;&gt;"",$I1789&lt;&gt;""),IF($C1789&gt;TODAY(),"İLERİ TARİH",IF(COUNTIF($W$7:$W$3001,$W1789)&gt;1,"MÜKERRER?",IF($AD1789&gt;0,"KAPALI DÖNEM",IF($I1789="Hayır","ÖDENECEK","UYGUN")))),"EKSİK"))))</f>
        <v/>
      </c>
      <c r="Q1789" s="2"/>
      <c r="R1789" s="2"/>
      <c r="S1789" s="1" t="str">
        <f t="shared" si="83"/>
        <v/>
      </c>
      <c r="T1789" s="1" t="str">
        <f>IF(OR($C1789="",$D1789&lt;&gt;"Gelir",$L1789=""),"",IFERROR(INDEX(MUSTERILER!$B$7:$B$156,MATCH($S1789,MUSTERILER!$T$7:$T$156,0)),""))</f>
        <v/>
      </c>
      <c r="U1789" s="1" t="str">
        <f>IF($T1789="","",$T1789&amp;"|"&amp;COUNTIFS($T$7:$T1789,$T1789))</f>
        <v/>
      </c>
      <c r="V1789" s="1">
        <f t="shared" si="84"/>
        <v>0</v>
      </c>
      <c r="W1789" s="1" t="str">
        <f t="shared" si="85"/>
        <v/>
      </c>
      <c r="X1789" s="1"/>
      <c r="Y1789" s="1"/>
      <c r="Z1789" s="1"/>
      <c r="AA1789" s="1"/>
      <c r="AB1789" s="1"/>
      <c r="AC1789" s="1"/>
      <c r="AD1789" s="1">
        <f>IF($C1789="",0,SUMPRODUCT((AY_SONU!$O$7:$O$42="Evet")*(AY_SONU!$B$7:$B$42=DATE(YEAR($C1789),MONTH($C1789),1))))</f>
        <v>0</v>
      </c>
      <c r="AE1789" s="1" t="str">
        <f>IF($E1789="","",$E1789&amp;"|"&amp;COUNTIFS($E$7:$E1789,$E1789))</f>
        <v/>
      </c>
    </row>
    <row r="1790" spans="1:31" ht="18" customHeight="1" x14ac:dyDescent="0.3">
      <c r="A1790" s="2"/>
      <c r="B1790" s="65" t="str">
        <f>IF($C1790="","","GG"&amp;TEXT(ROW()-6,"00000"))</f>
        <v/>
      </c>
      <c r="C1790" s="66"/>
      <c r="D1790" s="60"/>
      <c r="E1790" s="61"/>
      <c r="F1790" s="61"/>
      <c r="G1790" s="67"/>
      <c r="H1790" s="60"/>
      <c r="I1790" s="60"/>
      <c r="J1790" s="61"/>
      <c r="K1790" s="61"/>
      <c r="L1790" s="60"/>
      <c r="M1790" s="74" t="str">
        <f>IF($C1790="","",IF($D1790="Gider",$E1790,IF($L1790&lt;&gt;"",$L1790,$H1790)))</f>
        <v/>
      </c>
      <c r="N1790" s="74" t="str">
        <f>IF($C1790="","",IF($D1790="Gider",$H1790,$E1790))</f>
        <v/>
      </c>
      <c r="O1790" s="73" t="str">
        <f>IF($C1790="","",DATE(YEAR($C1790),MONTH($C1790),1))</f>
        <v/>
      </c>
      <c r="P1790" s="65" t="str">
        <f ca="1">IF($C1790="","",IF(AND($D1790="Gelir",$L1790&lt;&gt;"",$T1790=""),"TANIMSIZ BORÇLU",IF($T1790&lt;&gt;"",IF(OR($E1790="",$G1790&lt;=0),"EKSİK",IF($I1790="Evet","TAHAKKUK NAKİT OLAMAZ",IF($C1790&gt;TODAY(),"İLERİ TARİH","TAHAKKUK"))),IF(AND($D1790&lt;&gt;"",$E1790&lt;&gt;"",$G1790&gt;0,$H1790&lt;&gt;"",$I1790&lt;&gt;""),IF($C1790&gt;TODAY(),"İLERİ TARİH",IF(COUNTIF($W$7:$W$3001,$W1790)&gt;1,"MÜKERRER?",IF($AD1790&gt;0,"KAPALI DÖNEM",IF($I1790="Hayır","ÖDENECEK","UYGUN")))),"EKSİK"))))</f>
        <v/>
      </c>
      <c r="Q1790" s="2"/>
      <c r="R1790" s="2"/>
      <c r="S1790" s="1" t="str">
        <f t="shared" si="83"/>
        <v/>
      </c>
      <c r="T1790" s="1" t="str">
        <f>IF(OR($C1790="",$D1790&lt;&gt;"Gelir",$L1790=""),"",IFERROR(INDEX(MUSTERILER!$B$7:$B$156,MATCH($S1790,MUSTERILER!$T$7:$T$156,0)),""))</f>
        <v/>
      </c>
      <c r="U1790" s="1" t="str">
        <f>IF($T1790="","",$T1790&amp;"|"&amp;COUNTIFS($T$7:$T1790,$T1790))</f>
        <v/>
      </c>
      <c r="V1790" s="1">
        <f t="shared" si="84"/>
        <v>0</v>
      </c>
      <c r="W1790" s="1" t="str">
        <f t="shared" si="85"/>
        <v/>
      </c>
      <c r="X1790" s="1"/>
      <c r="Y1790" s="1"/>
      <c r="Z1790" s="1"/>
      <c r="AA1790" s="1"/>
      <c r="AB1790" s="1"/>
      <c r="AC1790" s="1"/>
      <c r="AD1790" s="1">
        <f>IF($C1790="",0,SUMPRODUCT((AY_SONU!$O$7:$O$42="Evet")*(AY_SONU!$B$7:$B$42=DATE(YEAR($C1790),MONTH($C1790),1))))</f>
        <v>0</v>
      </c>
      <c r="AE1790" s="1" t="str">
        <f>IF($E1790="","",$E1790&amp;"|"&amp;COUNTIFS($E$7:$E1790,$E1790))</f>
        <v/>
      </c>
    </row>
    <row r="1791" spans="1:31" ht="18" customHeight="1" x14ac:dyDescent="0.3">
      <c r="A1791" s="2"/>
      <c r="B1791" s="65" t="str">
        <f>IF($C1791="","","GG"&amp;TEXT(ROW()-6,"00000"))</f>
        <v/>
      </c>
      <c r="C1791" s="66"/>
      <c r="D1791" s="60"/>
      <c r="E1791" s="61"/>
      <c r="F1791" s="61"/>
      <c r="G1791" s="67"/>
      <c r="H1791" s="60"/>
      <c r="I1791" s="60"/>
      <c r="J1791" s="61"/>
      <c r="K1791" s="61"/>
      <c r="L1791" s="60"/>
      <c r="M1791" s="74" t="str">
        <f>IF($C1791="","",IF($D1791="Gider",$E1791,IF($L1791&lt;&gt;"",$L1791,$H1791)))</f>
        <v/>
      </c>
      <c r="N1791" s="74" t="str">
        <f>IF($C1791="","",IF($D1791="Gider",$H1791,$E1791))</f>
        <v/>
      </c>
      <c r="O1791" s="73" t="str">
        <f>IF($C1791="","",DATE(YEAR($C1791),MONTH($C1791),1))</f>
        <v/>
      </c>
      <c r="P1791" s="65" t="str">
        <f ca="1">IF($C1791="","",IF(AND($D1791="Gelir",$L1791&lt;&gt;"",$T1791=""),"TANIMSIZ BORÇLU",IF($T1791&lt;&gt;"",IF(OR($E1791="",$G1791&lt;=0),"EKSİK",IF($I1791="Evet","TAHAKKUK NAKİT OLAMAZ",IF($C1791&gt;TODAY(),"İLERİ TARİH","TAHAKKUK"))),IF(AND($D1791&lt;&gt;"",$E1791&lt;&gt;"",$G1791&gt;0,$H1791&lt;&gt;"",$I1791&lt;&gt;""),IF($C1791&gt;TODAY(),"İLERİ TARİH",IF(COUNTIF($W$7:$W$3001,$W1791)&gt;1,"MÜKERRER?",IF($AD1791&gt;0,"KAPALI DÖNEM",IF($I1791="Hayır","ÖDENECEK","UYGUN")))),"EKSİK"))))</f>
        <v/>
      </c>
      <c r="Q1791" s="2"/>
      <c r="R1791" s="2"/>
      <c r="S1791" s="1" t="str">
        <f t="shared" si="83"/>
        <v/>
      </c>
      <c r="T1791" s="1" t="str">
        <f>IF(OR($C1791="",$D1791&lt;&gt;"Gelir",$L1791=""),"",IFERROR(INDEX(MUSTERILER!$B$7:$B$156,MATCH($S1791,MUSTERILER!$T$7:$T$156,0)),""))</f>
        <v/>
      </c>
      <c r="U1791" s="1" t="str">
        <f>IF($T1791="","",$T1791&amp;"|"&amp;COUNTIFS($T$7:$T1791,$T1791))</f>
        <v/>
      </c>
      <c r="V1791" s="1">
        <f t="shared" si="84"/>
        <v>0</v>
      </c>
      <c r="W1791" s="1" t="str">
        <f t="shared" si="85"/>
        <v/>
      </c>
      <c r="X1791" s="1"/>
      <c r="Y1791" s="1"/>
      <c r="Z1791" s="1"/>
      <c r="AA1791" s="1"/>
      <c r="AB1791" s="1"/>
      <c r="AC1791" s="1"/>
      <c r="AD1791" s="1">
        <f>IF($C1791="",0,SUMPRODUCT((AY_SONU!$O$7:$O$42="Evet")*(AY_SONU!$B$7:$B$42=DATE(YEAR($C1791),MONTH($C1791),1))))</f>
        <v>0</v>
      </c>
      <c r="AE1791" s="1" t="str">
        <f>IF($E1791="","",$E1791&amp;"|"&amp;COUNTIFS($E$7:$E1791,$E1791))</f>
        <v/>
      </c>
    </row>
    <row r="1792" spans="1:31" ht="18" customHeight="1" x14ac:dyDescent="0.3">
      <c r="A1792" s="2"/>
      <c r="B1792" s="65" t="str">
        <f>IF($C1792="","","GG"&amp;TEXT(ROW()-6,"00000"))</f>
        <v/>
      </c>
      <c r="C1792" s="66"/>
      <c r="D1792" s="60"/>
      <c r="E1792" s="61"/>
      <c r="F1792" s="61"/>
      <c r="G1792" s="67"/>
      <c r="H1792" s="60"/>
      <c r="I1792" s="60"/>
      <c r="J1792" s="61"/>
      <c r="K1792" s="61"/>
      <c r="L1792" s="60"/>
      <c r="M1792" s="74" t="str">
        <f>IF($C1792="","",IF($D1792="Gider",$E1792,IF($L1792&lt;&gt;"",$L1792,$H1792)))</f>
        <v/>
      </c>
      <c r="N1792" s="74" t="str">
        <f>IF($C1792="","",IF($D1792="Gider",$H1792,$E1792))</f>
        <v/>
      </c>
      <c r="O1792" s="73" t="str">
        <f>IF($C1792="","",DATE(YEAR($C1792),MONTH($C1792),1))</f>
        <v/>
      </c>
      <c r="P1792" s="65" t="str">
        <f ca="1">IF($C1792="","",IF(AND($D1792="Gelir",$L1792&lt;&gt;"",$T1792=""),"TANIMSIZ BORÇLU",IF($T1792&lt;&gt;"",IF(OR($E1792="",$G1792&lt;=0),"EKSİK",IF($I1792="Evet","TAHAKKUK NAKİT OLAMAZ",IF($C1792&gt;TODAY(),"İLERİ TARİH","TAHAKKUK"))),IF(AND($D1792&lt;&gt;"",$E1792&lt;&gt;"",$G1792&gt;0,$H1792&lt;&gt;"",$I1792&lt;&gt;""),IF($C1792&gt;TODAY(),"İLERİ TARİH",IF(COUNTIF($W$7:$W$3001,$W1792)&gt;1,"MÜKERRER?",IF($AD1792&gt;0,"KAPALI DÖNEM",IF($I1792="Hayır","ÖDENECEK","UYGUN")))),"EKSİK"))))</f>
        <v/>
      </c>
      <c r="Q1792" s="2"/>
      <c r="R1792" s="2"/>
      <c r="S1792" s="1" t="str">
        <f t="shared" si="83"/>
        <v/>
      </c>
      <c r="T1792" s="1" t="str">
        <f>IF(OR($C1792="",$D1792&lt;&gt;"Gelir",$L1792=""),"",IFERROR(INDEX(MUSTERILER!$B$7:$B$156,MATCH($S1792,MUSTERILER!$T$7:$T$156,0)),""))</f>
        <v/>
      </c>
      <c r="U1792" s="1" t="str">
        <f>IF($T1792="","",$T1792&amp;"|"&amp;COUNTIFS($T$7:$T1792,$T1792))</f>
        <v/>
      </c>
      <c r="V1792" s="1">
        <f t="shared" si="84"/>
        <v>0</v>
      </c>
      <c r="W1792" s="1" t="str">
        <f t="shared" si="85"/>
        <v/>
      </c>
      <c r="X1792" s="1"/>
      <c r="Y1792" s="1"/>
      <c r="Z1792" s="1"/>
      <c r="AA1792" s="1"/>
      <c r="AB1792" s="1"/>
      <c r="AC1792" s="1"/>
      <c r="AD1792" s="1">
        <f>IF($C1792="",0,SUMPRODUCT((AY_SONU!$O$7:$O$42="Evet")*(AY_SONU!$B$7:$B$42=DATE(YEAR($C1792),MONTH($C1792),1))))</f>
        <v>0</v>
      </c>
      <c r="AE1792" s="1" t="str">
        <f>IF($E1792="","",$E1792&amp;"|"&amp;COUNTIFS($E$7:$E1792,$E1792))</f>
        <v/>
      </c>
    </row>
    <row r="1793" spans="1:31" ht="18" customHeight="1" x14ac:dyDescent="0.3">
      <c r="A1793" s="2"/>
      <c r="B1793" s="65" t="str">
        <f>IF($C1793="","","GG"&amp;TEXT(ROW()-6,"00000"))</f>
        <v/>
      </c>
      <c r="C1793" s="66"/>
      <c r="D1793" s="60"/>
      <c r="E1793" s="61"/>
      <c r="F1793" s="61"/>
      <c r="G1793" s="67"/>
      <c r="H1793" s="60"/>
      <c r="I1793" s="60"/>
      <c r="J1793" s="61"/>
      <c r="K1793" s="61"/>
      <c r="L1793" s="60"/>
      <c r="M1793" s="74" t="str">
        <f>IF($C1793="","",IF($D1793="Gider",$E1793,IF($L1793&lt;&gt;"",$L1793,$H1793)))</f>
        <v/>
      </c>
      <c r="N1793" s="74" t="str">
        <f>IF($C1793="","",IF($D1793="Gider",$H1793,$E1793))</f>
        <v/>
      </c>
      <c r="O1793" s="73" t="str">
        <f>IF($C1793="","",DATE(YEAR($C1793),MONTH($C1793),1))</f>
        <v/>
      </c>
      <c r="P1793" s="65" t="str">
        <f ca="1">IF($C1793="","",IF(AND($D1793="Gelir",$L1793&lt;&gt;"",$T1793=""),"TANIMSIZ BORÇLU",IF($T1793&lt;&gt;"",IF(OR($E1793="",$G1793&lt;=0),"EKSİK",IF($I1793="Evet","TAHAKKUK NAKİT OLAMAZ",IF($C1793&gt;TODAY(),"İLERİ TARİH","TAHAKKUK"))),IF(AND($D1793&lt;&gt;"",$E1793&lt;&gt;"",$G1793&gt;0,$H1793&lt;&gt;"",$I1793&lt;&gt;""),IF($C1793&gt;TODAY(),"İLERİ TARİH",IF(COUNTIF($W$7:$W$3001,$W1793)&gt;1,"MÜKERRER?",IF($AD1793&gt;0,"KAPALI DÖNEM",IF($I1793="Hayır","ÖDENECEK","UYGUN")))),"EKSİK"))))</f>
        <v/>
      </c>
      <c r="Q1793" s="2"/>
      <c r="R1793" s="2"/>
      <c r="S1793" s="1" t="str">
        <f t="shared" si="83"/>
        <v/>
      </c>
      <c r="T1793" s="1" t="str">
        <f>IF(OR($C1793="",$D1793&lt;&gt;"Gelir",$L1793=""),"",IFERROR(INDEX(MUSTERILER!$B$7:$B$156,MATCH($S1793,MUSTERILER!$T$7:$T$156,0)),""))</f>
        <v/>
      </c>
      <c r="U1793" s="1" t="str">
        <f>IF($T1793="","",$T1793&amp;"|"&amp;COUNTIFS($T$7:$T1793,$T1793))</f>
        <v/>
      </c>
      <c r="V1793" s="1">
        <f t="shared" si="84"/>
        <v>0</v>
      </c>
      <c r="W1793" s="1" t="str">
        <f t="shared" si="85"/>
        <v/>
      </c>
      <c r="X1793" s="1"/>
      <c r="Y1793" s="1"/>
      <c r="Z1793" s="1"/>
      <c r="AA1793" s="1"/>
      <c r="AB1793" s="1"/>
      <c r="AC1793" s="1"/>
      <c r="AD1793" s="1">
        <f>IF($C1793="",0,SUMPRODUCT((AY_SONU!$O$7:$O$42="Evet")*(AY_SONU!$B$7:$B$42=DATE(YEAR($C1793),MONTH($C1793),1))))</f>
        <v>0</v>
      </c>
      <c r="AE1793" s="1" t="str">
        <f>IF($E1793="","",$E1793&amp;"|"&amp;COUNTIFS($E$7:$E1793,$E1793))</f>
        <v/>
      </c>
    </row>
    <row r="1794" spans="1:31" ht="18" customHeight="1" x14ac:dyDescent="0.3">
      <c r="A1794" s="2"/>
      <c r="B1794" s="65" t="str">
        <f>IF($C1794="","","GG"&amp;TEXT(ROW()-6,"00000"))</f>
        <v/>
      </c>
      <c r="C1794" s="66"/>
      <c r="D1794" s="60"/>
      <c r="E1794" s="61"/>
      <c r="F1794" s="61"/>
      <c r="G1794" s="67"/>
      <c r="H1794" s="60"/>
      <c r="I1794" s="60"/>
      <c r="J1794" s="61"/>
      <c r="K1794" s="61"/>
      <c r="L1794" s="60"/>
      <c r="M1794" s="74" t="str">
        <f>IF($C1794="","",IF($D1794="Gider",$E1794,IF($L1794&lt;&gt;"",$L1794,$H1794)))</f>
        <v/>
      </c>
      <c r="N1794" s="74" t="str">
        <f>IF($C1794="","",IF($D1794="Gider",$H1794,$E1794))</f>
        <v/>
      </c>
      <c r="O1794" s="73" t="str">
        <f>IF($C1794="","",DATE(YEAR($C1794),MONTH($C1794),1))</f>
        <v/>
      </c>
      <c r="P1794" s="65" t="str">
        <f ca="1">IF($C1794="","",IF(AND($D1794="Gelir",$L1794&lt;&gt;"",$T1794=""),"TANIMSIZ BORÇLU",IF($T1794&lt;&gt;"",IF(OR($E1794="",$G1794&lt;=0),"EKSİK",IF($I1794="Evet","TAHAKKUK NAKİT OLAMAZ",IF($C1794&gt;TODAY(),"İLERİ TARİH","TAHAKKUK"))),IF(AND($D1794&lt;&gt;"",$E1794&lt;&gt;"",$G1794&gt;0,$H1794&lt;&gt;"",$I1794&lt;&gt;""),IF($C1794&gt;TODAY(),"İLERİ TARİH",IF(COUNTIF($W$7:$W$3001,$W1794)&gt;1,"MÜKERRER?",IF($AD1794&gt;0,"KAPALI DÖNEM",IF($I1794="Hayır","ÖDENECEK","UYGUN")))),"EKSİK"))))</f>
        <v/>
      </c>
      <c r="Q1794" s="2"/>
      <c r="R1794" s="2"/>
      <c r="S1794" s="1" t="str">
        <f t="shared" si="83"/>
        <v/>
      </c>
      <c r="T1794" s="1" t="str">
        <f>IF(OR($C1794="",$D1794&lt;&gt;"Gelir",$L1794=""),"",IFERROR(INDEX(MUSTERILER!$B$7:$B$156,MATCH($S1794,MUSTERILER!$T$7:$T$156,0)),""))</f>
        <v/>
      </c>
      <c r="U1794" s="1" t="str">
        <f>IF($T1794="","",$T1794&amp;"|"&amp;COUNTIFS($T$7:$T1794,$T1794))</f>
        <v/>
      </c>
      <c r="V1794" s="1">
        <f t="shared" si="84"/>
        <v>0</v>
      </c>
      <c r="W1794" s="1" t="str">
        <f t="shared" si="85"/>
        <v/>
      </c>
      <c r="X1794" s="1"/>
      <c r="Y1794" s="1"/>
      <c r="Z1794" s="1"/>
      <c r="AA1794" s="1"/>
      <c r="AB1794" s="1"/>
      <c r="AC1794" s="1"/>
      <c r="AD1794" s="1">
        <f>IF($C1794="",0,SUMPRODUCT((AY_SONU!$O$7:$O$42="Evet")*(AY_SONU!$B$7:$B$42=DATE(YEAR($C1794),MONTH($C1794),1))))</f>
        <v>0</v>
      </c>
      <c r="AE1794" s="1" t="str">
        <f>IF($E1794="","",$E1794&amp;"|"&amp;COUNTIFS($E$7:$E1794,$E1794))</f>
        <v/>
      </c>
    </row>
    <row r="1795" spans="1:31" ht="18" customHeight="1" x14ac:dyDescent="0.3">
      <c r="A1795" s="2"/>
      <c r="B1795" s="65" t="str">
        <f>IF($C1795="","","GG"&amp;TEXT(ROW()-6,"00000"))</f>
        <v/>
      </c>
      <c r="C1795" s="66"/>
      <c r="D1795" s="60"/>
      <c r="E1795" s="61"/>
      <c r="F1795" s="61"/>
      <c r="G1795" s="67"/>
      <c r="H1795" s="60"/>
      <c r="I1795" s="60"/>
      <c r="J1795" s="61"/>
      <c r="K1795" s="61"/>
      <c r="L1795" s="60"/>
      <c r="M1795" s="74" t="str">
        <f>IF($C1795="","",IF($D1795="Gider",$E1795,IF($L1795&lt;&gt;"",$L1795,$H1795)))</f>
        <v/>
      </c>
      <c r="N1795" s="74" t="str">
        <f>IF($C1795="","",IF($D1795="Gider",$H1795,$E1795))</f>
        <v/>
      </c>
      <c r="O1795" s="73" t="str">
        <f>IF($C1795="","",DATE(YEAR($C1795),MONTH($C1795),1))</f>
        <v/>
      </c>
      <c r="P1795" s="65" t="str">
        <f ca="1">IF($C1795="","",IF(AND($D1795="Gelir",$L1795&lt;&gt;"",$T1795=""),"TANIMSIZ BORÇLU",IF($T1795&lt;&gt;"",IF(OR($E1795="",$G1795&lt;=0),"EKSİK",IF($I1795="Evet","TAHAKKUK NAKİT OLAMAZ",IF($C1795&gt;TODAY(),"İLERİ TARİH","TAHAKKUK"))),IF(AND($D1795&lt;&gt;"",$E1795&lt;&gt;"",$G1795&gt;0,$H1795&lt;&gt;"",$I1795&lt;&gt;""),IF($C1795&gt;TODAY(),"İLERİ TARİH",IF(COUNTIF($W$7:$W$3001,$W1795)&gt;1,"MÜKERRER?",IF($AD1795&gt;0,"KAPALI DÖNEM",IF($I1795="Hayır","ÖDENECEK","UYGUN")))),"EKSİK"))))</f>
        <v/>
      </c>
      <c r="Q1795" s="2"/>
      <c r="R1795" s="2"/>
      <c r="S1795" s="1" t="str">
        <f t="shared" si="83"/>
        <v/>
      </c>
      <c r="T1795" s="1" t="str">
        <f>IF(OR($C1795="",$D1795&lt;&gt;"Gelir",$L1795=""),"",IFERROR(INDEX(MUSTERILER!$B$7:$B$156,MATCH($S1795,MUSTERILER!$T$7:$T$156,0)),""))</f>
        <v/>
      </c>
      <c r="U1795" s="1" t="str">
        <f>IF($T1795="","",$T1795&amp;"|"&amp;COUNTIFS($T$7:$T1795,$T1795))</f>
        <v/>
      </c>
      <c r="V1795" s="1">
        <f t="shared" si="84"/>
        <v>0</v>
      </c>
      <c r="W1795" s="1" t="str">
        <f t="shared" si="85"/>
        <v/>
      </c>
      <c r="X1795" s="1"/>
      <c r="Y1795" s="1"/>
      <c r="Z1795" s="1"/>
      <c r="AA1795" s="1"/>
      <c r="AB1795" s="1"/>
      <c r="AC1795" s="1"/>
      <c r="AD1795" s="1">
        <f>IF($C1795="",0,SUMPRODUCT((AY_SONU!$O$7:$O$42="Evet")*(AY_SONU!$B$7:$B$42=DATE(YEAR($C1795),MONTH($C1795),1))))</f>
        <v>0</v>
      </c>
      <c r="AE1795" s="1" t="str">
        <f>IF($E1795="","",$E1795&amp;"|"&amp;COUNTIFS($E$7:$E1795,$E1795))</f>
        <v/>
      </c>
    </row>
    <row r="1796" spans="1:31" ht="18" customHeight="1" x14ac:dyDescent="0.3">
      <c r="A1796" s="2"/>
      <c r="B1796" s="65" t="str">
        <f>IF($C1796="","","GG"&amp;TEXT(ROW()-6,"00000"))</f>
        <v/>
      </c>
      <c r="C1796" s="66"/>
      <c r="D1796" s="60"/>
      <c r="E1796" s="61"/>
      <c r="F1796" s="61"/>
      <c r="G1796" s="67"/>
      <c r="H1796" s="60"/>
      <c r="I1796" s="60"/>
      <c r="J1796" s="61"/>
      <c r="K1796" s="61"/>
      <c r="L1796" s="60"/>
      <c r="M1796" s="74" t="str">
        <f>IF($C1796="","",IF($D1796="Gider",$E1796,IF($L1796&lt;&gt;"",$L1796,$H1796)))</f>
        <v/>
      </c>
      <c r="N1796" s="74" t="str">
        <f>IF($C1796="","",IF($D1796="Gider",$H1796,$E1796))</f>
        <v/>
      </c>
      <c r="O1796" s="73" t="str">
        <f>IF($C1796="","",DATE(YEAR($C1796),MONTH($C1796),1))</f>
        <v/>
      </c>
      <c r="P1796" s="65" t="str">
        <f ca="1">IF($C1796="","",IF(AND($D1796="Gelir",$L1796&lt;&gt;"",$T1796=""),"TANIMSIZ BORÇLU",IF($T1796&lt;&gt;"",IF(OR($E1796="",$G1796&lt;=0),"EKSİK",IF($I1796="Evet","TAHAKKUK NAKİT OLAMAZ",IF($C1796&gt;TODAY(),"İLERİ TARİH","TAHAKKUK"))),IF(AND($D1796&lt;&gt;"",$E1796&lt;&gt;"",$G1796&gt;0,$H1796&lt;&gt;"",$I1796&lt;&gt;""),IF($C1796&gt;TODAY(),"İLERİ TARİH",IF(COUNTIF($W$7:$W$3001,$W1796)&gt;1,"MÜKERRER?",IF($AD1796&gt;0,"KAPALI DÖNEM",IF($I1796="Hayır","ÖDENECEK","UYGUN")))),"EKSİK"))))</f>
        <v/>
      </c>
      <c r="Q1796" s="2"/>
      <c r="R1796" s="2"/>
      <c r="S1796" s="1" t="str">
        <f t="shared" si="83"/>
        <v/>
      </c>
      <c r="T1796" s="1" t="str">
        <f>IF(OR($C1796="",$D1796&lt;&gt;"Gelir",$L1796=""),"",IFERROR(INDEX(MUSTERILER!$B$7:$B$156,MATCH($S1796,MUSTERILER!$T$7:$T$156,0)),""))</f>
        <v/>
      </c>
      <c r="U1796" s="1" t="str">
        <f>IF($T1796="","",$T1796&amp;"|"&amp;COUNTIFS($T$7:$T1796,$T1796))</f>
        <v/>
      </c>
      <c r="V1796" s="1">
        <f t="shared" si="84"/>
        <v>0</v>
      </c>
      <c r="W1796" s="1" t="str">
        <f t="shared" si="85"/>
        <v/>
      </c>
      <c r="X1796" s="1"/>
      <c r="Y1796" s="1"/>
      <c r="Z1796" s="1"/>
      <c r="AA1796" s="1"/>
      <c r="AB1796" s="1"/>
      <c r="AC1796" s="1"/>
      <c r="AD1796" s="1">
        <f>IF($C1796="",0,SUMPRODUCT((AY_SONU!$O$7:$O$42="Evet")*(AY_SONU!$B$7:$B$42=DATE(YEAR($C1796),MONTH($C1796),1))))</f>
        <v>0</v>
      </c>
      <c r="AE1796" s="1" t="str">
        <f>IF($E1796="","",$E1796&amp;"|"&amp;COUNTIFS($E$7:$E1796,$E1796))</f>
        <v/>
      </c>
    </row>
    <row r="1797" spans="1:31" ht="18" customHeight="1" x14ac:dyDescent="0.3">
      <c r="A1797" s="2"/>
      <c r="B1797" s="65" t="str">
        <f>IF($C1797="","","GG"&amp;TEXT(ROW()-6,"00000"))</f>
        <v/>
      </c>
      <c r="C1797" s="66"/>
      <c r="D1797" s="60"/>
      <c r="E1797" s="61"/>
      <c r="F1797" s="61"/>
      <c r="G1797" s="67"/>
      <c r="H1797" s="60"/>
      <c r="I1797" s="60"/>
      <c r="J1797" s="61"/>
      <c r="K1797" s="61"/>
      <c r="L1797" s="60"/>
      <c r="M1797" s="74" t="str">
        <f>IF($C1797="","",IF($D1797="Gider",$E1797,IF($L1797&lt;&gt;"",$L1797,$H1797)))</f>
        <v/>
      </c>
      <c r="N1797" s="74" t="str">
        <f>IF($C1797="","",IF($D1797="Gider",$H1797,$E1797))</f>
        <v/>
      </c>
      <c r="O1797" s="73" t="str">
        <f>IF($C1797="","",DATE(YEAR($C1797),MONTH($C1797),1))</f>
        <v/>
      </c>
      <c r="P1797" s="65" t="str">
        <f ca="1">IF($C1797="","",IF(AND($D1797="Gelir",$L1797&lt;&gt;"",$T1797=""),"TANIMSIZ BORÇLU",IF($T1797&lt;&gt;"",IF(OR($E1797="",$G1797&lt;=0),"EKSİK",IF($I1797="Evet","TAHAKKUK NAKİT OLAMAZ",IF($C1797&gt;TODAY(),"İLERİ TARİH","TAHAKKUK"))),IF(AND($D1797&lt;&gt;"",$E1797&lt;&gt;"",$G1797&gt;0,$H1797&lt;&gt;"",$I1797&lt;&gt;""),IF($C1797&gt;TODAY(),"İLERİ TARİH",IF(COUNTIF($W$7:$W$3001,$W1797)&gt;1,"MÜKERRER?",IF($AD1797&gt;0,"KAPALI DÖNEM",IF($I1797="Hayır","ÖDENECEK","UYGUN")))),"EKSİK"))))</f>
        <v/>
      </c>
      <c r="Q1797" s="2"/>
      <c r="R1797" s="2"/>
      <c r="S1797" s="1" t="str">
        <f t="shared" ref="S1797:S1860" si="86">IF($L1797="","",UPPER(SUBSTITUTE(SUBSTITUTE(SUBSTITUTE(SUBSTITUTE(SUBSTITUTE(SUBSTITUTE(SUBSTITUTE(SUBSTITUTE(SUBSTITUTE(SUBSTITUTE(SUBSTITUTE(SUBSTITUTE(SUBSTITUTE(SUBSTITUTE(SUBSTITUTE(SUBSTITUTE(SUBSTITUTE(SUBSTITUTE(TRIM($L1797),"'",""),"İ","I"),"ı","I"),"i","I"),"Ş","S"),"ş","S"),"Ğ","G"),"ğ","G"),"Ü","U"),"ü","U"),"Ö","O"),"ö","O"),"Ç","C"),"ç","C"),".",""),",","")," ",""),"-","")))</f>
        <v/>
      </c>
      <c r="T1797" s="1" t="str">
        <f>IF(OR($C1797="",$D1797&lt;&gt;"Gelir",$L1797=""),"",IFERROR(INDEX(MUSTERILER!$B$7:$B$156,MATCH($S1797,MUSTERILER!$T$7:$T$156,0)),""))</f>
        <v/>
      </c>
      <c r="U1797" s="1" t="str">
        <f>IF($T1797="","",$T1797&amp;"|"&amp;COUNTIFS($T$7:$T1797,$T1797))</f>
        <v/>
      </c>
      <c r="V1797" s="1">
        <f t="shared" ref="V1797:V1860" si="87">IF($T1797="",0,1)</f>
        <v>0</v>
      </c>
      <c r="W1797" s="1" t="str">
        <f t="shared" ref="W1797:W1860" si="88">IF($C1797="","",$D1797&amp;"|"&amp;$E1797&amp;"|"&amp;TEXT($C1797,"0")&amp;"|"&amp;TEXT($G1797,"0")&amp;"|"&amp;$F1797&amp;"|"&amp;$J1797)</f>
        <v/>
      </c>
      <c r="X1797" s="1"/>
      <c r="Y1797" s="1"/>
      <c r="Z1797" s="1"/>
      <c r="AA1797" s="1"/>
      <c r="AB1797" s="1"/>
      <c r="AC1797" s="1"/>
      <c r="AD1797" s="1">
        <f>IF($C1797="",0,SUMPRODUCT((AY_SONU!$O$7:$O$42="Evet")*(AY_SONU!$B$7:$B$42=DATE(YEAR($C1797),MONTH($C1797),1))))</f>
        <v>0</v>
      </c>
      <c r="AE1797" s="1" t="str">
        <f>IF($E1797="","",$E1797&amp;"|"&amp;COUNTIFS($E$7:$E1797,$E1797))</f>
        <v/>
      </c>
    </row>
    <row r="1798" spans="1:31" ht="18" customHeight="1" x14ac:dyDescent="0.3">
      <c r="A1798" s="2"/>
      <c r="B1798" s="65" t="str">
        <f>IF($C1798="","","GG"&amp;TEXT(ROW()-6,"00000"))</f>
        <v/>
      </c>
      <c r="C1798" s="66"/>
      <c r="D1798" s="60"/>
      <c r="E1798" s="61"/>
      <c r="F1798" s="61"/>
      <c r="G1798" s="67"/>
      <c r="H1798" s="60"/>
      <c r="I1798" s="60"/>
      <c r="J1798" s="61"/>
      <c r="K1798" s="61"/>
      <c r="L1798" s="60"/>
      <c r="M1798" s="74" t="str">
        <f>IF($C1798="","",IF($D1798="Gider",$E1798,IF($L1798&lt;&gt;"",$L1798,$H1798)))</f>
        <v/>
      </c>
      <c r="N1798" s="74" t="str">
        <f>IF($C1798="","",IF($D1798="Gider",$H1798,$E1798))</f>
        <v/>
      </c>
      <c r="O1798" s="73" t="str">
        <f>IF($C1798="","",DATE(YEAR($C1798),MONTH($C1798),1))</f>
        <v/>
      </c>
      <c r="P1798" s="65" t="str">
        <f ca="1">IF($C1798="","",IF(AND($D1798="Gelir",$L1798&lt;&gt;"",$T1798=""),"TANIMSIZ BORÇLU",IF($T1798&lt;&gt;"",IF(OR($E1798="",$G1798&lt;=0),"EKSİK",IF($I1798="Evet","TAHAKKUK NAKİT OLAMAZ",IF($C1798&gt;TODAY(),"İLERİ TARİH","TAHAKKUK"))),IF(AND($D1798&lt;&gt;"",$E1798&lt;&gt;"",$G1798&gt;0,$H1798&lt;&gt;"",$I1798&lt;&gt;""),IF($C1798&gt;TODAY(),"İLERİ TARİH",IF(COUNTIF($W$7:$W$3001,$W1798)&gt;1,"MÜKERRER?",IF($AD1798&gt;0,"KAPALI DÖNEM",IF($I1798="Hayır","ÖDENECEK","UYGUN")))),"EKSİK"))))</f>
        <v/>
      </c>
      <c r="Q1798" s="2"/>
      <c r="R1798" s="2"/>
      <c r="S1798" s="1" t="str">
        <f t="shared" si="86"/>
        <v/>
      </c>
      <c r="T1798" s="1" t="str">
        <f>IF(OR($C1798="",$D1798&lt;&gt;"Gelir",$L1798=""),"",IFERROR(INDEX(MUSTERILER!$B$7:$B$156,MATCH($S1798,MUSTERILER!$T$7:$T$156,0)),""))</f>
        <v/>
      </c>
      <c r="U1798" s="1" t="str">
        <f>IF($T1798="","",$T1798&amp;"|"&amp;COUNTIFS($T$7:$T1798,$T1798))</f>
        <v/>
      </c>
      <c r="V1798" s="1">
        <f t="shared" si="87"/>
        <v>0</v>
      </c>
      <c r="W1798" s="1" t="str">
        <f t="shared" si="88"/>
        <v/>
      </c>
      <c r="X1798" s="1"/>
      <c r="Y1798" s="1"/>
      <c r="Z1798" s="1"/>
      <c r="AA1798" s="1"/>
      <c r="AB1798" s="1"/>
      <c r="AC1798" s="1"/>
      <c r="AD1798" s="1">
        <f>IF($C1798="",0,SUMPRODUCT((AY_SONU!$O$7:$O$42="Evet")*(AY_SONU!$B$7:$B$42=DATE(YEAR($C1798),MONTH($C1798),1))))</f>
        <v>0</v>
      </c>
      <c r="AE1798" s="1" t="str">
        <f>IF($E1798="","",$E1798&amp;"|"&amp;COUNTIFS($E$7:$E1798,$E1798))</f>
        <v/>
      </c>
    </row>
    <row r="1799" spans="1:31" ht="18" customHeight="1" x14ac:dyDescent="0.3">
      <c r="A1799" s="2"/>
      <c r="B1799" s="65" t="str">
        <f>IF($C1799="","","GG"&amp;TEXT(ROW()-6,"00000"))</f>
        <v/>
      </c>
      <c r="C1799" s="66"/>
      <c r="D1799" s="60"/>
      <c r="E1799" s="61"/>
      <c r="F1799" s="61"/>
      <c r="G1799" s="67"/>
      <c r="H1799" s="60"/>
      <c r="I1799" s="60"/>
      <c r="J1799" s="61"/>
      <c r="K1799" s="61"/>
      <c r="L1799" s="60"/>
      <c r="M1799" s="74" t="str">
        <f>IF($C1799="","",IF($D1799="Gider",$E1799,IF($L1799&lt;&gt;"",$L1799,$H1799)))</f>
        <v/>
      </c>
      <c r="N1799" s="74" t="str">
        <f>IF($C1799="","",IF($D1799="Gider",$H1799,$E1799))</f>
        <v/>
      </c>
      <c r="O1799" s="73" t="str">
        <f>IF($C1799="","",DATE(YEAR($C1799),MONTH($C1799),1))</f>
        <v/>
      </c>
      <c r="P1799" s="65" t="str">
        <f ca="1"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TARİH",IF(COUNTIF($W$7:$W$3001,$W1799)&gt;1,"MÜKERRER?",IF($AD1799&gt;0,"KAPALI DÖNEM",IF($I1799="Hayır","ÖDENECEK","UYGUN")))),"EKSİK"))))</f>
        <v/>
      </c>
      <c r="Q1799" s="2"/>
      <c r="R1799" s="2"/>
      <c r="S1799" s="1" t="str">
        <f t="shared" si="86"/>
        <v/>
      </c>
      <c r="T1799" s="1" t="str">
        <f>IF(OR($C1799="",$D1799&lt;&gt;"Gelir",$L1799=""),"",IFERROR(INDEX(MUSTERILER!$B$7:$B$156,MATCH($S1799,MUSTERILER!$T$7:$T$156,0)),""))</f>
        <v/>
      </c>
      <c r="U1799" s="1" t="str">
        <f>IF($T1799="","",$T1799&amp;"|"&amp;COUNTIFS($T$7:$T1799,$T1799))</f>
        <v/>
      </c>
      <c r="V1799" s="1">
        <f t="shared" si="87"/>
        <v>0</v>
      </c>
      <c r="W1799" s="1" t="str">
        <f t="shared" si="88"/>
        <v/>
      </c>
      <c r="X1799" s="1"/>
      <c r="Y1799" s="1"/>
      <c r="Z1799" s="1"/>
      <c r="AA1799" s="1"/>
      <c r="AB1799" s="1"/>
      <c r="AC1799" s="1"/>
      <c r="AD1799" s="1">
        <f>IF($C1799="",0,SUMPRODUCT((AY_SONU!$O$7:$O$42="Evet")*(AY_SONU!$B$7:$B$42=DATE(YEAR($C1799),MONTH($C1799),1))))</f>
        <v>0</v>
      </c>
      <c r="AE1799" s="1" t="str">
        <f>IF($E1799="","",$E1799&amp;"|"&amp;COUNTIFS($E$7:$E1799,$E1799))</f>
        <v/>
      </c>
    </row>
    <row r="1800" spans="1:31" ht="18" customHeight="1" x14ac:dyDescent="0.3">
      <c r="A1800" s="2"/>
      <c r="B1800" s="65" t="str">
        <f>IF($C1800="","","GG"&amp;TEXT(ROW()-6,"00000"))</f>
        <v/>
      </c>
      <c r="C1800" s="66"/>
      <c r="D1800" s="60"/>
      <c r="E1800" s="61"/>
      <c r="F1800" s="61"/>
      <c r="G1800" s="67"/>
      <c r="H1800" s="60"/>
      <c r="I1800" s="60"/>
      <c r="J1800" s="61"/>
      <c r="K1800" s="61"/>
      <c r="L1800" s="60"/>
      <c r="M1800" s="74" t="str">
        <f>IF($C1800="","",IF($D1800="Gider",$E1800,IF($L1800&lt;&gt;"",$L1800,$H1800)))</f>
        <v/>
      </c>
      <c r="N1800" s="74" t="str">
        <f>IF($C1800="","",IF($D1800="Gider",$H1800,$E1800))</f>
        <v/>
      </c>
      <c r="O1800" s="73" t="str">
        <f>IF($C1800="","",DATE(YEAR($C1800),MONTH($C1800),1))</f>
        <v/>
      </c>
      <c r="P1800" s="65" t="str">
        <f ca="1">IF($C1800="","",IF(AND($D1800="Gelir",$L1800&lt;&gt;"",$T1800=""),"TANIMSIZ BORÇLU",IF($T1800&lt;&gt;"",IF(OR($E1800="",$G1800&lt;=0),"EKSİK",IF($I1800="Evet","TAHAKKUK NAKİT OLAMAZ",IF($C1800&gt;TODAY(),"İLERİ TARİH","TAHAKKUK"))),IF(AND($D1800&lt;&gt;"",$E1800&lt;&gt;"",$G1800&gt;0,$H1800&lt;&gt;"",$I1800&lt;&gt;""),IF($C1800&gt;TODAY(),"İLERİ TARİH",IF(COUNTIF($W$7:$W$3001,$W1800)&gt;1,"MÜKERRER?",IF($AD1800&gt;0,"KAPALI DÖNEM",IF($I1800="Hayır","ÖDENECEK","UYGUN")))),"EKSİK"))))</f>
        <v/>
      </c>
      <c r="Q1800" s="2"/>
      <c r="R1800" s="2"/>
      <c r="S1800" s="1" t="str">
        <f t="shared" si="86"/>
        <v/>
      </c>
      <c r="T1800" s="1" t="str">
        <f>IF(OR($C1800="",$D1800&lt;&gt;"Gelir",$L1800=""),"",IFERROR(INDEX(MUSTERILER!$B$7:$B$156,MATCH($S1800,MUSTERILER!$T$7:$T$156,0)),""))</f>
        <v/>
      </c>
      <c r="U1800" s="1" t="str">
        <f>IF($T1800="","",$T1800&amp;"|"&amp;COUNTIFS($T$7:$T1800,$T1800))</f>
        <v/>
      </c>
      <c r="V1800" s="1">
        <f t="shared" si="87"/>
        <v>0</v>
      </c>
      <c r="W1800" s="1" t="str">
        <f t="shared" si="88"/>
        <v/>
      </c>
      <c r="X1800" s="1"/>
      <c r="Y1800" s="1"/>
      <c r="Z1800" s="1"/>
      <c r="AA1800" s="1"/>
      <c r="AB1800" s="1"/>
      <c r="AC1800" s="1"/>
      <c r="AD1800" s="1">
        <f>IF($C1800="",0,SUMPRODUCT((AY_SONU!$O$7:$O$42="Evet")*(AY_SONU!$B$7:$B$42=DATE(YEAR($C1800),MONTH($C1800),1))))</f>
        <v>0</v>
      </c>
      <c r="AE1800" s="1" t="str">
        <f>IF($E1800="","",$E1800&amp;"|"&amp;COUNTIFS($E$7:$E1800,$E1800))</f>
        <v/>
      </c>
    </row>
    <row r="1801" spans="1:31" ht="18" customHeight="1" x14ac:dyDescent="0.3">
      <c r="A1801" s="2"/>
      <c r="B1801" s="65" t="str">
        <f>IF($C1801="","","GG"&amp;TEXT(ROW()-6,"00000"))</f>
        <v/>
      </c>
      <c r="C1801" s="66"/>
      <c r="D1801" s="60"/>
      <c r="E1801" s="61"/>
      <c r="F1801" s="61"/>
      <c r="G1801" s="67"/>
      <c r="H1801" s="60"/>
      <c r="I1801" s="60"/>
      <c r="J1801" s="61"/>
      <c r="K1801" s="61"/>
      <c r="L1801" s="60"/>
      <c r="M1801" s="74" t="str">
        <f>IF($C1801="","",IF($D1801="Gider",$E1801,IF($L1801&lt;&gt;"",$L1801,$H1801)))</f>
        <v/>
      </c>
      <c r="N1801" s="74" t="str">
        <f>IF($C1801="","",IF($D1801="Gider",$H1801,$E1801))</f>
        <v/>
      </c>
      <c r="O1801" s="73" t="str">
        <f>IF($C1801="","",DATE(YEAR($C1801),MONTH($C1801),1))</f>
        <v/>
      </c>
      <c r="P1801" s="65" t="str">
        <f ca="1">IF($C1801="","",IF(AND($D1801="Gelir",$L1801&lt;&gt;"",$T1801=""),"TANIMSIZ BORÇLU",IF($T1801&lt;&gt;"",IF(OR($E1801="",$G1801&lt;=0),"EKSİK",IF($I1801="Evet","TAHAKKUK NAKİT OLAMAZ",IF($C1801&gt;TODAY(),"İLERİ TARİH","TAHAKKUK"))),IF(AND($D1801&lt;&gt;"",$E1801&lt;&gt;"",$G1801&gt;0,$H1801&lt;&gt;"",$I1801&lt;&gt;""),IF($C1801&gt;TODAY(),"İLERİ TARİH",IF(COUNTIF($W$7:$W$3001,$W1801)&gt;1,"MÜKERRER?",IF($AD1801&gt;0,"KAPALI DÖNEM",IF($I1801="Hayır","ÖDENECEK","UYGUN")))),"EKSİK"))))</f>
        <v/>
      </c>
      <c r="Q1801" s="2"/>
      <c r="R1801" s="2"/>
      <c r="S1801" s="1" t="str">
        <f t="shared" si="86"/>
        <v/>
      </c>
      <c r="T1801" s="1" t="str">
        <f>IF(OR($C1801="",$D1801&lt;&gt;"Gelir",$L1801=""),"",IFERROR(INDEX(MUSTERILER!$B$7:$B$156,MATCH($S1801,MUSTERILER!$T$7:$T$156,0)),""))</f>
        <v/>
      </c>
      <c r="U1801" s="1" t="str">
        <f>IF($T1801="","",$T1801&amp;"|"&amp;COUNTIFS($T$7:$T1801,$T1801))</f>
        <v/>
      </c>
      <c r="V1801" s="1">
        <f t="shared" si="87"/>
        <v>0</v>
      </c>
      <c r="W1801" s="1" t="str">
        <f t="shared" si="88"/>
        <v/>
      </c>
      <c r="X1801" s="1"/>
      <c r="Y1801" s="1"/>
      <c r="Z1801" s="1"/>
      <c r="AA1801" s="1"/>
      <c r="AB1801" s="1"/>
      <c r="AC1801" s="1"/>
      <c r="AD1801" s="1">
        <f>IF($C1801="",0,SUMPRODUCT((AY_SONU!$O$7:$O$42="Evet")*(AY_SONU!$B$7:$B$42=DATE(YEAR($C1801),MONTH($C1801),1))))</f>
        <v>0</v>
      </c>
      <c r="AE1801" s="1" t="str">
        <f>IF($E1801="","",$E1801&amp;"|"&amp;COUNTIFS($E$7:$E1801,$E1801))</f>
        <v/>
      </c>
    </row>
    <row r="1802" spans="1:31" ht="18" customHeight="1" x14ac:dyDescent="0.3">
      <c r="A1802" s="2"/>
      <c r="B1802" s="65" t="str">
        <f>IF($C1802="","","GG"&amp;TEXT(ROW()-6,"00000"))</f>
        <v/>
      </c>
      <c r="C1802" s="66"/>
      <c r="D1802" s="60"/>
      <c r="E1802" s="61"/>
      <c r="F1802" s="61"/>
      <c r="G1802" s="67"/>
      <c r="H1802" s="60"/>
      <c r="I1802" s="60"/>
      <c r="J1802" s="61"/>
      <c r="K1802" s="61"/>
      <c r="L1802" s="60"/>
      <c r="M1802" s="74" t="str">
        <f>IF($C1802="","",IF($D1802="Gider",$E1802,IF($L1802&lt;&gt;"",$L1802,$H1802)))</f>
        <v/>
      </c>
      <c r="N1802" s="74" t="str">
        <f>IF($C1802="","",IF($D1802="Gider",$H1802,$E1802))</f>
        <v/>
      </c>
      <c r="O1802" s="73" t="str">
        <f>IF($C1802="","",DATE(YEAR($C1802),MONTH($C1802),1))</f>
        <v/>
      </c>
      <c r="P1802" s="65" t="str">
        <f ca="1">IF($C1802="","",IF(AND($D1802="Gelir",$L1802&lt;&gt;"",$T1802=""),"TANIMSIZ BORÇLU",IF($T1802&lt;&gt;"",IF(OR($E1802="",$G1802&lt;=0),"EKSİK",IF($I1802="Evet","TAHAKKUK NAKİT OLAMAZ",IF($C1802&gt;TODAY(),"İLERİ TARİH","TAHAKKUK"))),IF(AND($D1802&lt;&gt;"",$E1802&lt;&gt;"",$G1802&gt;0,$H1802&lt;&gt;"",$I1802&lt;&gt;""),IF($C1802&gt;TODAY(),"İLERİ TARİH",IF(COUNTIF($W$7:$W$3001,$W1802)&gt;1,"MÜKERRER?",IF($AD1802&gt;0,"KAPALI DÖNEM",IF($I1802="Hayır","ÖDENECEK","UYGUN")))),"EKSİK"))))</f>
        <v/>
      </c>
      <c r="Q1802" s="2"/>
      <c r="R1802" s="2"/>
      <c r="S1802" s="1" t="str">
        <f t="shared" si="86"/>
        <v/>
      </c>
      <c r="T1802" s="1" t="str">
        <f>IF(OR($C1802="",$D1802&lt;&gt;"Gelir",$L1802=""),"",IFERROR(INDEX(MUSTERILER!$B$7:$B$156,MATCH($S1802,MUSTERILER!$T$7:$T$156,0)),""))</f>
        <v/>
      </c>
      <c r="U1802" s="1" t="str">
        <f>IF($T1802="","",$T1802&amp;"|"&amp;COUNTIFS($T$7:$T1802,$T1802))</f>
        <v/>
      </c>
      <c r="V1802" s="1">
        <f t="shared" si="87"/>
        <v>0</v>
      </c>
      <c r="W1802" s="1" t="str">
        <f t="shared" si="88"/>
        <v/>
      </c>
      <c r="X1802" s="1"/>
      <c r="Y1802" s="1"/>
      <c r="Z1802" s="1"/>
      <c r="AA1802" s="1"/>
      <c r="AB1802" s="1"/>
      <c r="AC1802" s="1"/>
      <c r="AD1802" s="1">
        <f>IF($C1802="",0,SUMPRODUCT((AY_SONU!$O$7:$O$42="Evet")*(AY_SONU!$B$7:$B$42=DATE(YEAR($C1802),MONTH($C1802),1))))</f>
        <v>0</v>
      </c>
      <c r="AE1802" s="1" t="str">
        <f>IF($E1802="","",$E1802&amp;"|"&amp;COUNTIFS($E$7:$E1802,$E1802))</f>
        <v/>
      </c>
    </row>
    <row r="1803" spans="1:31" ht="18" customHeight="1" x14ac:dyDescent="0.3">
      <c r="A1803" s="2"/>
      <c r="B1803" s="65" t="str">
        <f>IF($C1803="","","GG"&amp;TEXT(ROW()-6,"00000"))</f>
        <v/>
      </c>
      <c r="C1803" s="66"/>
      <c r="D1803" s="60"/>
      <c r="E1803" s="61"/>
      <c r="F1803" s="61"/>
      <c r="G1803" s="67"/>
      <c r="H1803" s="60"/>
      <c r="I1803" s="60"/>
      <c r="J1803" s="61"/>
      <c r="K1803" s="61"/>
      <c r="L1803" s="60"/>
      <c r="M1803" s="74" t="str">
        <f>IF($C1803="","",IF($D1803="Gider",$E1803,IF($L1803&lt;&gt;"",$L1803,$H1803)))</f>
        <v/>
      </c>
      <c r="N1803" s="74" t="str">
        <f>IF($C1803="","",IF($D1803="Gider",$H1803,$E1803))</f>
        <v/>
      </c>
      <c r="O1803" s="73" t="str">
        <f>IF($C1803="","",DATE(YEAR($C1803),MONTH($C1803),1))</f>
        <v/>
      </c>
      <c r="P1803" s="65" t="str">
        <f ca="1">IF($C1803="","",IF(AND($D1803="Gelir",$L1803&lt;&gt;"",$T1803=""),"TANIMSIZ BORÇLU",IF($T1803&lt;&gt;"",IF(OR($E1803="",$G1803&lt;=0),"EKSİK",IF($I1803="Evet","TAHAKKUK NAKİT OLAMAZ",IF($C1803&gt;TODAY(),"İLERİ TARİH","TAHAKKUK"))),IF(AND($D1803&lt;&gt;"",$E1803&lt;&gt;"",$G1803&gt;0,$H1803&lt;&gt;"",$I1803&lt;&gt;""),IF($C1803&gt;TODAY(),"İLERİ TARİH",IF(COUNTIF($W$7:$W$3001,$W1803)&gt;1,"MÜKERRER?",IF($AD1803&gt;0,"KAPALI DÖNEM",IF($I1803="Hayır","ÖDENECEK","UYGUN")))),"EKSİK"))))</f>
        <v/>
      </c>
      <c r="Q1803" s="2"/>
      <c r="R1803" s="2"/>
      <c r="S1803" s="1" t="str">
        <f t="shared" si="86"/>
        <v/>
      </c>
      <c r="T1803" s="1" t="str">
        <f>IF(OR($C1803="",$D1803&lt;&gt;"Gelir",$L1803=""),"",IFERROR(INDEX(MUSTERILER!$B$7:$B$156,MATCH($S1803,MUSTERILER!$T$7:$T$156,0)),""))</f>
        <v/>
      </c>
      <c r="U1803" s="1" t="str">
        <f>IF($T1803="","",$T1803&amp;"|"&amp;COUNTIFS($T$7:$T1803,$T1803))</f>
        <v/>
      </c>
      <c r="V1803" s="1">
        <f t="shared" si="87"/>
        <v>0</v>
      </c>
      <c r="W1803" s="1" t="str">
        <f t="shared" si="88"/>
        <v/>
      </c>
      <c r="X1803" s="1"/>
      <c r="Y1803" s="1"/>
      <c r="Z1803" s="1"/>
      <c r="AA1803" s="1"/>
      <c r="AB1803" s="1"/>
      <c r="AC1803" s="1"/>
      <c r="AD1803" s="1">
        <f>IF($C1803="",0,SUMPRODUCT((AY_SONU!$O$7:$O$42="Evet")*(AY_SONU!$B$7:$B$42=DATE(YEAR($C1803),MONTH($C1803),1))))</f>
        <v>0</v>
      </c>
      <c r="AE1803" s="1" t="str">
        <f>IF($E1803="","",$E1803&amp;"|"&amp;COUNTIFS($E$7:$E1803,$E1803))</f>
        <v/>
      </c>
    </row>
    <row r="1804" spans="1:31" ht="18" customHeight="1" x14ac:dyDescent="0.3">
      <c r="A1804" s="2"/>
      <c r="B1804" s="65" t="str">
        <f>IF($C1804="","","GG"&amp;TEXT(ROW()-6,"00000"))</f>
        <v/>
      </c>
      <c r="C1804" s="66"/>
      <c r="D1804" s="60"/>
      <c r="E1804" s="61"/>
      <c r="F1804" s="61"/>
      <c r="G1804" s="67"/>
      <c r="H1804" s="60"/>
      <c r="I1804" s="60"/>
      <c r="J1804" s="61"/>
      <c r="K1804" s="61"/>
      <c r="L1804" s="60"/>
      <c r="M1804" s="74" t="str">
        <f>IF($C1804="","",IF($D1804="Gider",$E1804,IF($L1804&lt;&gt;"",$L1804,$H1804)))</f>
        <v/>
      </c>
      <c r="N1804" s="74" t="str">
        <f>IF($C1804="","",IF($D1804="Gider",$H1804,$E1804))</f>
        <v/>
      </c>
      <c r="O1804" s="73" t="str">
        <f>IF($C1804="","",DATE(YEAR($C1804),MONTH($C1804),1))</f>
        <v/>
      </c>
      <c r="P1804" s="65" t="str">
        <f ca="1">IF($C1804="","",IF(AND($D1804="Gelir",$L1804&lt;&gt;"",$T1804=""),"TANIMSIZ BORÇLU",IF($T1804&lt;&gt;"",IF(OR($E1804="",$G1804&lt;=0),"EKSİK",IF($I1804="Evet","TAHAKKUK NAKİT OLAMAZ",IF($C1804&gt;TODAY(),"İLERİ TARİH","TAHAKKUK"))),IF(AND($D1804&lt;&gt;"",$E1804&lt;&gt;"",$G1804&gt;0,$H1804&lt;&gt;"",$I1804&lt;&gt;""),IF($C1804&gt;TODAY(),"İLERİ TARİH",IF(COUNTIF($W$7:$W$3001,$W1804)&gt;1,"MÜKERRER?",IF($AD1804&gt;0,"KAPALI DÖNEM",IF($I1804="Hayır","ÖDENECEK","UYGUN")))),"EKSİK"))))</f>
        <v/>
      </c>
      <c r="Q1804" s="2"/>
      <c r="R1804" s="2"/>
      <c r="S1804" s="1" t="str">
        <f t="shared" si="86"/>
        <v/>
      </c>
      <c r="T1804" s="1" t="str">
        <f>IF(OR($C1804="",$D1804&lt;&gt;"Gelir",$L1804=""),"",IFERROR(INDEX(MUSTERILER!$B$7:$B$156,MATCH($S1804,MUSTERILER!$T$7:$T$156,0)),""))</f>
        <v/>
      </c>
      <c r="U1804" s="1" t="str">
        <f>IF($T1804="","",$T1804&amp;"|"&amp;COUNTIFS($T$7:$T1804,$T1804))</f>
        <v/>
      </c>
      <c r="V1804" s="1">
        <f t="shared" si="87"/>
        <v>0</v>
      </c>
      <c r="W1804" s="1" t="str">
        <f t="shared" si="88"/>
        <v/>
      </c>
      <c r="X1804" s="1"/>
      <c r="Y1804" s="1"/>
      <c r="Z1804" s="1"/>
      <c r="AA1804" s="1"/>
      <c r="AB1804" s="1"/>
      <c r="AC1804" s="1"/>
      <c r="AD1804" s="1">
        <f>IF($C1804="",0,SUMPRODUCT((AY_SONU!$O$7:$O$42="Evet")*(AY_SONU!$B$7:$B$42=DATE(YEAR($C1804),MONTH($C1804),1))))</f>
        <v>0</v>
      </c>
      <c r="AE1804" s="1" t="str">
        <f>IF($E1804="","",$E1804&amp;"|"&amp;COUNTIFS($E$7:$E1804,$E1804))</f>
        <v/>
      </c>
    </row>
    <row r="1805" spans="1:31" ht="18" customHeight="1" x14ac:dyDescent="0.3">
      <c r="A1805" s="2"/>
      <c r="B1805" s="65" t="str">
        <f>IF($C1805="","","GG"&amp;TEXT(ROW()-6,"00000"))</f>
        <v/>
      </c>
      <c r="C1805" s="66"/>
      <c r="D1805" s="60"/>
      <c r="E1805" s="61"/>
      <c r="F1805" s="61"/>
      <c r="G1805" s="67"/>
      <c r="H1805" s="60"/>
      <c r="I1805" s="60"/>
      <c r="J1805" s="61"/>
      <c r="K1805" s="61"/>
      <c r="L1805" s="60"/>
      <c r="M1805" s="74" t="str">
        <f>IF($C1805="","",IF($D1805="Gider",$E1805,IF($L1805&lt;&gt;"",$L1805,$H1805)))</f>
        <v/>
      </c>
      <c r="N1805" s="74" t="str">
        <f>IF($C1805="","",IF($D1805="Gider",$H1805,$E1805))</f>
        <v/>
      </c>
      <c r="O1805" s="73" t="str">
        <f>IF($C1805="","",DATE(YEAR($C1805),MONTH($C1805),1))</f>
        <v/>
      </c>
      <c r="P1805" s="65" t="str">
        <f ca="1">IF($C1805="","",IF(AND($D1805="Gelir",$L1805&lt;&gt;"",$T1805=""),"TANIMSIZ BORÇLU",IF($T1805&lt;&gt;"",IF(OR($E1805="",$G1805&lt;=0),"EKSİK",IF($I1805="Evet","TAHAKKUK NAKİT OLAMAZ",IF($C1805&gt;TODAY(),"İLERİ TARİH","TAHAKKUK"))),IF(AND($D1805&lt;&gt;"",$E1805&lt;&gt;"",$G1805&gt;0,$H1805&lt;&gt;"",$I1805&lt;&gt;""),IF($C1805&gt;TODAY(),"İLERİ TARİH",IF(COUNTIF($W$7:$W$3001,$W1805)&gt;1,"MÜKERRER?",IF($AD1805&gt;0,"KAPALI DÖNEM",IF($I1805="Hayır","ÖDENECEK","UYGUN")))),"EKSİK"))))</f>
        <v/>
      </c>
      <c r="Q1805" s="2"/>
      <c r="R1805" s="2"/>
      <c r="S1805" s="1" t="str">
        <f t="shared" si="86"/>
        <v/>
      </c>
      <c r="T1805" s="1" t="str">
        <f>IF(OR($C1805="",$D1805&lt;&gt;"Gelir",$L1805=""),"",IFERROR(INDEX(MUSTERILER!$B$7:$B$156,MATCH($S1805,MUSTERILER!$T$7:$T$156,0)),""))</f>
        <v/>
      </c>
      <c r="U1805" s="1" t="str">
        <f>IF($T1805="","",$T1805&amp;"|"&amp;COUNTIFS($T$7:$T1805,$T1805))</f>
        <v/>
      </c>
      <c r="V1805" s="1">
        <f t="shared" si="87"/>
        <v>0</v>
      </c>
      <c r="W1805" s="1" t="str">
        <f t="shared" si="88"/>
        <v/>
      </c>
      <c r="X1805" s="1"/>
      <c r="Y1805" s="1"/>
      <c r="Z1805" s="1"/>
      <c r="AA1805" s="1"/>
      <c r="AB1805" s="1"/>
      <c r="AC1805" s="1"/>
      <c r="AD1805" s="1">
        <f>IF($C1805="",0,SUMPRODUCT((AY_SONU!$O$7:$O$42="Evet")*(AY_SONU!$B$7:$B$42=DATE(YEAR($C1805),MONTH($C1805),1))))</f>
        <v>0</v>
      </c>
      <c r="AE1805" s="1" t="str">
        <f>IF($E1805="","",$E1805&amp;"|"&amp;COUNTIFS($E$7:$E1805,$E1805))</f>
        <v/>
      </c>
    </row>
    <row r="1806" spans="1:31" ht="18" customHeight="1" x14ac:dyDescent="0.3">
      <c r="A1806" s="2"/>
      <c r="B1806" s="65" t="str">
        <f>IF($C1806="","","GG"&amp;TEXT(ROW()-6,"00000"))</f>
        <v/>
      </c>
      <c r="C1806" s="66"/>
      <c r="D1806" s="60"/>
      <c r="E1806" s="61"/>
      <c r="F1806" s="61"/>
      <c r="G1806" s="67"/>
      <c r="H1806" s="60"/>
      <c r="I1806" s="60"/>
      <c r="J1806" s="61"/>
      <c r="K1806" s="61"/>
      <c r="L1806" s="60"/>
      <c r="M1806" s="74" t="str">
        <f>IF($C1806="","",IF($D1806="Gider",$E1806,IF($L1806&lt;&gt;"",$L1806,$H1806)))</f>
        <v/>
      </c>
      <c r="N1806" s="74" t="str">
        <f>IF($C1806="","",IF($D1806="Gider",$H1806,$E1806))</f>
        <v/>
      </c>
      <c r="O1806" s="73" t="str">
        <f>IF($C1806="","",DATE(YEAR($C1806),MONTH($C1806),1))</f>
        <v/>
      </c>
      <c r="P1806" s="65" t="str">
        <f ca="1">IF($C1806="","",IF(AND($D1806="Gelir",$L1806&lt;&gt;"",$T1806=""),"TANIMSIZ BORÇLU",IF($T1806&lt;&gt;"",IF(OR($E1806="",$G1806&lt;=0),"EKSİK",IF($I1806="Evet","TAHAKKUK NAKİT OLAMAZ",IF($C1806&gt;TODAY(),"İLERİ TARİH","TAHAKKUK"))),IF(AND($D1806&lt;&gt;"",$E1806&lt;&gt;"",$G1806&gt;0,$H1806&lt;&gt;"",$I1806&lt;&gt;""),IF($C1806&gt;TODAY(),"İLERİ TARİH",IF(COUNTIF($W$7:$W$3001,$W1806)&gt;1,"MÜKERRER?",IF($AD1806&gt;0,"KAPALI DÖNEM",IF($I1806="Hayır","ÖDENECEK","UYGUN")))),"EKSİK"))))</f>
        <v/>
      </c>
      <c r="Q1806" s="2"/>
      <c r="R1806" s="2"/>
      <c r="S1806" s="1" t="str">
        <f t="shared" si="86"/>
        <v/>
      </c>
      <c r="T1806" s="1" t="str">
        <f>IF(OR($C1806="",$D1806&lt;&gt;"Gelir",$L1806=""),"",IFERROR(INDEX(MUSTERILER!$B$7:$B$156,MATCH($S1806,MUSTERILER!$T$7:$T$156,0)),""))</f>
        <v/>
      </c>
      <c r="U1806" s="1" t="str">
        <f>IF($T1806="","",$T1806&amp;"|"&amp;COUNTIFS($T$7:$T1806,$T1806))</f>
        <v/>
      </c>
      <c r="V1806" s="1">
        <f t="shared" si="87"/>
        <v>0</v>
      </c>
      <c r="W1806" s="1" t="str">
        <f t="shared" si="88"/>
        <v/>
      </c>
      <c r="X1806" s="1"/>
      <c r="Y1806" s="1"/>
      <c r="Z1806" s="1"/>
      <c r="AA1806" s="1"/>
      <c r="AB1806" s="1"/>
      <c r="AC1806" s="1"/>
      <c r="AD1806" s="1">
        <f>IF($C1806="",0,SUMPRODUCT((AY_SONU!$O$7:$O$42="Evet")*(AY_SONU!$B$7:$B$42=DATE(YEAR($C1806),MONTH($C1806),1))))</f>
        <v>0</v>
      </c>
      <c r="AE1806" s="1" t="str">
        <f>IF($E1806="","",$E1806&amp;"|"&amp;COUNTIFS($E$7:$E1806,$E1806))</f>
        <v/>
      </c>
    </row>
    <row r="1807" spans="1:31" ht="18" customHeight="1" x14ac:dyDescent="0.3">
      <c r="A1807" s="2"/>
      <c r="B1807" s="65" t="str">
        <f>IF($C1807="","","GG"&amp;TEXT(ROW()-6,"00000"))</f>
        <v/>
      </c>
      <c r="C1807" s="66"/>
      <c r="D1807" s="60"/>
      <c r="E1807" s="61"/>
      <c r="F1807" s="61"/>
      <c r="G1807" s="67"/>
      <c r="H1807" s="60"/>
      <c r="I1807" s="60"/>
      <c r="J1807" s="61"/>
      <c r="K1807" s="61"/>
      <c r="L1807" s="60"/>
      <c r="M1807" s="74" t="str">
        <f>IF($C1807="","",IF($D1807="Gider",$E1807,IF($L1807&lt;&gt;"",$L1807,$H1807)))</f>
        <v/>
      </c>
      <c r="N1807" s="74" t="str">
        <f>IF($C1807="","",IF($D1807="Gider",$H1807,$E1807))</f>
        <v/>
      </c>
      <c r="O1807" s="73" t="str">
        <f>IF($C1807="","",DATE(YEAR($C1807),MONTH($C1807),1))</f>
        <v/>
      </c>
      <c r="P1807" s="65" t="str">
        <f ca="1">IF($C1807="","",IF(AND($D1807="Gelir",$L1807&lt;&gt;"",$T1807=""),"TANIMSIZ BORÇLU",IF($T1807&lt;&gt;"",IF(OR($E1807="",$G1807&lt;=0),"EKSİK",IF($I1807="Evet","TAHAKKUK NAKİT OLAMAZ",IF($C1807&gt;TODAY(),"İLERİ TARİH","TAHAKKUK"))),IF(AND($D1807&lt;&gt;"",$E1807&lt;&gt;"",$G1807&gt;0,$H1807&lt;&gt;"",$I1807&lt;&gt;""),IF($C1807&gt;TODAY(),"İLERİ TARİH",IF(COUNTIF($W$7:$W$3001,$W1807)&gt;1,"MÜKERRER?",IF($AD1807&gt;0,"KAPALI DÖNEM",IF($I1807="Hayır","ÖDENECEK","UYGUN")))),"EKSİK"))))</f>
        <v/>
      </c>
      <c r="Q1807" s="2"/>
      <c r="R1807" s="2"/>
      <c r="S1807" s="1" t="str">
        <f t="shared" si="86"/>
        <v/>
      </c>
      <c r="T1807" s="1" t="str">
        <f>IF(OR($C1807="",$D1807&lt;&gt;"Gelir",$L1807=""),"",IFERROR(INDEX(MUSTERILER!$B$7:$B$156,MATCH($S1807,MUSTERILER!$T$7:$T$156,0)),""))</f>
        <v/>
      </c>
      <c r="U1807" s="1" t="str">
        <f>IF($T1807="","",$T1807&amp;"|"&amp;COUNTIFS($T$7:$T1807,$T1807))</f>
        <v/>
      </c>
      <c r="V1807" s="1">
        <f t="shared" si="87"/>
        <v>0</v>
      </c>
      <c r="W1807" s="1" t="str">
        <f t="shared" si="88"/>
        <v/>
      </c>
      <c r="X1807" s="1"/>
      <c r="Y1807" s="1"/>
      <c r="Z1807" s="1"/>
      <c r="AA1807" s="1"/>
      <c r="AB1807" s="1"/>
      <c r="AC1807" s="1"/>
      <c r="AD1807" s="1">
        <f>IF($C1807="",0,SUMPRODUCT((AY_SONU!$O$7:$O$42="Evet")*(AY_SONU!$B$7:$B$42=DATE(YEAR($C1807),MONTH($C1807),1))))</f>
        <v>0</v>
      </c>
      <c r="AE1807" s="1" t="str">
        <f>IF($E1807="","",$E1807&amp;"|"&amp;COUNTIFS($E$7:$E1807,$E1807))</f>
        <v/>
      </c>
    </row>
    <row r="1808" spans="1:31" ht="18" customHeight="1" x14ac:dyDescent="0.3">
      <c r="A1808" s="2"/>
      <c r="B1808" s="65" t="str">
        <f>IF($C1808="","","GG"&amp;TEXT(ROW()-6,"00000"))</f>
        <v/>
      </c>
      <c r="C1808" s="66"/>
      <c r="D1808" s="60"/>
      <c r="E1808" s="61"/>
      <c r="F1808" s="61"/>
      <c r="G1808" s="67"/>
      <c r="H1808" s="60"/>
      <c r="I1808" s="60"/>
      <c r="J1808" s="61"/>
      <c r="K1808" s="61"/>
      <c r="L1808" s="60"/>
      <c r="M1808" s="74" t="str">
        <f>IF($C1808="","",IF($D1808="Gider",$E1808,IF($L1808&lt;&gt;"",$L1808,$H1808)))</f>
        <v/>
      </c>
      <c r="N1808" s="74" t="str">
        <f>IF($C1808="","",IF($D1808="Gider",$H1808,$E1808))</f>
        <v/>
      </c>
      <c r="O1808" s="73" t="str">
        <f>IF($C1808="","",DATE(YEAR($C1808),MONTH($C1808),1))</f>
        <v/>
      </c>
      <c r="P1808" s="65" t="str">
        <f ca="1">IF($C1808="","",IF(AND($D1808="Gelir",$L1808&lt;&gt;"",$T1808=""),"TANIMSIZ BORÇLU",IF($T1808&lt;&gt;"",IF(OR($E1808="",$G1808&lt;=0),"EKSİK",IF($I1808="Evet","TAHAKKUK NAKİT OLAMAZ",IF($C1808&gt;TODAY(),"İLERİ TARİH","TAHAKKUK"))),IF(AND($D1808&lt;&gt;"",$E1808&lt;&gt;"",$G1808&gt;0,$H1808&lt;&gt;"",$I1808&lt;&gt;""),IF($C1808&gt;TODAY(),"İLERİ TARİH",IF(COUNTIF($W$7:$W$3001,$W1808)&gt;1,"MÜKERRER?",IF($AD1808&gt;0,"KAPALI DÖNEM",IF($I1808="Hayır","ÖDENECEK","UYGUN")))),"EKSİK"))))</f>
        <v/>
      </c>
      <c r="Q1808" s="2"/>
      <c r="R1808" s="2"/>
      <c r="S1808" s="1" t="str">
        <f t="shared" si="86"/>
        <v/>
      </c>
      <c r="T1808" s="1" t="str">
        <f>IF(OR($C1808="",$D1808&lt;&gt;"Gelir",$L1808=""),"",IFERROR(INDEX(MUSTERILER!$B$7:$B$156,MATCH($S1808,MUSTERILER!$T$7:$T$156,0)),""))</f>
        <v/>
      </c>
      <c r="U1808" s="1" t="str">
        <f>IF($T1808="","",$T1808&amp;"|"&amp;COUNTIFS($T$7:$T1808,$T1808))</f>
        <v/>
      </c>
      <c r="V1808" s="1">
        <f t="shared" si="87"/>
        <v>0</v>
      </c>
      <c r="W1808" s="1" t="str">
        <f t="shared" si="88"/>
        <v/>
      </c>
      <c r="X1808" s="1"/>
      <c r="Y1808" s="1"/>
      <c r="Z1808" s="1"/>
      <c r="AA1808" s="1"/>
      <c r="AB1808" s="1"/>
      <c r="AC1808" s="1"/>
      <c r="AD1808" s="1">
        <f>IF($C1808="",0,SUMPRODUCT((AY_SONU!$O$7:$O$42="Evet")*(AY_SONU!$B$7:$B$42=DATE(YEAR($C1808),MONTH($C1808),1))))</f>
        <v>0</v>
      </c>
      <c r="AE1808" s="1" t="str">
        <f>IF($E1808="","",$E1808&amp;"|"&amp;COUNTIFS($E$7:$E1808,$E1808))</f>
        <v/>
      </c>
    </row>
    <row r="1809" spans="1:31" ht="18" customHeight="1" x14ac:dyDescent="0.3">
      <c r="A1809" s="2"/>
      <c r="B1809" s="65" t="str">
        <f>IF($C1809="","","GG"&amp;TEXT(ROW()-6,"00000"))</f>
        <v/>
      </c>
      <c r="C1809" s="66"/>
      <c r="D1809" s="60"/>
      <c r="E1809" s="61"/>
      <c r="F1809" s="61"/>
      <c r="G1809" s="67"/>
      <c r="H1809" s="60"/>
      <c r="I1809" s="60"/>
      <c r="J1809" s="61"/>
      <c r="K1809" s="61"/>
      <c r="L1809" s="60"/>
      <c r="M1809" s="74" t="str">
        <f>IF($C1809="","",IF($D1809="Gider",$E1809,IF($L1809&lt;&gt;"",$L1809,$H1809)))</f>
        <v/>
      </c>
      <c r="N1809" s="74" t="str">
        <f>IF($C1809="","",IF($D1809="Gider",$H1809,$E1809))</f>
        <v/>
      </c>
      <c r="O1809" s="73" t="str">
        <f>IF($C1809="","",DATE(YEAR($C1809),MONTH($C1809),1))</f>
        <v/>
      </c>
      <c r="P1809" s="65" t="str">
        <f ca="1">IF($C1809="","",IF(AND($D1809="Gelir",$L1809&lt;&gt;"",$T1809=""),"TANIMSIZ BORÇLU",IF($T1809&lt;&gt;"",IF(OR($E1809="",$G1809&lt;=0),"EKSİK",IF($I1809="Evet","TAHAKKUK NAKİT OLAMAZ",IF($C1809&gt;TODAY(),"İLERİ TARİH","TAHAKKUK"))),IF(AND($D1809&lt;&gt;"",$E1809&lt;&gt;"",$G1809&gt;0,$H1809&lt;&gt;"",$I1809&lt;&gt;""),IF($C1809&gt;TODAY(),"İLERİ TARİH",IF(COUNTIF($W$7:$W$3001,$W1809)&gt;1,"MÜKERRER?",IF($AD1809&gt;0,"KAPALI DÖNEM",IF($I1809="Hayır","ÖDENECEK","UYGUN")))),"EKSİK"))))</f>
        <v/>
      </c>
      <c r="Q1809" s="2"/>
      <c r="R1809" s="2"/>
      <c r="S1809" s="1" t="str">
        <f t="shared" si="86"/>
        <v/>
      </c>
      <c r="T1809" s="1" t="str">
        <f>IF(OR($C1809="",$D1809&lt;&gt;"Gelir",$L1809=""),"",IFERROR(INDEX(MUSTERILER!$B$7:$B$156,MATCH($S1809,MUSTERILER!$T$7:$T$156,0)),""))</f>
        <v/>
      </c>
      <c r="U1809" s="1" t="str">
        <f>IF($T1809="","",$T1809&amp;"|"&amp;COUNTIFS($T$7:$T1809,$T1809))</f>
        <v/>
      </c>
      <c r="V1809" s="1">
        <f t="shared" si="87"/>
        <v>0</v>
      </c>
      <c r="W1809" s="1" t="str">
        <f t="shared" si="88"/>
        <v/>
      </c>
      <c r="X1809" s="1"/>
      <c r="Y1809" s="1"/>
      <c r="Z1809" s="1"/>
      <c r="AA1809" s="1"/>
      <c r="AB1809" s="1"/>
      <c r="AC1809" s="1"/>
      <c r="AD1809" s="1">
        <f>IF($C1809="",0,SUMPRODUCT((AY_SONU!$O$7:$O$42="Evet")*(AY_SONU!$B$7:$B$42=DATE(YEAR($C1809),MONTH($C1809),1))))</f>
        <v>0</v>
      </c>
      <c r="AE1809" s="1" t="str">
        <f>IF($E1809="","",$E1809&amp;"|"&amp;COUNTIFS($E$7:$E1809,$E1809))</f>
        <v/>
      </c>
    </row>
    <row r="1810" spans="1:31" ht="18" customHeight="1" x14ac:dyDescent="0.3">
      <c r="A1810" s="2"/>
      <c r="B1810" s="65" t="str">
        <f>IF($C1810="","","GG"&amp;TEXT(ROW()-6,"00000"))</f>
        <v/>
      </c>
      <c r="C1810" s="66"/>
      <c r="D1810" s="60"/>
      <c r="E1810" s="61"/>
      <c r="F1810" s="61"/>
      <c r="G1810" s="67"/>
      <c r="H1810" s="60"/>
      <c r="I1810" s="60"/>
      <c r="J1810" s="61"/>
      <c r="K1810" s="61"/>
      <c r="L1810" s="60"/>
      <c r="M1810" s="74" t="str">
        <f>IF($C1810="","",IF($D1810="Gider",$E1810,IF($L1810&lt;&gt;"",$L1810,$H1810)))</f>
        <v/>
      </c>
      <c r="N1810" s="74" t="str">
        <f>IF($C1810="","",IF($D1810="Gider",$H1810,$E1810))</f>
        <v/>
      </c>
      <c r="O1810" s="73" t="str">
        <f>IF($C1810="","",DATE(YEAR($C1810),MONTH($C1810),1))</f>
        <v/>
      </c>
      <c r="P1810" s="65" t="str">
        <f ca="1">IF($C1810="","",IF(AND($D1810="Gelir",$L1810&lt;&gt;"",$T1810=""),"TANIMSIZ BORÇLU",IF($T1810&lt;&gt;"",IF(OR($E1810="",$G1810&lt;=0),"EKSİK",IF($I1810="Evet","TAHAKKUK NAKİT OLAMAZ",IF($C1810&gt;TODAY(),"İLERİ TARİH","TAHAKKUK"))),IF(AND($D1810&lt;&gt;"",$E1810&lt;&gt;"",$G1810&gt;0,$H1810&lt;&gt;"",$I1810&lt;&gt;""),IF($C1810&gt;TODAY(),"İLERİ TARİH",IF(COUNTIF($W$7:$W$3001,$W1810)&gt;1,"MÜKERRER?",IF($AD1810&gt;0,"KAPALI DÖNEM",IF($I1810="Hayır","ÖDENECEK","UYGUN")))),"EKSİK"))))</f>
        <v/>
      </c>
      <c r="Q1810" s="2"/>
      <c r="R1810" s="2"/>
      <c r="S1810" s="1" t="str">
        <f t="shared" si="86"/>
        <v/>
      </c>
      <c r="T1810" s="1" t="str">
        <f>IF(OR($C1810="",$D1810&lt;&gt;"Gelir",$L1810=""),"",IFERROR(INDEX(MUSTERILER!$B$7:$B$156,MATCH($S1810,MUSTERILER!$T$7:$T$156,0)),""))</f>
        <v/>
      </c>
      <c r="U1810" s="1" t="str">
        <f>IF($T1810="","",$T1810&amp;"|"&amp;COUNTIFS($T$7:$T1810,$T1810))</f>
        <v/>
      </c>
      <c r="V1810" s="1">
        <f t="shared" si="87"/>
        <v>0</v>
      </c>
      <c r="W1810" s="1" t="str">
        <f t="shared" si="88"/>
        <v/>
      </c>
      <c r="X1810" s="1"/>
      <c r="Y1810" s="1"/>
      <c r="Z1810" s="1"/>
      <c r="AA1810" s="1"/>
      <c r="AB1810" s="1"/>
      <c r="AC1810" s="1"/>
      <c r="AD1810" s="1">
        <f>IF($C1810="",0,SUMPRODUCT((AY_SONU!$O$7:$O$42="Evet")*(AY_SONU!$B$7:$B$42=DATE(YEAR($C1810),MONTH($C1810),1))))</f>
        <v>0</v>
      </c>
      <c r="AE1810" s="1" t="str">
        <f>IF($E1810="","",$E1810&amp;"|"&amp;COUNTIFS($E$7:$E1810,$E1810))</f>
        <v/>
      </c>
    </row>
    <row r="1811" spans="1:31" ht="18" customHeight="1" x14ac:dyDescent="0.3">
      <c r="A1811" s="2"/>
      <c r="B1811" s="65" t="str">
        <f>IF($C1811="","","GG"&amp;TEXT(ROW()-6,"00000"))</f>
        <v/>
      </c>
      <c r="C1811" s="66"/>
      <c r="D1811" s="60"/>
      <c r="E1811" s="61"/>
      <c r="F1811" s="61"/>
      <c r="G1811" s="67"/>
      <c r="H1811" s="60"/>
      <c r="I1811" s="60"/>
      <c r="J1811" s="61"/>
      <c r="K1811" s="61"/>
      <c r="L1811" s="60"/>
      <c r="M1811" s="74" t="str">
        <f>IF($C1811="","",IF($D1811="Gider",$E1811,IF($L1811&lt;&gt;"",$L1811,$H1811)))</f>
        <v/>
      </c>
      <c r="N1811" s="74" t="str">
        <f>IF($C1811="","",IF($D1811="Gider",$H1811,$E1811))</f>
        <v/>
      </c>
      <c r="O1811" s="73" t="str">
        <f>IF($C1811="","",DATE(YEAR($C1811),MONTH($C1811),1))</f>
        <v/>
      </c>
      <c r="P1811" s="65" t="str">
        <f ca="1">IF($C1811="","",IF(AND($D1811="Gelir",$L1811&lt;&gt;"",$T1811=""),"TANIMSIZ BORÇLU",IF($T1811&lt;&gt;"",IF(OR($E1811="",$G1811&lt;=0),"EKSİK",IF($I1811="Evet","TAHAKKUK NAKİT OLAMAZ",IF($C1811&gt;TODAY(),"İLERİ TARİH","TAHAKKUK"))),IF(AND($D1811&lt;&gt;"",$E1811&lt;&gt;"",$G1811&gt;0,$H1811&lt;&gt;"",$I1811&lt;&gt;""),IF($C1811&gt;TODAY(),"İLERİ TARİH",IF(COUNTIF($W$7:$W$3001,$W1811)&gt;1,"MÜKERRER?",IF($AD1811&gt;0,"KAPALI DÖNEM",IF($I1811="Hayır","ÖDENECEK","UYGUN")))),"EKSİK"))))</f>
        <v/>
      </c>
      <c r="Q1811" s="2"/>
      <c r="R1811" s="2"/>
      <c r="S1811" s="1" t="str">
        <f t="shared" si="86"/>
        <v/>
      </c>
      <c r="T1811" s="1" t="str">
        <f>IF(OR($C1811="",$D1811&lt;&gt;"Gelir",$L1811=""),"",IFERROR(INDEX(MUSTERILER!$B$7:$B$156,MATCH($S1811,MUSTERILER!$T$7:$T$156,0)),""))</f>
        <v/>
      </c>
      <c r="U1811" s="1" t="str">
        <f>IF($T1811="","",$T1811&amp;"|"&amp;COUNTIFS($T$7:$T1811,$T1811))</f>
        <v/>
      </c>
      <c r="V1811" s="1">
        <f t="shared" si="87"/>
        <v>0</v>
      </c>
      <c r="W1811" s="1" t="str">
        <f t="shared" si="88"/>
        <v/>
      </c>
      <c r="X1811" s="1"/>
      <c r="Y1811" s="1"/>
      <c r="Z1811" s="1"/>
      <c r="AA1811" s="1"/>
      <c r="AB1811" s="1"/>
      <c r="AC1811" s="1"/>
      <c r="AD1811" s="1">
        <f>IF($C1811="",0,SUMPRODUCT((AY_SONU!$O$7:$O$42="Evet")*(AY_SONU!$B$7:$B$42=DATE(YEAR($C1811),MONTH($C1811),1))))</f>
        <v>0</v>
      </c>
      <c r="AE1811" s="1" t="str">
        <f>IF($E1811="","",$E1811&amp;"|"&amp;COUNTIFS($E$7:$E1811,$E1811))</f>
        <v/>
      </c>
    </row>
    <row r="1812" spans="1:31" ht="18" customHeight="1" x14ac:dyDescent="0.3">
      <c r="A1812" s="2"/>
      <c r="B1812" s="65" t="str">
        <f>IF($C1812="","","GG"&amp;TEXT(ROW()-6,"00000"))</f>
        <v/>
      </c>
      <c r="C1812" s="66"/>
      <c r="D1812" s="60"/>
      <c r="E1812" s="61"/>
      <c r="F1812" s="61"/>
      <c r="G1812" s="67"/>
      <c r="H1812" s="60"/>
      <c r="I1812" s="60"/>
      <c r="J1812" s="61"/>
      <c r="K1812" s="61"/>
      <c r="L1812" s="60"/>
      <c r="M1812" s="74" t="str">
        <f>IF($C1812="","",IF($D1812="Gider",$E1812,IF($L1812&lt;&gt;"",$L1812,$H1812)))</f>
        <v/>
      </c>
      <c r="N1812" s="74" t="str">
        <f>IF($C1812="","",IF($D1812="Gider",$H1812,$E1812))</f>
        <v/>
      </c>
      <c r="O1812" s="73" t="str">
        <f>IF($C1812="","",DATE(YEAR($C1812),MONTH($C1812),1))</f>
        <v/>
      </c>
      <c r="P1812" s="65" t="str">
        <f ca="1">IF($C1812="","",IF(AND($D1812="Gelir",$L1812&lt;&gt;"",$T1812=""),"TANIMSIZ BORÇLU",IF($T1812&lt;&gt;"",IF(OR($E1812="",$G1812&lt;=0),"EKSİK",IF($I1812="Evet","TAHAKKUK NAKİT OLAMAZ",IF($C1812&gt;TODAY(),"İLERİ TARİH","TAHAKKUK"))),IF(AND($D1812&lt;&gt;"",$E1812&lt;&gt;"",$G1812&gt;0,$H1812&lt;&gt;"",$I1812&lt;&gt;""),IF($C1812&gt;TODAY(),"İLERİ TARİH",IF(COUNTIF($W$7:$W$3001,$W1812)&gt;1,"MÜKERRER?",IF($AD1812&gt;0,"KAPALI DÖNEM",IF($I1812="Hayır","ÖDENECEK","UYGUN")))),"EKSİK"))))</f>
        <v/>
      </c>
      <c r="Q1812" s="2"/>
      <c r="R1812" s="2"/>
      <c r="S1812" s="1" t="str">
        <f t="shared" si="86"/>
        <v/>
      </c>
      <c r="T1812" s="1" t="str">
        <f>IF(OR($C1812="",$D1812&lt;&gt;"Gelir",$L1812=""),"",IFERROR(INDEX(MUSTERILER!$B$7:$B$156,MATCH($S1812,MUSTERILER!$T$7:$T$156,0)),""))</f>
        <v/>
      </c>
      <c r="U1812" s="1" t="str">
        <f>IF($T1812="","",$T1812&amp;"|"&amp;COUNTIFS($T$7:$T1812,$T1812))</f>
        <v/>
      </c>
      <c r="V1812" s="1">
        <f t="shared" si="87"/>
        <v>0</v>
      </c>
      <c r="W1812" s="1" t="str">
        <f t="shared" si="88"/>
        <v/>
      </c>
      <c r="X1812" s="1"/>
      <c r="Y1812" s="1"/>
      <c r="Z1812" s="1"/>
      <c r="AA1812" s="1"/>
      <c r="AB1812" s="1"/>
      <c r="AC1812" s="1"/>
      <c r="AD1812" s="1">
        <f>IF($C1812="",0,SUMPRODUCT((AY_SONU!$O$7:$O$42="Evet")*(AY_SONU!$B$7:$B$42=DATE(YEAR($C1812),MONTH($C1812),1))))</f>
        <v>0</v>
      </c>
      <c r="AE1812" s="1" t="str">
        <f>IF($E1812="","",$E1812&amp;"|"&amp;COUNTIFS($E$7:$E1812,$E1812))</f>
        <v/>
      </c>
    </row>
    <row r="1813" spans="1:31" ht="18" customHeight="1" x14ac:dyDescent="0.3">
      <c r="A1813" s="2"/>
      <c r="B1813" s="65" t="str">
        <f>IF($C1813="","","GG"&amp;TEXT(ROW()-6,"00000"))</f>
        <v/>
      </c>
      <c r="C1813" s="66"/>
      <c r="D1813" s="60"/>
      <c r="E1813" s="61"/>
      <c r="F1813" s="61"/>
      <c r="G1813" s="67"/>
      <c r="H1813" s="60"/>
      <c r="I1813" s="60"/>
      <c r="J1813" s="61"/>
      <c r="K1813" s="61"/>
      <c r="L1813" s="60"/>
      <c r="M1813" s="74" t="str">
        <f>IF($C1813="","",IF($D1813="Gider",$E1813,IF($L1813&lt;&gt;"",$L1813,$H1813)))</f>
        <v/>
      </c>
      <c r="N1813" s="74" t="str">
        <f>IF($C1813="","",IF($D1813="Gider",$H1813,$E1813))</f>
        <v/>
      </c>
      <c r="O1813" s="73" t="str">
        <f>IF($C1813="","",DATE(YEAR($C1813),MONTH($C1813),1))</f>
        <v/>
      </c>
      <c r="P1813" s="65" t="str">
        <f ca="1">IF($C1813="","",IF(AND($D1813="Gelir",$L1813&lt;&gt;"",$T1813=""),"TANIMSIZ BORÇLU",IF($T1813&lt;&gt;"",IF(OR($E1813="",$G1813&lt;=0),"EKSİK",IF($I1813="Evet","TAHAKKUK NAKİT OLAMAZ",IF($C1813&gt;TODAY(),"İLERİ TARİH","TAHAKKUK"))),IF(AND($D1813&lt;&gt;"",$E1813&lt;&gt;"",$G1813&gt;0,$H1813&lt;&gt;"",$I1813&lt;&gt;""),IF($C1813&gt;TODAY(),"İLERİ TARİH",IF(COUNTIF($W$7:$W$3001,$W1813)&gt;1,"MÜKERRER?",IF($AD1813&gt;0,"KAPALI DÖNEM",IF($I1813="Hayır","ÖDENECEK","UYGUN")))),"EKSİK"))))</f>
        <v/>
      </c>
      <c r="Q1813" s="2"/>
      <c r="R1813" s="2"/>
      <c r="S1813" s="1" t="str">
        <f t="shared" si="86"/>
        <v/>
      </c>
      <c r="T1813" s="1" t="str">
        <f>IF(OR($C1813="",$D1813&lt;&gt;"Gelir",$L1813=""),"",IFERROR(INDEX(MUSTERILER!$B$7:$B$156,MATCH($S1813,MUSTERILER!$T$7:$T$156,0)),""))</f>
        <v/>
      </c>
      <c r="U1813" s="1" t="str">
        <f>IF($T1813="","",$T1813&amp;"|"&amp;COUNTIFS($T$7:$T1813,$T1813))</f>
        <v/>
      </c>
      <c r="V1813" s="1">
        <f t="shared" si="87"/>
        <v>0</v>
      </c>
      <c r="W1813" s="1" t="str">
        <f t="shared" si="88"/>
        <v/>
      </c>
      <c r="X1813" s="1"/>
      <c r="Y1813" s="1"/>
      <c r="Z1813" s="1"/>
      <c r="AA1813" s="1"/>
      <c r="AB1813" s="1"/>
      <c r="AC1813" s="1"/>
      <c r="AD1813" s="1">
        <f>IF($C1813="",0,SUMPRODUCT((AY_SONU!$O$7:$O$42="Evet")*(AY_SONU!$B$7:$B$42=DATE(YEAR($C1813),MONTH($C1813),1))))</f>
        <v>0</v>
      </c>
      <c r="AE1813" s="1" t="str">
        <f>IF($E1813="","",$E1813&amp;"|"&amp;COUNTIFS($E$7:$E1813,$E1813))</f>
        <v/>
      </c>
    </row>
    <row r="1814" spans="1:31" ht="18" customHeight="1" x14ac:dyDescent="0.3">
      <c r="A1814" s="2"/>
      <c r="B1814" s="65" t="str">
        <f>IF($C1814="","","GG"&amp;TEXT(ROW()-6,"00000"))</f>
        <v/>
      </c>
      <c r="C1814" s="66"/>
      <c r="D1814" s="60"/>
      <c r="E1814" s="61"/>
      <c r="F1814" s="61"/>
      <c r="G1814" s="67"/>
      <c r="H1814" s="60"/>
      <c r="I1814" s="60"/>
      <c r="J1814" s="61"/>
      <c r="K1814" s="61"/>
      <c r="L1814" s="60"/>
      <c r="M1814" s="74" t="str">
        <f>IF($C1814="","",IF($D1814="Gider",$E1814,IF($L1814&lt;&gt;"",$L1814,$H1814)))</f>
        <v/>
      </c>
      <c r="N1814" s="74" t="str">
        <f>IF($C1814="","",IF($D1814="Gider",$H1814,$E1814))</f>
        <v/>
      </c>
      <c r="O1814" s="73" t="str">
        <f>IF($C1814="","",DATE(YEAR($C1814),MONTH($C1814),1))</f>
        <v/>
      </c>
      <c r="P1814" s="65" t="str">
        <f ca="1">IF($C1814="","",IF(AND($D1814="Gelir",$L1814&lt;&gt;"",$T1814=""),"TANIMSIZ BORÇLU",IF($T1814&lt;&gt;"",IF(OR($E1814="",$G1814&lt;=0),"EKSİK",IF($I1814="Evet","TAHAKKUK NAKİT OLAMAZ",IF($C1814&gt;TODAY(),"İLERİ TARİH","TAHAKKUK"))),IF(AND($D1814&lt;&gt;"",$E1814&lt;&gt;"",$G1814&gt;0,$H1814&lt;&gt;"",$I1814&lt;&gt;""),IF($C1814&gt;TODAY(),"İLERİ TARİH",IF(COUNTIF($W$7:$W$3001,$W1814)&gt;1,"MÜKERRER?",IF($AD1814&gt;0,"KAPALI DÖNEM",IF($I1814="Hayır","ÖDENECEK","UYGUN")))),"EKSİK"))))</f>
        <v/>
      </c>
      <c r="Q1814" s="2"/>
      <c r="R1814" s="2"/>
      <c r="S1814" s="1" t="str">
        <f t="shared" si="86"/>
        <v/>
      </c>
      <c r="T1814" s="1" t="str">
        <f>IF(OR($C1814="",$D1814&lt;&gt;"Gelir",$L1814=""),"",IFERROR(INDEX(MUSTERILER!$B$7:$B$156,MATCH($S1814,MUSTERILER!$T$7:$T$156,0)),""))</f>
        <v/>
      </c>
      <c r="U1814" s="1" t="str">
        <f>IF($T1814="","",$T1814&amp;"|"&amp;COUNTIFS($T$7:$T1814,$T1814))</f>
        <v/>
      </c>
      <c r="V1814" s="1">
        <f t="shared" si="87"/>
        <v>0</v>
      </c>
      <c r="W1814" s="1" t="str">
        <f t="shared" si="88"/>
        <v/>
      </c>
      <c r="X1814" s="1"/>
      <c r="Y1814" s="1"/>
      <c r="Z1814" s="1"/>
      <c r="AA1814" s="1"/>
      <c r="AB1814" s="1"/>
      <c r="AC1814" s="1"/>
      <c r="AD1814" s="1">
        <f>IF($C1814="",0,SUMPRODUCT((AY_SONU!$O$7:$O$42="Evet")*(AY_SONU!$B$7:$B$42=DATE(YEAR($C1814),MONTH($C1814),1))))</f>
        <v>0</v>
      </c>
      <c r="AE1814" s="1" t="str">
        <f>IF($E1814="","",$E1814&amp;"|"&amp;COUNTIFS($E$7:$E1814,$E1814))</f>
        <v/>
      </c>
    </row>
    <row r="1815" spans="1:31" ht="18" customHeight="1" x14ac:dyDescent="0.3">
      <c r="A1815" s="2"/>
      <c r="B1815" s="65" t="str">
        <f>IF($C1815="","","GG"&amp;TEXT(ROW()-6,"00000"))</f>
        <v/>
      </c>
      <c r="C1815" s="66"/>
      <c r="D1815" s="60"/>
      <c r="E1815" s="61"/>
      <c r="F1815" s="61"/>
      <c r="G1815" s="67"/>
      <c r="H1815" s="60"/>
      <c r="I1815" s="60"/>
      <c r="J1815" s="61"/>
      <c r="K1815" s="61"/>
      <c r="L1815" s="60"/>
      <c r="M1815" s="74" t="str">
        <f>IF($C1815="","",IF($D1815="Gider",$E1815,IF($L1815&lt;&gt;"",$L1815,$H1815)))</f>
        <v/>
      </c>
      <c r="N1815" s="74" t="str">
        <f>IF($C1815="","",IF($D1815="Gider",$H1815,$E1815))</f>
        <v/>
      </c>
      <c r="O1815" s="73" t="str">
        <f>IF($C1815="","",DATE(YEAR($C1815),MONTH($C1815),1))</f>
        <v/>
      </c>
      <c r="P1815" s="65" t="str">
        <f ca="1">IF($C1815="","",IF(AND($D1815="Gelir",$L1815&lt;&gt;"",$T1815=""),"TANIMSIZ BORÇLU",IF($T1815&lt;&gt;"",IF(OR($E1815="",$G1815&lt;=0),"EKSİK",IF($I1815="Evet","TAHAKKUK NAKİT OLAMAZ",IF($C1815&gt;TODAY(),"İLERİ TARİH","TAHAKKUK"))),IF(AND($D1815&lt;&gt;"",$E1815&lt;&gt;"",$G1815&gt;0,$H1815&lt;&gt;"",$I1815&lt;&gt;""),IF($C1815&gt;TODAY(),"İLERİ TARİH",IF(COUNTIF($W$7:$W$3001,$W1815)&gt;1,"MÜKERRER?",IF($AD1815&gt;0,"KAPALI DÖNEM",IF($I1815="Hayır","ÖDENECEK","UYGUN")))),"EKSİK"))))</f>
        <v/>
      </c>
      <c r="Q1815" s="2"/>
      <c r="R1815" s="2"/>
      <c r="S1815" s="1" t="str">
        <f t="shared" si="86"/>
        <v/>
      </c>
      <c r="T1815" s="1" t="str">
        <f>IF(OR($C1815="",$D1815&lt;&gt;"Gelir",$L1815=""),"",IFERROR(INDEX(MUSTERILER!$B$7:$B$156,MATCH($S1815,MUSTERILER!$T$7:$T$156,0)),""))</f>
        <v/>
      </c>
      <c r="U1815" s="1" t="str">
        <f>IF($T1815="","",$T1815&amp;"|"&amp;COUNTIFS($T$7:$T1815,$T1815))</f>
        <v/>
      </c>
      <c r="V1815" s="1">
        <f t="shared" si="87"/>
        <v>0</v>
      </c>
      <c r="W1815" s="1" t="str">
        <f t="shared" si="88"/>
        <v/>
      </c>
      <c r="X1815" s="1"/>
      <c r="Y1815" s="1"/>
      <c r="Z1815" s="1"/>
      <c r="AA1815" s="1"/>
      <c r="AB1815" s="1"/>
      <c r="AC1815" s="1"/>
      <c r="AD1815" s="1">
        <f>IF($C1815="",0,SUMPRODUCT((AY_SONU!$O$7:$O$42="Evet")*(AY_SONU!$B$7:$B$42=DATE(YEAR($C1815),MONTH($C1815),1))))</f>
        <v>0</v>
      </c>
      <c r="AE1815" s="1" t="str">
        <f>IF($E1815="","",$E1815&amp;"|"&amp;COUNTIFS($E$7:$E1815,$E1815))</f>
        <v/>
      </c>
    </row>
    <row r="1816" spans="1:31" ht="18" customHeight="1" x14ac:dyDescent="0.3">
      <c r="A1816" s="2"/>
      <c r="B1816" s="65" t="str">
        <f>IF($C1816="","","GG"&amp;TEXT(ROW()-6,"00000"))</f>
        <v/>
      </c>
      <c r="C1816" s="66"/>
      <c r="D1816" s="60"/>
      <c r="E1816" s="61"/>
      <c r="F1816" s="61"/>
      <c r="G1816" s="67"/>
      <c r="H1816" s="60"/>
      <c r="I1816" s="60"/>
      <c r="J1816" s="61"/>
      <c r="K1816" s="61"/>
      <c r="L1816" s="60"/>
      <c r="M1816" s="74" t="str">
        <f>IF($C1816="","",IF($D1816="Gider",$E1816,IF($L1816&lt;&gt;"",$L1816,$H1816)))</f>
        <v/>
      </c>
      <c r="N1816" s="74" t="str">
        <f>IF($C1816="","",IF($D1816="Gider",$H1816,$E1816))</f>
        <v/>
      </c>
      <c r="O1816" s="73" t="str">
        <f>IF($C1816="","",DATE(YEAR($C1816),MONTH($C1816),1))</f>
        <v/>
      </c>
      <c r="P1816" s="65" t="str">
        <f ca="1">IF($C1816="","",IF(AND($D1816="Gelir",$L1816&lt;&gt;"",$T1816=""),"TANIMSIZ BORÇLU",IF($T1816&lt;&gt;"",IF(OR($E1816="",$G1816&lt;=0),"EKSİK",IF($I1816="Evet","TAHAKKUK NAKİT OLAMAZ",IF($C1816&gt;TODAY(),"İLERİ TARİH","TAHAKKUK"))),IF(AND($D1816&lt;&gt;"",$E1816&lt;&gt;"",$G1816&gt;0,$H1816&lt;&gt;"",$I1816&lt;&gt;""),IF($C1816&gt;TODAY(),"İLERİ TARİH",IF(COUNTIF($W$7:$W$3001,$W1816)&gt;1,"MÜKERRER?",IF($AD1816&gt;0,"KAPALI DÖNEM",IF($I1816="Hayır","ÖDENECEK","UYGUN")))),"EKSİK"))))</f>
        <v/>
      </c>
      <c r="Q1816" s="2"/>
      <c r="R1816" s="2"/>
      <c r="S1816" s="1" t="str">
        <f t="shared" si="86"/>
        <v/>
      </c>
      <c r="T1816" s="1" t="str">
        <f>IF(OR($C1816="",$D1816&lt;&gt;"Gelir",$L1816=""),"",IFERROR(INDEX(MUSTERILER!$B$7:$B$156,MATCH($S1816,MUSTERILER!$T$7:$T$156,0)),""))</f>
        <v/>
      </c>
      <c r="U1816" s="1" t="str">
        <f>IF($T1816="","",$T1816&amp;"|"&amp;COUNTIFS($T$7:$T1816,$T1816))</f>
        <v/>
      </c>
      <c r="V1816" s="1">
        <f t="shared" si="87"/>
        <v>0</v>
      </c>
      <c r="W1816" s="1" t="str">
        <f t="shared" si="88"/>
        <v/>
      </c>
      <c r="X1816" s="1"/>
      <c r="Y1816" s="1"/>
      <c r="Z1816" s="1"/>
      <c r="AA1816" s="1"/>
      <c r="AB1816" s="1"/>
      <c r="AC1816" s="1"/>
      <c r="AD1816" s="1">
        <f>IF($C1816="",0,SUMPRODUCT((AY_SONU!$O$7:$O$42="Evet")*(AY_SONU!$B$7:$B$42=DATE(YEAR($C1816),MONTH($C1816),1))))</f>
        <v>0</v>
      </c>
      <c r="AE1816" s="1" t="str">
        <f>IF($E1816="","",$E1816&amp;"|"&amp;COUNTIFS($E$7:$E1816,$E1816))</f>
        <v/>
      </c>
    </row>
    <row r="1817" spans="1:31" ht="18" customHeight="1" x14ac:dyDescent="0.3">
      <c r="A1817" s="2"/>
      <c r="B1817" s="65" t="str">
        <f>IF($C1817="","","GG"&amp;TEXT(ROW()-6,"00000"))</f>
        <v/>
      </c>
      <c r="C1817" s="66"/>
      <c r="D1817" s="60"/>
      <c r="E1817" s="61"/>
      <c r="F1817" s="61"/>
      <c r="G1817" s="67"/>
      <c r="H1817" s="60"/>
      <c r="I1817" s="60"/>
      <c r="J1817" s="61"/>
      <c r="K1817" s="61"/>
      <c r="L1817" s="60"/>
      <c r="M1817" s="74" t="str">
        <f>IF($C1817="","",IF($D1817="Gider",$E1817,IF($L1817&lt;&gt;"",$L1817,$H1817)))</f>
        <v/>
      </c>
      <c r="N1817" s="74" t="str">
        <f>IF($C1817="","",IF($D1817="Gider",$H1817,$E1817))</f>
        <v/>
      </c>
      <c r="O1817" s="73" t="str">
        <f>IF($C1817="","",DATE(YEAR($C1817),MONTH($C1817),1))</f>
        <v/>
      </c>
      <c r="P1817" s="65" t="str">
        <f ca="1">IF($C1817="","",IF(AND($D1817="Gelir",$L1817&lt;&gt;"",$T1817=""),"TANIMSIZ BORÇLU",IF($T1817&lt;&gt;"",IF(OR($E1817="",$G1817&lt;=0),"EKSİK",IF($I1817="Evet","TAHAKKUK NAKİT OLAMAZ",IF($C1817&gt;TODAY(),"İLERİ TARİH","TAHAKKUK"))),IF(AND($D1817&lt;&gt;"",$E1817&lt;&gt;"",$G1817&gt;0,$H1817&lt;&gt;"",$I1817&lt;&gt;""),IF($C1817&gt;TODAY(),"İLERİ TARİH",IF(COUNTIF($W$7:$W$3001,$W1817)&gt;1,"MÜKERRER?",IF($AD1817&gt;0,"KAPALI DÖNEM",IF($I1817="Hayır","ÖDENECEK","UYGUN")))),"EKSİK"))))</f>
        <v/>
      </c>
      <c r="Q1817" s="2"/>
      <c r="R1817" s="2"/>
      <c r="S1817" s="1" t="str">
        <f t="shared" si="86"/>
        <v/>
      </c>
      <c r="T1817" s="1" t="str">
        <f>IF(OR($C1817="",$D1817&lt;&gt;"Gelir",$L1817=""),"",IFERROR(INDEX(MUSTERILER!$B$7:$B$156,MATCH($S1817,MUSTERILER!$T$7:$T$156,0)),""))</f>
        <v/>
      </c>
      <c r="U1817" s="1" t="str">
        <f>IF($T1817="","",$T1817&amp;"|"&amp;COUNTIFS($T$7:$T1817,$T1817))</f>
        <v/>
      </c>
      <c r="V1817" s="1">
        <f t="shared" si="87"/>
        <v>0</v>
      </c>
      <c r="W1817" s="1" t="str">
        <f t="shared" si="88"/>
        <v/>
      </c>
      <c r="X1817" s="1"/>
      <c r="Y1817" s="1"/>
      <c r="Z1817" s="1"/>
      <c r="AA1817" s="1"/>
      <c r="AB1817" s="1"/>
      <c r="AC1817" s="1"/>
      <c r="AD1817" s="1">
        <f>IF($C1817="",0,SUMPRODUCT((AY_SONU!$O$7:$O$42="Evet")*(AY_SONU!$B$7:$B$42=DATE(YEAR($C1817),MONTH($C1817),1))))</f>
        <v>0</v>
      </c>
      <c r="AE1817" s="1" t="str">
        <f>IF($E1817="","",$E1817&amp;"|"&amp;COUNTIFS($E$7:$E1817,$E1817))</f>
        <v/>
      </c>
    </row>
    <row r="1818" spans="1:31" ht="18" customHeight="1" x14ac:dyDescent="0.3">
      <c r="A1818" s="2"/>
      <c r="B1818" s="65" t="str">
        <f>IF($C1818="","","GG"&amp;TEXT(ROW()-6,"00000"))</f>
        <v/>
      </c>
      <c r="C1818" s="66"/>
      <c r="D1818" s="60"/>
      <c r="E1818" s="61"/>
      <c r="F1818" s="61"/>
      <c r="G1818" s="67"/>
      <c r="H1818" s="60"/>
      <c r="I1818" s="60"/>
      <c r="J1818" s="61"/>
      <c r="K1818" s="61"/>
      <c r="L1818" s="60"/>
      <c r="M1818" s="74" t="str">
        <f>IF($C1818="","",IF($D1818="Gider",$E1818,IF($L1818&lt;&gt;"",$L1818,$H1818)))</f>
        <v/>
      </c>
      <c r="N1818" s="74" t="str">
        <f>IF($C1818="","",IF($D1818="Gider",$H1818,$E1818))</f>
        <v/>
      </c>
      <c r="O1818" s="73" t="str">
        <f>IF($C1818="","",DATE(YEAR($C1818),MONTH($C1818),1))</f>
        <v/>
      </c>
      <c r="P1818" s="65" t="str">
        <f ca="1">IF($C1818="","",IF(AND($D1818="Gelir",$L1818&lt;&gt;"",$T1818=""),"TANIMSIZ BORÇLU",IF($T1818&lt;&gt;"",IF(OR($E1818="",$G1818&lt;=0),"EKSİK",IF($I1818="Evet","TAHAKKUK NAKİT OLAMAZ",IF($C1818&gt;TODAY(),"İLERİ TARİH","TAHAKKUK"))),IF(AND($D1818&lt;&gt;"",$E1818&lt;&gt;"",$G1818&gt;0,$H1818&lt;&gt;"",$I1818&lt;&gt;""),IF($C1818&gt;TODAY(),"İLERİ TARİH",IF(COUNTIF($W$7:$W$3001,$W1818)&gt;1,"MÜKERRER?",IF($AD1818&gt;0,"KAPALI DÖNEM",IF($I1818="Hayır","ÖDENECEK","UYGUN")))),"EKSİK"))))</f>
        <v/>
      </c>
      <c r="Q1818" s="2"/>
      <c r="R1818" s="2"/>
      <c r="S1818" s="1" t="str">
        <f t="shared" si="86"/>
        <v/>
      </c>
      <c r="T1818" s="1" t="str">
        <f>IF(OR($C1818="",$D1818&lt;&gt;"Gelir",$L1818=""),"",IFERROR(INDEX(MUSTERILER!$B$7:$B$156,MATCH($S1818,MUSTERILER!$T$7:$T$156,0)),""))</f>
        <v/>
      </c>
      <c r="U1818" s="1" t="str">
        <f>IF($T1818="","",$T1818&amp;"|"&amp;COUNTIFS($T$7:$T1818,$T1818))</f>
        <v/>
      </c>
      <c r="V1818" s="1">
        <f t="shared" si="87"/>
        <v>0</v>
      </c>
      <c r="W1818" s="1" t="str">
        <f t="shared" si="88"/>
        <v/>
      </c>
      <c r="X1818" s="1"/>
      <c r="Y1818" s="1"/>
      <c r="Z1818" s="1"/>
      <c r="AA1818" s="1"/>
      <c r="AB1818" s="1"/>
      <c r="AC1818" s="1"/>
      <c r="AD1818" s="1">
        <f>IF($C1818="",0,SUMPRODUCT((AY_SONU!$O$7:$O$42="Evet")*(AY_SONU!$B$7:$B$42=DATE(YEAR($C1818),MONTH($C1818),1))))</f>
        <v>0</v>
      </c>
      <c r="AE1818" s="1" t="str">
        <f>IF($E1818="","",$E1818&amp;"|"&amp;COUNTIFS($E$7:$E1818,$E1818))</f>
        <v/>
      </c>
    </row>
    <row r="1819" spans="1:31" ht="18" customHeight="1" x14ac:dyDescent="0.3">
      <c r="A1819" s="2"/>
      <c r="B1819" s="65" t="str">
        <f>IF($C1819="","","GG"&amp;TEXT(ROW()-6,"00000"))</f>
        <v/>
      </c>
      <c r="C1819" s="66"/>
      <c r="D1819" s="60"/>
      <c r="E1819" s="61"/>
      <c r="F1819" s="61"/>
      <c r="G1819" s="67"/>
      <c r="H1819" s="60"/>
      <c r="I1819" s="60"/>
      <c r="J1819" s="61"/>
      <c r="K1819" s="61"/>
      <c r="L1819" s="60"/>
      <c r="M1819" s="74" t="str">
        <f>IF($C1819="","",IF($D1819="Gider",$E1819,IF($L1819&lt;&gt;"",$L1819,$H1819)))</f>
        <v/>
      </c>
      <c r="N1819" s="74" t="str">
        <f>IF($C1819="","",IF($D1819="Gider",$H1819,$E1819))</f>
        <v/>
      </c>
      <c r="O1819" s="73" t="str">
        <f>IF($C1819="","",DATE(YEAR($C1819),MONTH($C1819),1))</f>
        <v/>
      </c>
      <c r="P1819" s="65" t="str">
        <f ca="1">IF($C1819="","",IF(AND($D1819="Gelir",$L1819&lt;&gt;"",$T1819=""),"TANIMSIZ BORÇLU",IF($T1819&lt;&gt;"",IF(OR($E1819="",$G1819&lt;=0),"EKSİK",IF($I1819="Evet","TAHAKKUK NAKİT OLAMAZ",IF($C1819&gt;TODAY(),"İLERİ TARİH","TAHAKKUK"))),IF(AND($D1819&lt;&gt;"",$E1819&lt;&gt;"",$G1819&gt;0,$H1819&lt;&gt;"",$I1819&lt;&gt;""),IF($C1819&gt;TODAY(),"İLERİ TARİH",IF(COUNTIF($W$7:$W$3001,$W1819)&gt;1,"MÜKERRER?",IF($AD1819&gt;0,"KAPALI DÖNEM",IF($I1819="Hayır","ÖDENECEK","UYGUN")))),"EKSİK"))))</f>
        <v/>
      </c>
      <c r="Q1819" s="2"/>
      <c r="R1819" s="2"/>
      <c r="S1819" s="1" t="str">
        <f t="shared" si="86"/>
        <v/>
      </c>
      <c r="T1819" s="1" t="str">
        <f>IF(OR($C1819="",$D1819&lt;&gt;"Gelir",$L1819=""),"",IFERROR(INDEX(MUSTERILER!$B$7:$B$156,MATCH($S1819,MUSTERILER!$T$7:$T$156,0)),""))</f>
        <v/>
      </c>
      <c r="U1819" s="1" t="str">
        <f>IF($T1819="","",$T1819&amp;"|"&amp;COUNTIFS($T$7:$T1819,$T1819))</f>
        <v/>
      </c>
      <c r="V1819" s="1">
        <f t="shared" si="87"/>
        <v>0</v>
      </c>
      <c r="W1819" s="1" t="str">
        <f t="shared" si="88"/>
        <v/>
      </c>
      <c r="X1819" s="1"/>
      <c r="Y1819" s="1"/>
      <c r="Z1819" s="1"/>
      <c r="AA1819" s="1"/>
      <c r="AB1819" s="1"/>
      <c r="AC1819" s="1"/>
      <c r="AD1819" s="1">
        <f>IF($C1819="",0,SUMPRODUCT((AY_SONU!$O$7:$O$42="Evet")*(AY_SONU!$B$7:$B$42=DATE(YEAR($C1819),MONTH($C1819),1))))</f>
        <v>0</v>
      </c>
      <c r="AE1819" s="1" t="str">
        <f>IF($E1819="","",$E1819&amp;"|"&amp;COUNTIFS($E$7:$E1819,$E1819))</f>
        <v/>
      </c>
    </row>
    <row r="1820" spans="1:31" ht="18" customHeight="1" x14ac:dyDescent="0.3">
      <c r="A1820" s="2"/>
      <c r="B1820" s="65" t="str">
        <f>IF($C1820="","","GG"&amp;TEXT(ROW()-6,"00000"))</f>
        <v/>
      </c>
      <c r="C1820" s="66"/>
      <c r="D1820" s="60"/>
      <c r="E1820" s="61"/>
      <c r="F1820" s="61"/>
      <c r="G1820" s="67"/>
      <c r="H1820" s="60"/>
      <c r="I1820" s="60"/>
      <c r="J1820" s="61"/>
      <c r="K1820" s="61"/>
      <c r="L1820" s="60"/>
      <c r="M1820" s="74" t="str">
        <f>IF($C1820="","",IF($D1820="Gider",$E1820,IF($L1820&lt;&gt;"",$L1820,$H1820)))</f>
        <v/>
      </c>
      <c r="N1820" s="74" t="str">
        <f>IF($C1820="","",IF($D1820="Gider",$H1820,$E1820))</f>
        <v/>
      </c>
      <c r="O1820" s="73" t="str">
        <f>IF($C1820="","",DATE(YEAR($C1820),MONTH($C1820),1))</f>
        <v/>
      </c>
      <c r="P1820" s="65" t="str">
        <f ca="1">IF($C1820="","",IF(AND($D1820="Gelir",$L1820&lt;&gt;"",$T1820=""),"TANIMSIZ BORÇLU",IF($T1820&lt;&gt;"",IF(OR($E1820="",$G1820&lt;=0),"EKSİK",IF($I1820="Evet","TAHAKKUK NAKİT OLAMAZ",IF($C1820&gt;TODAY(),"İLERİ TARİH","TAHAKKUK"))),IF(AND($D1820&lt;&gt;"",$E1820&lt;&gt;"",$G1820&gt;0,$H1820&lt;&gt;"",$I1820&lt;&gt;""),IF($C1820&gt;TODAY(),"İLERİ TARİH",IF(COUNTIF($W$7:$W$3001,$W1820)&gt;1,"MÜKERRER?",IF($AD1820&gt;0,"KAPALI DÖNEM",IF($I1820="Hayır","ÖDENECEK","UYGUN")))),"EKSİK"))))</f>
        <v/>
      </c>
      <c r="Q1820" s="2"/>
      <c r="R1820" s="2"/>
      <c r="S1820" s="1" t="str">
        <f t="shared" si="86"/>
        <v/>
      </c>
      <c r="T1820" s="1" t="str">
        <f>IF(OR($C1820="",$D1820&lt;&gt;"Gelir",$L1820=""),"",IFERROR(INDEX(MUSTERILER!$B$7:$B$156,MATCH($S1820,MUSTERILER!$T$7:$T$156,0)),""))</f>
        <v/>
      </c>
      <c r="U1820" s="1" t="str">
        <f>IF($T1820="","",$T1820&amp;"|"&amp;COUNTIFS($T$7:$T1820,$T1820))</f>
        <v/>
      </c>
      <c r="V1820" s="1">
        <f t="shared" si="87"/>
        <v>0</v>
      </c>
      <c r="W1820" s="1" t="str">
        <f t="shared" si="88"/>
        <v/>
      </c>
      <c r="X1820" s="1"/>
      <c r="Y1820" s="1"/>
      <c r="Z1820" s="1"/>
      <c r="AA1820" s="1"/>
      <c r="AB1820" s="1"/>
      <c r="AC1820" s="1"/>
      <c r="AD1820" s="1">
        <f>IF($C1820="",0,SUMPRODUCT((AY_SONU!$O$7:$O$42="Evet")*(AY_SONU!$B$7:$B$42=DATE(YEAR($C1820),MONTH($C1820),1))))</f>
        <v>0</v>
      </c>
      <c r="AE1820" s="1" t="str">
        <f>IF($E1820="","",$E1820&amp;"|"&amp;COUNTIFS($E$7:$E1820,$E1820))</f>
        <v/>
      </c>
    </row>
    <row r="1821" spans="1:31" ht="18" customHeight="1" x14ac:dyDescent="0.3">
      <c r="A1821" s="2"/>
      <c r="B1821" s="65" t="str">
        <f>IF($C1821="","","GG"&amp;TEXT(ROW()-6,"00000"))</f>
        <v/>
      </c>
      <c r="C1821" s="66"/>
      <c r="D1821" s="60"/>
      <c r="E1821" s="61"/>
      <c r="F1821" s="61"/>
      <c r="G1821" s="67"/>
      <c r="H1821" s="60"/>
      <c r="I1821" s="60"/>
      <c r="J1821" s="61"/>
      <c r="K1821" s="61"/>
      <c r="L1821" s="60"/>
      <c r="M1821" s="74" t="str">
        <f>IF($C1821="","",IF($D1821="Gider",$E1821,IF($L1821&lt;&gt;"",$L1821,$H1821)))</f>
        <v/>
      </c>
      <c r="N1821" s="74" t="str">
        <f>IF($C1821="","",IF($D1821="Gider",$H1821,$E1821))</f>
        <v/>
      </c>
      <c r="O1821" s="73" t="str">
        <f>IF($C1821="","",DATE(YEAR($C1821),MONTH($C1821),1))</f>
        <v/>
      </c>
      <c r="P1821" s="65" t="str">
        <f ca="1">IF($C1821="","",IF(AND($D1821="Gelir",$L1821&lt;&gt;"",$T1821=""),"TANIMSIZ BORÇLU",IF($T1821&lt;&gt;"",IF(OR($E1821="",$G1821&lt;=0),"EKSİK",IF($I1821="Evet","TAHAKKUK NAKİT OLAMAZ",IF($C1821&gt;TODAY(),"İLERİ TARİH","TAHAKKUK"))),IF(AND($D1821&lt;&gt;"",$E1821&lt;&gt;"",$G1821&gt;0,$H1821&lt;&gt;"",$I1821&lt;&gt;""),IF($C1821&gt;TODAY(),"İLERİ TARİH",IF(COUNTIF($W$7:$W$3001,$W1821)&gt;1,"MÜKERRER?",IF($AD1821&gt;0,"KAPALI DÖNEM",IF($I1821="Hayır","ÖDENECEK","UYGUN")))),"EKSİK"))))</f>
        <v/>
      </c>
      <c r="Q1821" s="2"/>
      <c r="R1821" s="2"/>
      <c r="S1821" s="1" t="str">
        <f t="shared" si="86"/>
        <v/>
      </c>
      <c r="T1821" s="1" t="str">
        <f>IF(OR($C1821="",$D1821&lt;&gt;"Gelir",$L1821=""),"",IFERROR(INDEX(MUSTERILER!$B$7:$B$156,MATCH($S1821,MUSTERILER!$T$7:$T$156,0)),""))</f>
        <v/>
      </c>
      <c r="U1821" s="1" t="str">
        <f>IF($T1821="","",$T1821&amp;"|"&amp;COUNTIFS($T$7:$T1821,$T1821))</f>
        <v/>
      </c>
      <c r="V1821" s="1">
        <f t="shared" si="87"/>
        <v>0</v>
      </c>
      <c r="W1821" s="1" t="str">
        <f t="shared" si="88"/>
        <v/>
      </c>
      <c r="X1821" s="1"/>
      <c r="Y1821" s="1"/>
      <c r="Z1821" s="1"/>
      <c r="AA1821" s="1"/>
      <c r="AB1821" s="1"/>
      <c r="AC1821" s="1"/>
      <c r="AD1821" s="1">
        <f>IF($C1821="",0,SUMPRODUCT((AY_SONU!$O$7:$O$42="Evet")*(AY_SONU!$B$7:$B$42=DATE(YEAR($C1821),MONTH($C1821),1))))</f>
        <v>0</v>
      </c>
      <c r="AE1821" s="1" t="str">
        <f>IF($E1821="","",$E1821&amp;"|"&amp;COUNTIFS($E$7:$E1821,$E1821))</f>
        <v/>
      </c>
    </row>
    <row r="1822" spans="1:31" ht="18" customHeight="1" x14ac:dyDescent="0.3">
      <c r="A1822" s="2"/>
      <c r="B1822" s="65" t="str">
        <f>IF($C1822="","","GG"&amp;TEXT(ROW()-6,"00000"))</f>
        <v/>
      </c>
      <c r="C1822" s="66"/>
      <c r="D1822" s="60"/>
      <c r="E1822" s="61"/>
      <c r="F1822" s="61"/>
      <c r="G1822" s="67"/>
      <c r="H1822" s="60"/>
      <c r="I1822" s="60"/>
      <c r="J1822" s="61"/>
      <c r="K1822" s="61"/>
      <c r="L1822" s="60"/>
      <c r="M1822" s="74" t="str">
        <f>IF($C1822="","",IF($D1822="Gider",$E1822,IF($L1822&lt;&gt;"",$L1822,$H1822)))</f>
        <v/>
      </c>
      <c r="N1822" s="74" t="str">
        <f>IF($C1822="","",IF($D1822="Gider",$H1822,$E1822))</f>
        <v/>
      </c>
      <c r="O1822" s="73" t="str">
        <f>IF($C1822="","",DATE(YEAR($C1822),MONTH($C1822),1))</f>
        <v/>
      </c>
      <c r="P1822" s="65" t="str">
        <f ca="1">IF($C1822="","",IF(AND($D1822="Gelir",$L1822&lt;&gt;"",$T1822=""),"TANIMSIZ BORÇLU",IF($T1822&lt;&gt;"",IF(OR($E1822="",$G1822&lt;=0),"EKSİK",IF($I1822="Evet","TAHAKKUK NAKİT OLAMAZ",IF($C1822&gt;TODAY(),"İLERİ TARİH","TAHAKKUK"))),IF(AND($D1822&lt;&gt;"",$E1822&lt;&gt;"",$G1822&gt;0,$H1822&lt;&gt;"",$I1822&lt;&gt;""),IF($C1822&gt;TODAY(),"İLERİ TARİH",IF(COUNTIF($W$7:$W$3001,$W1822)&gt;1,"MÜKERRER?",IF($AD1822&gt;0,"KAPALI DÖNEM",IF($I1822="Hayır","ÖDENECEK","UYGUN")))),"EKSİK"))))</f>
        <v/>
      </c>
      <c r="Q1822" s="2"/>
      <c r="R1822" s="2"/>
      <c r="S1822" s="1" t="str">
        <f t="shared" si="86"/>
        <v/>
      </c>
      <c r="T1822" s="1" t="str">
        <f>IF(OR($C1822="",$D1822&lt;&gt;"Gelir",$L1822=""),"",IFERROR(INDEX(MUSTERILER!$B$7:$B$156,MATCH($S1822,MUSTERILER!$T$7:$T$156,0)),""))</f>
        <v/>
      </c>
      <c r="U1822" s="1" t="str">
        <f>IF($T1822="","",$T1822&amp;"|"&amp;COUNTIFS($T$7:$T1822,$T1822))</f>
        <v/>
      </c>
      <c r="V1822" s="1">
        <f t="shared" si="87"/>
        <v>0</v>
      </c>
      <c r="W1822" s="1" t="str">
        <f t="shared" si="88"/>
        <v/>
      </c>
      <c r="X1822" s="1"/>
      <c r="Y1822" s="1"/>
      <c r="Z1822" s="1"/>
      <c r="AA1822" s="1"/>
      <c r="AB1822" s="1"/>
      <c r="AC1822" s="1"/>
      <c r="AD1822" s="1">
        <f>IF($C1822="",0,SUMPRODUCT((AY_SONU!$O$7:$O$42="Evet")*(AY_SONU!$B$7:$B$42=DATE(YEAR($C1822),MONTH($C1822),1))))</f>
        <v>0</v>
      </c>
      <c r="AE1822" s="1" t="str">
        <f>IF($E1822="","",$E1822&amp;"|"&amp;COUNTIFS($E$7:$E1822,$E1822))</f>
        <v/>
      </c>
    </row>
    <row r="1823" spans="1:31" ht="18" customHeight="1" x14ac:dyDescent="0.3">
      <c r="A1823" s="2"/>
      <c r="B1823" s="65" t="str">
        <f>IF($C1823="","","GG"&amp;TEXT(ROW()-6,"00000"))</f>
        <v/>
      </c>
      <c r="C1823" s="66"/>
      <c r="D1823" s="60"/>
      <c r="E1823" s="61"/>
      <c r="F1823" s="61"/>
      <c r="G1823" s="67"/>
      <c r="H1823" s="60"/>
      <c r="I1823" s="60"/>
      <c r="J1823" s="61"/>
      <c r="K1823" s="61"/>
      <c r="L1823" s="60"/>
      <c r="M1823" s="74" t="str">
        <f>IF($C1823="","",IF($D1823="Gider",$E1823,IF($L1823&lt;&gt;"",$L1823,$H1823)))</f>
        <v/>
      </c>
      <c r="N1823" s="74" t="str">
        <f>IF($C1823="","",IF($D1823="Gider",$H1823,$E1823))</f>
        <v/>
      </c>
      <c r="O1823" s="73" t="str">
        <f>IF($C1823="","",DATE(YEAR($C1823),MONTH($C1823),1))</f>
        <v/>
      </c>
      <c r="P1823" s="65" t="str">
        <f ca="1">IF($C1823="","",IF(AND($D1823="Gelir",$L1823&lt;&gt;"",$T1823=""),"TANIMSIZ BORÇLU",IF($T1823&lt;&gt;"",IF(OR($E1823="",$G1823&lt;=0),"EKSİK",IF($I1823="Evet","TAHAKKUK NAKİT OLAMAZ",IF($C1823&gt;TODAY(),"İLERİ TARİH","TAHAKKUK"))),IF(AND($D1823&lt;&gt;"",$E1823&lt;&gt;"",$G1823&gt;0,$H1823&lt;&gt;"",$I1823&lt;&gt;""),IF($C1823&gt;TODAY(),"İLERİ TARİH",IF(COUNTIF($W$7:$W$3001,$W1823)&gt;1,"MÜKERRER?",IF($AD1823&gt;0,"KAPALI DÖNEM",IF($I1823="Hayır","ÖDENECEK","UYGUN")))),"EKSİK"))))</f>
        <v/>
      </c>
      <c r="Q1823" s="2"/>
      <c r="R1823" s="2"/>
      <c r="S1823" s="1" t="str">
        <f t="shared" si="86"/>
        <v/>
      </c>
      <c r="T1823" s="1" t="str">
        <f>IF(OR($C1823="",$D1823&lt;&gt;"Gelir",$L1823=""),"",IFERROR(INDEX(MUSTERILER!$B$7:$B$156,MATCH($S1823,MUSTERILER!$T$7:$T$156,0)),""))</f>
        <v/>
      </c>
      <c r="U1823" s="1" t="str">
        <f>IF($T1823="","",$T1823&amp;"|"&amp;COUNTIFS($T$7:$T1823,$T1823))</f>
        <v/>
      </c>
      <c r="V1823" s="1">
        <f t="shared" si="87"/>
        <v>0</v>
      </c>
      <c r="W1823" s="1" t="str">
        <f t="shared" si="88"/>
        <v/>
      </c>
      <c r="X1823" s="1"/>
      <c r="Y1823" s="1"/>
      <c r="Z1823" s="1"/>
      <c r="AA1823" s="1"/>
      <c r="AB1823" s="1"/>
      <c r="AC1823" s="1"/>
      <c r="AD1823" s="1">
        <f>IF($C1823="",0,SUMPRODUCT((AY_SONU!$O$7:$O$42="Evet")*(AY_SONU!$B$7:$B$42=DATE(YEAR($C1823),MONTH($C1823),1))))</f>
        <v>0</v>
      </c>
      <c r="AE1823" s="1" t="str">
        <f>IF($E1823="","",$E1823&amp;"|"&amp;COUNTIFS($E$7:$E1823,$E1823))</f>
        <v/>
      </c>
    </row>
    <row r="1824" spans="1:31" ht="18" customHeight="1" x14ac:dyDescent="0.3">
      <c r="A1824" s="2"/>
      <c r="B1824" s="65" t="str">
        <f>IF($C1824="","","GG"&amp;TEXT(ROW()-6,"00000"))</f>
        <v/>
      </c>
      <c r="C1824" s="66"/>
      <c r="D1824" s="60"/>
      <c r="E1824" s="61"/>
      <c r="F1824" s="61"/>
      <c r="G1824" s="67"/>
      <c r="H1824" s="60"/>
      <c r="I1824" s="60"/>
      <c r="J1824" s="61"/>
      <c r="K1824" s="61"/>
      <c r="L1824" s="60"/>
      <c r="M1824" s="74" t="str">
        <f>IF($C1824="","",IF($D1824="Gider",$E1824,IF($L1824&lt;&gt;"",$L1824,$H1824)))</f>
        <v/>
      </c>
      <c r="N1824" s="74" t="str">
        <f>IF($C1824="","",IF($D1824="Gider",$H1824,$E1824))</f>
        <v/>
      </c>
      <c r="O1824" s="73" t="str">
        <f>IF($C1824="","",DATE(YEAR($C1824),MONTH($C1824),1))</f>
        <v/>
      </c>
      <c r="P1824" s="65" t="str">
        <f ca="1">IF($C1824="","",IF(AND($D1824="Gelir",$L1824&lt;&gt;"",$T1824=""),"TANIMSIZ BORÇLU",IF($T1824&lt;&gt;"",IF(OR($E1824="",$G1824&lt;=0),"EKSİK",IF($I1824="Evet","TAHAKKUK NAKİT OLAMAZ",IF($C1824&gt;TODAY(),"İLERİ TARİH","TAHAKKUK"))),IF(AND($D1824&lt;&gt;"",$E1824&lt;&gt;"",$G1824&gt;0,$H1824&lt;&gt;"",$I1824&lt;&gt;""),IF($C1824&gt;TODAY(),"İLERİ TARİH",IF(COUNTIF($W$7:$W$3001,$W1824)&gt;1,"MÜKERRER?",IF($AD1824&gt;0,"KAPALI DÖNEM",IF($I1824="Hayır","ÖDENECEK","UYGUN")))),"EKSİK"))))</f>
        <v/>
      </c>
      <c r="Q1824" s="2"/>
      <c r="R1824" s="2"/>
      <c r="S1824" s="1" t="str">
        <f t="shared" si="86"/>
        <v/>
      </c>
      <c r="T1824" s="1" t="str">
        <f>IF(OR($C1824="",$D1824&lt;&gt;"Gelir",$L1824=""),"",IFERROR(INDEX(MUSTERILER!$B$7:$B$156,MATCH($S1824,MUSTERILER!$T$7:$T$156,0)),""))</f>
        <v/>
      </c>
      <c r="U1824" s="1" t="str">
        <f>IF($T1824="","",$T1824&amp;"|"&amp;COUNTIFS($T$7:$T1824,$T1824))</f>
        <v/>
      </c>
      <c r="V1824" s="1">
        <f t="shared" si="87"/>
        <v>0</v>
      </c>
      <c r="W1824" s="1" t="str">
        <f t="shared" si="88"/>
        <v/>
      </c>
      <c r="X1824" s="1"/>
      <c r="Y1824" s="1"/>
      <c r="Z1824" s="1"/>
      <c r="AA1824" s="1"/>
      <c r="AB1824" s="1"/>
      <c r="AC1824" s="1"/>
      <c r="AD1824" s="1">
        <f>IF($C1824="",0,SUMPRODUCT((AY_SONU!$O$7:$O$42="Evet")*(AY_SONU!$B$7:$B$42=DATE(YEAR($C1824),MONTH($C1824),1))))</f>
        <v>0</v>
      </c>
      <c r="AE1824" s="1" t="str">
        <f>IF($E1824="","",$E1824&amp;"|"&amp;COUNTIFS($E$7:$E1824,$E1824))</f>
        <v/>
      </c>
    </row>
    <row r="1825" spans="1:31" ht="18" customHeight="1" x14ac:dyDescent="0.3">
      <c r="A1825" s="2"/>
      <c r="B1825" s="65" t="str">
        <f>IF($C1825="","","GG"&amp;TEXT(ROW()-6,"00000"))</f>
        <v/>
      </c>
      <c r="C1825" s="66"/>
      <c r="D1825" s="60"/>
      <c r="E1825" s="61"/>
      <c r="F1825" s="61"/>
      <c r="G1825" s="67"/>
      <c r="H1825" s="60"/>
      <c r="I1825" s="60"/>
      <c r="J1825" s="61"/>
      <c r="K1825" s="61"/>
      <c r="L1825" s="60"/>
      <c r="M1825" s="74" t="str">
        <f>IF($C1825="","",IF($D1825="Gider",$E1825,IF($L1825&lt;&gt;"",$L1825,$H1825)))</f>
        <v/>
      </c>
      <c r="N1825" s="74" t="str">
        <f>IF($C1825="","",IF($D1825="Gider",$H1825,$E1825))</f>
        <v/>
      </c>
      <c r="O1825" s="73" t="str">
        <f>IF($C1825="","",DATE(YEAR($C1825),MONTH($C1825),1))</f>
        <v/>
      </c>
      <c r="P1825" s="65" t="str">
        <f ca="1">IF($C1825="","",IF(AND($D1825="Gelir",$L1825&lt;&gt;"",$T1825=""),"TANIMSIZ BORÇLU",IF($T1825&lt;&gt;"",IF(OR($E1825="",$G1825&lt;=0),"EKSİK",IF($I1825="Evet","TAHAKKUK NAKİT OLAMAZ",IF($C1825&gt;TODAY(),"İLERİ TARİH","TAHAKKUK"))),IF(AND($D1825&lt;&gt;"",$E1825&lt;&gt;"",$G1825&gt;0,$H1825&lt;&gt;"",$I1825&lt;&gt;""),IF($C1825&gt;TODAY(),"İLERİ TARİH",IF(COUNTIF($W$7:$W$3001,$W1825)&gt;1,"MÜKERRER?",IF($AD1825&gt;0,"KAPALI DÖNEM",IF($I1825="Hayır","ÖDENECEK","UYGUN")))),"EKSİK"))))</f>
        <v/>
      </c>
      <c r="Q1825" s="2"/>
      <c r="R1825" s="2"/>
      <c r="S1825" s="1" t="str">
        <f t="shared" si="86"/>
        <v/>
      </c>
      <c r="T1825" s="1" t="str">
        <f>IF(OR($C1825="",$D1825&lt;&gt;"Gelir",$L1825=""),"",IFERROR(INDEX(MUSTERILER!$B$7:$B$156,MATCH($S1825,MUSTERILER!$T$7:$T$156,0)),""))</f>
        <v/>
      </c>
      <c r="U1825" s="1" t="str">
        <f>IF($T1825="","",$T1825&amp;"|"&amp;COUNTIFS($T$7:$T1825,$T1825))</f>
        <v/>
      </c>
      <c r="V1825" s="1">
        <f t="shared" si="87"/>
        <v>0</v>
      </c>
      <c r="W1825" s="1" t="str">
        <f t="shared" si="88"/>
        <v/>
      </c>
      <c r="X1825" s="1"/>
      <c r="Y1825" s="1"/>
      <c r="Z1825" s="1"/>
      <c r="AA1825" s="1"/>
      <c r="AB1825" s="1"/>
      <c r="AC1825" s="1"/>
      <c r="AD1825" s="1">
        <f>IF($C1825="",0,SUMPRODUCT((AY_SONU!$O$7:$O$42="Evet")*(AY_SONU!$B$7:$B$42=DATE(YEAR($C1825),MONTH($C1825),1))))</f>
        <v>0</v>
      </c>
      <c r="AE1825" s="1" t="str">
        <f>IF($E1825="","",$E1825&amp;"|"&amp;COUNTIFS($E$7:$E1825,$E1825))</f>
        <v/>
      </c>
    </row>
    <row r="1826" spans="1:31" ht="18" customHeight="1" x14ac:dyDescent="0.3">
      <c r="A1826" s="2"/>
      <c r="B1826" s="65" t="str">
        <f>IF($C1826="","","GG"&amp;TEXT(ROW()-6,"00000"))</f>
        <v/>
      </c>
      <c r="C1826" s="66"/>
      <c r="D1826" s="60"/>
      <c r="E1826" s="61"/>
      <c r="F1826" s="61"/>
      <c r="G1826" s="67"/>
      <c r="H1826" s="60"/>
      <c r="I1826" s="60"/>
      <c r="J1826" s="61"/>
      <c r="K1826" s="61"/>
      <c r="L1826" s="60"/>
      <c r="M1826" s="74" t="str">
        <f>IF($C1826="","",IF($D1826="Gider",$E1826,IF($L1826&lt;&gt;"",$L1826,$H1826)))</f>
        <v/>
      </c>
      <c r="N1826" s="74" t="str">
        <f>IF($C1826="","",IF($D1826="Gider",$H1826,$E1826))</f>
        <v/>
      </c>
      <c r="O1826" s="73" t="str">
        <f>IF($C1826="","",DATE(YEAR($C1826),MONTH($C1826),1))</f>
        <v/>
      </c>
      <c r="P1826" s="65" t="str">
        <f ca="1">IF($C1826="","",IF(AND($D1826="Gelir",$L1826&lt;&gt;"",$T1826=""),"TANIMSIZ BORÇLU",IF($T1826&lt;&gt;"",IF(OR($E1826="",$G1826&lt;=0),"EKSİK",IF($I1826="Evet","TAHAKKUK NAKİT OLAMAZ",IF($C1826&gt;TODAY(),"İLERİ TARİH","TAHAKKUK"))),IF(AND($D1826&lt;&gt;"",$E1826&lt;&gt;"",$G1826&gt;0,$H1826&lt;&gt;"",$I1826&lt;&gt;""),IF($C1826&gt;TODAY(),"İLERİ TARİH",IF(COUNTIF($W$7:$W$3001,$W1826)&gt;1,"MÜKERRER?",IF($AD1826&gt;0,"KAPALI DÖNEM",IF($I1826="Hayır","ÖDENECEK","UYGUN")))),"EKSİK"))))</f>
        <v/>
      </c>
      <c r="Q1826" s="2"/>
      <c r="R1826" s="2"/>
      <c r="S1826" s="1" t="str">
        <f t="shared" si="86"/>
        <v/>
      </c>
      <c r="T1826" s="1" t="str">
        <f>IF(OR($C1826="",$D1826&lt;&gt;"Gelir",$L1826=""),"",IFERROR(INDEX(MUSTERILER!$B$7:$B$156,MATCH($S1826,MUSTERILER!$T$7:$T$156,0)),""))</f>
        <v/>
      </c>
      <c r="U1826" s="1" t="str">
        <f>IF($T1826="","",$T1826&amp;"|"&amp;COUNTIFS($T$7:$T1826,$T1826))</f>
        <v/>
      </c>
      <c r="V1826" s="1">
        <f t="shared" si="87"/>
        <v>0</v>
      </c>
      <c r="W1826" s="1" t="str">
        <f t="shared" si="88"/>
        <v/>
      </c>
      <c r="X1826" s="1"/>
      <c r="Y1826" s="1"/>
      <c r="Z1826" s="1"/>
      <c r="AA1826" s="1"/>
      <c r="AB1826" s="1"/>
      <c r="AC1826" s="1"/>
      <c r="AD1826" s="1">
        <f>IF($C1826="",0,SUMPRODUCT((AY_SONU!$O$7:$O$42="Evet")*(AY_SONU!$B$7:$B$42=DATE(YEAR($C1826),MONTH($C1826),1))))</f>
        <v>0</v>
      </c>
      <c r="AE1826" s="1" t="str">
        <f>IF($E1826="","",$E1826&amp;"|"&amp;COUNTIFS($E$7:$E1826,$E1826))</f>
        <v/>
      </c>
    </row>
    <row r="1827" spans="1:31" ht="18" customHeight="1" x14ac:dyDescent="0.3">
      <c r="A1827" s="2"/>
      <c r="B1827" s="65" t="str">
        <f>IF($C1827="","","GG"&amp;TEXT(ROW()-6,"00000"))</f>
        <v/>
      </c>
      <c r="C1827" s="66"/>
      <c r="D1827" s="60"/>
      <c r="E1827" s="61"/>
      <c r="F1827" s="61"/>
      <c r="G1827" s="67"/>
      <c r="H1827" s="60"/>
      <c r="I1827" s="60"/>
      <c r="J1827" s="61"/>
      <c r="K1827" s="61"/>
      <c r="L1827" s="60"/>
      <c r="M1827" s="74" t="str">
        <f>IF($C1827="","",IF($D1827="Gider",$E1827,IF($L1827&lt;&gt;"",$L1827,$H1827)))</f>
        <v/>
      </c>
      <c r="N1827" s="74" t="str">
        <f>IF($C1827="","",IF($D1827="Gider",$H1827,$E1827))</f>
        <v/>
      </c>
      <c r="O1827" s="73" t="str">
        <f>IF($C1827="","",DATE(YEAR($C1827),MONTH($C1827),1))</f>
        <v/>
      </c>
      <c r="P1827" s="65" t="str">
        <f ca="1">IF($C1827="","",IF(AND($D1827="Gelir",$L1827&lt;&gt;"",$T1827=""),"TANIMSIZ BORÇLU",IF($T1827&lt;&gt;"",IF(OR($E1827="",$G1827&lt;=0),"EKSİK",IF($I1827="Evet","TAHAKKUK NAKİT OLAMAZ",IF($C1827&gt;TODAY(),"İLERİ TARİH","TAHAKKUK"))),IF(AND($D1827&lt;&gt;"",$E1827&lt;&gt;"",$G1827&gt;0,$H1827&lt;&gt;"",$I1827&lt;&gt;""),IF($C1827&gt;TODAY(),"İLERİ TARİH",IF(COUNTIF($W$7:$W$3001,$W1827)&gt;1,"MÜKERRER?",IF($AD1827&gt;0,"KAPALI DÖNEM",IF($I1827="Hayır","ÖDENECEK","UYGUN")))),"EKSİK"))))</f>
        <v/>
      </c>
      <c r="Q1827" s="2"/>
      <c r="R1827" s="2"/>
      <c r="S1827" s="1" t="str">
        <f t="shared" si="86"/>
        <v/>
      </c>
      <c r="T1827" s="1" t="str">
        <f>IF(OR($C1827="",$D1827&lt;&gt;"Gelir",$L1827=""),"",IFERROR(INDEX(MUSTERILER!$B$7:$B$156,MATCH($S1827,MUSTERILER!$T$7:$T$156,0)),""))</f>
        <v/>
      </c>
      <c r="U1827" s="1" t="str">
        <f>IF($T1827="","",$T1827&amp;"|"&amp;COUNTIFS($T$7:$T1827,$T1827))</f>
        <v/>
      </c>
      <c r="V1827" s="1">
        <f t="shared" si="87"/>
        <v>0</v>
      </c>
      <c r="W1827" s="1" t="str">
        <f t="shared" si="88"/>
        <v/>
      </c>
      <c r="X1827" s="1"/>
      <c r="Y1827" s="1"/>
      <c r="Z1827" s="1"/>
      <c r="AA1827" s="1"/>
      <c r="AB1827" s="1"/>
      <c r="AC1827" s="1"/>
      <c r="AD1827" s="1">
        <f>IF($C1827="",0,SUMPRODUCT((AY_SONU!$O$7:$O$42="Evet")*(AY_SONU!$B$7:$B$42=DATE(YEAR($C1827),MONTH($C1827),1))))</f>
        <v>0</v>
      </c>
      <c r="AE1827" s="1" t="str">
        <f>IF($E1827="","",$E1827&amp;"|"&amp;COUNTIFS($E$7:$E1827,$E1827))</f>
        <v/>
      </c>
    </row>
    <row r="1828" spans="1:31" ht="18" customHeight="1" x14ac:dyDescent="0.3">
      <c r="A1828" s="2"/>
      <c r="B1828" s="65" t="str">
        <f>IF($C1828="","","GG"&amp;TEXT(ROW()-6,"00000"))</f>
        <v/>
      </c>
      <c r="C1828" s="66"/>
      <c r="D1828" s="60"/>
      <c r="E1828" s="61"/>
      <c r="F1828" s="61"/>
      <c r="G1828" s="67"/>
      <c r="H1828" s="60"/>
      <c r="I1828" s="60"/>
      <c r="J1828" s="61"/>
      <c r="K1828" s="61"/>
      <c r="L1828" s="60"/>
      <c r="M1828" s="74" t="str">
        <f>IF($C1828="","",IF($D1828="Gider",$E1828,IF($L1828&lt;&gt;"",$L1828,$H1828)))</f>
        <v/>
      </c>
      <c r="N1828" s="74" t="str">
        <f>IF($C1828="","",IF($D1828="Gider",$H1828,$E1828))</f>
        <v/>
      </c>
      <c r="O1828" s="73" t="str">
        <f>IF($C1828="","",DATE(YEAR($C1828),MONTH($C1828),1))</f>
        <v/>
      </c>
      <c r="P1828" s="65" t="str">
        <f ca="1">IF($C1828="","",IF(AND($D1828="Gelir",$L1828&lt;&gt;"",$T1828=""),"TANIMSIZ BORÇLU",IF($T1828&lt;&gt;"",IF(OR($E1828="",$G1828&lt;=0),"EKSİK",IF($I1828="Evet","TAHAKKUK NAKİT OLAMAZ",IF($C1828&gt;TODAY(),"İLERİ TARİH","TAHAKKUK"))),IF(AND($D1828&lt;&gt;"",$E1828&lt;&gt;"",$G1828&gt;0,$H1828&lt;&gt;"",$I1828&lt;&gt;""),IF($C1828&gt;TODAY(),"İLERİ TARİH",IF(COUNTIF($W$7:$W$3001,$W1828)&gt;1,"MÜKERRER?",IF($AD1828&gt;0,"KAPALI DÖNEM",IF($I1828="Hayır","ÖDENECEK","UYGUN")))),"EKSİK"))))</f>
        <v/>
      </c>
      <c r="Q1828" s="2"/>
      <c r="R1828" s="2"/>
      <c r="S1828" s="1" t="str">
        <f t="shared" si="86"/>
        <v/>
      </c>
      <c r="T1828" s="1" t="str">
        <f>IF(OR($C1828="",$D1828&lt;&gt;"Gelir",$L1828=""),"",IFERROR(INDEX(MUSTERILER!$B$7:$B$156,MATCH($S1828,MUSTERILER!$T$7:$T$156,0)),""))</f>
        <v/>
      </c>
      <c r="U1828" s="1" t="str">
        <f>IF($T1828="","",$T1828&amp;"|"&amp;COUNTIFS($T$7:$T1828,$T1828))</f>
        <v/>
      </c>
      <c r="V1828" s="1">
        <f t="shared" si="87"/>
        <v>0</v>
      </c>
      <c r="W1828" s="1" t="str">
        <f t="shared" si="88"/>
        <v/>
      </c>
      <c r="X1828" s="1"/>
      <c r="Y1828" s="1"/>
      <c r="Z1828" s="1"/>
      <c r="AA1828" s="1"/>
      <c r="AB1828" s="1"/>
      <c r="AC1828" s="1"/>
      <c r="AD1828" s="1">
        <f>IF($C1828="",0,SUMPRODUCT((AY_SONU!$O$7:$O$42="Evet")*(AY_SONU!$B$7:$B$42=DATE(YEAR($C1828),MONTH($C1828),1))))</f>
        <v>0</v>
      </c>
      <c r="AE1828" s="1" t="str">
        <f>IF($E1828="","",$E1828&amp;"|"&amp;COUNTIFS($E$7:$E1828,$E1828))</f>
        <v/>
      </c>
    </row>
    <row r="1829" spans="1:31" ht="18" customHeight="1" x14ac:dyDescent="0.3">
      <c r="A1829" s="2"/>
      <c r="B1829" s="65" t="str">
        <f>IF($C1829="","","GG"&amp;TEXT(ROW()-6,"00000"))</f>
        <v/>
      </c>
      <c r="C1829" s="66"/>
      <c r="D1829" s="60"/>
      <c r="E1829" s="61"/>
      <c r="F1829" s="61"/>
      <c r="G1829" s="67"/>
      <c r="H1829" s="60"/>
      <c r="I1829" s="60"/>
      <c r="J1829" s="61"/>
      <c r="K1829" s="61"/>
      <c r="L1829" s="60"/>
      <c r="M1829" s="74" t="str">
        <f>IF($C1829="","",IF($D1829="Gider",$E1829,IF($L1829&lt;&gt;"",$L1829,$H1829)))</f>
        <v/>
      </c>
      <c r="N1829" s="74" t="str">
        <f>IF($C1829="","",IF($D1829="Gider",$H1829,$E1829))</f>
        <v/>
      </c>
      <c r="O1829" s="73" t="str">
        <f>IF($C1829="","",DATE(YEAR($C1829),MONTH($C1829),1))</f>
        <v/>
      </c>
      <c r="P1829" s="65" t="str">
        <f ca="1">IF($C1829="","",IF(AND($D1829="Gelir",$L1829&lt;&gt;"",$T1829=""),"TANIMSIZ BORÇLU",IF($T1829&lt;&gt;"",IF(OR($E1829="",$G1829&lt;=0),"EKSİK",IF($I1829="Evet","TAHAKKUK NAKİT OLAMAZ",IF($C1829&gt;TODAY(),"İLERİ TARİH","TAHAKKUK"))),IF(AND($D1829&lt;&gt;"",$E1829&lt;&gt;"",$G1829&gt;0,$H1829&lt;&gt;"",$I1829&lt;&gt;""),IF($C1829&gt;TODAY(),"İLERİ TARİH",IF(COUNTIF($W$7:$W$3001,$W1829)&gt;1,"MÜKERRER?",IF($AD1829&gt;0,"KAPALI DÖNEM",IF($I1829="Hayır","ÖDENECEK","UYGUN")))),"EKSİK"))))</f>
        <v/>
      </c>
      <c r="Q1829" s="2"/>
      <c r="R1829" s="2"/>
      <c r="S1829" s="1" t="str">
        <f t="shared" si="86"/>
        <v/>
      </c>
      <c r="T1829" s="1" t="str">
        <f>IF(OR($C1829="",$D1829&lt;&gt;"Gelir",$L1829=""),"",IFERROR(INDEX(MUSTERILER!$B$7:$B$156,MATCH($S1829,MUSTERILER!$T$7:$T$156,0)),""))</f>
        <v/>
      </c>
      <c r="U1829" s="1" t="str">
        <f>IF($T1829="","",$T1829&amp;"|"&amp;COUNTIFS($T$7:$T1829,$T1829))</f>
        <v/>
      </c>
      <c r="V1829" s="1">
        <f t="shared" si="87"/>
        <v>0</v>
      </c>
      <c r="W1829" s="1" t="str">
        <f t="shared" si="88"/>
        <v/>
      </c>
      <c r="X1829" s="1"/>
      <c r="Y1829" s="1"/>
      <c r="Z1829" s="1"/>
      <c r="AA1829" s="1"/>
      <c r="AB1829" s="1"/>
      <c r="AC1829" s="1"/>
      <c r="AD1829" s="1">
        <f>IF($C1829="",0,SUMPRODUCT((AY_SONU!$O$7:$O$42="Evet")*(AY_SONU!$B$7:$B$42=DATE(YEAR($C1829),MONTH($C1829),1))))</f>
        <v>0</v>
      </c>
      <c r="AE1829" s="1" t="str">
        <f>IF($E1829="","",$E1829&amp;"|"&amp;COUNTIFS($E$7:$E1829,$E1829))</f>
        <v/>
      </c>
    </row>
    <row r="1830" spans="1:31" ht="18" customHeight="1" x14ac:dyDescent="0.3">
      <c r="A1830" s="2"/>
      <c r="B1830" s="65" t="str">
        <f>IF($C1830="","","GG"&amp;TEXT(ROW()-6,"00000"))</f>
        <v/>
      </c>
      <c r="C1830" s="66"/>
      <c r="D1830" s="60"/>
      <c r="E1830" s="61"/>
      <c r="F1830" s="61"/>
      <c r="G1830" s="67"/>
      <c r="H1830" s="60"/>
      <c r="I1830" s="60"/>
      <c r="J1830" s="61"/>
      <c r="K1830" s="61"/>
      <c r="L1830" s="60"/>
      <c r="M1830" s="74" t="str">
        <f>IF($C1830="","",IF($D1830="Gider",$E1830,IF($L1830&lt;&gt;"",$L1830,$H1830)))</f>
        <v/>
      </c>
      <c r="N1830" s="74" t="str">
        <f>IF($C1830="","",IF($D1830="Gider",$H1830,$E1830))</f>
        <v/>
      </c>
      <c r="O1830" s="73" t="str">
        <f>IF($C1830="","",DATE(YEAR($C1830),MONTH($C1830),1))</f>
        <v/>
      </c>
      <c r="P1830" s="65" t="str">
        <f ca="1">IF($C1830="","",IF(AND($D1830="Gelir",$L1830&lt;&gt;"",$T1830=""),"TANIMSIZ BORÇLU",IF($T1830&lt;&gt;"",IF(OR($E1830="",$G1830&lt;=0),"EKSİK",IF($I1830="Evet","TAHAKKUK NAKİT OLAMAZ",IF($C1830&gt;TODAY(),"İLERİ TARİH","TAHAKKUK"))),IF(AND($D1830&lt;&gt;"",$E1830&lt;&gt;"",$G1830&gt;0,$H1830&lt;&gt;"",$I1830&lt;&gt;""),IF($C1830&gt;TODAY(),"İLERİ TARİH",IF(COUNTIF($W$7:$W$3001,$W1830)&gt;1,"MÜKERRER?",IF($AD1830&gt;0,"KAPALI DÖNEM",IF($I1830="Hayır","ÖDENECEK","UYGUN")))),"EKSİK"))))</f>
        <v/>
      </c>
      <c r="Q1830" s="2"/>
      <c r="R1830" s="2"/>
      <c r="S1830" s="1" t="str">
        <f t="shared" si="86"/>
        <v/>
      </c>
      <c r="T1830" s="1" t="str">
        <f>IF(OR($C1830="",$D1830&lt;&gt;"Gelir",$L1830=""),"",IFERROR(INDEX(MUSTERILER!$B$7:$B$156,MATCH($S1830,MUSTERILER!$T$7:$T$156,0)),""))</f>
        <v/>
      </c>
      <c r="U1830" s="1" t="str">
        <f>IF($T1830="","",$T1830&amp;"|"&amp;COUNTIFS($T$7:$T1830,$T1830))</f>
        <v/>
      </c>
      <c r="V1830" s="1">
        <f t="shared" si="87"/>
        <v>0</v>
      </c>
      <c r="W1830" s="1" t="str">
        <f t="shared" si="88"/>
        <v/>
      </c>
      <c r="X1830" s="1"/>
      <c r="Y1830" s="1"/>
      <c r="Z1830" s="1"/>
      <c r="AA1830" s="1"/>
      <c r="AB1830" s="1"/>
      <c r="AC1830" s="1"/>
      <c r="AD1830" s="1">
        <f>IF($C1830="",0,SUMPRODUCT((AY_SONU!$O$7:$O$42="Evet")*(AY_SONU!$B$7:$B$42=DATE(YEAR($C1830),MONTH($C1830),1))))</f>
        <v>0</v>
      </c>
      <c r="AE1830" s="1" t="str">
        <f>IF($E1830="","",$E1830&amp;"|"&amp;COUNTIFS($E$7:$E1830,$E1830))</f>
        <v/>
      </c>
    </row>
    <row r="1831" spans="1:31" ht="18" customHeight="1" x14ac:dyDescent="0.3">
      <c r="A1831" s="2"/>
      <c r="B1831" s="65" t="str">
        <f>IF($C1831="","","GG"&amp;TEXT(ROW()-6,"00000"))</f>
        <v/>
      </c>
      <c r="C1831" s="66"/>
      <c r="D1831" s="60"/>
      <c r="E1831" s="61"/>
      <c r="F1831" s="61"/>
      <c r="G1831" s="67"/>
      <c r="H1831" s="60"/>
      <c r="I1831" s="60"/>
      <c r="J1831" s="61"/>
      <c r="K1831" s="61"/>
      <c r="L1831" s="60"/>
      <c r="M1831" s="74" t="str">
        <f>IF($C1831="","",IF($D1831="Gider",$E1831,IF($L1831&lt;&gt;"",$L1831,$H1831)))</f>
        <v/>
      </c>
      <c r="N1831" s="74" t="str">
        <f>IF($C1831="","",IF($D1831="Gider",$H1831,$E1831))</f>
        <v/>
      </c>
      <c r="O1831" s="73" t="str">
        <f>IF($C1831="","",DATE(YEAR($C1831),MONTH($C1831),1))</f>
        <v/>
      </c>
      <c r="P1831" s="65" t="str">
        <f ca="1">IF($C1831="","",IF(AND($D1831="Gelir",$L1831&lt;&gt;"",$T1831=""),"TANIMSIZ BORÇLU",IF($T1831&lt;&gt;"",IF(OR($E1831="",$G1831&lt;=0),"EKSİK",IF($I1831="Evet","TAHAKKUK NAKİT OLAMAZ",IF($C1831&gt;TODAY(),"İLERİ TARİH","TAHAKKUK"))),IF(AND($D1831&lt;&gt;"",$E1831&lt;&gt;"",$G1831&gt;0,$H1831&lt;&gt;"",$I1831&lt;&gt;""),IF($C1831&gt;TODAY(),"İLERİ TARİH",IF(COUNTIF($W$7:$W$3001,$W1831)&gt;1,"MÜKERRER?",IF($AD1831&gt;0,"KAPALI DÖNEM",IF($I1831="Hayır","ÖDENECEK","UYGUN")))),"EKSİK"))))</f>
        <v/>
      </c>
      <c r="Q1831" s="2"/>
      <c r="R1831" s="2"/>
      <c r="S1831" s="1" t="str">
        <f t="shared" si="86"/>
        <v/>
      </c>
      <c r="T1831" s="1" t="str">
        <f>IF(OR($C1831="",$D1831&lt;&gt;"Gelir",$L1831=""),"",IFERROR(INDEX(MUSTERILER!$B$7:$B$156,MATCH($S1831,MUSTERILER!$T$7:$T$156,0)),""))</f>
        <v/>
      </c>
      <c r="U1831" s="1" t="str">
        <f>IF($T1831="","",$T1831&amp;"|"&amp;COUNTIFS($T$7:$T1831,$T1831))</f>
        <v/>
      </c>
      <c r="V1831" s="1">
        <f t="shared" si="87"/>
        <v>0</v>
      </c>
      <c r="W1831" s="1" t="str">
        <f t="shared" si="88"/>
        <v/>
      </c>
      <c r="X1831" s="1"/>
      <c r="Y1831" s="1"/>
      <c r="Z1831" s="1"/>
      <c r="AA1831" s="1"/>
      <c r="AB1831" s="1"/>
      <c r="AC1831" s="1"/>
      <c r="AD1831" s="1">
        <f>IF($C1831="",0,SUMPRODUCT((AY_SONU!$O$7:$O$42="Evet")*(AY_SONU!$B$7:$B$42=DATE(YEAR($C1831),MONTH($C1831),1))))</f>
        <v>0</v>
      </c>
      <c r="AE1831" s="1" t="str">
        <f>IF($E1831="","",$E1831&amp;"|"&amp;COUNTIFS($E$7:$E1831,$E1831))</f>
        <v/>
      </c>
    </row>
    <row r="1832" spans="1:31" ht="18" customHeight="1" x14ac:dyDescent="0.3">
      <c r="A1832" s="2"/>
      <c r="B1832" s="65" t="str">
        <f>IF($C1832="","","GG"&amp;TEXT(ROW()-6,"00000"))</f>
        <v/>
      </c>
      <c r="C1832" s="66"/>
      <c r="D1832" s="60"/>
      <c r="E1832" s="61"/>
      <c r="F1832" s="61"/>
      <c r="G1832" s="67"/>
      <c r="H1832" s="60"/>
      <c r="I1832" s="60"/>
      <c r="J1832" s="61"/>
      <c r="K1832" s="61"/>
      <c r="L1832" s="60"/>
      <c r="M1832" s="74" t="str">
        <f>IF($C1832="","",IF($D1832="Gider",$E1832,IF($L1832&lt;&gt;"",$L1832,$H1832)))</f>
        <v/>
      </c>
      <c r="N1832" s="74" t="str">
        <f>IF($C1832="","",IF($D1832="Gider",$H1832,$E1832))</f>
        <v/>
      </c>
      <c r="O1832" s="73" t="str">
        <f>IF($C1832="","",DATE(YEAR($C1832),MONTH($C1832),1))</f>
        <v/>
      </c>
      <c r="P1832" s="65" t="str">
        <f ca="1">IF($C1832="","",IF(AND($D1832="Gelir",$L1832&lt;&gt;"",$T1832=""),"TANIMSIZ BORÇLU",IF($T1832&lt;&gt;"",IF(OR($E1832="",$G1832&lt;=0),"EKSİK",IF($I1832="Evet","TAHAKKUK NAKİT OLAMAZ",IF($C1832&gt;TODAY(),"İLERİ TARİH","TAHAKKUK"))),IF(AND($D1832&lt;&gt;"",$E1832&lt;&gt;"",$G1832&gt;0,$H1832&lt;&gt;"",$I1832&lt;&gt;""),IF($C1832&gt;TODAY(),"İLERİ TARİH",IF(COUNTIF($W$7:$W$3001,$W1832)&gt;1,"MÜKERRER?",IF($AD1832&gt;0,"KAPALI DÖNEM",IF($I1832="Hayır","ÖDENECEK","UYGUN")))),"EKSİK"))))</f>
        <v/>
      </c>
      <c r="Q1832" s="2"/>
      <c r="R1832" s="2"/>
      <c r="S1832" s="1" t="str">
        <f t="shared" si="86"/>
        <v/>
      </c>
      <c r="T1832" s="1" t="str">
        <f>IF(OR($C1832="",$D1832&lt;&gt;"Gelir",$L1832=""),"",IFERROR(INDEX(MUSTERILER!$B$7:$B$156,MATCH($S1832,MUSTERILER!$T$7:$T$156,0)),""))</f>
        <v/>
      </c>
      <c r="U1832" s="1" t="str">
        <f>IF($T1832="","",$T1832&amp;"|"&amp;COUNTIFS($T$7:$T1832,$T1832))</f>
        <v/>
      </c>
      <c r="V1832" s="1">
        <f t="shared" si="87"/>
        <v>0</v>
      </c>
      <c r="W1832" s="1" t="str">
        <f t="shared" si="88"/>
        <v/>
      </c>
      <c r="X1832" s="1"/>
      <c r="Y1832" s="1"/>
      <c r="Z1832" s="1"/>
      <c r="AA1832" s="1"/>
      <c r="AB1832" s="1"/>
      <c r="AC1832" s="1"/>
      <c r="AD1832" s="1">
        <f>IF($C1832="",0,SUMPRODUCT((AY_SONU!$O$7:$O$42="Evet")*(AY_SONU!$B$7:$B$42=DATE(YEAR($C1832),MONTH($C1832),1))))</f>
        <v>0</v>
      </c>
      <c r="AE1832" s="1" t="str">
        <f>IF($E1832="","",$E1832&amp;"|"&amp;COUNTIFS($E$7:$E1832,$E1832))</f>
        <v/>
      </c>
    </row>
    <row r="1833" spans="1:31" ht="18" customHeight="1" x14ac:dyDescent="0.3">
      <c r="A1833" s="2"/>
      <c r="B1833" s="65" t="str">
        <f>IF($C1833="","","GG"&amp;TEXT(ROW()-6,"00000"))</f>
        <v/>
      </c>
      <c r="C1833" s="66"/>
      <c r="D1833" s="60"/>
      <c r="E1833" s="61"/>
      <c r="F1833" s="61"/>
      <c r="G1833" s="67"/>
      <c r="H1833" s="60"/>
      <c r="I1833" s="60"/>
      <c r="J1833" s="61"/>
      <c r="K1833" s="61"/>
      <c r="L1833" s="60"/>
      <c r="M1833" s="74" t="str">
        <f>IF($C1833="","",IF($D1833="Gider",$E1833,IF($L1833&lt;&gt;"",$L1833,$H1833)))</f>
        <v/>
      </c>
      <c r="N1833" s="74" t="str">
        <f>IF($C1833="","",IF($D1833="Gider",$H1833,$E1833))</f>
        <v/>
      </c>
      <c r="O1833" s="73" t="str">
        <f>IF($C1833="","",DATE(YEAR($C1833),MONTH($C1833),1))</f>
        <v/>
      </c>
      <c r="P1833" s="65" t="str">
        <f ca="1">IF($C1833="","",IF(AND($D1833="Gelir",$L1833&lt;&gt;"",$T1833=""),"TANIMSIZ BORÇLU",IF($T1833&lt;&gt;"",IF(OR($E1833="",$G1833&lt;=0),"EKSİK",IF($I1833="Evet","TAHAKKUK NAKİT OLAMAZ",IF($C1833&gt;TODAY(),"İLERİ TARİH","TAHAKKUK"))),IF(AND($D1833&lt;&gt;"",$E1833&lt;&gt;"",$G1833&gt;0,$H1833&lt;&gt;"",$I1833&lt;&gt;""),IF($C1833&gt;TODAY(),"İLERİ TARİH",IF(COUNTIF($W$7:$W$3001,$W1833)&gt;1,"MÜKERRER?",IF($AD1833&gt;0,"KAPALI DÖNEM",IF($I1833="Hayır","ÖDENECEK","UYGUN")))),"EKSİK"))))</f>
        <v/>
      </c>
      <c r="Q1833" s="2"/>
      <c r="R1833" s="2"/>
      <c r="S1833" s="1" t="str">
        <f t="shared" si="86"/>
        <v/>
      </c>
      <c r="T1833" s="1" t="str">
        <f>IF(OR($C1833="",$D1833&lt;&gt;"Gelir",$L1833=""),"",IFERROR(INDEX(MUSTERILER!$B$7:$B$156,MATCH($S1833,MUSTERILER!$T$7:$T$156,0)),""))</f>
        <v/>
      </c>
      <c r="U1833" s="1" t="str">
        <f>IF($T1833="","",$T1833&amp;"|"&amp;COUNTIFS($T$7:$T1833,$T1833))</f>
        <v/>
      </c>
      <c r="V1833" s="1">
        <f t="shared" si="87"/>
        <v>0</v>
      </c>
      <c r="W1833" s="1" t="str">
        <f t="shared" si="88"/>
        <v/>
      </c>
      <c r="X1833" s="1"/>
      <c r="Y1833" s="1"/>
      <c r="Z1833" s="1"/>
      <c r="AA1833" s="1"/>
      <c r="AB1833" s="1"/>
      <c r="AC1833" s="1"/>
      <c r="AD1833" s="1">
        <f>IF($C1833="",0,SUMPRODUCT((AY_SONU!$O$7:$O$42="Evet")*(AY_SONU!$B$7:$B$42=DATE(YEAR($C1833),MONTH($C1833),1))))</f>
        <v>0</v>
      </c>
      <c r="AE1833" s="1" t="str">
        <f>IF($E1833="","",$E1833&amp;"|"&amp;COUNTIFS($E$7:$E1833,$E1833))</f>
        <v/>
      </c>
    </row>
    <row r="1834" spans="1:31" ht="18" customHeight="1" x14ac:dyDescent="0.3">
      <c r="A1834" s="2"/>
      <c r="B1834" s="65" t="str">
        <f>IF($C1834="","","GG"&amp;TEXT(ROW()-6,"00000"))</f>
        <v/>
      </c>
      <c r="C1834" s="66"/>
      <c r="D1834" s="60"/>
      <c r="E1834" s="61"/>
      <c r="F1834" s="61"/>
      <c r="G1834" s="67"/>
      <c r="H1834" s="60"/>
      <c r="I1834" s="60"/>
      <c r="J1834" s="61"/>
      <c r="K1834" s="61"/>
      <c r="L1834" s="60"/>
      <c r="M1834" s="74" t="str">
        <f>IF($C1834="","",IF($D1834="Gider",$E1834,IF($L1834&lt;&gt;"",$L1834,$H1834)))</f>
        <v/>
      </c>
      <c r="N1834" s="74" t="str">
        <f>IF($C1834="","",IF($D1834="Gider",$H1834,$E1834))</f>
        <v/>
      </c>
      <c r="O1834" s="73" t="str">
        <f>IF($C1834="","",DATE(YEAR($C1834),MONTH($C1834),1))</f>
        <v/>
      </c>
      <c r="P1834" s="65" t="str">
        <f ca="1">IF($C1834="","",IF(AND($D1834="Gelir",$L1834&lt;&gt;"",$T1834=""),"TANIMSIZ BORÇLU",IF($T1834&lt;&gt;"",IF(OR($E1834="",$G1834&lt;=0),"EKSİK",IF($I1834="Evet","TAHAKKUK NAKİT OLAMAZ",IF($C1834&gt;TODAY(),"İLERİ TARİH","TAHAKKUK"))),IF(AND($D1834&lt;&gt;"",$E1834&lt;&gt;"",$G1834&gt;0,$H1834&lt;&gt;"",$I1834&lt;&gt;""),IF($C1834&gt;TODAY(),"İLERİ TARİH",IF(COUNTIF($W$7:$W$3001,$W1834)&gt;1,"MÜKERRER?",IF($AD1834&gt;0,"KAPALI DÖNEM",IF($I1834="Hayır","ÖDENECEK","UYGUN")))),"EKSİK"))))</f>
        <v/>
      </c>
      <c r="Q1834" s="2"/>
      <c r="R1834" s="2"/>
      <c r="S1834" s="1" t="str">
        <f t="shared" si="86"/>
        <v/>
      </c>
      <c r="T1834" s="1" t="str">
        <f>IF(OR($C1834="",$D1834&lt;&gt;"Gelir",$L1834=""),"",IFERROR(INDEX(MUSTERILER!$B$7:$B$156,MATCH($S1834,MUSTERILER!$T$7:$T$156,0)),""))</f>
        <v/>
      </c>
      <c r="U1834" s="1" t="str">
        <f>IF($T1834="","",$T1834&amp;"|"&amp;COUNTIFS($T$7:$T1834,$T1834))</f>
        <v/>
      </c>
      <c r="V1834" s="1">
        <f t="shared" si="87"/>
        <v>0</v>
      </c>
      <c r="W1834" s="1" t="str">
        <f t="shared" si="88"/>
        <v/>
      </c>
      <c r="X1834" s="1"/>
      <c r="Y1834" s="1"/>
      <c r="Z1834" s="1"/>
      <c r="AA1834" s="1"/>
      <c r="AB1834" s="1"/>
      <c r="AC1834" s="1"/>
      <c r="AD1834" s="1">
        <f>IF($C1834="",0,SUMPRODUCT((AY_SONU!$O$7:$O$42="Evet")*(AY_SONU!$B$7:$B$42=DATE(YEAR($C1834),MONTH($C1834),1))))</f>
        <v>0</v>
      </c>
      <c r="AE1834" s="1" t="str">
        <f>IF($E1834="","",$E1834&amp;"|"&amp;COUNTIFS($E$7:$E1834,$E1834))</f>
        <v/>
      </c>
    </row>
    <row r="1835" spans="1:31" ht="18" customHeight="1" x14ac:dyDescent="0.3">
      <c r="A1835" s="2"/>
      <c r="B1835" s="65" t="str">
        <f>IF($C1835="","","GG"&amp;TEXT(ROW()-6,"00000"))</f>
        <v/>
      </c>
      <c r="C1835" s="66"/>
      <c r="D1835" s="60"/>
      <c r="E1835" s="61"/>
      <c r="F1835" s="61"/>
      <c r="G1835" s="67"/>
      <c r="H1835" s="60"/>
      <c r="I1835" s="60"/>
      <c r="J1835" s="61"/>
      <c r="K1835" s="61"/>
      <c r="L1835" s="60"/>
      <c r="M1835" s="74" t="str">
        <f>IF($C1835="","",IF($D1835="Gider",$E1835,IF($L1835&lt;&gt;"",$L1835,$H1835)))</f>
        <v/>
      </c>
      <c r="N1835" s="74" t="str">
        <f>IF($C1835="","",IF($D1835="Gider",$H1835,$E1835))</f>
        <v/>
      </c>
      <c r="O1835" s="73" t="str">
        <f>IF($C1835="","",DATE(YEAR($C1835),MONTH($C1835),1))</f>
        <v/>
      </c>
      <c r="P1835" s="65" t="str">
        <f ca="1">IF($C1835="","",IF(AND($D1835="Gelir",$L1835&lt;&gt;"",$T1835=""),"TANIMSIZ BORÇLU",IF($T1835&lt;&gt;"",IF(OR($E1835="",$G1835&lt;=0),"EKSİK",IF($I1835="Evet","TAHAKKUK NAKİT OLAMAZ",IF($C1835&gt;TODAY(),"İLERİ TARİH","TAHAKKUK"))),IF(AND($D1835&lt;&gt;"",$E1835&lt;&gt;"",$G1835&gt;0,$H1835&lt;&gt;"",$I1835&lt;&gt;""),IF($C1835&gt;TODAY(),"İLERİ TARİH",IF(COUNTIF($W$7:$W$3001,$W1835)&gt;1,"MÜKERRER?",IF($AD1835&gt;0,"KAPALI DÖNEM",IF($I1835="Hayır","ÖDENECEK","UYGUN")))),"EKSİK"))))</f>
        <v/>
      </c>
      <c r="Q1835" s="2"/>
      <c r="R1835" s="2"/>
      <c r="S1835" s="1" t="str">
        <f t="shared" si="86"/>
        <v/>
      </c>
      <c r="T1835" s="1" t="str">
        <f>IF(OR($C1835="",$D1835&lt;&gt;"Gelir",$L1835=""),"",IFERROR(INDEX(MUSTERILER!$B$7:$B$156,MATCH($S1835,MUSTERILER!$T$7:$T$156,0)),""))</f>
        <v/>
      </c>
      <c r="U1835" s="1" t="str">
        <f>IF($T1835="","",$T1835&amp;"|"&amp;COUNTIFS($T$7:$T1835,$T1835))</f>
        <v/>
      </c>
      <c r="V1835" s="1">
        <f t="shared" si="87"/>
        <v>0</v>
      </c>
      <c r="W1835" s="1" t="str">
        <f t="shared" si="88"/>
        <v/>
      </c>
      <c r="X1835" s="1"/>
      <c r="Y1835" s="1"/>
      <c r="Z1835" s="1"/>
      <c r="AA1835" s="1"/>
      <c r="AB1835" s="1"/>
      <c r="AC1835" s="1"/>
      <c r="AD1835" s="1">
        <f>IF($C1835="",0,SUMPRODUCT((AY_SONU!$O$7:$O$42="Evet")*(AY_SONU!$B$7:$B$42=DATE(YEAR($C1835),MONTH($C1835),1))))</f>
        <v>0</v>
      </c>
      <c r="AE1835" s="1" t="str">
        <f>IF($E1835="","",$E1835&amp;"|"&amp;COUNTIFS($E$7:$E1835,$E1835))</f>
        <v/>
      </c>
    </row>
    <row r="1836" spans="1:31" ht="18" customHeight="1" x14ac:dyDescent="0.3">
      <c r="A1836" s="2"/>
      <c r="B1836" s="65" t="str">
        <f>IF($C1836="","","GG"&amp;TEXT(ROW()-6,"00000"))</f>
        <v/>
      </c>
      <c r="C1836" s="66"/>
      <c r="D1836" s="60"/>
      <c r="E1836" s="61"/>
      <c r="F1836" s="61"/>
      <c r="G1836" s="67"/>
      <c r="H1836" s="60"/>
      <c r="I1836" s="60"/>
      <c r="J1836" s="61"/>
      <c r="K1836" s="61"/>
      <c r="L1836" s="60"/>
      <c r="M1836" s="74" t="str">
        <f>IF($C1836="","",IF($D1836="Gider",$E1836,IF($L1836&lt;&gt;"",$L1836,$H1836)))</f>
        <v/>
      </c>
      <c r="N1836" s="74" t="str">
        <f>IF($C1836="","",IF($D1836="Gider",$H1836,$E1836))</f>
        <v/>
      </c>
      <c r="O1836" s="73" t="str">
        <f>IF($C1836="","",DATE(YEAR($C1836),MONTH($C1836),1))</f>
        <v/>
      </c>
      <c r="P1836" s="65" t="str">
        <f ca="1">IF($C1836="","",IF(AND($D1836="Gelir",$L1836&lt;&gt;"",$T1836=""),"TANIMSIZ BORÇLU",IF($T1836&lt;&gt;"",IF(OR($E1836="",$G1836&lt;=0),"EKSİK",IF($I1836="Evet","TAHAKKUK NAKİT OLAMAZ",IF($C1836&gt;TODAY(),"İLERİ TARİH","TAHAKKUK"))),IF(AND($D1836&lt;&gt;"",$E1836&lt;&gt;"",$G1836&gt;0,$H1836&lt;&gt;"",$I1836&lt;&gt;""),IF($C1836&gt;TODAY(),"İLERİ TARİH",IF(COUNTIF($W$7:$W$3001,$W1836)&gt;1,"MÜKERRER?",IF($AD1836&gt;0,"KAPALI DÖNEM",IF($I1836="Hayır","ÖDENECEK","UYGUN")))),"EKSİK"))))</f>
        <v/>
      </c>
      <c r="Q1836" s="2"/>
      <c r="R1836" s="2"/>
      <c r="S1836" s="1" t="str">
        <f t="shared" si="86"/>
        <v/>
      </c>
      <c r="T1836" s="1" t="str">
        <f>IF(OR($C1836="",$D1836&lt;&gt;"Gelir",$L1836=""),"",IFERROR(INDEX(MUSTERILER!$B$7:$B$156,MATCH($S1836,MUSTERILER!$T$7:$T$156,0)),""))</f>
        <v/>
      </c>
      <c r="U1836" s="1" t="str">
        <f>IF($T1836="","",$T1836&amp;"|"&amp;COUNTIFS($T$7:$T1836,$T1836))</f>
        <v/>
      </c>
      <c r="V1836" s="1">
        <f t="shared" si="87"/>
        <v>0</v>
      </c>
      <c r="W1836" s="1" t="str">
        <f t="shared" si="88"/>
        <v/>
      </c>
      <c r="X1836" s="1"/>
      <c r="Y1836" s="1"/>
      <c r="Z1836" s="1"/>
      <c r="AA1836" s="1"/>
      <c r="AB1836" s="1"/>
      <c r="AC1836" s="1"/>
      <c r="AD1836" s="1">
        <f>IF($C1836="",0,SUMPRODUCT((AY_SONU!$O$7:$O$42="Evet")*(AY_SONU!$B$7:$B$42=DATE(YEAR($C1836),MONTH($C1836),1))))</f>
        <v>0</v>
      </c>
      <c r="AE1836" s="1" t="str">
        <f>IF($E1836="","",$E1836&amp;"|"&amp;COUNTIFS($E$7:$E1836,$E1836))</f>
        <v/>
      </c>
    </row>
    <row r="1837" spans="1:31" ht="18" customHeight="1" x14ac:dyDescent="0.3">
      <c r="A1837" s="2"/>
      <c r="B1837" s="65" t="str">
        <f>IF($C1837="","","GG"&amp;TEXT(ROW()-6,"00000"))</f>
        <v/>
      </c>
      <c r="C1837" s="66"/>
      <c r="D1837" s="60"/>
      <c r="E1837" s="61"/>
      <c r="F1837" s="61"/>
      <c r="G1837" s="67"/>
      <c r="H1837" s="60"/>
      <c r="I1837" s="60"/>
      <c r="J1837" s="61"/>
      <c r="K1837" s="61"/>
      <c r="L1837" s="60"/>
      <c r="M1837" s="74" t="str">
        <f>IF($C1837="","",IF($D1837="Gider",$E1837,IF($L1837&lt;&gt;"",$L1837,$H1837)))</f>
        <v/>
      </c>
      <c r="N1837" s="74" t="str">
        <f>IF($C1837="","",IF($D1837="Gider",$H1837,$E1837))</f>
        <v/>
      </c>
      <c r="O1837" s="73" t="str">
        <f>IF($C1837="","",DATE(YEAR($C1837),MONTH($C1837),1))</f>
        <v/>
      </c>
      <c r="P1837" s="65" t="str">
        <f ca="1">IF($C1837="","",IF(AND($D1837="Gelir",$L1837&lt;&gt;"",$T1837=""),"TANIMSIZ BORÇLU",IF($T1837&lt;&gt;"",IF(OR($E1837="",$G1837&lt;=0),"EKSİK",IF($I1837="Evet","TAHAKKUK NAKİT OLAMAZ",IF($C1837&gt;TODAY(),"İLERİ TARİH","TAHAKKUK"))),IF(AND($D1837&lt;&gt;"",$E1837&lt;&gt;"",$G1837&gt;0,$H1837&lt;&gt;"",$I1837&lt;&gt;""),IF($C1837&gt;TODAY(),"İLERİ TARİH",IF(COUNTIF($W$7:$W$3001,$W1837)&gt;1,"MÜKERRER?",IF($AD1837&gt;0,"KAPALI DÖNEM",IF($I1837="Hayır","ÖDENECEK","UYGUN")))),"EKSİK"))))</f>
        <v/>
      </c>
      <c r="Q1837" s="2"/>
      <c r="R1837" s="2"/>
      <c r="S1837" s="1" t="str">
        <f t="shared" si="86"/>
        <v/>
      </c>
      <c r="T1837" s="1" t="str">
        <f>IF(OR($C1837="",$D1837&lt;&gt;"Gelir",$L1837=""),"",IFERROR(INDEX(MUSTERILER!$B$7:$B$156,MATCH($S1837,MUSTERILER!$T$7:$T$156,0)),""))</f>
        <v/>
      </c>
      <c r="U1837" s="1" t="str">
        <f>IF($T1837="","",$T1837&amp;"|"&amp;COUNTIFS($T$7:$T1837,$T1837))</f>
        <v/>
      </c>
      <c r="V1837" s="1">
        <f t="shared" si="87"/>
        <v>0</v>
      </c>
      <c r="W1837" s="1" t="str">
        <f t="shared" si="88"/>
        <v/>
      </c>
      <c r="X1837" s="1"/>
      <c r="Y1837" s="1"/>
      <c r="Z1837" s="1"/>
      <c r="AA1837" s="1"/>
      <c r="AB1837" s="1"/>
      <c r="AC1837" s="1"/>
      <c r="AD1837" s="1">
        <f>IF($C1837="",0,SUMPRODUCT((AY_SONU!$O$7:$O$42="Evet")*(AY_SONU!$B$7:$B$42=DATE(YEAR($C1837),MONTH($C1837),1))))</f>
        <v>0</v>
      </c>
      <c r="AE1837" s="1" t="str">
        <f>IF($E1837="","",$E1837&amp;"|"&amp;COUNTIFS($E$7:$E1837,$E1837))</f>
        <v/>
      </c>
    </row>
    <row r="1838" spans="1:31" ht="18" customHeight="1" x14ac:dyDescent="0.3">
      <c r="A1838" s="2"/>
      <c r="B1838" s="65" t="str">
        <f>IF($C1838="","","GG"&amp;TEXT(ROW()-6,"00000"))</f>
        <v/>
      </c>
      <c r="C1838" s="66"/>
      <c r="D1838" s="60"/>
      <c r="E1838" s="61"/>
      <c r="F1838" s="61"/>
      <c r="G1838" s="67"/>
      <c r="H1838" s="60"/>
      <c r="I1838" s="60"/>
      <c r="J1838" s="61"/>
      <c r="K1838" s="61"/>
      <c r="L1838" s="60"/>
      <c r="M1838" s="74" t="str">
        <f>IF($C1838="","",IF($D1838="Gider",$E1838,IF($L1838&lt;&gt;"",$L1838,$H1838)))</f>
        <v/>
      </c>
      <c r="N1838" s="74" t="str">
        <f>IF($C1838="","",IF($D1838="Gider",$H1838,$E1838))</f>
        <v/>
      </c>
      <c r="O1838" s="73" t="str">
        <f>IF($C1838="","",DATE(YEAR($C1838),MONTH($C1838),1))</f>
        <v/>
      </c>
      <c r="P1838" s="65" t="str">
        <f ca="1">IF($C1838="","",IF(AND($D1838="Gelir",$L1838&lt;&gt;"",$T1838=""),"TANIMSIZ BORÇLU",IF($T1838&lt;&gt;"",IF(OR($E1838="",$G1838&lt;=0),"EKSİK",IF($I1838="Evet","TAHAKKUK NAKİT OLAMAZ",IF($C1838&gt;TODAY(),"İLERİ TARİH","TAHAKKUK"))),IF(AND($D1838&lt;&gt;"",$E1838&lt;&gt;"",$G1838&gt;0,$H1838&lt;&gt;"",$I1838&lt;&gt;""),IF($C1838&gt;TODAY(),"İLERİ TARİH",IF(COUNTIF($W$7:$W$3001,$W1838)&gt;1,"MÜKERRER?",IF($AD1838&gt;0,"KAPALI DÖNEM",IF($I1838="Hayır","ÖDENECEK","UYGUN")))),"EKSİK"))))</f>
        <v/>
      </c>
      <c r="Q1838" s="2"/>
      <c r="R1838" s="2"/>
      <c r="S1838" s="1" t="str">
        <f t="shared" si="86"/>
        <v/>
      </c>
      <c r="T1838" s="1" t="str">
        <f>IF(OR($C1838="",$D1838&lt;&gt;"Gelir",$L1838=""),"",IFERROR(INDEX(MUSTERILER!$B$7:$B$156,MATCH($S1838,MUSTERILER!$T$7:$T$156,0)),""))</f>
        <v/>
      </c>
      <c r="U1838" s="1" t="str">
        <f>IF($T1838="","",$T1838&amp;"|"&amp;COUNTIFS($T$7:$T1838,$T1838))</f>
        <v/>
      </c>
      <c r="V1838" s="1">
        <f t="shared" si="87"/>
        <v>0</v>
      </c>
      <c r="W1838" s="1" t="str">
        <f t="shared" si="88"/>
        <v/>
      </c>
      <c r="X1838" s="1"/>
      <c r="Y1838" s="1"/>
      <c r="Z1838" s="1"/>
      <c r="AA1838" s="1"/>
      <c r="AB1838" s="1"/>
      <c r="AC1838" s="1"/>
      <c r="AD1838" s="1">
        <f>IF($C1838="",0,SUMPRODUCT((AY_SONU!$O$7:$O$42="Evet")*(AY_SONU!$B$7:$B$42=DATE(YEAR($C1838),MONTH($C1838),1))))</f>
        <v>0</v>
      </c>
      <c r="AE1838" s="1" t="str">
        <f>IF($E1838="","",$E1838&amp;"|"&amp;COUNTIFS($E$7:$E1838,$E1838))</f>
        <v/>
      </c>
    </row>
    <row r="1839" spans="1:31" ht="18" customHeight="1" x14ac:dyDescent="0.3">
      <c r="A1839" s="2"/>
      <c r="B1839" s="65" t="str">
        <f>IF($C1839="","","GG"&amp;TEXT(ROW()-6,"00000"))</f>
        <v/>
      </c>
      <c r="C1839" s="66"/>
      <c r="D1839" s="60"/>
      <c r="E1839" s="61"/>
      <c r="F1839" s="61"/>
      <c r="G1839" s="67"/>
      <c r="H1839" s="60"/>
      <c r="I1839" s="60"/>
      <c r="J1839" s="61"/>
      <c r="K1839" s="61"/>
      <c r="L1839" s="60"/>
      <c r="M1839" s="74" t="str">
        <f>IF($C1839="","",IF($D1839="Gider",$E1839,IF($L1839&lt;&gt;"",$L1839,$H1839)))</f>
        <v/>
      </c>
      <c r="N1839" s="74" t="str">
        <f>IF($C1839="","",IF($D1839="Gider",$H1839,$E1839))</f>
        <v/>
      </c>
      <c r="O1839" s="73" t="str">
        <f>IF($C1839="","",DATE(YEAR($C1839),MONTH($C1839),1))</f>
        <v/>
      </c>
      <c r="P1839" s="65" t="str">
        <f ca="1">IF($C1839="","",IF(AND($D1839="Gelir",$L1839&lt;&gt;"",$T1839=""),"TANIMSIZ BORÇLU",IF($T1839&lt;&gt;"",IF(OR($E1839="",$G1839&lt;=0),"EKSİK",IF($I1839="Evet","TAHAKKUK NAKİT OLAMAZ",IF($C1839&gt;TODAY(),"İLERİ TARİH","TAHAKKUK"))),IF(AND($D1839&lt;&gt;"",$E1839&lt;&gt;"",$G1839&gt;0,$H1839&lt;&gt;"",$I1839&lt;&gt;""),IF($C1839&gt;TODAY(),"İLERİ TARİH",IF(COUNTIF($W$7:$W$3001,$W1839)&gt;1,"MÜKERRER?",IF($AD1839&gt;0,"KAPALI DÖNEM",IF($I1839="Hayır","ÖDENECEK","UYGUN")))),"EKSİK"))))</f>
        <v/>
      </c>
      <c r="Q1839" s="2"/>
      <c r="R1839" s="2"/>
      <c r="S1839" s="1" t="str">
        <f t="shared" si="86"/>
        <v/>
      </c>
      <c r="T1839" s="1" t="str">
        <f>IF(OR($C1839="",$D1839&lt;&gt;"Gelir",$L1839=""),"",IFERROR(INDEX(MUSTERILER!$B$7:$B$156,MATCH($S1839,MUSTERILER!$T$7:$T$156,0)),""))</f>
        <v/>
      </c>
      <c r="U1839" s="1" t="str">
        <f>IF($T1839="","",$T1839&amp;"|"&amp;COUNTIFS($T$7:$T1839,$T1839))</f>
        <v/>
      </c>
      <c r="V1839" s="1">
        <f t="shared" si="87"/>
        <v>0</v>
      </c>
      <c r="W1839" s="1" t="str">
        <f t="shared" si="88"/>
        <v/>
      </c>
      <c r="X1839" s="1"/>
      <c r="Y1839" s="1"/>
      <c r="Z1839" s="1"/>
      <c r="AA1839" s="1"/>
      <c r="AB1839" s="1"/>
      <c r="AC1839" s="1"/>
      <c r="AD1839" s="1">
        <f>IF($C1839="",0,SUMPRODUCT((AY_SONU!$O$7:$O$42="Evet")*(AY_SONU!$B$7:$B$42=DATE(YEAR($C1839),MONTH($C1839),1))))</f>
        <v>0</v>
      </c>
      <c r="AE1839" s="1" t="str">
        <f>IF($E1839="","",$E1839&amp;"|"&amp;COUNTIFS($E$7:$E1839,$E1839))</f>
        <v/>
      </c>
    </row>
    <row r="1840" spans="1:31" ht="18" customHeight="1" x14ac:dyDescent="0.3">
      <c r="A1840" s="2"/>
      <c r="B1840" s="65" t="str">
        <f>IF($C1840="","","GG"&amp;TEXT(ROW()-6,"00000"))</f>
        <v/>
      </c>
      <c r="C1840" s="66"/>
      <c r="D1840" s="60"/>
      <c r="E1840" s="61"/>
      <c r="F1840" s="61"/>
      <c r="G1840" s="67"/>
      <c r="H1840" s="60"/>
      <c r="I1840" s="60"/>
      <c r="J1840" s="61"/>
      <c r="K1840" s="61"/>
      <c r="L1840" s="60"/>
      <c r="M1840" s="74" t="str">
        <f>IF($C1840="","",IF($D1840="Gider",$E1840,IF($L1840&lt;&gt;"",$L1840,$H1840)))</f>
        <v/>
      </c>
      <c r="N1840" s="74" t="str">
        <f>IF($C1840="","",IF($D1840="Gider",$H1840,$E1840))</f>
        <v/>
      </c>
      <c r="O1840" s="73" t="str">
        <f>IF($C1840="","",DATE(YEAR($C1840),MONTH($C1840),1))</f>
        <v/>
      </c>
      <c r="P1840" s="65" t="str">
        <f ca="1">IF($C1840="","",IF(AND($D1840="Gelir",$L1840&lt;&gt;"",$T1840=""),"TANIMSIZ BORÇLU",IF($T1840&lt;&gt;"",IF(OR($E1840="",$G1840&lt;=0),"EKSİK",IF($I1840="Evet","TAHAKKUK NAKİT OLAMAZ",IF($C1840&gt;TODAY(),"İLERİ TARİH","TAHAKKUK"))),IF(AND($D1840&lt;&gt;"",$E1840&lt;&gt;"",$G1840&gt;0,$H1840&lt;&gt;"",$I1840&lt;&gt;""),IF($C1840&gt;TODAY(),"İLERİ TARİH",IF(COUNTIF($W$7:$W$3001,$W1840)&gt;1,"MÜKERRER?",IF($AD1840&gt;0,"KAPALI DÖNEM",IF($I1840="Hayır","ÖDENECEK","UYGUN")))),"EKSİK"))))</f>
        <v/>
      </c>
      <c r="Q1840" s="2"/>
      <c r="R1840" s="2"/>
      <c r="S1840" s="1" t="str">
        <f t="shared" si="86"/>
        <v/>
      </c>
      <c r="T1840" s="1" t="str">
        <f>IF(OR($C1840="",$D1840&lt;&gt;"Gelir",$L1840=""),"",IFERROR(INDEX(MUSTERILER!$B$7:$B$156,MATCH($S1840,MUSTERILER!$T$7:$T$156,0)),""))</f>
        <v/>
      </c>
      <c r="U1840" s="1" t="str">
        <f>IF($T1840="","",$T1840&amp;"|"&amp;COUNTIFS($T$7:$T1840,$T1840))</f>
        <v/>
      </c>
      <c r="V1840" s="1">
        <f t="shared" si="87"/>
        <v>0</v>
      </c>
      <c r="W1840" s="1" t="str">
        <f t="shared" si="88"/>
        <v/>
      </c>
      <c r="X1840" s="1"/>
      <c r="Y1840" s="1"/>
      <c r="Z1840" s="1"/>
      <c r="AA1840" s="1"/>
      <c r="AB1840" s="1"/>
      <c r="AC1840" s="1"/>
      <c r="AD1840" s="1">
        <f>IF($C1840="",0,SUMPRODUCT((AY_SONU!$O$7:$O$42="Evet")*(AY_SONU!$B$7:$B$42=DATE(YEAR($C1840),MONTH($C1840),1))))</f>
        <v>0</v>
      </c>
      <c r="AE1840" s="1" t="str">
        <f>IF($E1840="","",$E1840&amp;"|"&amp;COUNTIFS($E$7:$E1840,$E1840))</f>
        <v/>
      </c>
    </row>
    <row r="1841" spans="1:31" ht="18" customHeight="1" x14ac:dyDescent="0.3">
      <c r="A1841" s="2"/>
      <c r="B1841" s="65" t="str">
        <f>IF($C1841="","","GG"&amp;TEXT(ROW()-6,"00000"))</f>
        <v/>
      </c>
      <c r="C1841" s="66"/>
      <c r="D1841" s="60"/>
      <c r="E1841" s="61"/>
      <c r="F1841" s="61"/>
      <c r="G1841" s="67"/>
      <c r="H1841" s="60"/>
      <c r="I1841" s="60"/>
      <c r="J1841" s="61"/>
      <c r="K1841" s="61"/>
      <c r="L1841" s="60"/>
      <c r="M1841" s="74" t="str">
        <f>IF($C1841="","",IF($D1841="Gider",$E1841,IF($L1841&lt;&gt;"",$L1841,$H1841)))</f>
        <v/>
      </c>
      <c r="N1841" s="74" t="str">
        <f>IF($C1841="","",IF($D1841="Gider",$H1841,$E1841))</f>
        <v/>
      </c>
      <c r="O1841" s="73" t="str">
        <f>IF($C1841="","",DATE(YEAR($C1841),MONTH($C1841),1))</f>
        <v/>
      </c>
      <c r="P1841" s="65" t="str">
        <f ca="1">IF($C1841="","",IF(AND($D1841="Gelir",$L1841&lt;&gt;"",$T1841=""),"TANIMSIZ BORÇLU",IF($T1841&lt;&gt;"",IF(OR($E1841="",$G1841&lt;=0),"EKSİK",IF($I1841="Evet","TAHAKKUK NAKİT OLAMAZ",IF($C1841&gt;TODAY(),"İLERİ TARİH","TAHAKKUK"))),IF(AND($D1841&lt;&gt;"",$E1841&lt;&gt;"",$G1841&gt;0,$H1841&lt;&gt;"",$I1841&lt;&gt;""),IF($C1841&gt;TODAY(),"İLERİ TARİH",IF(COUNTIF($W$7:$W$3001,$W1841)&gt;1,"MÜKERRER?",IF($AD1841&gt;0,"KAPALI DÖNEM",IF($I1841="Hayır","ÖDENECEK","UYGUN")))),"EKSİK"))))</f>
        <v/>
      </c>
      <c r="Q1841" s="2"/>
      <c r="R1841" s="2"/>
      <c r="S1841" s="1" t="str">
        <f t="shared" si="86"/>
        <v/>
      </c>
      <c r="T1841" s="1" t="str">
        <f>IF(OR($C1841="",$D1841&lt;&gt;"Gelir",$L1841=""),"",IFERROR(INDEX(MUSTERILER!$B$7:$B$156,MATCH($S1841,MUSTERILER!$T$7:$T$156,0)),""))</f>
        <v/>
      </c>
      <c r="U1841" s="1" t="str">
        <f>IF($T1841="","",$T1841&amp;"|"&amp;COUNTIFS($T$7:$T1841,$T1841))</f>
        <v/>
      </c>
      <c r="V1841" s="1">
        <f t="shared" si="87"/>
        <v>0</v>
      </c>
      <c r="W1841" s="1" t="str">
        <f t="shared" si="88"/>
        <v/>
      </c>
      <c r="X1841" s="1"/>
      <c r="Y1841" s="1"/>
      <c r="Z1841" s="1"/>
      <c r="AA1841" s="1"/>
      <c r="AB1841" s="1"/>
      <c r="AC1841" s="1"/>
      <c r="AD1841" s="1">
        <f>IF($C1841="",0,SUMPRODUCT((AY_SONU!$O$7:$O$42="Evet")*(AY_SONU!$B$7:$B$42=DATE(YEAR($C1841),MONTH($C1841),1))))</f>
        <v>0</v>
      </c>
      <c r="AE1841" s="1" t="str">
        <f>IF($E1841="","",$E1841&amp;"|"&amp;COUNTIFS($E$7:$E1841,$E1841))</f>
        <v/>
      </c>
    </row>
    <row r="1842" spans="1:31" ht="18" customHeight="1" x14ac:dyDescent="0.3">
      <c r="A1842" s="2"/>
      <c r="B1842" s="65" t="str">
        <f>IF($C1842="","","GG"&amp;TEXT(ROW()-6,"00000"))</f>
        <v/>
      </c>
      <c r="C1842" s="66"/>
      <c r="D1842" s="60"/>
      <c r="E1842" s="61"/>
      <c r="F1842" s="61"/>
      <c r="G1842" s="67"/>
      <c r="H1842" s="60"/>
      <c r="I1842" s="60"/>
      <c r="J1842" s="61"/>
      <c r="K1842" s="61"/>
      <c r="L1842" s="60"/>
      <c r="M1842" s="74" t="str">
        <f>IF($C1842="","",IF($D1842="Gider",$E1842,IF($L1842&lt;&gt;"",$L1842,$H1842)))</f>
        <v/>
      </c>
      <c r="N1842" s="74" t="str">
        <f>IF($C1842="","",IF($D1842="Gider",$H1842,$E1842))</f>
        <v/>
      </c>
      <c r="O1842" s="73" t="str">
        <f>IF($C1842="","",DATE(YEAR($C1842),MONTH($C1842),1))</f>
        <v/>
      </c>
      <c r="P1842" s="65" t="str">
        <f ca="1">IF($C1842="","",IF(AND($D1842="Gelir",$L1842&lt;&gt;"",$T1842=""),"TANIMSIZ BORÇLU",IF($T1842&lt;&gt;"",IF(OR($E1842="",$G1842&lt;=0),"EKSİK",IF($I1842="Evet","TAHAKKUK NAKİT OLAMAZ",IF($C1842&gt;TODAY(),"İLERİ TARİH","TAHAKKUK"))),IF(AND($D1842&lt;&gt;"",$E1842&lt;&gt;"",$G1842&gt;0,$H1842&lt;&gt;"",$I1842&lt;&gt;""),IF($C1842&gt;TODAY(),"İLERİ TARİH",IF(COUNTIF($W$7:$W$3001,$W1842)&gt;1,"MÜKERRER?",IF($AD1842&gt;0,"KAPALI DÖNEM",IF($I1842="Hayır","ÖDENECEK","UYGUN")))),"EKSİK"))))</f>
        <v/>
      </c>
      <c r="Q1842" s="2"/>
      <c r="R1842" s="2"/>
      <c r="S1842" s="1" t="str">
        <f t="shared" si="86"/>
        <v/>
      </c>
      <c r="T1842" s="1" t="str">
        <f>IF(OR($C1842="",$D1842&lt;&gt;"Gelir",$L1842=""),"",IFERROR(INDEX(MUSTERILER!$B$7:$B$156,MATCH($S1842,MUSTERILER!$T$7:$T$156,0)),""))</f>
        <v/>
      </c>
      <c r="U1842" s="1" t="str">
        <f>IF($T1842="","",$T1842&amp;"|"&amp;COUNTIFS($T$7:$T1842,$T1842))</f>
        <v/>
      </c>
      <c r="V1842" s="1">
        <f t="shared" si="87"/>
        <v>0</v>
      </c>
      <c r="W1842" s="1" t="str">
        <f t="shared" si="88"/>
        <v/>
      </c>
      <c r="X1842" s="1"/>
      <c r="Y1842" s="1"/>
      <c r="Z1842" s="1"/>
      <c r="AA1842" s="1"/>
      <c r="AB1842" s="1"/>
      <c r="AC1842" s="1"/>
      <c r="AD1842" s="1">
        <f>IF($C1842="",0,SUMPRODUCT((AY_SONU!$O$7:$O$42="Evet")*(AY_SONU!$B$7:$B$42=DATE(YEAR($C1842),MONTH($C1842),1))))</f>
        <v>0</v>
      </c>
      <c r="AE1842" s="1" t="str">
        <f>IF($E1842="","",$E1842&amp;"|"&amp;COUNTIFS($E$7:$E1842,$E1842))</f>
        <v/>
      </c>
    </row>
    <row r="1843" spans="1:31" ht="18" customHeight="1" x14ac:dyDescent="0.3">
      <c r="A1843" s="2"/>
      <c r="B1843" s="65" t="str">
        <f>IF($C1843="","","GG"&amp;TEXT(ROW()-6,"00000"))</f>
        <v/>
      </c>
      <c r="C1843" s="66"/>
      <c r="D1843" s="60"/>
      <c r="E1843" s="61"/>
      <c r="F1843" s="61"/>
      <c r="G1843" s="67"/>
      <c r="H1843" s="60"/>
      <c r="I1843" s="60"/>
      <c r="J1843" s="61"/>
      <c r="K1843" s="61"/>
      <c r="L1843" s="60"/>
      <c r="M1843" s="74" t="str">
        <f>IF($C1843="","",IF($D1843="Gider",$E1843,IF($L1843&lt;&gt;"",$L1843,$H1843)))</f>
        <v/>
      </c>
      <c r="N1843" s="74" t="str">
        <f>IF($C1843="","",IF($D1843="Gider",$H1843,$E1843))</f>
        <v/>
      </c>
      <c r="O1843" s="73" t="str">
        <f>IF($C1843="","",DATE(YEAR($C1843),MONTH($C1843),1))</f>
        <v/>
      </c>
      <c r="P1843" s="65" t="str">
        <f ca="1">IF($C1843="","",IF(AND($D1843="Gelir",$L1843&lt;&gt;"",$T1843=""),"TANIMSIZ BORÇLU",IF($T1843&lt;&gt;"",IF(OR($E1843="",$G1843&lt;=0),"EKSİK",IF($I1843="Evet","TAHAKKUK NAKİT OLAMAZ",IF($C1843&gt;TODAY(),"İLERİ TARİH","TAHAKKUK"))),IF(AND($D1843&lt;&gt;"",$E1843&lt;&gt;"",$G1843&gt;0,$H1843&lt;&gt;"",$I1843&lt;&gt;""),IF($C1843&gt;TODAY(),"İLERİ TARİH",IF(COUNTIF($W$7:$W$3001,$W1843)&gt;1,"MÜKERRER?",IF($AD1843&gt;0,"KAPALI DÖNEM",IF($I1843="Hayır","ÖDENECEK","UYGUN")))),"EKSİK"))))</f>
        <v/>
      </c>
      <c r="Q1843" s="2"/>
      <c r="R1843" s="2"/>
      <c r="S1843" s="1" t="str">
        <f t="shared" si="86"/>
        <v/>
      </c>
      <c r="T1843" s="1" t="str">
        <f>IF(OR($C1843="",$D1843&lt;&gt;"Gelir",$L1843=""),"",IFERROR(INDEX(MUSTERILER!$B$7:$B$156,MATCH($S1843,MUSTERILER!$T$7:$T$156,0)),""))</f>
        <v/>
      </c>
      <c r="U1843" s="1" t="str">
        <f>IF($T1843="","",$T1843&amp;"|"&amp;COUNTIFS($T$7:$T1843,$T1843))</f>
        <v/>
      </c>
      <c r="V1843" s="1">
        <f t="shared" si="87"/>
        <v>0</v>
      </c>
      <c r="W1843" s="1" t="str">
        <f t="shared" si="88"/>
        <v/>
      </c>
      <c r="X1843" s="1"/>
      <c r="Y1843" s="1"/>
      <c r="Z1843" s="1"/>
      <c r="AA1843" s="1"/>
      <c r="AB1843" s="1"/>
      <c r="AC1843" s="1"/>
      <c r="AD1843" s="1">
        <f>IF($C1843="",0,SUMPRODUCT((AY_SONU!$O$7:$O$42="Evet")*(AY_SONU!$B$7:$B$42=DATE(YEAR($C1843),MONTH($C1843),1))))</f>
        <v>0</v>
      </c>
      <c r="AE1843" s="1" t="str">
        <f>IF($E1843="","",$E1843&amp;"|"&amp;COUNTIFS($E$7:$E1843,$E1843))</f>
        <v/>
      </c>
    </row>
    <row r="1844" spans="1:31" ht="18" customHeight="1" x14ac:dyDescent="0.3">
      <c r="A1844" s="2"/>
      <c r="B1844" s="65" t="str">
        <f>IF($C1844="","","GG"&amp;TEXT(ROW()-6,"00000"))</f>
        <v/>
      </c>
      <c r="C1844" s="66"/>
      <c r="D1844" s="60"/>
      <c r="E1844" s="61"/>
      <c r="F1844" s="61"/>
      <c r="G1844" s="67"/>
      <c r="H1844" s="60"/>
      <c r="I1844" s="60"/>
      <c r="J1844" s="61"/>
      <c r="K1844" s="61"/>
      <c r="L1844" s="60"/>
      <c r="M1844" s="74" t="str">
        <f>IF($C1844="","",IF($D1844="Gider",$E1844,IF($L1844&lt;&gt;"",$L1844,$H1844)))</f>
        <v/>
      </c>
      <c r="N1844" s="74" t="str">
        <f>IF($C1844="","",IF($D1844="Gider",$H1844,$E1844))</f>
        <v/>
      </c>
      <c r="O1844" s="73" t="str">
        <f>IF($C1844="","",DATE(YEAR($C1844),MONTH($C1844),1))</f>
        <v/>
      </c>
      <c r="P1844" s="65" t="str">
        <f ca="1">IF($C1844="","",IF(AND($D1844="Gelir",$L1844&lt;&gt;"",$T1844=""),"TANIMSIZ BORÇLU",IF($T1844&lt;&gt;"",IF(OR($E1844="",$G1844&lt;=0),"EKSİK",IF($I1844="Evet","TAHAKKUK NAKİT OLAMAZ",IF($C1844&gt;TODAY(),"İLERİ TARİH","TAHAKKUK"))),IF(AND($D1844&lt;&gt;"",$E1844&lt;&gt;"",$G1844&gt;0,$H1844&lt;&gt;"",$I1844&lt;&gt;""),IF($C1844&gt;TODAY(),"İLERİ TARİH",IF(COUNTIF($W$7:$W$3001,$W1844)&gt;1,"MÜKERRER?",IF($AD1844&gt;0,"KAPALI DÖNEM",IF($I1844="Hayır","ÖDENECEK","UYGUN")))),"EKSİK"))))</f>
        <v/>
      </c>
      <c r="Q1844" s="2"/>
      <c r="R1844" s="2"/>
      <c r="S1844" s="1" t="str">
        <f t="shared" si="86"/>
        <v/>
      </c>
      <c r="T1844" s="1" t="str">
        <f>IF(OR($C1844="",$D1844&lt;&gt;"Gelir",$L1844=""),"",IFERROR(INDEX(MUSTERILER!$B$7:$B$156,MATCH($S1844,MUSTERILER!$T$7:$T$156,0)),""))</f>
        <v/>
      </c>
      <c r="U1844" s="1" t="str">
        <f>IF($T1844="","",$T1844&amp;"|"&amp;COUNTIFS($T$7:$T1844,$T1844))</f>
        <v/>
      </c>
      <c r="V1844" s="1">
        <f t="shared" si="87"/>
        <v>0</v>
      </c>
      <c r="W1844" s="1" t="str">
        <f t="shared" si="88"/>
        <v/>
      </c>
      <c r="X1844" s="1"/>
      <c r="Y1844" s="1"/>
      <c r="Z1844" s="1"/>
      <c r="AA1844" s="1"/>
      <c r="AB1844" s="1"/>
      <c r="AC1844" s="1"/>
      <c r="AD1844" s="1">
        <f>IF($C1844="",0,SUMPRODUCT((AY_SONU!$O$7:$O$42="Evet")*(AY_SONU!$B$7:$B$42=DATE(YEAR($C1844),MONTH($C1844),1))))</f>
        <v>0</v>
      </c>
      <c r="AE1844" s="1" t="str">
        <f>IF($E1844="","",$E1844&amp;"|"&amp;COUNTIFS($E$7:$E1844,$E1844))</f>
        <v/>
      </c>
    </row>
    <row r="1845" spans="1:31" ht="18" customHeight="1" x14ac:dyDescent="0.3">
      <c r="A1845" s="2"/>
      <c r="B1845" s="65" t="str">
        <f>IF($C1845="","","GG"&amp;TEXT(ROW()-6,"00000"))</f>
        <v/>
      </c>
      <c r="C1845" s="66"/>
      <c r="D1845" s="60"/>
      <c r="E1845" s="61"/>
      <c r="F1845" s="61"/>
      <c r="G1845" s="67"/>
      <c r="H1845" s="60"/>
      <c r="I1845" s="60"/>
      <c r="J1845" s="61"/>
      <c r="K1845" s="61"/>
      <c r="L1845" s="60"/>
      <c r="M1845" s="74" t="str">
        <f>IF($C1845="","",IF($D1845="Gider",$E1845,IF($L1845&lt;&gt;"",$L1845,$H1845)))</f>
        <v/>
      </c>
      <c r="N1845" s="74" t="str">
        <f>IF($C1845="","",IF($D1845="Gider",$H1845,$E1845))</f>
        <v/>
      </c>
      <c r="O1845" s="73" t="str">
        <f>IF($C1845="","",DATE(YEAR($C1845),MONTH($C1845),1))</f>
        <v/>
      </c>
      <c r="P1845" s="65" t="str">
        <f ca="1">IF($C1845="","",IF(AND($D1845="Gelir",$L1845&lt;&gt;"",$T1845=""),"TANIMSIZ BORÇLU",IF($T1845&lt;&gt;"",IF(OR($E1845="",$G1845&lt;=0),"EKSİK",IF($I1845="Evet","TAHAKKUK NAKİT OLAMAZ",IF($C1845&gt;TODAY(),"İLERİ TARİH","TAHAKKUK"))),IF(AND($D1845&lt;&gt;"",$E1845&lt;&gt;"",$G1845&gt;0,$H1845&lt;&gt;"",$I1845&lt;&gt;""),IF($C1845&gt;TODAY(),"İLERİ TARİH",IF(COUNTIF($W$7:$W$3001,$W1845)&gt;1,"MÜKERRER?",IF($AD1845&gt;0,"KAPALI DÖNEM",IF($I1845="Hayır","ÖDENECEK","UYGUN")))),"EKSİK"))))</f>
        <v/>
      </c>
      <c r="Q1845" s="2"/>
      <c r="R1845" s="2"/>
      <c r="S1845" s="1" t="str">
        <f t="shared" si="86"/>
        <v/>
      </c>
      <c r="T1845" s="1" t="str">
        <f>IF(OR($C1845="",$D1845&lt;&gt;"Gelir",$L1845=""),"",IFERROR(INDEX(MUSTERILER!$B$7:$B$156,MATCH($S1845,MUSTERILER!$T$7:$T$156,0)),""))</f>
        <v/>
      </c>
      <c r="U1845" s="1" t="str">
        <f>IF($T1845="","",$T1845&amp;"|"&amp;COUNTIFS($T$7:$T1845,$T1845))</f>
        <v/>
      </c>
      <c r="V1845" s="1">
        <f t="shared" si="87"/>
        <v>0</v>
      </c>
      <c r="W1845" s="1" t="str">
        <f t="shared" si="88"/>
        <v/>
      </c>
      <c r="X1845" s="1"/>
      <c r="Y1845" s="1"/>
      <c r="Z1845" s="1"/>
      <c r="AA1845" s="1"/>
      <c r="AB1845" s="1"/>
      <c r="AC1845" s="1"/>
      <c r="AD1845" s="1">
        <f>IF($C1845="",0,SUMPRODUCT((AY_SONU!$O$7:$O$42="Evet")*(AY_SONU!$B$7:$B$42=DATE(YEAR($C1845),MONTH($C1845),1))))</f>
        <v>0</v>
      </c>
      <c r="AE1845" s="1" t="str">
        <f>IF($E1845="","",$E1845&amp;"|"&amp;COUNTIFS($E$7:$E1845,$E1845))</f>
        <v/>
      </c>
    </row>
    <row r="1846" spans="1:31" ht="18" customHeight="1" x14ac:dyDescent="0.3">
      <c r="A1846" s="2"/>
      <c r="B1846" s="65" t="str">
        <f>IF($C1846="","","GG"&amp;TEXT(ROW()-6,"00000"))</f>
        <v/>
      </c>
      <c r="C1846" s="66"/>
      <c r="D1846" s="60"/>
      <c r="E1846" s="61"/>
      <c r="F1846" s="61"/>
      <c r="G1846" s="67"/>
      <c r="H1846" s="60"/>
      <c r="I1846" s="60"/>
      <c r="J1846" s="61"/>
      <c r="K1846" s="61"/>
      <c r="L1846" s="60"/>
      <c r="M1846" s="74" t="str">
        <f>IF($C1846="","",IF($D1846="Gider",$E1846,IF($L1846&lt;&gt;"",$L1846,$H1846)))</f>
        <v/>
      </c>
      <c r="N1846" s="74" t="str">
        <f>IF($C1846="","",IF($D1846="Gider",$H1846,$E1846))</f>
        <v/>
      </c>
      <c r="O1846" s="73" t="str">
        <f>IF($C1846="","",DATE(YEAR($C1846),MONTH($C1846),1))</f>
        <v/>
      </c>
      <c r="P1846" s="65" t="str">
        <f ca="1">IF($C1846="","",IF(AND($D1846="Gelir",$L1846&lt;&gt;"",$T1846=""),"TANIMSIZ BORÇLU",IF($T1846&lt;&gt;"",IF(OR($E1846="",$G1846&lt;=0),"EKSİK",IF($I1846="Evet","TAHAKKUK NAKİT OLAMAZ",IF($C1846&gt;TODAY(),"İLERİ TARİH","TAHAKKUK"))),IF(AND($D1846&lt;&gt;"",$E1846&lt;&gt;"",$G1846&gt;0,$H1846&lt;&gt;"",$I1846&lt;&gt;""),IF($C1846&gt;TODAY(),"İLERİ TARİH",IF(COUNTIF($W$7:$W$3001,$W1846)&gt;1,"MÜKERRER?",IF($AD1846&gt;0,"KAPALI DÖNEM",IF($I1846="Hayır","ÖDENECEK","UYGUN")))),"EKSİK"))))</f>
        <v/>
      </c>
      <c r="Q1846" s="2"/>
      <c r="R1846" s="2"/>
      <c r="S1846" s="1" t="str">
        <f t="shared" si="86"/>
        <v/>
      </c>
      <c r="T1846" s="1" t="str">
        <f>IF(OR($C1846="",$D1846&lt;&gt;"Gelir",$L1846=""),"",IFERROR(INDEX(MUSTERILER!$B$7:$B$156,MATCH($S1846,MUSTERILER!$T$7:$T$156,0)),""))</f>
        <v/>
      </c>
      <c r="U1846" s="1" t="str">
        <f>IF($T1846="","",$T1846&amp;"|"&amp;COUNTIFS($T$7:$T1846,$T1846))</f>
        <v/>
      </c>
      <c r="V1846" s="1">
        <f t="shared" si="87"/>
        <v>0</v>
      </c>
      <c r="W1846" s="1" t="str">
        <f t="shared" si="88"/>
        <v/>
      </c>
      <c r="X1846" s="1"/>
      <c r="Y1846" s="1"/>
      <c r="Z1846" s="1"/>
      <c r="AA1846" s="1"/>
      <c r="AB1846" s="1"/>
      <c r="AC1846" s="1"/>
      <c r="AD1846" s="1">
        <f>IF($C1846="",0,SUMPRODUCT((AY_SONU!$O$7:$O$42="Evet")*(AY_SONU!$B$7:$B$42=DATE(YEAR($C1846),MONTH($C1846),1))))</f>
        <v>0</v>
      </c>
      <c r="AE1846" s="1" t="str">
        <f>IF($E1846="","",$E1846&amp;"|"&amp;COUNTIFS($E$7:$E1846,$E1846))</f>
        <v/>
      </c>
    </row>
    <row r="1847" spans="1:31" ht="18" customHeight="1" x14ac:dyDescent="0.3">
      <c r="A1847" s="2"/>
      <c r="B1847" s="65" t="str">
        <f>IF($C1847="","","GG"&amp;TEXT(ROW()-6,"00000"))</f>
        <v/>
      </c>
      <c r="C1847" s="66"/>
      <c r="D1847" s="60"/>
      <c r="E1847" s="61"/>
      <c r="F1847" s="61"/>
      <c r="G1847" s="67"/>
      <c r="H1847" s="60"/>
      <c r="I1847" s="60"/>
      <c r="J1847" s="61"/>
      <c r="K1847" s="61"/>
      <c r="L1847" s="60"/>
      <c r="M1847" s="74" t="str">
        <f>IF($C1847="","",IF($D1847="Gider",$E1847,IF($L1847&lt;&gt;"",$L1847,$H1847)))</f>
        <v/>
      </c>
      <c r="N1847" s="74" t="str">
        <f>IF($C1847="","",IF($D1847="Gider",$H1847,$E1847))</f>
        <v/>
      </c>
      <c r="O1847" s="73" t="str">
        <f>IF($C1847="","",DATE(YEAR($C1847),MONTH($C1847),1))</f>
        <v/>
      </c>
      <c r="P1847" s="65" t="str">
        <f ca="1">IF($C1847="","",IF(AND($D1847="Gelir",$L1847&lt;&gt;"",$T1847=""),"TANIMSIZ BORÇLU",IF($T1847&lt;&gt;"",IF(OR($E1847="",$G1847&lt;=0),"EKSİK",IF($I1847="Evet","TAHAKKUK NAKİT OLAMAZ",IF($C1847&gt;TODAY(),"İLERİ TARİH","TAHAKKUK"))),IF(AND($D1847&lt;&gt;"",$E1847&lt;&gt;"",$G1847&gt;0,$H1847&lt;&gt;"",$I1847&lt;&gt;""),IF($C1847&gt;TODAY(),"İLERİ TARİH",IF(COUNTIF($W$7:$W$3001,$W1847)&gt;1,"MÜKERRER?",IF($AD1847&gt;0,"KAPALI DÖNEM",IF($I1847="Hayır","ÖDENECEK","UYGUN")))),"EKSİK"))))</f>
        <v/>
      </c>
      <c r="Q1847" s="2"/>
      <c r="R1847" s="2"/>
      <c r="S1847" s="1" t="str">
        <f t="shared" si="86"/>
        <v/>
      </c>
      <c r="T1847" s="1" t="str">
        <f>IF(OR($C1847="",$D1847&lt;&gt;"Gelir",$L1847=""),"",IFERROR(INDEX(MUSTERILER!$B$7:$B$156,MATCH($S1847,MUSTERILER!$T$7:$T$156,0)),""))</f>
        <v/>
      </c>
      <c r="U1847" s="1" t="str">
        <f>IF($T1847="","",$T1847&amp;"|"&amp;COUNTIFS($T$7:$T1847,$T1847))</f>
        <v/>
      </c>
      <c r="V1847" s="1">
        <f t="shared" si="87"/>
        <v>0</v>
      </c>
      <c r="W1847" s="1" t="str">
        <f t="shared" si="88"/>
        <v/>
      </c>
      <c r="X1847" s="1"/>
      <c r="Y1847" s="1"/>
      <c r="Z1847" s="1"/>
      <c r="AA1847" s="1"/>
      <c r="AB1847" s="1"/>
      <c r="AC1847" s="1"/>
      <c r="AD1847" s="1">
        <f>IF($C1847="",0,SUMPRODUCT((AY_SONU!$O$7:$O$42="Evet")*(AY_SONU!$B$7:$B$42=DATE(YEAR($C1847),MONTH($C1847),1))))</f>
        <v>0</v>
      </c>
      <c r="AE1847" s="1" t="str">
        <f>IF($E1847="","",$E1847&amp;"|"&amp;COUNTIFS($E$7:$E1847,$E1847))</f>
        <v/>
      </c>
    </row>
    <row r="1848" spans="1:31" ht="18" customHeight="1" x14ac:dyDescent="0.3">
      <c r="A1848" s="2"/>
      <c r="B1848" s="65" t="str">
        <f>IF($C1848="","","GG"&amp;TEXT(ROW()-6,"00000"))</f>
        <v/>
      </c>
      <c r="C1848" s="66"/>
      <c r="D1848" s="60"/>
      <c r="E1848" s="61"/>
      <c r="F1848" s="61"/>
      <c r="G1848" s="67"/>
      <c r="H1848" s="60"/>
      <c r="I1848" s="60"/>
      <c r="J1848" s="61"/>
      <c r="K1848" s="61"/>
      <c r="L1848" s="60"/>
      <c r="M1848" s="74" t="str">
        <f>IF($C1848="","",IF($D1848="Gider",$E1848,IF($L1848&lt;&gt;"",$L1848,$H1848)))</f>
        <v/>
      </c>
      <c r="N1848" s="74" t="str">
        <f>IF($C1848="","",IF($D1848="Gider",$H1848,$E1848))</f>
        <v/>
      </c>
      <c r="O1848" s="73" t="str">
        <f>IF($C1848="","",DATE(YEAR($C1848),MONTH($C1848),1))</f>
        <v/>
      </c>
      <c r="P1848" s="65" t="str">
        <f ca="1">IF($C1848="","",IF(AND($D1848="Gelir",$L1848&lt;&gt;"",$T1848=""),"TANIMSIZ BORÇLU",IF($T1848&lt;&gt;"",IF(OR($E1848="",$G1848&lt;=0),"EKSİK",IF($I1848="Evet","TAHAKKUK NAKİT OLAMAZ",IF($C1848&gt;TODAY(),"İLERİ TARİH","TAHAKKUK"))),IF(AND($D1848&lt;&gt;"",$E1848&lt;&gt;"",$G1848&gt;0,$H1848&lt;&gt;"",$I1848&lt;&gt;""),IF($C1848&gt;TODAY(),"İLERİ TARİH",IF(COUNTIF($W$7:$W$3001,$W1848)&gt;1,"MÜKERRER?",IF($AD1848&gt;0,"KAPALI DÖNEM",IF($I1848="Hayır","ÖDENECEK","UYGUN")))),"EKSİK"))))</f>
        <v/>
      </c>
      <c r="Q1848" s="2"/>
      <c r="R1848" s="2"/>
      <c r="S1848" s="1" t="str">
        <f t="shared" si="86"/>
        <v/>
      </c>
      <c r="T1848" s="1" t="str">
        <f>IF(OR($C1848="",$D1848&lt;&gt;"Gelir",$L1848=""),"",IFERROR(INDEX(MUSTERILER!$B$7:$B$156,MATCH($S1848,MUSTERILER!$T$7:$T$156,0)),""))</f>
        <v/>
      </c>
      <c r="U1848" s="1" t="str">
        <f>IF($T1848="","",$T1848&amp;"|"&amp;COUNTIFS($T$7:$T1848,$T1848))</f>
        <v/>
      </c>
      <c r="V1848" s="1">
        <f t="shared" si="87"/>
        <v>0</v>
      </c>
      <c r="W1848" s="1" t="str">
        <f t="shared" si="88"/>
        <v/>
      </c>
      <c r="X1848" s="1"/>
      <c r="Y1848" s="1"/>
      <c r="Z1848" s="1"/>
      <c r="AA1848" s="1"/>
      <c r="AB1848" s="1"/>
      <c r="AC1848" s="1"/>
      <c r="AD1848" s="1">
        <f>IF($C1848="",0,SUMPRODUCT((AY_SONU!$O$7:$O$42="Evet")*(AY_SONU!$B$7:$B$42=DATE(YEAR($C1848),MONTH($C1848),1))))</f>
        <v>0</v>
      </c>
      <c r="AE1848" s="1" t="str">
        <f>IF($E1848="","",$E1848&amp;"|"&amp;COUNTIFS($E$7:$E1848,$E1848))</f>
        <v/>
      </c>
    </row>
    <row r="1849" spans="1:31" ht="18" customHeight="1" x14ac:dyDescent="0.3">
      <c r="A1849" s="2"/>
      <c r="B1849" s="65" t="str">
        <f>IF($C1849="","","GG"&amp;TEXT(ROW()-6,"00000"))</f>
        <v/>
      </c>
      <c r="C1849" s="66"/>
      <c r="D1849" s="60"/>
      <c r="E1849" s="61"/>
      <c r="F1849" s="61"/>
      <c r="G1849" s="67"/>
      <c r="H1849" s="60"/>
      <c r="I1849" s="60"/>
      <c r="J1849" s="61"/>
      <c r="K1849" s="61"/>
      <c r="L1849" s="60"/>
      <c r="M1849" s="74" t="str">
        <f>IF($C1849="","",IF($D1849="Gider",$E1849,IF($L1849&lt;&gt;"",$L1849,$H1849)))</f>
        <v/>
      </c>
      <c r="N1849" s="74" t="str">
        <f>IF($C1849="","",IF($D1849="Gider",$H1849,$E1849))</f>
        <v/>
      </c>
      <c r="O1849" s="73" t="str">
        <f>IF($C1849="","",DATE(YEAR($C1849),MONTH($C1849),1))</f>
        <v/>
      </c>
      <c r="P1849" s="65" t="str">
        <f ca="1">IF($C1849="","",IF(AND($D1849="Gelir",$L1849&lt;&gt;"",$T1849=""),"TANIMSIZ BORÇLU",IF($T1849&lt;&gt;"",IF(OR($E1849="",$G1849&lt;=0),"EKSİK",IF($I1849="Evet","TAHAKKUK NAKİT OLAMAZ",IF($C1849&gt;TODAY(),"İLERİ TARİH","TAHAKKUK"))),IF(AND($D1849&lt;&gt;"",$E1849&lt;&gt;"",$G1849&gt;0,$H1849&lt;&gt;"",$I1849&lt;&gt;""),IF($C1849&gt;TODAY(),"İLERİ TARİH",IF(COUNTIF($W$7:$W$3001,$W1849)&gt;1,"MÜKERRER?",IF($AD1849&gt;0,"KAPALI DÖNEM",IF($I1849="Hayır","ÖDENECEK","UYGUN")))),"EKSİK"))))</f>
        <v/>
      </c>
      <c r="Q1849" s="2"/>
      <c r="R1849" s="2"/>
      <c r="S1849" s="1" t="str">
        <f t="shared" si="86"/>
        <v/>
      </c>
      <c r="T1849" s="1" t="str">
        <f>IF(OR($C1849="",$D1849&lt;&gt;"Gelir",$L1849=""),"",IFERROR(INDEX(MUSTERILER!$B$7:$B$156,MATCH($S1849,MUSTERILER!$T$7:$T$156,0)),""))</f>
        <v/>
      </c>
      <c r="U1849" s="1" t="str">
        <f>IF($T1849="","",$T1849&amp;"|"&amp;COUNTIFS($T$7:$T1849,$T1849))</f>
        <v/>
      </c>
      <c r="V1849" s="1">
        <f t="shared" si="87"/>
        <v>0</v>
      </c>
      <c r="W1849" s="1" t="str">
        <f t="shared" si="88"/>
        <v/>
      </c>
      <c r="X1849" s="1"/>
      <c r="Y1849" s="1"/>
      <c r="Z1849" s="1"/>
      <c r="AA1849" s="1"/>
      <c r="AB1849" s="1"/>
      <c r="AC1849" s="1"/>
      <c r="AD1849" s="1">
        <f>IF($C1849="",0,SUMPRODUCT((AY_SONU!$O$7:$O$42="Evet")*(AY_SONU!$B$7:$B$42=DATE(YEAR($C1849),MONTH($C1849),1))))</f>
        <v>0</v>
      </c>
      <c r="AE1849" s="1" t="str">
        <f>IF($E1849="","",$E1849&amp;"|"&amp;COUNTIFS($E$7:$E1849,$E1849))</f>
        <v/>
      </c>
    </row>
    <row r="1850" spans="1:31" ht="18" customHeight="1" x14ac:dyDescent="0.3">
      <c r="A1850" s="2"/>
      <c r="B1850" s="65" t="str">
        <f>IF($C1850="","","GG"&amp;TEXT(ROW()-6,"00000"))</f>
        <v/>
      </c>
      <c r="C1850" s="66"/>
      <c r="D1850" s="60"/>
      <c r="E1850" s="61"/>
      <c r="F1850" s="61"/>
      <c r="G1850" s="67"/>
      <c r="H1850" s="60"/>
      <c r="I1850" s="60"/>
      <c r="J1850" s="61"/>
      <c r="K1850" s="61"/>
      <c r="L1850" s="60"/>
      <c r="M1850" s="74" t="str">
        <f>IF($C1850="","",IF($D1850="Gider",$E1850,IF($L1850&lt;&gt;"",$L1850,$H1850)))</f>
        <v/>
      </c>
      <c r="N1850" s="74" t="str">
        <f>IF($C1850="","",IF($D1850="Gider",$H1850,$E1850))</f>
        <v/>
      </c>
      <c r="O1850" s="73" t="str">
        <f>IF($C1850="","",DATE(YEAR($C1850),MONTH($C1850),1))</f>
        <v/>
      </c>
      <c r="P1850" s="65" t="str">
        <f ca="1">IF($C1850="","",IF(AND($D1850="Gelir",$L1850&lt;&gt;"",$T1850=""),"TANIMSIZ BORÇLU",IF($T1850&lt;&gt;"",IF(OR($E1850="",$G1850&lt;=0),"EKSİK",IF($I1850="Evet","TAHAKKUK NAKİT OLAMAZ",IF($C1850&gt;TODAY(),"İLERİ TARİH","TAHAKKUK"))),IF(AND($D1850&lt;&gt;"",$E1850&lt;&gt;"",$G1850&gt;0,$H1850&lt;&gt;"",$I1850&lt;&gt;""),IF($C1850&gt;TODAY(),"İLERİ TARİH",IF(COUNTIF($W$7:$W$3001,$W1850)&gt;1,"MÜKERRER?",IF($AD1850&gt;0,"KAPALI DÖNEM",IF($I1850="Hayır","ÖDENECEK","UYGUN")))),"EKSİK"))))</f>
        <v/>
      </c>
      <c r="Q1850" s="2"/>
      <c r="R1850" s="2"/>
      <c r="S1850" s="1" t="str">
        <f t="shared" si="86"/>
        <v/>
      </c>
      <c r="T1850" s="1" t="str">
        <f>IF(OR($C1850="",$D1850&lt;&gt;"Gelir",$L1850=""),"",IFERROR(INDEX(MUSTERILER!$B$7:$B$156,MATCH($S1850,MUSTERILER!$T$7:$T$156,0)),""))</f>
        <v/>
      </c>
      <c r="U1850" s="1" t="str">
        <f>IF($T1850="","",$T1850&amp;"|"&amp;COUNTIFS($T$7:$T1850,$T1850))</f>
        <v/>
      </c>
      <c r="V1850" s="1">
        <f t="shared" si="87"/>
        <v>0</v>
      </c>
      <c r="W1850" s="1" t="str">
        <f t="shared" si="88"/>
        <v/>
      </c>
      <c r="X1850" s="1"/>
      <c r="Y1850" s="1"/>
      <c r="Z1850" s="1"/>
      <c r="AA1850" s="1"/>
      <c r="AB1850" s="1"/>
      <c r="AC1850" s="1"/>
      <c r="AD1850" s="1">
        <f>IF($C1850="",0,SUMPRODUCT((AY_SONU!$O$7:$O$42="Evet")*(AY_SONU!$B$7:$B$42=DATE(YEAR($C1850),MONTH($C1850),1))))</f>
        <v>0</v>
      </c>
      <c r="AE1850" s="1" t="str">
        <f>IF($E1850="","",$E1850&amp;"|"&amp;COUNTIFS($E$7:$E1850,$E1850))</f>
        <v/>
      </c>
    </row>
    <row r="1851" spans="1:31" ht="18" customHeight="1" x14ac:dyDescent="0.3">
      <c r="A1851" s="2"/>
      <c r="B1851" s="65" t="str">
        <f>IF($C1851="","","GG"&amp;TEXT(ROW()-6,"00000"))</f>
        <v/>
      </c>
      <c r="C1851" s="66"/>
      <c r="D1851" s="60"/>
      <c r="E1851" s="61"/>
      <c r="F1851" s="61"/>
      <c r="G1851" s="67"/>
      <c r="H1851" s="60"/>
      <c r="I1851" s="60"/>
      <c r="J1851" s="61"/>
      <c r="K1851" s="61"/>
      <c r="L1851" s="60"/>
      <c r="M1851" s="74" t="str">
        <f>IF($C1851="","",IF($D1851="Gider",$E1851,IF($L1851&lt;&gt;"",$L1851,$H1851)))</f>
        <v/>
      </c>
      <c r="N1851" s="74" t="str">
        <f>IF($C1851="","",IF($D1851="Gider",$H1851,$E1851))</f>
        <v/>
      </c>
      <c r="O1851" s="73" t="str">
        <f>IF($C1851="","",DATE(YEAR($C1851),MONTH($C1851),1))</f>
        <v/>
      </c>
      <c r="P1851" s="65" t="str">
        <f ca="1">IF($C1851="","",IF(AND($D1851="Gelir",$L1851&lt;&gt;"",$T1851=""),"TANIMSIZ BORÇLU",IF($T1851&lt;&gt;"",IF(OR($E1851="",$G1851&lt;=0),"EKSİK",IF($I1851="Evet","TAHAKKUK NAKİT OLAMAZ",IF($C1851&gt;TODAY(),"İLERİ TARİH","TAHAKKUK"))),IF(AND($D1851&lt;&gt;"",$E1851&lt;&gt;"",$G1851&gt;0,$H1851&lt;&gt;"",$I1851&lt;&gt;""),IF($C1851&gt;TODAY(),"İLERİ TARİH",IF(COUNTIF($W$7:$W$3001,$W1851)&gt;1,"MÜKERRER?",IF($AD1851&gt;0,"KAPALI DÖNEM",IF($I1851="Hayır","ÖDENECEK","UYGUN")))),"EKSİK"))))</f>
        <v/>
      </c>
      <c r="Q1851" s="2"/>
      <c r="R1851" s="2"/>
      <c r="S1851" s="1" t="str">
        <f t="shared" si="86"/>
        <v/>
      </c>
      <c r="T1851" s="1" t="str">
        <f>IF(OR($C1851="",$D1851&lt;&gt;"Gelir",$L1851=""),"",IFERROR(INDEX(MUSTERILER!$B$7:$B$156,MATCH($S1851,MUSTERILER!$T$7:$T$156,0)),""))</f>
        <v/>
      </c>
      <c r="U1851" s="1" t="str">
        <f>IF($T1851="","",$T1851&amp;"|"&amp;COUNTIFS($T$7:$T1851,$T1851))</f>
        <v/>
      </c>
      <c r="V1851" s="1">
        <f t="shared" si="87"/>
        <v>0</v>
      </c>
      <c r="W1851" s="1" t="str">
        <f t="shared" si="88"/>
        <v/>
      </c>
      <c r="X1851" s="1"/>
      <c r="Y1851" s="1"/>
      <c r="Z1851" s="1"/>
      <c r="AA1851" s="1"/>
      <c r="AB1851" s="1"/>
      <c r="AC1851" s="1"/>
      <c r="AD1851" s="1">
        <f>IF($C1851="",0,SUMPRODUCT((AY_SONU!$O$7:$O$42="Evet")*(AY_SONU!$B$7:$B$42=DATE(YEAR($C1851),MONTH($C1851),1))))</f>
        <v>0</v>
      </c>
      <c r="AE1851" s="1" t="str">
        <f>IF($E1851="","",$E1851&amp;"|"&amp;COUNTIFS($E$7:$E1851,$E1851))</f>
        <v/>
      </c>
    </row>
    <row r="1852" spans="1:31" ht="18" customHeight="1" x14ac:dyDescent="0.3">
      <c r="A1852" s="2"/>
      <c r="B1852" s="65" t="str">
        <f>IF($C1852="","","GG"&amp;TEXT(ROW()-6,"00000"))</f>
        <v/>
      </c>
      <c r="C1852" s="66"/>
      <c r="D1852" s="60"/>
      <c r="E1852" s="61"/>
      <c r="F1852" s="61"/>
      <c r="G1852" s="67"/>
      <c r="H1852" s="60"/>
      <c r="I1852" s="60"/>
      <c r="J1852" s="61"/>
      <c r="K1852" s="61"/>
      <c r="L1852" s="60"/>
      <c r="M1852" s="74" t="str">
        <f>IF($C1852="","",IF($D1852="Gider",$E1852,IF($L1852&lt;&gt;"",$L1852,$H1852)))</f>
        <v/>
      </c>
      <c r="N1852" s="74" t="str">
        <f>IF($C1852="","",IF($D1852="Gider",$H1852,$E1852))</f>
        <v/>
      </c>
      <c r="O1852" s="73" t="str">
        <f>IF($C1852="","",DATE(YEAR($C1852),MONTH($C1852),1))</f>
        <v/>
      </c>
      <c r="P1852" s="65" t="str">
        <f ca="1">IF($C1852="","",IF(AND($D1852="Gelir",$L1852&lt;&gt;"",$T1852=""),"TANIMSIZ BORÇLU",IF($T1852&lt;&gt;"",IF(OR($E1852="",$G1852&lt;=0),"EKSİK",IF($I1852="Evet","TAHAKKUK NAKİT OLAMAZ",IF($C1852&gt;TODAY(),"İLERİ TARİH","TAHAKKUK"))),IF(AND($D1852&lt;&gt;"",$E1852&lt;&gt;"",$G1852&gt;0,$H1852&lt;&gt;"",$I1852&lt;&gt;""),IF($C1852&gt;TODAY(),"İLERİ TARİH",IF(COUNTIF($W$7:$W$3001,$W1852)&gt;1,"MÜKERRER?",IF($AD1852&gt;0,"KAPALI DÖNEM",IF($I1852="Hayır","ÖDENECEK","UYGUN")))),"EKSİK"))))</f>
        <v/>
      </c>
      <c r="Q1852" s="2"/>
      <c r="R1852" s="2"/>
      <c r="S1852" s="1" t="str">
        <f t="shared" si="86"/>
        <v/>
      </c>
      <c r="T1852" s="1" t="str">
        <f>IF(OR($C1852="",$D1852&lt;&gt;"Gelir",$L1852=""),"",IFERROR(INDEX(MUSTERILER!$B$7:$B$156,MATCH($S1852,MUSTERILER!$T$7:$T$156,0)),""))</f>
        <v/>
      </c>
      <c r="U1852" s="1" t="str">
        <f>IF($T1852="","",$T1852&amp;"|"&amp;COUNTIFS($T$7:$T1852,$T1852))</f>
        <v/>
      </c>
      <c r="V1852" s="1">
        <f t="shared" si="87"/>
        <v>0</v>
      </c>
      <c r="W1852" s="1" t="str">
        <f t="shared" si="88"/>
        <v/>
      </c>
      <c r="X1852" s="1"/>
      <c r="Y1852" s="1"/>
      <c r="Z1852" s="1"/>
      <c r="AA1852" s="1"/>
      <c r="AB1852" s="1"/>
      <c r="AC1852" s="1"/>
      <c r="AD1852" s="1">
        <f>IF($C1852="",0,SUMPRODUCT((AY_SONU!$O$7:$O$42="Evet")*(AY_SONU!$B$7:$B$42=DATE(YEAR($C1852),MONTH($C1852),1))))</f>
        <v>0</v>
      </c>
      <c r="AE1852" s="1" t="str">
        <f>IF($E1852="","",$E1852&amp;"|"&amp;COUNTIFS($E$7:$E1852,$E1852))</f>
        <v/>
      </c>
    </row>
    <row r="1853" spans="1:31" ht="18" customHeight="1" x14ac:dyDescent="0.3">
      <c r="A1853" s="2"/>
      <c r="B1853" s="65" t="str">
        <f>IF($C1853="","","GG"&amp;TEXT(ROW()-6,"00000"))</f>
        <v/>
      </c>
      <c r="C1853" s="66"/>
      <c r="D1853" s="60"/>
      <c r="E1853" s="61"/>
      <c r="F1853" s="61"/>
      <c r="G1853" s="67"/>
      <c r="H1853" s="60"/>
      <c r="I1853" s="60"/>
      <c r="J1853" s="61"/>
      <c r="K1853" s="61"/>
      <c r="L1853" s="60"/>
      <c r="M1853" s="74" t="str">
        <f>IF($C1853="","",IF($D1853="Gider",$E1853,IF($L1853&lt;&gt;"",$L1853,$H1853)))</f>
        <v/>
      </c>
      <c r="N1853" s="74" t="str">
        <f>IF($C1853="","",IF($D1853="Gider",$H1853,$E1853))</f>
        <v/>
      </c>
      <c r="O1853" s="73" t="str">
        <f>IF($C1853="","",DATE(YEAR($C1853),MONTH($C1853),1))</f>
        <v/>
      </c>
      <c r="P1853" s="65" t="str">
        <f ca="1">IF($C1853="","",IF(AND($D1853="Gelir",$L1853&lt;&gt;"",$T1853=""),"TANIMSIZ BORÇLU",IF($T1853&lt;&gt;"",IF(OR($E1853="",$G1853&lt;=0),"EKSİK",IF($I1853="Evet","TAHAKKUK NAKİT OLAMAZ",IF($C1853&gt;TODAY(),"İLERİ TARİH","TAHAKKUK"))),IF(AND($D1853&lt;&gt;"",$E1853&lt;&gt;"",$G1853&gt;0,$H1853&lt;&gt;"",$I1853&lt;&gt;""),IF($C1853&gt;TODAY(),"İLERİ TARİH",IF(COUNTIF($W$7:$W$3001,$W1853)&gt;1,"MÜKERRER?",IF($AD1853&gt;0,"KAPALI DÖNEM",IF($I1853="Hayır","ÖDENECEK","UYGUN")))),"EKSİK"))))</f>
        <v/>
      </c>
      <c r="Q1853" s="2"/>
      <c r="R1853" s="2"/>
      <c r="S1853" s="1" t="str">
        <f t="shared" si="86"/>
        <v/>
      </c>
      <c r="T1853" s="1" t="str">
        <f>IF(OR($C1853="",$D1853&lt;&gt;"Gelir",$L1853=""),"",IFERROR(INDEX(MUSTERILER!$B$7:$B$156,MATCH($S1853,MUSTERILER!$T$7:$T$156,0)),""))</f>
        <v/>
      </c>
      <c r="U1853" s="1" t="str">
        <f>IF($T1853="","",$T1853&amp;"|"&amp;COUNTIFS($T$7:$T1853,$T1853))</f>
        <v/>
      </c>
      <c r="V1853" s="1">
        <f t="shared" si="87"/>
        <v>0</v>
      </c>
      <c r="W1853" s="1" t="str">
        <f t="shared" si="88"/>
        <v/>
      </c>
      <c r="X1853" s="1"/>
      <c r="Y1853" s="1"/>
      <c r="Z1853" s="1"/>
      <c r="AA1853" s="1"/>
      <c r="AB1853" s="1"/>
      <c r="AC1853" s="1"/>
      <c r="AD1853" s="1">
        <f>IF($C1853="",0,SUMPRODUCT((AY_SONU!$O$7:$O$42="Evet")*(AY_SONU!$B$7:$B$42=DATE(YEAR($C1853),MONTH($C1853),1))))</f>
        <v>0</v>
      </c>
      <c r="AE1853" s="1" t="str">
        <f>IF($E1853="","",$E1853&amp;"|"&amp;COUNTIFS($E$7:$E1853,$E1853))</f>
        <v/>
      </c>
    </row>
    <row r="1854" spans="1:31" ht="18" customHeight="1" x14ac:dyDescent="0.3">
      <c r="A1854" s="2"/>
      <c r="B1854" s="65" t="str">
        <f>IF($C1854="","","GG"&amp;TEXT(ROW()-6,"00000"))</f>
        <v/>
      </c>
      <c r="C1854" s="66"/>
      <c r="D1854" s="60"/>
      <c r="E1854" s="61"/>
      <c r="F1854" s="61"/>
      <c r="G1854" s="67"/>
      <c r="H1854" s="60"/>
      <c r="I1854" s="60"/>
      <c r="J1854" s="61"/>
      <c r="K1854" s="61"/>
      <c r="L1854" s="60"/>
      <c r="M1854" s="74" t="str">
        <f>IF($C1854="","",IF($D1854="Gider",$E1854,IF($L1854&lt;&gt;"",$L1854,$H1854)))</f>
        <v/>
      </c>
      <c r="N1854" s="74" t="str">
        <f>IF($C1854="","",IF($D1854="Gider",$H1854,$E1854))</f>
        <v/>
      </c>
      <c r="O1854" s="73" t="str">
        <f>IF($C1854="","",DATE(YEAR($C1854),MONTH($C1854),1))</f>
        <v/>
      </c>
      <c r="P1854" s="65" t="str">
        <f ca="1">IF($C1854="","",IF(AND($D1854="Gelir",$L1854&lt;&gt;"",$T1854=""),"TANIMSIZ BORÇLU",IF($T1854&lt;&gt;"",IF(OR($E1854="",$G1854&lt;=0),"EKSİK",IF($I1854="Evet","TAHAKKUK NAKİT OLAMAZ",IF($C1854&gt;TODAY(),"İLERİ TARİH","TAHAKKUK"))),IF(AND($D1854&lt;&gt;"",$E1854&lt;&gt;"",$G1854&gt;0,$H1854&lt;&gt;"",$I1854&lt;&gt;""),IF($C1854&gt;TODAY(),"İLERİ TARİH",IF(COUNTIF($W$7:$W$3001,$W1854)&gt;1,"MÜKERRER?",IF($AD1854&gt;0,"KAPALI DÖNEM",IF($I1854="Hayır","ÖDENECEK","UYGUN")))),"EKSİK"))))</f>
        <v/>
      </c>
      <c r="Q1854" s="2"/>
      <c r="R1854" s="2"/>
      <c r="S1854" s="1" t="str">
        <f t="shared" si="86"/>
        <v/>
      </c>
      <c r="T1854" s="1" t="str">
        <f>IF(OR($C1854="",$D1854&lt;&gt;"Gelir",$L1854=""),"",IFERROR(INDEX(MUSTERILER!$B$7:$B$156,MATCH($S1854,MUSTERILER!$T$7:$T$156,0)),""))</f>
        <v/>
      </c>
      <c r="U1854" s="1" t="str">
        <f>IF($T1854="","",$T1854&amp;"|"&amp;COUNTIFS($T$7:$T1854,$T1854))</f>
        <v/>
      </c>
      <c r="V1854" s="1">
        <f t="shared" si="87"/>
        <v>0</v>
      </c>
      <c r="W1854" s="1" t="str">
        <f t="shared" si="88"/>
        <v/>
      </c>
      <c r="X1854" s="1"/>
      <c r="Y1854" s="1"/>
      <c r="Z1854" s="1"/>
      <c r="AA1854" s="1"/>
      <c r="AB1854" s="1"/>
      <c r="AC1854" s="1"/>
      <c r="AD1854" s="1">
        <f>IF($C1854="",0,SUMPRODUCT((AY_SONU!$O$7:$O$42="Evet")*(AY_SONU!$B$7:$B$42=DATE(YEAR($C1854),MONTH($C1854),1))))</f>
        <v>0</v>
      </c>
      <c r="AE1854" s="1" t="str">
        <f>IF($E1854="","",$E1854&amp;"|"&amp;COUNTIFS($E$7:$E1854,$E1854))</f>
        <v/>
      </c>
    </row>
    <row r="1855" spans="1:31" ht="18" customHeight="1" x14ac:dyDescent="0.3">
      <c r="A1855" s="2"/>
      <c r="B1855" s="65" t="str">
        <f>IF($C1855="","","GG"&amp;TEXT(ROW()-6,"00000"))</f>
        <v/>
      </c>
      <c r="C1855" s="66"/>
      <c r="D1855" s="60"/>
      <c r="E1855" s="61"/>
      <c r="F1855" s="61"/>
      <c r="G1855" s="67"/>
      <c r="H1855" s="60"/>
      <c r="I1855" s="60"/>
      <c r="J1855" s="61"/>
      <c r="K1855" s="61"/>
      <c r="L1855" s="60"/>
      <c r="M1855" s="74" t="str">
        <f>IF($C1855="","",IF($D1855="Gider",$E1855,IF($L1855&lt;&gt;"",$L1855,$H1855)))</f>
        <v/>
      </c>
      <c r="N1855" s="74" t="str">
        <f>IF($C1855="","",IF($D1855="Gider",$H1855,$E1855))</f>
        <v/>
      </c>
      <c r="O1855" s="73" t="str">
        <f>IF($C1855="","",DATE(YEAR($C1855),MONTH($C1855),1))</f>
        <v/>
      </c>
      <c r="P1855" s="65" t="str">
        <f ca="1">IF($C1855="","",IF(AND($D1855="Gelir",$L1855&lt;&gt;"",$T1855=""),"TANIMSIZ BORÇLU",IF($T1855&lt;&gt;"",IF(OR($E1855="",$G1855&lt;=0),"EKSİK",IF($I1855="Evet","TAHAKKUK NAKİT OLAMAZ",IF($C1855&gt;TODAY(),"İLERİ TARİH","TAHAKKUK"))),IF(AND($D1855&lt;&gt;"",$E1855&lt;&gt;"",$G1855&gt;0,$H1855&lt;&gt;"",$I1855&lt;&gt;""),IF($C1855&gt;TODAY(),"İLERİ TARİH",IF(COUNTIF($W$7:$W$3001,$W1855)&gt;1,"MÜKERRER?",IF($AD1855&gt;0,"KAPALI DÖNEM",IF($I1855="Hayır","ÖDENECEK","UYGUN")))),"EKSİK"))))</f>
        <v/>
      </c>
      <c r="Q1855" s="2"/>
      <c r="R1855" s="2"/>
      <c r="S1855" s="1" t="str">
        <f t="shared" si="86"/>
        <v/>
      </c>
      <c r="T1855" s="1" t="str">
        <f>IF(OR($C1855="",$D1855&lt;&gt;"Gelir",$L1855=""),"",IFERROR(INDEX(MUSTERILER!$B$7:$B$156,MATCH($S1855,MUSTERILER!$T$7:$T$156,0)),""))</f>
        <v/>
      </c>
      <c r="U1855" s="1" t="str">
        <f>IF($T1855="","",$T1855&amp;"|"&amp;COUNTIFS($T$7:$T1855,$T1855))</f>
        <v/>
      </c>
      <c r="V1855" s="1">
        <f t="shared" si="87"/>
        <v>0</v>
      </c>
      <c r="W1855" s="1" t="str">
        <f t="shared" si="88"/>
        <v/>
      </c>
      <c r="X1855" s="1"/>
      <c r="Y1855" s="1"/>
      <c r="Z1855" s="1"/>
      <c r="AA1855" s="1"/>
      <c r="AB1855" s="1"/>
      <c r="AC1855" s="1"/>
      <c r="AD1855" s="1">
        <f>IF($C1855="",0,SUMPRODUCT((AY_SONU!$O$7:$O$42="Evet")*(AY_SONU!$B$7:$B$42=DATE(YEAR($C1855),MONTH($C1855),1))))</f>
        <v>0</v>
      </c>
      <c r="AE1855" s="1" t="str">
        <f>IF($E1855="","",$E1855&amp;"|"&amp;COUNTIFS($E$7:$E1855,$E1855))</f>
        <v/>
      </c>
    </row>
    <row r="1856" spans="1:31" ht="18" customHeight="1" x14ac:dyDescent="0.3">
      <c r="A1856" s="2"/>
      <c r="B1856" s="65" t="str">
        <f>IF($C1856="","","GG"&amp;TEXT(ROW()-6,"00000"))</f>
        <v/>
      </c>
      <c r="C1856" s="66"/>
      <c r="D1856" s="60"/>
      <c r="E1856" s="61"/>
      <c r="F1856" s="61"/>
      <c r="G1856" s="67"/>
      <c r="H1856" s="60"/>
      <c r="I1856" s="60"/>
      <c r="J1856" s="61"/>
      <c r="K1856" s="61"/>
      <c r="L1856" s="60"/>
      <c r="M1856" s="74" t="str">
        <f>IF($C1856="","",IF($D1856="Gider",$E1856,IF($L1856&lt;&gt;"",$L1856,$H1856)))</f>
        <v/>
      </c>
      <c r="N1856" s="74" t="str">
        <f>IF($C1856="","",IF($D1856="Gider",$H1856,$E1856))</f>
        <v/>
      </c>
      <c r="O1856" s="73" t="str">
        <f>IF($C1856="","",DATE(YEAR($C1856),MONTH($C1856),1))</f>
        <v/>
      </c>
      <c r="P1856" s="65" t="str">
        <f ca="1">IF($C1856="","",IF(AND($D1856="Gelir",$L1856&lt;&gt;"",$T1856=""),"TANIMSIZ BORÇLU",IF($T1856&lt;&gt;"",IF(OR($E1856="",$G1856&lt;=0),"EKSİK",IF($I1856="Evet","TAHAKKUK NAKİT OLAMAZ",IF($C1856&gt;TODAY(),"İLERİ TARİH","TAHAKKUK"))),IF(AND($D1856&lt;&gt;"",$E1856&lt;&gt;"",$G1856&gt;0,$H1856&lt;&gt;"",$I1856&lt;&gt;""),IF($C1856&gt;TODAY(),"İLERİ TARİH",IF(COUNTIF($W$7:$W$3001,$W1856)&gt;1,"MÜKERRER?",IF($AD1856&gt;0,"KAPALI DÖNEM",IF($I1856="Hayır","ÖDENECEK","UYGUN")))),"EKSİK"))))</f>
        <v/>
      </c>
      <c r="Q1856" s="2"/>
      <c r="R1856" s="2"/>
      <c r="S1856" s="1" t="str">
        <f t="shared" si="86"/>
        <v/>
      </c>
      <c r="T1856" s="1" t="str">
        <f>IF(OR($C1856="",$D1856&lt;&gt;"Gelir",$L1856=""),"",IFERROR(INDEX(MUSTERILER!$B$7:$B$156,MATCH($S1856,MUSTERILER!$T$7:$T$156,0)),""))</f>
        <v/>
      </c>
      <c r="U1856" s="1" t="str">
        <f>IF($T1856="","",$T1856&amp;"|"&amp;COUNTIFS($T$7:$T1856,$T1856))</f>
        <v/>
      </c>
      <c r="V1856" s="1">
        <f t="shared" si="87"/>
        <v>0</v>
      </c>
      <c r="W1856" s="1" t="str">
        <f t="shared" si="88"/>
        <v/>
      </c>
      <c r="X1856" s="1"/>
      <c r="Y1856" s="1"/>
      <c r="Z1856" s="1"/>
      <c r="AA1856" s="1"/>
      <c r="AB1856" s="1"/>
      <c r="AC1856" s="1"/>
      <c r="AD1856" s="1">
        <f>IF($C1856="",0,SUMPRODUCT((AY_SONU!$O$7:$O$42="Evet")*(AY_SONU!$B$7:$B$42=DATE(YEAR($C1856),MONTH($C1856),1))))</f>
        <v>0</v>
      </c>
      <c r="AE1856" s="1" t="str">
        <f>IF($E1856="","",$E1856&amp;"|"&amp;COUNTIFS($E$7:$E1856,$E1856))</f>
        <v/>
      </c>
    </row>
    <row r="1857" spans="1:31" ht="18" customHeight="1" x14ac:dyDescent="0.3">
      <c r="A1857" s="2"/>
      <c r="B1857" s="65" t="str">
        <f>IF($C1857="","","GG"&amp;TEXT(ROW()-6,"00000"))</f>
        <v/>
      </c>
      <c r="C1857" s="66"/>
      <c r="D1857" s="60"/>
      <c r="E1857" s="61"/>
      <c r="F1857" s="61"/>
      <c r="G1857" s="67"/>
      <c r="H1857" s="60"/>
      <c r="I1857" s="60"/>
      <c r="J1857" s="61"/>
      <c r="K1857" s="61"/>
      <c r="L1857" s="60"/>
      <c r="M1857" s="74" t="str">
        <f>IF($C1857="","",IF($D1857="Gider",$E1857,IF($L1857&lt;&gt;"",$L1857,$H1857)))</f>
        <v/>
      </c>
      <c r="N1857" s="74" t="str">
        <f>IF($C1857="","",IF($D1857="Gider",$H1857,$E1857))</f>
        <v/>
      </c>
      <c r="O1857" s="73" t="str">
        <f>IF($C1857="","",DATE(YEAR($C1857),MONTH($C1857),1))</f>
        <v/>
      </c>
      <c r="P1857" s="65" t="str">
        <f ca="1">IF($C1857="","",IF(AND($D1857="Gelir",$L1857&lt;&gt;"",$T1857=""),"TANIMSIZ BORÇLU",IF($T1857&lt;&gt;"",IF(OR($E1857="",$G1857&lt;=0),"EKSİK",IF($I1857="Evet","TAHAKKUK NAKİT OLAMAZ",IF($C1857&gt;TODAY(),"İLERİ TARİH","TAHAKKUK"))),IF(AND($D1857&lt;&gt;"",$E1857&lt;&gt;"",$G1857&gt;0,$H1857&lt;&gt;"",$I1857&lt;&gt;""),IF($C1857&gt;TODAY(),"İLERİ TARİH",IF(COUNTIF($W$7:$W$3001,$W1857)&gt;1,"MÜKERRER?",IF($AD1857&gt;0,"KAPALI DÖNEM",IF($I1857="Hayır","ÖDENECEK","UYGUN")))),"EKSİK"))))</f>
        <v/>
      </c>
      <c r="Q1857" s="2"/>
      <c r="R1857" s="2"/>
      <c r="S1857" s="1" t="str">
        <f t="shared" si="86"/>
        <v/>
      </c>
      <c r="T1857" s="1" t="str">
        <f>IF(OR($C1857="",$D1857&lt;&gt;"Gelir",$L1857=""),"",IFERROR(INDEX(MUSTERILER!$B$7:$B$156,MATCH($S1857,MUSTERILER!$T$7:$T$156,0)),""))</f>
        <v/>
      </c>
      <c r="U1857" s="1" t="str">
        <f>IF($T1857="","",$T1857&amp;"|"&amp;COUNTIFS($T$7:$T1857,$T1857))</f>
        <v/>
      </c>
      <c r="V1857" s="1">
        <f t="shared" si="87"/>
        <v>0</v>
      </c>
      <c r="W1857" s="1" t="str">
        <f t="shared" si="88"/>
        <v/>
      </c>
      <c r="X1857" s="1"/>
      <c r="Y1857" s="1"/>
      <c r="Z1857" s="1"/>
      <c r="AA1857" s="1"/>
      <c r="AB1857" s="1"/>
      <c r="AC1857" s="1"/>
      <c r="AD1857" s="1">
        <f>IF($C1857="",0,SUMPRODUCT((AY_SONU!$O$7:$O$42="Evet")*(AY_SONU!$B$7:$B$42=DATE(YEAR($C1857),MONTH($C1857),1))))</f>
        <v>0</v>
      </c>
      <c r="AE1857" s="1" t="str">
        <f>IF($E1857="","",$E1857&amp;"|"&amp;COUNTIFS($E$7:$E1857,$E1857))</f>
        <v/>
      </c>
    </row>
    <row r="1858" spans="1:31" ht="18" customHeight="1" x14ac:dyDescent="0.3">
      <c r="A1858" s="2"/>
      <c r="B1858" s="65" t="str">
        <f>IF($C1858="","","GG"&amp;TEXT(ROW()-6,"00000"))</f>
        <v/>
      </c>
      <c r="C1858" s="66"/>
      <c r="D1858" s="60"/>
      <c r="E1858" s="61"/>
      <c r="F1858" s="61"/>
      <c r="G1858" s="67"/>
      <c r="H1858" s="60"/>
      <c r="I1858" s="60"/>
      <c r="J1858" s="61"/>
      <c r="K1858" s="61"/>
      <c r="L1858" s="60"/>
      <c r="M1858" s="74" t="str">
        <f>IF($C1858="","",IF($D1858="Gider",$E1858,IF($L1858&lt;&gt;"",$L1858,$H1858)))</f>
        <v/>
      </c>
      <c r="N1858" s="74" t="str">
        <f>IF($C1858="","",IF($D1858="Gider",$H1858,$E1858))</f>
        <v/>
      </c>
      <c r="O1858" s="73" t="str">
        <f>IF($C1858="","",DATE(YEAR($C1858),MONTH($C1858),1))</f>
        <v/>
      </c>
      <c r="P1858" s="65" t="str">
        <f ca="1">IF($C1858="","",IF(AND($D1858="Gelir",$L1858&lt;&gt;"",$T1858=""),"TANIMSIZ BORÇLU",IF($T1858&lt;&gt;"",IF(OR($E1858="",$G1858&lt;=0),"EKSİK",IF($I1858="Evet","TAHAKKUK NAKİT OLAMAZ",IF($C1858&gt;TODAY(),"İLERİ TARİH","TAHAKKUK"))),IF(AND($D1858&lt;&gt;"",$E1858&lt;&gt;"",$G1858&gt;0,$H1858&lt;&gt;"",$I1858&lt;&gt;""),IF($C1858&gt;TODAY(),"İLERİ TARİH",IF(COUNTIF($W$7:$W$3001,$W1858)&gt;1,"MÜKERRER?",IF($AD1858&gt;0,"KAPALI DÖNEM",IF($I1858="Hayır","ÖDENECEK","UYGUN")))),"EKSİK"))))</f>
        <v/>
      </c>
      <c r="Q1858" s="2"/>
      <c r="R1858" s="2"/>
      <c r="S1858" s="1" t="str">
        <f t="shared" si="86"/>
        <v/>
      </c>
      <c r="T1858" s="1" t="str">
        <f>IF(OR($C1858="",$D1858&lt;&gt;"Gelir",$L1858=""),"",IFERROR(INDEX(MUSTERILER!$B$7:$B$156,MATCH($S1858,MUSTERILER!$T$7:$T$156,0)),""))</f>
        <v/>
      </c>
      <c r="U1858" s="1" t="str">
        <f>IF($T1858="","",$T1858&amp;"|"&amp;COUNTIFS($T$7:$T1858,$T1858))</f>
        <v/>
      </c>
      <c r="V1858" s="1">
        <f t="shared" si="87"/>
        <v>0</v>
      </c>
      <c r="W1858" s="1" t="str">
        <f t="shared" si="88"/>
        <v/>
      </c>
      <c r="X1858" s="1"/>
      <c r="Y1858" s="1"/>
      <c r="Z1858" s="1"/>
      <c r="AA1858" s="1"/>
      <c r="AB1858" s="1"/>
      <c r="AC1858" s="1"/>
      <c r="AD1858" s="1">
        <f>IF($C1858="",0,SUMPRODUCT((AY_SONU!$O$7:$O$42="Evet")*(AY_SONU!$B$7:$B$42=DATE(YEAR($C1858),MONTH($C1858),1))))</f>
        <v>0</v>
      </c>
      <c r="AE1858" s="1" t="str">
        <f>IF($E1858="","",$E1858&amp;"|"&amp;COUNTIFS($E$7:$E1858,$E1858))</f>
        <v/>
      </c>
    </row>
    <row r="1859" spans="1:31" ht="18" customHeight="1" x14ac:dyDescent="0.3">
      <c r="A1859" s="2"/>
      <c r="B1859" s="65" t="str">
        <f>IF($C1859="","","GG"&amp;TEXT(ROW()-6,"00000"))</f>
        <v/>
      </c>
      <c r="C1859" s="66"/>
      <c r="D1859" s="60"/>
      <c r="E1859" s="61"/>
      <c r="F1859" s="61"/>
      <c r="G1859" s="67"/>
      <c r="H1859" s="60"/>
      <c r="I1859" s="60"/>
      <c r="J1859" s="61"/>
      <c r="K1859" s="61"/>
      <c r="L1859" s="60"/>
      <c r="M1859" s="74" t="str">
        <f>IF($C1859="","",IF($D1859="Gider",$E1859,IF($L1859&lt;&gt;"",$L1859,$H1859)))</f>
        <v/>
      </c>
      <c r="N1859" s="74" t="str">
        <f>IF($C1859="","",IF($D1859="Gider",$H1859,$E1859))</f>
        <v/>
      </c>
      <c r="O1859" s="73" t="str">
        <f>IF($C1859="","",DATE(YEAR($C1859),MONTH($C1859),1))</f>
        <v/>
      </c>
      <c r="P1859" s="65" t="str">
        <f ca="1">IF($C1859="","",IF(AND($D1859="Gelir",$L1859&lt;&gt;"",$T1859=""),"TANIMSIZ BORÇLU",IF($T1859&lt;&gt;"",IF(OR($E1859="",$G1859&lt;=0),"EKSİK",IF($I1859="Evet","TAHAKKUK NAKİT OLAMAZ",IF($C1859&gt;TODAY(),"İLERİ TARİH","TAHAKKUK"))),IF(AND($D1859&lt;&gt;"",$E1859&lt;&gt;"",$G1859&gt;0,$H1859&lt;&gt;"",$I1859&lt;&gt;""),IF($C1859&gt;TODAY(),"İLERİ TARİH",IF(COUNTIF($W$7:$W$3001,$W1859)&gt;1,"MÜKERRER?",IF($AD1859&gt;0,"KAPALI DÖNEM",IF($I1859="Hayır","ÖDENECEK","UYGUN")))),"EKSİK"))))</f>
        <v/>
      </c>
      <c r="Q1859" s="2"/>
      <c r="R1859" s="2"/>
      <c r="S1859" s="1" t="str">
        <f t="shared" si="86"/>
        <v/>
      </c>
      <c r="T1859" s="1" t="str">
        <f>IF(OR($C1859="",$D1859&lt;&gt;"Gelir",$L1859=""),"",IFERROR(INDEX(MUSTERILER!$B$7:$B$156,MATCH($S1859,MUSTERILER!$T$7:$T$156,0)),""))</f>
        <v/>
      </c>
      <c r="U1859" s="1" t="str">
        <f>IF($T1859="","",$T1859&amp;"|"&amp;COUNTIFS($T$7:$T1859,$T1859))</f>
        <v/>
      </c>
      <c r="V1859" s="1">
        <f t="shared" si="87"/>
        <v>0</v>
      </c>
      <c r="W1859" s="1" t="str">
        <f t="shared" si="88"/>
        <v/>
      </c>
      <c r="X1859" s="1"/>
      <c r="Y1859" s="1"/>
      <c r="Z1859" s="1"/>
      <c r="AA1859" s="1"/>
      <c r="AB1859" s="1"/>
      <c r="AC1859" s="1"/>
      <c r="AD1859" s="1">
        <f>IF($C1859="",0,SUMPRODUCT((AY_SONU!$O$7:$O$42="Evet")*(AY_SONU!$B$7:$B$42=DATE(YEAR($C1859),MONTH($C1859),1))))</f>
        <v>0</v>
      </c>
      <c r="AE1859" s="1" t="str">
        <f>IF($E1859="","",$E1859&amp;"|"&amp;COUNTIFS($E$7:$E1859,$E1859))</f>
        <v/>
      </c>
    </row>
    <row r="1860" spans="1:31" ht="18" customHeight="1" x14ac:dyDescent="0.3">
      <c r="A1860" s="2"/>
      <c r="B1860" s="65" t="str">
        <f>IF($C1860="","","GG"&amp;TEXT(ROW()-6,"00000"))</f>
        <v/>
      </c>
      <c r="C1860" s="66"/>
      <c r="D1860" s="60"/>
      <c r="E1860" s="61"/>
      <c r="F1860" s="61"/>
      <c r="G1860" s="67"/>
      <c r="H1860" s="60"/>
      <c r="I1860" s="60"/>
      <c r="J1860" s="61"/>
      <c r="K1860" s="61"/>
      <c r="L1860" s="60"/>
      <c r="M1860" s="74" t="str">
        <f>IF($C1860="","",IF($D1860="Gider",$E1860,IF($L1860&lt;&gt;"",$L1860,$H1860)))</f>
        <v/>
      </c>
      <c r="N1860" s="74" t="str">
        <f>IF($C1860="","",IF($D1860="Gider",$H1860,$E1860))</f>
        <v/>
      </c>
      <c r="O1860" s="73" t="str">
        <f>IF($C1860="","",DATE(YEAR($C1860),MONTH($C1860),1))</f>
        <v/>
      </c>
      <c r="P1860" s="65" t="str">
        <f ca="1">IF($C1860="","",IF(AND($D1860="Gelir",$L1860&lt;&gt;"",$T1860=""),"TANIMSIZ BORÇLU",IF($T1860&lt;&gt;"",IF(OR($E1860="",$G1860&lt;=0),"EKSİK",IF($I1860="Evet","TAHAKKUK NAKİT OLAMAZ",IF($C1860&gt;TODAY(),"İLERİ TARİH","TAHAKKUK"))),IF(AND($D1860&lt;&gt;"",$E1860&lt;&gt;"",$G1860&gt;0,$H1860&lt;&gt;"",$I1860&lt;&gt;""),IF($C1860&gt;TODAY(),"İLERİ TARİH",IF(COUNTIF($W$7:$W$3001,$W1860)&gt;1,"MÜKERRER?",IF($AD1860&gt;0,"KAPALI DÖNEM",IF($I1860="Hayır","ÖDENECEK","UYGUN")))),"EKSİK"))))</f>
        <v/>
      </c>
      <c r="Q1860" s="2"/>
      <c r="R1860" s="2"/>
      <c r="S1860" s="1" t="str">
        <f t="shared" si="86"/>
        <v/>
      </c>
      <c r="T1860" s="1" t="str">
        <f>IF(OR($C1860="",$D1860&lt;&gt;"Gelir",$L1860=""),"",IFERROR(INDEX(MUSTERILER!$B$7:$B$156,MATCH($S1860,MUSTERILER!$T$7:$T$156,0)),""))</f>
        <v/>
      </c>
      <c r="U1860" s="1" t="str">
        <f>IF($T1860="","",$T1860&amp;"|"&amp;COUNTIFS($T$7:$T1860,$T1860))</f>
        <v/>
      </c>
      <c r="V1860" s="1">
        <f t="shared" si="87"/>
        <v>0</v>
      </c>
      <c r="W1860" s="1" t="str">
        <f t="shared" si="88"/>
        <v/>
      </c>
      <c r="X1860" s="1"/>
      <c r="Y1860" s="1"/>
      <c r="Z1860" s="1"/>
      <c r="AA1860" s="1"/>
      <c r="AB1860" s="1"/>
      <c r="AC1860" s="1"/>
      <c r="AD1860" s="1">
        <f>IF($C1860="",0,SUMPRODUCT((AY_SONU!$O$7:$O$42="Evet")*(AY_SONU!$B$7:$B$42=DATE(YEAR($C1860),MONTH($C1860),1))))</f>
        <v>0</v>
      </c>
      <c r="AE1860" s="1" t="str">
        <f>IF($E1860="","",$E1860&amp;"|"&amp;COUNTIFS($E$7:$E1860,$E1860))</f>
        <v/>
      </c>
    </row>
    <row r="1861" spans="1:31" ht="18" customHeight="1" x14ac:dyDescent="0.3">
      <c r="A1861" s="2"/>
      <c r="B1861" s="65" t="str">
        <f>IF($C1861="","","GG"&amp;TEXT(ROW()-6,"00000"))</f>
        <v/>
      </c>
      <c r="C1861" s="66"/>
      <c r="D1861" s="60"/>
      <c r="E1861" s="61"/>
      <c r="F1861" s="61"/>
      <c r="G1861" s="67"/>
      <c r="H1861" s="60"/>
      <c r="I1861" s="60"/>
      <c r="J1861" s="61"/>
      <c r="K1861" s="61"/>
      <c r="L1861" s="60"/>
      <c r="M1861" s="74" t="str">
        <f>IF($C1861="","",IF($D1861="Gider",$E1861,IF($L1861&lt;&gt;"",$L1861,$H1861)))</f>
        <v/>
      </c>
      <c r="N1861" s="74" t="str">
        <f>IF($C1861="","",IF($D1861="Gider",$H1861,$E1861))</f>
        <v/>
      </c>
      <c r="O1861" s="73" t="str">
        <f>IF($C1861="","",DATE(YEAR($C1861),MONTH($C1861),1))</f>
        <v/>
      </c>
      <c r="P1861" s="65" t="str">
        <f ca="1">IF($C1861="","",IF(AND($D1861="Gelir",$L1861&lt;&gt;"",$T1861=""),"TANIMSIZ BORÇLU",IF($T1861&lt;&gt;"",IF(OR($E1861="",$G1861&lt;=0),"EKSİK",IF($I1861="Evet","TAHAKKUK NAKİT OLAMAZ",IF($C1861&gt;TODAY(),"İLERİ TARİH","TAHAKKUK"))),IF(AND($D1861&lt;&gt;"",$E1861&lt;&gt;"",$G1861&gt;0,$H1861&lt;&gt;"",$I1861&lt;&gt;""),IF($C1861&gt;TODAY(),"İLERİ TARİH",IF(COUNTIF($W$7:$W$3001,$W1861)&gt;1,"MÜKERRER?",IF($AD1861&gt;0,"KAPALI DÖNEM",IF($I1861="Hayır","ÖDENECEK","UYGUN")))),"EKSİK"))))</f>
        <v/>
      </c>
      <c r="Q1861" s="2"/>
      <c r="R1861" s="2"/>
      <c r="S1861" s="1" t="str">
        <f t="shared" ref="S1861:S1924" si="89">IF($L1861="","",UPPER(SUBSTITUTE(SUBSTITUTE(SUBSTITUTE(SUBSTITUTE(SUBSTITUTE(SUBSTITUTE(SUBSTITUTE(SUBSTITUTE(SUBSTITUTE(SUBSTITUTE(SUBSTITUTE(SUBSTITUTE(SUBSTITUTE(SUBSTITUTE(SUBSTITUTE(SUBSTITUTE(SUBSTITUTE(SUBSTITUTE(TRIM($L1861),"'",""),"İ","I"),"ı","I"),"i","I"),"Ş","S"),"ş","S"),"Ğ","G"),"ğ","G"),"Ü","U"),"ü","U"),"Ö","O"),"ö","O"),"Ç","C"),"ç","C"),".",""),",","")," ",""),"-","")))</f>
        <v/>
      </c>
      <c r="T1861" s="1" t="str">
        <f>IF(OR($C1861="",$D1861&lt;&gt;"Gelir",$L1861=""),"",IFERROR(INDEX(MUSTERILER!$B$7:$B$156,MATCH($S1861,MUSTERILER!$T$7:$T$156,0)),""))</f>
        <v/>
      </c>
      <c r="U1861" s="1" t="str">
        <f>IF($T1861="","",$T1861&amp;"|"&amp;COUNTIFS($T$7:$T1861,$T1861))</f>
        <v/>
      </c>
      <c r="V1861" s="1">
        <f t="shared" ref="V1861:V1924" si="90">IF($T1861="",0,1)</f>
        <v>0</v>
      </c>
      <c r="W1861" s="1" t="str">
        <f t="shared" ref="W1861:W1924" si="91">IF($C1861="","",$D1861&amp;"|"&amp;$E1861&amp;"|"&amp;TEXT($C1861,"0")&amp;"|"&amp;TEXT($G1861,"0")&amp;"|"&amp;$F1861&amp;"|"&amp;$J1861)</f>
        <v/>
      </c>
      <c r="X1861" s="1"/>
      <c r="Y1861" s="1"/>
      <c r="Z1861" s="1"/>
      <c r="AA1861" s="1"/>
      <c r="AB1861" s="1"/>
      <c r="AC1861" s="1"/>
      <c r="AD1861" s="1">
        <f>IF($C1861="",0,SUMPRODUCT((AY_SONU!$O$7:$O$42="Evet")*(AY_SONU!$B$7:$B$42=DATE(YEAR($C1861),MONTH($C1861),1))))</f>
        <v>0</v>
      </c>
      <c r="AE1861" s="1" t="str">
        <f>IF($E1861="","",$E1861&amp;"|"&amp;COUNTIFS($E$7:$E1861,$E1861))</f>
        <v/>
      </c>
    </row>
    <row r="1862" spans="1:31" ht="18" customHeight="1" x14ac:dyDescent="0.3">
      <c r="A1862" s="2"/>
      <c r="B1862" s="65" t="str">
        <f>IF($C1862="","","GG"&amp;TEXT(ROW()-6,"00000"))</f>
        <v/>
      </c>
      <c r="C1862" s="66"/>
      <c r="D1862" s="60"/>
      <c r="E1862" s="61"/>
      <c r="F1862" s="61"/>
      <c r="G1862" s="67"/>
      <c r="H1862" s="60"/>
      <c r="I1862" s="60"/>
      <c r="J1862" s="61"/>
      <c r="K1862" s="61"/>
      <c r="L1862" s="60"/>
      <c r="M1862" s="74" t="str">
        <f>IF($C1862="","",IF($D1862="Gider",$E1862,IF($L1862&lt;&gt;"",$L1862,$H1862)))</f>
        <v/>
      </c>
      <c r="N1862" s="74" t="str">
        <f>IF($C1862="","",IF($D1862="Gider",$H1862,$E1862))</f>
        <v/>
      </c>
      <c r="O1862" s="73" t="str">
        <f>IF($C1862="","",DATE(YEAR($C1862),MONTH($C1862),1))</f>
        <v/>
      </c>
      <c r="P1862" s="65" t="str">
        <f ca="1">IF($C1862="","",IF(AND($D1862="Gelir",$L1862&lt;&gt;"",$T1862=""),"TANIMSIZ BORÇLU",IF($T1862&lt;&gt;"",IF(OR($E1862="",$G1862&lt;=0),"EKSİK",IF($I1862="Evet","TAHAKKUK NAKİT OLAMAZ",IF($C1862&gt;TODAY(),"İLERİ TARİH","TAHAKKUK"))),IF(AND($D1862&lt;&gt;"",$E1862&lt;&gt;"",$G1862&gt;0,$H1862&lt;&gt;"",$I1862&lt;&gt;""),IF($C1862&gt;TODAY(),"İLERİ TARİH",IF(COUNTIF($W$7:$W$3001,$W1862)&gt;1,"MÜKERRER?",IF($AD1862&gt;0,"KAPALI DÖNEM",IF($I1862="Hayır","ÖDENECEK","UYGUN")))),"EKSİK"))))</f>
        <v/>
      </c>
      <c r="Q1862" s="2"/>
      <c r="R1862" s="2"/>
      <c r="S1862" s="1" t="str">
        <f t="shared" si="89"/>
        <v/>
      </c>
      <c r="T1862" s="1" t="str">
        <f>IF(OR($C1862="",$D1862&lt;&gt;"Gelir",$L1862=""),"",IFERROR(INDEX(MUSTERILER!$B$7:$B$156,MATCH($S1862,MUSTERILER!$T$7:$T$156,0)),""))</f>
        <v/>
      </c>
      <c r="U1862" s="1" t="str">
        <f>IF($T1862="","",$T1862&amp;"|"&amp;COUNTIFS($T$7:$T1862,$T1862))</f>
        <v/>
      </c>
      <c r="V1862" s="1">
        <f t="shared" si="90"/>
        <v>0</v>
      </c>
      <c r="W1862" s="1" t="str">
        <f t="shared" si="91"/>
        <v/>
      </c>
      <c r="X1862" s="1"/>
      <c r="Y1862" s="1"/>
      <c r="Z1862" s="1"/>
      <c r="AA1862" s="1"/>
      <c r="AB1862" s="1"/>
      <c r="AC1862" s="1"/>
      <c r="AD1862" s="1">
        <f>IF($C1862="",0,SUMPRODUCT((AY_SONU!$O$7:$O$42="Evet")*(AY_SONU!$B$7:$B$42=DATE(YEAR($C1862),MONTH($C1862),1))))</f>
        <v>0</v>
      </c>
      <c r="AE1862" s="1" t="str">
        <f>IF($E1862="","",$E1862&amp;"|"&amp;COUNTIFS($E$7:$E1862,$E1862))</f>
        <v/>
      </c>
    </row>
    <row r="1863" spans="1:31" ht="18" customHeight="1" x14ac:dyDescent="0.3">
      <c r="A1863" s="2"/>
      <c r="B1863" s="65" t="str">
        <f>IF($C1863="","","GG"&amp;TEXT(ROW()-6,"00000"))</f>
        <v/>
      </c>
      <c r="C1863" s="66"/>
      <c r="D1863" s="60"/>
      <c r="E1863" s="61"/>
      <c r="F1863" s="61"/>
      <c r="G1863" s="67"/>
      <c r="H1863" s="60"/>
      <c r="I1863" s="60"/>
      <c r="J1863" s="61"/>
      <c r="K1863" s="61"/>
      <c r="L1863" s="60"/>
      <c r="M1863" s="74" t="str">
        <f>IF($C1863="","",IF($D1863="Gider",$E1863,IF($L1863&lt;&gt;"",$L1863,$H1863)))</f>
        <v/>
      </c>
      <c r="N1863" s="74" t="str">
        <f>IF($C1863="","",IF($D1863="Gider",$H1863,$E1863))</f>
        <v/>
      </c>
      <c r="O1863" s="73" t="str">
        <f>IF($C1863="","",DATE(YEAR($C1863),MONTH($C1863),1))</f>
        <v/>
      </c>
      <c r="P1863" s="65" t="str">
        <f ca="1"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TARİH",IF(COUNTIF($W$7:$W$3001,$W1863)&gt;1,"MÜKERRER?",IF($AD1863&gt;0,"KAPALI DÖNEM",IF($I1863="Hayır","ÖDENECEK","UYGUN")))),"EKSİK"))))</f>
        <v/>
      </c>
      <c r="Q1863" s="2"/>
      <c r="R1863" s="2"/>
      <c r="S1863" s="1" t="str">
        <f t="shared" si="89"/>
        <v/>
      </c>
      <c r="T1863" s="1" t="str">
        <f>IF(OR($C1863="",$D1863&lt;&gt;"Gelir",$L1863=""),"",IFERROR(INDEX(MUSTERILER!$B$7:$B$156,MATCH($S1863,MUSTERILER!$T$7:$T$156,0)),""))</f>
        <v/>
      </c>
      <c r="U1863" s="1" t="str">
        <f>IF($T1863="","",$T1863&amp;"|"&amp;COUNTIFS($T$7:$T1863,$T1863))</f>
        <v/>
      </c>
      <c r="V1863" s="1">
        <f t="shared" si="90"/>
        <v>0</v>
      </c>
      <c r="W1863" s="1" t="str">
        <f t="shared" si="91"/>
        <v/>
      </c>
      <c r="X1863" s="1"/>
      <c r="Y1863" s="1"/>
      <c r="Z1863" s="1"/>
      <c r="AA1863" s="1"/>
      <c r="AB1863" s="1"/>
      <c r="AC1863" s="1"/>
      <c r="AD1863" s="1">
        <f>IF($C1863="",0,SUMPRODUCT((AY_SONU!$O$7:$O$42="Evet")*(AY_SONU!$B$7:$B$42=DATE(YEAR($C1863),MONTH($C1863),1))))</f>
        <v>0</v>
      </c>
      <c r="AE1863" s="1" t="str">
        <f>IF($E1863="","",$E1863&amp;"|"&amp;COUNTIFS($E$7:$E1863,$E1863))</f>
        <v/>
      </c>
    </row>
    <row r="1864" spans="1:31" ht="18" customHeight="1" x14ac:dyDescent="0.3">
      <c r="A1864" s="2"/>
      <c r="B1864" s="65" t="str">
        <f>IF($C1864="","","GG"&amp;TEXT(ROW()-6,"00000"))</f>
        <v/>
      </c>
      <c r="C1864" s="66"/>
      <c r="D1864" s="60"/>
      <c r="E1864" s="61"/>
      <c r="F1864" s="61"/>
      <c r="G1864" s="67"/>
      <c r="H1864" s="60"/>
      <c r="I1864" s="60"/>
      <c r="J1864" s="61"/>
      <c r="K1864" s="61"/>
      <c r="L1864" s="60"/>
      <c r="M1864" s="74" t="str">
        <f>IF($C1864="","",IF($D1864="Gider",$E1864,IF($L1864&lt;&gt;"",$L1864,$H1864)))</f>
        <v/>
      </c>
      <c r="N1864" s="74" t="str">
        <f>IF($C1864="","",IF($D1864="Gider",$H1864,$E1864))</f>
        <v/>
      </c>
      <c r="O1864" s="73" t="str">
        <f>IF($C1864="","",DATE(YEAR($C1864),MONTH($C1864),1))</f>
        <v/>
      </c>
      <c r="P1864" s="65" t="str">
        <f ca="1">IF($C1864="","",IF(AND($D1864="Gelir",$L1864&lt;&gt;"",$T1864=""),"TANIMSIZ BORÇLU",IF($T1864&lt;&gt;"",IF(OR($E1864="",$G1864&lt;=0),"EKSİK",IF($I1864="Evet","TAHAKKUK NAKİT OLAMAZ",IF($C1864&gt;TODAY(),"İLERİ TARİH","TAHAKKUK"))),IF(AND($D1864&lt;&gt;"",$E1864&lt;&gt;"",$G1864&gt;0,$H1864&lt;&gt;"",$I1864&lt;&gt;""),IF($C1864&gt;TODAY(),"İLERİ TARİH",IF(COUNTIF($W$7:$W$3001,$W1864)&gt;1,"MÜKERRER?",IF($AD1864&gt;0,"KAPALI DÖNEM",IF($I1864="Hayır","ÖDENECEK","UYGUN")))),"EKSİK"))))</f>
        <v/>
      </c>
      <c r="Q1864" s="2"/>
      <c r="R1864" s="2"/>
      <c r="S1864" s="1" t="str">
        <f t="shared" si="89"/>
        <v/>
      </c>
      <c r="T1864" s="1" t="str">
        <f>IF(OR($C1864="",$D1864&lt;&gt;"Gelir",$L1864=""),"",IFERROR(INDEX(MUSTERILER!$B$7:$B$156,MATCH($S1864,MUSTERILER!$T$7:$T$156,0)),""))</f>
        <v/>
      </c>
      <c r="U1864" s="1" t="str">
        <f>IF($T1864="","",$T1864&amp;"|"&amp;COUNTIFS($T$7:$T1864,$T1864))</f>
        <v/>
      </c>
      <c r="V1864" s="1">
        <f t="shared" si="90"/>
        <v>0</v>
      </c>
      <c r="W1864" s="1" t="str">
        <f t="shared" si="91"/>
        <v/>
      </c>
      <c r="X1864" s="1"/>
      <c r="Y1864" s="1"/>
      <c r="Z1864" s="1"/>
      <c r="AA1864" s="1"/>
      <c r="AB1864" s="1"/>
      <c r="AC1864" s="1"/>
      <c r="AD1864" s="1">
        <f>IF($C1864="",0,SUMPRODUCT((AY_SONU!$O$7:$O$42="Evet")*(AY_SONU!$B$7:$B$42=DATE(YEAR($C1864),MONTH($C1864),1))))</f>
        <v>0</v>
      </c>
      <c r="AE1864" s="1" t="str">
        <f>IF($E1864="","",$E1864&amp;"|"&amp;COUNTIFS($E$7:$E1864,$E1864))</f>
        <v/>
      </c>
    </row>
    <row r="1865" spans="1:31" ht="18" customHeight="1" x14ac:dyDescent="0.3">
      <c r="A1865" s="2"/>
      <c r="B1865" s="65" t="str">
        <f>IF($C1865="","","GG"&amp;TEXT(ROW()-6,"00000"))</f>
        <v/>
      </c>
      <c r="C1865" s="66"/>
      <c r="D1865" s="60"/>
      <c r="E1865" s="61"/>
      <c r="F1865" s="61"/>
      <c r="G1865" s="67"/>
      <c r="H1865" s="60"/>
      <c r="I1865" s="60"/>
      <c r="J1865" s="61"/>
      <c r="K1865" s="61"/>
      <c r="L1865" s="60"/>
      <c r="M1865" s="74" t="str">
        <f>IF($C1865="","",IF($D1865="Gider",$E1865,IF($L1865&lt;&gt;"",$L1865,$H1865)))</f>
        <v/>
      </c>
      <c r="N1865" s="74" t="str">
        <f>IF($C1865="","",IF($D1865="Gider",$H1865,$E1865))</f>
        <v/>
      </c>
      <c r="O1865" s="73" t="str">
        <f>IF($C1865="","",DATE(YEAR($C1865),MONTH($C1865),1))</f>
        <v/>
      </c>
      <c r="P1865" s="65" t="str">
        <f ca="1">IF($C1865="","",IF(AND($D1865="Gelir",$L1865&lt;&gt;"",$T1865=""),"TANIMSIZ BORÇLU",IF($T1865&lt;&gt;"",IF(OR($E1865="",$G1865&lt;=0),"EKSİK",IF($I1865="Evet","TAHAKKUK NAKİT OLAMAZ",IF($C1865&gt;TODAY(),"İLERİ TARİH","TAHAKKUK"))),IF(AND($D1865&lt;&gt;"",$E1865&lt;&gt;"",$G1865&gt;0,$H1865&lt;&gt;"",$I1865&lt;&gt;""),IF($C1865&gt;TODAY(),"İLERİ TARİH",IF(COUNTIF($W$7:$W$3001,$W1865)&gt;1,"MÜKERRER?",IF($AD1865&gt;0,"KAPALI DÖNEM",IF($I1865="Hayır","ÖDENECEK","UYGUN")))),"EKSİK"))))</f>
        <v/>
      </c>
      <c r="Q1865" s="2"/>
      <c r="R1865" s="2"/>
      <c r="S1865" s="1" t="str">
        <f t="shared" si="89"/>
        <v/>
      </c>
      <c r="T1865" s="1" t="str">
        <f>IF(OR($C1865="",$D1865&lt;&gt;"Gelir",$L1865=""),"",IFERROR(INDEX(MUSTERILER!$B$7:$B$156,MATCH($S1865,MUSTERILER!$T$7:$T$156,0)),""))</f>
        <v/>
      </c>
      <c r="U1865" s="1" t="str">
        <f>IF($T1865="","",$T1865&amp;"|"&amp;COUNTIFS($T$7:$T1865,$T1865))</f>
        <v/>
      </c>
      <c r="V1865" s="1">
        <f t="shared" si="90"/>
        <v>0</v>
      </c>
      <c r="W1865" s="1" t="str">
        <f t="shared" si="91"/>
        <v/>
      </c>
      <c r="X1865" s="1"/>
      <c r="Y1865" s="1"/>
      <c r="Z1865" s="1"/>
      <c r="AA1865" s="1"/>
      <c r="AB1865" s="1"/>
      <c r="AC1865" s="1"/>
      <c r="AD1865" s="1">
        <f>IF($C1865="",0,SUMPRODUCT((AY_SONU!$O$7:$O$42="Evet")*(AY_SONU!$B$7:$B$42=DATE(YEAR($C1865),MONTH($C1865),1))))</f>
        <v>0</v>
      </c>
      <c r="AE1865" s="1" t="str">
        <f>IF($E1865="","",$E1865&amp;"|"&amp;COUNTIFS($E$7:$E1865,$E1865))</f>
        <v/>
      </c>
    </row>
    <row r="1866" spans="1:31" ht="18" customHeight="1" x14ac:dyDescent="0.3">
      <c r="A1866" s="2"/>
      <c r="B1866" s="65" t="str">
        <f>IF($C1866="","","GG"&amp;TEXT(ROW()-6,"00000"))</f>
        <v/>
      </c>
      <c r="C1866" s="66"/>
      <c r="D1866" s="60"/>
      <c r="E1866" s="61"/>
      <c r="F1866" s="61"/>
      <c r="G1866" s="67"/>
      <c r="H1866" s="60"/>
      <c r="I1866" s="60"/>
      <c r="J1866" s="61"/>
      <c r="K1866" s="61"/>
      <c r="L1866" s="60"/>
      <c r="M1866" s="74" t="str">
        <f>IF($C1866="","",IF($D1866="Gider",$E1866,IF($L1866&lt;&gt;"",$L1866,$H1866)))</f>
        <v/>
      </c>
      <c r="N1866" s="74" t="str">
        <f>IF($C1866="","",IF($D1866="Gider",$H1866,$E1866))</f>
        <v/>
      </c>
      <c r="O1866" s="73" t="str">
        <f>IF($C1866="","",DATE(YEAR($C1866),MONTH($C1866),1))</f>
        <v/>
      </c>
      <c r="P1866" s="65" t="str">
        <f ca="1">IF($C1866="","",IF(AND($D1866="Gelir",$L1866&lt;&gt;"",$T1866=""),"TANIMSIZ BORÇLU",IF($T1866&lt;&gt;"",IF(OR($E1866="",$G1866&lt;=0),"EKSİK",IF($I1866="Evet","TAHAKKUK NAKİT OLAMAZ",IF($C1866&gt;TODAY(),"İLERİ TARİH","TAHAKKUK"))),IF(AND($D1866&lt;&gt;"",$E1866&lt;&gt;"",$G1866&gt;0,$H1866&lt;&gt;"",$I1866&lt;&gt;""),IF($C1866&gt;TODAY(),"İLERİ TARİH",IF(COUNTIF($W$7:$W$3001,$W1866)&gt;1,"MÜKERRER?",IF($AD1866&gt;0,"KAPALI DÖNEM",IF($I1866="Hayır","ÖDENECEK","UYGUN")))),"EKSİK"))))</f>
        <v/>
      </c>
      <c r="Q1866" s="2"/>
      <c r="R1866" s="2"/>
      <c r="S1866" s="1" t="str">
        <f t="shared" si="89"/>
        <v/>
      </c>
      <c r="T1866" s="1" t="str">
        <f>IF(OR($C1866="",$D1866&lt;&gt;"Gelir",$L1866=""),"",IFERROR(INDEX(MUSTERILER!$B$7:$B$156,MATCH($S1866,MUSTERILER!$T$7:$T$156,0)),""))</f>
        <v/>
      </c>
      <c r="U1866" s="1" t="str">
        <f>IF($T1866="","",$T1866&amp;"|"&amp;COUNTIFS($T$7:$T1866,$T1866))</f>
        <v/>
      </c>
      <c r="V1866" s="1">
        <f t="shared" si="90"/>
        <v>0</v>
      </c>
      <c r="W1866" s="1" t="str">
        <f t="shared" si="91"/>
        <v/>
      </c>
      <c r="X1866" s="1"/>
      <c r="Y1866" s="1"/>
      <c r="Z1866" s="1"/>
      <c r="AA1866" s="1"/>
      <c r="AB1866" s="1"/>
      <c r="AC1866" s="1"/>
      <c r="AD1866" s="1">
        <f>IF($C1866="",0,SUMPRODUCT((AY_SONU!$O$7:$O$42="Evet")*(AY_SONU!$B$7:$B$42=DATE(YEAR($C1866),MONTH($C1866),1))))</f>
        <v>0</v>
      </c>
      <c r="AE1866" s="1" t="str">
        <f>IF($E1866="","",$E1866&amp;"|"&amp;COUNTIFS($E$7:$E1866,$E1866))</f>
        <v/>
      </c>
    </row>
    <row r="1867" spans="1:31" ht="18" customHeight="1" x14ac:dyDescent="0.3">
      <c r="A1867" s="2"/>
      <c r="B1867" s="65" t="str">
        <f>IF($C1867="","","GG"&amp;TEXT(ROW()-6,"00000"))</f>
        <v/>
      </c>
      <c r="C1867" s="66"/>
      <c r="D1867" s="60"/>
      <c r="E1867" s="61"/>
      <c r="F1867" s="61"/>
      <c r="G1867" s="67"/>
      <c r="H1867" s="60"/>
      <c r="I1867" s="60"/>
      <c r="J1867" s="61"/>
      <c r="K1867" s="61"/>
      <c r="L1867" s="60"/>
      <c r="M1867" s="74" t="str">
        <f>IF($C1867="","",IF($D1867="Gider",$E1867,IF($L1867&lt;&gt;"",$L1867,$H1867)))</f>
        <v/>
      </c>
      <c r="N1867" s="74" t="str">
        <f>IF($C1867="","",IF($D1867="Gider",$H1867,$E1867))</f>
        <v/>
      </c>
      <c r="O1867" s="73" t="str">
        <f>IF($C1867="","",DATE(YEAR($C1867),MONTH($C1867),1))</f>
        <v/>
      </c>
      <c r="P1867" s="65" t="str">
        <f ca="1">IF($C1867="","",IF(AND($D1867="Gelir",$L1867&lt;&gt;"",$T1867=""),"TANIMSIZ BORÇLU",IF($T1867&lt;&gt;"",IF(OR($E1867="",$G1867&lt;=0),"EKSİK",IF($I1867="Evet","TAHAKKUK NAKİT OLAMAZ",IF($C1867&gt;TODAY(),"İLERİ TARİH","TAHAKKUK"))),IF(AND($D1867&lt;&gt;"",$E1867&lt;&gt;"",$G1867&gt;0,$H1867&lt;&gt;"",$I1867&lt;&gt;""),IF($C1867&gt;TODAY(),"İLERİ TARİH",IF(COUNTIF($W$7:$W$3001,$W1867)&gt;1,"MÜKERRER?",IF($AD1867&gt;0,"KAPALI DÖNEM",IF($I1867="Hayır","ÖDENECEK","UYGUN")))),"EKSİK"))))</f>
        <v/>
      </c>
      <c r="Q1867" s="2"/>
      <c r="R1867" s="2"/>
      <c r="S1867" s="1" t="str">
        <f t="shared" si="89"/>
        <v/>
      </c>
      <c r="T1867" s="1" t="str">
        <f>IF(OR($C1867="",$D1867&lt;&gt;"Gelir",$L1867=""),"",IFERROR(INDEX(MUSTERILER!$B$7:$B$156,MATCH($S1867,MUSTERILER!$T$7:$T$156,0)),""))</f>
        <v/>
      </c>
      <c r="U1867" s="1" t="str">
        <f>IF($T1867="","",$T1867&amp;"|"&amp;COUNTIFS($T$7:$T1867,$T1867))</f>
        <v/>
      </c>
      <c r="V1867" s="1">
        <f t="shared" si="90"/>
        <v>0</v>
      </c>
      <c r="W1867" s="1" t="str">
        <f t="shared" si="91"/>
        <v/>
      </c>
      <c r="X1867" s="1"/>
      <c r="Y1867" s="1"/>
      <c r="Z1867" s="1"/>
      <c r="AA1867" s="1"/>
      <c r="AB1867" s="1"/>
      <c r="AC1867" s="1"/>
      <c r="AD1867" s="1">
        <f>IF($C1867="",0,SUMPRODUCT((AY_SONU!$O$7:$O$42="Evet")*(AY_SONU!$B$7:$B$42=DATE(YEAR($C1867),MONTH($C1867),1))))</f>
        <v>0</v>
      </c>
      <c r="AE1867" s="1" t="str">
        <f>IF($E1867="","",$E1867&amp;"|"&amp;COUNTIFS($E$7:$E1867,$E1867))</f>
        <v/>
      </c>
    </row>
    <row r="1868" spans="1:31" ht="18" customHeight="1" x14ac:dyDescent="0.3">
      <c r="A1868" s="2"/>
      <c r="B1868" s="65" t="str">
        <f>IF($C1868="","","GG"&amp;TEXT(ROW()-6,"00000"))</f>
        <v/>
      </c>
      <c r="C1868" s="66"/>
      <c r="D1868" s="60"/>
      <c r="E1868" s="61"/>
      <c r="F1868" s="61"/>
      <c r="G1868" s="67"/>
      <c r="H1868" s="60"/>
      <c r="I1868" s="60"/>
      <c r="J1868" s="61"/>
      <c r="K1868" s="61"/>
      <c r="L1868" s="60"/>
      <c r="M1868" s="74" t="str">
        <f>IF($C1868="","",IF($D1868="Gider",$E1868,IF($L1868&lt;&gt;"",$L1868,$H1868)))</f>
        <v/>
      </c>
      <c r="N1868" s="74" t="str">
        <f>IF($C1868="","",IF($D1868="Gider",$H1868,$E1868))</f>
        <v/>
      </c>
      <c r="O1868" s="73" t="str">
        <f>IF($C1868="","",DATE(YEAR($C1868),MONTH($C1868),1))</f>
        <v/>
      </c>
      <c r="P1868" s="65" t="str">
        <f ca="1">IF($C1868="","",IF(AND($D1868="Gelir",$L1868&lt;&gt;"",$T1868=""),"TANIMSIZ BORÇLU",IF($T1868&lt;&gt;"",IF(OR($E1868="",$G1868&lt;=0),"EKSİK",IF($I1868="Evet","TAHAKKUK NAKİT OLAMAZ",IF($C1868&gt;TODAY(),"İLERİ TARİH","TAHAKKUK"))),IF(AND($D1868&lt;&gt;"",$E1868&lt;&gt;"",$G1868&gt;0,$H1868&lt;&gt;"",$I1868&lt;&gt;""),IF($C1868&gt;TODAY(),"İLERİ TARİH",IF(COUNTIF($W$7:$W$3001,$W1868)&gt;1,"MÜKERRER?",IF($AD1868&gt;0,"KAPALI DÖNEM",IF($I1868="Hayır","ÖDENECEK","UYGUN")))),"EKSİK"))))</f>
        <v/>
      </c>
      <c r="Q1868" s="2"/>
      <c r="R1868" s="2"/>
      <c r="S1868" s="1" t="str">
        <f t="shared" si="89"/>
        <v/>
      </c>
      <c r="T1868" s="1" t="str">
        <f>IF(OR($C1868="",$D1868&lt;&gt;"Gelir",$L1868=""),"",IFERROR(INDEX(MUSTERILER!$B$7:$B$156,MATCH($S1868,MUSTERILER!$T$7:$T$156,0)),""))</f>
        <v/>
      </c>
      <c r="U1868" s="1" t="str">
        <f>IF($T1868="","",$T1868&amp;"|"&amp;COUNTIFS($T$7:$T1868,$T1868))</f>
        <v/>
      </c>
      <c r="V1868" s="1">
        <f t="shared" si="90"/>
        <v>0</v>
      </c>
      <c r="W1868" s="1" t="str">
        <f t="shared" si="91"/>
        <v/>
      </c>
      <c r="X1868" s="1"/>
      <c r="Y1868" s="1"/>
      <c r="Z1868" s="1"/>
      <c r="AA1868" s="1"/>
      <c r="AB1868" s="1"/>
      <c r="AC1868" s="1"/>
      <c r="AD1868" s="1">
        <f>IF($C1868="",0,SUMPRODUCT((AY_SONU!$O$7:$O$42="Evet")*(AY_SONU!$B$7:$B$42=DATE(YEAR($C1868),MONTH($C1868),1))))</f>
        <v>0</v>
      </c>
      <c r="AE1868" s="1" t="str">
        <f>IF($E1868="","",$E1868&amp;"|"&amp;COUNTIFS($E$7:$E1868,$E1868))</f>
        <v/>
      </c>
    </row>
    <row r="1869" spans="1:31" ht="18" customHeight="1" x14ac:dyDescent="0.3">
      <c r="A1869" s="2"/>
      <c r="B1869" s="65" t="str">
        <f>IF($C1869="","","GG"&amp;TEXT(ROW()-6,"00000"))</f>
        <v/>
      </c>
      <c r="C1869" s="66"/>
      <c r="D1869" s="60"/>
      <c r="E1869" s="61"/>
      <c r="F1869" s="61"/>
      <c r="G1869" s="67"/>
      <c r="H1869" s="60"/>
      <c r="I1869" s="60"/>
      <c r="J1869" s="61"/>
      <c r="K1869" s="61"/>
      <c r="L1869" s="60"/>
      <c r="M1869" s="74" t="str">
        <f>IF($C1869="","",IF($D1869="Gider",$E1869,IF($L1869&lt;&gt;"",$L1869,$H1869)))</f>
        <v/>
      </c>
      <c r="N1869" s="74" t="str">
        <f>IF($C1869="","",IF($D1869="Gider",$H1869,$E1869))</f>
        <v/>
      </c>
      <c r="O1869" s="73" t="str">
        <f>IF($C1869="","",DATE(YEAR($C1869),MONTH($C1869),1))</f>
        <v/>
      </c>
      <c r="P1869" s="65" t="str">
        <f ca="1">IF($C1869="","",IF(AND($D1869="Gelir",$L1869&lt;&gt;"",$T1869=""),"TANIMSIZ BORÇLU",IF($T1869&lt;&gt;"",IF(OR($E1869="",$G1869&lt;=0),"EKSİK",IF($I1869="Evet","TAHAKKUK NAKİT OLAMAZ",IF($C1869&gt;TODAY(),"İLERİ TARİH","TAHAKKUK"))),IF(AND($D1869&lt;&gt;"",$E1869&lt;&gt;"",$G1869&gt;0,$H1869&lt;&gt;"",$I1869&lt;&gt;""),IF($C1869&gt;TODAY(),"İLERİ TARİH",IF(COUNTIF($W$7:$W$3001,$W1869)&gt;1,"MÜKERRER?",IF($AD1869&gt;0,"KAPALI DÖNEM",IF($I1869="Hayır","ÖDENECEK","UYGUN")))),"EKSİK"))))</f>
        <v/>
      </c>
      <c r="Q1869" s="2"/>
      <c r="R1869" s="2"/>
      <c r="S1869" s="1" t="str">
        <f t="shared" si="89"/>
        <v/>
      </c>
      <c r="T1869" s="1" t="str">
        <f>IF(OR($C1869="",$D1869&lt;&gt;"Gelir",$L1869=""),"",IFERROR(INDEX(MUSTERILER!$B$7:$B$156,MATCH($S1869,MUSTERILER!$T$7:$T$156,0)),""))</f>
        <v/>
      </c>
      <c r="U1869" s="1" t="str">
        <f>IF($T1869="","",$T1869&amp;"|"&amp;COUNTIFS($T$7:$T1869,$T1869))</f>
        <v/>
      </c>
      <c r="V1869" s="1">
        <f t="shared" si="90"/>
        <v>0</v>
      </c>
      <c r="W1869" s="1" t="str">
        <f t="shared" si="91"/>
        <v/>
      </c>
      <c r="X1869" s="1"/>
      <c r="Y1869" s="1"/>
      <c r="Z1869" s="1"/>
      <c r="AA1869" s="1"/>
      <c r="AB1869" s="1"/>
      <c r="AC1869" s="1"/>
      <c r="AD1869" s="1">
        <f>IF($C1869="",0,SUMPRODUCT((AY_SONU!$O$7:$O$42="Evet")*(AY_SONU!$B$7:$B$42=DATE(YEAR($C1869),MONTH($C1869),1))))</f>
        <v>0</v>
      </c>
      <c r="AE1869" s="1" t="str">
        <f>IF($E1869="","",$E1869&amp;"|"&amp;COUNTIFS($E$7:$E1869,$E1869))</f>
        <v/>
      </c>
    </row>
    <row r="1870" spans="1:31" ht="18" customHeight="1" x14ac:dyDescent="0.3">
      <c r="A1870" s="2"/>
      <c r="B1870" s="65" t="str">
        <f>IF($C1870="","","GG"&amp;TEXT(ROW()-6,"00000"))</f>
        <v/>
      </c>
      <c r="C1870" s="66"/>
      <c r="D1870" s="60"/>
      <c r="E1870" s="61"/>
      <c r="F1870" s="61"/>
      <c r="G1870" s="67"/>
      <c r="H1870" s="60"/>
      <c r="I1870" s="60"/>
      <c r="J1870" s="61"/>
      <c r="K1870" s="61"/>
      <c r="L1870" s="60"/>
      <c r="M1870" s="74" t="str">
        <f>IF($C1870="","",IF($D1870="Gider",$E1870,IF($L1870&lt;&gt;"",$L1870,$H1870)))</f>
        <v/>
      </c>
      <c r="N1870" s="74" t="str">
        <f>IF($C1870="","",IF($D1870="Gider",$H1870,$E1870))</f>
        <v/>
      </c>
      <c r="O1870" s="73" t="str">
        <f>IF($C1870="","",DATE(YEAR($C1870),MONTH($C1870),1))</f>
        <v/>
      </c>
      <c r="P1870" s="65" t="str">
        <f ca="1">IF($C1870="","",IF(AND($D1870="Gelir",$L1870&lt;&gt;"",$T1870=""),"TANIMSIZ BORÇLU",IF($T1870&lt;&gt;"",IF(OR($E1870="",$G1870&lt;=0),"EKSİK",IF($I1870="Evet","TAHAKKUK NAKİT OLAMAZ",IF($C1870&gt;TODAY(),"İLERİ TARİH","TAHAKKUK"))),IF(AND($D1870&lt;&gt;"",$E1870&lt;&gt;"",$G1870&gt;0,$H1870&lt;&gt;"",$I1870&lt;&gt;""),IF($C1870&gt;TODAY(),"İLERİ TARİH",IF(COUNTIF($W$7:$W$3001,$W1870)&gt;1,"MÜKERRER?",IF($AD1870&gt;0,"KAPALI DÖNEM",IF($I1870="Hayır","ÖDENECEK","UYGUN")))),"EKSİK"))))</f>
        <v/>
      </c>
      <c r="Q1870" s="2"/>
      <c r="R1870" s="2"/>
      <c r="S1870" s="1" t="str">
        <f t="shared" si="89"/>
        <v/>
      </c>
      <c r="T1870" s="1" t="str">
        <f>IF(OR($C1870="",$D1870&lt;&gt;"Gelir",$L1870=""),"",IFERROR(INDEX(MUSTERILER!$B$7:$B$156,MATCH($S1870,MUSTERILER!$T$7:$T$156,0)),""))</f>
        <v/>
      </c>
      <c r="U1870" s="1" t="str">
        <f>IF($T1870="","",$T1870&amp;"|"&amp;COUNTIFS($T$7:$T1870,$T1870))</f>
        <v/>
      </c>
      <c r="V1870" s="1">
        <f t="shared" si="90"/>
        <v>0</v>
      </c>
      <c r="W1870" s="1" t="str">
        <f t="shared" si="91"/>
        <v/>
      </c>
      <c r="X1870" s="1"/>
      <c r="Y1870" s="1"/>
      <c r="Z1870" s="1"/>
      <c r="AA1870" s="1"/>
      <c r="AB1870" s="1"/>
      <c r="AC1870" s="1"/>
      <c r="AD1870" s="1">
        <f>IF($C1870="",0,SUMPRODUCT((AY_SONU!$O$7:$O$42="Evet")*(AY_SONU!$B$7:$B$42=DATE(YEAR($C1870),MONTH($C1870),1))))</f>
        <v>0</v>
      </c>
      <c r="AE1870" s="1" t="str">
        <f>IF($E1870="","",$E1870&amp;"|"&amp;COUNTIFS($E$7:$E1870,$E1870))</f>
        <v/>
      </c>
    </row>
    <row r="1871" spans="1:31" ht="18" customHeight="1" x14ac:dyDescent="0.3">
      <c r="A1871" s="2"/>
      <c r="B1871" s="65" t="str">
        <f>IF($C1871="","","GG"&amp;TEXT(ROW()-6,"00000"))</f>
        <v/>
      </c>
      <c r="C1871" s="66"/>
      <c r="D1871" s="60"/>
      <c r="E1871" s="61"/>
      <c r="F1871" s="61"/>
      <c r="G1871" s="67"/>
      <c r="H1871" s="60"/>
      <c r="I1871" s="60"/>
      <c r="J1871" s="61"/>
      <c r="K1871" s="61"/>
      <c r="L1871" s="60"/>
      <c r="M1871" s="74" t="str">
        <f>IF($C1871="","",IF($D1871="Gider",$E1871,IF($L1871&lt;&gt;"",$L1871,$H1871)))</f>
        <v/>
      </c>
      <c r="N1871" s="74" t="str">
        <f>IF($C1871="","",IF($D1871="Gider",$H1871,$E1871))</f>
        <v/>
      </c>
      <c r="O1871" s="73" t="str">
        <f>IF($C1871="","",DATE(YEAR($C1871),MONTH($C1871),1))</f>
        <v/>
      </c>
      <c r="P1871" s="65" t="str">
        <f ca="1">IF($C1871="","",IF(AND($D1871="Gelir",$L1871&lt;&gt;"",$T1871=""),"TANIMSIZ BORÇLU",IF($T1871&lt;&gt;"",IF(OR($E1871="",$G1871&lt;=0),"EKSİK",IF($I1871="Evet","TAHAKKUK NAKİT OLAMAZ",IF($C1871&gt;TODAY(),"İLERİ TARİH","TAHAKKUK"))),IF(AND($D1871&lt;&gt;"",$E1871&lt;&gt;"",$G1871&gt;0,$H1871&lt;&gt;"",$I1871&lt;&gt;""),IF($C1871&gt;TODAY(),"İLERİ TARİH",IF(COUNTIF($W$7:$W$3001,$W1871)&gt;1,"MÜKERRER?",IF($AD1871&gt;0,"KAPALI DÖNEM",IF($I1871="Hayır","ÖDENECEK","UYGUN")))),"EKSİK"))))</f>
        <v/>
      </c>
      <c r="Q1871" s="2"/>
      <c r="R1871" s="2"/>
      <c r="S1871" s="1" t="str">
        <f t="shared" si="89"/>
        <v/>
      </c>
      <c r="T1871" s="1" t="str">
        <f>IF(OR($C1871="",$D1871&lt;&gt;"Gelir",$L1871=""),"",IFERROR(INDEX(MUSTERILER!$B$7:$B$156,MATCH($S1871,MUSTERILER!$T$7:$T$156,0)),""))</f>
        <v/>
      </c>
      <c r="U1871" s="1" t="str">
        <f>IF($T1871="","",$T1871&amp;"|"&amp;COUNTIFS($T$7:$T1871,$T1871))</f>
        <v/>
      </c>
      <c r="V1871" s="1">
        <f t="shared" si="90"/>
        <v>0</v>
      </c>
      <c r="W1871" s="1" t="str">
        <f t="shared" si="91"/>
        <v/>
      </c>
      <c r="X1871" s="1"/>
      <c r="Y1871" s="1"/>
      <c r="Z1871" s="1"/>
      <c r="AA1871" s="1"/>
      <c r="AB1871" s="1"/>
      <c r="AC1871" s="1"/>
      <c r="AD1871" s="1">
        <f>IF($C1871="",0,SUMPRODUCT((AY_SONU!$O$7:$O$42="Evet")*(AY_SONU!$B$7:$B$42=DATE(YEAR($C1871),MONTH($C1871),1))))</f>
        <v>0</v>
      </c>
      <c r="AE1871" s="1" t="str">
        <f>IF($E1871="","",$E1871&amp;"|"&amp;COUNTIFS($E$7:$E1871,$E1871))</f>
        <v/>
      </c>
    </row>
    <row r="1872" spans="1:31" ht="18" customHeight="1" x14ac:dyDescent="0.3">
      <c r="A1872" s="2"/>
      <c r="B1872" s="65" t="str">
        <f>IF($C1872="","","GG"&amp;TEXT(ROW()-6,"00000"))</f>
        <v/>
      </c>
      <c r="C1872" s="66"/>
      <c r="D1872" s="60"/>
      <c r="E1872" s="61"/>
      <c r="F1872" s="61"/>
      <c r="G1872" s="67"/>
      <c r="H1872" s="60"/>
      <c r="I1872" s="60"/>
      <c r="J1872" s="61"/>
      <c r="K1872" s="61"/>
      <c r="L1872" s="60"/>
      <c r="M1872" s="74" t="str">
        <f>IF($C1872="","",IF($D1872="Gider",$E1872,IF($L1872&lt;&gt;"",$L1872,$H1872)))</f>
        <v/>
      </c>
      <c r="N1872" s="74" t="str">
        <f>IF($C1872="","",IF($D1872="Gider",$H1872,$E1872))</f>
        <v/>
      </c>
      <c r="O1872" s="73" t="str">
        <f>IF($C1872="","",DATE(YEAR($C1872),MONTH($C1872),1))</f>
        <v/>
      </c>
      <c r="P1872" s="65" t="str">
        <f ca="1">IF($C1872="","",IF(AND($D1872="Gelir",$L1872&lt;&gt;"",$T1872=""),"TANIMSIZ BORÇLU",IF($T1872&lt;&gt;"",IF(OR($E1872="",$G1872&lt;=0),"EKSİK",IF($I1872="Evet","TAHAKKUK NAKİT OLAMAZ",IF($C1872&gt;TODAY(),"İLERİ TARİH","TAHAKKUK"))),IF(AND($D1872&lt;&gt;"",$E1872&lt;&gt;"",$G1872&gt;0,$H1872&lt;&gt;"",$I1872&lt;&gt;""),IF($C1872&gt;TODAY(),"İLERİ TARİH",IF(COUNTIF($W$7:$W$3001,$W1872)&gt;1,"MÜKERRER?",IF($AD1872&gt;0,"KAPALI DÖNEM",IF($I1872="Hayır","ÖDENECEK","UYGUN")))),"EKSİK"))))</f>
        <v/>
      </c>
      <c r="Q1872" s="2"/>
      <c r="R1872" s="2"/>
      <c r="S1872" s="1" t="str">
        <f t="shared" si="89"/>
        <v/>
      </c>
      <c r="T1872" s="1" t="str">
        <f>IF(OR($C1872="",$D1872&lt;&gt;"Gelir",$L1872=""),"",IFERROR(INDEX(MUSTERILER!$B$7:$B$156,MATCH($S1872,MUSTERILER!$T$7:$T$156,0)),""))</f>
        <v/>
      </c>
      <c r="U1872" s="1" t="str">
        <f>IF($T1872="","",$T1872&amp;"|"&amp;COUNTIFS($T$7:$T1872,$T1872))</f>
        <v/>
      </c>
      <c r="V1872" s="1">
        <f t="shared" si="90"/>
        <v>0</v>
      </c>
      <c r="W1872" s="1" t="str">
        <f t="shared" si="91"/>
        <v/>
      </c>
      <c r="X1872" s="1"/>
      <c r="Y1872" s="1"/>
      <c r="Z1872" s="1"/>
      <c r="AA1872" s="1"/>
      <c r="AB1872" s="1"/>
      <c r="AC1872" s="1"/>
      <c r="AD1872" s="1">
        <f>IF($C1872="",0,SUMPRODUCT((AY_SONU!$O$7:$O$42="Evet")*(AY_SONU!$B$7:$B$42=DATE(YEAR($C1872),MONTH($C1872),1))))</f>
        <v>0</v>
      </c>
      <c r="AE1872" s="1" t="str">
        <f>IF($E1872="","",$E1872&amp;"|"&amp;COUNTIFS($E$7:$E1872,$E1872))</f>
        <v/>
      </c>
    </row>
    <row r="1873" spans="1:31" ht="18" customHeight="1" x14ac:dyDescent="0.3">
      <c r="A1873" s="2"/>
      <c r="B1873" s="65" t="str">
        <f>IF($C1873="","","GG"&amp;TEXT(ROW()-6,"00000"))</f>
        <v/>
      </c>
      <c r="C1873" s="66"/>
      <c r="D1873" s="60"/>
      <c r="E1873" s="61"/>
      <c r="F1873" s="61"/>
      <c r="G1873" s="67"/>
      <c r="H1873" s="60"/>
      <c r="I1873" s="60"/>
      <c r="J1873" s="61"/>
      <c r="K1873" s="61"/>
      <c r="L1873" s="60"/>
      <c r="M1873" s="74" t="str">
        <f>IF($C1873="","",IF($D1873="Gider",$E1873,IF($L1873&lt;&gt;"",$L1873,$H1873)))</f>
        <v/>
      </c>
      <c r="N1873" s="74" t="str">
        <f>IF($C1873="","",IF($D1873="Gider",$H1873,$E1873))</f>
        <v/>
      </c>
      <c r="O1873" s="73" t="str">
        <f>IF($C1873="","",DATE(YEAR($C1873),MONTH($C1873),1))</f>
        <v/>
      </c>
      <c r="P1873" s="65" t="str">
        <f ca="1">IF($C1873="","",IF(AND($D1873="Gelir",$L1873&lt;&gt;"",$T1873=""),"TANIMSIZ BORÇLU",IF($T1873&lt;&gt;"",IF(OR($E1873="",$G1873&lt;=0),"EKSİK",IF($I1873="Evet","TAHAKKUK NAKİT OLAMAZ",IF($C1873&gt;TODAY(),"İLERİ TARİH","TAHAKKUK"))),IF(AND($D1873&lt;&gt;"",$E1873&lt;&gt;"",$G1873&gt;0,$H1873&lt;&gt;"",$I1873&lt;&gt;""),IF($C1873&gt;TODAY(),"İLERİ TARİH",IF(COUNTIF($W$7:$W$3001,$W1873)&gt;1,"MÜKERRER?",IF($AD1873&gt;0,"KAPALI DÖNEM",IF($I1873="Hayır","ÖDENECEK","UYGUN")))),"EKSİK"))))</f>
        <v/>
      </c>
      <c r="Q1873" s="2"/>
      <c r="R1873" s="2"/>
      <c r="S1873" s="1" t="str">
        <f t="shared" si="89"/>
        <v/>
      </c>
      <c r="T1873" s="1" t="str">
        <f>IF(OR($C1873="",$D1873&lt;&gt;"Gelir",$L1873=""),"",IFERROR(INDEX(MUSTERILER!$B$7:$B$156,MATCH($S1873,MUSTERILER!$T$7:$T$156,0)),""))</f>
        <v/>
      </c>
      <c r="U1873" s="1" t="str">
        <f>IF($T1873="","",$T1873&amp;"|"&amp;COUNTIFS($T$7:$T1873,$T1873))</f>
        <v/>
      </c>
      <c r="V1873" s="1">
        <f t="shared" si="90"/>
        <v>0</v>
      </c>
      <c r="W1873" s="1" t="str">
        <f t="shared" si="91"/>
        <v/>
      </c>
      <c r="X1873" s="1"/>
      <c r="Y1873" s="1"/>
      <c r="Z1873" s="1"/>
      <c r="AA1873" s="1"/>
      <c r="AB1873" s="1"/>
      <c r="AC1873" s="1"/>
      <c r="AD1873" s="1">
        <f>IF($C1873="",0,SUMPRODUCT((AY_SONU!$O$7:$O$42="Evet")*(AY_SONU!$B$7:$B$42=DATE(YEAR($C1873),MONTH($C1873),1))))</f>
        <v>0</v>
      </c>
      <c r="AE1873" s="1" t="str">
        <f>IF($E1873="","",$E1873&amp;"|"&amp;COUNTIFS($E$7:$E1873,$E1873))</f>
        <v/>
      </c>
    </row>
    <row r="1874" spans="1:31" ht="18" customHeight="1" x14ac:dyDescent="0.3">
      <c r="A1874" s="2"/>
      <c r="B1874" s="65" t="str">
        <f>IF($C1874="","","GG"&amp;TEXT(ROW()-6,"00000"))</f>
        <v/>
      </c>
      <c r="C1874" s="66"/>
      <c r="D1874" s="60"/>
      <c r="E1874" s="61"/>
      <c r="F1874" s="61"/>
      <c r="G1874" s="67"/>
      <c r="H1874" s="60"/>
      <c r="I1874" s="60"/>
      <c r="J1874" s="61"/>
      <c r="K1874" s="61"/>
      <c r="L1874" s="60"/>
      <c r="M1874" s="74" t="str">
        <f>IF($C1874="","",IF($D1874="Gider",$E1874,IF($L1874&lt;&gt;"",$L1874,$H1874)))</f>
        <v/>
      </c>
      <c r="N1874" s="74" t="str">
        <f>IF($C1874="","",IF($D1874="Gider",$H1874,$E1874))</f>
        <v/>
      </c>
      <c r="O1874" s="73" t="str">
        <f>IF($C1874="","",DATE(YEAR($C1874),MONTH($C1874),1))</f>
        <v/>
      </c>
      <c r="P1874" s="65" t="str">
        <f ca="1">IF($C1874="","",IF(AND($D1874="Gelir",$L1874&lt;&gt;"",$T1874=""),"TANIMSIZ BORÇLU",IF($T1874&lt;&gt;"",IF(OR($E1874="",$G1874&lt;=0),"EKSİK",IF($I1874="Evet","TAHAKKUK NAKİT OLAMAZ",IF($C1874&gt;TODAY(),"İLERİ TARİH","TAHAKKUK"))),IF(AND($D1874&lt;&gt;"",$E1874&lt;&gt;"",$G1874&gt;0,$H1874&lt;&gt;"",$I1874&lt;&gt;""),IF($C1874&gt;TODAY(),"İLERİ TARİH",IF(COUNTIF($W$7:$W$3001,$W1874)&gt;1,"MÜKERRER?",IF($AD1874&gt;0,"KAPALI DÖNEM",IF($I1874="Hayır","ÖDENECEK","UYGUN")))),"EKSİK"))))</f>
        <v/>
      </c>
      <c r="Q1874" s="2"/>
      <c r="R1874" s="2"/>
      <c r="S1874" s="1" t="str">
        <f t="shared" si="89"/>
        <v/>
      </c>
      <c r="T1874" s="1" t="str">
        <f>IF(OR($C1874="",$D1874&lt;&gt;"Gelir",$L1874=""),"",IFERROR(INDEX(MUSTERILER!$B$7:$B$156,MATCH($S1874,MUSTERILER!$T$7:$T$156,0)),""))</f>
        <v/>
      </c>
      <c r="U1874" s="1" t="str">
        <f>IF($T1874="","",$T1874&amp;"|"&amp;COUNTIFS($T$7:$T1874,$T1874))</f>
        <v/>
      </c>
      <c r="V1874" s="1">
        <f t="shared" si="90"/>
        <v>0</v>
      </c>
      <c r="W1874" s="1" t="str">
        <f t="shared" si="91"/>
        <v/>
      </c>
      <c r="X1874" s="1"/>
      <c r="Y1874" s="1"/>
      <c r="Z1874" s="1"/>
      <c r="AA1874" s="1"/>
      <c r="AB1874" s="1"/>
      <c r="AC1874" s="1"/>
      <c r="AD1874" s="1">
        <f>IF($C1874="",0,SUMPRODUCT((AY_SONU!$O$7:$O$42="Evet")*(AY_SONU!$B$7:$B$42=DATE(YEAR($C1874),MONTH($C1874),1))))</f>
        <v>0</v>
      </c>
      <c r="AE1874" s="1" t="str">
        <f>IF($E1874="","",$E1874&amp;"|"&amp;COUNTIFS($E$7:$E1874,$E1874))</f>
        <v/>
      </c>
    </row>
    <row r="1875" spans="1:31" ht="18" customHeight="1" x14ac:dyDescent="0.3">
      <c r="A1875" s="2"/>
      <c r="B1875" s="65" t="str">
        <f>IF($C1875="","","GG"&amp;TEXT(ROW()-6,"00000"))</f>
        <v/>
      </c>
      <c r="C1875" s="66"/>
      <c r="D1875" s="60"/>
      <c r="E1875" s="61"/>
      <c r="F1875" s="61"/>
      <c r="G1875" s="67"/>
      <c r="H1875" s="60"/>
      <c r="I1875" s="60"/>
      <c r="J1875" s="61"/>
      <c r="K1875" s="61"/>
      <c r="L1875" s="60"/>
      <c r="M1875" s="74" t="str">
        <f>IF($C1875="","",IF($D1875="Gider",$E1875,IF($L1875&lt;&gt;"",$L1875,$H1875)))</f>
        <v/>
      </c>
      <c r="N1875" s="74" t="str">
        <f>IF($C1875="","",IF($D1875="Gider",$H1875,$E1875))</f>
        <v/>
      </c>
      <c r="O1875" s="73" t="str">
        <f>IF($C1875="","",DATE(YEAR($C1875),MONTH($C1875),1))</f>
        <v/>
      </c>
      <c r="P1875" s="65" t="str">
        <f ca="1">IF($C1875="","",IF(AND($D1875="Gelir",$L1875&lt;&gt;"",$T1875=""),"TANIMSIZ BORÇLU",IF($T1875&lt;&gt;"",IF(OR($E1875="",$G1875&lt;=0),"EKSİK",IF($I1875="Evet","TAHAKKUK NAKİT OLAMAZ",IF($C1875&gt;TODAY(),"İLERİ TARİH","TAHAKKUK"))),IF(AND($D1875&lt;&gt;"",$E1875&lt;&gt;"",$G1875&gt;0,$H1875&lt;&gt;"",$I1875&lt;&gt;""),IF($C1875&gt;TODAY(),"İLERİ TARİH",IF(COUNTIF($W$7:$W$3001,$W1875)&gt;1,"MÜKERRER?",IF($AD1875&gt;0,"KAPALI DÖNEM",IF($I1875="Hayır","ÖDENECEK","UYGUN")))),"EKSİK"))))</f>
        <v/>
      </c>
      <c r="Q1875" s="2"/>
      <c r="R1875" s="2"/>
      <c r="S1875" s="1" t="str">
        <f t="shared" si="89"/>
        <v/>
      </c>
      <c r="T1875" s="1" t="str">
        <f>IF(OR($C1875="",$D1875&lt;&gt;"Gelir",$L1875=""),"",IFERROR(INDEX(MUSTERILER!$B$7:$B$156,MATCH($S1875,MUSTERILER!$T$7:$T$156,0)),""))</f>
        <v/>
      </c>
      <c r="U1875" s="1" t="str">
        <f>IF($T1875="","",$T1875&amp;"|"&amp;COUNTIFS($T$7:$T1875,$T1875))</f>
        <v/>
      </c>
      <c r="V1875" s="1">
        <f t="shared" si="90"/>
        <v>0</v>
      </c>
      <c r="W1875" s="1" t="str">
        <f t="shared" si="91"/>
        <v/>
      </c>
      <c r="X1875" s="1"/>
      <c r="Y1875" s="1"/>
      <c r="Z1875" s="1"/>
      <c r="AA1875" s="1"/>
      <c r="AB1875" s="1"/>
      <c r="AC1875" s="1"/>
      <c r="AD1875" s="1">
        <f>IF($C1875="",0,SUMPRODUCT((AY_SONU!$O$7:$O$42="Evet")*(AY_SONU!$B$7:$B$42=DATE(YEAR($C1875),MONTH($C1875),1))))</f>
        <v>0</v>
      </c>
      <c r="AE1875" s="1" t="str">
        <f>IF($E1875="","",$E1875&amp;"|"&amp;COUNTIFS($E$7:$E1875,$E1875))</f>
        <v/>
      </c>
    </row>
    <row r="1876" spans="1:31" ht="18" customHeight="1" x14ac:dyDescent="0.3">
      <c r="A1876" s="2"/>
      <c r="B1876" s="65" t="str">
        <f>IF($C1876="","","GG"&amp;TEXT(ROW()-6,"00000"))</f>
        <v/>
      </c>
      <c r="C1876" s="66"/>
      <c r="D1876" s="60"/>
      <c r="E1876" s="61"/>
      <c r="F1876" s="61"/>
      <c r="G1876" s="67"/>
      <c r="H1876" s="60"/>
      <c r="I1876" s="60"/>
      <c r="J1876" s="61"/>
      <c r="K1876" s="61"/>
      <c r="L1876" s="60"/>
      <c r="M1876" s="74" t="str">
        <f>IF($C1876="","",IF($D1876="Gider",$E1876,IF($L1876&lt;&gt;"",$L1876,$H1876)))</f>
        <v/>
      </c>
      <c r="N1876" s="74" t="str">
        <f>IF($C1876="","",IF($D1876="Gider",$H1876,$E1876))</f>
        <v/>
      </c>
      <c r="O1876" s="73" t="str">
        <f>IF($C1876="","",DATE(YEAR($C1876),MONTH($C1876),1))</f>
        <v/>
      </c>
      <c r="P1876" s="65" t="str">
        <f ca="1">IF($C1876="","",IF(AND($D1876="Gelir",$L1876&lt;&gt;"",$T1876=""),"TANIMSIZ BORÇLU",IF($T1876&lt;&gt;"",IF(OR($E1876="",$G1876&lt;=0),"EKSİK",IF($I1876="Evet","TAHAKKUK NAKİT OLAMAZ",IF($C1876&gt;TODAY(),"İLERİ TARİH","TAHAKKUK"))),IF(AND($D1876&lt;&gt;"",$E1876&lt;&gt;"",$G1876&gt;0,$H1876&lt;&gt;"",$I1876&lt;&gt;""),IF($C1876&gt;TODAY(),"İLERİ TARİH",IF(COUNTIF($W$7:$W$3001,$W1876)&gt;1,"MÜKERRER?",IF($AD1876&gt;0,"KAPALI DÖNEM",IF($I1876="Hayır","ÖDENECEK","UYGUN")))),"EKSİK"))))</f>
        <v/>
      </c>
      <c r="Q1876" s="2"/>
      <c r="R1876" s="2"/>
      <c r="S1876" s="1" t="str">
        <f t="shared" si="89"/>
        <v/>
      </c>
      <c r="T1876" s="1" t="str">
        <f>IF(OR($C1876="",$D1876&lt;&gt;"Gelir",$L1876=""),"",IFERROR(INDEX(MUSTERILER!$B$7:$B$156,MATCH($S1876,MUSTERILER!$T$7:$T$156,0)),""))</f>
        <v/>
      </c>
      <c r="U1876" s="1" t="str">
        <f>IF($T1876="","",$T1876&amp;"|"&amp;COUNTIFS($T$7:$T1876,$T1876))</f>
        <v/>
      </c>
      <c r="V1876" s="1">
        <f t="shared" si="90"/>
        <v>0</v>
      </c>
      <c r="W1876" s="1" t="str">
        <f t="shared" si="91"/>
        <v/>
      </c>
      <c r="X1876" s="1"/>
      <c r="Y1876" s="1"/>
      <c r="Z1876" s="1"/>
      <c r="AA1876" s="1"/>
      <c r="AB1876" s="1"/>
      <c r="AC1876" s="1"/>
      <c r="AD1876" s="1">
        <f>IF($C1876="",0,SUMPRODUCT((AY_SONU!$O$7:$O$42="Evet")*(AY_SONU!$B$7:$B$42=DATE(YEAR($C1876),MONTH($C1876),1))))</f>
        <v>0</v>
      </c>
      <c r="AE1876" s="1" t="str">
        <f>IF($E1876="","",$E1876&amp;"|"&amp;COUNTIFS($E$7:$E1876,$E1876))</f>
        <v/>
      </c>
    </row>
    <row r="1877" spans="1:31" ht="18" customHeight="1" x14ac:dyDescent="0.3">
      <c r="A1877" s="2"/>
      <c r="B1877" s="65" t="str">
        <f>IF($C1877="","","GG"&amp;TEXT(ROW()-6,"00000"))</f>
        <v/>
      </c>
      <c r="C1877" s="66"/>
      <c r="D1877" s="60"/>
      <c r="E1877" s="61"/>
      <c r="F1877" s="61"/>
      <c r="G1877" s="67"/>
      <c r="H1877" s="60"/>
      <c r="I1877" s="60"/>
      <c r="J1877" s="61"/>
      <c r="K1877" s="61"/>
      <c r="L1877" s="60"/>
      <c r="M1877" s="74" t="str">
        <f>IF($C1877="","",IF($D1877="Gider",$E1877,IF($L1877&lt;&gt;"",$L1877,$H1877)))</f>
        <v/>
      </c>
      <c r="N1877" s="74" t="str">
        <f>IF($C1877="","",IF($D1877="Gider",$H1877,$E1877))</f>
        <v/>
      </c>
      <c r="O1877" s="73" t="str">
        <f>IF($C1877="","",DATE(YEAR($C1877),MONTH($C1877),1))</f>
        <v/>
      </c>
      <c r="P1877" s="65" t="str">
        <f ca="1">IF($C1877="","",IF(AND($D1877="Gelir",$L1877&lt;&gt;"",$T1877=""),"TANIMSIZ BORÇLU",IF($T1877&lt;&gt;"",IF(OR($E1877="",$G1877&lt;=0),"EKSİK",IF($I1877="Evet","TAHAKKUK NAKİT OLAMAZ",IF($C1877&gt;TODAY(),"İLERİ TARİH","TAHAKKUK"))),IF(AND($D1877&lt;&gt;"",$E1877&lt;&gt;"",$G1877&gt;0,$H1877&lt;&gt;"",$I1877&lt;&gt;""),IF($C1877&gt;TODAY(),"İLERİ TARİH",IF(COUNTIF($W$7:$W$3001,$W1877)&gt;1,"MÜKERRER?",IF($AD1877&gt;0,"KAPALI DÖNEM",IF($I1877="Hayır","ÖDENECEK","UYGUN")))),"EKSİK"))))</f>
        <v/>
      </c>
      <c r="Q1877" s="2"/>
      <c r="R1877" s="2"/>
      <c r="S1877" s="1" t="str">
        <f t="shared" si="89"/>
        <v/>
      </c>
      <c r="T1877" s="1" t="str">
        <f>IF(OR($C1877="",$D1877&lt;&gt;"Gelir",$L1877=""),"",IFERROR(INDEX(MUSTERILER!$B$7:$B$156,MATCH($S1877,MUSTERILER!$T$7:$T$156,0)),""))</f>
        <v/>
      </c>
      <c r="U1877" s="1" t="str">
        <f>IF($T1877="","",$T1877&amp;"|"&amp;COUNTIFS($T$7:$T1877,$T1877))</f>
        <v/>
      </c>
      <c r="V1877" s="1">
        <f t="shared" si="90"/>
        <v>0</v>
      </c>
      <c r="W1877" s="1" t="str">
        <f t="shared" si="91"/>
        <v/>
      </c>
      <c r="X1877" s="1"/>
      <c r="Y1877" s="1"/>
      <c r="Z1877" s="1"/>
      <c r="AA1877" s="1"/>
      <c r="AB1877" s="1"/>
      <c r="AC1877" s="1"/>
      <c r="AD1877" s="1">
        <f>IF($C1877="",0,SUMPRODUCT((AY_SONU!$O$7:$O$42="Evet")*(AY_SONU!$B$7:$B$42=DATE(YEAR($C1877),MONTH($C1877),1))))</f>
        <v>0</v>
      </c>
      <c r="AE1877" s="1" t="str">
        <f>IF($E1877="","",$E1877&amp;"|"&amp;COUNTIFS($E$7:$E1877,$E1877))</f>
        <v/>
      </c>
    </row>
    <row r="1878" spans="1:31" ht="18" customHeight="1" x14ac:dyDescent="0.3">
      <c r="A1878" s="2"/>
      <c r="B1878" s="65" t="str">
        <f>IF($C1878="","","GG"&amp;TEXT(ROW()-6,"00000"))</f>
        <v/>
      </c>
      <c r="C1878" s="66"/>
      <c r="D1878" s="60"/>
      <c r="E1878" s="61"/>
      <c r="F1878" s="61"/>
      <c r="G1878" s="67"/>
      <c r="H1878" s="60"/>
      <c r="I1878" s="60"/>
      <c r="J1878" s="61"/>
      <c r="K1878" s="61"/>
      <c r="L1878" s="60"/>
      <c r="M1878" s="74" t="str">
        <f>IF($C1878="","",IF($D1878="Gider",$E1878,IF($L1878&lt;&gt;"",$L1878,$H1878)))</f>
        <v/>
      </c>
      <c r="N1878" s="74" t="str">
        <f>IF($C1878="","",IF($D1878="Gider",$H1878,$E1878))</f>
        <v/>
      </c>
      <c r="O1878" s="73" t="str">
        <f>IF($C1878="","",DATE(YEAR($C1878),MONTH($C1878),1))</f>
        <v/>
      </c>
      <c r="P1878" s="65" t="str">
        <f ca="1">IF($C1878="","",IF(AND($D1878="Gelir",$L1878&lt;&gt;"",$T1878=""),"TANIMSIZ BORÇLU",IF($T1878&lt;&gt;"",IF(OR($E1878="",$G1878&lt;=0),"EKSİK",IF($I1878="Evet","TAHAKKUK NAKİT OLAMAZ",IF($C1878&gt;TODAY(),"İLERİ TARİH","TAHAKKUK"))),IF(AND($D1878&lt;&gt;"",$E1878&lt;&gt;"",$G1878&gt;0,$H1878&lt;&gt;"",$I1878&lt;&gt;""),IF($C1878&gt;TODAY(),"İLERİ TARİH",IF(COUNTIF($W$7:$W$3001,$W1878)&gt;1,"MÜKERRER?",IF($AD1878&gt;0,"KAPALI DÖNEM",IF($I1878="Hayır","ÖDENECEK","UYGUN")))),"EKSİK"))))</f>
        <v/>
      </c>
      <c r="Q1878" s="2"/>
      <c r="R1878" s="2"/>
      <c r="S1878" s="1" t="str">
        <f t="shared" si="89"/>
        <v/>
      </c>
      <c r="T1878" s="1" t="str">
        <f>IF(OR($C1878="",$D1878&lt;&gt;"Gelir",$L1878=""),"",IFERROR(INDEX(MUSTERILER!$B$7:$B$156,MATCH($S1878,MUSTERILER!$T$7:$T$156,0)),""))</f>
        <v/>
      </c>
      <c r="U1878" s="1" t="str">
        <f>IF($T1878="","",$T1878&amp;"|"&amp;COUNTIFS($T$7:$T1878,$T1878))</f>
        <v/>
      </c>
      <c r="V1878" s="1">
        <f t="shared" si="90"/>
        <v>0</v>
      </c>
      <c r="W1878" s="1" t="str">
        <f t="shared" si="91"/>
        <v/>
      </c>
      <c r="X1878" s="1"/>
      <c r="Y1878" s="1"/>
      <c r="Z1878" s="1"/>
      <c r="AA1878" s="1"/>
      <c r="AB1878" s="1"/>
      <c r="AC1878" s="1"/>
      <c r="AD1878" s="1">
        <f>IF($C1878="",0,SUMPRODUCT((AY_SONU!$O$7:$O$42="Evet")*(AY_SONU!$B$7:$B$42=DATE(YEAR($C1878),MONTH($C1878),1))))</f>
        <v>0</v>
      </c>
      <c r="AE1878" s="1" t="str">
        <f>IF($E1878="","",$E1878&amp;"|"&amp;COUNTIFS($E$7:$E1878,$E1878))</f>
        <v/>
      </c>
    </row>
    <row r="1879" spans="1:31" ht="18" customHeight="1" x14ac:dyDescent="0.3">
      <c r="A1879" s="2"/>
      <c r="B1879" s="65" t="str">
        <f>IF($C1879="","","GG"&amp;TEXT(ROW()-6,"00000"))</f>
        <v/>
      </c>
      <c r="C1879" s="66"/>
      <c r="D1879" s="60"/>
      <c r="E1879" s="61"/>
      <c r="F1879" s="61"/>
      <c r="G1879" s="67"/>
      <c r="H1879" s="60"/>
      <c r="I1879" s="60"/>
      <c r="J1879" s="61"/>
      <c r="K1879" s="61"/>
      <c r="L1879" s="60"/>
      <c r="M1879" s="74" t="str">
        <f>IF($C1879="","",IF($D1879="Gider",$E1879,IF($L1879&lt;&gt;"",$L1879,$H1879)))</f>
        <v/>
      </c>
      <c r="N1879" s="74" t="str">
        <f>IF($C1879="","",IF($D1879="Gider",$H1879,$E1879))</f>
        <v/>
      </c>
      <c r="O1879" s="73" t="str">
        <f>IF($C1879="","",DATE(YEAR($C1879),MONTH($C1879),1))</f>
        <v/>
      </c>
      <c r="P1879" s="65" t="str">
        <f ca="1">IF($C1879="","",IF(AND($D1879="Gelir",$L1879&lt;&gt;"",$T1879=""),"TANIMSIZ BORÇLU",IF($T1879&lt;&gt;"",IF(OR($E1879="",$G1879&lt;=0),"EKSİK",IF($I1879="Evet","TAHAKKUK NAKİT OLAMAZ",IF($C1879&gt;TODAY(),"İLERİ TARİH","TAHAKKUK"))),IF(AND($D1879&lt;&gt;"",$E1879&lt;&gt;"",$G1879&gt;0,$H1879&lt;&gt;"",$I1879&lt;&gt;""),IF($C1879&gt;TODAY(),"İLERİ TARİH",IF(COUNTIF($W$7:$W$3001,$W1879)&gt;1,"MÜKERRER?",IF($AD1879&gt;0,"KAPALI DÖNEM",IF($I1879="Hayır","ÖDENECEK","UYGUN")))),"EKSİK"))))</f>
        <v/>
      </c>
      <c r="Q1879" s="2"/>
      <c r="R1879" s="2"/>
      <c r="S1879" s="1" t="str">
        <f t="shared" si="89"/>
        <v/>
      </c>
      <c r="T1879" s="1" t="str">
        <f>IF(OR($C1879="",$D1879&lt;&gt;"Gelir",$L1879=""),"",IFERROR(INDEX(MUSTERILER!$B$7:$B$156,MATCH($S1879,MUSTERILER!$T$7:$T$156,0)),""))</f>
        <v/>
      </c>
      <c r="U1879" s="1" t="str">
        <f>IF($T1879="","",$T1879&amp;"|"&amp;COUNTIFS($T$7:$T1879,$T1879))</f>
        <v/>
      </c>
      <c r="V1879" s="1">
        <f t="shared" si="90"/>
        <v>0</v>
      </c>
      <c r="W1879" s="1" t="str">
        <f t="shared" si="91"/>
        <v/>
      </c>
      <c r="X1879" s="1"/>
      <c r="Y1879" s="1"/>
      <c r="Z1879" s="1"/>
      <c r="AA1879" s="1"/>
      <c r="AB1879" s="1"/>
      <c r="AC1879" s="1"/>
      <c r="AD1879" s="1">
        <f>IF($C1879="",0,SUMPRODUCT((AY_SONU!$O$7:$O$42="Evet")*(AY_SONU!$B$7:$B$42=DATE(YEAR($C1879),MONTH($C1879),1))))</f>
        <v>0</v>
      </c>
      <c r="AE1879" s="1" t="str">
        <f>IF($E1879="","",$E1879&amp;"|"&amp;COUNTIFS($E$7:$E1879,$E1879))</f>
        <v/>
      </c>
    </row>
    <row r="1880" spans="1:31" ht="18" customHeight="1" x14ac:dyDescent="0.3">
      <c r="A1880" s="2"/>
      <c r="B1880" s="65" t="str">
        <f>IF($C1880="","","GG"&amp;TEXT(ROW()-6,"00000"))</f>
        <v/>
      </c>
      <c r="C1880" s="66"/>
      <c r="D1880" s="60"/>
      <c r="E1880" s="61"/>
      <c r="F1880" s="61"/>
      <c r="G1880" s="67"/>
      <c r="H1880" s="60"/>
      <c r="I1880" s="60"/>
      <c r="J1880" s="61"/>
      <c r="K1880" s="61"/>
      <c r="L1880" s="60"/>
      <c r="M1880" s="74" t="str">
        <f>IF($C1880="","",IF($D1880="Gider",$E1880,IF($L1880&lt;&gt;"",$L1880,$H1880)))</f>
        <v/>
      </c>
      <c r="N1880" s="74" t="str">
        <f>IF($C1880="","",IF($D1880="Gider",$H1880,$E1880))</f>
        <v/>
      </c>
      <c r="O1880" s="73" t="str">
        <f>IF($C1880="","",DATE(YEAR($C1880),MONTH($C1880),1))</f>
        <v/>
      </c>
      <c r="P1880" s="65" t="str">
        <f ca="1">IF($C1880="","",IF(AND($D1880="Gelir",$L1880&lt;&gt;"",$T1880=""),"TANIMSIZ BORÇLU",IF($T1880&lt;&gt;"",IF(OR($E1880="",$G1880&lt;=0),"EKSİK",IF($I1880="Evet","TAHAKKUK NAKİT OLAMAZ",IF($C1880&gt;TODAY(),"İLERİ TARİH","TAHAKKUK"))),IF(AND($D1880&lt;&gt;"",$E1880&lt;&gt;"",$G1880&gt;0,$H1880&lt;&gt;"",$I1880&lt;&gt;""),IF($C1880&gt;TODAY(),"İLERİ TARİH",IF(COUNTIF($W$7:$W$3001,$W1880)&gt;1,"MÜKERRER?",IF($AD1880&gt;0,"KAPALI DÖNEM",IF($I1880="Hayır","ÖDENECEK","UYGUN")))),"EKSİK"))))</f>
        <v/>
      </c>
      <c r="Q1880" s="2"/>
      <c r="R1880" s="2"/>
      <c r="S1880" s="1" t="str">
        <f t="shared" si="89"/>
        <v/>
      </c>
      <c r="T1880" s="1" t="str">
        <f>IF(OR($C1880="",$D1880&lt;&gt;"Gelir",$L1880=""),"",IFERROR(INDEX(MUSTERILER!$B$7:$B$156,MATCH($S1880,MUSTERILER!$T$7:$T$156,0)),""))</f>
        <v/>
      </c>
      <c r="U1880" s="1" t="str">
        <f>IF($T1880="","",$T1880&amp;"|"&amp;COUNTIFS($T$7:$T1880,$T1880))</f>
        <v/>
      </c>
      <c r="V1880" s="1">
        <f t="shared" si="90"/>
        <v>0</v>
      </c>
      <c r="W1880" s="1" t="str">
        <f t="shared" si="91"/>
        <v/>
      </c>
      <c r="X1880" s="1"/>
      <c r="Y1880" s="1"/>
      <c r="Z1880" s="1"/>
      <c r="AA1880" s="1"/>
      <c r="AB1880" s="1"/>
      <c r="AC1880" s="1"/>
      <c r="AD1880" s="1">
        <f>IF($C1880="",0,SUMPRODUCT((AY_SONU!$O$7:$O$42="Evet")*(AY_SONU!$B$7:$B$42=DATE(YEAR($C1880),MONTH($C1880),1))))</f>
        <v>0</v>
      </c>
      <c r="AE1880" s="1" t="str">
        <f>IF($E1880="","",$E1880&amp;"|"&amp;COUNTIFS($E$7:$E1880,$E1880))</f>
        <v/>
      </c>
    </row>
    <row r="1881" spans="1:31" ht="18" customHeight="1" x14ac:dyDescent="0.3">
      <c r="A1881" s="2"/>
      <c r="B1881" s="65" t="str">
        <f>IF($C1881="","","GG"&amp;TEXT(ROW()-6,"00000"))</f>
        <v/>
      </c>
      <c r="C1881" s="66"/>
      <c r="D1881" s="60"/>
      <c r="E1881" s="61"/>
      <c r="F1881" s="61"/>
      <c r="G1881" s="67"/>
      <c r="H1881" s="60"/>
      <c r="I1881" s="60"/>
      <c r="J1881" s="61"/>
      <c r="K1881" s="61"/>
      <c r="L1881" s="60"/>
      <c r="M1881" s="74" t="str">
        <f>IF($C1881="","",IF($D1881="Gider",$E1881,IF($L1881&lt;&gt;"",$L1881,$H1881)))</f>
        <v/>
      </c>
      <c r="N1881" s="74" t="str">
        <f>IF($C1881="","",IF($D1881="Gider",$H1881,$E1881))</f>
        <v/>
      </c>
      <c r="O1881" s="73" t="str">
        <f>IF($C1881="","",DATE(YEAR($C1881),MONTH($C1881),1))</f>
        <v/>
      </c>
      <c r="P1881" s="65" t="str">
        <f ca="1">IF($C1881="","",IF(AND($D1881="Gelir",$L1881&lt;&gt;"",$T1881=""),"TANIMSIZ BORÇLU",IF($T1881&lt;&gt;"",IF(OR($E1881="",$G1881&lt;=0),"EKSİK",IF($I1881="Evet","TAHAKKUK NAKİT OLAMAZ",IF($C1881&gt;TODAY(),"İLERİ TARİH","TAHAKKUK"))),IF(AND($D1881&lt;&gt;"",$E1881&lt;&gt;"",$G1881&gt;0,$H1881&lt;&gt;"",$I1881&lt;&gt;""),IF($C1881&gt;TODAY(),"İLERİ TARİH",IF(COUNTIF($W$7:$W$3001,$W1881)&gt;1,"MÜKERRER?",IF($AD1881&gt;0,"KAPALI DÖNEM",IF($I1881="Hayır","ÖDENECEK","UYGUN")))),"EKSİK"))))</f>
        <v/>
      </c>
      <c r="Q1881" s="2"/>
      <c r="R1881" s="2"/>
      <c r="S1881" s="1" t="str">
        <f t="shared" si="89"/>
        <v/>
      </c>
      <c r="T1881" s="1" t="str">
        <f>IF(OR($C1881="",$D1881&lt;&gt;"Gelir",$L1881=""),"",IFERROR(INDEX(MUSTERILER!$B$7:$B$156,MATCH($S1881,MUSTERILER!$T$7:$T$156,0)),""))</f>
        <v/>
      </c>
      <c r="U1881" s="1" t="str">
        <f>IF($T1881="","",$T1881&amp;"|"&amp;COUNTIFS($T$7:$T1881,$T1881))</f>
        <v/>
      </c>
      <c r="V1881" s="1">
        <f t="shared" si="90"/>
        <v>0</v>
      </c>
      <c r="W1881" s="1" t="str">
        <f t="shared" si="91"/>
        <v/>
      </c>
      <c r="X1881" s="1"/>
      <c r="Y1881" s="1"/>
      <c r="Z1881" s="1"/>
      <c r="AA1881" s="1"/>
      <c r="AB1881" s="1"/>
      <c r="AC1881" s="1"/>
      <c r="AD1881" s="1">
        <f>IF($C1881="",0,SUMPRODUCT((AY_SONU!$O$7:$O$42="Evet")*(AY_SONU!$B$7:$B$42=DATE(YEAR($C1881),MONTH($C1881),1))))</f>
        <v>0</v>
      </c>
      <c r="AE1881" s="1" t="str">
        <f>IF($E1881="","",$E1881&amp;"|"&amp;COUNTIFS($E$7:$E1881,$E1881))</f>
        <v/>
      </c>
    </row>
    <row r="1882" spans="1:31" ht="18" customHeight="1" x14ac:dyDescent="0.3">
      <c r="A1882" s="2"/>
      <c r="B1882" s="65" t="str">
        <f>IF($C1882="","","GG"&amp;TEXT(ROW()-6,"00000"))</f>
        <v/>
      </c>
      <c r="C1882" s="66"/>
      <c r="D1882" s="60"/>
      <c r="E1882" s="61"/>
      <c r="F1882" s="61"/>
      <c r="G1882" s="67"/>
      <c r="H1882" s="60"/>
      <c r="I1882" s="60"/>
      <c r="J1882" s="61"/>
      <c r="K1882" s="61"/>
      <c r="L1882" s="60"/>
      <c r="M1882" s="74" t="str">
        <f>IF($C1882="","",IF($D1882="Gider",$E1882,IF($L1882&lt;&gt;"",$L1882,$H1882)))</f>
        <v/>
      </c>
      <c r="N1882" s="74" t="str">
        <f>IF($C1882="","",IF($D1882="Gider",$H1882,$E1882))</f>
        <v/>
      </c>
      <c r="O1882" s="73" t="str">
        <f>IF($C1882="","",DATE(YEAR($C1882),MONTH($C1882),1))</f>
        <v/>
      </c>
      <c r="P1882" s="65" t="str">
        <f ca="1">IF($C1882="","",IF(AND($D1882="Gelir",$L1882&lt;&gt;"",$T1882=""),"TANIMSIZ BORÇLU",IF($T1882&lt;&gt;"",IF(OR($E1882="",$G1882&lt;=0),"EKSİK",IF($I1882="Evet","TAHAKKUK NAKİT OLAMAZ",IF($C1882&gt;TODAY(),"İLERİ TARİH","TAHAKKUK"))),IF(AND($D1882&lt;&gt;"",$E1882&lt;&gt;"",$G1882&gt;0,$H1882&lt;&gt;"",$I1882&lt;&gt;""),IF($C1882&gt;TODAY(),"İLERİ TARİH",IF(COUNTIF($W$7:$W$3001,$W1882)&gt;1,"MÜKERRER?",IF($AD1882&gt;0,"KAPALI DÖNEM",IF($I1882="Hayır","ÖDENECEK","UYGUN")))),"EKSİK"))))</f>
        <v/>
      </c>
      <c r="Q1882" s="2"/>
      <c r="R1882" s="2"/>
      <c r="S1882" s="1" t="str">
        <f t="shared" si="89"/>
        <v/>
      </c>
      <c r="T1882" s="1" t="str">
        <f>IF(OR($C1882="",$D1882&lt;&gt;"Gelir",$L1882=""),"",IFERROR(INDEX(MUSTERILER!$B$7:$B$156,MATCH($S1882,MUSTERILER!$T$7:$T$156,0)),""))</f>
        <v/>
      </c>
      <c r="U1882" s="1" t="str">
        <f>IF($T1882="","",$T1882&amp;"|"&amp;COUNTIFS($T$7:$T1882,$T1882))</f>
        <v/>
      </c>
      <c r="V1882" s="1">
        <f t="shared" si="90"/>
        <v>0</v>
      </c>
      <c r="W1882" s="1" t="str">
        <f t="shared" si="91"/>
        <v/>
      </c>
      <c r="X1882" s="1"/>
      <c r="Y1882" s="1"/>
      <c r="Z1882" s="1"/>
      <c r="AA1882" s="1"/>
      <c r="AB1882" s="1"/>
      <c r="AC1882" s="1"/>
      <c r="AD1882" s="1">
        <f>IF($C1882="",0,SUMPRODUCT((AY_SONU!$O$7:$O$42="Evet")*(AY_SONU!$B$7:$B$42=DATE(YEAR($C1882),MONTH($C1882),1))))</f>
        <v>0</v>
      </c>
      <c r="AE1882" s="1" t="str">
        <f>IF($E1882="","",$E1882&amp;"|"&amp;COUNTIFS($E$7:$E1882,$E1882))</f>
        <v/>
      </c>
    </row>
    <row r="1883" spans="1:31" ht="18" customHeight="1" x14ac:dyDescent="0.3">
      <c r="A1883" s="2"/>
      <c r="B1883" s="65" t="str">
        <f>IF($C1883="","","GG"&amp;TEXT(ROW()-6,"00000"))</f>
        <v/>
      </c>
      <c r="C1883" s="66"/>
      <c r="D1883" s="60"/>
      <c r="E1883" s="61"/>
      <c r="F1883" s="61"/>
      <c r="G1883" s="67"/>
      <c r="H1883" s="60"/>
      <c r="I1883" s="60"/>
      <c r="J1883" s="61"/>
      <c r="K1883" s="61"/>
      <c r="L1883" s="60"/>
      <c r="M1883" s="74" t="str">
        <f>IF($C1883="","",IF($D1883="Gider",$E1883,IF($L1883&lt;&gt;"",$L1883,$H1883)))</f>
        <v/>
      </c>
      <c r="N1883" s="74" t="str">
        <f>IF($C1883="","",IF($D1883="Gider",$H1883,$E1883))</f>
        <v/>
      </c>
      <c r="O1883" s="73" t="str">
        <f>IF($C1883="","",DATE(YEAR($C1883),MONTH($C1883),1))</f>
        <v/>
      </c>
      <c r="P1883" s="65" t="str">
        <f ca="1">IF($C1883="","",IF(AND($D1883="Gelir",$L1883&lt;&gt;"",$T1883=""),"TANIMSIZ BORÇLU",IF($T1883&lt;&gt;"",IF(OR($E1883="",$G1883&lt;=0),"EKSİK",IF($I1883="Evet","TAHAKKUK NAKİT OLAMAZ",IF($C1883&gt;TODAY(),"İLERİ TARİH","TAHAKKUK"))),IF(AND($D1883&lt;&gt;"",$E1883&lt;&gt;"",$G1883&gt;0,$H1883&lt;&gt;"",$I1883&lt;&gt;""),IF($C1883&gt;TODAY(),"İLERİ TARİH",IF(COUNTIF($W$7:$W$3001,$W1883)&gt;1,"MÜKERRER?",IF($AD1883&gt;0,"KAPALI DÖNEM",IF($I1883="Hayır","ÖDENECEK","UYGUN")))),"EKSİK"))))</f>
        <v/>
      </c>
      <c r="Q1883" s="2"/>
      <c r="R1883" s="2"/>
      <c r="S1883" s="1" t="str">
        <f t="shared" si="89"/>
        <v/>
      </c>
      <c r="T1883" s="1" t="str">
        <f>IF(OR($C1883="",$D1883&lt;&gt;"Gelir",$L1883=""),"",IFERROR(INDEX(MUSTERILER!$B$7:$B$156,MATCH($S1883,MUSTERILER!$T$7:$T$156,0)),""))</f>
        <v/>
      </c>
      <c r="U1883" s="1" t="str">
        <f>IF($T1883="","",$T1883&amp;"|"&amp;COUNTIFS($T$7:$T1883,$T1883))</f>
        <v/>
      </c>
      <c r="V1883" s="1">
        <f t="shared" si="90"/>
        <v>0</v>
      </c>
      <c r="W1883" s="1" t="str">
        <f t="shared" si="91"/>
        <v/>
      </c>
      <c r="X1883" s="1"/>
      <c r="Y1883" s="1"/>
      <c r="Z1883" s="1"/>
      <c r="AA1883" s="1"/>
      <c r="AB1883" s="1"/>
      <c r="AC1883" s="1"/>
      <c r="AD1883" s="1">
        <f>IF($C1883="",0,SUMPRODUCT((AY_SONU!$O$7:$O$42="Evet")*(AY_SONU!$B$7:$B$42=DATE(YEAR($C1883),MONTH($C1883),1))))</f>
        <v>0</v>
      </c>
      <c r="AE1883" s="1" t="str">
        <f>IF($E1883="","",$E1883&amp;"|"&amp;COUNTIFS($E$7:$E1883,$E1883))</f>
        <v/>
      </c>
    </row>
    <row r="1884" spans="1:31" ht="18" customHeight="1" x14ac:dyDescent="0.3">
      <c r="A1884" s="2"/>
      <c r="B1884" s="65" t="str">
        <f>IF($C1884="","","GG"&amp;TEXT(ROW()-6,"00000"))</f>
        <v/>
      </c>
      <c r="C1884" s="66"/>
      <c r="D1884" s="60"/>
      <c r="E1884" s="61"/>
      <c r="F1884" s="61"/>
      <c r="G1884" s="67"/>
      <c r="H1884" s="60"/>
      <c r="I1884" s="60"/>
      <c r="J1884" s="61"/>
      <c r="K1884" s="61"/>
      <c r="L1884" s="60"/>
      <c r="M1884" s="74" t="str">
        <f>IF($C1884="","",IF($D1884="Gider",$E1884,IF($L1884&lt;&gt;"",$L1884,$H1884)))</f>
        <v/>
      </c>
      <c r="N1884" s="74" t="str">
        <f>IF($C1884="","",IF($D1884="Gider",$H1884,$E1884))</f>
        <v/>
      </c>
      <c r="O1884" s="73" t="str">
        <f>IF($C1884="","",DATE(YEAR($C1884),MONTH($C1884),1))</f>
        <v/>
      </c>
      <c r="P1884" s="65" t="str">
        <f ca="1">IF($C1884="","",IF(AND($D1884="Gelir",$L1884&lt;&gt;"",$T1884=""),"TANIMSIZ BORÇLU",IF($T1884&lt;&gt;"",IF(OR($E1884="",$G1884&lt;=0),"EKSİK",IF($I1884="Evet","TAHAKKUK NAKİT OLAMAZ",IF($C1884&gt;TODAY(),"İLERİ TARİH","TAHAKKUK"))),IF(AND($D1884&lt;&gt;"",$E1884&lt;&gt;"",$G1884&gt;0,$H1884&lt;&gt;"",$I1884&lt;&gt;""),IF($C1884&gt;TODAY(),"İLERİ TARİH",IF(COUNTIF($W$7:$W$3001,$W1884)&gt;1,"MÜKERRER?",IF($AD1884&gt;0,"KAPALI DÖNEM",IF($I1884="Hayır","ÖDENECEK","UYGUN")))),"EKSİK"))))</f>
        <v/>
      </c>
      <c r="Q1884" s="2"/>
      <c r="R1884" s="2"/>
      <c r="S1884" s="1" t="str">
        <f t="shared" si="89"/>
        <v/>
      </c>
      <c r="T1884" s="1" t="str">
        <f>IF(OR($C1884="",$D1884&lt;&gt;"Gelir",$L1884=""),"",IFERROR(INDEX(MUSTERILER!$B$7:$B$156,MATCH($S1884,MUSTERILER!$T$7:$T$156,0)),""))</f>
        <v/>
      </c>
      <c r="U1884" s="1" t="str">
        <f>IF($T1884="","",$T1884&amp;"|"&amp;COUNTIFS($T$7:$T1884,$T1884))</f>
        <v/>
      </c>
      <c r="V1884" s="1">
        <f t="shared" si="90"/>
        <v>0</v>
      </c>
      <c r="W1884" s="1" t="str">
        <f t="shared" si="91"/>
        <v/>
      </c>
      <c r="X1884" s="1"/>
      <c r="Y1884" s="1"/>
      <c r="Z1884" s="1"/>
      <c r="AA1884" s="1"/>
      <c r="AB1884" s="1"/>
      <c r="AC1884" s="1"/>
      <c r="AD1884" s="1">
        <f>IF($C1884="",0,SUMPRODUCT((AY_SONU!$O$7:$O$42="Evet")*(AY_SONU!$B$7:$B$42=DATE(YEAR($C1884),MONTH($C1884),1))))</f>
        <v>0</v>
      </c>
      <c r="AE1884" s="1" t="str">
        <f>IF($E1884="","",$E1884&amp;"|"&amp;COUNTIFS($E$7:$E1884,$E1884))</f>
        <v/>
      </c>
    </row>
    <row r="1885" spans="1:31" ht="18" customHeight="1" x14ac:dyDescent="0.3">
      <c r="A1885" s="2"/>
      <c r="B1885" s="65" t="str">
        <f>IF($C1885="","","GG"&amp;TEXT(ROW()-6,"00000"))</f>
        <v/>
      </c>
      <c r="C1885" s="66"/>
      <c r="D1885" s="60"/>
      <c r="E1885" s="61"/>
      <c r="F1885" s="61"/>
      <c r="G1885" s="67"/>
      <c r="H1885" s="60"/>
      <c r="I1885" s="60"/>
      <c r="J1885" s="61"/>
      <c r="K1885" s="61"/>
      <c r="L1885" s="60"/>
      <c r="M1885" s="74" t="str">
        <f>IF($C1885="","",IF($D1885="Gider",$E1885,IF($L1885&lt;&gt;"",$L1885,$H1885)))</f>
        <v/>
      </c>
      <c r="N1885" s="74" t="str">
        <f>IF($C1885="","",IF($D1885="Gider",$H1885,$E1885))</f>
        <v/>
      </c>
      <c r="O1885" s="73" t="str">
        <f>IF($C1885="","",DATE(YEAR($C1885),MONTH($C1885),1))</f>
        <v/>
      </c>
      <c r="P1885" s="65" t="str">
        <f ca="1">IF($C1885="","",IF(AND($D1885="Gelir",$L1885&lt;&gt;"",$T1885=""),"TANIMSIZ BORÇLU",IF($T1885&lt;&gt;"",IF(OR($E1885="",$G1885&lt;=0),"EKSİK",IF($I1885="Evet","TAHAKKUK NAKİT OLAMAZ",IF($C1885&gt;TODAY(),"İLERİ TARİH","TAHAKKUK"))),IF(AND($D1885&lt;&gt;"",$E1885&lt;&gt;"",$G1885&gt;0,$H1885&lt;&gt;"",$I1885&lt;&gt;""),IF($C1885&gt;TODAY(),"İLERİ TARİH",IF(COUNTIF($W$7:$W$3001,$W1885)&gt;1,"MÜKERRER?",IF($AD1885&gt;0,"KAPALI DÖNEM",IF($I1885="Hayır","ÖDENECEK","UYGUN")))),"EKSİK"))))</f>
        <v/>
      </c>
      <c r="Q1885" s="2"/>
      <c r="R1885" s="2"/>
      <c r="S1885" s="1" t="str">
        <f t="shared" si="89"/>
        <v/>
      </c>
      <c r="T1885" s="1" t="str">
        <f>IF(OR($C1885="",$D1885&lt;&gt;"Gelir",$L1885=""),"",IFERROR(INDEX(MUSTERILER!$B$7:$B$156,MATCH($S1885,MUSTERILER!$T$7:$T$156,0)),""))</f>
        <v/>
      </c>
      <c r="U1885" s="1" t="str">
        <f>IF($T1885="","",$T1885&amp;"|"&amp;COUNTIFS($T$7:$T1885,$T1885))</f>
        <v/>
      </c>
      <c r="V1885" s="1">
        <f t="shared" si="90"/>
        <v>0</v>
      </c>
      <c r="W1885" s="1" t="str">
        <f t="shared" si="91"/>
        <v/>
      </c>
      <c r="X1885" s="1"/>
      <c r="Y1885" s="1"/>
      <c r="Z1885" s="1"/>
      <c r="AA1885" s="1"/>
      <c r="AB1885" s="1"/>
      <c r="AC1885" s="1"/>
      <c r="AD1885" s="1">
        <f>IF($C1885="",0,SUMPRODUCT((AY_SONU!$O$7:$O$42="Evet")*(AY_SONU!$B$7:$B$42=DATE(YEAR($C1885),MONTH($C1885),1))))</f>
        <v>0</v>
      </c>
      <c r="AE1885" s="1" t="str">
        <f>IF($E1885="","",$E1885&amp;"|"&amp;COUNTIFS($E$7:$E1885,$E1885))</f>
        <v/>
      </c>
    </row>
    <row r="1886" spans="1:31" ht="18" customHeight="1" x14ac:dyDescent="0.3">
      <c r="A1886" s="2"/>
      <c r="B1886" s="65" t="str">
        <f>IF($C1886="","","GG"&amp;TEXT(ROW()-6,"00000"))</f>
        <v/>
      </c>
      <c r="C1886" s="66"/>
      <c r="D1886" s="60"/>
      <c r="E1886" s="61"/>
      <c r="F1886" s="61"/>
      <c r="G1886" s="67"/>
      <c r="H1886" s="60"/>
      <c r="I1886" s="60"/>
      <c r="J1886" s="61"/>
      <c r="K1886" s="61"/>
      <c r="L1886" s="60"/>
      <c r="M1886" s="74" t="str">
        <f>IF($C1886="","",IF($D1886="Gider",$E1886,IF($L1886&lt;&gt;"",$L1886,$H1886)))</f>
        <v/>
      </c>
      <c r="N1886" s="74" t="str">
        <f>IF($C1886="","",IF($D1886="Gider",$H1886,$E1886))</f>
        <v/>
      </c>
      <c r="O1886" s="73" t="str">
        <f>IF($C1886="","",DATE(YEAR($C1886),MONTH($C1886),1))</f>
        <v/>
      </c>
      <c r="P1886" s="65" t="str">
        <f ca="1">IF($C1886="","",IF(AND($D1886="Gelir",$L1886&lt;&gt;"",$T1886=""),"TANIMSIZ BORÇLU",IF($T1886&lt;&gt;"",IF(OR($E1886="",$G1886&lt;=0),"EKSİK",IF($I1886="Evet","TAHAKKUK NAKİT OLAMAZ",IF($C1886&gt;TODAY(),"İLERİ TARİH","TAHAKKUK"))),IF(AND($D1886&lt;&gt;"",$E1886&lt;&gt;"",$G1886&gt;0,$H1886&lt;&gt;"",$I1886&lt;&gt;""),IF($C1886&gt;TODAY(),"İLERİ TARİH",IF(COUNTIF($W$7:$W$3001,$W1886)&gt;1,"MÜKERRER?",IF($AD1886&gt;0,"KAPALI DÖNEM",IF($I1886="Hayır","ÖDENECEK","UYGUN")))),"EKSİK"))))</f>
        <v/>
      </c>
      <c r="Q1886" s="2"/>
      <c r="R1886" s="2"/>
      <c r="S1886" s="1" t="str">
        <f t="shared" si="89"/>
        <v/>
      </c>
      <c r="T1886" s="1" t="str">
        <f>IF(OR($C1886="",$D1886&lt;&gt;"Gelir",$L1886=""),"",IFERROR(INDEX(MUSTERILER!$B$7:$B$156,MATCH($S1886,MUSTERILER!$T$7:$T$156,0)),""))</f>
        <v/>
      </c>
      <c r="U1886" s="1" t="str">
        <f>IF($T1886="","",$T1886&amp;"|"&amp;COUNTIFS($T$7:$T1886,$T1886))</f>
        <v/>
      </c>
      <c r="V1886" s="1">
        <f t="shared" si="90"/>
        <v>0</v>
      </c>
      <c r="W1886" s="1" t="str">
        <f t="shared" si="91"/>
        <v/>
      </c>
      <c r="X1886" s="1"/>
      <c r="Y1886" s="1"/>
      <c r="Z1886" s="1"/>
      <c r="AA1886" s="1"/>
      <c r="AB1886" s="1"/>
      <c r="AC1886" s="1"/>
      <c r="AD1886" s="1">
        <f>IF($C1886="",0,SUMPRODUCT((AY_SONU!$O$7:$O$42="Evet")*(AY_SONU!$B$7:$B$42=DATE(YEAR($C1886),MONTH($C1886),1))))</f>
        <v>0</v>
      </c>
      <c r="AE1886" s="1" t="str">
        <f>IF($E1886="","",$E1886&amp;"|"&amp;COUNTIFS($E$7:$E1886,$E1886))</f>
        <v/>
      </c>
    </row>
    <row r="1887" spans="1:31" ht="18" customHeight="1" x14ac:dyDescent="0.3">
      <c r="A1887" s="2"/>
      <c r="B1887" s="65" t="str">
        <f>IF($C1887="","","GG"&amp;TEXT(ROW()-6,"00000"))</f>
        <v/>
      </c>
      <c r="C1887" s="66"/>
      <c r="D1887" s="60"/>
      <c r="E1887" s="61"/>
      <c r="F1887" s="61"/>
      <c r="G1887" s="67"/>
      <c r="H1887" s="60"/>
      <c r="I1887" s="60"/>
      <c r="J1887" s="61"/>
      <c r="K1887" s="61"/>
      <c r="L1887" s="60"/>
      <c r="M1887" s="74" t="str">
        <f>IF($C1887="","",IF($D1887="Gider",$E1887,IF($L1887&lt;&gt;"",$L1887,$H1887)))</f>
        <v/>
      </c>
      <c r="N1887" s="74" t="str">
        <f>IF($C1887="","",IF($D1887="Gider",$H1887,$E1887))</f>
        <v/>
      </c>
      <c r="O1887" s="73" t="str">
        <f>IF($C1887="","",DATE(YEAR($C1887),MONTH($C1887),1))</f>
        <v/>
      </c>
      <c r="P1887" s="65" t="str">
        <f ca="1">IF($C1887="","",IF(AND($D1887="Gelir",$L1887&lt;&gt;"",$T1887=""),"TANIMSIZ BORÇLU",IF($T1887&lt;&gt;"",IF(OR($E1887="",$G1887&lt;=0),"EKSİK",IF($I1887="Evet","TAHAKKUK NAKİT OLAMAZ",IF($C1887&gt;TODAY(),"İLERİ TARİH","TAHAKKUK"))),IF(AND($D1887&lt;&gt;"",$E1887&lt;&gt;"",$G1887&gt;0,$H1887&lt;&gt;"",$I1887&lt;&gt;""),IF($C1887&gt;TODAY(),"İLERİ TARİH",IF(COUNTIF($W$7:$W$3001,$W1887)&gt;1,"MÜKERRER?",IF($AD1887&gt;0,"KAPALI DÖNEM",IF($I1887="Hayır","ÖDENECEK","UYGUN")))),"EKSİK"))))</f>
        <v/>
      </c>
      <c r="Q1887" s="2"/>
      <c r="R1887" s="2"/>
      <c r="S1887" s="1" t="str">
        <f t="shared" si="89"/>
        <v/>
      </c>
      <c r="T1887" s="1" t="str">
        <f>IF(OR($C1887="",$D1887&lt;&gt;"Gelir",$L1887=""),"",IFERROR(INDEX(MUSTERILER!$B$7:$B$156,MATCH($S1887,MUSTERILER!$T$7:$T$156,0)),""))</f>
        <v/>
      </c>
      <c r="U1887" s="1" t="str">
        <f>IF($T1887="","",$T1887&amp;"|"&amp;COUNTIFS($T$7:$T1887,$T1887))</f>
        <v/>
      </c>
      <c r="V1887" s="1">
        <f t="shared" si="90"/>
        <v>0</v>
      </c>
      <c r="W1887" s="1" t="str">
        <f t="shared" si="91"/>
        <v/>
      </c>
      <c r="X1887" s="1"/>
      <c r="Y1887" s="1"/>
      <c r="Z1887" s="1"/>
      <c r="AA1887" s="1"/>
      <c r="AB1887" s="1"/>
      <c r="AC1887" s="1"/>
      <c r="AD1887" s="1">
        <f>IF($C1887="",0,SUMPRODUCT((AY_SONU!$O$7:$O$42="Evet")*(AY_SONU!$B$7:$B$42=DATE(YEAR($C1887),MONTH($C1887),1))))</f>
        <v>0</v>
      </c>
      <c r="AE1887" s="1" t="str">
        <f>IF($E1887="","",$E1887&amp;"|"&amp;COUNTIFS($E$7:$E1887,$E1887))</f>
        <v/>
      </c>
    </row>
    <row r="1888" spans="1:31" ht="18" customHeight="1" x14ac:dyDescent="0.3">
      <c r="A1888" s="2"/>
      <c r="B1888" s="65" t="str">
        <f>IF($C1888="","","GG"&amp;TEXT(ROW()-6,"00000"))</f>
        <v/>
      </c>
      <c r="C1888" s="66"/>
      <c r="D1888" s="60"/>
      <c r="E1888" s="61"/>
      <c r="F1888" s="61"/>
      <c r="G1888" s="67"/>
      <c r="H1888" s="60"/>
      <c r="I1888" s="60"/>
      <c r="J1888" s="61"/>
      <c r="K1888" s="61"/>
      <c r="L1888" s="60"/>
      <c r="M1888" s="74" t="str">
        <f>IF($C1888="","",IF($D1888="Gider",$E1888,IF($L1888&lt;&gt;"",$L1888,$H1888)))</f>
        <v/>
      </c>
      <c r="N1888" s="74" t="str">
        <f>IF($C1888="","",IF($D1888="Gider",$H1888,$E1888))</f>
        <v/>
      </c>
      <c r="O1888" s="73" t="str">
        <f>IF($C1888="","",DATE(YEAR($C1888),MONTH($C1888),1))</f>
        <v/>
      </c>
      <c r="P1888" s="65" t="str">
        <f ca="1">IF($C1888="","",IF(AND($D1888="Gelir",$L1888&lt;&gt;"",$T1888=""),"TANIMSIZ BORÇLU",IF($T1888&lt;&gt;"",IF(OR($E1888="",$G1888&lt;=0),"EKSİK",IF($I1888="Evet","TAHAKKUK NAKİT OLAMAZ",IF($C1888&gt;TODAY(),"İLERİ TARİH","TAHAKKUK"))),IF(AND($D1888&lt;&gt;"",$E1888&lt;&gt;"",$G1888&gt;0,$H1888&lt;&gt;"",$I1888&lt;&gt;""),IF($C1888&gt;TODAY(),"İLERİ TARİH",IF(COUNTIF($W$7:$W$3001,$W1888)&gt;1,"MÜKERRER?",IF($AD1888&gt;0,"KAPALI DÖNEM",IF($I1888="Hayır","ÖDENECEK","UYGUN")))),"EKSİK"))))</f>
        <v/>
      </c>
      <c r="Q1888" s="2"/>
      <c r="R1888" s="2"/>
      <c r="S1888" s="1" t="str">
        <f t="shared" si="89"/>
        <v/>
      </c>
      <c r="T1888" s="1" t="str">
        <f>IF(OR($C1888="",$D1888&lt;&gt;"Gelir",$L1888=""),"",IFERROR(INDEX(MUSTERILER!$B$7:$B$156,MATCH($S1888,MUSTERILER!$T$7:$T$156,0)),""))</f>
        <v/>
      </c>
      <c r="U1888" s="1" t="str">
        <f>IF($T1888="","",$T1888&amp;"|"&amp;COUNTIFS($T$7:$T1888,$T1888))</f>
        <v/>
      </c>
      <c r="V1888" s="1">
        <f t="shared" si="90"/>
        <v>0</v>
      </c>
      <c r="W1888" s="1" t="str">
        <f t="shared" si="91"/>
        <v/>
      </c>
      <c r="X1888" s="1"/>
      <c r="Y1888" s="1"/>
      <c r="Z1888" s="1"/>
      <c r="AA1888" s="1"/>
      <c r="AB1888" s="1"/>
      <c r="AC1888" s="1"/>
      <c r="AD1888" s="1">
        <f>IF($C1888="",0,SUMPRODUCT((AY_SONU!$O$7:$O$42="Evet")*(AY_SONU!$B$7:$B$42=DATE(YEAR($C1888),MONTH($C1888),1))))</f>
        <v>0</v>
      </c>
      <c r="AE1888" s="1" t="str">
        <f>IF($E1888="","",$E1888&amp;"|"&amp;COUNTIFS($E$7:$E1888,$E1888))</f>
        <v/>
      </c>
    </row>
    <row r="1889" spans="1:31" ht="18" customHeight="1" x14ac:dyDescent="0.3">
      <c r="A1889" s="2"/>
      <c r="B1889" s="65" t="str">
        <f>IF($C1889="","","GG"&amp;TEXT(ROW()-6,"00000"))</f>
        <v/>
      </c>
      <c r="C1889" s="66"/>
      <c r="D1889" s="60"/>
      <c r="E1889" s="61"/>
      <c r="F1889" s="61"/>
      <c r="G1889" s="67"/>
      <c r="H1889" s="60"/>
      <c r="I1889" s="60"/>
      <c r="J1889" s="61"/>
      <c r="K1889" s="61"/>
      <c r="L1889" s="60"/>
      <c r="M1889" s="74" t="str">
        <f>IF($C1889="","",IF($D1889="Gider",$E1889,IF($L1889&lt;&gt;"",$L1889,$H1889)))</f>
        <v/>
      </c>
      <c r="N1889" s="74" t="str">
        <f>IF($C1889="","",IF($D1889="Gider",$H1889,$E1889))</f>
        <v/>
      </c>
      <c r="O1889" s="73" t="str">
        <f>IF($C1889="","",DATE(YEAR($C1889),MONTH($C1889),1))</f>
        <v/>
      </c>
      <c r="P1889" s="65" t="str">
        <f ca="1">IF($C1889="","",IF(AND($D1889="Gelir",$L1889&lt;&gt;"",$T1889=""),"TANIMSIZ BORÇLU",IF($T1889&lt;&gt;"",IF(OR($E1889="",$G1889&lt;=0),"EKSİK",IF($I1889="Evet","TAHAKKUK NAKİT OLAMAZ",IF($C1889&gt;TODAY(),"İLERİ TARİH","TAHAKKUK"))),IF(AND($D1889&lt;&gt;"",$E1889&lt;&gt;"",$G1889&gt;0,$H1889&lt;&gt;"",$I1889&lt;&gt;""),IF($C1889&gt;TODAY(),"İLERİ TARİH",IF(COUNTIF($W$7:$W$3001,$W1889)&gt;1,"MÜKERRER?",IF($AD1889&gt;0,"KAPALI DÖNEM",IF($I1889="Hayır","ÖDENECEK","UYGUN")))),"EKSİK"))))</f>
        <v/>
      </c>
      <c r="Q1889" s="2"/>
      <c r="R1889" s="2"/>
      <c r="S1889" s="1" t="str">
        <f t="shared" si="89"/>
        <v/>
      </c>
      <c r="T1889" s="1" t="str">
        <f>IF(OR($C1889="",$D1889&lt;&gt;"Gelir",$L1889=""),"",IFERROR(INDEX(MUSTERILER!$B$7:$B$156,MATCH($S1889,MUSTERILER!$T$7:$T$156,0)),""))</f>
        <v/>
      </c>
      <c r="U1889" s="1" t="str">
        <f>IF($T1889="","",$T1889&amp;"|"&amp;COUNTIFS($T$7:$T1889,$T1889))</f>
        <v/>
      </c>
      <c r="V1889" s="1">
        <f t="shared" si="90"/>
        <v>0</v>
      </c>
      <c r="W1889" s="1" t="str">
        <f t="shared" si="91"/>
        <v/>
      </c>
      <c r="X1889" s="1"/>
      <c r="Y1889" s="1"/>
      <c r="Z1889" s="1"/>
      <c r="AA1889" s="1"/>
      <c r="AB1889" s="1"/>
      <c r="AC1889" s="1"/>
      <c r="AD1889" s="1">
        <f>IF($C1889="",0,SUMPRODUCT((AY_SONU!$O$7:$O$42="Evet")*(AY_SONU!$B$7:$B$42=DATE(YEAR($C1889),MONTH($C1889),1))))</f>
        <v>0</v>
      </c>
      <c r="AE1889" s="1" t="str">
        <f>IF($E1889="","",$E1889&amp;"|"&amp;COUNTIFS($E$7:$E1889,$E1889))</f>
        <v/>
      </c>
    </row>
    <row r="1890" spans="1:31" ht="18" customHeight="1" x14ac:dyDescent="0.3">
      <c r="A1890" s="2"/>
      <c r="B1890" s="65" t="str">
        <f>IF($C1890="","","GG"&amp;TEXT(ROW()-6,"00000"))</f>
        <v/>
      </c>
      <c r="C1890" s="66"/>
      <c r="D1890" s="60"/>
      <c r="E1890" s="61"/>
      <c r="F1890" s="61"/>
      <c r="G1890" s="67"/>
      <c r="H1890" s="60"/>
      <c r="I1890" s="60"/>
      <c r="J1890" s="61"/>
      <c r="K1890" s="61"/>
      <c r="L1890" s="60"/>
      <c r="M1890" s="74" t="str">
        <f>IF($C1890="","",IF($D1890="Gider",$E1890,IF($L1890&lt;&gt;"",$L1890,$H1890)))</f>
        <v/>
      </c>
      <c r="N1890" s="74" t="str">
        <f>IF($C1890="","",IF($D1890="Gider",$H1890,$E1890))</f>
        <v/>
      </c>
      <c r="O1890" s="73" t="str">
        <f>IF($C1890="","",DATE(YEAR($C1890),MONTH($C1890),1))</f>
        <v/>
      </c>
      <c r="P1890" s="65" t="str">
        <f ca="1">IF($C1890="","",IF(AND($D1890="Gelir",$L1890&lt;&gt;"",$T1890=""),"TANIMSIZ BORÇLU",IF($T1890&lt;&gt;"",IF(OR($E1890="",$G1890&lt;=0),"EKSİK",IF($I1890="Evet","TAHAKKUK NAKİT OLAMAZ",IF($C1890&gt;TODAY(),"İLERİ TARİH","TAHAKKUK"))),IF(AND($D1890&lt;&gt;"",$E1890&lt;&gt;"",$G1890&gt;0,$H1890&lt;&gt;"",$I1890&lt;&gt;""),IF($C1890&gt;TODAY(),"İLERİ TARİH",IF(COUNTIF($W$7:$W$3001,$W1890)&gt;1,"MÜKERRER?",IF($AD1890&gt;0,"KAPALI DÖNEM",IF($I1890="Hayır","ÖDENECEK","UYGUN")))),"EKSİK"))))</f>
        <v/>
      </c>
      <c r="Q1890" s="2"/>
      <c r="R1890" s="2"/>
      <c r="S1890" s="1" t="str">
        <f t="shared" si="89"/>
        <v/>
      </c>
      <c r="T1890" s="1" t="str">
        <f>IF(OR($C1890="",$D1890&lt;&gt;"Gelir",$L1890=""),"",IFERROR(INDEX(MUSTERILER!$B$7:$B$156,MATCH($S1890,MUSTERILER!$T$7:$T$156,0)),""))</f>
        <v/>
      </c>
      <c r="U1890" s="1" t="str">
        <f>IF($T1890="","",$T1890&amp;"|"&amp;COUNTIFS($T$7:$T1890,$T1890))</f>
        <v/>
      </c>
      <c r="V1890" s="1">
        <f t="shared" si="90"/>
        <v>0</v>
      </c>
      <c r="W1890" s="1" t="str">
        <f t="shared" si="91"/>
        <v/>
      </c>
      <c r="X1890" s="1"/>
      <c r="Y1890" s="1"/>
      <c r="Z1890" s="1"/>
      <c r="AA1890" s="1"/>
      <c r="AB1890" s="1"/>
      <c r="AC1890" s="1"/>
      <c r="AD1890" s="1">
        <f>IF($C1890="",0,SUMPRODUCT((AY_SONU!$O$7:$O$42="Evet")*(AY_SONU!$B$7:$B$42=DATE(YEAR($C1890),MONTH($C1890),1))))</f>
        <v>0</v>
      </c>
      <c r="AE1890" s="1" t="str">
        <f>IF($E1890="","",$E1890&amp;"|"&amp;COUNTIFS($E$7:$E1890,$E1890))</f>
        <v/>
      </c>
    </row>
    <row r="1891" spans="1:31" ht="18" customHeight="1" x14ac:dyDescent="0.3">
      <c r="A1891" s="2"/>
      <c r="B1891" s="65" t="str">
        <f>IF($C1891="","","GG"&amp;TEXT(ROW()-6,"00000"))</f>
        <v/>
      </c>
      <c r="C1891" s="66"/>
      <c r="D1891" s="60"/>
      <c r="E1891" s="61"/>
      <c r="F1891" s="61"/>
      <c r="G1891" s="67"/>
      <c r="H1891" s="60"/>
      <c r="I1891" s="60"/>
      <c r="J1891" s="61"/>
      <c r="K1891" s="61"/>
      <c r="L1891" s="60"/>
      <c r="M1891" s="74" t="str">
        <f>IF($C1891="","",IF($D1891="Gider",$E1891,IF($L1891&lt;&gt;"",$L1891,$H1891)))</f>
        <v/>
      </c>
      <c r="N1891" s="74" t="str">
        <f>IF($C1891="","",IF($D1891="Gider",$H1891,$E1891))</f>
        <v/>
      </c>
      <c r="O1891" s="73" t="str">
        <f>IF($C1891="","",DATE(YEAR($C1891),MONTH($C1891),1))</f>
        <v/>
      </c>
      <c r="P1891" s="65" t="str">
        <f ca="1">IF($C1891="","",IF(AND($D1891="Gelir",$L1891&lt;&gt;"",$T1891=""),"TANIMSIZ BORÇLU",IF($T1891&lt;&gt;"",IF(OR($E1891="",$G1891&lt;=0),"EKSİK",IF($I1891="Evet","TAHAKKUK NAKİT OLAMAZ",IF($C1891&gt;TODAY(),"İLERİ TARİH","TAHAKKUK"))),IF(AND($D1891&lt;&gt;"",$E1891&lt;&gt;"",$G1891&gt;0,$H1891&lt;&gt;"",$I1891&lt;&gt;""),IF($C1891&gt;TODAY(),"İLERİ TARİH",IF(COUNTIF($W$7:$W$3001,$W1891)&gt;1,"MÜKERRER?",IF($AD1891&gt;0,"KAPALI DÖNEM",IF($I1891="Hayır","ÖDENECEK","UYGUN")))),"EKSİK"))))</f>
        <v/>
      </c>
      <c r="Q1891" s="2"/>
      <c r="R1891" s="2"/>
      <c r="S1891" s="1" t="str">
        <f t="shared" si="89"/>
        <v/>
      </c>
      <c r="T1891" s="1" t="str">
        <f>IF(OR($C1891="",$D1891&lt;&gt;"Gelir",$L1891=""),"",IFERROR(INDEX(MUSTERILER!$B$7:$B$156,MATCH($S1891,MUSTERILER!$T$7:$T$156,0)),""))</f>
        <v/>
      </c>
      <c r="U1891" s="1" t="str">
        <f>IF($T1891="","",$T1891&amp;"|"&amp;COUNTIFS($T$7:$T1891,$T1891))</f>
        <v/>
      </c>
      <c r="V1891" s="1">
        <f t="shared" si="90"/>
        <v>0</v>
      </c>
      <c r="W1891" s="1" t="str">
        <f t="shared" si="91"/>
        <v/>
      </c>
      <c r="X1891" s="1"/>
      <c r="Y1891" s="1"/>
      <c r="Z1891" s="1"/>
      <c r="AA1891" s="1"/>
      <c r="AB1891" s="1"/>
      <c r="AC1891" s="1"/>
      <c r="AD1891" s="1">
        <f>IF($C1891="",0,SUMPRODUCT((AY_SONU!$O$7:$O$42="Evet")*(AY_SONU!$B$7:$B$42=DATE(YEAR($C1891),MONTH($C1891),1))))</f>
        <v>0</v>
      </c>
      <c r="AE1891" s="1" t="str">
        <f>IF($E1891="","",$E1891&amp;"|"&amp;COUNTIFS($E$7:$E1891,$E1891))</f>
        <v/>
      </c>
    </row>
    <row r="1892" spans="1:31" ht="18" customHeight="1" x14ac:dyDescent="0.3">
      <c r="A1892" s="2"/>
      <c r="B1892" s="65" t="str">
        <f>IF($C1892="","","GG"&amp;TEXT(ROW()-6,"00000"))</f>
        <v/>
      </c>
      <c r="C1892" s="66"/>
      <c r="D1892" s="60"/>
      <c r="E1892" s="61"/>
      <c r="F1892" s="61"/>
      <c r="G1892" s="67"/>
      <c r="H1892" s="60"/>
      <c r="I1892" s="60"/>
      <c r="J1892" s="61"/>
      <c r="K1892" s="61"/>
      <c r="L1892" s="60"/>
      <c r="M1892" s="74" t="str">
        <f>IF($C1892="","",IF($D1892="Gider",$E1892,IF($L1892&lt;&gt;"",$L1892,$H1892)))</f>
        <v/>
      </c>
      <c r="N1892" s="74" t="str">
        <f>IF($C1892="","",IF($D1892="Gider",$H1892,$E1892))</f>
        <v/>
      </c>
      <c r="O1892" s="73" t="str">
        <f>IF($C1892="","",DATE(YEAR($C1892),MONTH($C1892),1))</f>
        <v/>
      </c>
      <c r="P1892" s="65" t="str">
        <f ca="1">IF($C1892="","",IF(AND($D1892="Gelir",$L1892&lt;&gt;"",$T1892=""),"TANIMSIZ BORÇLU",IF($T1892&lt;&gt;"",IF(OR($E1892="",$G1892&lt;=0),"EKSİK",IF($I1892="Evet","TAHAKKUK NAKİT OLAMAZ",IF($C1892&gt;TODAY(),"İLERİ TARİH","TAHAKKUK"))),IF(AND($D1892&lt;&gt;"",$E1892&lt;&gt;"",$G1892&gt;0,$H1892&lt;&gt;"",$I1892&lt;&gt;""),IF($C1892&gt;TODAY(),"İLERİ TARİH",IF(COUNTIF($W$7:$W$3001,$W1892)&gt;1,"MÜKERRER?",IF($AD1892&gt;0,"KAPALI DÖNEM",IF($I1892="Hayır","ÖDENECEK","UYGUN")))),"EKSİK"))))</f>
        <v/>
      </c>
      <c r="Q1892" s="2"/>
      <c r="R1892" s="2"/>
      <c r="S1892" s="1" t="str">
        <f t="shared" si="89"/>
        <v/>
      </c>
      <c r="T1892" s="1" t="str">
        <f>IF(OR($C1892="",$D1892&lt;&gt;"Gelir",$L1892=""),"",IFERROR(INDEX(MUSTERILER!$B$7:$B$156,MATCH($S1892,MUSTERILER!$T$7:$T$156,0)),""))</f>
        <v/>
      </c>
      <c r="U1892" s="1" t="str">
        <f>IF($T1892="","",$T1892&amp;"|"&amp;COUNTIFS($T$7:$T1892,$T1892))</f>
        <v/>
      </c>
      <c r="V1892" s="1">
        <f t="shared" si="90"/>
        <v>0</v>
      </c>
      <c r="W1892" s="1" t="str">
        <f t="shared" si="91"/>
        <v/>
      </c>
      <c r="X1892" s="1"/>
      <c r="Y1892" s="1"/>
      <c r="Z1892" s="1"/>
      <c r="AA1892" s="1"/>
      <c r="AB1892" s="1"/>
      <c r="AC1892" s="1"/>
      <c r="AD1892" s="1">
        <f>IF($C1892="",0,SUMPRODUCT((AY_SONU!$O$7:$O$42="Evet")*(AY_SONU!$B$7:$B$42=DATE(YEAR($C1892),MONTH($C1892),1))))</f>
        <v>0</v>
      </c>
      <c r="AE1892" s="1" t="str">
        <f>IF($E1892="","",$E1892&amp;"|"&amp;COUNTIFS($E$7:$E1892,$E1892))</f>
        <v/>
      </c>
    </row>
    <row r="1893" spans="1:31" ht="18" customHeight="1" x14ac:dyDescent="0.3">
      <c r="A1893" s="2"/>
      <c r="B1893" s="65" t="str">
        <f>IF($C1893="","","GG"&amp;TEXT(ROW()-6,"00000"))</f>
        <v/>
      </c>
      <c r="C1893" s="66"/>
      <c r="D1893" s="60"/>
      <c r="E1893" s="61"/>
      <c r="F1893" s="61"/>
      <c r="G1893" s="67"/>
      <c r="H1893" s="60"/>
      <c r="I1893" s="60"/>
      <c r="J1893" s="61"/>
      <c r="K1893" s="61"/>
      <c r="L1893" s="60"/>
      <c r="M1893" s="74" t="str">
        <f>IF($C1893="","",IF($D1893="Gider",$E1893,IF($L1893&lt;&gt;"",$L1893,$H1893)))</f>
        <v/>
      </c>
      <c r="N1893" s="74" t="str">
        <f>IF($C1893="","",IF($D1893="Gider",$H1893,$E1893))</f>
        <v/>
      </c>
      <c r="O1893" s="73" t="str">
        <f>IF($C1893="","",DATE(YEAR($C1893),MONTH($C1893),1))</f>
        <v/>
      </c>
      <c r="P1893" s="65" t="str">
        <f ca="1">IF($C1893="","",IF(AND($D1893="Gelir",$L1893&lt;&gt;"",$T1893=""),"TANIMSIZ BORÇLU",IF($T1893&lt;&gt;"",IF(OR($E1893="",$G1893&lt;=0),"EKSİK",IF($I1893="Evet","TAHAKKUK NAKİT OLAMAZ",IF($C1893&gt;TODAY(),"İLERİ TARİH","TAHAKKUK"))),IF(AND($D1893&lt;&gt;"",$E1893&lt;&gt;"",$G1893&gt;0,$H1893&lt;&gt;"",$I1893&lt;&gt;""),IF($C1893&gt;TODAY(),"İLERİ TARİH",IF(COUNTIF($W$7:$W$3001,$W1893)&gt;1,"MÜKERRER?",IF($AD1893&gt;0,"KAPALI DÖNEM",IF($I1893="Hayır","ÖDENECEK","UYGUN")))),"EKSİK"))))</f>
        <v/>
      </c>
      <c r="Q1893" s="2"/>
      <c r="R1893" s="2"/>
      <c r="S1893" s="1" t="str">
        <f t="shared" si="89"/>
        <v/>
      </c>
      <c r="T1893" s="1" t="str">
        <f>IF(OR($C1893="",$D1893&lt;&gt;"Gelir",$L1893=""),"",IFERROR(INDEX(MUSTERILER!$B$7:$B$156,MATCH($S1893,MUSTERILER!$T$7:$T$156,0)),""))</f>
        <v/>
      </c>
      <c r="U1893" s="1" t="str">
        <f>IF($T1893="","",$T1893&amp;"|"&amp;COUNTIFS($T$7:$T1893,$T1893))</f>
        <v/>
      </c>
      <c r="V1893" s="1">
        <f t="shared" si="90"/>
        <v>0</v>
      </c>
      <c r="W1893" s="1" t="str">
        <f t="shared" si="91"/>
        <v/>
      </c>
      <c r="X1893" s="1"/>
      <c r="Y1893" s="1"/>
      <c r="Z1893" s="1"/>
      <c r="AA1893" s="1"/>
      <c r="AB1893" s="1"/>
      <c r="AC1893" s="1"/>
      <c r="AD1893" s="1">
        <f>IF($C1893="",0,SUMPRODUCT((AY_SONU!$O$7:$O$42="Evet")*(AY_SONU!$B$7:$B$42=DATE(YEAR($C1893),MONTH($C1893),1))))</f>
        <v>0</v>
      </c>
      <c r="AE1893" s="1" t="str">
        <f>IF($E1893="","",$E1893&amp;"|"&amp;COUNTIFS($E$7:$E1893,$E1893))</f>
        <v/>
      </c>
    </row>
    <row r="1894" spans="1:31" ht="18" customHeight="1" x14ac:dyDescent="0.3">
      <c r="A1894" s="2"/>
      <c r="B1894" s="65" t="str">
        <f>IF($C1894="","","GG"&amp;TEXT(ROW()-6,"00000"))</f>
        <v/>
      </c>
      <c r="C1894" s="66"/>
      <c r="D1894" s="60"/>
      <c r="E1894" s="61"/>
      <c r="F1894" s="61"/>
      <c r="G1894" s="67"/>
      <c r="H1894" s="60"/>
      <c r="I1894" s="60"/>
      <c r="J1894" s="61"/>
      <c r="K1894" s="61"/>
      <c r="L1894" s="60"/>
      <c r="M1894" s="74" t="str">
        <f>IF($C1894="","",IF($D1894="Gider",$E1894,IF($L1894&lt;&gt;"",$L1894,$H1894)))</f>
        <v/>
      </c>
      <c r="N1894" s="74" t="str">
        <f>IF($C1894="","",IF($D1894="Gider",$H1894,$E1894))</f>
        <v/>
      </c>
      <c r="O1894" s="73" t="str">
        <f>IF($C1894="","",DATE(YEAR($C1894),MONTH($C1894),1))</f>
        <v/>
      </c>
      <c r="P1894" s="65" t="str">
        <f ca="1">IF($C1894="","",IF(AND($D1894="Gelir",$L1894&lt;&gt;"",$T1894=""),"TANIMSIZ BORÇLU",IF($T1894&lt;&gt;"",IF(OR($E1894="",$G1894&lt;=0),"EKSİK",IF($I1894="Evet","TAHAKKUK NAKİT OLAMAZ",IF($C1894&gt;TODAY(),"İLERİ TARİH","TAHAKKUK"))),IF(AND($D1894&lt;&gt;"",$E1894&lt;&gt;"",$G1894&gt;0,$H1894&lt;&gt;"",$I1894&lt;&gt;""),IF($C1894&gt;TODAY(),"İLERİ TARİH",IF(COUNTIF($W$7:$W$3001,$W1894)&gt;1,"MÜKERRER?",IF($AD1894&gt;0,"KAPALI DÖNEM",IF($I1894="Hayır","ÖDENECEK","UYGUN")))),"EKSİK"))))</f>
        <v/>
      </c>
      <c r="Q1894" s="2"/>
      <c r="R1894" s="2"/>
      <c r="S1894" s="1" t="str">
        <f t="shared" si="89"/>
        <v/>
      </c>
      <c r="T1894" s="1" t="str">
        <f>IF(OR($C1894="",$D1894&lt;&gt;"Gelir",$L1894=""),"",IFERROR(INDEX(MUSTERILER!$B$7:$B$156,MATCH($S1894,MUSTERILER!$T$7:$T$156,0)),""))</f>
        <v/>
      </c>
      <c r="U1894" s="1" t="str">
        <f>IF($T1894="","",$T1894&amp;"|"&amp;COUNTIFS($T$7:$T1894,$T1894))</f>
        <v/>
      </c>
      <c r="V1894" s="1">
        <f t="shared" si="90"/>
        <v>0</v>
      </c>
      <c r="W1894" s="1" t="str">
        <f t="shared" si="91"/>
        <v/>
      </c>
      <c r="X1894" s="1"/>
      <c r="Y1894" s="1"/>
      <c r="Z1894" s="1"/>
      <c r="AA1894" s="1"/>
      <c r="AB1894" s="1"/>
      <c r="AC1894" s="1"/>
      <c r="AD1894" s="1">
        <f>IF($C1894="",0,SUMPRODUCT((AY_SONU!$O$7:$O$42="Evet")*(AY_SONU!$B$7:$B$42=DATE(YEAR($C1894),MONTH($C1894),1))))</f>
        <v>0</v>
      </c>
      <c r="AE1894" s="1" t="str">
        <f>IF($E1894="","",$E1894&amp;"|"&amp;COUNTIFS($E$7:$E1894,$E1894))</f>
        <v/>
      </c>
    </row>
    <row r="1895" spans="1:31" ht="18" customHeight="1" x14ac:dyDescent="0.3">
      <c r="A1895" s="2"/>
      <c r="B1895" s="65" t="str">
        <f>IF($C1895="","","GG"&amp;TEXT(ROW()-6,"00000"))</f>
        <v/>
      </c>
      <c r="C1895" s="66"/>
      <c r="D1895" s="60"/>
      <c r="E1895" s="61"/>
      <c r="F1895" s="61"/>
      <c r="G1895" s="67"/>
      <c r="H1895" s="60"/>
      <c r="I1895" s="60"/>
      <c r="J1895" s="61"/>
      <c r="K1895" s="61"/>
      <c r="L1895" s="60"/>
      <c r="M1895" s="74" t="str">
        <f>IF($C1895="","",IF($D1895="Gider",$E1895,IF($L1895&lt;&gt;"",$L1895,$H1895)))</f>
        <v/>
      </c>
      <c r="N1895" s="74" t="str">
        <f>IF($C1895="","",IF($D1895="Gider",$H1895,$E1895))</f>
        <v/>
      </c>
      <c r="O1895" s="73" t="str">
        <f>IF($C1895="","",DATE(YEAR($C1895),MONTH($C1895),1))</f>
        <v/>
      </c>
      <c r="P1895" s="65" t="str">
        <f ca="1">IF($C1895="","",IF(AND($D1895="Gelir",$L1895&lt;&gt;"",$T1895=""),"TANIMSIZ BORÇLU",IF($T1895&lt;&gt;"",IF(OR($E1895="",$G1895&lt;=0),"EKSİK",IF($I1895="Evet","TAHAKKUK NAKİT OLAMAZ",IF($C1895&gt;TODAY(),"İLERİ TARİH","TAHAKKUK"))),IF(AND($D1895&lt;&gt;"",$E1895&lt;&gt;"",$G1895&gt;0,$H1895&lt;&gt;"",$I1895&lt;&gt;""),IF($C1895&gt;TODAY(),"İLERİ TARİH",IF(COUNTIF($W$7:$W$3001,$W1895)&gt;1,"MÜKERRER?",IF($AD1895&gt;0,"KAPALI DÖNEM",IF($I1895="Hayır","ÖDENECEK","UYGUN")))),"EKSİK"))))</f>
        <v/>
      </c>
      <c r="Q1895" s="2"/>
      <c r="R1895" s="2"/>
      <c r="S1895" s="1" t="str">
        <f t="shared" si="89"/>
        <v/>
      </c>
      <c r="T1895" s="1" t="str">
        <f>IF(OR($C1895="",$D1895&lt;&gt;"Gelir",$L1895=""),"",IFERROR(INDEX(MUSTERILER!$B$7:$B$156,MATCH($S1895,MUSTERILER!$T$7:$T$156,0)),""))</f>
        <v/>
      </c>
      <c r="U1895" s="1" t="str">
        <f>IF($T1895="","",$T1895&amp;"|"&amp;COUNTIFS($T$7:$T1895,$T1895))</f>
        <v/>
      </c>
      <c r="V1895" s="1">
        <f t="shared" si="90"/>
        <v>0</v>
      </c>
      <c r="W1895" s="1" t="str">
        <f t="shared" si="91"/>
        <v/>
      </c>
      <c r="X1895" s="1"/>
      <c r="Y1895" s="1"/>
      <c r="Z1895" s="1"/>
      <c r="AA1895" s="1"/>
      <c r="AB1895" s="1"/>
      <c r="AC1895" s="1"/>
      <c r="AD1895" s="1">
        <f>IF($C1895="",0,SUMPRODUCT((AY_SONU!$O$7:$O$42="Evet")*(AY_SONU!$B$7:$B$42=DATE(YEAR($C1895),MONTH($C1895),1))))</f>
        <v>0</v>
      </c>
      <c r="AE1895" s="1" t="str">
        <f>IF($E1895="","",$E1895&amp;"|"&amp;COUNTIFS($E$7:$E1895,$E1895))</f>
        <v/>
      </c>
    </row>
    <row r="1896" spans="1:31" ht="18" customHeight="1" x14ac:dyDescent="0.3">
      <c r="A1896" s="2"/>
      <c r="B1896" s="65" t="str">
        <f>IF($C1896="","","GG"&amp;TEXT(ROW()-6,"00000"))</f>
        <v/>
      </c>
      <c r="C1896" s="66"/>
      <c r="D1896" s="60"/>
      <c r="E1896" s="61"/>
      <c r="F1896" s="61"/>
      <c r="G1896" s="67"/>
      <c r="H1896" s="60"/>
      <c r="I1896" s="60"/>
      <c r="J1896" s="61"/>
      <c r="K1896" s="61"/>
      <c r="L1896" s="60"/>
      <c r="M1896" s="74" t="str">
        <f>IF($C1896="","",IF($D1896="Gider",$E1896,IF($L1896&lt;&gt;"",$L1896,$H1896)))</f>
        <v/>
      </c>
      <c r="N1896" s="74" t="str">
        <f>IF($C1896="","",IF($D1896="Gider",$H1896,$E1896))</f>
        <v/>
      </c>
      <c r="O1896" s="73" t="str">
        <f>IF($C1896="","",DATE(YEAR($C1896),MONTH($C1896),1))</f>
        <v/>
      </c>
      <c r="P1896" s="65" t="str">
        <f ca="1">IF($C1896="","",IF(AND($D1896="Gelir",$L1896&lt;&gt;"",$T1896=""),"TANIMSIZ BORÇLU",IF($T1896&lt;&gt;"",IF(OR($E1896="",$G1896&lt;=0),"EKSİK",IF($I1896="Evet","TAHAKKUK NAKİT OLAMAZ",IF($C1896&gt;TODAY(),"İLERİ TARİH","TAHAKKUK"))),IF(AND($D1896&lt;&gt;"",$E1896&lt;&gt;"",$G1896&gt;0,$H1896&lt;&gt;"",$I1896&lt;&gt;""),IF($C1896&gt;TODAY(),"İLERİ TARİH",IF(COUNTIF($W$7:$W$3001,$W1896)&gt;1,"MÜKERRER?",IF($AD1896&gt;0,"KAPALI DÖNEM",IF($I1896="Hayır","ÖDENECEK","UYGUN")))),"EKSİK"))))</f>
        <v/>
      </c>
      <c r="Q1896" s="2"/>
      <c r="R1896" s="2"/>
      <c r="S1896" s="1" t="str">
        <f t="shared" si="89"/>
        <v/>
      </c>
      <c r="T1896" s="1" t="str">
        <f>IF(OR($C1896="",$D1896&lt;&gt;"Gelir",$L1896=""),"",IFERROR(INDEX(MUSTERILER!$B$7:$B$156,MATCH($S1896,MUSTERILER!$T$7:$T$156,0)),""))</f>
        <v/>
      </c>
      <c r="U1896" s="1" t="str">
        <f>IF($T1896="","",$T1896&amp;"|"&amp;COUNTIFS($T$7:$T1896,$T1896))</f>
        <v/>
      </c>
      <c r="V1896" s="1">
        <f t="shared" si="90"/>
        <v>0</v>
      </c>
      <c r="W1896" s="1" t="str">
        <f t="shared" si="91"/>
        <v/>
      </c>
      <c r="X1896" s="1"/>
      <c r="Y1896" s="1"/>
      <c r="Z1896" s="1"/>
      <c r="AA1896" s="1"/>
      <c r="AB1896" s="1"/>
      <c r="AC1896" s="1"/>
      <c r="AD1896" s="1">
        <f>IF($C1896="",0,SUMPRODUCT((AY_SONU!$O$7:$O$42="Evet")*(AY_SONU!$B$7:$B$42=DATE(YEAR($C1896),MONTH($C1896),1))))</f>
        <v>0</v>
      </c>
      <c r="AE1896" s="1" t="str">
        <f>IF($E1896="","",$E1896&amp;"|"&amp;COUNTIFS($E$7:$E1896,$E1896))</f>
        <v/>
      </c>
    </row>
    <row r="1897" spans="1:31" ht="18" customHeight="1" x14ac:dyDescent="0.3">
      <c r="A1897" s="2"/>
      <c r="B1897" s="65" t="str">
        <f>IF($C1897="","","GG"&amp;TEXT(ROW()-6,"00000"))</f>
        <v/>
      </c>
      <c r="C1897" s="66"/>
      <c r="D1897" s="60"/>
      <c r="E1897" s="61"/>
      <c r="F1897" s="61"/>
      <c r="G1897" s="67"/>
      <c r="H1897" s="60"/>
      <c r="I1897" s="60"/>
      <c r="J1897" s="61"/>
      <c r="K1897" s="61"/>
      <c r="L1897" s="60"/>
      <c r="M1897" s="74" t="str">
        <f>IF($C1897="","",IF($D1897="Gider",$E1897,IF($L1897&lt;&gt;"",$L1897,$H1897)))</f>
        <v/>
      </c>
      <c r="N1897" s="74" t="str">
        <f>IF($C1897="","",IF($D1897="Gider",$H1897,$E1897))</f>
        <v/>
      </c>
      <c r="O1897" s="73" t="str">
        <f>IF($C1897="","",DATE(YEAR($C1897),MONTH($C1897),1))</f>
        <v/>
      </c>
      <c r="P1897" s="65" t="str">
        <f ca="1">IF($C1897="","",IF(AND($D1897="Gelir",$L1897&lt;&gt;"",$T1897=""),"TANIMSIZ BORÇLU",IF($T1897&lt;&gt;"",IF(OR($E1897="",$G1897&lt;=0),"EKSİK",IF($I1897="Evet","TAHAKKUK NAKİT OLAMAZ",IF($C1897&gt;TODAY(),"İLERİ TARİH","TAHAKKUK"))),IF(AND($D1897&lt;&gt;"",$E1897&lt;&gt;"",$G1897&gt;0,$H1897&lt;&gt;"",$I1897&lt;&gt;""),IF($C1897&gt;TODAY(),"İLERİ TARİH",IF(COUNTIF($W$7:$W$3001,$W1897)&gt;1,"MÜKERRER?",IF($AD1897&gt;0,"KAPALI DÖNEM",IF($I1897="Hayır","ÖDENECEK","UYGUN")))),"EKSİK"))))</f>
        <v/>
      </c>
      <c r="Q1897" s="2"/>
      <c r="R1897" s="2"/>
      <c r="S1897" s="1" t="str">
        <f t="shared" si="89"/>
        <v/>
      </c>
      <c r="T1897" s="1" t="str">
        <f>IF(OR($C1897="",$D1897&lt;&gt;"Gelir",$L1897=""),"",IFERROR(INDEX(MUSTERILER!$B$7:$B$156,MATCH($S1897,MUSTERILER!$T$7:$T$156,0)),""))</f>
        <v/>
      </c>
      <c r="U1897" s="1" t="str">
        <f>IF($T1897="","",$T1897&amp;"|"&amp;COUNTIFS($T$7:$T1897,$T1897))</f>
        <v/>
      </c>
      <c r="V1897" s="1">
        <f t="shared" si="90"/>
        <v>0</v>
      </c>
      <c r="W1897" s="1" t="str">
        <f t="shared" si="91"/>
        <v/>
      </c>
      <c r="X1897" s="1"/>
      <c r="Y1897" s="1"/>
      <c r="Z1897" s="1"/>
      <c r="AA1897" s="1"/>
      <c r="AB1897" s="1"/>
      <c r="AC1897" s="1"/>
      <c r="AD1897" s="1">
        <f>IF($C1897="",0,SUMPRODUCT((AY_SONU!$O$7:$O$42="Evet")*(AY_SONU!$B$7:$B$42=DATE(YEAR($C1897),MONTH($C1897),1))))</f>
        <v>0</v>
      </c>
      <c r="AE1897" s="1" t="str">
        <f>IF($E1897="","",$E1897&amp;"|"&amp;COUNTIFS($E$7:$E1897,$E1897))</f>
        <v/>
      </c>
    </row>
    <row r="1898" spans="1:31" ht="18" customHeight="1" x14ac:dyDescent="0.3">
      <c r="A1898" s="2"/>
      <c r="B1898" s="65" t="str">
        <f>IF($C1898="","","GG"&amp;TEXT(ROW()-6,"00000"))</f>
        <v/>
      </c>
      <c r="C1898" s="66"/>
      <c r="D1898" s="60"/>
      <c r="E1898" s="61"/>
      <c r="F1898" s="61"/>
      <c r="G1898" s="67"/>
      <c r="H1898" s="60"/>
      <c r="I1898" s="60"/>
      <c r="J1898" s="61"/>
      <c r="K1898" s="61"/>
      <c r="L1898" s="60"/>
      <c r="M1898" s="74" t="str">
        <f>IF($C1898="","",IF($D1898="Gider",$E1898,IF($L1898&lt;&gt;"",$L1898,$H1898)))</f>
        <v/>
      </c>
      <c r="N1898" s="74" t="str">
        <f>IF($C1898="","",IF($D1898="Gider",$H1898,$E1898))</f>
        <v/>
      </c>
      <c r="O1898" s="73" t="str">
        <f>IF($C1898="","",DATE(YEAR($C1898),MONTH($C1898),1))</f>
        <v/>
      </c>
      <c r="P1898" s="65" t="str">
        <f ca="1">IF($C1898="","",IF(AND($D1898="Gelir",$L1898&lt;&gt;"",$T1898=""),"TANIMSIZ BORÇLU",IF($T1898&lt;&gt;"",IF(OR($E1898="",$G1898&lt;=0),"EKSİK",IF($I1898="Evet","TAHAKKUK NAKİT OLAMAZ",IF($C1898&gt;TODAY(),"İLERİ TARİH","TAHAKKUK"))),IF(AND($D1898&lt;&gt;"",$E1898&lt;&gt;"",$G1898&gt;0,$H1898&lt;&gt;"",$I1898&lt;&gt;""),IF($C1898&gt;TODAY(),"İLERİ TARİH",IF(COUNTIF($W$7:$W$3001,$W1898)&gt;1,"MÜKERRER?",IF($AD1898&gt;0,"KAPALI DÖNEM",IF($I1898="Hayır","ÖDENECEK","UYGUN")))),"EKSİK"))))</f>
        <v/>
      </c>
      <c r="Q1898" s="2"/>
      <c r="R1898" s="2"/>
      <c r="S1898" s="1" t="str">
        <f t="shared" si="89"/>
        <v/>
      </c>
      <c r="T1898" s="1" t="str">
        <f>IF(OR($C1898="",$D1898&lt;&gt;"Gelir",$L1898=""),"",IFERROR(INDEX(MUSTERILER!$B$7:$B$156,MATCH($S1898,MUSTERILER!$T$7:$T$156,0)),""))</f>
        <v/>
      </c>
      <c r="U1898" s="1" t="str">
        <f>IF($T1898="","",$T1898&amp;"|"&amp;COUNTIFS($T$7:$T1898,$T1898))</f>
        <v/>
      </c>
      <c r="V1898" s="1">
        <f t="shared" si="90"/>
        <v>0</v>
      </c>
      <c r="W1898" s="1" t="str">
        <f t="shared" si="91"/>
        <v/>
      </c>
      <c r="X1898" s="1"/>
      <c r="Y1898" s="1"/>
      <c r="Z1898" s="1"/>
      <c r="AA1898" s="1"/>
      <c r="AB1898" s="1"/>
      <c r="AC1898" s="1"/>
      <c r="AD1898" s="1">
        <f>IF($C1898="",0,SUMPRODUCT((AY_SONU!$O$7:$O$42="Evet")*(AY_SONU!$B$7:$B$42=DATE(YEAR($C1898),MONTH($C1898),1))))</f>
        <v>0</v>
      </c>
      <c r="AE1898" s="1" t="str">
        <f>IF($E1898="","",$E1898&amp;"|"&amp;COUNTIFS($E$7:$E1898,$E1898))</f>
        <v/>
      </c>
    </row>
    <row r="1899" spans="1:31" ht="18" customHeight="1" x14ac:dyDescent="0.3">
      <c r="A1899" s="2"/>
      <c r="B1899" s="65" t="str">
        <f>IF($C1899="","","GG"&amp;TEXT(ROW()-6,"00000"))</f>
        <v/>
      </c>
      <c r="C1899" s="66"/>
      <c r="D1899" s="60"/>
      <c r="E1899" s="61"/>
      <c r="F1899" s="61"/>
      <c r="G1899" s="67"/>
      <c r="H1899" s="60"/>
      <c r="I1899" s="60"/>
      <c r="J1899" s="61"/>
      <c r="K1899" s="61"/>
      <c r="L1899" s="60"/>
      <c r="M1899" s="74" t="str">
        <f>IF($C1899="","",IF($D1899="Gider",$E1899,IF($L1899&lt;&gt;"",$L1899,$H1899)))</f>
        <v/>
      </c>
      <c r="N1899" s="74" t="str">
        <f>IF($C1899="","",IF($D1899="Gider",$H1899,$E1899))</f>
        <v/>
      </c>
      <c r="O1899" s="73" t="str">
        <f>IF($C1899="","",DATE(YEAR($C1899),MONTH($C1899),1))</f>
        <v/>
      </c>
      <c r="P1899" s="65" t="str">
        <f ca="1">IF($C1899="","",IF(AND($D1899="Gelir",$L1899&lt;&gt;"",$T1899=""),"TANIMSIZ BORÇLU",IF($T1899&lt;&gt;"",IF(OR($E1899="",$G1899&lt;=0),"EKSİK",IF($I1899="Evet","TAHAKKUK NAKİT OLAMAZ",IF($C1899&gt;TODAY(),"İLERİ TARİH","TAHAKKUK"))),IF(AND($D1899&lt;&gt;"",$E1899&lt;&gt;"",$G1899&gt;0,$H1899&lt;&gt;"",$I1899&lt;&gt;""),IF($C1899&gt;TODAY(),"İLERİ TARİH",IF(COUNTIF($W$7:$W$3001,$W1899)&gt;1,"MÜKERRER?",IF($AD1899&gt;0,"KAPALI DÖNEM",IF($I1899="Hayır","ÖDENECEK","UYGUN")))),"EKSİK"))))</f>
        <v/>
      </c>
      <c r="Q1899" s="2"/>
      <c r="R1899" s="2"/>
      <c r="S1899" s="1" t="str">
        <f t="shared" si="89"/>
        <v/>
      </c>
      <c r="T1899" s="1" t="str">
        <f>IF(OR($C1899="",$D1899&lt;&gt;"Gelir",$L1899=""),"",IFERROR(INDEX(MUSTERILER!$B$7:$B$156,MATCH($S1899,MUSTERILER!$T$7:$T$156,0)),""))</f>
        <v/>
      </c>
      <c r="U1899" s="1" t="str">
        <f>IF($T1899="","",$T1899&amp;"|"&amp;COUNTIFS($T$7:$T1899,$T1899))</f>
        <v/>
      </c>
      <c r="V1899" s="1">
        <f t="shared" si="90"/>
        <v>0</v>
      </c>
      <c r="W1899" s="1" t="str">
        <f t="shared" si="91"/>
        <v/>
      </c>
      <c r="X1899" s="1"/>
      <c r="Y1899" s="1"/>
      <c r="Z1899" s="1"/>
      <c r="AA1899" s="1"/>
      <c r="AB1899" s="1"/>
      <c r="AC1899" s="1"/>
      <c r="AD1899" s="1">
        <f>IF($C1899="",0,SUMPRODUCT((AY_SONU!$O$7:$O$42="Evet")*(AY_SONU!$B$7:$B$42=DATE(YEAR($C1899),MONTH($C1899),1))))</f>
        <v>0</v>
      </c>
      <c r="AE1899" s="1" t="str">
        <f>IF($E1899="","",$E1899&amp;"|"&amp;COUNTIFS($E$7:$E1899,$E1899))</f>
        <v/>
      </c>
    </row>
    <row r="1900" spans="1:31" ht="18" customHeight="1" x14ac:dyDescent="0.3">
      <c r="A1900" s="2"/>
      <c r="B1900" s="65" t="str">
        <f>IF($C1900="","","GG"&amp;TEXT(ROW()-6,"00000"))</f>
        <v/>
      </c>
      <c r="C1900" s="66"/>
      <c r="D1900" s="60"/>
      <c r="E1900" s="61"/>
      <c r="F1900" s="61"/>
      <c r="G1900" s="67"/>
      <c r="H1900" s="60"/>
      <c r="I1900" s="60"/>
      <c r="J1900" s="61"/>
      <c r="K1900" s="61"/>
      <c r="L1900" s="60"/>
      <c r="M1900" s="74" t="str">
        <f>IF($C1900="","",IF($D1900="Gider",$E1900,IF($L1900&lt;&gt;"",$L1900,$H1900)))</f>
        <v/>
      </c>
      <c r="N1900" s="74" t="str">
        <f>IF($C1900="","",IF($D1900="Gider",$H1900,$E1900))</f>
        <v/>
      </c>
      <c r="O1900" s="73" t="str">
        <f>IF($C1900="","",DATE(YEAR($C1900),MONTH($C1900),1))</f>
        <v/>
      </c>
      <c r="P1900" s="65" t="str">
        <f ca="1">IF($C1900="","",IF(AND($D1900="Gelir",$L1900&lt;&gt;"",$T1900=""),"TANIMSIZ BORÇLU",IF($T1900&lt;&gt;"",IF(OR($E1900="",$G1900&lt;=0),"EKSİK",IF($I1900="Evet","TAHAKKUK NAKİT OLAMAZ",IF($C1900&gt;TODAY(),"İLERİ TARİH","TAHAKKUK"))),IF(AND($D1900&lt;&gt;"",$E1900&lt;&gt;"",$G1900&gt;0,$H1900&lt;&gt;"",$I1900&lt;&gt;""),IF($C1900&gt;TODAY(),"İLERİ TARİH",IF(COUNTIF($W$7:$W$3001,$W1900)&gt;1,"MÜKERRER?",IF($AD1900&gt;0,"KAPALI DÖNEM",IF($I1900="Hayır","ÖDENECEK","UYGUN")))),"EKSİK"))))</f>
        <v/>
      </c>
      <c r="Q1900" s="2"/>
      <c r="R1900" s="2"/>
      <c r="S1900" s="1" t="str">
        <f t="shared" si="89"/>
        <v/>
      </c>
      <c r="T1900" s="1" t="str">
        <f>IF(OR($C1900="",$D1900&lt;&gt;"Gelir",$L1900=""),"",IFERROR(INDEX(MUSTERILER!$B$7:$B$156,MATCH($S1900,MUSTERILER!$T$7:$T$156,0)),""))</f>
        <v/>
      </c>
      <c r="U1900" s="1" t="str">
        <f>IF($T1900="","",$T1900&amp;"|"&amp;COUNTIFS($T$7:$T1900,$T1900))</f>
        <v/>
      </c>
      <c r="V1900" s="1">
        <f t="shared" si="90"/>
        <v>0</v>
      </c>
      <c r="W1900" s="1" t="str">
        <f t="shared" si="91"/>
        <v/>
      </c>
      <c r="X1900" s="1"/>
      <c r="Y1900" s="1"/>
      <c r="Z1900" s="1"/>
      <c r="AA1900" s="1"/>
      <c r="AB1900" s="1"/>
      <c r="AC1900" s="1"/>
      <c r="AD1900" s="1">
        <f>IF($C1900="",0,SUMPRODUCT((AY_SONU!$O$7:$O$42="Evet")*(AY_SONU!$B$7:$B$42=DATE(YEAR($C1900),MONTH($C1900),1))))</f>
        <v>0</v>
      </c>
      <c r="AE1900" s="1" t="str">
        <f>IF($E1900="","",$E1900&amp;"|"&amp;COUNTIFS($E$7:$E1900,$E1900))</f>
        <v/>
      </c>
    </row>
    <row r="1901" spans="1:31" ht="18" customHeight="1" x14ac:dyDescent="0.3">
      <c r="A1901" s="2"/>
      <c r="B1901" s="65" t="str">
        <f>IF($C1901="","","GG"&amp;TEXT(ROW()-6,"00000"))</f>
        <v/>
      </c>
      <c r="C1901" s="66"/>
      <c r="D1901" s="60"/>
      <c r="E1901" s="61"/>
      <c r="F1901" s="61"/>
      <c r="G1901" s="67"/>
      <c r="H1901" s="60"/>
      <c r="I1901" s="60"/>
      <c r="J1901" s="61"/>
      <c r="K1901" s="61"/>
      <c r="L1901" s="60"/>
      <c r="M1901" s="74" t="str">
        <f>IF($C1901="","",IF($D1901="Gider",$E1901,IF($L1901&lt;&gt;"",$L1901,$H1901)))</f>
        <v/>
      </c>
      <c r="N1901" s="74" t="str">
        <f>IF($C1901="","",IF($D1901="Gider",$H1901,$E1901))</f>
        <v/>
      </c>
      <c r="O1901" s="73" t="str">
        <f>IF($C1901="","",DATE(YEAR($C1901),MONTH($C1901),1))</f>
        <v/>
      </c>
      <c r="P1901" s="65" t="str">
        <f ca="1">IF($C1901="","",IF(AND($D1901="Gelir",$L1901&lt;&gt;"",$T1901=""),"TANIMSIZ BORÇLU",IF($T1901&lt;&gt;"",IF(OR($E1901="",$G1901&lt;=0),"EKSİK",IF($I1901="Evet","TAHAKKUK NAKİT OLAMAZ",IF($C1901&gt;TODAY(),"İLERİ TARİH","TAHAKKUK"))),IF(AND($D1901&lt;&gt;"",$E1901&lt;&gt;"",$G1901&gt;0,$H1901&lt;&gt;"",$I1901&lt;&gt;""),IF($C1901&gt;TODAY(),"İLERİ TARİH",IF(COUNTIF($W$7:$W$3001,$W1901)&gt;1,"MÜKERRER?",IF($AD1901&gt;0,"KAPALI DÖNEM",IF($I1901="Hayır","ÖDENECEK","UYGUN")))),"EKSİK"))))</f>
        <v/>
      </c>
      <c r="Q1901" s="2"/>
      <c r="R1901" s="2"/>
      <c r="S1901" s="1" t="str">
        <f t="shared" si="89"/>
        <v/>
      </c>
      <c r="T1901" s="1" t="str">
        <f>IF(OR($C1901="",$D1901&lt;&gt;"Gelir",$L1901=""),"",IFERROR(INDEX(MUSTERILER!$B$7:$B$156,MATCH($S1901,MUSTERILER!$T$7:$T$156,0)),""))</f>
        <v/>
      </c>
      <c r="U1901" s="1" t="str">
        <f>IF($T1901="","",$T1901&amp;"|"&amp;COUNTIFS($T$7:$T1901,$T1901))</f>
        <v/>
      </c>
      <c r="V1901" s="1">
        <f t="shared" si="90"/>
        <v>0</v>
      </c>
      <c r="W1901" s="1" t="str">
        <f t="shared" si="91"/>
        <v/>
      </c>
      <c r="X1901" s="1"/>
      <c r="Y1901" s="1"/>
      <c r="Z1901" s="1"/>
      <c r="AA1901" s="1"/>
      <c r="AB1901" s="1"/>
      <c r="AC1901" s="1"/>
      <c r="AD1901" s="1">
        <f>IF($C1901="",0,SUMPRODUCT((AY_SONU!$O$7:$O$42="Evet")*(AY_SONU!$B$7:$B$42=DATE(YEAR($C1901),MONTH($C1901),1))))</f>
        <v>0</v>
      </c>
      <c r="AE1901" s="1" t="str">
        <f>IF($E1901="","",$E1901&amp;"|"&amp;COUNTIFS($E$7:$E1901,$E1901))</f>
        <v/>
      </c>
    </row>
    <row r="1902" spans="1:31" ht="18" customHeight="1" x14ac:dyDescent="0.3">
      <c r="A1902" s="2"/>
      <c r="B1902" s="65" t="str">
        <f>IF($C1902="","","GG"&amp;TEXT(ROW()-6,"00000"))</f>
        <v/>
      </c>
      <c r="C1902" s="66"/>
      <c r="D1902" s="60"/>
      <c r="E1902" s="61"/>
      <c r="F1902" s="61"/>
      <c r="G1902" s="67"/>
      <c r="H1902" s="60"/>
      <c r="I1902" s="60"/>
      <c r="J1902" s="61"/>
      <c r="K1902" s="61"/>
      <c r="L1902" s="60"/>
      <c r="M1902" s="74" t="str">
        <f>IF($C1902="","",IF($D1902="Gider",$E1902,IF($L1902&lt;&gt;"",$L1902,$H1902)))</f>
        <v/>
      </c>
      <c r="N1902" s="74" t="str">
        <f>IF($C1902="","",IF($D1902="Gider",$H1902,$E1902))</f>
        <v/>
      </c>
      <c r="O1902" s="73" t="str">
        <f>IF($C1902="","",DATE(YEAR($C1902),MONTH($C1902),1))</f>
        <v/>
      </c>
      <c r="P1902" s="65" t="str">
        <f ca="1">IF($C1902="","",IF(AND($D1902="Gelir",$L1902&lt;&gt;"",$T1902=""),"TANIMSIZ BORÇLU",IF($T1902&lt;&gt;"",IF(OR($E1902="",$G1902&lt;=0),"EKSİK",IF($I1902="Evet","TAHAKKUK NAKİT OLAMAZ",IF($C1902&gt;TODAY(),"İLERİ TARİH","TAHAKKUK"))),IF(AND($D1902&lt;&gt;"",$E1902&lt;&gt;"",$G1902&gt;0,$H1902&lt;&gt;"",$I1902&lt;&gt;""),IF($C1902&gt;TODAY(),"İLERİ TARİH",IF(COUNTIF($W$7:$W$3001,$W1902)&gt;1,"MÜKERRER?",IF($AD1902&gt;0,"KAPALI DÖNEM",IF($I1902="Hayır","ÖDENECEK","UYGUN")))),"EKSİK"))))</f>
        <v/>
      </c>
      <c r="Q1902" s="2"/>
      <c r="R1902" s="2"/>
      <c r="S1902" s="1" t="str">
        <f t="shared" si="89"/>
        <v/>
      </c>
      <c r="T1902" s="1" t="str">
        <f>IF(OR($C1902="",$D1902&lt;&gt;"Gelir",$L1902=""),"",IFERROR(INDEX(MUSTERILER!$B$7:$B$156,MATCH($S1902,MUSTERILER!$T$7:$T$156,0)),""))</f>
        <v/>
      </c>
      <c r="U1902" s="1" t="str">
        <f>IF($T1902="","",$T1902&amp;"|"&amp;COUNTIFS($T$7:$T1902,$T1902))</f>
        <v/>
      </c>
      <c r="V1902" s="1">
        <f t="shared" si="90"/>
        <v>0</v>
      </c>
      <c r="W1902" s="1" t="str">
        <f t="shared" si="91"/>
        <v/>
      </c>
      <c r="X1902" s="1"/>
      <c r="Y1902" s="1"/>
      <c r="Z1902" s="1"/>
      <c r="AA1902" s="1"/>
      <c r="AB1902" s="1"/>
      <c r="AC1902" s="1"/>
      <c r="AD1902" s="1">
        <f>IF($C1902="",0,SUMPRODUCT((AY_SONU!$O$7:$O$42="Evet")*(AY_SONU!$B$7:$B$42=DATE(YEAR($C1902),MONTH($C1902),1))))</f>
        <v>0</v>
      </c>
      <c r="AE1902" s="1" t="str">
        <f>IF($E1902="","",$E1902&amp;"|"&amp;COUNTIFS($E$7:$E1902,$E1902))</f>
        <v/>
      </c>
    </row>
    <row r="1903" spans="1:31" ht="18" customHeight="1" x14ac:dyDescent="0.3">
      <c r="A1903" s="2"/>
      <c r="B1903" s="65" t="str">
        <f>IF($C1903="","","GG"&amp;TEXT(ROW()-6,"00000"))</f>
        <v/>
      </c>
      <c r="C1903" s="66"/>
      <c r="D1903" s="60"/>
      <c r="E1903" s="61"/>
      <c r="F1903" s="61"/>
      <c r="G1903" s="67"/>
      <c r="H1903" s="60"/>
      <c r="I1903" s="60"/>
      <c r="J1903" s="61"/>
      <c r="K1903" s="61"/>
      <c r="L1903" s="60"/>
      <c r="M1903" s="74" t="str">
        <f>IF($C1903="","",IF($D1903="Gider",$E1903,IF($L1903&lt;&gt;"",$L1903,$H1903)))</f>
        <v/>
      </c>
      <c r="N1903" s="74" t="str">
        <f>IF($C1903="","",IF($D1903="Gider",$H1903,$E1903))</f>
        <v/>
      </c>
      <c r="O1903" s="73" t="str">
        <f>IF($C1903="","",DATE(YEAR($C1903),MONTH($C1903),1))</f>
        <v/>
      </c>
      <c r="P1903" s="65" t="str">
        <f ca="1">IF($C1903="","",IF(AND($D1903="Gelir",$L1903&lt;&gt;"",$T1903=""),"TANIMSIZ BORÇLU",IF($T1903&lt;&gt;"",IF(OR($E1903="",$G1903&lt;=0),"EKSİK",IF($I1903="Evet","TAHAKKUK NAKİT OLAMAZ",IF($C1903&gt;TODAY(),"İLERİ TARİH","TAHAKKUK"))),IF(AND($D1903&lt;&gt;"",$E1903&lt;&gt;"",$G1903&gt;0,$H1903&lt;&gt;"",$I1903&lt;&gt;""),IF($C1903&gt;TODAY(),"İLERİ TARİH",IF(COUNTIF($W$7:$W$3001,$W1903)&gt;1,"MÜKERRER?",IF($AD1903&gt;0,"KAPALI DÖNEM",IF($I1903="Hayır","ÖDENECEK","UYGUN")))),"EKSİK"))))</f>
        <v/>
      </c>
      <c r="Q1903" s="2"/>
      <c r="R1903" s="2"/>
      <c r="S1903" s="1" t="str">
        <f t="shared" si="89"/>
        <v/>
      </c>
      <c r="T1903" s="1" t="str">
        <f>IF(OR($C1903="",$D1903&lt;&gt;"Gelir",$L1903=""),"",IFERROR(INDEX(MUSTERILER!$B$7:$B$156,MATCH($S1903,MUSTERILER!$T$7:$T$156,0)),""))</f>
        <v/>
      </c>
      <c r="U1903" s="1" t="str">
        <f>IF($T1903="","",$T1903&amp;"|"&amp;COUNTIFS($T$7:$T1903,$T1903))</f>
        <v/>
      </c>
      <c r="V1903" s="1">
        <f t="shared" si="90"/>
        <v>0</v>
      </c>
      <c r="W1903" s="1" t="str">
        <f t="shared" si="91"/>
        <v/>
      </c>
      <c r="X1903" s="1"/>
      <c r="Y1903" s="1"/>
      <c r="Z1903" s="1"/>
      <c r="AA1903" s="1"/>
      <c r="AB1903" s="1"/>
      <c r="AC1903" s="1"/>
      <c r="AD1903" s="1">
        <f>IF($C1903="",0,SUMPRODUCT((AY_SONU!$O$7:$O$42="Evet")*(AY_SONU!$B$7:$B$42=DATE(YEAR($C1903),MONTH($C1903),1))))</f>
        <v>0</v>
      </c>
      <c r="AE1903" s="1" t="str">
        <f>IF($E1903="","",$E1903&amp;"|"&amp;COUNTIFS($E$7:$E1903,$E1903))</f>
        <v/>
      </c>
    </row>
    <row r="1904" spans="1:31" ht="18" customHeight="1" x14ac:dyDescent="0.3">
      <c r="A1904" s="2"/>
      <c r="B1904" s="65" t="str">
        <f>IF($C1904="","","GG"&amp;TEXT(ROW()-6,"00000"))</f>
        <v/>
      </c>
      <c r="C1904" s="66"/>
      <c r="D1904" s="60"/>
      <c r="E1904" s="61"/>
      <c r="F1904" s="61"/>
      <c r="G1904" s="67"/>
      <c r="H1904" s="60"/>
      <c r="I1904" s="60"/>
      <c r="J1904" s="61"/>
      <c r="K1904" s="61"/>
      <c r="L1904" s="60"/>
      <c r="M1904" s="74" t="str">
        <f>IF($C1904="","",IF($D1904="Gider",$E1904,IF($L1904&lt;&gt;"",$L1904,$H1904)))</f>
        <v/>
      </c>
      <c r="N1904" s="74" t="str">
        <f>IF($C1904="","",IF($D1904="Gider",$H1904,$E1904))</f>
        <v/>
      </c>
      <c r="O1904" s="73" t="str">
        <f>IF($C1904="","",DATE(YEAR($C1904),MONTH($C1904),1))</f>
        <v/>
      </c>
      <c r="P1904" s="65" t="str">
        <f ca="1">IF($C1904="","",IF(AND($D1904="Gelir",$L1904&lt;&gt;"",$T1904=""),"TANIMSIZ BORÇLU",IF($T1904&lt;&gt;"",IF(OR($E1904="",$G1904&lt;=0),"EKSİK",IF($I1904="Evet","TAHAKKUK NAKİT OLAMAZ",IF($C1904&gt;TODAY(),"İLERİ TARİH","TAHAKKUK"))),IF(AND($D1904&lt;&gt;"",$E1904&lt;&gt;"",$G1904&gt;0,$H1904&lt;&gt;"",$I1904&lt;&gt;""),IF($C1904&gt;TODAY(),"İLERİ TARİH",IF(COUNTIF($W$7:$W$3001,$W1904)&gt;1,"MÜKERRER?",IF($AD1904&gt;0,"KAPALI DÖNEM",IF($I1904="Hayır","ÖDENECEK","UYGUN")))),"EKSİK"))))</f>
        <v/>
      </c>
      <c r="Q1904" s="2"/>
      <c r="R1904" s="2"/>
      <c r="S1904" s="1" t="str">
        <f t="shared" si="89"/>
        <v/>
      </c>
      <c r="T1904" s="1" t="str">
        <f>IF(OR($C1904="",$D1904&lt;&gt;"Gelir",$L1904=""),"",IFERROR(INDEX(MUSTERILER!$B$7:$B$156,MATCH($S1904,MUSTERILER!$T$7:$T$156,0)),""))</f>
        <v/>
      </c>
      <c r="U1904" s="1" t="str">
        <f>IF($T1904="","",$T1904&amp;"|"&amp;COUNTIFS($T$7:$T1904,$T1904))</f>
        <v/>
      </c>
      <c r="V1904" s="1">
        <f t="shared" si="90"/>
        <v>0</v>
      </c>
      <c r="W1904" s="1" t="str">
        <f t="shared" si="91"/>
        <v/>
      </c>
      <c r="X1904" s="1"/>
      <c r="Y1904" s="1"/>
      <c r="Z1904" s="1"/>
      <c r="AA1904" s="1"/>
      <c r="AB1904" s="1"/>
      <c r="AC1904" s="1"/>
      <c r="AD1904" s="1">
        <f>IF($C1904="",0,SUMPRODUCT((AY_SONU!$O$7:$O$42="Evet")*(AY_SONU!$B$7:$B$42=DATE(YEAR($C1904),MONTH($C1904),1))))</f>
        <v>0</v>
      </c>
      <c r="AE1904" s="1" t="str">
        <f>IF($E1904="","",$E1904&amp;"|"&amp;COUNTIFS($E$7:$E1904,$E1904))</f>
        <v/>
      </c>
    </row>
    <row r="1905" spans="1:31" ht="18" customHeight="1" x14ac:dyDescent="0.3">
      <c r="A1905" s="2"/>
      <c r="B1905" s="65" t="str">
        <f>IF($C1905="","","GG"&amp;TEXT(ROW()-6,"00000"))</f>
        <v/>
      </c>
      <c r="C1905" s="66"/>
      <c r="D1905" s="60"/>
      <c r="E1905" s="61"/>
      <c r="F1905" s="61"/>
      <c r="G1905" s="67"/>
      <c r="H1905" s="60"/>
      <c r="I1905" s="60"/>
      <c r="J1905" s="61"/>
      <c r="K1905" s="61"/>
      <c r="L1905" s="60"/>
      <c r="M1905" s="74" t="str">
        <f>IF($C1905="","",IF($D1905="Gider",$E1905,IF($L1905&lt;&gt;"",$L1905,$H1905)))</f>
        <v/>
      </c>
      <c r="N1905" s="74" t="str">
        <f>IF($C1905="","",IF($D1905="Gider",$H1905,$E1905))</f>
        <v/>
      </c>
      <c r="O1905" s="73" t="str">
        <f>IF($C1905="","",DATE(YEAR($C1905),MONTH($C1905),1))</f>
        <v/>
      </c>
      <c r="P1905" s="65" t="str">
        <f ca="1">IF($C1905="","",IF(AND($D1905="Gelir",$L1905&lt;&gt;"",$T1905=""),"TANIMSIZ BORÇLU",IF($T1905&lt;&gt;"",IF(OR($E1905="",$G1905&lt;=0),"EKSİK",IF($I1905="Evet","TAHAKKUK NAKİT OLAMAZ",IF($C1905&gt;TODAY(),"İLERİ TARİH","TAHAKKUK"))),IF(AND($D1905&lt;&gt;"",$E1905&lt;&gt;"",$G1905&gt;0,$H1905&lt;&gt;"",$I1905&lt;&gt;""),IF($C1905&gt;TODAY(),"İLERİ TARİH",IF(COUNTIF($W$7:$W$3001,$W1905)&gt;1,"MÜKERRER?",IF($AD1905&gt;0,"KAPALI DÖNEM",IF($I1905="Hayır","ÖDENECEK","UYGUN")))),"EKSİK"))))</f>
        <v/>
      </c>
      <c r="Q1905" s="2"/>
      <c r="R1905" s="2"/>
      <c r="S1905" s="1" t="str">
        <f t="shared" si="89"/>
        <v/>
      </c>
      <c r="T1905" s="1" t="str">
        <f>IF(OR($C1905="",$D1905&lt;&gt;"Gelir",$L1905=""),"",IFERROR(INDEX(MUSTERILER!$B$7:$B$156,MATCH($S1905,MUSTERILER!$T$7:$T$156,0)),""))</f>
        <v/>
      </c>
      <c r="U1905" s="1" t="str">
        <f>IF($T1905="","",$T1905&amp;"|"&amp;COUNTIFS($T$7:$T1905,$T1905))</f>
        <v/>
      </c>
      <c r="V1905" s="1">
        <f t="shared" si="90"/>
        <v>0</v>
      </c>
      <c r="W1905" s="1" t="str">
        <f t="shared" si="91"/>
        <v/>
      </c>
      <c r="X1905" s="1"/>
      <c r="Y1905" s="1"/>
      <c r="Z1905" s="1"/>
      <c r="AA1905" s="1"/>
      <c r="AB1905" s="1"/>
      <c r="AC1905" s="1"/>
      <c r="AD1905" s="1">
        <f>IF($C1905="",0,SUMPRODUCT((AY_SONU!$O$7:$O$42="Evet")*(AY_SONU!$B$7:$B$42=DATE(YEAR($C1905),MONTH($C1905),1))))</f>
        <v>0</v>
      </c>
      <c r="AE1905" s="1" t="str">
        <f>IF($E1905="","",$E1905&amp;"|"&amp;COUNTIFS($E$7:$E1905,$E1905))</f>
        <v/>
      </c>
    </row>
    <row r="1906" spans="1:31" ht="18" customHeight="1" x14ac:dyDescent="0.3">
      <c r="A1906" s="2"/>
      <c r="B1906" s="65" t="str">
        <f>IF($C1906="","","GG"&amp;TEXT(ROW()-6,"00000"))</f>
        <v/>
      </c>
      <c r="C1906" s="66"/>
      <c r="D1906" s="60"/>
      <c r="E1906" s="61"/>
      <c r="F1906" s="61"/>
      <c r="G1906" s="67"/>
      <c r="H1906" s="60"/>
      <c r="I1906" s="60"/>
      <c r="J1906" s="61"/>
      <c r="K1906" s="61"/>
      <c r="L1906" s="60"/>
      <c r="M1906" s="74" t="str">
        <f>IF($C1906="","",IF($D1906="Gider",$E1906,IF($L1906&lt;&gt;"",$L1906,$H1906)))</f>
        <v/>
      </c>
      <c r="N1906" s="74" t="str">
        <f>IF($C1906="","",IF($D1906="Gider",$H1906,$E1906))</f>
        <v/>
      </c>
      <c r="O1906" s="73" t="str">
        <f>IF($C1906="","",DATE(YEAR($C1906),MONTH($C1906),1))</f>
        <v/>
      </c>
      <c r="P1906" s="65" t="str">
        <f ca="1">IF($C1906="","",IF(AND($D1906="Gelir",$L1906&lt;&gt;"",$T1906=""),"TANIMSIZ BORÇLU",IF($T1906&lt;&gt;"",IF(OR($E1906="",$G1906&lt;=0),"EKSİK",IF($I1906="Evet","TAHAKKUK NAKİT OLAMAZ",IF($C1906&gt;TODAY(),"İLERİ TARİH","TAHAKKUK"))),IF(AND($D1906&lt;&gt;"",$E1906&lt;&gt;"",$G1906&gt;0,$H1906&lt;&gt;"",$I1906&lt;&gt;""),IF($C1906&gt;TODAY(),"İLERİ TARİH",IF(COUNTIF($W$7:$W$3001,$W1906)&gt;1,"MÜKERRER?",IF($AD1906&gt;0,"KAPALI DÖNEM",IF($I1906="Hayır","ÖDENECEK","UYGUN")))),"EKSİK"))))</f>
        <v/>
      </c>
      <c r="Q1906" s="2"/>
      <c r="R1906" s="2"/>
      <c r="S1906" s="1" t="str">
        <f t="shared" si="89"/>
        <v/>
      </c>
      <c r="T1906" s="1" t="str">
        <f>IF(OR($C1906="",$D1906&lt;&gt;"Gelir",$L1906=""),"",IFERROR(INDEX(MUSTERILER!$B$7:$B$156,MATCH($S1906,MUSTERILER!$T$7:$T$156,0)),""))</f>
        <v/>
      </c>
      <c r="U1906" s="1" t="str">
        <f>IF($T1906="","",$T1906&amp;"|"&amp;COUNTIFS($T$7:$T1906,$T1906))</f>
        <v/>
      </c>
      <c r="V1906" s="1">
        <f t="shared" si="90"/>
        <v>0</v>
      </c>
      <c r="W1906" s="1" t="str">
        <f t="shared" si="91"/>
        <v/>
      </c>
      <c r="X1906" s="1"/>
      <c r="Y1906" s="1"/>
      <c r="Z1906" s="1"/>
      <c r="AA1906" s="1"/>
      <c r="AB1906" s="1"/>
      <c r="AC1906" s="1"/>
      <c r="AD1906" s="1">
        <f>IF($C1906="",0,SUMPRODUCT((AY_SONU!$O$7:$O$42="Evet")*(AY_SONU!$B$7:$B$42=DATE(YEAR($C1906),MONTH($C1906),1))))</f>
        <v>0</v>
      </c>
      <c r="AE1906" s="1" t="str">
        <f>IF($E1906="","",$E1906&amp;"|"&amp;COUNTIFS($E$7:$E1906,$E1906))</f>
        <v/>
      </c>
    </row>
    <row r="1907" spans="1:31" ht="18" customHeight="1" x14ac:dyDescent="0.3">
      <c r="A1907" s="2"/>
      <c r="B1907" s="65" t="str">
        <f>IF($C1907="","","GG"&amp;TEXT(ROW()-6,"00000"))</f>
        <v/>
      </c>
      <c r="C1907" s="66"/>
      <c r="D1907" s="60"/>
      <c r="E1907" s="61"/>
      <c r="F1907" s="61"/>
      <c r="G1907" s="67"/>
      <c r="H1907" s="60"/>
      <c r="I1907" s="60"/>
      <c r="J1907" s="61"/>
      <c r="K1907" s="61"/>
      <c r="L1907" s="60"/>
      <c r="M1907" s="74" t="str">
        <f>IF($C1907="","",IF($D1907="Gider",$E1907,IF($L1907&lt;&gt;"",$L1907,$H1907)))</f>
        <v/>
      </c>
      <c r="N1907" s="74" t="str">
        <f>IF($C1907="","",IF($D1907="Gider",$H1907,$E1907))</f>
        <v/>
      </c>
      <c r="O1907" s="73" t="str">
        <f>IF($C1907="","",DATE(YEAR($C1907),MONTH($C1907),1))</f>
        <v/>
      </c>
      <c r="P1907" s="65" t="str">
        <f ca="1">IF($C1907="","",IF(AND($D1907="Gelir",$L1907&lt;&gt;"",$T1907=""),"TANIMSIZ BORÇLU",IF($T1907&lt;&gt;"",IF(OR($E1907="",$G1907&lt;=0),"EKSİK",IF($I1907="Evet","TAHAKKUK NAKİT OLAMAZ",IF($C1907&gt;TODAY(),"İLERİ TARİH","TAHAKKUK"))),IF(AND($D1907&lt;&gt;"",$E1907&lt;&gt;"",$G1907&gt;0,$H1907&lt;&gt;"",$I1907&lt;&gt;""),IF($C1907&gt;TODAY(),"İLERİ TARİH",IF(COUNTIF($W$7:$W$3001,$W1907)&gt;1,"MÜKERRER?",IF($AD1907&gt;0,"KAPALI DÖNEM",IF($I1907="Hayır","ÖDENECEK","UYGUN")))),"EKSİK"))))</f>
        <v/>
      </c>
      <c r="Q1907" s="2"/>
      <c r="R1907" s="2"/>
      <c r="S1907" s="1" t="str">
        <f t="shared" si="89"/>
        <v/>
      </c>
      <c r="T1907" s="1" t="str">
        <f>IF(OR($C1907="",$D1907&lt;&gt;"Gelir",$L1907=""),"",IFERROR(INDEX(MUSTERILER!$B$7:$B$156,MATCH($S1907,MUSTERILER!$T$7:$T$156,0)),""))</f>
        <v/>
      </c>
      <c r="U1907" s="1" t="str">
        <f>IF($T1907="","",$T1907&amp;"|"&amp;COUNTIFS($T$7:$T1907,$T1907))</f>
        <v/>
      </c>
      <c r="V1907" s="1">
        <f t="shared" si="90"/>
        <v>0</v>
      </c>
      <c r="W1907" s="1" t="str">
        <f t="shared" si="91"/>
        <v/>
      </c>
      <c r="X1907" s="1"/>
      <c r="Y1907" s="1"/>
      <c r="Z1907" s="1"/>
      <c r="AA1907" s="1"/>
      <c r="AB1907" s="1"/>
      <c r="AC1907" s="1"/>
      <c r="AD1907" s="1">
        <f>IF($C1907="",0,SUMPRODUCT((AY_SONU!$O$7:$O$42="Evet")*(AY_SONU!$B$7:$B$42=DATE(YEAR($C1907),MONTH($C1907),1))))</f>
        <v>0</v>
      </c>
      <c r="AE1907" s="1" t="str">
        <f>IF($E1907="","",$E1907&amp;"|"&amp;COUNTIFS($E$7:$E1907,$E1907))</f>
        <v/>
      </c>
    </row>
    <row r="1908" spans="1:31" ht="18" customHeight="1" x14ac:dyDescent="0.3">
      <c r="A1908" s="2"/>
      <c r="B1908" s="65" t="str">
        <f>IF($C1908="","","GG"&amp;TEXT(ROW()-6,"00000"))</f>
        <v/>
      </c>
      <c r="C1908" s="66"/>
      <c r="D1908" s="60"/>
      <c r="E1908" s="61"/>
      <c r="F1908" s="61"/>
      <c r="G1908" s="67"/>
      <c r="H1908" s="60"/>
      <c r="I1908" s="60"/>
      <c r="J1908" s="61"/>
      <c r="K1908" s="61"/>
      <c r="L1908" s="60"/>
      <c r="M1908" s="74" t="str">
        <f>IF($C1908="","",IF($D1908="Gider",$E1908,IF($L1908&lt;&gt;"",$L1908,$H1908)))</f>
        <v/>
      </c>
      <c r="N1908" s="74" t="str">
        <f>IF($C1908="","",IF($D1908="Gider",$H1908,$E1908))</f>
        <v/>
      </c>
      <c r="O1908" s="73" t="str">
        <f>IF($C1908="","",DATE(YEAR($C1908),MONTH($C1908),1))</f>
        <v/>
      </c>
      <c r="P1908" s="65" t="str">
        <f ca="1">IF($C1908="","",IF(AND($D1908="Gelir",$L1908&lt;&gt;"",$T1908=""),"TANIMSIZ BORÇLU",IF($T1908&lt;&gt;"",IF(OR($E1908="",$G1908&lt;=0),"EKSİK",IF($I1908="Evet","TAHAKKUK NAKİT OLAMAZ",IF($C1908&gt;TODAY(),"İLERİ TARİH","TAHAKKUK"))),IF(AND($D1908&lt;&gt;"",$E1908&lt;&gt;"",$G1908&gt;0,$H1908&lt;&gt;"",$I1908&lt;&gt;""),IF($C1908&gt;TODAY(),"İLERİ TARİH",IF(COUNTIF($W$7:$W$3001,$W1908)&gt;1,"MÜKERRER?",IF($AD1908&gt;0,"KAPALI DÖNEM",IF($I1908="Hayır","ÖDENECEK","UYGUN")))),"EKSİK"))))</f>
        <v/>
      </c>
      <c r="Q1908" s="2"/>
      <c r="R1908" s="2"/>
      <c r="S1908" s="1" t="str">
        <f t="shared" si="89"/>
        <v/>
      </c>
      <c r="T1908" s="1" t="str">
        <f>IF(OR($C1908="",$D1908&lt;&gt;"Gelir",$L1908=""),"",IFERROR(INDEX(MUSTERILER!$B$7:$B$156,MATCH($S1908,MUSTERILER!$T$7:$T$156,0)),""))</f>
        <v/>
      </c>
      <c r="U1908" s="1" t="str">
        <f>IF($T1908="","",$T1908&amp;"|"&amp;COUNTIFS($T$7:$T1908,$T1908))</f>
        <v/>
      </c>
      <c r="V1908" s="1">
        <f t="shared" si="90"/>
        <v>0</v>
      </c>
      <c r="W1908" s="1" t="str">
        <f t="shared" si="91"/>
        <v/>
      </c>
      <c r="X1908" s="1"/>
      <c r="Y1908" s="1"/>
      <c r="Z1908" s="1"/>
      <c r="AA1908" s="1"/>
      <c r="AB1908" s="1"/>
      <c r="AC1908" s="1"/>
      <c r="AD1908" s="1">
        <f>IF($C1908="",0,SUMPRODUCT((AY_SONU!$O$7:$O$42="Evet")*(AY_SONU!$B$7:$B$42=DATE(YEAR($C1908),MONTH($C1908),1))))</f>
        <v>0</v>
      </c>
      <c r="AE1908" s="1" t="str">
        <f>IF($E1908="","",$E1908&amp;"|"&amp;COUNTIFS($E$7:$E1908,$E1908))</f>
        <v/>
      </c>
    </row>
    <row r="1909" spans="1:31" ht="18" customHeight="1" x14ac:dyDescent="0.3">
      <c r="A1909" s="2"/>
      <c r="B1909" s="65" t="str">
        <f>IF($C1909="","","GG"&amp;TEXT(ROW()-6,"00000"))</f>
        <v/>
      </c>
      <c r="C1909" s="66"/>
      <c r="D1909" s="60"/>
      <c r="E1909" s="61"/>
      <c r="F1909" s="61"/>
      <c r="G1909" s="67"/>
      <c r="H1909" s="60"/>
      <c r="I1909" s="60"/>
      <c r="J1909" s="61"/>
      <c r="K1909" s="61"/>
      <c r="L1909" s="60"/>
      <c r="M1909" s="74" t="str">
        <f>IF($C1909="","",IF($D1909="Gider",$E1909,IF($L1909&lt;&gt;"",$L1909,$H1909)))</f>
        <v/>
      </c>
      <c r="N1909" s="74" t="str">
        <f>IF($C1909="","",IF($D1909="Gider",$H1909,$E1909))</f>
        <v/>
      </c>
      <c r="O1909" s="73" t="str">
        <f>IF($C1909="","",DATE(YEAR($C1909),MONTH($C1909),1))</f>
        <v/>
      </c>
      <c r="P1909" s="65" t="str">
        <f ca="1">IF($C1909="","",IF(AND($D1909="Gelir",$L1909&lt;&gt;"",$T1909=""),"TANIMSIZ BORÇLU",IF($T1909&lt;&gt;"",IF(OR($E1909="",$G1909&lt;=0),"EKSİK",IF($I1909="Evet","TAHAKKUK NAKİT OLAMAZ",IF($C1909&gt;TODAY(),"İLERİ TARİH","TAHAKKUK"))),IF(AND($D1909&lt;&gt;"",$E1909&lt;&gt;"",$G1909&gt;0,$H1909&lt;&gt;"",$I1909&lt;&gt;""),IF($C1909&gt;TODAY(),"İLERİ TARİH",IF(COUNTIF($W$7:$W$3001,$W1909)&gt;1,"MÜKERRER?",IF($AD1909&gt;0,"KAPALI DÖNEM",IF($I1909="Hayır","ÖDENECEK","UYGUN")))),"EKSİK"))))</f>
        <v/>
      </c>
      <c r="Q1909" s="2"/>
      <c r="R1909" s="2"/>
      <c r="S1909" s="1" t="str">
        <f t="shared" si="89"/>
        <v/>
      </c>
      <c r="T1909" s="1" t="str">
        <f>IF(OR($C1909="",$D1909&lt;&gt;"Gelir",$L1909=""),"",IFERROR(INDEX(MUSTERILER!$B$7:$B$156,MATCH($S1909,MUSTERILER!$T$7:$T$156,0)),""))</f>
        <v/>
      </c>
      <c r="U1909" s="1" t="str">
        <f>IF($T1909="","",$T1909&amp;"|"&amp;COUNTIFS($T$7:$T1909,$T1909))</f>
        <v/>
      </c>
      <c r="V1909" s="1">
        <f t="shared" si="90"/>
        <v>0</v>
      </c>
      <c r="W1909" s="1" t="str">
        <f t="shared" si="91"/>
        <v/>
      </c>
      <c r="X1909" s="1"/>
      <c r="Y1909" s="1"/>
      <c r="Z1909" s="1"/>
      <c r="AA1909" s="1"/>
      <c r="AB1909" s="1"/>
      <c r="AC1909" s="1"/>
      <c r="AD1909" s="1">
        <f>IF($C1909="",0,SUMPRODUCT((AY_SONU!$O$7:$O$42="Evet")*(AY_SONU!$B$7:$B$42=DATE(YEAR($C1909),MONTH($C1909),1))))</f>
        <v>0</v>
      </c>
      <c r="AE1909" s="1" t="str">
        <f>IF($E1909="","",$E1909&amp;"|"&amp;COUNTIFS($E$7:$E1909,$E1909))</f>
        <v/>
      </c>
    </row>
    <row r="1910" spans="1:31" ht="18" customHeight="1" x14ac:dyDescent="0.3">
      <c r="A1910" s="2"/>
      <c r="B1910" s="65" t="str">
        <f>IF($C1910="","","GG"&amp;TEXT(ROW()-6,"00000"))</f>
        <v/>
      </c>
      <c r="C1910" s="66"/>
      <c r="D1910" s="60"/>
      <c r="E1910" s="61"/>
      <c r="F1910" s="61"/>
      <c r="G1910" s="67"/>
      <c r="H1910" s="60"/>
      <c r="I1910" s="60"/>
      <c r="J1910" s="61"/>
      <c r="K1910" s="61"/>
      <c r="L1910" s="60"/>
      <c r="M1910" s="74" t="str">
        <f>IF($C1910="","",IF($D1910="Gider",$E1910,IF($L1910&lt;&gt;"",$L1910,$H1910)))</f>
        <v/>
      </c>
      <c r="N1910" s="74" t="str">
        <f>IF($C1910="","",IF($D1910="Gider",$H1910,$E1910))</f>
        <v/>
      </c>
      <c r="O1910" s="73" t="str">
        <f>IF($C1910="","",DATE(YEAR($C1910),MONTH($C1910),1))</f>
        <v/>
      </c>
      <c r="P1910" s="65" t="str">
        <f ca="1">IF($C1910="","",IF(AND($D1910="Gelir",$L1910&lt;&gt;"",$T1910=""),"TANIMSIZ BORÇLU",IF($T1910&lt;&gt;"",IF(OR($E1910="",$G1910&lt;=0),"EKSİK",IF($I1910="Evet","TAHAKKUK NAKİT OLAMAZ",IF($C1910&gt;TODAY(),"İLERİ TARİH","TAHAKKUK"))),IF(AND($D1910&lt;&gt;"",$E1910&lt;&gt;"",$G1910&gt;0,$H1910&lt;&gt;"",$I1910&lt;&gt;""),IF($C1910&gt;TODAY(),"İLERİ TARİH",IF(COUNTIF($W$7:$W$3001,$W1910)&gt;1,"MÜKERRER?",IF($AD1910&gt;0,"KAPALI DÖNEM",IF($I1910="Hayır","ÖDENECEK","UYGUN")))),"EKSİK"))))</f>
        <v/>
      </c>
      <c r="Q1910" s="2"/>
      <c r="R1910" s="2"/>
      <c r="S1910" s="1" t="str">
        <f t="shared" si="89"/>
        <v/>
      </c>
      <c r="T1910" s="1" t="str">
        <f>IF(OR($C1910="",$D1910&lt;&gt;"Gelir",$L1910=""),"",IFERROR(INDEX(MUSTERILER!$B$7:$B$156,MATCH($S1910,MUSTERILER!$T$7:$T$156,0)),""))</f>
        <v/>
      </c>
      <c r="U1910" s="1" t="str">
        <f>IF($T1910="","",$T1910&amp;"|"&amp;COUNTIFS($T$7:$T1910,$T1910))</f>
        <v/>
      </c>
      <c r="V1910" s="1">
        <f t="shared" si="90"/>
        <v>0</v>
      </c>
      <c r="W1910" s="1" t="str">
        <f t="shared" si="91"/>
        <v/>
      </c>
      <c r="X1910" s="1"/>
      <c r="Y1910" s="1"/>
      <c r="Z1910" s="1"/>
      <c r="AA1910" s="1"/>
      <c r="AB1910" s="1"/>
      <c r="AC1910" s="1"/>
      <c r="AD1910" s="1">
        <f>IF($C1910="",0,SUMPRODUCT((AY_SONU!$O$7:$O$42="Evet")*(AY_SONU!$B$7:$B$42=DATE(YEAR($C1910),MONTH($C1910),1))))</f>
        <v>0</v>
      </c>
      <c r="AE1910" s="1" t="str">
        <f>IF($E1910="","",$E1910&amp;"|"&amp;COUNTIFS($E$7:$E1910,$E1910))</f>
        <v/>
      </c>
    </row>
    <row r="1911" spans="1:31" ht="18" customHeight="1" x14ac:dyDescent="0.3">
      <c r="A1911" s="2"/>
      <c r="B1911" s="65" t="str">
        <f>IF($C1911="","","GG"&amp;TEXT(ROW()-6,"00000"))</f>
        <v/>
      </c>
      <c r="C1911" s="66"/>
      <c r="D1911" s="60"/>
      <c r="E1911" s="61"/>
      <c r="F1911" s="61"/>
      <c r="G1911" s="67"/>
      <c r="H1911" s="60"/>
      <c r="I1911" s="60"/>
      <c r="J1911" s="61"/>
      <c r="K1911" s="61"/>
      <c r="L1911" s="60"/>
      <c r="M1911" s="74" t="str">
        <f>IF($C1911="","",IF($D1911="Gider",$E1911,IF($L1911&lt;&gt;"",$L1911,$H1911)))</f>
        <v/>
      </c>
      <c r="N1911" s="74" t="str">
        <f>IF($C1911="","",IF($D1911="Gider",$H1911,$E1911))</f>
        <v/>
      </c>
      <c r="O1911" s="73" t="str">
        <f>IF($C1911="","",DATE(YEAR($C1911),MONTH($C1911),1))</f>
        <v/>
      </c>
      <c r="P1911" s="65" t="str">
        <f ca="1">IF($C1911="","",IF(AND($D1911="Gelir",$L1911&lt;&gt;"",$T1911=""),"TANIMSIZ BORÇLU",IF($T1911&lt;&gt;"",IF(OR($E1911="",$G1911&lt;=0),"EKSİK",IF($I1911="Evet","TAHAKKUK NAKİT OLAMAZ",IF($C1911&gt;TODAY(),"İLERİ TARİH","TAHAKKUK"))),IF(AND($D1911&lt;&gt;"",$E1911&lt;&gt;"",$G1911&gt;0,$H1911&lt;&gt;"",$I1911&lt;&gt;""),IF($C1911&gt;TODAY(),"İLERİ TARİH",IF(COUNTIF($W$7:$W$3001,$W1911)&gt;1,"MÜKERRER?",IF($AD1911&gt;0,"KAPALI DÖNEM",IF($I1911="Hayır","ÖDENECEK","UYGUN")))),"EKSİK"))))</f>
        <v/>
      </c>
      <c r="Q1911" s="2"/>
      <c r="R1911" s="2"/>
      <c r="S1911" s="1" t="str">
        <f t="shared" si="89"/>
        <v/>
      </c>
      <c r="T1911" s="1" t="str">
        <f>IF(OR($C1911="",$D1911&lt;&gt;"Gelir",$L1911=""),"",IFERROR(INDEX(MUSTERILER!$B$7:$B$156,MATCH($S1911,MUSTERILER!$T$7:$T$156,0)),""))</f>
        <v/>
      </c>
      <c r="U1911" s="1" t="str">
        <f>IF($T1911="","",$T1911&amp;"|"&amp;COUNTIFS($T$7:$T1911,$T1911))</f>
        <v/>
      </c>
      <c r="V1911" s="1">
        <f t="shared" si="90"/>
        <v>0</v>
      </c>
      <c r="W1911" s="1" t="str">
        <f t="shared" si="91"/>
        <v/>
      </c>
      <c r="X1911" s="1"/>
      <c r="Y1911" s="1"/>
      <c r="Z1911" s="1"/>
      <c r="AA1911" s="1"/>
      <c r="AB1911" s="1"/>
      <c r="AC1911" s="1"/>
      <c r="AD1911" s="1">
        <f>IF($C1911="",0,SUMPRODUCT((AY_SONU!$O$7:$O$42="Evet")*(AY_SONU!$B$7:$B$42=DATE(YEAR($C1911),MONTH($C1911),1))))</f>
        <v>0</v>
      </c>
      <c r="AE1911" s="1" t="str">
        <f>IF($E1911="","",$E1911&amp;"|"&amp;COUNTIFS($E$7:$E1911,$E1911))</f>
        <v/>
      </c>
    </row>
    <row r="1912" spans="1:31" ht="18" customHeight="1" x14ac:dyDescent="0.3">
      <c r="A1912" s="2"/>
      <c r="B1912" s="65" t="str">
        <f>IF($C1912="","","GG"&amp;TEXT(ROW()-6,"00000"))</f>
        <v/>
      </c>
      <c r="C1912" s="66"/>
      <c r="D1912" s="60"/>
      <c r="E1912" s="61"/>
      <c r="F1912" s="61"/>
      <c r="G1912" s="67"/>
      <c r="H1912" s="60"/>
      <c r="I1912" s="60"/>
      <c r="J1912" s="61"/>
      <c r="K1912" s="61"/>
      <c r="L1912" s="60"/>
      <c r="M1912" s="74" t="str">
        <f>IF($C1912="","",IF($D1912="Gider",$E1912,IF($L1912&lt;&gt;"",$L1912,$H1912)))</f>
        <v/>
      </c>
      <c r="N1912" s="74" t="str">
        <f>IF($C1912="","",IF($D1912="Gider",$H1912,$E1912))</f>
        <v/>
      </c>
      <c r="O1912" s="73" t="str">
        <f>IF($C1912="","",DATE(YEAR($C1912),MONTH($C1912),1))</f>
        <v/>
      </c>
      <c r="P1912" s="65" t="str">
        <f ca="1">IF($C1912="","",IF(AND($D1912="Gelir",$L1912&lt;&gt;"",$T1912=""),"TANIMSIZ BORÇLU",IF($T1912&lt;&gt;"",IF(OR($E1912="",$G1912&lt;=0),"EKSİK",IF($I1912="Evet","TAHAKKUK NAKİT OLAMAZ",IF($C1912&gt;TODAY(),"İLERİ TARİH","TAHAKKUK"))),IF(AND($D1912&lt;&gt;"",$E1912&lt;&gt;"",$G1912&gt;0,$H1912&lt;&gt;"",$I1912&lt;&gt;""),IF($C1912&gt;TODAY(),"İLERİ TARİH",IF(COUNTIF($W$7:$W$3001,$W1912)&gt;1,"MÜKERRER?",IF($AD1912&gt;0,"KAPALI DÖNEM",IF($I1912="Hayır","ÖDENECEK","UYGUN")))),"EKSİK"))))</f>
        <v/>
      </c>
      <c r="Q1912" s="2"/>
      <c r="R1912" s="2"/>
      <c r="S1912" s="1" t="str">
        <f t="shared" si="89"/>
        <v/>
      </c>
      <c r="T1912" s="1" t="str">
        <f>IF(OR($C1912="",$D1912&lt;&gt;"Gelir",$L1912=""),"",IFERROR(INDEX(MUSTERILER!$B$7:$B$156,MATCH($S1912,MUSTERILER!$T$7:$T$156,0)),""))</f>
        <v/>
      </c>
      <c r="U1912" s="1" t="str">
        <f>IF($T1912="","",$T1912&amp;"|"&amp;COUNTIFS($T$7:$T1912,$T1912))</f>
        <v/>
      </c>
      <c r="V1912" s="1">
        <f t="shared" si="90"/>
        <v>0</v>
      </c>
      <c r="W1912" s="1" t="str">
        <f t="shared" si="91"/>
        <v/>
      </c>
      <c r="X1912" s="1"/>
      <c r="Y1912" s="1"/>
      <c r="Z1912" s="1"/>
      <c r="AA1912" s="1"/>
      <c r="AB1912" s="1"/>
      <c r="AC1912" s="1"/>
      <c r="AD1912" s="1">
        <f>IF($C1912="",0,SUMPRODUCT((AY_SONU!$O$7:$O$42="Evet")*(AY_SONU!$B$7:$B$42=DATE(YEAR($C1912),MONTH($C1912),1))))</f>
        <v>0</v>
      </c>
      <c r="AE1912" s="1" t="str">
        <f>IF($E1912="","",$E1912&amp;"|"&amp;COUNTIFS($E$7:$E1912,$E1912))</f>
        <v/>
      </c>
    </row>
    <row r="1913" spans="1:31" ht="18" customHeight="1" x14ac:dyDescent="0.3">
      <c r="A1913" s="2"/>
      <c r="B1913" s="65" t="str">
        <f>IF($C1913="","","GG"&amp;TEXT(ROW()-6,"00000"))</f>
        <v/>
      </c>
      <c r="C1913" s="66"/>
      <c r="D1913" s="60"/>
      <c r="E1913" s="61"/>
      <c r="F1913" s="61"/>
      <c r="G1913" s="67"/>
      <c r="H1913" s="60"/>
      <c r="I1913" s="60"/>
      <c r="J1913" s="61"/>
      <c r="K1913" s="61"/>
      <c r="L1913" s="60"/>
      <c r="M1913" s="74" t="str">
        <f>IF($C1913="","",IF($D1913="Gider",$E1913,IF($L1913&lt;&gt;"",$L1913,$H1913)))</f>
        <v/>
      </c>
      <c r="N1913" s="74" t="str">
        <f>IF($C1913="","",IF($D1913="Gider",$H1913,$E1913))</f>
        <v/>
      </c>
      <c r="O1913" s="73" t="str">
        <f>IF($C1913="","",DATE(YEAR($C1913),MONTH($C1913),1))</f>
        <v/>
      </c>
      <c r="P1913" s="65" t="str">
        <f ca="1">IF($C1913="","",IF(AND($D1913="Gelir",$L1913&lt;&gt;"",$T1913=""),"TANIMSIZ BORÇLU",IF($T1913&lt;&gt;"",IF(OR($E1913="",$G1913&lt;=0),"EKSİK",IF($I1913="Evet","TAHAKKUK NAKİT OLAMAZ",IF($C1913&gt;TODAY(),"İLERİ TARİH","TAHAKKUK"))),IF(AND($D1913&lt;&gt;"",$E1913&lt;&gt;"",$G1913&gt;0,$H1913&lt;&gt;"",$I1913&lt;&gt;""),IF($C1913&gt;TODAY(),"İLERİ TARİH",IF(COUNTIF($W$7:$W$3001,$W1913)&gt;1,"MÜKERRER?",IF($AD1913&gt;0,"KAPALI DÖNEM",IF($I1913="Hayır","ÖDENECEK","UYGUN")))),"EKSİK"))))</f>
        <v/>
      </c>
      <c r="Q1913" s="2"/>
      <c r="R1913" s="2"/>
      <c r="S1913" s="1" t="str">
        <f t="shared" si="89"/>
        <v/>
      </c>
      <c r="T1913" s="1" t="str">
        <f>IF(OR($C1913="",$D1913&lt;&gt;"Gelir",$L1913=""),"",IFERROR(INDEX(MUSTERILER!$B$7:$B$156,MATCH($S1913,MUSTERILER!$T$7:$T$156,0)),""))</f>
        <v/>
      </c>
      <c r="U1913" s="1" t="str">
        <f>IF($T1913="","",$T1913&amp;"|"&amp;COUNTIFS($T$7:$T1913,$T1913))</f>
        <v/>
      </c>
      <c r="V1913" s="1">
        <f t="shared" si="90"/>
        <v>0</v>
      </c>
      <c r="W1913" s="1" t="str">
        <f t="shared" si="91"/>
        <v/>
      </c>
      <c r="X1913" s="1"/>
      <c r="Y1913" s="1"/>
      <c r="Z1913" s="1"/>
      <c r="AA1913" s="1"/>
      <c r="AB1913" s="1"/>
      <c r="AC1913" s="1"/>
      <c r="AD1913" s="1">
        <f>IF($C1913="",0,SUMPRODUCT((AY_SONU!$O$7:$O$42="Evet")*(AY_SONU!$B$7:$B$42=DATE(YEAR($C1913),MONTH($C1913),1))))</f>
        <v>0</v>
      </c>
      <c r="AE1913" s="1" t="str">
        <f>IF($E1913="","",$E1913&amp;"|"&amp;COUNTIFS($E$7:$E1913,$E1913))</f>
        <v/>
      </c>
    </row>
    <row r="1914" spans="1:31" ht="18" customHeight="1" x14ac:dyDescent="0.3">
      <c r="A1914" s="2"/>
      <c r="B1914" s="65" t="str">
        <f>IF($C1914="","","GG"&amp;TEXT(ROW()-6,"00000"))</f>
        <v/>
      </c>
      <c r="C1914" s="66"/>
      <c r="D1914" s="60"/>
      <c r="E1914" s="61"/>
      <c r="F1914" s="61"/>
      <c r="G1914" s="67"/>
      <c r="H1914" s="60"/>
      <c r="I1914" s="60"/>
      <c r="J1914" s="61"/>
      <c r="K1914" s="61"/>
      <c r="L1914" s="60"/>
      <c r="M1914" s="74" t="str">
        <f>IF($C1914="","",IF($D1914="Gider",$E1914,IF($L1914&lt;&gt;"",$L1914,$H1914)))</f>
        <v/>
      </c>
      <c r="N1914" s="74" t="str">
        <f>IF($C1914="","",IF($D1914="Gider",$H1914,$E1914))</f>
        <v/>
      </c>
      <c r="O1914" s="73" t="str">
        <f>IF($C1914="","",DATE(YEAR($C1914),MONTH($C1914),1))</f>
        <v/>
      </c>
      <c r="P1914" s="65" t="str">
        <f ca="1">IF($C1914="","",IF(AND($D1914="Gelir",$L1914&lt;&gt;"",$T1914=""),"TANIMSIZ BORÇLU",IF($T1914&lt;&gt;"",IF(OR($E1914="",$G1914&lt;=0),"EKSİK",IF($I1914="Evet","TAHAKKUK NAKİT OLAMAZ",IF($C1914&gt;TODAY(),"İLERİ TARİH","TAHAKKUK"))),IF(AND($D1914&lt;&gt;"",$E1914&lt;&gt;"",$G1914&gt;0,$H1914&lt;&gt;"",$I1914&lt;&gt;""),IF($C1914&gt;TODAY(),"İLERİ TARİH",IF(COUNTIF($W$7:$W$3001,$W1914)&gt;1,"MÜKERRER?",IF($AD1914&gt;0,"KAPALI DÖNEM",IF($I1914="Hayır","ÖDENECEK","UYGUN")))),"EKSİK"))))</f>
        <v/>
      </c>
      <c r="Q1914" s="2"/>
      <c r="R1914" s="2"/>
      <c r="S1914" s="1" t="str">
        <f t="shared" si="89"/>
        <v/>
      </c>
      <c r="T1914" s="1" t="str">
        <f>IF(OR($C1914="",$D1914&lt;&gt;"Gelir",$L1914=""),"",IFERROR(INDEX(MUSTERILER!$B$7:$B$156,MATCH($S1914,MUSTERILER!$T$7:$T$156,0)),""))</f>
        <v/>
      </c>
      <c r="U1914" s="1" t="str">
        <f>IF($T1914="","",$T1914&amp;"|"&amp;COUNTIFS($T$7:$T1914,$T1914))</f>
        <v/>
      </c>
      <c r="V1914" s="1">
        <f t="shared" si="90"/>
        <v>0</v>
      </c>
      <c r="W1914" s="1" t="str">
        <f t="shared" si="91"/>
        <v/>
      </c>
      <c r="X1914" s="1"/>
      <c r="Y1914" s="1"/>
      <c r="Z1914" s="1"/>
      <c r="AA1914" s="1"/>
      <c r="AB1914" s="1"/>
      <c r="AC1914" s="1"/>
      <c r="AD1914" s="1">
        <f>IF($C1914="",0,SUMPRODUCT((AY_SONU!$O$7:$O$42="Evet")*(AY_SONU!$B$7:$B$42=DATE(YEAR($C1914),MONTH($C1914),1))))</f>
        <v>0</v>
      </c>
      <c r="AE1914" s="1" t="str">
        <f>IF($E1914="","",$E1914&amp;"|"&amp;COUNTIFS($E$7:$E1914,$E1914))</f>
        <v/>
      </c>
    </row>
    <row r="1915" spans="1:31" ht="18" customHeight="1" x14ac:dyDescent="0.3">
      <c r="A1915" s="2"/>
      <c r="B1915" s="65" t="str">
        <f>IF($C1915="","","GG"&amp;TEXT(ROW()-6,"00000"))</f>
        <v/>
      </c>
      <c r="C1915" s="66"/>
      <c r="D1915" s="60"/>
      <c r="E1915" s="61"/>
      <c r="F1915" s="61"/>
      <c r="G1915" s="67"/>
      <c r="H1915" s="60"/>
      <c r="I1915" s="60"/>
      <c r="J1915" s="61"/>
      <c r="K1915" s="61"/>
      <c r="L1915" s="60"/>
      <c r="M1915" s="74" t="str">
        <f>IF($C1915="","",IF($D1915="Gider",$E1915,IF($L1915&lt;&gt;"",$L1915,$H1915)))</f>
        <v/>
      </c>
      <c r="N1915" s="74" t="str">
        <f>IF($C1915="","",IF($D1915="Gider",$H1915,$E1915))</f>
        <v/>
      </c>
      <c r="O1915" s="73" t="str">
        <f>IF($C1915="","",DATE(YEAR($C1915),MONTH($C1915),1))</f>
        <v/>
      </c>
      <c r="P1915" s="65" t="str">
        <f ca="1">IF($C1915="","",IF(AND($D1915="Gelir",$L1915&lt;&gt;"",$T1915=""),"TANIMSIZ BORÇLU",IF($T1915&lt;&gt;"",IF(OR($E1915="",$G1915&lt;=0),"EKSİK",IF($I1915="Evet","TAHAKKUK NAKİT OLAMAZ",IF($C1915&gt;TODAY(),"İLERİ TARİH","TAHAKKUK"))),IF(AND($D1915&lt;&gt;"",$E1915&lt;&gt;"",$G1915&gt;0,$H1915&lt;&gt;"",$I1915&lt;&gt;""),IF($C1915&gt;TODAY(),"İLERİ TARİH",IF(COUNTIF($W$7:$W$3001,$W1915)&gt;1,"MÜKERRER?",IF($AD1915&gt;0,"KAPALI DÖNEM",IF($I1915="Hayır","ÖDENECEK","UYGUN")))),"EKSİK"))))</f>
        <v/>
      </c>
      <c r="Q1915" s="2"/>
      <c r="R1915" s="2"/>
      <c r="S1915" s="1" t="str">
        <f t="shared" si="89"/>
        <v/>
      </c>
      <c r="T1915" s="1" t="str">
        <f>IF(OR($C1915="",$D1915&lt;&gt;"Gelir",$L1915=""),"",IFERROR(INDEX(MUSTERILER!$B$7:$B$156,MATCH($S1915,MUSTERILER!$T$7:$T$156,0)),""))</f>
        <v/>
      </c>
      <c r="U1915" s="1" t="str">
        <f>IF($T1915="","",$T1915&amp;"|"&amp;COUNTIFS($T$7:$T1915,$T1915))</f>
        <v/>
      </c>
      <c r="V1915" s="1">
        <f t="shared" si="90"/>
        <v>0</v>
      </c>
      <c r="W1915" s="1" t="str">
        <f t="shared" si="91"/>
        <v/>
      </c>
      <c r="X1915" s="1"/>
      <c r="Y1915" s="1"/>
      <c r="Z1915" s="1"/>
      <c r="AA1915" s="1"/>
      <c r="AB1915" s="1"/>
      <c r="AC1915" s="1"/>
      <c r="AD1915" s="1">
        <f>IF($C1915="",0,SUMPRODUCT((AY_SONU!$O$7:$O$42="Evet")*(AY_SONU!$B$7:$B$42=DATE(YEAR($C1915),MONTH($C1915),1))))</f>
        <v>0</v>
      </c>
      <c r="AE1915" s="1" t="str">
        <f>IF($E1915="","",$E1915&amp;"|"&amp;COUNTIFS($E$7:$E1915,$E1915))</f>
        <v/>
      </c>
    </row>
    <row r="1916" spans="1:31" ht="18" customHeight="1" x14ac:dyDescent="0.3">
      <c r="A1916" s="2"/>
      <c r="B1916" s="65" t="str">
        <f>IF($C1916="","","GG"&amp;TEXT(ROW()-6,"00000"))</f>
        <v/>
      </c>
      <c r="C1916" s="66"/>
      <c r="D1916" s="60"/>
      <c r="E1916" s="61"/>
      <c r="F1916" s="61"/>
      <c r="G1916" s="67"/>
      <c r="H1916" s="60"/>
      <c r="I1916" s="60"/>
      <c r="J1916" s="61"/>
      <c r="K1916" s="61"/>
      <c r="L1916" s="60"/>
      <c r="M1916" s="74" t="str">
        <f>IF($C1916="","",IF($D1916="Gider",$E1916,IF($L1916&lt;&gt;"",$L1916,$H1916)))</f>
        <v/>
      </c>
      <c r="N1916" s="74" t="str">
        <f>IF($C1916="","",IF($D1916="Gider",$H1916,$E1916))</f>
        <v/>
      </c>
      <c r="O1916" s="73" t="str">
        <f>IF($C1916="","",DATE(YEAR($C1916),MONTH($C1916),1))</f>
        <v/>
      </c>
      <c r="P1916" s="65" t="str">
        <f ca="1">IF($C1916="","",IF(AND($D1916="Gelir",$L1916&lt;&gt;"",$T1916=""),"TANIMSIZ BORÇLU",IF($T1916&lt;&gt;"",IF(OR($E1916="",$G1916&lt;=0),"EKSİK",IF($I1916="Evet","TAHAKKUK NAKİT OLAMAZ",IF($C1916&gt;TODAY(),"İLERİ TARİH","TAHAKKUK"))),IF(AND($D1916&lt;&gt;"",$E1916&lt;&gt;"",$G1916&gt;0,$H1916&lt;&gt;"",$I1916&lt;&gt;""),IF($C1916&gt;TODAY(),"İLERİ TARİH",IF(COUNTIF($W$7:$W$3001,$W1916)&gt;1,"MÜKERRER?",IF($AD1916&gt;0,"KAPALI DÖNEM",IF($I1916="Hayır","ÖDENECEK","UYGUN")))),"EKSİK"))))</f>
        <v/>
      </c>
      <c r="Q1916" s="2"/>
      <c r="R1916" s="2"/>
      <c r="S1916" s="1" t="str">
        <f t="shared" si="89"/>
        <v/>
      </c>
      <c r="T1916" s="1" t="str">
        <f>IF(OR($C1916="",$D1916&lt;&gt;"Gelir",$L1916=""),"",IFERROR(INDEX(MUSTERILER!$B$7:$B$156,MATCH($S1916,MUSTERILER!$T$7:$T$156,0)),""))</f>
        <v/>
      </c>
      <c r="U1916" s="1" t="str">
        <f>IF($T1916="","",$T1916&amp;"|"&amp;COUNTIFS($T$7:$T1916,$T1916))</f>
        <v/>
      </c>
      <c r="V1916" s="1">
        <f t="shared" si="90"/>
        <v>0</v>
      </c>
      <c r="W1916" s="1" t="str">
        <f t="shared" si="91"/>
        <v/>
      </c>
      <c r="X1916" s="1"/>
      <c r="Y1916" s="1"/>
      <c r="Z1916" s="1"/>
      <c r="AA1916" s="1"/>
      <c r="AB1916" s="1"/>
      <c r="AC1916" s="1"/>
      <c r="AD1916" s="1">
        <f>IF($C1916="",0,SUMPRODUCT((AY_SONU!$O$7:$O$42="Evet")*(AY_SONU!$B$7:$B$42=DATE(YEAR($C1916),MONTH($C1916),1))))</f>
        <v>0</v>
      </c>
      <c r="AE1916" s="1" t="str">
        <f>IF($E1916="","",$E1916&amp;"|"&amp;COUNTIFS($E$7:$E1916,$E1916))</f>
        <v/>
      </c>
    </row>
    <row r="1917" spans="1:31" ht="18" customHeight="1" x14ac:dyDescent="0.3">
      <c r="A1917" s="2"/>
      <c r="B1917" s="65" t="str">
        <f>IF($C1917="","","GG"&amp;TEXT(ROW()-6,"00000"))</f>
        <v/>
      </c>
      <c r="C1917" s="66"/>
      <c r="D1917" s="60"/>
      <c r="E1917" s="61"/>
      <c r="F1917" s="61"/>
      <c r="G1917" s="67"/>
      <c r="H1917" s="60"/>
      <c r="I1917" s="60"/>
      <c r="J1917" s="61"/>
      <c r="K1917" s="61"/>
      <c r="L1917" s="60"/>
      <c r="M1917" s="74" t="str">
        <f>IF($C1917="","",IF($D1917="Gider",$E1917,IF($L1917&lt;&gt;"",$L1917,$H1917)))</f>
        <v/>
      </c>
      <c r="N1917" s="74" t="str">
        <f>IF($C1917="","",IF($D1917="Gider",$H1917,$E1917))</f>
        <v/>
      </c>
      <c r="O1917" s="73" t="str">
        <f>IF($C1917="","",DATE(YEAR($C1917),MONTH($C1917),1))</f>
        <v/>
      </c>
      <c r="P1917" s="65" t="str">
        <f ca="1">IF($C1917="","",IF(AND($D1917="Gelir",$L1917&lt;&gt;"",$T1917=""),"TANIMSIZ BORÇLU",IF($T1917&lt;&gt;"",IF(OR($E1917="",$G1917&lt;=0),"EKSİK",IF($I1917="Evet","TAHAKKUK NAKİT OLAMAZ",IF($C1917&gt;TODAY(),"İLERİ TARİH","TAHAKKUK"))),IF(AND($D1917&lt;&gt;"",$E1917&lt;&gt;"",$G1917&gt;0,$H1917&lt;&gt;"",$I1917&lt;&gt;""),IF($C1917&gt;TODAY(),"İLERİ TARİH",IF(COUNTIF($W$7:$W$3001,$W1917)&gt;1,"MÜKERRER?",IF($AD1917&gt;0,"KAPALI DÖNEM",IF($I1917="Hayır","ÖDENECEK","UYGUN")))),"EKSİK"))))</f>
        <v/>
      </c>
      <c r="Q1917" s="2"/>
      <c r="R1917" s="2"/>
      <c r="S1917" s="1" t="str">
        <f t="shared" si="89"/>
        <v/>
      </c>
      <c r="T1917" s="1" t="str">
        <f>IF(OR($C1917="",$D1917&lt;&gt;"Gelir",$L1917=""),"",IFERROR(INDEX(MUSTERILER!$B$7:$B$156,MATCH($S1917,MUSTERILER!$T$7:$T$156,0)),""))</f>
        <v/>
      </c>
      <c r="U1917" s="1" t="str">
        <f>IF($T1917="","",$T1917&amp;"|"&amp;COUNTIFS($T$7:$T1917,$T1917))</f>
        <v/>
      </c>
      <c r="V1917" s="1">
        <f t="shared" si="90"/>
        <v>0</v>
      </c>
      <c r="W1917" s="1" t="str">
        <f t="shared" si="91"/>
        <v/>
      </c>
      <c r="X1917" s="1"/>
      <c r="Y1917" s="1"/>
      <c r="Z1917" s="1"/>
      <c r="AA1917" s="1"/>
      <c r="AB1917" s="1"/>
      <c r="AC1917" s="1"/>
      <c r="AD1917" s="1">
        <f>IF($C1917="",0,SUMPRODUCT((AY_SONU!$O$7:$O$42="Evet")*(AY_SONU!$B$7:$B$42=DATE(YEAR($C1917),MONTH($C1917),1))))</f>
        <v>0</v>
      </c>
      <c r="AE1917" s="1" t="str">
        <f>IF($E1917="","",$E1917&amp;"|"&amp;COUNTIFS($E$7:$E1917,$E1917))</f>
        <v/>
      </c>
    </row>
    <row r="1918" spans="1:31" ht="18" customHeight="1" x14ac:dyDescent="0.3">
      <c r="A1918" s="2"/>
      <c r="B1918" s="65" t="str">
        <f>IF($C1918="","","GG"&amp;TEXT(ROW()-6,"00000"))</f>
        <v/>
      </c>
      <c r="C1918" s="66"/>
      <c r="D1918" s="60"/>
      <c r="E1918" s="61"/>
      <c r="F1918" s="61"/>
      <c r="G1918" s="67"/>
      <c r="H1918" s="60"/>
      <c r="I1918" s="60"/>
      <c r="J1918" s="61"/>
      <c r="K1918" s="61"/>
      <c r="L1918" s="60"/>
      <c r="M1918" s="74" t="str">
        <f>IF($C1918="","",IF($D1918="Gider",$E1918,IF($L1918&lt;&gt;"",$L1918,$H1918)))</f>
        <v/>
      </c>
      <c r="N1918" s="74" t="str">
        <f>IF($C1918="","",IF($D1918="Gider",$H1918,$E1918))</f>
        <v/>
      </c>
      <c r="O1918" s="73" t="str">
        <f>IF($C1918="","",DATE(YEAR($C1918),MONTH($C1918),1))</f>
        <v/>
      </c>
      <c r="P1918" s="65" t="str">
        <f ca="1">IF($C1918="","",IF(AND($D1918="Gelir",$L1918&lt;&gt;"",$T1918=""),"TANIMSIZ BORÇLU",IF($T1918&lt;&gt;"",IF(OR($E1918="",$G1918&lt;=0),"EKSİK",IF($I1918="Evet","TAHAKKUK NAKİT OLAMAZ",IF($C1918&gt;TODAY(),"İLERİ TARİH","TAHAKKUK"))),IF(AND($D1918&lt;&gt;"",$E1918&lt;&gt;"",$G1918&gt;0,$H1918&lt;&gt;"",$I1918&lt;&gt;""),IF($C1918&gt;TODAY(),"İLERİ TARİH",IF(COUNTIF($W$7:$W$3001,$W1918)&gt;1,"MÜKERRER?",IF($AD1918&gt;0,"KAPALI DÖNEM",IF($I1918="Hayır","ÖDENECEK","UYGUN")))),"EKSİK"))))</f>
        <v/>
      </c>
      <c r="Q1918" s="2"/>
      <c r="R1918" s="2"/>
      <c r="S1918" s="1" t="str">
        <f t="shared" si="89"/>
        <v/>
      </c>
      <c r="T1918" s="1" t="str">
        <f>IF(OR($C1918="",$D1918&lt;&gt;"Gelir",$L1918=""),"",IFERROR(INDEX(MUSTERILER!$B$7:$B$156,MATCH($S1918,MUSTERILER!$T$7:$T$156,0)),""))</f>
        <v/>
      </c>
      <c r="U1918" s="1" t="str">
        <f>IF($T1918="","",$T1918&amp;"|"&amp;COUNTIFS($T$7:$T1918,$T1918))</f>
        <v/>
      </c>
      <c r="V1918" s="1">
        <f t="shared" si="90"/>
        <v>0</v>
      </c>
      <c r="W1918" s="1" t="str">
        <f t="shared" si="91"/>
        <v/>
      </c>
      <c r="X1918" s="1"/>
      <c r="Y1918" s="1"/>
      <c r="Z1918" s="1"/>
      <c r="AA1918" s="1"/>
      <c r="AB1918" s="1"/>
      <c r="AC1918" s="1"/>
      <c r="AD1918" s="1">
        <f>IF($C1918="",0,SUMPRODUCT((AY_SONU!$O$7:$O$42="Evet")*(AY_SONU!$B$7:$B$42=DATE(YEAR($C1918),MONTH($C1918),1))))</f>
        <v>0</v>
      </c>
      <c r="AE1918" s="1" t="str">
        <f>IF($E1918="","",$E1918&amp;"|"&amp;COUNTIFS($E$7:$E1918,$E1918))</f>
        <v/>
      </c>
    </row>
    <row r="1919" spans="1:31" ht="18" customHeight="1" x14ac:dyDescent="0.3">
      <c r="A1919" s="2"/>
      <c r="B1919" s="65" t="str">
        <f>IF($C1919="","","GG"&amp;TEXT(ROW()-6,"00000"))</f>
        <v/>
      </c>
      <c r="C1919" s="66"/>
      <c r="D1919" s="60"/>
      <c r="E1919" s="61"/>
      <c r="F1919" s="61"/>
      <c r="G1919" s="67"/>
      <c r="H1919" s="60"/>
      <c r="I1919" s="60"/>
      <c r="J1919" s="61"/>
      <c r="K1919" s="61"/>
      <c r="L1919" s="60"/>
      <c r="M1919" s="74" t="str">
        <f>IF($C1919="","",IF($D1919="Gider",$E1919,IF($L1919&lt;&gt;"",$L1919,$H1919)))</f>
        <v/>
      </c>
      <c r="N1919" s="74" t="str">
        <f>IF($C1919="","",IF($D1919="Gider",$H1919,$E1919))</f>
        <v/>
      </c>
      <c r="O1919" s="73" t="str">
        <f>IF($C1919="","",DATE(YEAR($C1919),MONTH($C1919),1))</f>
        <v/>
      </c>
      <c r="P1919" s="65" t="str">
        <f ca="1">IF($C1919="","",IF(AND($D1919="Gelir",$L1919&lt;&gt;"",$T1919=""),"TANIMSIZ BORÇLU",IF($T1919&lt;&gt;"",IF(OR($E1919="",$G1919&lt;=0),"EKSİK",IF($I1919="Evet","TAHAKKUK NAKİT OLAMAZ",IF($C1919&gt;TODAY(),"İLERİ TARİH","TAHAKKUK"))),IF(AND($D1919&lt;&gt;"",$E1919&lt;&gt;"",$G1919&gt;0,$H1919&lt;&gt;"",$I1919&lt;&gt;""),IF($C1919&gt;TODAY(),"İLERİ TARİH",IF(COUNTIF($W$7:$W$3001,$W1919)&gt;1,"MÜKERRER?",IF($AD1919&gt;0,"KAPALI DÖNEM",IF($I1919="Hayır","ÖDENECEK","UYGUN")))),"EKSİK"))))</f>
        <v/>
      </c>
      <c r="Q1919" s="2"/>
      <c r="R1919" s="2"/>
      <c r="S1919" s="1" t="str">
        <f t="shared" si="89"/>
        <v/>
      </c>
      <c r="T1919" s="1" t="str">
        <f>IF(OR($C1919="",$D1919&lt;&gt;"Gelir",$L1919=""),"",IFERROR(INDEX(MUSTERILER!$B$7:$B$156,MATCH($S1919,MUSTERILER!$T$7:$T$156,0)),""))</f>
        <v/>
      </c>
      <c r="U1919" s="1" t="str">
        <f>IF($T1919="","",$T1919&amp;"|"&amp;COUNTIFS($T$7:$T1919,$T1919))</f>
        <v/>
      </c>
      <c r="V1919" s="1">
        <f t="shared" si="90"/>
        <v>0</v>
      </c>
      <c r="W1919" s="1" t="str">
        <f t="shared" si="91"/>
        <v/>
      </c>
      <c r="X1919" s="1"/>
      <c r="Y1919" s="1"/>
      <c r="Z1919" s="1"/>
      <c r="AA1919" s="1"/>
      <c r="AB1919" s="1"/>
      <c r="AC1919" s="1"/>
      <c r="AD1919" s="1">
        <f>IF($C1919="",0,SUMPRODUCT((AY_SONU!$O$7:$O$42="Evet")*(AY_SONU!$B$7:$B$42=DATE(YEAR($C1919),MONTH($C1919),1))))</f>
        <v>0</v>
      </c>
      <c r="AE1919" s="1" t="str">
        <f>IF($E1919="","",$E1919&amp;"|"&amp;COUNTIFS($E$7:$E1919,$E1919))</f>
        <v/>
      </c>
    </row>
    <row r="1920" spans="1:31" ht="18" customHeight="1" x14ac:dyDescent="0.3">
      <c r="A1920" s="2"/>
      <c r="B1920" s="65" t="str">
        <f>IF($C1920="","","GG"&amp;TEXT(ROW()-6,"00000"))</f>
        <v/>
      </c>
      <c r="C1920" s="66"/>
      <c r="D1920" s="60"/>
      <c r="E1920" s="61"/>
      <c r="F1920" s="61"/>
      <c r="G1920" s="67"/>
      <c r="H1920" s="60"/>
      <c r="I1920" s="60"/>
      <c r="J1920" s="61"/>
      <c r="K1920" s="61"/>
      <c r="L1920" s="60"/>
      <c r="M1920" s="74" t="str">
        <f>IF($C1920="","",IF($D1920="Gider",$E1920,IF($L1920&lt;&gt;"",$L1920,$H1920)))</f>
        <v/>
      </c>
      <c r="N1920" s="74" t="str">
        <f>IF($C1920="","",IF($D1920="Gider",$H1920,$E1920))</f>
        <v/>
      </c>
      <c r="O1920" s="73" t="str">
        <f>IF($C1920="","",DATE(YEAR($C1920),MONTH($C1920),1))</f>
        <v/>
      </c>
      <c r="P1920" s="65" t="str">
        <f ca="1">IF($C1920="","",IF(AND($D1920="Gelir",$L1920&lt;&gt;"",$T1920=""),"TANIMSIZ BORÇLU",IF($T1920&lt;&gt;"",IF(OR($E1920="",$G1920&lt;=0),"EKSİK",IF($I1920="Evet","TAHAKKUK NAKİT OLAMAZ",IF($C1920&gt;TODAY(),"İLERİ TARİH","TAHAKKUK"))),IF(AND($D1920&lt;&gt;"",$E1920&lt;&gt;"",$G1920&gt;0,$H1920&lt;&gt;"",$I1920&lt;&gt;""),IF($C1920&gt;TODAY(),"İLERİ TARİH",IF(COUNTIF($W$7:$W$3001,$W1920)&gt;1,"MÜKERRER?",IF($AD1920&gt;0,"KAPALI DÖNEM",IF($I1920="Hayır","ÖDENECEK","UYGUN")))),"EKSİK"))))</f>
        <v/>
      </c>
      <c r="Q1920" s="2"/>
      <c r="R1920" s="2"/>
      <c r="S1920" s="1" t="str">
        <f t="shared" si="89"/>
        <v/>
      </c>
      <c r="T1920" s="1" t="str">
        <f>IF(OR($C1920="",$D1920&lt;&gt;"Gelir",$L1920=""),"",IFERROR(INDEX(MUSTERILER!$B$7:$B$156,MATCH($S1920,MUSTERILER!$T$7:$T$156,0)),""))</f>
        <v/>
      </c>
      <c r="U1920" s="1" t="str">
        <f>IF($T1920="","",$T1920&amp;"|"&amp;COUNTIFS($T$7:$T1920,$T1920))</f>
        <v/>
      </c>
      <c r="V1920" s="1">
        <f t="shared" si="90"/>
        <v>0</v>
      </c>
      <c r="W1920" s="1" t="str">
        <f t="shared" si="91"/>
        <v/>
      </c>
      <c r="X1920" s="1"/>
      <c r="Y1920" s="1"/>
      <c r="Z1920" s="1"/>
      <c r="AA1920" s="1"/>
      <c r="AB1920" s="1"/>
      <c r="AC1920" s="1"/>
      <c r="AD1920" s="1">
        <f>IF($C1920="",0,SUMPRODUCT((AY_SONU!$O$7:$O$42="Evet")*(AY_SONU!$B$7:$B$42=DATE(YEAR($C1920),MONTH($C1920),1))))</f>
        <v>0</v>
      </c>
      <c r="AE1920" s="1" t="str">
        <f>IF($E1920="","",$E1920&amp;"|"&amp;COUNTIFS($E$7:$E1920,$E1920))</f>
        <v/>
      </c>
    </row>
    <row r="1921" spans="1:31" ht="18" customHeight="1" x14ac:dyDescent="0.3">
      <c r="A1921" s="2"/>
      <c r="B1921" s="65" t="str">
        <f>IF($C1921="","","GG"&amp;TEXT(ROW()-6,"00000"))</f>
        <v/>
      </c>
      <c r="C1921" s="66"/>
      <c r="D1921" s="60"/>
      <c r="E1921" s="61"/>
      <c r="F1921" s="61"/>
      <c r="G1921" s="67"/>
      <c r="H1921" s="60"/>
      <c r="I1921" s="60"/>
      <c r="J1921" s="61"/>
      <c r="K1921" s="61"/>
      <c r="L1921" s="60"/>
      <c r="M1921" s="74" t="str">
        <f>IF($C1921="","",IF($D1921="Gider",$E1921,IF($L1921&lt;&gt;"",$L1921,$H1921)))</f>
        <v/>
      </c>
      <c r="N1921" s="74" t="str">
        <f>IF($C1921="","",IF($D1921="Gider",$H1921,$E1921))</f>
        <v/>
      </c>
      <c r="O1921" s="73" t="str">
        <f>IF($C1921="","",DATE(YEAR($C1921),MONTH($C1921),1))</f>
        <v/>
      </c>
      <c r="P1921" s="65" t="str">
        <f ca="1">IF($C1921="","",IF(AND($D1921="Gelir",$L1921&lt;&gt;"",$T1921=""),"TANIMSIZ BORÇLU",IF($T1921&lt;&gt;"",IF(OR($E1921="",$G1921&lt;=0),"EKSİK",IF($I1921="Evet","TAHAKKUK NAKİT OLAMAZ",IF($C1921&gt;TODAY(),"İLERİ TARİH","TAHAKKUK"))),IF(AND($D1921&lt;&gt;"",$E1921&lt;&gt;"",$G1921&gt;0,$H1921&lt;&gt;"",$I1921&lt;&gt;""),IF($C1921&gt;TODAY(),"İLERİ TARİH",IF(COUNTIF($W$7:$W$3001,$W1921)&gt;1,"MÜKERRER?",IF($AD1921&gt;0,"KAPALI DÖNEM",IF($I1921="Hayır","ÖDENECEK","UYGUN")))),"EKSİK"))))</f>
        <v/>
      </c>
      <c r="Q1921" s="2"/>
      <c r="R1921" s="2"/>
      <c r="S1921" s="1" t="str">
        <f t="shared" si="89"/>
        <v/>
      </c>
      <c r="T1921" s="1" t="str">
        <f>IF(OR($C1921="",$D1921&lt;&gt;"Gelir",$L1921=""),"",IFERROR(INDEX(MUSTERILER!$B$7:$B$156,MATCH($S1921,MUSTERILER!$T$7:$T$156,0)),""))</f>
        <v/>
      </c>
      <c r="U1921" s="1" t="str">
        <f>IF($T1921="","",$T1921&amp;"|"&amp;COUNTIFS($T$7:$T1921,$T1921))</f>
        <v/>
      </c>
      <c r="V1921" s="1">
        <f t="shared" si="90"/>
        <v>0</v>
      </c>
      <c r="W1921" s="1" t="str">
        <f t="shared" si="91"/>
        <v/>
      </c>
      <c r="X1921" s="1"/>
      <c r="Y1921" s="1"/>
      <c r="Z1921" s="1"/>
      <c r="AA1921" s="1"/>
      <c r="AB1921" s="1"/>
      <c r="AC1921" s="1"/>
      <c r="AD1921" s="1">
        <f>IF($C1921="",0,SUMPRODUCT((AY_SONU!$O$7:$O$42="Evet")*(AY_SONU!$B$7:$B$42=DATE(YEAR($C1921),MONTH($C1921),1))))</f>
        <v>0</v>
      </c>
      <c r="AE1921" s="1" t="str">
        <f>IF($E1921="","",$E1921&amp;"|"&amp;COUNTIFS($E$7:$E1921,$E1921))</f>
        <v/>
      </c>
    </row>
    <row r="1922" spans="1:31" ht="18" customHeight="1" x14ac:dyDescent="0.3">
      <c r="A1922" s="2"/>
      <c r="B1922" s="65" t="str">
        <f>IF($C1922="","","GG"&amp;TEXT(ROW()-6,"00000"))</f>
        <v/>
      </c>
      <c r="C1922" s="66"/>
      <c r="D1922" s="60"/>
      <c r="E1922" s="61"/>
      <c r="F1922" s="61"/>
      <c r="G1922" s="67"/>
      <c r="H1922" s="60"/>
      <c r="I1922" s="60"/>
      <c r="J1922" s="61"/>
      <c r="K1922" s="61"/>
      <c r="L1922" s="60"/>
      <c r="M1922" s="74" t="str">
        <f>IF($C1922="","",IF($D1922="Gider",$E1922,IF($L1922&lt;&gt;"",$L1922,$H1922)))</f>
        <v/>
      </c>
      <c r="N1922" s="74" t="str">
        <f>IF($C1922="","",IF($D1922="Gider",$H1922,$E1922))</f>
        <v/>
      </c>
      <c r="O1922" s="73" t="str">
        <f>IF($C1922="","",DATE(YEAR($C1922),MONTH($C1922),1))</f>
        <v/>
      </c>
      <c r="P1922" s="65" t="str">
        <f ca="1">IF($C1922="","",IF(AND($D1922="Gelir",$L1922&lt;&gt;"",$T1922=""),"TANIMSIZ BORÇLU",IF($T1922&lt;&gt;"",IF(OR($E1922="",$G1922&lt;=0),"EKSİK",IF($I1922="Evet","TAHAKKUK NAKİT OLAMAZ",IF($C1922&gt;TODAY(),"İLERİ TARİH","TAHAKKUK"))),IF(AND($D1922&lt;&gt;"",$E1922&lt;&gt;"",$G1922&gt;0,$H1922&lt;&gt;"",$I1922&lt;&gt;""),IF($C1922&gt;TODAY(),"İLERİ TARİH",IF(COUNTIF($W$7:$W$3001,$W1922)&gt;1,"MÜKERRER?",IF($AD1922&gt;0,"KAPALI DÖNEM",IF($I1922="Hayır","ÖDENECEK","UYGUN")))),"EKSİK"))))</f>
        <v/>
      </c>
      <c r="Q1922" s="2"/>
      <c r="R1922" s="2"/>
      <c r="S1922" s="1" t="str">
        <f t="shared" si="89"/>
        <v/>
      </c>
      <c r="T1922" s="1" t="str">
        <f>IF(OR($C1922="",$D1922&lt;&gt;"Gelir",$L1922=""),"",IFERROR(INDEX(MUSTERILER!$B$7:$B$156,MATCH($S1922,MUSTERILER!$T$7:$T$156,0)),""))</f>
        <v/>
      </c>
      <c r="U1922" s="1" t="str">
        <f>IF($T1922="","",$T1922&amp;"|"&amp;COUNTIFS($T$7:$T1922,$T1922))</f>
        <v/>
      </c>
      <c r="V1922" s="1">
        <f t="shared" si="90"/>
        <v>0</v>
      </c>
      <c r="W1922" s="1" t="str">
        <f t="shared" si="91"/>
        <v/>
      </c>
      <c r="X1922" s="1"/>
      <c r="Y1922" s="1"/>
      <c r="Z1922" s="1"/>
      <c r="AA1922" s="1"/>
      <c r="AB1922" s="1"/>
      <c r="AC1922" s="1"/>
      <c r="AD1922" s="1">
        <f>IF($C1922="",0,SUMPRODUCT((AY_SONU!$O$7:$O$42="Evet")*(AY_SONU!$B$7:$B$42=DATE(YEAR($C1922),MONTH($C1922),1))))</f>
        <v>0</v>
      </c>
      <c r="AE1922" s="1" t="str">
        <f>IF($E1922="","",$E1922&amp;"|"&amp;COUNTIFS($E$7:$E1922,$E1922))</f>
        <v/>
      </c>
    </row>
    <row r="1923" spans="1:31" ht="18" customHeight="1" x14ac:dyDescent="0.3">
      <c r="A1923" s="2"/>
      <c r="B1923" s="65" t="str">
        <f>IF($C1923="","","GG"&amp;TEXT(ROW()-6,"00000"))</f>
        <v/>
      </c>
      <c r="C1923" s="66"/>
      <c r="D1923" s="60"/>
      <c r="E1923" s="61"/>
      <c r="F1923" s="61"/>
      <c r="G1923" s="67"/>
      <c r="H1923" s="60"/>
      <c r="I1923" s="60"/>
      <c r="J1923" s="61"/>
      <c r="K1923" s="61"/>
      <c r="L1923" s="60"/>
      <c r="M1923" s="74" t="str">
        <f>IF($C1923="","",IF($D1923="Gider",$E1923,IF($L1923&lt;&gt;"",$L1923,$H1923)))</f>
        <v/>
      </c>
      <c r="N1923" s="74" t="str">
        <f>IF($C1923="","",IF($D1923="Gider",$H1923,$E1923))</f>
        <v/>
      </c>
      <c r="O1923" s="73" t="str">
        <f>IF($C1923="","",DATE(YEAR($C1923),MONTH($C1923),1))</f>
        <v/>
      </c>
      <c r="P1923" s="65" t="str">
        <f ca="1">IF($C1923="","",IF(AND($D1923="Gelir",$L1923&lt;&gt;"",$T1923=""),"TANIMSIZ BORÇLU",IF($T1923&lt;&gt;"",IF(OR($E1923="",$G1923&lt;=0),"EKSİK",IF($I1923="Evet","TAHAKKUK NAKİT OLAMAZ",IF($C1923&gt;TODAY(),"İLERİ TARİH","TAHAKKUK"))),IF(AND($D1923&lt;&gt;"",$E1923&lt;&gt;"",$G1923&gt;0,$H1923&lt;&gt;"",$I1923&lt;&gt;""),IF($C1923&gt;TODAY(),"İLERİ TARİH",IF(COUNTIF($W$7:$W$3001,$W1923)&gt;1,"MÜKERRER?",IF($AD1923&gt;0,"KAPALI DÖNEM",IF($I1923="Hayır","ÖDENECEK","UYGUN")))),"EKSİK"))))</f>
        <v/>
      </c>
      <c r="Q1923" s="2"/>
      <c r="R1923" s="2"/>
      <c r="S1923" s="1" t="str">
        <f t="shared" si="89"/>
        <v/>
      </c>
      <c r="T1923" s="1" t="str">
        <f>IF(OR($C1923="",$D1923&lt;&gt;"Gelir",$L1923=""),"",IFERROR(INDEX(MUSTERILER!$B$7:$B$156,MATCH($S1923,MUSTERILER!$T$7:$T$156,0)),""))</f>
        <v/>
      </c>
      <c r="U1923" s="1" t="str">
        <f>IF($T1923="","",$T1923&amp;"|"&amp;COUNTIFS($T$7:$T1923,$T1923))</f>
        <v/>
      </c>
      <c r="V1923" s="1">
        <f t="shared" si="90"/>
        <v>0</v>
      </c>
      <c r="W1923" s="1" t="str">
        <f t="shared" si="91"/>
        <v/>
      </c>
      <c r="X1923" s="1"/>
      <c r="Y1923" s="1"/>
      <c r="Z1923" s="1"/>
      <c r="AA1923" s="1"/>
      <c r="AB1923" s="1"/>
      <c r="AC1923" s="1"/>
      <c r="AD1923" s="1">
        <f>IF($C1923="",0,SUMPRODUCT((AY_SONU!$O$7:$O$42="Evet")*(AY_SONU!$B$7:$B$42=DATE(YEAR($C1923),MONTH($C1923),1))))</f>
        <v>0</v>
      </c>
      <c r="AE1923" s="1" t="str">
        <f>IF($E1923="","",$E1923&amp;"|"&amp;COUNTIFS($E$7:$E1923,$E1923))</f>
        <v/>
      </c>
    </row>
    <row r="1924" spans="1:31" ht="18" customHeight="1" x14ac:dyDescent="0.3">
      <c r="A1924" s="2"/>
      <c r="B1924" s="65" t="str">
        <f>IF($C1924="","","GG"&amp;TEXT(ROW()-6,"00000"))</f>
        <v/>
      </c>
      <c r="C1924" s="66"/>
      <c r="D1924" s="60"/>
      <c r="E1924" s="61"/>
      <c r="F1924" s="61"/>
      <c r="G1924" s="67"/>
      <c r="H1924" s="60"/>
      <c r="I1924" s="60"/>
      <c r="J1924" s="61"/>
      <c r="K1924" s="61"/>
      <c r="L1924" s="60"/>
      <c r="M1924" s="74" t="str">
        <f>IF($C1924="","",IF($D1924="Gider",$E1924,IF($L1924&lt;&gt;"",$L1924,$H1924)))</f>
        <v/>
      </c>
      <c r="N1924" s="74" t="str">
        <f>IF($C1924="","",IF($D1924="Gider",$H1924,$E1924))</f>
        <v/>
      </c>
      <c r="O1924" s="73" t="str">
        <f>IF($C1924="","",DATE(YEAR($C1924),MONTH($C1924),1))</f>
        <v/>
      </c>
      <c r="P1924" s="65" t="str">
        <f ca="1">IF($C1924="","",IF(AND($D1924="Gelir",$L1924&lt;&gt;"",$T1924=""),"TANIMSIZ BORÇLU",IF($T1924&lt;&gt;"",IF(OR($E1924="",$G1924&lt;=0),"EKSİK",IF($I1924="Evet","TAHAKKUK NAKİT OLAMAZ",IF($C1924&gt;TODAY(),"İLERİ TARİH","TAHAKKUK"))),IF(AND($D1924&lt;&gt;"",$E1924&lt;&gt;"",$G1924&gt;0,$H1924&lt;&gt;"",$I1924&lt;&gt;""),IF($C1924&gt;TODAY(),"İLERİ TARİH",IF(COUNTIF($W$7:$W$3001,$W1924)&gt;1,"MÜKERRER?",IF($AD1924&gt;0,"KAPALI DÖNEM",IF($I1924="Hayır","ÖDENECEK","UYGUN")))),"EKSİK"))))</f>
        <v/>
      </c>
      <c r="Q1924" s="2"/>
      <c r="R1924" s="2"/>
      <c r="S1924" s="1" t="str">
        <f t="shared" si="89"/>
        <v/>
      </c>
      <c r="T1924" s="1" t="str">
        <f>IF(OR($C1924="",$D1924&lt;&gt;"Gelir",$L1924=""),"",IFERROR(INDEX(MUSTERILER!$B$7:$B$156,MATCH($S1924,MUSTERILER!$T$7:$T$156,0)),""))</f>
        <v/>
      </c>
      <c r="U1924" s="1" t="str">
        <f>IF($T1924="","",$T1924&amp;"|"&amp;COUNTIFS($T$7:$T1924,$T1924))</f>
        <v/>
      </c>
      <c r="V1924" s="1">
        <f t="shared" si="90"/>
        <v>0</v>
      </c>
      <c r="W1924" s="1" t="str">
        <f t="shared" si="91"/>
        <v/>
      </c>
      <c r="X1924" s="1"/>
      <c r="Y1924" s="1"/>
      <c r="Z1924" s="1"/>
      <c r="AA1924" s="1"/>
      <c r="AB1924" s="1"/>
      <c r="AC1924" s="1"/>
      <c r="AD1924" s="1">
        <f>IF($C1924="",0,SUMPRODUCT((AY_SONU!$O$7:$O$42="Evet")*(AY_SONU!$B$7:$B$42=DATE(YEAR($C1924),MONTH($C1924),1))))</f>
        <v>0</v>
      </c>
      <c r="AE1924" s="1" t="str">
        <f>IF($E1924="","",$E1924&amp;"|"&amp;COUNTIFS($E$7:$E1924,$E1924))</f>
        <v/>
      </c>
    </row>
    <row r="1925" spans="1:31" ht="18" customHeight="1" x14ac:dyDescent="0.3">
      <c r="A1925" s="2"/>
      <c r="B1925" s="65" t="str">
        <f>IF($C1925="","","GG"&amp;TEXT(ROW()-6,"00000"))</f>
        <v/>
      </c>
      <c r="C1925" s="66"/>
      <c r="D1925" s="60"/>
      <c r="E1925" s="61"/>
      <c r="F1925" s="61"/>
      <c r="G1925" s="67"/>
      <c r="H1925" s="60"/>
      <c r="I1925" s="60"/>
      <c r="J1925" s="61"/>
      <c r="K1925" s="61"/>
      <c r="L1925" s="60"/>
      <c r="M1925" s="74" t="str">
        <f>IF($C1925="","",IF($D1925="Gider",$E1925,IF($L1925&lt;&gt;"",$L1925,$H1925)))</f>
        <v/>
      </c>
      <c r="N1925" s="74" t="str">
        <f>IF($C1925="","",IF($D1925="Gider",$H1925,$E1925))</f>
        <v/>
      </c>
      <c r="O1925" s="73" t="str">
        <f>IF($C1925="","",DATE(YEAR($C1925),MONTH($C1925),1))</f>
        <v/>
      </c>
      <c r="P1925" s="65" t="str">
        <f ca="1">IF($C1925="","",IF(AND($D1925="Gelir",$L1925&lt;&gt;"",$T1925=""),"TANIMSIZ BORÇLU",IF($T1925&lt;&gt;"",IF(OR($E1925="",$G1925&lt;=0),"EKSİK",IF($I1925="Evet","TAHAKKUK NAKİT OLAMAZ",IF($C1925&gt;TODAY(),"İLERİ TARİH","TAHAKKUK"))),IF(AND($D1925&lt;&gt;"",$E1925&lt;&gt;"",$G1925&gt;0,$H1925&lt;&gt;"",$I1925&lt;&gt;""),IF($C1925&gt;TODAY(),"İLERİ TARİH",IF(COUNTIF($W$7:$W$3001,$W1925)&gt;1,"MÜKERRER?",IF($AD1925&gt;0,"KAPALI DÖNEM",IF($I1925="Hayır","ÖDENECEK","UYGUN")))),"EKSİK"))))</f>
        <v/>
      </c>
      <c r="Q1925" s="2"/>
      <c r="R1925" s="2"/>
      <c r="S1925" s="1" t="str">
        <f t="shared" ref="S1925:S1988" si="92">IF($L1925="","",UPPER(SUBSTITUTE(SUBSTITUTE(SUBSTITUTE(SUBSTITUTE(SUBSTITUTE(SUBSTITUTE(SUBSTITUTE(SUBSTITUTE(SUBSTITUTE(SUBSTITUTE(SUBSTITUTE(SUBSTITUTE(SUBSTITUTE(SUBSTITUTE(SUBSTITUTE(SUBSTITUTE(SUBSTITUTE(SUBSTITUTE(TRIM($L1925),"'",""),"İ","I"),"ı","I"),"i","I"),"Ş","S"),"ş","S"),"Ğ","G"),"ğ","G"),"Ü","U"),"ü","U"),"Ö","O"),"ö","O"),"Ç","C"),"ç","C"),".",""),",","")," ",""),"-","")))</f>
        <v/>
      </c>
      <c r="T1925" s="1" t="str">
        <f>IF(OR($C1925="",$D1925&lt;&gt;"Gelir",$L1925=""),"",IFERROR(INDEX(MUSTERILER!$B$7:$B$156,MATCH($S1925,MUSTERILER!$T$7:$T$156,0)),""))</f>
        <v/>
      </c>
      <c r="U1925" s="1" t="str">
        <f>IF($T1925="","",$T1925&amp;"|"&amp;COUNTIFS($T$7:$T1925,$T1925))</f>
        <v/>
      </c>
      <c r="V1925" s="1">
        <f t="shared" ref="V1925:V1988" si="93">IF($T1925="",0,1)</f>
        <v>0</v>
      </c>
      <c r="W1925" s="1" t="str">
        <f t="shared" ref="W1925:W1988" si="94">IF($C1925="","",$D1925&amp;"|"&amp;$E1925&amp;"|"&amp;TEXT($C1925,"0")&amp;"|"&amp;TEXT($G1925,"0")&amp;"|"&amp;$F1925&amp;"|"&amp;$J1925)</f>
        <v/>
      </c>
      <c r="X1925" s="1"/>
      <c r="Y1925" s="1"/>
      <c r="Z1925" s="1"/>
      <c r="AA1925" s="1"/>
      <c r="AB1925" s="1"/>
      <c r="AC1925" s="1"/>
      <c r="AD1925" s="1">
        <f>IF($C1925="",0,SUMPRODUCT((AY_SONU!$O$7:$O$42="Evet")*(AY_SONU!$B$7:$B$42=DATE(YEAR($C1925),MONTH($C1925),1))))</f>
        <v>0</v>
      </c>
      <c r="AE1925" s="1" t="str">
        <f>IF($E1925="","",$E1925&amp;"|"&amp;COUNTIFS($E$7:$E1925,$E1925))</f>
        <v/>
      </c>
    </row>
    <row r="1926" spans="1:31" ht="18" customHeight="1" x14ac:dyDescent="0.3">
      <c r="A1926" s="2"/>
      <c r="B1926" s="65" t="str">
        <f>IF($C1926="","","GG"&amp;TEXT(ROW()-6,"00000"))</f>
        <v/>
      </c>
      <c r="C1926" s="66"/>
      <c r="D1926" s="60"/>
      <c r="E1926" s="61"/>
      <c r="F1926" s="61"/>
      <c r="G1926" s="67"/>
      <c r="H1926" s="60"/>
      <c r="I1926" s="60"/>
      <c r="J1926" s="61"/>
      <c r="K1926" s="61"/>
      <c r="L1926" s="60"/>
      <c r="M1926" s="74" t="str">
        <f>IF($C1926="","",IF($D1926="Gider",$E1926,IF($L1926&lt;&gt;"",$L1926,$H1926)))</f>
        <v/>
      </c>
      <c r="N1926" s="74" t="str">
        <f>IF($C1926="","",IF($D1926="Gider",$H1926,$E1926))</f>
        <v/>
      </c>
      <c r="O1926" s="73" t="str">
        <f>IF($C1926="","",DATE(YEAR($C1926),MONTH($C1926),1))</f>
        <v/>
      </c>
      <c r="P1926" s="65" t="str">
        <f ca="1">IF($C1926="","",IF(AND($D1926="Gelir",$L1926&lt;&gt;"",$T1926=""),"TANIMSIZ BORÇLU",IF($T1926&lt;&gt;"",IF(OR($E1926="",$G1926&lt;=0),"EKSİK",IF($I1926="Evet","TAHAKKUK NAKİT OLAMAZ",IF($C1926&gt;TODAY(),"İLERİ TARİH","TAHAKKUK"))),IF(AND($D1926&lt;&gt;"",$E1926&lt;&gt;"",$G1926&gt;0,$H1926&lt;&gt;"",$I1926&lt;&gt;""),IF($C1926&gt;TODAY(),"İLERİ TARİH",IF(COUNTIF($W$7:$W$3001,$W1926)&gt;1,"MÜKERRER?",IF($AD1926&gt;0,"KAPALI DÖNEM",IF($I1926="Hayır","ÖDENECEK","UYGUN")))),"EKSİK"))))</f>
        <v/>
      </c>
      <c r="Q1926" s="2"/>
      <c r="R1926" s="2"/>
      <c r="S1926" s="1" t="str">
        <f t="shared" si="92"/>
        <v/>
      </c>
      <c r="T1926" s="1" t="str">
        <f>IF(OR($C1926="",$D1926&lt;&gt;"Gelir",$L1926=""),"",IFERROR(INDEX(MUSTERILER!$B$7:$B$156,MATCH($S1926,MUSTERILER!$T$7:$T$156,0)),""))</f>
        <v/>
      </c>
      <c r="U1926" s="1" t="str">
        <f>IF($T1926="","",$T1926&amp;"|"&amp;COUNTIFS($T$7:$T1926,$T1926))</f>
        <v/>
      </c>
      <c r="V1926" s="1">
        <f t="shared" si="93"/>
        <v>0</v>
      </c>
      <c r="W1926" s="1" t="str">
        <f t="shared" si="94"/>
        <v/>
      </c>
      <c r="X1926" s="1"/>
      <c r="Y1926" s="1"/>
      <c r="Z1926" s="1"/>
      <c r="AA1926" s="1"/>
      <c r="AB1926" s="1"/>
      <c r="AC1926" s="1"/>
      <c r="AD1926" s="1">
        <f>IF($C1926="",0,SUMPRODUCT((AY_SONU!$O$7:$O$42="Evet")*(AY_SONU!$B$7:$B$42=DATE(YEAR($C1926),MONTH($C1926),1))))</f>
        <v>0</v>
      </c>
      <c r="AE1926" s="1" t="str">
        <f>IF($E1926="","",$E1926&amp;"|"&amp;COUNTIFS($E$7:$E1926,$E1926))</f>
        <v/>
      </c>
    </row>
    <row r="1927" spans="1:31" ht="18" customHeight="1" x14ac:dyDescent="0.3">
      <c r="A1927" s="2"/>
      <c r="B1927" s="65" t="str">
        <f>IF($C1927="","","GG"&amp;TEXT(ROW()-6,"00000"))</f>
        <v/>
      </c>
      <c r="C1927" s="66"/>
      <c r="D1927" s="60"/>
      <c r="E1927" s="61"/>
      <c r="F1927" s="61"/>
      <c r="G1927" s="67"/>
      <c r="H1927" s="60"/>
      <c r="I1927" s="60"/>
      <c r="J1927" s="61"/>
      <c r="K1927" s="61"/>
      <c r="L1927" s="60"/>
      <c r="M1927" s="74" t="str">
        <f>IF($C1927="","",IF($D1927="Gider",$E1927,IF($L1927&lt;&gt;"",$L1927,$H1927)))</f>
        <v/>
      </c>
      <c r="N1927" s="74" t="str">
        <f>IF($C1927="","",IF($D1927="Gider",$H1927,$E1927))</f>
        <v/>
      </c>
      <c r="O1927" s="73" t="str">
        <f>IF($C1927="","",DATE(YEAR($C1927),MONTH($C1927),1))</f>
        <v/>
      </c>
      <c r="P1927" s="65" t="str">
        <f ca="1"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TARİH",IF(COUNTIF($W$7:$W$3001,$W1927)&gt;1,"MÜKERRER?",IF($AD1927&gt;0,"KAPALI DÖNEM",IF($I1927="Hayır","ÖDENECEK","UYGUN")))),"EKSİK"))))</f>
        <v/>
      </c>
      <c r="Q1927" s="2"/>
      <c r="R1927" s="2"/>
      <c r="S1927" s="1" t="str">
        <f t="shared" si="92"/>
        <v/>
      </c>
      <c r="T1927" s="1" t="str">
        <f>IF(OR($C1927="",$D1927&lt;&gt;"Gelir",$L1927=""),"",IFERROR(INDEX(MUSTERILER!$B$7:$B$156,MATCH($S1927,MUSTERILER!$T$7:$T$156,0)),""))</f>
        <v/>
      </c>
      <c r="U1927" s="1" t="str">
        <f>IF($T1927="","",$T1927&amp;"|"&amp;COUNTIFS($T$7:$T1927,$T1927))</f>
        <v/>
      </c>
      <c r="V1927" s="1">
        <f t="shared" si="93"/>
        <v>0</v>
      </c>
      <c r="W1927" s="1" t="str">
        <f t="shared" si="94"/>
        <v/>
      </c>
      <c r="X1927" s="1"/>
      <c r="Y1927" s="1"/>
      <c r="Z1927" s="1"/>
      <c r="AA1927" s="1"/>
      <c r="AB1927" s="1"/>
      <c r="AC1927" s="1"/>
      <c r="AD1927" s="1">
        <f>IF($C1927="",0,SUMPRODUCT((AY_SONU!$O$7:$O$42="Evet")*(AY_SONU!$B$7:$B$42=DATE(YEAR($C1927),MONTH($C1927),1))))</f>
        <v>0</v>
      </c>
      <c r="AE1927" s="1" t="str">
        <f>IF($E1927="","",$E1927&amp;"|"&amp;COUNTIFS($E$7:$E1927,$E1927))</f>
        <v/>
      </c>
    </row>
    <row r="1928" spans="1:31" ht="18" customHeight="1" x14ac:dyDescent="0.3">
      <c r="A1928" s="2"/>
      <c r="B1928" s="65" t="str">
        <f>IF($C1928="","","GG"&amp;TEXT(ROW()-6,"00000"))</f>
        <v/>
      </c>
      <c r="C1928" s="66"/>
      <c r="D1928" s="60"/>
      <c r="E1928" s="61"/>
      <c r="F1928" s="61"/>
      <c r="G1928" s="67"/>
      <c r="H1928" s="60"/>
      <c r="I1928" s="60"/>
      <c r="J1928" s="61"/>
      <c r="K1928" s="61"/>
      <c r="L1928" s="60"/>
      <c r="M1928" s="74" t="str">
        <f>IF($C1928="","",IF($D1928="Gider",$E1928,IF($L1928&lt;&gt;"",$L1928,$H1928)))</f>
        <v/>
      </c>
      <c r="N1928" s="74" t="str">
        <f>IF($C1928="","",IF($D1928="Gider",$H1928,$E1928))</f>
        <v/>
      </c>
      <c r="O1928" s="73" t="str">
        <f>IF($C1928="","",DATE(YEAR($C1928),MONTH($C1928),1))</f>
        <v/>
      </c>
      <c r="P1928" s="65" t="str">
        <f ca="1">IF($C1928="","",IF(AND($D1928="Gelir",$L1928&lt;&gt;"",$T1928=""),"TANIMSIZ BORÇLU",IF($T1928&lt;&gt;"",IF(OR($E1928="",$G1928&lt;=0),"EKSİK",IF($I1928="Evet","TAHAKKUK NAKİT OLAMAZ",IF($C1928&gt;TODAY(),"İLERİ TARİH","TAHAKKUK"))),IF(AND($D1928&lt;&gt;"",$E1928&lt;&gt;"",$G1928&gt;0,$H1928&lt;&gt;"",$I1928&lt;&gt;""),IF($C1928&gt;TODAY(),"İLERİ TARİH",IF(COUNTIF($W$7:$W$3001,$W1928)&gt;1,"MÜKERRER?",IF($AD1928&gt;0,"KAPALI DÖNEM",IF($I1928="Hayır","ÖDENECEK","UYGUN")))),"EKSİK"))))</f>
        <v/>
      </c>
      <c r="Q1928" s="2"/>
      <c r="R1928" s="2"/>
      <c r="S1928" s="1" t="str">
        <f t="shared" si="92"/>
        <v/>
      </c>
      <c r="T1928" s="1" t="str">
        <f>IF(OR($C1928="",$D1928&lt;&gt;"Gelir",$L1928=""),"",IFERROR(INDEX(MUSTERILER!$B$7:$B$156,MATCH($S1928,MUSTERILER!$T$7:$T$156,0)),""))</f>
        <v/>
      </c>
      <c r="U1928" s="1" t="str">
        <f>IF($T1928="","",$T1928&amp;"|"&amp;COUNTIFS($T$7:$T1928,$T1928))</f>
        <v/>
      </c>
      <c r="V1928" s="1">
        <f t="shared" si="93"/>
        <v>0</v>
      </c>
      <c r="W1928" s="1" t="str">
        <f t="shared" si="94"/>
        <v/>
      </c>
      <c r="X1928" s="1"/>
      <c r="Y1928" s="1"/>
      <c r="Z1928" s="1"/>
      <c r="AA1928" s="1"/>
      <c r="AB1928" s="1"/>
      <c r="AC1928" s="1"/>
      <c r="AD1928" s="1">
        <f>IF($C1928="",0,SUMPRODUCT((AY_SONU!$O$7:$O$42="Evet")*(AY_SONU!$B$7:$B$42=DATE(YEAR($C1928),MONTH($C1928),1))))</f>
        <v>0</v>
      </c>
      <c r="AE1928" s="1" t="str">
        <f>IF($E1928="","",$E1928&amp;"|"&amp;COUNTIFS($E$7:$E1928,$E1928))</f>
        <v/>
      </c>
    </row>
    <row r="1929" spans="1:31" ht="18" customHeight="1" x14ac:dyDescent="0.3">
      <c r="A1929" s="2"/>
      <c r="B1929" s="65" t="str">
        <f>IF($C1929="","","GG"&amp;TEXT(ROW()-6,"00000"))</f>
        <v/>
      </c>
      <c r="C1929" s="66"/>
      <c r="D1929" s="60"/>
      <c r="E1929" s="61"/>
      <c r="F1929" s="61"/>
      <c r="G1929" s="67"/>
      <c r="H1929" s="60"/>
      <c r="I1929" s="60"/>
      <c r="J1929" s="61"/>
      <c r="K1929" s="61"/>
      <c r="L1929" s="60"/>
      <c r="M1929" s="74" t="str">
        <f>IF($C1929="","",IF($D1929="Gider",$E1929,IF($L1929&lt;&gt;"",$L1929,$H1929)))</f>
        <v/>
      </c>
      <c r="N1929" s="74" t="str">
        <f>IF($C1929="","",IF($D1929="Gider",$H1929,$E1929))</f>
        <v/>
      </c>
      <c r="O1929" s="73" t="str">
        <f>IF($C1929="","",DATE(YEAR($C1929),MONTH($C1929),1))</f>
        <v/>
      </c>
      <c r="P1929" s="65" t="str">
        <f ca="1">IF($C1929="","",IF(AND($D1929="Gelir",$L1929&lt;&gt;"",$T1929=""),"TANIMSIZ BORÇLU",IF($T1929&lt;&gt;"",IF(OR($E1929="",$G1929&lt;=0),"EKSİK",IF($I1929="Evet","TAHAKKUK NAKİT OLAMAZ",IF($C1929&gt;TODAY(),"İLERİ TARİH","TAHAKKUK"))),IF(AND($D1929&lt;&gt;"",$E1929&lt;&gt;"",$G1929&gt;0,$H1929&lt;&gt;"",$I1929&lt;&gt;""),IF($C1929&gt;TODAY(),"İLERİ TARİH",IF(COUNTIF($W$7:$W$3001,$W1929)&gt;1,"MÜKERRER?",IF($AD1929&gt;0,"KAPALI DÖNEM",IF($I1929="Hayır","ÖDENECEK","UYGUN")))),"EKSİK"))))</f>
        <v/>
      </c>
      <c r="Q1929" s="2"/>
      <c r="R1929" s="2"/>
      <c r="S1929" s="1" t="str">
        <f t="shared" si="92"/>
        <v/>
      </c>
      <c r="T1929" s="1" t="str">
        <f>IF(OR($C1929="",$D1929&lt;&gt;"Gelir",$L1929=""),"",IFERROR(INDEX(MUSTERILER!$B$7:$B$156,MATCH($S1929,MUSTERILER!$T$7:$T$156,0)),""))</f>
        <v/>
      </c>
      <c r="U1929" s="1" t="str">
        <f>IF($T1929="","",$T1929&amp;"|"&amp;COUNTIFS($T$7:$T1929,$T1929))</f>
        <v/>
      </c>
      <c r="V1929" s="1">
        <f t="shared" si="93"/>
        <v>0</v>
      </c>
      <c r="W1929" s="1" t="str">
        <f t="shared" si="94"/>
        <v/>
      </c>
      <c r="X1929" s="1"/>
      <c r="Y1929" s="1"/>
      <c r="Z1929" s="1"/>
      <c r="AA1929" s="1"/>
      <c r="AB1929" s="1"/>
      <c r="AC1929" s="1"/>
      <c r="AD1929" s="1">
        <f>IF($C1929="",0,SUMPRODUCT((AY_SONU!$O$7:$O$42="Evet")*(AY_SONU!$B$7:$B$42=DATE(YEAR($C1929),MONTH($C1929),1))))</f>
        <v>0</v>
      </c>
      <c r="AE1929" s="1" t="str">
        <f>IF($E1929="","",$E1929&amp;"|"&amp;COUNTIFS($E$7:$E1929,$E1929))</f>
        <v/>
      </c>
    </row>
    <row r="1930" spans="1:31" ht="18" customHeight="1" x14ac:dyDescent="0.3">
      <c r="A1930" s="2"/>
      <c r="B1930" s="65" t="str">
        <f>IF($C1930="","","GG"&amp;TEXT(ROW()-6,"00000"))</f>
        <v/>
      </c>
      <c r="C1930" s="66"/>
      <c r="D1930" s="60"/>
      <c r="E1930" s="61"/>
      <c r="F1930" s="61"/>
      <c r="G1930" s="67"/>
      <c r="H1930" s="60"/>
      <c r="I1930" s="60"/>
      <c r="J1930" s="61"/>
      <c r="K1930" s="61"/>
      <c r="L1930" s="60"/>
      <c r="M1930" s="74" t="str">
        <f>IF($C1930="","",IF($D1930="Gider",$E1930,IF($L1930&lt;&gt;"",$L1930,$H1930)))</f>
        <v/>
      </c>
      <c r="N1930" s="74" t="str">
        <f>IF($C1930="","",IF($D1930="Gider",$H1930,$E1930))</f>
        <v/>
      </c>
      <c r="O1930" s="73" t="str">
        <f>IF($C1930="","",DATE(YEAR($C1930),MONTH($C1930),1))</f>
        <v/>
      </c>
      <c r="P1930" s="65" t="str">
        <f ca="1">IF($C1930="","",IF(AND($D1930="Gelir",$L1930&lt;&gt;"",$T1930=""),"TANIMSIZ BORÇLU",IF($T1930&lt;&gt;"",IF(OR($E1930="",$G1930&lt;=0),"EKSİK",IF($I1930="Evet","TAHAKKUK NAKİT OLAMAZ",IF($C1930&gt;TODAY(),"İLERİ TARİH","TAHAKKUK"))),IF(AND($D1930&lt;&gt;"",$E1930&lt;&gt;"",$G1930&gt;0,$H1930&lt;&gt;"",$I1930&lt;&gt;""),IF($C1930&gt;TODAY(),"İLERİ TARİH",IF(COUNTIF($W$7:$W$3001,$W1930)&gt;1,"MÜKERRER?",IF($AD1930&gt;0,"KAPALI DÖNEM",IF($I1930="Hayır","ÖDENECEK","UYGUN")))),"EKSİK"))))</f>
        <v/>
      </c>
      <c r="Q1930" s="2"/>
      <c r="R1930" s="2"/>
      <c r="S1930" s="1" t="str">
        <f t="shared" si="92"/>
        <v/>
      </c>
      <c r="T1930" s="1" t="str">
        <f>IF(OR($C1930="",$D1930&lt;&gt;"Gelir",$L1930=""),"",IFERROR(INDEX(MUSTERILER!$B$7:$B$156,MATCH($S1930,MUSTERILER!$T$7:$T$156,0)),""))</f>
        <v/>
      </c>
      <c r="U1930" s="1" t="str">
        <f>IF($T1930="","",$T1930&amp;"|"&amp;COUNTIFS($T$7:$T1930,$T1930))</f>
        <v/>
      </c>
      <c r="V1930" s="1">
        <f t="shared" si="93"/>
        <v>0</v>
      </c>
      <c r="W1930" s="1" t="str">
        <f t="shared" si="94"/>
        <v/>
      </c>
      <c r="X1930" s="1"/>
      <c r="Y1930" s="1"/>
      <c r="Z1930" s="1"/>
      <c r="AA1930" s="1"/>
      <c r="AB1930" s="1"/>
      <c r="AC1930" s="1"/>
      <c r="AD1930" s="1">
        <f>IF($C1930="",0,SUMPRODUCT((AY_SONU!$O$7:$O$42="Evet")*(AY_SONU!$B$7:$B$42=DATE(YEAR($C1930),MONTH($C1930),1))))</f>
        <v>0</v>
      </c>
      <c r="AE1930" s="1" t="str">
        <f>IF($E1930="","",$E1930&amp;"|"&amp;COUNTIFS($E$7:$E1930,$E1930))</f>
        <v/>
      </c>
    </row>
    <row r="1931" spans="1:31" ht="18" customHeight="1" x14ac:dyDescent="0.3">
      <c r="A1931" s="2"/>
      <c r="B1931" s="65" t="str">
        <f>IF($C1931="","","GG"&amp;TEXT(ROW()-6,"00000"))</f>
        <v/>
      </c>
      <c r="C1931" s="66"/>
      <c r="D1931" s="60"/>
      <c r="E1931" s="61"/>
      <c r="F1931" s="61"/>
      <c r="G1931" s="67"/>
      <c r="H1931" s="60"/>
      <c r="I1931" s="60"/>
      <c r="J1931" s="61"/>
      <c r="K1931" s="61"/>
      <c r="L1931" s="60"/>
      <c r="M1931" s="74" t="str">
        <f>IF($C1931="","",IF($D1931="Gider",$E1931,IF($L1931&lt;&gt;"",$L1931,$H1931)))</f>
        <v/>
      </c>
      <c r="N1931" s="74" t="str">
        <f>IF($C1931="","",IF($D1931="Gider",$H1931,$E1931))</f>
        <v/>
      </c>
      <c r="O1931" s="73" t="str">
        <f>IF($C1931="","",DATE(YEAR($C1931),MONTH($C1931),1))</f>
        <v/>
      </c>
      <c r="P1931" s="65" t="str">
        <f ca="1">IF($C1931="","",IF(AND($D1931="Gelir",$L1931&lt;&gt;"",$T1931=""),"TANIMSIZ BORÇLU",IF($T1931&lt;&gt;"",IF(OR($E1931="",$G1931&lt;=0),"EKSİK",IF($I1931="Evet","TAHAKKUK NAKİT OLAMAZ",IF($C1931&gt;TODAY(),"İLERİ TARİH","TAHAKKUK"))),IF(AND($D1931&lt;&gt;"",$E1931&lt;&gt;"",$G1931&gt;0,$H1931&lt;&gt;"",$I1931&lt;&gt;""),IF($C1931&gt;TODAY(),"İLERİ TARİH",IF(COUNTIF($W$7:$W$3001,$W1931)&gt;1,"MÜKERRER?",IF($AD1931&gt;0,"KAPALI DÖNEM",IF($I1931="Hayır","ÖDENECEK","UYGUN")))),"EKSİK"))))</f>
        <v/>
      </c>
      <c r="Q1931" s="2"/>
      <c r="R1931" s="2"/>
      <c r="S1931" s="1" t="str">
        <f t="shared" si="92"/>
        <v/>
      </c>
      <c r="T1931" s="1" t="str">
        <f>IF(OR($C1931="",$D1931&lt;&gt;"Gelir",$L1931=""),"",IFERROR(INDEX(MUSTERILER!$B$7:$B$156,MATCH($S1931,MUSTERILER!$T$7:$T$156,0)),""))</f>
        <v/>
      </c>
      <c r="U1931" s="1" t="str">
        <f>IF($T1931="","",$T1931&amp;"|"&amp;COUNTIFS($T$7:$T1931,$T1931))</f>
        <v/>
      </c>
      <c r="V1931" s="1">
        <f t="shared" si="93"/>
        <v>0</v>
      </c>
      <c r="W1931" s="1" t="str">
        <f t="shared" si="94"/>
        <v/>
      </c>
      <c r="X1931" s="1"/>
      <c r="Y1931" s="1"/>
      <c r="Z1931" s="1"/>
      <c r="AA1931" s="1"/>
      <c r="AB1931" s="1"/>
      <c r="AC1931" s="1"/>
      <c r="AD1931" s="1">
        <f>IF($C1931="",0,SUMPRODUCT((AY_SONU!$O$7:$O$42="Evet")*(AY_SONU!$B$7:$B$42=DATE(YEAR($C1931),MONTH($C1931),1))))</f>
        <v>0</v>
      </c>
      <c r="AE1931" s="1" t="str">
        <f>IF($E1931="","",$E1931&amp;"|"&amp;COUNTIFS($E$7:$E1931,$E1931))</f>
        <v/>
      </c>
    </row>
    <row r="1932" spans="1:31" ht="18" customHeight="1" x14ac:dyDescent="0.3">
      <c r="A1932" s="2"/>
      <c r="B1932" s="65" t="str">
        <f>IF($C1932="","","GG"&amp;TEXT(ROW()-6,"00000"))</f>
        <v/>
      </c>
      <c r="C1932" s="66"/>
      <c r="D1932" s="60"/>
      <c r="E1932" s="61"/>
      <c r="F1932" s="61"/>
      <c r="G1932" s="67"/>
      <c r="H1932" s="60"/>
      <c r="I1932" s="60"/>
      <c r="J1932" s="61"/>
      <c r="K1932" s="61"/>
      <c r="L1932" s="60"/>
      <c r="M1932" s="74" t="str">
        <f>IF($C1932="","",IF($D1932="Gider",$E1932,IF($L1932&lt;&gt;"",$L1932,$H1932)))</f>
        <v/>
      </c>
      <c r="N1932" s="74" t="str">
        <f>IF($C1932="","",IF($D1932="Gider",$H1932,$E1932))</f>
        <v/>
      </c>
      <c r="O1932" s="73" t="str">
        <f>IF($C1932="","",DATE(YEAR($C1932),MONTH($C1932),1))</f>
        <v/>
      </c>
      <c r="P1932" s="65" t="str">
        <f ca="1">IF($C1932="","",IF(AND($D1932="Gelir",$L1932&lt;&gt;"",$T1932=""),"TANIMSIZ BORÇLU",IF($T1932&lt;&gt;"",IF(OR($E1932="",$G1932&lt;=0),"EKSİK",IF($I1932="Evet","TAHAKKUK NAKİT OLAMAZ",IF($C1932&gt;TODAY(),"İLERİ TARİH","TAHAKKUK"))),IF(AND($D1932&lt;&gt;"",$E1932&lt;&gt;"",$G1932&gt;0,$H1932&lt;&gt;"",$I1932&lt;&gt;""),IF($C1932&gt;TODAY(),"İLERİ TARİH",IF(COUNTIF($W$7:$W$3001,$W1932)&gt;1,"MÜKERRER?",IF($AD1932&gt;0,"KAPALI DÖNEM",IF($I1932="Hayır","ÖDENECEK","UYGUN")))),"EKSİK"))))</f>
        <v/>
      </c>
      <c r="Q1932" s="2"/>
      <c r="R1932" s="2"/>
      <c r="S1932" s="1" t="str">
        <f t="shared" si="92"/>
        <v/>
      </c>
      <c r="T1932" s="1" t="str">
        <f>IF(OR($C1932="",$D1932&lt;&gt;"Gelir",$L1932=""),"",IFERROR(INDEX(MUSTERILER!$B$7:$B$156,MATCH($S1932,MUSTERILER!$T$7:$T$156,0)),""))</f>
        <v/>
      </c>
      <c r="U1932" s="1" t="str">
        <f>IF($T1932="","",$T1932&amp;"|"&amp;COUNTIFS($T$7:$T1932,$T1932))</f>
        <v/>
      </c>
      <c r="V1932" s="1">
        <f t="shared" si="93"/>
        <v>0</v>
      </c>
      <c r="W1932" s="1" t="str">
        <f t="shared" si="94"/>
        <v/>
      </c>
      <c r="X1932" s="1"/>
      <c r="Y1932" s="1"/>
      <c r="Z1932" s="1"/>
      <c r="AA1932" s="1"/>
      <c r="AB1932" s="1"/>
      <c r="AC1932" s="1"/>
      <c r="AD1932" s="1">
        <f>IF($C1932="",0,SUMPRODUCT((AY_SONU!$O$7:$O$42="Evet")*(AY_SONU!$B$7:$B$42=DATE(YEAR($C1932),MONTH($C1932),1))))</f>
        <v>0</v>
      </c>
      <c r="AE1932" s="1" t="str">
        <f>IF($E1932="","",$E1932&amp;"|"&amp;COUNTIFS($E$7:$E1932,$E1932))</f>
        <v/>
      </c>
    </row>
    <row r="1933" spans="1:31" ht="18" customHeight="1" x14ac:dyDescent="0.3">
      <c r="A1933" s="2"/>
      <c r="B1933" s="65" t="str">
        <f>IF($C1933="","","GG"&amp;TEXT(ROW()-6,"00000"))</f>
        <v/>
      </c>
      <c r="C1933" s="66"/>
      <c r="D1933" s="60"/>
      <c r="E1933" s="61"/>
      <c r="F1933" s="61"/>
      <c r="G1933" s="67"/>
      <c r="H1933" s="60"/>
      <c r="I1933" s="60"/>
      <c r="J1933" s="61"/>
      <c r="K1933" s="61"/>
      <c r="L1933" s="60"/>
      <c r="M1933" s="74" t="str">
        <f>IF($C1933="","",IF($D1933="Gider",$E1933,IF($L1933&lt;&gt;"",$L1933,$H1933)))</f>
        <v/>
      </c>
      <c r="N1933" s="74" t="str">
        <f>IF($C1933="","",IF($D1933="Gider",$H1933,$E1933))</f>
        <v/>
      </c>
      <c r="O1933" s="73" t="str">
        <f>IF($C1933="","",DATE(YEAR($C1933),MONTH($C1933),1))</f>
        <v/>
      </c>
      <c r="P1933" s="65" t="str">
        <f ca="1">IF($C1933="","",IF(AND($D1933="Gelir",$L1933&lt;&gt;"",$T1933=""),"TANIMSIZ BORÇLU",IF($T1933&lt;&gt;"",IF(OR($E1933="",$G1933&lt;=0),"EKSİK",IF($I1933="Evet","TAHAKKUK NAKİT OLAMAZ",IF($C1933&gt;TODAY(),"İLERİ TARİH","TAHAKKUK"))),IF(AND($D1933&lt;&gt;"",$E1933&lt;&gt;"",$G1933&gt;0,$H1933&lt;&gt;"",$I1933&lt;&gt;""),IF($C1933&gt;TODAY(),"İLERİ TARİH",IF(COUNTIF($W$7:$W$3001,$W1933)&gt;1,"MÜKERRER?",IF($AD1933&gt;0,"KAPALI DÖNEM",IF($I1933="Hayır","ÖDENECEK","UYGUN")))),"EKSİK"))))</f>
        <v/>
      </c>
      <c r="Q1933" s="2"/>
      <c r="R1933" s="2"/>
      <c r="S1933" s="1" t="str">
        <f t="shared" si="92"/>
        <v/>
      </c>
      <c r="T1933" s="1" t="str">
        <f>IF(OR($C1933="",$D1933&lt;&gt;"Gelir",$L1933=""),"",IFERROR(INDEX(MUSTERILER!$B$7:$B$156,MATCH($S1933,MUSTERILER!$T$7:$T$156,0)),""))</f>
        <v/>
      </c>
      <c r="U1933" s="1" t="str">
        <f>IF($T1933="","",$T1933&amp;"|"&amp;COUNTIFS($T$7:$T1933,$T1933))</f>
        <v/>
      </c>
      <c r="V1933" s="1">
        <f t="shared" si="93"/>
        <v>0</v>
      </c>
      <c r="W1933" s="1" t="str">
        <f t="shared" si="94"/>
        <v/>
      </c>
      <c r="X1933" s="1"/>
      <c r="Y1933" s="1"/>
      <c r="Z1933" s="1"/>
      <c r="AA1933" s="1"/>
      <c r="AB1933" s="1"/>
      <c r="AC1933" s="1"/>
      <c r="AD1933" s="1">
        <f>IF($C1933="",0,SUMPRODUCT((AY_SONU!$O$7:$O$42="Evet")*(AY_SONU!$B$7:$B$42=DATE(YEAR($C1933),MONTH($C1933),1))))</f>
        <v>0</v>
      </c>
      <c r="AE1933" s="1" t="str">
        <f>IF($E1933="","",$E1933&amp;"|"&amp;COUNTIFS($E$7:$E1933,$E1933))</f>
        <v/>
      </c>
    </row>
    <row r="1934" spans="1:31" ht="18" customHeight="1" x14ac:dyDescent="0.3">
      <c r="A1934" s="2"/>
      <c r="B1934" s="65" t="str">
        <f>IF($C1934="","","GG"&amp;TEXT(ROW()-6,"00000"))</f>
        <v/>
      </c>
      <c r="C1934" s="66"/>
      <c r="D1934" s="60"/>
      <c r="E1934" s="61"/>
      <c r="F1934" s="61"/>
      <c r="G1934" s="67"/>
      <c r="H1934" s="60"/>
      <c r="I1934" s="60"/>
      <c r="J1934" s="61"/>
      <c r="K1934" s="61"/>
      <c r="L1934" s="60"/>
      <c r="M1934" s="74" t="str">
        <f>IF($C1934="","",IF($D1934="Gider",$E1934,IF($L1934&lt;&gt;"",$L1934,$H1934)))</f>
        <v/>
      </c>
      <c r="N1934" s="74" t="str">
        <f>IF($C1934="","",IF($D1934="Gider",$H1934,$E1934))</f>
        <v/>
      </c>
      <c r="O1934" s="73" t="str">
        <f>IF($C1934="","",DATE(YEAR($C1934),MONTH($C1934),1))</f>
        <v/>
      </c>
      <c r="P1934" s="65" t="str">
        <f ca="1">IF($C1934="","",IF(AND($D1934="Gelir",$L1934&lt;&gt;"",$T1934=""),"TANIMSIZ BORÇLU",IF($T1934&lt;&gt;"",IF(OR($E1934="",$G1934&lt;=0),"EKSİK",IF($I1934="Evet","TAHAKKUK NAKİT OLAMAZ",IF($C1934&gt;TODAY(),"İLERİ TARİH","TAHAKKUK"))),IF(AND($D1934&lt;&gt;"",$E1934&lt;&gt;"",$G1934&gt;0,$H1934&lt;&gt;"",$I1934&lt;&gt;""),IF($C1934&gt;TODAY(),"İLERİ TARİH",IF(COUNTIF($W$7:$W$3001,$W1934)&gt;1,"MÜKERRER?",IF($AD1934&gt;0,"KAPALI DÖNEM",IF($I1934="Hayır","ÖDENECEK","UYGUN")))),"EKSİK"))))</f>
        <v/>
      </c>
      <c r="Q1934" s="2"/>
      <c r="R1934" s="2"/>
      <c r="S1934" s="1" t="str">
        <f t="shared" si="92"/>
        <v/>
      </c>
      <c r="T1934" s="1" t="str">
        <f>IF(OR($C1934="",$D1934&lt;&gt;"Gelir",$L1934=""),"",IFERROR(INDEX(MUSTERILER!$B$7:$B$156,MATCH($S1934,MUSTERILER!$T$7:$T$156,0)),""))</f>
        <v/>
      </c>
      <c r="U1934" s="1" t="str">
        <f>IF($T1934="","",$T1934&amp;"|"&amp;COUNTIFS($T$7:$T1934,$T1934))</f>
        <v/>
      </c>
      <c r="V1934" s="1">
        <f t="shared" si="93"/>
        <v>0</v>
      </c>
      <c r="W1934" s="1" t="str">
        <f t="shared" si="94"/>
        <v/>
      </c>
      <c r="X1934" s="1"/>
      <c r="Y1934" s="1"/>
      <c r="Z1934" s="1"/>
      <c r="AA1934" s="1"/>
      <c r="AB1934" s="1"/>
      <c r="AC1934" s="1"/>
      <c r="AD1934" s="1">
        <f>IF($C1934="",0,SUMPRODUCT((AY_SONU!$O$7:$O$42="Evet")*(AY_SONU!$B$7:$B$42=DATE(YEAR($C1934),MONTH($C1934),1))))</f>
        <v>0</v>
      </c>
      <c r="AE1934" s="1" t="str">
        <f>IF($E1934="","",$E1934&amp;"|"&amp;COUNTIFS($E$7:$E1934,$E1934))</f>
        <v/>
      </c>
    </row>
    <row r="1935" spans="1:31" ht="18" customHeight="1" x14ac:dyDescent="0.3">
      <c r="A1935" s="2"/>
      <c r="B1935" s="65" t="str">
        <f>IF($C1935="","","GG"&amp;TEXT(ROW()-6,"00000"))</f>
        <v/>
      </c>
      <c r="C1935" s="66"/>
      <c r="D1935" s="60"/>
      <c r="E1935" s="61"/>
      <c r="F1935" s="61"/>
      <c r="G1935" s="67"/>
      <c r="H1935" s="60"/>
      <c r="I1935" s="60"/>
      <c r="J1935" s="61"/>
      <c r="K1935" s="61"/>
      <c r="L1935" s="60"/>
      <c r="M1935" s="74" t="str">
        <f>IF($C1935="","",IF($D1935="Gider",$E1935,IF($L1935&lt;&gt;"",$L1935,$H1935)))</f>
        <v/>
      </c>
      <c r="N1935" s="74" t="str">
        <f>IF($C1935="","",IF($D1935="Gider",$H1935,$E1935))</f>
        <v/>
      </c>
      <c r="O1935" s="73" t="str">
        <f>IF($C1935="","",DATE(YEAR($C1935),MONTH($C1935),1))</f>
        <v/>
      </c>
      <c r="P1935" s="65" t="str">
        <f ca="1">IF($C1935="","",IF(AND($D1935="Gelir",$L1935&lt;&gt;"",$T1935=""),"TANIMSIZ BORÇLU",IF($T1935&lt;&gt;"",IF(OR($E1935="",$G1935&lt;=0),"EKSİK",IF($I1935="Evet","TAHAKKUK NAKİT OLAMAZ",IF($C1935&gt;TODAY(),"İLERİ TARİH","TAHAKKUK"))),IF(AND($D1935&lt;&gt;"",$E1935&lt;&gt;"",$G1935&gt;0,$H1935&lt;&gt;"",$I1935&lt;&gt;""),IF($C1935&gt;TODAY(),"İLERİ TARİH",IF(COUNTIF($W$7:$W$3001,$W1935)&gt;1,"MÜKERRER?",IF($AD1935&gt;0,"KAPALI DÖNEM",IF($I1935="Hayır","ÖDENECEK","UYGUN")))),"EKSİK"))))</f>
        <v/>
      </c>
      <c r="Q1935" s="2"/>
      <c r="R1935" s="2"/>
      <c r="S1935" s="1" t="str">
        <f t="shared" si="92"/>
        <v/>
      </c>
      <c r="T1935" s="1" t="str">
        <f>IF(OR($C1935="",$D1935&lt;&gt;"Gelir",$L1935=""),"",IFERROR(INDEX(MUSTERILER!$B$7:$B$156,MATCH($S1935,MUSTERILER!$T$7:$T$156,0)),""))</f>
        <v/>
      </c>
      <c r="U1935" s="1" t="str">
        <f>IF($T1935="","",$T1935&amp;"|"&amp;COUNTIFS($T$7:$T1935,$T1935))</f>
        <v/>
      </c>
      <c r="V1935" s="1">
        <f t="shared" si="93"/>
        <v>0</v>
      </c>
      <c r="W1935" s="1" t="str">
        <f t="shared" si="94"/>
        <v/>
      </c>
      <c r="X1935" s="1"/>
      <c r="Y1935" s="1"/>
      <c r="Z1935" s="1"/>
      <c r="AA1935" s="1"/>
      <c r="AB1935" s="1"/>
      <c r="AC1935" s="1"/>
      <c r="AD1935" s="1">
        <f>IF($C1935="",0,SUMPRODUCT((AY_SONU!$O$7:$O$42="Evet")*(AY_SONU!$B$7:$B$42=DATE(YEAR($C1935),MONTH($C1935),1))))</f>
        <v>0</v>
      </c>
      <c r="AE1935" s="1" t="str">
        <f>IF($E1935="","",$E1935&amp;"|"&amp;COUNTIFS($E$7:$E1935,$E1935))</f>
        <v/>
      </c>
    </row>
    <row r="1936" spans="1:31" ht="18" customHeight="1" x14ac:dyDescent="0.3">
      <c r="A1936" s="2"/>
      <c r="B1936" s="65" t="str">
        <f>IF($C1936="","","GG"&amp;TEXT(ROW()-6,"00000"))</f>
        <v/>
      </c>
      <c r="C1936" s="66"/>
      <c r="D1936" s="60"/>
      <c r="E1936" s="61"/>
      <c r="F1936" s="61"/>
      <c r="G1936" s="67"/>
      <c r="H1936" s="60"/>
      <c r="I1936" s="60"/>
      <c r="J1936" s="61"/>
      <c r="K1936" s="61"/>
      <c r="L1936" s="60"/>
      <c r="M1936" s="74" t="str">
        <f>IF($C1936="","",IF($D1936="Gider",$E1936,IF($L1936&lt;&gt;"",$L1936,$H1936)))</f>
        <v/>
      </c>
      <c r="N1936" s="74" t="str">
        <f>IF($C1936="","",IF($D1936="Gider",$H1936,$E1936))</f>
        <v/>
      </c>
      <c r="O1936" s="73" t="str">
        <f>IF($C1936="","",DATE(YEAR($C1936),MONTH($C1936),1))</f>
        <v/>
      </c>
      <c r="P1936" s="65" t="str">
        <f ca="1">IF($C1936="","",IF(AND($D1936="Gelir",$L1936&lt;&gt;"",$T1936=""),"TANIMSIZ BORÇLU",IF($T1936&lt;&gt;"",IF(OR($E1936="",$G1936&lt;=0),"EKSİK",IF($I1936="Evet","TAHAKKUK NAKİT OLAMAZ",IF($C1936&gt;TODAY(),"İLERİ TARİH","TAHAKKUK"))),IF(AND($D1936&lt;&gt;"",$E1936&lt;&gt;"",$G1936&gt;0,$H1936&lt;&gt;"",$I1936&lt;&gt;""),IF($C1936&gt;TODAY(),"İLERİ TARİH",IF(COUNTIF($W$7:$W$3001,$W1936)&gt;1,"MÜKERRER?",IF($AD1936&gt;0,"KAPALI DÖNEM",IF($I1936="Hayır","ÖDENECEK","UYGUN")))),"EKSİK"))))</f>
        <v/>
      </c>
      <c r="Q1936" s="2"/>
      <c r="R1936" s="2"/>
      <c r="S1936" s="1" t="str">
        <f t="shared" si="92"/>
        <v/>
      </c>
      <c r="T1936" s="1" t="str">
        <f>IF(OR($C1936="",$D1936&lt;&gt;"Gelir",$L1936=""),"",IFERROR(INDEX(MUSTERILER!$B$7:$B$156,MATCH($S1936,MUSTERILER!$T$7:$T$156,0)),""))</f>
        <v/>
      </c>
      <c r="U1936" s="1" t="str">
        <f>IF($T1936="","",$T1936&amp;"|"&amp;COUNTIFS($T$7:$T1936,$T1936))</f>
        <v/>
      </c>
      <c r="V1936" s="1">
        <f t="shared" si="93"/>
        <v>0</v>
      </c>
      <c r="W1936" s="1" t="str">
        <f t="shared" si="94"/>
        <v/>
      </c>
      <c r="X1936" s="1"/>
      <c r="Y1936" s="1"/>
      <c r="Z1936" s="1"/>
      <c r="AA1936" s="1"/>
      <c r="AB1936" s="1"/>
      <c r="AC1936" s="1"/>
      <c r="AD1936" s="1">
        <f>IF($C1936="",0,SUMPRODUCT((AY_SONU!$O$7:$O$42="Evet")*(AY_SONU!$B$7:$B$42=DATE(YEAR($C1936),MONTH($C1936),1))))</f>
        <v>0</v>
      </c>
      <c r="AE1936" s="1" t="str">
        <f>IF($E1936="","",$E1936&amp;"|"&amp;COUNTIFS($E$7:$E1936,$E1936))</f>
        <v/>
      </c>
    </row>
    <row r="1937" spans="1:31" ht="18" customHeight="1" x14ac:dyDescent="0.3">
      <c r="A1937" s="2"/>
      <c r="B1937" s="65" t="str">
        <f>IF($C1937="","","GG"&amp;TEXT(ROW()-6,"00000"))</f>
        <v/>
      </c>
      <c r="C1937" s="66"/>
      <c r="D1937" s="60"/>
      <c r="E1937" s="61"/>
      <c r="F1937" s="61"/>
      <c r="G1937" s="67"/>
      <c r="H1937" s="60"/>
      <c r="I1937" s="60"/>
      <c r="J1937" s="61"/>
      <c r="K1937" s="61"/>
      <c r="L1937" s="60"/>
      <c r="M1937" s="74" t="str">
        <f>IF($C1937="","",IF($D1937="Gider",$E1937,IF($L1937&lt;&gt;"",$L1937,$H1937)))</f>
        <v/>
      </c>
      <c r="N1937" s="74" t="str">
        <f>IF($C1937="","",IF($D1937="Gider",$H1937,$E1937))</f>
        <v/>
      </c>
      <c r="O1937" s="73" t="str">
        <f>IF($C1937="","",DATE(YEAR($C1937),MONTH($C1937),1))</f>
        <v/>
      </c>
      <c r="P1937" s="65" t="str">
        <f ca="1">IF($C1937="","",IF(AND($D1937="Gelir",$L1937&lt;&gt;"",$T1937=""),"TANIMSIZ BORÇLU",IF($T1937&lt;&gt;"",IF(OR($E1937="",$G1937&lt;=0),"EKSİK",IF($I1937="Evet","TAHAKKUK NAKİT OLAMAZ",IF($C1937&gt;TODAY(),"İLERİ TARİH","TAHAKKUK"))),IF(AND($D1937&lt;&gt;"",$E1937&lt;&gt;"",$G1937&gt;0,$H1937&lt;&gt;"",$I1937&lt;&gt;""),IF($C1937&gt;TODAY(),"İLERİ TARİH",IF(COUNTIF($W$7:$W$3001,$W1937)&gt;1,"MÜKERRER?",IF($AD1937&gt;0,"KAPALI DÖNEM",IF($I1937="Hayır","ÖDENECEK","UYGUN")))),"EKSİK"))))</f>
        <v/>
      </c>
      <c r="Q1937" s="2"/>
      <c r="R1937" s="2"/>
      <c r="S1937" s="1" t="str">
        <f t="shared" si="92"/>
        <v/>
      </c>
      <c r="T1937" s="1" t="str">
        <f>IF(OR($C1937="",$D1937&lt;&gt;"Gelir",$L1937=""),"",IFERROR(INDEX(MUSTERILER!$B$7:$B$156,MATCH($S1937,MUSTERILER!$T$7:$T$156,0)),""))</f>
        <v/>
      </c>
      <c r="U1937" s="1" t="str">
        <f>IF($T1937="","",$T1937&amp;"|"&amp;COUNTIFS($T$7:$T1937,$T1937))</f>
        <v/>
      </c>
      <c r="V1937" s="1">
        <f t="shared" si="93"/>
        <v>0</v>
      </c>
      <c r="W1937" s="1" t="str">
        <f t="shared" si="94"/>
        <v/>
      </c>
      <c r="X1937" s="1"/>
      <c r="Y1937" s="1"/>
      <c r="Z1937" s="1"/>
      <c r="AA1937" s="1"/>
      <c r="AB1937" s="1"/>
      <c r="AC1937" s="1"/>
      <c r="AD1937" s="1">
        <f>IF($C1937="",0,SUMPRODUCT((AY_SONU!$O$7:$O$42="Evet")*(AY_SONU!$B$7:$B$42=DATE(YEAR($C1937),MONTH($C1937),1))))</f>
        <v>0</v>
      </c>
      <c r="AE1937" s="1" t="str">
        <f>IF($E1937="","",$E1937&amp;"|"&amp;COUNTIFS($E$7:$E1937,$E1937))</f>
        <v/>
      </c>
    </row>
    <row r="1938" spans="1:31" ht="18" customHeight="1" x14ac:dyDescent="0.3">
      <c r="A1938" s="2"/>
      <c r="B1938" s="65" t="str">
        <f>IF($C1938="","","GG"&amp;TEXT(ROW()-6,"00000"))</f>
        <v/>
      </c>
      <c r="C1938" s="66"/>
      <c r="D1938" s="60"/>
      <c r="E1938" s="61"/>
      <c r="F1938" s="61"/>
      <c r="G1938" s="67"/>
      <c r="H1938" s="60"/>
      <c r="I1938" s="60"/>
      <c r="J1938" s="61"/>
      <c r="K1938" s="61"/>
      <c r="L1938" s="60"/>
      <c r="M1938" s="74" t="str">
        <f>IF($C1938="","",IF($D1938="Gider",$E1938,IF($L1938&lt;&gt;"",$L1938,$H1938)))</f>
        <v/>
      </c>
      <c r="N1938" s="74" t="str">
        <f>IF($C1938="","",IF($D1938="Gider",$H1938,$E1938))</f>
        <v/>
      </c>
      <c r="O1938" s="73" t="str">
        <f>IF($C1938="","",DATE(YEAR($C1938),MONTH($C1938),1))</f>
        <v/>
      </c>
      <c r="P1938" s="65" t="str">
        <f ca="1">IF($C1938="","",IF(AND($D1938="Gelir",$L1938&lt;&gt;"",$T1938=""),"TANIMSIZ BORÇLU",IF($T1938&lt;&gt;"",IF(OR($E1938="",$G1938&lt;=0),"EKSİK",IF($I1938="Evet","TAHAKKUK NAKİT OLAMAZ",IF($C1938&gt;TODAY(),"İLERİ TARİH","TAHAKKUK"))),IF(AND($D1938&lt;&gt;"",$E1938&lt;&gt;"",$G1938&gt;0,$H1938&lt;&gt;"",$I1938&lt;&gt;""),IF($C1938&gt;TODAY(),"İLERİ TARİH",IF(COUNTIF($W$7:$W$3001,$W1938)&gt;1,"MÜKERRER?",IF($AD1938&gt;0,"KAPALI DÖNEM",IF($I1938="Hayır","ÖDENECEK","UYGUN")))),"EKSİK"))))</f>
        <v/>
      </c>
      <c r="Q1938" s="2"/>
      <c r="R1938" s="2"/>
      <c r="S1938" s="1" t="str">
        <f t="shared" si="92"/>
        <v/>
      </c>
      <c r="T1938" s="1" t="str">
        <f>IF(OR($C1938="",$D1938&lt;&gt;"Gelir",$L1938=""),"",IFERROR(INDEX(MUSTERILER!$B$7:$B$156,MATCH($S1938,MUSTERILER!$T$7:$T$156,0)),""))</f>
        <v/>
      </c>
      <c r="U1938" s="1" t="str">
        <f>IF($T1938="","",$T1938&amp;"|"&amp;COUNTIFS($T$7:$T1938,$T1938))</f>
        <v/>
      </c>
      <c r="V1938" s="1">
        <f t="shared" si="93"/>
        <v>0</v>
      </c>
      <c r="W1938" s="1" t="str">
        <f t="shared" si="94"/>
        <v/>
      </c>
      <c r="X1938" s="1"/>
      <c r="Y1938" s="1"/>
      <c r="Z1938" s="1"/>
      <c r="AA1938" s="1"/>
      <c r="AB1938" s="1"/>
      <c r="AC1938" s="1"/>
      <c r="AD1938" s="1">
        <f>IF($C1938="",0,SUMPRODUCT((AY_SONU!$O$7:$O$42="Evet")*(AY_SONU!$B$7:$B$42=DATE(YEAR($C1938),MONTH($C1938),1))))</f>
        <v>0</v>
      </c>
      <c r="AE1938" s="1" t="str">
        <f>IF($E1938="","",$E1938&amp;"|"&amp;COUNTIFS($E$7:$E1938,$E1938))</f>
        <v/>
      </c>
    </row>
    <row r="1939" spans="1:31" ht="18" customHeight="1" x14ac:dyDescent="0.3">
      <c r="A1939" s="2"/>
      <c r="B1939" s="65" t="str">
        <f>IF($C1939="","","GG"&amp;TEXT(ROW()-6,"00000"))</f>
        <v/>
      </c>
      <c r="C1939" s="66"/>
      <c r="D1939" s="60"/>
      <c r="E1939" s="61"/>
      <c r="F1939" s="61"/>
      <c r="G1939" s="67"/>
      <c r="H1939" s="60"/>
      <c r="I1939" s="60"/>
      <c r="J1939" s="61"/>
      <c r="K1939" s="61"/>
      <c r="L1939" s="60"/>
      <c r="M1939" s="74" t="str">
        <f>IF($C1939="","",IF($D1939="Gider",$E1939,IF($L1939&lt;&gt;"",$L1939,$H1939)))</f>
        <v/>
      </c>
      <c r="N1939" s="74" t="str">
        <f>IF($C1939="","",IF($D1939="Gider",$H1939,$E1939))</f>
        <v/>
      </c>
      <c r="O1939" s="73" t="str">
        <f>IF($C1939="","",DATE(YEAR($C1939),MONTH($C1939),1))</f>
        <v/>
      </c>
      <c r="P1939" s="65" t="str">
        <f ca="1">IF($C1939="","",IF(AND($D1939="Gelir",$L1939&lt;&gt;"",$T1939=""),"TANIMSIZ BORÇLU",IF($T1939&lt;&gt;"",IF(OR($E1939="",$G1939&lt;=0),"EKSİK",IF($I1939="Evet","TAHAKKUK NAKİT OLAMAZ",IF($C1939&gt;TODAY(),"İLERİ TARİH","TAHAKKUK"))),IF(AND($D1939&lt;&gt;"",$E1939&lt;&gt;"",$G1939&gt;0,$H1939&lt;&gt;"",$I1939&lt;&gt;""),IF($C1939&gt;TODAY(),"İLERİ TARİH",IF(COUNTIF($W$7:$W$3001,$W1939)&gt;1,"MÜKERRER?",IF($AD1939&gt;0,"KAPALI DÖNEM",IF($I1939="Hayır","ÖDENECEK","UYGUN")))),"EKSİK"))))</f>
        <v/>
      </c>
      <c r="Q1939" s="2"/>
      <c r="R1939" s="2"/>
      <c r="S1939" s="1" t="str">
        <f t="shared" si="92"/>
        <v/>
      </c>
      <c r="T1939" s="1" t="str">
        <f>IF(OR($C1939="",$D1939&lt;&gt;"Gelir",$L1939=""),"",IFERROR(INDEX(MUSTERILER!$B$7:$B$156,MATCH($S1939,MUSTERILER!$T$7:$T$156,0)),""))</f>
        <v/>
      </c>
      <c r="U1939" s="1" t="str">
        <f>IF($T1939="","",$T1939&amp;"|"&amp;COUNTIFS($T$7:$T1939,$T1939))</f>
        <v/>
      </c>
      <c r="V1939" s="1">
        <f t="shared" si="93"/>
        <v>0</v>
      </c>
      <c r="W1939" s="1" t="str">
        <f t="shared" si="94"/>
        <v/>
      </c>
      <c r="X1939" s="1"/>
      <c r="Y1939" s="1"/>
      <c r="Z1939" s="1"/>
      <c r="AA1939" s="1"/>
      <c r="AB1939" s="1"/>
      <c r="AC1939" s="1"/>
      <c r="AD1939" s="1">
        <f>IF($C1939="",0,SUMPRODUCT((AY_SONU!$O$7:$O$42="Evet")*(AY_SONU!$B$7:$B$42=DATE(YEAR($C1939),MONTH($C1939),1))))</f>
        <v>0</v>
      </c>
      <c r="AE1939" s="1" t="str">
        <f>IF($E1939="","",$E1939&amp;"|"&amp;COUNTIFS($E$7:$E1939,$E1939))</f>
        <v/>
      </c>
    </row>
    <row r="1940" spans="1:31" ht="18" customHeight="1" x14ac:dyDescent="0.3">
      <c r="A1940" s="2"/>
      <c r="B1940" s="65" t="str">
        <f>IF($C1940="","","GG"&amp;TEXT(ROW()-6,"00000"))</f>
        <v/>
      </c>
      <c r="C1940" s="66"/>
      <c r="D1940" s="60"/>
      <c r="E1940" s="61"/>
      <c r="F1940" s="61"/>
      <c r="G1940" s="67"/>
      <c r="H1940" s="60"/>
      <c r="I1940" s="60"/>
      <c r="J1940" s="61"/>
      <c r="K1940" s="61"/>
      <c r="L1940" s="60"/>
      <c r="M1940" s="74" t="str">
        <f>IF($C1940="","",IF($D1940="Gider",$E1940,IF($L1940&lt;&gt;"",$L1940,$H1940)))</f>
        <v/>
      </c>
      <c r="N1940" s="74" t="str">
        <f>IF($C1940="","",IF($D1940="Gider",$H1940,$E1940))</f>
        <v/>
      </c>
      <c r="O1940" s="73" t="str">
        <f>IF($C1940="","",DATE(YEAR($C1940),MONTH($C1940),1))</f>
        <v/>
      </c>
      <c r="P1940" s="65" t="str">
        <f ca="1">IF($C1940="","",IF(AND($D1940="Gelir",$L1940&lt;&gt;"",$T1940=""),"TANIMSIZ BORÇLU",IF($T1940&lt;&gt;"",IF(OR($E1940="",$G1940&lt;=0),"EKSİK",IF($I1940="Evet","TAHAKKUK NAKİT OLAMAZ",IF($C1940&gt;TODAY(),"İLERİ TARİH","TAHAKKUK"))),IF(AND($D1940&lt;&gt;"",$E1940&lt;&gt;"",$G1940&gt;0,$H1940&lt;&gt;"",$I1940&lt;&gt;""),IF($C1940&gt;TODAY(),"İLERİ TARİH",IF(COUNTIF($W$7:$W$3001,$W1940)&gt;1,"MÜKERRER?",IF($AD1940&gt;0,"KAPALI DÖNEM",IF($I1940="Hayır","ÖDENECEK","UYGUN")))),"EKSİK"))))</f>
        <v/>
      </c>
      <c r="Q1940" s="2"/>
      <c r="R1940" s="2"/>
      <c r="S1940" s="1" t="str">
        <f t="shared" si="92"/>
        <v/>
      </c>
      <c r="T1940" s="1" t="str">
        <f>IF(OR($C1940="",$D1940&lt;&gt;"Gelir",$L1940=""),"",IFERROR(INDEX(MUSTERILER!$B$7:$B$156,MATCH($S1940,MUSTERILER!$T$7:$T$156,0)),""))</f>
        <v/>
      </c>
      <c r="U1940" s="1" t="str">
        <f>IF($T1940="","",$T1940&amp;"|"&amp;COUNTIFS($T$7:$T1940,$T1940))</f>
        <v/>
      </c>
      <c r="V1940" s="1">
        <f t="shared" si="93"/>
        <v>0</v>
      </c>
      <c r="W1940" s="1" t="str">
        <f t="shared" si="94"/>
        <v/>
      </c>
      <c r="X1940" s="1"/>
      <c r="Y1940" s="1"/>
      <c r="Z1940" s="1"/>
      <c r="AA1940" s="1"/>
      <c r="AB1940" s="1"/>
      <c r="AC1940" s="1"/>
      <c r="AD1940" s="1">
        <f>IF($C1940="",0,SUMPRODUCT((AY_SONU!$O$7:$O$42="Evet")*(AY_SONU!$B$7:$B$42=DATE(YEAR($C1940),MONTH($C1940),1))))</f>
        <v>0</v>
      </c>
      <c r="AE1940" s="1" t="str">
        <f>IF($E1940="","",$E1940&amp;"|"&amp;COUNTIFS($E$7:$E1940,$E1940))</f>
        <v/>
      </c>
    </row>
    <row r="1941" spans="1:31" ht="18" customHeight="1" x14ac:dyDescent="0.3">
      <c r="A1941" s="2"/>
      <c r="B1941" s="65" t="str">
        <f>IF($C1941="","","GG"&amp;TEXT(ROW()-6,"00000"))</f>
        <v/>
      </c>
      <c r="C1941" s="66"/>
      <c r="D1941" s="60"/>
      <c r="E1941" s="61"/>
      <c r="F1941" s="61"/>
      <c r="G1941" s="67"/>
      <c r="H1941" s="60"/>
      <c r="I1941" s="60"/>
      <c r="J1941" s="61"/>
      <c r="K1941" s="61"/>
      <c r="L1941" s="60"/>
      <c r="M1941" s="74" t="str">
        <f>IF($C1941="","",IF($D1941="Gider",$E1941,IF($L1941&lt;&gt;"",$L1941,$H1941)))</f>
        <v/>
      </c>
      <c r="N1941" s="74" t="str">
        <f>IF($C1941="","",IF($D1941="Gider",$H1941,$E1941))</f>
        <v/>
      </c>
      <c r="O1941" s="73" t="str">
        <f>IF($C1941="","",DATE(YEAR($C1941),MONTH($C1941),1))</f>
        <v/>
      </c>
      <c r="P1941" s="65" t="str">
        <f ca="1">IF($C1941="","",IF(AND($D1941="Gelir",$L1941&lt;&gt;"",$T1941=""),"TANIMSIZ BORÇLU",IF($T1941&lt;&gt;"",IF(OR($E1941="",$G1941&lt;=0),"EKSİK",IF($I1941="Evet","TAHAKKUK NAKİT OLAMAZ",IF($C1941&gt;TODAY(),"İLERİ TARİH","TAHAKKUK"))),IF(AND($D1941&lt;&gt;"",$E1941&lt;&gt;"",$G1941&gt;0,$H1941&lt;&gt;"",$I1941&lt;&gt;""),IF($C1941&gt;TODAY(),"İLERİ TARİH",IF(COUNTIF($W$7:$W$3001,$W1941)&gt;1,"MÜKERRER?",IF($AD1941&gt;0,"KAPALI DÖNEM",IF($I1941="Hayır","ÖDENECEK","UYGUN")))),"EKSİK"))))</f>
        <v/>
      </c>
      <c r="Q1941" s="2"/>
      <c r="R1941" s="2"/>
      <c r="S1941" s="1" t="str">
        <f t="shared" si="92"/>
        <v/>
      </c>
      <c r="T1941" s="1" t="str">
        <f>IF(OR($C1941="",$D1941&lt;&gt;"Gelir",$L1941=""),"",IFERROR(INDEX(MUSTERILER!$B$7:$B$156,MATCH($S1941,MUSTERILER!$T$7:$T$156,0)),""))</f>
        <v/>
      </c>
      <c r="U1941" s="1" t="str">
        <f>IF($T1941="","",$T1941&amp;"|"&amp;COUNTIFS($T$7:$T1941,$T1941))</f>
        <v/>
      </c>
      <c r="V1941" s="1">
        <f t="shared" si="93"/>
        <v>0</v>
      </c>
      <c r="W1941" s="1" t="str">
        <f t="shared" si="94"/>
        <v/>
      </c>
      <c r="X1941" s="1"/>
      <c r="Y1941" s="1"/>
      <c r="Z1941" s="1"/>
      <c r="AA1941" s="1"/>
      <c r="AB1941" s="1"/>
      <c r="AC1941" s="1"/>
      <c r="AD1941" s="1">
        <f>IF($C1941="",0,SUMPRODUCT((AY_SONU!$O$7:$O$42="Evet")*(AY_SONU!$B$7:$B$42=DATE(YEAR($C1941),MONTH($C1941),1))))</f>
        <v>0</v>
      </c>
      <c r="AE1941" s="1" t="str">
        <f>IF($E1941="","",$E1941&amp;"|"&amp;COUNTIFS($E$7:$E1941,$E1941))</f>
        <v/>
      </c>
    </row>
    <row r="1942" spans="1:31" ht="18" customHeight="1" x14ac:dyDescent="0.3">
      <c r="A1942" s="2"/>
      <c r="B1942" s="65" t="str">
        <f>IF($C1942="","","GG"&amp;TEXT(ROW()-6,"00000"))</f>
        <v/>
      </c>
      <c r="C1942" s="66"/>
      <c r="D1942" s="60"/>
      <c r="E1942" s="61"/>
      <c r="F1942" s="61"/>
      <c r="G1942" s="67"/>
      <c r="H1942" s="60"/>
      <c r="I1942" s="60"/>
      <c r="J1942" s="61"/>
      <c r="K1942" s="61"/>
      <c r="L1942" s="60"/>
      <c r="M1942" s="74" t="str">
        <f>IF($C1942="","",IF($D1942="Gider",$E1942,IF($L1942&lt;&gt;"",$L1942,$H1942)))</f>
        <v/>
      </c>
      <c r="N1942" s="74" t="str">
        <f>IF($C1942="","",IF($D1942="Gider",$H1942,$E1942))</f>
        <v/>
      </c>
      <c r="O1942" s="73" t="str">
        <f>IF($C1942="","",DATE(YEAR($C1942),MONTH($C1942),1))</f>
        <v/>
      </c>
      <c r="P1942" s="65" t="str">
        <f ca="1">IF($C1942="","",IF(AND($D1942="Gelir",$L1942&lt;&gt;"",$T1942=""),"TANIMSIZ BORÇLU",IF($T1942&lt;&gt;"",IF(OR($E1942="",$G1942&lt;=0),"EKSİK",IF($I1942="Evet","TAHAKKUK NAKİT OLAMAZ",IF($C1942&gt;TODAY(),"İLERİ TARİH","TAHAKKUK"))),IF(AND($D1942&lt;&gt;"",$E1942&lt;&gt;"",$G1942&gt;0,$H1942&lt;&gt;"",$I1942&lt;&gt;""),IF($C1942&gt;TODAY(),"İLERİ TARİH",IF(COUNTIF($W$7:$W$3001,$W1942)&gt;1,"MÜKERRER?",IF($AD1942&gt;0,"KAPALI DÖNEM",IF($I1942="Hayır","ÖDENECEK","UYGUN")))),"EKSİK"))))</f>
        <v/>
      </c>
      <c r="Q1942" s="2"/>
      <c r="R1942" s="2"/>
      <c r="S1942" s="1" t="str">
        <f t="shared" si="92"/>
        <v/>
      </c>
      <c r="T1942" s="1" t="str">
        <f>IF(OR($C1942="",$D1942&lt;&gt;"Gelir",$L1942=""),"",IFERROR(INDEX(MUSTERILER!$B$7:$B$156,MATCH($S1942,MUSTERILER!$T$7:$T$156,0)),""))</f>
        <v/>
      </c>
      <c r="U1942" s="1" t="str">
        <f>IF($T1942="","",$T1942&amp;"|"&amp;COUNTIFS($T$7:$T1942,$T1942))</f>
        <v/>
      </c>
      <c r="V1942" s="1">
        <f t="shared" si="93"/>
        <v>0</v>
      </c>
      <c r="W1942" s="1" t="str">
        <f t="shared" si="94"/>
        <v/>
      </c>
      <c r="X1942" s="1"/>
      <c r="Y1942" s="1"/>
      <c r="Z1942" s="1"/>
      <c r="AA1942" s="1"/>
      <c r="AB1942" s="1"/>
      <c r="AC1942" s="1"/>
      <c r="AD1942" s="1">
        <f>IF($C1942="",0,SUMPRODUCT((AY_SONU!$O$7:$O$42="Evet")*(AY_SONU!$B$7:$B$42=DATE(YEAR($C1942),MONTH($C1942),1))))</f>
        <v>0</v>
      </c>
      <c r="AE1942" s="1" t="str">
        <f>IF($E1942="","",$E1942&amp;"|"&amp;COUNTIFS($E$7:$E1942,$E1942))</f>
        <v/>
      </c>
    </row>
    <row r="1943" spans="1:31" ht="18" customHeight="1" x14ac:dyDescent="0.3">
      <c r="A1943" s="2"/>
      <c r="B1943" s="65" t="str">
        <f>IF($C1943="","","GG"&amp;TEXT(ROW()-6,"00000"))</f>
        <v/>
      </c>
      <c r="C1943" s="66"/>
      <c r="D1943" s="60"/>
      <c r="E1943" s="61"/>
      <c r="F1943" s="61"/>
      <c r="G1943" s="67"/>
      <c r="H1943" s="60"/>
      <c r="I1943" s="60"/>
      <c r="J1943" s="61"/>
      <c r="K1943" s="61"/>
      <c r="L1943" s="60"/>
      <c r="M1943" s="74" t="str">
        <f>IF($C1943="","",IF($D1943="Gider",$E1943,IF($L1943&lt;&gt;"",$L1943,$H1943)))</f>
        <v/>
      </c>
      <c r="N1943" s="74" t="str">
        <f>IF($C1943="","",IF($D1943="Gider",$H1943,$E1943))</f>
        <v/>
      </c>
      <c r="O1943" s="73" t="str">
        <f>IF($C1943="","",DATE(YEAR($C1943),MONTH($C1943),1))</f>
        <v/>
      </c>
      <c r="P1943" s="65" t="str">
        <f ca="1">IF($C1943="","",IF(AND($D1943="Gelir",$L1943&lt;&gt;"",$T1943=""),"TANIMSIZ BORÇLU",IF($T1943&lt;&gt;"",IF(OR($E1943="",$G1943&lt;=0),"EKSİK",IF($I1943="Evet","TAHAKKUK NAKİT OLAMAZ",IF($C1943&gt;TODAY(),"İLERİ TARİH","TAHAKKUK"))),IF(AND($D1943&lt;&gt;"",$E1943&lt;&gt;"",$G1943&gt;0,$H1943&lt;&gt;"",$I1943&lt;&gt;""),IF($C1943&gt;TODAY(),"İLERİ TARİH",IF(COUNTIF($W$7:$W$3001,$W1943)&gt;1,"MÜKERRER?",IF($AD1943&gt;0,"KAPALI DÖNEM",IF($I1943="Hayır","ÖDENECEK","UYGUN")))),"EKSİK"))))</f>
        <v/>
      </c>
      <c r="Q1943" s="2"/>
      <c r="R1943" s="2"/>
      <c r="S1943" s="1" t="str">
        <f t="shared" si="92"/>
        <v/>
      </c>
      <c r="T1943" s="1" t="str">
        <f>IF(OR($C1943="",$D1943&lt;&gt;"Gelir",$L1943=""),"",IFERROR(INDEX(MUSTERILER!$B$7:$B$156,MATCH($S1943,MUSTERILER!$T$7:$T$156,0)),""))</f>
        <v/>
      </c>
      <c r="U1943" s="1" t="str">
        <f>IF($T1943="","",$T1943&amp;"|"&amp;COUNTIFS($T$7:$T1943,$T1943))</f>
        <v/>
      </c>
      <c r="V1943" s="1">
        <f t="shared" si="93"/>
        <v>0</v>
      </c>
      <c r="W1943" s="1" t="str">
        <f t="shared" si="94"/>
        <v/>
      </c>
      <c r="X1943" s="1"/>
      <c r="Y1943" s="1"/>
      <c r="Z1943" s="1"/>
      <c r="AA1943" s="1"/>
      <c r="AB1943" s="1"/>
      <c r="AC1943" s="1"/>
      <c r="AD1943" s="1">
        <f>IF($C1943="",0,SUMPRODUCT((AY_SONU!$O$7:$O$42="Evet")*(AY_SONU!$B$7:$B$42=DATE(YEAR($C1943),MONTH($C1943),1))))</f>
        <v>0</v>
      </c>
      <c r="AE1943" s="1" t="str">
        <f>IF($E1943="","",$E1943&amp;"|"&amp;COUNTIFS($E$7:$E1943,$E1943))</f>
        <v/>
      </c>
    </row>
    <row r="1944" spans="1:31" ht="18" customHeight="1" x14ac:dyDescent="0.3">
      <c r="A1944" s="2"/>
      <c r="B1944" s="65" t="str">
        <f>IF($C1944="","","GG"&amp;TEXT(ROW()-6,"00000"))</f>
        <v/>
      </c>
      <c r="C1944" s="66"/>
      <c r="D1944" s="60"/>
      <c r="E1944" s="61"/>
      <c r="F1944" s="61"/>
      <c r="G1944" s="67"/>
      <c r="H1944" s="60"/>
      <c r="I1944" s="60"/>
      <c r="J1944" s="61"/>
      <c r="K1944" s="61"/>
      <c r="L1944" s="60"/>
      <c r="M1944" s="74" t="str">
        <f>IF($C1944="","",IF($D1944="Gider",$E1944,IF($L1944&lt;&gt;"",$L1944,$H1944)))</f>
        <v/>
      </c>
      <c r="N1944" s="74" t="str">
        <f>IF($C1944="","",IF($D1944="Gider",$H1944,$E1944))</f>
        <v/>
      </c>
      <c r="O1944" s="73" t="str">
        <f>IF($C1944="","",DATE(YEAR($C1944),MONTH($C1944),1))</f>
        <v/>
      </c>
      <c r="P1944" s="65" t="str">
        <f ca="1">IF($C1944="","",IF(AND($D1944="Gelir",$L1944&lt;&gt;"",$T1944=""),"TANIMSIZ BORÇLU",IF($T1944&lt;&gt;"",IF(OR($E1944="",$G1944&lt;=0),"EKSİK",IF($I1944="Evet","TAHAKKUK NAKİT OLAMAZ",IF($C1944&gt;TODAY(),"İLERİ TARİH","TAHAKKUK"))),IF(AND($D1944&lt;&gt;"",$E1944&lt;&gt;"",$G1944&gt;0,$H1944&lt;&gt;"",$I1944&lt;&gt;""),IF($C1944&gt;TODAY(),"İLERİ TARİH",IF(COUNTIF($W$7:$W$3001,$W1944)&gt;1,"MÜKERRER?",IF($AD1944&gt;0,"KAPALI DÖNEM",IF($I1944="Hayır","ÖDENECEK","UYGUN")))),"EKSİK"))))</f>
        <v/>
      </c>
      <c r="Q1944" s="2"/>
      <c r="R1944" s="2"/>
      <c r="S1944" s="1" t="str">
        <f t="shared" si="92"/>
        <v/>
      </c>
      <c r="T1944" s="1" t="str">
        <f>IF(OR($C1944="",$D1944&lt;&gt;"Gelir",$L1944=""),"",IFERROR(INDEX(MUSTERILER!$B$7:$B$156,MATCH($S1944,MUSTERILER!$T$7:$T$156,0)),""))</f>
        <v/>
      </c>
      <c r="U1944" s="1" t="str">
        <f>IF($T1944="","",$T1944&amp;"|"&amp;COUNTIFS($T$7:$T1944,$T1944))</f>
        <v/>
      </c>
      <c r="V1944" s="1">
        <f t="shared" si="93"/>
        <v>0</v>
      </c>
      <c r="W1944" s="1" t="str">
        <f t="shared" si="94"/>
        <v/>
      </c>
      <c r="X1944" s="1"/>
      <c r="Y1944" s="1"/>
      <c r="Z1944" s="1"/>
      <c r="AA1944" s="1"/>
      <c r="AB1944" s="1"/>
      <c r="AC1944" s="1"/>
      <c r="AD1944" s="1">
        <f>IF($C1944="",0,SUMPRODUCT((AY_SONU!$O$7:$O$42="Evet")*(AY_SONU!$B$7:$B$42=DATE(YEAR($C1944),MONTH($C1944),1))))</f>
        <v>0</v>
      </c>
      <c r="AE1944" s="1" t="str">
        <f>IF($E1944="","",$E1944&amp;"|"&amp;COUNTIFS($E$7:$E1944,$E1944))</f>
        <v/>
      </c>
    </row>
    <row r="1945" spans="1:31" ht="18" customHeight="1" x14ac:dyDescent="0.3">
      <c r="A1945" s="2"/>
      <c r="B1945" s="65" t="str">
        <f>IF($C1945="","","GG"&amp;TEXT(ROW()-6,"00000"))</f>
        <v/>
      </c>
      <c r="C1945" s="66"/>
      <c r="D1945" s="60"/>
      <c r="E1945" s="61"/>
      <c r="F1945" s="61"/>
      <c r="G1945" s="67"/>
      <c r="H1945" s="60"/>
      <c r="I1945" s="60"/>
      <c r="J1945" s="61"/>
      <c r="K1945" s="61"/>
      <c r="L1945" s="60"/>
      <c r="M1945" s="74" t="str">
        <f>IF($C1945="","",IF($D1945="Gider",$E1945,IF($L1945&lt;&gt;"",$L1945,$H1945)))</f>
        <v/>
      </c>
      <c r="N1945" s="74" t="str">
        <f>IF($C1945="","",IF($D1945="Gider",$H1945,$E1945))</f>
        <v/>
      </c>
      <c r="O1945" s="73" t="str">
        <f>IF($C1945="","",DATE(YEAR($C1945),MONTH($C1945),1))</f>
        <v/>
      </c>
      <c r="P1945" s="65" t="str">
        <f ca="1">IF($C1945="","",IF(AND($D1945="Gelir",$L1945&lt;&gt;"",$T1945=""),"TANIMSIZ BORÇLU",IF($T1945&lt;&gt;"",IF(OR($E1945="",$G1945&lt;=0),"EKSİK",IF($I1945="Evet","TAHAKKUK NAKİT OLAMAZ",IF($C1945&gt;TODAY(),"İLERİ TARİH","TAHAKKUK"))),IF(AND($D1945&lt;&gt;"",$E1945&lt;&gt;"",$G1945&gt;0,$H1945&lt;&gt;"",$I1945&lt;&gt;""),IF($C1945&gt;TODAY(),"İLERİ TARİH",IF(COUNTIF($W$7:$W$3001,$W1945)&gt;1,"MÜKERRER?",IF($AD1945&gt;0,"KAPALI DÖNEM",IF($I1945="Hayır","ÖDENECEK","UYGUN")))),"EKSİK"))))</f>
        <v/>
      </c>
      <c r="Q1945" s="2"/>
      <c r="R1945" s="2"/>
      <c r="S1945" s="1" t="str">
        <f t="shared" si="92"/>
        <v/>
      </c>
      <c r="T1945" s="1" t="str">
        <f>IF(OR($C1945="",$D1945&lt;&gt;"Gelir",$L1945=""),"",IFERROR(INDEX(MUSTERILER!$B$7:$B$156,MATCH($S1945,MUSTERILER!$T$7:$T$156,0)),""))</f>
        <v/>
      </c>
      <c r="U1945" s="1" t="str">
        <f>IF($T1945="","",$T1945&amp;"|"&amp;COUNTIFS($T$7:$T1945,$T1945))</f>
        <v/>
      </c>
      <c r="V1945" s="1">
        <f t="shared" si="93"/>
        <v>0</v>
      </c>
      <c r="W1945" s="1" t="str">
        <f t="shared" si="94"/>
        <v/>
      </c>
      <c r="X1945" s="1"/>
      <c r="Y1945" s="1"/>
      <c r="Z1945" s="1"/>
      <c r="AA1945" s="1"/>
      <c r="AB1945" s="1"/>
      <c r="AC1945" s="1"/>
      <c r="AD1945" s="1">
        <f>IF($C1945="",0,SUMPRODUCT((AY_SONU!$O$7:$O$42="Evet")*(AY_SONU!$B$7:$B$42=DATE(YEAR($C1945),MONTH($C1945),1))))</f>
        <v>0</v>
      </c>
      <c r="AE1945" s="1" t="str">
        <f>IF($E1945="","",$E1945&amp;"|"&amp;COUNTIFS($E$7:$E1945,$E1945))</f>
        <v/>
      </c>
    </row>
    <row r="1946" spans="1:31" ht="18" customHeight="1" x14ac:dyDescent="0.3">
      <c r="A1946" s="2"/>
      <c r="B1946" s="65" t="str">
        <f>IF($C1946="","","GG"&amp;TEXT(ROW()-6,"00000"))</f>
        <v/>
      </c>
      <c r="C1946" s="66"/>
      <c r="D1946" s="60"/>
      <c r="E1946" s="61"/>
      <c r="F1946" s="61"/>
      <c r="G1946" s="67"/>
      <c r="H1946" s="60"/>
      <c r="I1946" s="60"/>
      <c r="J1946" s="61"/>
      <c r="K1946" s="61"/>
      <c r="L1946" s="60"/>
      <c r="M1946" s="74" t="str">
        <f>IF($C1946="","",IF($D1946="Gider",$E1946,IF($L1946&lt;&gt;"",$L1946,$H1946)))</f>
        <v/>
      </c>
      <c r="N1946" s="74" t="str">
        <f>IF($C1946="","",IF($D1946="Gider",$H1946,$E1946))</f>
        <v/>
      </c>
      <c r="O1946" s="73" t="str">
        <f>IF($C1946="","",DATE(YEAR($C1946),MONTH($C1946),1))</f>
        <v/>
      </c>
      <c r="P1946" s="65" t="str">
        <f ca="1">IF($C1946="","",IF(AND($D1946="Gelir",$L1946&lt;&gt;"",$T1946=""),"TANIMSIZ BORÇLU",IF($T1946&lt;&gt;"",IF(OR($E1946="",$G1946&lt;=0),"EKSİK",IF($I1946="Evet","TAHAKKUK NAKİT OLAMAZ",IF($C1946&gt;TODAY(),"İLERİ TARİH","TAHAKKUK"))),IF(AND($D1946&lt;&gt;"",$E1946&lt;&gt;"",$G1946&gt;0,$H1946&lt;&gt;"",$I1946&lt;&gt;""),IF($C1946&gt;TODAY(),"İLERİ TARİH",IF(COUNTIF($W$7:$W$3001,$W1946)&gt;1,"MÜKERRER?",IF($AD1946&gt;0,"KAPALI DÖNEM",IF($I1946="Hayır","ÖDENECEK","UYGUN")))),"EKSİK"))))</f>
        <v/>
      </c>
      <c r="Q1946" s="2"/>
      <c r="R1946" s="2"/>
      <c r="S1946" s="1" t="str">
        <f t="shared" si="92"/>
        <v/>
      </c>
      <c r="T1946" s="1" t="str">
        <f>IF(OR($C1946="",$D1946&lt;&gt;"Gelir",$L1946=""),"",IFERROR(INDEX(MUSTERILER!$B$7:$B$156,MATCH($S1946,MUSTERILER!$T$7:$T$156,0)),""))</f>
        <v/>
      </c>
      <c r="U1946" s="1" t="str">
        <f>IF($T1946="","",$T1946&amp;"|"&amp;COUNTIFS($T$7:$T1946,$T1946))</f>
        <v/>
      </c>
      <c r="V1946" s="1">
        <f t="shared" si="93"/>
        <v>0</v>
      </c>
      <c r="W1946" s="1" t="str">
        <f t="shared" si="94"/>
        <v/>
      </c>
      <c r="X1946" s="1"/>
      <c r="Y1946" s="1"/>
      <c r="Z1946" s="1"/>
      <c r="AA1946" s="1"/>
      <c r="AB1946" s="1"/>
      <c r="AC1946" s="1"/>
      <c r="AD1946" s="1">
        <f>IF($C1946="",0,SUMPRODUCT((AY_SONU!$O$7:$O$42="Evet")*(AY_SONU!$B$7:$B$42=DATE(YEAR($C1946),MONTH($C1946),1))))</f>
        <v>0</v>
      </c>
      <c r="AE1946" s="1" t="str">
        <f>IF($E1946="","",$E1946&amp;"|"&amp;COUNTIFS($E$7:$E1946,$E1946))</f>
        <v/>
      </c>
    </row>
    <row r="1947" spans="1:31" ht="18" customHeight="1" x14ac:dyDescent="0.3">
      <c r="A1947" s="2"/>
      <c r="B1947" s="65" t="str">
        <f>IF($C1947="","","GG"&amp;TEXT(ROW()-6,"00000"))</f>
        <v/>
      </c>
      <c r="C1947" s="66"/>
      <c r="D1947" s="60"/>
      <c r="E1947" s="61"/>
      <c r="F1947" s="61"/>
      <c r="G1947" s="67"/>
      <c r="H1947" s="60"/>
      <c r="I1947" s="60"/>
      <c r="J1947" s="61"/>
      <c r="K1947" s="61"/>
      <c r="L1947" s="60"/>
      <c r="M1947" s="74" t="str">
        <f>IF($C1947="","",IF($D1947="Gider",$E1947,IF($L1947&lt;&gt;"",$L1947,$H1947)))</f>
        <v/>
      </c>
      <c r="N1947" s="74" t="str">
        <f>IF($C1947="","",IF($D1947="Gider",$H1947,$E1947))</f>
        <v/>
      </c>
      <c r="O1947" s="73" t="str">
        <f>IF($C1947="","",DATE(YEAR($C1947),MONTH($C1947),1))</f>
        <v/>
      </c>
      <c r="P1947" s="65" t="str">
        <f ca="1">IF($C1947="","",IF(AND($D1947="Gelir",$L1947&lt;&gt;"",$T1947=""),"TANIMSIZ BORÇLU",IF($T1947&lt;&gt;"",IF(OR($E1947="",$G1947&lt;=0),"EKSİK",IF($I1947="Evet","TAHAKKUK NAKİT OLAMAZ",IF($C1947&gt;TODAY(),"İLERİ TARİH","TAHAKKUK"))),IF(AND($D1947&lt;&gt;"",$E1947&lt;&gt;"",$G1947&gt;0,$H1947&lt;&gt;"",$I1947&lt;&gt;""),IF($C1947&gt;TODAY(),"İLERİ TARİH",IF(COUNTIF($W$7:$W$3001,$W1947)&gt;1,"MÜKERRER?",IF($AD1947&gt;0,"KAPALI DÖNEM",IF($I1947="Hayır","ÖDENECEK","UYGUN")))),"EKSİK"))))</f>
        <v/>
      </c>
      <c r="Q1947" s="2"/>
      <c r="R1947" s="2"/>
      <c r="S1947" s="1" t="str">
        <f t="shared" si="92"/>
        <v/>
      </c>
      <c r="T1947" s="1" t="str">
        <f>IF(OR($C1947="",$D1947&lt;&gt;"Gelir",$L1947=""),"",IFERROR(INDEX(MUSTERILER!$B$7:$B$156,MATCH($S1947,MUSTERILER!$T$7:$T$156,0)),""))</f>
        <v/>
      </c>
      <c r="U1947" s="1" t="str">
        <f>IF($T1947="","",$T1947&amp;"|"&amp;COUNTIFS($T$7:$T1947,$T1947))</f>
        <v/>
      </c>
      <c r="V1947" s="1">
        <f t="shared" si="93"/>
        <v>0</v>
      </c>
      <c r="W1947" s="1" t="str">
        <f t="shared" si="94"/>
        <v/>
      </c>
      <c r="X1947" s="1"/>
      <c r="Y1947" s="1"/>
      <c r="Z1947" s="1"/>
      <c r="AA1947" s="1"/>
      <c r="AB1947" s="1"/>
      <c r="AC1947" s="1"/>
      <c r="AD1947" s="1">
        <f>IF($C1947="",0,SUMPRODUCT((AY_SONU!$O$7:$O$42="Evet")*(AY_SONU!$B$7:$B$42=DATE(YEAR($C1947),MONTH($C1947),1))))</f>
        <v>0</v>
      </c>
      <c r="AE1947" s="1" t="str">
        <f>IF($E1947="","",$E1947&amp;"|"&amp;COUNTIFS($E$7:$E1947,$E1947))</f>
        <v/>
      </c>
    </row>
    <row r="1948" spans="1:31" ht="18" customHeight="1" x14ac:dyDescent="0.3">
      <c r="A1948" s="2"/>
      <c r="B1948" s="65" t="str">
        <f>IF($C1948="","","GG"&amp;TEXT(ROW()-6,"00000"))</f>
        <v/>
      </c>
      <c r="C1948" s="66"/>
      <c r="D1948" s="60"/>
      <c r="E1948" s="61"/>
      <c r="F1948" s="61"/>
      <c r="G1948" s="67"/>
      <c r="H1948" s="60"/>
      <c r="I1948" s="60"/>
      <c r="J1948" s="61"/>
      <c r="K1948" s="61"/>
      <c r="L1948" s="60"/>
      <c r="M1948" s="74" t="str">
        <f>IF($C1948="","",IF($D1948="Gider",$E1948,IF($L1948&lt;&gt;"",$L1948,$H1948)))</f>
        <v/>
      </c>
      <c r="N1948" s="74" t="str">
        <f>IF($C1948="","",IF($D1948="Gider",$H1948,$E1948))</f>
        <v/>
      </c>
      <c r="O1948" s="73" t="str">
        <f>IF($C1948="","",DATE(YEAR($C1948),MONTH($C1948),1))</f>
        <v/>
      </c>
      <c r="P1948" s="65" t="str">
        <f ca="1">IF($C1948="","",IF(AND($D1948="Gelir",$L1948&lt;&gt;"",$T1948=""),"TANIMSIZ BORÇLU",IF($T1948&lt;&gt;"",IF(OR($E1948="",$G1948&lt;=0),"EKSİK",IF($I1948="Evet","TAHAKKUK NAKİT OLAMAZ",IF($C1948&gt;TODAY(),"İLERİ TARİH","TAHAKKUK"))),IF(AND($D1948&lt;&gt;"",$E1948&lt;&gt;"",$G1948&gt;0,$H1948&lt;&gt;"",$I1948&lt;&gt;""),IF($C1948&gt;TODAY(),"İLERİ TARİH",IF(COUNTIF($W$7:$W$3001,$W1948)&gt;1,"MÜKERRER?",IF($AD1948&gt;0,"KAPALI DÖNEM",IF($I1948="Hayır","ÖDENECEK","UYGUN")))),"EKSİK"))))</f>
        <v/>
      </c>
      <c r="Q1948" s="2"/>
      <c r="R1948" s="2"/>
      <c r="S1948" s="1" t="str">
        <f t="shared" si="92"/>
        <v/>
      </c>
      <c r="T1948" s="1" t="str">
        <f>IF(OR($C1948="",$D1948&lt;&gt;"Gelir",$L1948=""),"",IFERROR(INDEX(MUSTERILER!$B$7:$B$156,MATCH($S1948,MUSTERILER!$T$7:$T$156,0)),""))</f>
        <v/>
      </c>
      <c r="U1948" s="1" t="str">
        <f>IF($T1948="","",$T1948&amp;"|"&amp;COUNTIFS($T$7:$T1948,$T1948))</f>
        <v/>
      </c>
      <c r="V1948" s="1">
        <f t="shared" si="93"/>
        <v>0</v>
      </c>
      <c r="W1948" s="1" t="str">
        <f t="shared" si="94"/>
        <v/>
      </c>
      <c r="X1948" s="1"/>
      <c r="Y1948" s="1"/>
      <c r="Z1948" s="1"/>
      <c r="AA1948" s="1"/>
      <c r="AB1948" s="1"/>
      <c r="AC1948" s="1"/>
      <c r="AD1948" s="1">
        <f>IF($C1948="",0,SUMPRODUCT((AY_SONU!$O$7:$O$42="Evet")*(AY_SONU!$B$7:$B$42=DATE(YEAR($C1948),MONTH($C1948),1))))</f>
        <v>0</v>
      </c>
      <c r="AE1948" s="1" t="str">
        <f>IF($E1948="","",$E1948&amp;"|"&amp;COUNTIFS($E$7:$E1948,$E1948))</f>
        <v/>
      </c>
    </row>
    <row r="1949" spans="1:31" ht="18" customHeight="1" x14ac:dyDescent="0.3">
      <c r="A1949" s="2"/>
      <c r="B1949" s="65" t="str">
        <f>IF($C1949="","","GG"&amp;TEXT(ROW()-6,"00000"))</f>
        <v/>
      </c>
      <c r="C1949" s="66"/>
      <c r="D1949" s="60"/>
      <c r="E1949" s="61"/>
      <c r="F1949" s="61"/>
      <c r="G1949" s="67"/>
      <c r="H1949" s="60"/>
      <c r="I1949" s="60"/>
      <c r="J1949" s="61"/>
      <c r="K1949" s="61"/>
      <c r="L1949" s="60"/>
      <c r="M1949" s="74" t="str">
        <f>IF($C1949="","",IF($D1949="Gider",$E1949,IF($L1949&lt;&gt;"",$L1949,$H1949)))</f>
        <v/>
      </c>
      <c r="N1949" s="74" t="str">
        <f>IF($C1949="","",IF($D1949="Gider",$H1949,$E1949))</f>
        <v/>
      </c>
      <c r="O1949" s="73" t="str">
        <f>IF($C1949="","",DATE(YEAR($C1949),MONTH($C1949),1))</f>
        <v/>
      </c>
      <c r="P1949" s="65" t="str">
        <f ca="1">IF($C1949="","",IF(AND($D1949="Gelir",$L1949&lt;&gt;"",$T1949=""),"TANIMSIZ BORÇLU",IF($T1949&lt;&gt;"",IF(OR($E1949="",$G1949&lt;=0),"EKSİK",IF($I1949="Evet","TAHAKKUK NAKİT OLAMAZ",IF($C1949&gt;TODAY(),"İLERİ TARİH","TAHAKKUK"))),IF(AND($D1949&lt;&gt;"",$E1949&lt;&gt;"",$G1949&gt;0,$H1949&lt;&gt;"",$I1949&lt;&gt;""),IF($C1949&gt;TODAY(),"İLERİ TARİH",IF(COUNTIF($W$7:$W$3001,$W1949)&gt;1,"MÜKERRER?",IF($AD1949&gt;0,"KAPALI DÖNEM",IF($I1949="Hayır","ÖDENECEK","UYGUN")))),"EKSİK"))))</f>
        <v/>
      </c>
      <c r="Q1949" s="2"/>
      <c r="R1949" s="2"/>
      <c r="S1949" s="1" t="str">
        <f t="shared" si="92"/>
        <v/>
      </c>
      <c r="T1949" s="1" t="str">
        <f>IF(OR($C1949="",$D1949&lt;&gt;"Gelir",$L1949=""),"",IFERROR(INDEX(MUSTERILER!$B$7:$B$156,MATCH($S1949,MUSTERILER!$T$7:$T$156,0)),""))</f>
        <v/>
      </c>
      <c r="U1949" s="1" t="str">
        <f>IF($T1949="","",$T1949&amp;"|"&amp;COUNTIFS($T$7:$T1949,$T1949))</f>
        <v/>
      </c>
      <c r="V1949" s="1">
        <f t="shared" si="93"/>
        <v>0</v>
      </c>
      <c r="W1949" s="1" t="str">
        <f t="shared" si="94"/>
        <v/>
      </c>
      <c r="X1949" s="1"/>
      <c r="Y1949" s="1"/>
      <c r="Z1949" s="1"/>
      <c r="AA1949" s="1"/>
      <c r="AB1949" s="1"/>
      <c r="AC1949" s="1"/>
      <c r="AD1949" s="1">
        <f>IF($C1949="",0,SUMPRODUCT((AY_SONU!$O$7:$O$42="Evet")*(AY_SONU!$B$7:$B$42=DATE(YEAR($C1949),MONTH($C1949),1))))</f>
        <v>0</v>
      </c>
      <c r="AE1949" s="1" t="str">
        <f>IF($E1949="","",$E1949&amp;"|"&amp;COUNTIFS($E$7:$E1949,$E1949))</f>
        <v/>
      </c>
    </row>
    <row r="1950" spans="1:31" ht="18" customHeight="1" x14ac:dyDescent="0.3">
      <c r="A1950" s="2"/>
      <c r="B1950" s="65" t="str">
        <f>IF($C1950="","","GG"&amp;TEXT(ROW()-6,"00000"))</f>
        <v/>
      </c>
      <c r="C1950" s="66"/>
      <c r="D1950" s="60"/>
      <c r="E1950" s="61"/>
      <c r="F1950" s="61"/>
      <c r="G1950" s="67"/>
      <c r="H1950" s="60"/>
      <c r="I1950" s="60"/>
      <c r="J1950" s="61"/>
      <c r="K1950" s="61"/>
      <c r="L1950" s="60"/>
      <c r="M1950" s="74" t="str">
        <f>IF($C1950="","",IF($D1950="Gider",$E1950,IF($L1950&lt;&gt;"",$L1950,$H1950)))</f>
        <v/>
      </c>
      <c r="N1950" s="74" t="str">
        <f>IF($C1950="","",IF($D1950="Gider",$H1950,$E1950))</f>
        <v/>
      </c>
      <c r="O1950" s="73" t="str">
        <f>IF($C1950="","",DATE(YEAR($C1950),MONTH($C1950),1))</f>
        <v/>
      </c>
      <c r="P1950" s="65" t="str">
        <f ca="1">IF($C1950="","",IF(AND($D1950="Gelir",$L1950&lt;&gt;"",$T1950=""),"TANIMSIZ BORÇLU",IF($T1950&lt;&gt;"",IF(OR($E1950="",$G1950&lt;=0),"EKSİK",IF($I1950="Evet","TAHAKKUK NAKİT OLAMAZ",IF($C1950&gt;TODAY(),"İLERİ TARİH","TAHAKKUK"))),IF(AND($D1950&lt;&gt;"",$E1950&lt;&gt;"",$G1950&gt;0,$H1950&lt;&gt;"",$I1950&lt;&gt;""),IF($C1950&gt;TODAY(),"İLERİ TARİH",IF(COUNTIF($W$7:$W$3001,$W1950)&gt;1,"MÜKERRER?",IF($AD1950&gt;0,"KAPALI DÖNEM",IF($I1950="Hayır","ÖDENECEK","UYGUN")))),"EKSİK"))))</f>
        <v/>
      </c>
      <c r="Q1950" s="2"/>
      <c r="R1950" s="2"/>
      <c r="S1950" s="1" t="str">
        <f t="shared" si="92"/>
        <v/>
      </c>
      <c r="T1950" s="1" t="str">
        <f>IF(OR($C1950="",$D1950&lt;&gt;"Gelir",$L1950=""),"",IFERROR(INDEX(MUSTERILER!$B$7:$B$156,MATCH($S1950,MUSTERILER!$T$7:$T$156,0)),""))</f>
        <v/>
      </c>
      <c r="U1950" s="1" t="str">
        <f>IF($T1950="","",$T1950&amp;"|"&amp;COUNTIFS($T$7:$T1950,$T1950))</f>
        <v/>
      </c>
      <c r="V1950" s="1">
        <f t="shared" si="93"/>
        <v>0</v>
      </c>
      <c r="W1950" s="1" t="str">
        <f t="shared" si="94"/>
        <v/>
      </c>
      <c r="X1950" s="1"/>
      <c r="Y1950" s="1"/>
      <c r="Z1950" s="1"/>
      <c r="AA1950" s="1"/>
      <c r="AB1950" s="1"/>
      <c r="AC1950" s="1"/>
      <c r="AD1950" s="1">
        <f>IF($C1950="",0,SUMPRODUCT((AY_SONU!$O$7:$O$42="Evet")*(AY_SONU!$B$7:$B$42=DATE(YEAR($C1950),MONTH($C1950),1))))</f>
        <v>0</v>
      </c>
      <c r="AE1950" s="1" t="str">
        <f>IF($E1950="","",$E1950&amp;"|"&amp;COUNTIFS($E$7:$E1950,$E1950))</f>
        <v/>
      </c>
    </row>
    <row r="1951" spans="1:31" ht="18" customHeight="1" x14ac:dyDescent="0.3">
      <c r="A1951" s="2"/>
      <c r="B1951" s="65" t="str">
        <f>IF($C1951="","","GG"&amp;TEXT(ROW()-6,"00000"))</f>
        <v/>
      </c>
      <c r="C1951" s="66"/>
      <c r="D1951" s="60"/>
      <c r="E1951" s="61"/>
      <c r="F1951" s="61"/>
      <c r="G1951" s="67"/>
      <c r="H1951" s="60"/>
      <c r="I1951" s="60"/>
      <c r="J1951" s="61"/>
      <c r="K1951" s="61"/>
      <c r="L1951" s="60"/>
      <c r="M1951" s="74" t="str">
        <f>IF($C1951="","",IF($D1951="Gider",$E1951,IF($L1951&lt;&gt;"",$L1951,$H1951)))</f>
        <v/>
      </c>
      <c r="N1951" s="74" t="str">
        <f>IF($C1951="","",IF($D1951="Gider",$H1951,$E1951))</f>
        <v/>
      </c>
      <c r="O1951" s="73" t="str">
        <f>IF($C1951="","",DATE(YEAR($C1951),MONTH($C1951),1))</f>
        <v/>
      </c>
      <c r="P1951" s="65" t="str">
        <f ca="1">IF($C1951="","",IF(AND($D1951="Gelir",$L1951&lt;&gt;"",$T1951=""),"TANIMSIZ BORÇLU",IF($T1951&lt;&gt;"",IF(OR($E1951="",$G1951&lt;=0),"EKSİK",IF($I1951="Evet","TAHAKKUK NAKİT OLAMAZ",IF($C1951&gt;TODAY(),"İLERİ TARİH","TAHAKKUK"))),IF(AND($D1951&lt;&gt;"",$E1951&lt;&gt;"",$G1951&gt;0,$H1951&lt;&gt;"",$I1951&lt;&gt;""),IF($C1951&gt;TODAY(),"İLERİ TARİH",IF(COUNTIF($W$7:$W$3001,$W1951)&gt;1,"MÜKERRER?",IF($AD1951&gt;0,"KAPALI DÖNEM",IF($I1951="Hayır","ÖDENECEK","UYGUN")))),"EKSİK"))))</f>
        <v/>
      </c>
      <c r="Q1951" s="2"/>
      <c r="R1951" s="2"/>
      <c r="S1951" s="1" t="str">
        <f t="shared" si="92"/>
        <v/>
      </c>
      <c r="T1951" s="1" t="str">
        <f>IF(OR($C1951="",$D1951&lt;&gt;"Gelir",$L1951=""),"",IFERROR(INDEX(MUSTERILER!$B$7:$B$156,MATCH($S1951,MUSTERILER!$T$7:$T$156,0)),""))</f>
        <v/>
      </c>
      <c r="U1951" s="1" t="str">
        <f>IF($T1951="","",$T1951&amp;"|"&amp;COUNTIFS($T$7:$T1951,$T1951))</f>
        <v/>
      </c>
      <c r="V1951" s="1">
        <f t="shared" si="93"/>
        <v>0</v>
      </c>
      <c r="W1951" s="1" t="str">
        <f t="shared" si="94"/>
        <v/>
      </c>
      <c r="X1951" s="1"/>
      <c r="Y1951" s="1"/>
      <c r="Z1951" s="1"/>
      <c r="AA1951" s="1"/>
      <c r="AB1951" s="1"/>
      <c r="AC1951" s="1"/>
      <c r="AD1951" s="1">
        <f>IF($C1951="",0,SUMPRODUCT((AY_SONU!$O$7:$O$42="Evet")*(AY_SONU!$B$7:$B$42=DATE(YEAR($C1951),MONTH($C1951),1))))</f>
        <v>0</v>
      </c>
      <c r="AE1951" s="1" t="str">
        <f>IF($E1951="","",$E1951&amp;"|"&amp;COUNTIFS($E$7:$E1951,$E1951))</f>
        <v/>
      </c>
    </row>
    <row r="1952" spans="1:31" ht="18" customHeight="1" x14ac:dyDescent="0.3">
      <c r="A1952" s="2"/>
      <c r="B1952" s="65" t="str">
        <f>IF($C1952="","","GG"&amp;TEXT(ROW()-6,"00000"))</f>
        <v/>
      </c>
      <c r="C1952" s="66"/>
      <c r="D1952" s="60"/>
      <c r="E1952" s="61"/>
      <c r="F1952" s="61"/>
      <c r="G1952" s="67"/>
      <c r="H1952" s="60"/>
      <c r="I1952" s="60"/>
      <c r="J1952" s="61"/>
      <c r="K1952" s="61"/>
      <c r="L1952" s="60"/>
      <c r="M1952" s="74" t="str">
        <f>IF($C1952="","",IF($D1952="Gider",$E1952,IF($L1952&lt;&gt;"",$L1952,$H1952)))</f>
        <v/>
      </c>
      <c r="N1952" s="74" t="str">
        <f>IF($C1952="","",IF($D1952="Gider",$H1952,$E1952))</f>
        <v/>
      </c>
      <c r="O1952" s="73" t="str">
        <f>IF($C1952="","",DATE(YEAR($C1952),MONTH($C1952),1))</f>
        <v/>
      </c>
      <c r="P1952" s="65" t="str">
        <f ca="1">IF($C1952="","",IF(AND($D1952="Gelir",$L1952&lt;&gt;"",$T1952=""),"TANIMSIZ BORÇLU",IF($T1952&lt;&gt;"",IF(OR($E1952="",$G1952&lt;=0),"EKSİK",IF($I1952="Evet","TAHAKKUK NAKİT OLAMAZ",IF($C1952&gt;TODAY(),"İLERİ TARİH","TAHAKKUK"))),IF(AND($D1952&lt;&gt;"",$E1952&lt;&gt;"",$G1952&gt;0,$H1952&lt;&gt;"",$I1952&lt;&gt;""),IF($C1952&gt;TODAY(),"İLERİ TARİH",IF(COUNTIF($W$7:$W$3001,$W1952)&gt;1,"MÜKERRER?",IF($AD1952&gt;0,"KAPALI DÖNEM",IF($I1952="Hayır","ÖDENECEK","UYGUN")))),"EKSİK"))))</f>
        <v/>
      </c>
      <c r="Q1952" s="2"/>
      <c r="R1952" s="2"/>
      <c r="S1952" s="1" t="str">
        <f t="shared" si="92"/>
        <v/>
      </c>
      <c r="T1952" s="1" t="str">
        <f>IF(OR($C1952="",$D1952&lt;&gt;"Gelir",$L1952=""),"",IFERROR(INDEX(MUSTERILER!$B$7:$B$156,MATCH($S1952,MUSTERILER!$T$7:$T$156,0)),""))</f>
        <v/>
      </c>
      <c r="U1952" s="1" t="str">
        <f>IF($T1952="","",$T1952&amp;"|"&amp;COUNTIFS($T$7:$T1952,$T1952))</f>
        <v/>
      </c>
      <c r="V1952" s="1">
        <f t="shared" si="93"/>
        <v>0</v>
      </c>
      <c r="W1952" s="1" t="str">
        <f t="shared" si="94"/>
        <v/>
      </c>
      <c r="X1952" s="1"/>
      <c r="Y1952" s="1"/>
      <c r="Z1952" s="1"/>
      <c r="AA1952" s="1"/>
      <c r="AB1952" s="1"/>
      <c r="AC1952" s="1"/>
      <c r="AD1952" s="1">
        <f>IF($C1952="",0,SUMPRODUCT((AY_SONU!$O$7:$O$42="Evet")*(AY_SONU!$B$7:$B$42=DATE(YEAR($C1952),MONTH($C1952),1))))</f>
        <v>0</v>
      </c>
      <c r="AE1952" s="1" t="str">
        <f>IF($E1952="","",$E1952&amp;"|"&amp;COUNTIFS($E$7:$E1952,$E1952))</f>
        <v/>
      </c>
    </row>
    <row r="1953" spans="1:31" ht="18" customHeight="1" x14ac:dyDescent="0.3">
      <c r="A1953" s="2"/>
      <c r="B1953" s="65" t="str">
        <f>IF($C1953="","","GG"&amp;TEXT(ROW()-6,"00000"))</f>
        <v/>
      </c>
      <c r="C1953" s="66"/>
      <c r="D1953" s="60"/>
      <c r="E1953" s="61"/>
      <c r="F1953" s="61"/>
      <c r="G1953" s="67"/>
      <c r="H1953" s="60"/>
      <c r="I1953" s="60"/>
      <c r="J1953" s="61"/>
      <c r="K1953" s="61"/>
      <c r="L1953" s="60"/>
      <c r="M1953" s="74" t="str">
        <f>IF($C1953="","",IF($D1953="Gider",$E1953,IF($L1953&lt;&gt;"",$L1953,$H1953)))</f>
        <v/>
      </c>
      <c r="N1953" s="74" t="str">
        <f>IF($C1953="","",IF($D1953="Gider",$H1953,$E1953))</f>
        <v/>
      </c>
      <c r="O1953" s="73" t="str">
        <f>IF($C1953="","",DATE(YEAR($C1953),MONTH($C1953),1))</f>
        <v/>
      </c>
      <c r="P1953" s="65" t="str">
        <f ca="1">IF($C1953="","",IF(AND($D1953="Gelir",$L1953&lt;&gt;"",$T1953=""),"TANIMSIZ BORÇLU",IF($T1953&lt;&gt;"",IF(OR($E1953="",$G1953&lt;=0),"EKSİK",IF($I1953="Evet","TAHAKKUK NAKİT OLAMAZ",IF($C1953&gt;TODAY(),"İLERİ TARİH","TAHAKKUK"))),IF(AND($D1953&lt;&gt;"",$E1953&lt;&gt;"",$G1953&gt;0,$H1953&lt;&gt;"",$I1953&lt;&gt;""),IF($C1953&gt;TODAY(),"İLERİ TARİH",IF(COUNTIF($W$7:$W$3001,$W1953)&gt;1,"MÜKERRER?",IF($AD1953&gt;0,"KAPALI DÖNEM",IF($I1953="Hayır","ÖDENECEK","UYGUN")))),"EKSİK"))))</f>
        <v/>
      </c>
      <c r="Q1953" s="2"/>
      <c r="R1953" s="2"/>
      <c r="S1953" s="1" t="str">
        <f t="shared" si="92"/>
        <v/>
      </c>
      <c r="T1953" s="1" t="str">
        <f>IF(OR($C1953="",$D1953&lt;&gt;"Gelir",$L1953=""),"",IFERROR(INDEX(MUSTERILER!$B$7:$B$156,MATCH($S1953,MUSTERILER!$T$7:$T$156,0)),""))</f>
        <v/>
      </c>
      <c r="U1953" s="1" t="str">
        <f>IF($T1953="","",$T1953&amp;"|"&amp;COUNTIFS($T$7:$T1953,$T1953))</f>
        <v/>
      </c>
      <c r="V1953" s="1">
        <f t="shared" si="93"/>
        <v>0</v>
      </c>
      <c r="W1953" s="1" t="str">
        <f t="shared" si="94"/>
        <v/>
      </c>
      <c r="X1953" s="1"/>
      <c r="Y1953" s="1"/>
      <c r="Z1953" s="1"/>
      <c r="AA1953" s="1"/>
      <c r="AB1953" s="1"/>
      <c r="AC1953" s="1"/>
      <c r="AD1953" s="1">
        <f>IF($C1953="",0,SUMPRODUCT((AY_SONU!$O$7:$O$42="Evet")*(AY_SONU!$B$7:$B$42=DATE(YEAR($C1953),MONTH($C1953),1))))</f>
        <v>0</v>
      </c>
      <c r="AE1953" s="1" t="str">
        <f>IF($E1953="","",$E1953&amp;"|"&amp;COUNTIFS($E$7:$E1953,$E1953))</f>
        <v/>
      </c>
    </row>
    <row r="1954" spans="1:31" ht="18" customHeight="1" x14ac:dyDescent="0.3">
      <c r="A1954" s="2"/>
      <c r="B1954" s="65" t="str">
        <f>IF($C1954="","","GG"&amp;TEXT(ROW()-6,"00000"))</f>
        <v/>
      </c>
      <c r="C1954" s="66"/>
      <c r="D1954" s="60"/>
      <c r="E1954" s="61"/>
      <c r="F1954" s="61"/>
      <c r="G1954" s="67"/>
      <c r="H1954" s="60"/>
      <c r="I1954" s="60"/>
      <c r="J1954" s="61"/>
      <c r="K1954" s="61"/>
      <c r="L1954" s="60"/>
      <c r="M1954" s="74" t="str">
        <f>IF($C1954="","",IF($D1954="Gider",$E1954,IF($L1954&lt;&gt;"",$L1954,$H1954)))</f>
        <v/>
      </c>
      <c r="N1954" s="74" t="str">
        <f>IF($C1954="","",IF($D1954="Gider",$H1954,$E1954))</f>
        <v/>
      </c>
      <c r="O1954" s="73" t="str">
        <f>IF($C1954="","",DATE(YEAR($C1954),MONTH($C1954),1))</f>
        <v/>
      </c>
      <c r="P1954" s="65" t="str">
        <f ca="1">IF($C1954="","",IF(AND($D1954="Gelir",$L1954&lt;&gt;"",$T1954=""),"TANIMSIZ BORÇLU",IF($T1954&lt;&gt;"",IF(OR($E1954="",$G1954&lt;=0),"EKSİK",IF($I1954="Evet","TAHAKKUK NAKİT OLAMAZ",IF($C1954&gt;TODAY(),"İLERİ TARİH","TAHAKKUK"))),IF(AND($D1954&lt;&gt;"",$E1954&lt;&gt;"",$G1954&gt;0,$H1954&lt;&gt;"",$I1954&lt;&gt;""),IF($C1954&gt;TODAY(),"İLERİ TARİH",IF(COUNTIF($W$7:$W$3001,$W1954)&gt;1,"MÜKERRER?",IF($AD1954&gt;0,"KAPALI DÖNEM",IF($I1954="Hayır","ÖDENECEK","UYGUN")))),"EKSİK"))))</f>
        <v/>
      </c>
      <c r="Q1954" s="2"/>
      <c r="R1954" s="2"/>
      <c r="S1954" s="1" t="str">
        <f t="shared" si="92"/>
        <v/>
      </c>
      <c r="T1954" s="1" t="str">
        <f>IF(OR($C1954="",$D1954&lt;&gt;"Gelir",$L1954=""),"",IFERROR(INDEX(MUSTERILER!$B$7:$B$156,MATCH($S1954,MUSTERILER!$T$7:$T$156,0)),""))</f>
        <v/>
      </c>
      <c r="U1954" s="1" t="str">
        <f>IF($T1954="","",$T1954&amp;"|"&amp;COUNTIFS($T$7:$T1954,$T1954))</f>
        <v/>
      </c>
      <c r="V1954" s="1">
        <f t="shared" si="93"/>
        <v>0</v>
      </c>
      <c r="W1954" s="1" t="str">
        <f t="shared" si="94"/>
        <v/>
      </c>
      <c r="X1954" s="1"/>
      <c r="Y1954" s="1"/>
      <c r="Z1954" s="1"/>
      <c r="AA1954" s="1"/>
      <c r="AB1954" s="1"/>
      <c r="AC1954" s="1"/>
      <c r="AD1954" s="1">
        <f>IF($C1954="",0,SUMPRODUCT((AY_SONU!$O$7:$O$42="Evet")*(AY_SONU!$B$7:$B$42=DATE(YEAR($C1954),MONTH($C1954),1))))</f>
        <v>0</v>
      </c>
      <c r="AE1954" s="1" t="str">
        <f>IF($E1954="","",$E1954&amp;"|"&amp;COUNTIFS($E$7:$E1954,$E1954))</f>
        <v/>
      </c>
    </row>
    <row r="1955" spans="1:31" ht="18" customHeight="1" x14ac:dyDescent="0.3">
      <c r="A1955" s="2"/>
      <c r="B1955" s="65" t="str">
        <f>IF($C1955="","","GG"&amp;TEXT(ROW()-6,"00000"))</f>
        <v/>
      </c>
      <c r="C1955" s="66"/>
      <c r="D1955" s="60"/>
      <c r="E1955" s="61"/>
      <c r="F1955" s="61"/>
      <c r="G1955" s="67"/>
      <c r="H1955" s="60"/>
      <c r="I1955" s="60"/>
      <c r="J1955" s="61"/>
      <c r="K1955" s="61"/>
      <c r="L1955" s="60"/>
      <c r="M1955" s="74" t="str">
        <f>IF($C1955="","",IF($D1955="Gider",$E1955,IF($L1955&lt;&gt;"",$L1955,$H1955)))</f>
        <v/>
      </c>
      <c r="N1955" s="74" t="str">
        <f>IF($C1955="","",IF($D1955="Gider",$H1955,$E1955))</f>
        <v/>
      </c>
      <c r="O1955" s="73" t="str">
        <f>IF($C1955="","",DATE(YEAR($C1955),MONTH($C1955),1))</f>
        <v/>
      </c>
      <c r="P1955" s="65" t="str">
        <f ca="1">IF($C1955="","",IF(AND($D1955="Gelir",$L1955&lt;&gt;"",$T1955=""),"TANIMSIZ BORÇLU",IF($T1955&lt;&gt;"",IF(OR($E1955="",$G1955&lt;=0),"EKSİK",IF($I1955="Evet","TAHAKKUK NAKİT OLAMAZ",IF($C1955&gt;TODAY(),"İLERİ TARİH","TAHAKKUK"))),IF(AND($D1955&lt;&gt;"",$E1955&lt;&gt;"",$G1955&gt;0,$H1955&lt;&gt;"",$I1955&lt;&gt;""),IF($C1955&gt;TODAY(),"İLERİ TARİH",IF(COUNTIF($W$7:$W$3001,$W1955)&gt;1,"MÜKERRER?",IF($AD1955&gt;0,"KAPALI DÖNEM",IF($I1955="Hayır","ÖDENECEK","UYGUN")))),"EKSİK"))))</f>
        <v/>
      </c>
      <c r="Q1955" s="2"/>
      <c r="R1955" s="2"/>
      <c r="S1955" s="1" t="str">
        <f t="shared" si="92"/>
        <v/>
      </c>
      <c r="T1955" s="1" t="str">
        <f>IF(OR($C1955="",$D1955&lt;&gt;"Gelir",$L1955=""),"",IFERROR(INDEX(MUSTERILER!$B$7:$B$156,MATCH($S1955,MUSTERILER!$T$7:$T$156,0)),""))</f>
        <v/>
      </c>
      <c r="U1955" s="1" t="str">
        <f>IF($T1955="","",$T1955&amp;"|"&amp;COUNTIFS($T$7:$T1955,$T1955))</f>
        <v/>
      </c>
      <c r="V1955" s="1">
        <f t="shared" si="93"/>
        <v>0</v>
      </c>
      <c r="W1955" s="1" t="str">
        <f t="shared" si="94"/>
        <v/>
      </c>
      <c r="X1955" s="1"/>
      <c r="Y1955" s="1"/>
      <c r="Z1955" s="1"/>
      <c r="AA1955" s="1"/>
      <c r="AB1955" s="1"/>
      <c r="AC1955" s="1"/>
      <c r="AD1955" s="1">
        <f>IF($C1955="",0,SUMPRODUCT((AY_SONU!$O$7:$O$42="Evet")*(AY_SONU!$B$7:$B$42=DATE(YEAR($C1955),MONTH($C1955),1))))</f>
        <v>0</v>
      </c>
      <c r="AE1955" s="1" t="str">
        <f>IF($E1955="","",$E1955&amp;"|"&amp;COUNTIFS($E$7:$E1955,$E1955))</f>
        <v/>
      </c>
    </row>
    <row r="1956" spans="1:31" ht="18" customHeight="1" x14ac:dyDescent="0.3">
      <c r="A1956" s="2"/>
      <c r="B1956" s="65" t="str">
        <f>IF($C1956="","","GG"&amp;TEXT(ROW()-6,"00000"))</f>
        <v/>
      </c>
      <c r="C1956" s="66"/>
      <c r="D1956" s="60"/>
      <c r="E1956" s="61"/>
      <c r="F1956" s="61"/>
      <c r="G1956" s="67"/>
      <c r="H1956" s="60"/>
      <c r="I1956" s="60"/>
      <c r="J1956" s="61"/>
      <c r="K1956" s="61"/>
      <c r="L1956" s="60"/>
      <c r="M1956" s="74" t="str">
        <f>IF($C1956="","",IF($D1956="Gider",$E1956,IF($L1956&lt;&gt;"",$L1956,$H1956)))</f>
        <v/>
      </c>
      <c r="N1956" s="74" t="str">
        <f>IF($C1956="","",IF($D1956="Gider",$H1956,$E1956))</f>
        <v/>
      </c>
      <c r="O1956" s="73" t="str">
        <f>IF($C1956="","",DATE(YEAR($C1956),MONTH($C1956),1))</f>
        <v/>
      </c>
      <c r="P1956" s="65" t="str">
        <f ca="1">IF($C1956="","",IF(AND($D1956="Gelir",$L1956&lt;&gt;"",$T1956=""),"TANIMSIZ BORÇLU",IF($T1956&lt;&gt;"",IF(OR($E1956="",$G1956&lt;=0),"EKSİK",IF($I1956="Evet","TAHAKKUK NAKİT OLAMAZ",IF($C1956&gt;TODAY(),"İLERİ TARİH","TAHAKKUK"))),IF(AND($D1956&lt;&gt;"",$E1956&lt;&gt;"",$G1956&gt;0,$H1956&lt;&gt;"",$I1956&lt;&gt;""),IF($C1956&gt;TODAY(),"İLERİ TARİH",IF(COUNTIF($W$7:$W$3001,$W1956)&gt;1,"MÜKERRER?",IF($AD1956&gt;0,"KAPALI DÖNEM",IF($I1956="Hayır","ÖDENECEK","UYGUN")))),"EKSİK"))))</f>
        <v/>
      </c>
      <c r="Q1956" s="2"/>
      <c r="R1956" s="2"/>
      <c r="S1956" s="1" t="str">
        <f t="shared" si="92"/>
        <v/>
      </c>
      <c r="T1956" s="1" t="str">
        <f>IF(OR($C1956="",$D1956&lt;&gt;"Gelir",$L1956=""),"",IFERROR(INDEX(MUSTERILER!$B$7:$B$156,MATCH($S1956,MUSTERILER!$T$7:$T$156,0)),""))</f>
        <v/>
      </c>
      <c r="U1956" s="1" t="str">
        <f>IF($T1956="","",$T1956&amp;"|"&amp;COUNTIFS($T$7:$T1956,$T1956))</f>
        <v/>
      </c>
      <c r="V1956" s="1">
        <f t="shared" si="93"/>
        <v>0</v>
      </c>
      <c r="W1956" s="1" t="str">
        <f t="shared" si="94"/>
        <v/>
      </c>
      <c r="X1956" s="1"/>
      <c r="Y1956" s="1"/>
      <c r="Z1956" s="1"/>
      <c r="AA1956" s="1"/>
      <c r="AB1956" s="1"/>
      <c r="AC1956" s="1"/>
      <c r="AD1956" s="1">
        <f>IF($C1956="",0,SUMPRODUCT((AY_SONU!$O$7:$O$42="Evet")*(AY_SONU!$B$7:$B$42=DATE(YEAR($C1956),MONTH($C1956),1))))</f>
        <v>0</v>
      </c>
      <c r="AE1956" s="1" t="str">
        <f>IF($E1956="","",$E1956&amp;"|"&amp;COUNTIFS($E$7:$E1956,$E1956))</f>
        <v/>
      </c>
    </row>
    <row r="1957" spans="1:31" ht="18" customHeight="1" x14ac:dyDescent="0.3">
      <c r="A1957" s="2"/>
      <c r="B1957" s="65" t="str">
        <f>IF($C1957="","","GG"&amp;TEXT(ROW()-6,"00000"))</f>
        <v/>
      </c>
      <c r="C1957" s="66"/>
      <c r="D1957" s="60"/>
      <c r="E1957" s="61"/>
      <c r="F1957" s="61"/>
      <c r="G1957" s="67"/>
      <c r="H1957" s="60"/>
      <c r="I1957" s="60"/>
      <c r="J1957" s="61"/>
      <c r="K1957" s="61"/>
      <c r="L1957" s="60"/>
      <c r="M1957" s="74" t="str">
        <f>IF($C1957="","",IF($D1957="Gider",$E1957,IF($L1957&lt;&gt;"",$L1957,$H1957)))</f>
        <v/>
      </c>
      <c r="N1957" s="74" t="str">
        <f>IF($C1957="","",IF($D1957="Gider",$H1957,$E1957))</f>
        <v/>
      </c>
      <c r="O1957" s="73" t="str">
        <f>IF($C1957="","",DATE(YEAR($C1957),MONTH($C1957),1))</f>
        <v/>
      </c>
      <c r="P1957" s="65" t="str">
        <f ca="1">IF($C1957="","",IF(AND($D1957="Gelir",$L1957&lt;&gt;"",$T1957=""),"TANIMSIZ BORÇLU",IF($T1957&lt;&gt;"",IF(OR($E1957="",$G1957&lt;=0),"EKSİK",IF($I1957="Evet","TAHAKKUK NAKİT OLAMAZ",IF($C1957&gt;TODAY(),"İLERİ TARİH","TAHAKKUK"))),IF(AND($D1957&lt;&gt;"",$E1957&lt;&gt;"",$G1957&gt;0,$H1957&lt;&gt;"",$I1957&lt;&gt;""),IF($C1957&gt;TODAY(),"İLERİ TARİH",IF(COUNTIF($W$7:$W$3001,$W1957)&gt;1,"MÜKERRER?",IF($AD1957&gt;0,"KAPALI DÖNEM",IF($I1957="Hayır","ÖDENECEK","UYGUN")))),"EKSİK"))))</f>
        <v/>
      </c>
      <c r="Q1957" s="2"/>
      <c r="R1957" s="2"/>
      <c r="S1957" s="1" t="str">
        <f t="shared" si="92"/>
        <v/>
      </c>
      <c r="T1957" s="1" t="str">
        <f>IF(OR($C1957="",$D1957&lt;&gt;"Gelir",$L1957=""),"",IFERROR(INDEX(MUSTERILER!$B$7:$B$156,MATCH($S1957,MUSTERILER!$T$7:$T$156,0)),""))</f>
        <v/>
      </c>
      <c r="U1957" s="1" t="str">
        <f>IF($T1957="","",$T1957&amp;"|"&amp;COUNTIFS($T$7:$T1957,$T1957))</f>
        <v/>
      </c>
      <c r="V1957" s="1">
        <f t="shared" si="93"/>
        <v>0</v>
      </c>
      <c r="W1957" s="1" t="str">
        <f t="shared" si="94"/>
        <v/>
      </c>
      <c r="X1957" s="1"/>
      <c r="Y1957" s="1"/>
      <c r="Z1957" s="1"/>
      <c r="AA1957" s="1"/>
      <c r="AB1957" s="1"/>
      <c r="AC1957" s="1"/>
      <c r="AD1957" s="1">
        <f>IF($C1957="",0,SUMPRODUCT((AY_SONU!$O$7:$O$42="Evet")*(AY_SONU!$B$7:$B$42=DATE(YEAR($C1957),MONTH($C1957),1))))</f>
        <v>0</v>
      </c>
      <c r="AE1957" s="1" t="str">
        <f>IF($E1957="","",$E1957&amp;"|"&amp;COUNTIFS($E$7:$E1957,$E1957))</f>
        <v/>
      </c>
    </row>
    <row r="1958" spans="1:31" ht="18" customHeight="1" x14ac:dyDescent="0.3">
      <c r="A1958" s="2"/>
      <c r="B1958" s="65" t="str">
        <f>IF($C1958="","","GG"&amp;TEXT(ROW()-6,"00000"))</f>
        <v/>
      </c>
      <c r="C1958" s="66"/>
      <c r="D1958" s="60"/>
      <c r="E1958" s="61"/>
      <c r="F1958" s="61"/>
      <c r="G1958" s="67"/>
      <c r="H1958" s="60"/>
      <c r="I1958" s="60"/>
      <c r="J1958" s="61"/>
      <c r="K1958" s="61"/>
      <c r="L1958" s="60"/>
      <c r="M1958" s="74" t="str">
        <f>IF($C1958="","",IF($D1958="Gider",$E1958,IF($L1958&lt;&gt;"",$L1958,$H1958)))</f>
        <v/>
      </c>
      <c r="N1958" s="74" t="str">
        <f>IF($C1958="","",IF($D1958="Gider",$H1958,$E1958))</f>
        <v/>
      </c>
      <c r="O1958" s="73" t="str">
        <f>IF($C1958="","",DATE(YEAR($C1958),MONTH($C1958),1))</f>
        <v/>
      </c>
      <c r="P1958" s="65" t="str">
        <f ca="1">IF($C1958="","",IF(AND($D1958="Gelir",$L1958&lt;&gt;"",$T1958=""),"TANIMSIZ BORÇLU",IF($T1958&lt;&gt;"",IF(OR($E1958="",$G1958&lt;=0),"EKSİK",IF($I1958="Evet","TAHAKKUK NAKİT OLAMAZ",IF($C1958&gt;TODAY(),"İLERİ TARİH","TAHAKKUK"))),IF(AND($D1958&lt;&gt;"",$E1958&lt;&gt;"",$G1958&gt;0,$H1958&lt;&gt;"",$I1958&lt;&gt;""),IF($C1958&gt;TODAY(),"İLERİ TARİH",IF(COUNTIF($W$7:$W$3001,$W1958)&gt;1,"MÜKERRER?",IF($AD1958&gt;0,"KAPALI DÖNEM",IF($I1958="Hayır","ÖDENECEK","UYGUN")))),"EKSİK"))))</f>
        <v/>
      </c>
      <c r="Q1958" s="2"/>
      <c r="R1958" s="2"/>
      <c r="S1958" s="1" t="str">
        <f t="shared" si="92"/>
        <v/>
      </c>
      <c r="T1958" s="1" t="str">
        <f>IF(OR($C1958="",$D1958&lt;&gt;"Gelir",$L1958=""),"",IFERROR(INDEX(MUSTERILER!$B$7:$B$156,MATCH($S1958,MUSTERILER!$T$7:$T$156,0)),""))</f>
        <v/>
      </c>
      <c r="U1958" s="1" t="str">
        <f>IF($T1958="","",$T1958&amp;"|"&amp;COUNTIFS($T$7:$T1958,$T1958))</f>
        <v/>
      </c>
      <c r="V1958" s="1">
        <f t="shared" si="93"/>
        <v>0</v>
      </c>
      <c r="W1958" s="1" t="str">
        <f t="shared" si="94"/>
        <v/>
      </c>
      <c r="X1958" s="1"/>
      <c r="Y1958" s="1"/>
      <c r="Z1958" s="1"/>
      <c r="AA1958" s="1"/>
      <c r="AB1958" s="1"/>
      <c r="AC1958" s="1"/>
      <c r="AD1958" s="1">
        <f>IF($C1958="",0,SUMPRODUCT((AY_SONU!$O$7:$O$42="Evet")*(AY_SONU!$B$7:$B$42=DATE(YEAR($C1958),MONTH($C1958),1))))</f>
        <v>0</v>
      </c>
      <c r="AE1958" s="1" t="str">
        <f>IF($E1958="","",$E1958&amp;"|"&amp;COUNTIFS($E$7:$E1958,$E1958))</f>
        <v/>
      </c>
    </row>
    <row r="1959" spans="1:31" ht="18" customHeight="1" x14ac:dyDescent="0.3">
      <c r="A1959" s="2"/>
      <c r="B1959" s="65" t="str">
        <f>IF($C1959="","","GG"&amp;TEXT(ROW()-6,"00000"))</f>
        <v/>
      </c>
      <c r="C1959" s="66"/>
      <c r="D1959" s="60"/>
      <c r="E1959" s="61"/>
      <c r="F1959" s="61"/>
      <c r="G1959" s="67"/>
      <c r="H1959" s="60"/>
      <c r="I1959" s="60"/>
      <c r="J1959" s="61"/>
      <c r="K1959" s="61"/>
      <c r="L1959" s="60"/>
      <c r="M1959" s="74" t="str">
        <f>IF($C1959="","",IF($D1959="Gider",$E1959,IF($L1959&lt;&gt;"",$L1959,$H1959)))</f>
        <v/>
      </c>
      <c r="N1959" s="74" t="str">
        <f>IF($C1959="","",IF($D1959="Gider",$H1959,$E1959))</f>
        <v/>
      </c>
      <c r="O1959" s="73" t="str">
        <f>IF($C1959="","",DATE(YEAR($C1959),MONTH($C1959),1))</f>
        <v/>
      </c>
      <c r="P1959" s="65" t="str">
        <f ca="1">IF($C1959="","",IF(AND($D1959="Gelir",$L1959&lt;&gt;"",$T1959=""),"TANIMSIZ BORÇLU",IF($T1959&lt;&gt;"",IF(OR($E1959="",$G1959&lt;=0),"EKSİK",IF($I1959="Evet","TAHAKKUK NAKİT OLAMAZ",IF($C1959&gt;TODAY(),"İLERİ TARİH","TAHAKKUK"))),IF(AND($D1959&lt;&gt;"",$E1959&lt;&gt;"",$G1959&gt;0,$H1959&lt;&gt;"",$I1959&lt;&gt;""),IF($C1959&gt;TODAY(),"İLERİ TARİH",IF(COUNTIF($W$7:$W$3001,$W1959)&gt;1,"MÜKERRER?",IF($AD1959&gt;0,"KAPALI DÖNEM",IF($I1959="Hayır","ÖDENECEK","UYGUN")))),"EKSİK"))))</f>
        <v/>
      </c>
      <c r="Q1959" s="2"/>
      <c r="R1959" s="2"/>
      <c r="S1959" s="1" t="str">
        <f t="shared" si="92"/>
        <v/>
      </c>
      <c r="T1959" s="1" t="str">
        <f>IF(OR($C1959="",$D1959&lt;&gt;"Gelir",$L1959=""),"",IFERROR(INDEX(MUSTERILER!$B$7:$B$156,MATCH($S1959,MUSTERILER!$T$7:$T$156,0)),""))</f>
        <v/>
      </c>
      <c r="U1959" s="1" t="str">
        <f>IF($T1959="","",$T1959&amp;"|"&amp;COUNTIFS($T$7:$T1959,$T1959))</f>
        <v/>
      </c>
      <c r="V1959" s="1">
        <f t="shared" si="93"/>
        <v>0</v>
      </c>
      <c r="W1959" s="1" t="str">
        <f t="shared" si="94"/>
        <v/>
      </c>
      <c r="X1959" s="1"/>
      <c r="Y1959" s="1"/>
      <c r="Z1959" s="1"/>
      <c r="AA1959" s="1"/>
      <c r="AB1959" s="1"/>
      <c r="AC1959" s="1"/>
      <c r="AD1959" s="1">
        <f>IF($C1959="",0,SUMPRODUCT((AY_SONU!$O$7:$O$42="Evet")*(AY_SONU!$B$7:$B$42=DATE(YEAR($C1959),MONTH($C1959),1))))</f>
        <v>0</v>
      </c>
      <c r="AE1959" s="1" t="str">
        <f>IF($E1959="","",$E1959&amp;"|"&amp;COUNTIFS($E$7:$E1959,$E1959))</f>
        <v/>
      </c>
    </row>
    <row r="1960" spans="1:31" ht="18" customHeight="1" x14ac:dyDescent="0.3">
      <c r="A1960" s="2"/>
      <c r="B1960" s="65" t="str">
        <f>IF($C1960="","","GG"&amp;TEXT(ROW()-6,"00000"))</f>
        <v/>
      </c>
      <c r="C1960" s="66"/>
      <c r="D1960" s="60"/>
      <c r="E1960" s="61"/>
      <c r="F1960" s="61"/>
      <c r="G1960" s="67"/>
      <c r="H1960" s="60"/>
      <c r="I1960" s="60"/>
      <c r="J1960" s="61"/>
      <c r="K1960" s="61"/>
      <c r="L1960" s="60"/>
      <c r="M1960" s="74" t="str">
        <f>IF($C1960="","",IF($D1960="Gider",$E1960,IF($L1960&lt;&gt;"",$L1960,$H1960)))</f>
        <v/>
      </c>
      <c r="N1960" s="74" t="str">
        <f>IF($C1960="","",IF($D1960="Gider",$H1960,$E1960))</f>
        <v/>
      </c>
      <c r="O1960" s="73" t="str">
        <f>IF($C1960="","",DATE(YEAR($C1960),MONTH($C1960),1))</f>
        <v/>
      </c>
      <c r="P1960" s="65" t="str">
        <f ca="1">IF($C1960="","",IF(AND($D1960="Gelir",$L1960&lt;&gt;"",$T1960=""),"TANIMSIZ BORÇLU",IF($T1960&lt;&gt;"",IF(OR($E1960="",$G1960&lt;=0),"EKSİK",IF($I1960="Evet","TAHAKKUK NAKİT OLAMAZ",IF($C1960&gt;TODAY(),"İLERİ TARİH","TAHAKKUK"))),IF(AND($D1960&lt;&gt;"",$E1960&lt;&gt;"",$G1960&gt;0,$H1960&lt;&gt;"",$I1960&lt;&gt;""),IF($C1960&gt;TODAY(),"İLERİ TARİH",IF(COUNTIF($W$7:$W$3001,$W1960)&gt;1,"MÜKERRER?",IF($AD1960&gt;0,"KAPALI DÖNEM",IF($I1960="Hayır","ÖDENECEK","UYGUN")))),"EKSİK"))))</f>
        <v/>
      </c>
      <c r="Q1960" s="2"/>
      <c r="R1960" s="2"/>
      <c r="S1960" s="1" t="str">
        <f t="shared" si="92"/>
        <v/>
      </c>
      <c r="T1960" s="1" t="str">
        <f>IF(OR($C1960="",$D1960&lt;&gt;"Gelir",$L1960=""),"",IFERROR(INDEX(MUSTERILER!$B$7:$B$156,MATCH($S1960,MUSTERILER!$T$7:$T$156,0)),""))</f>
        <v/>
      </c>
      <c r="U1960" s="1" t="str">
        <f>IF($T1960="","",$T1960&amp;"|"&amp;COUNTIFS($T$7:$T1960,$T1960))</f>
        <v/>
      </c>
      <c r="V1960" s="1">
        <f t="shared" si="93"/>
        <v>0</v>
      </c>
      <c r="W1960" s="1" t="str">
        <f t="shared" si="94"/>
        <v/>
      </c>
      <c r="X1960" s="1"/>
      <c r="Y1960" s="1"/>
      <c r="Z1960" s="1"/>
      <c r="AA1960" s="1"/>
      <c r="AB1960" s="1"/>
      <c r="AC1960" s="1"/>
      <c r="AD1960" s="1">
        <f>IF($C1960="",0,SUMPRODUCT((AY_SONU!$O$7:$O$42="Evet")*(AY_SONU!$B$7:$B$42=DATE(YEAR($C1960),MONTH($C1960),1))))</f>
        <v>0</v>
      </c>
      <c r="AE1960" s="1" t="str">
        <f>IF($E1960="","",$E1960&amp;"|"&amp;COUNTIFS($E$7:$E1960,$E1960))</f>
        <v/>
      </c>
    </row>
    <row r="1961" spans="1:31" ht="18" customHeight="1" x14ac:dyDescent="0.3">
      <c r="A1961" s="2"/>
      <c r="B1961" s="65" t="str">
        <f>IF($C1961="","","GG"&amp;TEXT(ROW()-6,"00000"))</f>
        <v/>
      </c>
      <c r="C1961" s="66"/>
      <c r="D1961" s="60"/>
      <c r="E1961" s="61"/>
      <c r="F1961" s="61"/>
      <c r="G1961" s="67"/>
      <c r="H1961" s="60"/>
      <c r="I1961" s="60"/>
      <c r="J1961" s="61"/>
      <c r="K1961" s="61"/>
      <c r="L1961" s="60"/>
      <c r="M1961" s="74" t="str">
        <f>IF($C1961="","",IF($D1961="Gider",$E1961,IF($L1961&lt;&gt;"",$L1961,$H1961)))</f>
        <v/>
      </c>
      <c r="N1961" s="74" t="str">
        <f>IF($C1961="","",IF($D1961="Gider",$H1961,$E1961))</f>
        <v/>
      </c>
      <c r="O1961" s="73" t="str">
        <f>IF($C1961="","",DATE(YEAR($C1961),MONTH($C1961),1))</f>
        <v/>
      </c>
      <c r="P1961" s="65" t="str">
        <f ca="1">IF($C1961="","",IF(AND($D1961="Gelir",$L1961&lt;&gt;"",$T1961=""),"TANIMSIZ BORÇLU",IF($T1961&lt;&gt;"",IF(OR($E1961="",$G1961&lt;=0),"EKSİK",IF($I1961="Evet","TAHAKKUK NAKİT OLAMAZ",IF($C1961&gt;TODAY(),"İLERİ TARİH","TAHAKKUK"))),IF(AND($D1961&lt;&gt;"",$E1961&lt;&gt;"",$G1961&gt;0,$H1961&lt;&gt;"",$I1961&lt;&gt;""),IF($C1961&gt;TODAY(),"İLERİ TARİH",IF(COUNTIF($W$7:$W$3001,$W1961)&gt;1,"MÜKERRER?",IF($AD1961&gt;0,"KAPALI DÖNEM",IF($I1961="Hayır","ÖDENECEK","UYGUN")))),"EKSİK"))))</f>
        <v/>
      </c>
      <c r="Q1961" s="2"/>
      <c r="R1961" s="2"/>
      <c r="S1961" s="1" t="str">
        <f t="shared" si="92"/>
        <v/>
      </c>
      <c r="T1961" s="1" t="str">
        <f>IF(OR($C1961="",$D1961&lt;&gt;"Gelir",$L1961=""),"",IFERROR(INDEX(MUSTERILER!$B$7:$B$156,MATCH($S1961,MUSTERILER!$T$7:$T$156,0)),""))</f>
        <v/>
      </c>
      <c r="U1961" s="1" t="str">
        <f>IF($T1961="","",$T1961&amp;"|"&amp;COUNTIFS($T$7:$T1961,$T1961))</f>
        <v/>
      </c>
      <c r="V1961" s="1">
        <f t="shared" si="93"/>
        <v>0</v>
      </c>
      <c r="W1961" s="1" t="str">
        <f t="shared" si="94"/>
        <v/>
      </c>
      <c r="X1961" s="1"/>
      <c r="Y1961" s="1"/>
      <c r="Z1961" s="1"/>
      <c r="AA1961" s="1"/>
      <c r="AB1961" s="1"/>
      <c r="AC1961" s="1"/>
      <c r="AD1961" s="1">
        <f>IF($C1961="",0,SUMPRODUCT((AY_SONU!$O$7:$O$42="Evet")*(AY_SONU!$B$7:$B$42=DATE(YEAR($C1961),MONTH($C1961),1))))</f>
        <v>0</v>
      </c>
      <c r="AE1961" s="1" t="str">
        <f>IF($E1961="","",$E1961&amp;"|"&amp;COUNTIFS($E$7:$E1961,$E1961))</f>
        <v/>
      </c>
    </row>
    <row r="1962" spans="1:31" ht="18" customHeight="1" x14ac:dyDescent="0.3">
      <c r="A1962" s="2"/>
      <c r="B1962" s="65" t="str">
        <f>IF($C1962="","","GG"&amp;TEXT(ROW()-6,"00000"))</f>
        <v/>
      </c>
      <c r="C1962" s="66"/>
      <c r="D1962" s="60"/>
      <c r="E1962" s="61"/>
      <c r="F1962" s="61"/>
      <c r="G1962" s="67"/>
      <c r="H1962" s="60"/>
      <c r="I1962" s="60"/>
      <c r="J1962" s="61"/>
      <c r="K1962" s="61"/>
      <c r="L1962" s="60"/>
      <c r="M1962" s="74" t="str">
        <f>IF($C1962="","",IF($D1962="Gider",$E1962,IF($L1962&lt;&gt;"",$L1962,$H1962)))</f>
        <v/>
      </c>
      <c r="N1962" s="74" t="str">
        <f>IF($C1962="","",IF($D1962="Gider",$H1962,$E1962))</f>
        <v/>
      </c>
      <c r="O1962" s="73" t="str">
        <f>IF($C1962="","",DATE(YEAR($C1962),MONTH($C1962),1))</f>
        <v/>
      </c>
      <c r="P1962" s="65" t="str">
        <f ca="1">IF($C1962="","",IF(AND($D1962="Gelir",$L1962&lt;&gt;"",$T1962=""),"TANIMSIZ BORÇLU",IF($T1962&lt;&gt;"",IF(OR($E1962="",$G1962&lt;=0),"EKSİK",IF($I1962="Evet","TAHAKKUK NAKİT OLAMAZ",IF($C1962&gt;TODAY(),"İLERİ TARİH","TAHAKKUK"))),IF(AND($D1962&lt;&gt;"",$E1962&lt;&gt;"",$G1962&gt;0,$H1962&lt;&gt;"",$I1962&lt;&gt;""),IF($C1962&gt;TODAY(),"İLERİ TARİH",IF(COUNTIF($W$7:$W$3001,$W1962)&gt;1,"MÜKERRER?",IF($AD1962&gt;0,"KAPALI DÖNEM",IF($I1962="Hayır","ÖDENECEK","UYGUN")))),"EKSİK"))))</f>
        <v/>
      </c>
      <c r="Q1962" s="2"/>
      <c r="R1962" s="2"/>
      <c r="S1962" s="1" t="str">
        <f t="shared" si="92"/>
        <v/>
      </c>
      <c r="T1962" s="1" t="str">
        <f>IF(OR($C1962="",$D1962&lt;&gt;"Gelir",$L1962=""),"",IFERROR(INDEX(MUSTERILER!$B$7:$B$156,MATCH($S1962,MUSTERILER!$T$7:$T$156,0)),""))</f>
        <v/>
      </c>
      <c r="U1962" s="1" t="str">
        <f>IF($T1962="","",$T1962&amp;"|"&amp;COUNTIFS($T$7:$T1962,$T1962))</f>
        <v/>
      </c>
      <c r="V1962" s="1">
        <f t="shared" si="93"/>
        <v>0</v>
      </c>
      <c r="W1962" s="1" t="str">
        <f t="shared" si="94"/>
        <v/>
      </c>
      <c r="X1962" s="1"/>
      <c r="Y1962" s="1"/>
      <c r="Z1962" s="1"/>
      <c r="AA1962" s="1"/>
      <c r="AB1962" s="1"/>
      <c r="AC1962" s="1"/>
      <c r="AD1962" s="1">
        <f>IF($C1962="",0,SUMPRODUCT((AY_SONU!$O$7:$O$42="Evet")*(AY_SONU!$B$7:$B$42=DATE(YEAR($C1962),MONTH($C1962),1))))</f>
        <v>0</v>
      </c>
      <c r="AE1962" s="1" t="str">
        <f>IF($E1962="","",$E1962&amp;"|"&amp;COUNTIFS($E$7:$E1962,$E1962))</f>
        <v/>
      </c>
    </row>
    <row r="1963" spans="1:31" ht="18" customHeight="1" x14ac:dyDescent="0.3">
      <c r="A1963" s="2"/>
      <c r="B1963" s="65" t="str">
        <f>IF($C1963="","","GG"&amp;TEXT(ROW()-6,"00000"))</f>
        <v/>
      </c>
      <c r="C1963" s="66"/>
      <c r="D1963" s="60"/>
      <c r="E1963" s="61"/>
      <c r="F1963" s="61"/>
      <c r="G1963" s="67"/>
      <c r="H1963" s="60"/>
      <c r="I1963" s="60"/>
      <c r="J1963" s="61"/>
      <c r="K1963" s="61"/>
      <c r="L1963" s="60"/>
      <c r="M1963" s="74" t="str">
        <f>IF($C1963="","",IF($D1963="Gider",$E1963,IF($L1963&lt;&gt;"",$L1963,$H1963)))</f>
        <v/>
      </c>
      <c r="N1963" s="74" t="str">
        <f>IF($C1963="","",IF($D1963="Gider",$H1963,$E1963))</f>
        <v/>
      </c>
      <c r="O1963" s="73" t="str">
        <f>IF($C1963="","",DATE(YEAR($C1963),MONTH($C1963),1))</f>
        <v/>
      </c>
      <c r="P1963" s="65" t="str">
        <f ca="1">IF($C1963="","",IF(AND($D1963="Gelir",$L1963&lt;&gt;"",$T1963=""),"TANIMSIZ BORÇLU",IF($T1963&lt;&gt;"",IF(OR($E1963="",$G1963&lt;=0),"EKSİK",IF($I1963="Evet","TAHAKKUK NAKİT OLAMAZ",IF($C1963&gt;TODAY(),"İLERİ TARİH","TAHAKKUK"))),IF(AND($D1963&lt;&gt;"",$E1963&lt;&gt;"",$G1963&gt;0,$H1963&lt;&gt;"",$I1963&lt;&gt;""),IF($C1963&gt;TODAY(),"İLERİ TARİH",IF(COUNTIF($W$7:$W$3001,$W1963)&gt;1,"MÜKERRER?",IF($AD1963&gt;0,"KAPALI DÖNEM",IF($I1963="Hayır","ÖDENECEK","UYGUN")))),"EKSİK"))))</f>
        <v/>
      </c>
      <c r="Q1963" s="2"/>
      <c r="R1963" s="2"/>
      <c r="S1963" s="1" t="str">
        <f t="shared" si="92"/>
        <v/>
      </c>
      <c r="T1963" s="1" t="str">
        <f>IF(OR($C1963="",$D1963&lt;&gt;"Gelir",$L1963=""),"",IFERROR(INDEX(MUSTERILER!$B$7:$B$156,MATCH($S1963,MUSTERILER!$T$7:$T$156,0)),""))</f>
        <v/>
      </c>
      <c r="U1963" s="1" t="str">
        <f>IF($T1963="","",$T1963&amp;"|"&amp;COUNTIFS($T$7:$T1963,$T1963))</f>
        <v/>
      </c>
      <c r="V1963" s="1">
        <f t="shared" si="93"/>
        <v>0</v>
      </c>
      <c r="W1963" s="1" t="str">
        <f t="shared" si="94"/>
        <v/>
      </c>
      <c r="X1963" s="1"/>
      <c r="Y1963" s="1"/>
      <c r="Z1963" s="1"/>
      <c r="AA1963" s="1"/>
      <c r="AB1963" s="1"/>
      <c r="AC1963" s="1"/>
      <c r="AD1963" s="1">
        <f>IF($C1963="",0,SUMPRODUCT((AY_SONU!$O$7:$O$42="Evet")*(AY_SONU!$B$7:$B$42=DATE(YEAR($C1963),MONTH($C1963),1))))</f>
        <v>0</v>
      </c>
      <c r="AE1963" s="1" t="str">
        <f>IF($E1963="","",$E1963&amp;"|"&amp;COUNTIFS($E$7:$E1963,$E1963))</f>
        <v/>
      </c>
    </row>
    <row r="1964" spans="1:31" ht="18" customHeight="1" x14ac:dyDescent="0.3">
      <c r="A1964" s="2"/>
      <c r="B1964" s="65" t="str">
        <f>IF($C1964="","","GG"&amp;TEXT(ROW()-6,"00000"))</f>
        <v/>
      </c>
      <c r="C1964" s="66"/>
      <c r="D1964" s="60"/>
      <c r="E1964" s="61"/>
      <c r="F1964" s="61"/>
      <c r="G1964" s="67"/>
      <c r="H1964" s="60"/>
      <c r="I1964" s="60"/>
      <c r="J1964" s="61"/>
      <c r="K1964" s="61"/>
      <c r="L1964" s="60"/>
      <c r="M1964" s="74" t="str">
        <f>IF($C1964="","",IF($D1964="Gider",$E1964,IF($L1964&lt;&gt;"",$L1964,$H1964)))</f>
        <v/>
      </c>
      <c r="N1964" s="74" t="str">
        <f>IF($C1964="","",IF($D1964="Gider",$H1964,$E1964))</f>
        <v/>
      </c>
      <c r="O1964" s="73" t="str">
        <f>IF($C1964="","",DATE(YEAR($C1964),MONTH($C1964),1))</f>
        <v/>
      </c>
      <c r="P1964" s="65" t="str">
        <f ca="1">IF($C1964="","",IF(AND($D1964="Gelir",$L1964&lt;&gt;"",$T1964=""),"TANIMSIZ BORÇLU",IF($T1964&lt;&gt;"",IF(OR($E1964="",$G1964&lt;=0),"EKSİK",IF($I1964="Evet","TAHAKKUK NAKİT OLAMAZ",IF($C1964&gt;TODAY(),"İLERİ TARİH","TAHAKKUK"))),IF(AND($D1964&lt;&gt;"",$E1964&lt;&gt;"",$G1964&gt;0,$H1964&lt;&gt;"",$I1964&lt;&gt;""),IF($C1964&gt;TODAY(),"İLERİ TARİH",IF(COUNTIF($W$7:$W$3001,$W1964)&gt;1,"MÜKERRER?",IF($AD1964&gt;0,"KAPALI DÖNEM",IF($I1964="Hayır","ÖDENECEK","UYGUN")))),"EKSİK"))))</f>
        <v/>
      </c>
      <c r="Q1964" s="2"/>
      <c r="R1964" s="2"/>
      <c r="S1964" s="1" t="str">
        <f t="shared" si="92"/>
        <v/>
      </c>
      <c r="T1964" s="1" t="str">
        <f>IF(OR($C1964="",$D1964&lt;&gt;"Gelir",$L1964=""),"",IFERROR(INDEX(MUSTERILER!$B$7:$B$156,MATCH($S1964,MUSTERILER!$T$7:$T$156,0)),""))</f>
        <v/>
      </c>
      <c r="U1964" s="1" t="str">
        <f>IF($T1964="","",$T1964&amp;"|"&amp;COUNTIFS($T$7:$T1964,$T1964))</f>
        <v/>
      </c>
      <c r="V1964" s="1">
        <f t="shared" si="93"/>
        <v>0</v>
      </c>
      <c r="W1964" s="1" t="str">
        <f t="shared" si="94"/>
        <v/>
      </c>
      <c r="X1964" s="1"/>
      <c r="Y1964" s="1"/>
      <c r="Z1964" s="1"/>
      <c r="AA1964" s="1"/>
      <c r="AB1964" s="1"/>
      <c r="AC1964" s="1"/>
      <c r="AD1964" s="1">
        <f>IF($C1964="",0,SUMPRODUCT((AY_SONU!$O$7:$O$42="Evet")*(AY_SONU!$B$7:$B$42=DATE(YEAR($C1964),MONTH($C1964),1))))</f>
        <v>0</v>
      </c>
      <c r="AE1964" s="1" t="str">
        <f>IF($E1964="","",$E1964&amp;"|"&amp;COUNTIFS($E$7:$E1964,$E1964))</f>
        <v/>
      </c>
    </row>
    <row r="1965" spans="1:31" ht="18" customHeight="1" x14ac:dyDescent="0.3">
      <c r="A1965" s="2"/>
      <c r="B1965" s="65" t="str">
        <f>IF($C1965="","","GG"&amp;TEXT(ROW()-6,"00000"))</f>
        <v/>
      </c>
      <c r="C1965" s="66"/>
      <c r="D1965" s="60"/>
      <c r="E1965" s="61"/>
      <c r="F1965" s="61"/>
      <c r="G1965" s="67"/>
      <c r="H1965" s="60"/>
      <c r="I1965" s="60"/>
      <c r="J1965" s="61"/>
      <c r="K1965" s="61"/>
      <c r="L1965" s="60"/>
      <c r="M1965" s="74" t="str">
        <f>IF($C1965="","",IF($D1965="Gider",$E1965,IF($L1965&lt;&gt;"",$L1965,$H1965)))</f>
        <v/>
      </c>
      <c r="N1965" s="74" t="str">
        <f>IF($C1965="","",IF($D1965="Gider",$H1965,$E1965))</f>
        <v/>
      </c>
      <c r="O1965" s="73" t="str">
        <f>IF($C1965="","",DATE(YEAR($C1965),MONTH($C1965),1))</f>
        <v/>
      </c>
      <c r="P1965" s="65" t="str">
        <f ca="1">IF($C1965="","",IF(AND($D1965="Gelir",$L1965&lt;&gt;"",$T1965=""),"TANIMSIZ BORÇLU",IF($T1965&lt;&gt;"",IF(OR($E1965="",$G1965&lt;=0),"EKSİK",IF($I1965="Evet","TAHAKKUK NAKİT OLAMAZ",IF($C1965&gt;TODAY(),"İLERİ TARİH","TAHAKKUK"))),IF(AND($D1965&lt;&gt;"",$E1965&lt;&gt;"",$G1965&gt;0,$H1965&lt;&gt;"",$I1965&lt;&gt;""),IF($C1965&gt;TODAY(),"İLERİ TARİH",IF(COUNTIF($W$7:$W$3001,$W1965)&gt;1,"MÜKERRER?",IF($AD1965&gt;0,"KAPALI DÖNEM",IF($I1965="Hayır","ÖDENECEK","UYGUN")))),"EKSİK"))))</f>
        <v/>
      </c>
      <c r="Q1965" s="2"/>
      <c r="R1965" s="2"/>
      <c r="S1965" s="1" t="str">
        <f t="shared" si="92"/>
        <v/>
      </c>
      <c r="T1965" s="1" t="str">
        <f>IF(OR($C1965="",$D1965&lt;&gt;"Gelir",$L1965=""),"",IFERROR(INDEX(MUSTERILER!$B$7:$B$156,MATCH($S1965,MUSTERILER!$T$7:$T$156,0)),""))</f>
        <v/>
      </c>
      <c r="U1965" s="1" t="str">
        <f>IF($T1965="","",$T1965&amp;"|"&amp;COUNTIFS($T$7:$T1965,$T1965))</f>
        <v/>
      </c>
      <c r="V1965" s="1">
        <f t="shared" si="93"/>
        <v>0</v>
      </c>
      <c r="W1965" s="1" t="str">
        <f t="shared" si="94"/>
        <v/>
      </c>
      <c r="X1965" s="1"/>
      <c r="Y1965" s="1"/>
      <c r="Z1965" s="1"/>
      <c r="AA1965" s="1"/>
      <c r="AB1965" s="1"/>
      <c r="AC1965" s="1"/>
      <c r="AD1965" s="1">
        <f>IF($C1965="",0,SUMPRODUCT((AY_SONU!$O$7:$O$42="Evet")*(AY_SONU!$B$7:$B$42=DATE(YEAR($C1965),MONTH($C1965),1))))</f>
        <v>0</v>
      </c>
      <c r="AE1965" s="1" t="str">
        <f>IF($E1965="","",$E1965&amp;"|"&amp;COUNTIFS($E$7:$E1965,$E1965))</f>
        <v/>
      </c>
    </row>
    <row r="1966" spans="1:31" ht="18" customHeight="1" x14ac:dyDescent="0.3">
      <c r="A1966" s="2"/>
      <c r="B1966" s="65" t="str">
        <f>IF($C1966="","","GG"&amp;TEXT(ROW()-6,"00000"))</f>
        <v/>
      </c>
      <c r="C1966" s="66"/>
      <c r="D1966" s="60"/>
      <c r="E1966" s="61"/>
      <c r="F1966" s="61"/>
      <c r="G1966" s="67"/>
      <c r="H1966" s="60"/>
      <c r="I1966" s="60"/>
      <c r="J1966" s="61"/>
      <c r="K1966" s="61"/>
      <c r="L1966" s="60"/>
      <c r="M1966" s="74" t="str">
        <f>IF($C1966="","",IF($D1966="Gider",$E1966,IF($L1966&lt;&gt;"",$L1966,$H1966)))</f>
        <v/>
      </c>
      <c r="N1966" s="74" t="str">
        <f>IF($C1966="","",IF($D1966="Gider",$H1966,$E1966))</f>
        <v/>
      </c>
      <c r="O1966" s="73" t="str">
        <f>IF($C1966="","",DATE(YEAR($C1966),MONTH($C1966),1))</f>
        <v/>
      </c>
      <c r="P1966" s="65" t="str">
        <f ca="1">IF($C1966="","",IF(AND($D1966="Gelir",$L1966&lt;&gt;"",$T1966=""),"TANIMSIZ BORÇLU",IF($T1966&lt;&gt;"",IF(OR($E1966="",$G1966&lt;=0),"EKSİK",IF($I1966="Evet","TAHAKKUK NAKİT OLAMAZ",IF($C1966&gt;TODAY(),"İLERİ TARİH","TAHAKKUK"))),IF(AND($D1966&lt;&gt;"",$E1966&lt;&gt;"",$G1966&gt;0,$H1966&lt;&gt;"",$I1966&lt;&gt;""),IF($C1966&gt;TODAY(),"İLERİ TARİH",IF(COUNTIF($W$7:$W$3001,$W1966)&gt;1,"MÜKERRER?",IF($AD1966&gt;0,"KAPALI DÖNEM",IF($I1966="Hayır","ÖDENECEK","UYGUN")))),"EKSİK"))))</f>
        <v/>
      </c>
      <c r="Q1966" s="2"/>
      <c r="R1966" s="2"/>
      <c r="S1966" s="1" t="str">
        <f t="shared" si="92"/>
        <v/>
      </c>
      <c r="T1966" s="1" t="str">
        <f>IF(OR($C1966="",$D1966&lt;&gt;"Gelir",$L1966=""),"",IFERROR(INDEX(MUSTERILER!$B$7:$B$156,MATCH($S1966,MUSTERILER!$T$7:$T$156,0)),""))</f>
        <v/>
      </c>
      <c r="U1966" s="1" t="str">
        <f>IF($T1966="","",$T1966&amp;"|"&amp;COUNTIFS($T$7:$T1966,$T1966))</f>
        <v/>
      </c>
      <c r="V1966" s="1">
        <f t="shared" si="93"/>
        <v>0</v>
      </c>
      <c r="W1966" s="1" t="str">
        <f t="shared" si="94"/>
        <v/>
      </c>
      <c r="X1966" s="1"/>
      <c r="Y1966" s="1"/>
      <c r="Z1966" s="1"/>
      <c r="AA1966" s="1"/>
      <c r="AB1966" s="1"/>
      <c r="AC1966" s="1"/>
      <c r="AD1966" s="1">
        <f>IF($C1966="",0,SUMPRODUCT((AY_SONU!$O$7:$O$42="Evet")*(AY_SONU!$B$7:$B$42=DATE(YEAR($C1966),MONTH($C1966),1))))</f>
        <v>0</v>
      </c>
      <c r="AE1966" s="1" t="str">
        <f>IF($E1966="","",$E1966&amp;"|"&amp;COUNTIFS($E$7:$E1966,$E1966))</f>
        <v/>
      </c>
    </row>
    <row r="1967" spans="1:31" ht="18" customHeight="1" x14ac:dyDescent="0.3">
      <c r="A1967" s="2"/>
      <c r="B1967" s="65" t="str">
        <f>IF($C1967="","","GG"&amp;TEXT(ROW()-6,"00000"))</f>
        <v/>
      </c>
      <c r="C1967" s="66"/>
      <c r="D1967" s="60"/>
      <c r="E1967" s="61"/>
      <c r="F1967" s="61"/>
      <c r="G1967" s="67"/>
      <c r="H1967" s="60"/>
      <c r="I1967" s="60"/>
      <c r="J1967" s="61"/>
      <c r="K1967" s="61"/>
      <c r="L1967" s="60"/>
      <c r="M1967" s="74" t="str">
        <f>IF($C1967="","",IF($D1967="Gider",$E1967,IF($L1967&lt;&gt;"",$L1967,$H1967)))</f>
        <v/>
      </c>
      <c r="N1967" s="74" t="str">
        <f>IF($C1967="","",IF($D1967="Gider",$H1967,$E1967))</f>
        <v/>
      </c>
      <c r="O1967" s="73" t="str">
        <f>IF($C1967="","",DATE(YEAR($C1967),MONTH($C1967),1))</f>
        <v/>
      </c>
      <c r="P1967" s="65" t="str">
        <f ca="1">IF($C1967="","",IF(AND($D1967="Gelir",$L1967&lt;&gt;"",$T1967=""),"TANIMSIZ BORÇLU",IF($T1967&lt;&gt;"",IF(OR($E1967="",$G1967&lt;=0),"EKSİK",IF($I1967="Evet","TAHAKKUK NAKİT OLAMAZ",IF($C1967&gt;TODAY(),"İLERİ TARİH","TAHAKKUK"))),IF(AND($D1967&lt;&gt;"",$E1967&lt;&gt;"",$G1967&gt;0,$H1967&lt;&gt;"",$I1967&lt;&gt;""),IF($C1967&gt;TODAY(),"İLERİ TARİH",IF(COUNTIF($W$7:$W$3001,$W1967)&gt;1,"MÜKERRER?",IF($AD1967&gt;0,"KAPALI DÖNEM",IF($I1967="Hayır","ÖDENECEK","UYGUN")))),"EKSİK"))))</f>
        <v/>
      </c>
      <c r="Q1967" s="2"/>
      <c r="R1967" s="2"/>
      <c r="S1967" s="1" t="str">
        <f t="shared" si="92"/>
        <v/>
      </c>
      <c r="T1967" s="1" t="str">
        <f>IF(OR($C1967="",$D1967&lt;&gt;"Gelir",$L1967=""),"",IFERROR(INDEX(MUSTERILER!$B$7:$B$156,MATCH($S1967,MUSTERILER!$T$7:$T$156,0)),""))</f>
        <v/>
      </c>
      <c r="U1967" s="1" t="str">
        <f>IF($T1967="","",$T1967&amp;"|"&amp;COUNTIFS($T$7:$T1967,$T1967))</f>
        <v/>
      </c>
      <c r="V1967" s="1">
        <f t="shared" si="93"/>
        <v>0</v>
      </c>
      <c r="W1967" s="1" t="str">
        <f t="shared" si="94"/>
        <v/>
      </c>
      <c r="X1967" s="1"/>
      <c r="Y1967" s="1"/>
      <c r="Z1967" s="1"/>
      <c r="AA1967" s="1"/>
      <c r="AB1967" s="1"/>
      <c r="AC1967" s="1"/>
      <c r="AD1967" s="1">
        <f>IF($C1967="",0,SUMPRODUCT((AY_SONU!$O$7:$O$42="Evet")*(AY_SONU!$B$7:$B$42=DATE(YEAR($C1967),MONTH($C1967),1))))</f>
        <v>0</v>
      </c>
      <c r="AE1967" s="1" t="str">
        <f>IF($E1967="","",$E1967&amp;"|"&amp;COUNTIFS($E$7:$E1967,$E1967))</f>
        <v/>
      </c>
    </row>
    <row r="1968" spans="1:31" ht="18" customHeight="1" x14ac:dyDescent="0.3">
      <c r="A1968" s="2"/>
      <c r="B1968" s="65" t="str">
        <f>IF($C1968="","","GG"&amp;TEXT(ROW()-6,"00000"))</f>
        <v/>
      </c>
      <c r="C1968" s="66"/>
      <c r="D1968" s="60"/>
      <c r="E1968" s="61"/>
      <c r="F1968" s="61"/>
      <c r="G1968" s="67"/>
      <c r="H1968" s="60"/>
      <c r="I1968" s="60"/>
      <c r="J1968" s="61"/>
      <c r="K1968" s="61"/>
      <c r="L1968" s="60"/>
      <c r="M1968" s="74" t="str">
        <f>IF($C1968="","",IF($D1968="Gider",$E1968,IF($L1968&lt;&gt;"",$L1968,$H1968)))</f>
        <v/>
      </c>
      <c r="N1968" s="74" t="str">
        <f>IF($C1968="","",IF($D1968="Gider",$H1968,$E1968))</f>
        <v/>
      </c>
      <c r="O1968" s="73" t="str">
        <f>IF($C1968="","",DATE(YEAR($C1968),MONTH($C1968),1))</f>
        <v/>
      </c>
      <c r="P1968" s="65" t="str">
        <f ca="1">IF($C1968="","",IF(AND($D1968="Gelir",$L1968&lt;&gt;"",$T1968=""),"TANIMSIZ BORÇLU",IF($T1968&lt;&gt;"",IF(OR($E1968="",$G1968&lt;=0),"EKSİK",IF($I1968="Evet","TAHAKKUK NAKİT OLAMAZ",IF($C1968&gt;TODAY(),"İLERİ TARİH","TAHAKKUK"))),IF(AND($D1968&lt;&gt;"",$E1968&lt;&gt;"",$G1968&gt;0,$H1968&lt;&gt;"",$I1968&lt;&gt;""),IF($C1968&gt;TODAY(),"İLERİ TARİH",IF(COUNTIF($W$7:$W$3001,$W1968)&gt;1,"MÜKERRER?",IF($AD1968&gt;0,"KAPALI DÖNEM",IF($I1968="Hayır","ÖDENECEK","UYGUN")))),"EKSİK"))))</f>
        <v/>
      </c>
      <c r="Q1968" s="2"/>
      <c r="R1968" s="2"/>
      <c r="S1968" s="1" t="str">
        <f t="shared" si="92"/>
        <v/>
      </c>
      <c r="T1968" s="1" t="str">
        <f>IF(OR($C1968="",$D1968&lt;&gt;"Gelir",$L1968=""),"",IFERROR(INDEX(MUSTERILER!$B$7:$B$156,MATCH($S1968,MUSTERILER!$T$7:$T$156,0)),""))</f>
        <v/>
      </c>
      <c r="U1968" s="1" t="str">
        <f>IF($T1968="","",$T1968&amp;"|"&amp;COUNTIFS($T$7:$T1968,$T1968))</f>
        <v/>
      </c>
      <c r="V1968" s="1">
        <f t="shared" si="93"/>
        <v>0</v>
      </c>
      <c r="W1968" s="1" t="str">
        <f t="shared" si="94"/>
        <v/>
      </c>
      <c r="X1968" s="1"/>
      <c r="Y1968" s="1"/>
      <c r="Z1968" s="1"/>
      <c r="AA1968" s="1"/>
      <c r="AB1968" s="1"/>
      <c r="AC1968" s="1"/>
      <c r="AD1968" s="1">
        <f>IF($C1968="",0,SUMPRODUCT((AY_SONU!$O$7:$O$42="Evet")*(AY_SONU!$B$7:$B$42=DATE(YEAR($C1968),MONTH($C1968),1))))</f>
        <v>0</v>
      </c>
      <c r="AE1968" s="1" t="str">
        <f>IF($E1968="","",$E1968&amp;"|"&amp;COUNTIFS($E$7:$E1968,$E1968))</f>
        <v/>
      </c>
    </row>
    <row r="1969" spans="1:31" ht="18" customHeight="1" x14ac:dyDescent="0.3">
      <c r="A1969" s="2"/>
      <c r="B1969" s="65" t="str">
        <f>IF($C1969="","","GG"&amp;TEXT(ROW()-6,"00000"))</f>
        <v/>
      </c>
      <c r="C1969" s="66"/>
      <c r="D1969" s="60"/>
      <c r="E1969" s="61"/>
      <c r="F1969" s="61"/>
      <c r="G1969" s="67"/>
      <c r="H1969" s="60"/>
      <c r="I1969" s="60"/>
      <c r="J1969" s="61"/>
      <c r="K1969" s="61"/>
      <c r="L1969" s="60"/>
      <c r="M1969" s="74" t="str">
        <f>IF($C1969="","",IF($D1969="Gider",$E1969,IF($L1969&lt;&gt;"",$L1969,$H1969)))</f>
        <v/>
      </c>
      <c r="N1969" s="74" t="str">
        <f>IF($C1969="","",IF($D1969="Gider",$H1969,$E1969))</f>
        <v/>
      </c>
      <c r="O1969" s="73" t="str">
        <f>IF($C1969="","",DATE(YEAR($C1969),MONTH($C1969),1))</f>
        <v/>
      </c>
      <c r="P1969" s="65" t="str">
        <f ca="1">IF($C1969="","",IF(AND($D1969="Gelir",$L1969&lt;&gt;"",$T1969=""),"TANIMSIZ BORÇLU",IF($T1969&lt;&gt;"",IF(OR($E1969="",$G1969&lt;=0),"EKSİK",IF($I1969="Evet","TAHAKKUK NAKİT OLAMAZ",IF($C1969&gt;TODAY(),"İLERİ TARİH","TAHAKKUK"))),IF(AND($D1969&lt;&gt;"",$E1969&lt;&gt;"",$G1969&gt;0,$H1969&lt;&gt;"",$I1969&lt;&gt;""),IF($C1969&gt;TODAY(),"İLERİ TARİH",IF(COUNTIF($W$7:$W$3001,$W1969)&gt;1,"MÜKERRER?",IF($AD1969&gt;0,"KAPALI DÖNEM",IF($I1969="Hayır","ÖDENECEK","UYGUN")))),"EKSİK"))))</f>
        <v/>
      </c>
      <c r="Q1969" s="2"/>
      <c r="R1969" s="2"/>
      <c r="S1969" s="1" t="str">
        <f t="shared" si="92"/>
        <v/>
      </c>
      <c r="T1969" s="1" t="str">
        <f>IF(OR($C1969="",$D1969&lt;&gt;"Gelir",$L1969=""),"",IFERROR(INDEX(MUSTERILER!$B$7:$B$156,MATCH($S1969,MUSTERILER!$T$7:$T$156,0)),""))</f>
        <v/>
      </c>
      <c r="U1969" s="1" t="str">
        <f>IF($T1969="","",$T1969&amp;"|"&amp;COUNTIFS($T$7:$T1969,$T1969))</f>
        <v/>
      </c>
      <c r="V1969" s="1">
        <f t="shared" si="93"/>
        <v>0</v>
      </c>
      <c r="W1969" s="1" t="str">
        <f t="shared" si="94"/>
        <v/>
      </c>
      <c r="X1969" s="1"/>
      <c r="Y1969" s="1"/>
      <c r="Z1969" s="1"/>
      <c r="AA1969" s="1"/>
      <c r="AB1969" s="1"/>
      <c r="AC1969" s="1"/>
      <c r="AD1969" s="1">
        <f>IF($C1969="",0,SUMPRODUCT((AY_SONU!$O$7:$O$42="Evet")*(AY_SONU!$B$7:$B$42=DATE(YEAR($C1969),MONTH($C1969),1))))</f>
        <v>0</v>
      </c>
      <c r="AE1969" s="1" t="str">
        <f>IF($E1969="","",$E1969&amp;"|"&amp;COUNTIFS($E$7:$E1969,$E1969))</f>
        <v/>
      </c>
    </row>
    <row r="1970" spans="1:31" ht="18" customHeight="1" x14ac:dyDescent="0.3">
      <c r="A1970" s="2"/>
      <c r="B1970" s="65" t="str">
        <f>IF($C1970="","","GG"&amp;TEXT(ROW()-6,"00000"))</f>
        <v/>
      </c>
      <c r="C1970" s="66"/>
      <c r="D1970" s="60"/>
      <c r="E1970" s="61"/>
      <c r="F1970" s="61"/>
      <c r="G1970" s="67"/>
      <c r="H1970" s="60"/>
      <c r="I1970" s="60"/>
      <c r="J1970" s="61"/>
      <c r="K1970" s="61"/>
      <c r="L1970" s="60"/>
      <c r="M1970" s="74" t="str">
        <f>IF($C1970="","",IF($D1970="Gider",$E1970,IF($L1970&lt;&gt;"",$L1970,$H1970)))</f>
        <v/>
      </c>
      <c r="N1970" s="74" t="str">
        <f>IF($C1970="","",IF($D1970="Gider",$H1970,$E1970))</f>
        <v/>
      </c>
      <c r="O1970" s="73" t="str">
        <f>IF($C1970="","",DATE(YEAR($C1970),MONTH($C1970),1))</f>
        <v/>
      </c>
      <c r="P1970" s="65" t="str">
        <f ca="1">IF($C1970="","",IF(AND($D1970="Gelir",$L1970&lt;&gt;"",$T1970=""),"TANIMSIZ BORÇLU",IF($T1970&lt;&gt;"",IF(OR($E1970="",$G1970&lt;=0),"EKSİK",IF($I1970="Evet","TAHAKKUK NAKİT OLAMAZ",IF($C1970&gt;TODAY(),"İLERİ TARİH","TAHAKKUK"))),IF(AND($D1970&lt;&gt;"",$E1970&lt;&gt;"",$G1970&gt;0,$H1970&lt;&gt;"",$I1970&lt;&gt;""),IF($C1970&gt;TODAY(),"İLERİ TARİH",IF(COUNTIF($W$7:$W$3001,$W1970)&gt;1,"MÜKERRER?",IF($AD1970&gt;0,"KAPALI DÖNEM",IF($I1970="Hayır","ÖDENECEK","UYGUN")))),"EKSİK"))))</f>
        <v/>
      </c>
      <c r="Q1970" s="2"/>
      <c r="R1970" s="2"/>
      <c r="S1970" s="1" t="str">
        <f t="shared" si="92"/>
        <v/>
      </c>
      <c r="T1970" s="1" t="str">
        <f>IF(OR($C1970="",$D1970&lt;&gt;"Gelir",$L1970=""),"",IFERROR(INDEX(MUSTERILER!$B$7:$B$156,MATCH($S1970,MUSTERILER!$T$7:$T$156,0)),""))</f>
        <v/>
      </c>
      <c r="U1970" s="1" t="str">
        <f>IF($T1970="","",$T1970&amp;"|"&amp;COUNTIFS($T$7:$T1970,$T1970))</f>
        <v/>
      </c>
      <c r="V1970" s="1">
        <f t="shared" si="93"/>
        <v>0</v>
      </c>
      <c r="W1970" s="1" t="str">
        <f t="shared" si="94"/>
        <v/>
      </c>
      <c r="X1970" s="1"/>
      <c r="Y1970" s="1"/>
      <c r="Z1970" s="1"/>
      <c r="AA1970" s="1"/>
      <c r="AB1970" s="1"/>
      <c r="AC1970" s="1"/>
      <c r="AD1970" s="1">
        <f>IF($C1970="",0,SUMPRODUCT((AY_SONU!$O$7:$O$42="Evet")*(AY_SONU!$B$7:$B$42=DATE(YEAR($C1970),MONTH($C1970),1))))</f>
        <v>0</v>
      </c>
      <c r="AE1970" s="1" t="str">
        <f>IF($E1970="","",$E1970&amp;"|"&amp;COUNTIFS($E$7:$E1970,$E1970))</f>
        <v/>
      </c>
    </row>
    <row r="1971" spans="1:31" ht="18" customHeight="1" x14ac:dyDescent="0.3">
      <c r="A1971" s="2"/>
      <c r="B1971" s="65" t="str">
        <f>IF($C1971="","","GG"&amp;TEXT(ROW()-6,"00000"))</f>
        <v/>
      </c>
      <c r="C1971" s="66"/>
      <c r="D1971" s="60"/>
      <c r="E1971" s="61"/>
      <c r="F1971" s="61"/>
      <c r="G1971" s="67"/>
      <c r="H1971" s="60"/>
      <c r="I1971" s="60"/>
      <c r="J1971" s="61"/>
      <c r="K1971" s="61"/>
      <c r="L1971" s="60"/>
      <c r="M1971" s="74" t="str">
        <f>IF($C1971="","",IF($D1971="Gider",$E1971,IF($L1971&lt;&gt;"",$L1971,$H1971)))</f>
        <v/>
      </c>
      <c r="N1971" s="74" t="str">
        <f>IF($C1971="","",IF($D1971="Gider",$H1971,$E1971))</f>
        <v/>
      </c>
      <c r="O1971" s="73" t="str">
        <f>IF($C1971="","",DATE(YEAR($C1971),MONTH($C1971),1))</f>
        <v/>
      </c>
      <c r="P1971" s="65" t="str">
        <f ca="1">IF($C1971="","",IF(AND($D1971="Gelir",$L1971&lt;&gt;"",$T1971=""),"TANIMSIZ BORÇLU",IF($T1971&lt;&gt;"",IF(OR($E1971="",$G1971&lt;=0),"EKSİK",IF($I1971="Evet","TAHAKKUK NAKİT OLAMAZ",IF($C1971&gt;TODAY(),"İLERİ TARİH","TAHAKKUK"))),IF(AND($D1971&lt;&gt;"",$E1971&lt;&gt;"",$G1971&gt;0,$H1971&lt;&gt;"",$I1971&lt;&gt;""),IF($C1971&gt;TODAY(),"İLERİ TARİH",IF(COUNTIF($W$7:$W$3001,$W1971)&gt;1,"MÜKERRER?",IF($AD1971&gt;0,"KAPALI DÖNEM",IF($I1971="Hayır","ÖDENECEK","UYGUN")))),"EKSİK"))))</f>
        <v/>
      </c>
      <c r="Q1971" s="2"/>
      <c r="R1971" s="2"/>
      <c r="S1971" s="1" t="str">
        <f t="shared" si="92"/>
        <v/>
      </c>
      <c r="T1971" s="1" t="str">
        <f>IF(OR($C1971="",$D1971&lt;&gt;"Gelir",$L1971=""),"",IFERROR(INDEX(MUSTERILER!$B$7:$B$156,MATCH($S1971,MUSTERILER!$T$7:$T$156,0)),""))</f>
        <v/>
      </c>
      <c r="U1971" s="1" t="str">
        <f>IF($T1971="","",$T1971&amp;"|"&amp;COUNTIFS($T$7:$T1971,$T1971))</f>
        <v/>
      </c>
      <c r="V1971" s="1">
        <f t="shared" si="93"/>
        <v>0</v>
      </c>
      <c r="W1971" s="1" t="str">
        <f t="shared" si="94"/>
        <v/>
      </c>
      <c r="X1971" s="1"/>
      <c r="Y1971" s="1"/>
      <c r="Z1971" s="1"/>
      <c r="AA1971" s="1"/>
      <c r="AB1971" s="1"/>
      <c r="AC1971" s="1"/>
      <c r="AD1971" s="1">
        <f>IF($C1971="",0,SUMPRODUCT((AY_SONU!$O$7:$O$42="Evet")*(AY_SONU!$B$7:$B$42=DATE(YEAR($C1971),MONTH($C1971),1))))</f>
        <v>0</v>
      </c>
      <c r="AE1971" s="1" t="str">
        <f>IF($E1971="","",$E1971&amp;"|"&amp;COUNTIFS($E$7:$E1971,$E1971))</f>
        <v/>
      </c>
    </row>
    <row r="1972" spans="1:31" ht="18" customHeight="1" x14ac:dyDescent="0.3">
      <c r="A1972" s="2"/>
      <c r="B1972" s="65" t="str">
        <f>IF($C1972="","","GG"&amp;TEXT(ROW()-6,"00000"))</f>
        <v/>
      </c>
      <c r="C1972" s="66"/>
      <c r="D1972" s="60"/>
      <c r="E1972" s="61"/>
      <c r="F1972" s="61"/>
      <c r="G1972" s="67"/>
      <c r="H1972" s="60"/>
      <c r="I1972" s="60"/>
      <c r="J1972" s="61"/>
      <c r="K1972" s="61"/>
      <c r="L1972" s="60"/>
      <c r="M1972" s="74" t="str">
        <f>IF($C1972="","",IF($D1972="Gider",$E1972,IF($L1972&lt;&gt;"",$L1972,$H1972)))</f>
        <v/>
      </c>
      <c r="N1972" s="74" t="str">
        <f>IF($C1972="","",IF($D1972="Gider",$H1972,$E1972))</f>
        <v/>
      </c>
      <c r="O1972" s="73" t="str">
        <f>IF($C1972="","",DATE(YEAR($C1972),MONTH($C1972),1))</f>
        <v/>
      </c>
      <c r="P1972" s="65" t="str">
        <f ca="1">IF($C1972="","",IF(AND($D1972="Gelir",$L1972&lt;&gt;"",$T1972=""),"TANIMSIZ BORÇLU",IF($T1972&lt;&gt;"",IF(OR($E1972="",$G1972&lt;=0),"EKSİK",IF($I1972="Evet","TAHAKKUK NAKİT OLAMAZ",IF($C1972&gt;TODAY(),"İLERİ TARİH","TAHAKKUK"))),IF(AND($D1972&lt;&gt;"",$E1972&lt;&gt;"",$G1972&gt;0,$H1972&lt;&gt;"",$I1972&lt;&gt;""),IF($C1972&gt;TODAY(),"İLERİ TARİH",IF(COUNTIF($W$7:$W$3001,$W1972)&gt;1,"MÜKERRER?",IF($AD1972&gt;0,"KAPALI DÖNEM",IF($I1972="Hayır","ÖDENECEK","UYGUN")))),"EKSİK"))))</f>
        <v/>
      </c>
      <c r="Q1972" s="2"/>
      <c r="R1972" s="2"/>
      <c r="S1972" s="1" t="str">
        <f t="shared" si="92"/>
        <v/>
      </c>
      <c r="T1972" s="1" t="str">
        <f>IF(OR($C1972="",$D1972&lt;&gt;"Gelir",$L1972=""),"",IFERROR(INDEX(MUSTERILER!$B$7:$B$156,MATCH($S1972,MUSTERILER!$T$7:$T$156,0)),""))</f>
        <v/>
      </c>
      <c r="U1972" s="1" t="str">
        <f>IF($T1972="","",$T1972&amp;"|"&amp;COUNTIFS($T$7:$T1972,$T1972))</f>
        <v/>
      </c>
      <c r="V1972" s="1">
        <f t="shared" si="93"/>
        <v>0</v>
      </c>
      <c r="W1972" s="1" t="str">
        <f t="shared" si="94"/>
        <v/>
      </c>
      <c r="X1972" s="1"/>
      <c r="Y1972" s="1"/>
      <c r="Z1972" s="1"/>
      <c r="AA1972" s="1"/>
      <c r="AB1972" s="1"/>
      <c r="AC1972" s="1"/>
      <c r="AD1972" s="1">
        <f>IF($C1972="",0,SUMPRODUCT((AY_SONU!$O$7:$O$42="Evet")*(AY_SONU!$B$7:$B$42=DATE(YEAR($C1972),MONTH($C1972),1))))</f>
        <v>0</v>
      </c>
      <c r="AE1972" s="1" t="str">
        <f>IF($E1972="","",$E1972&amp;"|"&amp;COUNTIFS($E$7:$E1972,$E1972))</f>
        <v/>
      </c>
    </row>
    <row r="1973" spans="1:31" ht="18" customHeight="1" x14ac:dyDescent="0.3">
      <c r="A1973" s="2"/>
      <c r="B1973" s="65" t="str">
        <f>IF($C1973="","","GG"&amp;TEXT(ROW()-6,"00000"))</f>
        <v/>
      </c>
      <c r="C1973" s="66"/>
      <c r="D1973" s="60"/>
      <c r="E1973" s="61"/>
      <c r="F1973" s="61"/>
      <c r="G1973" s="67"/>
      <c r="H1973" s="60"/>
      <c r="I1973" s="60"/>
      <c r="J1973" s="61"/>
      <c r="K1973" s="61"/>
      <c r="L1973" s="60"/>
      <c r="M1973" s="74" t="str">
        <f>IF($C1973="","",IF($D1973="Gider",$E1973,IF($L1973&lt;&gt;"",$L1973,$H1973)))</f>
        <v/>
      </c>
      <c r="N1973" s="74" t="str">
        <f>IF($C1973="","",IF($D1973="Gider",$H1973,$E1973))</f>
        <v/>
      </c>
      <c r="O1973" s="73" t="str">
        <f>IF($C1973="","",DATE(YEAR($C1973),MONTH($C1973),1))</f>
        <v/>
      </c>
      <c r="P1973" s="65" t="str">
        <f ca="1">IF($C1973="","",IF(AND($D1973="Gelir",$L1973&lt;&gt;"",$T1973=""),"TANIMSIZ BORÇLU",IF($T1973&lt;&gt;"",IF(OR($E1973="",$G1973&lt;=0),"EKSİK",IF($I1973="Evet","TAHAKKUK NAKİT OLAMAZ",IF($C1973&gt;TODAY(),"İLERİ TARİH","TAHAKKUK"))),IF(AND($D1973&lt;&gt;"",$E1973&lt;&gt;"",$G1973&gt;0,$H1973&lt;&gt;"",$I1973&lt;&gt;""),IF($C1973&gt;TODAY(),"İLERİ TARİH",IF(COUNTIF($W$7:$W$3001,$W1973)&gt;1,"MÜKERRER?",IF($AD1973&gt;0,"KAPALI DÖNEM",IF($I1973="Hayır","ÖDENECEK","UYGUN")))),"EKSİK"))))</f>
        <v/>
      </c>
      <c r="Q1973" s="2"/>
      <c r="R1973" s="2"/>
      <c r="S1973" s="1" t="str">
        <f t="shared" si="92"/>
        <v/>
      </c>
      <c r="T1973" s="1" t="str">
        <f>IF(OR($C1973="",$D1973&lt;&gt;"Gelir",$L1973=""),"",IFERROR(INDEX(MUSTERILER!$B$7:$B$156,MATCH($S1973,MUSTERILER!$T$7:$T$156,0)),""))</f>
        <v/>
      </c>
      <c r="U1973" s="1" t="str">
        <f>IF($T1973="","",$T1973&amp;"|"&amp;COUNTIFS($T$7:$T1973,$T1973))</f>
        <v/>
      </c>
      <c r="V1973" s="1">
        <f t="shared" si="93"/>
        <v>0</v>
      </c>
      <c r="W1973" s="1" t="str">
        <f t="shared" si="94"/>
        <v/>
      </c>
      <c r="X1973" s="1"/>
      <c r="Y1973" s="1"/>
      <c r="Z1973" s="1"/>
      <c r="AA1973" s="1"/>
      <c r="AB1973" s="1"/>
      <c r="AC1973" s="1"/>
      <c r="AD1973" s="1">
        <f>IF($C1973="",0,SUMPRODUCT((AY_SONU!$O$7:$O$42="Evet")*(AY_SONU!$B$7:$B$42=DATE(YEAR($C1973),MONTH($C1973),1))))</f>
        <v>0</v>
      </c>
      <c r="AE1973" s="1" t="str">
        <f>IF($E1973="","",$E1973&amp;"|"&amp;COUNTIFS($E$7:$E1973,$E1973))</f>
        <v/>
      </c>
    </row>
    <row r="1974" spans="1:31" ht="18" customHeight="1" x14ac:dyDescent="0.3">
      <c r="A1974" s="2"/>
      <c r="B1974" s="65" t="str">
        <f>IF($C1974="","","GG"&amp;TEXT(ROW()-6,"00000"))</f>
        <v/>
      </c>
      <c r="C1974" s="66"/>
      <c r="D1974" s="60"/>
      <c r="E1974" s="61"/>
      <c r="F1974" s="61"/>
      <c r="G1974" s="67"/>
      <c r="H1974" s="60"/>
      <c r="I1974" s="60"/>
      <c r="J1974" s="61"/>
      <c r="K1974" s="61"/>
      <c r="L1974" s="60"/>
      <c r="M1974" s="74" t="str">
        <f>IF($C1974="","",IF($D1974="Gider",$E1974,IF($L1974&lt;&gt;"",$L1974,$H1974)))</f>
        <v/>
      </c>
      <c r="N1974" s="74" t="str">
        <f>IF($C1974="","",IF($D1974="Gider",$H1974,$E1974))</f>
        <v/>
      </c>
      <c r="O1974" s="73" t="str">
        <f>IF($C1974="","",DATE(YEAR($C1974),MONTH($C1974),1))</f>
        <v/>
      </c>
      <c r="P1974" s="65" t="str">
        <f ca="1">IF($C1974="","",IF(AND($D1974="Gelir",$L1974&lt;&gt;"",$T1974=""),"TANIMSIZ BORÇLU",IF($T1974&lt;&gt;"",IF(OR($E1974="",$G1974&lt;=0),"EKSİK",IF($I1974="Evet","TAHAKKUK NAKİT OLAMAZ",IF($C1974&gt;TODAY(),"İLERİ TARİH","TAHAKKUK"))),IF(AND($D1974&lt;&gt;"",$E1974&lt;&gt;"",$G1974&gt;0,$H1974&lt;&gt;"",$I1974&lt;&gt;""),IF($C1974&gt;TODAY(),"İLERİ TARİH",IF(COUNTIF($W$7:$W$3001,$W1974)&gt;1,"MÜKERRER?",IF($AD1974&gt;0,"KAPALI DÖNEM",IF($I1974="Hayır","ÖDENECEK","UYGUN")))),"EKSİK"))))</f>
        <v/>
      </c>
      <c r="Q1974" s="2"/>
      <c r="R1974" s="2"/>
      <c r="S1974" s="1" t="str">
        <f t="shared" si="92"/>
        <v/>
      </c>
      <c r="T1974" s="1" t="str">
        <f>IF(OR($C1974="",$D1974&lt;&gt;"Gelir",$L1974=""),"",IFERROR(INDEX(MUSTERILER!$B$7:$B$156,MATCH($S1974,MUSTERILER!$T$7:$T$156,0)),""))</f>
        <v/>
      </c>
      <c r="U1974" s="1" t="str">
        <f>IF($T1974="","",$T1974&amp;"|"&amp;COUNTIFS($T$7:$T1974,$T1974))</f>
        <v/>
      </c>
      <c r="V1974" s="1">
        <f t="shared" si="93"/>
        <v>0</v>
      </c>
      <c r="W1974" s="1" t="str">
        <f t="shared" si="94"/>
        <v/>
      </c>
      <c r="X1974" s="1"/>
      <c r="Y1974" s="1"/>
      <c r="Z1974" s="1"/>
      <c r="AA1974" s="1"/>
      <c r="AB1974" s="1"/>
      <c r="AC1974" s="1"/>
      <c r="AD1974" s="1">
        <f>IF($C1974="",0,SUMPRODUCT((AY_SONU!$O$7:$O$42="Evet")*(AY_SONU!$B$7:$B$42=DATE(YEAR($C1974),MONTH($C1974),1))))</f>
        <v>0</v>
      </c>
      <c r="AE1974" s="1" t="str">
        <f>IF($E1974="","",$E1974&amp;"|"&amp;COUNTIFS($E$7:$E1974,$E1974))</f>
        <v/>
      </c>
    </row>
    <row r="1975" spans="1:31" ht="18" customHeight="1" x14ac:dyDescent="0.3">
      <c r="A1975" s="2"/>
      <c r="B1975" s="65" t="str">
        <f>IF($C1975="","","GG"&amp;TEXT(ROW()-6,"00000"))</f>
        <v/>
      </c>
      <c r="C1975" s="66"/>
      <c r="D1975" s="60"/>
      <c r="E1975" s="61"/>
      <c r="F1975" s="61"/>
      <c r="G1975" s="67"/>
      <c r="H1975" s="60"/>
      <c r="I1975" s="60"/>
      <c r="J1975" s="61"/>
      <c r="K1975" s="61"/>
      <c r="L1975" s="60"/>
      <c r="M1975" s="74" t="str">
        <f>IF($C1975="","",IF($D1975="Gider",$E1975,IF($L1975&lt;&gt;"",$L1975,$H1975)))</f>
        <v/>
      </c>
      <c r="N1975" s="74" t="str">
        <f>IF($C1975="","",IF($D1975="Gider",$H1975,$E1975))</f>
        <v/>
      </c>
      <c r="O1975" s="73" t="str">
        <f>IF($C1975="","",DATE(YEAR($C1975),MONTH($C1975),1))</f>
        <v/>
      </c>
      <c r="P1975" s="65" t="str">
        <f ca="1">IF($C1975="","",IF(AND($D1975="Gelir",$L1975&lt;&gt;"",$T1975=""),"TANIMSIZ BORÇLU",IF($T1975&lt;&gt;"",IF(OR($E1975="",$G1975&lt;=0),"EKSİK",IF($I1975="Evet","TAHAKKUK NAKİT OLAMAZ",IF($C1975&gt;TODAY(),"İLERİ TARİH","TAHAKKUK"))),IF(AND($D1975&lt;&gt;"",$E1975&lt;&gt;"",$G1975&gt;0,$H1975&lt;&gt;"",$I1975&lt;&gt;""),IF($C1975&gt;TODAY(),"İLERİ TARİH",IF(COUNTIF($W$7:$W$3001,$W1975)&gt;1,"MÜKERRER?",IF($AD1975&gt;0,"KAPALI DÖNEM",IF($I1975="Hayır","ÖDENECEK","UYGUN")))),"EKSİK"))))</f>
        <v/>
      </c>
      <c r="Q1975" s="2"/>
      <c r="R1975" s="2"/>
      <c r="S1975" s="1" t="str">
        <f t="shared" si="92"/>
        <v/>
      </c>
      <c r="T1975" s="1" t="str">
        <f>IF(OR($C1975="",$D1975&lt;&gt;"Gelir",$L1975=""),"",IFERROR(INDEX(MUSTERILER!$B$7:$B$156,MATCH($S1975,MUSTERILER!$T$7:$T$156,0)),""))</f>
        <v/>
      </c>
      <c r="U1975" s="1" t="str">
        <f>IF($T1975="","",$T1975&amp;"|"&amp;COUNTIFS($T$7:$T1975,$T1975))</f>
        <v/>
      </c>
      <c r="V1975" s="1">
        <f t="shared" si="93"/>
        <v>0</v>
      </c>
      <c r="W1975" s="1" t="str">
        <f t="shared" si="94"/>
        <v/>
      </c>
      <c r="X1975" s="1"/>
      <c r="Y1975" s="1"/>
      <c r="Z1975" s="1"/>
      <c r="AA1975" s="1"/>
      <c r="AB1975" s="1"/>
      <c r="AC1975" s="1"/>
      <c r="AD1975" s="1">
        <f>IF($C1975="",0,SUMPRODUCT((AY_SONU!$O$7:$O$42="Evet")*(AY_SONU!$B$7:$B$42=DATE(YEAR($C1975),MONTH($C1975),1))))</f>
        <v>0</v>
      </c>
      <c r="AE1975" s="1" t="str">
        <f>IF($E1975="","",$E1975&amp;"|"&amp;COUNTIFS($E$7:$E1975,$E1975))</f>
        <v/>
      </c>
    </row>
    <row r="1976" spans="1:31" ht="18" customHeight="1" x14ac:dyDescent="0.3">
      <c r="A1976" s="2"/>
      <c r="B1976" s="65" t="str">
        <f>IF($C1976="","","GG"&amp;TEXT(ROW()-6,"00000"))</f>
        <v/>
      </c>
      <c r="C1976" s="66"/>
      <c r="D1976" s="60"/>
      <c r="E1976" s="61"/>
      <c r="F1976" s="61"/>
      <c r="G1976" s="67"/>
      <c r="H1976" s="60"/>
      <c r="I1976" s="60"/>
      <c r="J1976" s="61"/>
      <c r="K1976" s="61"/>
      <c r="L1976" s="60"/>
      <c r="M1976" s="74" t="str">
        <f>IF($C1976="","",IF($D1976="Gider",$E1976,IF($L1976&lt;&gt;"",$L1976,$H1976)))</f>
        <v/>
      </c>
      <c r="N1976" s="74" t="str">
        <f>IF($C1976="","",IF($D1976="Gider",$H1976,$E1976))</f>
        <v/>
      </c>
      <c r="O1976" s="73" t="str">
        <f>IF($C1976="","",DATE(YEAR($C1976),MONTH($C1976),1))</f>
        <v/>
      </c>
      <c r="P1976" s="65" t="str">
        <f ca="1">IF($C1976="","",IF(AND($D1976="Gelir",$L1976&lt;&gt;"",$T1976=""),"TANIMSIZ BORÇLU",IF($T1976&lt;&gt;"",IF(OR($E1976="",$G1976&lt;=0),"EKSİK",IF($I1976="Evet","TAHAKKUK NAKİT OLAMAZ",IF($C1976&gt;TODAY(),"İLERİ TARİH","TAHAKKUK"))),IF(AND($D1976&lt;&gt;"",$E1976&lt;&gt;"",$G1976&gt;0,$H1976&lt;&gt;"",$I1976&lt;&gt;""),IF($C1976&gt;TODAY(),"İLERİ TARİH",IF(COUNTIF($W$7:$W$3001,$W1976)&gt;1,"MÜKERRER?",IF($AD1976&gt;0,"KAPALI DÖNEM",IF($I1976="Hayır","ÖDENECEK","UYGUN")))),"EKSİK"))))</f>
        <v/>
      </c>
      <c r="Q1976" s="2"/>
      <c r="R1976" s="2"/>
      <c r="S1976" s="1" t="str">
        <f t="shared" si="92"/>
        <v/>
      </c>
      <c r="T1976" s="1" t="str">
        <f>IF(OR($C1976="",$D1976&lt;&gt;"Gelir",$L1976=""),"",IFERROR(INDEX(MUSTERILER!$B$7:$B$156,MATCH($S1976,MUSTERILER!$T$7:$T$156,0)),""))</f>
        <v/>
      </c>
      <c r="U1976" s="1" t="str">
        <f>IF($T1976="","",$T1976&amp;"|"&amp;COUNTIFS($T$7:$T1976,$T1976))</f>
        <v/>
      </c>
      <c r="V1976" s="1">
        <f t="shared" si="93"/>
        <v>0</v>
      </c>
      <c r="W1976" s="1" t="str">
        <f t="shared" si="94"/>
        <v/>
      </c>
      <c r="X1976" s="1"/>
      <c r="Y1976" s="1"/>
      <c r="Z1976" s="1"/>
      <c r="AA1976" s="1"/>
      <c r="AB1976" s="1"/>
      <c r="AC1976" s="1"/>
      <c r="AD1976" s="1">
        <f>IF($C1976="",0,SUMPRODUCT((AY_SONU!$O$7:$O$42="Evet")*(AY_SONU!$B$7:$B$42=DATE(YEAR($C1976),MONTH($C1976),1))))</f>
        <v>0</v>
      </c>
      <c r="AE1976" s="1" t="str">
        <f>IF($E1976="","",$E1976&amp;"|"&amp;COUNTIFS($E$7:$E1976,$E1976))</f>
        <v/>
      </c>
    </row>
    <row r="1977" spans="1:31" ht="18" customHeight="1" x14ac:dyDescent="0.3">
      <c r="A1977" s="2"/>
      <c r="B1977" s="65" t="str">
        <f>IF($C1977="","","GG"&amp;TEXT(ROW()-6,"00000"))</f>
        <v/>
      </c>
      <c r="C1977" s="66"/>
      <c r="D1977" s="60"/>
      <c r="E1977" s="61"/>
      <c r="F1977" s="61"/>
      <c r="G1977" s="67"/>
      <c r="H1977" s="60"/>
      <c r="I1977" s="60"/>
      <c r="J1977" s="61"/>
      <c r="K1977" s="61"/>
      <c r="L1977" s="60"/>
      <c r="M1977" s="74" t="str">
        <f>IF($C1977="","",IF($D1977="Gider",$E1977,IF($L1977&lt;&gt;"",$L1977,$H1977)))</f>
        <v/>
      </c>
      <c r="N1977" s="74" t="str">
        <f>IF($C1977="","",IF($D1977="Gider",$H1977,$E1977))</f>
        <v/>
      </c>
      <c r="O1977" s="73" t="str">
        <f>IF($C1977="","",DATE(YEAR($C1977),MONTH($C1977),1))</f>
        <v/>
      </c>
      <c r="P1977" s="65" t="str">
        <f ca="1">IF($C1977="","",IF(AND($D1977="Gelir",$L1977&lt;&gt;"",$T1977=""),"TANIMSIZ BORÇLU",IF($T1977&lt;&gt;"",IF(OR($E1977="",$G1977&lt;=0),"EKSİK",IF($I1977="Evet","TAHAKKUK NAKİT OLAMAZ",IF($C1977&gt;TODAY(),"İLERİ TARİH","TAHAKKUK"))),IF(AND($D1977&lt;&gt;"",$E1977&lt;&gt;"",$G1977&gt;0,$H1977&lt;&gt;"",$I1977&lt;&gt;""),IF($C1977&gt;TODAY(),"İLERİ TARİH",IF(COUNTIF($W$7:$W$3001,$W1977)&gt;1,"MÜKERRER?",IF($AD1977&gt;0,"KAPALI DÖNEM",IF($I1977="Hayır","ÖDENECEK","UYGUN")))),"EKSİK"))))</f>
        <v/>
      </c>
      <c r="Q1977" s="2"/>
      <c r="R1977" s="2"/>
      <c r="S1977" s="1" t="str">
        <f t="shared" si="92"/>
        <v/>
      </c>
      <c r="T1977" s="1" t="str">
        <f>IF(OR($C1977="",$D1977&lt;&gt;"Gelir",$L1977=""),"",IFERROR(INDEX(MUSTERILER!$B$7:$B$156,MATCH($S1977,MUSTERILER!$T$7:$T$156,0)),""))</f>
        <v/>
      </c>
      <c r="U1977" s="1" t="str">
        <f>IF($T1977="","",$T1977&amp;"|"&amp;COUNTIFS($T$7:$T1977,$T1977))</f>
        <v/>
      </c>
      <c r="V1977" s="1">
        <f t="shared" si="93"/>
        <v>0</v>
      </c>
      <c r="W1977" s="1" t="str">
        <f t="shared" si="94"/>
        <v/>
      </c>
      <c r="X1977" s="1"/>
      <c r="Y1977" s="1"/>
      <c r="Z1977" s="1"/>
      <c r="AA1977" s="1"/>
      <c r="AB1977" s="1"/>
      <c r="AC1977" s="1"/>
      <c r="AD1977" s="1">
        <f>IF($C1977="",0,SUMPRODUCT((AY_SONU!$O$7:$O$42="Evet")*(AY_SONU!$B$7:$B$42=DATE(YEAR($C1977),MONTH($C1977),1))))</f>
        <v>0</v>
      </c>
      <c r="AE1977" s="1" t="str">
        <f>IF($E1977="","",$E1977&amp;"|"&amp;COUNTIFS($E$7:$E1977,$E1977))</f>
        <v/>
      </c>
    </row>
    <row r="1978" spans="1:31" ht="18" customHeight="1" x14ac:dyDescent="0.3">
      <c r="A1978" s="2"/>
      <c r="B1978" s="65" t="str">
        <f>IF($C1978="","","GG"&amp;TEXT(ROW()-6,"00000"))</f>
        <v/>
      </c>
      <c r="C1978" s="66"/>
      <c r="D1978" s="60"/>
      <c r="E1978" s="61"/>
      <c r="F1978" s="61"/>
      <c r="G1978" s="67"/>
      <c r="H1978" s="60"/>
      <c r="I1978" s="60"/>
      <c r="J1978" s="61"/>
      <c r="K1978" s="61"/>
      <c r="L1978" s="60"/>
      <c r="M1978" s="74" t="str">
        <f>IF($C1978="","",IF($D1978="Gider",$E1978,IF($L1978&lt;&gt;"",$L1978,$H1978)))</f>
        <v/>
      </c>
      <c r="N1978" s="74" t="str">
        <f>IF($C1978="","",IF($D1978="Gider",$H1978,$E1978))</f>
        <v/>
      </c>
      <c r="O1978" s="73" t="str">
        <f>IF($C1978="","",DATE(YEAR($C1978),MONTH($C1978),1))</f>
        <v/>
      </c>
      <c r="P1978" s="65" t="str">
        <f ca="1">IF($C1978="","",IF(AND($D1978="Gelir",$L1978&lt;&gt;"",$T1978=""),"TANIMSIZ BORÇLU",IF($T1978&lt;&gt;"",IF(OR($E1978="",$G1978&lt;=0),"EKSİK",IF($I1978="Evet","TAHAKKUK NAKİT OLAMAZ",IF($C1978&gt;TODAY(),"İLERİ TARİH","TAHAKKUK"))),IF(AND($D1978&lt;&gt;"",$E1978&lt;&gt;"",$G1978&gt;0,$H1978&lt;&gt;"",$I1978&lt;&gt;""),IF($C1978&gt;TODAY(),"İLERİ TARİH",IF(COUNTIF($W$7:$W$3001,$W1978)&gt;1,"MÜKERRER?",IF($AD1978&gt;0,"KAPALI DÖNEM",IF($I1978="Hayır","ÖDENECEK","UYGUN")))),"EKSİK"))))</f>
        <v/>
      </c>
      <c r="Q1978" s="2"/>
      <c r="R1978" s="2"/>
      <c r="S1978" s="1" t="str">
        <f t="shared" si="92"/>
        <v/>
      </c>
      <c r="T1978" s="1" t="str">
        <f>IF(OR($C1978="",$D1978&lt;&gt;"Gelir",$L1978=""),"",IFERROR(INDEX(MUSTERILER!$B$7:$B$156,MATCH($S1978,MUSTERILER!$T$7:$T$156,0)),""))</f>
        <v/>
      </c>
      <c r="U1978" s="1" t="str">
        <f>IF($T1978="","",$T1978&amp;"|"&amp;COUNTIFS($T$7:$T1978,$T1978))</f>
        <v/>
      </c>
      <c r="V1978" s="1">
        <f t="shared" si="93"/>
        <v>0</v>
      </c>
      <c r="W1978" s="1" t="str">
        <f t="shared" si="94"/>
        <v/>
      </c>
      <c r="X1978" s="1"/>
      <c r="Y1978" s="1"/>
      <c r="Z1978" s="1"/>
      <c r="AA1978" s="1"/>
      <c r="AB1978" s="1"/>
      <c r="AC1978" s="1"/>
      <c r="AD1978" s="1">
        <f>IF($C1978="",0,SUMPRODUCT((AY_SONU!$O$7:$O$42="Evet")*(AY_SONU!$B$7:$B$42=DATE(YEAR($C1978),MONTH($C1978),1))))</f>
        <v>0</v>
      </c>
      <c r="AE1978" s="1" t="str">
        <f>IF($E1978="","",$E1978&amp;"|"&amp;COUNTIFS($E$7:$E1978,$E1978))</f>
        <v/>
      </c>
    </row>
    <row r="1979" spans="1:31" ht="18" customHeight="1" x14ac:dyDescent="0.3">
      <c r="A1979" s="2"/>
      <c r="B1979" s="65" t="str">
        <f>IF($C1979="","","GG"&amp;TEXT(ROW()-6,"00000"))</f>
        <v/>
      </c>
      <c r="C1979" s="66"/>
      <c r="D1979" s="60"/>
      <c r="E1979" s="61"/>
      <c r="F1979" s="61"/>
      <c r="G1979" s="67"/>
      <c r="H1979" s="60"/>
      <c r="I1979" s="60"/>
      <c r="J1979" s="61"/>
      <c r="K1979" s="61"/>
      <c r="L1979" s="60"/>
      <c r="M1979" s="74" t="str">
        <f>IF($C1979="","",IF($D1979="Gider",$E1979,IF($L1979&lt;&gt;"",$L1979,$H1979)))</f>
        <v/>
      </c>
      <c r="N1979" s="74" t="str">
        <f>IF($C1979="","",IF($D1979="Gider",$H1979,$E1979))</f>
        <v/>
      </c>
      <c r="O1979" s="73" t="str">
        <f>IF($C1979="","",DATE(YEAR($C1979),MONTH($C1979),1))</f>
        <v/>
      </c>
      <c r="P1979" s="65" t="str">
        <f ca="1">IF($C1979="","",IF(AND($D1979="Gelir",$L1979&lt;&gt;"",$T1979=""),"TANIMSIZ BORÇLU",IF($T1979&lt;&gt;"",IF(OR($E1979="",$G1979&lt;=0),"EKSİK",IF($I1979="Evet","TAHAKKUK NAKİT OLAMAZ",IF($C1979&gt;TODAY(),"İLERİ TARİH","TAHAKKUK"))),IF(AND($D1979&lt;&gt;"",$E1979&lt;&gt;"",$G1979&gt;0,$H1979&lt;&gt;"",$I1979&lt;&gt;""),IF($C1979&gt;TODAY(),"İLERİ TARİH",IF(COUNTIF($W$7:$W$3001,$W1979)&gt;1,"MÜKERRER?",IF($AD1979&gt;0,"KAPALI DÖNEM",IF($I1979="Hayır","ÖDENECEK","UYGUN")))),"EKSİK"))))</f>
        <v/>
      </c>
      <c r="Q1979" s="2"/>
      <c r="R1979" s="2"/>
      <c r="S1979" s="1" t="str">
        <f t="shared" si="92"/>
        <v/>
      </c>
      <c r="T1979" s="1" t="str">
        <f>IF(OR($C1979="",$D1979&lt;&gt;"Gelir",$L1979=""),"",IFERROR(INDEX(MUSTERILER!$B$7:$B$156,MATCH($S1979,MUSTERILER!$T$7:$T$156,0)),""))</f>
        <v/>
      </c>
      <c r="U1979" s="1" t="str">
        <f>IF($T1979="","",$T1979&amp;"|"&amp;COUNTIFS($T$7:$T1979,$T1979))</f>
        <v/>
      </c>
      <c r="V1979" s="1">
        <f t="shared" si="93"/>
        <v>0</v>
      </c>
      <c r="W1979" s="1" t="str">
        <f t="shared" si="94"/>
        <v/>
      </c>
      <c r="X1979" s="1"/>
      <c r="Y1979" s="1"/>
      <c r="Z1979" s="1"/>
      <c r="AA1979" s="1"/>
      <c r="AB1979" s="1"/>
      <c r="AC1979" s="1"/>
      <c r="AD1979" s="1">
        <f>IF($C1979="",0,SUMPRODUCT((AY_SONU!$O$7:$O$42="Evet")*(AY_SONU!$B$7:$B$42=DATE(YEAR($C1979),MONTH($C1979),1))))</f>
        <v>0</v>
      </c>
      <c r="AE1979" s="1" t="str">
        <f>IF($E1979="","",$E1979&amp;"|"&amp;COUNTIFS($E$7:$E1979,$E1979))</f>
        <v/>
      </c>
    </row>
    <row r="1980" spans="1:31" ht="18" customHeight="1" x14ac:dyDescent="0.3">
      <c r="A1980" s="2"/>
      <c r="B1980" s="65" t="str">
        <f>IF($C1980="","","GG"&amp;TEXT(ROW()-6,"00000"))</f>
        <v/>
      </c>
      <c r="C1980" s="66"/>
      <c r="D1980" s="60"/>
      <c r="E1980" s="61"/>
      <c r="F1980" s="61"/>
      <c r="G1980" s="67"/>
      <c r="H1980" s="60"/>
      <c r="I1980" s="60"/>
      <c r="J1980" s="61"/>
      <c r="K1980" s="61"/>
      <c r="L1980" s="60"/>
      <c r="M1980" s="74" t="str">
        <f>IF($C1980="","",IF($D1980="Gider",$E1980,IF($L1980&lt;&gt;"",$L1980,$H1980)))</f>
        <v/>
      </c>
      <c r="N1980" s="74" t="str">
        <f>IF($C1980="","",IF($D1980="Gider",$H1980,$E1980))</f>
        <v/>
      </c>
      <c r="O1980" s="73" t="str">
        <f>IF($C1980="","",DATE(YEAR($C1980),MONTH($C1980),1))</f>
        <v/>
      </c>
      <c r="P1980" s="65" t="str">
        <f ca="1">IF($C1980="","",IF(AND($D1980="Gelir",$L1980&lt;&gt;"",$T1980=""),"TANIMSIZ BORÇLU",IF($T1980&lt;&gt;"",IF(OR($E1980="",$G1980&lt;=0),"EKSİK",IF($I1980="Evet","TAHAKKUK NAKİT OLAMAZ",IF($C1980&gt;TODAY(),"İLERİ TARİH","TAHAKKUK"))),IF(AND($D1980&lt;&gt;"",$E1980&lt;&gt;"",$G1980&gt;0,$H1980&lt;&gt;"",$I1980&lt;&gt;""),IF($C1980&gt;TODAY(),"İLERİ TARİH",IF(COUNTIF($W$7:$W$3001,$W1980)&gt;1,"MÜKERRER?",IF($AD1980&gt;0,"KAPALI DÖNEM",IF($I1980="Hayır","ÖDENECEK","UYGUN")))),"EKSİK"))))</f>
        <v/>
      </c>
      <c r="Q1980" s="2"/>
      <c r="R1980" s="2"/>
      <c r="S1980" s="1" t="str">
        <f t="shared" si="92"/>
        <v/>
      </c>
      <c r="T1980" s="1" t="str">
        <f>IF(OR($C1980="",$D1980&lt;&gt;"Gelir",$L1980=""),"",IFERROR(INDEX(MUSTERILER!$B$7:$B$156,MATCH($S1980,MUSTERILER!$T$7:$T$156,0)),""))</f>
        <v/>
      </c>
      <c r="U1980" s="1" t="str">
        <f>IF($T1980="","",$T1980&amp;"|"&amp;COUNTIFS($T$7:$T1980,$T1980))</f>
        <v/>
      </c>
      <c r="V1980" s="1">
        <f t="shared" si="93"/>
        <v>0</v>
      </c>
      <c r="W1980" s="1" t="str">
        <f t="shared" si="94"/>
        <v/>
      </c>
      <c r="X1980" s="1"/>
      <c r="Y1980" s="1"/>
      <c r="Z1980" s="1"/>
      <c r="AA1980" s="1"/>
      <c r="AB1980" s="1"/>
      <c r="AC1980" s="1"/>
      <c r="AD1980" s="1">
        <f>IF($C1980="",0,SUMPRODUCT((AY_SONU!$O$7:$O$42="Evet")*(AY_SONU!$B$7:$B$42=DATE(YEAR($C1980),MONTH($C1980),1))))</f>
        <v>0</v>
      </c>
      <c r="AE1980" s="1" t="str">
        <f>IF($E1980="","",$E1980&amp;"|"&amp;COUNTIFS($E$7:$E1980,$E1980))</f>
        <v/>
      </c>
    </row>
    <row r="1981" spans="1:31" ht="18" customHeight="1" x14ac:dyDescent="0.3">
      <c r="A1981" s="2"/>
      <c r="B1981" s="65" t="str">
        <f>IF($C1981="","","GG"&amp;TEXT(ROW()-6,"00000"))</f>
        <v/>
      </c>
      <c r="C1981" s="66"/>
      <c r="D1981" s="60"/>
      <c r="E1981" s="61"/>
      <c r="F1981" s="61"/>
      <c r="G1981" s="67"/>
      <c r="H1981" s="60"/>
      <c r="I1981" s="60"/>
      <c r="J1981" s="61"/>
      <c r="K1981" s="61"/>
      <c r="L1981" s="60"/>
      <c r="M1981" s="74" t="str">
        <f>IF($C1981="","",IF($D1981="Gider",$E1981,IF($L1981&lt;&gt;"",$L1981,$H1981)))</f>
        <v/>
      </c>
      <c r="N1981" s="74" t="str">
        <f>IF($C1981="","",IF($D1981="Gider",$H1981,$E1981))</f>
        <v/>
      </c>
      <c r="O1981" s="73" t="str">
        <f>IF($C1981="","",DATE(YEAR($C1981),MONTH($C1981),1))</f>
        <v/>
      </c>
      <c r="P1981" s="65" t="str">
        <f ca="1">IF($C1981="","",IF(AND($D1981="Gelir",$L1981&lt;&gt;"",$T1981=""),"TANIMSIZ BORÇLU",IF($T1981&lt;&gt;"",IF(OR($E1981="",$G1981&lt;=0),"EKSİK",IF($I1981="Evet","TAHAKKUK NAKİT OLAMAZ",IF($C1981&gt;TODAY(),"İLERİ TARİH","TAHAKKUK"))),IF(AND($D1981&lt;&gt;"",$E1981&lt;&gt;"",$G1981&gt;0,$H1981&lt;&gt;"",$I1981&lt;&gt;""),IF($C1981&gt;TODAY(),"İLERİ TARİH",IF(COUNTIF($W$7:$W$3001,$W1981)&gt;1,"MÜKERRER?",IF($AD1981&gt;0,"KAPALI DÖNEM",IF($I1981="Hayır","ÖDENECEK","UYGUN")))),"EKSİK"))))</f>
        <v/>
      </c>
      <c r="Q1981" s="2"/>
      <c r="R1981" s="2"/>
      <c r="S1981" s="1" t="str">
        <f t="shared" si="92"/>
        <v/>
      </c>
      <c r="T1981" s="1" t="str">
        <f>IF(OR($C1981="",$D1981&lt;&gt;"Gelir",$L1981=""),"",IFERROR(INDEX(MUSTERILER!$B$7:$B$156,MATCH($S1981,MUSTERILER!$T$7:$T$156,0)),""))</f>
        <v/>
      </c>
      <c r="U1981" s="1" t="str">
        <f>IF($T1981="","",$T1981&amp;"|"&amp;COUNTIFS($T$7:$T1981,$T1981))</f>
        <v/>
      </c>
      <c r="V1981" s="1">
        <f t="shared" si="93"/>
        <v>0</v>
      </c>
      <c r="W1981" s="1" t="str">
        <f t="shared" si="94"/>
        <v/>
      </c>
      <c r="X1981" s="1"/>
      <c r="Y1981" s="1"/>
      <c r="Z1981" s="1"/>
      <c r="AA1981" s="1"/>
      <c r="AB1981" s="1"/>
      <c r="AC1981" s="1"/>
      <c r="AD1981" s="1">
        <f>IF($C1981="",0,SUMPRODUCT((AY_SONU!$O$7:$O$42="Evet")*(AY_SONU!$B$7:$B$42=DATE(YEAR($C1981),MONTH($C1981),1))))</f>
        <v>0</v>
      </c>
      <c r="AE1981" s="1" t="str">
        <f>IF($E1981="","",$E1981&amp;"|"&amp;COUNTIFS($E$7:$E1981,$E1981))</f>
        <v/>
      </c>
    </row>
    <row r="1982" spans="1:31" ht="18" customHeight="1" x14ac:dyDescent="0.3">
      <c r="A1982" s="2"/>
      <c r="B1982" s="65" t="str">
        <f>IF($C1982="","","GG"&amp;TEXT(ROW()-6,"00000"))</f>
        <v/>
      </c>
      <c r="C1982" s="66"/>
      <c r="D1982" s="60"/>
      <c r="E1982" s="61"/>
      <c r="F1982" s="61"/>
      <c r="G1982" s="67"/>
      <c r="H1982" s="60"/>
      <c r="I1982" s="60"/>
      <c r="J1982" s="61"/>
      <c r="K1982" s="61"/>
      <c r="L1982" s="60"/>
      <c r="M1982" s="74" t="str">
        <f>IF($C1982="","",IF($D1982="Gider",$E1982,IF($L1982&lt;&gt;"",$L1982,$H1982)))</f>
        <v/>
      </c>
      <c r="N1982" s="74" t="str">
        <f>IF($C1982="","",IF($D1982="Gider",$H1982,$E1982))</f>
        <v/>
      </c>
      <c r="O1982" s="73" t="str">
        <f>IF($C1982="","",DATE(YEAR($C1982),MONTH($C1982),1))</f>
        <v/>
      </c>
      <c r="P1982" s="65" t="str">
        <f ca="1">IF($C1982="","",IF(AND($D1982="Gelir",$L1982&lt;&gt;"",$T1982=""),"TANIMSIZ BORÇLU",IF($T1982&lt;&gt;"",IF(OR($E1982="",$G1982&lt;=0),"EKSİK",IF($I1982="Evet","TAHAKKUK NAKİT OLAMAZ",IF($C1982&gt;TODAY(),"İLERİ TARİH","TAHAKKUK"))),IF(AND($D1982&lt;&gt;"",$E1982&lt;&gt;"",$G1982&gt;0,$H1982&lt;&gt;"",$I1982&lt;&gt;""),IF($C1982&gt;TODAY(),"İLERİ TARİH",IF(COUNTIF($W$7:$W$3001,$W1982)&gt;1,"MÜKERRER?",IF($AD1982&gt;0,"KAPALI DÖNEM",IF($I1982="Hayır","ÖDENECEK","UYGUN")))),"EKSİK"))))</f>
        <v/>
      </c>
      <c r="Q1982" s="2"/>
      <c r="R1982" s="2"/>
      <c r="S1982" s="1" t="str">
        <f t="shared" si="92"/>
        <v/>
      </c>
      <c r="T1982" s="1" t="str">
        <f>IF(OR($C1982="",$D1982&lt;&gt;"Gelir",$L1982=""),"",IFERROR(INDEX(MUSTERILER!$B$7:$B$156,MATCH($S1982,MUSTERILER!$T$7:$T$156,0)),""))</f>
        <v/>
      </c>
      <c r="U1982" s="1" t="str">
        <f>IF($T1982="","",$T1982&amp;"|"&amp;COUNTIFS($T$7:$T1982,$T1982))</f>
        <v/>
      </c>
      <c r="V1982" s="1">
        <f t="shared" si="93"/>
        <v>0</v>
      </c>
      <c r="W1982" s="1" t="str">
        <f t="shared" si="94"/>
        <v/>
      </c>
      <c r="X1982" s="1"/>
      <c r="Y1982" s="1"/>
      <c r="Z1982" s="1"/>
      <c r="AA1982" s="1"/>
      <c r="AB1982" s="1"/>
      <c r="AC1982" s="1"/>
      <c r="AD1982" s="1">
        <f>IF($C1982="",0,SUMPRODUCT((AY_SONU!$O$7:$O$42="Evet")*(AY_SONU!$B$7:$B$42=DATE(YEAR($C1982),MONTH($C1982),1))))</f>
        <v>0</v>
      </c>
      <c r="AE1982" s="1" t="str">
        <f>IF($E1982="","",$E1982&amp;"|"&amp;COUNTIFS($E$7:$E1982,$E1982))</f>
        <v/>
      </c>
    </row>
    <row r="1983" spans="1:31" ht="18" customHeight="1" x14ac:dyDescent="0.3">
      <c r="A1983" s="2"/>
      <c r="B1983" s="65" t="str">
        <f>IF($C1983="","","GG"&amp;TEXT(ROW()-6,"00000"))</f>
        <v/>
      </c>
      <c r="C1983" s="66"/>
      <c r="D1983" s="60"/>
      <c r="E1983" s="61"/>
      <c r="F1983" s="61"/>
      <c r="G1983" s="67"/>
      <c r="H1983" s="60"/>
      <c r="I1983" s="60"/>
      <c r="J1983" s="61"/>
      <c r="K1983" s="61"/>
      <c r="L1983" s="60"/>
      <c r="M1983" s="74" t="str">
        <f>IF($C1983="","",IF($D1983="Gider",$E1983,IF($L1983&lt;&gt;"",$L1983,$H1983)))</f>
        <v/>
      </c>
      <c r="N1983" s="74" t="str">
        <f>IF($C1983="","",IF($D1983="Gider",$H1983,$E1983))</f>
        <v/>
      </c>
      <c r="O1983" s="73" t="str">
        <f>IF($C1983="","",DATE(YEAR($C1983),MONTH($C1983),1))</f>
        <v/>
      </c>
      <c r="P1983" s="65" t="str">
        <f ca="1">IF($C1983="","",IF(AND($D1983="Gelir",$L1983&lt;&gt;"",$T1983=""),"TANIMSIZ BORÇLU",IF($T1983&lt;&gt;"",IF(OR($E1983="",$G1983&lt;=0),"EKSİK",IF($I1983="Evet","TAHAKKUK NAKİT OLAMAZ",IF($C1983&gt;TODAY(),"İLERİ TARİH","TAHAKKUK"))),IF(AND($D1983&lt;&gt;"",$E1983&lt;&gt;"",$G1983&gt;0,$H1983&lt;&gt;"",$I1983&lt;&gt;""),IF($C1983&gt;TODAY(),"İLERİ TARİH",IF(COUNTIF($W$7:$W$3001,$W1983)&gt;1,"MÜKERRER?",IF($AD1983&gt;0,"KAPALI DÖNEM",IF($I1983="Hayır","ÖDENECEK","UYGUN")))),"EKSİK"))))</f>
        <v/>
      </c>
      <c r="Q1983" s="2"/>
      <c r="R1983" s="2"/>
      <c r="S1983" s="1" t="str">
        <f t="shared" si="92"/>
        <v/>
      </c>
      <c r="T1983" s="1" t="str">
        <f>IF(OR($C1983="",$D1983&lt;&gt;"Gelir",$L1983=""),"",IFERROR(INDEX(MUSTERILER!$B$7:$B$156,MATCH($S1983,MUSTERILER!$T$7:$T$156,0)),""))</f>
        <v/>
      </c>
      <c r="U1983" s="1" t="str">
        <f>IF($T1983="","",$T1983&amp;"|"&amp;COUNTIFS($T$7:$T1983,$T1983))</f>
        <v/>
      </c>
      <c r="V1983" s="1">
        <f t="shared" si="93"/>
        <v>0</v>
      </c>
      <c r="W1983" s="1" t="str">
        <f t="shared" si="94"/>
        <v/>
      </c>
      <c r="X1983" s="1"/>
      <c r="Y1983" s="1"/>
      <c r="Z1983" s="1"/>
      <c r="AA1983" s="1"/>
      <c r="AB1983" s="1"/>
      <c r="AC1983" s="1"/>
      <c r="AD1983" s="1">
        <f>IF($C1983="",0,SUMPRODUCT((AY_SONU!$O$7:$O$42="Evet")*(AY_SONU!$B$7:$B$42=DATE(YEAR($C1983),MONTH($C1983),1))))</f>
        <v>0</v>
      </c>
      <c r="AE1983" s="1" t="str">
        <f>IF($E1983="","",$E1983&amp;"|"&amp;COUNTIFS($E$7:$E1983,$E1983))</f>
        <v/>
      </c>
    </row>
    <row r="1984" spans="1:31" ht="18" customHeight="1" x14ac:dyDescent="0.3">
      <c r="A1984" s="2"/>
      <c r="B1984" s="65" t="str">
        <f>IF($C1984="","","GG"&amp;TEXT(ROW()-6,"00000"))</f>
        <v/>
      </c>
      <c r="C1984" s="66"/>
      <c r="D1984" s="60"/>
      <c r="E1984" s="61"/>
      <c r="F1984" s="61"/>
      <c r="G1984" s="67"/>
      <c r="H1984" s="60"/>
      <c r="I1984" s="60"/>
      <c r="J1984" s="61"/>
      <c r="K1984" s="61"/>
      <c r="L1984" s="60"/>
      <c r="M1984" s="74" t="str">
        <f>IF($C1984="","",IF($D1984="Gider",$E1984,IF($L1984&lt;&gt;"",$L1984,$H1984)))</f>
        <v/>
      </c>
      <c r="N1984" s="74" t="str">
        <f>IF($C1984="","",IF($D1984="Gider",$H1984,$E1984))</f>
        <v/>
      </c>
      <c r="O1984" s="73" t="str">
        <f>IF($C1984="","",DATE(YEAR($C1984),MONTH($C1984),1))</f>
        <v/>
      </c>
      <c r="P1984" s="65" t="str">
        <f ca="1">IF($C1984="","",IF(AND($D1984="Gelir",$L1984&lt;&gt;"",$T1984=""),"TANIMSIZ BORÇLU",IF($T1984&lt;&gt;"",IF(OR($E1984="",$G1984&lt;=0),"EKSİK",IF($I1984="Evet","TAHAKKUK NAKİT OLAMAZ",IF($C1984&gt;TODAY(),"İLERİ TARİH","TAHAKKUK"))),IF(AND($D1984&lt;&gt;"",$E1984&lt;&gt;"",$G1984&gt;0,$H1984&lt;&gt;"",$I1984&lt;&gt;""),IF($C1984&gt;TODAY(),"İLERİ TARİH",IF(COUNTIF($W$7:$W$3001,$W1984)&gt;1,"MÜKERRER?",IF($AD1984&gt;0,"KAPALI DÖNEM",IF($I1984="Hayır","ÖDENECEK","UYGUN")))),"EKSİK"))))</f>
        <v/>
      </c>
      <c r="Q1984" s="2"/>
      <c r="R1984" s="2"/>
      <c r="S1984" s="1" t="str">
        <f t="shared" si="92"/>
        <v/>
      </c>
      <c r="T1984" s="1" t="str">
        <f>IF(OR($C1984="",$D1984&lt;&gt;"Gelir",$L1984=""),"",IFERROR(INDEX(MUSTERILER!$B$7:$B$156,MATCH($S1984,MUSTERILER!$T$7:$T$156,0)),""))</f>
        <v/>
      </c>
      <c r="U1984" s="1" t="str">
        <f>IF($T1984="","",$T1984&amp;"|"&amp;COUNTIFS($T$7:$T1984,$T1984))</f>
        <v/>
      </c>
      <c r="V1984" s="1">
        <f t="shared" si="93"/>
        <v>0</v>
      </c>
      <c r="W1984" s="1" t="str">
        <f t="shared" si="94"/>
        <v/>
      </c>
      <c r="X1984" s="1"/>
      <c r="Y1984" s="1"/>
      <c r="Z1984" s="1"/>
      <c r="AA1984" s="1"/>
      <c r="AB1984" s="1"/>
      <c r="AC1984" s="1"/>
      <c r="AD1984" s="1">
        <f>IF($C1984="",0,SUMPRODUCT((AY_SONU!$O$7:$O$42="Evet")*(AY_SONU!$B$7:$B$42=DATE(YEAR($C1984),MONTH($C1984),1))))</f>
        <v>0</v>
      </c>
      <c r="AE1984" s="1" t="str">
        <f>IF($E1984="","",$E1984&amp;"|"&amp;COUNTIFS($E$7:$E1984,$E1984))</f>
        <v/>
      </c>
    </row>
    <row r="1985" spans="1:31" ht="18" customHeight="1" x14ac:dyDescent="0.3">
      <c r="A1985" s="2"/>
      <c r="B1985" s="65" t="str">
        <f>IF($C1985="","","GG"&amp;TEXT(ROW()-6,"00000"))</f>
        <v/>
      </c>
      <c r="C1985" s="66"/>
      <c r="D1985" s="60"/>
      <c r="E1985" s="61"/>
      <c r="F1985" s="61"/>
      <c r="G1985" s="67"/>
      <c r="H1985" s="60"/>
      <c r="I1985" s="60"/>
      <c r="J1985" s="61"/>
      <c r="K1985" s="61"/>
      <c r="L1985" s="60"/>
      <c r="M1985" s="74" t="str">
        <f>IF($C1985="","",IF($D1985="Gider",$E1985,IF($L1985&lt;&gt;"",$L1985,$H1985)))</f>
        <v/>
      </c>
      <c r="N1985" s="74" t="str">
        <f>IF($C1985="","",IF($D1985="Gider",$H1985,$E1985))</f>
        <v/>
      </c>
      <c r="O1985" s="73" t="str">
        <f>IF($C1985="","",DATE(YEAR($C1985),MONTH($C1985),1))</f>
        <v/>
      </c>
      <c r="P1985" s="65" t="str">
        <f ca="1">IF($C1985="","",IF(AND($D1985="Gelir",$L1985&lt;&gt;"",$T1985=""),"TANIMSIZ BORÇLU",IF($T1985&lt;&gt;"",IF(OR($E1985="",$G1985&lt;=0),"EKSİK",IF($I1985="Evet","TAHAKKUK NAKİT OLAMAZ",IF($C1985&gt;TODAY(),"İLERİ TARİH","TAHAKKUK"))),IF(AND($D1985&lt;&gt;"",$E1985&lt;&gt;"",$G1985&gt;0,$H1985&lt;&gt;"",$I1985&lt;&gt;""),IF($C1985&gt;TODAY(),"İLERİ TARİH",IF(COUNTIF($W$7:$W$3001,$W1985)&gt;1,"MÜKERRER?",IF($AD1985&gt;0,"KAPALI DÖNEM",IF($I1985="Hayır","ÖDENECEK","UYGUN")))),"EKSİK"))))</f>
        <v/>
      </c>
      <c r="Q1985" s="2"/>
      <c r="R1985" s="2"/>
      <c r="S1985" s="1" t="str">
        <f t="shared" si="92"/>
        <v/>
      </c>
      <c r="T1985" s="1" t="str">
        <f>IF(OR($C1985="",$D1985&lt;&gt;"Gelir",$L1985=""),"",IFERROR(INDEX(MUSTERILER!$B$7:$B$156,MATCH($S1985,MUSTERILER!$T$7:$T$156,0)),""))</f>
        <v/>
      </c>
      <c r="U1985" s="1" t="str">
        <f>IF($T1985="","",$T1985&amp;"|"&amp;COUNTIFS($T$7:$T1985,$T1985))</f>
        <v/>
      </c>
      <c r="V1985" s="1">
        <f t="shared" si="93"/>
        <v>0</v>
      </c>
      <c r="W1985" s="1" t="str">
        <f t="shared" si="94"/>
        <v/>
      </c>
      <c r="X1985" s="1"/>
      <c r="Y1985" s="1"/>
      <c r="Z1985" s="1"/>
      <c r="AA1985" s="1"/>
      <c r="AB1985" s="1"/>
      <c r="AC1985" s="1"/>
      <c r="AD1985" s="1">
        <f>IF($C1985="",0,SUMPRODUCT((AY_SONU!$O$7:$O$42="Evet")*(AY_SONU!$B$7:$B$42=DATE(YEAR($C1985),MONTH($C1985),1))))</f>
        <v>0</v>
      </c>
      <c r="AE1985" s="1" t="str">
        <f>IF($E1985="","",$E1985&amp;"|"&amp;COUNTIFS($E$7:$E1985,$E1985))</f>
        <v/>
      </c>
    </row>
    <row r="1986" spans="1:31" ht="18" customHeight="1" x14ac:dyDescent="0.3">
      <c r="A1986" s="2"/>
      <c r="B1986" s="65" t="str">
        <f>IF($C1986="","","GG"&amp;TEXT(ROW()-6,"00000"))</f>
        <v/>
      </c>
      <c r="C1986" s="66"/>
      <c r="D1986" s="60"/>
      <c r="E1986" s="61"/>
      <c r="F1986" s="61"/>
      <c r="G1986" s="67"/>
      <c r="H1986" s="60"/>
      <c r="I1986" s="60"/>
      <c r="J1986" s="61"/>
      <c r="K1986" s="61"/>
      <c r="L1986" s="60"/>
      <c r="M1986" s="74" t="str">
        <f>IF($C1986="","",IF($D1986="Gider",$E1986,IF($L1986&lt;&gt;"",$L1986,$H1986)))</f>
        <v/>
      </c>
      <c r="N1986" s="74" t="str">
        <f>IF($C1986="","",IF($D1986="Gider",$H1986,$E1986))</f>
        <v/>
      </c>
      <c r="O1986" s="73" t="str">
        <f>IF($C1986="","",DATE(YEAR($C1986),MONTH($C1986),1))</f>
        <v/>
      </c>
      <c r="P1986" s="65" t="str">
        <f ca="1">IF($C1986="","",IF(AND($D1986="Gelir",$L1986&lt;&gt;"",$T1986=""),"TANIMSIZ BORÇLU",IF($T1986&lt;&gt;"",IF(OR($E1986="",$G1986&lt;=0),"EKSİK",IF($I1986="Evet","TAHAKKUK NAKİT OLAMAZ",IF($C1986&gt;TODAY(),"İLERİ TARİH","TAHAKKUK"))),IF(AND($D1986&lt;&gt;"",$E1986&lt;&gt;"",$G1986&gt;0,$H1986&lt;&gt;"",$I1986&lt;&gt;""),IF($C1986&gt;TODAY(),"İLERİ TARİH",IF(COUNTIF($W$7:$W$3001,$W1986)&gt;1,"MÜKERRER?",IF($AD1986&gt;0,"KAPALI DÖNEM",IF($I1986="Hayır","ÖDENECEK","UYGUN")))),"EKSİK"))))</f>
        <v/>
      </c>
      <c r="Q1986" s="2"/>
      <c r="R1986" s="2"/>
      <c r="S1986" s="1" t="str">
        <f t="shared" si="92"/>
        <v/>
      </c>
      <c r="T1986" s="1" t="str">
        <f>IF(OR($C1986="",$D1986&lt;&gt;"Gelir",$L1986=""),"",IFERROR(INDEX(MUSTERILER!$B$7:$B$156,MATCH($S1986,MUSTERILER!$T$7:$T$156,0)),""))</f>
        <v/>
      </c>
      <c r="U1986" s="1" t="str">
        <f>IF($T1986="","",$T1986&amp;"|"&amp;COUNTIFS($T$7:$T1986,$T1986))</f>
        <v/>
      </c>
      <c r="V1986" s="1">
        <f t="shared" si="93"/>
        <v>0</v>
      </c>
      <c r="W1986" s="1" t="str">
        <f t="shared" si="94"/>
        <v/>
      </c>
      <c r="X1986" s="1"/>
      <c r="Y1986" s="1"/>
      <c r="Z1986" s="1"/>
      <c r="AA1986" s="1"/>
      <c r="AB1986" s="1"/>
      <c r="AC1986" s="1"/>
      <c r="AD1986" s="1">
        <f>IF($C1986="",0,SUMPRODUCT((AY_SONU!$O$7:$O$42="Evet")*(AY_SONU!$B$7:$B$42=DATE(YEAR($C1986),MONTH($C1986),1))))</f>
        <v>0</v>
      </c>
      <c r="AE1986" s="1" t="str">
        <f>IF($E1986="","",$E1986&amp;"|"&amp;COUNTIFS($E$7:$E1986,$E1986))</f>
        <v/>
      </c>
    </row>
    <row r="1987" spans="1:31" ht="18" customHeight="1" x14ac:dyDescent="0.3">
      <c r="A1987" s="2"/>
      <c r="B1987" s="65" t="str">
        <f>IF($C1987="","","GG"&amp;TEXT(ROW()-6,"00000"))</f>
        <v/>
      </c>
      <c r="C1987" s="66"/>
      <c r="D1987" s="60"/>
      <c r="E1987" s="61"/>
      <c r="F1987" s="61"/>
      <c r="G1987" s="67"/>
      <c r="H1987" s="60"/>
      <c r="I1987" s="60"/>
      <c r="J1987" s="61"/>
      <c r="K1987" s="61"/>
      <c r="L1987" s="60"/>
      <c r="M1987" s="74" t="str">
        <f>IF($C1987="","",IF($D1987="Gider",$E1987,IF($L1987&lt;&gt;"",$L1987,$H1987)))</f>
        <v/>
      </c>
      <c r="N1987" s="74" t="str">
        <f>IF($C1987="","",IF($D1987="Gider",$H1987,$E1987))</f>
        <v/>
      </c>
      <c r="O1987" s="73" t="str">
        <f>IF($C1987="","",DATE(YEAR($C1987),MONTH($C1987),1))</f>
        <v/>
      </c>
      <c r="P1987" s="65" t="str">
        <f ca="1">IF($C1987="","",IF(AND($D1987="Gelir",$L1987&lt;&gt;"",$T1987=""),"TANIMSIZ BORÇLU",IF($T1987&lt;&gt;"",IF(OR($E1987="",$G1987&lt;=0),"EKSİK",IF($I1987="Evet","TAHAKKUK NAKİT OLAMAZ",IF($C1987&gt;TODAY(),"İLERİ TARİH","TAHAKKUK"))),IF(AND($D1987&lt;&gt;"",$E1987&lt;&gt;"",$G1987&gt;0,$H1987&lt;&gt;"",$I1987&lt;&gt;""),IF($C1987&gt;TODAY(),"İLERİ TARİH",IF(COUNTIF($W$7:$W$3001,$W1987)&gt;1,"MÜKERRER?",IF($AD1987&gt;0,"KAPALI DÖNEM",IF($I1987="Hayır","ÖDENECEK","UYGUN")))),"EKSİK"))))</f>
        <v/>
      </c>
      <c r="Q1987" s="2"/>
      <c r="R1987" s="2"/>
      <c r="S1987" s="1" t="str">
        <f t="shared" si="92"/>
        <v/>
      </c>
      <c r="T1987" s="1" t="str">
        <f>IF(OR($C1987="",$D1987&lt;&gt;"Gelir",$L1987=""),"",IFERROR(INDEX(MUSTERILER!$B$7:$B$156,MATCH($S1987,MUSTERILER!$T$7:$T$156,0)),""))</f>
        <v/>
      </c>
      <c r="U1987" s="1" t="str">
        <f>IF($T1987="","",$T1987&amp;"|"&amp;COUNTIFS($T$7:$T1987,$T1987))</f>
        <v/>
      </c>
      <c r="V1987" s="1">
        <f t="shared" si="93"/>
        <v>0</v>
      </c>
      <c r="W1987" s="1" t="str">
        <f t="shared" si="94"/>
        <v/>
      </c>
      <c r="X1987" s="1"/>
      <c r="Y1987" s="1"/>
      <c r="Z1987" s="1"/>
      <c r="AA1987" s="1"/>
      <c r="AB1987" s="1"/>
      <c r="AC1987" s="1"/>
      <c r="AD1987" s="1">
        <f>IF($C1987="",0,SUMPRODUCT((AY_SONU!$O$7:$O$42="Evet")*(AY_SONU!$B$7:$B$42=DATE(YEAR($C1987),MONTH($C1987),1))))</f>
        <v>0</v>
      </c>
      <c r="AE1987" s="1" t="str">
        <f>IF($E1987="","",$E1987&amp;"|"&amp;COUNTIFS($E$7:$E1987,$E1987))</f>
        <v/>
      </c>
    </row>
    <row r="1988" spans="1:31" ht="18" customHeight="1" x14ac:dyDescent="0.3">
      <c r="A1988" s="2"/>
      <c r="B1988" s="65" t="str">
        <f>IF($C1988="","","GG"&amp;TEXT(ROW()-6,"00000"))</f>
        <v/>
      </c>
      <c r="C1988" s="66"/>
      <c r="D1988" s="60"/>
      <c r="E1988" s="61"/>
      <c r="F1988" s="61"/>
      <c r="G1988" s="67"/>
      <c r="H1988" s="60"/>
      <c r="I1988" s="60"/>
      <c r="J1988" s="61"/>
      <c r="K1988" s="61"/>
      <c r="L1988" s="60"/>
      <c r="M1988" s="74" t="str">
        <f>IF($C1988="","",IF($D1988="Gider",$E1988,IF($L1988&lt;&gt;"",$L1988,$H1988)))</f>
        <v/>
      </c>
      <c r="N1988" s="74" t="str">
        <f>IF($C1988="","",IF($D1988="Gider",$H1988,$E1988))</f>
        <v/>
      </c>
      <c r="O1988" s="73" t="str">
        <f>IF($C1988="","",DATE(YEAR($C1988),MONTH($C1988),1))</f>
        <v/>
      </c>
      <c r="P1988" s="65" t="str">
        <f ca="1">IF($C1988="","",IF(AND($D1988="Gelir",$L1988&lt;&gt;"",$T1988=""),"TANIMSIZ BORÇLU",IF($T1988&lt;&gt;"",IF(OR($E1988="",$G1988&lt;=0),"EKSİK",IF($I1988="Evet","TAHAKKUK NAKİT OLAMAZ",IF($C1988&gt;TODAY(),"İLERİ TARİH","TAHAKKUK"))),IF(AND($D1988&lt;&gt;"",$E1988&lt;&gt;"",$G1988&gt;0,$H1988&lt;&gt;"",$I1988&lt;&gt;""),IF($C1988&gt;TODAY(),"İLERİ TARİH",IF(COUNTIF($W$7:$W$3001,$W1988)&gt;1,"MÜKERRER?",IF($AD1988&gt;0,"KAPALI DÖNEM",IF($I1988="Hayır","ÖDENECEK","UYGUN")))),"EKSİK"))))</f>
        <v/>
      </c>
      <c r="Q1988" s="2"/>
      <c r="R1988" s="2"/>
      <c r="S1988" s="1" t="str">
        <f t="shared" si="92"/>
        <v/>
      </c>
      <c r="T1988" s="1" t="str">
        <f>IF(OR($C1988="",$D1988&lt;&gt;"Gelir",$L1988=""),"",IFERROR(INDEX(MUSTERILER!$B$7:$B$156,MATCH($S1988,MUSTERILER!$T$7:$T$156,0)),""))</f>
        <v/>
      </c>
      <c r="U1988" s="1" t="str">
        <f>IF($T1988="","",$T1988&amp;"|"&amp;COUNTIFS($T$7:$T1988,$T1988))</f>
        <v/>
      </c>
      <c r="V1988" s="1">
        <f t="shared" si="93"/>
        <v>0</v>
      </c>
      <c r="W1988" s="1" t="str">
        <f t="shared" si="94"/>
        <v/>
      </c>
      <c r="X1988" s="1"/>
      <c r="Y1988" s="1"/>
      <c r="Z1988" s="1"/>
      <c r="AA1988" s="1"/>
      <c r="AB1988" s="1"/>
      <c r="AC1988" s="1"/>
      <c r="AD1988" s="1">
        <f>IF($C1988="",0,SUMPRODUCT((AY_SONU!$O$7:$O$42="Evet")*(AY_SONU!$B$7:$B$42=DATE(YEAR($C1988),MONTH($C1988),1))))</f>
        <v>0</v>
      </c>
      <c r="AE1988" s="1" t="str">
        <f>IF($E1988="","",$E1988&amp;"|"&amp;COUNTIFS($E$7:$E1988,$E1988))</f>
        <v/>
      </c>
    </row>
    <row r="1989" spans="1:31" ht="18" customHeight="1" x14ac:dyDescent="0.3">
      <c r="A1989" s="2"/>
      <c r="B1989" s="65" t="str">
        <f>IF($C1989="","","GG"&amp;TEXT(ROW()-6,"00000"))</f>
        <v/>
      </c>
      <c r="C1989" s="66"/>
      <c r="D1989" s="60"/>
      <c r="E1989" s="61"/>
      <c r="F1989" s="61"/>
      <c r="G1989" s="67"/>
      <c r="H1989" s="60"/>
      <c r="I1989" s="60"/>
      <c r="J1989" s="61"/>
      <c r="K1989" s="61"/>
      <c r="L1989" s="60"/>
      <c r="M1989" s="74" t="str">
        <f>IF($C1989="","",IF($D1989="Gider",$E1989,IF($L1989&lt;&gt;"",$L1989,$H1989)))</f>
        <v/>
      </c>
      <c r="N1989" s="74" t="str">
        <f>IF($C1989="","",IF($D1989="Gider",$H1989,$E1989))</f>
        <v/>
      </c>
      <c r="O1989" s="73" t="str">
        <f>IF($C1989="","",DATE(YEAR($C1989),MONTH($C1989),1))</f>
        <v/>
      </c>
      <c r="P1989" s="65" t="str">
        <f ca="1">IF($C1989="","",IF(AND($D1989="Gelir",$L1989&lt;&gt;"",$T1989=""),"TANIMSIZ BORÇLU",IF($T1989&lt;&gt;"",IF(OR($E1989="",$G1989&lt;=0),"EKSİK",IF($I1989="Evet","TAHAKKUK NAKİT OLAMAZ",IF($C1989&gt;TODAY(),"İLERİ TARİH","TAHAKKUK"))),IF(AND($D1989&lt;&gt;"",$E1989&lt;&gt;"",$G1989&gt;0,$H1989&lt;&gt;"",$I1989&lt;&gt;""),IF($C1989&gt;TODAY(),"İLERİ TARİH",IF(COUNTIF($W$7:$W$3001,$W1989)&gt;1,"MÜKERRER?",IF($AD1989&gt;0,"KAPALI DÖNEM",IF($I1989="Hayır","ÖDENECEK","UYGUN")))),"EKSİK"))))</f>
        <v/>
      </c>
      <c r="Q1989" s="2"/>
      <c r="R1989" s="2"/>
      <c r="S1989" s="1" t="str">
        <f t="shared" ref="S1989:S2052" si="95">IF($L1989="","",UPPER(SUBSTITUTE(SUBSTITUTE(SUBSTITUTE(SUBSTITUTE(SUBSTITUTE(SUBSTITUTE(SUBSTITUTE(SUBSTITUTE(SUBSTITUTE(SUBSTITUTE(SUBSTITUTE(SUBSTITUTE(SUBSTITUTE(SUBSTITUTE(SUBSTITUTE(SUBSTITUTE(SUBSTITUTE(SUBSTITUTE(TRIM($L1989),"'",""),"İ","I"),"ı","I"),"i","I"),"Ş","S"),"ş","S"),"Ğ","G"),"ğ","G"),"Ü","U"),"ü","U"),"Ö","O"),"ö","O"),"Ç","C"),"ç","C"),".",""),",","")," ",""),"-","")))</f>
        <v/>
      </c>
      <c r="T1989" s="1" t="str">
        <f>IF(OR($C1989="",$D1989&lt;&gt;"Gelir",$L1989=""),"",IFERROR(INDEX(MUSTERILER!$B$7:$B$156,MATCH($S1989,MUSTERILER!$T$7:$T$156,0)),""))</f>
        <v/>
      </c>
      <c r="U1989" s="1" t="str">
        <f>IF($T1989="","",$T1989&amp;"|"&amp;COUNTIFS($T$7:$T1989,$T1989))</f>
        <v/>
      </c>
      <c r="V1989" s="1">
        <f t="shared" ref="V1989:V2052" si="96">IF($T1989="",0,1)</f>
        <v>0</v>
      </c>
      <c r="W1989" s="1" t="str">
        <f t="shared" ref="W1989:W2052" si="97">IF($C1989="","",$D1989&amp;"|"&amp;$E1989&amp;"|"&amp;TEXT($C1989,"0")&amp;"|"&amp;TEXT($G1989,"0")&amp;"|"&amp;$F1989&amp;"|"&amp;$J1989)</f>
        <v/>
      </c>
      <c r="X1989" s="1"/>
      <c r="Y1989" s="1"/>
      <c r="Z1989" s="1"/>
      <c r="AA1989" s="1"/>
      <c r="AB1989" s="1"/>
      <c r="AC1989" s="1"/>
      <c r="AD1989" s="1">
        <f>IF($C1989="",0,SUMPRODUCT((AY_SONU!$O$7:$O$42="Evet")*(AY_SONU!$B$7:$B$42=DATE(YEAR($C1989),MONTH($C1989),1))))</f>
        <v>0</v>
      </c>
      <c r="AE1989" s="1" t="str">
        <f>IF($E1989="","",$E1989&amp;"|"&amp;COUNTIFS($E$7:$E1989,$E1989))</f>
        <v/>
      </c>
    </row>
    <row r="1990" spans="1:31" ht="18" customHeight="1" x14ac:dyDescent="0.3">
      <c r="A1990" s="2"/>
      <c r="B1990" s="65" t="str">
        <f>IF($C1990="","","GG"&amp;TEXT(ROW()-6,"00000"))</f>
        <v/>
      </c>
      <c r="C1990" s="66"/>
      <c r="D1990" s="60"/>
      <c r="E1990" s="61"/>
      <c r="F1990" s="61"/>
      <c r="G1990" s="67"/>
      <c r="H1990" s="60"/>
      <c r="I1990" s="60"/>
      <c r="J1990" s="61"/>
      <c r="K1990" s="61"/>
      <c r="L1990" s="60"/>
      <c r="M1990" s="74" t="str">
        <f>IF($C1990="","",IF($D1990="Gider",$E1990,IF($L1990&lt;&gt;"",$L1990,$H1990)))</f>
        <v/>
      </c>
      <c r="N1990" s="74" t="str">
        <f>IF($C1990="","",IF($D1990="Gider",$H1990,$E1990))</f>
        <v/>
      </c>
      <c r="O1990" s="73" t="str">
        <f>IF($C1990="","",DATE(YEAR($C1990),MONTH($C1990),1))</f>
        <v/>
      </c>
      <c r="P1990" s="65" t="str">
        <f ca="1">IF($C1990="","",IF(AND($D1990="Gelir",$L1990&lt;&gt;"",$T1990=""),"TANIMSIZ BORÇLU",IF($T1990&lt;&gt;"",IF(OR($E1990="",$G1990&lt;=0),"EKSİK",IF($I1990="Evet","TAHAKKUK NAKİT OLAMAZ",IF($C1990&gt;TODAY(),"İLERİ TARİH","TAHAKKUK"))),IF(AND($D1990&lt;&gt;"",$E1990&lt;&gt;"",$G1990&gt;0,$H1990&lt;&gt;"",$I1990&lt;&gt;""),IF($C1990&gt;TODAY(),"İLERİ TARİH",IF(COUNTIF($W$7:$W$3001,$W1990)&gt;1,"MÜKERRER?",IF($AD1990&gt;0,"KAPALI DÖNEM",IF($I1990="Hayır","ÖDENECEK","UYGUN")))),"EKSİK"))))</f>
        <v/>
      </c>
      <c r="Q1990" s="2"/>
      <c r="R1990" s="2"/>
      <c r="S1990" s="1" t="str">
        <f t="shared" si="95"/>
        <v/>
      </c>
      <c r="T1990" s="1" t="str">
        <f>IF(OR($C1990="",$D1990&lt;&gt;"Gelir",$L1990=""),"",IFERROR(INDEX(MUSTERILER!$B$7:$B$156,MATCH($S1990,MUSTERILER!$T$7:$T$156,0)),""))</f>
        <v/>
      </c>
      <c r="U1990" s="1" t="str">
        <f>IF($T1990="","",$T1990&amp;"|"&amp;COUNTIFS($T$7:$T1990,$T1990))</f>
        <v/>
      </c>
      <c r="V1990" s="1">
        <f t="shared" si="96"/>
        <v>0</v>
      </c>
      <c r="W1990" s="1" t="str">
        <f t="shared" si="97"/>
        <v/>
      </c>
      <c r="X1990" s="1"/>
      <c r="Y1990" s="1"/>
      <c r="Z1990" s="1"/>
      <c r="AA1990" s="1"/>
      <c r="AB1990" s="1"/>
      <c r="AC1990" s="1"/>
      <c r="AD1990" s="1">
        <f>IF($C1990="",0,SUMPRODUCT((AY_SONU!$O$7:$O$42="Evet")*(AY_SONU!$B$7:$B$42=DATE(YEAR($C1990),MONTH($C1990),1))))</f>
        <v>0</v>
      </c>
      <c r="AE1990" s="1" t="str">
        <f>IF($E1990="","",$E1990&amp;"|"&amp;COUNTIFS($E$7:$E1990,$E1990))</f>
        <v/>
      </c>
    </row>
    <row r="1991" spans="1:31" ht="18" customHeight="1" x14ac:dyDescent="0.3">
      <c r="A1991" s="2"/>
      <c r="B1991" s="65" t="str">
        <f>IF($C1991="","","GG"&amp;TEXT(ROW()-6,"00000"))</f>
        <v/>
      </c>
      <c r="C1991" s="66"/>
      <c r="D1991" s="60"/>
      <c r="E1991" s="61"/>
      <c r="F1991" s="61"/>
      <c r="G1991" s="67"/>
      <c r="H1991" s="60"/>
      <c r="I1991" s="60"/>
      <c r="J1991" s="61"/>
      <c r="K1991" s="61"/>
      <c r="L1991" s="60"/>
      <c r="M1991" s="74" t="str">
        <f>IF($C1991="","",IF($D1991="Gider",$E1991,IF($L1991&lt;&gt;"",$L1991,$H1991)))</f>
        <v/>
      </c>
      <c r="N1991" s="74" t="str">
        <f>IF($C1991="","",IF($D1991="Gider",$H1991,$E1991))</f>
        <v/>
      </c>
      <c r="O1991" s="73" t="str">
        <f>IF($C1991="","",DATE(YEAR($C1991),MONTH($C1991),1))</f>
        <v/>
      </c>
      <c r="P1991" s="65" t="str">
        <f ca="1"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TARİH",IF(COUNTIF($W$7:$W$3001,$W1991)&gt;1,"MÜKERRER?",IF($AD1991&gt;0,"KAPALI DÖNEM",IF($I1991="Hayır","ÖDENECEK","UYGUN")))),"EKSİK"))))</f>
        <v/>
      </c>
      <c r="Q1991" s="2"/>
      <c r="R1991" s="2"/>
      <c r="S1991" s="1" t="str">
        <f t="shared" si="95"/>
        <v/>
      </c>
      <c r="T1991" s="1" t="str">
        <f>IF(OR($C1991="",$D1991&lt;&gt;"Gelir",$L1991=""),"",IFERROR(INDEX(MUSTERILER!$B$7:$B$156,MATCH($S1991,MUSTERILER!$T$7:$T$156,0)),""))</f>
        <v/>
      </c>
      <c r="U1991" s="1" t="str">
        <f>IF($T1991="","",$T1991&amp;"|"&amp;COUNTIFS($T$7:$T1991,$T1991))</f>
        <v/>
      </c>
      <c r="V1991" s="1">
        <f t="shared" si="96"/>
        <v>0</v>
      </c>
      <c r="W1991" s="1" t="str">
        <f t="shared" si="97"/>
        <v/>
      </c>
      <c r="X1991" s="1"/>
      <c r="Y1991" s="1"/>
      <c r="Z1991" s="1"/>
      <c r="AA1991" s="1"/>
      <c r="AB1991" s="1"/>
      <c r="AC1991" s="1"/>
      <c r="AD1991" s="1">
        <f>IF($C1991="",0,SUMPRODUCT((AY_SONU!$O$7:$O$42="Evet")*(AY_SONU!$B$7:$B$42=DATE(YEAR($C1991),MONTH($C1991),1))))</f>
        <v>0</v>
      </c>
      <c r="AE1991" s="1" t="str">
        <f>IF($E1991="","",$E1991&amp;"|"&amp;COUNTIFS($E$7:$E1991,$E1991))</f>
        <v/>
      </c>
    </row>
    <row r="1992" spans="1:31" ht="18" customHeight="1" x14ac:dyDescent="0.3">
      <c r="A1992" s="2"/>
      <c r="B1992" s="65" t="str">
        <f>IF($C1992="","","GG"&amp;TEXT(ROW()-6,"00000"))</f>
        <v/>
      </c>
      <c r="C1992" s="66"/>
      <c r="D1992" s="60"/>
      <c r="E1992" s="61"/>
      <c r="F1992" s="61"/>
      <c r="G1992" s="67"/>
      <c r="H1992" s="60"/>
      <c r="I1992" s="60"/>
      <c r="J1992" s="61"/>
      <c r="K1992" s="61"/>
      <c r="L1992" s="60"/>
      <c r="M1992" s="74" t="str">
        <f>IF($C1992="","",IF($D1992="Gider",$E1992,IF($L1992&lt;&gt;"",$L1992,$H1992)))</f>
        <v/>
      </c>
      <c r="N1992" s="74" t="str">
        <f>IF($C1992="","",IF($D1992="Gider",$H1992,$E1992))</f>
        <v/>
      </c>
      <c r="O1992" s="73" t="str">
        <f>IF($C1992="","",DATE(YEAR($C1992),MONTH($C1992),1))</f>
        <v/>
      </c>
      <c r="P1992" s="65" t="str">
        <f ca="1">IF($C1992="","",IF(AND($D1992="Gelir",$L1992&lt;&gt;"",$T1992=""),"TANIMSIZ BORÇLU",IF($T1992&lt;&gt;"",IF(OR($E1992="",$G1992&lt;=0),"EKSİK",IF($I1992="Evet","TAHAKKUK NAKİT OLAMAZ",IF($C1992&gt;TODAY(),"İLERİ TARİH","TAHAKKUK"))),IF(AND($D1992&lt;&gt;"",$E1992&lt;&gt;"",$G1992&gt;0,$H1992&lt;&gt;"",$I1992&lt;&gt;""),IF($C1992&gt;TODAY(),"İLERİ TARİH",IF(COUNTIF($W$7:$W$3001,$W1992)&gt;1,"MÜKERRER?",IF($AD1992&gt;0,"KAPALI DÖNEM",IF($I1992="Hayır","ÖDENECEK","UYGUN")))),"EKSİK"))))</f>
        <v/>
      </c>
      <c r="Q1992" s="2"/>
      <c r="R1992" s="2"/>
      <c r="S1992" s="1" t="str">
        <f t="shared" si="95"/>
        <v/>
      </c>
      <c r="T1992" s="1" t="str">
        <f>IF(OR($C1992="",$D1992&lt;&gt;"Gelir",$L1992=""),"",IFERROR(INDEX(MUSTERILER!$B$7:$B$156,MATCH($S1992,MUSTERILER!$T$7:$T$156,0)),""))</f>
        <v/>
      </c>
      <c r="U1992" s="1" t="str">
        <f>IF($T1992="","",$T1992&amp;"|"&amp;COUNTIFS($T$7:$T1992,$T1992))</f>
        <v/>
      </c>
      <c r="V1992" s="1">
        <f t="shared" si="96"/>
        <v>0</v>
      </c>
      <c r="W1992" s="1" t="str">
        <f t="shared" si="97"/>
        <v/>
      </c>
      <c r="X1992" s="1"/>
      <c r="Y1992" s="1"/>
      <c r="Z1992" s="1"/>
      <c r="AA1992" s="1"/>
      <c r="AB1992" s="1"/>
      <c r="AC1992" s="1"/>
      <c r="AD1992" s="1">
        <f>IF($C1992="",0,SUMPRODUCT((AY_SONU!$O$7:$O$42="Evet")*(AY_SONU!$B$7:$B$42=DATE(YEAR($C1992),MONTH($C1992),1))))</f>
        <v>0</v>
      </c>
      <c r="AE1992" s="1" t="str">
        <f>IF($E1992="","",$E1992&amp;"|"&amp;COUNTIFS($E$7:$E1992,$E1992))</f>
        <v/>
      </c>
    </row>
    <row r="1993" spans="1:31" ht="18" customHeight="1" x14ac:dyDescent="0.3">
      <c r="A1993" s="2"/>
      <c r="B1993" s="65" t="str">
        <f>IF($C1993="","","GG"&amp;TEXT(ROW()-6,"00000"))</f>
        <v/>
      </c>
      <c r="C1993" s="66"/>
      <c r="D1993" s="60"/>
      <c r="E1993" s="61"/>
      <c r="F1993" s="61"/>
      <c r="G1993" s="67"/>
      <c r="H1993" s="60"/>
      <c r="I1993" s="60"/>
      <c r="J1993" s="61"/>
      <c r="K1993" s="61"/>
      <c r="L1993" s="60"/>
      <c r="M1993" s="74" t="str">
        <f>IF($C1993="","",IF($D1993="Gider",$E1993,IF($L1993&lt;&gt;"",$L1993,$H1993)))</f>
        <v/>
      </c>
      <c r="N1993" s="74" t="str">
        <f>IF($C1993="","",IF($D1993="Gider",$H1993,$E1993))</f>
        <v/>
      </c>
      <c r="O1993" s="73" t="str">
        <f>IF($C1993="","",DATE(YEAR($C1993),MONTH($C1993),1))</f>
        <v/>
      </c>
      <c r="P1993" s="65" t="str">
        <f ca="1">IF($C1993="","",IF(AND($D1993="Gelir",$L1993&lt;&gt;"",$T1993=""),"TANIMSIZ BORÇLU",IF($T1993&lt;&gt;"",IF(OR($E1993="",$G1993&lt;=0),"EKSİK",IF($I1993="Evet","TAHAKKUK NAKİT OLAMAZ",IF($C1993&gt;TODAY(),"İLERİ TARİH","TAHAKKUK"))),IF(AND($D1993&lt;&gt;"",$E1993&lt;&gt;"",$G1993&gt;0,$H1993&lt;&gt;"",$I1993&lt;&gt;""),IF($C1993&gt;TODAY(),"İLERİ TARİH",IF(COUNTIF($W$7:$W$3001,$W1993)&gt;1,"MÜKERRER?",IF($AD1993&gt;0,"KAPALI DÖNEM",IF($I1993="Hayır","ÖDENECEK","UYGUN")))),"EKSİK"))))</f>
        <v/>
      </c>
      <c r="Q1993" s="2"/>
      <c r="R1993" s="2"/>
      <c r="S1993" s="1" t="str">
        <f t="shared" si="95"/>
        <v/>
      </c>
      <c r="T1993" s="1" t="str">
        <f>IF(OR($C1993="",$D1993&lt;&gt;"Gelir",$L1993=""),"",IFERROR(INDEX(MUSTERILER!$B$7:$B$156,MATCH($S1993,MUSTERILER!$T$7:$T$156,0)),""))</f>
        <v/>
      </c>
      <c r="U1993" s="1" t="str">
        <f>IF($T1993="","",$T1993&amp;"|"&amp;COUNTIFS($T$7:$T1993,$T1993))</f>
        <v/>
      </c>
      <c r="V1993" s="1">
        <f t="shared" si="96"/>
        <v>0</v>
      </c>
      <c r="W1993" s="1" t="str">
        <f t="shared" si="97"/>
        <v/>
      </c>
      <c r="X1993" s="1"/>
      <c r="Y1993" s="1"/>
      <c r="Z1993" s="1"/>
      <c r="AA1993" s="1"/>
      <c r="AB1993" s="1"/>
      <c r="AC1993" s="1"/>
      <c r="AD1993" s="1">
        <f>IF($C1993="",0,SUMPRODUCT((AY_SONU!$O$7:$O$42="Evet")*(AY_SONU!$B$7:$B$42=DATE(YEAR($C1993),MONTH($C1993),1))))</f>
        <v>0</v>
      </c>
      <c r="AE1993" s="1" t="str">
        <f>IF($E1993="","",$E1993&amp;"|"&amp;COUNTIFS($E$7:$E1993,$E1993))</f>
        <v/>
      </c>
    </row>
    <row r="1994" spans="1:31" ht="18" customHeight="1" x14ac:dyDescent="0.3">
      <c r="A1994" s="2"/>
      <c r="B1994" s="65" t="str">
        <f>IF($C1994="","","GG"&amp;TEXT(ROW()-6,"00000"))</f>
        <v/>
      </c>
      <c r="C1994" s="66"/>
      <c r="D1994" s="60"/>
      <c r="E1994" s="61"/>
      <c r="F1994" s="61"/>
      <c r="G1994" s="67"/>
      <c r="H1994" s="60"/>
      <c r="I1994" s="60"/>
      <c r="J1994" s="61"/>
      <c r="K1994" s="61"/>
      <c r="L1994" s="60"/>
      <c r="M1994" s="74" t="str">
        <f>IF($C1994="","",IF($D1994="Gider",$E1994,IF($L1994&lt;&gt;"",$L1994,$H1994)))</f>
        <v/>
      </c>
      <c r="N1994" s="74" t="str">
        <f>IF($C1994="","",IF($D1994="Gider",$H1994,$E1994))</f>
        <v/>
      </c>
      <c r="O1994" s="73" t="str">
        <f>IF($C1994="","",DATE(YEAR($C1994),MONTH($C1994),1))</f>
        <v/>
      </c>
      <c r="P1994" s="65" t="str">
        <f ca="1">IF($C1994="","",IF(AND($D1994="Gelir",$L1994&lt;&gt;"",$T1994=""),"TANIMSIZ BORÇLU",IF($T1994&lt;&gt;"",IF(OR($E1994="",$G1994&lt;=0),"EKSİK",IF($I1994="Evet","TAHAKKUK NAKİT OLAMAZ",IF($C1994&gt;TODAY(),"İLERİ TARİH","TAHAKKUK"))),IF(AND($D1994&lt;&gt;"",$E1994&lt;&gt;"",$G1994&gt;0,$H1994&lt;&gt;"",$I1994&lt;&gt;""),IF($C1994&gt;TODAY(),"İLERİ TARİH",IF(COUNTIF($W$7:$W$3001,$W1994)&gt;1,"MÜKERRER?",IF($AD1994&gt;0,"KAPALI DÖNEM",IF($I1994="Hayır","ÖDENECEK","UYGUN")))),"EKSİK"))))</f>
        <v/>
      </c>
      <c r="Q1994" s="2"/>
      <c r="R1994" s="2"/>
      <c r="S1994" s="1" t="str">
        <f t="shared" si="95"/>
        <v/>
      </c>
      <c r="T1994" s="1" t="str">
        <f>IF(OR($C1994="",$D1994&lt;&gt;"Gelir",$L1994=""),"",IFERROR(INDEX(MUSTERILER!$B$7:$B$156,MATCH($S1994,MUSTERILER!$T$7:$T$156,0)),""))</f>
        <v/>
      </c>
      <c r="U1994" s="1" t="str">
        <f>IF($T1994="","",$T1994&amp;"|"&amp;COUNTIFS($T$7:$T1994,$T1994))</f>
        <v/>
      </c>
      <c r="V1994" s="1">
        <f t="shared" si="96"/>
        <v>0</v>
      </c>
      <c r="W1994" s="1" t="str">
        <f t="shared" si="97"/>
        <v/>
      </c>
      <c r="X1994" s="1"/>
      <c r="Y1994" s="1"/>
      <c r="Z1994" s="1"/>
      <c r="AA1994" s="1"/>
      <c r="AB1994" s="1"/>
      <c r="AC1994" s="1"/>
      <c r="AD1994" s="1">
        <f>IF($C1994="",0,SUMPRODUCT((AY_SONU!$O$7:$O$42="Evet")*(AY_SONU!$B$7:$B$42=DATE(YEAR($C1994),MONTH($C1994),1))))</f>
        <v>0</v>
      </c>
      <c r="AE1994" s="1" t="str">
        <f>IF($E1994="","",$E1994&amp;"|"&amp;COUNTIFS($E$7:$E1994,$E1994))</f>
        <v/>
      </c>
    </row>
    <row r="1995" spans="1:31" ht="18" customHeight="1" x14ac:dyDescent="0.3">
      <c r="A1995" s="2"/>
      <c r="B1995" s="65" t="str">
        <f>IF($C1995="","","GG"&amp;TEXT(ROW()-6,"00000"))</f>
        <v/>
      </c>
      <c r="C1995" s="66"/>
      <c r="D1995" s="60"/>
      <c r="E1995" s="61"/>
      <c r="F1995" s="61"/>
      <c r="G1995" s="67"/>
      <c r="H1995" s="60"/>
      <c r="I1995" s="60"/>
      <c r="J1995" s="61"/>
      <c r="K1995" s="61"/>
      <c r="L1995" s="60"/>
      <c r="M1995" s="74" t="str">
        <f>IF($C1995="","",IF($D1995="Gider",$E1995,IF($L1995&lt;&gt;"",$L1995,$H1995)))</f>
        <v/>
      </c>
      <c r="N1995" s="74" t="str">
        <f>IF($C1995="","",IF($D1995="Gider",$H1995,$E1995))</f>
        <v/>
      </c>
      <c r="O1995" s="73" t="str">
        <f>IF($C1995="","",DATE(YEAR($C1995),MONTH($C1995),1))</f>
        <v/>
      </c>
      <c r="P1995" s="65" t="str">
        <f ca="1">IF($C1995="","",IF(AND($D1995="Gelir",$L1995&lt;&gt;"",$T1995=""),"TANIMSIZ BORÇLU",IF($T1995&lt;&gt;"",IF(OR($E1995="",$G1995&lt;=0),"EKSİK",IF($I1995="Evet","TAHAKKUK NAKİT OLAMAZ",IF($C1995&gt;TODAY(),"İLERİ TARİH","TAHAKKUK"))),IF(AND($D1995&lt;&gt;"",$E1995&lt;&gt;"",$G1995&gt;0,$H1995&lt;&gt;"",$I1995&lt;&gt;""),IF($C1995&gt;TODAY(),"İLERİ TARİH",IF(COUNTIF($W$7:$W$3001,$W1995)&gt;1,"MÜKERRER?",IF($AD1995&gt;0,"KAPALI DÖNEM",IF($I1995="Hayır","ÖDENECEK","UYGUN")))),"EKSİK"))))</f>
        <v/>
      </c>
      <c r="Q1995" s="2"/>
      <c r="R1995" s="2"/>
      <c r="S1995" s="1" t="str">
        <f t="shared" si="95"/>
        <v/>
      </c>
      <c r="T1995" s="1" t="str">
        <f>IF(OR($C1995="",$D1995&lt;&gt;"Gelir",$L1995=""),"",IFERROR(INDEX(MUSTERILER!$B$7:$B$156,MATCH($S1995,MUSTERILER!$T$7:$T$156,0)),""))</f>
        <v/>
      </c>
      <c r="U1995" s="1" t="str">
        <f>IF($T1995="","",$T1995&amp;"|"&amp;COUNTIFS($T$7:$T1995,$T1995))</f>
        <v/>
      </c>
      <c r="V1995" s="1">
        <f t="shared" si="96"/>
        <v>0</v>
      </c>
      <c r="W1995" s="1" t="str">
        <f t="shared" si="97"/>
        <v/>
      </c>
      <c r="X1995" s="1"/>
      <c r="Y1995" s="1"/>
      <c r="Z1995" s="1"/>
      <c r="AA1995" s="1"/>
      <c r="AB1995" s="1"/>
      <c r="AC1995" s="1"/>
      <c r="AD1995" s="1">
        <f>IF($C1995="",0,SUMPRODUCT((AY_SONU!$O$7:$O$42="Evet")*(AY_SONU!$B$7:$B$42=DATE(YEAR($C1995),MONTH($C1995),1))))</f>
        <v>0</v>
      </c>
      <c r="AE1995" s="1" t="str">
        <f>IF($E1995="","",$E1995&amp;"|"&amp;COUNTIFS($E$7:$E1995,$E1995))</f>
        <v/>
      </c>
    </row>
    <row r="1996" spans="1:31" ht="18" customHeight="1" x14ac:dyDescent="0.3">
      <c r="A1996" s="2"/>
      <c r="B1996" s="65" t="str">
        <f>IF($C1996="","","GG"&amp;TEXT(ROW()-6,"00000"))</f>
        <v/>
      </c>
      <c r="C1996" s="66"/>
      <c r="D1996" s="60"/>
      <c r="E1996" s="61"/>
      <c r="F1996" s="61"/>
      <c r="G1996" s="67"/>
      <c r="H1996" s="60"/>
      <c r="I1996" s="60"/>
      <c r="J1996" s="61"/>
      <c r="K1996" s="61"/>
      <c r="L1996" s="60"/>
      <c r="M1996" s="74" t="str">
        <f>IF($C1996="","",IF($D1996="Gider",$E1996,IF($L1996&lt;&gt;"",$L1996,$H1996)))</f>
        <v/>
      </c>
      <c r="N1996" s="74" t="str">
        <f>IF($C1996="","",IF($D1996="Gider",$H1996,$E1996))</f>
        <v/>
      </c>
      <c r="O1996" s="73" t="str">
        <f>IF($C1996="","",DATE(YEAR($C1996),MONTH($C1996),1))</f>
        <v/>
      </c>
      <c r="P1996" s="65" t="str">
        <f ca="1">IF($C1996="","",IF(AND($D1996="Gelir",$L1996&lt;&gt;"",$T1996=""),"TANIMSIZ BORÇLU",IF($T1996&lt;&gt;"",IF(OR($E1996="",$G1996&lt;=0),"EKSİK",IF($I1996="Evet","TAHAKKUK NAKİT OLAMAZ",IF($C1996&gt;TODAY(),"İLERİ TARİH","TAHAKKUK"))),IF(AND($D1996&lt;&gt;"",$E1996&lt;&gt;"",$G1996&gt;0,$H1996&lt;&gt;"",$I1996&lt;&gt;""),IF($C1996&gt;TODAY(),"İLERİ TARİH",IF(COUNTIF($W$7:$W$3001,$W1996)&gt;1,"MÜKERRER?",IF($AD1996&gt;0,"KAPALI DÖNEM",IF($I1996="Hayır","ÖDENECEK","UYGUN")))),"EKSİK"))))</f>
        <v/>
      </c>
      <c r="Q1996" s="2"/>
      <c r="R1996" s="2"/>
      <c r="S1996" s="1" t="str">
        <f t="shared" si="95"/>
        <v/>
      </c>
      <c r="T1996" s="1" t="str">
        <f>IF(OR($C1996="",$D1996&lt;&gt;"Gelir",$L1996=""),"",IFERROR(INDEX(MUSTERILER!$B$7:$B$156,MATCH($S1996,MUSTERILER!$T$7:$T$156,0)),""))</f>
        <v/>
      </c>
      <c r="U1996" s="1" t="str">
        <f>IF($T1996="","",$T1996&amp;"|"&amp;COUNTIFS($T$7:$T1996,$T1996))</f>
        <v/>
      </c>
      <c r="V1996" s="1">
        <f t="shared" si="96"/>
        <v>0</v>
      </c>
      <c r="W1996" s="1" t="str">
        <f t="shared" si="97"/>
        <v/>
      </c>
      <c r="X1996" s="1"/>
      <c r="Y1996" s="1"/>
      <c r="Z1996" s="1"/>
      <c r="AA1996" s="1"/>
      <c r="AB1996" s="1"/>
      <c r="AC1996" s="1"/>
      <c r="AD1996" s="1">
        <f>IF($C1996="",0,SUMPRODUCT((AY_SONU!$O$7:$O$42="Evet")*(AY_SONU!$B$7:$B$42=DATE(YEAR($C1996),MONTH($C1996),1))))</f>
        <v>0</v>
      </c>
      <c r="AE1996" s="1" t="str">
        <f>IF($E1996="","",$E1996&amp;"|"&amp;COUNTIFS($E$7:$E1996,$E1996))</f>
        <v/>
      </c>
    </row>
    <row r="1997" spans="1:31" ht="18" customHeight="1" x14ac:dyDescent="0.3">
      <c r="A1997" s="2"/>
      <c r="B1997" s="65" t="str">
        <f>IF($C1997="","","GG"&amp;TEXT(ROW()-6,"00000"))</f>
        <v/>
      </c>
      <c r="C1997" s="66"/>
      <c r="D1997" s="60"/>
      <c r="E1997" s="61"/>
      <c r="F1997" s="61"/>
      <c r="G1997" s="67"/>
      <c r="H1997" s="60"/>
      <c r="I1997" s="60"/>
      <c r="J1997" s="61"/>
      <c r="K1997" s="61"/>
      <c r="L1997" s="60"/>
      <c r="M1997" s="74" t="str">
        <f>IF($C1997="","",IF($D1997="Gider",$E1997,IF($L1997&lt;&gt;"",$L1997,$H1997)))</f>
        <v/>
      </c>
      <c r="N1997" s="74" t="str">
        <f>IF($C1997="","",IF($D1997="Gider",$H1997,$E1997))</f>
        <v/>
      </c>
      <c r="O1997" s="73" t="str">
        <f>IF($C1997="","",DATE(YEAR($C1997),MONTH($C1997),1))</f>
        <v/>
      </c>
      <c r="P1997" s="65" t="str">
        <f ca="1">IF($C1997="","",IF(AND($D1997="Gelir",$L1997&lt;&gt;"",$T1997=""),"TANIMSIZ BORÇLU",IF($T1997&lt;&gt;"",IF(OR($E1997="",$G1997&lt;=0),"EKSİK",IF($I1997="Evet","TAHAKKUK NAKİT OLAMAZ",IF($C1997&gt;TODAY(),"İLERİ TARİH","TAHAKKUK"))),IF(AND($D1997&lt;&gt;"",$E1997&lt;&gt;"",$G1997&gt;0,$H1997&lt;&gt;"",$I1997&lt;&gt;""),IF($C1997&gt;TODAY(),"İLERİ TARİH",IF(COUNTIF($W$7:$W$3001,$W1997)&gt;1,"MÜKERRER?",IF($AD1997&gt;0,"KAPALI DÖNEM",IF($I1997="Hayır","ÖDENECEK","UYGUN")))),"EKSİK"))))</f>
        <v/>
      </c>
      <c r="Q1997" s="2"/>
      <c r="R1997" s="2"/>
      <c r="S1997" s="1" t="str">
        <f t="shared" si="95"/>
        <v/>
      </c>
      <c r="T1997" s="1" t="str">
        <f>IF(OR($C1997="",$D1997&lt;&gt;"Gelir",$L1997=""),"",IFERROR(INDEX(MUSTERILER!$B$7:$B$156,MATCH($S1997,MUSTERILER!$T$7:$T$156,0)),""))</f>
        <v/>
      </c>
      <c r="U1997" s="1" t="str">
        <f>IF($T1997="","",$T1997&amp;"|"&amp;COUNTIFS($T$7:$T1997,$T1997))</f>
        <v/>
      </c>
      <c r="V1997" s="1">
        <f t="shared" si="96"/>
        <v>0</v>
      </c>
      <c r="W1997" s="1" t="str">
        <f t="shared" si="97"/>
        <v/>
      </c>
      <c r="X1997" s="1"/>
      <c r="Y1997" s="1"/>
      <c r="Z1997" s="1"/>
      <c r="AA1997" s="1"/>
      <c r="AB1997" s="1"/>
      <c r="AC1997" s="1"/>
      <c r="AD1997" s="1">
        <f>IF($C1997="",0,SUMPRODUCT((AY_SONU!$O$7:$O$42="Evet")*(AY_SONU!$B$7:$B$42=DATE(YEAR($C1997),MONTH($C1997),1))))</f>
        <v>0</v>
      </c>
      <c r="AE1997" s="1" t="str">
        <f>IF($E1997="","",$E1997&amp;"|"&amp;COUNTIFS($E$7:$E1997,$E1997))</f>
        <v/>
      </c>
    </row>
    <row r="1998" spans="1:31" ht="18" customHeight="1" x14ac:dyDescent="0.3">
      <c r="A1998" s="2"/>
      <c r="B1998" s="65" t="str">
        <f>IF($C1998="","","GG"&amp;TEXT(ROW()-6,"00000"))</f>
        <v/>
      </c>
      <c r="C1998" s="66"/>
      <c r="D1998" s="60"/>
      <c r="E1998" s="61"/>
      <c r="F1998" s="61"/>
      <c r="G1998" s="67"/>
      <c r="H1998" s="60"/>
      <c r="I1998" s="60"/>
      <c r="J1998" s="61"/>
      <c r="K1998" s="61"/>
      <c r="L1998" s="60"/>
      <c r="M1998" s="74" t="str">
        <f>IF($C1998="","",IF($D1998="Gider",$E1998,IF($L1998&lt;&gt;"",$L1998,$H1998)))</f>
        <v/>
      </c>
      <c r="N1998" s="74" t="str">
        <f>IF($C1998="","",IF($D1998="Gider",$H1998,$E1998))</f>
        <v/>
      </c>
      <c r="O1998" s="73" t="str">
        <f>IF($C1998="","",DATE(YEAR($C1998),MONTH($C1998),1))</f>
        <v/>
      </c>
      <c r="P1998" s="65" t="str">
        <f ca="1">IF($C1998="","",IF(AND($D1998="Gelir",$L1998&lt;&gt;"",$T1998=""),"TANIMSIZ BORÇLU",IF($T1998&lt;&gt;"",IF(OR($E1998="",$G1998&lt;=0),"EKSİK",IF($I1998="Evet","TAHAKKUK NAKİT OLAMAZ",IF($C1998&gt;TODAY(),"İLERİ TARİH","TAHAKKUK"))),IF(AND($D1998&lt;&gt;"",$E1998&lt;&gt;"",$G1998&gt;0,$H1998&lt;&gt;"",$I1998&lt;&gt;""),IF($C1998&gt;TODAY(),"İLERİ TARİH",IF(COUNTIF($W$7:$W$3001,$W1998)&gt;1,"MÜKERRER?",IF($AD1998&gt;0,"KAPALI DÖNEM",IF($I1998="Hayır","ÖDENECEK","UYGUN")))),"EKSİK"))))</f>
        <v/>
      </c>
      <c r="Q1998" s="2"/>
      <c r="R1998" s="2"/>
      <c r="S1998" s="1" t="str">
        <f t="shared" si="95"/>
        <v/>
      </c>
      <c r="T1998" s="1" t="str">
        <f>IF(OR($C1998="",$D1998&lt;&gt;"Gelir",$L1998=""),"",IFERROR(INDEX(MUSTERILER!$B$7:$B$156,MATCH($S1998,MUSTERILER!$T$7:$T$156,0)),""))</f>
        <v/>
      </c>
      <c r="U1998" s="1" t="str">
        <f>IF($T1998="","",$T1998&amp;"|"&amp;COUNTIFS($T$7:$T1998,$T1998))</f>
        <v/>
      </c>
      <c r="V1998" s="1">
        <f t="shared" si="96"/>
        <v>0</v>
      </c>
      <c r="W1998" s="1" t="str">
        <f t="shared" si="97"/>
        <v/>
      </c>
      <c r="X1998" s="1"/>
      <c r="Y1998" s="1"/>
      <c r="Z1998" s="1"/>
      <c r="AA1998" s="1"/>
      <c r="AB1998" s="1"/>
      <c r="AC1998" s="1"/>
      <c r="AD1998" s="1">
        <f>IF($C1998="",0,SUMPRODUCT((AY_SONU!$O$7:$O$42="Evet")*(AY_SONU!$B$7:$B$42=DATE(YEAR($C1998),MONTH($C1998),1))))</f>
        <v>0</v>
      </c>
      <c r="AE1998" s="1" t="str">
        <f>IF($E1998="","",$E1998&amp;"|"&amp;COUNTIFS($E$7:$E1998,$E1998))</f>
        <v/>
      </c>
    </row>
    <row r="1999" spans="1:31" ht="18" customHeight="1" x14ac:dyDescent="0.3">
      <c r="A1999" s="2"/>
      <c r="B1999" s="65" t="str">
        <f>IF($C1999="","","GG"&amp;TEXT(ROW()-6,"00000"))</f>
        <v/>
      </c>
      <c r="C1999" s="66"/>
      <c r="D1999" s="60"/>
      <c r="E1999" s="61"/>
      <c r="F1999" s="61"/>
      <c r="G1999" s="67"/>
      <c r="H1999" s="60"/>
      <c r="I1999" s="60"/>
      <c r="J1999" s="61"/>
      <c r="K1999" s="61"/>
      <c r="L1999" s="60"/>
      <c r="M1999" s="74" t="str">
        <f>IF($C1999="","",IF($D1999="Gider",$E1999,IF($L1999&lt;&gt;"",$L1999,$H1999)))</f>
        <v/>
      </c>
      <c r="N1999" s="74" t="str">
        <f>IF($C1999="","",IF($D1999="Gider",$H1999,$E1999))</f>
        <v/>
      </c>
      <c r="O1999" s="73" t="str">
        <f>IF($C1999="","",DATE(YEAR($C1999),MONTH($C1999),1))</f>
        <v/>
      </c>
      <c r="P1999" s="65" t="str">
        <f ca="1">IF($C1999="","",IF(AND($D1999="Gelir",$L1999&lt;&gt;"",$T1999=""),"TANIMSIZ BORÇLU",IF($T1999&lt;&gt;"",IF(OR($E1999="",$G1999&lt;=0),"EKSİK",IF($I1999="Evet","TAHAKKUK NAKİT OLAMAZ",IF($C1999&gt;TODAY(),"İLERİ TARİH","TAHAKKUK"))),IF(AND($D1999&lt;&gt;"",$E1999&lt;&gt;"",$G1999&gt;0,$H1999&lt;&gt;"",$I1999&lt;&gt;""),IF($C1999&gt;TODAY(),"İLERİ TARİH",IF(COUNTIF($W$7:$W$3001,$W1999)&gt;1,"MÜKERRER?",IF($AD1999&gt;0,"KAPALI DÖNEM",IF($I1999="Hayır","ÖDENECEK","UYGUN")))),"EKSİK"))))</f>
        <v/>
      </c>
      <c r="Q1999" s="2"/>
      <c r="R1999" s="2"/>
      <c r="S1999" s="1" t="str">
        <f t="shared" si="95"/>
        <v/>
      </c>
      <c r="T1999" s="1" t="str">
        <f>IF(OR($C1999="",$D1999&lt;&gt;"Gelir",$L1999=""),"",IFERROR(INDEX(MUSTERILER!$B$7:$B$156,MATCH($S1999,MUSTERILER!$T$7:$T$156,0)),""))</f>
        <v/>
      </c>
      <c r="U1999" s="1" t="str">
        <f>IF($T1999="","",$T1999&amp;"|"&amp;COUNTIFS($T$7:$T1999,$T1999))</f>
        <v/>
      </c>
      <c r="V1999" s="1">
        <f t="shared" si="96"/>
        <v>0</v>
      </c>
      <c r="W1999" s="1" t="str">
        <f t="shared" si="97"/>
        <v/>
      </c>
      <c r="X1999" s="1"/>
      <c r="Y1999" s="1"/>
      <c r="Z1999" s="1"/>
      <c r="AA1999" s="1"/>
      <c r="AB1999" s="1"/>
      <c r="AC1999" s="1"/>
      <c r="AD1999" s="1">
        <f>IF($C1999="",0,SUMPRODUCT((AY_SONU!$O$7:$O$42="Evet")*(AY_SONU!$B$7:$B$42=DATE(YEAR($C1999),MONTH($C1999),1))))</f>
        <v>0</v>
      </c>
      <c r="AE1999" s="1" t="str">
        <f>IF($E1999="","",$E1999&amp;"|"&amp;COUNTIFS($E$7:$E1999,$E1999))</f>
        <v/>
      </c>
    </row>
    <row r="2000" spans="1:31" ht="18" customHeight="1" x14ac:dyDescent="0.3">
      <c r="A2000" s="2"/>
      <c r="B2000" s="65" t="str">
        <f>IF($C2000="","","GG"&amp;TEXT(ROW()-6,"00000"))</f>
        <v/>
      </c>
      <c r="C2000" s="66"/>
      <c r="D2000" s="60"/>
      <c r="E2000" s="61"/>
      <c r="F2000" s="61"/>
      <c r="G2000" s="67"/>
      <c r="H2000" s="60"/>
      <c r="I2000" s="60"/>
      <c r="J2000" s="61"/>
      <c r="K2000" s="61"/>
      <c r="L2000" s="60"/>
      <c r="M2000" s="74" t="str">
        <f>IF($C2000="","",IF($D2000="Gider",$E2000,IF($L2000&lt;&gt;"",$L2000,$H2000)))</f>
        <v/>
      </c>
      <c r="N2000" s="74" t="str">
        <f>IF($C2000="","",IF($D2000="Gider",$H2000,$E2000))</f>
        <v/>
      </c>
      <c r="O2000" s="73" t="str">
        <f>IF($C2000="","",DATE(YEAR($C2000),MONTH($C2000),1))</f>
        <v/>
      </c>
      <c r="P2000" s="65" t="str">
        <f ca="1">IF($C2000="","",IF(AND($D2000="Gelir",$L2000&lt;&gt;"",$T2000=""),"TANIMSIZ BORÇLU",IF($T2000&lt;&gt;"",IF(OR($E2000="",$G2000&lt;=0),"EKSİK",IF($I2000="Evet","TAHAKKUK NAKİT OLAMAZ",IF($C2000&gt;TODAY(),"İLERİ TARİH","TAHAKKUK"))),IF(AND($D2000&lt;&gt;"",$E2000&lt;&gt;"",$G2000&gt;0,$H2000&lt;&gt;"",$I2000&lt;&gt;""),IF($C2000&gt;TODAY(),"İLERİ TARİH",IF(COUNTIF($W$7:$W$3001,$W2000)&gt;1,"MÜKERRER?",IF($AD2000&gt;0,"KAPALI DÖNEM",IF($I2000="Hayır","ÖDENECEK","UYGUN")))),"EKSİK"))))</f>
        <v/>
      </c>
      <c r="Q2000" s="2"/>
      <c r="R2000" s="2"/>
      <c r="S2000" s="1" t="str">
        <f t="shared" si="95"/>
        <v/>
      </c>
      <c r="T2000" s="1" t="str">
        <f>IF(OR($C2000="",$D2000&lt;&gt;"Gelir",$L2000=""),"",IFERROR(INDEX(MUSTERILER!$B$7:$B$156,MATCH($S2000,MUSTERILER!$T$7:$T$156,0)),""))</f>
        <v/>
      </c>
      <c r="U2000" s="1" t="str">
        <f>IF($T2000="","",$T2000&amp;"|"&amp;COUNTIFS($T$7:$T2000,$T2000))</f>
        <v/>
      </c>
      <c r="V2000" s="1">
        <f t="shared" si="96"/>
        <v>0</v>
      </c>
      <c r="W2000" s="1" t="str">
        <f t="shared" si="97"/>
        <v/>
      </c>
      <c r="X2000" s="1"/>
      <c r="Y2000" s="1"/>
      <c r="Z2000" s="1"/>
      <c r="AA2000" s="1"/>
      <c r="AB2000" s="1"/>
      <c r="AC2000" s="1"/>
      <c r="AD2000" s="1">
        <f>IF($C2000="",0,SUMPRODUCT((AY_SONU!$O$7:$O$42="Evet")*(AY_SONU!$B$7:$B$42=DATE(YEAR($C2000),MONTH($C2000),1))))</f>
        <v>0</v>
      </c>
      <c r="AE2000" s="1" t="str">
        <f>IF($E2000="","",$E2000&amp;"|"&amp;COUNTIFS($E$7:$E2000,$E2000))</f>
        <v/>
      </c>
    </row>
    <row r="2001" spans="1:31" ht="18" customHeight="1" x14ac:dyDescent="0.3">
      <c r="A2001" s="2"/>
      <c r="B2001" s="65" t="str">
        <f>IF($C2001="","","GG"&amp;TEXT(ROW()-6,"00000"))</f>
        <v/>
      </c>
      <c r="C2001" s="66"/>
      <c r="D2001" s="60"/>
      <c r="E2001" s="61"/>
      <c r="F2001" s="61"/>
      <c r="G2001" s="67"/>
      <c r="H2001" s="60"/>
      <c r="I2001" s="60"/>
      <c r="J2001" s="61"/>
      <c r="K2001" s="61"/>
      <c r="L2001" s="60"/>
      <c r="M2001" s="74" t="str">
        <f>IF($C2001="","",IF($D2001="Gider",$E2001,IF($L2001&lt;&gt;"",$L2001,$H2001)))</f>
        <v/>
      </c>
      <c r="N2001" s="74" t="str">
        <f>IF($C2001="","",IF($D2001="Gider",$H2001,$E2001))</f>
        <v/>
      </c>
      <c r="O2001" s="73" t="str">
        <f>IF($C2001="","",DATE(YEAR($C2001),MONTH($C2001),1))</f>
        <v/>
      </c>
      <c r="P2001" s="65" t="str">
        <f ca="1">IF($C2001="","",IF(AND($D2001="Gelir",$L2001&lt;&gt;"",$T2001=""),"TANIMSIZ BORÇLU",IF($T2001&lt;&gt;"",IF(OR($E2001="",$G2001&lt;=0),"EKSİK",IF($I2001="Evet","TAHAKKUK NAKİT OLAMAZ",IF($C2001&gt;TODAY(),"İLERİ TARİH","TAHAKKUK"))),IF(AND($D2001&lt;&gt;"",$E2001&lt;&gt;"",$G2001&gt;0,$H2001&lt;&gt;"",$I2001&lt;&gt;""),IF($C2001&gt;TODAY(),"İLERİ TARİH",IF(COUNTIF($W$7:$W$3001,$W2001)&gt;1,"MÜKERRER?",IF($AD2001&gt;0,"KAPALI DÖNEM",IF($I2001="Hayır","ÖDENECEK","UYGUN")))),"EKSİK"))))</f>
        <v/>
      </c>
      <c r="Q2001" s="2"/>
      <c r="R2001" s="2"/>
      <c r="S2001" s="1" t="str">
        <f t="shared" si="95"/>
        <v/>
      </c>
      <c r="T2001" s="1" t="str">
        <f>IF(OR($C2001="",$D2001&lt;&gt;"Gelir",$L2001=""),"",IFERROR(INDEX(MUSTERILER!$B$7:$B$156,MATCH($S2001,MUSTERILER!$T$7:$T$156,0)),""))</f>
        <v/>
      </c>
      <c r="U2001" s="1" t="str">
        <f>IF($T2001="","",$T2001&amp;"|"&amp;COUNTIFS($T$7:$T2001,$T2001))</f>
        <v/>
      </c>
      <c r="V2001" s="1">
        <f t="shared" si="96"/>
        <v>0</v>
      </c>
      <c r="W2001" s="1" t="str">
        <f t="shared" si="97"/>
        <v/>
      </c>
      <c r="X2001" s="1"/>
      <c r="Y2001" s="1"/>
      <c r="Z2001" s="1"/>
      <c r="AA2001" s="1"/>
      <c r="AB2001" s="1"/>
      <c r="AC2001" s="1"/>
      <c r="AD2001" s="1">
        <f>IF($C2001="",0,SUMPRODUCT((AY_SONU!$O$7:$O$42="Evet")*(AY_SONU!$B$7:$B$42=DATE(YEAR($C2001),MONTH($C2001),1))))</f>
        <v>0</v>
      </c>
      <c r="AE2001" s="1" t="str">
        <f>IF($E2001="","",$E2001&amp;"|"&amp;COUNTIFS($E$7:$E2001,$E2001))</f>
        <v/>
      </c>
    </row>
    <row r="2002" spans="1:31" ht="18" customHeight="1" x14ac:dyDescent="0.3">
      <c r="A2002" s="2"/>
      <c r="B2002" s="65" t="str">
        <f>IF($C2002="","","GG"&amp;TEXT(ROW()-6,"00000"))</f>
        <v/>
      </c>
      <c r="C2002" s="66"/>
      <c r="D2002" s="60"/>
      <c r="E2002" s="61"/>
      <c r="F2002" s="61"/>
      <c r="G2002" s="67"/>
      <c r="H2002" s="60"/>
      <c r="I2002" s="60"/>
      <c r="J2002" s="61"/>
      <c r="K2002" s="61"/>
      <c r="L2002" s="60"/>
      <c r="M2002" s="74" t="str">
        <f>IF($C2002="","",IF($D2002="Gider",$E2002,IF($L2002&lt;&gt;"",$L2002,$H2002)))</f>
        <v/>
      </c>
      <c r="N2002" s="74" t="str">
        <f>IF($C2002="","",IF($D2002="Gider",$H2002,$E2002))</f>
        <v/>
      </c>
      <c r="O2002" s="73" t="str">
        <f>IF($C2002="","",DATE(YEAR($C2002),MONTH($C2002),1))</f>
        <v/>
      </c>
      <c r="P2002" s="65" t="str">
        <f ca="1">IF($C2002="","",IF(AND($D2002="Gelir",$L2002&lt;&gt;"",$T2002=""),"TANIMSIZ BORÇLU",IF($T2002&lt;&gt;"",IF(OR($E2002="",$G2002&lt;=0),"EKSİK",IF($I2002="Evet","TAHAKKUK NAKİT OLAMAZ",IF($C2002&gt;TODAY(),"İLERİ TARİH","TAHAKKUK"))),IF(AND($D2002&lt;&gt;"",$E2002&lt;&gt;"",$G2002&gt;0,$H2002&lt;&gt;"",$I2002&lt;&gt;""),IF($C2002&gt;TODAY(),"İLERİ TARİH",IF(COUNTIF($W$7:$W$3001,$W2002)&gt;1,"MÜKERRER?",IF($AD2002&gt;0,"KAPALI DÖNEM",IF($I2002="Hayır","ÖDENECEK","UYGUN")))),"EKSİK"))))</f>
        <v/>
      </c>
      <c r="Q2002" s="2"/>
      <c r="R2002" s="2"/>
      <c r="S2002" s="1" t="str">
        <f t="shared" si="95"/>
        <v/>
      </c>
      <c r="T2002" s="1" t="str">
        <f>IF(OR($C2002="",$D2002&lt;&gt;"Gelir",$L2002=""),"",IFERROR(INDEX(MUSTERILER!$B$7:$B$156,MATCH($S2002,MUSTERILER!$T$7:$T$156,0)),""))</f>
        <v/>
      </c>
      <c r="U2002" s="1" t="str">
        <f>IF($T2002="","",$T2002&amp;"|"&amp;COUNTIFS($T$7:$T2002,$T2002))</f>
        <v/>
      </c>
      <c r="V2002" s="1">
        <f t="shared" si="96"/>
        <v>0</v>
      </c>
      <c r="W2002" s="1" t="str">
        <f t="shared" si="97"/>
        <v/>
      </c>
      <c r="X2002" s="1"/>
      <c r="Y2002" s="1"/>
      <c r="Z2002" s="1"/>
      <c r="AA2002" s="1"/>
      <c r="AB2002" s="1"/>
      <c r="AC2002" s="1"/>
      <c r="AD2002" s="1">
        <f>IF($C2002="",0,SUMPRODUCT((AY_SONU!$O$7:$O$42="Evet")*(AY_SONU!$B$7:$B$42=DATE(YEAR($C2002),MONTH($C2002),1))))</f>
        <v>0</v>
      </c>
      <c r="AE2002" s="1" t="str">
        <f>IF($E2002="","",$E2002&amp;"|"&amp;COUNTIFS($E$7:$E2002,$E2002))</f>
        <v/>
      </c>
    </row>
    <row r="2003" spans="1:31" ht="18" customHeight="1" x14ac:dyDescent="0.3">
      <c r="A2003" s="2"/>
      <c r="B2003" s="65" t="str">
        <f>IF($C2003="","","GG"&amp;TEXT(ROW()-6,"00000"))</f>
        <v/>
      </c>
      <c r="C2003" s="66"/>
      <c r="D2003" s="60"/>
      <c r="E2003" s="61"/>
      <c r="F2003" s="61"/>
      <c r="G2003" s="67"/>
      <c r="H2003" s="60"/>
      <c r="I2003" s="60"/>
      <c r="J2003" s="61"/>
      <c r="K2003" s="61"/>
      <c r="L2003" s="60"/>
      <c r="M2003" s="74" t="str">
        <f>IF($C2003="","",IF($D2003="Gider",$E2003,IF($L2003&lt;&gt;"",$L2003,$H2003)))</f>
        <v/>
      </c>
      <c r="N2003" s="74" t="str">
        <f>IF($C2003="","",IF($D2003="Gider",$H2003,$E2003))</f>
        <v/>
      </c>
      <c r="O2003" s="73" t="str">
        <f>IF($C2003="","",DATE(YEAR($C2003),MONTH($C2003),1))</f>
        <v/>
      </c>
      <c r="P2003" s="65" t="str">
        <f ca="1">IF($C2003="","",IF(AND($D2003="Gelir",$L2003&lt;&gt;"",$T2003=""),"TANIMSIZ BORÇLU",IF($T2003&lt;&gt;"",IF(OR($E2003="",$G2003&lt;=0),"EKSİK",IF($I2003="Evet","TAHAKKUK NAKİT OLAMAZ",IF($C2003&gt;TODAY(),"İLERİ TARİH","TAHAKKUK"))),IF(AND($D2003&lt;&gt;"",$E2003&lt;&gt;"",$G2003&gt;0,$H2003&lt;&gt;"",$I2003&lt;&gt;""),IF($C2003&gt;TODAY(),"İLERİ TARİH",IF(COUNTIF($W$7:$W$3001,$W2003)&gt;1,"MÜKERRER?",IF($AD2003&gt;0,"KAPALI DÖNEM",IF($I2003="Hayır","ÖDENECEK","UYGUN")))),"EKSİK"))))</f>
        <v/>
      </c>
      <c r="Q2003" s="2"/>
      <c r="R2003" s="2"/>
      <c r="S2003" s="1" t="str">
        <f t="shared" si="95"/>
        <v/>
      </c>
      <c r="T2003" s="1" t="str">
        <f>IF(OR($C2003="",$D2003&lt;&gt;"Gelir",$L2003=""),"",IFERROR(INDEX(MUSTERILER!$B$7:$B$156,MATCH($S2003,MUSTERILER!$T$7:$T$156,0)),""))</f>
        <v/>
      </c>
      <c r="U2003" s="1" t="str">
        <f>IF($T2003="","",$T2003&amp;"|"&amp;COUNTIFS($T$7:$T2003,$T2003))</f>
        <v/>
      </c>
      <c r="V2003" s="1">
        <f t="shared" si="96"/>
        <v>0</v>
      </c>
      <c r="W2003" s="1" t="str">
        <f t="shared" si="97"/>
        <v/>
      </c>
      <c r="X2003" s="1"/>
      <c r="Y2003" s="1"/>
      <c r="Z2003" s="1"/>
      <c r="AA2003" s="1"/>
      <c r="AB2003" s="1"/>
      <c r="AC2003" s="1"/>
      <c r="AD2003" s="1">
        <f>IF($C2003="",0,SUMPRODUCT((AY_SONU!$O$7:$O$42="Evet")*(AY_SONU!$B$7:$B$42=DATE(YEAR($C2003),MONTH($C2003),1))))</f>
        <v>0</v>
      </c>
      <c r="AE2003" s="1" t="str">
        <f>IF($E2003="","",$E2003&amp;"|"&amp;COUNTIFS($E$7:$E2003,$E2003))</f>
        <v/>
      </c>
    </row>
    <row r="2004" spans="1:31" ht="18" customHeight="1" x14ac:dyDescent="0.3">
      <c r="A2004" s="2"/>
      <c r="B2004" s="65" t="str">
        <f>IF($C2004="","","GG"&amp;TEXT(ROW()-6,"00000"))</f>
        <v/>
      </c>
      <c r="C2004" s="66"/>
      <c r="D2004" s="60"/>
      <c r="E2004" s="61"/>
      <c r="F2004" s="61"/>
      <c r="G2004" s="67"/>
      <c r="H2004" s="60"/>
      <c r="I2004" s="60"/>
      <c r="J2004" s="61"/>
      <c r="K2004" s="61"/>
      <c r="L2004" s="60"/>
      <c r="M2004" s="74" t="str">
        <f>IF($C2004="","",IF($D2004="Gider",$E2004,IF($L2004&lt;&gt;"",$L2004,$H2004)))</f>
        <v/>
      </c>
      <c r="N2004" s="74" t="str">
        <f>IF($C2004="","",IF($D2004="Gider",$H2004,$E2004))</f>
        <v/>
      </c>
      <c r="O2004" s="73" t="str">
        <f>IF($C2004="","",DATE(YEAR($C2004),MONTH($C2004),1))</f>
        <v/>
      </c>
      <c r="P2004" s="65" t="str">
        <f ca="1">IF($C2004="","",IF(AND($D2004="Gelir",$L2004&lt;&gt;"",$T2004=""),"TANIMSIZ BORÇLU",IF($T2004&lt;&gt;"",IF(OR($E2004="",$G2004&lt;=0),"EKSİK",IF($I2004="Evet","TAHAKKUK NAKİT OLAMAZ",IF($C2004&gt;TODAY(),"İLERİ TARİH","TAHAKKUK"))),IF(AND($D2004&lt;&gt;"",$E2004&lt;&gt;"",$G2004&gt;0,$H2004&lt;&gt;"",$I2004&lt;&gt;""),IF($C2004&gt;TODAY(),"İLERİ TARİH",IF(COUNTIF($W$7:$W$3001,$W2004)&gt;1,"MÜKERRER?",IF($AD2004&gt;0,"KAPALI DÖNEM",IF($I2004="Hayır","ÖDENECEK","UYGUN")))),"EKSİK"))))</f>
        <v/>
      </c>
      <c r="Q2004" s="2"/>
      <c r="R2004" s="2"/>
      <c r="S2004" s="1" t="str">
        <f t="shared" si="95"/>
        <v/>
      </c>
      <c r="T2004" s="1" t="str">
        <f>IF(OR($C2004="",$D2004&lt;&gt;"Gelir",$L2004=""),"",IFERROR(INDEX(MUSTERILER!$B$7:$B$156,MATCH($S2004,MUSTERILER!$T$7:$T$156,0)),""))</f>
        <v/>
      </c>
      <c r="U2004" s="1" t="str">
        <f>IF($T2004="","",$T2004&amp;"|"&amp;COUNTIFS($T$7:$T2004,$T2004))</f>
        <v/>
      </c>
      <c r="V2004" s="1">
        <f t="shared" si="96"/>
        <v>0</v>
      </c>
      <c r="W2004" s="1" t="str">
        <f t="shared" si="97"/>
        <v/>
      </c>
      <c r="X2004" s="1"/>
      <c r="Y2004" s="1"/>
      <c r="Z2004" s="1"/>
      <c r="AA2004" s="1"/>
      <c r="AB2004" s="1"/>
      <c r="AC2004" s="1"/>
      <c r="AD2004" s="1">
        <f>IF($C2004="",0,SUMPRODUCT((AY_SONU!$O$7:$O$42="Evet")*(AY_SONU!$B$7:$B$42=DATE(YEAR($C2004),MONTH($C2004),1))))</f>
        <v>0</v>
      </c>
      <c r="AE2004" s="1" t="str">
        <f>IF($E2004="","",$E2004&amp;"|"&amp;COUNTIFS($E$7:$E2004,$E2004))</f>
        <v/>
      </c>
    </row>
    <row r="2005" spans="1:31" ht="18" customHeight="1" x14ac:dyDescent="0.3">
      <c r="A2005" s="2"/>
      <c r="B2005" s="65" t="str">
        <f>IF($C2005="","","GG"&amp;TEXT(ROW()-6,"00000"))</f>
        <v/>
      </c>
      <c r="C2005" s="66"/>
      <c r="D2005" s="60"/>
      <c r="E2005" s="61"/>
      <c r="F2005" s="61"/>
      <c r="G2005" s="67"/>
      <c r="H2005" s="60"/>
      <c r="I2005" s="60"/>
      <c r="J2005" s="61"/>
      <c r="K2005" s="61"/>
      <c r="L2005" s="60"/>
      <c r="M2005" s="74" t="str">
        <f>IF($C2005="","",IF($D2005="Gider",$E2005,IF($L2005&lt;&gt;"",$L2005,$H2005)))</f>
        <v/>
      </c>
      <c r="N2005" s="74" t="str">
        <f>IF($C2005="","",IF($D2005="Gider",$H2005,$E2005))</f>
        <v/>
      </c>
      <c r="O2005" s="73" t="str">
        <f>IF($C2005="","",DATE(YEAR($C2005),MONTH($C2005),1))</f>
        <v/>
      </c>
      <c r="P2005" s="65" t="str">
        <f ca="1">IF($C2005="","",IF(AND($D2005="Gelir",$L2005&lt;&gt;"",$T2005=""),"TANIMSIZ BORÇLU",IF($T2005&lt;&gt;"",IF(OR($E2005="",$G2005&lt;=0),"EKSİK",IF($I2005="Evet","TAHAKKUK NAKİT OLAMAZ",IF($C2005&gt;TODAY(),"İLERİ TARİH","TAHAKKUK"))),IF(AND($D2005&lt;&gt;"",$E2005&lt;&gt;"",$G2005&gt;0,$H2005&lt;&gt;"",$I2005&lt;&gt;""),IF($C2005&gt;TODAY(),"İLERİ TARİH",IF(COUNTIF($W$7:$W$3001,$W2005)&gt;1,"MÜKERRER?",IF($AD2005&gt;0,"KAPALI DÖNEM",IF($I2005="Hayır","ÖDENECEK","UYGUN")))),"EKSİK"))))</f>
        <v/>
      </c>
      <c r="Q2005" s="2"/>
      <c r="R2005" s="2"/>
      <c r="S2005" s="1" t="str">
        <f t="shared" si="95"/>
        <v/>
      </c>
      <c r="T2005" s="1" t="str">
        <f>IF(OR($C2005="",$D2005&lt;&gt;"Gelir",$L2005=""),"",IFERROR(INDEX(MUSTERILER!$B$7:$B$156,MATCH($S2005,MUSTERILER!$T$7:$T$156,0)),""))</f>
        <v/>
      </c>
      <c r="U2005" s="1" t="str">
        <f>IF($T2005="","",$T2005&amp;"|"&amp;COUNTIFS($T$7:$T2005,$T2005))</f>
        <v/>
      </c>
      <c r="V2005" s="1">
        <f t="shared" si="96"/>
        <v>0</v>
      </c>
      <c r="W2005" s="1" t="str">
        <f t="shared" si="97"/>
        <v/>
      </c>
      <c r="X2005" s="1"/>
      <c r="Y2005" s="1"/>
      <c r="Z2005" s="1"/>
      <c r="AA2005" s="1"/>
      <c r="AB2005" s="1"/>
      <c r="AC2005" s="1"/>
      <c r="AD2005" s="1">
        <f>IF($C2005="",0,SUMPRODUCT((AY_SONU!$O$7:$O$42="Evet")*(AY_SONU!$B$7:$B$42=DATE(YEAR($C2005),MONTH($C2005),1))))</f>
        <v>0</v>
      </c>
      <c r="AE2005" s="1" t="str">
        <f>IF($E2005="","",$E2005&amp;"|"&amp;COUNTIFS($E$7:$E2005,$E2005))</f>
        <v/>
      </c>
    </row>
    <row r="2006" spans="1:31" ht="18" customHeight="1" x14ac:dyDescent="0.3">
      <c r="A2006" s="2"/>
      <c r="B2006" s="65" t="str">
        <f>IF($C2006="","","GG"&amp;TEXT(ROW()-6,"00000"))</f>
        <v/>
      </c>
      <c r="C2006" s="66"/>
      <c r="D2006" s="60"/>
      <c r="E2006" s="61"/>
      <c r="F2006" s="61"/>
      <c r="G2006" s="67"/>
      <c r="H2006" s="60"/>
      <c r="I2006" s="60"/>
      <c r="J2006" s="61"/>
      <c r="K2006" s="61"/>
      <c r="L2006" s="60"/>
      <c r="M2006" s="74" t="str">
        <f>IF($C2006="","",IF($D2006="Gider",$E2006,IF($L2006&lt;&gt;"",$L2006,$H2006)))</f>
        <v/>
      </c>
      <c r="N2006" s="74" t="str">
        <f>IF($C2006="","",IF($D2006="Gider",$H2006,$E2006))</f>
        <v/>
      </c>
      <c r="O2006" s="73" t="str">
        <f>IF($C2006="","",DATE(YEAR($C2006),MONTH($C2006),1))</f>
        <v/>
      </c>
      <c r="P2006" s="65" t="str">
        <f ca="1">IF($C2006="","",IF(AND($D2006="Gelir",$L2006&lt;&gt;"",$T2006=""),"TANIMSIZ BORÇLU",IF($T2006&lt;&gt;"",IF(OR($E2006="",$G2006&lt;=0),"EKSİK",IF($I2006="Evet","TAHAKKUK NAKİT OLAMAZ",IF($C2006&gt;TODAY(),"İLERİ TARİH","TAHAKKUK"))),IF(AND($D2006&lt;&gt;"",$E2006&lt;&gt;"",$G2006&gt;0,$H2006&lt;&gt;"",$I2006&lt;&gt;""),IF($C2006&gt;TODAY(),"İLERİ TARİH",IF(COUNTIF($W$7:$W$3001,$W2006)&gt;1,"MÜKERRER?",IF($AD2006&gt;0,"KAPALI DÖNEM",IF($I2006="Hayır","ÖDENECEK","UYGUN")))),"EKSİK"))))</f>
        <v/>
      </c>
      <c r="Q2006" s="2"/>
      <c r="R2006" s="2"/>
      <c r="S2006" s="1" t="str">
        <f t="shared" si="95"/>
        <v/>
      </c>
      <c r="T2006" s="1" t="str">
        <f>IF(OR($C2006="",$D2006&lt;&gt;"Gelir",$L2006=""),"",IFERROR(INDEX(MUSTERILER!$B$7:$B$156,MATCH($S2006,MUSTERILER!$T$7:$T$156,0)),""))</f>
        <v/>
      </c>
      <c r="U2006" s="1" t="str">
        <f>IF($T2006="","",$T2006&amp;"|"&amp;COUNTIFS($T$7:$T2006,$T2006))</f>
        <v/>
      </c>
      <c r="V2006" s="1">
        <f t="shared" si="96"/>
        <v>0</v>
      </c>
      <c r="W2006" s="1" t="str">
        <f t="shared" si="97"/>
        <v/>
      </c>
      <c r="X2006" s="1"/>
      <c r="Y2006" s="1"/>
      <c r="Z2006" s="1"/>
      <c r="AA2006" s="1"/>
      <c r="AB2006" s="1"/>
      <c r="AC2006" s="1"/>
      <c r="AD2006" s="1">
        <f>IF($C2006="",0,SUMPRODUCT((AY_SONU!$O$7:$O$42="Evet")*(AY_SONU!$B$7:$B$42=DATE(YEAR($C2006),MONTH($C2006),1))))</f>
        <v>0</v>
      </c>
      <c r="AE2006" s="1" t="str">
        <f>IF($E2006="","",$E2006&amp;"|"&amp;COUNTIFS($E$7:$E2006,$E2006))</f>
        <v/>
      </c>
    </row>
    <row r="2007" spans="1:31" ht="18" customHeight="1" x14ac:dyDescent="0.3">
      <c r="A2007" s="2"/>
      <c r="B2007" s="65" t="str">
        <f>IF($C2007="","","GG"&amp;TEXT(ROW()-6,"00000"))</f>
        <v/>
      </c>
      <c r="C2007" s="66"/>
      <c r="D2007" s="60"/>
      <c r="E2007" s="61"/>
      <c r="F2007" s="61"/>
      <c r="G2007" s="67"/>
      <c r="H2007" s="60"/>
      <c r="I2007" s="60"/>
      <c r="J2007" s="61"/>
      <c r="K2007" s="61"/>
      <c r="L2007" s="60"/>
      <c r="M2007" s="74" t="str">
        <f>IF($C2007="","",IF($D2007="Gider",$E2007,IF($L2007&lt;&gt;"",$L2007,$H2007)))</f>
        <v/>
      </c>
      <c r="N2007" s="74" t="str">
        <f>IF($C2007="","",IF($D2007="Gider",$H2007,$E2007))</f>
        <v/>
      </c>
      <c r="O2007" s="73" t="str">
        <f>IF($C2007="","",DATE(YEAR($C2007),MONTH($C2007),1))</f>
        <v/>
      </c>
      <c r="P2007" s="65" t="str">
        <f ca="1">IF($C2007="","",IF(AND($D2007="Gelir",$L2007&lt;&gt;"",$T2007=""),"TANIMSIZ BORÇLU",IF($T2007&lt;&gt;"",IF(OR($E2007="",$G2007&lt;=0),"EKSİK",IF($I2007="Evet","TAHAKKUK NAKİT OLAMAZ",IF($C2007&gt;TODAY(),"İLERİ TARİH","TAHAKKUK"))),IF(AND($D2007&lt;&gt;"",$E2007&lt;&gt;"",$G2007&gt;0,$H2007&lt;&gt;"",$I2007&lt;&gt;""),IF($C2007&gt;TODAY(),"İLERİ TARİH",IF(COUNTIF($W$7:$W$3001,$W2007)&gt;1,"MÜKERRER?",IF($AD2007&gt;0,"KAPALI DÖNEM",IF($I2007="Hayır","ÖDENECEK","UYGUN")))),"EKSİK"))))</f>
        <v/>
      </c>
      <c r="Q2007" s="2"/>
      <c r="R2007" s="2"/>
      <c r="S2007" s="1" t="str">
        <f t="shared" si="95"/>
        <v/>
      </c>
      <c r="T2007" s="1" t="str">
        <f>IF(OR($C2007="",$D2007&lt;&gt;"Gelir",$L2007=""),"",IFERROR(INDEX(MUSTERILER!$B$7:$B$156,MATCH($S2007,MUSTERILER!$T$7:$T$156,0)),""))</f>
        <v/>
      </c>
      <c r="U2007" s="1" t="str">
        <f>IF($T2007="","",$T2007&amp;"|"&amp;COUNTIFS($T$7:$T2007,$T2007))</f>
        <v/>
      </c>
      <c r="V2007" s="1">
        <f t="shared" si="96"/>
        <v>0</v>
      </c>
      <c r="W2007" s="1" t="str">
        <f t="shared" si="97"/>
        <v/>
      </c>
      <c r="X2007" s="1"/>
      <c r="Y2007" s="1"/>
      <c r="Z2007" s="1"/>
      <c r="AA2007" s="1"/>
      <c r="AB2007" s="1"/>
      <c r="AC2007" s="1"/>
      <c r="AD2007" s="1">
        <f>IF($C2007="",0,SUMPRODUCT((AY_SONU!$O$7:$O$42="Evet")*(AY_SONU!$B$7:$B$42=DATE(YEAR($C2007),MONTH($C2007),1))))</f>
        <v>0</v>
      </c>
      <c r="AE2007" s="1" t="str">
        <f>IF($E2007="","",$E2007&amp;"|"&amp;COUNTIFS($E$7:$E2007,$E2007))</f>
        <v/>
      </c>
    </row>
    <row r="2008" spans="1:31" ht="18" customHeight="1" x14ac:dyDescent="0.3">
      <c r="A2008" s="2"/>
      <c r="B2008" s="65" t="str">
        <f>IF($C2008="","","GG"&amp;TEXT(ROW()-6,"00000"))</f>
        <v/>
      </c>
      <c r="C2008" s="66"/>
      <c r="D2008" s="60"/>
      <c r="E2008" s="61"/>
      <c r="F2008" s="61"/>
      <c r="G2008" s="67"/>
      <c r="H2008" s="60"/>
      <c r="I2008" s="60"/>
      <c r="J2008" s="61"/>
      <c r="K2008" s="61"/>
      <c r="L2008" s="60"/>
      <c r="M2008" s="74" t="str">
        <f>IF($C2008="","",IF($D2008="Gider",$E2008,IF($L2008&lt;&gt;"",$L2008,$H2008)))</f>
        <v/>
      </c>
      <c r="N2008" s="74" t="str">
        <f>IF($C2008="","",IF($D2008="Gider",$H2008,$E2008))</f>
        <v/>
      </c>
      <c r="O2008" s="73" t="str">
        <f>IF($C2008="","",DATE(YEAR($C2008),MONTH($C2008),1))</f>
        <v/>
      </c>
      <c r="P2008" s="65" t="str">
        <f ca="1">IF($C2008="","",IF(AND($D2008="Gelir",$L2008&lt;&gt;"",$T2008=""),"TANIMSIZ BORÇLU",IF($T2008&lt;&gt;"",IF(OR($E2008="",$G2008&lt;=0),"EKSİK",IF($I2008="Evet","TAHAKKUK NAKİT OLAMAZ",IF($C2008&gt;TODAY(),"İLERİ TARİH","TAHAKKUK"))),IF(AND($D2008&lt;&gt;"",$E2008&lt;&gt;"",$G2008&gt;0,$H2008&lt;&gt;"",$I2008&lt;&gt;""),IF($C2008&gt;TODAY(),"İLERİ TARİH",IF(COUNTIF($W$7:$W$3001,$W2008)&gt;1,"MÜKERRER?",IF($AD2008&gt;0,"KAPALI DÖNEM",IF($I2008="Hayır","ÖDENECEK","UYGUN")))),"EKSİK"))))</f>
        <v/>
      </c>
      <c r="Q2008" s="2"/>
      <c r="R2008" s="2"/>
      <c r="S2008" s="1" t="str">
        <f t="shared" si="95"/>
        <v/>
      </c>
      <c r="T2008" s="1" t="str">
        <f>IF(OR($C2008="",$D2008&lt;&gt;"Gelir",$L2008=""),"",IFERROR(INDEX(MUSTERILER!$B$7:$B$156,MATCH($S2008,MUSTERILER!$T$7:$T$156,0)),""))</f>
        <v/>
      </c>
      <c r="U2008" s="1" t="str">
        <f>IF($T2008="","",$T2008&amp;"|"&amp;COUNTIFS($T$7:$T2008,$T2008))</f>
        <v/>
      </c>
      <c r="V2008" s="1">
        <f t="shared" si="96"/>
        <v>0</v>
      </c>
      <c r="W2008" s="1" t="str">
        <f t="shared" si="97"/>
        <v/>
      </c>
      <c r="X2008" s="1"/>
      <c r="Y2008" s="1"/>
      <c r="Z2008" s="1"/>
      <c r="AA2008" s="1"/>
      <c r="AB2008" s="1"/>
      <c r="AC2008" s="1"/>
      <c r="AD2008" s="1">
        <f>IF($C2008="",0,SUMPRODUCT((AY_SONU!$O$7:$O$42="Evet")*(AY_SONU!$B$7:$B$42=DATE(YEAR($C2008),MONTH($C2008),1))))</f>
        <v>0</v>
      </c>
      <c r="AE2008" s="1" t="str">
        <f>IF($E2008="","",$E2008&amp;"|"&amp;COUNTIFS($E$7:$E2008,$E2008))</f>
        <v/>
      </c>
    </row>
    <row r="2009" spans="1:31" ht="18" customHeight="1" x14ac:dyDescent="0.3">
      <c r="A2009" s="2"/>
      <c r="B2009" s="65" t="str">
        <f>IF($C2009="","","GG"&amp;TEXT(ROW()-6,"00000"))</f>
        <v/>
      </c>
      <c r="C2009" s="66"/>
      <c r="D2009" s="60"/>
      <c r="E2009" s="61"/>
      <c r="F2009" s="61"/>
      <c r="G2009" s="67"/>
      <c r="H2009" s="60"/>
      <c r="I2009" s="60"/>
      <c r="J2009" s="61"/>
      <c r="K2009" s="61"/>
      <c r="L2009" s="60"/>
      <c r="M2009" s="74" t="str">
        <f>IF($C2009="","",IF($D2009="Gider",$E2009,IF($L2009&lt;&gt;"",$L2009,$H2009)))</f>
        <v/>
      </c>
      <c r="N2009" s="74" t="str">
        <f>IF($C2009="","",IF($D2009="Gider",$H2009,$E2009))</f>
        <v/>
      </c>
      <c r="O2009" s="73" t="str">
        <f>IF($C2009="","",DATE(YEAR($C2009),MONTH($C2009),1))</f>
        <v/>
      </c>
      <c r="P2009" s="65" t="str">
        <f ca="1">IF($C2009="","",IF(AND($D2009="Gelir",$L2009&lt;&gt;"",$T2009=""),"TANIMSIZ BORÇLU",IF($T2009&lt;&gt;"",IF(OR($E2009="",$G2009&lt;=0),"EKSİK",IF($I2009="Evet","TAHAKKUK NAKİT OLAMAZ",IF($C2009&gt;TODAY(),"İLERİ TARİH","TAHAKKUK"))),IF(AND($D2009&lt;&gt;"",$E2009&lt;&gt;"",$G2009&gt;0,$H2009&lt;&gt;"",$I2009&lt;&gt;""),IF($C2009&gt;TODAY(),"İLERİ TARİH",IF(COUNTIF($W$7:$W$3001,$W2009)&gt;1,"MÜKERRER?",IF($AD2009&gt;0,"KAPALI DÖNEM",IF($I2009="Hayır","ÖDENECEK","UYGUN")))),"EKSİK"))))</f>
        <v/>
      </c>
      <c r="Q2009" s="2"/>
      <c r="R2009" s="2"/>
      <c r="S2009" s="1" t="str">
        <f t="shared" si="95"/>
        <v/>
      </c>
      <c r="T2009" s="1" t="str">
        <f>IF(OR($C2009="",$D2009&lt;&gt;"Gelir",$L2009=""),"",IFERROR(INDEX(MUSTERILER!$B$7:$B$156,MATCH($S2009,MUSTERILER!$T$7:$T$156,0)),""))</f>
        <v/>
      </c>
      <c r="U2009" s="1" t="str">
        <f>IF($T2009="","",$T2009&amp;"|"&amp;COUNTIFS($T$7:$T2009,$T2009))</f>
        <v/>
      </c>
      <c r="V2009" s="1">
        <f t="shared" si="96"/>
        <v>0</v>
      </c>
      <c r="W2009" s="1" t="str">
        <f t="shared" si="97"/>
        <v/>
      </c>
      <c r="X2009" s="1"/>
      <c r="Y2009" s="1"/>
      <c r="Z2009" s="1"/>
      <c r="AA2009" s="1"/>
      <c r="AB2009" s="1"/>
      <c r="AC2009" s="1"/>
      <c r="AD2009" s="1">
        <f>IF($C2009="",0,SUMPRODUCT((AY_SONU!$O$7:$O$42="Evet")*(AY_SONU!$B$7:$B$42=DATE(YEAR($C2009),MONTH($C2009),1))))</f>
        <v>0</v>
      </c>
      <c r="AE2009" s="1" t="str">
        <f>IF($E2009="","",$E2009&amp;"|"&amp;COUNTIFS($E$7:$E2009,$E2009))</f>
        <v/>
      </c>
    </row>
    <row r="2010" spans="1:31" ht="18" customHeight="1" x14ac:dyDescent="0.3">
      <c r="A2010" s="2"/>
      <c r="B2010" s="65" t="str">
        <f>IF($C2010="","","GG"&amp;TEXT(ROW()-6,"00000"))</f>
        <v/>
      </c>
      <c r="C2010" s="66"/>
      <c r="D2010" s="60"/>
      <c r="E2010" s="61"/>
      <c r="F2010" s="61"/>
      <c r="G2010" s="67"/>
      <c r="H2010" s="60"/>
      <c r="I2010" s="60"/>
      <c r="J2010" s="61"/>
      <c r="K2010" s="61"/>
      <c r="L2010" s="60"/>
      <c r="M2010" s="74" t="str">
        <f>IF($C2010="","",IF($D2010="Gider",$E2010,IF($L2010&lt;&gt;"",$L2010,$H2010)))</f>
        <v/>
      </c>
      <c r="N2010" s="74" t="str">
        <f>IF($C2010="","",IF($D2010="Gider",$H2010,$E2010))</f>
        <v/>
      </c>
      <c r="O2010" s="73" t="str">
        <f>IF($C2010="","",DATE(YEAR($C2010),MONTH($C2010),1))</f>
        <v/>
      </c>
      <c r="P2010" s="65" t="str">
        <f ca="1">IF($C2010="","",IF(AND($D2010="Gelir",$L2010&lt;&gt;"",$T2010=""),"TANIMSIZ BORÇLU",IF($T2010&lt;&gt;"",IF(OR($E2010="",$G2010&lt;=0),"EKSİK",IF($I2010="Evet","TAHAKKUK NAKİT OLAMAZ",IF($C2010&gt;TODAY(),"İLERİ TARİH","TAHAKKUK"))),IF(AND($D2010&lt;&gt;"",$E2010&lt;&gt;"",$G2010&gt;0,$H2010&lt;&gt;"",$I2010&lt;&gt;""),IF($C2010&gt;TODAY(),"İLERİ TARİH",IF(COUNTIF($W$7:$W$3001,$W2010)&gt;1,"MÜKERRER?",IF($AD2010&gt;0,"KAPALI DÖNEM",IF($I2010="Hayır","ÖDENECEK","UYGUN")))),"EKSİK"))))</f>
        <v/>
      </c>
      <c r="Q2010" s="2"/>
      <c r="R2010" s="2"/>
      <c r="S2010" s="1" t="str">
        <f t="shared" si="95"/>
        <v/>
      </c>
      <c r="T2010" s="1" t="str">
        <f>IF(OR($C2010="",$D2010&lt;&gt;"Gelir",$L2010=""),"",IFERROR(INDEX(MUSTERILER!$B$7:$B$156,MATCH($S2010,MUSTERILER!$T$7:$T$156,0)),""))</f>
        <v/>
      </c>
      <c r="U2010" s="1" t="str">
        <f>IF($T2010="","",$T2010&amp;"|"&amp;COUNTIFS($T$7:$T2010,$T2010))</f>
        <v/>
      </c>
      <c r="V2010" s="1">
        <f t="shared" si="96"/>
        <v>0</v>
      </c>
      <c r="W2010" s="1" t="str">
        <f t="shared" si="97"/>
        <v/>
      </c>
      <c r="X2010" s="1"/>
      <c r="Y2010" s="1"/>
      <c r="Z2010" s="1"/>
      <c r="AA2010" s="1"/>
      <c r="AB2010" s="1"/>
      <c r="AC2010" s="1"/>
      <c r="AD2010" s="1">
        <f>IF($C2010="",0,SUMPRODUCT((AY_SONU!$O$7:$O$42="Evet")*(AY_SONU!$B$7:$B$42=DATE(YEAR($C2010),MONTH($C2010),1))))</f>
        <v>0</v>
      </c>
      <c r="AE2010" s="1" t="str">
        <f>IF($E2010="","",$E2010&amp;"|"&amp;COUNTIFS($E$7:$E2010,$E2010))</f>
        <v/>
      </c>
    </row>
    <row r="2011" spans="1:31" ht="18" customHeight="1" x14ac:dyDescent="0.3">
      <c r="A2011" s="2"/>
      <c r="B2011" s="65" t="str">
        <f>IF($C2011="","","GG"&amp;TEXT(ROW()-6,"00000"))</f>
        <v/>
      </c>
      <c r="C2011" s="66"/>
      <c r="D2011" s="60"/>
      <c r="E2011" s="61"/>
      <c r="F2011" s="61"/>
      <c r="G2011" s="67"/>
      <c r="H2011" s="60"/>
      <c r="I2011" s="60"/>
      <c r="J2011" s="61"/>
      <c r="K2011" s="61"/>
      <c r="L2011" s="60"/>
      <c r="M2011" s="74" t="str">
        <f>IF($C2011="","",IF($D2011="Gider",$E2011,IF($L2011&lt;&gt;"",$L2011,$H2011)))</f>
        <v/>
      </c>
      <c r="N2011" s="74" t="str">
        <f>IF($C2011="","",IF($D2011="Gider",$H2011,$E2011))</f>
        <v/>
      </c>
      <c r="O2011" s="73" t="str">
        <f>IF($C2011="","",DATE(YEAR($C2011),MONTH($C2011),1))</f>
        <v/>
      </c>
      <c r="P2011" s="65" t="str">
        <f ca="1">IF($C2011="","",IF(AND($D2011="Gelir",$L2011&lt;&gt;"",$T2011=""),"TANIMSIZ BORÇLU",IF($T2011&lt;&gt;"",IF(OR($E2011="",$G2011&lt;=0),"EKSİK",IF($I2011="Evet","TAHAKKUK NAKİT OLAMAZ",IF($C2011&gt;TODAY(),"İLERİ TARİH","TAHAKKUK"))),IF(AND($D2011&lt;&gt;"",$E2011&lt;&gt;"",$G2011&gt;0,$H2011&lt;&gt;"",$I2011&lt;&gt;""),IF($C2011&gt;TODAY(),"İLERİ TARİH",IF(COUNTIF($W$7:$W$3001,$W2011)&gt;1,"MÜKERRER?",IF($AD2011&gt;0,"KAPALI DÖNEM",IF($I2011="Hayır","ÖDENECEK","UYGUN")))),"EKSİK"))))</f>
        <v/>
      </c>
      <c r="Q2011" s="2"/>
      <c r="R2011" s="2"/>
      <c r="S2011" s="1" t="str">
        <f t="shared" si="95"/>
        <v/>
      </c>
      <c r="T2011" s="1" t="str">
        <f>IF(OR($C2011="",$D2011&lt;&gt;"Gelir",$L2011=""),"",IFERROR(INDEX(MUSTERILER!$B$7:$B$156,MATCH($S2011,MUSTERILER!$T$7:$T$156,0)),""))</f>
        <v/>
      </c>
      <c r="U2011" s="1" t="str">
        <f>IF($T2011="","",$T2011&amp;"|"&amp;COUNTIFS($T$7:$T2011,$T2011))</f>
        <v/>
      </c>
      <c r="V2011" s="1">
        <f t="shared" si="96"/>
        <v>0</v>
      </c>
      <c r="W2011" s="1" t="str">
        <f t="shared" si="97"/>
        <v/>
      </c>
      <c r="X2011" s="1"/>
      <c r="Y2011" s="1"/>
      <c r="Z2011" s="1"/>
      <c r="AA2011" s="1"/>
      <c r="AB2011" s="1"/>
      <c r="AC2011" s="1"/>
      <c r="AD2011" s="1">
        <f>IF($C2011="",0,SUMPRODUCT((AY_SONU!$O$7:$O$42="Evet")*(AY_SONU!$B$7:$B$42=DATE(YEAR($C2011),MONTH($C2011),1))))</f>
        <v>0</v>
      </c>
      <c r="AE2011" s="1" t="str">
        <f>IF($E2011="","",$E2011&amp;"|"&amp;COUNTIFS($E$7:$E2011,$E2011))</f>
        <v/>
      </c>
    </row>
    <row r="2012" spans="1:31" ht="18" customHeight="1" x14ac:dyDescent="0.3">
      <c r="A2012" s="2"/>
      <c r="B2012" s="65" t="str">
        <f>IF($C2012="","","GG"&amp;TEXT(ROW()-6,"00000"))</f>
        <v/>
      </c>
      <c r="C2012" s="66"/>
      <c r="D2012" s="60"/>
      <c r="E2012" s="61"/>
      <c r="F2012" s="61"/>
      <c r="G2012" s="67"/>
      <c r="H2012" s="60"/>
      <c r="I2012" s="60"/>
      <c r="J2012" s="61"/>
      <c r="K2012" s="61"/>
      <c r="L2012" s="60"/>
      <c r="M2012" s="74" t="str">
        <f>IF($C2012="","",IF($D2012="Gider",$E2012,IF($L2012&lt;&gt;"",$L2012,$H2012)))</f>
        <v/>
      </c>
      <c r="N2012" s="74" t="str">
        <f>IF($C2012="","",IF($D2012="Gider",$H2012,$E2012))</f>
        <v/>
      </c>
      <c r="O2012" s="73" t="str">
        <f>IF($C2012="","",DATE(YEAR($C2012),MONTH($C2012),1))</f>
        <v/>
      </c>
      <c r="P2012" s="65" t="str">
        <f ca="1">IF($C2012="","",IF(AND($D2012="Gelir",$L2012&lt;&gt;"",$T2012=""),"TANIMSIZ BORÇLU",IF($T2012&lt;&gt;"",IF(OR($E2012="",$G2012&lt;=0),"EKSİK",IF($I2012="Evet","TAHAKKUK NAKİT OLAMAZ",IF($C2012&gt;TODAY(),"İLERİ TARİH","TAHAKKUK"))),IF(AND($D2012&lt;&gt;"",$E2012&lt;&gt;"",$G2012&gt;0,$H2012&lt;&gt;"",$I2012&lt;&gt;""),IF($C2012&gt;TODAY(),"İLERİ TARİH",IF(COUNTIF($W$7:$W$3001,$W2012)&gt;1,"MÜKERRER?",IF($AD2012&gt;0,"KAPALI DÖNEM",IF($I2012="Hayır","ÖDENECEK","UYGUN")))),"EKSİK"))))</f>
        <v/>
      </c>
      <c r="Q2012" s="2"/>
      <c r="R2012" s="2"/>
      <c r="S2012" s="1" t="str">
        <f t="shared" si="95"/>
        <v/>
      </c>
      <c r="T2012" s="1" t="str">
        <f>IF(OR($C2012="",$D2012&lt;&gt;"Gelir",$L2012=""),"",IFERROR(INDEX(MUSTERILER!$B$7:$B$156,MATCH($S2012,MUSTERILER!$T$7:$T$156,0)),""))</f>
        <v/>
      </c>
      <c r="U2012" s="1" t="str">
        <f>IF($T2012="","",$T2012&amp;"|"&amp;COUNTIFS($T$7:$T2012,$T2012))</f>
        <v/>
      </c>
      <c r="V2012" s="1">
        <f t="shared" si="96"/>
        <v>0</v>
      </c>
      <c r="W2012" s="1" t="str">
        <f t="shared" si="97"/>
        <v/>
      </c>
      <c r="X2012" s="1"/>
      <c r="Y2012" s="1"/>
      <c r="Z2012" s="1"/>
      <c r="AA2012" s="1"/>
      <c r="AB2012" s="1"/>
      <c r="AC2012" s="1"/>
      <c r="AD2012" s="1">
        <f>IF($C2012="",0,SUMPRODUCT((AY_SONU!$O$7:$O$42="Evet")*(AY_SONU!$B$7:$B$42=DATE(YEAR($C2012),MONTH($C2012),1))))</f>
        <v>0</v>
      </c>
      <c r="AE2012" s="1" t="str">
        <f>IF($E2012="","",$E2012&amp;"|"&amp;COUNTIFS($E$7:$E2012,$E2012))</f>
        <v/>
      </c>
    </row>
    <row r="2013" spans="1:31" ht="18" customHeight="1" x14ac:dyDescent="0.3">
      <c r="A2013" s="2"/>
      <c r="B2013" s="65" t="str">
        <f>IF($C2013="","","GG"&amp;TEXT(ROW()-6,"00000"))</f>
        <v/>
      </c>
      <c r="C2013" s="66"/>
      <c r="D2013" s="60"/>
      <c r="E2013" s="61"/>
      <c r="F2013" s="61"/>
      <c r="G2013" s="67"/>
      <c r="H2013" s="60"/>
      <c r="I2013" s="60"/>
      <c r="J2013" s="61"/>
      <c r="K2013" s="61"/>
      <c r="L2013" s="60"/>
      <c r="M2013" s="74" t="str">
        <f>IF($C2013="","",IF($D2013="Gider",$E2013,IF($L2013&lt;&gt;"",$L2013,$H2013)))</f>
        <v/>
      </c>
      <c r="N2013" s="74" t="str">
        <f>IF($C2013="","",IF($D2013="Gider",$H2013,$E2013))</f>
        <v/>
      </c>
      <c r="O2013" s="73" t="str">
        <f>IF($C2013="","",DATE(YEAR($C2013),MONTH($C2013),1))</f>
        <v/>
      </c>
      <c r="P2013" s="65" t="str">
        <f ca="1">IF($C2013="","",IF(AND($D2013="Gelir",$L2013&lt;&gt;"",$T2013=""),"TANIMSIZ BORÇLU",IF($T2013&lt;&gt;"",IF(OR($E2013="",$G2013&lt;=0),"EKSİK",IF($I2013="Evet","TAHAKKUK NAKİT OLAMAZ",IF($C2013&gt;TODAY(),"İLERİ TARİH","TAHAKKUK"))),IF(AND($D2013&lt;&gt;"",$E2013&lt;&gt;"",$G2013&gt;0,$H2013&lt;&gt;"",$I2013&lt;&gt;""),IF($C2013&gt;TODAY(),"İLERİ TARİH",IF(COUNTIF($W$7:$W$3001,$W2013)&gt;1,"MÜKERRER?",IF($AD2013&gt;0,"KAPALI DÖNEM",IF($I2013="Hayır","ÖDENECEK","UYGUN")))),"EKSİK"))))</f>
        <v/>
      </c>
      <c r="Q2013" s="2"/>
      <c r="R2013" s="2"/>
      <c r="S2013" s="1" t="str">
        <f t="shared" si="95"/>
        <v/>
      </c>
      <c r="T2013" s="1" t="str">
        <f>IF(OR($C2013="",$D2013&lt;&gt;"Gelir",$L2013=""),"",IFERROR(INDEX(MUSTERILER!$B$7:$B$156,MATCH($S2013,MUSTERILER!$T$7:$T$156,0)),""))</f>
        <v/>
      </c>
      <c r="U2013" s="1" t="str">
        <f>IF($T2013="","",$T2013&amp;"|"&amp;COUNTIFS($T$7:$T2013,$T2013))</f>
        <v/>
      </c>
      <c r="V2013" s="1">
        <f t="shared" si="96"/>
        <v>0</v>
      </c>
      <c r="W2013" s="1" t="str">
        <f t="shared" si="97"/>
        <v/>
      </c>
      <c r="X2013" s="1"/>
      <c r="Y2013" s="1"/>
      <c r="Z2013" s="1"/>
      <c r="AA2013" s="1"/>
      <c r="AB2013" s="1"/>
      <c r="AC2013" s="1"/>
      <c r="AD2013" s="1">
        <f>IF($C2013="",0,SUMPRODUCT((AY_SONU!$O$7:$O$42="Evet")*(AY_SONU!$B$7:$B$42=DATE(YEAR($C2013),MONTH($C2013),1))))</f>
        <v>0</v>
      </c>
      <c r="AE2013" s="1" t="str">
        <f>IF($E2013="","",$E2013&amp;"|"&amp;COUNTIFS($E$7:$E2013,$E2013))</f>
        <v/>
      </c>
    </row>
    <row r="2014" spans="1:31" ht="18" customHeight="1" x14ac:dyDescent="0.3">
      <c r="A2014" s="2"/>
      <c r="B2014" s="65" t="str">
        <f>IF($C2014="","","GG"&amp;TEXT(ROW()-6,"00000"))</f>
        <v/>
      </c>
      <c r="C2014" s="66"/>
      <c r="D2014" s="60"/>
      <c r="E2014" s="61"/>
      <c r="F2014" s="61"/>
      <c r="G2014" s="67"/>
      <c r="H2014" s="60"/>
      <c r="I2014" s="60"/>
      <c r="J2014" s="61"/>
      <c r="K2014" s="61"/>
      <c r="L2014" s="60"/>
      <c r="M2014" s="74" t="str">
        <f>IF($C2014="","",IF($D2014="Gider",$E2014,IF($L2014&lt;&gt;"",$L2014,$H2014)))</f>
        <v/>
      </c>
      <c r="N2014" s="74" t="str">
        <f>IF($C2014="","",IF($D2014="Gider",$H2014,$E2014))</f>
        <v/>
      </c>
      <c r="O2014" s="73" t="str">
        <f>IF($C2014="","",DATE(YEAR($C2014),MONTH($C2014),1))</f>
        <v/>
      </c>
      <c r="P2014" s="65" t="str">
        <f ca="1">IF($C2014="","",IF(AND($D2014="Gelir",$L2014&lt;&gt;"",$T2014=""),"TANIMSIZ BORÇLU",IF($T2014&lt;&gt;"",IF(OR($E2014="",$G2014&lt;=0),"EKSİK",IF($I2014="Evet","TAHAKKUK NAKİT OLAMAZ",IF($C2014&gt;TODAY(),"İLERİ TARİH","TAHAKKUK"))),IF(AND($D2014&lt;&gt;"",$E2014&lt;&gt;"",$G2014&gt;0,$H2014&lt;&gt;"",$I2014&lt;&gt;""),IF($C2014&gt;TODAY(),"İLERİ TARİH",IF(COUNTIF($W$7:$W$3001,$W2014)&gt;1,"MÜKERRER?",IF($AD2014&gt;0,"KAPALI DÖNEM",IF($I2014="Hayır","ÖDENECEK","UYGUN")))),"EKSİK"))))</f>
        <v/>
      </c>
      <c r="Q2014" s="2"/>
      <c r="R2014" s="2"/>
      <c r="S2014" s="1" t="str">
        <f t="shared" si="95"/>
        <v/>
      </c>
      <c r="T2014" s="1" t="str">
        <f>IF(OR($C2014="",$D2014&lt;&gt;"Gelir",$L2014=""),"",IFERROR(INDEX(MUSTERILER!$B$7:$B$156,MATCH($S2014,MUSTERILER!$T$7:$T$156,0)),""))</f>
        <v/>
      </c>
      <c r="U2014" s="1" t="str">
        <f>IF($T2014="","",$T2014&amp;"|"&amp;COUNTIFS($T$7:$T2014,$T2014))</f>
        <v/>
      </c>
      <c r="V2014" s="1">
        <f t="shared" si="96"/>
        <v>0</v>
      </c>
      <c r="W2014" s="1" t="str">
        <f t="shared" si="97"/>
        <v/>
      </c>
      <c r="X2014" s="1"/>
      <c r="Y2014" s="1"/>
      <c r="Z2014" s="1"/>
      <c r="AA2014" s="1"/>
      <c r="AB2014" s="1"/>
      <c r="AC2014" s="1"/>
      <c r="AD2014" s="1">
        <f>IF($C2014="",0,SUMPRODUCT((AY_SONU!$O$7:$O$42="Evet")*(AY_SONU!$B$7:$B$42=DATE(YEAR($C2014),MONTH($C2014),1))))</f>
        <v>0</v>
      </c>
      <c r="AE2014" s="1" t="str">
        <f>IF($E2014="","",$E2014&amp;"|"&amp;COUNTIFS($E$7:$E2014,$E2014))</f>
        <v/>
      </c>
    </row>
    <row r="2015" spans="1:31" ht="18" customHeight="1" x14ac:dyDescent="0.3">
      <c r="A2015" s="2"/>
      <c r="B2015" s="65" t="str">
        <f>IF($C2015="","","GG"&amp;TEXT(ROW()-6,"00000"))</f>
        <v/>
      </c>
      <c r="C2015" s="66"/>
      <c r="D2015" s="60"/>
      <c r="E2015" s="61"/>
      <c r="F2015" s="61"/>
      <c r="G2015" s="67"/>
      <c r="H2015" s="60"/>
      <c r="I2015" s="60"/>
      <c r="J2015" s="61"/>
      <c r="K2015" s="61"/>
      <c r="L2015" s="60"/>
      <c r="M2015" s="74" t="str">
        <f>IF($C2015="","",IF($D2015="Gider",$E2015,IF($L2015&lt;&gt;"",$L2015,$H2015)))</f>
        <v/>
      </c>
      <c r="N2015" s="74" t="str">
        <f>IF($C2015="","",IF($D2015="Gider",$H2015,$E2015))</f>
        <v/>
      </c>
      <c r="O2015" s="73" t="str">
        <f>IF($C2015="","",DATE(YEAR($C2015),MONTH($C2015),1))</f>
        <v/>
      </c>
      <c r="P2015" s="65" t="str">
        <f ca="1">IF($C2015="","",IF(AND($D2015="Gelir",$L2015&lt;&gt;"",$T2015=""),"TANIMSIZ BORÇLU",IF($T2015&lt;&gt;"",IF(OR($E2015="",$G2015&lt;=0),"EKSİK",IF($I2015="Evet","TAHAKKUK NAKİT OLAMAZ",IF($C2015&gt;TODAY(),"İLERİ TARİH","TAHAKKUK"))),IF(AND($D2015&lt;&gt;"",$E2015&lt;&gt;"",$G2015&gt;0,$H2015&lt;&gt;"",$I2015&lt;&gt;""),IF($C2015&gt;TODAY(),"İLERİ TARİH",IF(COUNTIF($W$7:$W$3001,$W2015)&gt;1,"MÜKERRER?",IF($AD2015&gt;0,"KAPALI DÖNEM",IF($I2015="Hayır","ÖDENECEK","UYGUN")))),"EKSİK"))))</f>
        <v/>
      </c>
      <c r="Q2015" s="2"/>
      <c r="R2015" s="2"/>
      <c r="S2015" s="1" t="str">
        <f t="shared" si="95"/>
        <v/>
      </c>
      <c r="T2015" s="1" t="str">
        <f>IF(OR($C2015="",$D2015&lt;&gt;"Gelir",$L2015=""),"",IFERROR(INDEX(MUSTERILER!$B$7:$B$156,MATCH($S2015,MUSTERILER!$T$7:$T$156,0)),""))</f>
        <v/>
      </c>
      <c r="U2015" s="1" t="str">
        <f>IF($T2015="","",$T2015&amp;"|"&amp;COUNTIFS($T$7:$T2015,$T2015))</f>
        <v/>
      </c>
      <c r="V2015" s="1">
        <f t="shared" si="96"/>
        <v>0</v>
      </c>
      <c r="W2015" s="1" t="str">
        <f t="shared" si="97"/>
        <v/>
      </c>
      <c r="X2015" s="1"/>
      <c r="Y2015" s="1"/>
      <c r="Z2015" s="1"/>
      <c r="AA2015" s="1"/>
      <c r="AB2015" s="1"/>
      <c r="AC2015" s="1"/>
      <c r="AD2015" s="1">
        <f>IF($C2015="",0,SUMPRODUCT((AY_SONU!$O$7:$O$42="Evet")*(AY_SONU!$B$7:$B$42=DATE(YEAR($C2015),MONTH($C2015),1))))</f>
        <v>0</v>
      </c>
      <c r="AE2015" s="1" t="str">
        <f>IF($E2015="","",$E2015&amp;"|"&amp;COUNTIFS($E$7:$E2015,$E2015))</f>
        <v/>
      </c>
    </row>
    <row r="2016" spans="1:31" ht="18" customHeight="1" x14ac:dyDescent="0.3">
      <c r="A2016" s="2"/>
      <c r="B2016" s="65" t="str">
        <f>IF($C2016="","","GG"&amp;TEXT(ROW()-6,"00000"))</f>
        <v/>
      </c>
      <c r="C2016" s="66"/>
      <c r="D2016" s="60"/>
      <c r="E2016" s="61"/>
      <c r="F2016" s="61"/>
      <c r="G2016" s="67"/>
      <c r="H2016" s="60"/>
      <c r="I2016" s="60"/>
      <c r="J2016" s="61"/>
      <c r="K2016" s="61"/>
      <c r="L2016" s="60"/>
      <c r="M2016" s="74" t="str">
        <f>IF($C2016="","",IF($D2016="Gider",$E2016,IF($L2016&lt;&gt;"",$L2016,$H2016)))</f>
        <v/>
      </c>
      <c r="N2016" s="74" t="str">
        <f>IF($C2016="","",IF($D2016="Gider",$H2016,$E2016))</f>
        <v/>
      </c>
      <c r="O2016" s="73" t="str">
        <f>IF($C2016="","",DATE(YEAR($C2016),MONTH($C2016),1))</f>
        <v/>
      </c>
      <c r="P2016" s="65" t="str">
        <f ca="1">IF($C2016="","",IF(AND($D2016="Gelir",$L2016&lt;&gt;"",$T2016=""),"TANIMSIZ BORÇLU",IF($T2016&lt;&gt;"",IF(OR($E2016="",$G2016&lt;=0),"EKSİK",IF($I2016="Evet","TAHAKKUK NAKİT OLAMAZ",IF($C2016&gt;TODAY(),"İLERİ TARİH","TAHAKKUK"))),IF(AND($D2016&lt;&gt;"",$E2016&lt;&gt;"",$G2016&gt;0,$H2016&lt;&gt;"",$I2016&lt;&gt;""),IF($C2016&gt;TODAY(),"İLERİ TARİH",IF(COUNTIF($W$7:$W$3001,$W2016)&gt;1,"MÜKERRER?",IF($AD2016&gt;0,"KAPALI DÖNEM",IF($I2016="Hayır","ÖDENECEK","UYGUN")))),"EKSİK"))))</f>
        <v/>
      </c>
      <c r="Q2016" s="2"/>
      <c r="R2016" s="2"/>
      <c r="S2016" s="1" t="str">
        <f t="shared" si="95"/>
        <v/>
      </c>
      <c r="T2016" s="1" t="str">
        <f>IF(OR($C2016="",$D2016&lt;&gt;"Gelir",$L2016=""),"",IFERROR(INDEX(MUSTERILER!$B$7:$B$156,MATCH($S2016,MUSTERILER!$T$7:$T$156,0)),""))</f>
        <v/>
      </c>
      <c r="U2016" s="1" t="str">
        <f>IF($T2016="","",$T2016&amp;"|"&amp;COUNTIFS($T$7:$T2016,$T2016))</f>
        <v/>
      </c>
      <c r="V2016" s="1">
        <f t="shared" si="96"/>
        <v>0</v>
      </c>
      <c r="W2016" s="1" t="str">
        <f t="shared" si="97"/>
        <v/>
      </c>
      <c r="X2016" s="1"/>
      <c r="Y2016" s="1"/>
      <c r="Z2016" s="1"/>
      <c r="AA2016" s="1"/>
      <c r="AB2016" s="1"/>
      <c r="AC2016" s="1"/>
      <c r="AD2016" s="1">
        <f>IF($C2016="",0,SUMPRODUCT((AY_SONU!$O$7:$O$42="Evet")*(AY_SONU!$B$7:$B$42=DATE(YEAR($C2016),MONTH($C2016),1))))</f>
        <v>0</v>
      </c>
      <c r="AE2016" s="1" t="str">
        <f>IF($E2016="","",$E2016&amp;"|"&amp;COUNTIFS($E$7:$E2016,$E2016))</f>
        <v/>
      </c>
    </row>
    <row r="2017" spans="1:31" ht="18" customHeight="1" x14ac:dyDescent="0.3">
      <c r="A2017" s="2"/>
      <c r="B2017" s="65" t="str">
        <f>IF($C2017="","","GG"&amp;TEXT(ROW()-6,"00000"))</f>
        <v/>
      </c>
      <c r="C2017" s="66"/>
      <c r="D2017" s="60"/>
      <c r="E2017" s="61"/>
      <c r="F2017" s="61"/>
      <c r="G2017" s="67"/>
      <c r="H2017" s="60"/>
      <c r="I2017" s="60"/>
      <c r="J2017" s="61"/>
      <c r="K2017" s="61"/>
      <c r="L2017" s="60"/>
      <c r="M2017" s="74" t="str">
        <f>IF($C2017="","",IF($D2017="Gider",$E2017,IF($L2017&lt;&gt;"",$L2017,$H2017)))</f>
        <v/>
      </c>
      <c r="N2017" s="74" t="str">
        <f>IF($C2017="","",IF($D2017="Gider",$H2017,$E2017))</f>
        <v/>
      </c>
      <c r="O2017" s="73" t="str">
        <f>IF($C2017="","",DATE(YEAR($C2017),MONTH($C2017),1))</f>
        <v/>
      </c>
      <c r="P2017" s="65" t="str">
        <f ca="1">IF($C2017="","",IF(AND($D2017="Gelir",$L2017&lt;&gt;"",$T2017=""),"TANIMSIZ BORÇLU",IF($T2017&lt;&gt;"",IF(OR($E2017="",$G2017&lt;=0),"EKSİK",IF($I2017="Evet","TAHAKKUK NAKİT OLAMAZ",IF($C2017&gt;TODAY(),"İLERİ TARİH","TAHAKKUK"))),IF(AND($D2017&lt;&gt;"",$E2017&lt;&gt;"",$G2017&gt;0,$H2017&lt;&gt;"",$I2017&lt;&gt;""),IF($C2017&gt;TODAY(),"İLERİ TARİH",IF(COUNTIF($W$7:$W$3001,$W2017)&gt;1,"MÜKERRER?",IF($AD2017&gt;0,"KAPALI DÖNEM",IF($I2017="Hayır","ÖDENECEK","UYGUN")))),"EKSİK"))))</f>
        <v/>
      </c>
      <c r="Q2017" s="2"/>
      <c r="R2017" s="2"/>
      <c r="S2017" s="1" t="str">
        <f t="shared" si="95"/>
        <v/>
      </c>
      <c r="T2017" s="1" t="str">
        <f>IF(OR($C2017="",$D2017&lt;&gt;"Gelir",$L2017=""),"",IFERROR(INDEX(MUSTERILER!$B$7:$B$156,MATCH($S2017,MUSTERILER!$T$7:$T$156,0)),""))</f>
        <v/>
      </c>
      <c r="U2017" s="1" t="str">
        <f>IF($T2017="","",$T2017&amp;"|"&amp;COUNTIFS($T$7:$T2017,$T2017))</f>
        <v/>
      </c>
      <c r="V2017" s="1">
        <f t="shared" si="96"/>
        <v>0</v>
      </c>
      <c r="W2017" s="1" t="str">
        <f t="shared" si="97"/>
        <v/>
      </c>
      <c r="X2017" s="1"/>
      <c r="Y2017" s="1"/>
      <c r="Z2017" s="1"/>
      <c r="AA2017" s="1"/>
      <c r="AB2017" s="1"/>
      <c r="AC2017" s="1"/>
      <c r="AD2017" s="1">
        <f>IF($C2017="",0,SUMPRODUCT((AY_SONU!$O$7:$O$42="Evet")*(AY_SONU!$B$7:$B$42=DATE(YEAR($C2017),MONTH($C2017),1))))</f>
        <v>0</v>
      </c>
      <c r="AE2017" s="1" t="str">
        <f>IF($E2017="","",$E2017&amp;"|"&amp;COUNTIFS($E$7:$E2017,$E2017))</f>
        <v/>
      </c>
    </row>
    <row r="2018" spans="1:31" ht="18" customHeight="1" x14ac:dyDescent="0.3">
      <c r="A2018" s="2"/>
      <c r="B2018" s="65" t="str">
        <f>IF($C2018="","","GG"&amp;TEXT(ROW()-6,"00000"))</f>
        <v/>
      </c>
      <c r="C2018" s="66"/>
      <c r="D2018" s="60"/>
      <c r="E2018" s="61"/>
      <c r="F2018" s="61"/>
      <c r="G2018" s="67"/>
      <c r="H2018" s="60"/>
      <c r="I2018" s="60"/>
      <c r="J2018" s="61"/>
      <c r="K2018" s="61"/>
      <c r="L2018" s="60"/>
      <c r="M2018" s="74" t="str">
        <f>IF($C2018="","",IF($D2018="Gider",$E2018,IF($L2018&lt;&gt;"",$L2018,$H2018)))</f>
        <v/>
      </c>
      <c r="N2018" s="74" t="str">
        <f>IF($C2018="","",IF($D2018="Gider",$H2018,$E2018))</f>
        <v/>
      </c>
      <c r="O2018" s="73" t="str">
        <f>IF($C2018="","",DATE(YEAR($C2018),MONTH($C2018),1))</f>
        <v/>
      </c>
      <c r="P2018" s="65" t="str">
        <f ca="1">IF($C2018="","",IF(AND($D2018="Gelir",$L2018&lt;&gt;"",$T2018=""),"TANIMSIZ BORÇLU",IF($T2018&lt;&gt;"",IF(OR($E2018="",$G2018&lt;=0),"EKSİK",IF($I2018="Evet","TAHAKKUK NAKİT OLAMAZ",IF($C2018&gt;TODAY(),"İLERİ TARİH","TAHAKKUK"))),IF(AND($D2018&lt;&gt;"",$E2018&lt;&gt;"",$G2018&gt;0,$H2018&lt;&gt;"",$I2018&lt;&gt;""),IF($C2018&gt;TODAY(),"İLERİ TARİH",IF(COUNTIF($W$7:$W$3001,$W2018)&gt;1,"MÜKERRER?",IF($AD2018&gt;0,"KAPALI DÖNEM",IF($I2018="Hayır","ÖDENECEK","UYGUN")))),"EKSİK"))))</f>
        <v/>
      </c>
      <c r="Q2018" s="2"/>
      <c r="R2018" s="2"/>
      <c r="S2018" s="1" t="str">
        <f t="shared" si="95"/>
        <v/>
      </c>
      <c r="T2018" s="1" t="str">
        <f>IF(OR($C2018="",$D2018&lt;&gt;"Gelir",$L2018=""),"",IFERROR(INDEX(MUSTERILER!$B$7:$B$156,MATCH($S2018,MUSTERILER!$T$7:$T$156,0)),""))</f>
        <v/>
      </c>
      <c r="U2018" s="1" t="str">
        <f>IF($T2018="","",$T2018&amp;"|"&amp;COUNTIFS($T$7:$T2018,$T2018))</f>
        <v/>
      </c>
      <c r="V2018" s="1">
        <f t="shared" si="96"/>
        <v>0</v>
      </c>
      <c r="W2018" s="1" t="str">
        <f t="shared" si="97"/>
        <v/>
      </c>
      <c r="X2018" s="1"/>
      <c r="Y2018" s="1"/>
      <c r="Z2018" s="1"/>
      <c r="AA2018" s="1"/>
      <c r="AB2018" s="1"/>
      <c r="AC2018" s="1"/>
      <c r="AD2018" s="1">
        <f>IF($C2018="",0,SUMPRODUCT((AY_SONU!$O$7:$O$42="Evet")*(AY_SONU!$B$7:$B$42=DATE(YEAR($C2018),MONTH($C2018),1))))</f>
        <v>0</v>
      </c>
      <c r="AE2018" s="1" t="str">
        <f>IF($E2018="","",$E2018&amp;"|"&amp;COUNTIFS($E$7:$E2018,$E2018))</f>
        <v/>
      </c>
    </row>
    <row r="2019" spans="1:31" ht="18" customHeight="1" x14ac:dyDescent="0.3">
      <c r="A2019" s="2"/>
      <c r="B2019" s="65" t="str">
        <f>IF($C2019="","","GG"&amp;TEXT(ROW()-6,"00000"))</f>
        <v/>
      </c>
      <c r="C2019" s="66"/>
      <c r="D2019" s="60"/>
      <c r="E2019" s="61"/>
      <c r="F2019" s="61"/>
      <c r="G2019" s="67"/>
      <c r="H2019" s="60"/>
      <c r="I2019" s="60"/>
      <c r="J2019" s="61"/>
      <c r="K2019" s="61"/>
      <c r="L2019" s="60"/>
      <c r="M2019" s="74" t="str">
        <f>IF($C2019="","",IF($D2019="Gider",$E2019,IF($L2019&lt;&gt;"",$L2019,$H2019)))</f>
        <v/>
      </c>
      <c r="N2019" s="74" t="str">
        <f>IF($C2019="","",IF($D2019="Gider",$H2019,$E2019))</f>
        <v/>
      </c>
      <c r="O2019" s="73" t="str">
        <f>IF($C2019="","",DATE(YEAR($C2019),MONTH($C2019),1))</f>
        <v/>
      </c>
      <c r="P2019" s="65" t="str">
        <f ca="1">IF($C2019="","",IF(AND($D2019="Gelir",$L2019&lt;&gt;"",$T2019=""),"TANIMSIZ BORÇLU",IF($T2019&lt;&gt;"",IF(OR($E2019="",$G2019&lt;=0),"EKSİK",IF($I2019="Evet","TAHAKKUK NAKİT OLAMAZ",IF($C2019&gt;TODAY(),"İLERİ TARİH","TAHAKKUK"))),IF(AND($D2019&lt;&gt;"",$E2019&lt;&gt;"",$G2019&gt;0,$H2019&lt;&gt;"",$I2019&lt;&gt;""),IF($C2019&gt;TODAY(),"İLERİ TARİH",IF(COUNTIF($W$7:$W$3001,$W2019)&gt;1,"MÜKERRER?",IF($AD2019&gt;0,"KAPALI DÖNEM",IF($I2019="Hayır","ÖDENECEK","UYGUN")))),"EKSİK"))))</f>
        <v/>
      </c>
      <c r="Q2019" s="2"/>
      <c r="R2019" s="2"/>
      <c r="S2019" s="1" t="str">
        <f t="shared" si="95"/>
        <v/>
      </c>
      <c r="T2019" s="1" t="str">
        <f>IF(OR($C2019="",$D2019&lt;&gt;"Gelir",$L2019=""),"",IFERROR(INDEX(MUSTERILER!$B$7:$B$156,MATCH($S2019,MUSTERILER!$T$7:$T$156,0)),""))</f>
        <v/>
      </c>
      <c r="U2019" s="1" t="str">
        <f>IF($T2019="","",$T2019&amp;"|"&amp;COUNTIFS($T$7:$T2019,$T2019))</f>
        <v/>
      </c>
      <c r="V2019" s="1">
        <f t="shared" si="96"/>
        <v>0</v>
      </c>
      <c r="W2019" s="1" t="str">
        <f t="shared" si="97"/>
        <v/>
      </c>
      <c r="X2019" s="1"/>
      <c r="Y2019" s="1"/>
      <c r="Z2019" s="1"/>
      <c r="AA2019" s="1"/>
      <c r="AB2019" s="1"/>
      <c r="AC2019" s="1"/>
      <c r="AD2019" s="1">
        <f>IF($C2019="",0,SUMPRODUCT((AY_SONU!$O$7:$O$42="Evet")*(AY_SONU!$B$7:$B$42=DATE(YEAR($C2019),MONTH($C2019),1))))</f>
        <v>0</v>
      </c>
      <c r="AE2019" s="1" t="str">
        <f>IF($E2019="","",$E2019&amp;"|"&amp;COUNTIFS($E$7:$E2019,$E2019))</f>
        <v/>
      </c>
    </row>
    <row r="2020" spans="1:31" ht="18" customHeight="1" x14ac:dyDescent="0.3">
      <c r="A2020" s="2"/>
      <c r="B2020" s="65" t="str">
        <f>IF($C2020="","","GG"&amp;TEXT(ROW()-6,"00000"))</f>
        <v/>
      </c>
      <c r="C2020" s="66"/>
      <c r="D2020" s="60"/>
      <c r="E2020" s="61"/>
      <c r="F2020" s="61"/>
      <c r="G2020" s="67"/>
      <c r="H2020" s="60"/>
      <c r="I2020" s="60"/>
      <c r="J2020" s="61"/>
      <c r="K2020" s="61"/>
      <c r="L2020" s="60"/>
      <c r="M2020" s="74" t="str">
        <f>IF($C2020="","",IF($D2020="Gider",$E2020,IF($L2020&lt;&gt;"",$L2020,$H2020)))</f>
        <v/>
      </c>
      <c r="N2020" s="74" t="str">
        <f>IF($C2020="","",IF($D2020="Gider",$H2020,$E2020))</f>
        <v/>
      </c>
      <c r="O2020" s="73" t="str">
        <f>IF($C2020="","",DATE(YEAR($C2020),MONTH($C2020),1))</f>
        <v/>
      </c>
      <c r="P2020" s="65" t="str">
        <f ca="1">IF($C2020="","",IF(AND($D2020="Gelir",$L2020&lt;&gt;"",$T2020=""),"TANIMSIZ BORÇLU",IF($T2020&lt;&gt;"",IF(OR($E2020="",$G2020&lt;=0),"EKSİK",IF($I2020="Evet","TAHAKKUK NAKİT OLAMAZ",IF($C2020&gt;TODAY(),"İLERİ TARİH","TAHAKKUK"))),IF(AND($D2020&lt;&gt;"",$E2020&lt;&gt;"",$G2020&gt;0,$H2020&lt;&gt;"",$I2020&lt;&gt;""),IF($C2020&gt;TODAY(),"İLERİ TARİH",IF(COUNTIF($W$7:$W$3001,$W2020)&gt;1,"MÜKERRER?",IF($AD2020&gt;0,"KAPALI DÖNEM",IF($I2020="Hayır","ÖDENECEK","UYGUN")))),"EKSİK"))))</f>
        <v/>
      </c>
      <c r="Q2020" s="2"/>
      <c r="R2020" s="2"/>
      <c r="S2020" s="1" t="str">
        <f t="shared" si="95"/>
        <v/>
      </c>
      <c r="T2020" s="1" t="str">
        <f>IF(OR($C2020="",$D2020&lt;&gt;"Gelir",$L2020=""),"",IFERROR(INDEX(MUSTERILER!$B$7:$B$156,MATCH($S2020,MUSTERILER!$T$7:$T$156,0)),""))</f>
        <v/>
      </c>
      <c r="U2020" s="1" t="str">
        <f>IF($T2020="","",$T2020&amp;"|"&amp;COUNTIFS($T$7:$T2020,$T2020))</f>
        <v/>
      </c>
      <c r="V2020" s="1">
        <f t="shared" si="96"/>
        <v>0</v>
      </c>
      <c r="W2020" s="1" t="str">
        <f t="shared" si="97"/>
        <v/>
      </c>
      <c r="X2020" s="1"/>
      <c r="Y2020" s="1"/>
      <c r="Z2020" s="1"/>
      <c r="AA2020" s="1"/>
      <c r="AB2020" s="1"/>
      <c r="AC2020" s="1"/>
      <c r="AD2020" s="1">
        <f>IF($C2020="",0,SUMPRODUCT((AY_SONU!$O$7:$O$42="Evet")*(AY_SONU!$B$7:$B$42=DATE(YEAR($C2020),MONTH($C2020),1))))</f>
        <v>0</v>
      </c>
      <c r="AE2020" s="1" t="str">
        <f>IF($E2020="","",$E2020&amp;"|"&amp;COUNTIFS($E$7:$E2020,$E2020))</f>
        <v/>
      </c>
    </row>
    <row r="2021" spans="1:31" ht="18" customHeight="1" x14ac:dyDescent="0.3">
      <c r="A2021" s="2"/>
      <c r="B2021" s="65" t="str">
        <f>IF($C2021="","","GG"&amp;TEXT(ROW()-6,"00000"))</f>
        <v/>
      </c>
      <c r="C2021" s="66"/>
      <c r="D2021" s="60"/>
      <c r="E2021" s="61"/>
      <c r="F2021" s="61"/>
      <c r="G2021" s="67"/>
      <c r="H2021" s="60"/>
      <c r="I2021" s="60"/>
      <c r="J2021" s="61"/>
      <c r="K2021" s="61"/>
      <c r="L2021" s="60"/>
      <c r="M2021" s="74" t="str">
        <f>IF($C2021="","",IF($D2021="Gider",$E2021,IF($L2021&lt;&gt;"",$L2021,$H2021)))</f>
        <v/>
      </c>
      <c r="N2021" s="74" t="str">
        <f>IF($C2021="","",IF($D2021="Gider",$H2021,$E2021))</f>
        <v/>
      </c>
      <c r="O2021" s="73" t="str">
        <f>IF($C2021="","",DATE(YEAR($C2021),MONTH($C2021),1))</f>
        <v/>
      </c>
      <c r="P2021" s="65" t="str">
        <f ca="1">IF($C2021="","",IF(AND($D2021="Gelir",$L2021&lt;&gt;"",$T2021=""),"TANIMSIZ BORÇLU",IF($T2021&lt;&gt;"",IF(OR($E2021="",$G2021&lt;=0),"EKSİK",IF($I2021="Evet","TAHAKKUK NAKİT OLAMAZ",IF($C2021&gt;TODAY(),"İLERİ TARİH","TAHAKKUK"))),IF(AND($D2021&lt;&gt;"",$E2021&lt;&gt;"",$G2021&gt;0,$H2021&lt;&gt;"",$I2021&lt;&gt;""),IF($C2021&gt;TODAY(),"İLERİ TARİH",IF(COUNTIF($W$7:$W$3001,$W2021)&gt;1,"MÜKERRER?",IF($AD2021&gt;0,"KAPALI DÖNEM",IF($I2021="Hayır","ÖDENECEK","UYGUN")))),"EKSİK"))))</f>
        <v/>
      </c>
      <c r="Q2021" s="2"/>
      <c r="R2021" s="2"/>
      <c r="S2021" s="1" t="str">
        <f t="shared" si="95"/>
        <v/>
      </c>
      <c r="T2021" s="1" t="str">
        <f>IF(OR($C2021="",$D2021&lt;&gt;"Gelir",$L2021=""),"",IFERROR(INDEX(MUSTERILER!$B$7:$B$156,MATCH($S2021,MUSTERILER!$T$7:$T$156,0)),""))</f>
        <v/>
      </c>
      <c r="U2021" s="1" t="str">
        <f>IF($T2021="","",$T2021&amp;"|"&amp;COUNTIFS($T$7:$T2021,$T2021))</f>
        <v/>
      </c>
      <c r="V2021" s="1">
        <f t="shared" si="96"/>
        <v>0</v>
      </c>
      <c r="W2021" s="1" t="str">
        <f t="shared" si="97"/>
        <v/>
      </c>
      <c r="X2021" s="1"/>
      <c r="Y2021" s="1"/>
      <c r="Z2021" s="1"/>
      <c r="AA2021" s="1"/>
      <c r="AB2021" s="1"/>
      <c r="AC2021" s="1"/>
      <c r="AD2021" s="1">
        <f>IF($C2021="",0,SUMPRODUCT((AY_SONU!$O$7:$O$42="Evet")*(AY_SONU!$B$7:$B$42=DATE(YEAR($C2021),MONTH($C2021),1))))</f>
        <v>0</v>
      </c>
      <c r="AE2021" s="1" t="str">
        <f>IF($E2021="","",$E2021&amp;"|"&amp;COUNTIFS($E$7:$E2021,$E2021))</f>
        <v/>
      </c>
    </row>
    <row r="2022" spans="1:31" ht="18" customHeight="1" x14ac:dyDescent="0.3">
      <c r="A2022" s="2"/>
      <c r="B2022" s="65" t="str">
        <f>IF($C2022="","","GG"&amp;TEXT(ROW()-6,"00000"))</f>
        <v/>
      </c>
      <c r="C2022" s="66"/>
      <c r="D2022" s="60"/>
      <c r="E2022" s="61"/>
      <c r="F2022" s="61"/>
      <c r="G2022" s="67"/>
      <c r="H2022" s="60"/>
      <c r="I2022" s="60"/>
      <c r="J2022" s="61"/>
      <c r="K2022" s="61"/>
      <c r="L2022" s="60"/>
      <c r="M2022" s="74" t="str">
        <f>IF($C2022="","",IF($D2022="Gider",$E2022,IF($L2022&lt;&gt;"",$L2022,$H2022)))</f>
        <v/>
      </c>
      <c r="N2022" s="74" t="str">
        <f>IF($C2022="","",IF($D2022="Gider",$H2022,$E2022))</f>
        <v/>
      </c>
      <c r="O2022" s="73" t="str">
        <f>IF($C2022="","",DATE(YEAR($C2022),MONTH($C2022),1))</f>
        <v/>
      </c>
      <c r="P2022" s="65" t="str">
        <f ca="1">IF($C2022="","",IF(AND($D2022="Gelir",$L2022&lt;&gt;"",$T2022=""),"TANIMSIZ BORÇLU",IF($T2022&lt;&gt;"",IF(OR($E2022="",$G2022&lt;=0),"EKSİK",IF($I2022="Evet","TAHAKKUK NAKİT OLAMAZ",IF($C2022&gt;TODAY(),"İLERİ TARİH","TAHAKKUK"))),IF(AND($D2022&lt;&gt;"",$E2022&lt;&gt;"",$G2022&gt;0,$H2022&lt;&gt;"",$I2022&lt;&gt;""),IF($C2022&gt;TODAY(),"İLERİ TARİH",IF(COUNTIF($W$7:$W$3001,$W2022)&gt;1,"MÜKERRER?",IF($AD2022&gt;0,"KAPALI DÖNEM",IF($I2022="Hayır","ÖDENECEK","UYGUN")))),"EKSİK"))))</f>
        <v/>
      </c>
      <c r="Q2022" s="2"/>
      <c r="R2022" s="2"/>
      <c r="S2022" s="1" t="str">
        <f t="shared" si="95"/>
        <v/>
      </c>
      <c r="T2022" s="1" t="str">
        <f>IF(OR($C2022="",$D2022&lt;&gt;"Gelir",$L2022=""),"",IFERROR(INDEX(MUSTERILER!$B$7:$B$156,MATCH($S2022,MUSTERILER!$T$7:$T$156,0)),""))</f>
        <v/>
      </c>
      <c r="U2022" s="1" t="str">
        <f>IF($T2022="","",$T2022&amp;"|"&amp;COUNTIFS($T$7:$T2022,$T2022))</f>
        <v/>
      </c>
      <c r="V2022" s="1">
        <f t="shared" si="96"/>
        <v>0</v>
      </c>
      <c r="W2022" s="1" t="str">
        <f t="shared" si="97"/>
        <v/>
      </c>
      <c r="X2022" s="1"/>
      <c r="Y2022" s="1"/>
      <c r="Z2022" s="1"/>
      <c r="AA2022" s="1"/>
      <c r="AB2022" s="1"/>
      <c r="AC2022" s="1"/>
      <c r="AD2022" s="1">
        <f>IF($C2022="",0,SUMPRODUCT((AY_SONU!$O$7:$O$42="Evet")*(AY_SONU!$B$7:$B$42=DATE(YEAR($C2022),MONTH($C2022),1))))</f>
        <v>0</v>
      </c>
      <c r="AE2022" s="1" t="str">
        <f>IF($E2022="","",$E2022&amp;"|"&amp;COUNTIFS($E$7:$E2022,$E2022))</f>
        <v/>
      </c>
    </row>
    <row r="2023" spans="1:31" ht="18" customHeight="1" x14ac:dyDescent="0.3">
      <c r="A2023" s="2"/>
      <c r="B2023" s="65" t="str">
        <f>IF($C2023="","","GG"&amp;TEXT(ROW()-6,"00000"))</f>
        <v/>
      </c>
      <c r="C2023" s="66"/>
      <c r="D2023" s="60"/>
      <c r="E2023" s="61"/>
      <c r="F2023" s="61"/>
      <c r="G2023" s="67"/>
      <c r="H2023" s="60"/>
      <c r="I2023" s="60"/>
      <c r="J2023" s="61"/>
      <c r="K2023" s="61"/>
      <c r="L2023" s="60"/>
      <c r="M2023" s="74" t="str">
        <f>IF($C2023="","",IF($D2023="Gider",$E2023,IF($L2023&lt;&gt;"",$L2023,$H2023)))</f>
        <v/>
      </c>
      <c r="N2023" s="74" t="str">
        <f>IF($C2023="","",IF($D2023="Gider",$H2023,$E2023))</f>
        <v/>
      </c>
      <c r="O2023" s="73" t="str">
        <f>IF($C2023="","",DATE(YEAR($C2023),MONTH($C2023),1))</f>
        <v/>
      </c>
      <c r="P2023" s="65" t="str">
        <f ca="1">IF($C2023="","",IF(AND($D2023="Gelir",$L2023&lt;&gt;"",$T2023=""),"TANIMSIZ BORÇLU",IF($T2023&lt;&gt;"",IF(OR($E2023="",$G2023&lt;=0),"EKSİK",IF($I2023="Evet","TAHAKKUK NAKİT OLAMAZ",IF($C2023&gt;TODAY(),"İLERİ TARİH","TAHAKKUK"))),IF(AND($D2023&lt;&gt;"",$E2023&lt;&gt;"",$G2023&gt;0,$H2023&lt;&gt;"",$I2023&lt;&gt;""),IF($C2023&gt;TODAY(),"İLERİ TARİH",IF(COUNTIF($W$7:$W$3001,$W2023)&gt;1,"MÜKERRER?",IF($AD2023&gt;0,"KAPALI DÖNEM",IF($I2023="Hayır","ÖDENECEK","UYGUN")))),"EKSİK"))))</f>
        <v/>
      </c>
      <c r="Q2023" s="2"/>
      <c r="R2023" s="2"/>
      <c r="S2023" s="1" t="str">
        <f t="shared" si="95"/>
        <v/>
      </c>
      <c r="T2023" s="1" t="str">
        <f>IF(OR($C2023="",$D2023&lt;&gt;"Gelir",$L2023=""),"",IFERROR(INDEX(MUSTERILER!$B$7:$B$156,MATCH($S2023,MUSTERILER!$T$7:$T$156,0)),""))</f>
        <v/>
      </c>
      <c r="U2023" s="1" t="str">
        <f>IF($T2023="","",$T2023&amp;"|"&amp;COUNTIFS($T$7:$T2023,$T2023))</f>
        <v/>
      </c>
      <c r="V2023" s="1">
        <f t="shared" si="96"/>
        <v>0</v>
      </c>
      <c r="W2023" s="1" t="str">
        <f t="shared" si="97"/>
        <v/>
      </c>
      <c r="X2023" s="1"/>
      <c r="Y2023" s="1"/>
      <c r="Z2023" s="1"/>
      <c r="AA2023" s="1"/>
      <c r="AB2023" s="1"/>
      <c r="AC2023" s="1"/>
      <c r="AD2023" s="1">
        <f>IF($C2023="",0,SUMPRODUCT((AY_SONU!$O$7:$O$42="Evet")*(AY_SONU!$B$7:$B$42=DATE(YEAR($C2023),MONTH($C2023),1))))</f>
        <v>0</v>
      </c>
      <c r="AE2023" s="1" t="str">
        <f>IF($E2023="","",$E2023&amp;"|"&amp;COUNTIFS($E$7:$E2023,$E2023))</f>
        <v/>
      </c>
    </row>
    <row r="2024" spans="1:31" ht="18" customHeight="1" x14ac:dyDescent="0.3">
      <c r="A2024" s="2"/>
      <c r="B2024" s="65" t="str">
        <f>IF($C2024="","","GG"&amp;TEXT(ROW()-6,"00000"))</f>
        <v/>
      </c>
      <c r="C2024" s="66"/>
      <c r="D2024" s="60"/>
      <c r="E2024" s="61"/>
      <c r="F2024" s="61"/>
      <c r="G2024" s="67"/>
      <c r="H2024" s="60"/>
      <c r="I2024" s="60"/>
      <c r="J2024" s="61"/>
      <c r="K2024" s="61"/>
      <c r="L2024" s="60"/>
      <c r="M2024" s="74" t="str">
        <f>IF($C2024="","",IF($D2024="Gider",$E2024,IF($L2024&lt;&gt;"",$L2024,$H2024)))</f>
        <v/>
      </c>
      <c r="N2024" s="74" t="str">
        <f>IF($C2024="","",IF($D2024="Gider",$H2024,$E2024))</f>
        <v/>
      </c>
      <c r="O2024" s="73" t="str">
        <f>IF($C2024="","",DATE(YEAR($C2024),MONTH($C2024),1))</f>
        <v/>
      </c>
      <c r="P2024" s="65" t="str">
        <f ca="1">IF($C2024="","",IF(AND($D2024="Gelir",$L2024&lt;&gt;"",$T2024=""),"TANIMSIZ BORÇLU",IF($T2024&lt;&gt;"",IF(OR($E2024="",$G2024&lt;=0),"EKSİK",IF($I2024="Evet","TAHAKKUK NAKİT OLAMAZ",IF($C2024&gt;TODAY(),"İLERİ TARİH","TAHAKKUK"))),IF(AND($D2024&lt;&gt;"",$E2024&lt;&gt;"",$G2024&gt;0,$H2024&lt;&gt;"",$I2024&lt;&gt;""),IF($C2024&gt;TODAY(),"İLERİ TARİH",IF(COUNTIF($W$7:$W$3001,$W2024)&gt;1,"MÜKERRER?",IF($AD2024&gt;0,"KAPALI DÖNEM",IF($I2024="Hayır","ÖDENECEK","UYGUN")))),"EKSİK"))))</f>
        <v/>
      </c>
      <c r="Q2024" s="2"/>
      <c r="R2024" s="2"/>
      <c r="S2024" s="1" t="str">
        <f t="shared" si="95"/>
        <v/>
      </c>
      <c r="T2024" s="1" t="str">
        <f>IF(OR($C2024="",$D2024&lt;&gt;"Gelir",$L2024=""),"",IFERROR(INDEX(MUSTERILER!$B$7:$B$156,MATCH($S2024,MUSTERILER!$T$7:$T$156,0)),""))</f>
        <v/>
      </c>
      <c r="U2024" s="1" t="str">
        <f>IF($T2024="","",$T2024&amp;"|"&amp;COUNTIFS($T$7:$T2024,$T2024))</f>
        <v/>
      </c>
      <c r="V2024" s="1">
        <f t="shared" si="96"/>
        <v>0</v>
      </c>
      <c r="W2024" s="1" t="str">
        <f t="shared" si="97"/>
        <v/>
      </c>
      <c r="X2024" s="1"/>
      <c r="Y2024" s="1"/>
      <c r="Z2024" s="1"/>
      <c r="AA2024" s="1"/>
      <c r="AB2024" s="1"/>
      <c r="AC2024" s="1"/>
      <c r="AD2024" s="1">
        <f>IF($C2024="",0,SUMPRODUCT((AY_SONU!$O$7:$O$42="Evet")*(AY_SONU!$B$7:$B$42=DATE(YEAR($C2024),MONTH($C2024),1))))</f>
        <v>0</v>
      </c>
      <c r="AE2024" s="1" t="str">
        <f>IF($E2024="","",$E2024&amp;"|"&amp;COUNTIFS($E$7:$E2024,$E2024))</f>
        <v/>
      </c>
    </row>
    <row r="2025" spans="1:31" ht="18" customHeight="1" x14ac:dyDescent="0.3">
      <c r="A2025" s="2"/>
      <c r="B2025" s="65" t="str">
        <f>IF($C2025="","","GG"&amp;TEXT(ROW()-6,"00000"))</f>
        <v/>
      </c>
      <c r="C2025" s="66"/>
      <c r="D2025" s="60"/>
      <c r="E2025" s="61"/>
      <c r="F2025" s="61"/>
      <c r="G2025" s="67"/>
      <c r="H2025" s="60"/>
      <c r="I2025" s="60"/>
      <c r="J2025" s="61"/>
      <c r="K2025" s="61"/>
      <c r="L2025" s="60"/>
      <c r="M2025" s="74" t="str">
        <f>IF($C2025="","",IF($D2025="Gider",$E2025,IF($L2025&lt;&gt;"",$L2025,$H2025)))</f>
        <v/>
      </c>
      <c r="N2025" s="74" t="str">
        <f>IF($C2025="","",IF($D2025="Gider",$H2025,$E2025))</f>
        <v/>
      </c>
      <c r="O2025" s="73" t="str">
        <f>IF($C2025="","",DATE(YEAR($C2025),MONTH($C2025),1))</f>
        <v/>
      </c>
      <c r="P2025" s="65" t="str">
        <f ca="1">IF($C2025="","",IF(AND($D2025="Gelir",$L2025&lt;&gt;"",$T2025=""),"TANIMSIZ BORÇLU",IF($T2025&lt;&gt;"",IF(OR($E2025="",$G2025&lt;=0),"EKSİK",IF($I2025="Evet","TAHAKKUK NAKİT OLAMAZ",IF($C2025&gt;TODAY(),"İLERİ TARİH","TAHAKKUK"))),IF(AND($D2025&lt;&gt;"",$E2025&lt;&gt;"",$G2025&gt;0,$H2025&lt;&gt;"",$I2025&lt;&gt;""),IF($C2025&gt;TODAY(),"İLERİ TARİH",IF(COUNTIF($W$7:$W$3001,$W2025)&gt;1,"MÜKERRER?",IF($AD2025&gt;0,"KAPALI DÖNEM",IF($I2025="Hayır","ÖDENECEK","UYGUN")))),"EKSİK"))))</f>
        <v/>
      </c>
      <c r="Q2025" s="2"/>
      <c r="R2025" s="2"/>
      <c r="S2025" s="1" t="str">
        <f t="shared" si="95"/>
        <v/>
      </c>
      <c r="T2025" s="1" t="str">
        <f>IF(OR($C2025="",$D2025&lt;&gt;"Gelir",$L2025=""),"",IFERROR(INDEX(MUSTERILER!$B$7:$B$156,MATCH($S2025,MUSTERILER!$T$7:$T$156,0)),""))</f>
        <v/>
      </c>
      <c r="U2025" s="1" t="str">
        <f>IF($T2025="","",$T2025&amp;"|"&amp;COUNTIFS($T$7:$T2025,$T2025))</f>
        <v/>
      </c>
      <c r="V2025" s="1">
        <f t="shared" si="96"/>
        <v>0</v>
      </c>
      <c r="W2025" s="1" t="str">
        <f t="shared" si="97"/>
        <v/>
      </c>
      <c r="X2025" s="1"/>
      <c r="Y2025" s="1"/>
      <c r="Z2025" s="1"/>
      <c r="AA2025" s="1"/>
      <c r="AB2025" s="1"/>
      <c r="AC2025" s="1"/>
      <c r="AD2025" s="1">
        <f>IF($C2025="",0,SUMPRODUCT((AY_SONU!$O$7:$O$42="Evet")*(AY_SONU!$B$7:$B$42=DATE(YEAR($C2025),MONTH($C2025),1))))</f>
        <v>0</v>
      </c>
      <c r="AE2025" s="1" t="str">
        <f>IF($E2025="","",$E2025&amp;"|"&amp;COUNTIFS($E$7:$E2025,$E2025))</f>
        <v/>
      </c>
    </row>
    <row r="2026" spans="1:31" ht="18" customHeight="1" x14ac:dyDescent="0.3">
      <c r="A2026" s="2"/>
      <c r="B2026" s="65" t="str">
        <f>IF($C2026="","","GG"&amp;TEXT(ROW()-6,"00000"))</f>
        <v/>
      </c>
      <c r="C2026" s="66"/>
      <c r="D2026" s="60"/>
      <c r="E2026" s="61"/>
      <c r="F2026" s="61"/>
      <c r="G2026" s="67"/>
      <c r="H2026" s="60"/>
      <c r="I2026" s="60"/>
      <c r="J2026" s="61"/>
      <c r="K2026" s="61"/>
      <c r="L2026" s="60"/>
      <c r="M2026" s="74" t="str">
        <f>IF($C2026="","",IF($D2026="Gider",$E2026,IF($L2026&lt;&gt;"",$L2026,$H2026)))</f>
        <v/>
      </c>
      <c r="N2026" s="74" t="str">
        <f>IF($C2026="","",IF($D2026="Gider",$H2026,$E2026))</f>
        <v/>
      </c>
      <c r="O2026" s="73" t="str">
        <f>IF($C2026="","",DATE(YEAR($C2026),MONTH($C2026),1))</f>
        <v/>
      </c>
      <c r="P2026" s="65" t="str">
        <f ca="1">IF($C2026="","",IF(AND($D2026="Gelir",$L2026&lt;&gt;"",$T2026=""),"TANIMSIZ BORÇLU",IF($T2026&lt;&gt;"",IF(OR($E2026="",$G2026&lt;=0),"EKSİK",IF($I2026="Evet","TAHAKKUK NAKİT OLAMAZ",IF($C2026&gt;TODAY(),"İLERİ TARİH","TAHAKKUK"))),IF(AND($D2026&lt;&gt;"",$E2026&lt;&gt;"",$G2026&gt;0,$H2026&lt;&gt;"",$I2026&lt;&gt;""),IF($C2026&gt;TODAY(),"İLERİ TARİH",IF(COUNTIF($W$7:$W$3001,$W2026)&gt;1,"MÜKERRER?",IF($AD2026&gt;0,"KAPALI DÖNEM",IF($I2026="Hayır","ÖDENECEK","UYGUN")))),"EKSİK"))))</f>
        <v/>
      </c>
      <c r="Q2026" s="2"/>
      <c r="R2026" s="2"/>
      <c r="S2026" s="1" t="str">
        <f t="shared" si="95"/>
        <v/>
      </c>
      <c r="T2026" s="1" t="str">
        <f>IF(OR($C2026="",$D2026&lt;&gt;"Gelir",$L2026=""),"",IFERROR(INDEX(MUSTERILER!$B$7:$B$156,MATCH($S2026,MUSTERILER!$T$7:$T$156,0)),""))</f>
        <v/>
      </c>
      <c r="U2026" s="1" t="str">
        <f>IF($T2026="","",$T2026&amp;"|"&amp;COUNTIFS($T$7:$T2026,$T2026))</f>
        <v/>
      </c>
      <c r="V2026" s="1">
        <f t="shared" si="96"/>
        <v>0</v>
      </c>
      <c r="W2026" s="1" t="str">
        <f t="shared" si="97"/>
        <v/>
      </c>
      <c r="X2026" s="1"/>
      <c r="Y2026" s="1"/>
      <c r="Z2026" s="1"/>
      <c r="AA2026" s="1"/>
      <c r="AB2026" s="1"/>
      <c r="AC2026" s="1"/>
      <c r="AD2026" s="1">
        <f>IF($C2026="",0,SUMPRODUCT((AY_SONU!$O$7:$O$42="Evet")*(AY_SONU!$B$7:$B$42=DATE(YEAR($C2026),MONTH($C2026),1))))</f>
        <v>0</v>
      </c>
      <c r="AE2026" s="1" t="str">
        <f>IF($E2026="","",$E2026&amp;"|"&amp;COUNTIFS($E$7:$E2026,$E2026))</f>
        <v/>
      </c>
    </row>
    <row r="2027" spans="1:31" ht="18" customHeight="1" x14ac:dyDescent="0.3">
      <c r="A2027" s="2"/>
      <c r="B2027" s="65" t="str">
        <f>IF($C2027="","","GG"&amp;TEXT(ROW()-6,"00000"))</f>
        <v/>
      </c>
      <c r="C2027" s="66"/>
      <c r="D2027" s="60"/>
      <c r="E2027" s="61"/>
      <c r="F2027" s="61"/>
      <c r="G2027" s="67"/>
      <c r="H2027" s="60"/>
      <c r="I2027" s="60"/>
      <c r="J2027" s="61"/>
      <c r="K2027" s="61"/>
      <c r="L2027" s="60"/>
      <c r="M2027" s="74" t="str">
        <f>IF($C2027="","",IF($D2027="Gider",$E2027,IF($L2027&lt;&gt;"",$L2027,$H2027)))</f>
        <v/>
      </c>
      <c r="N2027" s="74" t="str">
        <f>IF($C2027="","",IF($D2027="Gider",$H2027,$E2027))</f>
        <v/>
      </c>
      <c r="O2027" s="73" t="str">
        <f>IF($C2027="","",DATE(YEAR($C2027),MONTH($C2027),1))</f>
        <v/>
      </c>
      <c r="P2027" s="65" t="str">
        <f ca="1">IF($C2027="","",IF(AND($D2027="Gelir",$L2027&lt;&gt;"",$T2027=""),"TANIMSIZ BORÇLU",IF($T2027&lt;&gt;"",IF(OR($E2027="",$G2027&lt;=0),"EKSİK",IF($I2027="Evet","TAHAKKUK NAKİT OLAMAZ",IF($C2027&gt;TODAY(),"İLERİ TARİH","TAHAKKUK"))),IF(AND($D2027&lt;&gt;"",$E2027&lt;&gt;"",$G2027&gt;0,$H2027&lt;&gt;"",$I2027&lt;&gt;""),IF($C2027&gt;TODAY(),"İLERİ TARİH",IF(COUNTIF($W$7:$W$3001,$W2027)&gt;1,"MÜKERRER?",IF($AD2027&gt;0,"KAPALI DÖNEM",IF($I2027="Hayır","ÖDENECEK","UYGUN")))),"EKSİK"))))</f>
        <v/>
      </c>
      <c r="Q2027" s="2"/>
      <c r="R2027" s="2"/>
      <c r="S2027" s="1" t="str">
        <f t="shared" si="95"/>
        <v/>
      </c>
      <c r="T2027" s="1" t="str">
        <f>IF(OR($C2027="",$D2027&lt;&gt;"Gelir",$L2027=""),"",IFERROR(INDEX(MUSTERILER!$B$7:$B$156,MATCH($S2027,MUSTERILER!$T$7:$T$156,0)),""))</f>
        <v/>
      </c>
      <c r="U2027" s="1" t="str">
        <f>IF($T2027="","",$T2027&amp;"|"&amp;COUNTIFS($T$7:$T2027,$T2027))</f>
        <v/>
      </c>
      <c r="V2027" s="1">
        <f t="shared" si="96"/>
        <v>0</v>
      </c>
      <c r="W2027" s="1" t="str">
        <f t="shared" si="97"/>
        <v/>
      </c>
      <c r="X2027" s="1"/>
      <c r="Y2027" s="1"/>
      <c r="Z2027" s="1"/>
      <c r="AA2027" s="1"/>
      <c r="AB2027" s="1"/>
      <c r="AC2027" s="1"/>
      <c r="AD2027" s="1">
        <f>IF($C2027="",0,SUMPRODUCT((AY_SONU!$O$7:$O$42="Evet")*(AY_SONU!$B$7:$B$42=DATE(YEAR($C2027),MONTH($C2027),1))))</f>
        <v>0</v>
      </c>
      <c r="AE2027" s="1" t="str">
        <f>IF($E2027="","",$E2027&amp;"|"&amp;COUNTIFS($E$7:$E2027,$E2027))</f>
        <v/>
      </c>
    </row>
    <row r="2028" spans="1:31" ht="18" customHeight="1" x14ac:dyDescent="0.3">
      <c r="A2028" s="2"/>
      <c r="B2028" s="65" t="str">
        <f>IF($C2028="","","GG"&amp;TEXT(ROW()-6,"00000"))</f>
        <v/>
      </c>
      <c r="C2028" s="66"/>
      <c r="D2028" s="60"/>
      <c r="E2028" s="61"/>
      <c r="F2028" s="61"/>
      <c r="G2028" s="67"/>
      <c r="H2028" s="60"/>
      <c r="I2028" s="60"/>
      <c r="J2028" s="61"/>
      <c r="K2028" s="61"/>
      <c r="L2028" s="60"/>
      <c r="M2028" s="74" t="str">
        <f>IF($C2028="","",IF($D2028="Gider",$E2028,IF($L2028&lt;&gt;"",$L2028,$H2028)))</f>
        <v/>
      </c>
      <c r="N2028" s="74" t="str">
        <f>IF($C2028="","",IF($D2028="Gider",$H2028,$E2028))</f>
        <v/>
      </c>
      <c r="O2028" s="73" t="str">
        <f>IF($C2028="","",DATE(YEAR($C2028),MONTH($C2028),1))</f>
        <v/>
      </c>
      <c r="P2028" s="65" t="str">
        <f ca="1">IF($C2028="","",IF(AND($D2028="Gelir",$L2028&lt;&gt;"",$T2028=""),"TANIMSIZ BORÇLU",IF($T2028&lt;&gt;"",IF(OR($E2028="",$G2028&lt;=0),"EKSİK",IF($I2028="Evet","TAHAKKUK NAKİT OLAMAZ",IF($C2028&gt;TODAY(),"İLERİ TARİH","TAHAKKUK"))),IF(AND($D2028&lt;&gt;"",$E2028&lt;&gt;"",$G2028&gt;0,$H2028&lt;&gt;"",$I2028&lt;&gt;""),IF($C2028&gt;TODAY(),"İLERİ TARİH",IF(COUNTIF($W$7:$W$3001,$W2028)&gt;1,"MÜKERRER?",IF($AD2028&gt;0,"KAPALI DÖNEM",IF($I2028="Hayır","ÖDENECEK","UYGUN")))),"EKSİK"))))</f>
        <v/>
      </c>
      <c r="Q2028" s="2"/>
      <c r="R2028" s="2"/>
      <c r="S2028" s="1" t="str">
        <f t="shared" si="95"/>
        <v/>
      </c>
      <c r="T2028" s="1" t="str">
        <f>IF(OR($C2028="",$D2028&lt;&gt;"Gelir",$L2028=""),"",IFERROR(INDEX(MUSTERILER!$B$7:$B$156,MATCH($S2028,MUSTERILER!$T$7:$T$156,0)),""))</f>
        <v/>
      </c>
      <c r="U2028" s="1" t="str">
        <f>IF($T2028="","",$T2028&amp;"|"&amp;COUNTIFS($T$7:$T2028,$T2028))</f>
        <v/>
      </c>
      <c r="V2028" s="1">
        <f t="shared" si="96"/>
        <v>0</v>
      </c>
      <c r="W2028" s="1" t="str">
        <f t="shared" si="97"/>
        <v/>
      </c>
      <c r="X2028" s="1"/>
      <c r="Y2028" s="1"/>
      <c r="Z2028" s="1"/>
      <c r="AA2028" s="1"/>
      <c r="AB2028" s="1"/>
      <c r="AC2028" s="1"/>
      <c r="AD2028" s="1">
        <f>IF($C2028="",0,SUMPRODUCT((AY_SONU!$O$7:$O$42="Evet")*(AY_SONU!$B$7:$B$42=DATE(YEAR($C2028),MONTH($C2028),1))))</f>
        <v>0</v>
      </c>
      <c r="AE2028" s="1" t="str">
        <f>IF($E2028="","",$E2028&amp;"|"&amp;COUNTIFS($E$7:$E2028,$E2028))</f>
        <v/>
      </c>
    </row>
    <row r="2029" spans="1:31" ht="18" customHeight="1" x14ac:dyDescent="0.3">
      <c r="A2029" s="2"/>
      <c r="B2029" s="65" t="str">
        <f>IF($C2029="","","GG"&amp;TEXT(ROW()-6,"00000"))</f>
        <v/>
      </c>
      <c r="C2029" s="66"/>
      <c r="D2029" s="60"/>
      <c r="E2029" s="61"/>
      <c r="F2029" s="61"/>
      <c r="G2029" s="67"/>
      <c r="H2029" s="60"/>
      <c r="I2029" s="60"/>
      <c r="J2029" s="61"/>
      <c r="K2029" s="61"/>
      <c r="L2029" s="60"/>
      <c r="M2029" s="74" t="str">
        <f>IF($C2029="","",IF($D2029="Gider",$E2029,IF($L2029&lt;&gt;"",$L2029,$H2029)))</f>
        <v/>
      </c>
      <c r="N2029" s="74" t="str">
        <f>IF($C2029="","",IF($D2029="Gider",$H2029,$E2029))</f>
        <v/>
      </c>
      <c r="O2029" s="73" t="str">
        <f>IF($C2029="","",DATE(YEAR($C2029),MONTH($C2029),1))</f>
        <v/>
      </c>
      <c r="P2029" s="65" t="str">
        <f ca="1">IF($C2029="","",IF(AND($D2029="Gelir",$L2029&lt;&gt;"",$T2029=""),"TANIMSIZ BORÇLU",IF($T2029&lt;&gt;"",IF(OR($E2029="",$G2029&lt;=0),"EKSİK",IF($I2029="Evet","TAHAKKUK NAKİT OLAMAZ",IF($C2029&gt;TODAY(),"İLERİ TARİH","TAHAKKUK"))),IF(AND($D2029&lt;&gt;"",$E2029&lt;&gt;"",$G2029&gt;0,$H2029&lt;&gt;"",$I2029&lt;&gt;""),IF($C2029&gt;TODAY(),"İLERİ TARİH",IF(COUNTIF($W$7:$W$3001,$W2029)&gt;1,"MÜKERRER?",IF($AD2029&gt;0,"KAPALI DÖNEM",IF($I2029="Hayır","ÖDENECEK","UYGUN")))),"EKSİK"))))</f>
        <v/>
      </c>
      <c r="Q2029" s="2"/>
      <c r="R2029" s="2"/>
      <c r="S2029" s="1" t="str">
        <f t="shared" si="95"/>
        <v/>
      </c>
      <c r="T2029" s="1" t="str">
        <f>IF(OR($C2029="",$D2029&lt;&gt;"Gelir",$L2029=""),"",IFERROR(INDEX(MUSTERILER!$B$7:$B$156,MATCH($S2029,MUSTERILER!$T$7:$T$156,0)),""))</f>
        <v/>
      </c>
      <c r="U2029" s="1" t="str">
        <f>IF($T2029="","",$T2029&amp;"|"&amp;COUNTIFS($T$7:$T2029,$T2029))</f>
        <v/>
      </c>
      <c r="V2029" s="1">
        <f t="shared" si="96"/>
        <v>0</v>
      </c>
      <c r="W2029" s="1" t="str">
        <f t="shared" si="97"/>
        <v/>
      </c>
      <c r="X2029" s="1"/>
      <c r="Y2029" s="1"/>
      <c r="Z2029" s="1"/>
      <c r="AA2029" s="1"/>
      <c r="AB2029" s="1"/>
      <c r="AC2029" s="1"/>
      <c r="AD2029" s="1">
        <f>IF($C2029="",0,SUMPRODUCT((AY_SONU!$O$7:$O$42="Evet")*(AY_SONU!$B$7:$B$42=DATE(YEAR($C2029),MONTH($C2029),1))))</f>
        <v>0</v>
      </c>
      <c r="AE2029" s="1" t="str">
        <f>IF($E2029="","",$E2029&amp;"|"&amp;COUNTIFS($E$7:$E2029,$E2029))</f>
        <v/>
      </c>
    </row>
    <row r="2030" spans="1:31" ht="18" customHeight="1" x14ac:dyDescent="0.3">
      <c r="A2030" s="2"/>
      <c r="B2030" s="65" t="str">
        <f>IF($C2030="","","GG"&amp;TEXT(ROW()-6,"00000"))</f>
        <v/>
      </c>
      <c r="C2030" s="66"/>
      <c r="D2030" s="60"/>
      <c r="E2030" s="61"/>
      <c r="F2030" s="61"/>
      <c r="G2030" s="67"/>
      <c r="H2030" s="60"/>
      <c r="I2030" s="60"/>
      <c r="J2030" s="61"/>
      <c r="K2030" s="61"/>
      <c r="L2030" s="60"/>
      <c r="M2030" s="74" t="str">
        <f>IF($C2030="","",IF($D2030="Gider",$E2030,IF($L2030&lt;&gt;"",$L2030,$H2030)))</f>
        <v/>
      </c>
      <c r="N2030" s="74" t="str">
        <f>IF($C2030="","",IF($D2030="Gider",$H2030,$E2030))</f>
        <v/>
      </c>
      <c r="O2030" s="73" t="str">
        <f>IF($C2030="","",DATE(YEAR($C2030),MONTH($C2030),1))</f>
        <v/>
      </c>
      <c r="P2030" s="65" t="str">
        <f ca="1">IF($C2030="","",IF(AND($D2030="Gelir",$L2030&lt;&gt;"",$T2030=""),"TANIMSIZ BORÇLU",IF($T2030&lt;&gt;"",IF(OR($E2030="",$G2030&lt;=0),"EKSİK",IF($I2030="Evet","TAHAKKUK NAKİT OLAMAZ",IF($C2030&gt;TODAY(),"İLERİ TARİH","TAHAKKUK"))),IF(AND($D2030&lt;&gt;"",$E2030&lt;&gt;"",$G2030&gt;0,$H2030&lt;&gt;"",$I2030&lt;&gt;""),IF($C2030&gt;TODAY(),"İLERİ TARİH",IF(COUNTIF($W$7:$W$3001,$W2030)&gt;1,"MÜKERRER?",IF($AD2030&gt;0,"KAPALI DÖNEM",IF($I2030="Hayır","ÖDENECEK","UYGUN")))),"EKSİK"))))</f>
        <v/>
      </c>
      <c r="Q2030" s="2"/>
      <c r="R2030" s="2"/>
      <c r="S2030" s="1" t="str">
        <f t="shared" si="95"/>
        <v/>
      </c>
      <c r="T2030" s="1" t="str">
        <f>IF(OR($C2030="",$D2030&lt;&gt;"Gelir",$L2030=""),"",IFERROR(INDEX(MUSTERILER!$B$7:$B$156,MATCH($S2030,MUSTERILER!$T$7:$T$156,0)),""))</f>
        <v/>
      </c>
      <c r="U2030" s="1" t="str">
        <f>IF($T2030="","",$T2030&amp;"|"&amp;COUNTIFS($T$7:$T2030,$T2030))</f>
        <v/>
      </c>
      <c r="V2030" s="1">
        <f t="shared" si="96"/>
        <v>0</v>
      </c>
      <c r="W2030" s="1" t="str">
        <f t="shared" si="97"/>
        <v/>
      </c>
      <c r="X2030" s="1"/>
      <c r="Y2030" s="1"/>
      <c r="Z2030" s="1"/>
      <c r="AA2030" s="1"/>
      <c r="AB2030" s="1"/>
      <c r="AC2030" s="1"/>
      <c r="AD2030" s="1">
        <f>IF($C2030="",0,SUMPRODUCT((AY_SONU!$O$7:$O$42="Evet")*(AY_SONU!$B$7:$B$42=DATE(YEAR($C2030),MONTH($C2030),1))))</f>
        <v>0</v>
      </c>
      <c r="AE2030" s="1" t="str">
        <f>IF($E2030="","",$E2030&amp;"|"&amp;COUNTIFS($E$7:$E2030,$E2030))</f>
        <v/>
      </c>
    </row>
    <row r="2031" spans="1:31" ht="18" customHeight="1" x14ac:dyDescent="0.3">
      <c r="A2031" s="2"/>
      <c r="B2031" s="65" t="str">
        <f>IF($C2031="","","GG"&amp;TEXT(ROW()-6,"00000"))</f>
        <v/>
      </c>
      <c r="C2031" s="66"/>
      <c r="D2031" s="60"/>
      <c r="E2031" s="61"/>
      <c r="F2031" s="61"/>
      <c r="G2031" s="67"/>
      <c r="H2031" s="60"/>
      <c r="I2031" s="60"/>
      <c r="J2031" s="61"/>
      <c r="K2031" s="61"/>
      <c r="L2031" s="60"/>
      <c r="M2031" s="74" t="str">
        <f>IF($C2031="","",IF($D2031="Gider",$E2031,IF($L2031&lt;&gt;"",$L2031,$H2031)))</f>
        <v/>
      </c>
      <c r="N2031" s="74" t="str">
        <f>IF($C2031="","",IF($D2031="Gider",$H2031,$E2031))</f>
        <v/>
      </c>
      <c r="O2031" s="73" t="str">
        <f>IF($C2031="","",DATE(YEAR($C2031),MONTH($C2031),1))</f>
        <v/>
      </c>
      <c r="P2031" s="65" t="str">
        <f ca="1">IF($C2031="","",IF(AND($D2031="Gelir",$L2031&lt;&gt;"",$T2031=""),"TANIMSIZ BORÇLU",IF($T2031&lt;&gt;"",IF(OR($E2031="",$G2031&lt;=0),"EKSİK",IF($I2031="Evet","TAHAKKUK NAKİT OLAMAZ",IF($C2031&gt;TODAY(),"İLERİ TARİH","TAHAKKUK"))),IF(AND($D2031&lt;&gt;"",$E2031&lt;&gt;"",$G2031&gt;0,$H2031&lt;&gt;"",$I2031&lt;&gt;""),IF($C2031&gt;TODAY(),"İLERİ TARİH",IF(COUNTIF($W$7:$W$3001,$W2031)&gt;1,"MÜKERRER?",IF($AD2031&gt;0,"KAPALI DÖNEM",IF($I2031="Hayır","ÖDENECEK","UYGUN")))),"EKSİK"))))</f>
        <v/>
      </c>
      <c r="Q2031" s="2"/>
      <c r="R2031" s="2"/>
      <c r="S2031" s="1" t="str">
        <f t="shared" si="95"/>
        <v/>
      </c>
      <c r="T2031" s="1" t="str">
        <f>IF(OR($C2031="",$D2031&lt;&gt;"Gelir",$L2031=""),"",IFERROR(INDEX(MUSTERILER!$B$7:$B$156,MATCH($S2031,MUSTERILER!$T$7:$T$156,0)),""))</f>
        <v/>
      </c>
      <c r="U2031" s="1" t="str">
        <f>IF($T2031="","",$T2031&amp;"|"&amp;COUNTIFS($T$7:$T2031,$T2031))</f>
        <v/>
      </c>
      <c r="V2031" s="1">
        <f t="shared" si="96"/>
        <v>0</v>
      </c>
      <c r="W2031" s="1" t="str">
        <f t="shared" si="97"/>
        <v/>
      </c>
      <c r="X2031" s="1"/>
      <c r="Y2031" s="1"/>
      <c r="Z2031" s="1"/>
      <c r="AA2031" s="1"/>
      <c r="AB2031" s="1"/>
      <c r="AC2031" s="1"/>
      <c r="AD2031" s="1">
        <f>IF($C2031="",0,SUMPRODUCT((AY_SONU!$O$7:$O$42="Evet")*(AY_SONU!$B$7:$B$42=DATE(YEAR($C2031),MONTH($C2031),1))))</f>
        <v>0</v>
      </c>
      <c r="AE2031" s="1" t="str">
        <f>IF($E2031="","",$E2031&amp;"|"&amp;COUNTIFS($E$7:$E2031,$E2031))</f>
        <v/>
      </c>
    </row>
    <row r="2032" spans="1:31" ht="18" customHeight="1" x14ac:dyDescent="0.3">
      <c r="A2032" s="2"/>
      <c r="B2032" s="65" t="str">
        <f>IF($C2032="","","GG"&amp;TEXT(ROW()-6,"00000"))</f>
        <v/>
      </c>
      <c r="C2032" s="66"/>
      <c r="D2032" s="60"/>
      <c r="E2032" s="61"/>
      <c r="F2032" s="61"/>
      <c r="G2032" s="67"/>
      <c r="H2032" s="60"/>
      <c r="I2032" s="60"/>
      <c r="J2032" s="61"/>
      <c r="K2032" s="61"/>
      <c r="L2032" s="60"/>
      <c r="M2032" s="74" t="str">
        <f>IF($C2032="","",IF($D2032="Gider",$E2032,IF($L2032&lt;&gt;"",$L2032,$H2032)))</f>
        <v/>
      </c>
      <c r="N2032" s="74" t="str">
        <f>IF($C2032="","",IF($D2032="Gider",$H2032,$E2032))</f>
        <v/>
      </c>
      <c r="O2032" s="73" t="str">
        <f>IF($C2032="","",DATE(YEAR($C2032),MONTH($C2032),1))</f>
        <v/>
      </c>
      <c r="P2032" s="65" t="str">
        <f ca="1">IF($C2032="","",IF(AND($D2032="Gelir",$L2032&lt;&gt;"",$T2032=""),"TANIMSIZ BORÇLU",IF($T2032&lt;&gt;"",IF(OR($E2032="",$G2032&lt;=0),"EKSİK",IF($I2032="Evet","TAHAKKUK NAKİT OLAMAZ",IF($C2032&gt;TODAY(),"İLERİ TARİH","TAHAKKUK"))),IF(AND($D2032&lt;&gt;"",$E2032&lt;&gt;"",$G2032&gt;0,$H2032&lt;&gt;"",$I2032&lt;&gt;""),IF($C2032&gt;TODAY(),"İLERİ TARİH",IF(COUNTIF($W$7:$W$3001,$W2032)&gt;1,"MÜKERRER?",IF($AD2032&gt;0,"KAPALI DÖNEM",IF($I2032="Hayır","ÖDENECEK","UYGUN")))),"EKSİK"))))</f>
        <v/>
      </c>
      <c r="Q2032" s="2"/>
      <c r="R2032" s="2"/>
      <c r="S2032" s="1" t="str">
        <f t="shared" si="95"/>
        <v/>
      </c>
      <c r="T2032" s="1" t="str">
        <f>IF(OR($C2032="",$D2032&lt;&gt;"Gelir",$L2032=""),"",IFERROR(INDEX(MUSTERILER!$B$7:$B$156,MATCH($S2032,MUSTERILER!$T$7:$T$156,0)),""))</f>
        <v/>
      </c>
      <c r="U2032" s="1" t="str">
        <f>IF($T2032="","",$T2032&amp;"|"&amp;COUNTIFS($T$7:$T2032,$T2032))</f>
        <v/>
      </c>
      <c r="V2032" s="1">
        <f t="shared" si="96"/>
        <v>0</v>
      </c>
      <c r="W2032" s="1" t="str">
        <f t="shared" si="97"/>
        <v/>
      </c>
      <c r="X2032" s="1"/>
      <c r="Y2032" s="1"/>
      <c r="Z2032" s="1"/>
      <c r="AA2032" s="1"/>
      <c r="AB2032" s="1"/>
      <c r="AC2032" s="1"/>
      <c r="AD2032" s="1">
        <f>IF($C2032="",0,SUMPRODUCT((AY_SONU!$O$7:$O$42="Evet")*(AY_SONU!$B$7:$B$42=DATE(YEAR($C2032),MONTH($C2032),1))))</f>
        <v>0</v>
      </c>
      <c r="AE2032" s="1" t="str">
        <f>IF($E2032="","",$E2032&amp;"|"&amp;COUNTIFS($E$7:$E2032,$E2032))</f>
        <v/>
      </c>
    </row>
    <row r="2033" spans="1:31" ht="18" customHeight="1" x14ac:dyDescent="0.3">
      <c r="A2033" s="2"/>
      <c r="B2033" s="65" t="str">
        <f>IF($C2033="","","GG"&amp;TEXT(ROW()-6,"00000"))</f>
        <v/>
      </c>
      <c r="C2033" s="66"/>
      <c r="D2033" s="60"/>
      <c r="E2033" s="61"/>
      <c r="F2033" s="61"/>
      <c r="G2033" s="67"/>
      <c r="H2033" s="60"/>
      <c r="I2033" s="60"/>
      <c r="J2033" s="61"/>
      <c r="K2033" s="61"/>
      <c r="L2033" s="60"/>
      <c r="M2033" s="74" t="str">
        <f>IF($C2033="","",IF($D2033="Gider",$E2033,IF($L2033&lt;&gt;"",$L2033,$H2033)))</f>
        <v/>
      </c>
      <c r="N2033" s="74" t="str">
        <f>IF($C2033="","",IF($D2033="Gider",$H2033,$E2033))</f>
        <v/>
      </c>
      <c r="O2033" s="73" t="str">
        <f>IF($C2033="","",DATE(YEAR($C2033),MONTH($C2033),1))</f>
        <v/>
      </c>
      <c r="P2033" s="65" t="str">
        <f ca="1">IF($C2033="","",IF(AND($D2033="Gelir",$L2033&lt;&gt;"",$T2033=""),"TANIMSIZ BORÇLU",IF($T2033&lt;&gt;"",IF(OR($E2033="",$G2033&lt;=0),"EKSİK",IF($I2033="Evet","TAHAKKUK NAKİT OLAMAZ",IF($C2033&gt;TODAY(),"İLERİ TARİH","TAHAKKUK"))),IF(AND($D2033&lt;&gt;"",$E2033&lt;&gt;"",$G2033&gt;0,$H2033&lt;&gt;"",$I2033&lt;&gt;""),IF($C2033&gt;TODAY(),"İLERİ TARİH",IF(COUNTIF($W$7:$W$3001,$W2033)&gt;1,"MÜKERRER?",IF($AD2033&gt;0,"KAPALI DÖNEM",IF($I2033="Hayır","ÖDENECEK","UYGUN")))),"EKSİK"))))</f>
        <v/>
      </c>
      <c r="Q2033" s="2"/>
      <c r="R2033" s="2"/>
      <c r="S2033" s="1" t="str">
        <f t="shared" si="95"/>
        <v/>
      </c>
      <c r="T2033" s="1" t="str">
        <f>IF(OR($C2033="",$D2033&lt;&gt;"Gelir",$L2033=""),"",IFERROR(INDEX(MUSTERILER!$B$7:$B$156,MATCH($S2033,MUSTERILER!$T$7:$T$156,0)),""))</f>
        <v/>
      </c>
      <c r="U2033" s="1" t="str">
        <f>IF($T2033="","",$T2033&amp;"|"&amp;COUNTIFS($T$7:$T2033,$T2033))</f>
        <v/>
      </c>
      <c r="V2033" s="1">
        <f t="shared" si="96"/>
        <v>0</v>
      </c>
      <c r="W2033" s="1" t="str">
        <f t="shared" si="97"/>
        <v/>
      </c>
      <c r="X2033" s="1"/>
      <c r="Y2033" s="1"/>
      <c r="Z2033" s="1"/>
      <c r="AA2033" s="1"/>
      <c r="AB2033" s="1"/>
      <c r="AC2033" s="1"/>
      <c r="AD2033" s="1">
        <f>IF($C2033="",0,SUMPRODUCT((AY_SONU!$O$7:$O$42="Evet")*(AY_SONU!$B$7:$B$42=DATE(YEAR($C2033),MONTH($C2033),1))))</f>
        <v>0</v>
      </c>
      <c r="AE2033" s="1" t="str">
        <f>IF($E2033="","",$E2033&amp;"|"&amp;COUNTIFS($E$7:$E2033,$E2033))</f>
        <v/>
      </c>
    </row>
    <row r="2034" spans="1:31" ht="18" customHeight="1" x14ac:dyDescent="0.3">
      <c r="A2034" s="2"/>
      <c r="B2034" s="65" t="str">
        <f>IF($C2034="","","GG"&amp;TEXT(ROW()-6,"00000"))</f>
        <v/>
      </c>
      <c r="C2034" s="66"/>
      <c r="D2034" s="60"/>
      <c r="E2034" s="61"/>
      <c r="F2034" s="61"/>
      <c r="G2034" s="67"/>
      <c r="H2034" s="60"/>
      <c r="I2034" s="60"/>
      <c r="J2034" s="61"/>
      <c r="K2034" s="61"/>
      <c r="L2034" s="60"/>
      <c r="M2034" s="74" t="str">
        <f>IF($C2034="","",IF($D2034="Gider",$E2034,IF($L2034&lt;&gt;"",$L2034,$H2034)))</f>
        <v/>
      </c>
      <c r="N2034" s="74" t="str">
        <f>IF($C2034="","",IF($D2034="Gider",$H2034,$E2034))</f>
        <v/>
      </c>
      <c r="O2034" s="73" t="str">
        <f>IF($C2034="","",DATE(YEAR($C2034),MONTH($C2034),1))</f>
        <v/>
      </c>
      <c r="P2034" s="65" t="str">
        <f ca="1">IF($C2034="","",IF(AND($D2034="Gelir",$L2034&lt;&gt;"",$T2034=""),"TANIMSIZ BORÇLU",IF($T2034&lt;&gt;"",IF(OR($E2034="",$G2034&lt;=0),"EKSİK",IF($I2034="Evet","TAHAKKUK NAKİT OLAMAZ",IF($C2034&gt;TODAY(),"İLERİ TARİH","TAHAKKUK"))),IF(AND($D2034&lt;&gt;"",$E2034&lt;&gt;"",$G2034&gt;0,$H2034&lt;&gt;"",$I2034&lt;&gt;""),IF($C2034&gt;TODAY(),"İLERİ TARİH",IF(COUNTIF($W$7:$W$3001,$W2034)&gt;1,"MÜKERRER?",IF($AD2034&gt;0,"KAPALI DÖNEM",IF($I2034="Hayır","ÖDENECEK","UYGUN")))),"EKSİK"))))</f>
        <v/>
      </c>
      <c r="Q2034" s="2"/>
      <c r="R2034" s="2"/>
      <c r="S2034" s="1" t="str">
        <f t="shared" si="95"/>
        <v/>
      </c>
      <c r="T2034" s="1" t="str">
        <f>IF(OR($C2034="",$D2034&lt;&gt;"Gelir",$L2034=""),"",IFERROR(INDEX(MUSTERILER!$B$7:$B$156,MATCH($S2034,MUSTERILER!$T$7:$T$156,0)),""))</f>
        <v/>
      </c>
      <c r="U2034" s="1" t="str">
        <f>IF($T2034="","",$T2034&amp;"|"&amp;COUNTIFS($T$7:$T2034,$T2034))</f>
        <v/>
      </c>
      <c r="V2034" s="1">
        <f t="shared" si="96"/>
        <v>0</v>
      </c>
      <c r="W2034" s="1" t="str">
        <f t="shared" si="97"/>
        <v/>
      </c>
      <c r="X2034" s="1"/>
      <c r="Y2034" s="1"/>
      <c r="Z2034" s="1"/>
      <c r="AA2034" s="1"/>
      <c r="AB2034" s="1"/>
      <c r="AC2034" s="1"/>
      <c r="AD2034" s="1">
        <f>IF($C2034="",0,SUMPRODUCT((AY_SONU!$O$7:$O$42="Evet")*(AY_SONU!$B$7:$B$42=DATE(YEAR($C2034),MONTH($C2034),1))))</f>
        <v>0</v>
      </c>
      <c r="AE2034" s="1" t="str">
        <f>IF($E2034="","",$E2034&amp;"|"&amp;COUNTIFS($E$7:$E2034,$E2034))</f>
        <v/>
      </c>
    </row>
    <row r="2035" spans="1:31" ht="18" customHeight="1" x14ac:dyDescent="0.3">
      <c r="A2035" s="2"/>
      <c r="B2035" s="65" t="str">
        <f>IF($C2035="","","GG"&amp;TEXT(ROW()-6,"00000"))</f>
        <v/>
      </c>
      <c r="C2035" s="66"/>
      <c r="D2035" s="60"/>
      <c r="E2035" s="61"/>
      <c r="F2035" s="61"/>
      <c r="G2035" s="67"/>
      <c r="H2035" s="60"/>
      <c r="I2035" s="60"/>
      <c r="J2035" s="61"/>
      <c r="K2035" s="61"/>
      <c r="L2035" s="60"/>
      <c r="M2035" s="74" t="str">
        <f>IF($C2035="","",IF($D2035="Gider",$E2035,IF($L2035&lt;&gt;"",$L2035,$H2035)))</f>
        <v/>
      </c>
      <c r="N2035" s="74" t="str">
        <f>IF($C2035="","",IF($D2035="Gider",$H2035,$E2035))</f>
        <v/>
      </c>
      <c r="O2035" s="73" t="str">
        <f>IF($C2035="","",DATE(YEAR($C2035),MONTH($C2035),1))</f>
        <v/>
      </c>
      <c r="P2035" s="65" t="str">
        <f ca="1">IF($C2035="","",IF(AND($D2035="Gelir",$L2035&lt;&gt;"",$T2035=""),"TANIMSIZ BORÇLU",IF($T2035&lt;&gt;"",IF(OR($E2035="",$G2035&lt;=0),"EKSİK",IF($I2035="Evet","TAHAKKUK NAKİT OLAMAZ",IF($C2035&gt;TODAY(),"İLERİ TARİH","TAHAKKUK"))),IF(AND($D2035&lt;&gt;"",$E2035&lt;&gt;"",$G2035&gt;0,$H2035&lt;&gt;"",$I2035&lt;&gt;""),IF($C2035&gt;TODAY(),"İLERİ TARİH",IF(COUNTIF($W$7:$W$3001,$W2035)&gt;1,"MÜKERRER?",IF($AD2035&gt;0,"KAPALI DÖNEM",IF($I2035="Hayır","ÖDENECEK","UYGUN")))),"EKSİK"))))</f>
        <v/>
      </c>
      <c r="Q2035" s="2"/>
      <c r="R2035" s="2"/>
      <c r="S2035" s="1" t="str">
        <f t="shared" si="95"/>
        <v/>
      </c>
      <c r="T2035" s="1" t="str">
        <f>IF(OR($C2035="",$D2035&lt;&gt;"Gelir",$L2035=""),"",IFERROR(INDEX(MUSTERILER!$B$7:$B$156,MATCH($S2035,MUSTERILER!$T$7:$T$156,0)),""))</f>
        <v/>
      </c>
      <c r="U2035" s="1" t="str">
        <f>IF($T2035="","",$T2035&amp;"|"&amp;COUNTIFS($T$7:$T2035,$T2035))</f>
        <v/>
      </c>
      <c r="V2035" s="1">
        <f t="shared" si="96"/>
        <v>0</v>
      </c>
      <c r="W2035" s="1" t="str">
        <f t="shared" si="97"/>
        <v/>
      </c>
      <c r="X2035" s="1"/>
      <c r="Y2035" s="1"/>
      <c r="Z2035" s="1"/>
      <c r="AA2035" s="1"/>
      <c r="AB2035" s="1"/>
      <c r="AC2035" s="1"/>
      <c r="AD2035" s="1">
        <f>IF($C2035="",0,SUMPRODUCT((AY_SONU!$O$7:$O$42="Evet")*(AY_SONU!$B$7:$B$42=DATE(YEAR($C2035),MONTH($C2035),1))))</f>
        <v>0</v>
      </c>
      <c r="AE2035" s="1" t="str">
        <f>IF($E2035="","",$E2035&amp;"|"&amp;COUNTIFS($E$7:$E2035,$E2035))</f>
        <v/>
      </c>
    </row>
    <row r="2036" spans="1:31" ht="18" customHeight="1" x14ac:dyDescent="0.3">
      <c r="A2036" s="2"/>
      <c r="B2036" s="65" t="str">
        <f>IF($C2036="","","GG"&amp;TEXT(ROW()-6,"00000"))</f>
        <v/>
      </c>
      <c r="C2036" s="66"/>
      <c r="D2036" s="60"/>
      <c r="E2036" s="61"/>
      <c r="F2036" s="61"/>
      <c r="G2036" s="67"/>
      <c r="H2036" s="60"/>
      <c r="I2036" s="60"/>
      <c r="J2036" s="61"/>
      <c r="K2036" s="61"/>
      <c r="L2036" s="60"/>
      <c r="M2036" s="74" t="str">
        <f>IF($C2036="","",IF($D2036="Gider",$E2036,IF($L2036&lt;&gt;"",$L2036,$H2036)))</f>
        <v/>
      </c>
      <c r="N2036" s="74" t="str">
        <f>IF($C2036="","",IF($D2036="Gider",$H2036,$E2036))</f>
        <v/>
      </c>
      <c r="O2036" s="73" t="str">
        <f>IF($C2036="","",DATE(YEAR($C2036),MONTH($C2036),1))</f>
        <v/>
      </c>
      <c r="P2036" s="65" t="str">
        <f ca="1">IF($C2036="","",IF(AND($D2036="Gelir",$L2036&lt;&gt;"",$T2036=""),"TANIMSIZ BORÇLU",IF($T2036&lt;&gt;"",IF(OR($E2036="",$G2036&lt;=0),"EKSİK",IF($I2036="Evet","TAHAKKUK NAKİT OLAMAZ",IF($C2036&gt;TODAY(),"İLERİ TARİH","TAHAKKUK"))),IF(AND($D2036&lt;&gt;"",$E2036&lt;&gt;"",$G2036&gt;0,$H2036&lt;&gt;"",$I2036&lt;&gt;""),IF($C2036&gt;TODAY(),"İLERİ TARİH",IF(COUNTIF($W$7:$W$3001,$W2036)&gt;1,"MÜKERRER?",IF($AD2036&gt;0,"KAPALI DÖNEM",IF($I2036="Hayır","ÖDENECEK","UYGUN")))),"EKSİK"))))</f>
        <v/>
      </c>
      <c r="Q2036" s="2"/>
      <c r="R2036" s="2"/>
      <c r="S2036" s="1" t="str">
        <f t="shared" si="95"/>
        <v/>
      </c>
      <c r="T2036" s="1" t="str">
        <f>IF(OR($C2036="",$D2036&lt;&gt;"Gelir",$L2036=""),"",IFERROR(INDEX(MUSTERILER!$B$7:$B$156,MATCH($S2036,MUSTERILER!$T$7:$T$156,0)),""))</f>
        <v/>
      </c>
      <c r="U2036" s="1" t="str">
        <f>IF($T2036="","",$T2036&amp;"|"&amp;COUNTIFS($T$7:$T2036,$T2036))</f>
        <v/>
      </c>
      <c r="V2036" s="1">
        <f t="shared" si="96"/>
        <v>0</v>
      </c>
      <c r="W2036" s="1" t="str">
        <f t="shared" si="97"/>
        <v/>
      </c>
      <c r="X2036" s="1"/>
      <c r="Y2036" s="1"/>
      <c r="Z2036" s="1"/>
      <c r="AA2036" s="1"/>
      <c r="AB2036" s="1"/>
      <c r="AC2036" s="1"/>
      <c r="AD2036" s="1">
        <f>IF($C2036="",0,SUMPRODUCT((AY_SONU!$O$7:$O$42="Evet")*(AY_SONU!$B$7:$B$42=DATE(YEAR($C2036),MONTH($C2036),1))))</f>
        <v>0</v>
      </c>
      <c r="AE2036" s="1" t="str">
        <f>IF($E2036="","",$E2036&amp;"|"&amp;COUNTIFS($E$7:$E2036,$E2036))</f>
        <v/>
      </c>
    </row>
    <row r="2037" spans="1:31" ht="18" customHeight="1" x14ac:dyDescent="0.3">
      <c r="A2037" s="2"/>
      <c r="B2037" s="65" t="str">
        <f>IF($C2037="","","GG"&amp;TEXT(ROW()-6,"00000"))</f>
        <v/>
      </c>
      <c r="C2037" s="66"/>
      <c r="D2037" s="60"/>
      <c r="E2037" s="61"/>
      <c r="F2037" s="61"/>
      <c r="G2037" s="67"/>
      <c r="H2037" s="60"/>
      <c r="I2037" s="60"/>
      <c r="J2037" s="61"/>
      <c r="K2037" s="61"/>
      <c r="L2037" s="60"/>
      <c r="M2037" s="74" t="str">
        <f>IF($C2037="","",IF($D2037="Gider",$E2037,IF($L2037&lt;&gt;"",$L2037,$H2037)))</f>
        <v/>
      </c>
      <c r="N2037" s="74" t="str">
        <f>IF($C2037="","",IF($D2037="Gider",$H2037,$E2037))</f>
        <v/>
      </c>
      <c r="O2037" s="73" t="str">
        <f>IF($C2037="","",DATE(YEAR($C2037),MONTH($C2037),1))</f>
        <v/>
      </c>
      <c r="P2037" s="65" t="str">
        <f ca="1">IF($C2037="","",IF(AND($D2037="Gelir",$L2037&lt;&gt;"",$T2037=""),"TANIMSIZ BORÇLU",IF($T2037&lt;&gt;"",IF(OR($E2037="",$G2037&lt;=0),"EKSİK",IF($I2037="Evet","TAHAKKUK NAKİT OLAMAZ",IF($C2037&gt;TODAY(),"İLERİ TARİH","TAHAKKUK"))),IF(AND($D2037&lt;&gt;"",$E2037&lt;&gt;"",$G2037&gt;0,$H2037&lt;&gt;"",$I2037&lt;&gt;""),IF($C2037&gt;TODAY(),"İLERİ TARİH",IF(COUNTIF($W$7:$W$3001,$W2037)&gt;1,"MÜKERRER?",IF($AD2037&gt;0,"KAPALI DÖNEM",IF($I2037="Hayır","ÖDENECEK","UYGUN")))),"EKSİK"))))</f>
        <v/>
      </c>
      <c r="Q2037" s="2"/>
      <c r="R2037" s="2"/>
      <c r="S2037" s="1" t="str">
        <f t="shared" si="95"/>
        <v/>
      </c>
      <c r="T2037" s="1" t="str">
        <f>IF(OR($C2037="",$D2037&lt;&gt;"Gelir",$L2037=""),"",IFERROR(INDEX(MUSTERILER!$B$7:$B$156,MATCH($S2037,MUSTERILER!$T$7:$T$156,0)),""))</f>
        <v/>
      </c>
      <c r="U2037" s="1" t="str">
        <f>IF($T2037="","",$T2037&amp;"|"&amp;COUNTIFS($T$7:$T2037,$T2037))</f>
        <v/>
      </c>
      <c r="V2037" s="1">
        <f t="shared" si="96"/>
        <v>0</v>
      </c>
      <c r="W2037" s="1" t="str">
        <f t="shared" si="97"/>
        <v/>
      </c>
      <c r="X2037" s="1"/>
      <c r="Y2037" s="1"/>
      <c r="Z2037" s="1"/>
      <c r="AA2037" s="1"/>
      <c r="AB2037" s="1"/>
      <c r="AC2037" s="1"/>
      <c r="AD2037" s="1">
        <f>IF($C2037="",0,SUMPRODUCT((AY_SONU!$O$7:$O$42="Evet")*(AY_SONU!$B$7:$B$42=DATE(YEAR($C2037),MONTH($C2037),1))))</f>
        <v>0</v>
      </c>
      <c r="AE2037" s="1" t="str">
        <f>IF($E2037="","",$E2037&amp;"|"&amp;COUNTIFS($E$7:$E2037,$E2037))</f>
        <v/>
      </c>
    </row>
    <row r="2038" spans="1:31" ht="18" customHeight="1" x14ac:dyDescent="0.3">
      <c r="A2038" s="2"/>
      <c r="B2038" s="65" t="str">
        <f>IF($C2038="","","GG"&amp;TEXT(ROW()-6,"00000"))</f>
        <v/>
      </c>
      <c r="C2038" s="66"/>
      <c r="D2038" s="60"/>
      <c r="E2038" s="61"/>
      <c r="F2038" s="61"/>
      <c r="G2038" s="67"/>
      <c r="H2038" s="60"/>
      <c r="I2038" s="60"/>
      <c r="J2038" s="61"/>
      <c r="K2038" s="61"/>
      <c r="L2038" s="60"/>
      <c r="M2038" s="74" t="str">
        <f>IF($C2038="","",IF($D2038="Gider",$E2038,IF($L2038&lt;&gt;"",$L2038,$H2038)))</f>
        <v/>
      </c>
      <c r="N2038" s="74" t="str">
        <f>IF($C2038="","",IF($D2038="Gider",$H2038,$E2038))</f>
        <v/>
      </c>
      <c r="O2038" s="73" t="str">
        <f>IF($C2038="","",DATE(YEAR($C2038),MONTH($C2038),1))</f>
        <v/>
      </c>
      <c r="P2038" s="65" t="str">
        <f ca="1">IF($C2038="","",IF(AND($D2038="Gelir",$L2038&lt;&gt;"",$T2038=""),"TANIMSIZ BORÇLU",IF($T2038&lt;&gt;"",IF(OR($E2038="",$G2038&lt;=0),"EKSİK",IF($I2038="Evet","TAHAKKUK NAKİT OLAMAZ",IF($C2038&gt;TODAY(),"İLERİ TARİH","TAHAKKUK"))),IF(AND($D2038&lt;&gt;"",$E2038&lt;&gt;"",$G2038&gt;0,$H2038&lt;&gt;"",$I2038&lt;&gt;""),IF($C2038&gt;TODAY(),"İLERİ TARİH",IF(COUNTIF($W$7:$W$3001,$W2038)&gt;1,"MÜKERRER?",IF($AD2038&gt;0,"KAPALI DÖNEM",IF($I2038="Hayır","ÖDENECEK","UYGUN")))),"EKSİK"))))</f>
        <v/>
      </c>
      <c r="Q2038" s="2"/>
      <c r="R2038" s="2"/>
      <c r="S2038" s="1" t="str">
        <f t="shared" si="95"/>
        <v/>
      </c>
      <c r="T2038" s="1" t="str">
        <f>IF(OR($C2038="",$D2038&lt;&gt;"Gelir",$L2038=""),"",IFERROR(INDEX(MUSTERILER!$B$7:$B$156,MATCH($S2038,MUSTERILER!$T$7:$T$156,0)),""))</f>
        <v/>
      </c>
      <c r="U2038" s="1" t="str">
        <f>IF($T2038="","",$T2038&amp;"|"&amp;COUNTIFS($T$7:$T2038,$T2038))</f>
        <v/>
      </c>
      <c r="V2038" s="1">
        <f t="shared" si="96"/>
        <v>0</v>
      </c>
      <c r="W2038" s="1" t="str">
        <f t="shared" si="97"/>
        <v/>
      </c>
      <c r="X2038" s="1"/>
      <c r="Y2038" s="1"/>
      <c r="Z2038" s="1"/>
      <c r="AA2038" s="1"/>
      <c r="AB2038" s="1"/>
      <c r="AC2038" s="1"/>
      <c r="AD2038" s="1">
        <f>IF($C2038="",0,SUMPRODUCT((AY_SONU!$O$7:$O$42="Evet")*(AY_SONU!$B$7:$B$42=DATE(YEAR($C2038),MONTH($C2038),1))))</f>
        <v>0</v>
      </c>
      <c r="AE2038" s="1" t="str">
        <f>IF($E2038="","",$E2038&amp;"|"&amp;COUNTIFS($E$7:$E2038,$E2038))</f>
        <v/>
      </c>
    </row>
    <row r="2039" spans="1:31" ht="18" customHeight="1" x14ac:dyDescent="0.3">
      <c r="A2039" s="2"/>
      <c r="B2039" s="65" t="str">
        <f>IF($C2039="","","GG"&amp;TEXT(ROW()-6,"00000"))</f>
        <v/>
      </c>
      <c r="C2039" s="66"/>
      <c r="D2039" s="60"/>
      <c r="E2039" s="61"/>
      <c r="F2039" s="61"/>
      <c r="G2039" s="67"/>
      <c r="H2039" s="60"/>
      <c r="I2039" s="60"/>
      <c r="J2039" s="61"/>
      <c r="K2039" s="61"/>
      <c r="L2039" s="60"/>
      <c r="M2039" s="74" t="str">
        <f>IF($C2039="","",IF($D2039="Gider",$E2039,IF($L2039&lt;&gt;"",$L2039,$H2039)))</f>
        <v/>
      </c>
      <c r="N2039" s="74" t="str">
        <f>IF($C2039="","",IF($D2039="Gider",$H2039,$E2039))</f>
        <v/>
      </c>
      <c r="O2039" s="73" t="str">
        <f>IF($C2039="","",DATE(YEAR($C2039),MONTH($C2039),1))</f>
        <v/>
      </c>
      <c r="P2039" s="65" t="str">
        <f ca="1">IF($C2039="","",IF(AND($D2039="Gelir",$L2039&lt;&gt;"",$T2039=""),"TANIMSIZ BORÇLU",IF($T2039&lt;&gt;"",IF(OR($E2039="",$G2039&lt;=0),"EKSİK",IF($I2039="Evet","TAHAKKUK NAKİT OLAMAZ",IF($C2039&gt;TODAY(),"İLERİ TARİH","TAHAKKUK"))),IF(AND($D2039&lt;&gt;"",$E2039&lt;&gt;"",$G2039&gt;0,$H2039&lt;&gt;"",$I2039&lt;&gt;""),IF($C2039&gt;TODAY(),"İLERİ TARİH",IF(COUNTIF($W$7:$W$3001,$W2039)&gt;1,"MÜKERRER?",IF($AD2039&gt;0,"KAPALI DÖNEM",IF($I2039="Hayır","ÖDENECEK","UYGUN")))),"EKSİK"))))</f>
        <v/>
      </c>
      <c r="Q2039" s="2"/>
      <c r="R2039" s="2"/>
      <c r="S2039" s="1" t="str">
        <f t="shared" si="95"/>
        <v/>
      </c>
      <c r="T2039" s="1" t="str">
        <f>IF(OR($C2039="",$D2039&lt;&gt;"Gelir",$L2039=""),"",IFERROR(INDEX(MUSTERILER!$B$7:$B$156,MATCH($S2039,MUSTERILER!$T$7:$T$156,0)),""))</f>
        <v/>
      </c>
      <c r="U2039" s="1" t="str">
        <f>IF($T2039="","",$T2039&amp;"|"&amp;COUNTIFS($T$7:$T2039,$T2039))</f>
        <v/>
      </c>
      <c r="V2039" s="1">
        <f t="shared" si="96"/>
        <v>0</v>
      </c>
      <c r="W2039" s="1" t="str">
        <f t="shared" si="97"/>
        <v/>
      </c>
      <c r="X2039" s="1"/>
      <c r="Y2039" s="1"/>
      <c r="Z2039" s="1"/>
      <c r="AA2039" s="1"/>
      <c r="AB2039" s="1"/>
      <c r="AC2039" s="1"/>
      <c r="AD2039" s="1">
        <f>IF($C2039="",0,SUMPRODUCT((AY_SONU!$O$7:$O$42="Evet")*(AY_SONU!$B$7:$B$42=DATE(YEAR($C2039),MONTH($C2039),1))))</f>
        <v>0</v>
      </c>
      <c r="AE2039" s="1" t="str">
        <f>IF($E2039="","",$E2039&amp;"|"&amp;COUNTIFS($E$7:$E2039,$E2039))</f>
        <v/>
      </c>
    </row>
    <row r="2040" spans="1:31" ht="18" customHeight="1" x14ac:dyDescent="0.3">
      <c r="A2040" s="2"/>
      <c r="B2040" s="65" t="str">
        <f>IF($C2040="","","GG"&amp;TEXT(ROW()-6,"00000"))</f>
        <v/>
      </c>
      <c r="C2040" s="66"/>
      <c r="D2040" s="60"/>
      <c r="E2040" s="61"/>
      <c r="F2040" s="61"/>
      <c r="G2040" s="67"/>
      <c r="H2040" s="60"/>
      <c r="I2040" s="60"/>
      <c r="J2040" s="61"/>
      <c r="K2040" s="61"/>
      <c r="L2040" s="60"/>
      <c r="M2040" s="74" t="str">
        <f>IF($C2040="","",IF($D2040="Gider",$E2040,IF($L2040&lt;&gt;"",$L2040,$H2040)))</f>
        <v/>
      </c>
      <c r="N2040" s="74" t="str">
        <f>IF($C2040="","",IF($D2040="Gider",$H2040,$E2040))</f>
        <v/>
      </c>
      <c r="O2040" s="73" t="str">
        <f>IF($C2040="","",DATE(YEAR($C2040),MONTH($C2040),1))</f>
        <v/>
      </c>
      <c r="P2040" s="65" t="str">
        <f ca="1">IF($C2040="","",IF(AND($D2040="Gelir",$L2040&lt;&gt;"",$T2040=""),"TANIMSIZ BORÇLU",IF($T2040&lt;&gt;"",IF(OR($E2040="",$G2040&lt;=0),"EKSİK",IF($I2040="Evet","TAHAKKUK NAKİT OLAMAZ",IF($C2040&gt;TODAY(),"İLERİ TARİH","TAHAKKUK"))),IF(AND($D2040&lt;&gt;"",$E2040&lt;&gt;"",$G2040&gt;0,$H2040&lt;&gt;"",$I2040&lt;&gt;""),IF($C2040&gt;TODAY(),"İLERİ TARİH",IF(COUNTIF($W$7:$W$3001,$W2040)&gt;1,"MÜKERRER?",IF($AD2040&gt;0,"KAPALI DÖNEM",IF($I2040="Hayır","ÖDENECEK","UYGUN")))),"EKSİK"))))</f>
        <v/>
      </c>
      <c r="Q2040" s="2"/>
      <c r="R2040" s="2"/>
      <c r="S2040" s="1" t="str">
        <f t="shared" si="95"/>
        <v/>
      </c>
      <c r="T2040" s="1" t="str">
        <f>IF(OR($C2040="",$D2040&lt;&gt;"Gelir",$L2040=""),"",IFERROR(INDEX(MUSTERILER!$B$7:$B$156,MATCH($S2040,MUSTERILER!$T$7:$T$156,0)),""))</f>
        <v/>
      </c>
      <c r="U2040" s="1" t="str">
        <f>IF($T2040="","",$T2040&amp;"|"&amp;COUNTIFS($T$7:$T2040,$T2040))</f>
        <v/>
      </c>
      <c r="V2040" s="1">
        <f t="shared" si="96"/>
        <v>0</v>
      </c>
      <c r="W2040" s="1" t="str">
        <f t="shared" si="97"/>
        <v/>
      </c>
      <c r="X2040" s="1"/>
      <c r="Y2040" s="1"/>
      <c r="Z2040" s="1"/>
      <c r="AA2040" s="1"/>
      <c r="AB2040" s="1"/>
      <c r="AC2040" s="1"/>
      <c r="AD2040" s="1">
        <f>IF($C2040="",0,SUMPRODUCT((AY_SONU!$O$7:$O$42="Evet")*(AY_SONU!$B$7:$B$42=DATE(YEAR($C2040),MONTH($C2040),1))))</f>
        <v>0</v>
      </c>
      <c r="AE2040" s="1" t="str">
        <f>IF($E2040="","",$E2040&amp;"|"&amp;COUNTIFS($E$7:$E2040,$E2040))</f>
        <v/>
      </c>
    </row>
    <row r="2041" spans="1:31" ht="18" customHeight="1" x14ac:dyDescent="0.3">
      <c r="A2041" s="2"/>
      <c r="B2041" s="65" t="str">
        <f>IF($C2041="","","GG"&amp;TEXT(ROW()-6,"00000"))</f>
        <v/>
      </c>
      <c r="C2041" s="66"/>
      <c r="D2041" s="60"/>
      <c r="E2041" s="61"/>
      <c r="F2041" s="61"/>
      <c r="G2041" s="67"/>
      <c r="H2041" s="60"/>
      <c r="I2041" s="60"/>
      <c r="J2041" s="61"/>
      <c r="K2041" s="61"/>
      <c r="L2041" s="60"/>
      <c r="M2041" s="74" t="str">
        <f>IF($C2041="","",IF($D2041="Gider",$E2041,IF($L2041&lt;&gt;"",$L2041,$H2041)))</f>
        <v/>
      </c>
      <c r="N2041" s="74" t="str">
        <f>IF($C2041="","",IF($D2041="Gider",$H2041,$E2041))</f>
        <v/>
      </c>
      <c r="O2041" s="73" t="str">
        <f>IF($C2041="","",DATE(YEAR($C2041),MONTH($C2041),1))</f>
        <v/>
      </c>
      <c r="P2041" s="65" t="str">
        <f ca="1">IF($C2041="","",IF(AND($D2041="Gelir",$L2041&lt;&gt;"",$T2041=""),"TANIMSIZ BORÇLU",IF($T2041&lt;&gt;"",IF(OR($E2041="",$G2041&lt;=0),"EKSİK",IF($I2041="Evet","TAHAKKUK NAKİT OLAMAZ",IF($C2041&gt;TODAY(),"İLERİ TARİH","TAHAKKUK"))),IF(AND($D2041&lt;&gt;"",$E2041&lt;&gt;"",$G2041&gt;0,$H2041&lt;&gt;"",$I2041&lt;&gt;""),IF($C2041&gt;TODAY(),"İLERİ TARİH",IF(COUNTIF($W$7:$W$3001,$W2041)&gt;1,"MÜKERRER?",IF($AD2041&gt;0,"KAPALI DÖNEM",IF($I2041="Hayır","ÖDENECEK","UYGUN")))),"EKSİK"))))</f>
        <v/>
      </c>
      <c r="Q2041" s="2"/>
      <c r="R2041" s="2"/>
      <c r="S2041" s="1" t="str">
        <f t="shared" si="95"/>
        <v/>
      </c>
      <c r="T2041" s="1" t="str">
        <f>IF(OR($C2041="",$D2041&lt;&gt;"Gelir",$L2041=""),"",IFERROR(INDEX(MUSTERILER!$B$7:$B$156,MATCH($S2041,MUSTERILER!$T$7:$T$156,0)),""))</f>
        <v/>
      </c>
      <c r="U2041" s="1" t="str">
        <f>IF($T2041="","",$T2041&amp;"|"&amp;COUNTIFS($T$7:$T2041,$T2041))</f>
        <v/>
      </c>
      <c r="V2041" s="1">
        <f t="shared" si="96"/>
        <v>0</v>
      </c>
      <c r="W2041" s="1" t="str">
        <f t="shared" si="97"/>
        <v/>
      </c>
      <c r="X2041" s="1"/>
      <c r="Y2041" s="1"/>
      <c r="Z2041" s="1"/>
      <c r="AA2041" s="1"/>
      <c r="AB2041" s="1"/>
      <c r="AC2041" s="1"/>
      <c r="AD2041" s="1">
        <f>IF($C2041="",0,SUMPRODUCT((AY_SONU!$O$7:$O$42="Evet")*(AY_SONU!$B$7:$B$42=DATE(YEAR($C2041),MONTH($C2041),1))))</f>
        <v>0</v>
      </c>
      <c r="AE2041" s="1" t="str">
        <f>IF($E2041="","",$E2041&amp;"|"&amp;COUNTIFS($E$7:$E2041,$E2041))</f>
        <v/>
      </c>
    </row>
    <row r="2042" spans="1:31" ht="18" customHeight="1" x14ac:dyDescent="0.3">
      <c r="A2042" s="2"/>
      <c r="B2042" s="65" t="str">
        <f>IF($C2042="","","GG"&amp;TEXT(ROW()-6,"00000"))</f>
        <v/>
      </c>
      <c r="C2042" s="66"/>
      <c r="D2042" s="60"/>
      <c r="E2042" s="61"/>
      <c r="F2042" s="61"/>
      <c r="G2042" s="67"/>
      <c r="H2042" s="60"/>
      <c r="I2042" s="60"/>
      <c r="J2042" s="61"/>
      <c r="K2042" s="61"/>
      <c r="L2042" s="60"/>
      <c r="M2042" s="74" t="str">
        <f>IF($C2042="","",IF($D2042="Gider",$E2042,IF($L2042&lt;&gt;"",$L2042,$H2042)))</f>
        <v/>
      </c>
      <c r="N2042" s="74" t="str">
        <f>IF($C2042="","",IF($D2042="Gider",$H2042,$E2042))</f>
        <v/>
      </c>
      <c r="O2042" s="73" t="str">
        <f>IF($C2042="","",DATE(YEAR($C2042),MONTH($C2042),1))</f>
        <v/>
      </c>
      <c r="P2042" s="65" t="str">
        <f ca="1">IF($C2042="","",IF(AND($D2042="Gelir",$L2042&lt;&gt;"",$T2042=""),"TANIMSIZ BORÇLU",IF($T2042&lt;&gt;"",IF(OR($E2042="",$G2042&lt;=0),"EKSİK",IF($I2042="Evet","TAHAKKUK NAKİT OLAMAZ",IF($C2042&gt;TODAY(),"İLERİ TARİH","TAHAKKUK"))),IF(AND($D2042&lt;&gt;"",$E2042&lt;&gt;"",$G2042&gt;0,$H2042&lt;&gt;"",$I2042&lt;&gt;""),IF($C2042&gt;TODAY(),"İLERİ TARİH",IF(COUNTIF($W$7:$W$3001,$W2042)&gt;1,"MÜKERRER?",IF($AD2042&gt;0,"KAPALI DÖNEM",IF($I2042="Hayır","ÖDENECEK","UYGUN")))),"EKSİK"))))</f>
        <v/>
      </c>
      <c r="Q2042" s="2"/>
      <c r="R2042" s="2"/>
      <c r="S2042" s="1" t="str">
        <f t="shared" si="95"/>
        <v/>
      </c>
      <c r="T2042" s="1" t="str">
        <f>IF(OR($C2042="",$D2042&lt;&gt;"Gelir",$L2042=""),"",IFERROR(INDEX(MUSTERILER!$B$7:$B$156,MATCH($S2042,MUSTERILER!$T$7:$T$156,0)),""))</f>
        <v/>
      </c>
      <c r="U2042" s="1" t="str">
        <f>IF($T2042="","",$T2042&amp;"|"&amp;COUNTIFS($T$7:$T2042,$T2042))</f>
        <v/>
      </c>
      <c r="V2042" s="1">
        <f t="shared" si="96"/>
        <v>0</v>
      </c>
      <c r="W2042" s="1" t="str">
        <f t="shared" si="97"/>
        <v/>
      </c>
      <c r="X2042" s="1"/>
      <c r="Y2042" s="1"/>
      <c r="Z2042" s="1"/>
      <c r="AA2042" s="1"/>
      <c r="AB2042" s="1"/>
      <c r="AC2042" s="1"/>
      <c r="AD2042" s="1">
        <f>IF($C2042="",0,SUMPRODUCT((AY_SONU!$O$7:$O$42="Evet")*(AY_SONU!$B$7:$B$42=DATE(YEAR($C2042),MONTH($C2042),1))))</f>
        <v>0</v>
      </c>
      <c r="AE2042" s="1" t="str">
        <f>IF($E2042="","",$E2042&amp;"|"&amp;COUNTIFS($E$7:$E2042,$E2042))</f>
        <v/>
      </c>
    </row>
    <row r="2043" spans="1:31" ht="18" customHeight="1" x14ac:dyDescent="0.3">
      <c r="A2043" s="2"/>
      <c r="B2043" s="65" t="str">
        <f>IF($C2043="","","GG"&amp;TEXT(ROW()-6,"00000"))</f>
        <v/>
      </c>
      <c r="C2043" s="66"/>
      <c r="D2043" s="60"/>
      <c r="E2043" s="61"/>
      <c r="F2043" s="61"/>
      <c r="G2043" s="67"/>
      <c r="H2043" s="60"/>
      <c r="I2043" s="60"/>
      <c r="J2043" s="61"/>
      <c r="K2043" s="61"/>
      <c r="L2043" s="60"/>
      <c r="M2043" s="74" t="str">
        <f>IF($C2043="","",IF($D2043="Gider",$E2043,IF($L2043&lt;&gt;"",$L2043,$H2043)))</f>
        <v/>
      </c>
      <c r="N2043" s="74" t="str">
        <f>IF($C2043="","",IF($D2043="Gider",$H2043,$E2043))</f>
        <v/>
      </c>
      <c r="O2043" s="73" t="str">
        <f>IF($C2043="","",DATE(YEAR($C2043),MONTH($C2043),1))</f>
        <v/>
      </c>
      <c r="P2043" s="65" t="str">
        <f ca="1">IF($C2043="","",IF(AND($D2043="Gelir",$L2043&lt;&gt;"",$T2043=""),"TANIMSIZ BORÇLU",IF($T2043&lt;&gt;"",IF(OR($E2043="",$G2043&lt;=0),"EKSİK",IF($I2043="Evet","TAHAKKUK NAKİT OLAMAZ",IF($C2043&gt;TODAY(),"İLERİ TARİH","TAHAKKUK"))),IF(AND($D2043&lt;&gt;"",$E2043&lt;&gt;"",$G2043&gt;0,$H2043&lt;&gt;"",$I2043&lt;&gt;""),IF($C2043&gt;TODAY(),"İLERİ TARİH",IF(COUNTIF($W$7:$W$3001,$W2043)&gt;1,"MÜKERRER?",IF($AD2043&gt;0,"KAPALI DÖNEM",IF($I2043="Hayır","ÖDENECEK","UYGUN")))),"EKSİK"))))</f>
        <v/>
      </c>
      <c r="Q2043" s="2"/>
      <c r="R2043" s="2"/>
      <c r="S2043" s="1" t="str">
        <f t="shared" si="95"/>
        <v/>
      </c>
      <c r="T2043" s="1" t="str">
        <f>IF(OR($C2043="",$D2043&lt;&gt;"Gelir",$L2043=""),"",IFERROR(INDEX(MUSTERILER!$B$7:$B$156,MATCH($S2043,MUSTERILER!$T$7:$T$156,0)),""))</f>
        <v/>
      </c>
      <c r="U2043" s="1" t="str">
        <f>IF($T2043="","",$T2043&amp;"|"&amp;COUNTIFS($T$7:$T2043,$T2043))</f>
        <v/>
      </c>
      <c r="V2043" s="1">
        <f t="shared" si="96"/>
        <v>0</v>
      </c>
      <c r="W2043" s="1" t="str">
        <f t="shared" si="97"/>
        <v/>
      </c>
      <c r="X2043" s="1"/>
      <c r="Y2043" s="1"/>
      <c r="Z2043" s="1"/>
      <c r="AA2043" s="1"/>
      <c r="AB2043" s="1"/>
      <c r="AC2043" s="1"/>
      <c r="AD2043" s="1">
        <f>IF($C2043="",0,SUMPRODUCT((AY_SONU!$O$7:$O$42="Evet")*(AY_SONU!$B$7:$B$42=DATE(YEAR($C2043),MONTH($C2043),1))))</f>
        <v>0</v>
      </c>
      <c r="AE2043" s="1" t="str">
        <f>IF($E2043="","",$E2043&amp;"|"&amp;COUNTIFS($E$7:$E2043,$E2043))</f>
        <v/>
      </c>
    </row>
    <row r="2044" spans="1:31" ht="18" customHeight="1" x14ac:dyDescent="0.3">
      <c r="A2044" s="2"/>
      <c r="B2044" s="65" t="str">
        <f>IF($C2044="","","GG"&amp;TEXT(ROW()-6,"00000"))</f>
        <v/>
      </c>
      <c r="C2044" s="66"/>
      <c r="D2044" s="60"/>
      <c r="E2044" s="61"/>
      <c r="F2044" s="61"/>
      <c r="G2044" s="67"/>
      <c r="H2044" s="60"/>
      <c r="I2044" s="60"/>
      <c r="J2044" s="61"/>
      <c r="K2044" s="61"/>
      <c r="L2044" s="60"/>
      <c r="M2044" s="74" t="str">
        <f>IF($C2044="","",IF($D2044="Gider",$E2044,IF($L2044&lt;&gt;"",$L2044,$H2044)))</f>
        <v/>
      </c>
      <c r="N2044" s="74" t="str">
        <f>IF($C2044="","",IF($D2044="Gider",$H2044,$E2044))</f>
        <v/>
      </c>
      <c r="O2044" s="73" t="str">
        <f>IF($C2044="","",DATE(YEAR($C2044),MONTH($C2044),1))</f>
        <v/>
      </c>
      <c r="P2044" s="65" t="str">
        <f ca="1">IF($C2044="","",IF(AND($D2044="Gelir",$L2044&lt;&gt;"",$T2044=""),"TANIMSIZ BORÇLU",IF($T2044&lt;&gt;"",IF(OR($E2044="",$G2044&lt;=0),"EKSİK",IF($I2044="Evet","TAHAKKUK NAKİT OLAMAZ",IF($C2044&gt;TODAY(),"İLERİ TARİH","TAHAKKUK"))),IF(AND($D2044&lt;&gt;"",$E2044&lt;&gt;"",$G2044&gt;0,$H2044&lt;&gt;"",$I2044&lt;&gt;""),IF($C2044&gt;TODAY(),"İLERİ TARİH",IF(COUNTIF($W$7:$W$3001,$W2044)&gt;1,"MÜKERRER?",IF($AD2044&gt;0,"KAPALI DÖNEM",IF($I2044="Hayır","ÖDENECEK","UYGUN")))),"EKSİK"))))</f>
        <v/>
      </c>
      <c r="Q2044" s="2"/>
      <c r="R2044" s="2"/>
      <c r="S2044" s="1" t="str">
        <f t="shared" si="95"/>
        <v/>
      </c>
      <c r="T2044" s="1" t="str">
        <f>IF(OR($C2044="",$D2044&lt;&gt;"Gelir",$L2044=""),"",IFERROR(INDEX(MUSTERILER!$B$7:$B$156,MATCH($S2044,MUSTERILER!$T$7:$T$156,0)),""))</f>
        <v/>
      </c>
      <c r="U2044" s="1" t="str">
        <f>IF($T2044="","",$T2044&amp;"|"&amp;COUNTIFS($T$7:$T2044,$T2044))</f>
        <v/>
      </c>
      <c r="V2044" s="1">
        <f t="shared" si="96"/>
        <v>0</v>
      </c>
      <c r="W2044" s="1" t="str">
        <f t="shared" si="97"/>
        <v/>
      </c>
      <c r="X2044" s="1"/>
      <c r="Y2044" s="1"/>
      <c r="Z2044" s="1"/>
      <c r="AA2044" s="1"/>
      <c r="AB2044" s="1"/>
      <c r="AC2044" s="1"/>
      <c r="AD2044" s="1">
        <f>IF($C2044="",0,SUMPRODUCT((AY_SONU!$O$7:$O$42="Evet")*(AY_SONU!$B$7:$B$42=DATE(YEAR($C2044),MONTH($C2044),1))))</f>
        <v>0</v>
      </c>
      <c r="AE2044" s="1" t="str">
        <f>IF($E2044="","",$E2044&amp;"|"&amp;COUNTIFS($E$7:$E2044,$E2044))</f>
        <v/>
      </c>
    </row>
    <row r="2045" spans="1:31" ht="18" customHeight="1" x14ac:dyDescent="0.3">
      <c r="A2045" s="2"/>
      <c r="B2045" s="65" t="str">
        <f>IF($C2045="","","GG"&amp;TEXT(ROW()-6,"00000"))</f>
        <v/>
      </c>
      <c r="C2045" s="66"/>
      <c r="D2045" s="60"/>
      <c r="E2045" s="61"/>
      <c r="F2045" s="61"/>
      <c r="G2045" s="67"/>
      <c r="H2045" s="60"/>
      <c r="I2045" s="60"/>
      <c r="J2045" s="61"/>
      <c r="K2045" s="61"/>
      <c r="L2045" s="60"/>
      <c r="M2045" s="74" t="str">
        <f>IF($C2045="","",IF($D2045="Gider",$E2045,IF($L2045&lt;&gt;"",$L2045,$H2045)))</f>
        <v/>
      </c>
      <c r="N2045" s="74" t="str">
        <f>IF($C2045="","",IF($D2045="Gider",$H2045,$E2045))</f>
        <v/>
      </c>
      <c r="O2045" s="73" t="str">
        <f>IF($C2045="","",DATE(YEAR($C2045),MONTH($C2045),1))</f>
        <v/>
      </c>
      <c r="P2045" s="65" t="str">
        <f ca="1">IF($C2045="","",IF(AND($D2045="Gelir",$L2045&lt;&gt;"",$T2045=""),"TANIMSIZ BORÇLU",IF($T2045&lt;&gt;"",IF(OR($E2045="",$G2045&lt;=0),"EKSİK",IF($I2045="Evet","TAHAKKUK NAKİT OLAMAZ",IF($C2045&gt;TODAY(),"İLERİ TARİH","TAHAKKUK"))),IF(AND($D2045&lt;&gt;"",$E2045&lt;&gt;"",$G2045&gt;0,$H2045&lt;&gt;"",$I2045&lt;&gt;""),IF($C2045&gt;TODAY(),"İLERİ TARİH",IF(COUNTIF($W$7:$W$3001,$W2045)&gt;1,"MÜKERRER?",IF($AD2045&gt;0,"KAPALI DÖNEM",IF($I2045="Hayır","ÖDENECEK","UYGUN")))),"EKSİK"))))</f>
        <v/>
      </c>
      <c r="Q2045" s="2"/>
      <c r="R2045" s="2"/>
      <c r="S2045" s="1" t="str">
        <f t="shared" si="95"/>
        <v/>
      </c>
      <c r="T2045" s="1" t="str">
        <f>IF(OR($C2045="",$D2045&lt;&gt;"Gelir",$L2045=""),"",IFERROR(INDEX(MUSTERILER!$B$7:$B$156,MATCH($S2045,MUSTERILER!$T$7:$T$156,0)),""))</f>
        <v/>
      </c>
      <c r="U2045" s="1" t="str">
        <f>IF($T2045="","",$T2045&amp;"|"&amp;COUNTIFS($T$7:$T2045,$T2045))</f>
        <v/>
      </c>
      <c r="V2045" s="1">
        <f t="shared" si="96"/>
        <v>0</v>
      </c>
      <c r="W2045" s="1" t="str">
        <f t="shared" si="97"/>
        <v/>
      </c>
      <c r="X2045" s="1"/>
      <c r="Y2045" s="1"/>
      <c r="Z2045" s="1"/>
      <c r="AA2045" s="1"/>
      <c r="AB2045" s="1"/>
      <c r="AC2045" s="1"/>
      <c r="AD2045" s="1">
        <f>IF($C2045="",0,SUMPRODUCT((AY_SONU!$O$7:$O$42="Evet")*(AY_SONU!$B$7:$B$42=DATE(YEAR($C2045),MONTH($C2045),1))))</f>
        <v>0</v>
      </c>
      <c r="AE2045" s="1" t="str">
        <f>IF($E2045="","",$E2045&amp;"|"&amp;COUNTIFS($E$7:$E2045,$E2045))</f>
        <v/>
      </c>
    </row>
    <row r="2046" spans="1:31" ht="18" customHeight="1" x14ac:dyDescent="0.3">
      <c r="A2046" s="2"/>
      <c r="B2046" s="65" t="str">
        <f>IF($C2046="","","GG"&amp;TEXT(ROW()-6,"00000"))</f>
        <v/>
      </c>
      <c r="C2046" s="66"/>
      <c r="D2046" s="60"/>
      <c r="E2046" s="61"/>
      <c r="F2046" s="61"/>
      <c r="G2046" s="67"/>
      <c r="H2046" s="60"/>
      <c r="I2046" s="60"/>
      <c r="J2046" s="61"/>
      <c r="K2046" s="61"/>
      <c r="L2046" s="60"/>
      <c r="M2046" s="74" t="str">
        <f>IF($C2046="","",IF($D2046="Gider",$E2046,IF($L2046&lt;&gt;"",$L2046,$H2046)))</f>
        <v/>
      </c>
      <c r="N2046" s="74" t="str">
        <f>IF($C2046="","",IF($D2046="Gider",$H2046,$E2046))</f>
        <v/>
      </c>
      <c r="O2046" s="73" t="str">
        <f>IF($C2046="","",DATE(YEAR($C2046),MONTH($C2046),1))</f>
        <v/>
      </c>
      <c r="P2046" s="65" t="str">
        <f ca="1">IF($C2046="","",IF(AND($D2046="Gelir",$L2046&lt;&gt;"",$T2046=""),"TANIMSIZ BORÇLU",IF($T2046&lt;&gt;"",IF(OR($E2046="",$G2046&lt;=0),"EKSİK",IF($I2046="Evet","TAHAKKUK NAKİT OLAMAZ",IF($C2046&gt;TODAY(),"İLERİ TARİH","TAHAKKUK"))),IF(AND($D2046&lt;&gt;"",$E2046&lt;&gt;"",$G2046&gt;0,$H2046&lt;&gt;"",$I2046&lt;&gt;""),IF($C2046&gt;TODAY(),"İLERİ TARİH",IF(COUNTIF($W$7:$W$3001,$W2046)&gt;1,"MÜKERRER?",IF($AD2046&gt;0,"KAPALI DÖNEM",IF($I2046="Hayır","ÖDENECEK","UYGUN")))),"EKSİK"))))</f>
        <v/>
      </c>
      <c r="Q2046" s="2"/>
      <c r="R2046" s="2"/>
      <c r="S2046" s="1" t="str">
        <f t="shared" si="95"/>
        <v/>
      </c>
      <c r="T2046" s="1" t="str">
        <f>IF(OR($C2046="",$D2046&lt;&gt;"Gelir",$L2046=""),"",IFERROR(INDEX(MUSTERILER!$B$7:$B$156,MATCH($S2046,MUSTERILER!$T$7:$T$156,0)),""))</f>
        <v/>
      </c>
      <c r="U2046" s="1" t="str">
        <f>IF($T2046="","",$T2046&amp;"|"&amp;COUNTIFS($T$7:$T2046,$T2046))</f>
        <v/>
      </c>
      <c r="V2046" s="1">
        <f t="shared" si="96"/>
        <v>0</v>
      </c>
      <c r="W2046" s="1" t="str">
        <f t="shared" si="97"/>
        <v/>
      </c>
      <c r="X2046" s="1"/>
      <c r="Y2046" s="1"/>
      <c r="Z2046" s="1"/>
      <c r="AA2046" s="1"/>
      <c r="AB2046" s="1"/>
      <c r="AC2046" s="1"/>
      <c r="AD2046" s="1">
        <f>IF($C2046="",0,SUMPRODUCT((AY_SONU!$O$7:$O$42="Evet")*(AY_SONU!$B$7:$B$42=DATE(YEAR($C2046),MONTH($C2046),1))))</f>
        <v>0</v>
      </c>
      <c r="AE2046" s="1" t="str">
        <f>IF($E2046="","",$E2046&amp;"|"&amp;COUNTIFS($E$7:$E2046,$E2046))</f>
        <v/>
      </c>
    </row>
    <row r="2047" spans="1:31" ht="18" customHeight="1" x14ac:dyDescent="0.3">
      <c r="A2047" s="2"/>
      <c r="B2047" s="65" t="str">
        <f>IF($C2047="","","GG"&amp;TEXT(ROW()-6,"00000"))</f>
        <v/>
      </c>
      <c r="C2047" s="66"/>
      <c r="D2047" s="60"/>
      <c r="E2047" s="61"/>
      <c r="F2047" s="61"/>
      <c r="G2047" s="67"/>
      <c r="H2047" s="60"/>
      <c r="I2047" s="60"/>
      <c r="J2047" s="61"/>
      <c r="K2047" s="61"/>
      <c r="L2047" s="60"/>
      <c r="M2047" s="74" t="str">
        <f>IF($C2047="","",IF($D2047="Gider",$E2047,IF($L2047&lt;&gt;"",$L2047,$H2047)))</f>
        <v/>
      </c>
      <c r="N2047" s="74" t="str">
        <f>IF($C2047="","",IF($D2047="Gider",$H2047,$E2047))</f>
        <v/>
      </c>
      <c r="O2047" s="73" t="str">
        <f>IF($C2047="","",DATE(YEAR($C2047),MONTH($C2047),1))</f>
        <v/>
      </c>
      <c r="P2047" s="65" t="str">
        <f ca="1">IF($C2047="","",IF(AND($D2047="Gelir",$L2047&lt;&gt;"",$T2047=""),"TANIMSIZ BORÇLU",IF($T2047&lt;&gt;"",IF(OR($E2047="",$G2047&lt;=0),"EKSİK",IF($I2047="Evet","TAHAKKUK NAKİT OLAMAZ",IF($C2047&gt;TODAY(),"İLERİ TARİH","TAHAKKUK"))),IF(AND($D2047&lt;&gt;"",$E2047&lt;&gt;"",$G2047&gt;0,$H2047&lt;&gt;"",$I2047&lt;&gt;""),IF($C2047&gt;TODAY(),"İLERİ TARİH",IF(COUNTIF($W$7:$W$3001,$W2047)&gt;1,"MÜKERRER?",IF($AD2047&gt;0,"KAPALI DÖNEM",IF($I2047="Hayır","ÖDENECEK","UYGUN")))),"EKSİK"))))</f>
        <v/>
      </c>
      <c r="Q2047" s="2"/>
      <c r="R2047" s="2"/>
      <c r="S2047" s="1" t="str">
        <f t="shared" si="95"/>
        <v/>
      </c>
      <c r="T2047" s="1" t="str">
        <f>IF(OR($C2047="",$D2047&lt;&gt;"Gelir",$L2047=""),"",IFERROR(INDEX(MUSTERILER!$B$7:$B$156,MATCH($S2047,MUSTERILER!$T$7:$T$156,0)),""))</f>
        <v/>
      </c>
      <c r="U2047" s="1" t="str">
        <f>IF($T2047="","",$T2047&amp;"|"&amp;COUNTIFS($T$7:$T2047,$T2047))</f>
        <v/>
      </c>
      <c r="V2047" s="1">
        <f t="shared" si="96"/>
        <v>0</v>
      </c>
      <c r="W2047" s="1" t="str">
        <f t="shared" si="97"/>
        <v/>
      </c>
      <c r="X2047" s="1"/>
      <c r="Y2047" s="1"/>
      <c r="Z2047" s="1"/>
      <c r="AA2047" s="1"/>
      <c r="AB2047" s="1"/>
      <c r="AC2047" s="1"/>
      <c r="AD2047" s="1">
        <f>IF($C2047="",0,SUMPRODUCT((AY_SONU!$O$7:$O$42="Evet")*(AY_SONU!$B$7:$B$42=DATE(YEAR($C2047),MONTH($C2047),1))))</f>
        <v>0</v>
      </c>
      <c r="AE2047" s="1" t="str">
        <f>IF($E2047="","",$E2047&amp;"|"&amp;COUNTIFS($E$7:$E2047,$E2047))</f>
        <v/>
      </c>
    </row>
    <row r="2048" spans="1:31" ht="18" customHeight="1" x14ac:dyDescent="0.3">
      <c r="A2048" s="2"/>
      <c r="B2048" s="65" t="str">
        <f>IF($C2048="","","GG"&amp;TEXT(ROW()-6,"00000"))</f>
        <v/>
      </c>
      <c r="C2048" s="66"/>
      <c r="D2048" s="60"/>
      <c r="E2048" s="61"/>
      <c r="F2048" s="61"/>
      <c r="G2048" s="67"/>
      <c r="H2048" s="60"/>
      <c r="I2048" s="60"/>
      <c r="J2048" s="61"/>
      <c r="K2048" s="61"/>
      <c r="L2048" s="60"/>
      <c r="M2048" s="74" t="str">
        <f>IF($C2048="","",IF($D2048="Gider",$E2048,IF($L2048&lt;&gt;"",$L2048,$H2048)))</f>
        <v/>
      </c>
      <c r="N2048" s="74" t="str">
        <f>IF($C2048="","",IF($D2048="Gider",$H2048,$E2048))</f>
        <v/>
      </c>
      <c r="O2048" s="73" t="str">
        <f>IF($C2048="","",DATE(YEAR($C2048),MONTH($C2048),1))</f>
        <v/>
      </c>
      <c r="P2048" s="65" t="str">
        <f ca="1">IF($C2048="","",IF(AND($D2048="Gelir",$L2048&lt;&gt;"",$T2048=""),"TANIMSIZ BORÇLU",IF($T2048&lt;&gt;"",IF(OR($E2048="",$G2048&lt;=0),"EKSİK",IF($I2048="Evet","TAHAKKUK NAKİT OLAMAZ",IF($C2048&gt;TODAY(),"İLERİ TARİH","TAHAKKUK"))),IF(AND($D2048&lt;&gt;"",$E2048&lt;&gt;"",$G2048&gt;0,$H2048&lt;&gt;"",$I2048&lt;&gt;""),IF($C2048&gt;TODAY(),"İLERİ TARİH",IF(COUNTIF($W$7:$W$3001,$W2048)&gt;1,"MÜKERRER?",IF($AD2048&gt;0,"KAPALI DÖNEM",IF($I2048="Hayır","ÖDENECEK","UYGUN")))),"EKSİK"))))</f>
        <v/>
      </c>
      <c r="Q2048" s="2"/>
      <c r="R2048" s="2"/>
      <c r="S2048" s="1" t="str">
        <f t="shared" si="95"/>
        <v/>
      </c>
      <c r="T2048" s="1" t="str">
        <f>IF(OR($C2048="",$D2048&lt;&gt;"Gelir",$L2048=""),"",IFERROR(INDEX(MUSTERILER!$B$7:$B$156,MATCH($S2048,MUSTERILER!$T$7:$T$156,0)),""))</f>
        <v/>
      </c>
      <c r="U2048" s="1" t="str">
        <f>IF($T2048="","",$T2048&amp;"|"&amp;COUNTIFS($T$7:$T2048,$T2048))</f>
        <v/>
      </c>
      <c r="V2048" s="1">
        <f t="shared" si="96"/>
        <v>0</v>
      </c>
      <c r="W2048" s="1" t="str">
        <f t="shared" si="97"/>
        <v/>
      </c>
      <c r="X2048" s="1"/>
      <c r="Y2048" s="1"/>
      <c r="Z2048" s="1"/>
      <c r="AA2048" s="1"/>
      <c r="AB2048" s="1"/>
      <c r="AC2048" s="1"/>
      <c r="AD2048" s="1">
        <f>IF($C2048="",0,SUMPRODUCT((AY_SONU!$O$7:$O$42="Evet")*(AY_SONU!$B$7:$B$42=DATE(YEAR($C2048),MONTH($C2048),1))))</f>
        <v>0</v>
      </c>
      <c r="AE2048" s="1" t="str">
        <f>IF($E2048="","",$E2048&amp;"|"&amp;COUNTIFS($E$7:$E2048,$E2048))</f>
        <v/>
      </c>
    </row>
    <row r="2049" spans="1:31" ht="18" customHeight="1" x14ac:dyDescent="0.3">
      <c r="A2049" s="2"/>
      <c r="B2049" s="65" t="str">
        <f>IF($C2049="","","GG"&amp;TEXT(ROW()-6,"00000"))</f>
        <v/>
      </c>
      <c r="C2049" s="66"/>
      <c r="D2049" s="60"/>
      <c r="E2049" s="61"/>
      <c r="F2049" s="61"/>
      <c r="G2049" s="67"/>
      <c r="H2049" s="60"/>
      <c r="I2049" s="60"/>
      <c r="J2049" s="61"/>
      <c r="K2049" s="61"/>
      <c r="L2049" s="60"/>
      <c r="M2049" s="74" t="str">
        <f>IF($C2049="","",IF($D2049="Gider",$E2049,IF($L2049&lt;&gt;"",$L2049,$H2049)))</f>
        <v/>
      </c>
      <c r="N2049" s="74" t="str">
        <f>IF($C2049="","",IF($D2049="Gider",$H2049,$E2049))</f>
        <v/>
      </c>
      <c r="O2049" s="73" t="str">
        <f>IF($C2049="","",DATE(YEAR($C2049),MONTH($C2049),1))</f>
        <v/>
      </c>
      <c r="P2049" s="65" t="str">
        <f ca="1">IF($C2049="","",IF(AND($D2049="Gelir",$L2049&lt;&gt;"",$T2049=""),"TANIMSIZ BORÇLU",IF($T2049&lt;&gt;"",IF(OR($E2049="",$G2049&lt;=0),"EKSİK",IF($I2049="Evet","TAHAKKUK NAKİT OLAMAZ",IF($C2049&gt;TODAY(),"İLERİ TARİH","TAHAKKUK"))),IF(AND($D2049&lt;&gt;"",$E2049&lt;&gt;"",$G2049&gt;0,$H2049&lt;&gt;"",$I2049&lt;&gt;""),IF($C2049&gt;TODAY(),"İLERİ TARİH",IF(COUNTIF($W$7:$W$3001,$W2049)&gt;1,"MÜKERRER?",IF($AD2049&gt;0,"KAPALI DÖNEM",IF($I2049="Hayır","ÖDENECEK","UYGUN")))),"EKSİK"))))</f>
        <v/>
      </c>
      <c r="Q2049" s="2"/>
      <c r="R2049" s="2"/>
      <c r="S2049" s="1" t="str">
        <f t="shared" si="95"/>
        <v/>
      </c>
      <c r="T2049" s="1" t="str">
        <f>IF(OR($C2049="",$D2049&lt;&gt;"Gelir",$L2049=""),"",IFERROR(INDEX(MUSTERILER!$B$7:$B$156,MATCH($S2049,MUSTERILER!$T$7:$T$156,0)),""))</f>
        <v/>
      </c>
      <c r="U2049" s="1" t="str">
        <f>IF($T2049="","",$T2049&amp;"|"&amp;COUNTIFS($T$7:$T2049,$T2049))</f>
        <v/>
      </c>
      <c r="V2049" s="1">
        <f t="shared" si="96"/>
        <v>0</v>
      </c>
      <c r="W2049" s="1" t="str">
        <f t="shared" si="97"/>
        <v/>
      </c>
      <c r="X2049" s="1"/>
      <c r="Y2049" s="1"/>
      <c r="Z2049" s="1"/>
      <c r="AA2049" s="1"/>
      <c r="AB2049" s="1"/>
      <c r="AC2049" s="1"/>
      <c r="AD2049" s="1">
        <f>IF($C2049="",0,SUMPRODUCT((AY_SONU!$O$7:$O$42="Evet")*(AY_SONU!$B$7:$B$42=DATE(YEAR($C2049),MONTH($C2049),1))))</f>
        <v>0</v>
      </c>
      <c r="AE2049" s="1" t="str">
        <f>IF($E2049="","",$E2049&amp;"|"&amp;COUNTIFS($E$7:$E2049,$E2049))</f>
        <v/>
      </c>
    </row>
    <row r="2050" spans="1:31" ht="18" customHeight="1" x14ac:dyDescent="0.3">
      <c r="A2050" s="2"/>
      <c r="B2050" s="65" t="str">
        <f>IF($C2050="","","GG"&amp;TEXT(ROW()-6,"00000"))</f>
        <v/>
      </c>
      <c r="C2050" s="66"/>
      <c r="D2050" s="60"/>
      <c r="E2050" s="61"/>
      <c r="F2050" s="61"/>
      <c r="G2050" s="67"/>
      <c r="H2050" s="60"/>
      <c r="I2050" s="60"/>
      <c r="J2050" s="61"/>
      <c r="K2050" s="61"/>
      <c r="L2050" s="60"/>
      <c r="M2050" s="74" t="str">
        <f>IF($C2050="","",IF($D2050="Gider",$E2050,IF($L2050&lt;&gt;"",$L2050,$H2050)))</f>
        <v/>
      </c>
      <c r="N2050" s="74" t="str">
        <f>IF($C2050="","",IF($D2050="Gider",$H2050,$E2050))</f>
        <v/>
      </c>
      <c r="O2050" s="73" t="str">
        <f>IF($C2050="","",DATE(YEAR($C2050),MONTH($C2050),1))</f>
        <v/>
      </c>
      <c r="P2050" s="65" t="str">
        <f ca="1">IF($C2050="","",IF(AND($D2050="Gelir",$L2050&lt;&gt;"",$T2050=""),"TANIMSIZ BORÇLU",IF($T2050&lt;&gt;"",IF(OR($E2050="",$G2050&lt;=0),"EKSİK",IF($I2050="Evet","TAHAKKUK NAKİT OLAMAZ",IF($C2050&gt;TODAY(),"İLERİ TARİH","TAHAKKUK"))),IF(AND($D2050&lt;&gt;"",$E2050&lt;&gt;"",$G2050&gt;0,$H2050&lt;&gt;"",$I2050&lt;&gt;""),IF($C2050&gt;TODAY(),"İLERİ TARİH",IF(COUNTIF($W$7:$W$3001,$W2050)&gt;1,"MÜKERRER?",IF($AD2050&gt;0,"KAPALI DÖNEM",IF($I2050="Hayır","ÖDENECEK","UYGUN")))),"EKSİK"))))</f>
        <v/>
      </c>
      <c r="Q2050" s="2"/>
      <c r="R2050" s="2"/>
      <c r="S2050" s="1" t="str">
        <f t="shared" si="95"/>
        <v/>
      </c>
      <c r="T2050" s="1" t="str">
        <f>IF(OR($C2050="",$D2050&lt;&gt;"Gelir",$L2050=""),"",IFERROR(INDEX(MUSTERILER!$B$7:$B$156,MATCH($S2050,MUSTERILER!$T$7:$T$156,0)),""))</f>
        <v/>
      </c>
      <c r="U2050" s="1" t="str">
        <f>IF($T2050="","",$T2050&amp;"|"&amp;COUNTIFS($T$7:$T2050,$T2050))</f>
        <v/>
      </c>
      <c r="V2050" s="1">
        <f t="shared" si="96"/>
        <v>0</v>
      </c>
      <c r="W2050" s="1" t="str">
        <f t="shared" si="97"/>
        <v/>
      </c>
      <c r="X2050" s="1"/>
      <c r="Y2050" s="1"/>
      <c r="Z2050" s="1"/>
      <c r="AA2050" s="1"/>
      <c r="AB2050" s="1"/>
      <c r="AC2050" s="1"/>
      <c r="AD2050" s="1">
        <f>IF($C2050="",0,SUMPRODUCT((AY_SONU!$O$7:$O$42="Evet")*(AY_SONU!$B$7:$B$42=DATE(YEAR($C2050),MONTH($C2050),1))))</f>
        <v>0</v>
      </c>
      <c r="AE2050" s="1" t="str">
        <f>IF($E2050="","",$E2050&amp;"|"&amp;COUNTIFS($E$7:$E2050,$E2050))</f>
        <v/>
      </c>
    </row>
    <row r="2051" spans="1:31" ht="18" customHeight="1" x14ac:dyDescent="0.3">
      <c r="A2051" s="2"/>
      <c r="B2051" s="65" t="str">
        <f>IF($C2051="","","GG"&amp;TEXT(ROW()-6,"00000"))</f>
        <v/>
      </c>
      <c r="C2051" s="66"/>
      <c r="D2051" s="60"/>
      <c r="E2051" s="61"/>
      <c r="F2051" s="61"/>
      <c r="G2051" s="67"/>
      <c r="H2051" s="60"/>
      <c r="I2051" s="60"/>
      <c r="J2051" s="61"/>
      <c r="K2051" s="61"/>
      <c r="L2051" s="60"/>
      <c r="M2051" s="74" t="str">
        <f>IF($C2051="","",IF($D2051="Gider",$E2051,IF($L2051&lt;&gt;"",$L2051,$H2051)))</f>
        <v/>
      </c>
      <c r="N2051" s="74" t="str">
        <f>IF($C2051="","",IF($D2051="Gider",$H2051,$E2051))</f>
        <v/>
      </c>
      <c r="O2051" s="73" t="str">
        <f>IF($C2051="","",DATE(YEAR($C2051),MONTH($C2051),1))</f>
        <v/>
      </c>
      <c r="P2051" s="65" t="str">
        <f ca="1">IF($C2051="","",IF(AND($D2051="Gelir",$L2051&lt;&gt;"",$T2051=""),"TANIMSIZ BORÇLU",IF($T2051&lt;&gt;"",IF(OR($E2051="",$G2051&lt;=0),"EKSİK",IF($I2051="Evet","TAHAKKUK NAKİT OLAMAZ",IF($C2051&gt;TODAY(),"İLERİ TARİH","TAHAKKUK"))),IF(AND($D2051&lt;&gt;"",$E2051&lt;&gt;"",$G2051&gt;0,$H2051&lt;&gt;"",$I2051&lt;&gt;""),IF($C2051&gt;TODAY(),"İLERİ TARİH",IF(COUNTIF($W$7:$W$3001,$W2051)&gt;1,"MÜKERRER?",IF($AD2051&gt;0,"KAPALI DÖNEM",IF($I2051="Hayır","ÖDENECEK","UYGUN")))),"EKSİK"))))</f>
        <v/>
      </c>
      <c r="Q2051" s="2"/>
      <c r="R2051" s="2"/>
      <c r="S2051" s="1" t="str">
        <f t="shared" si="95"/>
        <v/>
      </c>
      <c r="T2051" s="1" t="str">
        <f>IF(OR($C2051="",$D2051&lt;&gt;"Gelir",$L2051=""),"",IFERROR(INDEX(MUSTERILER!$B$7:$B$156,MATCH($S2051,MUSTERILER!$T$7:$T$156,0)),""))</f>
        <v/>
      </c>
      <c r="U2051" s="1" t="str">
        <f>IF($T2051="","",$T2051&amp;"|"&amp;COUNTIFS($T$7:$T2051,$T2051))</f>
        <v/>
      </c>
      <c r="V2051" s="1">
        <f t="shared" si="96"/>
        <v>0</v>
      </c>
      <c r="W2051" s="1" t="str">
        <f t="shared" si="97"/>
        <v/>
      </c>
      <c r="X2051" s="1"/>
      <c r="Y2051" s="1"/>
      <c r="Z2051" s="1"/>
      <c r="AA2051" s="1"/>
      <c r="AB2051" s="1"/>
      <c r="AC2051" s="1"/>
      <c r="AD2051" s="1">
        <f>IF($C2051="",0,SUMPRODUCT((AY_SONU!$O$7:$O$42="Evet")*(AY_SONU!$B$7:$B$42=DATE(YEAR($C2051),MONTH($C2051),1))))</f>
        <v>0</v>
      </c>
      <c r="AE2051" s="1" t="str">
        <f>IF($E2051="","",$E2051&amp;"|"&amp;COUNTIFS($E$7:$E2051,$E2051))</f>
        <v/>
      </c>
    </row>
    <row r="2052" spans="1:31" ht="18" customHeight="1" x14ac:dyDescent="0.3">
      <c r="A2052" s="2"/>
      <c r="B2052" s="65" t="str">
        <f>IF($C2052="","","GG"&amp;TEXT(ROW()-6,"00000"))</f>
        <v/>
      </c>
      <c r="C2052" s="66"/>
      <c r="D2052" s="60"/>
      <c r="E2052" s="61"/>
      <c r="F2052" s="61"/>
      <c r="G2052" s="67"/>
      <c r="H2052" s="60"/>
      <c r="I2052" s="60"/>
      <c r="J2052" s="61"/>
      <c r="K2052" s="61"/>
      <c r="L2052" s="60"/>
      <c r="M2052" s="74" t="str">
        <f>IF($C2052="","",IF($D2052="Gider",$E2052,IF($L2052&lt;&gt;"",$L2052,$H2052)))</f>
        <v/>
      </c>
      <c r="N2052" s="74" t="str">
        <f>IF($C2052="","",IF($D2052="Gider",$H2052,$E2052))</f>
        <v/>
      </c>
      <c r="O2052" s="73" t="str">
        <f>IF($C2052="","",DATE(YEAR($C2052),MONTH($C2052),1))</f>
        <v/>
      </c>
      <c r="P2052" s="65" t="str">
        <f ca="1">IF($C2052="","",IF(AND($D2052="Gelir",$L2052&lt;&gt;"",$T2052=""),"TANIMSIZ BORÇLU",IF($T2052&lt;&gt;"",IF(OR($E2052="",$G2052&lt;=0),"EKSİK",IF($I2052="Evet","TAHAKKUK NAKİT OLAMAZ",IF($C2052&gt;TODAY(),"İLERİ TARİH","TAHAKKUK"))),IF(AND($D2052&lt;&gt;"",$E2052&lt;&gt;"",$G2052&gt;0,$H2052&lt;&gt;"",$I2052&lt;&gt;""),IF($C2052&gt;TODAY(),"İLERİ TARİH",IF(COUNTIF($W$7:$W$3001,$W2052)&gt;1,"MÜKERRER?",IF($AD2052&gt;0,"KAPALI DÖNEM",IF($I2052="Hayır","ÖDENECEK","UYGUN")))),"EKSİK"))))</f>
        <v/>
      </c>
      <c r="Q2052" s="2"/>
      <c r="R2052" s="2"/>
      <c r="S2052" s="1" t="str">
        <f t="shared" si="95"/>
        <v/>
      </c>
      <c r="T2052" s="1" t="str">
        <f>IF(OR($C2052="",$D2052&lt;&gt;"Gelir",$L2052=""),"",IFERROR(INDEX(MUSTERILER!$B$7:$B$156,MATCH($S2052,MUSTERILER!$T$7:$T$156,0)),""))</f>
        <v/>
      </c>
      <c r="U2052" s="1" t="str">
        <f>IF($T2052="","",$T2052&amp;"|"&amp;COUNTIFS($T$7:$T2052,$T2052))</f>
        <v/>
      </c>
      <c r="V2052" s="1">
        <f t="shared" si="96"/>
        <v>0</v>
      </c>
      <c r="W2052" s="1" t="str">
        <f t="shared" si="97"/>
        <v/>
      </c>
      <c r="X2052" s="1"/>
      <c r="Y2052" s="1"/>
      <c r="Z2052" s="1"/>
      <c r="AA2052" s="1"/>
      <c r="AB2052" s="1"/>
      <c r="AC2052" s="1"/>
      <c r="AD2052" s="1">
        <f>IF($C2052="",0,SUMPRODUCT((AY_SONU!$O$7:$O$42="Evet")*(AY_SONU!$B$7:$B$42=DATE(YEAR($C2052),MONTH($C2052),1))))</f>
        <v>0</v>
      </c>
      <c r="AE2052" s="1" t="str">
        <f>IF($E2052="","",$E2052&amp;"|"&amp;COUNTIFS($E$7:$E2052,$E2052))</f>
        <v/>
      </c>
    </row>
    <row r="2053" spans="1:31" ht="18" customHeight="1" x14ac:dyDescent="0.3">
      <c r="A2053" s="2"/>
      <c r="B2053" s="65" t="str">
        <f>IF($C2053="","","GG"&amp;TEXT(ROW()-6,"00000"))</f>
        <v/>
      </c>
      <c r="C2053" s="66"/>
      <c r="D2053" s="60"/>
      <c r="E2053" s="61"/>
      <c r="F2053" s="61"/>
      <c r="G2053" s="67"/>
      <c r="H2053" s="60"/>
      <c r="I2053" s="60"/>
      <c r="J2053" s="61"/>
      <c r="K2053" s="61"/>
      <c r="L2053" s="60"/>
      <c r="M2053" s="74" t="str">
        <f>IF($C2053="","",IF($D2053="Gider",$E2053,IF($L2053&lt;&gt;"",$L2053,$H2053)))</f>
        <v/>
      </c>
      <c r="N2053" s="74" t="str">
        <f>IF($C2053="","",IF($D2053="Gider",$H2053,$E2053))</f>
        <v/>
      </c>
      <c r="O2053" s="73" t="str">
        <f>IF($C2053="","",DATE(YEAR($C2053),MONTH($C2053),1))</f>
        <v/>
      </c>
      <c r="P2053" s="65" t="str">
        <f ca="1">IF($C2053="","",IF(AND($D2053="Gelir",$L2053&lt;&gt;"",$T2053=""),"TANIMSIZ BORÇLU",IF($T2053&lt;&gt;"",IF(OR($E2053="",$G2053&lt;=0),"EKSİK",IF($I2053="Evet","TAHAKKUK NAKİT OLAMAZ",IF($C2053&gt;TODAY(),"İLERİ TARİH","TAHAKKUK"))),IF(AND($D2053&lt;&gt;"",$E2053&lt;&gt;"",$G2053&gt;0,$H2053&lt;&gt;"",$I2053&lt;&gt;""),IF($C2053&gt;TODAY(),"İLERİ TARİH",IF(COUNTIF($W$7:$W$3001,$W2053)&gt;1,"MÜKERRER?",IF($AD2053&gt;0,"KAPALI DÖNEM",IF($I2053="Hayır","ÖDENECEK","UYGUN")))),"EKSİK"))))</f>
        <v/>
      </c>
      <c r="Q2053" s="2"/>
      <c r="R2053" s="2"/>
      <c r="S2053" s="1" t="str">
        <f t="shared" ref="S2053:S2116" si="98">IF($L2053="","",UPPER(SUBSTITUTE(SUBSTITUTE(SUBSTITUTE(SUBSTITUTE(SUBSTITUTE(SUBSTITUTE(SUBSTITUTE(SUBSTITUTE(SUBSTITUTE(SUBSTITUTE(SUBSTITUTE(SUBSTITUTE(SUBSTITUTE(SUBSTITUTE(SUBSTITUTE(SUBSTITUTE(SUBSTITUTE(SUBSTITUTE(TRIM($L2053),"'",""),"İ","I"),"ı","I"),"i","I"),"Ş","S"),"ş","S"),"Ğ","G"),"ğ","G"),"Ü","U"),"ü","U"),"Ö","O"),"ö","O"),"Ç","C"),"ç","C"),".",""),",","")," ",""),"-","")))</f>
        <v/>
      </c>
      <c r="T2053" s="1" t="str">
        <f>IF(OR($C2053="",$D2053&lt;&gt;"Gelir",$L2053=""),"",IFERROR(INDEX(MUSTERILER!$B$7:$B$156,MATCH($S2053,MUSTERILER!$T$7:$T$156,0)),""))</f>
        <v/>
      </c>
      <c r="U2053" s="1" t="str">
        <f>IF($T2053="","",$T2053&amp;"|"&amp;COUNTIFS($T$7:$T2053,$T2053))</f>
        <v/>
      </c>
      <c r="V2053" s="1">
        <f t="shared" ref="V2053:V2116" si="99">IF($T2053="",0,1)</f>
        <v>0</v>
      </c>
      <c r="W2053" s="1" t="str">
        <f t="shared" ref="W2053:W2116" si="100">IF($C2053="","",$D2053&amp;"|"&amp;$E2053&amp;"|"&amp;TEXT($C2053,"0")&amp;"|"&amp;TEXT($G2053,"0")&amp;"|"&amp;$F2053&amp;"|"&amp;$J2053)</f>
        <v/>
      </c>
      <c r="X2053" s="1"/>
      <c r="Y2053" s="1"/>
      <c r="Z2053" s="1"/>
      <c r="AA2053" s="1"/>
      <c r="AB2053" s="1"/>
      <c r="AC2053" s="1"/>
      <c r="AD2053" s="1">
        <f>IF($C2053="",0,SUMPRODUCT((AY_SONU!$O$7:$O$42="Evet")*(AY_SONU!$B$7:$B$42=DATE(YEAR($C2053),MONTH($C2053),1))))</f>
        <v>0</v>
      </c>
      <c r="AE2053" s="1" t="str">
        <f>IF($E2053="","",$E2053&amp;"|"&amp;COUNTIFS($E$7:$E2053,$E2053))</f>
        <v/>
      </c>
    </row>
    <row r="2054" spans="1:31" ht="18" customHeight="1" x14ac:dyDescent="0.3">
      <c r="A2054" s="2"/>
      <c r="B2054" s="65" t="str">
        <f>IF($C2054="","","GG"&amp;TEXT(ROW()-6,"00000"))</f>
        <v/>
      </c>
      <c r="C2054" s="66"/>
      <c r="D2054" s="60"/>
      <c r="E2054" s="61"/>
      <c r="F2054" s="61"/>
      <c r="G2054" s="67"/>
      <c r="H2054" s="60"/>
      <c r="I2054" s="60"/>
      <c r="J2054" s="61"/>
      <c r="K2054" s="61"/>
      <c r="L2054" s="60"/>
      <c r="M2054" s="74" t="str">
        <f>IF($C2054="","",IF($D2054="Gider",$E2054,IF($L2054&lt;&gt;"",$L2054,$H2054)))</f>
        <v/>
      </c>
      <c r="N2054" s="74" t="str">
        <f>IF($C2054="","",IF($D2054="Gider",$H2054,$E2054))</f>
        <v/>
      </c>
      <c r="O2054" s="73" t="str">
        <f>IF($C2054="","",DATE(YEAR($C2054),MONTH($C2054),1))</f>
        <v/>
      </c>
      <c r="P2054" s="65" t="str">
        <f ca="1">IF($C2054="","",IF(AND($D2054="Gelir",$L2054&lt;&gt;"",$T2054=""),"TANIMSIZ BORÇLU",IF($T2054&lt;&gt;"",IF(OR($E2054="",$G2054&lt;=0),"EKSİK",IF($I2054="Evet","TAHAKKUK NAKİT OLAMAZ",IF($C2054&gt;TODAY(),"İLERİ TARİH","TAHAKKUK"))),IF(AND($D2054&lt;&gt;"",$E2054&lt;&gt;"",$G2054&gt;0,$H2054&lt;&gt;"",$I2054&lt;&gt;""),IF($C2054&gt;TODAY(),"İLERİ TARİH",IF(COUNTIF($W$7:$W$3001,$W2054)&gt;1,"MÜKERRER?",IF($AD2054&gt;0,"KAPALI DÖNEM",IF($I2054="Hayır","ÖDENECEK","UYGUN")))),"EKSİK"))))</f>
        <v/>
      </c>
      <c r="Q2054" s="2"/>
      <c r="R2054" s="2"/>
      <c r="S2054" s="1" t="str">
        <f t="shared" si="98"/>
        <v/>
      </c>
      <c r="T2054" s="1" t="str">
        <f>IF(OR($C2054="",$D2054&lt;&gt;"Gelir",$L2054=""),"",IFERROR(INDEX(MUSTERILER!$B$7:$B$156,MATCH($S2054,MUSTERILER!$T$7:$T$156,0)),""))</f>
        <v/>
      </c>
      <c r="U2054" s="1" t="str">
        <f>IF($T2054="","",$T2054&amp;"|"&amp;COUNTIFS($T$7:$T2054,$T2054))</f>
        <v/>
      </c>
      <c r="V2054" s="1">
        <f t="shared" si="99"/>
        <v>0</v>
      </c>
      <c r="W2054" s="1" t="str">
        <f t="shared" si="100"/>
        <v/>
      </c>
      <c r="X2054" s="1"/>
      <c r="Y2054" s="1"/>
      <c r="Z2054" s="1"/>
      <c r="AA2054" s="1"/>
      <c r="AB2054" s="1"/>
      <c r="AC2054" s="1"/>
      <c r="AD2054" s="1">
        <f>IF($C2054="",0,SUMPRODUCT((AY_SONU!$O$7:$O$42="Evet")*(AY_SONU!$B$7:$B$42=DATE(YEAR($C2054),MONTH($C2054),1))))</f>
        <v>0</v>
      </c>
      <c r="AE2054" s="1" t="str">
        <f>IF($E2054="","",$E2054&amp;"|"&amp;COUNTIFS($E$7:$E2054,$E2054))</f>
        <v/>
      </c>
    </row>
    <row r="2055" spans="1:31" ht="18" customHeight="1" x14ac:dyDescent="0.3">
      <c r="A2055" s="2"/>
      <c r="B2055" s="65" t="str">
        <f>IF($C2055="","","GG"&amp;TEXT(ROW()-6,"00000"))</f>
        <v/>
      </c>
      <c r="C2055" s="66"/>
      <c r="D2055" s="60"/>
      <c r="E2055" s="61"/>
      <c r="F2055" s="61"/>
      <c r="G2055" s="67"/>
      <c r="H2055" s="60"/>
      <c r="I2055" s="60"/>
      <c r="J2055" s="61"/>
      <c r="K2055" s="61"/>
      <c r="L2055" s="60"/>
      <c r="M2055" s="74" t="str">
        <f>IF($C2055="","",IF($D2055="Gider",$E2055,IF($L2055&lt;&gt;"",$L2055,$H2055)))</f>
        <v/>
      </c>
      <c r="N2055" s="74" t="str">
        <f>IF($C2055="","",IF($D2055="Gider",$H2055,$E2055))</f>
        <v/>
      </c>
      <c r="O2055" s="73" t="str">
        <f>IF($C2055="","",DATE(YEAR($C2055),MONTH($C2055),1))</f>
        <v/>
      </c>
      <c r="P2055" s="65" t="str">
        <f ca="1"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TARİH",IF(COUNTIF($W$7:$W$3001,$W2055)&gt;1,"MÜKERRER?",IF($AD2055&gt;0,"KAPALI DÖNEM",IF($I2055="Hayır","ÖDENECEK","UYGUN")))),"EKSİK"))))</f>
        <v/>
      </c>
      <c r="Q2055" s="2"/>
      <c r="R2055" s="2"/>
      <c r="S2055" s="1" t="str">
        <f t="shared" si="98"/>
        <v/>
      </c>
      <c r="T2055" s="1" t="str">
        <f>IF(OR($C2055="",$D2055&lt;&gt;"Gelir",$L2055=""),"",IFERROR(INDEX(MUSTERILER!$B$7:$B$156,MATCH($S2055,MUSTERILER!$T$7:$T$156,0)),""))</f>
        <v/>
      </c>
      <c r="U2055" s="1" t="str">
        <f>IF($T2055="","",$T2055&amp;"|"&amp;COUNTIFS($T$7:$T2055,$T2055))</f>
        <v/>
      </c>
      <c r="V2055" s="1">
        <f t="shared" si="99"/>
        <v>0</v>
      </c>
      <c r="W2055" s="1" t="str">
        <f t="shared" si="100"/>
        <v/>
      </c>
      <c r="X2055" s="1"/>
      <c r="Y2055" s="1"/>
      <c r="Z2055" s="1"/>
      <c r="AA2055" s="1"/>
      <c r="AB2055" s="1"/>
      <c r="AC2055" s="1"/>
      <c r="AD2055" s="1">
        <f>IF($C2055="",0,SUMPRODUCT((AY_SONU!$O$7:$O$42="Evet")*(AY_SONU!$B$7:$B$42=DATE(YEAR($C2055),MONTH($C2055),1))))</f>
        <v>0</v>
      </c>
      <c r="AE2055" s="1" t="str">
        <f>IF($E2055="","",$E2055&amp;"|"&amp;COUNTIFS($E$7:$E2055,$E2055))</f>
        <v/>
      </c>
    </row>
    <row r="2056" spans="1:31" ht="18" customHeight="1" x14ac:dyDescent="0.3">
      <c r="A2056" s="2"/>
      <c r="B2056" s="65" t="str">
        <f>IF($C2056="","","GG"&amp;TEXT(ROW()-6,"00000"))</f>
        <v/>
      </c>
      <c r="C2056" s="66"/>
      <c r="D2056" s="60"/>
      <c r="E2056" s="61"/>
      <c r="F2056" s="61"/>
      <c r="G2056" s="67"/>
      <c r="H2056" s="60"/>
      <c r="I2056" s="60"/>
      <c r="J2056" s="61"/>
      <c r="K2056" s="61"/>
      <c r="L2056" s="60"/>
      <c r="M2056" s="74" t="str">
        <f>IF($C2056="","",IF($D2056="Gider",$E2056,IF($L2056&lt;&gt;"",$L2056,$H2056)))</f>
        <v/>
      </c>
      <c r="N2056" s="74" t="str">
        <f>IF($C2056="","",IF($D2056="Gider",$H2056,$E2056))</f>
        <v/>
      </c>
      <c r="O2056" s="73" t="str">
        <f>IF($C2056="","",DATE(YEAR($C2056),MONTH($C2056),1))</f>
        <v/>
      </c>
      <c r="P2056" s="65" t="str">
        <f ca="1">IF($C2056="","",IF(AND($D2056="Gelir",$L2056&lt;&gt;"",$T2056=""),"TANIMSIZ BORÇLU",IF($T2056&lt;&gt;"",IF(OR($E2056="",$G2056&lt;=0),"EKSİK",IF($I2056="Evet","TAHAKKUK NAKİT OLAMAZ",IF($C2056&gt;TODAY(),"İLERİ TARİH","TAHAKKUK"))),IF(AND($D2056&lt;&gt;"",$E2056&lt;&gt;"",$G2056&gt;0,$H2056&lt;&gt;"",$I2056&lt;&gt;""),IF($C2056&gt;TODAY(),"İLERİ TARİH",IF(COUNTIF($W$7:$W$3001,$W2056)&gt;1,"MÜKERRER?",IF($AD2056&gt;0,"KAPALI DÖNEM",IF($I2056="Hayır","ÖDENECEK","UYGUN")))),"EKSİK"))))</f>
        <v/>
      </c>
      <c r="Q2056" s="2"/>
      <c r="R2056" s="2"/>
      <c r="S2056" s="1" t="str">
        <f t="shared" si="98"/>
        <v/>
      </c>
      <c r="T2056" s="1" t="str">
        <f>IF(OR($C2056="",$D2056&lt;&gt;"Gelir",$L2056=""),"",IFERROR(INDEX(MUSTERILER!$B$7:$B$156,MATCH($S2056,MUSTERILER!$T$7:$T$156,0)),""))</f>
        <v/>
      </c>
      <c r="U2056" s="1" t="str">
        <f>IF($T2056="","",$T2056&amp;"|"&amp;COUNTIFS($T$7:$T2056,$T2056))</f>
        <v/>
      </c>
      <c r="V2056" s="1">
        <f t="shared" si="99"/>
        <v>0</v>
      </c>
      <c r="W2056" s="1" t="str">
        <f t="shared" si="100"/>
        <v/>
      </c>
      <c r="X2056" s="1"/>
      <c r="Y2056" s="1"/>
      <c r="Z2056" s="1"/>
      <c r="AA2056" s="1"/>
      <c r="AB2056" s="1"/>
      <c r="AC2056" s="1"/>
      <c r="AD2056" s="1">
        <f>IF($C2056="",0,SUMPRODUCT((AY_SONU!$O$7:$O$42="Evet")*(AY_SONU!$B$7:$B$42=DATE(YEAR($C2056),MONTH($C2056),1))))</f>
        <v>0</v>
      </c>
      <c r="AE2056" s="1" t="str">
        <f>IF($E2056="","",$E2056&amp;"|"&amp;COUNTIFS($E$7:$E2056,$E2056))</f>
        <v/>
      </c>
    </row>
    <row r="2057" spans="1:31" ht="18" customHeight="1" x14ac:dyDescent="0.3">
      <c r="A2057" s="2"/>
      <c r="B2057" s="65" t="str">
        <f>IF($C2057="","","GG"&amp;TEXT(ROW()-6,"00000"))</f>
        <v/>
      </c>
      <c r="C2057" s="66"/>
      <c r="D2057" s="60"/>
      <c r="E2057" s="61"/>
      <c r="F2057" s="61"/>
      <c r="G2057" s="67"/>
      <c r="H2057" s="60"/>
      <c r="I2057" s="60"/>
      <c r="J2057" s="61"/>
      <c r="K2057" s="61"/>
      <c r="L2057" s="60"/>
      <c r="M2057" s="74" t="str">
        <f>IF($C2057="","",IF($D2057="Gider",$E2057,IF($L2057&lt;&gt;"",$L2057,$H2057)))</f>
        <v/>
      </c>
      <c r="N2057" s="74" t="str">
        <f>IF($C2057="","",IF($D2057="Gider",$H2057,$E2057))</f>
        <v/>
      </c>
      <c r="O2057" s="73" t="str">
        <f>IF($C2057="","",DATE(YEAR($C2057),MONTH($C2057),1))</f>
        <v/>
      </c>
      <c r="P2057" s="65" t="str">
        <f ca="1">IF($C2057="","",IF(AND($D2057="Gelir",$L2057&lt;&gt;"",$T2057=""),"TANIMSIZ BORÇLU",IF($T2057&lt;&gt;"",IF(OR($E2057="",$G2057&lt;=0),"EKSİK",IF($I2057="Evet","TAHAKKUK NAKİT OLAMAZ",IF($C2057&gt;TODAY(),"İLERİ TARİH","TAHAKKUK"))),IF(AND($D2057&lt;&gt;"",$E2057&lt;&gt;"",$G2057&gt;0,$H2057&lt;&gt;"",$I2057&lt;&gt;""),IF($C2057&gt;TODAY(),"İLERİ TARİH",IF(COUNTIF($W$7:$W$3001,$W2057)&gt;1,"MÜKERRER?",IF($AD2057&gt;0,"KAPALI DÖNEM",IF($I2057="Hayır","ÖDENECEK","UYGUN")))),"EKSİK"))))</f>
        <v/>
      </c>
      <c r="Q2057" s="2"/>
      <c r="R2057" s="2"/>
      <c r="S2057" s="1" t="str">
        <f t="shared" si="98"/>
        <v/>
      </c>
      <c r="T2057" s="1" t="str">
        <f>IF(OR($C2057="",$D2057&lt;&gt;"Gelir",$L2057=""),"",IFERROR(INDEX(MUSTERILER!$B$7:$B$156,MATCH($S2057,MUSTERILER!$T$7:$T$156,0)),""))</f>
        <v/>
      </c>
      <c r="U2057" s="1" t="str">
        <f>IF($T2057="","",$T2057&amp;"|"&amp;COUNTIFS($T$7:$T2057,$T2057))</f>
        <v/>
      </c>
      <c r="V2057" s="1">
        <f t="shared" si="99"/>
        <v>0</v>
      </c>
      <c r="W2057" s="1" t="str">
        <f t="shared" si="100"/>
        <v/>
      </c>
      <c r="X2057" s="1"/>
      <c r="Y2057" s="1"/>
      <c r="Z2057" s="1"/>
      <c r="AA2057" s="1"/>
      <c r="AB2057" s="1"/>
      <c r="AC2057" s="1"/>
      <c r="AD2057" s="1">
        <f>IF($C2057="",0,SUMPRODUCT((AY_SONU!$O$7:$O$42="Evet")*(AY_SONU!$B$7:$B$42=DATE(YEAR($C2057),MONTH($C2057),1))))</f>
        <v>0</v>
      </c>
      <c r="AE2057" s="1" t="str">
        <f>IF($E2057="","",$E2057&amp;"|"&amp;COUNTIFS($E$7:$E2057,$E2057))</f>
        <v/>
      </c>
    </row>
    <row r="2058" spans="1:31" ht="18" customHeight="1" x14ac:dyDescent="0.3">
      <c r="A2058" s="2"/>
      <c r="B2058" s="65" t="str">
        <f>IF($C2058="","","GG"&amp;TEXT(ROW()-6,"00000"))</f>
        <v/>
      </c>
      <c r="C2058" s="66"/>
      <c r="D2058" s="60"/>
      <c r="E2058" s="61"/>
      <c r="F2058" s="61"/>
      <c r="G2058" s="67"/>
      <c r="H2058" s="60"/>
      <c r="I2058" s="60"/>
      <c r="J2058" s="61"/>
      <c r="K2058" s="61"/>
      <c r="L2058" s="60"/>
      <c r="M2058" s="74" t="str">
        <f>IF($C2058="","",IF($D2058="Gider",$E2058,IF($L2058&lt;&gt;"",$L2058,$H2058)))</f>
        <v/>
      </c>
      <c r="N2058" s="74" t="str">
        <f>IF($C2058="","",IF($D2058="Gider",$H2058,$E2058))</f>
        <v/>
      </c>
      <c r="O2058" s="73" t="str">
        <f>IF($C2058="","",DATE(YEAR($C2058),MONTH($C2058),1))</f>
        <v/>
      </c>
      <c r="P2058" s="65" t="str">
        <f ca="1">IF($C2058="","",IF(AND($D2058="Gelir",$L2058&lt;&gt;"",$T2058=""),"TANIMSIZ BORÇLU",IF($T2058&lt;&gt;"",IF(OR($E2058="",$G2058&lt;=0),"EKSİK",IF($I2058="Evet","TAHAKKUK NAKİT OLAMAZ",IF($C2058&gt;TODAY(),"İLERİ TARİH","TAHAKKUK"))),IF(AND($D2058&lt;&gt;"",$E2058&lt;&gt;"",$G2058&gt;0,$H2058&lt;&gt;"",$I2058&lt;&gt;""),IF($C2058&gt;TODAY(),"İLERİ TARİH",IF(COUNTIF($W$7:$W$3001,$W2058)&gt;1,"MÜKERRER?",IF($AD2058&gt;0,"KAPALI DÖNEM",IF($I2058="Hayır","ÖDENECEK","UYGUN")))),"EKSİK"))))</f>
        <v/>
      </c>
      <c r="Q2058" s="2"/>
      <c r="R2058" s="2"/>
      <c r="S2058" s="1" t="str">
        <f t="shared" si="98"/>
        <v/>
      </c>
      <c r="T2058" s="1" t="str">
        <f>IF(OR($C2058="",$D2058&lt;&gt;"Gelir",$L2058=""),"",IFERROR(INDEX(MUSTERILER!$B$7:$B$156,MATCH($S2058,MUSTERILER!$T$7:$T$156,0)),""))</f>
        <v/>
      </c>
      <c r="U2058" s="1" t="str">
        <f>IF($T2058="","",$T2058&amp;"|"&amp;COUNTIFS($T$7:$T2058,$T2058))</f>
        <v/>
      </c>
      <c r="V2058" s="1">
        <f t="shared" si="99"/>
        <v>0</v>
      </c>
      <c r="W2058" s="1" t="str">
        <f t="shared" si="100"/>
        <v/>
      </c>
      <c r="X2058" s="1"/>
      <c r="Y2058" s="1"/>
      <c r="Z2058" s="1"/>
      <c r="AA2058" s="1"/>
      <c r="AB2058" s="1"/>
      <c r="AC2058" s="1"/>
      <c r="AD2058" s="1">
        <f>IF($C2058="",0,SUMPRODUCT((AY_SONU!$O$7:$O$42="Evet")*(AY_SONU!$B$7:$B$42=DATE(YEAR($C2058),MONTH($C2058),1))))</f>
        <v>0</v>
      </c>
      <c r="AE2058" s="1" t="str">
        <f>IF($E2058="","",$E2058&amp;"|"&amp;COUNTIFS($E$7:$E2058,$E2058))</f>
        <v/>
      </c>
    </row>
    <row r="2059" spans="1:31" ht="18" customHeight="1" x14ac:dyDescent="0.3">
      <c r="A2059" s="2"/>
      <c r="B2059" s="65" t="str">
        <f>IF($C2059="","","GG"&amp;TEXT(ROW()-6,"00000"))</f>
        <v/>
      </c>
      <c r="C2059" s="66"/>
      <c r="D2059" s="60"/>
      <c r="E2059" s="61"/>
      <c r="F2059" s="61"/>
      <c r="G2059" s="67"/>
      <c r="H2059" s="60"/>
      <c r="I2059" s="60"/>
      <c r="J2059" s="61"/>
      <c r="K2059" s="61"/>
      <c r="L2059" s="60"/>
      <c r="M2059" s="74" t="str">
        <f>IF($C2059="","",IF($D2059="Gider",$E2059,IF($L2059&lt;&gt;"",$L2059,$H2059)))</f>
        <v/>
      </c>
      <c r="N2059" s="74" t="str">
        <f>IF($C2059="","",IF($D2059="Gider",$H2059,$E2059))</f>
        <v/>
      </c>
      <c r="O2059" s="73" t="str">
        <f>IF($C2059="","",DATE(YEAR($C2059),MONTH($C2059),1))</f>
        <v/>
      </c>
      <c r="P2059" s="65" t="str">
        <f ca="1">IF($C2059="","",IF(AND($D2059="Gelir",$L2059&lt;&gt;"",$T2059=""),"TANIMSIZ BORÇLU",IF($T2059&lt;&gt;"",IF(OR($E2059="",$G2059&lt;=0),"EKSİK",IF($I2059="Evet","TAHAKKUK NAKİT OLAMAZ",IF($C2059&gt;TODAY(),"İLERİ TARİH","TAHAKKUK"))),IF(AND($D2059&lt;&gt;"",$E2059&lt;&gt;"",$G2059&gt;0,$H2059&lt;&gt;"",$I2059&lt;&gt;""),IF($C2059&gt;TODAY(),"İLERİ TARİH",IF(COUNTIF($W$7:$W$3001,$W2059)&gt;1,"MÜKERRER?",IF($AD2059&gt;0,"KAPALI DÖNEM",IF($I2059="Hayır","ÖDENECEK","UYGUN")))),"EKSİK"))))</f>
        <v/>
      </c>
      <c r="Q2059" s="2"/>
      <c r="R2059" s="2"/>
      <c r="S2059" s="1" t="str">
        <f t="shared" si="98"/>
        <v/>
      </c>
      <c r="T2059" s="1" t="str">
        <f>IF(OR($C2059="",$D2059&lt;&gt;"Gelir",$L2059=""),"",IFERROR(INDEX(MUSTERILER!$B$7:$B$156,MATCH($S2059,MUSTERILER!$T$7:$T$156,0)),""))</f>
        <v/>
      </c>
      <c r="U2059" s="1" t="str">
        <f>IF($T2059="","",$T2059&amp;"|"&amp;COUNTIFS($T$7:$T2059,$T2059))</f>
        <v/>
      </c>
      <c r="V2059" s="1">
        <f t="shared" si="99"/>
        <v>0</v>
      </c>
      <c r="W2059" s="1" t="str">
        <f t="shared" si="100"/>
        <v/>
      </c>
      <c r="X2059" s="1"/>
      <c r="Y2059" s="1"/>
      <c r="Z2059" s="1"/>
      <c r="AA2059" s="1"/>
      <c r="AB2059" s="1"/>
      <c r="AC2059" s="1"/>
      <c r="AD2059" s="1">
        <f>IF($C2059="",0,SUMPRODUCT((AY_SONU!$O$7:$O$42="Evet")*(AY_SONU!$B$7:$B$42=DATE(YEAR($C2059),MONTH($C2059),1))))</f>
        <v>0</v>
      </c>
      <c r="AE2059" s="1" t="str">
        <f>IF($E2059="","",$E2059&amp;"|"&amp;COUNTIFS($E$7:$E2059,$E2059))</f>
        <v/>
      </c>
    </row>
    <row r="2060" spans="1:31" ht="18" customHeight="1" x14ac:dyDescent="0.3">
      <c r="A2060" s="2"/>
      <c r="B2060" s="65" t="str">
        <f>IF($C2060="","","GG"&amp;TEXT(ROW()-6,"00000"))</f>
        <v/>
      </c>
      <c r="C2060" s="66"/>
      <c r="D2060" s="60"/>
      <c r="E2060" s="61"/>
      <c r="F2060" s="61"/>
      <c r="G2060" s="67"/>
      <c r="H2060" s="60"/>
      <c r="I2060" s="60"/>
      <c r="J2060" s="61"/>
      <c r="K2060" s="61"/>
      <c r="L2060" s="60"/>
      <c r="M2060" s="74" t="str">
        <f>IF($C2060="","",IF($D2060="Gider",$E2060,IF($L2060&lt;&gt;"",$L2060,$H2060)))</f>
        <v/>
      </c>
      <c r="N2060" s="74" t="str">
        <f>IF($C2060="","",IF($D2060="Gider",$H2060,$E2060))</f>
        <v/>
      </c>
      <c r="O2060" s="73" t="str">
        <f>IF($C2060="","",DATE(YEAR($C2060),MONTH($C2060),1))</f>
        <v/>
      </c>
      <c r="P2060" s="65" t="str">
        <f ca="1">IF($C2060="","",IF(AND($D2060="Gelir",$L2060&lt;&gt;"",$T2060=""),"TANIMSIZ BORÇLU",IF($T2060&lt;&gt;"",IF(OR($E2060="",$G2060&lt;=0),"EKSİK",IF($I2060="Evet","TAHAKKUK NAKİT OLAMAZ",IF($C2060&gt;TODAY(),"İLERİ TARİH","TAHAKKUK"))),IF(AND($D2060&lt;&gt;"",$E2060&lt;&gt;"",$G2060&gt;0,$H2060&lt;&gt;"",$I2060&lt;&gt;""),IF($C2060&gt;TODAY(),"İLERİ TARİH",IF(COUNTIF($W$7:$W$3001,$W2060)&gt;1,"MÜKERRER?",IF($AD2060&gt;0,"KAPALI DÖNEM",IF($I2060="Hayır","ÖDENECEK","UYGUN")))),"EKSİK"))))</f>
        <v/>
      </c>
      <c r="Q2060" s="2"/>
      <c r="R2060" s="2"/>
      <c r="S2060" s="1" t="str">
        <f t="shared" si="98"/>
        <v/>
      </c>
      <c r="T2060" s="1" t="str">
        <f>IF(OR($C2060="",$D2060&lt;&gt;"Gelir",$L2060=""),"",IFERROR(INDEX(MUSTERILER!$B$7:$B$156,MATCH($S2060,MUSTERILER!$T$7:$T$156,0)),""))</f>
        <v/>
      </c>
      <c r="U2060" s="1" t="str">
        <f>IF($T2060="","",$T2060&amp;"|"&amp;COUNTIFS($T$7:$T2060,$T2060))</f>
        <v/>
      </c>
      <c r="V2060" s="1">
        <f t="shared" si="99"/>
        <v>0</v>
      </c>
      <c r="W2060" s="1" t="str">
        <f t="shared" si="100"/>
        <v/>
      </c>
      <c r="X2060" s="1"/>
      <c r="Y2060" s="1"/>
      <c r="Z2060" s="1"/>
      <c r="AA2060" s="1"/>
      <c r="AB2060" s="1"/>
      <c r="AC2060" s="1"/>
      <c r="AD2060" s="1">
        <f>IF($C2060="",0,SUMPRODUCT((AY_SONU!$O$7:$O$42="Evet")*(AY_SONU!$B$7:$B$42=DATE(YEAR($C2060),MONTH($C2060),1))))</f>
        <v>0</v>
      </c>
      <c r="AE2060" s="1" t="str">
        <f>IF($E2060="","",$E2060&amp;"|"&amp;COUNTIFS($E$7:$E2060,$E2060))</f>
        <v/>
      </c>
    </row>
    <row r="2061" spans="1:31" ht="18" customHeight="1" x14ac:dyDescent="0.3">
      <c r="A2061" s="2"/>
      <c r="B2061" s="65" t="str">
        <f>IF($C2061="","","GG"&amp;TEXT(ROW()-6,"00000"))</f>
        <v/>
      </c>
      <c r="C2061" s="66"/>
      <c r="D2061" s="60"/>
      <c r="E2061" s="61"/>
      <c r="F2061" s="61"/>
      <c r="G2061" s="67"/>
      <c r="H2061" s="60"/>
      <c r="I2061" s="60"/>
      <c r="J2061" s="61"/>
      <c r="K2061" s="61"/>
      <c r="L2061" s="60"/>
      <c r="M2061" s="74" t="str">
        <f>IF($C2061="","",IF($D2061="Gider",$E2061,IF($L2061&lt;&gt;"",$L2061,$H2061)))</f>
        <v/>
      </c>
      <c r="N2061" s="74" t="str">
        <f>IF($C2061="","",IF($D2061="Gider",$H2061,$E2061))</f>
        <v/>
      </c>
      <c r="O2061" s="73" t="str">
        <f>IF($C2061="","",DATE(YEAR($C2061),MONTH($C2061),1))</f>
        <v/>
      </c>
      <c r="P2061" s="65" t="str">
        <f ca="1">IF($C2061="","",IF(AND($D2061="Gelir",$L2061&lt;&gt;"",$T2061=""),"TANIMSIZ BORÇLU",IF($T2061&lt;&gt;"",IF(OR($E2061="",$G2061&lt;=0),"EKSİK",IF($I2061="Evet","TAHAKKUK NAKİT OLAMAZ",IF($C2061&gt;TODAY(),"İLERİ TARİH","TAHAKKUK"))),IF(AND($D2061&lt;&gt;"",$E2061&lt;&gt;"",$G2061&gt;0,$H2061&lt;&gt;"",$I2061&lt;&gt;""),IF($C2061&gt;TODAY(),"İLERİ TARİH",IF(COUNTIF($W$7:$W$3001,$W2061)&gt;1,"MÜKERRER?",IF($AD2061&gt;0,"KAPALI DÖNEM",IF($I2061="Hayır","ÖDENECEK","UYGUN")))),"EKSİK"))))</f>
        <v/>
      </c>
      <c r="Q2061" s="2"/>
      <c r="R2061" s="2"/>
      <c r="S2061" s="1" t="str">
        <f t="shared" si="98"/>
        <v/>
      </c>
      <c r="T2061" s="1" t="str">
        <f>IF(OR($C2061="",$D2061&lt;&gt;"Gelir",$L2061=""),"",IFERROR(INDEX(MUSTERILER!$B$7:$B$156,MATCH($S2061,MUSTERILER!$T$7:$T$156,0)),""))</f>
        <v/>
      </c>
      <c r="U2061" s="1" t="str">
        <f>IF($T2061="","",$T2061&amp;"|"&amp;COUNTIFS($T$7:$T2061,$T2061))</f>
        <v/>
      </c>
      <c r="V2061" s="1">
        <f t="shared" si="99"/>
        <v>0</v>
      </c>
      <c r="W2061" s="1" t="str">
        <f t="shared" si="100"/>
        <v/>
      </c>
      <c r="X2061" s="1"/>
      <c r="Y2061" s="1"/>
      <c r="Z2061" s="1"/>
      <c r="AA2061" s="1"/>
      <c r="AB2061" s="1"/>
      <c r="AC2061" s="1"/>
      <c r="AD2061" s="1">
        <f>IF($C2061="",0,SUMPRODUCT((AY_SONU!$O$7:$O$42="Evet")*(AY_SONU!$B$7:$B$42=DATE(YEAR($C2061),MONTH($C2061),1))))</f>
        <v>0</v>
      </c>
      <c r="AE2061" s="1" t="str">
        <f>IF($E2061="","",$E2061&amp;"|"&amp;COUNTIFS($E$7:$E2061,$E2061))</f>
        <v/>
      </c>
    </row>
    <row r="2062" spans="1:31" ht="18" customHeight="1" x14ac:dyDescent="0.3">
      <c r="A2062" s="2"/>
      <c r="B2062" s="65" t="str">
        <f>IF($C2062="","","GG"&amp;TEXT(ROW()-6,"00000"))</f>
        <v/>
      </c>
      <c r="C2062" s="66"/>
      <c r="D2062" s="60"/>
      <c r="E2062" s="61"/>
      <c r="F2062" s="61"/>
      <c r="G2062" s="67"/>
      <c r="H2062" s="60"/>
      <c r="I2062" s="60"/>
      <c r="J2062" s="61"/>
      <c r="K2062" s="61"/>
      <c r="L2062" s="60"/>
      <c r="M2062" s="74" t="str">
        <f>IF($C2062="","",IF($D2062="Gider",$E2062,IF($L2062&lt;&gt;"",$L2062,$H2062)))</f>
        <v/>
      </c>
      <c r="N2062" s="74" t="str">
        <f>IF($C2062="","",IF($D2062="Gider",$H2062,$E2062))</f>
        <v/>
      </c>
      <c r="O2062" s="73" t="str">
        <f>IF($C2062="","",DATE(YEAR($C2062),MONTH($C2062),1))</f>
        <v/>
      </c>
      <c r="P2062" s="65" t="str">
        <f ca="1">IF($C2062="","",IF(AND($D2062="Gelir",$L2062&lt;&gt;"",$T2062=""),"TANIMSIZ BORÇLU",IF($T2062&lt;&gt;"",IF(OR($E2062="",$G2062&lt;=0),"EKSİK",IF($I2062="Evet","TAHAKKUK NAKİT OLAMAZ",IF($C2062&gt;TODAY(),"İLERİ TARİH","TAHAKKUK"))),IF(AND($D2062&lt;&gt;"",$E2062&lt;&gt;"",$G2062&gt;0,$H2062&lt;&gt;"",$I2062&lt;&gt;""),IF($C2062&gt;TODAY(),"İLERİ TARİH",IF(COUNTIF($W$7:$W$3001,$W2062)&gt;1,"MÜKERRER?",IF($AD2062&gt;0,"KAPALI DÖNEM",IF($I2062="Hayır","ÖDENECEK","UYGUN")))),"EKSİK"))))</f>
        <v/>
      </c>
      <c r="Q2062" s="2"/>
      <c r="R2062" s="2"/>
      <c r="S2062" s="1" t="str">
        <f t="shared" si="98"/>
        <v/>
      </c>
      <c r="T2062" s="1" t="str">
        <f>IF(OR($C2062="",$D2062&lt;&gt;"Gelir",$L2062=""),"",IFERROR(INDEX(MUSTERILER!$B$7:$B$156,MATCH($S2062,MUSTERILER!$T$7:$T$156,0)),""))</f>
        <v/>
      </c>
      <c r="U2062" s="1" t="str">
        <f>IF($T2062="","",$T2062&amp;"|"&amp;COUNTIFS($T$7:$T2062,$T2062))</f>
        <v/>
      </c>
      <c r="V2062" s="1">
        <f t="shared" si="99"/>
        <v>0</v>
      </c>
      <c r="W2062" s="1" t="str">
        <f t="shared" si="100"/>
        <v/>
      </c>
      <c r="X2062" s="1"/>
      <c r="Y2062" s="1"/>
      <c r="Z2062" s="1"/>
      <c r="AA2062" s="1"/>
      <c r="AB2062" s="1"/>
      <c r="AC2062" s="1"/>
      <c r="AD2062" s="1">
        <f>IF($C2062="",0,SUMPRODUCT((AY_SONU!$O$7:$O$42="Evet")*(AY_SONU!$B$7:$B$42=DATE(YEAR($C2062),MONTH($C2062),1))))</f>
        <v>0</v>
      </c>
      <c r="AE2062" s="1" t="str">
        <f>IF($E2062="","",$E2062&amp;"|"&amp;COUNTIFS($E$7:$E2062,$E2062))</f>
        <v/>
      </c>
    </row>
    <row r="2063" spans="1:31" ht="18" customHeight="1" x14ac:dyDescent="0.3">
      <c r="A2063" s="2"/>
      <c r="B2063" s="65" t="str">
        <f>IF($C2063="","","GG"&amp;TEXT(ROW()-6,"00000"))</f>
        <v/>
      </c>
      <c r="C2063" s="66"/>
      <c r="D2063" s="60"/>
      <c r="E2063" s="61"/>
      <c r="F2063" s="61"/>
      <c r="G2063" s="67"/>
      <c r="H2063" s="60"/>
      <c r="I2063" s="60"/>
      <c r="J2063" s="61"/>
      <c r="K2063" s="61"/>
      <c r="L2063" s="60"/>
      <c r="M2063" s="74" t="str">
        <f>IF($C2063="","",IF($D2063="Gider",$E2063,IF($L2063&lt;&gt;"",$L2063,$H2063)))</f>
        <v/>
      </c>
      <c r="N2063" s="74" t="str">
        <f>IF($C2063="","",IF($D2063="Gider",$H2063,$E2063))</f>
        <v/>
      </c>
      <c r="O2063" s="73" t="str">
        <f>IF($C2063="","",DATE(YEAR($C2063),MONTH($C2063),1))</f>
        <v/>
      </c>
      <c r="P2063" s="65" t="str">
        <f ca="1">IF($C2063="","",IF(AND($D2063="Gelir",$L2063&lt;&gt;"",$T2063=""),"TANIMSIZ BORÇLU",IF($T2063&lt;&gt;"",IF(OR($E2063="",$G2063&lt;=0),"EKSİK",IF($I2063="Evet","TAHAKKUK NAKİT OLAMAZ",IF($C2063&gt;TODAY(),"İLERİ TARİH","TAHAKKUK"))),IF(AND($D2063&lt;&gt;"",$E2063&lt;&gt;"",$G2063&gt;0,$H2063&lt;&gt;"",$I2063&lt;&gt;""),IF($C2063&gt;TODAY(),"İLERİ TARİH",IF(COUNTIF($W$7:$W$3001,$W2063)&gt;1,"MÜKERRER?",IF($AD2063&gt;0,"KAPALI DÖNEM",IF($I2063="Hayır","ÖDENECEK","UYGUN")))),"EKSİK"))))</f>
        <v/>
      </c>
      <c r="Q2063" s="2"/>
      <c r="R2063" s="2"/>
      <c r="S2063" s="1" t="str">
        <f t="shared" si="98"/>
        <v/>
      </c>
      <c r="T2063" s="1" t="str">
        <f>IF(OR($C2063="",$D2063&lt;&gt;"Gelir",$L2063=""),"",IFERROR(INDEX(MUSTERILER!$B$7:$B$156,MATCH($S2063,MUSTERILER!$T$7:$T$156,0)),""))</f>
        <v/>
      </c>
      <c r="U2063" s="1" t="str">
        <f>IF($T2063="","",$T2063&amp;"|"&amp;COUNTIFS($T$7:$T2063,$T2063))</f>
        <v/>
      </c>
      <c r="V2063" s="1">
        <f t="shared" si="99"/>
        <v>0</v>
      </c>
      <c r="W2063" s="1" t="str">
        <f t="shared" si="100"/>
        <v/>
      </c>
      <c r="X2063" s="1"/>
      <c r="Y2063" s="1"/>
      <c r="Z2063" s="1"/>
      <c r="AA2063" s="1"/>
      <c r="AB2063" s="1"/>
      <c r="AC2063" s="1"/>
      <c r="AD2063" s="1">
        <f>IF($C2063="",0,SUMPRODUCT((AY_SONU!$O$7:$O$42="Evet")*(AY_SONU!$B$7:$B$42=DATE(YEAR($C2063),MONTH($C2063),1))))</f>
        <v>0</v>
      </c>
      <c r="AE2063" s="1" t="str">
        <f>IF($E2063="","",$E2063&amp;"|"&amp;COUNTIFS($E$7:$E2063,$E2063))</f>
        <v/>
      </c>
    </row>
    <row r="2064" spans="1:31" ht="18" customHeight="1" x14ac:dyDescent="0.3">
      <c r="A2064" s="2"/>
      <c r="B2064" s="65" t="str">
        <f>IF($C2064="","","GG"&amp;TEXT(ROW()-6,"00000"))</f>
        <v/>
      </c>
      <c r="C2064" s="66"/>
      <c r="D2064" s="60"/>
      <c r="E2064" s="61"/>
      <c r="F2064" s="61"/>
      <c r="G2064" s="67"/>
      <c r="H2064" s="60"/>
      <c r="I2064" s="60"/>
      <c r="J2064" s="61"/>
      <c r="K2064" s="61"/>
      <c r="L2064" s="60"/>
      <c r="M2064" s="74" t="str">
        <f>IF($C2064="","",IF($D2064="Gider",$E2064,IF($L2064&lt;&gt;"",$L2064,$H2064)))</f>
        <v/>
      </c>
      <c r="N2064" s="74" t="str">
        <f>IF($C2064="","",IF($D2064="Gider",$H2064,$E2064))</f>
        <v/>
      </c>
      <c r="O2064" s="73" t="str">
        <f>IF($C2064="","",DATE(YEAR($C2064),MONTH($C2064),1))</f>
        <v/>
      </c>
      <c r="P2064" s="65" t="str">
        <f ca="1">IF($C2064="","",IF(AND($D2064="Gelir",$L2064&lt;&gt;"",$T2064=""),"TANIMSIZ BORÇLU",IF($T2064&lt;&gt;"",IF(OR($E2064="",$G2064&lt;=0),"EKSİK",IF($I2064="Evet","TAHAKKUK NAKİT OLAMAZ",IF($C2064&gt;TODAY(),"İLERİ TARİH","TAHAKKUK"))),IF(AND($D2064&lt;&gt;"",$E2064&lt;&gt;"",$G2064&gt;0,$H2064&lt;&gt;"",$I2064&lt;&gt;""),IF($C2064&gt;TODAY(),"İLERİ TARİH",IF(COUNTIF($W$7:$W$3001,$W2064)&gt;1,"MÜKERRER?",IF($AD2064&gt;0,"KAPALI DÖNEM",IF($I2064="Hayır","ÖDENECEK","UYGUN")))),"EKSİK"))))</f>
        <v/>
      </c>
      <c r="Q2064" s="2"/>
      <c r="R2064" s="2"/>
      <c r="S2064" s="1" t="str">
        <f t="shared" si="98"/>
        <v/>
      </c>
      <c r="T2064" s="1" t="str">
        <f>IF(OR($C2064="",$D2064&lt;&gt;"Gelir",$L2064=""),"",IFERROR(INDEX(MUSTERILER!$B$7:$B$156,MATCH($S2064,MUSTERILER!$T$7:$T$156,0)),""))</f>
        <v/>
      </c>
      <c r="U2064" s="1" t="str">
        <f>IF($T2064="","",$T2064&amp;"|"&amp;COUNTIFS($T$7:$T2064,$T2064))</f>
        <v/>
      </c>
      <c r="V2064" s="1">
        <f t="shared" si="99"/>
        <v>0</v>
      </c>
      <c r="W2064" s="1" t="str">
        <f t="shared" si="100"/>
        <v/>
      </c>
      <c r="X2064" s="1"/>
      <c r="Y2064" s="1"/>
      <c r="Z2064" s="1"/>
      <c r="AA2064" s="1"/>
      <c r="AB2064" s="1"/>
      <c r="AC2064" s="1"/>
      <c r="AD2064" s="1">
        <f>IF($C2064="",0,SUMPRODUCT((AY_SONU!$O$7:$O$42="Evet")*(AY_SONU!$B$7:$B$42=DATE(YEAR($C2064),MONTH($C2064),1))))</f>
        <v>0</v>
      </c>
      <c r="AE2064" s="1" t="str">
        <f>IF($E2064="","",$E2064&amp;"|"&amp;COUNTIFS($E$7:$E2064,$E2064))</f>
        <v/>
      </c>
    </row>
    <row r="2065" spans="1:31" ht="18" customHeight="1" x14ac:dyDescent="0.3">
      <c r="A2065" s="2"/>
      <c r="B2065" s="65" t="str">
        <f>IF($C2065="","","GG"&amp;TEXT(ROW()-6,"00000"))</f>
        <v/>
      </c>
      <c r="C2065" s="66"/>
      <c r="D2065" s="60"/>
      <c r="E2065" s="61"/>
      <c r="F2065" s="61"/>
      <c r="G2065" s="67"/>
      <c r="H2065" s="60"/>
      <c r="I2065" s="60"/>
      <c r="J2065" s="61"/>
      <c r="K2065" s="61"/>
      <c r="L2065" s="60"/>
      <c r="M2065" s="74" t="str">
        <f>IF($C2065="","",IF($D2065="Gider",$E2065,IF($L2065&lt;&gt;"",$L2065,$H2065)))</f>
        <v/>
      </c>
      <c r="N2065" s="74" t="str">
        <f>IF($C2065="","",IF($D2065="Gider",$H2065,$E2065))</f>
        <v/>
      </c>
      <c r="O2065" s="73" t="str">
        <f>IF($C2065="","",DATE(YEAR($C2065),MONTH($C2065),1))</f>
        <v/>
      </c>
      <c r="P2065" s="65" t="str">
        <f ca="1">IF($C2065="","",IF(AND($D2065="Gelir",$L2065&lt;&gt;"",$T2065=""),"TANIMSIZ BORÇLU",IF($T2065&lt;&gt;"",IF(OR($E2065="",$G2065&lt;=0),"EKSİK",IF($I2065="Evet","TAHAKKUK NAKİT OLAMAZ",IF($C2065&gt;TODAY(),"İLERİ TARİH","TAHAKKUK"))),IF(AND($D2065&lt;&gt;"",$E2065&lt;&gt;"",$G2065&gt;0,$H2065&lt;&gt;"",$I2065&lt;&gt;""),IF($C2065&gt;TODAY(),"İLERİ TARİH",IF(COUNTIF($W$7:$W$3001,$W2065)&gt;1,"MÜKERRER?",IF($AD2065&gt;0,"KAPALI DÖNEM",IF($I2065="Hayır","ÖDENECEK","UYGUN")))),"EKSİK"))))</f>
        <v/>
      </c>
      <c r="Q2065" s="2"/>
      <c r="R2065" s="2"/>
      <c r="S2065" s="1" t="str">
        <f t="shared" si="98"/>
        <v/>
      </c>
      <c r="T2065" s="1" t="str">
        <f>IF(OR($C2065="",$D2065&lt;&gt;"Gelir",$L2065=""),"",IFERROR(INDEX(MUSTERILER!$B$7:$B$156,MATCH($S2065,MUSTERILER!$T$7:$T$156,0)),""))</f>
        <v/>
      </c>
      <c r="U2065" s="1" t="str">
        <f>IF($T2065="","",$T2065&amp;"|"&amp;COUNTIFS($T$7:$T2065,$T2065))</f>
        <v/>
      </c>
      <c r="V2065" s="1">
        <f t="shared" si="99"/>
        <v>0</v>
      </c>
      <c r="W2065" s="1" t="str">
        <f t="shared" si="100"/>
        <v/>
      </c>
      <c r="X2065" s="1"/>
      <c r="Y2065" s="1"/>
      <c r="Z2065" s="1"/>
      <c r="AA2065" s="1"/>
      <c r="AB2065" s="1"/>
      <c r="AC2065" s="1"/>
      <c r="AD2065" s="1">
        <f>IF($C2065="",0,SUMPRODUCT((AY_SONU!$O$7:$O$42="Evet")*(AY_SONU!$B$7:$B$42=DATE(YEAR($C2065),MONTH($C2065),1))))</f>
        <v>0</v>
      </c>
      <c r="AE2065" s="1" t="str">
        <f>IF($E2065="","",$E2065&amp;"|"&amp;COUNTIFS($E$7:$E2065,$E2065))</f>
        <v/>
      </c>
    </row>
    <row r="2066" spans="1:31" ht="18" customHeight="1" x14ac:dyDescent="0.3">
      <c r="A2066" s="2"/>
      <c r="B2066" s="65" t="str">
        <f>IF($C2066="","","GG"&amp;TEXT(ROW()-6,"00000"))</f>
        <v/>
      </c>
      <c r="C2066" s="66"/>
      <c r="D2066" s="60"/>
      <c r="E2066" s="61"/>
      <c r="F2066" s="61"/>
      <c r="G2066" s="67"/>
      <c r="H2066" s="60"/>
      <c r="I2066" s="60"/>
      <c r="J2066" s="61"/>
      <c r="K2066" s="61"/>
      <c r="L2066" s="60"/>
      <c r="M2066" s="74" t="str">
        <f>IF($C2066="","",IF($D2066="Gider",$E2066,IF($L2066&lt;&gt;"",$L2066,$H2066)))</f>
        <v/>
      </c>
      <c r="N2066" s="74" t="str">
        <f>IF($C2066="","",IF($D2066="Gider",$H2066,$E2066))</f>
        <v/>
      </c>
      <c r="O2066" s="73" t="str">
        <f>IF($C2066="","",DATE(YEAR($C2066),MONTH($C2066),1))</f>
        <v/>
      </c>
      <c r="P2066" s="65" t="str">
        <f ca="1">IF($C2066="","",IF(AND($D2066="Gelir",$L2066&lt;&gt;"",$T2066=""),"TANIMSIZ BORÇLU",IF($T2066&lt;&gt;"",IF(OR($E2066="",$G2066&lt;=0),"EKSİK",IF($I2066="Evet","TAHAKKUK NAKİT OLAMAZ",IF($C2066&gt;TODAY(),"İLERİ TARİH","TAHAKKUK"))),IF(AND($D2066&lt;&gt;"",$E2066&lt;&gt;"",$G2066&gt;0,$H2066&lt;&gt;"",$I2066&lt;&gt;""),IF($C2066&gt;TODAY(),"İLERİ TARİH",IF(COUNTIF($W$7:$W$3001,$W2066)&gt;1,"MÜKERRER?",IF($AD2066&gt;0,"KAPALI DÖNEM",IF($I2066="Hayır","ÖDENECEK","UYGUN")))),"EKSİK"))))</f>
        <v/>
      </c>
      <c r="Q2066" s="2"/>
      <c r="R2066" s="2"/>
      <c r="S2066" s="1" t="str">
        <f t="shared" si="98"/>
        <v/>
      </c>
      <c r="T2066" s="1" t="str">
        <f>IF(OR($C2066="",$D2066&lt;&gt;"Gelir",$L2066=""),"",IFERROR(INDEX(MUSTERILER!$B$7:$B$156,MATCH($S2066,MUSTERILER!$T$7:$T$156,0)),""))</f>
        <v/>
      </c>
      <c r="U2066" s="1" t="str">
        <f>IF($T2066="","",$T2066&amp;"|"&amp;COUNTIFS($T$7:$T2066,$T2066))</f>
        <v/>
      </c>
      <c r="V2066" s="1">
        <f t="shared" si="99"/>
        <v>0</v>
      </c>
      <c r="W2066" s="1" t="str">
        <f t="shared" si="100"/>
        <v/>
      </c>
      <c r="X2066" s="1"/>
      <c r="Y2066" s="1"/>
      <c r="Z2066" s="1"/>
      <c r="AA2066" s="1"/>
      <c r="AB2066" s="1"/>
      <c r="AC2066" s="1"/>
      <c r="AD2066" s="1">
        <f>IF($C2066="",0,SUMPRODUCT((AY_SONU!$O$7:$O$42="Evet")*(AY_SONU!$B$7:$B$42=DATE(YEAR($C2066),MONTH($C2066),1))))</f>
        <v>0</v>
      </c>
      <c r="AE2066" s="1" t="str">
        <f>IF($E2066="","",$E2066&amp;"|"&amp;COUNTIFS($E$7:$E2066,$E2066))</f>
        <v/>
      </c>
    </row>
    <row r="2067" spans="1:31" ht="18" customHeight="1" x14ac:dyDescent="0.3">
      <c r="A2067" s="2"/>
      <c r="B2067" s="65" t="str">
        <f>IF($C2067="","","GG"&amp;TEXT(ROW()-6,"00000"))</f>
        <v/>
      </c>
      <c r="C2067" s="66"/>
      <c r="D2067" s="60"/>
      <c r="E2067" s="61"/>
      <c r="F2067" s="61"/>
      <c r="G2067" s="67"/>
      <c r="H2067" s="60"/>
      <c r="I2067" s="60"/>
      <c r="J2067" s="61"/>
      <c r="K2067" s="61"/>
      <c r="L2067" s="60"/>
      <c r="M2067" s="74" t="str">
        <f>IF($C2067="","",IF($D2067="Gider",$E2067,IF($L2067&lt;&gt;"",$L2067,$H2067)))</f>
        <v/>
      </c>
      <c r="N2067" s="74" t="str">
        <f>IF($C2067="","",IF($D2067="Gider",$H2067,$E2067))</f>
        <v/>
      </c>
      <c r="O2067" s="73" t="str">
        <f>IF($C2067="","",DATE(YEAR($C2067),MONTH($C2067),1))</f>
        <v/>
      </c>
      <c r="P2067" s="65" t="str">
        <f ca="1">IF($C2067="","",IF(AND($D2067="Gelir",$L2067&lt;&gt;"",$T2067=""),"TANIMSIZ BORÇLU",IF($T2067&lt;&gt;"",IF(OR($E2067="",$G2067&lt;=0),"EKSİK",IF($I2067="Evet","TAHAKKUK NAKİT OLAMAZ",IF($C2067&gt;TODAY(),"İLERİ TARİH","TAHAKKUK"))),IF(AND($D2067&lt;&gt;"",$E2067&lt;&gt;"",$G2067&gt;0,$H2067&lt;&gt;"",$I2067&lt;&gt;""),IF($C2067&gt;TODAY(),"İLERİ TARİH",IF(COUNTIF($W$7:$W$3001,$W2067)&gt;1,"MÜKERRER?",IF($AD2067&gt;0,"KAPALI DÖNEM",IF($I2067="Hayır","ÖDENECEK","UYGUN")))),"EKSİK"))))</f>
        <v/>
      </c>
      <c r="Q2067" s="2"/>
      <c r="R2067" s="2"/>
      <c r="S2067" s="1" t="str">
        <f t="shared" si="98"/>
        <v/>
      </c>
      <c r="T2067" s="1" t="str">
        <f>IF(OR($C2067="",$D2067&lt;&gt;"Gelir",$L2067=""),"",IFERROR(INDEX(MUSTERILER!$B$7:$B$156,MATCH($S2067,MUSTERILER!$T$7:$T$156,0)),""))</f>
        <v/>
      </c>
      <c r="U2067" s="1" t="str">
        <f>IF($T2067="","",$T2067&amp;"|"&amp;COUNTIFS($T$7:$T2067,$T2067))</f>
        <v/>
      </c>
      <c r="V2067" s="1">
        <f t="shared" si="99"/>
        <v>0</v>
      </c>
      <c r="W2067" s="1" t="str">
        <f t="shared" si="100"/>
        <v/>
      </c>
      <c r="X2067" s="1"/>
      <c r="Y2067" s="1"/>
      <c r="Z2067" s="1"/>
      <c r="AA2067" s="1"/>
      <c r="AB2067" s="1"/>
      <c r="AC2067" s="1"/>
      <c r="AD2067" s="1">
        <f>IF($C2067="",0,SUMPRODUCT((AY_SONU!$O$7:$O$42="Evet")*(AY_SONU!$B$7:$B$42=DATE(YEAR($C2067),MONTH($C2067),1))))</f>
        <v>0</v>
      </c>
      <c r="AE2067" s="1" t="str">
        <f>IF($E2067="","",$E2067&amp;"|"&amp;COUNTIFS($E$7:$E2067,$E2067))</f>
        <v/>
      </c>
    </row>
    <row r="2068" spans="1:31" ht="18" customHeight="1" x14ac:dyDescent="0.3">
      <c r="A2068" s="2"/>
      <c r="B2068" s="65" t="str">
        <f>IF($C2068="","","GG"&amp;TEXT(ROW()-6,"00000"))</f>
        <v/>
      </c>
      <c r="C2068" s="66"/>
      <c r="D2068" s="60"/>
      <c r="E2068" s="61"/>
      <c r="F2068" s="61"/>
      <c r="G2068" s="67"/>
      <c r="H2068" s="60"/>
      <c r="I2068" s="60"/>
      <c r="J2068" s="61"/>
      <c r="K2068" s="61"/>
      <c r="L2068" s="60"/>
      <c r="M2068" s="74" t="str">
        <f>IF($C2068="","",IF($D2068="Gider",$E2068,IF($L2068&lt;&gt;"",$L2068,$H2068)))</f>
        <v/>
      </c>
      <c r="N2068" s="74" t="str">
        <f>IF($C2068="","",IF($D2068="Gider",$H2068,$E2068))</f>
        <v/>
      </c>
      <c r="O2068" s="73" t="str">
        <f>IF($C2068="","",DATE(YEAR($C2068),MONTH($C2068),1))</f>
        <v/>
      </c>
      <c r="P2068" s="65" t="str">
        <f ca="1">IF($C2068="","",IF(AND($D2068="Gelir",$L2068&lt;&gt;"",$T2068=""),"TANIMSIZ BORÇLU",IF($T2068&lt;&gt;"",IF(OR($E2068="",$G2068&lt;=0),"EKSİK",IF($I2068="Evet","TAHAKKUK NAKİT OLAMAZ",IF($C2068&gt;TODAY(),"İLERİ TARİH","TAHAKKUK"))),IF(AND($D2068&lt;&gt;"",$E2068&lt;&gt;"",$G2068&gt;0,$H2068&lt;&gt;"",$I2068&lt;&gt;""),IF($C2068&gt;TODAY(),"İLERİ TARİH",IF(COUNTIF($W$7:$W$3001,$W2068)&gt;1,"MÜKERRER?",IF($AD2068&gt;0,"KAPALI DÖNEM",IF($I2068="Hayır","ÖDENECEK","UYGUN")))),"EKSİK"))))</f>
        <v/>
      </c>
      <c r="Q2068" s="2"/>
      <c r="R2068" s="2"/>
      <c r="S2068" s="1" t="str">
        <f t="shared" si="98"/>
        <v/>
      </c>
      <c r="T2068" s="1" t="str">
        <f>IF(OR($C2068="",$D2068&lt;&gt;"Gelir",$L2068=""),"",IFERROR(INDEX(MUSTERILER!$B$7:$B$156,MATCH($S2068,MUSTERILER!$T$7:$T$156,0)),""))</f>
        <v/>
      </c>
      <c r="U2068" s="1" t="str">
        <f>IF($T2068="","",$T2068&amp;"|"&amp;COUNTIFS($T$7:$T2068,$T2068))</f>
        <v/>
      </c>
      <c r="V2068" s="1">
        <f t="shared" si="99"/>
        <v>0</v>
      </c>
      <c r="W2068" s="1" t="str">
        <f t="shared" si="100"/>
        <v/>
      </c>
      <c r="X2068" s="1"/>
      <c r="Y2068" s="1"/>
      <c r="Z2068" s="1"/>
      <c r="AA2068" s="1"/>
      <c r="AB2068" s="1"/>
      <c r="AC2068" s="1"/>
      <c r="AD2068" s="1">
        <f>IF($C2068="",0,SUMPRODUCT((AY_SONU!$O$7:$O$42="Evet")*(AY_SONU!$B$7:$B$42=DATE(YEAR($C2068),MONTH($C2068),1))))</f>
        <v>0</v>
      </c>
      <c r="AE2068" s="1" t="str">
        <f>IF($E2068="","",$E2068&amp;"|"&amp;COUNTIFS($E$7:$E2068,$E2068))</f>
        <v/>
      </c>
    </row>
    <row r="2069" spans="1:31" ht="18" customHeight="1" x14ac:dyDescent="0.3">
      <c r="A2069" s="2"/>
      <c r="B2069" s="65" t="str">
        <f>IF($C2069="","","GG"&amp;TEXT(ROW()-6,"00000"))</f>
        <v/>
      </c>
      <c r="C2069" s="66"/>
      <c r="D2069" s="60"/>
      <c r="E2069" s="61"/>
      <c r="F2069" s="61"/>
      <c r="G2069" s="67"/>
      <c r="H2069" s="60"/>
      <c r="I2069" s="60"/>
      <c r="J2069" s="61"/>
      <c r="K2069" s="61"/>
      <c r="L2069" s="60"/>
      <c r="M2069" s="74" t="str">
        <f>IF($C2069="","",IF($D2069="Gider",$E2069,IF($L2069&lt;&gt;"",$L2069,$H2069)))</f>
        <v/>
      </c>
      <c r="N2069" s="74" t="str">
        <f>IF($C2069="","",IF($D2069="Gider",$H2069,$E2069))</f>
        <v/>
      </c>
      <c r="O2069" s="73" t="str">
        <f>IF($C2069="","",DATE(YEAR($C2069),MONTH($C2069),1))</f>
        <v/>
      </c>
      <c r="P2069" s="65" t="str">
        <f ca="1">IF($C2069="","",IF(AND($D2069="Gelir",$L2069&lt;&gt;"",$T2069=""),"TANIMSIZ BORÇLU",IF($T2069&lt;&gt;"",IF(OR($E2069="",$G2069&lt;=0),"EKSİK",IF($I2069="Evet","TAHAKKUK NAKİT OLAMAZ",IF($C2069&gt;TODAY(),"İLERİ TARİH","TAHAKKUK"))),IF(AND($D2069&lt;&gt;"",$E2069&lt;&gt;"",$G2069&gt;0,$H2069&lt;&gt;"",$I2069&lt;&gt;""),IF($C2069&gt;TODAY(),"İLERİ TARİH",IF(COUNTIF($W$7:$W$3001,$W2069)&gt;1,"MÜKERRER?",IF($AD2069&gt;0,"KAPALI DÖNEM",IF($I2069="Hayır","ÖDENECEK","UYGUN")))),"EKSİK"))))</f>
        <v/>
      </c>
      <c r="Q2069" s="2"/>
      <c r="R2069" s="2"/>
      <c r="S2069" s="1" t="str">
        <f t="shared" si="98"/>
        <v/>
      </c>
      <c r="T2069" s="1" t="str">
        <f>IF(OR($C2069="",$D2069&lt;&gt;"Gelir",$L2069=""),"",IFERROR(INDEX(MUSTERILER!$B$7:$B$156,MATCH($S2069,MUSTERILER!$T$7:$T$156,0)),""))</f>
        <v/>
      </c>
      <c r="U2069" s="1" t="str">
        <f>IF($T2069="","",$T2069&amp;"|"&amp;COUNTIFS($T$7:$T2069,$T2069))</f>
        <v/>
      </c>
      <c r="V2069" s="1">
        <f t="shared" si="99"/>
        <v>0</v>
      </c>
      <c r="W2069" s="1" t="str">
        <f t="shared" si="100"/>
        <v/>
      </c>
      <c r="X2069" s="1"/>
      <c r="Y2069" s="1"/>
      <c r="Z2069" s="1"/>
      <c r="AA2069" s="1"/>
      <c r="AB2069" s="1"/>
      <c r="AC2069" s="1"/>
      <c r="AD2069" s="1">
        <f>IF($C2069="",0,SUMPRODUCT((AY_SONU!$O$7:$O$42="Evet")*(AY_SONU!$B$7:$B$42=DATE(YEAR($C2069),MONTH($C2069),1))))</f>
        <v>0</v>
      </c>
      <c r="AE2069" s="1" t="str">
        <f>IF($E2069="","",$E2069&amp;"|"&amp;COUNTIFS($E$7:$E2069,$E2069))</f>
        <v/>
      </c>
    </row>
    <row r="2070" spans="1:31" ht="18" customHeight="1" x14ac:dyDescent="0.3">
      <c r="A2070" s="2"/>
      <c r="B2070" s="65" t="str">
        <f>IF($C2070="","","GG"&amp;TEXT(ROW()-6,"00000"))</f>
        <v/>
      </c>
      <c r="C2070" s="66"/>
      <c r="D2070" s="60"/>
      <c r="E2070" s="61"/>
      <c r="F2070" s="61"/>
      <c r="G2070" s="67"/>
      <c r="H2070" s="60"/>
      <c r="I2070" s="60"/>
      <c r="J2070" s="61"/>
      <c r="K2070" s="61"/>
      <c r="L2070" s="60"/>
      <c r="M2070" s="74" t="str">
        <f>IF($C2070="","",IF($D2070="Gider",$E2070,IF($L2070&lt;&gt;"",$L2070,$H2070)))</f>
        <v/>
      </c>
      <c r="N2070" s="74" t="str">
        <f>IF($C2070="","",IF($D2070="Gider",$H2070,$E2070))</f>
        <v/>
      </c>
      <c r="O2070" s="73" t="str">
        <f>IF($C2070="","",DATE(YEAR($C2070),MONTH($C2070),1))</f>
        <v/>
      </c>
      <c r="P2070" s="65" t="str">
        <f ca="1">IF($C2070="","",IF(AND($D2070="Gelir",$L2070&lt;&gt;"",$T2070=""),"TANIMSIZ BORÇLU",IF($T2070&lt;&gt;"",IF(OR($E2070="",$G2070&lt;=0),"EKSİK",IF($I2070="Evet","TAHAKKUK NAKİT OLAMAZ",IF($C2070&gt;TODAY(),"İLERİ TARİH","TAHAKKUK"))),IF(AND($D2070&lt;&gt;"",$E2070&lt;&gt;"",$G2070&gt;0,$H2070&lt;&gt;"",$I2070&lt;&gt;""),IF($C2070&gt;TODAY(),"İLERİ TARİH",IF(COUNTIF($W$7:$W$3001,$W2070)&gt;1,"MÜKERRER?",IF($AD2070&gt;0,"KAPALI DÖNEM",IF($I2070="Hayır","ÖDENECEK","UYGUN")))),"EKSİK"))))</f>
        <v/>
      </c>
      <c r="Q2070" s="2"/>
      <c r="R2070" s="2"/>
      <c r="S2070" s="1" t="str">
        <f t="shared" si="98"/>
        <v/>
      </c>
      <c r="T2070" s="1" t="str">
        <f>IF(OR($C2070="",$D2070&lt;&gt;"Gelir",$L2070=""),"",IFERROR(INDEX(MUSTERILER!$B$7:$B$156,MATCH($S2070,MUSTERILER!$T$7:$T$156,0)),""))</f>
        <v/>
      </c>
      <c r="U2070" s="1" t="str">
        <f>IF($T2070="","",$T2070&amp;"|"&amp;COUNTIFS($T$7:$T2070,$T2070))</f>
        <v/>
      </c>
      <c r="V2070" s="1">
        <f t="shared" si="99"/>
        <v>0</v>
      </c>
      <c r="W2070" s="1" t="str">
        <f t="shared" si="100"/>
        <v/>
      </c>
      <c r="X2070" s="1"/>
      <c r="Y2070" s="1"/>
      <c r="Z2070" s="1"/>
      <c r="AA2070" s="1"/>
      <c r="AB2070" s="1"/>
      <c r="AC2070" s="1"/>
      <c r="AD2070" s="1">
        <f>IF($C2070="",0,SUMPRODUCT((AY_SONU!$O$7:$O$42="Evet")*(AY_SONU!$B$7:$B$42=DATE(YEAR($C2070),MONTH($C2070),1))))</f>
        <v>0</v>
      </c>
      <c r="AE2070" s="1" t="str">
        <f>IF($E2070="","",$E2070&amp;"|"&amp;COUNTIFS($E$7:$E2070,$E2070))</f>
        <v/>
      </c>
    </row>
    <row r="2071" spans="1:31" ht="18" customHeight="1" x14ac:dyDescent="0.3">
      <c r="A2071" s="2"/>
      <c r="B2071" s="65" t="str">
        <f>IF($C2071="","","GG"&amp;TEXT(ROW()-6,"00000"))</f>
        <v/>
      </c>
      <c r="C2071" s="66"/>
      <c r="D2071" s="60"/>
      <c r="E2071" s="61"/>
      <c r="F2071" s="61"/>
      <c r="G2071" s="67"/>
      <c r="H2071" s="60"/>
      <c r="I2071" s="60"/>
      <c r="J2071" s="61"/>
      <c r="K2071" s="61"/>
      <c r="L2071" s="60"/>
      <c r="M2071" s="74" t="str">
        <f>IF($C2071="","",IF($D2071="Gider",$E2071,IF($L2071&lt;&gt;"",$L2071,$H2071)))</f>
        <v/>
      </c>
      <c r="N2071" s="74" t="str">
        <f>IF($C2071="","",IF($D2071="Gider",$H2071,$E2071))</f>
        <v/>
      </c>
      <c r="O2071" s="73" t="str">
        <f>IF($C2071="","",DATE(YEAR($C2071),MONTH($C2071),1))</f>
        <v/>
      </c>
      <c r="P2071" s="65" t="str">
        <f ca="1">IF($C2071="","",IF(AND($D2071="Gelir",$L2071&lt;&gt;"",$T2071=""),"TANIMSIZ BORÇLU",IF($T2071&lt;&gt;"",IF(OR($E2071="",$G2071&lt;=0),"EKSİK",IF($I2071="Evet","TAHAKKUK NAKİT OLAMAZ",IF($C2071&gt;TODAY(),"İLERİ TARİH","TAHAKKUK"))),IF(AND($D2071&lt;&gt;"",$E2071&lt;&gt;"",$G2071&gt;0,$H2071&lt;&gt;"",$I2071&lt;&gt;""),IF($C2071&gt;TODAY(),"İLERİ TARİH",IF(COUNTIF($W$7:$W$3001,$W2071)&gt;1,"MÜKERRER?",IF($AD2071&gt;0,"KAPALI DÖNEM",IF($I2071="Hayır","ÖDENECEK","UYGUN")))),"EKSİK"))))</f>
        <v/>
      </c>
      <c r="Q2071" s="2"/>
      <c r="R2071" s="2"/>
      <c r="S2071" s="1" t="str">
        <f t="shared" si="98"/>
        <v/>
      </c>
      <c r="T2071" s="1" t="str">
        <f>IF(OR($C2071="",$D2071&lt;&gt;"Gelir",$L2071=""),"",IFERROR(INDEX(MUSTERILER!$B$7:$B$156,MATCH($S2071,MUSTERILER!$T$7:$T$156,0)),""))</f>
        <v/>
      </c>
      <c r="U2071" s="1" t="str">
        <f>IF($T2071="","",$T2071&amp;"|"&amp;COUNTIFS($T$7:$T2071,$T2071))</f>
        <v/>
      </c>
      <c r="V2071" s="1">
        <f t="shared" si="99"/>
        <v>0</v>
      </c>
      <c r="W2071" s="1" t="str">
        <f t="shared" si="100"/>
        <v/>
      </c>
      <c r="X2071" s="1"/>
      <c r="Y2071" s="1"/>
      <c r="Z2071" s="1"/>
      <c r="AA2071" s="1"/>
      <c r="AB2071" s="1"/>
      <c r="AC2071" s="1"/>
      <c r="AD2071" s="1">
        <f>IF($C2071="",0,SUMPRODUCT((AY_SONU!$O$7:$O$42="Evet")*(AY_SONU!$B$7:$B$42=DATE(YEAR($C2071),MONTH($C2071),1))))</f>
        <v>0</v>
      </c>
      <c r="AE2071" s="1" t="str">
        <f>IF($E2071="","",$E2071&amp;"|"&amp;COUNTIFS($E$7:$E2071,$E2071))</f>
        <v/>
      </c>
    </row>
    <row r="2072" spans="1:31" ht="18" customHeight="1" x14ac:dyDescent="0.3">
      <c r="A2072" s="2"/>
      <c r="B2072" s="65" t="str">
        <f>IF($C2072="","","GG"&amp;TEXT(ROW()-6,"00000"))</f>
        <v/>
      </c>
      <c r="C2072" s="66"/>
      <c r="D2072" s="60"/>
      <c r="E2072" s="61"/>
      <c r="F2072" s="61"/>
      <c r="G2072" s="67"/>
      <c r="H2072" s="60"/>
      <c r="I2072" s="60"/>
      <c r="J2072" s="61"/>
      <c r="K2072" s="61"/>
      <c r="L2072" s="60"/>
      <c r="M2072" s="74" t="str">
        <f>IF($C2072="","",IF($D2072="Gider",$E2072,IF($L2072&lt;&gt;"",$L2072,$H2072)))</f>
        <v/>
      </c>
      <c r="N2072" s="74" t="str">
        <f>IF($C2072="","",IF($D2072="Gider",$H2072,$E2072))</f>
        <v/>
      </c>
      <c r="O2072" s="73" t="str">
        <f>IF($C2072="","",DATE(YEAR($C2072),MONTH($C2072),1))</f>
        <v/>
      </c>
      <c r="P2072" s="65" t="str">
        <f ca="1">IF($C2072="","",IF(AND($D2072="Gelir",$L2072&lt;&gt;"",$T2072=""),"TANIMSIZ BORÇLU",IF($T2072&lt;&gt;"",IF(OR($E2072="",$G2072&lt;=0),"EKSİK",IF($I2072="Evet","TAHAKKUK NAKİT OLAMAZ",IF($C2072&gt;TODAY(),"İLERİ TARİH","TAHAKKUK"))),IF(AND($D2072&lt;&gt;"",$E2072&lt;&gt;"",$G2072&gt;0,$H2072&lt;&gt;"",$I2072&lt;&gt;""),IF($C2072&gt;TODAY(),"İLERİ TARİH",IF(COUNTIF($W$7:$W$3001,$W2072)&gt;1,"MÜKERRER?",IF($AD2072&gt;0,"KAPALI DÖNEM",IF($I2072="Hayır","ÖDENECEK","UYGUN")))),"EKSİK"))))</f>
        <v/>
      </c>
      <c r="Q2072" s="2"/>
      <c r="R2072" s="2"/>
      <c r="S2072" s="1" t="str">
        <f t="shared" si="98"/>
        <v/>
      </c>
      <c r="T2072" s="1" t="str">
        <f>IF(OR($C2072="",$D2072&lt;&gt;"Gelir",$L2072=""),"",IFERROR(INDEX(MUSTERILER!$B$7:$B$156,MATCH($S2072,MUSTERILER!$T$7:$T$156,0)),""))</f>
        <v/>
      </c>
      <c r="U2072" s="1" t="str">
        <f>IF($T2072="","",$T2072&amp;"|"&amp;COUNTIFS($T$7:$T2072,$T2072))</f>
        <v/>
      </c>
      <c r="V2072" s="1">
        <f t="shared" si="99"/>
        <v>0</v>
      </c>
      <c r="W2072" s="1" t="str">
        <f t="shared" si="100"/>
        <v/>
      </c>
      <c r="X2072" s="1"/>
      <c r="Y2072" s="1"/>
      <c r="Z2072" s="1"/>
      <c r="AA2072" s="1"/>
      <c r="AB2072" s="1"/>
      <c r="AC2072" s="1"/>
      <c r="AD2072" s="1">
        <f>IF($C2072="",0,SUMPRODUCT((AY_SONU!$O$7:$O$42="Evet")*(AY_SONU!$B$7:$B$42=DATE(YEAR($C2072),MONTH($C2072),1))))</f>
        <v>0</v>
      </c>
      <c r="AE2072" s="1" t="str">
        <f>IF($E2072="","",$E2072&amp;"|"&amp;COUNTIFS($E$7:$E2072,$E2072))</f>
        <v/>
      </c>
    </row>
    <row r="2073" spans="1:31" ht="18" customHeight="1" x14ac:dyDescent="0.3">
      <c r="A2073" s="2"/>
      <c r="B2073" s="65" t="str">
        <f>IF($C2073="","","GG"&amp;TEXT(ROW()-6,"00000"))</f>
        <v/>
      </c>
      <c r="C2073" s="66"/>
      <c r="D2073" s="60"/>
      <c r="E2073" s="61"/>
      <c r="F2073" s="61"/>
      <c r="G2073" s="67"/>
      <c r="H2073" s="60"/>
      <c r="I2073" s="60"/>
      <c r="J2073" s="61"/>
      <c r="K2073" s="61"/>
      <c r="L2073" s="60"/>
      <c r="M2073" s="74" t="str">
        <f>IF($C2073="","",IF($D2073="Gider",$E2073,IF($L2073&lt;&gt;"",$L2073,$H2073)))</f>
        <v/>
      </c>
      <c r="N2073" s="74" t="str">
        <f>IF($C2073="","",IF($D2073="Gider",$H2073,$E2073))</f>
        <v/>
      </c>
      <c r="O2073" s="73" t="str">
        <f>IF($C2073="","",DATE(YEAR($C2073),MONTH($C2073),1))</f>
        <v/>
      </c>
      <c r="P2073" s="65" t="str">
        <f ca="1">IF($C2073="","",IF(AND($D2073="Gelir",$L2073&lt;&gt;"",$T2073=""),"TANIMSIZ BORÇLU",IF($T2073&lt;&gt;"",IF(OR($E2073="",$G2073&lt;=0),"EKSİK",IF($I2073="Evet","TAHAKKUK NAKİT OLAMAZ",IF($C2073&gt;TODAY(),"İLERİ TARİH","TAHAKKUK"))),IF(AND($D2073&lt;&gt;"",$E2073&lt;&gt;"",$G2073&gt;0,$H2073&lt;&gt;"",$I2073&lt;&gt;""),IF($C2073&gt;TODAY(),"İLERİ TARİH",IF(COUNTIF($W$7:$W$3001,$W2073)&gt;1,"MÜKERRER?",IF($AD2073&gt;0,"KAPALI DÖNEM",IF($I2073="Hayır","ÖDENECEK","UYGUN")))),"EKSİK"))))</f>
        <v/>
      </c>
      <c r="Q2073" s="2"/>
      <c r="R2073" s="2"/>
      <c r="S2073" s="1" t="str">
        <f t="shared" si="98"/>
        <v/>
      </c>
      <c r="T2073" s="1" t="str">
        <f>IF(OR($C2073="",$D2073&lt;&gt;"Gelir",$L2073=""),"",IFERROR(INDEX(MUSTERILER!$B$7:$B$156,MATCH($S2073,MUSTERILER!$T$7:$T$156,0)),""))</f>
        <v/>
      </c>
      <c r="U2073" s="1" t="str">
        <f>IF($T2073="","",$T2073&amp;"|"&amp;COUNTIFS($T$7:$T2073,$T2073))</f>
        <v/>
      </c>
      <c r="V2073" s="1">
        <f t="shared" si="99"/>
        <v>0</v>
      </c>
      <c r="W2073" s="1" t="str">
        <f t="shared" si="100"/>
        <v/>
      </c>
      <c r="X2073" s="1"/>
      <c r="Y2073" s="1"/>
      <c r="Z2073" s="1"/>
      <c r="AA2073" s="1"/>
      <c r="AB2073" s="1"/>
      <c r="AC2073" s="1"/>
      <c r="AD2073" s="1">
        <f>IF($C2073="",0,SUMPRODUCT((AY_SONU!$O$7:$O$42="Evet")*(AY_SONU!$B$7:$B$42=DATE(YEAR($C2073),MONTH($C2073),1))))</f>
        <v>0</v>
      </c>
      <c r="AE2073" s="1" t="str">
        <f>IF($E2073="","",$E2073&amp;"|"&amp;COUNTIFS($E$7:$E2073,$E2073))</f>
        <v/>
      </c>
    </row>
    <row r="2074" spans="1:31" ht="18" customHeight="1" x14ac:dyDescent="0.3">
      <c r="A2074" s="2"/>
      <c r="B2074" s="65" t="str">
        <f>IF($C2074="","","GG"&amp;TEXT(ROW()-6,"00000"))</f>
        <v/>
      </c>
      <c r="C2074" s="66"/>
      <c r="D2074" s="60"/>
      <c r="E2074" s="61"/>
      <c r="F2074" s="61"/>
      <c r="G2074" s="67"/>
      <c r="H2074" s="60"/>
      <c r="I2074" s="60"/>
      <c r="J2074" s="61"/>
      <c r="K2074" s="61"/>
      <c r="L2074" s="60"/>
      <c r="M2074" s="74" t="str">
        <f>IF($C2074="","",IF($D2074="Gider",$E2074,IF($L2074&lt;&gt;"",$L2074,$H2074)))</f>
        <v/>
      </c>
      <c r="N2074" s="74" t="str">
        <f>IF($C2074="","",IF($D2074="Gider",$H2074,$E2074))</f>
        <v/>
      </c>
      <c r="O2074" s="73" t="str">
        <f>IF($C2074="","",DATE(YEAR($C2074),MONTH($C2074),1))</f>
        <v/>
      </c>
      <c r="P2074" s="65" t="str">
        <f ca="1">IF($C2074="","",IF(AND($D2074="Gelir",$L2074&lt;&gt;"",$T2074=""),"TANIMSIZ BORÇLU",IF($T2074&lt;&gt;"",IF(OR($E2074="",$G2074&lt;=0),"EKSİK",IF($I2074="Evet","TAHAKKUK NAKİT OLAMAZ",IF($C2074&gt;TODAY(),"İLERİ TARİH","TAHAKKUK"))),IF(AND($D2074&lt;&gt;"",$E2074&lt;&gt;"",$G2074&gt;0,$H2074&lt;&gt;"",$I2074&lt;&gt;""),IF($C2074&gt;TODAY(),"İLERİ TARİH",IF(COUNTIF($W$7:$W$3001,$W2074)&gt;1,"MÜKERRER?",IF($AD2074&gt;0,"KAPALI DÖNEM",IF($I2074="Hayır","ÖDENECEK","UYGUN")))),"EKSİK"))))</f>
        <v/>
      </c>
      <c r="Q2074" s="2"/>
      <c r="R2074" s="2"/>
      <c r="S2074" s="1" t="str">
        <f t="shared" si="98"/>
        <v/>
      </c>
      <c r="T2074" s="1" t="str">
        <f>IF(OR($C2074="",$D2074&lt;&gt;"Gelir",$L2074=""),"",IFERROR(INDEX(MUSTERILER!$B$7:$B$156,MATCH($S2074,MUSTERILER!$T$7:$T$156,0)),""))</f>
        <v/>
      </c>
      <c r="U2074" s="1" t="str">
        <f>IF($T2074="","",$T2074&amp;"|"&amp;COUNTIFS($T$7:$T2074,$T2074))</f>
        <v/>
      </c>
      <c r="V2074" s="1">
        <f t="shared" si="99"/>
        <v>0</v>
      </c>
      <c r="W2074" s="1" t="str">
        <f t="shared" si="100"/>
        <v/>
      </c>
      <c r="X2074" s="1"/>
      <c r="Y2074" s="1"/>
      <c r="Z2074" s="1"/>
      <c r="AA2074" s="1"/>
      <c r="AB2074" s="1"/>
      <c r="AC2074" s="1"/>
      <c r="AD2074" s="1">
        <f>IF($C2074="",0,SUMPRODUCT((AY_SONU!$O$7:$O$42="Evet")*(AY_SONU!$B$7:$B$42=DATE(YEAR($C2074),MONTH($C2074),1))))</f>
        <v>0</v>
      </c>
      <c r="AE2074" s="1" t="str">
        <f>IF($E2074="","",$E2074&amp;"|"&amp;COUNTIFS($E$7:$E2074,$E2074))</f>
        <v/>
      </c>
    </row>
    <row r="2075" spans="1:31" ht="18" customHeight="1" x14ac:dyDescent="0.3">
      <c r="A2075" s="2"/>
      <c r="B2075" s="65" t="str">
        <f>IF($C2075="","","GG"&amp;TEXT(ROW()-6,"00000"))</f>
        <v/>
      </c>
      <c r="C2075" s="66"/>
      <c r="D2075" s="60"/>
      <c r="E2075" s="61"/>
      <c r="F2075" s="61"/>
      <c r="G2075" s="67"/>
      <c r="H2075" s="60"/>
      <c r="I2075" s="60"/>
      <c r="J2075" s="61"/>
      <c r="K2075" s="61"/>
      <c r="L2075" s="60"/>
      <c r="M2075" s="74" t="str">
        <f>IF($C2075="","",IF($D2075="Gider",$E2075,IF($L2075&lt;&gt;"",$L2075,$H2075)))</f>
        <v/>
      </c>
      <c r="N2075" s="74" t="str">
        <f>IF($C2075="","",IF($D2075="Gider",$H2075,$E2075))</f>
        <v/>
      </c>
      <c r="O2075" s="73" t="str">
        <f>IF($C2075="","",DATE(YEAR($C2075),MONTH($C2075),1))</f>
        <v/>
      </c>
      <c r="P2075" s="65" t="str">
        <f ca="1">IF($C2075="","",IF(AND($D2075="Gelir",$L2075&lt;&gt;"",$T2075=""),"TANIMSIZ BORÇLU",IF($T2075&lt;&gt;"",IF(OR($E2075="",$G2075&lt;=0),"EKSİK",IF($I2075="Evet","TAHAKKUK NAKİT OLAMAZ",IF($C2075&gt;TODAY(),"İLERİ TARİH","TAHAKKUK"))),IF(AND($D2075&lt;&gt;"",$E2075&lt;&gt;"",$G2075&gt;0,$H2075&lt;&gt;"",$I2075&lt;&gt;""),IF($C2075&gt;TODAY(),"İLERİ TARİH",IF(COUNTIF($W$7:$W$3001,$W2075)&gt;1,"MÜKERRER?",IF($AD2075&gt;0,"KAPALI DÖNEM",IF($I2075="Hayır","ÖDENECEK","UYGUN")))),"EKSİK"))))</f>
        <v/>
      </c>
      <c r="Q2075" s="2"/>
      <c r="R2075" s="2"/>
      <c r="S2075" s="1" t="str">
        <f t="shared" si="98"/>
        <v/>
      </c>
      <c r="T2075" s="1" t="str">
        <f>IF(OR($C2075="",$D2075&lt;&gt;"Gelir",$L2075=""),"",IFERROR(INDEX(MUSTERILER!$B$7:$B$156,MATCH($S2075,MUSTERILER!$T$7:$T$156,0)),""))</f>
        <v/>
      </c>
      <c r="U2075" s="1" t="str">
        <f>IF($T2075="","",$T2075&amp;"|"&amp;COUNTIFS($T$7:$T2075,$T2075))</f>
        <v/>
      </c>
      <c r="V2075" s="1">
        <f t="shared" si="99"/>
        <v>0</v>
      </c>
      <c r="W2075" s="1" t="str">
        <f t="shared" si="100"/>
        <v/>
      </c>
      <c r="X2075" s="1"/>
      <c r="Y2075" s="1"/>
      <c r="Z2075" s="1"/>
      <c r="AA2075" s="1"/>
      <c r="AB2075" s="1"/>
      <c r="AC2075" s="1"/>
      <c r="AD2075" s="1">
        <f>IF($C2075="",0,SUMPRODUCT((AY_SONU!$O$7:$O$42="Evet")*(AY_SONU!$B$7:$B$42=DATE(YEAR($C2075),MONTH($C2075),1))))</f>
        <v>0</v>
      </c>
      <c r="AE2075" s="1" t="str">
        <f>IF($E2075="","",$E2075&amp;"|"&amp;COUNTIFS($E$7:$E2075,$E2075))</f>
        <v/>
      </c>
    </row>
    <row r="2076" spans="1:31" ht="18" customHeight="1" x14ac:dyDescent="0.3">
      <c r="A2076" s="2"/>
      <c r="B2076" s="65" t="str">
        <f>IF($C2076="","","GG"&amp;TEXT(ROW()-6,"00000"))</f>
        <v/>
      </c>
      <c r="C2076" s="66"/>
      <c r="D2076" s="60"/>
      <c r="E2076" s="61"/>
      <c r="F2076" s="61"/>
      <c r="G2076" s="67"/>
      <c r="H2076" s="60"/>
      <c r="I2076" s="60"/>
      <c r="J2076" s="61"/>
      <c r="K2076" s="61"/>
      <c r="L2076" s="60"/>
      <c r="M2076" s="74" t="str">
        <f>IF($C2076="","",IF($D2076="Gider",$E2076,IF($L2076&lt;&gt;"",$L2076,$H2076)))</f>
        <v/>
      </c>
      <c r="N2076" s="74" t="str">
        <f>IF($C2076="","",IF($D2076="Gider",$H2076,$E2076))</f>
        <v/>
      </c>
      <c r="O2076" s="73" t="str">
        <f>IF($C2076="","",DATE(YEAR($C2076),MONTH($C2076),1))</f>
        <v/>
      </c>
      <c r="P2076" s="65" t="str">
        <f ca="1">IF($C2076="","",IF(AND($D2076="Gelir",$L2076&lt;&gt;"",$T2076=""),"TANIMSIZ BORÇLU",IF($T2076&lt;&gt;"",IF(OR($E2076="",$G2076&lt;=0),"EKSİK",IF($I2076="Evet","TAHAKKUK NAKİT OLAMAZ",IF($C2076&gt;TODAY(),"İLERİ TARİH","TAHAKKUK"))),IF(AND($D2076&lt;&gt;"",$E2076&lt;&gt;"",$G2076&gt;0,$H2076&lt;&gt;"",$I2076&lt;&gt;""),IF($C2076&gt;TODAY(),"İLERİ TARİH",IF(COUNTIF($W$7:$W$3001,$W2076)&gt;1,"MÜKERRER?",IF($AD2076&gt;0,"KAPALI DÖNEM",IF($I2076="Hayır","ÖDENECEK","UYGUN")))),"EKSİK"))))</f>
        <v/>
      </c>
      <c r="Q2076" s="2"/>
      <c r="R2076" s="2"/>
      <c r="S2076" s="1" t="str">
        <f t="shared" si="98"/>
        <v/>
      </c>
      <c r="T2076" s="1" t="str">
        <f>IF(OR($C2076="",$D2076&lt;&gt;"Gelir",$L2076=""),"",IFERROR(INDEX(MUSTERILER!$B$7:$B$156,MATCH($S2076,MUSTERILER!$T$7:$T$156,0)),""))</f>
        <v/>
      </c>
      <c r="U2076" s="1" t="str">
        <f>IF($T2076="","",$T2076&amp;"|"&amp;COUNTIFS($T$7:$T2076,$T2076))</f>
        <v/>
      </c>
      <c r="V2076" s="1">
        <f t="shared" si="99"/>
        <v>0</v>
      </c>
      <c r="W2076" s="1" t="str">
        <f t="shared" si="100"/>
        <v/>
      </c>
      <c r="X2076" s="1"/>
      <c r="Y2076" s="1"/>
      <c r="Z2076" s="1"/>
      <c r="AA2076" s="1"/>
      <c r="AB2076" s="1"/>
      <c r="AC2076" s="1"/>
      <c r="AD2076" s="1">
        <f>IF($C2076="",0,SUMPRODUCT((AY_SONU!$O$7:$O$42="Evet")*(AY_SONU!$B$7:$B$42=DATE(YEAR($C2076),MONTH($C2076),1))))</f>
        <v>0</v>
      </c>
      <c r="AE2076" s="1" t="str">
        <f>IF($E2076="","",$E2076&amp;"|"&amp;COUNTIFS($E$7:$E2076,$E2076))</f>
        <v/>
      </c>
    </row>
    <row r="2077" spans="1:31" ht="18" customHeight="1" x14ac:dyDescent="0.3">
      <c r="A2077" s="2"/>
      <c r="B2077" s="65" t="str">
        <f>IF($C2077="","","GG"&amp;TEXT(ROW()-6,"00000"))</f>
        <v/>
      </c>
      <c r="C2077" s="66"/>
      <c r="D2077" s="60"/>
      <c r="E2077" s="61"/>
      <c r="F2077" s="61"/>
      <c r="G2077" s="67"/>
      <c r="H2077" s="60"/>
      <c r="I2077" s="60"/>
      <c r="J2077" s="61"/>
      <c r="K2077" s="61"/>
      <c r="L2077" s="60"/>
      <c r="M2077" s="74" t="str">
        <f>IF($C2077="","",IF($D2077="Gider",$E2077,IF($L2077&lt;&gt;"",$L2077,$H2077)))</f>
        <v/>
      </c>
      <c r="N2077" s="74" t="str">
        <f>IF($C2077="","",IF($D2077="Gider",$H2077,$E2077))</f>
        <v/>
      </c>
      <c r="O2077" s="73" t="str">
        <f>IF($C2077="","",DATE(YEAR($C2077),MONTH($C2077),1))</f>
        <v/>
      </c>
      <c r="P2077" s="65" t="str">
        <f ca="1">IF($C2077="","",IF(AND($D2077="Gelir",$L2077&lt;&gt;"",$T2077=""),"TANIMSIZ BORÇLU",IF($T2077&lt;&gt;"",IF(OR($E2077="",$G2077&lt;=0),"EKSİK",IF($I2077="Evet","TAHAKKUK NAKİT OLAMAZ",IF($C2077&gt;TODAY(),"İLERİ TARİH","TAHAKKUK"))),IF(AND($D2077&lt;&gt;"",$E2077&lt;&gt;"",$G2077&gt;0,$H2077&lt;&gt;"",$I2077&lt;&gt;""),IF($C2077&gt;TODAY(),"İLERİ TARİH",IF(COUNTIF($W$7:$W$3001,$W2077)&gt;1,"MÜKERRER?",IF($AD2077&gt;0,"KAPALI DÖNEM",IF($I2077="Hayır","ÖDENECEK","UYGUN")))),"EKSİK"))))</f>
        <v/>
      </c>
      <c r="Q2077" s="2"/>
      <c r="R2077" s="2"/>
      <c r="S2077" s="1" t="str">
        <f t="shared" si="98"/>
        <v/>
      </c>
      <c r="T2077" s="1" t="str">
        <f>IF(OR($C2077="",$D2077&lt;&gt;"Gelir",$L2077=""),"",IFERROR(INDEX(MUSTERILER!$B$7:$B$156,MATCH($S2077,MUSTERILER!$T$7:$T$156,0)),""))</f>
        <v/>
      </c>
      <c r="U2077" s="1" t="str">
        <f>IF($T2077="","",$T2077&amp;"|"&amp;COUNTIFS($T$7:$T2077,$T2077))</f>
        <v/>
      </c>
      <c r="V2077" s="1">
        <f t="shared" si="99"/>
        <v>0</v>
      </c>
      <c r="W2077" s="1" t="str">
        <f t="shared" si="100"/>
        <v/>
      </c>
      <c r="X2077" s="1"/>
      <c r="Y2077" s="1"/>
      <c r="Z2077" s="1"/>
      <c r="AA2077" s="1"/>
      <c r="AB2077" s="1"/>
      <c r="AC2077" s="1"/>
      <c r="AD2077" s="1">
        <f>IF($C2077="",0,SUMPRODUCT((AY_SONU!$O$7:$O$42="Evet")*(AY_SONU!$B$7:$B$42=DATE(YEAR($C2077),MONTH($C2077),1))))</f>
        <v>0</v>
      </c>
      <c r="AE2077" s="1" t="str">
        <f>IF($E2077="","",$E2077&amp;"|"&amp;COUNTIFS($E$7:$E2077,$E2077))</f>
        <v/>
      </c>
    </row>
    <row r="2078" spans="1:31" ht="18" customHeight="1" x14ac:dyDescent="0.3">
      <c r="A2078" s="2"/>
      <c r="B2078" s="65" t="str">
        <f>IF($C2078="","","GG"&amp;TEXT(ROW()-6,"00000"))</f>
        <v/>
      </c>
      <c r="C2078" s="66"/>
      <c r="D2078" s="60"/>
      <c r="E2078" s="61"/>
      <c r="F2078" s="61"/>
      <c r="G2078" s="67"/>
      <c r="H2078" s="60"/>
      <c r="I2078" s="60"/>
      <c r="J2078" s="61"/>
      <c r="K2078" s="61"/>
      <c r="L2078" s="60"/>
      <c r="M2078" s="74" t="str">
        <f>IF($C2078="","",IF($D2078="Gider",$E2078,IF($L2078&lt;&gt;"",$L2078,$H2078)))</f>
        <v/>
      </c>
      <c r="N2078" s="74" t="str">
        <f>IF($C2078="","",IF($D2078="Gider",$H2078,$E2078))</f>
        <v/>
      </c>
      <c r="O2078" s="73" t="str">
        <f>IF($C2078="","",DATE(YEAR($C2078),MONTH($C2078),1))</f>
        <v/>
      </c>
      <c r="P2078" s="65" t="str">
        <f ca="1">IF($C2078="","",IF(AND($D2078="Gelir",$L2078&lt;&gt;"",$T2078=""),"TANIMSIZ BORÇLU",IF($T2078&lt;&gt;"",IF(OR($E2078="",$G2078&lt;=0),"EKSİK",IF($I2078="Evet","TAHAKKUK NAKİT OLAMAZ",IF($C2078&gt;TODAY(),"İLERİ TARİH","TAHAKKUK"))),IF(AND($D2078&lt;&gt;"",$E2078&lt;&gt;"",$G2078&gt;0,$H2078&lt;&gt;"",$I2078&lt;&gt;""),IF($C2078&gt;TODAY(),"İLERİ TARİH",IF(COUNTIF($W$7:$W$3001,$W2078)&gt;1,"MÜKERRER?",IF($AD2078&gt;0,"KAPALI DÖNEM",IF($I2078="Hayır","ÖDENECEK","UYGUN")))),"EKSİK"))))</f>
        <v/>
      </c>
      <c r="Q2078" s="2"/>
      <c r="R2078" s="2"/>
      <c r="S2078" s="1" t="str">
        <f t="shared" si="98"/>
        <v/>
      </c>
      <c r="T2078" s="1" t="str">
        <f>IF(OR($C2078="",$D2078&lt;&gt;"Gelir",$L2078=""),"",IFERROR(INDEX(MUSTERILER!$B$7:$B$156,MATCH($S2078,MUSTERILER!$T$7:$T$156,0)),""))</f>
        <v/>
      </c>
      <c r="U2078" s="1" t="str">
        <f>IF($T2078="","",$T2078&amp;"|"&amp;COUNTIFS($T$7:$T2078,$T2078))</f>
        <v/>
      </c>
      <c r="V2078" s="1">
        <f t="shared" si="99"/>
        <v>0</v>
      </c>
      <c r="W2078" s="1" t="str">
        <f t="shared" si="100"/>
        <v/>
      </c>
      <c r="X2078" s="1"/>
      <c r="Y2078" s="1"/>
      <c r="Z2078" s="1"/>
      <c r="AA2078" s="1"/>
      <c r="AB2078" s="1"/>
      <c r="AC2078" s="1"/>
      <c r="AD2078" s="1">
        <f>IF($C2078="",0,SUMPRODUCT((AY_SONU!$O$7:$O$42="Evet")*(AY_SONU!$B$7:$B$42=DATE(YEAR($C2078),MONTH($C2078),1))))</f>
        <v>0</v>
      </c>
      <c r="AE2078" s="1" t="str">
        <f>IF($E2078="","",$E2078&amp;"|"&amp;COUNTIFS($E$7:$E2078,$E2078))</f>
        <v/>
      </c>
    </row>
    <row r="2079" spans="1:31" ht="18" customHeight="1" x14ac:dyDescent="0.3">
      <c r="A2079" s="2"/>
      <c r="B2079" s="65" t="str">
        <f>IF($C2079="","","GG"&amp;TEXT(ROW()-6,"00000"))</f>
        <v/>
      </c>
      <c r="C2079" s="66"/>
      <c r="D2079" s="60"/>
      <c r="E2079" s="61"/>
      <c r="F2079" s="61"/>
      <c r="G2079" s="67"/>
      <c r="H2079" s="60"/>
      <c r="I2079" s="60"/>
      <c r="J2079" s="61"/>
      <c r="K2079" s="61"/>
      <c r="L2079" s="60"/>
      <c r="M2079" s="74" t="str">
        <f>IF($C2079="","",IF($D2079="Gider",$E2079,IF($L2079&lt;&gt;"",$L2079,$H2079)))</f>
        <v/>
      </c>
      <c r="N2079" s="74" t="str">
        <f>IF($C2079="","",IF($D2079="Gider",$H2079,$E2079))</f>
        <v/>
      </c>
      <c r="O2079" s="73" t="str">
        <f>IF($C2079="","",DATE(YEAR($C2079),MONTH($C2079),1))</f>
        <v/>
      </c>
      <c r="P2079" s="65" t="str">
        <f ca="1">IF($C2079="","",IF(AND($D2079="Gelir",$L2079&lt;&gt;"",$T2079=""),"TANIMSIZ BORÇLU",IF($T2079&lt;&gt;"",IF(OR($E2079="",$G2079&lt;=0),"EKSİK",IF($I2079="Evet","TAHAKKUK NAKİT OLAMAZ",IF($C2079&gt;TODAY(),"İLERİ TARİH","TAHAKKUK"))),IF(AND($D2079&lt;&gt;"",$E2079&lt;&gt;"",$G2079&gt;0,$H2079&lt;&gt;"",$I2079&lt;&gt;""),IF($C2079&gt;TODAY(),"İLERİ TARİH",IF(COUNTIF($W$7:$W$3001,$W2079)&gt;1,"MÜKERRER?",IF($AD2079&gt;0,"KAPALI DÖNEM",IF($I2079="Hayır","ÖDENECEK","UYGUN")))),"EKSİK"))))</f>
        <v/>
      </c>
      <c r="Q2079" s="2"/>
      <c r="R2079" s="2"/>
      <c r="S2079" s="1" t="str">
        <f t="shared" si="98"/>
        <v/>
      </c>
      <c r="T2079" s="1" t="str">
        <f>IF(OR($C2079="",$D2079&lt;&gt;"Gelir",$L2079=""),"",IFERROR(INDEX(MUSTERILER!$B$7:$B$156,MATCH($S2079,MUSTERILER!$T$7:$T$156,0)),""))</f>
        <v/>
      </c>
      <c r="U2079" s="1" t="str">
        <f>IF($T2079="","",$T2079&amp;"|"&amp;COUNTIFS($T$7:$T2079,$T2079))</f>
        <v/>
      </c>
      <c r="V2079" s="1">
        <f t="shared" si="99"/>
        <v>0</v>
      </c>
      <c r="W2079" s="1" t="str">
        <f t="shared" si="100"/>
        <v/>
      </c>
      <c r="X2079" s="1"/>
      <c r="Y2079" s="1"/>
      <c r="Z2079" s="1"/>
      <c r="AA2079" s="1"/>
      <c r="AB2079" s="1"/>
      <c r="AC2079" s="1"/>
      <c r="AD2079" s="1">
        <f>IF($C2079="",0,SUMPRODUCT((AY_SONU!$O$7:$O$42="Evet")*(AY_SONU!$B$7:$B$42=DATE(YEAR($C2079),MONTH($C2079),1))))</f>
        <v>0</v>
      </c>
      <c r="AE2079" s="1" t="str">
        <f>IF($E2079="","",$E2079&amp;"|"&amp;COUNTIFS($E$7:$E2079,$E2079))</f>
        <v/>
      </c>
    </row>
    <row r="2080" spans="1:31" ht="18" customHeight="1" x14ac:dyDescent="0.3">
      <c r="A2080" s="2"/>
      <c r="B2080" s="65" t="str">
        <f>IF($C2080="","","GG"&amp;TEXT(ROW()-6,"00000"))</f>
        <v/>
      </c>
      <c r="C2080" s="66"/>
      <c r="D2080" s="60"/>
      <c r="E2080" s="61"/>
      <c r="F2080" s="61"/>
      <c r="G2080" s="67"/>
      <c r="H2080" s="60"/>
      <c r="I2080" s="60"/>
      <c r="J2080" s="61"/>
      <c r="K2080" s="61"/>
      <c r="L2080" s="60"/>
      <c r="M2080" s="74" t="str">
        <f>IF($C2080="","",IF($D2080="Gider",$E2080,IF($L2080&lt;&gt;"",$L2080,$H2080)))</f>
        <v/>
      </c>
      <c r="N2080" s="74" t="str">
        <f>IF($C2080="","",IF($D2080="Gider",$H2080,$E2080))</f>
        <v/>
      </c>
      <c r="O2080" s="73" t="str">
        <f>IF($C2080="","",DATE(YEAR($C2080),MONTH($C2080),1))</f>
        <v/>
      </c>
      <c r="P2080" s="65" t="str">
        <f ca="1">IF($C2080="","",IF(AND($D2080="Gelir",$L2080&lt;&gt;"",$T2080=""),"TANIMSIZ BORÇLU",IF($T2080&lt;&gt;"",IF(OR($E2080="",$G2080&lt;=0),"EKSİK",IF($I2080="Evet","TAHAKKUK NAKİT OLAMAZ",IF($C2080&gt;TODAY(),"İLERİ TARİH","TAHAKKUK"))),IF(AND($D2080&lt;&gt;"",$E2080&lt;&gt;"",$G2080&gt;0,$H2080&lt;&gt;"",$I2080&lt;&gt;""),IF($C2080&gt;TODAY(),"İLERİ TARİH",IF(COUNTIF($W$7:$W$3001,$W2080)&gt;1,"MÜKERRER?",IF($AD2080&gt;0,"KAPALI DÖNEM",IF($I2080="Hayır","ÖDENECEK","UYGUN")))),"EKSİK"))))</f>
        <v/>
      </c>
      <c r="Q2080" s="2"/>
      <c r="R2080" s="2"/>
      <c r="S2080" s="1" t="str">
        <f t="shared" si="98"/>
        <v/>
      </c>
      <c r="T2080" s="1" t="str">
        <f>IF(OR($C2080="",$D2080&lt;&gt;"Gelir",$L2080=""),"",IFERROR(INDEX(MUSTERILER!$B$7:$B$156,MATCH($S2080,MUSTERILER!$T$7:$T$156,0)),""))</f>
        <v/>
      </c>
      <c r="U2080" s="1" t="str">
        <f>IF($T2080="","",$T2080&amp;"|"&amp;COUNTIFS($T$7:$T2080,$T2080))</f>
        <v/>
      </c>
      <c r="V2080" s="1">
        <f t="shared" si="99"/>
        <v>0</v>
      </c>
      <c r="W2080" s="1" t="str">
        <f t="shared" si="100"/>
        <v/>
      </c>
      <c r="X2080" s="1"/>
      <c r="Y2080" s="1"/>
      <c r="Z2080" s="1"/>
      <c r="AA2080" s="1"/>
      <c r="AB2080" s="1"/>
      <c r="AC2080" s="1"/>
      <c r="AD2080" s="1">
        <f>IF($C2080="",0,SUMPRODUCT((AY_SONU!$O$7:$O$42="Evet")*(AY_SONU!$B$7:$B$42=DATE(YEAR($C2080),MONTH($C2080),1))))</f>
        <v>0</v>
      </c>
      <c r="AE2080" s="1" t="str">
        <f>IF($E2080="","",$E2080&amp;"|"&amp;COUNTIFS($E$7:$E2080,$E2080))</f>
        <v/>
      </c>
    </row>
    <row r="2081" spans="1:31" ht="18" customHeight="1" x14ac:dyDescent="0.3">
      <c r="A2081" s="2"/>
      <c r="B2081" s="65" t="str">
        <f>IF($C2081="","","GG"&amp;TEXT(ROW()-6,"00000"))</f>
        <v/>
      </c>
      <c r="C2081" s="66"/>
      <c r="D2081" s="60"/>
      <c r="E2081" s="61"/>
      <c r="F2081" s="61"/>
      <c r="G2081" s="67"/>
      <c r="H2081" s="60"/>
      <c r="I2081" s="60"/>
      <c r="J2081" s="61"/>
      <c r="K2081" s="61"/>
      <c r="L2081" s="60"/>
      <c r="M2081" s="74" t="str">
        <f>IF($C2081="","",IF($D2081="Gider",$E2081,IF($L2081&lt;&gt;"",$L2081,$H2081)))</f>
        <v/>
      </c>
      <c r="N2081" s="74" t="str">
        <f>IF($C2081="","",IF($D2081="Gider",$H2081,$E2081))</f>
        <v/>
      </c>
      <c r="O2081" s="73" t="str">
        <f>IF($C2081="","",DATE(YEAR($C2081),MONTH($C2081),1))</f>
        <v/>
      </c>
      <c r="P2081" s="65" t="str">
        <f ca="1">IF($C2081="","",IF(AND($D2081="Gelir",$L2081&lt;&gt;"",$T2081=""),"TANIMSIZ BORÇLU",IF($T2081&lt;&gt;"",IF(OR($E2081="",$G2081&lt;=0),"EKSİK",IF($I2081="Evet","TAHAKKUK NAKİT OLAMAZ",IF($C2081&gt;TODAY(),"İLERİ TARİH","TAHAKKUK"))),IF(AND($D2081&lt;&gt;"",$E2081&lt;&gt;"",$G2081&gt;0,$H2081&lt;&gt;"",$I2081&lt;&gt;""),IF($C2081&gt;TODAY(),"İLERİ TARİH",IF(COUNTIF($W$7:$W$3001,$W2081)&gt;1,"MÜKERRER?",IF($AD2081&gt;0,"KAPALI DÖNEM",IF($I2081="Hayır","ÖDENECEK","UYGUN")))),"EKSİK"))))</f>
        <v/>
      </c>
      <c r="Q2081" s="2"/>
      <c r="R2081" s="2"/>
      <c r="S2081" s="1" t="str">
        <f t="shared" si="98"/>
        <v/>
      </c>
      <c r="T2081" s="1" t="str">
        <f>IF(OR($C2081="",$D2081&lt;&gt;"Gelir",$L2081=""),"",IFERROR(INDEX(MUSTERILER!$B$7:$B$156,MATCH($S2081,MUSTERILER!$T$7:$T$156,0)),""))</f>
        <v/>
      </c>
      <c r="U2081" s="1" t="str">
        <f>IF($T2081="","",$T2081&amp;"|"&amp;COUNTIFS($T$7:$T2081,$T2081))</f>
        <v/>
      </c>
      <c r="V2081" s="1">
        <f t="shared" si="99"/>
        <v>0</v>
      </c>
      <c r="W2081" s="1" t="str">
        <f t="shared" si="100"/>
        <v/>
      </c>
      <c r="X2081" s="1"/>
      <c r="Y2081" s="1"/>
      <c r="Z2081" s="1"/>
      <c r="AA2081" s="1"/>
      <c r="AB2081" s="1"/>
      <c r="AC2081" s="1"/>
      <c r="AD2081" s="1">
        <f>IF($C2081="",0,SUMPRODUCT((AY_SONU!$O$7:$O$42="Evet")*(AY_SONU!$B$7:$B$42=DATE(YEAR($C2081),MONTH($C2081),1))))</f>
        <v>0</v>
      </c>
      <c r="AE2081" s="1" t="str">
        <f>IF($E2081="","",$E2081&amp;"|"&amp;COUNTIFS($E$7:$E2081,$E2081))</f>
        <v/>
      </c>
    </row>
    <row r="2082" spans="1:31" ht="18" customHeight="1" x14ac:dyDescent="0.3">
      <c r="A2082" s="2"/>
      <c r="B2082" s="65" t="str">
        <f>IF($C2082="","","GG"&amp;TEXT(ROW()-6,"00000"))</f>
        <v/>
      </c>
      <c r="C2082" s="66"/>
      <c r="D2082" s="60"/>
      <c r="E2082" s="61"/>
      <c r="F2082" s="61"/>
      <c r="G2082" s="67"/>
      <c r="H2082" s="60"/>
      <c r="I2082" s="60"/>
      <c r="J2082" s="61"/>
      <c r="K2082" s="61"/>
      <c r="L2082" s="60"/>
      <c r="M2082" s="74" t="str">
        <f>IF($C2082="","",IF($D2082="Gider",$E2082,IF($L2082&lt;&gt;"",$L2082,$H2082)))</f>
        <v/>
      </c>
      <c r="N2082" s="74" t="str">
        <f>IF($C2082="","",IF($D2082="Gider",$H2082,$E2082))</f>
        <v/>
      </c>
      <c r="O2082" s="73" t="str">
        <f>IF($C2082="","",DATE(YEAR($C2082),MONTH($C2082),1))</f>
        <v/>
      </c>
      <c r="P2082" s="65" t="str">
        <f ca="1">IF($C2082="","",IF(AND($D2082="Gelir",$L2082&lt;&gt;"",$T2082=""),"TANIMSIZ BORÇLU",IF($T2082&lt;&gt;"",IF(OR($E2082="",$G2082&lt;=0),"EKSİK",IF($I2082="Evet","TAHAKKUK NAKİT OLAMAZ",IF($C2082&gt;TODAY(),"İLERİ TARİH","TAHAKKUK"))),IF(AND($D2082&lt;&gt;"",$E2082&lt;&gt;"",$G2082&gt;0,$H2082&lt;&gt;"",$I2082&lt;&gt;""),IF($C2082&gt;TODAY(),"İLERİ TARİH",IF(COUNTIF($W$7:$W$3001,$W2082)&gt;1,"MÜKERRER?",IF($AD2082&gt;0,"KAPALI DÖNEM",IF($I2082="Hayır","ÖDENECEK","UYGUN")))),"EKSİK"))))</f>
        <v/>
      </c>
      <c r="Q2082" s="2"/>
      <c r="R2082" s="2"/>
      <c r="S2082" s="1" t="str">
        <f t="shared" si="98"/>
        <v/>
      </c>
      <c r="T2082" s="1" t="str">
        <f>IF(OR($C2082="",$D2082&lt;&gt;"Gelir",$L2082=""),"",IFERROR(INDEX(MUSTERILER!$B$7:$B$156,MATCH($S2082,MUSTERILER!$T$7:$T$156,0)),""))</f>
        <v/>
      </c>
      <c r="U2082" s="1" t="str">
        <f>IF($T2082="","",$T2082&amp;"|"&amp;COUNTIFS($T$7:$T2082,$T2082))</f>
        <v/>
      </c>
      <c r="V2082" s="1">
        <f t="shared" si="99"/>
        <v>0</v>
      </c>
      <c r="W2082" s="1" t="str">
        <f t="shared" si="100"/>
        <v/>
      </c>
      <c r="X2082" s="1"/>
      <c r="Y2082" s="1"/>
      <c r="Z2082" s="1"/>
      <c r="AA2082" s="1"/>
      <c r="AB2082" s="1"/>
      <c r="AC2082" s="1"/>
      <c r="AD2082" s="1">
        <f>IF($C2082="",0,SUMPRODUCT((AY_SONU!$O$7:$O$42="Evet")*(AY_SONU!$B$7:$B$42=DATE(YEAR($C2082),MONTH($C2082),1))))</f>
        <v>0</v>
      </c>
      <c r="AE2082" s="1" t="str">
        <f>IF($E2082="","",$E2082&amp;"|"&amp;COUNTIFS($E$7:$E2082,$E2082))</f>
        <v/>
      </c>
    </row>
    <row r="2083" spans="1:31" ht="18" customHeight="1" x14ac:dyDescent="0.3">
      <c r="A2083" s="2"/>
      <c r="B2083" s="65" t="str">
        <f>IF($C2083="","","GG"&amp;TEXT(ROW()-6,"00000"))</f>
        <v/>
      </c>
      <c r="C2083" s="66"/>
      <c r="D2083" s="60"/>
      <c r="E2083" s="61"/>
      <c r="F2083" s="61"/>
      <c r="G2083" s="67"/>
      <c r="H2083" s="60"/>
      <c r="I2083" s="60"/>
      <c r="J2083" s="61"/>
      <c r="K2083" s="61"/>
      <c r="L2083" s="60"/>
      <c r="M2083" s="74" t="str">
        <f>IF($C2083="","",IF($D2083="Gider",$E2083,IF($L2083&lt;&gt;"",$L2083,$H2083)))</f>
        <v/>
      </c>
      <c r="N2083" s="74" t="str">
        <f>IF($C2083="","",IF($D2083="Gider",$H2083,$E2083))</f>
        <v/>
      </c>
      <c r="O2083" s="73" t="str">
        <f>IF($C2083="","",DATE(YEAR($C2083),MONTH($C2083),1))</f>
        <v/>
      </c>
      <c r="P2083" s="65" t="str">
        <f ca="1">IF($C2083="","",IF(AND($D2083="Gelir",$L2083&lt;&gt;"",$T2083=""),"TANIMSIZ BORÇLU",IF($T2083&lt;&gt;"",IF(OR($E2083="",$G2083&lt;=0),"EKSİK",IF($I2083="Evet","TAHAKKUK NAKİT OLAMAZ",IF($C2083&gt;TODAY(),"İLERİ TARİH","TAHAKKUK"))),IF(AND($D2083&lt;&gt;"",$E2083&lt;&gt;"",$G2083&gt;0,$H2083&lt;&gt;"",$I2083&lt;&gt;""),IF($C2083&gt;TODAY(),"İLERİ TARİH",IF(COUNTIF($W$7:$W$3001,$W2083)&gt;1,"MÜKERRER?",IF($AD2083&gt;0,"KAPALI DÖNEM",IF($I2083="Hayır","ÖDENECEK","UYGUN")))),"EKSİK"))))</f>
        <v/>
      </c>
      <c r="Q2083" s="2"/>
      <c r="R2083" s="2"/>
      <c r="S2083" s="1" t="str">
        <f t="shared" si="98"/>
        <v/>
      </c>
      <c r="T2083" s="1" t="str">
        <f>IF(OR($C2083="",$D2083&lt;&gt;"Gelir",$L2083=""),"",IFERROR(INDEX(MUSTERILER!$B$7:$B$156,MATCH($S2083,MUSTERILER!$T$7:$T$156,0)),""))</f>
        <v/>
      </c>
      <c r="U2083" s="1" t="str">
        <f>IF($T2083="","",$T2083&amp;"|"&amp;COUNTIFS($T$7:$T2083,$T2083))</f>
        <v/>
      </c>
      <c r="V2083" s="1">
        <f t="shared" si="99"/>
        <v>0</v>
      </c>
      <c r="W2083" s="1" t="str">
        <f t="shared" si="100"/>
        <v/>
      </c>
      <c r="X2083" s="1"/>
      <c r="Y2083" s="1"/>
      <c r="Z2083" s="1"/>
      <c r="AA2083" s="1"/>
      <c r="AB2083" s="1"/>
      <c r="AC2083" s="1"/>
      <c r="AD2083" s="1">
        <f>IF($C2083="",0,SUMPRODUCT((AY_SONU!$O$7:$O$42="Evet")*(AY_SONU!$B$7:$B$42=DATE(YEAR($C2083),MONTH($C2083),1))))</f>
        <v>0</v>
      </c>
      <c r="AE2083" s="1" t="str">
        <f>IF($E2083="","",$E2083&amp;"|"&amp;COUNTIFS($E$7:$E2083,$E2083))</f>
        <v/>
      </c>
    </row>
    <row r="2084" spans="1:31" ht="18" customHeight="1" x14ac:dyDescent="0.3">
      <c r="A2084" s="2"/>
      <c r="B2084" s="65" t="str">
        <f>IF($C2084="","","GG"&amp;TEXT(ROW()-6,"00000"))</f>
        <v/>
      </c>
      <c r="C2084" s="66"/>
      <c r="D2084" s="60"/>
      <c r="E2084" s="61"/>
      <c r="F2084" s="61"/>
      <c r="G2084" s="67"/>
      <c r="H2084" s="60"/>
      <c r="I2084" s="60"/>
      <c r="J2084" s="61"/>
      <c r="K2084" s="61"/>
      <c r="L2084" s="60"/>
      <c r="M2084" s="74" t="str">
        <f>IF($C2084="","",IF($D2084="Gider",$E2084,IF($L2084&lt;&gt;"",$L2084,$H2084)))</f>
        <v/>
      </c>
      <c r="N2084" s="74" t="str">
        <f>IF($C2084="","",IF($D2084="Gider",$H2084,$E2084))</f>
        <v/>
      </c>
      <c r="O2084" s="73" t="str">
        <f>IF($C2084="","",DATE(YEAR($C2084),MONTH($C2084),1))</f>
        <v/>
      </c>
      <c r="P2084" s="65" t="str">
        <f ca="1">IF($C2084="","",IF(AND($D2084="Gelir",$L2084&lt;&gt;"",$T2084=""),"TANIMSIZ BORÇLU",IF($T2084&lt;&gt;"",IF(OR($E2084="",$G2084&lt;=0),"EKSİK",IF($I2084="Evet","TAHAKKUK NAKİT OLAMAZ",IF($C2084&gt;TODAY(),"İLERİ TARİH","TAHAKKUK"))),IF(AND($D2084&lt;&gt;"",$E2084&lt;&gt;"",$G2084&gt;0,$H2084&lt;&gt;"",$I2084&lt;&gt;""),IF($C2084&gt;TODAY(),"İLERİ TARİH",IF(COUNTIF($W$7:$W$3001,$W2084)&gt;1,"MÜKERRER?",IF($AD2084&gt;0,"KAPALI DÖNEM",IF($I2084="Hayır","ÖDENECEK","UYGUN")))),"EKSİK"))))</f>
        <v/>
      </c>
      <c r="Q2084" s="2"/>
      <c r="R2084" s="2"/>
      <c r="S2084" s="1" t="str">
        <f t="shared" si="98"/>
        <v/>
      </c>
      <c r="T2084" s="1" t="str">
        <f>IF(OR($C2084="",$D2084&lt;&gt;"Gelir",$L2084=""),"",IFERROR(INDEX(MUSTERILER!$B$7:$B$156,MATCH($S2084,MUSTERILER!$T$7:$T$156,0)),""))</f>
        <v/>
      </c>
      <c r="U2084" s="1" t="str">
        <f>IF($T2084="","",$T2084&amp;"|"&amp;COUNTIFS($T$7:$T2084,$T2084))</f>
        <v/>
      </c>
      <c r="V2084" s="1">
        <f t="shared" si="99"/>
        <v>0</v>
      </c>
      <c r="W2084" s="1" t="str">
        <f t="shared" si="100"/>
        <v/>
      </c>
      <c r="X2084" s="1"/>
      <c r="Y2084" s="1"/>
      <c r="Z2084" s="1"/>
      <c r="AA2084" s="1"/>
      <c r="AB2084" s="1"/>
      <c r="AC2084" s="1"/>
      <c r="AD2084" s="1">
        <f>IF($C2084="",0,SUMPRODUCT((AY_SONU!$O$7:$O$42="Evet")*(AY_SONU!$B$7:$B$42=DATE(YEAR($C2084),MONTH($C2084),1))))</f>
        <v>0</v>
      </c>
      <c r="AE2084" s="1" t="str">
        <f>IF($E2084="","",$E2084&amp;"|"&amp;COUNTIFS($E$7:$E2084,$E2084))</f>
        <v/>
      </c>
    </row>
    <row r="2085" spans="1:31" ht="18" customHeight="1" x14ac:dyDescent="0.3">
      <c r="A2085" s="2"/>
      <c r="B2085" s="65" t="str">
        <f>IF($C2085="","","GG"&amp;TEXT(ROW()-6,"00000"))</f>
        <v/>
      </c>
      <c r="C2085" s="66"/>
      <c r="D2085" s="60"/>
      <c r="E2085" s="61"/>
      <c r="F2085" s="61"/>
      <c r="G2085" s="67"/>
      <c r="H2085" s="60"/>
      <c r="I2085" s="60"/>
      <c r="J2085" s="61"/>
      <c r="K2085" s="61"/>
      <c r="L2085" s="60"/>
      <c r="M2085" s="74" t="str">
        <f>IF($C2085="","",IF($D2085="Gider",$E2085,IF($L2085&lt;&gt;"",$L2085,$H2085)))</f>
        <v/>
      </c>
      <c r="N2085" s="74" t="str">
        <f>IF($C2085="","",IF($D2085="Gider",$H2085,$E2085))</f>
        <v/>
      </c>
      <c r="O2085" s="73" t="str">
        <f>IF($C2085="","",DATE(YEAR($C2085),MONTH($C2085),1))</f>
        <v/>
      </c>
      <c r="P2085" s="65" t="str">
        <f ca="1">IF($C2085="","",IF(AND($D2085="Gelir",$L2085&lt;&gt;"",$T2085=""),"TANIMSIZ BORÇLU",IF($T2085&lt;&gt;"",IF(OR($E2085="",$G2085&lt;=0),"EKSİK",IF($I2085="Evet","TAHAKKUK NAKİT OLAMAZ",IF($C2085&gt;TODAY(),"İLERİ TARİH","TAHAKKUK"))),IF(AND($D2085&lt;&gt;"",$E2085&lt;&gt;"",$G2085&gt;0,$H2085&lt;&gt;"",$I2085&lt;&gt;""),IF($C2085&gt;TODAY(),"İLERİ TARİH",IF(COUNTIF($W$7:$W$3001,$W2085)&gt;1,"MÜKERRER?",IF($AD2085&gt;0,"KAPALI DÖNEM",IF($I2085="Hayır","ÖDENECEK","UYGUN")))),"EKSİK"))))</f>
        <v/>
      </c>
      <c r="Q2085" s="2"/>
      <c r="R2085" s="2"/>
      <c r="S2085" s="1" t="str">
        <f t="shared" si="98"/>
        <v/>
      </c>
      <c r="T2085" s="1" t="str">
        <f>IF(OR($C2085="",$D2085&lt;&gt;"Gelir",$L2085=""),"",IFERROR(INDEX(MUSTERILER!$B$7:$B$156,MATCH($S2085,MUSTERILER!$T$7:$T$156,0)),""))</f>
        <v/>
      </c>
      <c r="U2085" s="1" t="str">
        <f>IF($T2085="","",$T2085&amp;"|"&amp;COUNTIFS($T$7:$T2085,$T2085))</f>
        <v/>
      </c>
      <c r="V2085" s="1">
        <f t="shared" si="99"/>
        <v>0</v>
      </c>
      <c r="W2085" s="1" t="str">
        <f t="shared" si="100"/>
        <v/>
      </c>
      <c r="X2085" s="1"/>
      <c r="Y2085" s="1"/>
      <c r="Z2085" s="1"/>
      <c r="AA2085" s="1"/>
      <c r="AB2085" s="1"/>
      <c r="AC2085" s="1"/>
      <c r="AD2085" s="1">
        <f>IF($C2085="",0,SUMPRODUCT((AY_SONU!$O$7:$O$42="Evet")*(AY_SONU!$B$7:$B$42=DATE(YEAR($C2085),MONTH($C2085),1))))</f>
        <v>0</v>
      </c>
      <c r="AE2085" s="1" t="str">
        <f>IF($E2085="","",$E2085&amp;"|"&amp;COUNTIFS($E$7:$E2085,$E2085))</f>
        <v/>
      </c>
    </row>
    <row r="2086" spans="1:31" ht="18" customHeight="1" x14ac:dyDescent="0.3">
      <c r="A2086" s="2"/>
      <c r="B2086" s="65" t="str">
        <f>IF($C2086="","","GG"&amp;TEXT(ROW()-6,"00000"))</f>
        <v/>
      </c>
      <c r="C2086" s="66"/>
      <c r="D2086" s="60"/>
      <c r="E2086" s="61"/>
      <c r="F2086" s="61"/>
      <c r="G2086" s="67"/>
      <c r="H2086" s="60"/>
      <c r="I2086" s="60"/>
      <c r="J2086" s="61"/>
      <c r="K2086" s="61"/>
      <c r="L2086" s="60"/>
      <c r="M2086" s="74" t="str">
        <f>IF($C2086="","",IF($D2086="Gider",$E2086,IF($L2086&lt;&gt;"",$L2086,$H2086)))</f>
        <v/>
      </c>
      <c r="N2086" s="74" t="str">
        <f>IF($C2086="","",IF($D2086="Gider",$H2086,$E2086))</f>
        <v/>
      </c>
      <c r="O2086" s="73" t="str">
        <f>IF($C2086="","",DATE(YEAR($C2086),MONTH($C2086),1))</f>
        <v/>
      </c>
      <c r="P2086" s="65" t="str">
        <f ca="1">IF($C2086="","",IF(AND($D2086="Gelir",$L2086&lt;&gt;"",$T2086=""),"TANIMSIZ BORÇLU",IF($T2086&lt;&gt;"",IF(OR($E2086="",$G2086&lt;=0),"EKSİK",IF($I2086="Evet","TAHAKKUK NAKİT OLAMAZ",IF($C2086&gt;TODAY(),"İLERİ TARİH","TAHAKKUK"))),IF(AND($D2086&lt;&gt;"",$E2086&lt;&gt;"",$G2086&gt;0,$H2086&lt;&gt;"",$I2086&lt;&gt;""),IF($C2086&gt;TODAY(),"İLERİ TARİH",IF(COUNTIF($W$7:$W$3001,$W2086)&gt;1,"MÜKERRER?",IF($AD2086&gt;0,"KAPALI DÖNEM",IF($I2086="Hayır","ÖDENECEK","UYGUN")))),"EKSİK"))))</f>
        <v/>
      </c>
      <c r="Q2086" s="2"/>
      <c r="R2086" s="2"/>
      <c r="S2086" s="1" t="str">
        <f t="shared" si="98"/>
        <v/>
      </c>
      <c r="T2086" s="1" t="str">
        <f>IF(OR($C2086="",$D2086&lt;&gt;"Gelir",$L2086=""),"",IFERROR(INDEX(MUSTERILER!$B$7:$B$156,MATCH($S2086,MUSTERILER!$T$7:$T$156,0)),""))</f>
        <v/>
      </c>
      <c r="U2086" s="1" t="str">
        <f>IF($T2086="","",$T2086&amp;"|"&amp;COUNTIFS($T$7:$T2086,$T2086))</f>
        <v/>
      </c>
      <c r="V2086" s="1">
        <f t="shared" si="99"/>
        <v>0</v>
      </c>
      <c r="W2086" s="1" t="str">
        <f t="shared" si="100"/>
        <v/>
      </c>
      <c r="X2086" s="1"/>
      <c r="Y2086" s="1"/>
      <c r="Z2086" s="1"/>
      <c r="AA2086" s="1"/>
      <c r="AB2086" s="1"/>
      <c r="AC2086" s="1"/>
      <c r="AD2086" s="1">
        <f>IF($C2086="",0,SUMPRODUCT((AY_SONU!$O$7:$O$42="Evet")*(AY_SONU!$B$7:$B$42=DATE(YEAR($C2086),MONTH($C2086),1))))</f>
        <v>0</v>
      </c>
      <c r="AE2086" s="1" t="str">
        <f>IF($E2086="","",$E2086&amp;"|"&amp;COUNTIFS($E$7:$E2086,$E2086))</f>
        <v/>
      </c>
    </row>
    <row r="2087" spans="1:31" ht="18" customHeight="1" x14ac:dyDescent="0.3">
      <c r="A2087" s="2"/>
      <c r="B2087" s="65" t="str">
        <f>IF($C2087="","","GG"&amp;TEXT(ROW()-6,"00000"))</f>
        <v/>
      </c>
      <c r="C2087" s="66"/>
      <c r="D2087" s="60"/>
      <c r="E2087" s="61"/>
      <c r="F2087" s="61"/>
      <c r="G2087" s="67"/>
      <c r="H2087" s="60"/>
      <c r="I2087" s="60"/>
      <c r="J2087" s="61"/>
      <c r="K2087" s="61"/>
      <c r="L2087" s="60"/>
      <c r="M2087" s="74" t="str">
        <f>IF($C2087="","",IF($D2087="Gider",$E2087,IF($L2087&lt;&gt;"",$L2087,$H2087)))</f>
        <v/>
      </c>
      <c r="N2087" s="74" t="str">
        <f>IF($C2087="","",IF($D2087="Gider",$H2087,$E2087))</f>
        <v/>
      </c>
      <c r="O2087" s="73" t="str">
        <f>IF($C2087="","",DATE(YEAR($C2087),MONTH($C2087),1))</f>
        <v/>
      </c>
      <c r="P2087" s="65" t="str">
        <f ca="1">IF($C2087="","",IF(AND($D2087="Gelir",$L2087&lt;&gt;"",$T2087=""),"TANIMSIZ BORÇLU",IF($T2087&lt;&gt;"",IF(OR($E2087="",$G2087&lt;=0),"EKSİK",IF($I2087="Evet","TAHAKKUK NAKİT OLAMAZ",IF($C2087&gt;TODAY(),"İLERİ TARİH","TAHAKKUK"))),IF(AND($D2087&lt;&gt;"",$E2087&lt;&gt;"",$G2087&gt;0,$H2087&lt;&gt;"",$I2087&lt;&gt;""),IF($C2087&gt;TODAY(),"İLERİ TARİH",IF(COUNTIF($W$7:$W$3001,$W2087)&gt;1,"MÜKERRER?",IF($AD2087&gt;0,"KAPALI DÖNEM",IF($I2087="Hayır","ÖDENECEK","UYGUN")))),"EKSİK"))))</f>
        <v/>
      </c>
      <c r="Q2087" s="2"/>
      <c r="R2087" s="2"/>
      <c r="S2087" s="1" t="str">
        <f t="shared" si="98"/>
        <v/>
      </c>
      <c r="T2087" s="1" t="str">
        <f>IF(OR($C2087="",$D2087&lt;&gt;"Gelir",$L2087=""),"",IFERROR(INDEX(MUSTERILER!$B$7:$B$156,MATCH($S2087,MUSTERILER!$T$7:$T$156,0)),""))</f>
        <v/>
      </c>
      <c r="U2087" s="1" t="str">
        <f>IF($T2087="","",$T2087&amp;"|"&amp;COUNTIFS($T$7:$T2087,$T2087))</f>
        <v/>
      </c>
      <c r="V2087" s="1">
        <f t="shared" si="99"/>
        <v>0</v>
      </c>
      <c r="W2087" s="1" t="str">
        <f t="shared" si="100"/>
        <v/>
      </c>
      <c r="X2087" s="1"/>
      <c r="Y2087" s="1"/>
      <c r="Z2087" s="1"/>
      <c r="AA2087" s="1"/>
      <c r="AB2087" s="1"/>
      <c r="AC2087" s="1"/>
      <c r="AD2087" s="1">
        <f>IF($C2087="",0,SUMPRODUCT((AY_SONU!$O$7:$O$42="Evet")*(AY_SONU!$B$7:$B$42=DATE(YEAR($C2087),MONTH($C2087),1))))</f>
        <v>0</v>
      </c>
      <c r="AE2087" s="1" t="str">
        <f>IF($E2087="","",$E2087&amp;"|"&amp;COUNTIFS($E$7:$E2087,$E2087))</f>
        <v/>
      </c>
    </row>
    <row r="2088" spans="1:31" ht="18" customHeight="1" x14ac:dyDescent="0.3">
      <c r="A2088" s="2"/>
      <c r="B2088" s="65" t="str">
        <f>IF($C2088="","","GG"&amp;TEXT(ROW()-6,"00000"))</f>
        <v/>
      </c>
      <c r="C2088" s="66"/>
      <c r="D2088" s="60"/>
      <c r="E2088" s="61"/>
      <c r="F2088" s="61"/>
      <c r="G2088" s="67"/>
      <c r="H2088" s="60"/>
      <c r="I2088" s="60"/>
      <c r="J2088" s="61"/>
      <c r="K2088" s="61"/>
      <c r="L2088" s="60"/>
      <c r="M2088" s="74" t="str">
        <f>IF($C2088="","",IF($D2088="Gider",$E2088,IF($L2088&lt;&gt;"",$L2088,$H2088)))</f>
        <v/>
      </c>
      <c r="N2088" s="74" t="str">
        <f>IF($C2088="","",IF($D2088="Gider",$H2088,$E2088))</f>
        <v/>
      </c>
      <c r="O2088" s="73" t="str">
        <f>IF($C2088="","",DATE(YEAR($C2088),MONTH($C2088),1))</f>
        <v/>
      </c>
      <c r="P2088" s="65" t="str">
        <f ca="1">IF($C2088="","",IF(AND($D2088="Gelir",$L2088&lt;&gt;"",$T2088=""),"TANIMSIZ BORÇLU",IF($T2088&lt;&gt;"",IF(OR($E2088="",$G2088&lt;=0),"EKSİK",IF($I2088="Evet","TAHAKKUK NAKİT OLAMAZ",IF($C2088&gt;TODAY(),"İLERİ TARİH","TAHAKKUK"))),IF(AND($D2088&lt;&gt;"",$E2088&lt;&gt;"",$G2088&gt;0,$H2088&lt;&gt;"",$I2088&lt;&gt;""),IF($C2088&gt;TODAY(),"İLERİ TARİH",IF(COUNTIF($W$7:$W$3001,$W2088)&gt;1,"MÜKERRER?",IF($AD2088&gt;0,"KAPALI DÖNEM",IF($I2088="Hayır","ÖDENECEK","UYGUN")))),"EKSİK"))))</f>
        <v/>
      </c>
      <c r="Q2088" s="2"/>
      <c r="R2088" s="2"/>
      <c r="S2088" s="1" t="str">
        <f t="shared" si="98"/>
        <v/>
      </c>
      <c r="T2088" s="1" t="str">
        <f>IF(OR($C2088="",$D2088&lt;&gt;"Gelir",$L2088=""),"",IFERROR(INDEX(MUSTERILER!$B$7:$B$156,MATCH($S2088,MUSTERILER!$T$7:$T$156,0)),""))</f>
        <v/>
      </c>
      <c r="U2088" s="1" t="str">
        <f>IF($T2088="","",$T2088&amp;"|"&amp;COUNTIFS($T$7:$T2088,$T2088))</f>
        <v/>
      </c>
      <c r="V2088" s="1">
        <f t="shared" si="99"/>
        <v>0</v>
      </c>
      <c r="W2088" s="1" t="str">
        <f t="shared" si="100"/>
        <v/>
      </c>
      <c r="X2088" s="1"/>
      <c r="Y2088" s="1"/>
      <c r="Z2088" s="1"/>
      <c r="AA2088" s="1"/>
      <c r="AB2088" s="1"/>
      <c r="AC2088" s="1"/>
      <c r="AD2088" s="1">
        <f>IF($C2088="",0,SUMPRODUCT((AY_SONU!$O$7:$O$42="Evet")*(AY_SONU!$B$7:$B$42=DATE(YEAR($C2088),MONTH($C2088),1))))</f>
        <v>0</v>
      </c>
      <c r="AE2088" s="1" t="str">
        <f>IF($E2088="","",$E2088&amp;"|"&amp;COUNTIFS($E$7:$E2088,$E2088))</f>
        <v/>
      </c>
    </row>
    <row r="2089" spans="1:31" ht="18" customHeight="1" x14ac:dyDescent="0.3">
      <c r="A2089" s="2"/>
      <c r="B2089" s="65" t="str">
        <f>IF($C2089="","","GG"&amp;TEXT(ROW()-6,"00000"))</f>
        <v/>
      </c>
      <c r="C2089" s="66"/>
      <c r="D2089" s="60"/>
      <c r="E2089" s="61"/>
      <c r="F2089" s="61"/>
      <c r="G2089" s="67"/>
      <c r="H2089" s="60"/>
      <c r="I2089" s="60"/>
      <c r="J2089" s="61"/>
      <c r="K2089" s="61"/>
      <c r="L2089" s="60"/>
      <c r="M2089" s="74" t="str">
        <f>IF($C2089="","",IF($D2089="Gider",$E2089,IF($L2089&lt;&gt;"",$L2089,$H2089)))</f>
        <v/>
      </c>
      <c r="N2089" s="74" t="str">
        <f>IF($C2089="","",IF($D2089="Gider",$H2089,$E2089))</f>
        <v/>
      </c>
      <c r="O2089" s="73" t="str">
        <f>IF($C2089="","",DATE(YEAR($C2089),MONTH($C2089),1))</f>
        <v/>
      </c>
      <c r="P2089" s="65" t="str">
        <f ca="1">IF($C2089="","",IF(AND($D2089="Gelir",$L2089&lt;&gt;"",$T2089=""),"TANIMSIZ BORÇLU",IF($T2089&lt;&gt;"",IF(OR($E2089="",$G2089&lt;=0),"EKSİK",IF($I2089="Evet","TAHAKKUK NAKİT OLAMAZ",IF($C2089&gt;TODAY(),"İLERİ TARİH","TAHAKKUK"))),IF(AND($D2089&lt;&gt;"",$E2089&lt;&gt;"",$G2089&gt;0,$H2089&lt;&gt;"",$I2089&lt;&gt;""),IF($C2089&gt;TODAY(),"İLERİ TARİH",IF(COUNTIF($W$7:$W$3001,$W2089)&gt;1,"MÜKERRER?",IF($AD2089&gt;0,"KAPALI DÖNEM",IF($I2089="Hayır","ÖDENECEK","UYGUN")))),"EKSİK"))))</f>
        <v/>
      </c>
      <c r="Q2089" s="2"/>
      <c r="R2089" s="2"/>
      <c r="S2089" s="1" t="str">
        <f t="shared" si="98"/>
        <v/>
      </c>
      <c r="T2089" s="1" t="str">
        <f>IF(OR($C2089="",$D2089&lt;&gt;"Gelir",$L2089=""),"",IFERROR(INDEX(MUSTERILER!$B$7:$B$156,MATCH($S2089,MUSTERILER!$T$7:$T$156,0)),""))</f>
        <v/>
      </c>
      <c r="U2089" s="1" t="str">
        <f>IF($T2089="","",$T2089&amp;"|"&amp;COUNTIFS($T$7:$T2089,$T2089))</f>
        <v/>
      </c>
      <c r="V2089" s="1">
        <f t="shared" si="99"/>
        <v>0</v>
      </c>
      <c r="W2089" s="1" t="str">
        <f t="shared" si="100"/>
        <v/>
      </c>
      <c r="X2089" s="1"/>
      <c r="Y2089" s="1"/>
      <c r="Z2089" s="1"/>
      <c r="AA2089" s="1"/>
      <c r="AB2089" s="1"/>
      <c r="AC2089" s="1"/>
      <c r="AD2089" s="1">
        <f>IF($C2089="",0,SUMPRODUCT((AY_SONU!$O$7:$O$42="Evet")*(AY_SONU!$B$7:$B$42=DATE(YEAR($C2089),MONTH($C2089),1))))</f>
        <v>0</v>
      </c>
      <c r="AE2089" s="1" t="str">
        <f>IF($E2089="","",$E2089&amp;"|"&amp;COUNTIFS($E$7:$E2089,$E2089))</f>
        <v/>
      </c>
    </row>
    <row r="2090" spans="1:31" ht="18" customHeight="1" x14ac:dyDescent="0.3">
      <c r="A2090" s="2"/>
      <c r="B2090" s="65" t="str">
        <f>IF($C2090="","","GG"&amp;TEXT(ROW()-6,"00000"))</f>
        <v/>
      </c>
      <c r="C2090" s="66"/>
      <c r="D2090" s="60"/>
      <c r="E2090" s="61"/>
      <c r="F2090" s="61"/>
      <c r="G2090" s="67"/>
      <c r="H2090" s="60"/>
      <c r="I2090" s="60"/>
      <c r="J2090" s="61"/>
      <c r="K2090" s="61"/>
      <c r="L2090" s="60"/>
      <c r="M2090" s="74" t="str">
        <f>IF($C2090="","",IF($D2090="Gider",$E2090,IF($L2090&lt;&gt;"",$L2090,$H2090)))</f>
        <v/>
      </c>
      <c r="N2090" s="74" t="str">
        <f>IF($C2090="","",IF($D2090="Gider",$H2090,$E2090))</f>
        <v/>
      </c>
      <c r="O2090" s="73" t="str">
        <f>IF($C2090="","",DATE(YEAR($C2090),MONTH($C2090),1))</f>
        <v/>
      </c>
      <c r="P2090" s="65" t="str">
        <f ca="1">IF($C2090="","",IF(AND($D2090="Gelir",$L2090&lt;&gt;"",$T2090=""),"TANIMSIZ BORÇLU",IF($T2090&lt;&gt;"",IF(OR($E2090="",$G2090&lt;=0),"EKSİK",IF($I2090="Evet","TAHAKKUK NAKİT OLAMAZ",IF($C2090&gt;TODAY(),"İLERİ TARİH","TAHAKKUK"))),IF(AND($D2090&lt;&gt;"",$E2090&lt;&gt;"",$G2090&gt;0,$H2090&lt;&gt;"",$I2090&lt;&gt;""),IF($C2090&gt;TODAY(),"İLERİ TARİH",IF(COUNTIF($W$7:$W$3001,$W2090)&gt;1,"MÜKERRER?",IF($AD2090&gt;0,"KAPALI DÖNEM",IF($I2090="Hayır","ÖDENECEK","UYGUN")))),"EKSİK"))))</f>
        <v/>
      </c>
      <c r="Q2090" s="2"/>
      <c r="R2090" s="2"/>
      <c r="S2090" s="1" t="str">
        <f t="shared" si="98"/>
        <v/>
      </c>
      <c r="T2090" s="1" t="str">
        <f>IF(OR($C2090="",$D2090&lt;&gt;"Gelir",$L2090=""),"",IFERROR(INDEX(MUSTERILER!$B$7:$B$156,MATCH($S2090,MUSTERILER!$T$7:$T$156,0)),""))</f>
        <v/>
      </c>
      <c r="U2090" s="1" t="str">
        <f>IF($T2090="","",$T2090&amp;"|"&amp;COUNTIFS($T$7:$T2090,$T2090))</f>
        <v/>
      </c>
      <c r="V2090" s="1">
        <f t="shared" si="99"/>
        <v>0</v>
      </c>
      <c r="W2090" s="1" t="str">
        <f t="shared" si="100"/>
        <v/>
      </c>
      <c r="X2090" s="1"/>
      <c r="Y2090" s="1"/>
      <c r="Z2090" s="1"/>
      <c r="AA2090" s="1"/>
      <c r="AB2090" s="1"/>
      <c r="AC2090" s="1"/>
      <c r="AD2090" s="1">
        <f>IF($C2090="",0,SUMPRODUCT((AY_SONU!$O$7:$O$42="Evet")*(AY_SONU!$B$7:$B$42=DATE(YEAR($C2090),MONTH($C2090),1))))</f>
        <v>0</v>
      </c>
      <c r="AE2090" s="1" t="str">
        <f>IF($E2090="","",$E2090&amp;"|"&amp;COUNTIFS($E$7:$E2090,$E2090))</f>
        <v/>
      </c>
    </row>
    <row r="2091" spans="1:31" ht="18" customHeight="1" x14ac:dyDescent="0.3">
      <c r="A2091" s="2"/>
      <c r="B2091" s="65" t="str">
        <f>IF($C2091="","","GG"&amp;TEXT(ROW()-6,"00000"))</f>
        <v/>
      </c>
      <c r="C2091" s="66"/>
      <c r="D2091" s="60"/>
      <c r="E2091" s="61"/>
      <c r="F2091" s="61"/>
      <c r="G2091" s="67"/>
      <c r="H2091" s="60"/>
      <c r="I2091" s="60"/>
      <c r="J2091" s="61"/>
      <c r="K2091" s="61"/>
      <c r="L2091" s="60"/>
      <c r="M2091" s="74" t="str">
        <f>IF($C2091="","",IF($D2091="Gider",$E2091,IF($L2091&lt;&gt;"",$L2091,$H2091)))</f>
        <v/>
      </c>
      <c r="N2091" s="74" t="str">
        <f>IF($C2091="","",IF($D2091="Gider",$H2091,$E2091))</f>
        <v/>
      </c>
      <c r="O2091" s="73" t="str">
        <f>IF($C2091="","",DATE(YEAR($C2091),MONTH($C2091),1))</f>
        <v/>
      </c>
      <c r="P2091" s="65" t="str">
        <f ca="1">IF($C2091="","",IF(AND($D2091="Gelir",$L2091&lt;&gt;"",$T2091=""),"TANIMSIZ BORÇLU",IF($T2091&lt;&gt;"",IF(OR($E2091="",$G2091&lt;=0),"EKSİK",IF($I2091="Evet","TAHAKKUK NAKİT OLAMAZ",IF($C2091&gt;TODAY(),"İLERİ TARİH","TAHAKKUK"))),IF(AND($D2091&lt;&gt;"",$E2091&lt;&gt;"",$G2091&gt;0,$H2091&lt;&gt;"",$I2091&lt;&gt;""),IF($C2091&gt;TODAY(),"İLERİ TARİH",IF(COUNTIF($W$7:$W$3001,$W2091)&gt;1,"MÜKERRER?",IF($AD2091&gt;0,"KAPALI DÖNEM",IF($I2091="Hayır","ÖDENECEK","UYGUN")))),"EKSİK"))))</f>
        <v/>
      </c>
      <c r="Q2091" s="2"/>
      <c r="R2091" s="2"/>
      <c r="S2091" s="1" t="str">
        <f t="shared" si="98"/>
        <v/>
      </c>
      <c r="T2091" s="1" t="str">
        <f>IF(OR($C2091="",$D2091&lt;&gt;"Gelir",$L2091=""),"",IFERROR(INDEX(MUSTERILER!$B$7:$B$156,MATCH($S2091,MUSTERILER!$T$7:$T$156,0)),""))</f>
        <v/>
      </c>
      <c r="U2091" s="1" t="str">
        <f>IF($T2091="","",$T2091&amp;"|"&amp;COUNTIFS($T$7:$T2091,$T2091))</f>
        <v/>
      </c>
      <c r="V2091" s="1">
        <f t="shared" si="99"/>
        <v>0</v>
      </c>
      <c r="W2091" s="1" t="str">
        <f t="shared" si="100"/>
        <v/>
      </c>
      <c r="X2091" s="1"/>
      <c r="Y2091" s="1"/>
      <c r="Z2091" s="1"/>
      <c r="AA2091" s="1"/>
      <c r="AB2091" s="1"/>
      <c r="AC2091" s="1"/>
      <c r="AD2091" s="1">
        <f>IF($C2091="",0,SUMPRODUCT((AY_SONU!$O$7:$O$42="Evet")*(AY_SONU!$B$7:$B$42=DATE(YEAR($C2091),MONTH($C2091),1))))</f>
        <v>0</v>
      </c>
      <c r="AE2091" s="1" t="str">
        <f>IF($E2091="","",$E2091&amp;"|"&amp;COUNTIFS($E$7:$E2091,$E2091))</f>
        <v/>
      </c>
    </row>
    <row r="2092" spans="1:31" ht="18" customHeight="1" x14ac:dyDescent="0.3">
      <c r="A2092" s="2"/>
      <c r="B2092" s="65" t="str">
        <f>IF($C2092="","","GG"&amp;TEXT(ROW()-6,"00000"))</f>
        <v/>
      </c>
      <c r="C2092" s="66"/>
      <c r="D2092" s="60"/>
      <c r="E2092" s="61"/>
      <c r="F2092" s="61"/>
      <c r="G2092" s="67"/>
      <c r="H2092" s="60"/>
      <c r="I2092" s="60"/>
      <c r="J2092" s="61"/>
      <c r="K2092" s="61"/>
      <c r="L2092" s="60"/>
      <c r="M2092" s="74" t="str">
        <f>IF($C2092="","",IF($D2092="Gider",$E2092,IF($L2092&lt;&gt;"",$L2092,$H2092)))</f>
        <v/>
      </c>
      <c r="N2092" s="74" t="str">
        <f>IF($C2092="","",IF($D2092="Gider",$H2092,$E2092))</f>
        <v/>
      </c>
      <c r="O2092" s="73" t="str">
        <f>IF($C2092="","",DATE(YEAR($C2092),MONTH($C2092),1))</f>
        <v/>
      </c>
      <c r="P2092" s="65" t="str">
        <f ca="1">IF($C2092="","",IF(AND($D2092="Gelir",$L2092&lt;&gt;"",$T2092=""),"TANIMSIZ BORÇLU",IF($T2092&lt;&gt;"",IF(OR($E2092="",$G2092&lt;=0),"EKSİK",IF($I2092="Evet","TAHAKKUK NAKİT OLAMAZ",IF($C2092&gt;TODAY(),"İLERİ TARİH","TAHAKKUK"))),IF(AND($D2092&lt;&gt;"",$E2092&lt;&gt;"",$G2092&gt;0,$H2092&lt;&gt;"",$I2092&lt;&gt;""),IF($C2092&gt;TODAY(),"İLERİ TARİH",IF(COUNTIF($W$7:$W$3001,$W2092)&gt;1,"MÜKERRER?",IF($AD2092&gt;0,"KAPALI DÖNEM",IF($I2092="Hayır","ÖDENECEK","UYGUN")))),"EKSİK"))))</f>
        <v/>
      </c>
      <c r="Q2092" s="2"/>
      <c r="R2092" s="2"/>
      <c r="S2092" s="1" t="str">
        <f t="shared" si="98"/>
        <v/>
      </c>
      <c r="T2092" s="1" t="str">
        <f>IF(OR($C2092="",$D2092&lt;&gt;"Gelir",$L2092=""),"",IFERROR(INDEX(MUSTERILER!$B$7:$B$156,MATCH($S2092,MUSTERILER!$T$7:$T$156,0)),""))</f>
        <v/>
      </c>
      <c r="U2092" s="1" t="str">
        <f>IF($T2092="","",$T2092&amp;"|"&amp;COUNTIFS($T$7:$T2092,$T2092))</f>
        <v/>
      </c>
      <c r="V2092" s="1">
        <f t="shared" si="99"/>
        <v>0</v>
      </c>
      <c r="W2092" s="1" t="str">
        <f t="shared" si="100"/>
        <v/>
      </c>
      <c r="X2092" s="1"/>
      <c r="Y2092" s="1"/>
      <c r="Z2092" s="1"/>
      <c r="AA2092" s="1"/>
      <c r="AB2092" s="1"/>
      <c r="AC2092" s="1"/>
      <c r="AD2092" s="1">
        <f>IF($C2092="",0,SUMPRODUCT((AY_SONU!$O$7:$O$42="Evet")*(AY_SONU!$B$7:$B$42=DATE(YEAR($C2092),MONTH($C2092),1))))</f>
        <v>0</v>
      </c>
      <c r="AE2092" s="1" t="str">
        <f>IF($E2092="","",$E2092&amp;"|"&amp;COUNTIFS($E$7:$E2092,$E2092))</f>
        <v/>
      </c>
    </row>
    <row r="2093" spans="1:31" ht="18" customHeight="1" x14ac:dyDescent="0.3">
      <c r="A2093" s="2"/>
      <c r="B2093" s="65" t="str">
        <f>IF($C2093="","","GG"&amp;TEXT(ROW()-6,"00000"))</f>
        <v/>
      </c>
      <c r="C2093" s="66"/>
      <c r="D2093" s="60"/>
      <c r="E2093" s="61"/>
      <c r="F2093" s="61"/>
      <c r="G2093" s="67"/>
      <c r="H2093" s="60"/>
      <c r="I2093" s="60"/>
      <c r="J2093" s="61"/>
      <c r="K2093" s="61"/>
      <c r="L2093" s="60"/>
      <c r="M2093" s="74" t="str">
        <f>IF($C2093="","",IF($D2093="Gider",$E2093,IF($L2093&lt;&gt;"",$L2093,$H2093)))</f>
        <v/>
      </c>
      <c r="N2093" s="74" t="str">
        <f>IF($C2093="","",IF($D2093="Gider",$H2093,$E2093))</f>
        <v/>
      </c>
      <c r="O2093" s="73" t="str">
        <f>IF($C2093="","",DATE(YEAR($C2093),MONTH($C2093),1))</f>
        <v/>
      </c>
      <c r="P2093" s="65" t="str">
        <f ca="1">IF($C2093="","",IF(AND($D2093="Gelir",$L2093&lt;&gt;"",$T2093=""),"TANIMSIZ BORÇLU",IF($T2093&lt;&gt;"",IF(OR($E2093="",$G2093&lt;=0),"EKSİK",IF($I2093="Evet","TAHAKKUK NAKİT OLAMAZ",IF($C2093&gt;TODAY(),"İLERİ TARİH","TAHAKKUK"))),IF(AND($D2093&lt;&gt;"",$E2093&lt;&gt;"",$G2093&gt;0,$H2093&lt;&gt;"",$I2093&lt;&gt;""),IF($C2093&gt;TODAY(),"İLERİ TARİH",IF(COUNTIF($W$7:$W$3001,$W2093)&gt;1,"MÜKERRER?",IF($AD2093&gt;0,"KAPALI DÖNEM",IF($I2093="Hayır","ÖDENECEK","UYGUN")))),"EKSİK"))))</f>
        <v/>
      </c>
      <c r="Q2093" s="2"/>
      <c r="R2093" s="2"/>
      <c r="S2093" s="1" t="str">
        <f t="shared" si="98"/>
        <v/>
      </c>
      <c r="T2093" s="1" t="str">
        <f>IF(OR($C2093="",$D2093&lt;&gt;"Gelir",$L2093=""),"",IFERROR(INDEX(MUSTERILER!$B$7:$B$156,MATCH($S2093,MUSTERILER!$T$7:$T$156,0)),""))</f>
        <v/>
      </c>
      <c r="U2093" s="1" t="str">
        <f>IF($T2093="","",$T2093&amp;"|"&amp;COUNTIFS($T$7:$T2093,$T2093))</f>
        <v/>
      </c>
      <c r="V2093" s="1">
        <f t="shared" si="99"/>
        <v>0</v>
      </c>
      <c r="W2093" s="1" t="str">
        <f t="shared" si="100"/>
        <v/>
      </c>
      <c r="X2093" s="1"/>
      <c r="Y2093" s="1"/>
      <c r="Z2093" s="1"/>
      <c r="AA2093" s="1"/>
      <c r="AB2093" s="1"/>
      <c r="AC2093" s="1"/>
      <c r="AD2093" s="1">
        <f>IF($C2093="",0,SUMPRODUCT((AY_SONU!$O$7:$O$42="Evet")*(AY_SONU!$B$7:$B$42=DATE(YEAR($C2093),MONTH($C2093),1))))</f>
        <v>0</v>
      </c>
      <c r="AE2093" s="1" t="str">
        <f>IF($E2093="","",$E2093&amp;"|"&amp;COUNTIFS($E$7:$E2093,$E2093))</f>
        <v/>
      </c>
    </row>
    <row r="2094" spans="1:31" ht="18" customHeight="1" x14ac:dyDescent="0.3">
      <c r="A2094" s="2"/>
      <c r="B2094" s="65" t="str">
        <f>IF($C2094="","","GG"&amp;TEXT(ROW()-6,"00000"))</f>
        <v/>
      </c>
      <c r="C2094" s="66"/>
      <c r="D2094" s="60"/>
      <c r="E2094" s="61"/>
      <c r="F2094" s="61"/>
      <c r="G2094" s="67"/>
      <c r="H2094" s="60"/>
      <c r="I2094" s="60"/>
      <c r="J2094" s="61"/>
      <c r="K2094" s="61"/>
      <c r="L2094" s="60"/>
      <c r="M2094" s="74" t="str">
        <f>IF($C2094="","",IF($D2094="Gider",$E2094,IF($L2094&lt;&gt;"",$L2094,$H2094)))</f>
        <v/>
      </c>
      <c r="N2094" s="74" t="str">
        <f>IF($C2094="","",IF($D2094="Gider",$H2094,$E2094))</f>
        <v/>
      </c>
      <c r="O2094" s="73" t="str">
        <f>IF($C2094="","",DATE(YEAR($C2094),MONTH($C2094),1))</f>
        <v/>
      </c>
      <c r="P2094" s="65" t="str">
        <f ca="1">IF($C2094="","",IF(AND($D2094="Gelir",$L2094&lt;&gt;"",$T2094=""),"TANIMSIZ BORÇLU",IF($T2094&lt;&gt;"",IF(OR($E2094="",$G2094&lt;=0),"EKSİK",IF($I2094="Evet","TAHAKKUK NAKİT OLAMAZ",IF($C2094&gt;TODAY(),"İLERİ TARİH","TAHAKKUK"))),IF(AND($D2094&lt;&gt;"",$E2094&lt;&gt;"",$G2094&gt;0,$H2094&lt;&gt;"",$I2094&lt;&gt;""),IF($C2094&gt;TODAY(),"İLERİ TARİH",IF(COUNTIF($W$7:$W$3001,$W2094)&gt;1,"MÜKERRER?",IF($AD2094&gt;0,"KAPALI DÖNEM",IF($I2094="Hayır","ÖDENECEK","UYGUN")))),"EKSİK"))))</f>
        <v/>
      </c>
      <c r="Q2094" s="2"/>
      <c r="R2094" s="2"/>
      <c r="S2094" s="1" t="str">
        <f t="shared" si="98"/>
        <v/>
      </c>
      <c r="T2094" s="1" t="str">
        <f>IF(OR($C2094="",$D2094&lt;&gt;"Gelir",$L2094=""),"",IFERROR(INDEX(MUSTERILER!$B$7:$B$156,MATCH($S2094,MUSTERILER!$T$7:$T$156,0)),""))</f>
        <v/>
      </c>
      <c r="U2094" s="1" t="str">
        <f>IF($T2094="","",$T2094&amp;"|"&amp;COUNTIFS($T$7:$T2094,$T2094))</f>
        <v/>
      </c>
      <c r="V2094" s="1">
        <f t="shared" si="99"/>
        <v>0</v>
      </c>
      <c r="W2094" s="1" t="str">
        <f t="shared" si="100"/>
        <v/>
      </c>
      <c r="X2094" s="1"/>
      <c r="Y2094" s="1"/>
      <c r="Z2094" s="1"/>
      <c r="AA2094" s="1"/>
      <c r="AB2094" s="1"/>
      <c r="AC2094" s="1"/>
      <c r="AD2094" s="1">
        <f>IF($C2094="",0,SUMPRODUCT((AY_SONU!$O$7:$O$42="Evet")*(AY_SONU!$B$7:$B$42=DATE(YEAR($C2094),MONTH($C2094),1))))</f>
        <v>0</v>
      </c>
      <c r="AE2094" s="1" t="str">
        <f>IF($E2094="","",$E2094&amp;"|"&amp;COUNTIFS($E$7:$E2094,$E2094))</f>
        <v/>
      </c>
    </row>
    <row r="2095" spans="1:31" ht="18" customHeight="1" x14ac:dyDescent="0.3">
      <c r="A2095" s="2"/>
      <c r="B2095" s="65" t="str">
        <f>IF($C2095="","","GG"&amp;TEXT(ROW()-6,"00000"))</f>
        <v/>
      </c>
      <c r="C2095" s="66"/>
      <c r="D2095" s="60"/>
      <c r="E2095" s="61"/>
      <c r="F2095" s="61"/>
      <c r="G2095" s="67"/>
      <c r="H2095" s="60"/>
      <c r="I2095" s="60"/>
      <c r="J2095" s="61"/>
      <c r="K2095" s="61"/>
      <c r="L2095" s="60"/>
      <c r="M2095" s="74" t="str">
        <f>IF($C2095="","",IF($D2095="Gider",$E2095,IF($L2095&lt;&gt;"",$L2095,$H2095)))</f>
        <v/>
      </c>
      <c r="N2095" s="74" t="str">
        <f>IF($C2095="","",IF($D2095="Gider",$H2095,$E2095))</f>
        <v/>
      </c>
      <c r="O2095" s="73" t="str">
        <f>IF($C2095="","",DATE(YEAR($C2095),MONTH($C2095),1))</f>
        <v/>
      </c>
      <c r="P2095" s="65" t="str">
        <f ca="1">IF($C2095="","",IF(AND($D2095="Gelir",$L2095&lt;&gt;"",$T2095=""),"TANIMSIZ BORÇLU",IF($T2095&lt;&gt;"",IF(OR($E2095="",$G2095&lt;=0),"EKSİK",IF($I2095="Evet","TAHAKKUK NAKİT OLAMAZ",IF($C2095&gt;TODAY(),"İLERİ TARİH","TAHAKKUK"))),IF(AND($D2095&lt;&gt;"",$E2095&lt;&gt;"",$G2095&gt;0,$H2095&lt;&gt;"",$I2095&lt;&gt;""),IF($C2095&gt;TODAY(),"İLERİ TARİH",IF(COUNTIF($W$7:$W$3001,$W2095)&gt;1,"MÜKERRER?",IF($AD2095&gt;0,"KAPALI DÖNEM",IF($I2095="Hayır","ÖDENECEK","UYGUN")))),"EKSİK"))))</f>
        <v/>
      </c>
      <c r="Q2095" s="2"/>
      <c r="R2095" s="2"/>
      <c r="S2095" s="1" t="str">
        <f t="shared" si="98"/>
        <v/>
      </c>
      <c r="T2095" s="1" t="str">
        <f>IF(OR($C2095="",$D2095&lt;&gt;"Gelir",$L2095=""),"",IFERROR(INDEX(MUSTERILER!$B$7:$B$156,MATCH($S2095,MUSTERILER!$T$7:$T$156,0)),""))</f>
        <v/>
      </c>
      <c r="U2095" s="1" t="str">
        <f>IF($T2095="","",$T2095&amp;"|"&amp;COUNTIFS($T$7:$T2095,$T2095))</f>
        <v/>
      </c>
      <c r="V2095" s="1">
        <f t="shared" si="99"/>
        <v>0</v>
      </c>
      <c r="W2095" s="1" t="str">
        <f t="shared" si="100"/>
        <v/>
      </c>
      <c r="X2095" s="1"/>
      <c r="Y2095" s="1"/>
      <c r="Z2095" s="1"/>
      <c r="AA2095" s="1"/>
      <c r="AB2095" s="1"/>
      <c r="AC2095" s="1"/>
      <c r="AD2095" s="1">
        <f>IF($C2095="",0,SUMPRODUCT((AY_SONU!$O$7:$O$42="Evet")*(AY_SONU!$B$7:$B$42=DATE(YEAR($C2095),MONTH($C2095),1))))</f>
        <v>0</v>
      </c>
      <c r="AE2095" s="1" t="str">
        <f>IF($E2095="","",$E2095&amp;"|"&amp;COUNTIFS($E$7:$E2095,$E2095))</f>
        <v/>
      </c>
    </row>
    <row r="2096" spans="1:31" ht="18" customHeight="1" x14ac:dyDescent="0.3">
      <c r="A2096" s="2"/>
      <c r="B2096" s="65" t="str">
        <f>IF($C2096="","","GG"&amp;TEXT(ROW()-6,"00000"))</f>
        <v/>
      </c>
      <c r="C2096" s="66"/>
      <c r="D2096" s="60"/>
      <c r="E2096" s="61"/>
      <c r="F2096" s="61"/>
      <c r="G2096" s="67"/>
      <c r="H2096" s="60"/>
      <c r="I2096" s="60"/>
      <c r="J2096" s="61"/>
      <c r="K2096" s="61"/>
      <c r="L2096" s="60"/>
      <c r="M2096" s="74" t="str">
        <f>IF($C2096="","",IF($D2096="Gider",$E2096,IF($L2096&lt;&gt;"",$L2096,$H2096)))</f>
        <v/>
      </c>
      <c r="N2096" s="74" t="str">
        <f>IF($C2096="","",IF($D2096="Gider",$H2096,$E2096))</f>
        <v/>
      </c>
      <c r="O2096" s="73" t="str">
        <f>IF($C2096="","",DATE(YEAR($C2096),MONTH($C2096),1))</f>
        <v/>
      </c>
      <c r="P2096" s="65" t="str">
        <f ca="1">IF($C2096="","",IF(AND($D2096="Gelir",$L2096&lt;&gt;"",$T2096=""),"TANIMSIZ BORÇLU",IF($T2096&lt;&gt;"",IF(OR($E2096="",$G2096&lt;=0),"EKSİK",IF($I2096="Evet","TAHAKKUK NAKİT OLAMAZ",IF($C2096&gt;TODAY(),"İLERİ TARİH","TAHAKKUK"))),IF(AND($D2096&lt;&gt;"",$E2096&lt;&gt;"",$G2096&gt;0,$H2096&lt;&gt;"",$I2096&lt;&gt;""),IF($C2096&gt;TODAY(),"İLERİ TARİH",IF(COUNTIF($W$7:$W$3001,$W2096)&gt;1,"MÜKERRER?",IF($AD2096&gt;0,"KAPALI DÖNEM",IF($I2096="Hayır","ÖDENECEK","UYGUN")))),"EKSİK"))))</f>
        <v/>
      </c>
      <c r="Q2096" s="2"/>
      <c r="R2096" s="2"/>
      <c r="S2096" s="1" t="str">
        <f t="shared" si="98"/>
        <v/>
      </c>
      <c r="T2096" s="1" t="str">
        <f>IF(OR($C2096="",$D2096&lt;&gt;"Gelir",$L2096=""),"",IFERROR(INDEX(MUSTERILER!$B$7:$B$156,MATCH($S2096,MUSTERILER!$T$7:$T$156,0)),""))</f>
        <v/>
      </c>
      <c r="U2096" s="1" t="str">
        <f>IF($T2096="","",$T2096&amp;"|"&amp;COUNTIFS($T$7:$T2096,$T2096))</f>
        <v/>
      </c>
      <c r="V2096" s="1">
        <f t="shared" si="99"/>
        <v>0</v>
      </c>
      <c r="W2096" s="1" t="str">
        <f t="shared" si="100"/>
        <v/>
      </c>
      <c r="X2096" s="1"/>
      <c r="Y2096" s="1"/>
      <c r="Z2096" s="1"/>
      <c r="AA2096" s="1"/>
      <c r="AB2096" s="1"/>
      <c r="AC2096" s="1"/>
      <c r="AD2096" s="1">
        <f>IF($C2096="",0,SUMPRODUCT((AY_SONU!$O$7:$O$42="Evet")*(AY_SONU!$B$7:$B$42=DATE(YEAR($C2096),MONTH($C2096),1))))</f>
        <v>0</v>
      </c>
      <c r="AE2096" s="1" t="str">
        <f>IF($E2096="","",$E2096&amp;"|"&amp;COUNTIFS($E$7:$E2096,$E2096))</f>
        <v/>
      </c>
    </row>
    <row r="2097" spans="1:31" ht="18" customHeight="1" x14ac:dyDescent="0.3">
      <c r="A2097" s="2"/>
      <c r="B2097" s="65" t="str">
        <f>IF($C2097="","","GG"&amp;TEXT(ROW()-6,"00000"))</f>
        <v/>
      </c>
      <c r="C2097" s="66"/>
      <c r="D2097" s="60"/>
      <c r="E2097" s="61"/>
      <c r="F2097" s="61"/>
      <c r="G2097" s="67"/>
      <c r="H2097" s="60"/>
      <c r="I2097" s="60"/>
      <c r="J2097" s="61"/>
      <c r="K2097" s="61"/>
      <c r="L2097" s="60"/>
      <c r="M2097" s="74" t="str">
        <f>IF($C2097="","",IF($D2097="Gider",$E2097,IF($L2097&lt;&gt;"",$L2097,$H2097)))</f>
        <v/>
      </c>
      <c r="N2097" s="74" t="str">
        <f>IF($C2097="","",IF($D2097="Gider",$H2097,$E2097))</f>
        <v/>
      </c>
      <c r="O2097" s="73" t="str">
        <f>IF($C2097="","",DATE(YEAR($C2097),MONTH($C2097),1))</f>
        <v/>
      </c>
      <c r="P2097" s="65" t="str">
        <f ca="1">IF($C2097="","",IF(AND($D2097="Gelir",$L2097&lt;&gt;"",$T2097=""),"TANIMSIZ BORÇLU",IF($T2097&lt;&gt;"",IF(OR($E2097="",$G2097&lt;=0),"EKSİK",IF($I2097="Evet","TAHAKKUK NAKİT OLAMAZ",IF($C2097&gt;TODAY(),"İLERİ TARİH","TAHAKKUK"))),IF(AND($D2097&lt;&gt;"",$E2097&lt;&gt;"",$G2097&gt;0,$H2097&lt;&gt;"",$I2097&lt;&gt;""),IF($C2097&gt;TODAY(),"İLERİ TARİH",IF(COUNTIF($W$7:$W$3001,$W2097)&gt;1,"MÜKERRER?",IF($AD2097&gt;0,"KAPALI DÖNEM",IF($I2097="Hayır","ÖDENECEK","UYGUN")))),"EKSİK"))))</f>
        <v/>
      </c>
      <c r="Q2097" s="2"/>
      <c r="R2097" s="2"/>
      <c r="S2097" s="1" t="str">
        <f t="shared" si="98"/>
        <v/>
      </c>
      <c r="T2097" s="1" t="str">
        <f>IF(OR($C2097="",$D2097&lt;&gt;"Gelir",$L2097=""),"",IFERROR(INDEX(MUSTERILER!$B$7:$B$156,MATCH($S2097,MUSTERILER!$T$7:$T$156,0)),""))</f>
        <v/>
      </c>
      <c r="U2097" s="1" t="str">
        <f>IF($T2097="","",$T2097&amp;"|"&amp;COUNTIFS($T$7:$T2097,$T2097))</f>
        <v/>
      </c>
      <c r="V2097" s="1">
        <f t="shared" si="99"/>
        <v>0</v>
      </c>
      <c r="W2097" s="1" t="str">
        <f t="shared" si="100"/>
        <v/>
      </c>
      <c r="X2097" s="1"/>
      <c r="Y2097" s="1"/>
      <c r="Z2097" s="1"/>
      <c r="AA2097" s="1"/>
      <c r="AB2097" s="1"/>
      <c r="AC2097" s="1"/>
      <c r="AD2097" s="1">
        <f>IF($C2097="",0,SUMPRODUCT((AY_SONU!$O$7:$O$42="Evet")*(AY_SONU!$B$7:$B$42=DATE(YEAR($C2097),MONTH($C2097),1))))</f>
        <v>0</v>
      </c>
      <c r="AE2097" s="1" t="str">
        <f>IF($E2097="","",$E2097&amp;"|"&amp;COUNTIFS($E$7:$E2097,$E2097))</f>
        <v/>
      </c>
    </row>
    <row r="2098" spans="1:31" ht="18" customHeight="1" x14ac:dyDescent="0.3">
      <c r="A2098" s="2"/>
      <c r="B2098" s="65" t="str">
        <f>IF($C2098="","","GG"&amp;TEXT(ROW()-6,"00000"))</f>
        <v/>
      </c>
      <c r="C2098" s="66"/>
      <c r="D2098" s="60"/>
      <c r="E2098" s="61"/>
      <c r="F2098" s="61"/>
      <c r="G2098" s="67"/>
      <c r="H2098" s="60"/>
      <c r="I2098" s="60"/>
      <c r="J2098" s="61"/>
      <c r="K2098" s="61"/>
      <c r="L2098" s="60"/>
      <c r="M2098" s="74" t="str">
        <f>IF($C2098="","",IF($D2098="Gider",$E2098,IF($L2098&lt;&gt;"",$L2098,$H2098)))</f>
        <v/>
      </c>
      <c r="N2098" s="74" t="str">
        <f>IF($C2098="","",IF($D2098="Gider",$H2098,$E2098))</f>
        <v/>
      </c>
      <c r="O2098" s="73" t="str">
        <f>IF($C2098="","",DATE(YEAR($C2098),MONTH($C2098),1))</f>
        <v/>
      </c>
      <c r="P2098" s="65" t="str">
        <f ca="1">IF($C2098="","",IF(AND($D2098="Gelir",$L2098&lt;&gt;"",$T2098=""),"TANIMSIZ BORÇLU",IF($T2098&lt;&gt;"",IF(OR($E2098="",$G2098&lt;=0),"EKSİK",IF($I2098="Evet","TAHAKKUK NAKİT OLAMAZ",IF($C2098&gt;TODAY(),"İLERİ TARİH","TAHAKKUK"))),IF(AND($D2098&lt;&gt;"",$E2098&lt;&gt;"",$G2098&gt;0,$H2098&lt;&gt;"",$I2098&lt;&gt;""),IF($C2098&gt;TODAY(),"İLERİ TARİH",IF(COUNTIF($W$7:$W$3001,$W2098)&gt;1,"MÜKERRER?",IF($AD2098&gt;0,"KAPALI DÖNEM",IF($I2098="Hayır","ÖDENECEK","UYGUN")))),"EKSİK"))))</f>
        <v/>
      </c>
      <c r="Q2098" s="2"/>
      <c r="R2098" s="2"/>
      <c r="S2098" s="1" t="str">
        <f t="shared" si="98"/>
        <v/>
      </c>
      <c r="T2098" s="1" t="str">
        <f>IF(OR($C2098="",$D2098&lt;&gt;"Gelir",$L2098=""),"",IFERROR(INDEX(MUSTERILER!$B$7:$B$156,MATCH($S2098,MUSTERILER!$T$7:$T$156,0)),""))</f>
        <v/>
      </c>
      <c r="U2098" s="1" t="str">
        <f>IF($T2098="","",$T2098&amp;"|"&amp;COUNTIFS($T$7:$T2098,$T2098))</f>
        <v/>
      </c>
      <c r="V2098" s="1">
        <f t="shared" si="99"/>
        <v>0</v>
      </c>
      <c r="W2098" s="1" t="str">
        <f t="shared" si="100"/>
        <v/>
      </c>
      <c r="X2098" s="1"/>
      <c r="Y2098" s="1"/>
      <c r="Z2098" s="1"/>
      <c r="AA2098" s="1"/>
      <c r="AB2098" s="1"/>
      <c r="AC2098" s="1"/>
      <c r="AD2098" s="1">
        <f>IF($C2098="",0,SUMPRODUCT((AY_SONU!$O$7:$O$42="Evet")*(AY_SONU!$B$7:$B$42=DATE(YEAR($C2098),MONTH($C2098),1))))</f>
        <v>0</v>
      </c>
      <c r="AE2098" s="1" t="str">
        <f>IF($E2098="","",$E2098&amp;"|"&amp;COUNTIFS($E$7:$E2098,$E2098))</f>
        <v/>
      </c>
    </row>
    <row r="2099" spans="1:31" ht="18" customHeight="1" x14ac:dyDescent="0.3">
      <c r="A2099" s="2"/>
      <c r="B2099" s="65" t="str">
        <f>IF($C2099="","","GG"&amp;TEXT(ROW()-6,"00000"))</f>
        <v/>
      </c>
      <c r="C2099" s="66"/>
      <c r="D2099" s="60"/>
      <c r="E2099" s="61"/>
      <c r="F2099" s="61"/>
      <c r="G2099" s="67"/>
      <c r="H2099" s="60"/>
      <c r="I2099" s="60"/>
      <c r="J2099" s="61"/>
      <c r="K2099" s="61"/>
      <c r="L2099" s="60"/>
      <c r="M2099" s="74" t="str">
        <f>IF($C2099="","",IF($D2099="Gider",$E2099,IF($L2099&lt;&gt;"",$L2099,$H2099)))</f>
        <v/>
      </c>
      <c r="N2099" s="74" t="str">
        <f>IF($C2099="","",IF($D2099="Gider",$H2099,$E2099))</f>
        <v/>
      </c>
      <c r="O2099" s="73" t="str">
        <f>IF($C2099="","",DATE(YEAR($C2099),MONTH($C2099),1))</f>
        <v/>
      </c>
      <c r="P2099" s="65" t="str">
        <f ca="1">IF($C2099="","",IF(AND($D2099="Gelir",$L2099&lt;&gt;"",$T2099=""),"TANIMSIZ BORÇLU",IF($T2099&lt;&gt;"",IF(OR($E2099="",$G2099&lt;=0),"EKSİK",IF($I2099="Evet","TAHAKKUK NAKİT OLAMAZ",IF($C2099&gt;TODAY(),"İLERİ TARİH","TAHAKKUK"))),IF(AND($D2099&lt;&gt;"",$E2099&lt;&gt;"",$G2099&gt;0,$H2099&lt;&gt;"",$I2099&lt;&gt;""),IF($C2099&gt;TODAY(),"İLERİ TARİH",IF(COUNTIF($W$7:$W$3001,$W2099)&gt;1,"MÜKERRER?",IF($AD2099&gt;0,"KAPALI DÖNEM",IF($I2099="Hayır","ÖDENECEK","UYGUN")))),"EKSİK"))))</f>
        <v/>
      </c>
      <c r="Q2099" s="2"/>
      <c r="R2099" s="2"/>
      <c r="S2099" s="1" t="str">
        <f t="shared" si="98"/>
        <v/>
      </c>
      <c r="T2099" s="1" t="str">
        <f>IF(OR($C2099="",$D2099&lt;&gt;"Gelir",$L2099=""),"",IFERROR(INDEX(MUSTERILER!$B$7:$B$156,MATCH($S2099,MUSTERILER!$T$7:$T$156,0)),""))</f>
        <v/>
      </c>
      <c r="U2099" s="1" t="str">
        <f>IF($T2099="","",$T2099&amp;"|"&amp;COUNTIFS($T$7:$T2099,$T2099))</f>
        <v/>
      </c>
      <c r="V2099" s="1">
        <f t="shared" si="99"/>
        <v>0</v>
      </c>
      <c r="W2099" s="1" t="str">
        <f t="shared" si="100"/>
        <v/>
      </c>
      <c r="X2099" s="1"/>
      <c r="Y2099" s="1"/>
      <c r="Z2099" s="1"/>
      <c r="AA2099" s="1"/>
      <c r="AB2099" s="1"/>
      <c r="AC2099" s="1"/>
      <c r="AD2099" s="1">
        <f>IF($C2099="",0,SUMPRODUCT((AY_SONU!$O$7:$O$42="Evet")*(AY_SONU!$B$7:$B$42=DATE(YEAR($C2099),MONTH($C2099),1))))</f>
        <v>0</v>
      </c>
      <c r="AE2099" s="1" t="str">
        <f>IF($E2099="","",$E2099&amp;"|"&amp;COUNTIFS($E$7:$E2099,$E2099))</f>
        <v/>
      </c>
    </row>
    <row r="2100" spans="1:31" ht="18" customHeight="1" x14ac:dyDescent="0.3">
      <c r="A2100" s="2"/>
      <c r="B2100" s="65" t="str">
        <f>IF($C2100="","","GG"&amp;TEXT(ROW()-6,"00000"))</f>
        <v/>
      </c>
      <c r="C2100" s="66"/>
      <c r="D2100" s="60"/>
      <c r="E2100" s="61"/>
      <c r="F2100" s="61"/>
      <c r="G2100" s="67"/>
      <c r="H2100" s="60"/>
      <c r="I2100" s="60"/>
      <c r="J2100" s="61"/>
      <c r="K2100" s="61"/>
      <c r="L2100" s="60"/>
      <c r="M2100" s="74" t="str">
        <f>IF($C2100="","",IF($D2100="Gider",$E2100,IF($L2100&lt;&gt;"",$L2100,$H2100)))</f>
        <v/>
      </c>
      <c r="N2100" s="74" t="str">
        <f>IF($C2100="","",IF($D2100="Gider",$H2100,$E2100))</f>
        <v/>
      </c>
      <c r="O2100" s="73" t="str">
        <f>IF($C2100="","",DATE(YEAR($C2100),MONTH($C2100),1))</f>
        <v/>
      </c>
      <c r="P2100" s="65" t="str">
        <f ca="1">IF($C2100="","",IF(AND($D2100="Gelir",$L2100&lt;&gt;"",$T2100=""),"TANIMSIZ BORÇLU",IF($T2100&lt;&gt;"",IF(OR($E2100="",$G2100&lt;=0),"EKSİK",IF($I2100="Evet","TAHAKKUK NAKİT OLAMAZ",IF($C2100&gt;TODAY(),"İLERİ TARİH","TAHAKKUK"))),IF(AND($D2100&lt;&gt;"",$E2100&lt;&gt;"",$G2100&gt;0,$H2100&lt;&gt;"",$I2100&lt;&gt;""),IF($C2100&gt;TODAY(),"İLERİ TARİH",IF(COUNTIF($W$7:$W$3001,$W2100)&gt;1,"MÜKERRER?",IF($AD2100&gt;0,"KAPALI DÖNEM",IF($I2100="Hayır","ÖDENECEK","UYGUN")))),"EKSİK"))))</f>
        <v/>
      </c>
      <c r="Q2100" s="2"/>
      <c r="R2100" s="2"/>
      <c r="S2100" s="1" t="str">
        <f t="shared" si="98"/>
        <v/>
      </c>
      <c r="T2100" s="1" t="str">
        <f>IF(OR($C2100="",$D2100&lt;&gt;"Gelir",$L2100=""),"",IFERROR(INDEX(MUSTERILER!$B$7:$B$156,MATCH($S2100,MUSTERILER!$T$7:$T$156,0)),""))</f>
        <v/>
      </c>
      <c r="U2100" s="1" t="str">
        <f>IF($T2100="","",$T2100&amp;"|"&amp;COUNTIFS($T$7:$T2100,$T2100))</f>
        <v/>
      </c>
      <c r="V2100" s="1">
        <f t="shared" si="99"/>
        <v>0</v>
      </c>
      <c r="W2100" s="1" t="str">
        <f t="shared" si="100"/>
        <v/>
      </c>
      <c r="X2100" s="1"/>
      <c r="Y2100" s="1"/>
      <c r="Z2100" s="1"/>
      <c r="AA2100" s="1"/>
      <c r="AB2100" s="1"/>
      <c r="AC2100" s="1"/>
      <c r="AD2100" s="1">
        <f>IF($C2100="",0,SUMPRODUCT((AY_SONU!$O$7:$O$42="Evet")*(AY_SONU!$B$7:$B$42=DATE(YEAR($C2100),MONTH($C2100),1))))</f>
        <v>0</v>
      </c>
      <c r="AE2100" s="1" t="str">
        <f>IF($E2100="","",$E2100&amp;"|"&amp;COUNTIFS($E$7:$E2100,$E2100))</f>
        <v/>
      </c>
    </row>
    <row r="2101" spans="1:31" ht="18" customHeight="1" x14ac:dyDescent="0.3">
      <c r="A2101" s="2"/>
      <c r="B2101" s="65" t="str">
        <f>IF($C2101="","","GG"&amp;TEXT(ROW()-6,"00000"))</f>
        <v/>
      </c>
      <c r="C2101" s="66"/>
      <c r="D2101" s="60"/>
      <c r="E2101" s="61"/>
      <c r="F2101" s="61"/>
      <c r="G2101" s="67"/>
      <c r="H2101" s="60"/>
      <c r="I2101" s="60"/>
      <c r="J2101" s="61"/>
      <c r="K2101" s="61"/>
      <c r="L2101" s="60"/>
      <c r="M2101" s="74" t="str">
        <f>IF($C2101="","",IF($D2101="Gider",$E2101,IF($L2101&lt;&gt;"",$L2101,$H2101)))</f>
        <v/>
      </c>
      <c r="N2101" s="74" t="str">
        <f>IF($C2101="","",IF($D2101="Gider",$H2101,$E2101))</f>
        <v/>
      </c>
      <c r="O2101" s="73" t="str">
        <f>IF($C2101="","",DATE(YEAR($C2101),MONTH($C2101),1))</f>
        <v/>
      </c>
      <c r="P2101" s="65" t="str">
        <f ca="1">IF($C2101="","",IF(AND($D2101="Gelir",$L2101&lt;&gt;"",$T2101=""),"TANIMSIZ BORÇLU",IF($T2101&lt;&gt;"",IF(OR($E2101="",$G2101&lt;=0),"EKSİK",IF($I2101="Evet","TAHAKKUK NAKİT OLAMAZ",IF($C2101&gt;TODAY(),"İLERİ TARİH","TAHAKKUK"))),IF(AND($D2101&lt;&gt;"",$E2101&lt;&gt;"",$G2101&gt;0,$H2101&lt;&gt;"",$I2101&lt;&gt;""),IF($C2101&gt;TODAY(),"İLERİ TARİH",IF(COUNTIF($W$7:$W$3001,$W2101)&gt;1,"MÜKERRER?",IF($AD2101&gt;0,"KAPALI DÖNEM",IF($I2101="Hayır","ÖDENECEK","UYGUN")))),"EKSİK"))))</f>
        <v/>
      </c>
      <c r="Q2101" s="2"/>
      <c r="R2101" s="2"/>
      <c r="S2101" s="1" t="str">
        <f t="shared" si="98"/>
        <v/>
      </c>
      <c r="T2101" s="1" t="str">
        <f>IF(OR($C2101="",$D2101&lt;&gt;"Gelir",$L2101=""),"",IFERROR(INDEX(MUSTERILER!$B$7:$B$156,MATCH($S2101,MUSTERILER!$T$7:$T$156,0)),""))</f>
        <v/>
      </c>
      <c r="U2101" s="1" t="str">
        <f>IF($T2101="","",$T2101&amp;"|"&amp;COUNTIFS($T$7:$T2101,$T2101))</f>
        <v/>
      </c>
      <c r="V2101" s="1">
        <f t="shared" si="99"/>
        <v>0</v>
      </c>
      <c r="W2101" s="1" t="str">
        <f t="shared" si="100"/>
        <v/>
      </c>
      <c r="X2101" s="1"/>
      <c r="Y2101" s="1"/>
      <c r="Z2101" s="1"/>
      <c r="AA2101" s="1"/>
      <c r="AB2101" s="1"/>
      <c r="AC2101" s="1"/>
      <c r="AD2101" s="1">
        <f>IF($C2101="",0,SUMPRODUCT((AY_SONU!$O$7:$O$42="Evet")*(AY_SONU!$B$7:$B$42=DATE(YEAR($C2101),MONTH($C2101),1))))</f>
        <v>0</v>
      </c>
      <c r="AE2101" s="1" t="str">
        <f>IF($E2101="","",$E2101&amp;"|"&amp;COUNTIFS($E$7:$E2101,$E2101))</f>
        <v/>
      </c>
    </row>
    <row r="2102" spans="1:31" ht="18" customHeight="1" x14ac:dyDescent="0.3">
      <c r="A2102" s="2"/>
      <c r="B2102" s="65" t="str">
        <f>IF($C2102="","","GG"&amp;TEXT(ROW()-6,"00000"))</f>
        <v/>
      </c>
      <c r="C2102" s="66"/>
      <c r="D2102" s="60"/>
      <c r="E2102" s="61"/>
      <c r="F2102" s="61"/>
      <c r="G2102" s="67"/>
      <c r="H2102" s="60"/>
      <c r="I2102" s="60"/>
      <c r="J2102" s="61"/>
      <c r="K2102" s="61"/>
      <c r="L2102" s="60"/>
      <c r="M2102" s="74" t="str">
        <f>IF($C2102="","",IF($D2102="Gider",$E2102,IF($L2102&lt;&gt;"",$L2102,$H2102)))</f>
        <v/>
      </c>
      <c r="N2102" s="74" t="str">
        <f>IF($C2102="","",IF($D2102="Gider",$H2102,$E2102))</f>
        <v/>
      </c>
      <c r="O2102" s="73" t="str">
        <f>IF($C2102="","",DATE(YEAR($C2102),MONTH($C2102),1))</f>
        <v/>
      </c>
      <c r="P2102" s="65" t="str">
        <f ca="1">IF($C2102="","",IF(AND($D2102="Gelir",$L2102&lt;&gt;"",$T2102=""),"TANIMSIZ BORÇLU",IF($T2102&lt;&gt;"",IF(OR($E2102="",$G2102&lt;=0),"EKSİK",IF($I2102="Evet","TAHAKKUK NAKİT OLAMAZ",IF($C2102&gt;TODAY(),"İLERİ TARİH","TAHAKKUK"))),IF(AND($D2102&lt;&gt;"",$E2102&lt;&gt;"",$G2102&gt;0,$H2102&lt;&gt;"",$I2102&lt;&gt;""),IF($C2102&gt;TODAY(),"İLERİ TARİH",IF(COUNTIF($W$7:$W$3001,$W2102)&gt;1,"MÜKERRER?",IF($AD2102&gt;0,"KAPALI DÖNEM",IF($I2102="Hayır","ÖDENECEK","UYGUN")))),"EKSİK"))))</f>
        <v/>
      </c>
      <c r="Q2102" s="2"/>
      <c r="R2102" s="2"/>
      <c r="S2102" s="1" t="str">
        <f t="shared" si="98"/>
        <v/>
      </c>
      <c r="T2102" s="1" t="str">
        <f>IF(OR($C2102="",$D2102&lt;&gt;"Gelir",$L2102=""),"",IFERROR(INDEX(MUSTERILER!$B$7:$B$156,MATCH($S2102,MUSTERILER!$T$7:$T$156,0)),""))</f>
        <v/>
      </c>
      <c r="U2102" s="1" t="str">
        <f>IF($T2102="","",$T2102&amp;"|"&amp;COUNTIFS($T$7:$T2102,$T2102))</f>
        <v/>
      </c>
      <c r="V2102" s="1">
        <f t="shared" si="99"/>
        <v>0</v>
      </c>
      <c r="W2102" s="1" t="str">
        <f t="shared" si="100"/>
        <v/>
      </c>
      <c r="X2102" s="1"/>
      <c r="Y2102" s="1"/>
      <c r="Z2102" s="1"/>
      <c r="AA2102" s="1"/>
      <c r="AB2102" s="1"/>
      <c r="AC2102" s="1"/>
      <c r="AD2102" s="1">
        <f>IF($C2102="",0,SUMPRODUCT((AY_SONU!$O$7:$O$42="Evet")*(AY_SONU!$B$7:$B$42=DATE(YEAR($C2102),MONTH($C2102),1))))</f>
        <v>0</v>
      </c>
      <c r="AE2102" s="1" t="str">
        <f>IF($E2102="","",$E2102&amp;"|"&amp;COUNTIFS($E$7:$E2102,$E2102))</f>
        <v/>
      </c>
    </row>
    <row r="2103" spans="1:31" ht="18" customHeight="1" x14ac:dyDescent="0.3">
      <c r="A2103" s="2"/>
      <c r="B2103" s="65" t="str">
        <f>IF($C2103="","","GG"&amp;TEXT(ROW()-6,"00000"))</f>
        <v/>
      </c>
      <c r="C2103" s="66"/>
      <c r="D2103" s="60"/>
      <c r="E2103" s="61"/>
      <c r="F2103" s="61"/>
      <c r="G2103" s="67"/>
      <c r="H2103" s="60"/>
      <c r="I2103" s="60"/>
      <c r="J2103" s="61"/>
      <c r="K2103" s="61"/>
      <c r="L2103" s="60"/>
      <c r="M2103" s="74" t="str">
        <f>IF($C2103="","",IF($D2103="Gider",$E2103,IF($L2103&lt;&gt;"",$L2103,$H2103)))</f>
        <v/>
      </c>
      <c r="N2103" s="74" t="str">
        <f>IF($C2103="","",IF($D2103="Gider",$H2103,$E2103))</f>
        <v/>
      </c>
      <c r="O2103" s="73" t="str">
        <f>IF($C2103="","",DATE(YEAR($C2103),MONTH($C2103),1))</f>
        <v/>
      </c>
      <c r="P2103" s="65" t="str">
        <f ca="1">IF($C2103="","",IF(AND($D2103="Gelir",$L2103&lt;&gt;"",$T2103=""),"TANIMSIZ BORÇLU",IF($T2103&lt;&gt;"",IF(OR($E2103="",$G2103&lt;=0),"EKSİK",IF($I2103="Evet","TAHAKKUK NAKİT OLAMAZ",IF($C2103&gt;TODAY(),"İLERİ TARİH","TAHAKKUK"))),IF(AND($D2103&lt;&gt;"",$E2103&lt;&gt;"",$G2103&gt;0,$H2103&lt;&gt;"",$I2103&lt;&gt;""),IF($C2103&gt;TODAY(),"İLERİ TARİH",IF(COUNTIF($W$7:$W$3001,$W2103)&gt;1,"MÜKERRER?",IF($AD2103&gt;0,"KAPALI DÖNEM",IF($I2103="Hayır","ÖDENECEK","UYGUN")))),"EKSİK"))))</f>
        <v/>
      </c>
      <c r="Q2103" s="2"/>
      <c r="R2103" s="2"/>
      <c r="S2103" s="1" t="str">
        <f t="shared" si="98"/>
        <v/>
      </c>
      <c r="T2103" s="1" t="str">
        <f>IF(OR($C2103="",$D2103&lt;&gt;"Gelir",$L2103=""),"",IFERROR(INDEX(MUSTERILER!$B$7:$B$156,MATCH($S2103,MUSTERILER!$T$7:$T$156,0)),""))</f>
        <v/>
      </c>
      <c r="U2103" s="1" t="str">
        <f>IF($T2103="","",$T2103&amp;"|"&amp;COUNTIFS($T$7:$T2103,$T2103))</f>
        <v/>
      </c>
      <c r="V2103" s="1">
        <f t="shared" si="99"/>
        <v>0</v>
      </c>
      <c r="W2103" s="1" t="str">
        <f t="shared" si="100"/>
        <v/>
      </c>
      <c r="X2103" s="1"/>
      <c r="Y2103" s="1"/>
      <c r="Z2103" s="1"/>
      <c r="AA2103" s="1"/>
      <c r="AB2103" s="1"/>
      <c r="AC2103" s="1"/>
      <c r="AD2103" s="1">
        <f>IF($C2103="",0,SUMPRODUCT((AY_SONU!$O$7:$O$42="Evet")*(AY_SONU!$B$7:$B$42=DATE(YEAR($C2103),MONTH($C2103),1))))</f>
        <v>0</v>
      </c>
      <c r="AE2103" s="1" t="str">
        <f>IF($E2103="","",$E2103&amp;"|"&amp;COUNTIFS($E$7:$E2103,$E2103))</f>
        <v/>
      </c>
    </row>
    <row r="2104" spans="1:31" ht="18" customHeight="1" x14ac:dyDescent="0.3">
      <c r="A2104" s="2"/>
      <c r="B2104" s="65" t="str">
        <f>IF($C2104="","","GG"&amp;TEXT(ROW()-6,"00000"))</f>
        <v/>
      </c>
      <c r="C2104" s="66"/>
      <c r="D2104" s="60"/>
      <c r="E2104" s="61"/>
      <c r="F2104" s="61"/>
      <c r="G2104" s="67"/>
      <c r="H2104" s="60"/>
      <c r="I2104" s="60"/>
      <c r="J2104" s="61"/>
      <c r="K2104" s="61"/>
      <c r="L2104" s="60"/>
      <c r="M2104" s="74" t="str">
        <f>IF($C2104="","",IF($D2104="Gider",$E2104,IF($L2104&lt;&gt;"",$L2104,$H2104)))</f>
        <v/>
      </c>
      <c r="N2104" s="74" t="str">
        <f>IF($C2104="","",IF($D2104="Gider",$H2104,$E2104))</f>
        <v/>
      </c>
      <c r="O2104" s="73" t="str">
        <f>IF($C2104="","",DATE(YEAR($C2104),MONTH($C2104),1))</f>
        <v/>
      </c>
      <c r="P2104" s="65" t="str">
        <f ca="1">IF($C2104="","",IF(AND($D2104="Gelir",$L2104&lt;&gt;"",$T2104=""),"TANIMSIZ BORÇLU",IF($T2104&lt;&gt;"",IF(OR($E2104="",$G2104&lt;=0),"EKSİK",IF($I2104="Evet","TAHAKKUK NAKİT OLAMAZ",IF($C2104&gt;TODAY(),"İLERİ TARİH","TAHAKKUK"))),IF(AND($D2104&lt;&gt;"",$E2104&lt;&gt;"",$G2104&gt;0,$H2104&lt;&gt;"",$I2104&lt;&gt;""),IF($C2104&gt;TODAY(),"İLERİ TARİH",IF(COUNTIF($W$7:$W$3001,$W2104)&gt;1,"MÜKERRER?",IF($AD2104&gt;0,"KAPALI DÖNEM",IF($I2104="Hayır","ÖDENECEK","UYGUN")))),"EKSİK"))))</f>
        <v/>
      </c>
      <c r="Q2104" s="2"/>
      <c r="R2104" s="2"/>
      <c r="S2104" s="1" t="str">
        <f t="shared" si="98"/>
        <v/>
      </c>
      <c r="T2104" s="1" t="str">
        <f>IF(OR($C2104="",$D2104&lt;&gt;"Gelir",$L2104=""),"",IFERROR(INDEX(MUSTERILER!$B$7:$B$156,MATCH($S2104,MUSTERILER!$T$7:$T$156,0)),""))</f>
        <v/>
      </c>
      <c r="U2104" s="1" t="str">
        <f>IF($T2104="","",$T2104&amp;"|"&amp;COUNTIFS($T$7:$T2104,$T2104))</f>
        <v/>
      </c>
      <c r="V2104" s="1">
        <f t="shared" si="99"/>
        <v>0</v>
      </c>
      <c r="W2104" s="1" t="str">
        <f t="shared" si="100"/>
        <v/>
      </c>
      <c r="X2104" s="1"/>
      <c r="Y2104" s="1"/>
      <c r="Z2104" s="1"/>
      <c r="AA2104" s="1"/>
      <c r="AB2104" s="1"/>
      <c r="AC2104" s="1"/>
      <c r="AD2104" s="1">
        <f>IF($C2104="",0,SUMPRODUCT((AY_SONU!$O$7:$O$42="Evet")*(AY_SONU!$B$7:$B$42=DATE(YEAR($C2104),MONTH($C2104),1))))</f>
        <v>0</v>
      </c>
      <c r="AE2104" s="1" t="str">
        <f>IF($E2104="","",$E2104&amp;"|"&amp;COUNTIFS($E$7:$E2104,$E2104))</f>
        <v/>
      </c>
    </row>
    <row r="2105" spans="1:31" ht="18" customHeight="1" x14ac:dyDescent="0.3">
      <c r="A2105" s="2"/>
      <c r="B2105" s="65" t="str">
        <f>IF($C2105="","","GG"&amp;TEXT(ROW()-6,"00000"))</f>
        <v/>
      </c>
      <c r="C2105" s="66"/>
      <c r="D2105" s="60"/>
      <c r="E2105" s="61"/>
      <c r="F2105" s="61"/>
      <c r="G2105" s="67"/>
      <c r="H2105" s="60"/>
      <c r="I2105" s="60"/>
      <c r="J2105" s="61"/>
      <c r="K2105" s="61"/>
      <c r="L2105" s="60"/>
      <c r="M2105" s="74" t="str">
        <f>IF($C2105="","",IF($D2105="Gider",$E2105,IF($L2105&lt;&gt;"",$L2105,$H2105)))</f>
        <v/>
      </c>
      <c r="N2105" s="74" t="str">
        <f>IF($C2105="","",IF($D2105="Gider",$H2105,$E2105))</f>
        <v/>
      </c>
      <c r="O2105" s="73" t="str">
        <f>IF($C2105="","",DATE(YEAR($C2105),MONTH($C2105),1))</f>
        <v/>
      </c>
      <c r="P2105" s="65" t="str">
        <f ca="1">IF($C2105="","",IF(AND($D2105="Gelir",$L2105&lt;&gt;"",$T2105=""),"TANIMSIZ BORÇLU",IF($T2105&lt;&gt;"",IF(OR($E2105="",$G2105&lt;=0),"EKSİK",IF($I2105="Evet","TAHAKKUK NAKİT OLAMAZ",IF($C2105&gt;TODAY(),"İLERİ TARİH","TAHAKKUK"))),IF(AND($D2105&lt;&gt;"",$E2105&lt;&gt;"",$G2105&gt;0,$H2105&lt;&gt;"",$I2105&lt;&gt;""),IF($C2105&gt;TODAY(),"İLERİ TARİH",IF(COUNTIF($W$7:$W$3001,$W2105)&gt;1,"MÜKERRER?",IF($AD2105&gt;0,"KAPALI DÖNEM",IF($I2105="Hayır","ÖDENECEK","UYGUN")))),"EKSİK"))))</f>
        <v/>
      </c>
      <c r="Q2105" s="2"/>
      <c r="R2105" s="2"/>
      <c r="S2105" s="1" t="str">
        <f t="shared" si="98"/>
        <v/>
      </c>
      <c r="T2105" s="1" t="str">
        <f>IF(OR($C2105="",$D2105&lt;&gt;"Gelir",$L2105=""),"",IFERROR(INDEX(MUSTERILER!$B$7:$B$156,MATCH($S2105,MUSTERILER!$T$7:$T$156,0)),""))</f>
        <v/>
      </c>
      <c r="U2105" s="1" t="str">
        <f>IF($T2105="","",$T2105&amp;"|"&amp;COUNTIFS($T$7:$T2105,$T2105))</f>
        <v/>
      </c>
      <c r="V2105" s="1">
        <f t="shared" si="99"/>
        <v>0</v>
      </c>
      <c r="W2105" s="1" t="str">
        <f t="shared" si="100"/>
        <v/>
      </c>
      <c r="X2105" s="1"/>
      <c r="Y2105" s="1"/>
      <c r="Z2105" s="1"/>
      <c r="AA2105" s="1"/>
      <c r="AB2105" s="1"/>
      <c r="AC2105" s="1"/>
      <c r="AD2105" s="1">
        <f>IF($C2105="",0,SUMPRODUCT((AY_SONU!$O$7:$O$42="Evet")*(AY_SONU!$B$7:$B$42=DATE(YEAR($C2105),MONTH($C2105),1))))</f>
        <v>0</v>
      </c>
      <c r="AE2105" s="1" t="str">
        <f>IF($E2105="","",$E2105&amp;"|"&amp;COUNTIFS($E$7:$E2105,$E2105))</f>
        <v/>
      </c>
    </row>
    <row r="2106" spans="1:31" ht="18" customHeight="1" x14ac:dyDescent="0.3">
      <c r="A2106" s="2"/>
      <c r="B2106" s="65" t="str">
        <f>IF($C2106="","","GG"&amp;TEXT(ROW()-6,"00000"))</f>
        <v/>
      </c>
      <c r="C2106" s="66"/>
      <c r="D2106" s="60"/>
      <c r="E2106" s="61"/>
      <c r="F2106" s="61"/>
      <c r="G2106" s="67"/>
      <c r="H2106" s="60"/>
      <c r="I2106" s="60"/>
      <c r="J2106" s="61"/>
      <c r="K2106" s="61"/>
      <c r="L2106" s="60"/>
      <c r="M2106" s="74" t="str">
        <f>IF($C2106="","",IF($D2106="Gider",$E2106,IF($L2106&lt;&gt;"",$L2106,$H2106)))</f>
        <v/>
      </c>
      <c r="N2106" s="74" t="str">
        <f>IF($C2106="","",IF($D2106="Gider",$H2106,$E2106))</f>
        <v/>
      </c>
      <c r="O2106" s="73" t="str">
        <f>IF($C2106="","",DATE(YEAR($C2106),MONTH($C2106),1))</f>
        <v/>
      </c>
      <c r="P2106" s="65" t="str">
        <f ca="1">IF($C2106="","",IF(AND($D2106="Gelir",$L2106&lt;&gt;"",$T2106=""),"TANIMSIZ BORÇLU",IF($T2106&lt;&gt;"",IF(OR($E2106="",$G2106&lt;=0),"EKSİK",IF($I2106="Evet","TAHAKKUK NAKİT OLAMAZ",IF($C2106&gt;TODAY(),"İLERİ TARİH","TAHAKKUK"))),IF(AND($D2106&lt;&gt;"",$E2106&lt;&gt;"",$G2106&gt;0,$H2106&lt;&gt;"",$I2106&lt;&gt;""),IF($C2106&gt;TODAY(),"İLERİ TARİH",IF(COUNTIF($W$7:$W$3001,$W2106)&gt;1,"MÜKERRER?",IF($AD2106&gt;0,"KAPALI DÖNEM",IF($I2106="Hayır","ÖDENECEK","UYGUN")))),"EKSİK"))))</f>
        <v/>
      </c>
      <c r="Q2106" s="2"/>
      <c r="R2106" s="2"/>
      <c r="S2106" s="1" t="str">
        <f t="shared" si="98"/>
        <v/>
      </c>
      <c r="T2106" s="1" t="str">
        <f>IF(OR($C2106="",$D2106&lt;&gt;"Gelir",$L2106=""),"",IFERROR(INDEX(MUSTERILER!$B$7:$B$156,MATCH($S2106,MUSTERILER!$T$7:$T$156,0)),""))</f>
        <v/>
      </c>
      <c r="U2106" s="1" t="str">
        <f>IF($T2106="","",$T2106&amp;"|"&amp;COUNTIFS($T$7:$T2106,$T2106))</f>
        <v/>
      </c>
      <c r="V2106" s="1">
        <f t="shared" si="99"/>
        <v>0</v>
      </c>
      <c r="W2106" s="1" t="str">
        <f t="shared" si="100"/>
        <v/>
      </c>
      <c r="X2106" s="1"/>
      <c r="Y2106" s="1"/>
      <c r="Z2106" s="1"/>
      <c r="AA2106" s="1"/>
      <c r="AB2106" s="1"/>
      <c r="AC2106" s="1"/>
      <c r="AD2106" s="1">
        <f>IF($C2106="",0,SUMPRODUCT((AY_SONU!$O$7:$O$42="Evet")*(AY_SONU!$B$7:$B$42=DATE(YEAR($C2106),MONTH($C2106),1))))</f>
        <v>0</v>
      </c>
      <c r="AE2106" s="1" t="str">
        <f>IF($E2106="","",$E2106&amp;"|"&amp;COUNTIFS($E$7:$E2106,$E2106))</f>
        <v/>
      </c>
    </row>
    <row r="2107" spans="1:31" ht="18" customHeight="1" x14ac:dyDescent="0.3">
      <c r="A2107" s="2"/>
      <c r="B2107" s="65" t="str">
        <f>IF($C2107="","","GG"&amp;TEXT(ROW()-6,"00000"))</f>
        <v/>
      </c>
      <c r="C2107" s="66"/>
      <c r="D2107" s="60"/>
      <c r="E2107" s="61"/>
      <c r="F2107" s="61"/>
      <c r="G2107" s="67"/>
      <c r="H2107" s="60"/>
      <c r="I2107" s="60"/>
      <c r="J2107" s="61"/>
      <c r="K2107" s="61"/>
      <c r="L2107" s="60"/>
      <c r="M2107" s="74" t="str">
        <f>IF($C2107="","",IF($D2107="Gider",$E2107,IF($L2107&lt;&gt;"",$L2107,$H2107)))</f>
        <v/>
      </c>
      <c r="N2107" s="74" t="str">
        <f>IF($C2107="","",IF($D2107="Gider",$H2107,$E2107))</f>
        <v/>
      </c>
      <c r="O2107" s="73" t="str">
        <f>IF($C2107="","",DATE(YEAR($C2107),MONTH($C2107),1))</f>
        <v/>
      </c>
      <c r="P2107" s="65" t="str">
        <f ca="1">IF($C2107="","",IF(AND($D2107="Gelir",$L2107&lt;&gt;"",$T2107=""),"TANIMSIZ BORÇLU",IF($T2107&lt;&gt;"",IF(OR($E2107="",$G2107&lt;=0),"EKSİK",IF($I2107="Evet","TAHAKKUK NAKİT OLAMAZ",IF($C2107&gt;TODAY(),"İLERİ TARİH","TAHAKKUK"))),IF(AND($D2107&lt;&gt;"",$E2107&lt;&gt;"",$G2107&gt;0,$H2107&lt;&gt;"",$I2107&lt;&gt;""),IF($C2107&gt;TODAY(),"İLERİ TARİH",IF(COUNTIF($W$7:$W$3001,$W2107)&gt;1,"MÜKERRER?",IF($AD2107&gt;0,"KAPALI DÖNEM",IF($I2107="Hayır","ÖDENECEK","UYGUN")))),"EKSİK"))))</f>
        <v/>
      </c>
      <c r="Q2107" s="2"/>
      <c r="R2107" s="2"/>
      <c r="S2107" s="1" t="str">
        <f t="shared" si="98"/>
        <v/>
      </c>
      <c r="T2107" s="1" t="str">
        <f>IF(OR($C2107="",$D2107&lt;&gt;"Gelir",$L2107=""),"",IFERROR(INDEX(MUSTERILER!$B$7:$B$156,MATCH($S2107,MUSTERILER!$T$7:$T$156,0)),""))</f>
        <v/>
      </c>
      <c r="U2107" s="1" t="str">
        <f>IF($T2107="","",$T2107&amp;"|"&amp;COUNTIFS($T$7:$T2107,$T2107))</f>
        <v/>
      </c>
      <c r="V2107" s="1">
        <f t="shared" si="99"/>
        <v>0</v>
      </c>
      <c r="W2107" s="1" t="str">
        <f t="shared" si="100"/>
        <v/>
      </c>
      <c r="X2107" s="1"/>
      <c r="Y2107" s="1"/>
      <c r="Z2107" s="1"/>
      <c r="AA2107" s="1"/>
      <c r="AB2107" s="1"/>
      <c r="AC2107" s="1"/>
      <c r="AD2107" s="1">
        <f>IF($C2107="",0,SUMPRODUCT((AY_SONU!$O$7:$O$42="Evet")*(AY_SONU!$B$7:$B$42=DATE(YEAR($C2107),MONTH($C2107),1))))</f>
        <v>0</v>
      </c>
      <c r="AE2107" s="1" t="str">
        <f>IF($E2107="","",$E2107&amp;"|"&amp;COUNTIFS($E$7:$E2107,$E2107))</f>
        <v/>
      </c>
    </row>
    <row r="2108" spans="1:31" ht="18" customHeight="1" x14ac:dyDescent="0.3">
      <c r="A2108" s="2"/>
      <c r="B2108" s="65" t="str">
        <f>IF($C2108="","","GG"&amp;TEXT(ROW()-6,"00000"))</f>
        <v/>
      </c>
      <c r="C2108" s="66"/>
      <c r="D2108" s="60"/>
      <c r="E2108" s="61"/>
      <c r="F2108" s="61"/>
      <c r="G2108" s="67"/>
      <c r="H2108" s="60"/>
      <c r="I2108" s="60"/>
      <c r="J2108" s="61"/>
      <c r="K2108" s="61"/>
      <c r="L2108" s="60"/>
      <c r="M2108" s="74" t="str">
        <f>IF($C2108="","",IF($D2108="Gider",$E2108,IF($L2108&lt;&gt;"",$L2108,$H2108)))</f>
        <v/>
      </c>
      <c r="N2108" s="74" t="str">
        <f>IF($C2108="","",IF($D2108="Gider",$H2108,$E2108))</f>
        <v/>
      </c>
      <c r="O2108" s="73" t="str">
        <f>IF($C2108="","",DATE(YEAR($C2108),MONTH($C2108),1))</f>
        <v/>
      </c>
      <c r="P2108" s="65" t="str">
        <f ca="1">IF($C2108="","",IF(AND($D2108="Gelir",$L2108&lt;&gt;"",$T2108=""),"TANIMSIZ BORÇLU",IF($T2108&lt;&gt;"",IF(OR($E2108="",$G2108&lt;=0),"EKSİK",IF($I2108="Evet","TAHAKKUK NAKİT OLAMAZ",IF($C2108&gt;TODAY(),"İLERİ TARİH","TAHAKKUK"))),IF(AND($D2108&lt;&gt;"",$E2108&lt;&gt;"",$G2108&gt;0,$H2108&lt;&gt;"",$I2108&lt;&gt;""),IF($C2108&gt;TODAY(),"İLERİ TARİH",IF(COUNTIF($W$7:$W$3001,$W2108)&gt;1,"MÜKERRER?",IF($AD2108&gt;0,"KAPALI DÖNEM",IF($I2108="Hayır","ÖDENECEK","UYGUN")))),"EKSİK"))))</f>
        <v/>
      </c>
      <c r="Q2108" s="2"/>
      <c r="R2108" s="2"/>
      <c r="S2108" s="1" t="str">
        <f t="shared" si="98"/>
        <v/>
      </c>
      <c r="T2108" s="1" t="str">
        <f>IF(OR($C2108="",$D2108&lt;&gt;"Gelir",$L2108=""),"",IFERROR(INDEX(MUSTERILER!$B$7:$B$156,MATCH($S2108,MUSTERILER!$T$7:$T$156,0)),""))</f>
        <v/>
      </c>
      <c r="U2108" s="1" t="str">
        <f>IF($T2108="","",$T2108&amp;"|"&amp;COUNTIFS($T$7:$T2108,$T2108))</f>
        <v/>
      </c>
      <c r="V2108" s="1">
        <f t="shared" si="99"/>
        <v>0</v>
      </c>
      <c r="W2108" s="1" t="str">
        <f t="shared" si="100"/>
        <v/>
      </c>
      <c r="X2108" s="1"/>
      <c r="Y2108" s="1"/>
      <c r="Z2108" s="1"/>
      <c r="AA2108" s="1"/>
      <c r="AB2108" s="1"/>
      <c r="AC2108" s="1"/>
      <c r="AD2108" s="1">
        <f>IF($C2108="",0,SUMPRODUCT((AY_SONU!$O$7:$O$42="Evet")*(AY_SONU!$B$7:$B$42=DATE(YEAR($C2108),MONTH($C2108),1))))</f>
        <v>0</v>
      </c>
      <c r="AE2108" s="1" t="str">
        <f>IF($E2108="","",$E2108&amp;"|"&amp;COUNTIFS($E$7:$E2108,$E2108))</f>
        <v/>
      </c>
    </row>
    <row r="2109" spans="1:31" ht="18" customHeight="1" x14ac:dyDescent="0.3">
      <c r="A2109" s="2"/>
      <c r="B2109" s="65" t="str">
        <f>IF($C2109="","","GG"&amp;TEXT(ROW()-6,"00000"))</f>
        <v/>
      </c>
      <c r="C2109" s="66"/>
      <c r="D2109" s="60"/>
      <c r="E2109" s="61"/>
      <c r="F2109" s="61"/>
      <c r="G2109" s="67"/>
      <c r="H2109" s="60"/>
      <c r="I2109" s="60"/>
      <c r="J2109" s="61"/>
      <c r="K2109" s="61"/>
      <c r="L2109" s="60"/>
      <c r="M2109" s="74" t="str">
        <f>IF($C2109="","",IF($D2109="Gider",$E2109,IF($L2109&lt;&gt;"",$L2109,$H2109)))</f>
        <v/>
      </c>
      <c r="N2109" s="74" t="str">
        <f>IF($C2109="","",IF($D2109="Gider",$H2109,$E2109))</f>
        <v/>
      </c>
      <c r="O2109" s="73" t="str">
        <f>IF($C2109="","",DATE(YEAR($C2109),MONTH($C2109),1))</f>
        <v/>
      </c>
      <c r="P2109" s="65" t="str">
        <f ca="1">IF($C2109="","",IF(AND($D2109="Gelir",$L2109&lt;&gt;"",$T2109=""),"TANIMSIZ BORÇLU",IF($T2109&lt;&gt;"",IF(OR($E2109="",$G2109&lt;=0),"EKSİK",IF($I2109="Evet","TAHAKKUK NAKİT OLAMAZ",IF($C2109&gt;TODAY(),"İLERİ TARİH","TAHAKKUK"))),IF(AND($D2109&lt;&gt;"",$E2109&lt;&gt;"",$G2109&gt;0,$H2109&lt;&gt;"",$I2109&lt;&gt;""),IF($C2109&gt;TODAY(),"İLERİ TARİH",IF(COUNTIF($W$7:$W$3001,$W2109)&gt;1,"MÜKERRER?",IF($AD2109&gt;0,"KAPALI DÖNEM",IF($I2109="Hayır","ÖDENECEK","UYGUN")))),"EKSİK"))))</f>
        <v/>
      </c>
      <c r="Q2109" s="2"/>
      <c r="R2109" s="2"/>
      <c r="S2109" s="1" t="str">
        <f t="shared" si="98"/>
        <v/>
      </c>
      <c r="T2109" s="1" t="str">
        <f>IF(OR($C2109="",$D2109&lt;&gt;"Gelir",$L2109=""),"",IFERROR(INDEX(MUSTERILER!$B$7:$B$156,MATCH($S2109,MUSTERILER!$T$7:$T$156,0)),""))</f>
        <v/>
      </c>
      <c r="U2109" s="1" t="str">
        <f>IF($T2109="","",$T2109&amp;"|"&amp;COUNTIFS($T$7:$T2109,$T2109))</f>
        <v/>
      </c>
      <c r="V2109" s="1">
        <f t="shared" si="99"/>
        <v>0</v>
      </c>
      <c r="W2109" s="1" t="str">
        <f t="shared" si="100"/>
        <v/>
      </c>
      <c r="X2109" s="1"/>
      <c r="Y2109" s="1"/>
      <c r="Z2109" s="1"/>
      <c r="AA2109" s="1"/>
      <c r="AB2109" s="1"/>
      <c r="AC2109" s="1"/>
      <c r="AD2109" s="1">
        <f>IF($C2109="",0,SUMPRODUCT((AY_SONU!$O$7:$O$42="Evet")*(AY_SONU!$B$7:$B$42=DATE(YEAR($C2109),MONTH($C2109),1))))</f>
        <v>0</v>
      </c>
      <c r="AE2109" s="1" t="str">
        <f>IF($E2109="","",$E2109&amp;"|"&amp;COUNTIFS($E$7:$E2109,$E2109))</f>
        <v/>
      </c>
    </row>
    <row r="2110" spans="1:31" ht="18" customHeight="1" x14ac:dyDescent="0.3">
      <c r="A2110" s="2"/>
      <c r="B2110" s="65" t="str">
        <f>IF($C2110="","","GG"&amp;TEXT(ROW()-6,"00000"))</f>
        <v/>
      </c>
      <c r="C2110" s="66"/>
      <c r="D2110" s="60"/>
      <c r="E2110" s="61"/>
      <c r="F2110" s="61"/>
      <c r="G2110" s="67"/>
      <c r="H2110" s="60"/>
      <c r="I2110" s="60"/>
      <c r="J2110" s="61"/>
      <c r="K2110" s="61"/>
      <c r="L2110" s="60"/>
      <c r="M2110" s="74" t="str">
        <f>IF($C2110="","",IF($D2110="Gider",$E2110,IF($L2110&lt;&gt;"",$L2110,$H2110)))</f>
        <v/>
      </c>
      <c r="N2110" s="74" t="str">
        <f>IF($C2110="","",IF($D2110="Gider",$H2110,$E2110))</f>
        <v/>
      </c>
      <c r="O2110" s="73" t="str">
        <f>IF($C2110="","",DATE(YEAR($C2110),MONTH($C2110),1))</f>
        <v/>
      </c>
      <c r="P2110" s="65" t="str">
        <f ca="1">IF($C2110="","",IF(AND($D2110="Gelir",$L2110&lt;&gt;"",$T2110=""),"TANIMSIZ BORÇLU",IF($T2110&lt;&gt;"",IF(OR($E2110="",$G2110&lt;=0),"EKSİK",IF($I2110="Evet","TAHAKKUK NAKİT OLAMAZ",IF($C2110&gt;TODAY(),"İLERİ TARİH","TAHAKKUK"))),IF(AND($D2110&lt;&gt;"",$E2110&lt;&gt;"",$G2110&gt;0,$H2110&lt;&gt;"",$I2110&lt;&gt;""),IF($C2110&gt;TODAY(),"İLERİ TARİH",IF(COUNTIF($W$7:$W$3001,$W2110)&gt;1,"MÜKERRER?",IF($AD2110&gt;0,"KAPALI DÖNEM",IF($I2110="Hayır","ÖDENECEK","UYGUN")))),"EKSİK"))))</f>
        <v/>
      </c>
      <c r="Q2110" s="2"/>
      <c r="R2110" s="2"/>
      <c r="S2110" s="1" t="str">
        <f t="shared" si="98"/>
        <v/>
      </c>
      <c r="T2110" s="1" t="str">
        <f>IF(OR($C2110="",$D2110&lt;&gt;"Gelir",$L2110=""),"",IFERROR(INDEX(MUSTERILER!$B$7:$B$156,MATCH($S2110,MUSTERILER!$T$7:$T$156,0)),""))</f>
        <v/>
      </c>
      <c r="U2110" s="1" t="str">
        <f>IF($T2110="","",$T2110&amp;"|"&amp;COUNTIFS($T$7:$T2110,$T2110))</f>
        <v/>
      </c>
      <c r="V2110" s="1">
        <f t="shared" si="99"/>
        <v>0</v>
      </c>
      <c r="W2110" s="1" t="str">
        <f t="shared" si="100"/>
        <v/>
      </c>
      <c r="X2110" s="1"/>
      <c r="Y2110" s="1"/>
      <c r="Z2110" s="1"/>
      <c r="AA2110" s="1"/>
      <c r="AB2110" s="1"/>
      <c r="AC2110" s="1"/>
      <c r="AD2110" s="1">
        <f>IF($C2110="",0,SUMPRODUCT((AY_SONU!$O$7:$O$42="Evet")*(AY_SONU!$B$7:$B$42=DATE(YEAR($C2110),MONTH($C2110),1))))</f>
        <v>0</v>
      </c>
      <c r="AE2110" s="1" t="str">
        <f>IF($E2110="","",$E2110&amp;"|"&amp;COUNTIFS($E$7:$E2110,$E2110))</f>
        <v/>
      </c>
    </row>
    <row r="2111" spans="1:31" ht="18" customHeight="1" x14ac:dyDescent="0.3">
      <c r="A2111" s="2"/>
      <c r="B2111" s="65" t="str">
        <f>IF($C2111="","","GG"&amp;TEXT(ROW()-6,"00000"))</f>
        <v/>
      </c>
      <c r="C2111" s="66"/>
      <c r="D2111" s="60"/>
      <c r="E2111" s="61"/>
      <c r="F2111" s="61"/>
      <c r="G2111" s="67"/>
      <c r="H2111" s="60"/>
      <c r="I2111" s="60"/>
      <c r="J2111" s="61"/>
      <c r="K2111" s="61"/>
      <c r="L2111" s="60"/>
      <c r="M2111" s="74" t="str">
        <f>IF($C2111="","",IF($D2111="Gider",$E2111,IF($L2111&lt;&gt;"",$L2111,$H2111)))</f>
        <v/>
      </c>
      <c r="N2111" s="74" t="str">
        <f>IF($C2111="","",IF($D2111="Gider",$H2111,$E2111))</f>
        <v/>
      </c>
      <c r="O2111" s="73" t="str">
        <f>IF($C2111="","",DATE(YEAR($C2111),MONTH($C2111),1))</f>
        <v/>
      </c>
      <c r="P2111" s="65" t="str">
        <f ca="1">IF($C2111="","",IF(AND($D2111="Gelir",$L2111&lt;&gt;"",$T2111=""),"TANIMSIZ BORÇLU",IF($T2111&lt;&gt;"",IF(OR($E2111="",$G2111&lt;=0),"EKSİK",IF($I2111="Evet","TAHAKKUK NAKİT OLAMAZ",IF($C2111&gt;TODAY(),"İLERİ TARİH","TAHAKKUK"))),IF(AND($D2111&lt;&gt;"",$E2111&lt;&gt;"",$G2111&gt;0,$H2111&lt;&gt;"",$I2111&lt;&gt;""),IF($C2111&gt;TODAY(),"İLERİ TARİH",IF(COUNTIF($W$7:$W$3001,$W2111)&gt;1,"MÜKERRER?",IF($AD2111&gt;0,"KAPALI DÖNEM",IF($I2111="Hayır","ÖDENECEK","UYGUN")))),"EKSİK"))))</f>
        <v/>
      </c>
      <c r="Q2111" s="2"/>
      <c r="R2111" s="2"/>
      <c r="S2111" s="1" t="str">
        <f t="shared" si="98"/>
        <v/>
      </c>
      <c r="T2111" s="1" t="str">
        <f>IF(OR($C2111="",$D2111&lt;&gt;"Gelir",$L2111=""),"",IFERROR(INDEX(MUSTERILER!$B$7:$B$156,MATCH($S2111,MUSTERILER!$T$7:$T$156,0)),""))</f>
        <v/>
      </c>
      <c r="U2111" s="1" t="str">
        <f>IF($T2111="","",$T2111&amp;"|"&amp;COUNTIFS($T$7:$T2111,$T2111))</f>
        <v/>
      </c>
      <c r="V2111" s="1">
        <f t="shared" si="99"/>
        <v>0</v>
      </c>
      <c r="W2111" s="1" t="str">
        <f t="shared" si="100"/>
        <v/>
      </c>
      <c r="X2111" s="1"/>
      <c r="Y2111" s="1"/>
      <c r="Z2111" s="1"/>
      <c r="AA2111" s="1"/>
      <c r="AB2111" s="1"/>
      <c r="AC2111" s="1"/>
      <c r="AD2111" s="1">
        <f>IF($C2111="",0,SUMPRODUCT((AY_SONU!$O$7:$O$42="Evet")*(AY_SONU!$B$7:$B$42=DATE(YEAR($C2111),MONTH($C2111),1))))</f>
        <v>0</v>
      </c>
      <c r="AE2111" s="1" t="str">
        <f>IF($E2111="","",$E2111&amp;"|"&amp;COUNTIFS($E$7:$E2111,$E2111))</f>
        <v/>
      </c>
    </row>
    <row r="2112" spans="1:31" ht="18" customHeight="1" x14ac:dyDescent="0.3">
      <c r="A2112" s="2"/>
      <c r="B2112" s="65" t="str">
        <f>IF($C2112="","","GG"&amp;TEXT(ROW()-6,"00000"))</f>
        <v/>
      </c>
      <c r="C2112" s="66"/>
      <c r="D2112" s="60"/>
      <c r="E2112" s="61"/>
      <c r="F2112" s="61"/>
      <c r="G2112" s="67"/>
      <c r="H2112" s="60"/>
      <c r="I2112" s="60"/>
      <c r="J2112" s="61"/>
      <c r="K2112" s="61"/>
      <c r="L2112" s="60"/>
      <c r="M2112" s="74" t="str">
        <f>IF($C2112="","",IF($D2112="Gider",$E2112,IF($L2112&lt;&gt;"",$L2112,$H2112)))</f>
        <v/>
      </c>
      <c r="N2112" s="74" t="str">
        <f>IF($C2112="","",IF($D2112="Gider",$H2112,$E2112))</f>
        <v/>
      </c>
      <c r="O2112" s="73" t="str">
        <f>IF($C2112="","",DATE(YEAR($C2112),MONTH($C2112),1))</f>
        <v/>
      </c>
      <c r="P2112" s="65" t="str">
        <f ca="1">IF($C2112="","",IF(AND($D2112="Gelir",$L2112&lt;&gt;"",$T2112=""),"TANIMSIZ BORÇLU",IF($T2112&lt;&gt;"",IF(OR($E2112="",$G2112&lt;=0),"EKSİK",IF($I2112="Evet","TAHAKKUK NAKİT OLAMAZ",IF($C2112&gt;TODAY(),"İLERİ TARİH","TAHAKKUK"))),IF(AND($D2112&lt;&gt;"",$E2112&lt;&gt;"",$G2112&gt;0,$H2112&lt;&gt;"",$I2112&lt;&gt;""),IF($C2112&gt;TODAY(),"İLERİ TARİH",IF(COUNTIF($W$7:$W$3001,$W2112)&gt;1,"MÜKERRER?",IF($AD2112&gt;0,"KAPALI DÖNEM",IF($I2112="Hayır","ÖDENECEK","UYGUN")))),"EKSİK"))))</f>
        <v/>
      </c>
      <c r="Q2112" s="2"/>
      <c r="R2112" s="2"/>
      <c r="S2112" s="1" t="str">
        <f t="shared" si="98"/>
        <v/>
      </c>
      <c r="T2112" s="1" t="str">
        <f>IF(OR($C2112="",$D2112&lt;&gt;"Gelir",$L2112=""),"",IFERROR(INDEX(MUSTERILER!$B$7:$B$156,MATCH($S2112,MUSTERILER!$T$7:$T$156,0)),""))</f>
        <v/>
      </c>
      <c r="U2112" s="1" t="str">
        <f>IF($T2112="","",$T2112&amp;"|"&amp;COUNTIFS($T$7:$T2112,$T2112))</f>
        <v/>
      </c>
      <c r="V2112" s="1">
        <f t="shared" si="99"/>
        <v>0</v>
      </c>
      <c r="W2112" s="1" t="str">
        <f t="shared" si="100"/>
        <v/>
      </c>
      <c r="X2112" s="1"/>
      <c r="Y2112" s="1"/>
      <c r="Z2112" s="1"/>
      <c r="AA2112" s="1"/>
      <c r="AB2112" s="1"/>
      <c r="AC2112" s="1"/>
      <c r="AD2112" s="1">
        <f>IF($C2112="",0,SUMPRODUCT((AY_SONU!$O$7:$O$42="Evet")*(AY_SONU!$B$7:$B$42=DATE(YEAR($C2112),MONTH($C2112),1))))</f>
        <v>0</v>
      </c>
      <c r="AE2112" s="1" t="str">
        <f>IF($E2112="","",$E2112&amp;"|"&amp;COUNTIFS($E$7:$E2112,$E2112))</f>
        <v/>
      </c>
    </row>
    <row r="2113" spans="1:31" ht="18" customHeight="1" x14ac:dyDescent="0.3">
      <c r="A2113" s="2"/>
      <c r="B2113" s="65" t="str">
        <f>IF($C2113="","","GG"&amp;TEXT(ROW()-6,"00000"))</f>
        <v/>
      </c>
      <c r="C2113" s="66"/>
      <c r="D2113" s="60"/>
      <c r="E2113" s="61"/>
      <c r="F2113" s="61"/>
      <c r="G2113" s="67"/>
      <c r="H2113" s="60"/>
      <c r="I2113" s="60"/>
      <c r="J2113" s="61"/>
      <c r="K2113" s="61"/>
      <c r="L2113" s="60"/>
      <c r="M2113" s="74" t="str">
        <f>IF($C2113="","",IF($D2113="Gider",$E2113,IF($L2113&lt;&gt;"",$L2113,$H2113)))</f>
        <v/>
      </c>
      <c r="N2113" s="74" t="str">
        <f>IF($C2113="","",IF($D2113="Gider",$H2113,$E2113))</f>
        <v/>
      </c>
      <c r="O2113" s="73" t="str">
        <f>IF($C2113="","",DATE(YEAR($C2113),MONTH($C2113),1))</f>
        <v/>
      </c>
      <c r="P2113" s="65" t="str">
        <f ca="1">IF($C2113="","",IF(AND($D2113="Gelir",$L2113&lt;&gt;"",$T2113=""),"TANIMSIZ BORÇLU",IF($T2113&lt;&gt;"",IF(OR($E2113="",$G2113&lt;=0),"EKSİK",IF($I2113="Evet","TAHAKKUK NAKİT OLAMAZ",IF($C2113&gt;TODAY(),"İLERİ TARİH","TAHAKKUK"))),IF(AND($D2113&lt;&gt;"",$E2113&lt;&gt;"",$G2113&gt;0,$H2113&lt;&gt;"",$I2113&lt;&gt;""),IF($C2113&gt;TODAY(),"İLERİ TARİH",IF(COUNTIF($W$7:$W$3001,$W2113)&gt;1,"MÜKERRER?",IF($AD2113&gt;0,"KAPALI DÖNEM",IF($I2113="Hayır","ÖDENECEK","UYGUN")))),"EKSİK"))))</f>
        <v/>
      </c>
      <c r="Q2113" s="2"/>
      <c r="R2113" s="2"/>
      <c r="S2113" s="1" t="str">
        <f t="shared" si="98"/>
        <v/>
      </c>
      <c r="T2113" s="1" t="str">
        <f>IF(OR($C2113="",$D2113&lt;&gt;"Gelir",$L2113=""),"",IFERROR(INDEX(MUSTERILER!$B$7:$B$156,MATCH($S2113,MUSTERILER!$T$7:$T$156,0)),""))</f>
        <v/>
      </c>
      <c r="U2113" s="1" t="str">
        <f>IF($T2113="","",$T2113&amp;"|"&amp;COUNTIFS($T$7:$T2113,$T2113))</f>
        <v/>
      </c>
      <c r="V2113" s="1">
        <f t="shared" si="99"/>
        <v>0</v>
      </c>
      <c r="W2113" s="1" t="str">
        <f t="shared" si="100"/>
        <v/>
      </c>
      <c r="X2113" s="1"/>
      <c r="Y2113" s="1"/>
      <c r="Z2113" s="1"/>
      <c r="AA2113" s="1"/>
      <c r="AB2113" s="1"/>
      <c r="AC2113" s="1"/>
      <c r="AD2113" s="1">
        <f>IF($C2113="",0,SUMPRODUCT((AY_SONU!$O$7:$O$42="Evet")*(AY_SONU!$B$7:$B$42=DATE(YEAR($C2113),MONTH($C2113),1))))</f>
        <v>0</v>
      </c>
      <c r="AE2113" s="1" t="str">
        <f>IF($E2113="","",$E2113&amp;"|"&amp;COUNTIFS($E$7:$E2113,$E2113))</f>
        <v/>
      </c>
    </row>
    <row r="2114" spans="1:31" ht="18" customHeight="1" x14ac:dyDescent="0.3">
      <c r="A2114" s="2"/>
      <c r="B2114" s="65" t="str">
        <f>IF($C2114="","","GG"&amp;TEXT(ROW()-6,"00000"))</f>
        <v/>
      </c>
      <c r="C2114" s="66"/>
      <c r="D2114" s="60"/>
      <c r="E2114" s="61"/>
      <c r="F2114" s="61"/>
      <c r="G2114" s="67"/>
      <c r="H2114" s="60"/>
      <c r="I2114" s="60"/>
      <c r="J2114" s="61"/>
      <c r="K2114" s="61"/>
      <c r="L2114" s="60"/>
      <c r="M2114" s="74" t="str">
        <f>IF($C2114="","",IF($D2114="Gider",$E2114,IF($L2114&lt;&gt;"",$L2114,$H2114)))</f>
        <v/>
      </c>
      <c r="N2114" s="74" t="str">
        <f>IF($C2114="","",IF($D2114="Gider",$H2114,$E2114))</f>
        <v/>
      </c>
      <c r="O2114" s="73" t="str">
        <f>IF($C2114="","",DATE(YEAR($C2114),MONTH($C2114),1))</f>
        <v/>
      </c>
      <c r="P2114" s="65" t="str">
        <f ca="1">IF($C2114="","",IF(AND($D2114="Gelir",$L2114&lt;&gt;"",$T2114=""),"TANIMSIZ BORÇLU",IF($T2114&lt;&gt;"",IF(OR($E2114="",$G2114&lt;=0),"EKSİK",IF($I2114="Evet","TAHAKKUK NAKİT OLAMAZ",IF($C2114&gt;TODAY(),"İLERİ TARİH","TAHAKKUK"))),IF(AND($D2114&lt;&gt;"",$E2114&lt;&gt;"",$G2114&gt;0,$H2114&lt;&gt;"",$I2114&lt;&gt;""),IF($C2114&gt;TODAY(),"İLERİ TARİH",IF(COUNTIF($W$7:$W$3001,$W2114)&gt;1,"MÜKERRER?",IF($AD2114&gt;0,"KAPALI DÖNEM",IF($I2114="Hayır","ÖDENECEK","UYGUN")))),"EKSİK"))))</f>
        <v/>
      </c>
      <c r="Q2114" s="2"/>
      <c r="R2114" s="2"/>
      <c r="S2114" s="1" t="str">
        <f t="shared" si="98"/>
        <v/>
      </c>
      <c r="T2114" s="1" t="str">
        <f>IF(OR($C2114="",$D2114&lt;&gt;"Gelir",$L2114=""),"",IFERROR(INDEX(MUSTERILER!$B$7:$B$156,MATCH($S2114,MUSTERILER!$T$7:$T$156,0)),""))</f>
        <v/>
      </c>
      <c r="U2114" s="1" t="str">
        <f>IF($T2114="","",$T2114&amp;"|"&amp;COUNTIFS($T$7:$T2114,$T2114))</f>
        <v/>
      </c>
      <c r="V2114" s="1">
        <f t="shared" si="99"/>
        <v>0</v>
      </c>
      <c r="W2114" s="1" t="str">
        <f t="shared" si="100"/>
        <v/>
      </c>
      <c r="X2114" s="1"/>
      <c r="Y2114" s="1"/>
      <c r="Z2114" s="1"/>
      <c r="AA2114" s="1"/>
      <c r="AB2114" s="1"/>
      <c r="AC2114" s="1"/>
      <c r="AD2114" s="1">
        <f>IF($C2114="",0,SUMPRODUCT((AY_SONU!$O$7:$O$42="Evet")*(AY_SONU!$B$7:$B$42=DATE(YEAR($C2114),MONTH($C2114),1))))</f>
        <v>0</v>
      </c>
      <c r="AE2114" s="1" t="str">
        <f>IF($E2114="","",$E2114&amp;"|"&amp;COUNTIFS($E$7:$E2114,$E2114))</f>
        <v/>
      </c>
    </row>
    <row r="2115" spans="1:31" ht="18" customHeight="1" x14ac:dyDescent="0.3">
      <c r="A2115" s="2"/>
      <c r="B2115" s="65" t="str">
        <f>IF($C2115="","","GG"&amp;TEXT(ROW()-6,"00000"))</f>
        <v/>
      </c>
      <c r="C2115" s="66"/>
      <c r="D2115" s="60"/>
      <c r="E2115" s="61"/>
      <c r="F2115" s="61"/>
      <c r="G2115" s="67"/>
      <c r="H2115" s="60"/>
      <c r="I2115" s="60"/>
      <c r="J2115" s="61"/>
      <c r="K2115" s="61"/>
      <c r="L2115" s="60"/>
      <c r="M2115" s="74" t="str">
        <f>IF($C2115="","",IF($D2115="Gider",$E2115,IF($L2115&lt;&gt;"",$L2115,$H2115)))</f>
        <v/>
      </c>
      <c r="N2115" s="74" t="str">
        <f>IF($C2115="","",IF($D2115="Gider",$H2115,$E2115))</f>
        <v/>
      </c>
      <c r="O2115" s="73" t="str">
        <f>IF($C2115="","",DATE(YEAR($C2115),MONTH($C2115),1))</f>
        <v/>
      </c>
      <c r="P2115" s="65" t="str">
        <f ca="1">IF($C2115="","",IF(AND($D2115="Gelir",$L2115&lt;&gt;"",$T2115=""),"TANIMSIZ BORÇLU",IF($T2115&lt;&gt;"",IF(OR($E2115="",$G2115&lt;=0),"EKSİK",IF($I2115="Evet","TAHAKKUK NAKİT OLAMAZ",IF($C2115&gt;TODAY(),"İLERİ TARİH","TAHAKKUK"))),IF(AND($D2115&lt;&gt;"",$E2115&lt;&gt;"",$G2115&gt;0,$H2115&lt;&gt;"",$I2115&lt;&gt;""),IF($C2115&gt;TODAY(),"İLERİ TARİH",IF(COUNTIF($W$7:$W$3001,$W2115)&gt;1,"MÜKERRER?",IF($AD2115&gt;0,"KAPALI DÖNEM",IF($I2115="Hayır","ÖDENECEK","UYGUN")))),"EKSİK"))))</f>
        <v/>
      </c>
      <c r="Q2115" s="2"/>
      <c r="R2115" s="2"/>
      <c r="S2115" s="1" t="str">
        <f t="shared" si="98"/>
        <v/>
      </c>
      <c r="T2115" s="1" t="str">
        <f>IF(OR($C2115="",$D2115&lt;&gt;"Gelir",$L2115=""),"",IFERROR(INDEX(MUSTERILER!$B$7:$B$156,MATCH($S2115,MUSTERILER!$T$7:$T$156,0)),""))</f>
        <v/>
      </c>
      <c r="U2115" s="1" t="str">
        <f>IF($T2115="","",$T2115&amp;"|"&amp;COUNTIFS($T$7:$T2115,$T2115))</f>
        <v/>
      </c>
      <c r="V2115" s="1">
        <f t="shared" si="99"/>
        <v>0</v>
      </c>
      <c r="W2115" s="1" t="str">
        <f t="shared" si="100"/>
        <v/>
      </c>
      <c r="X2115" s="1"/>
      <c r="Y2115" s="1"/>
      <c r="Z2115" s="1"/>
      <c r="AA2115" s="1"/>
      <c r="AB2115" s="1"/>
      <c r="AC2115" s="1"/>
      <c r="AD2115" s="1">
        <f>IF($C2115="",0,SUMPRODUCT((AY_SONU!$O$7:$O$42="Evet")*(AY_SONU!$B$7:$B$42=DATE(YEAR($C2115),MONTH($C2115),1))))</f>
        <v>0</v>
      </c>
      <c r="AE2115" s="1" t="str">
        <f>IF($E2115="","",$E2115&amp;"|"&amp;COUNTIFS($E$7:$E2115,$E2115))</f>
        <v/>
      </c>
    </row>
    <row r="2116" spans="1:31" ht="18" customHeight="1" x14ac:dyDescent="0.3">
      <c r="A2116" s="2"/>
      <c r="B2116" s="65" t="str">
        <f>IF($C2116="","","GG"&amp;TEXT(ROW()-6,"00000"))</f>
        <v/>
      </c>
      <c r="C2116" s="66"/>
      <c r="D2116" s="60"/>
      <c r="E2116" s="61"/>
      <c r="F2116" s="61"/>
      <c r="G2116" s="67"/>
      <c r="H2116" s="60"/>
      <c r="I2116" s="60"/>
      <c r="J2116" s="61"/>
      <c r="K2116" s="61"/>
      <c r="L2116" s="60"/>
      <c r="M2116" s="74" t="str">
        <f>IF($C2116="","",IF($D2116="Gider",$E2116,IF($L2116&lt;&gt;"",$L2116,$H2116)))</f>
        <v/>
      </c>
      <c r="N2116" s="74" t="str">
        <f>IF($C2116="","",IF($D2116="Gider",$H2116,$E2116))</f>
        <v/>
      </c>
      <c r="O2116" s="73" t="str">
        <f>IF($C2116="","",DATE(YEAR($C2116),MONTH($C2116),1))</f>
        <v/>
      </c>
      <c r="P2116" s="65" t="str">
        <f ca="1">IF($C2116="","",IF(AND($D2116="Gelir",$L2116&lt;&gt;"",$T2116=""),"TANIMSIZ BORÇLU",IF($T2116&lt;&gt;"",IF(OR($E2116="",$G2116&lt;=0),"EKSİK",IF($I2116="Evet","TAHAKKUK NAKİT OLAMAZ",IF($C2116&gt;TODAY(),"İLERİ TARİH","TAHAKKUK"))),IF(AND($D2116&lt;&gt;"",$E2116&lt;&gt;"",$G2116&gt;0,$H2116&lt;&gt;"",$I2116&lt;&gt;""),IF($C2116&gt;TODAY(),"İLERİ TARİH",IF(COUNTIF($W$7:$W$3001,$W2116)&gt;1,"MÜKERRER?",IF($AD2116&gt;0,"KAPALI DÖNEM",IF($I2116="Hayır","ÖDENECEK","UYGUN")))),"EKSİK"))))</f>
        <v/>
      </c>
      <c r="Q2116" s="2"/>
      <c r="R2116" s="2"/>
      <c r="S2116" s="1" t="str">
        <f t="shared" si="98"/>
        <v/>
      </c>
      <c r="T2116" s="1" t="str">
        <f>IF(OR($C2116="",$D2116&lt;&gt;"Gelir",$L2116=""),"",IFERROR(INDEX(MUSTERILER!$B$7:$B$156,MATCH($S2116,MUSTERILER!$T$7:$T$156,0)),""))</f>
        <v/>
      </c>
      <c r="U2116" s="1" t="str">
        <f>IF($T2116="","",$T2116&amp;"|"&amp;COUNTIFS($T$7:$T2116,$T2116))</f>
        <v/>
      </c>
      <c r="V2116" s="1">
        <f t="shared" si="99"/>
        <v>0</v>
      </c>
      <c r="W2116" s="1" t="str">
        <f t="shared" si="100"/>
        <v/>
      </c>
      <c r="X2116" s="1"/>
      <c r="Y2116" s="1"/>
      <c r="Z2116" s="1"/>
      <c r="AA2116" s="1"/>
      <c r="AB2116" s="1"/>
      <c r="AC2116" s="1"/>
      <c r="AD2116" s="1">
        <f>IF($C2116="",0,SUMPRODUCT((AY_SONU!$O$7:$O$42="Evet")*(AY_SONU!$B$7:$B$42=DATE(YEAR($C2116),MONTH($C2116),1))))</f>
        <v>0</v>
      </c>
      <c r="AE2116" s="1" t="str">
        <f>IF($E2116="","",$E2116&amp;"|"&amp;COUNTIFS($E$7:$E2116,$E2116))</f>
        <v/>
      </c>
    </row>
    <row r="2117" spans="1:31" ht="18" customHeight="1" x14ac:dyDescent="0.3">
      <c r="A2117" s="2"/>
      <c r="B2117" s="65" t="str">
        <f>IF($C2117="","","GG"&amp;TEXT(ROW()-6,"00000"))</f>
        <v/>
      </c>
      <c r="C2117" s="66"/>
      <c r="D2117" s="60"/>
      <c r="E2117" s="61"/>
      <c r="F2117" s="61"/>
      <c r="G2117" s="67"/>
      <c r="H2117" s="60"/>
      <c r="I2117" s="60"/>
      <c r="J2117" s="61"/>
      <c r="K2117" s="61"/>
      <c r="L2117" s="60"/>
      <c r="M2117" s="74" t="str">
        <f>IF($C2117="","",IF($D2117="Gider",$E2117,IF($L2117&lt;&gt;"",$L2117,$H2117)))</f>
        <v/>
      </c>
      <c r="N2117" s="74" t="str">
        <f>IF($C2117="","",IF($D2117="Gider",$H2117,$E2117))</f>
        <v/>
      </c>
      <c r="O2117" s="73" t="str">
        <f>IF($C2117="","",DATE(YEAR($C2117),MONTH($C2117),1))</f>
        <v/>
      </c>
      <c r="P2117" s="65" t="str">
        <f ca="1">IF($C2117="","",IF(AND($D2117="Gelir",$L2117&lt;&gt;"",$T2117=""),"TANIMSIZ BORÇLU",IF($T2117&lt;&gt;"",IF(OR($E2117="",$G2117&lt;=0),"EKSİK",IF($I2117="Evet","TAHAKKUK NAKİT OLAMAZ",IF($C2117&gt;TODAY(),"İLERİ TARİH","TAHAKKUK"))),IF(AND($D2117&lt;&gt;"",$E2117&lt;&gt;"",$G2117&gt;0,$H2117&lt;&gt;"",$I2117&lt;&gt;""),IF($C2117&gt;TODAY(),"İLERİ TARİH",IF(COUNTIF($W$7:$W$3001,$W2117)&gt;1,"MÜKERRER?",IF($AD2117&gt;0,"KAPALI DÖNEM",IF($I2117="Hayır","ÖDENECEK","UYGUN")))),"EKSİK"))))</f>
        <v/>
      </c>
      <c r="Q2117" s="2"/>
      <c r="R2117" s="2"/>
      <c r="S2117" s="1" t="str">
        <f t="shared" ref="S2117:S2180" si="101">IF($L2117="","",UPPER(SUBSTITUTE(SUBSTITUTE(SUBSTITUTE(SUBSTITUTE(SUBSTITUTE(SUBSTITUTE(SUBSTITUTE(SUBSTITUTE(SUBSTITUTE(SUBSTITUTE(SUBSTITUTE(SUBSTITUTE(SUBSTITUTE(SUBSTITUTE(SUBSTITUTE(SUBSTITUTE(SUBSTITUTE(SUBSTITUTE(TRIM($L2117),"'",""),"İ","I"),"ı","I"),"i","I"),"Ş","S"),"ş","S"),"Ğ","G"),"ğ","G"),"Ü","U"),"ü","U"),"Ö","O"),"ö","O"),"Ç","C"),"ç","C"),".",""),",","")," ",""),"-","")))</f>
        <v/>
      </c>
      <c r="T2117" s="1" t="str">
        <f>IF(OR($C2117="",$D2117&lt;&gt;"Gelir",$L2117=""),"",IFERROR(INDEX(MUSTERILER!$B$7:$B$156,MATCH($S2117,MUSTERILER!$T$7:$T$156,0)),""))</f>
        <v/>
      </c>
      <c r="U2117" s="1" t="str">
        <f>IF($T2117="","",$T2117&amp;"|"&amp;COUNTIFS($T$7:$T2117,$T2117))</f>
        <v/>
      </c>
      <c r="V2117" s="1">
        <f t="shared" ref="V2117:V2180" si="102">IF($T2117="",0,1)</f>
        <v>0</v>
      </c>
      <c r="W2117" s="1" t="str">
        <f t="shared" ref="W2117:W2180" si="103">IF($C2117="","",$D2117&amp;"|"&amp;$E2117&amp;"|"&amp;TEXT($C2117,"0")&amp;"|"&amp;TEXT($G2117,"0")&amp;"|"&amp;$F2117&amp;"|"&amp;$J2117)</f>
        <v/>
      </c>
      <c r="X2117" s="1"/>
      <c r="Y2117" s="1"/>
      <c r="Z2117" s="1"/>
      <c r="AA2117" s="1"/>
      <c r="AB2117" s="1"/>
      <c r="AC2117" s="1"/>
      <c r="AD2117" s="1">
        <f>IF($C2117="",0,SUMPRODUCT((AY_SONU!$O$7:$O$42="Evet")*(AY_SONU!$B$7:$B$42=DATE(YEAR($C2117),MONTH($C2117),1))))</f>
        <v>0</v>
      </c>
      <c r="AE2117" s="1" t="str">
        <f>IF($E2117="","",$E2117&amp;"|"&amp;COUNTIFS($E$7:$E2117,$E2117))</f>
        <v/>
      </c>
    </row>
    <row r="2118" spans="1:31" ht="18" customHeight="1" x14ac:dyDescent="0.3">
      <c r="A2118" s="2"/>
      <c r="B2118" s="65" t="str">
        <f>IF($C2118="","","GG"&amp;TEXT(ROW()-6,"00000"))</f>
        <v/>
      </c>
      <c r="C2118" s="66"/>
      <c r="D2118" s="60"/>
      <c r="E2118" s="61"/>
      <c r="F2118" s="61"/>
      <c r="G2118" s="67"/>
      <c r="H2118" s="60"/>
      <c r="I2118" s="60"/>
      <c r="J2118" s="61"/>
      <c r="K2118" s="61"/>
      <c r="L2118" s="60"/>
      <c r="M2118" s="74" t="str">
        <f>IF($C2118="","",IF($D2118="Gider",$E2118,IF($L2118&lt;&gt;"",$L2118,$H2118)))</f>
        <v/>
      </c>
      <c r="N2118" s="74" t="str">
        <f>IF($C2118="","",IF($D2118="Gider",$H2118,$E2118))</f>
        <v/>
      </c>
      <c r="O2118" s="73" t="str">
        <f>IF($C2118="","",DATE(YEAR($C2118),MONTH($C2118),1))</f>
        <v/>
      </c>
      <c r="P2118" s="65" t="str">
        <f ca="1">IF($C2118="","",IF(AND($D2118="Gelir",$L2118&lt;&gt;"",$T2118=""),"TANIMSIZ BORÇLU",IF($T2118&lt;&gt;"",IF(OR($E2118="",$G2118&lt;=0),"EKSİK",IF($I2118="Evet","TAHAKKUK NAKİT OLAMAZ",IF($C2118&gt;TODAY(),"İLERİ TARİH","TAHAKKUK"))),IF(AND($D2118&lt;&gt;"",$E2118&lt;&gt;"",$G2118&gt;0,$H2118&lt;&gt;"",$I2118&lt;&gt;""),IF($C2118&gt;TODAY(),"İLERİ TARİH",IF(COUNTIF($W$7:$W$3001,$W2118)&gt;1,"MÜKERRER?",IF($AD2118&gt;0,"KAPALI DÖNEM",IF($I2118="Hayır","ÖDENECEK","UYGUN")))),"EKSİK"))))</f>
        <v/>
      </c>
      <c r="Q2118" s="2"/>
      <c r="R2118" s="2"/>
      <c r="S2118" s="1" t="str">
        <f t="shared" si="101"/>
        <v/>
      </c>
      <c r="T2118" s="1" t="str">
        <f>IF(OR($C2118="",$D2118&lt;&gt;"Gelir",$L2118=""),"",IFERROR(INDEX(MUSTERILER!$B$7:$B$156,MATCH($S2118,MUSTERILER!$T$7:$T$156,0)),""))</f>
        <v/>
      </c>
      <c r="U2118" s="1" t="str">
        <f>IF($T2118="","",$T2118&amp;"|"&amp;COUNTIFS($T$7:$T2118,$T2118))</f>
        <v/>
      </c>
      <c r="V2118" s="1">
        <f t="shared" si="102"/>
        <v>0</v>
      </c>
      <c r="W2118" s="1" t="str">
        <f t="shared" si="103"/>
        <v/>
      </c>
      <c r="X2118" s="1"/>
      <c r="Y2118" s="1"/>
      <c r="Z2118" s="1"/>
      <c r="AA2118" s="1"/>
      <c r="AB2118" s="1"/>
      <c r="AC2118" s="1"/>
      <c r="AD2118" s="1">
        <f>IF($C2118="",0,SUMPRODUCT((AY_SONU!$O$7:$O$42="Evet")*(AY_SONU!$B$7:$B$42=DATE(YEAR($C2118),MONTH($C2118),1))))</f>
        <v>0</v>
      </c>
      <c r="AE2118" s="1" t="str">
        <f>IF($E2118="","",$E2118&amp;"|"&amp;COUNTIFS($E$7:$E2118,$E2118))</f>
        <v/>
      </c>
    </row>
    <row r="2119" spans="1:31" ht="18" customHeight="1" x14ac:dyDescent="0.3">
      <c r="A2119" s="2"/>
      <c r="B2119" s="65" t="str">
        <f>IF($C2119="","","GG"&amp;TEXT(ROW()-6,"00000"))</f>
        <v/>
      </c>
      <c r="C2119" s="66"/>
      <c r="D2119" s="60"/>
      <c r="E2119" s="61"/>
      <c r="F2119" s="61"/>
      <c r="G2119" s="67"/>
      <c r="H2119" s="60"/>
      <c r="I2119" s="60"/>
      <c r="J2119" s="61"/>
      <c r="K2119" s="61"/>
      <c r="L2119" s="60"/>
      <c r="M2119" s="74" t="str">
        <f>IF($C2119="","",IF($D2119="Gider",$E2119,IF($L2119&lt;&gt;"",$L2119,$H2119)))</f>
        <v/>
      </c>
      <c r="N2119" s="74" t="str">
        <f>IF($C2119="","",IF($D2119="Gider",$H2119,$E2119))</f>
        <v/>
      </c>
      <c r="O2119" s="73" t="str">
        <f>IF($C2119="","",DATE(YEAR($C2119),MONTH($C2119),1))</f>
        <v/>
      </c>
      <c r="P2119" s="65" t="str">
        <f ca="1"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TARİH",IF(COUNTIF($W$7:$W$3001,$W2119)&gt;1,"MÜKERRER?",IF($AD2119&gt;0,"KAPALI DÖNEM",IF($I2119="Hayır","ÖDENECEK","UYGUN")))),"EKSİK"))))</f>
        <v/>
      </c>
      <c r="Q2119" s="2"/>
      <c r="R2119" s="2"/>
      <c r="S2119" s="1" t="str">
        <f t="shared" si="101"/>
        <v/>
      </c>
      <c r="T2119" s="1" t="str">
        <f>IF(OR($C2119="",$D2119&lt;&gt;"Gelir",$L2119=""),"",IFERROR(INDEX(MUSTERILER!$B$7:$B$156,MATCH($S2119,MUSTERILER!$T$7:$T$156,0)),""))</f>
        <v/>
      </c>
      <c r="U2119" s="1" t="str">
        <f>IF($T2119="","",$T2119&amp;"|"&amp;COUNTIFS($T$7:$T2119,$T2119))</f>
        <v/>
      </c>
      <c r="V2119" s="1">
        <f t="shared" si="102"/>
        <v>0</v>
      </c>
      <c r="W2119" s="1" t="str">
        <f t="shared" si="103"/>
        <v/>
      </c>
      <c r="X2119" s="1"/>
      <c r="Y2119" s="1"/>
      <c r="Z2119" s="1"/>
      <c r="AA2119" s="1"/>
      <c r="AB2119" s="1"/>
      <c r="AC2119" s="1"/>
      <c r="AD2119" s="1">
        <f>IF($C2119="",0,SUMPRODUCT((AY_SONU!$O$7:$O$42="Evet")*(AY_SONU!$B$7:$B$42=DATE(YEAR($C2119),MONTH($C2119),1))))</f>
        <v>0</v>
      </c>
      <c r="AE2119" s="1" t="str">
        <f>IF($E2119="","",$E2119&amp;"|"&amp;COUNTIFS($E$7:$E2119,$E2119))</f>
        <v/>
      </c>
    </row>
    <row r="2120" spans="1:31" ht="18" customHeight="1" x14ac:dyDescent="0.3">
      <c r="A2120" s="2"/>
      <c r="B2120" s="65" t="str">
        <f>IF($C2120="","","GG"&amp;TEXT(ROW()-6,"00000"))</f>
        <v/>
      </c>
      <c r="C2120" s="66"/>
      <c r="D2120" s="60"/>
      <c r="E2120" s="61"/>
      <c r="F2120" s="61"/>
      <c r="G2120" s="67"/>
      <c r="H2120" s="60"/>
      <c r="I2120" s="60"/>
      <c r="J2120" s="61"/>
      <c r="K2120" s="61"/>
      <c r="L2120" s="60"/>
      <c r="M2120" s="74" t="str">
        <f>IF($C2120="","",IF($D2120="Gider",$E2120,IF($L2120&lt;&gt;"",$L2120,$H2120)))</f>
        <v/>
      </c>
      <c r="N2120" s="74" t="str">
        <f>IF($C2120="","",IF($D2120="Gider",$H2120,$E2120))</f>
        <v/>
      </c>
      <c r="O2120" s="73" t="str">
        <f>IF($C2120="","",DATE(YEAR($C2120),MONTH($C2120),1))</f>
        <v/>
      </c>
      <c r="P2120" s="65" t="str">
        <f ca="1">IF($C2120="","",IF(AND($D2120="Gelir",$L2120&lt;&gt;"",$T2120=""),"TANIMSIZ BORÇLU",IF($T2120&lt;&gt;"",IF(OR($E2120="",$G2120&lt;=0),"EKSİK",IF($I2120="Evet","TAHAKKUK NAKİT OLAMAZ",IF($C2120&gt;TODAY(),"İLERİ TARİH","TAHAKKUK"))),IF(AND($D2120&lt;&gt;"",$E2120&lt;&gt;"",$G2120&gt;0,$H2120&lt;&gt;"",$I2120&lt;&gt;""),IF($C2120&gt;TODAY(),"İLERİ TARİH",IF(COUNTIF($W$7:$W$3001,$W2120)&gt;1,"MÜKERRER?",IF($AD2120&gt;0,"KAPALI DÖNEM",IF($I2120="Hayır","ÖDENECEK","UYGUN")))),"EKSİK"))))</f>
        <v/>
      </c>
      <c r="Q2120" s="2"/>
      <c r="R2120" s="2"/>
      <c r="S2120" s="1" t="str">
        <f t="shared" si="101"/>
        <v/>
      </c>
      <c r="T2120" s="1" t="str">
        <f>IF(OR($C2120="",$D2120&lt;&gt;"Gelir",$L2120=""),"",IFERROR(INDEX(MUSTERILER!$B$7:$B$156,MATCH($S2120,MUSTERILER!$T$7:$T$156,0)),""))</f>
        <v/>
      </c>
      <c r="U2120" s="1" t="str">
        <f>IF($T2120="","",$T2120&amp;"|"&amp;COUNTIFS($T$7:$T2120,$T2120))</f>
        <v/>
      </c>
      <c r="V2120" s="1">
        <f t="shared" si="102"/>
        <v>0</v>
      </c>
      <c r="W2120" s="1" t="str">
        <f t="shared" si="103"/>
        <v/>
      </c>
      <c r="X2120" s="1"/>
      <c r="Y2120" s="1"/>
      <c r="Z2120" s="1"/>
      <c r="AA2120" s="1"/>
      <c r="AB2120" s="1"/>
      <c r="AC2120" s="1"/>
      <c r="AD2120" s="1">
        <f>IF($C2120="",0,SUMPRODUCT((AY_SONU!$O$7:$O$42="Evet")*(AY_SONU!$B$7:$B$42=DATE(YEAR($C2120),MONTH($C2120),1))))</f>
        <v>0</v>
      </c>
      <c r="AE2120" s="1" t="str">
        <f>IF($E2120="","",$E2120&amp;"|"&amp;COUNTIFS($E$7:$E2120,$E2120))</f>
        <v/>
      </c>
    </row>
    <row r="2121" spans="1:31" ht="18" customHeight="1" x14ac:dyDescent="0.3">
      <c r="A2121" s="2"/>
      <c r="B2121" s="65" t="str">
        <f>IF($C2121="","","GG"&amp;TEXT(ROW()-6,"00000"))</f>
        <v/>
      </c>
      <c r="C2121" s="66"/>
      <c r="D2121" s="60"/>
      <c r="E2121" s="61"/>
      <c r="F2121" s="61"/>
      <c r="G2121" s="67"/>
      <c r="H2121" s="60"/>
      <c r="I2121" s="60"/>
      <c r="J2121" s="61"/>
      <c r="K2121" s="61"/>
      <c r="L2121" s="60"/>
      <c r="M2121" s="74" t="str">
        <f>IF($C2121="","",IF($D2121="Gider",$E2121,IF($L2121&lt;&gt;"",$L2121,$H2121)))</f>
        <v/>
      </c>
      <c r="N2121" s="74" t="str">
        <f>IF($C2121="","",IF($D2121="Gider",$H2121,$E2121))</f>
        <v/>
      </c>
      <c r="O2121" s="73" t="str">
        <f>IF($C2121="","",DATE(YEAR($C2121),MONTH($C2121),1))</f>
        <v/>
      </c>
      <c r="P2121" s="65" t="str">
        <f ca="1">IF($C2121="","",IF(AND($D2121="Gelir",$L2121&lt;&gt;"",$T2121=""),"TANIMSIZ BORÇLU",IF($T2121&lt;&gt;"",IF(OR($E2121="",$G2121&lt;=0),"EKSİK",IF($I2121="Evet","TAHAKKUK NAKİT OLAMAZ",IF($C2121&gt;TODAY(),"İLERİ TARİH","TAHAKKUK"))),IF(AND($D2121&lt;&gt;"",$E2121&lt;&gt;"",$G2121&gt;0,$H2121&lt;&gt;"",$I2121&lt;&gt;""),IF($C2121&gt;TODAY(),"İLERİ TARİH",IF(COUNTIF($W$7:$W$3001,$W2121)&gt;1,"MÜKERRER?",IF($AD2121&gt;0,"KAPALI DÖNEM",IF($I2121="Hayır","ÖDENECEK","UYGUN")))),"EKSİK"))))</f>
        <v/>
      </c>
      <c r="Q2121" s="2"/>
      <c r="R2121" s="2"/>
      <c r="S2121" s="1" t="str">
        <f t="shared" si="101"/>
        <v/>
      </c>
      <c r="T2121" s="1" t="str">
        <f>IF(OR($C2121="",$D2121&lt;&gt;"Gelir",$L2121=""),"",IFERROR(INDEX(MUSTERILER!$B$7:$B$156,MATCH($S2121,MUSTERILER!$T$7:$T$156,0)),""))</f>
        <v/>
      </c>
      <c r="U2121" s="1" t="str">
        <f>IF($T2121="","",$T2121&amp;"|"&amp;COUNTIFS($T$7:$T2121,$T2121))</f>
        <v/>
      </c>
      <c r="V2121" s="1">
        <f t="shared" si="102"/>
        <v>0</v>
      </c>
      <c r="W2121" s="1" t="str">
        <f t="shared" si="103"/>
        <v/>
      </c>
      <c r="X2121" s="1"/>
      <c r="Y2121" s="1"/>
      <c r="Z2121" s="1"/>
      <c r="AA2121" s="1"/>
      <c r="AB2121" s="1"/>
      <c r="AC2121" s="1"/>
      <c r="AD2121" s="1">
        <f>IF($C2121="",0,SUMPRODUCT((AY_SONU!$O$7:$O$42="Evet")*(AY_SONU!$B$7:$B$42=DATE(YEAR($C2121),MONTH($C2121),1))))</f>
        <v>0</v>
      </c>
      <c r="AE2121" s="1" t="str">
        <f>IF($E2121="","",$E2121&amp;"|"&amp;COUNTIFS($E$7:$E2121,$E2121))</f>
        <v/>
      </c>
    </row>
    <row r="2122" spans="1:31" ht="18" customHeight="1" x14ac:dyDescent="0.3">
      <c r="A2122" s="2"/>
      <c r="B2122" s="65" t="str">
        <f>IF($C2122="","","GG"&amp;TEXT(ROW()-6,"00000"))</f>
        <v/>
      </c>
      <c r="C2122" s="66"/>
      <c r="D2122" s="60"/>
      <c r="E2122" s="61"/>
      <c r="F2122" s="61"/>
      <c r="G2122" s="67"/>
      <c r="H2122" s="60"/>
      <c r="I2122" s="60"/>
      <c r="J2122" s="61"/>
      <c r="K2122" s="61"/>
      <c r="L2122" s="60"/>
      <c r="M2122" s="74" t="str">
        <f>IF($C2122="","",IF($D2122="Gider",$E2122,IF($L2122&lt;&gt;"",$L2122,$H2122)))</f>
        <v/>
      </c>
      <c r="N2122" s="74" t="str">
        <f>IF($C2122="","",IF($D2122="Gider",$H2122,$E2122))</f>
        <v/>
      </c>
      <c r="O2122" s="73" t="str">
        <f>IF($C2122="","",DATE(YEAR($C2122),MONTH($C2122),1))</f>
        <v/>
      </c>
      <c r="P2122" s="65" t="str">
        <f ca="1">IF($C2122="","",IF(AND($D2122="Gelir",$L2122&lt;&gt;"",$T2122=""),"TANIMSIZ BORÇLU",IF($T2122&lt;&gt;"",IF(OR($E2122="",$G2122&lt;=0),"EKSİK",IF($I2122="Evet","TAHAKKUK NAKİT OLAMAZ",IF($C2122&gt;TODAY(),"İLERİ TARİH","TAHAKKUK"))),IF(AND($D2122&lt;&gt;"",$E2122&lt;&gt;"",$G2122&gt;0,$H2122&lt;&gt;"",$I2122&lt;&gt;""),IF($C2122&gt;TODAY(),"İLERİ TARİH",IF(COUNTIF($W$7:$W$3001,$W2122)&gt;1,"MÜKERRER?",IF($AD2122&gt;0,"KAPALI DÖNEM",IF($I2122="Hayır","ÖDENECEK","UYGUN")))),"EKSİK"))))</f>
        <v/>
      </c>
      <c r="Q2122" s="2"/>
      <c r="R2122" s="2"/>
      <c r="S2122" s="1" t="str">
        <f t="shared" si="101"/>
        <v/>
      </c>
      <c r="T2122" s="1" t="str">
        <f>IF(OR($C2122="",$D2122&lt;&gt;"Gelir",$L2122=""),"",IFERROR(INDEX(MUSTERILER!$B$7:$B$156,MATCH($S2122,MUSTERILER!$T$7:$T$156,0)),""))</f>
        <v/>
      </c>
      <c r="U2122" s="1" t="str">
        <f>IF($T2122="","",$T2122&amp;"|"&amp;COUNTIFS($T$7:$T2122,$T2122))</f>
        <v/>
      </c>
      <c r="V2122" s="1">
        <f t="shared" si="102"/>
        <v>0</v>
      </c>
      <c r="W2122" s="1" t="str">
        <f t="shared" si="103"/>
        <v/>
      </c>
      <c r="X2122" s="1"/>
      <c r="Y2122" s="1"/>
      <c r="Z2122" s="1"/>
      <c r="AA2122" s="1"/>
      <c r="AB2122" s="1"/>
      <c r="AC2122" s="1"/>
      <c r="AD2122" s="1">
        <f>IF($C2122="",0,SUMPRODUCT((AY_SONU!$O$7:$O$42="Evet")*(AY_SONU!$B$7:$B$42=DATE(YEAR($C2122),MONTH($C2122),1))))</f>
        <v>0</v>
      </c>
      <c r="AE2122" s="1" t="str">
        <f>IF($E2122="","",$E2122&amp;"|"&amp;COUNTIFS($E$7:$E2122,$E2122))</f>
        <v/>
      </c>
    </row>
    <row r="2123" spans="1:31" ht="18" customHeight="1" x14ac:dyDescent="0.3">
      <c r="A2123" s="2"/>
      <c r="B2123" s="65" t="str">
        <f>IF($C2123="","","GG"&amp;TEXT(ROW()-6,"00000"))</f>
        <v/>
      </c>
      <c r="C2123" s="66"/>
      <c r="D2123" s="60"/>
      <c r="E2123" s="61"/>
      <c r="F2123" s="61"/>
      <c r="G2123" s="67"/>
      <c r="H2123" s="60"/>
      <c r="I2123" s="60"/>
      <c r="J2123" s="61"/>
      <c r="K2123" s="61"/>
      <c r="L2123" s="60"/>
      <c r="M2123" s="74" t="str">
        <f>IF($C2123="","",IF($D2123="Gider",$E2123,IF($L2123&lt;&gt;"",$L2123,$H2123)))</f>
        <v/>
      </c>
      <c r="N2123" s="74" t="str">
        <f>IF($C2123="","",IF($D2123="Gider",$H2123,$E2123))</f>
        <v/>
      </c>
      <c r="O2123" s="73" t="str">
        <f>IF($C2123="","",DATE(YEAR($C2123),MONTH($C2123),1))</f>
        <v/>
      </c>
      <c r="P2123" s="65" t="str">
        <f ca="1">IF($C2123="","",IF(AND($D2123="Gelir",$L2123&lt;&gt;"",$T2123=""),"TANIMSIZ BORÇLU",IF($T2123&lt;&gt;"",IF(OR($E2123="",$G2123&lt;=0),"EKSİK",IF($I2123="Evet","TAHAKKUK NAKİT OLAMAZ",IF($C2123&gt;TODAY(),"İLERİ TARİH","TAHAKKUK"))),IF(AND($D2123&lt;&gt;"",$E2123&lt;&gt;"",$G2123&gt;0,$H2123&lt;&gt;"",$I2123&lt;&gt;""),IF($C2123&gt;TODAY(),"İLERİ TARİH",IF(COUNTIF($W$7:$W$3001,$W2123)&gt;1,"MÜKERRER?",IF($AD2123&gt;0,"KAPALI DÖNEM",IF($I2123="Hayır","ÖDENECEK","UYGUN")))),"EKSİK"))))</f>
        <v/>
      </c>
      <c r="Q2123" s="2"/>
      <c r="R2123" s="2"/>
      <c r="S2123" s="1" t="str">
        <f t="shared" si="101"/>
        <v/>
      </c>
      <c r="T2123" s="1" t="str">
        <f>IF(OR($C2123="",$D2123&lt;&gt;"Gelir",$L2123=""),"",IFERROR(INDEX(MUSTERILER!$B$7:$B$156,MATCH($S2123,MUSTERILER!$T$7:$T$156,0)),""))</f>
        <v/>
      </c>
      <c r="U2123" s="1" t="str">
        <f>IF($T2123="","",$T2123&amp;"|"&amp;COUNTIFS($T$7:$T2123,$T2123))</f>
        <v/>
      </c>
      <c r="V2123" s="1">
        <f t="shared" si="102"/>
        <v>0</v>
      </c>
      <c r="W2123" s="1" t="str">
        <f t="shared" si="103"/>
        <v/>
      </c>
      <c r="X2123" s="1"/>
      <c r="Y2123" s="1"/>
      <c r="Z2123" s="1"/>
      <c r="AA2123" s="1"/>
      <c r="AB2123" s="1"/>
      <c r="AC2123" s="1"/>
      <c r="AD2123" s="1">
        <f>IF($C2123="",0,SUMPRODUCT((AY_SONU!$O$7:$O$42="Evet")*(AY_SONU!$B$7:$B$42=DATE(YEAR($C2123),MONTH($C2123),1))))</f>
        <v>0</v>
      </c>
      <c r="AE2123" s="1" t="str">
        <f>IF($E2123="","",$E2123&amp;"|"&amp;COUNTIFS($E$7:$E2123,$E2123))</f>
        <v/>
      </c>
    </row>
    <row r="2124" spans="1:31" ht="18" customHeight="1" x14ac:dyDescent="0.3">
      <c r="A2124" s="2"/>
      <c r="B2124" s="65" t="str">
        <f>IF($C2124="","","GG"&amp;TEXT(ROW()-6,"00000"))</f>
        <v/>
      </c>
      <c r="C2124" s="66"/>
      <c r="D2124" s="60"/>
      <c r="E2124" s="61"/>
      <c r="F2124" s="61"/>
      <c r="G2124" s="67"/>
      <c r="H2124" s="60"/>
      <c r="I2124" s="60"/>
      <c r="J2124" s="61"/>
      <c r="K2124" s="61"/>
      <c r="L2124" s="60"/>
      <c r="M2124" s="74" t="str">
        <f>IF($C2124="","",IF($D2124="Gider",$E2124,IF($L2124&lt;&gt;"",$L2124,$H2124)))</f>
        <v/>
      </c>
      <c r="N2124" s="74" t="str">
        <f>IF($C2124="","",IF($D2124="Gider",$H2124,$E2124))</f>
        <v/>
      </c>
      <c r="O2124" s="73" t="str">
        <f>IF($C2124="","",DATE(YEAR($C2124),MONTH($C2124),1))</f>
        <v/>
      </c>
      <c r="P2124" s="65" t="str">
        <f ca="1">IF($C2124="","",IF(AND($D2124="Gelir",$L2124&lt;&gt;"",$T2124=""),"TANIMSIZ BORÇLU",IF($T2124&lt;&gt;"",IF(OR($E2124="",$G2124&lt;=0),"EKSİK",IF($I2124="Evet","TAHAKKUK NAKİT OLAMAZ",IF($C2124&gt;TODAY(),"İLERİ TARİH","TAHAKKUK"))),IF(AND($D2124&lt;&gt;"",$E2124&lt;&gt;"",$G2124&gt;0,$H2124&lt;&gt;"",$I2124&lt;&gt;""),IF($C2124&gt;TODAY(),"İLERİ TARİH",IF(COUNTIF($W$7:$W$3001,$W2124)&gt;1,"MÜKERRER?",IF($AD2124&gt;0,"KAPALI DÖNEM",IF($I2124="Hayır","ÖDENECEK","UYGUN")))),"EKSİK"))))</f>
        <v/>
      </c>
      <c r="Q2124" s="2"/>
      <c r="R2124" s="2"/>
      <c r="S2124" s="1" t="str">
        <f t="shared" si="101"/>
        <v/>
      </c>
      <c r="T2124" s="1" t="str">
        <f>IF(OR($C2124="",$D2124&lt;&gt;"Gelir",$L2124=""),"",IFERROR(INDEX(MUSTERILER!$B$7:$B$156,MATCH($S2124,MUSTERILER!$T$7:$T$156,0)),""))</f>
        <v/>
      </c>
      <c r="U2124" s="1" t="str">
        <f>IF($T2124="","",$T2124&amp;"|"&amp;COUNTIFS($T$7:$T2124,$T2124))</f>
        <v/>
      </c>
      <c r="V2124" s="1">
        <f t="shared" si="102"/>
        <v>0</v>
      </c>
      <c r="W2124" s="1" t="str">
        <f t="shared" si="103"/>
        <v/>
      </c>
      <c r="X2124" s="1"/>
      <c r="Y2124" s="1"/>
      <c r="Z2124" s="1"/>
      <c r="AA2124" s="1"/>
      <c r="AB2124" s="1"/>
      <c r="AC2124" s="1"/>
      <c r="AD2124" s="1">
        <f>IF($C2124="",0,SUMPRODUCT((AY_SONU!$O$7:$O$42="Evet")*(AY_SONU!$B$7:$B$42=DATE(YEAR($C2124),MONTH($C2124),1))))</f>
        <v>0</v>
      </c>
      <c r="AE2124" s="1" t="str">
        <f>IF($E2124="","",$E2124&amp;"|"&amp;COUNTIFS($E$7:$E2124,$E2124))</f>
        <v/>
      </c>
    </row>
    <row r="2125" spans="1:31" ht="18" customHeight="1" x14ac:dyDescent="0.3">
      <c r="A2125" s="2"/>
      <c r="B2125" s="65" t="str">
        <f>IF($C2125="","","GG"&amp;TEXT(ROW()-6,"00000"))</f>
        <v/>
      </c>
      <c r="C2125" s="66"/>
      <c r="D2125" s="60"/>
      <c r="E2125" s="61"/>
      <c r="F2125" s="61"/>
      <c r="G2125" s="67"/>
      <c r="H2125" s="60"/>
      <c r="I2125" s="60"/>
      <c r="J2125" s="61"/>
      <c r="K2125" s="61"/>
      <c r="L2125" s="60"/>
      <c r="M2125" s="74" t="str">
        <f>IF($C2125="","",IF($D2125="Gider",$E2125,IF($L2125&lt;&gt;"",$L2125,$H2125)))</f>
        <v/>
      </c>
      <c r="N2125" s="74" t="str">
        <f>IF($C2125="","",IF($D2125="Gider",$H2125,$E2125))</f>
        <v/>
      </c>
      <c r="O2125" s="73" t="str">
        <f>IF($C2125="","",DATE(YEAR($C2125),MONTH($C2125),1))</f>
        <v/>
      </c>
      <c r="P2125" s="65" t="str">
        <f ca="1">IF($C2125="","",IF(AND($D2125="Gelir",$L2125&lt;&gt;"",$T2125=""),"TANIMSIZ BORÇLU",IF($T2125&lt;&gt;"",IF(OR($E2125="",$G2125&lt;=0),"EKSİK",IF($I2125="Evet","TAHAKKUK NAKİT OLAMAZ",IF($C2125&gt;TODAY(),"İLERİ TARİH","TAHAKKUK"))),IF(AND($D2125&lt;&gt;"",$E2125&lt;&gt;"",$G2125&gt;0,$H2125&lt;&gt;"",$I2125&lt;&gt;""),IF($C2125&gt;TODAY(),"İLERİ TARİH",IF(COUNTIF($W$7:$W$3001,$W2125)&gt;1,"MÜKERRER?",IF($AD2125&gt;0,"KAPALI DÖNEM",IF($I2125="Hayır","ÖDENECEK","UYGUN")))),"EKSİK"))))</f>
        <v/>
      </c>
      <c r="Q2125" s="2"/>
      <c r="R2125" s="2"/>
      <c r="S2125" s="1" t="str">
        <f t="shared" si="101"/>
        <v/>
      </c>
      <c r="T2125" s="1" t="str">
        <f>IF(OR($C2125="",$D2125&lt;&gt;"Gelir",$L2125=""),"",IFERROR(INDEX(MUSTERILER!$B$7:$B$156,MATCH($S2125,MUSTERILER!$T$7:$T$156,0)),""))</f>
        <v/>
      </c>
      <c r="U2125" s="1" t="str">
        <f>IF($T2125="","",$T2125&amp;"|"&amp;COUNTIFS($T$7:$T2125,$T2125))</f>
        <v/>
      </c>
      <c r="V2125" s="1">
        <f t="shared" si="102"/>
        <v>0</v>
      </c>
      <c r="W2125" s="1" t="str">
        <f t="shared" si="103"/>
        <v/>
      </c>
      <c r="X2125" s="1"/>
      <c r="Y2125" s="1"/>
      <c r="Z2125" s="1"/>
      <c r="AA2125" s="1"/>
      <c r="AB2125" s="1"/>
      <c r="AC2125" s="1"/>
      <c r="AD2125" s="1">
        <f>IF($C2125="",0,SUMPRODUCT((AY_SONU!$O$7:$O$42="Evet")*(AY_SONU!$B$7:$B$42=DATE(YEAR($C2125),MONTH($C2125),1))))</f>
        <v>0</v>
      </c>
      <c r="AE2125" s="1" t="str">
        <f>IF($E2125="","",$E2125&amp;"|"&amp;COUNTIFS($E$7:$E2125,$E2125))</f>
        <v/>
      </c>
    </row>
    <row r="2126" spans="1:31" ht="18" customHeight="1" x14ac:dyDescent="0.3">
      <c r="A2126" s="2"/>
      <c r="B2126" s="65" t="str">
        <f>IF($C2126="","","GG"&amp;TEXT(ROW()-6,"00000"))</f>
        <v/>
      </c>
      <c r="C2126" s="66"/>
      <c r="D2126" s="60"/>
      <c r="E2126" s="61"/>
      <c r="F2126" s="61"/>
      <c r="G2126" s="67"/>
      <c r="H2126" s="60"/>
      <c r="I2126" s="60"/>
      <c r="J2126" s="61"/>
      <c r="K2126" s="61"/>
      <c r="L2126" s="60"/>
      <c r="M2126" s="74" t="str">
        <f>IF($C2126="","",IF($D2126="Gider",$E2126,IF($L2126&lt;&gt;"",$L2126,$H2126)))</f>
        <v/>
      </c>
      <c r="N2126" s="74" t="str">
        <f>IF($C2126="","",IF($D2126="Gider",$H2126,$E2126))</f>
        <v/>
      </c>
      <c r="O2126" s="73" t="str">
        <f>IF($C2126="","",DATE(YEAR($C2126),MONTH($C2126),1))</f>
        <v/>
      </c>
      <c r="P2126" s="65" t="str">
        <f ca="1">IF($C2126="","",IF(AND($D2126="Gelir",$L2126&lt;&gt;"",$T2126=""),"TANIMSIZ BORÇLU",IF($T2126&lt;&gt;"",IF(OR($E2126="",$G2126&lt;=0),"EKSİK",IF($I2126="Evet","TAHAKKUK NAKİT OLAMAZ",IF($C2126&gt;TODAY(),"İLERİ TARİH","TAHAKKUK"))),IF(AND($D2126&lt;&gt;"",$E2126&lt;&gt;"",$G2126&gt;0,$H2126&lt;&gt;"",$I2126&lt;&gt;""),IF($C2126&gt;TODAY(),"İLERİ TARİH",IF(COUNTIF($W$7:$W$3001,$W2126)&gt;1,"MÜKERRER?",IF($AD2126&gt;0,"KAPALI DÖNEM",IF($I2126="Hayır","ÖDENECEK","UYGUN")))),"EKSİK"))))</f>
        <v/>
      </c>
      <c r="Q2126" s="2"/>
      <c r="R2126" s="2"/>
      <c r="S2126" s="1" t="str">
        <f t="shared" si="101"/>
        <v/>
      </c>
      <c r="T2126" s="1" t="str">
        <f>IF(OR($C2126="",$D2126&lt;&gt;"Gelir",$L2126=""),"",IFERROR(INDEX(MUSTERILER!$B$7:$B$156,MATCH($S2126,MUSTERILER!$T$7:$T$156,0)),""))</f>
        <v/>
      </c>
      <c r="U2126" s="1" t="str">
        <f>IF($T2126="","",$T2126&amp;"|"&amp;COUNTIFS($T$7:$T2126,$T2126))</f>
        <v/>
      </c>
      <c r="V2126" s="1">
        <f t="shared" si="102"/>
        <v>0</v>
      </c>
      <c r="W2126" s="1" t="str">
        <f t="shared" si="103"/>
        <v/>
      </c>
      <c r="X2126" s="1"/>
      <c r="Y2126" s="1"/>
      <c r="Z2126" s="1"/>
      <c r="AA2126" s="1"/>
      <c r="AB2126" s="1"/>
      <c r="AC2126" s="1"/>
      <c r="AD2126" s="1">
        <f>IF($C2126="",0,SUMPRODUCT((AY_SONU!$O$7:$O$42="Evet")*(AY_SONU!$B$7:$B$42=DATE(YEAR($C2126),MONTH($C2126),1))))</f>
        <v>0</v>
      </c>
      <c r="AE2126" s="1" t="str">
        <f>IF($E2126="","",$E2126&amp;"|"&amp;COUNTIFS($E$7:$E2126,$E2126))</f>
        <v/>
      </c>
    </row>
    <row r="2127" spans="1:31" ht="18" customHeight="1" x14ac:dyDescent="0.3">
      <c r="A2127" s="2"/>
      <c r="B2127" s="65" t="str">
        <f>IF($C2127="","","GG"&amp;TEXT(ROW()-6,"00000"))</f>
        <v/>
      </c>
      <c r="C2127" s="66"/>
      <c r="D2127" s="60"/>
      <c r="E2127" s="61"/>
      <c r="F2127" s="61"/>
      <c r="G2127" s="67"/>
      <c r="H2127" s="60"/>
      <c r="I2127" s="60"/>
      <c r="J2127" s="61"/>
      <c r="K2127" s="61"/>
      <c r="L2127" s="60"/>
      <c r="M2127" s="74" t="str">
        <f>IF($C2127="","",IF($D2127="Gider",$E2127,IF($L2127&lt;&gt;"",$L2127,$H2127)))</f>
        <v/>
      </c>
      <c r="N2127" s="74" t="str">
        <f>IF($C2127="","",IF($D2127="Gider",$H2127,$E2127))</f>
        <v/>
      </c>
      <c r="O2127" s="73" t="str">
        <f>IF($C2127="","",DATE(YEAR($C2127),MONTH($C2127),1))</f>
        <v/>
      </c>
      <c r="P2127" s="65" t="str">
        <f ca="1">IF($C2127="","",IF(AND($D2127="Gelir",$L2127&lt;&gt;"",$T2127=""),"TANIMSIZ BORÇLU",IF($T2127&lt;&gt;"",IF(OR($E2127="",$G2127&lt;=0),"EKSİK",IF($I2127="Evet","TAHAKKUK NAKİT OLAMAZ",IF($C2127&gt;TODAY(),"İLERİ TARİH","TAHAKKUK"))),IF(AND($D2127&lt;&gt;"",$E2127&lt;&gt;"",$G2127&gt;0,$H2127&lt;&gt;"",$I2127&lt;&gt;""),IF($C2127&gt;TODAY(),"İLERİ TARİH",IF(COUNTIF($W$7:$W$3001,$W2127)&gt;1,"MÜKERRER?",IF($AD2127&gt;0,"KAPALI DÖNEM",IF($I2127="Hayır","ÖDENECEK","UYGUN")))),"EKSİK"))))</f>
        <v/>
      </c>
      <c r="Q2127" s="2"/>
      <c r="R2127" s="2"/>
      <c r="S2127" s="1" t="str">
        <f t="shared" si="101"/>
        <v/>
      </c>
      <c r="T2127" s="1" t="str">
        <f>IF(OR($C2127="",$D2127&lt;&gt;"Gelir",$L2127=""),"",IFERROR(INDEX(MUSTERILER!$B$7:$B$156,MATCH($S2127,MUSTERILER!$T$7:$T$156,0)),""))</f>
        <v/>
      </c>
      <c r="U2127" s="1" t="str">
        <f>IF($T2127="","",$T2127&amp;"|"&amp;COUNTIFS($T$7:$T2127,$T2127))</f>
        <v/>
      </c>
      <c r="V2127" s="1">
        <f t="shared" si="102"/>
        <v>0</v>
      </c>
      <c r="W2127" s="1" t="str">
        <f t="shared" si="103"/>
        <v/>
      </c>
      <c r="X2127" s="1"/>
      <c r="Y2127" s="1"/>
      <c r="Z2127" s="1"/>
      <c r="AA2127" s="1"/>
      <c r="AB2127" s="1"/>
      <c r="AC2127" s="1"/>
      <c r="AD2127" s="1">
        <f>IF($C2127="",0,SUMPRODUCT((AY_SONU!$O$7:$O$42="Evet")*(AY_SONU!$B$7:$B$42=DATE(YEAR($C2127),MONTH($C2127),1))))</f>
        <v>0</v>
      </c>
      <c r="AE2127" s="1" t="str">
        <f>IF($E2127="","",$E2127&amp;"|"&amp;COUNTIFS($E$7:$E2127,$E2127))</f>
        <v/>
      </c>
    </row>
    <row r="2128" spans="1:31" ht="18" customHeight="1" x14ac:dyDescent="0.3">
      <c r="A2128" s="2"/>
      <c r="B2128" s="65" t="str">
        <f>IF($C2128="","","GG"&amp;TEXT(ROW()-6,"00000"))</f>
        <v/>
      </c>
      <c r="C2128" s="66"/>
      <c r="D2128" s="60"/>
      <c r="E2128" s="61"/>
      <c r="F2128" s="61"/>
      <c r="G2128" s="67"/>
      <c r="H2128" s="60"/>
      <c r="I2128" s="60"/>
      <c r="J2128" s="61"/>
      <c r="K2128" s="61"/>
      <c r="L2128" s="60"/>
      <c r="M2128" s="74" t="str">
        <f>IF($C2128="","",IF($D2128="Gider",$E2128,IF($L2128&lt;&gt;"",$L2128,$H2128)))</f>
        <v/>
      </c>
      <c r="N2128" s="74" t="str">
        <f>IF($C2128="","",IF($D2128="Gider",$H2128,$E2128))</f>
        <v/>
      </c>
      <c r="O2128" s="73" t="str">
        <f>IF($C2128="","",DATE(YEAR($C2128),MONTH($C2128),1))</f>
        <v/>
      </c>
      <c r="P2128" s="65" t="str">
        <f ca="1">IF($C2128="","",IF(AND($D2128="Gelir",$L2128&lt;&gt;"",$T2128=""),"TANIMSIZ BORÇLU",IF($T2128&lt;&gt;"",IF(OR($E2128="",$G2128&lt;=0),"EKSİK",IF($I2128="Evet","TAHAKKUK NAKİT OLAMAZ",IF($C2128&gt;TODAY(),"İLERİ TARİH","TAHAKKUK"))),IF(AND($D2128&lt;&gt;"",$E2128&lt;&gt;"",$G2128&gt;0,$H2128&lt;&gt;"",$I2128&lt;&gt;""),IF($C2128&gt;TODAY(),"İLERİ TARİH",IF(COUNTIF($W$7:$W$3001,$W2128)&gt;1,"MÜKERRER?",IF($AD2128&gt;0,"KAPALI DÖNEM",IF($I2128="Hayır","ÖDENECEK","UYGUN")))),"EKSİK"))))</f>
        <v/>
      </c>
      <c r="Q2128" s="2"/>
      <c r="R2128" s="2"/>
      <c r="S2128" s="1" t="str">
        <f t="shared" si="101"/>
        <v/>
      </c>
      <c r="T2128" s="1" t="str">
        <f>IF(OR($C2128="",$D2128&lt;&gt;"Gelir",$L2128=""),"",IFERROR(INDEX(MUSTERILER!$B$7:$B$156,MATCH($S2128,MUSTERILER!$T$7:$T$156,0)),""))</f>
        <v/>
      </c>
      <c r="U2128" s="1" t="str">
        <f>IF($T2128="","",$T2128&amp;"|"&amp;COUNTIFS($T$7:$T2128,$T2128))</f>
        <v/>
      </c>
      <c r="V2128" s="1">
        <f t="shared" si="102"/>
        <v>0</v>
      </c>
      <c r="W2128" s="1" t="str">
        <f t="shared" si="103"/>
        <v/>
      </c>
      <c r="X2128" s="1"/>
      <c r="Y2128" s="1"/>
      <c r="Z2128" s="1"/>
      <c r="AA2128" s="1"/>
      <c r="AB2128" s="1"/>
      <c r="AC2128" s="1"/>
      <c r="AD2128" s="1">
        <f>IF($C2128="",0,SUMPRODUCT((AY_SONU!$O$7:$O$42="Evet")*(AY_SONU!$B$7:$B$42=DATE(YEAR($C2128),MONTH($C2128),1))))</f>
        <v>0</v>
      </c>
      <c r="AE2128" s="1" t="str">
        <f>IF($E2128="","",$E2128&amp;"|"&amp;COUNTIFS($E$7:$E2128,$E2128))</f>
        <v/>
      </c>
    </row>
    <row r="2129" spans="1:31" ht="18" customHeight="1" x14ac:dyDescent="0.3">
      <c r="A2129" s="2"/>
      <c r="B2129" s="65" t="str">
        <f>IF($C2129="","","GG"&amp;TEXT(ROW()-6,"00000"))</f>
        <v/>
      </c>
      <c r="C2129" s="66"/>
      <c r="D2129" s="60"/>
      <c r="E2129" s="61"/>
      <c r="F2129" s="61"/>
      <c r="G2129" s="67"/>
      <c r="H2129" s="60"/>
      <c r="I2129" s="60"/>
      <c r="J2129" s="61"/>
      <c r="K2129" s="61"/>
      <c r="L2129" s="60"/>
      <c r="M2129" s="74" t="str">
        <f>IF($C2129="","",IF($D2129="Gider",$E2129,IF($L2129&lt;&gt;"",$L2129,$H2129)))</f>
        <v/>
      </c>
      <c r="N2129" s="74" t="str">
        <f>IF($C2129="","",IF($D2129="Gider",$H2129,$E2129))</f>
        <v/>
      </c>
      <c r="O2129" s="73" t="str">
        <f>IF($C2129="","",DATE(YEAR($C2129),MONTH($C2129),1))</f>
        <v/>
      </c>
      <c r="P2129" s="65" t="str">
        <f ca="1">IF($C2129="","",IF(AND($D2129="Gelir",$L2129&lt;&gt;"",$T2129=""),"TANIMSIZ BORÇLU",IF($T2129&lt;&gt;"",IF(OR($E2129="",$G2129&lt;=0),"EKSİK",IF($I2129="Evet","TAHAKKUK NAKİT OLAMAZ",IF($C2129&gt;TODAY(),"İLERİ TARİH","TAHAKKUK"))),IF(AND($D2129&lt;&gt;"",$E2129&lt;&gt;"",$G2129&gt;0,$H2129&lt;&gt;"",$I2129&lt;&gt;""),IF($C2129&gt;TODAY(),"İLERİ TARİH",IF(COUNTIF($W$7:$W$3001,$W2129)&gt;1,"MÜKERRER?",IF($AD2129&gt;0,"KAPALI DÖNEM",IF($I2129="Hayır","ÖDENECEK","UYGUN")))),"EKSİK"))))</f>
        <v/>
      </c>
      <c r="Q2129" s="2"/>
      <c r="R2129" s="2"/>
      <c r="S2129" s="1" t="str">
        <f t="shared" si="101"/>
        <v/>
      </c>
      <c r="T2129" s="1" t="str">
        <f>IF(OR($C2129="",$D2129&lt;&gt;"Gelir",$L2129=""),"",IFERROR(INDEX(MUSTERILER!$B$7:$B$156,MATCH($S2129,MUSTERILER!$T$7:$T$156,0)),""))</f>
        <v/>
      </c>
      <c r="U2129" s="1" t="str">
        <f>IF($T2129="","",$T2129&amp;"|"&amp;COUNTIFS($T$7:$T2129,$T2129))</f>
        <v/>
      </c>
      <c r="V2129" s="1">
        <f t="shared" si="102"/>
        <v>0</v>
      </c>
      <c r="W2129" s="1" t="str">
        <f t="shared" si="103"/>
        <v/>
      </c>
      <c r="X2129" s="1"/>
      <c r="Y2129" s="1"/>
      <c r="Z2129" s="1"/>
      <c r="AA2129" s="1"/>
      <c r="AB2129" s="1"/>
      <c r="AC2129" s="1"/>
      <c r="AD2129" s="1">
        <f>IF($C2129="",0,SUMPRODUCT((AY_SONU!$O$7:$O$42="Evet")*(AY_SONU!$B$7:$B$42=DATE(YEAR($C2129),MONTH($C2129),1))))</f>
        <v>0</v>
      </c>
      <c r="AE2129" s="1" t="str">
        <f>IF($E2129="","",$E2129&amp;"|"&amp;COUNTIFS($E$7:$E2129,$E2129))</f>
        <v/>
      </c>
    </row>
    <row r="2130" spans="1:31" ht="18" customHeight="1" x14ac:dyDescent="0.3">
      <c r="A2130" s="2"/>
      <c r="B2130" s="65" t="str">
        <f>IF($C2130="","","GG"&amp;TEXT(ROW()-6,"00000"))</f>
        <v/>
      </c>
      <c r="C2130" s="66"/>
      <c r="D2130" s="60"/>
      <c r="E2130" s="61"/>
      <c r="F2130" s="61"/>
      <c r="G2130" s="67"/>
      <c r="H2130" s="60"/>
      <c r="I2130" s="60"/>
      <c r="J2130" s="61"/>
      <c r="K2130" s="61"/>
      <c r="L2130" s="60"/>
      <c r="M2130" s="74" t="str">
        <f>IF($C2130="","",IF($D2130="Gider",$E2130,IF($L2130&lt;&gt;"",$L2130,$H2130)))</f>
        <v/>
      </c>
      <c r="N2130" s="74" t="str">
        <f>IF($C2130="","",IF($D2130="Gider",$H2130,$E2130))</f>
        <v/>
      </c>
      <c r="O2130" s="73" t="str">
        <f>IF($C2130="","",DATE(YEAR($C2130),MONTH($C2130),1))</f>
        <v/>
      </c>
      <c r="P2130" s="65" t="str">
        <f ca="1">IF($C2130="","",IF(AND($D2130="Gelir",$L2130&lt;&gt;"",$T2130=""),"TANIMSIZ BORÇLU",IF($T2130&lt;&gt;"",IF(OR($E2130="",$G2130&lt;=0),"EKSİK",IF($I2130="Evet","TAHAKKUK NAKİT OLAMAZ",IF($C2130&gt;TODAY(),"İLERİ TARİH","TAHAKKUK"))),IF(AND($D2130&lt;&gt;"",$E2130&lt;&gt;"",$G2130&gt;0,$H2130&lt;&gt;"",$I2130&lt;&gt;""),IF($C2130&gt;TODAY(),"İLERİ TARİH",IF(COUNTIF($W$7:$W$3001,$W2130)&gt;1,"MÜKERRER?",IF($AD2130&gt;0,"KAPALI DÖNEM",IF($I2130="Hayır","ÖDENECEK","UYGUN")))),"EKSİK"))))</f>
        <v/>
      </c>
      <c r="Q2130" s="2"/>
      <c r="R2130" s="2"/>
      <c r="S2130" s="1" t="str">
        <f t="shared" si="101"/>
        <v/>
      </c>
      <c r="T2130" s="1" t="str">
        <f>IF(OR($C2130="",$D2130&lt;&gt;"Gelir",$L2130=""),"",IFERROR(INDEX(MUSTERILER!$B$7:$B$156,MATCH($S2130,MUSTERILER!$T$7:$T$156,0)),""))</f>
        <v/>
      </c>
      <c r="U2130" s="1" t="str">
        <f>IF($T2130="","",$T2130&amp;"|"&amp;COUNTIFS($T$7:$T2130,$T2130))</f>
        <v/>
      </c>
      <c r="V2130" s="1">
        <f t="shared" si="102"/>
        <v>0</v>
      </c>
      <c r="W2130" s="1" t="str">
        <f t="shared" si="103"/>
        <v/>
      </c>
      <c r="X2130" s="1"/>
      <c r="Y2130" s="1"/>
      <c r="Z2130" s="1"/>
      <c r="AA2130" s="1"/>
      <c r="AB2130" s="1"/>
      <c r="AC2130" s="1"/>
      <c r="AD2130" s="1">
        <f>IF($C2130="",0,SUMPRODUCT((AY_SONU!$O$7:$O$42="Evet")*(AY_SONU!$B$7:$B$42=DATE(YEAR($C2130),MONTH($C2130),1))))</f>
        <v>0</v>
      </c>
      <c r="AE2130" s="1" t="str">
        <f>IF($E2130="","",$E2130&amp;"|"&amp;COUNTIFS($E$7:$E2130,$E2130))</f>
        <v/>
      </c>
    </row>
    <row r="2131" spans="1:31" ht="18" customHeight="1" x14ac:dyDescent="0.3">
      <c r="A2131" s="2"/>
      <c r="B2131" s="65" t="str">
        <f>IF($C2131="","","GG"&amp;TEXT(ROW()-6,"00000"))</f>
        <v/>
      </c>
      <c r="C2131" s="66"/>
      <c r="D2131" s="60"/>
      <c r="E2131" s="61"/>
      <c r="F2131" s="61"/>
      <c r="G2131" s="67"/>
      <c r="H2131" s="60"/>
      <c r="I2131" s="60"/>
      <c r="J2131" s="61"/>
      <c r="K2131" s="61"/>
      <c r="L2131" s="60"/>
      <c r="M2131" s="74" t="str">
        <f>IF($C2131="","",IF($D2131="Gider",$E2131,IF($L2131&lt;&gt;"",$L2131,$H2131)))</f>
        <v/>
      </c>
      <c r="N2131" s="74" t="str">
        <f>IF($C2131="","",IF($D2131="Gider",$H2131,$E2131))</f>
        <v/>
      </c>
      <c r="O2131" s="73" t="str">
        <f>IF($C2131="","",DATE(YEAR($C2131),MONTH($C2131),1))</f>
        <v/>
      </c>
      <c r="P2131" s="65" t="str">
        <f ca="1">IF($C2131="","",IF(AND($D2131="Gelir",$L2131&lt;&gt;"",$T2131=""),"TANIMSIZ BORÇLU",IF($T2131&lt;&gt;"",IF(OR($E2131="",$G2131&lt;=0),"EKSİK",IF($I2131="Evet","TAHAKKUK NAKİT OLAMAZ",IF($C2131&gt;TODAY(),"İLERİ TARİH","TAHAKKUK"))),IF(AND($D2131&lt;&gt;"",$E2131&lt;&gt;"",$G2131&gt;0,$H2131&lt;&gt;"",$I2131&lt;&gt;""),IF($C2131&gt;TODAY(),"İLERİ TARİH",IF(COUNTIF($W$7:$W$3001,$W2131)&gt;1,"MÜKERRER?",IF($AD2131&gt;0,"KAPALI DÖNEM",IF($I2131="Hayır","ÖDENECEK","UYGUN")))),"EKSİK"))))</f>
        <v/>
      </c>
      <c r="Q2131" s="2"/>
      <c r="R2131" s="2"/>
      <c r="S2131" s="1" t="str">
        <f t="shared" si="101"/>
        <v/>
      </c>
      <c r="T2131" s="1" t="str">
        <f>IF(OR($C2131="",$D2131&lt;&gt;"Gelir",$L2131=""),"",IFERROR(INDEX(MUSTERILER!$B$7:$B$156,MATCH($S2131,MUSTERILER!$T$7:$T$156,0)),""))</f>
        <v/>
      </c>
      <c r="U2131" s="1" t="str">
        <f>IF($T2131="","",$T2131&amp;"|"&amp;COUNTIFS($T$7:$T2131,$T2131))</f>
        <v/>
      </c>
      <c r="V2131" s="1">
        <f t="shared" si="102"/>
        <v>0</v>
      </c>
      <c r="W2131" s="1" t="str">
        <f t="shared" si="103"/>
        <v/>
      </c>
      <c r="X2131" s="1"/>
      <c r="Y2131" s="1"/>
      <c r="Z2131" s="1"/>
      <c r="AA2131" s="1"/>
      <c r="AB2131" s="1"/>
      <c r="AC2131" s="1"/>
      <c r="AD2131" s="1">
        <f>IF($C2131="",0,SUMPRODUCT((AY_SONU!$O$7:$O$42="Evet")*(AY_SONU!$B$7:$B$42=DATE(YEAR($C2131),MONTH($C2131),1))))</f>
        <v>0</v>
      </c>
      <c r="AE2131" s="1" t="str">
        <f>IF($E2131="","",$E2131&amp;"|"&amp;COUNTIFS($E$7:$E2131,$E2131))</f>
        <v/>
      </c>
    </row>
    <row r="2132" spans="1:31" ht="18" customHeight="1" x14ac:dyDescent="0.3">
      <c r="A2132" s="2"/>
      <c r="B2132" s="65" t="str">
        <f>IF($C2132="","","GG"&amp;TEXT(ROW()-6,"00000"))</f>
        <v/>
      </c>
      <c r="C2132" s="66"/>
      <c r="D2132" s="60"/>
      <c r="E2132" s="61"/>
      <c r="F2132" s="61"/>
      <c r="G2132" s="67"/>
      <c r="H2132" s="60"/>
      <c r="I2132" s="60"/>
      <c r="J2132" s="61"/>
      <c r="K2132" s="61"/>
      <c r="L2132" s="60"/>
      <c r="M2132" s="74" t="str">
        <f>IF($C2132="","",IF($D2132="Gider",$E2132,IF($L2132&lt;&gt;"",$L2132,$H2132)))</f>
        <v/>
      </c>
      <c r="N2132" s="74" t="str">
        <f>IF($C2132="","",IF($D2132="Gider",$H2132,$E2132))</f>
        <v/>
      </c>
      <c r="O2132" s="73" t="str">
        <f>IF($C2132="","",DATE(YEAR($C2132),MONTH($C2132),1))</f>
        <v/>
      </c>
      <c r="P2132" s="65" t="str">
        <f ca="1">IF($C2132="","",IF(AND($D2132="Gelir",$L2132&lt;&gt;"",$T2132=""),"TANIMSIZ BORÇLU",IF($T2132&lt;&gt;"",IF(OR($E2132="",$G2132&lt;=0),"EKSİK",IF($I2132="Evet","TAHAKKUK NAKİT OLAMAZ",IF($C2132&gt;TODAY(),"İLERİ TARİH","TAHAKKUK"))),IF(AND($D2132&lt;&gt;"",$E2132&lt;&gt;"",$G2132&gt;0,$H2132&lt;&gt;"",$I2132&lt;&gt;""),IF($C2132&gt;TODAY(),"İLERİ TARİH",IF(COUNTIF($W$7:$W$3001,$W2132)&gt;1,"MÜKERRER?",IF($AD2132&gt;0,"KAPALI DÖNEM",IF($I2132="Hayır","ÖDENECEK","UYGUN")))),"EKSİK"))))</f>
        <v/>
      </c>
      <c r="Q2132" s="2"/>
      <c r="R2132" s="2"/>
      <c r="S2132" s="1" t="str">
        <f t="shared" si="101"/>
        <v/>
      </c>
      <c r="T2132" s="1" t="str">
        <f>IF(OR($C2132="",$D2132&lt;&gt;"Gelir",$L2132=""),"",IFERROR(INDEX(MUSTERILER!$B$7:$B$156,MATCH($S2132,MUSTERILER!$T$7:$T$156,0)),""))</f>
        <v/>
      </c>
      <c r="U2132" s="1" t="str">
        <f>IF($T2132="","",$T2132&amp;"|"&amp;COUNTIFS($T$7:$T2132,$T2132))</f>
        <v/>
      </c>
      <c r="V2132" s="1">
        <f t="shared" si="102"/>
        <v>0</v>
      </c>
      <c r="W2132" s="1" t="str">
        <f t="shared" si="103"/>
        <v/>
      </c>
      <c r="X2132" s="1"/>
      <c r="Y2132" s="1"/>
      <c r="Z2132" s="1"/>
      <c r="AA2132" s="1"/>
      <c r="AB2132" s="1"/>
      <c r="AC2132" s="1"/>
      <c r="AD2132" s="1">
        <f>IF($C2132="",0,SUMPRODUCT((AY_SONU!$O$7:$O$42="Evet")*(AY_SONU!$B$7:$B$42=DATE(YEAR($C2132),MONTH($C2132),1))))</f>
        <v>0</v>
      </c>
      <c r="AE2132" s="1" t="str">
        <f>IF($E2132="","",$E2132&amp;"|"&amp;COUNTIFS($E$7:$E2132,$E2132))</f>
        <v/>
      </c>
    </row>
    <row r="2133" spans="1:31" ht="18" customHeight="1" x14ac:dyDescent="0.3">
      <c r="A2133" s="2"/>
      <c r="B2133" s="65" t="str">
        <f>IF($C2133="","","GG"&amp;TEXT(ROW()-6,"00000"))</f>
        <v/>
      </c>
      <c r="C2133" s="66"/>
      <c r="D2133" s="60"/>
      <c r="E2133" s="61"/>
      <c r="F2133" s="61"/>
      <c r="G2133" s="67"/>
      <c r="H2133" s="60"/>
      <c r="I2133" s="60"/>
      <c r="J2133" s="61"/>
      <c r="K2133" s="61"/>
      <c r="L2133" s="60"/>
      <c r="M2133" s="74" t="str">
        <f>IF($C2133="","",IF($D2133="Gider",$E2133,IF($L2133&lt;&gt;"",$L2133,$H2133)))</f>
        <v/>
      </c>
      <c r="N2133" s="74" t="str">
        <f>IF($C2133="","",IF($D2133="Gider",$H2133,$E2133))</f>
        <v/>
      </c>
      <c r="O2133" s="73" t="str">
        <f>IF($C2133="","",DATE(YEAR($C2133),MONTH($C2133),1))</f>
        <v/>
      </c>
      <c r="P2133" s="65" t="str">
        <f ca="1">IF($C2133="","",IF(AND($D2133="Gelir",$L2133&lt;&gt;"",$T2133=""),"TANIMSIZ BORÇLU",IF($T2133&lt;&gt;"",IF(OR($E2133="",$G2133&lt;=0),"EKSİK",IF($I2133="Evet","TAHAKKUK NAKİT OLAMAZ",IF($C2133&gt;TODAY(),"İLERİ TARİH","TAHAKKUK"))),IF(AND($D2133&lt;&gt;"",$E2133&lt;&gt;"",$G2133&gt;0,$H2133&lt;&gt;"",$I2133&lt;&gt;""),IF($C2133&gt;TODAY(),"İLERİ TARİH",IF(COUNTIF($W$7:$W$3001,$W2133)&gt;1,"MÜKERRER?",IF($AD2133&gt;0,"KAPALI DÖNEM",IF($I2133="Hayır","ÖDENECEK","UYGUN")))),"EKSİK"))))</f>
        <v/>
      </c>
      <c r="Q2133" s="2"/>
      <c r="R2133" s="2"/>
      <c r="S2133" s="1" t="str">
        <f t="shared" si="101"/>
        <v/>
      </c>
      <c r="T2133" s="1" t="str">
        <f>IF(OR($C2133="",$D2133&lt;&gt;"Gelir",$L2133=""),"",IFERROR(INDEX(MUSTERILER!$B$7:$B$156,MATCH($S2133,MUSTERILER!$T$7:$T$156,0)),""))</f>
        <v/>
      </c>
      <c r="U2133" s="1" t="str">
        <f>IF($T2133="","",$T2133&amp;"|"&amp;COUNTIFS($T$7:$T2133,$T2133))</f>
        <v/>
      </c>
      <c r="V2133" s="1">
        <f t="shared" si="102"/>
        <v>0</v>
      </c>
      <c r="W2133" s="1" t="str">
        <f t="shared" si="103"/>
        <v/>
      </c>
      <c r="X2133" s="1"/>
      <c r="Y2133" s="1"/>
      <c r="Z2133" s="1"/>
      <c r="AA2133" s="1"/>
      <c r="AB2133" s="1"/>
      <c r="AC2133" s="1"/>
      <c r="AD2133" s="1">
        <f>IF($C2133="",0,SUMPRODUCT((AY_SONU!$O$7:$O$42="Evet")*(AY_SONU!$B$7:$B$42=DATE(YEAR($C2133),MONTH($C2133),1))))</f>
        <v>0</v>
      </c>
      <c r="AE2133" s="1" t="str">
        <f>IF($E2133="","",$E2133&amp;"|"&amp;COUNTIFS($E$7:$E2133,$E2133))</f>
        <v/>
      </c>
    </row>
    <row r="2134" spans="1:31" ht="18" customHeight="1" x14ac:dyDescent="0.3">
      <c r="A2134" s="2"/>
      <c r="B2134" s="65" t="str">
        <f>IF($C2134="","","GG"&amp;TEXT(ROW()-6,"00000"))</f>
        <v/>
      </c>
      <c r="C2134" s="66"/>
      <c r="D2134" s="60"/>
      <c r="E2134" s="61"/>
      <c r="F2134" s="61"/>
      <c r="G2134" s="67"/>
      <c r="H2134" s="60"/>
      <c r="I2134" s="60"/>
      <c r="J2134" s="61"/>
      <c r="K2134" s="61"/>
      <c r="L2134" s="60"/>
      <c r="M2134" s="74" t="str">
        <f>IF($C2134="","",IF($D2134="Gider",$E2134,IF($L2134&lt;&gt;"",$L2134,$H2134)))</f>
        <v/>
      </c>
      <c r="N2134" s="74" t="str">
        <f>IF($C2134="","",IF($D2134="Gider",$H2134,$E2134))</f>
        <v/>
      </c>
      <c r="O2134" s="73" t="str">
        <f>IF($C2134="","",DATE(YEAR($C2134),MONTH($C2134),1))</f>
        <v/>
      </c>
      <c r="P2134" s="65" t="str">
        <f ca="1">IF($C2134="","",IF(AND($D2134="Gelir",$L2134&lt;&gt;"",$T2134=""),"TANIMSIZ BORÇLU",IF($T2134&lt;&gt;"",IF(OR($E2134="",$G2134&lt;=0),"EKSİK",IF($I2134="Evet","TAHAKKUK NAKİT OLAMAZ",IF($C2134&gt;TODAY(),"İLERİ TARİH","TAHAKKUK"))),IF(AND($D2134&lt;&gt;"",$E2134&lt;&gt;"",$G2134&gt;0,$H2134&lt;&gt;"",$I2134&lt;&gt;""),IF($C2134&gt;TODAY(),"İLERİ TARİH",IF(COUNTIF($W$7:$W$3001,$W2134)&gt;1,"MÜKERRER?",IF($AD2134&gt;0,"KAPALI DÖNEM",IF($I2134="Hayır","ÖDENECEK","UYGUN")))),"EKSİK"))))</f>
        <v/>
      </c>
      <c r="Q2134" s="2"/>
      <c r="R2134" s="2"/>
      <c r="S2134" s="1" t="str">
        <f t="shared" si="101"/>
        <v/>
      </c>
      <c r="T2134" s="1" t="str">
        <f>IF(OR($C2134="",$D2134&lt;&gt;"Gelir",$L2134=""),"",IFERROR(INDEX(MUSTERILER!$B$7:$B$156,MATCH($S2134,MUSTERILER!$T$7:$T$156,0)),""))</f>
        <v/>
      </c>
      <c r="U2134" s="1" t="str">
        <f>IF($T2134="","",$T2134&amp;"|"&amp;COUNTIFS($T$7:$T2134,$T2134))</f>
        <v/>
      </c>
      <c r="V2134" s="1">
        <f t="shared" si="102"/>
        <v>0</v>
      </c>
      <c r="W2134" s="1" t="str">
        <f t="shared" si="103"/>
        <v/>
      </c>
      <c r="X2134" s="1"/>
      <c r="Y2134" s="1"/>
      <c r="Z2134" s="1"/>
      <c r="AA2134" s="1"/>
      <c r="AB2134" s="1"/>
      <c r="AC2134" s="1"/>
      <c r="AD2134" s="1">
        <f>IF($C2134="",0,SUMPRODUCT((AY_SONU!$O$7:$O$42="Evet")*(AY_SONU!$B$7:$B$42=DATE(YEAR($C2134),MONTH($C2134),1))))</f>
        <v>0</v>
      </c>
      <c r="AE2134" s="1" t="str">
        <f>IF($E2134="","",$E2134&amp;"|"&amp;COUNTIFS($E$7:$E2134,$E2134))</f>
        <v/>
      </c>
    </row>
    <row r="2135" spans="1:31" ht="18" customHeight="1" x14ac:dyDescent="0.3">
      <c r="A2135" s="2"/>
      <c r="B2135" s="65" t="str">
        <f>IF($C2135="","","GG"&amp;TEXT(ROW()-6,"00000"))</f>
        <v/>
      </c>
      <c r="C2135" s="66"/>
      <c r="D2135" s="60"/>
      <c r="E2135" s="61"/>
      <c r="F2135" s="61"/>
      <c r="G2135" s="67"/>
      <c r="H2135" s="60"/>
      <c r="I2135" s="60"/>
      <c r="J2135" s="61"/>
      <c r="K2135" s="61"/>
      <c r="L2135" s="60"/>
      <c r="M2135" s="74" t="str">
        <f>IF($C2135="","",IF($D2135="Gider",$E2135,IF($L2135&lt;&gt;"",$L2135,$H2135)))</f>
        <v/>
      </c>
      <c r="N2135" s="74" t="str">
        <f>IF($C2135="","",IF($D2135="Gider",$H2135,$E2135))</f>
        <v/>
      </c>
      <c r="O2135" s="73" t="str">
        <f>IF($C2135="","",DATE(YEAR($C2135),MONTH($C2135),1))</f>
        <v/>
      </c>
      <c r="P2135" s="65" t="str">
        <f ca="1">IF($C2135="","",IF(AND($D2135="Gelir",$L2135&lt;&gt;"",$T2135=""),"TANIMSIZ BORÇLU",IF($T2135&lt;&gt;"",IF(OR($E2135="",$G2135&lt;=0),"EKSİK",IF($I2135="Evet","TAHAKKUK NAKİT OLAMAZ",IF($C2135&gt;TODAY(),"İLERİ TARİH","TAHAKKUK"))),IF(AND($D2135&lt;&gt;"",$E2135&lt;&gt;"",$G2135&gt;0,$H2135&lt;&gt;"",$I2135&lt;&gt;""),IF($C2135&gt;TODAY(),"İLERİ TARİH",IF(COUNTIF($W$7:$W$3001,$W2135)&gt;1,"MÜKERRER?",IF($AD2135&gt;0,"KAPALI DÖNEM",IF($I2135="Hayır","ÖDENECEK","UYGUN")))),"EKSİK"))))</f>
        <v/>
      </c>
      <c r="Q2135" s="2"/>
      <c r="R2135" s="2"/>
      <c r="S2135" s="1" t="str">
        <f t="shared" si="101"/>
        <v/>
      </c>
      <c r="T2135" s="1" t="str">
        <f>IF(OR($C2135="",$D2135&lt;&gt;"Gelir",$L2135=""),"",IFERROR(INDEX(MUSTERILER!$B$7:$B$156,MATCH($S2135,MUSTERILER!$T$7:$T$156,0)),""))</f>
        <v/>
      </c>
      <c r="U2135" s="1" t="str">
        <f>IF($T2135="","",$T2135&amp;"|"&amp;COUNTIFS($T$7:$T2135,$T2135))</f>
        <v/>
      </c>
      <c r="V2135" s="1">
        <f t="shared" si="102"/>
        <v>0</v>
      </c>
      <c r="W2135" s="1" t="str">
        <f t="shared" si="103"/>
        <v/>
      </c>
      <c r="X2135" s="1"/>
      <c r="Y2135" s="1"/>
      <c r="Z2135" s="1"/>
      <c r="AA2135" s="1"/>
      <c r="AB2135" s="1"/>
      <c r="AC2135" s="1"/>
      <c r="AD2135" s="1">
        <f>IF($C2135="",0,SUMPRODUCT((AY_SONU!$O$7:$O$42="Evet")*(AY_SONU!$B$7:$B$42=DATE(YEAR($C2135),MONTH($C2135),1))))</f>
        <v>0</v>
      </c>
      <c r="AE2135" s="1" t="str">
        <f>IF($E2135="","",$E2135&amp;"|"&amp;COUNTIFS($E$7:$E2135,$E2135))</f>
        <v/>
      </c>
    </row>
    <row r="2136" spans="1:31" ht="18" customHeight="1" x14ac:dyDescent="0.3">
      <c r="A2136" s="2"/>
      <c r="B2136" s="65" t="str">
        <f>IF($C2136="","","GG"&amp;TEXT(ROW()-6,"00000"))</f>
        <v/>
      </c>
      <c r="C2136" s="66"/>
      <c r="D2136" s="60"/>
      <c r="E2136" s="61"/>
      <c r="F2136" s="61"/>
      <c r="G2136" s="67"/>
      <c r="H2136" s="60"/>
      <c r="I2136" s="60"/>
      <c r="J2136" s="61"/>
      <c r="K2136" s="61"/>
      <c r="L2136" s="60"/>
      <c r="M2136" s="74" t="str">
        <f>IF($C2136="","",IF($D2136="Gider",$E2136,IF($L2136&lt;&gt;"",$L2136,$H2136)))</f>
        <v/>
      </c>
      <c r="N2136" s="74" t="str">
        <f>IF($C2136="","",IF($D2136="Gider",$H2136,$E2136))</f>
        <v/>
      </c>
      <c r="O2136" s="73" t="str">
        <f>IF($C2136="","",DATE(YEAR($C2136),MONTH($C2136),1))</f>
        <v/>
      </c>
      <c r="P2136" s="65" t="str">
        <f ca="1">IF($C2136="","",IF(AND($D2136="Gelir",$L2136&lt;&gt;"",$T2136=""),"TANIMSIZ BORÇLU",IF($T2136&lt;&gt;"",IF(OR($E2136="",$G2136&lt;=0),"EKSİK",IF($I2136="Evet","TAHAKKUK NAKİT OLAMAZ",IF($C2136&gt;TODAY(),"İLERİ TARİH","TAHAKKUK"))),IF(AND($D2136&lt;&gt;"",$E2136&lt;&gt;"",$G2136&gt;0,$H2136&lt;&gt;"",$I2136&lt;&gt;""),IF($C2136&gt;TODAY(),"İLERİ TARİH",IF(COUNTIF($W$7:$W$3001,$W2136)&gt;1,"MÜKERRER?",IF($AD2136&gt;0,"KAPALI DÖNEM",IF($I2136="Hayır","ÖDENECEK","UYGUN")))),"EKSİK"))))</f>
        <v/>
      </c>
      <c r="Q2136" s="2"/>
      <c r="R2136" s="2"/>
      <c r="S2136" s="1" t="str">
        <f t="shared" si="101"/>
        <v/>
      </c>
      <c r="T2136" s="1" t="str">
        <f>IF(OR($C2136="",$D2136&lt;&gt;"Gelir",$L2136=""),"",IFERROR(INDEX(MUSTERILER!$B$7:$B$156,MATCH($S2136,MUSTERILER!$T$7:$T$156,0)),""))</f>
        <v/>
      </c>
      <c r="U2136" s="1" t="str">
        <f>IF($T2136="","",$T2136&amp;"|"&amp;COUNTIFS($T$7:$T2136,$T2136))</f>
        <v/>
      </c>
      <c r="V2136" s="1">
        <f t="shared" si="102"/>
        <v>0</v>
      </c>
      <c r="W2136" s="1" t="str">
        <f t="shared" si="103"/>
        <v/>
      </c>
      <c r="X2136" s="1"/>
      <c r="Y2136" s="1"/>
      <c r="Z2136" s="1"/>
      <c r="AA2136" s="1"/>
      <c r="AB2136" s="1"/>
      <c r="AC2136" s="1"/>
      <c r="AD2136" s="1">
        <f>IF($C2136="",0,SUMPRODUCT((AY_SONU!$O$7:$O$42="Evet")*(AY_SONU!$B$7:$B$42=DATE(YEAR($C2136),MONTH($C2136),1))))</f>
        <v>0</v>
      </c>
      <c r="AE2136" s="1" t="str">
        <f>IF($E2136="","",$E2136&amp;"|"&amp;COUNTIFS($E$7:$E2136,$E2136))</f>
        <v/>
      </c>
    </row>
    <row r="2137" spans="1:31" ht="18" customHeight="1" x14ac:dyDescent="0.3">
      <c r="A2137" s="2"/>
      <c r="B2137" s="65" t="str">
        <f>IF($C2137="","","GG"&amp;TEXT(ROW()-6,"00000"))</f>
        <v/>
      </c>
      <c r="C2137" s="66"/>
      <c r="D2137" s="60"/>
      <c r="E2137" s="61"/>
      <c r="F2137" s="61"/>
      <c r="G2137" s="67"/>
      <c r="H2137" s="60"/>
      <c r="I2137" s="60"/>
      <c r="J2137" s="61"/>
      <c r="K2137" s="61"/>
      <c r="L2137" s="60"/>
      <c r="M2137" s="74" t="str">
        <f>IF($C2137="","",IF($D2137="Gider",$E2137,IF($L2137&lt;&gt;"",$L2137,$H2137)))</f>
        <v/>
      </c>
      <c r="N2137" s="74" t="str">
        <f>IF($C2137="","",IF($D2137="Gider",$H2137,$E2137))</f>
        <v/>
      </c>
      <c r="O2137" s="73" t="str">
        <f>IF($C2137="","",DATE(YEAR($C2137),MONTH($C2137),1))</f>
        <v/>
      </c>
      <c r="P2137" s="65" t="str">
        <f ca="1">IF($C2137="","",IF(AND($D2137="Gelir",$L2137&lt;&gt;"",$T2137=""),"TANIMSIZ BORÇLU",IF($T2137&lt;&gt;"",IF(OR($E2137="",$G2137&lt;=0),"EKSİK",IF($I2137="Evet","TAHAKKUK NAKİT OLAMAZ",IF($C2137&gt;TODAY(),"İLERİ TARİH","TAHAKKUK"))),IF(AND($D2137&lt;&gt;"",$E2137&lt;&gt;"",$G2137&gt;0,$H2137&lt;&gt;"",$I2137&lt;&gt;""),IF($C2137&gt;TODAY(),"İLERİ TARİH",IF(COUNTIF($W$7:$W$3001,$W2137)&gt;1,"MÜKERRER?",IF($AD2137&gt;0,"KAPALI DÖNEM",IF($I2137="Hayır","ÖDENECEK","UYGUN")))),"EKSİK"))))</f>
        <v/>
      </c>
      <c r="Q2137" s="2"/>
      <c r="R2137" s="2"/>
      <c r="S2137" s="1" t="str">
        <f t="shared" si="101"/>
        <v/>
      </c>
      <c r="T2137" s="1" t="str">
        <f>IF(OR($C2137="",$D2137&lt;&gt;"Gelir",$L2137=""),"",IFERROR(INDEX(MUSTERILER!$B$7:$B$156,MATCH($S2137,MUSTERILER!$T$7:$T$156,0)),""))</f>
        <v/>
      </c>
      <c r="U2137" s="1" t="str">
        <f>IF($T2137="","",$T2137&amp;"|"&amp;COUNTIFS($T$7:$T2137,$T2137))</f>
        <v/>
      </c>
      <c r="V2137" s="1">
        <f t="shared" si="102"/>
        <v>0</v>
      </c>
      <c r="W2137" s="1" t="str">
        <f t="shared" si="103"/>
        <v/>
      </c>
      <c r="X2137" s="1"/>
      <c r="Y2137" s="1"/>
      <c r="Z2137" s="1"/>
      <c r="AA2137" s="1"/>
      <c r="AB2137" s="1"/>
      <c r="AC2137" s="1"/>
      <c r="AD2137" s="1">
        <f>IF($C2137="",0,SUMPRODUCT((AY_SONU!$O$7:$O$42="Evet")*(AY_SONU!$B$7:$B$42=DATE(YEAR($C2137),MONTH($C2137),1))))</f>
        <v>0</v>
      </c>
      <c r="AE2137" s="1" t="str">
        <f>IF($E2137="","",$E2137&amp;"|"&amp;COUNTIFS($E$7:$E2137,$E2137))</f>
        <v/>
      </c>
    </row>
    <row r="2138" spans="1:31" ht="18" customHeight="1" x14ac:dyDescent="0.3">
      <c r="A2138" s="2"/>
      <c r="B2138" s="65" t="str">
        <f>IF($C2138="","","GG"&amp;TEXT(ROW()-6,"00000"))</f>
        <v/>
      </c>
      <c r="C2138" s="66"/>
      <c r="D2138" s="60"/>
      <c r="E2138" s="61"/>
      <c r="F2138" s="61"/>
      <c r="G2138" s="67"/>
      <c r="H2138" s="60"/>
      <c r="I2138" s="60"/>
      <c r="J2138" s="61"/>
      <c r="K2138" s="61"/>
      <c r="L2138" s="60"/>
      <c r="M2138" s="74" t="str">
        <f>IF($C2138="","",IF($D2138="Gider",$E2138,IF($L2138&lt;&gt;"",$L2138,$H2138)))</f>
        <v/>
      </c>
      <c r="N2138" s="74" t="str">
        <f>IF($C2138="","",IF($D2138="Gider",$H2138,$E2138))</f>
        <v/>
      </c>
      <c r="O2138" s="73" t="str">
        <f>IF($C2138="","",DATE(YEAR($C2138),MONTH($C2138),1))</f>
        <v/>
      </c>
      <c r="P2138" s="65" t="str">
        <f ca="1">IF($C2138="","",IF(AND($D2138="Gelir",$L2138&lt;&gt;"",$T2138=""),"TANIMSIZ BORÇLU",IF($T2138&lt;&gt;"",IF(OR($E2138="",$G2138&lt;=0),"EKSİK",IF($I2138="Evet","TAHAKKUK NAKİT OLAMAZ",IF($C2138&gt;TODAY(),"İLERİ TARİH","TAHAKKUK"))),IF(AND($D2138&lt;&gt;"",$E2138&lt;&gt;"",$G2138&gt;0,$H2138&lt;&gt;"",$I2138&lt;&gt;""),IF($C2138&gt;TODAY(),"İLERİ TARİH",IF(COUNTIF($W$7:$W$3001,$W2138)&gt;1,"MÜKERRER?",IF($AD2138&gt;0,"KAPALI DÖNEM",IF($I2138="Hayır","ÖDENECEK","UYGUN")))),"EKSİK"))))</f>
        <v/>
      </c>
      <c r="Q2138" s="2"/>
      <c r="R2138" s="2"/>
      <c r="S2138" s="1" t="str">
        <f t="shared" si="101"/>
        <v/>
      </c>
      <c r="T2138" s="1" t="str">
        <f>IF(OR($C2138="",$D2138&lt;&gt;"Gelir",$L2138=""),"",IFERROR(INDEX(MUSTERILER!$B$7:$B$156,MATCH($S2138,MUSTERILER!$T$7:$T$156,0)),""))</f>
        <v/>
      </c>
      <c r="U2138" s="1" t="str">
        <f>IF($T2138="","",$T2138&amp;"|"&amp;COUNTIFS($T$7:$T2138,$T2138))</f>
        <v/>
      </c>
      <c r="V2138" s="1">
        <f t="shared" si="102"/>
        <v>0</v>
      </c>
      <c r="W2138" s="1" t="str">
        <f t="shared" si="103"/>
        <v/>
      </c>
      <c r="X2138" s="1"/>
      <c r="Y2138" s="1"/>
      <c r="Z2138" s="1"/>
      <c r="AA2138" s="1"/>
      <c r="AB2138" s="1"/>
      <c r="AC2138" s="1"/>
      <c r="AD2138" s="1">
        <f>IF($C2138="",0,SUMPRODUCT((AY_SONU!$O$7:$O$42="Evet")*(AY_SONU!$B$7:$B$42=DATE(YEAR($C2138),MONTH($C2138),1))))</f>
        <v>0</v>
      </c>
      <c r="AE2138" s="1" t="str">
        <f>IF($E2138="","",$E2138&amp;"|"&amp;COUNTIFS($E$7:$E2138,$E2138))</f>
        <v/>
      </c>
    </row>
    <row r="2139" spans="1:31" ht="18" customHeight="1" x14ac:dyDescent="0.3">
      <c r="A2139" s="2"/>
      <c r="B2139" s="65" t="str">
        <f>IF($C2139="","","GG"&amp;TEXT(ROW()-6,"00000"))</f>
        <v/>
      </c>
      <c r="C2139" s="66"/>
      <c r="D2139" s="60"/>
      <c r="E2139" s="61"/>
      <c r="F2139" s="61"/>
      <c r="G2139" s="67"/>
      <c r="H2139" s="60"/>
      <c r="I2139" s="60"/>
      <c r="J2139" s="61"/>
      <c r="K2139" s="61"/>
      <c r="L2139" s="60"/>
      <c r="M2139" s="74" t="str">
        <f>IF($C2139="","",IF($D2139="Gider",$E2139,IF($L2139&lt;&gt;"",$L2139,$H2139)))</f>
        <v/>
      </c>
      <c r="N2139" s="74" t="str">
        <f>IF($C2139="","",IF($D2139="Gider",$H2139,$E2139))</f>
        <v/>
      </c>
      <c r="O2139" s="73" t="str">
        <f>IF($C2139="","",DATE(YEAR($C2139),MONTH($C2139),1))</f>
        <v/>
      </c>
      <c r="P2139" s="65" t="str">
        <f ca="1">IF($C2139="","",IF(AND($D2139="Gelir",$L2139&lt;&gt;"",$T2139=""),"TANIMSIZ BORÇLU",IF($T2139&lt;&gt;"",IF(OR($E2139="",$G2139&lt;=0),"EKSİK",IF($I2139="Evet","TAHAKKUK NAKİT OLAMAZ",IF($C2139&gt;TODAY(),"İLERİ TARİH","TAHAKKUK"))),IF(AND($D2139&lt;&gt;"",$E2139&lt;&gt;"",$G2139&gt;0,$H2139&lt;&gt;"",$I2139&lt;&gt;""),IF($C2139&gt;TODAY(),"İLERİ TARİH",IF(COUNTIF($W$7:$W$3001,$W2139)&gt;1,"MÜKERRER?",IF($AD2139&gt;0,"KAPALI DÖNEM",IF($I2139="Hayır","ÖDENECEK","UYGUN")))),"EKSİK"))))</f>
        <v/>
      </c>
      <c r="Q2139" s="2"/>
      <c r="R2139" s="2"/>
      <c r="S2139" s="1" t="str">
        <f t="shared" si="101"/>
        <v/>
      </c>
      <c r="T2139" s="1" t="str">
        <f>IF(OR($C2139="",$D2139&lt;&gt;"Gelir",$L2139=""),"",IFERROR(INDEX(MUSTERILER!$B$7:$B$156,MATCH($S2139,MUSTERILER!$T$7:$T$156,0)),""))</f>
        <v/>
      </c>
      <c r="U2139" s="1" t="str">
        <f>IF($T2139="","",$T2139&amp;"|"&amp;COUNTIFS($T$7:$T2139,$T2139))</f>
        <v/>
      </c>
      <c r="V2139" s="1">
        <f t="shared" si="102"/>
        <v>0</v>
      </c>
      <c r="W2139" s="1" t="str">
        <f t="shared" si="103"/>
        <v/>
      </c>
      <c r="X2139" s="1"/>
      <c r="Y2139" s="1"/>
      <c r="Z2139" s="1"/>
      <c r="AA2139" s="1"/>
      <c r="AB2139" s="1"/>
      <c r="AC2139" s="1"/>
      <c r="AD2139" s="1">
        <f>IF($C2139="",0,SUMPRODUCT((AY_SONU!$O$7:$O$42="Evet")*(AY_SONU!$B$7:$B$42=DATE(YEAR($C2139),MONTH($C2139),1))))</f>
        <v>0</v>
      </c>
      <c r="AE2139" s="1" t="str">
        <f>IF($E2139="","",$E2139&amp;"|"&amp;COUNTIFS($E$7:$E2139,$E2139))</f>
        <v/>
      </c>
    </row>
    <row r="2140" spans="1:31" ht="18" customHeight="1" x14ac:dyDescent="0.3">
      <c r="A2140" s="2"/>
      <c r="B2140" s="65" t="str">
        <f>IF($C2140="","","GG"&amp;TEXT(ROW()-6,"00000"))</f>
        <v/>
      </c>
      <c r="C2140" s="66"/>
      <c r="D2140" s="60"/>
      <c r="E2140" s="61"/>
      <c r="F2140" s="61"/>
      <c r="G2140" s="67"/>
      <c r="H2140" s="60"/>
      <c r="I2140" s="60"/>
      <c r="J2140" s="61"/>
      <c r="K2140" s="61"/>
      <c r="L2140" s="60"/>
      <c r="M2140" s="74" t="str">
        <f>IF($C2140="","",IF($D2140="Gider",$E2140,IF($L2140&lt;&gt;"",$L2140,$H2140)))</f>
        <v/>
      </c>
      <c r="N2140" s="74" t="str">
        <f>IF($C2140="","",IF($D2140="Gider",$H2140,$E2140))</f>
        <v/>
      </c>
      <c r="O2140" s="73" t="str">
        <f>IF($C2140="","",DATE(YEAR($C2140),MONTH($C2140),1))</f>
        <v/>
      </c>
      <c r="P2140" s="65" t="str">
        <f ca="1">IF($C2140="","",IF(AND($D2140="Gelir",$L2140&lt;&gt;"",$T2140=""),"TANIMSIZ BORÇLU",IF($T2140&lt;&gt;"",IF(OR($E2140="",$G2140&lt;=0),"EKSİK",IF($I2140="Evet","TAHAKKUK NAKİT OLAMAZ",IF($C2140&gt;TODAY(),"İLERİ TARİH","TAHAKKUK"))),IF(AND($D2140&lt;&gt;"",$E2140&lt;&gt;"",$G2140&gt;0,$H2140&lt;&gt;"",$I2140&lt;&gt;""),IF($C2140&gt;TODAY(),"İLERİ TARİH",IF(COUNTIF($W$7:$W$3001,$W2140)&gt;1,"MÜKERRER?",IF($AD2140&gt;0,"KAPALI DÖNEM",IF($I2140="Hayır","ÖDENECEK","UYGUN")))),"EKSİK"))))</f>
        <v/>
      </c>
      <c r="Q2140" s="2"/>
      <c r="R2140" s="2"/>
      <c r="S2140" s="1" t="str">
        <f t="shared" si="101"/>
        <v/>
      </c>
      <c r="T2140" s="1" t="str">
        <f>IF(OR($C2140="",$D2140&lt;&gt;"Gelir",$L2140=""),"",IFERROR(INDEX(MUSTERILER!$B$7:$B$156,MATCH($S2140,MUSTERILER!$T$7:$T$156,0)),""))</f>
        <v/>
      </c>
      <c r="U2140" s="1" t="str">
        <f>IF($T2140="","",$T2140&amp;"|"&amp;COUNTIFS($T$7:$T2140,$T2140))</f>
        <v/>
      </c>
      <c r="V2140" s="1">
        <f t="shared" si="102"/>
        <v>0</v>
      </c>
      <c r="W2140" s="1" t="str">
        <f t="shared" si="103"/>
        <v/>
      </c>
      <c r="X2140" s="1"/>
      <c r="Y2140" s="1"/>
      <c r="Z2140" s="1"/>
      <c r="AA2140" s="1"/>
      <c r="AB2140" s="1"/>
      <c r="AC2140" s="1"/>
      <c r="AD2140" s="1">
        <f>IF($C2140="",0,SUMPRODUCT((AY_SONU!$O$7:$O$42="Evet")*(AY_SONU!$B$7:$B$42=DATE(YEAR($C2140),MONTH($C2140),1))))</f>
        <v>0</v>
      </c>
      <c r="AE2140" s="1" t="str">
        <f>IF($E2140="","",$E2140&amp;"|"&amp;COUNTIFS($E$7:$E2140,$E2140))</f>
        <v/>
      </c>
    </row>
    <row r="2141" spans="1:31" ht="18" customHeight="1" x14ac:dyDescent="0.3">
      <c r="A2141" s="2"/>
      <c r="B2141" s="65" t="str">
        <f>IF($C2141="","","GG"&amp;TEXT(ROW()-6,"00000"))</f>
        <v/>
      </c>
      <c r="C2141" s="66"/>
      <c r="D2141" s="60"/>
      <c r="E2141" s="61"/>
      <c r="F2141" s="61"/>
      <c r="G2141" s="67"/>
      <c r="H2141" s="60"/>
      <c r="I2141" s="60"/>
      <c r="J2141" s="61"/>
      <c r="K2141" s="61"/>
      <c r="L2141" s="60"/>
      <c r="M2141" s="74" t="str">
        <f>IF($C2141="","",IF($D2141="Gider",$E2141,IF($L2141&lt;&gt;"",$L2141,$H2141)))</f>
        <v/>
      </c>
      <c r="N2141" s="74" t="str">
        <f>IF($C2141="","",IF($D2141="Gider",$H2141,$E2141))</f>
        <v/>
      </c>
      <c r="O2141" s="73" t="str">
        <f>IF($C2141="","",DATE(YEAR($C2141),MONTH($C2141),1))</f>
        <v/>
      </c>
      <c r="P2141" s="65" t="str">
        <f ca="1">IF($C2141="","",IF(AND($D2141="Gelir",$L2141&lt;&gt;"",$T2141=""),"TANIMSIZ BORÇLU",IF($T2141&lt;&gt;"",IF(OR($E2141="",$G2141&lt;=0),"EKSİK",IF($I2141="Evet","TAHAKKUK NAKİT OLAMAZ",IF($C2141&gt;TODAY(),"İLERİ TARİH","TAHAKKUK"))),IF(AND($D2141&lt;&gt;"",$E2141&lt;&gt;"",$G2141&gt;0,$H2141&lt;&gt;"",$I2141&lt;&gt;""),IF($C2141&gt;TODAY(),"İLERİ TARİH",IF(COUNTIF($W$7:$W$3001,$W2141)&gt;1,"MÜKERRER?",IF($AD2141&gt;0,"KAPALI DÖNEM",IF($I2141="Hayır","ÖDENECEK","UYGUN")))),"EKSİK"))))</f>
        <v/>
      </c>
      <c r="Q2141" s="2"/>
      <c r="R2141" s="2"/>
      <c r="S2141" s="1" t="str">
        <f t="shared" si="101"/>
        <v/>
      </c>
      <c r="T2141" s="1" t="str">
        <f>IF(OR($C2141="",$D2141&lt;&gt;"Gelir",$L2141=""),"",IFERROR(INDEX(MUSTERILER!$B$7:$B$156,MATCH($S2141,MUSTERILER!$T$7:$T$156,0)),""))</f>
        <v/>
      </c>
      <c r="U2141" s="1" t="str">
        <f>IF($T2141="","",$T2141&amp;"|"&amp;COUNTIFS($T$7:$T2141,$T2141))</f>
        <v/>
      </c>
      <c r="V2141" s="1">
        <f t="shared" si="102"/>
        <v>0</v>
      </c>
      <c r="W2141" s="1" t="str">
        <f t="shared" si="103"/>
        <v/>
      </c>
      <c r="X2141" s="1"/>
      <c r="Y2141" s="1"/>
      <c r="Z2141" s="1"/>
      <c r="AA2141" s="1"/>
      <c r="AB2141" s="1"/>
      <c r="AC2141" s="1"/>
      <c r="AD2141" s="1">
        <f>IF($C2141="",0,SUMPRODUCT((AY_SONU!$O$7:$O$42="Evet")*(AY_SONU!$B$7:$B$42=DATE(YEAR($C2141),MONTH($C2141),1))))</f>
        <v>0</v>
      </c>
      <c r="AE2141" s="1" t="str">
        <f>IF($E2141="","",$E2141&amp;"|"&amp;COUNTIFS($E$7:$E2141,$E2141))</f>
        <v/>
      </c>
    </row>
    <row r="2142" spans="1:31" ht="18" customHeight="1" x14ac:dyDescent="0.3">
      <c r="A2142" s="2"/>
      <c r="B2142" s="65" t="str">
        <f>IF($C2142="","","GG"&amp;TEXT(ROW()-6,"00000"))</f>
        <v/>
      </c>
      <c r="C2142" s="66"/>
      <c r="D2142" s="60"/>
      <c r="E2142" s="61"/>
      <c r="F2142" s="61"/>
      <c r="G2142" s="67"/>
      <c r="H2142" s="60"/>
      <c r="I2142" s="60"/>
      <c r="J2142" s="61"/>
      <c r="K2142" s="61"/>
      <c r="L2142" s="60"/>
      <c r="M2142" s="74" t="str">
        <f>IF($C2142="","",IF($D2142="Gider",$E2142,IF($L2142&lt;&gt;"",$L2142,$H2142)))</f>
        <v/>
      </c>
      <c r="N2142" s="74" t="str">
        <f>IF($C2142="","",IF($D2142="Gider",$H2142,$E2142))</f>
        <v/>
      </c>
      <c r="O2142" s="73" t="str">
        <f>IF($C2142="","",DATE(YEAR($C2142),MONTH($C2142),1))</f>
        <v/>
      </c>
      <c r="P2142" s="65" t="str">
        <f ca="1">IF($C2142="","",IF(AND($D2142="Gelir",$L2142&lt;&gt;"",$T2142=""),"TANIMSIZ BORÇLU",IF($T2142&lt;&gt;"",IF(OR($E2142="",$G2142&lt;=0),"EKSİK",IF($I2142="Evet","TAHAKKUK NAKİT OLAMAZ",IF($C2142&gt;TODAY(),"İLERİ TARİH","TAHAKKUK"))),IF(AND($D2142&lt;&gt;"",$E2142&lt;&gt;"",$G2142&gt;0,$H2142&lt;&gt;"",$I2142&lt;&gt;""),IF($C2142&gt;TODAY(),"İLERİ TARİH",IF(COUNTIF($W$7:$W$3001,$W2142)&gt;1,"MÜKERRER?",IF($AD2142&gt;0,"KAPALI DÖNEM",IF($I2142="Hayır","ÖDENECEK","UYGUN")))),"EKSİK"))))</f>
        <v/>
      </c>
      <c r="Q2142" s="2"/>
      <c r="R2142" s="2"/>
      <c r="S2142" s="1" t="str">
        <f t="shared" si="101"/>
        <v/>
      </c>
      <c r="T2142" s="1" t="str">
        <f>IF(OR($C2142="",$D2142&lt;&gt;"Gelir",$L2142=""),"",IFERROR(INDEX(MUSTERILER!$B$7:$B$156,MATCH($S2142,MUSTERILER!$T$7:$T$156,0)),""))</f>
        <v/>
      </c>
      <c r="U2142" s="1" t="str">
        <f>IF($T2142="","",$T2142&amp;"|"&amp;COUNTIFS($T$7:$T2142,$T2142))</f>
        <v/>
      </c>
      <c r="V2142" s="1">
        <f t="shared" si="102"/>
        <v>0</v>
      </c>
      <c r="W2142" s="1" t="str">
        <f t="shared" si="103"/>
        <v/>
      </c>
      <c r="X2142" s="1"/>
      <c r="Y2142" s="1"/>
      <c r="Z2142" s="1"/>
      <c r="AA2142" s="1"/>
      <c r="AB2142" s="1"/>
      <c r="AC2142" s="1"/>
      <c r="AD2142" s="1">
        <f>IF($C2142="",0,SUMPRODUCT((AY_SONU!$O$7:$O$42="Evet")*(AY_SONU!$B$7:$B$42=DATE(YEAR($C2142),MONTH($C2142),1))))</f>
        <v>0</v>
      </c>
      <c r="AE2142" s="1" t="str">
        <f>IF($E2142="","",$E2142&amp;"|"&amp;COUNTIFS($E$7:$E2142,$E2142))</f>
        <v/>
      </c>
    </row>
    <row r="2143" spans="1:31" ht="18" customHeight="1" x14ac:dyDescent="0.3">
      <c r="A2143" s="2"/>
      <c r="B2143" s="65" t="str">
        <f>IF($C2143="","","GG"&amp;TEXT(ROW()-6,"00000"))</f>
        <v/>
      </c>
      <c r="C2143" s="66"/>
      <c r="D2143" s="60"/>
      <c r="E2143" s="61"/>
      <c r="F2143" s="61"/>
      <c r="G2143" s="67"/>
      <c r="H2143" s="60"/>
      <c r="I2143" s="60"/>
      <c r="J2143" s="61"/>
      <c r="K2143" s="61"/>
      <c r="L2143" s="60"/>
      <c r="M2143" s="74" t="str">
        <f>IF($C2143="","",IF($D2143="Gider",$E2143,IF($L2143&lt;&gt;"",$L2143,$H2143)))</f>
        <v/>
      </c>
      <c r="N2143" s="74" t="str">
        <f>IF($C2143="","",IF($D2143="Gider",$H2143,$E2143))</f>
        <v/>
      </c>
      <c r="O2143" s="73" t="str">
        <f>IF($C2143="","",DATE(YEAR($C2143),MONTH($C2143),1))</f>
        <v/>
      </c>
      <c r="P2143" s="65" t="str">
        <f ca="1">IF($C2143="","",IF(AND($D2143="Gelir",$L2143&lt;&gt;"",$T2143=""),"TANIMSIZ BORÇLU",IF($T2143&lt;&gt;"",IF(OR($E2143="",$G2143&lt;=0),"EKSİK",IF($I2143="Evet","TAHAKKUK NAKİT OLAMAZ",IF($C2143&gt;TODAY(),"İLERİ TARİH","TAHAKKUK"))),IF(AND($D2143&lt;&gt;"",$E2143&lt;&gt;"",$G2143&gt;0,$H2143&lt;&gt;"",$I2143&lt;&gt;""),IF($C2143&gt;TODAY(),"İLERİ TARİH",IF(COUNTIF($W$7:$W$3001,$W2143)&gt;1,"MÜKERRER?",IF($AD2143&gt;0,"KAPALI DÖNEM",IF($I2143="Hayır","ÖDENECEK","UYGUN")))),"EKSİK"))))</f>
        <v/>
      </c>
      <c r="Q2143" s="2"/>
      <c r="R2143" s="2"/>
      <c r="S2143" s="1" t="str">
        <f t="shared" si="101"/>
        <v/>
      </c>
      <c r="T2143" s="1" t="str">
        <f>IF(OR($C2143="",$D2143&lt;&gt;"Gelir",$L2143=""),"",IFERROR(INDEX(MUSTERILER!$B$7:$B$156,MATCH($S2143,MUSTERILER!$T$7:$T$156,0)),""))</f>
        <v/>
      </c>
      <c r="U2143" s="1" t="str">
        <f>IF($T2143="","",$T2143&amp;"|"&amp;COUNTIFS($T$7:$T2143,$T2143))</f>
        <v/>
      </c>
      <c r="V2143" s="1">
        <f t="shared" si="102"/>
        <v>0</v>
      </c>
      <c r="W2143" s="1" t="str">
        <f t="shared" si="103"/>
        <v/>
      </c>
      <c r="X2143" s="1"/>
      <c r="Y2143" s="1"/>
      <c r="Z2143" s="1"/>
      <c r="AA2143" s="1"/>
      <c r="AB2143" s="1"/>
      <c r="AC2143" s="1"/>
      <c r="AD2143" s="1">
        <f>IF($C2143="",0,SUMPRODUCT((AY_SONU!$O$7:$O$42="Evet")*(AY_SONU!$B$7:$B$42=DATE(YEAR($C2143),MONTH($C2143),1))))</f>
        <v>0</v>
      </c>
      <c r="AE2143" s="1" t="str">
        <f>IF($E2143="","",$E2143&amp;"|"&amp;COUNTIFS($E$7:$E2143,$E2143))</f>
        <v/>
      </c>
    </row>
    <row r="2144" spans="1:31" ht="18" customHeight="1" x14ac:dyDescent="0.3">
      <c r="A2144" s="2"/>
      <c r="B2144" s="65" t="str">
        <f>IF($C2144="","","GG"&amp;TEXT(ROW()-6,"00000"))</f>
        <v/>
      </c>
      <c r="C2144" s="66"/>
      <c r="D2144" s="60"/>
      <c r="E2144" s="61"/>
      <c r="F2144" s="61"/>
      <c r="G2144" s="67"/>
      <c r="H2144" s="60"/>
      <c r="I2144" s="60"/>
      <c r="J2144" s="61"/>
      <c r="K2144" s="61"/>
      <c r="L2144" s="60"/>
      <c r="M2144" s="74" t="str">
        <f>IF($C2144="","",IF($D2144="Gider",$E2144,IF($L2144&lt;&gt;"",$L2144,$H2144)))</f>
        <v/>
      </c>
      <c r="N2144" s="74" t="str">
        <f>IF($C2144="","",IF($D2144="Gider",$H2144,$E2144))</f>
        <v/>
      </c>
      <c r="O2144" s="73" t="str">
        <f>IF($C2144="","",DATE(YEAR($C2144),MONTH($C2144),1))</f>
        <v/>
      </c>
      <c r="P2144" s="65" t="str">
        <f ca="1">IF($C2144="","",IF(AND($D2144="Gelir",$L2144&lt;&gt;"",$T2144=""),"TANIMSIZ BORÇLU",IF($T2144&lt;&gt;"",IF(OR($E2144="",$G2144&lt;=0),"EKSİK",IF($I2144="Evet","TAHAKKUK NAKİT OLAMAZ",IF($C2144&gt;TODAY(),"İLERİ TARİH","TAHAKKUK"))),IF(AND($D2144&lt;&gt;"",$E2144&lt;&gt;"",$G2144&gt;0,$H2144&lt;&gt;"",$I2144&lt;&gt;""),IF($C2144&gt;TODAY(),"İLERİ TARİH",IF(COUNTIF($W$7:$W$3001,$W2144)&gt;1,"MÜKERRER?",IF($AD2144&gt;0,"KAPALI DÖNEM",IF($I2144="Hayır","ÖDENECEK","UYGUN")))),"EKSİK"))))</f>
        <v/>
      </c>
      <c r="Q2144" s="2"/>
      <c r="R2144" s="2"/>
      <c r="S2144" s="1" t="str">
        <f t="shared" si="101"/>
        <v/>
      </c>
      <c r="T2144" s="1" t="str">
        <f>IF(OR($C2144="",$D2144&lt;&gt;"Gelir",$L2144=""),"",IFERROR(INDEX(MUSTERILER!$B$7:$B$156,MATCH($S2144,MUSTERILER!$T$7:$T$156,0)),""))</f>
        <v/>
      </c>
      <c r="U2144" s="1" t="str">
        <f>IF($T2144="","",$T2144&amp;"|"&amp;COUNTIFS($T$7:$T2144,$T2144))</f>
        <v/>
      </c>
      <c r="V2144" s="1">
        <f t="shared" si="102"/>
        <v>0</v>
      </c>
      <c r="W2144" s="1" t="str">
        <f t="shared" si="103"/>
        <v/>
      </c>
      <c r="X2144" s="1"/>
      <c r="Y2144" s="1"/>
      <c r="Z2144" s="1"/>
      <c r="AA2144" s="1"/>
      <c r="AB2144" s="1"/>
      <c r="AC2144" s="1"/>
      <c r="AD2144" s="1">
        <f>IF($C2144="",0,SUMPRODUCT((AY_SONU!$O$7:$O$42="Evet")*(AY_SONU!$B$7:$B$42=DATE(YEAR($C2144),MONTH($C2144),1))))</f>
        <v>0</v>
      </c>
      <c r="AE2144" s="1" t="str">
        <f>IF($E2144="","",$E2144&amp;"|"&amp;COUNTIFS($E$7:$E2144,$E2144))</f>
        <v/>
      </c>
    </row>
    <row r="2145" spans="1:31" ht="18" customHeight="1" x14ac:dyDescent="0.3">
      <c r="A2145" s="2"/>
      <c r="B2145" s="65" t="str">
        <f>IF($C2145="","","GG"&amp;TEXT(ROW()-6,"00000"))</f>
        <v/>
      </c>
      <c r="C2145" s="66"/>
      <c r="D2145" s="60"/>
      <c r="E2145" s="61"/>
      <c r="F2145" s="61"/>
      <c r="G2145" s="67"/>
      <c r="H2145" s="60"/>
      <c r="I2145" s="60"/>
      <c r="J2145" s="61"/>
      <c r="K2145" s="61"/>
      <c r="L2145" s="60"/>
      <c r="M2145" s="74" t="str">
        <f>IF($C2145="","",IF($D2145="Gider",$E2145,IF($L2145&lt;&gt;"",$L2145,$H2145)))</f>
        <v/>
      </c>
      <c r="N2145" s="74" t="str">
        <f>IF($C2145="","",IF($D2145="Gider",$H2145,$E2145))</f>
        <v/>
      </c>
      <c r="O2145" s="73" t="str">
        <f>IF($C2145="","",DATE(YEAR($C2145),MONTH($C2145),1))</f>
        <v/>
      </c>
      <c r="P2145" s="65" t="str">
        <f ca="1">IF($C2145="","",IF(AND($D2145="Gelir",$L2145&lt;&gt;"",$T2145=""),"TANIMSIZ BORÇLU",IF($T2145&lt;&gt;"",IF(OR($E2145="",$G2145&lt;=0),"EKSİK",IF($I2145="Evet","TAHAKKUK NAKİT OLAMAZ",IF($C2145&gt;TODAY(),"İLERİ TARİH","TAHAKKUK"))),IF(AND($D2145&lt;&gt;"",$E2145&lt;&gt;"",$G2145&gt;0,$H2145&lt;&gt;"",$I2145&lt;&gt;""),IF($C2145&gt;TODAY(),"İLERİ TARİH",IF(COUNTIF($W$7:$W$3001,$W2145)&gt;1,"MÜKERRER?",IF($AD2145&gt;0,"KAPALI DÖNEM",IF($I2145="Hayır","ÖDENECEK","UYGUN")))),"EKSİK"))))</f>
        <v/>
      </c>
      <c r="Q2145" s="2"/>
      <c r="R2145" s="2"/>
      <c r="S2145" s="1" t="str">
        <f t="shared" si="101"/>
        <v/>
      </c>
      <c r="T2145" s="1" t="str">
        <f>IF(OR($C2145="",$D2145&lt;&gt;"Gelir",$L2145=""),"",IFERROR(INDEX(MUSTERILER!$B$7:$B$156,MATCH($S2145,MUSTERILER!$T$7:$T$156,0)),""))</f>
        <v/>
      </c>
      <c r="U2145" s="1" t="str">
        <f>IF($T2145="","",$T2145&amp;"|"&amp;COUNTIFS($T$7:$T2145,$T2145))</f>
        <v/>
      </c>
      <c r="V2145" s="1">
        <f t="shared" si="102"/>
        <v>0</v>
      </c>
      <c r="W2145" s="1" t="str">
        <f t="shared" si="103"/>
        <v/>
      </c>
      <c r="X2145" s="1"/>
      <c r="Y2145" s="1"/>
      <c r="Z2145" s="1"/>
      <c r="AA2145" s="1"/>
      <c r="AB2145" s="1"/>
      <c r="AC2145" s="1"/>
      <c r="AD2145" s="1">
        <f>IF($C2145="",0,SUMPRODUCT((AY_SONU!$O$7:$O$42="Evet")*(AY_SONU!$B$7:$B$42=DATE(YEAR($C2145),MONTH($C2145),1))))</f>
        <v>0</v>
      </c>
      <c r="AE2145" s="1" t="str">
        <f>IF($E2145="","",$E2145&amp;"|"&amp;COUNTIFS($E$7:$E2145,$E2145))</f>
        <v/>
      </c>
    </row>
    <row r="2146" spans="1:31" ht="18" customHeight="1" x14ac:dyDescent="0.3">
      <c r="A2146" s="2"/>
      <c r="B2146" s="65" t="str">
        <f>IF($C2146="","","GG"&amp;TEXT(ROW()-6,"00000"))</f>
        <v/>
      </c>
      <c r="C2146" s="66"/>
      <c r="D2146" s="60"/>
      <c r="E2146" s="61"/>
      <c r="F2146" s="61"/>
      <c r="G2146" s="67"/>
      <c r="H2146" s="60"/>
      <c r="I2146" s="60"/>
      <c r="J2146" s="61"/>
      <c r="K2146" s="61"/>
      <c r="L2146" s="60"/>
      <c r="M2146" s="74" t="str">
        <f>IF($C2146="","",IF($D2146="Gider",$E2146,IF($L2146&lt;&gt;"",$L2146,$H2146)))</f>
        <v/>
      </c>
      <c r="N2146" s="74" t="str">
        <f>IF($C2146="","",IF($D2146="Gider",$H2146,$E2146))</f>
        <v/>
      </c>
      <c r="O2146" s="73" t="str">
        <f>IF($C2146="","",DATE(YEAR($C2146),MONTH($C2146),1))</f>
        <v/>
      </c>
      <c r="P2146" s="65" t="str">
        <f ca="1">IF($C2146="","",IF(AND($D2146="Gelir",$L2146&lt;&gt;"",$T2146=""),"TANIMSIZ BORÇLU",IF($T2146&lt;&gt;"",IF(OR($E2146="",$G2146&lt;=0),"EKSİK",IF($I2146="Evet","TAHAKKUK NAKİT OLAMAZ",IF($C2146&gt;TODAY(),"İLERİ TARİH","TAHAKKUK"))),IF(AND($D2146&lt;&gt;"",$E2146&lt;&gt;"",$G2146&gt;0,$H2146&lt;&gt;"",$I2146&lt;&gt;""),IF($C2146&gt;TODAY(),"İLERİ TARİH",IF(COUNTIF($W$7:$W$3001,$W2146)&gt;1,"MÜKERRER?",IF($AD2146&gt;0,"KAPALI DÖNEM",IF($I2146="Hayır","ÖDENECEK","UYGUN")))),"EKSİK"))))</f>
        <v/>
      </c>
      <c r="Q2146" s="2"/>
      <c r="R2146" s="2"/>
      <c r="S2146" s="1" t="str">
        <f t="shared" si="101"/>
        <v/>
      </c>
      <c r="T2146" s="1" t="str">
        <f>IF(OR($C2146="",$D2146&lt;&gt;"Gelir",$L2146=""),"",IFERROR(INDEX(MUSTERILER!$B$7:$B$156,MATCH($S2146,MUSTERILER!$T$7:$T$156,0)),""))</f>
        <v/>
      </c>
      <c r="U2146" s="1" t="str">
        <f>IF($T2146="","",$T2146&amp;"|"&amp;COUNTIFS($T$7:$T2146,$T2146))</f>
        <v/>
      </c>
      <c r="V2146" s="1">
        <f t="shared" si="102"/>
        <v>0</v>
      </c>
      <c r="W2146" s="1" t="str">
        <f t="shared" si="103"/>
        <v/>
      </c>
      <c r="X2146" s="1"/>
      <c r="Y2146" s="1"/>
      <c r="Z2146" s="1"/>
      <c r="AA2146" s="1"/>
      <c r="AB2146" s="1"/>
      <c r="AC2146" s="1"/>
      <c r="AD2146" s="1">
        <f>IF($C2146="",0,SUMPRODUCT((AY_SONU!$O$7:$O$42="Evet")*(AY_SONU!$B$7:$B$42=DATE(YEAR($C2146),MONTH($C2146),1))))</f>
        <v>0</v>
      </c>
      <c r="AE2146" s="1" t="str">
        <f>IF($E2146="","",$E2146&amp;"|"&amp;COUNTIFS($E$7:$E2146,$E2146))</f>
        <v/>
      </c>
    </row>
    <row r="2147" spans="1:31" ht="18" customHeight="1" x14ac:dyDescent="0.3">
      <c r="A2147" s="2"/>
      <c r="B2147" s="65" t="str">
        <f>IF($C2147="","","GG"&amp;TEXT(ROW()-6,"00000"))</f>
        <v/>
      </c>
      <c r="C2147" s="66"/>
      <c r="D2147" s="60"/>
      <c r="E2147" s="61"/>
      <c r="F2147" s="61"/>
      <c r="G2147" s="67"/>
      <c r="H2147" s="60"/>
      <c r="I2147" s="60"/>
      <c r="J2147" s="61"/>
      <c r="K2147" s="61"/>
      <c r="L2147" s="60"/>
      <c r="M2147" s="74" t="str">
        <f>IF($C2147="","",IF($D2147="Gider",$E2147,IF($L2147&lt;&gt;"",$L2147,$H2147)))</f>
        <v/>
      </c>
      <c r="N2147" s="74" t="str">
        <f>IF($C2147="","",IF($D2147="Gider",$H2147,$E2147))</f>
        <v/>
      </c>
      <c r="O2147" s="73" t="str">
        <f>IF($C2147="","",DATE(YEAR($C2147),MONTH($C2147),1))</f>
        <v/>
      </c>
      <c r="P2147" s="65" t="str">
        <f ca="1">IF($C2147="","",IF(AND($D2147="Gelir",$L2147&lt;&gt;"",$T2147=""),"TANIMSIZ BORÇLU",IF($T2147&lt;&gt;"",IF(OR($E2147="",$G2147&lt;=0),"EKSİK",IF($I2147="Evet","TAHAKKUK NAKİT OLAMAZ",IF($C2147&gt;TODAY(),"İLERİ TARİH","TAHAKKUK"))),IF(AND($D2147&lt;&gt;"",$E2147&lt;&gt;"",$G2147&gt;0,$H2147&lt;&gt;"",$I2147&lt;&gt;""),IF($C2147&gt;TODAY(),"İLERİ TARİH",IF(COUNTIF($W$7:$W$3001,$W2147)&gt;1,"MÜKERRER?",IF($AD2147&gt;0,"KAPALI DÖNEM",IF($I2147="Hayır","ÖDENECEK","UYGUN")))),"EKSİK"))))</f>
        <v/>
      </c>
      <c r="Q2147" s="2"/>
      <c r="R2147" s="2"/>
      <c r="S2147" s="1" t="str">
        <f t="shared" si="101"/>
        <v/>
      </c>
      <c r="T2147" s="1" t="str">
        <f>IF(OR($C2147="",$D2147&lt;&gt;"Gelir",$L2147=""),"",IFERROR(INDEX(MUSTERILER!$B$7:$B$156,MATCH($S2147,MUSTERILER!$T$7:$T$156,0)),""))</f>
        <v/>
      </c>
      <c r="U2147" s="1" t="str">
        <f>IF($T2147="","",$T2147&amp;"|"&amp;COUNTIFS($T$7:$T2147,$T2147))</f>
        <v/>
      </c>
      <c r="V2147" s="1">
        <f t="shared" si="102"/>
        <v>0</v>
      </c>
      <c r="W2147" s="1" t="str">
        <f t="shared" si="103"/>
        <v/>
      </c>
      <c r="X2147" s="1"/>
      <c r="Y2147" s="1"/>
      <c r="Z2147" s="1"/>
      <c r="AA2147" s="1"/>
      <c r="AB2147" s="1"/>
      <c r="AC2147" s="1"/>
      <c r="AD2147" s="1">
        <f>IF($C2147="",0,SUMPRODUCT((AY_SONU!$O$7:$O$42="Evet")*(AY_SONU!$B$7:$B$42=DATE(YEAR($C2147),MONTH($C2147),1))))</f>
        <v>0</v>
      </c>
      <c r="AE2147" s="1" t="str">
        <f>IF($E2147="","",$E2147&amp;"|"&amp;COUNTIFS($E$7:$E2147,$E2147))</f>
        <v/>
      </c>
    </row>
    <row r="2148" spans="1:31" ht="18" customHeight="1" x14ac:dyDescent="0.3">
      <c r="A2148" s="2"/>
      <c r="B2148" s="65" t="str">
        <f>IF($C2148="","","GG"&amp;TEXT(ROW()-6,"00000"))</f>
        <v/>
      </c>
      <c r="C2148" s="66"/>
      <c r="D2148" s="60"/>
      <c r="E2148" s="61"/>
      <c r="F2148" s="61"/>
      <c r="G2148" s="67"/>
      <c r="H2148" s="60"/>
      <c r="I2148" s="60"/>
      <c r="J2148" s="61"/>
      <c r="K2148" s="61"/>
      <c r="L2148" s="60"/>
      <c r="M2148" s="74" t="str">
        <f>IF($C2148="","",IF($D2148="Gider",$E2148,IF($L2148&lt;&gt;"",$L2148,$H2148)))</f>
        <v/>
      </c>
      <c r="N2148" s="74" t="str">
        <f>IF($C2148="","",IF($D2148="Gider",$H2148,$E2148))</f>
        <v/>
      </c>
      <c r="O2148" s="73" t="str">
        <f>IF($C2148="","",DATE(YEAR($C2148),MONTH($C2148),1))</f>
        <v/>
      </c>
      <c r="P2148" s="65" t="str">
        <f ca="1">IF($C2148="","",IF(AND($D2148="Gelir",$L2148&lt;&gt;"",$T2148=""),"TANIMSIZ BORÇLU",IF($T2148&lt;&gt;"",IF(OR($E2148="",$G2148&lt;=0),"EKSİK",IF($I2148="Evet","TAHAKKUK NAKİT OLAMAZ",IF($C2148&gt;TODAY(),"İLERİ TARİH","TAHAKKUK"))),IF(AND($D2148&lt;&gt;"",$E2148&lt;&gt;"",$G2148&gt;0,$H2148&lt;&gt;"",$I2148&lt;&gt;""),IF($C2148&gt;TODAY(),"İLERİ TARİH",IF(COUNTIF($W$7:$W$3001,$W2148)&gt;1,"MÜKERRER?",IF($AD2148&gt;0,"KAPALI DÖNEM",IF($I2148="Hayır","ÖDENECEK","UYGUN")))),"EKSİK"))))</f>
        <v/>
      </c>
      <c r="Q2148" s="2"/>
      <c r="R2148" s="2"/>
      <c r="S2148" s="1" t="str">
        <f t="shared" si="101"/>
        <v/>
      </c>
      <c r="T2148" s="1" t="str">
        <f>IF(OR($C2148="",$D2148&lt;&gt;"Gelir",$L2148=""),"",IFERROR(INDEX(MUSTERILER!$B$7:$B$156,MATCH($S2148,MUSTERILER!$T$7:$T$156,0)),""))</f>
        <v/>
      </c>
      <c r="U2148" s="1" t="str">
        <f>IF($T2148="","",$T2148&amp;"|"&amp;COUNTIFS($T$7:$T2148,$T2148))</f>
        <v/>
      </c>
      <c r="V2148" s="1">
        <f t="shared" si="102"/>
        <v>0</v>
      </c>
      <c r="W2148" s="1" t="str">
        <f t="shared" si="103"/>
        <v/>
      </c>
      <c r="X2148" s="1"/>
      <c r="Y2148" s="1"/>
      <c r="Z2148" s="1"/>
      <c r="AA2148" s="1"/>
      <c r="AB2148" s="1"/>
      <c r="AC2148" s="1"/>
      <c r="AD2148" s="1">
        <f>IF($C2148="",0,SUMPRODUCT((AY_SONU!$O$7:$O$42="Evet")*(AY_SONU!$B$7:$B$42=DATE(YEAR($C2148),MONTH($C2148),1))))</f>
        <v>0</v>
      </c>
      <c r="AE2148" s="1" t="str">
        <f>IF($E2148="","",$E2148&amp;"|"&amp;COUNTIFS($E$7:$E2148,$E2148))</f>
        <v/>
      </c>
    </row>
    <row r="2149" spans="1:31" ht="18" customHeight="1" x14ac:dyDescent="0.3">
      <c r="A2149" s="2"/>
      <c r="B2149" s="65" t="str">
        <f>IF($C2149="","","GG"&amp;TEXT(ROW()-6,"00000"))</f>
        <v/>
      </c>
      <c r="C2149" s="66"/>
      <c r="D2149" s="60"/>
      <c r="E2149" s="61"/>
      <c r="F2149" s="61"/>
      <c r="G2149" s="67"/>
      <c r="H2149" s="60"/>
      <c r="I2149" s="60"/>
      <c r="J2149" s="61"/>
      <c r="K2149" s="61"/>
      <c r="L2149" s="60"/>
      <c r="M2149" s="74" t="str">
        <f>IF($C2149="","",IF($D2149="Gider",$E2149,IF($L2149&lt;&gt;"",$L2149,$H2149)))</f>
        <v/>
      </c>
      <c r="N2149" s="74" t="str">
        <f>IF($C2149="","",IF($D2149="Gider",$H2149,$E2149))</f>
        <v/>
      </c>
      <c r="O2149" s="73" t="str">
        <f>IF($C2149="","",DATE(YEAR($C2149),MONTH($C2149),1))</f>
        <v/>
      </c>
      <c r="P2149" s="65" t="str">
        <f ca="1">IF($C2149="","",IF(AND($D2149="Gelir",$L2149&lt;&gt;"",$T2149=""),"TANIMSIZ BORÇLU",IF($T2149&lt;&gt;"",IF(OR($E2149="",$G2149&lt;=0),"EKSİK",IF($I2149="Evet","TAHAKKUK NAKİT OLAMAZ",IF($C2149&gt;TODAY(),"İLERİ TARİH","TAHAKKUK"))),IF(AND($D2149&lt;&gt;"",$E2149&lt;&gt;"",$G2149&gt;0,$H2149&lt;&gt;"",$I2149&lt;&gt;""),IF($C2149&gt;TODAY(),"İLERİ TARİH",IF(COUNTIF($W$7:$W$3001,$W2149)&gt;1,"MÜKERRER?",IF($AD2149&gt;0,"KAPALI DÖNEM",IF($I2149="Hayır","ÖDENECEK","UYGUN")))),"EKSİK"))))</f>
        <v/>
      </c>
      <c r="Q2149" s="2"/>
      <c r="R2149" s="2"/>
      <c r="S2149" s="1" t="str">
        <f t="shared" si="101"/>
        <v/>
      </c>
      <c r="T2149" s="1" t="str">
        <f>IF(OR($C2149="",$D2149&lt;&gt;"Gelir",$L2149=""),"",IFERROR(INDEX(MUSTERILER!$B$7:$B$156,MATCH($S2149,MUSTERILER!$T$7:$T$156,0)),""))</f>
        <v/>
      </c>
      <c r="U2149" s="1" t="str">
        <f>IF($T2149="","",$T2149&amp;"|"&amp;COUNTIFS($T$7:$T2149,$T2149))</f>
        <v/>
      </c>
      <c r="V2149" s="1">
        <f t="shared" si="102"/>
        <v>0</v>
      </c>
      <c r="W2149" s="1" t="str">
        <f t="shared" si="103"/>
        <v/>
      </c>
      <c r="X2149" s="1"/>
      <c r="Y2149" s="1"/>
      <c r="Z2149" s="1"/>
      <c r="AA2149" s="1"/>
      <c r="AB2149" s="1"/>
      <c r="AC2149" s="1"/>
      <c r="AD2149" s="1">
        <f>IF($C2149="",0,SUMPRODUCT((AY_SONU!$O$7:$O$42="Evet")*(AY_SONU!$B$7:$B$42=DATE(YEAR($C2149),MONTH($C2149),1))))</f>
        <v>0</v>
      </c>
      <c r="AE2149" s="1" t="str">
        <f>IF($E2149="","",$E2149&amp;"|"&amp;COUNTIFS($E$7:$E2149,$E2149))</f>
        <v/>
      </c>
    </row>
    <row r="2150" spans="1:31" ht="18" customHeight="1" x14ac:dyDescent="0.3">
      <c r="A2150" s="2"/>
      <c r="B2150" s="65" t="str">
        <f>IF($C2150="","","GG"&amp;TEXT(ROW()-6,"00000"))</f>
        <v/>
      </c>
      <c r="C2150" s="66"/>
      <c r="D2150" s="60"/>
      <c r="E2150" s="61"/>
      <c r="F2150" s="61"/>
      <c r="G2150" s="67"/>
      <c r="H2150" s="60"/>
      <c r="I2150" s="60"/>
      <c r="J2150" s="61"/>
      <c r="K2150" s="61"/>
      <c r="L2150" s="60"/>
      <c r="M2150" s="74" t="str">
        <f>IF($C2150="","",IF($D2150="Gider",$E2150,IF($L2150&lt;&gt;"",$L2150,$H2150)))</f>
        <v/>
      </c>
      <c r="N2150" s="74" t="str">
        <f>IF($C2150="","",IF($D2150="Gider",$H2150,$E2150))</f>
        <v/>
      </c>
      <c r="O2150" s="73" t="str">
        <f>IF($C2150="","",DATE(YEAR($C2150),MONTH($C2150),1))</f>
        <v/>
      </c>
      <c r="P2150" s="65" t="str">
        <f ca="1">IF($C2150="","",IF(AND($D2150="Gelir",$L2150&lt;&gt;"",$T2150=""),"TANIMSIZ BORÇLU",IF($T2150&lt;&gt;"",IF(OR($E2150="",$G2150&lt;=0),"EKSİK",IF($I2150="Evet","TAHAKKUK NAKİT OLAMAZ",IF($C2150&gt;TODAY(),"İLERİ TARİH","TAHAKKUK"))),IF(AND($D2150&lt;&gt;"",$E2150&lt;&gt;"",$G2150&gt;0,$H2150&lt;&gt;"",$I2150&lt;&gt;""),IF($C2150&gt;TODAY(),"İLERİ TARİH",IF(COUNTIF($W$7:$W$3001,$W2150)&gt;1,"MÜKERRER?",IF($AD2150&gt;0,"KAPALI DÖNEM",IF($I2150="Hayır","ÖDENECEK","UYGUN")))),"EKSİK"))))</f>
        <v/>
      </c>
      <c r="Q2150" s="2"/>
      <c r="R2150" s="2"/>
      <c r="S2150" s="1" t="str">
        <f t="shared" si="101"/>
        <v/>
      </c>
      <c r="T2150" s="1" t="str">
        <f>IF(OR($C2150="",$D2150&lt;&gt;"Gelir",$L2150=""),"",IFERROR(INDEX(MUSTERILER!$B$7:$B$156,MATCH($S2150,MUSTERILER!$T$7:$T$156,0)),""))</f>
        <v/>
      </c>
      <c r="U2150" s="1" t="str">
        <f>IF($T2150="","",$T2150&amp;"|"&amp;COUNTIFS($T$7:$T2150,$T2150))</f>
        <v/>
      </c>
      <c r="V2150" s="1">
        <f t="shared" si="102"/>
        <v>0</v>
      </c>
      <c r="W2150" s="1" t="str">
        <f t="shared" si="103"/>
        <v/>
      </c>
      <c r="X2150" s="1"/>
      <c r="Y2150" s="1"/>
      <c r="Z2150" s="1"/>
      <c r="AA2150" s="1"/>
      <c r="AB2150" s="1"/>
      <c r="AC2150" s="1"/>
      <c r="AD2150" s="1">
        <f>IF($C2150="",0,SUMPRODUCT((AY_SONU!$O$7:$O$42="Evet")*(AY_SONU!$B$7:$B$42=DATE(YEAR($C2150),MONTH($C2150),1))))</f>
        <v>0</v>
      </c>
      <c r="AE2150" s="1" t="str">
        <f>IF($E2150="","",$E2150&amp;"|"&amp;COUNTIFS($E$7:$E2150,$E2150))</f>
        <v/>
      </c>
    </row>
    <row r="2151" spans="1:31" ht="18" customHeight="1" x14ac:dyDescent="0.3">
      <c r="A2151" s="2"/>
      <c r="B2151" s="65" t="str">
        <f>IF($C2151="","","GG"&amp;TEXT(ROW()-6,"00000"))</f>
        <v/>
      </c>
      <c r="C2151" s="66"/>
      <c r="D2151" s="60"/>
      <c r="E2151" s="61"/>
      <c r="F2151" s="61"/>
      <c r="G2151" s="67"/>
      <c r="H2151" s="60"/>
      <c r="I2151" s="60"/>
      <c r="J2151" s="61"/>
      <c r="K2151" s="61"/>
      <c r="L2151" s="60"/>
      <c r="M2151" s="74" t="str">
        <f>IF($C2151="","",IF($D2151="Gider",$E2151,IF($L2151&lt;&gt;"",$L2151,$H2151)))</f>
        <v/>
      </c>
      <c r="N2151" s="74" t="str">
        <f>IF($C2151="","",IF($D2151="Gider",$H2151,$E2151))</f>
        <v/>
      </c>
      <c r="O2151" s="73" t="str">
        <f>IF($C2151="","",DATE(YEAR($C2151),MONTH($C2151),1))</f>
        <v/>
      </c>
      <c r="P2151" s="65" t="str">
        <f ca="1">IF($C2151="","",IF(AND($D2151="Gelir",$L2151&lt;&gt;"",$T2151=""),"TANIMSIZ BORÇLU",IF($T2151&lt;&gt;"",IF(OR($E2151="",$G2151&lt;=0),"EKSİK",IF($I2151="Evet","TAHAKKUK NAKİT OLAMAZ",IF($C2151&gt;TODAY(),"İLERİ TARİH","TAHAKKUK"))),IF(AND($D2151&lt;&gt;"",$E2151&lt;&gt;"",$G2151&gt;0,$H2151&lt;&gt;"",$I2151&lt;&gt;""),IF($C2151&gt;TODAY(),"İLERİ TARİH",IF(COUNTIF($W$7:$W$3001,$W2151)&gt;1,"MÜKERRER?",IF($AD2151&gt;0,"KAPALI DÖNEM",IF($I2151="Hayır","ÖDENECEK","UYGUN")))),"EKSİK"))))</f>
        <v/>
      </c>
      <c r="Q2151" s="2"/>
      <c r="R2151" s="2"/>
      <c r="S2151" s="1" t="str">
        <f t="shared" si="101"/>
        <v/>
      </c>
      <c r="T2151" s="1" t="str">
        <f>IF(OR($C2151="",$D2151&lt;&gt;"Gelir",$L2151=""),"",IFERROR(INDEX(MUSTERILER!$B$7:$B$156,MATCH($S2151,MUSTERILER!$T$7:$T$156,0)),""))</f>
        <v/>
      </c>
      <c r="U2151" s="1" t="str">
        <f>IF($T2151="","",$T2151&amp;"|"&amp;COUNTIFS($T$7:$T2151,$T2151))</f>
        <v/>
      </c>
      <c r="V2151" s="1">
        <f t="shared" si="102"/>
        <v>0</v>
      </c>
      <c r="W2151" s="1" t="str">
        <f t="shared" si="103"/>
        <v/>
      </c>
      <c r="X2151" s="1"/>
      <c r="Y2151" s="1"/>
      <c r="Z2151" s="1"/>
      <c r="AA2151" s="1"/>
      <c r="AB2151" s="1"/>
      <c r="AC2151" s="1"/>
      <c r="AD2151" s="1">
        <f>IF($C2151="",0,SUMPRODUCT((AY_SONU!$O$7:$O$42="Evet")*(AY_SONU!$B$7:$B$42=DATE(YEAR($C2151),MONTH($C2151),1))))</f>
        <v>0</v>
      </c>
      <c r="AE2151" s="1" t="str">
        <f>IF($E2151="","",$E2151&amp;"|"&amp;COUNTIFS($E$7:$E2151,$E2151))</f>
        <v/>
      </c>
    </row>
    <row r="2152" spans="1:31" ht="18" customHeight="1" x14ac:dyDescent="0.3">
      <c r="A2152" s="2"/>
      <c r="B2152" s="65" t="str">
        <f>IF($C2152="","","GG"&amp;TEXT(ROW()-6,"00000"))</f>
        <v/>
      </c>
      <c r="C2152" s="66"/>
      <c r="D2152" s="60"/>
      <c r="E2152" s="61"/>
      <c r="F2152" s="61"/>
      <c r="G2152" s="67"/>
      <c r="H2152" s="60"/>
      <c r="I2152" s="60"/>
      <c r="J2152" s="61"/>
      <c r="K2152" s="61"/>
      <c r="L2152" s="60"/>
      <c r="M2152" s="74" t="str">
        <f>IF($C2152="","",IF($D2152="Gider",$E2152,IF($L2152&lt;&gt;"",$L2152,$H2152)))</f>
        <v/>
      </c>
      <c r="N2152" s="74" t="str">
        <f>IF($C2152="","",IF($D2152="Gider",$H2152,$E2152))</f>
        <v/>
      </c>
      <c r="O2152" s="73" t="str">
        <f>IF($C2152="","",DATE(YEAR($C2152),MONTH($C2152),1))</f>
        <v/>
      </c>
      <c r="P2152" s="65" t="str">
        <f ca="1">IF($C2152="","",IF(AND($D2152="Gelir",$L2152&lt;&gt;"",$T2152=""),"TANIMSIZ BORÇLU",IF($T2152&lt;&gt;"",IF(OR($E2152="",$G2152&lt;=0),"EKSİK",IF($I2152="Evet","TAHAKKUK NAKİT OLAMAZ",IF($C2152&gt;TODAY(),"İLERİ TARİH","TAHAKKUK"))),IF(AND($D2152&lt;&gt;"",$E2152&lt;&gt;"",$G2152&gt;0,$H2152&lt;&gt;"",$I2152&lt;&gt;""),IF($C2152&gt;TODAY(),"İLERİ TARİH",IF(COUNTIF($W$7:$W$3001,$W2152)&gt;1,"MÜKERRER?",IF($AD2152&gt;0,"KAPALI DÖNEM",IF($I2152="Hayır","ÖDENECEK","UYGUN")))),"EKSİK"))))</f>
        <v/>
      </c>
      <c r="Q2152" s="2"/>
      <c r="R2152" s="2"/>
      <c r="S2152" s="1" t="str">
        <f t="shared" si="101"/>
        <v/>
      </c>
      <c r="T2152" s="1" t="str">
        <f>IF(OR($C2152="",$D2152&lt;&gt;"Gelir",$L2152=""),"",IFERROR(INDEX(MUSTERILER!$B$7:$B$156,MATCH($S2152,MUSTERILER!$T$7:$T$156,0)),""))</f>
        <v/>
      </c>
      <c r="U2152" s="1" t="str">
        <f>IF($T2152="","",$T2152&amp;"|"&amp;COUNTIFS($T$7:$T2152,$T2152))</f>
        <v/>
      </c>
      <c r="V2152" s="1">
        <f t="shared" si="102"/>
        <v>0</v>
      </c>
      <c r="W2152" s="1" t="str">
        <f t="shared" si="103"/>
        <v/>
      </c>
      <c r="X2152" s="1"/>
      <c r="Y2152" s="1"/>
      <c r="Z2152" s="1"/>
      <c r="AA2152" s="1"/>
      <c r="AB2152" s="1"/>
      <c r="AC2152" s="1"/>
      <c r="AD2152" s="1">
        <f>IF($C2152="",0,SUMPRODUCT((AY_SONU!$O$7:$O$42="Evet")*(AY_SONU!$B$7:$B$42=DATE(YEAR($C2152),MONTH($C2152),1))))</f>
        <v>0</v>
      </c>
      <c r="AE2152" s="1" t="str">
        <f>IF($E2152="","",$E2152&amp;"|"&amp;COUNTIFS($E$7:$E2152,$E2152))</f>
        <v/>
      </c>
    </row>
    <row r="2153" spans="1:31" ht="18" customHeight="1" x14ac:dyDescent="0.3">
      <c r="A2153" s="2"/>
      <c r="B2153" s="65" t="str">
        <f>IF($C2153="","","GG"&amp;TEXT(ROW()-6,"00000"))</f>
        <v/>
      </c>
      <c r="C2153" s="66"/>
      <c r="D2153" s="60"/>
      <c r="E2153" s="61"/>
      <c r="F2153" s="61"/>
      <c r="G2153" s="67"/>
      <c r="H2153" s="60"/>
      <c r="I2153" s="60"/>
      <c r="J2153" s="61"/>
      <c r="K2153" s="61"/>
      <c r="L2153" s="60"/>
      <c r="M2153" s="74" t="str">
        <f>IF($C2153="","",IF($D2153="Gider",$E2153,IF($L2153&lt;&gt;"",$L2153,$H2153)))</f>
        <v/>
      </c>
      <c r="N2153" s="74" t="str">
        <f>IF($C2153="","",IF($D2153="Gider",$H2153,$E2153))</f>
        <v/>
      </c>
      <c r="O2153" s="73" t="str">
        <f>IF($C2153="","",DATE(YEAR($C2153),MONTH($C2153),1))</f>
        <v/>
      </c>
      <c r="P2153" s="65" t="str">
        <f ca="1">IF($C2153="","",IF(AND($D2153="Gelir",$L2153&lt;&gt;"",$T2153=""),"TANIMSIZ BORÇLU",IF($T2153&lt;&gt;"",IF(OR($E2153="",$G2153&lt;=0),"EKSİK",IF($I2153="Evet","TAHAKKUK NAKİT OLAMAZ",IF($C2153&gt;TODAY(),"İLERİ TARİH","TAHAKKUK"))),IF(AND($D2153&lt;&gt;"",$E2153&lt;&gt;"",$G2153&gt;0,$H2153&lt;&gt;"",$I2153&lt;&gt;""),IF($C2153&gt;TODAY(),"İLERİ TARİH",IF(COUNTIF($W$7:$W$3001,$W2153)&gt;1,"MÜKERRER?",IF($AD2153&gt;0,"KAPALI DÖNEM",IF($I2153="Hayır","ÖDENECEK","UYGUN")))),"EKSİK"))))</f>
        <v/>
      </c>
      <c r="Q2153" s="2"/>
      <c r="R2153" s="2"/>
      <c r="S2153" s="1" t="str">
        <f t="shared" si="101"/>
        <v/>
      </c>
      <c r="T2153" s="1" t="str">
        <f>IF(OR($C2153="",$D2153&lt;&gt;"Gelir",$L2153=""),"",IFERROR(INDEX(MUSTERILER!$B$7:$B$156,MATCH($S2153,MUSTERILER!$T$7:$T$156,0)),""))</f>
        <v/>
      </c>
      <c r="U2153" s="1" t="str">
        <f>IF($T2153="","",$T2153&amp;"|"&amp;COUNTIFS($T$7:$T2153,$T2153))</f>
        <v/>
      </c>
      <c r="V2153" s="1">
        <f t="shared" si="102"/>
        <v>0</v>
      </c>
      <c r="W2153" s="1" t="str">
        <f t="shared" si="103"/>
        <v/>
      </c>
      <c r="X2153" s="1"/>
      <c r="Y2153" s="1"/>
      <c r="Z2153" s="1"/>
      <c r="AA2153" s="1"/>
      <c r="AB2153" s="1"/>
      <c r="AC2153" s="1"/>
      <c r="AD2153" s="1">
        <f>IF($C2153="",0,SUMPRODUCT((AY_SONU!$O$7:$O$42="Evet")*(AY_SONU!$B$7:$B$42=DATE(YEAR($C2153),MONTH($C2153),1))))</f>
        <v>0</v>
      </c>
      <c r="AE2153" s="1" t="str">
        <f>IF($E2153="","",$E2153&amp;"|"&amp;COUNTIFS($E$7:$E2153,$E2153))</f>
        <v/>
      </c>
    </row>
    <row r="2154" spans="1:31" ht="18" customHeight="1" x14ac:dyDescent="0.3">
      <c r="A2154" s="2"/>
      <c r="B2154" s="65" t="str">
        <f>IF($C2154="","","GG"&amp;TEXT(ROW()-6,"00000"))</f>
        <v/>
      </c>
      <c r="C2154" s="66"/>
      <c r="D2154" s="60"/>
      <c r="E2154" s="61"/>
      <c r="F2154" s="61"/>
      <c r="G2154" s="67"/>
      <c r="H2154" s="60"/>
      <c r="I2154" s="60"/>
      <c r="J2154" s="61"/>
      <c r="K2154" s="61"/>
      <c r="L2154" s="60"/>
      <c r="M2154" s="74" t="str">
        <f>IF($C2154="","",IF($D2154="Gider",$E2154,IF($L2154&lt;&gt;"",$L2154,$H2154)))</f>
        <v/>
      </c>
      <c r="N2154" s="74" t="str">
        <f>IF($C2154="","",IF($D2154="Gider",$H2154,$E2154))</f>
        <v/>
      </c>
      <c r="O2154" s="73" t="str">
        <f>IF($C2154="","",DATE(YEAR($C2154),MONTH($C2154),1))</f>
        <v/>
      </c>
      <c r="P2154" s="65" t="str">
        <f ca="1">IF($C2154="","",IF(AND($D2154="Gelir",$L2154&lt;&gt;"",$T2154=""),"TANIMSIZ BORÇLU",IF($T2154&lt;&gt;"",IF(OR($E2154="",$G2154&lt;=0),"EKSİK",IF($I2154="Evet","TAHAKKUK NAKİT OLAMAZ",IF($C2154&gt;TODAY(),"İLERİ TARİH","TAHAKKUK"))),IF(AND($D2154&lt;&gt;"",$E2154&lt;&gt;"",$G2154&gt;0,$H2154&lt;&gt;"",$I2154&lt;&gt;""),IF($C2154&gt;TODAY(),"İLERİ TARİH",IF(COUNTIF($W$7:$W$3001,$W2154)&gt;1,"MÜKERRER?",IF($AD2154&gt;0,"KAPALI DÖNEM",IF($I2154="Hayır","ÖDENECEK","UYGUN")))),"EKSİK"))))</f>
        <v/>
      </c>
      <c r="Q2154" s="2"/>
      <c r="R2154" s="2"/>
      <c r="S2154" s="1" t="str">
        <f t="shared" si="101"/>
        <v/>
      </c>
      <c r="T2154" s="1" t="str">
        <f>IF(OR($C2154="",$D2154&lt;&gt;"Gelir",$L2154=""),"",IFERROR(INDEX(MUSTERILER!$B$7:$B$156,MATCH($S2154,MUSTERILER!$T$7:$T$156,0)),""))</f>
        <v/>
      </c>
      <c r="U2154" s="1" t="str">
        <f>IF($T2154="","",$T2154&amp;"|"&amp;COUNTIFS($T$7:$T2154,$T2154))</f>
        <v/>
      </c>
      <c r="V2154" s="1">
        <f t="shared" si="102"/>
        <v>0</v>
      </c>
      <c r="W2154" s="1" t="str">
        <f t="shared" si="103"/>
        <v/>
      </c>
      <c r="X2154" s="1"/>
      <c r="Y2154" s="1"/>
      <c r="Z2154" s="1"/>
      <c r="AA2154" s="1"/>
      <c r="AB2154" s="1"/>
      <c r="AC2154" s="1"/>
      <c r="AD2154" s="1">
        <f>IF($C2154="",0,SUMPRODUCT((AY_SONU!$O$7:$O$42="Evet")*(AY_SONU!$B$7:$B$42=DATE(YEAR($C2154),MONTH($C2154),1))))</f>
        <v>0</v>
      </c>
      <c r="AE2154" s="1" t="str">
        <f>IF($E2154="","",$E2154&amp;"|"&amp;COUNTIFS($E$7:$E2154,$E2154))</f>
        <v/>
      </c>
    </row>
    <row r="2155" spans="1:31" ht="18" customHeight="1" x14ac:dyDescent="0.3">
      <c r="A2155" s="2"/>
      <c r="B2155" s="65" t="str">
        <f>IF($C2155="","","GG"&amp;TEXT(ROW()-6,"00000"))</f>
        <v/>
      </c>
      <c r="C2155" s="66"/>
      <c r="D2155" s="60"/>
      <c r="E2155" s="61"/>
      <c r="F2155" s="61"/>
      <c r="G2155" s="67"/>
      <c r="H2155" s="60"/>
      <c r="I2155" s="60"/>
      <c r="J2155" s="61"/>
      <c r="K2155" s="61"/>
      <c r="L2155" s="60"/>
      <c r="M2155" s="74" t="str">
        <f>IF($C2155="","",IF($D2155="Gider",$E2155,IF($L2155&lt;&gt;"",$L2155,$H2155)))</f>
        <v/>
      </c>
      <c r="N2155" s="74" t="str">
        <f>IF($C2155="","",IF($D2155="Gider",$H2155,$E2155))</f>
        <v/>
      </c>
      <c r="O2155" s="73" t="str">
        <f>IF($C2155="","",DATE(YEAR($C2155),MONTH($C2155),1))</f>
        <v/>
      </c>
      <c r="P2155" s="65" t="str">
        <f ca="1">IF($C2155="","",IF(AND($D2155="Gelir",$L2155&lt;&gt;"",$T2155=""),"TANIMSIZ BORÇLU",IF($T2155&lt;&gt;"",IF(OR($E2155="",$G2155&lt;=0),"EKSİK",IF($I2155="Evet","TAHAKKUK NAKİT OLAMAZ",IF($C2155&gt;TODAY(),"İLERİ TARİH","TAHAKKUK"))),IF(AND($D2155&lt;&gt;"",$E2155&lt;&gt;"",$G2155&gt;0,$H2155&lt;&gt;"",$I2155&lt;&gt;""),IF($C2155&gt;TODAY(),"İLERİ TARİH",IF(COUNTIF($W$7:$W$3001,$W2155)&gt;1,"MÜKERRER?",IF($AD2155&gt;0,"KAPALI DÖNEM",IF($I2155="Hayır","ÖDENECEK","UYGUN")))),"EKSİK"))))</f>
        <v/>
      </c>
      <c r="Q2155" s="2"/>
      <c r="R2155" s="2"/>
      <c r="S2155" s="1" t="str">
        <f t="shared" si="101"/>
        <v/>
      </c>
      <c r="T2155" s="1" t="str">
        <f>IF(OR($C2155="",$D2155&lt;&gt;"Gelir",$L2155=""),"",IFERROR(INDEX(MUSTERILER!$B$7:$B$156,MATCH($S2155,MUSTERILER!$T$7:$T$156,0)),""))</f>
        <v/>
      </c>
      <c r="U2155" s="1" t="str">
        <f>IF($T2155="","",$T2155&amp;"|"&amp;COUNTIFS($T$7:$T2155,$T2155))</f>
        <v/>
      </c>
      <c r="V2155" s="1">
        <f t="shared" si="102"/>
        <v>0</v>
      </c>
      <c r="W2155" s="1" t="str">
        <f t="shared" si="103"/>
        <v/>
      </c>
      <c r="X2155" s="1"/>
      <c r="Y2155" s="1"/>
      <c r="Z2155" s="1"/>
      <c r="AA2155" s="1"/>
      <c r="AB2155" s="1"/>
      <c r="AC2155" s="1"/>
      <c r="AD2155" s="1">
        <f>IF($C2155="",0,SUMPRODUCT((AY_SONU!$O$7:$O$42="Evet")*(AY_SONU!$B$7:$B$42=DATE(YEAR($C2155),MONTH($C2155),1))))</f>
        <v>0</v>
      </c>
      <c r="AE2155" s="1" t="str">
        <f>IF($E2155="","",$E2155&amp;"|"&amp;COUNTIFS($E$7:$E2155,$E2155))</f>
        <v/>
      </c>
    </row>
    <row r="2156" spans="1:31" ht="18" customHeight="1" x14ac:dyDescent="0.3">
      <c r="A2156" s="2"/>
      <c r="B2156" s="65" t="str">
        <f>IF($C2156="","","GG"&amp;TEXT(ROW()-6,"00000"))</f>
        <v/>
      </c>
      <c r="C2156" s="66"/>
      <c r="D2156" s="60"/>
      <c r="E2156" s="61"/>
      <c r="F2156" s="61"/>
      <c r="G2156" s="67"/>
      <c r="H2156" s="60"/>
      <c r="I2156" s="60"/>
      <c r="J2156" s="61"/>
      <c r="K2156" s="61"/>
      <c r="L2156" s="60"/>
      <c r="M2156" s="74" t="str">
        <f>IF($C2156="","",IF($D2156="Gider",$E2156,IF($L2156&lt;&gt;"",$L2156,$H2156)))</f>
        <v/>
      </c>
      <c r="N2156" s="74" t="str">
        <f>IF($C2156="","",IF($D2156="Gider",$H2156,$E2156))</f>
        <v/>
      </c>
      <c r="O2156" s="73" t="str">
        <f>IF($C2156="","",DATE(YEAR($C2156),MONTH($C2156),1))</f>
        <v/>
      </c>
      <c r="P2156" s="65" t="str">
        <f ca="1">IF($C2156="","",IF(AND($D2156="Gelir",$L2156&lt;&gt;"",$T2156=""),"TANIMSIZ BORÇLU",IF($T2156&lt;&gt;"",IF(OR($E2156="",$G2156&lt;=0),"EKSİK",IF($I2156="Evet","TAHAKKUK NAKİT OLAMAZ",IF($C2156&gt;TODAY(),"İLERİ TARİH","TAHAKKUK"))),IF(AND($D2156&lt;&gt;"",$E2156&lt;&gt;"",$G2156&gt;0,$H2156&lt;&gt;"",$I2156&lt;&gt;""),IF($C2156&gt;TODAY(),"İLERİ TARİH",IF(COUNTIF($W$7:$W$3001,$W2156)&gt;1,"MÜKERRER?",IF($AD2156&gt;0,"KAPALI DÖNEM",IF($I2156="Hayır","ÖDENECEK","UYGUN")))),"EKSİK"))))</f>
        <v/>
      </c>
      <c r="Q2156" s="2"/>
      <c r="R2156" s="2"/>
      <c r="S2156" s="1" t="str">
        <f t="shared" si="101"/>
        <v/>
      </c>
      <c r="T2156" s="1" t="str">
        <f>IF(OR($C2156="",$D2156&lt;&gt;"Gelir",$L2156=""),"",IFERROR(INDEX(MUSTERILER!$B$7:$B$156,MATCH($S2156,MUSTERILER!$T$7:$T$156,0)),""))</f>
        <v/>
      </c>
      <c r="U2156" s="1" t="str">
        <f>IF($T2156="","",$T2156&amp;"|"&amp;COUNTIFS($T$7:$T2156,$T2156))</f>
        <v/>
      </c>
      <c r="V2156" s="1">
        <f t="shared" si="102"/>
        <v>0</v>
      </c>
      <c r="W2156" s="1" t="str">
        <f t="shared" si="103"/>
        <v/>
      </c>
      <c r="X2156" s="1"/>
      <c r="Y2156" s="1"/>
      <c r="Z2156" s="1"/>
      <c r="AA2156" s="1"/>
      <c r="AB2156" s="1"/>
      <c r="AC2156" s="1"/>
      <c r="AD2156" s="1">
        <f>IF($C2156="",0,SUMPRODUCT((AY_SONU!$O$7:$O$42="Evet")*(AY_SONU!$B$7:$B$42=DATE(YEAR($C2156),MONTH($C2156),1))))</f>
        <v>0</v>
      </c>
      <c r="AE2156" s="1" t="str">
        <f>IF($E2156="","",$E2156&amp;"|"&amp;COUNTIFS($E$7:$E2156,$E2156))</f>
        <v/>
      </c>
    </row>
    <row r="2157" spans="1:31" ht="18" customHeight="1" x14ac:dyDescent="0.3">
      <c r="A2157" s="2"/>
      <c r="B2157" s="65" t="str">
        <f>IF($C2157="","","GG"&amp;TEXT(ROW()-6,"00000"))</f>
        <v/>
      </c>
      <c r="C2157" s="66"/>
      <c r="D2157" s="60"/>
      <c r="E2157" s="61"/>
      <c r="F2157" s="61"/>
      <c r="G2157" s="67"/>
      <c r="H2157" s="60"/>
      <c r="I2157" s="60"/>
      <c r="J2157" s="61"/>
      <c r="K2157" s="61"/>
      <c r="L2157" s="60"/>
      <c r="M2157" s="74" t="str">
        <f>IF($C2157="","",IF($D2157="Gider",$E2157,IF($L2157&lt;&gt;"",$L2157,$H2157)))</f>
        <v/>
      </c>
      <c r="N2157" s="74" t="str">
        <f>IF($C2157="","",IF($D2157="Gider",$H2157,$E2157))</f>
        <v/>
      </c>
      <c r="O2157" s="73" t="str">
        <f>IF($C2157="","",DATE(YEAR($C2157),MONTH($C2157),1))</f>
        <v/>
      </c>
      <c r="P2157" s="65" t="str">
        <f ca="1">IF($C2157="","",IF(AND($D2157="Gelir",$L2157&lt;&gt;"",$T2157=""),"TANIMSIZ BORÇLU",IF($T2157&lt;&gt;"",IF(OR($E2157="",$G2157&lt;=0),"EKSİK",IF($I2157="Evet","TAHAKKUK NAKİT OLAMAZ",IF($C2157&gt;TODAY(),"İLERİ TARİH","TAHAKKUK"))),IF(AND($D2157&lt;&gt;"",$E2157&lt;&gt;"",$G2157&gt;0,$H2157&lt;&gt;"",$I2157&lt;&gt;""),IF($C2157&gt;TODAY(),"İLERİ TARİH",IF(COUNTIF($W$7:$W$3001,$W2157)&gt;1,"MÜKERRER?",IF($AD2157&gt;0,"KAPALI DÖNEM",IF($I2157="Hayır","ÖDENECEK","UYGUN")))),"EKSİK"))))</f>
        <v/>
      </c>
      <c r="Q2157" s="2"/>
      <c r="R2157" s="2"/>
      <c r="S2157" s="1" t="str">
        <f t="shared" si="101"/>
        <v/>
      </c>
      <c r="T2157" s="1" t="str">
        <f>IF(OR($C2157="",$D2157&lt;&gt;"Gelir",$L2157=""),"",IFERROR(INDEX(MUSTERILER!$B$7:$B$156,MATCH($S2157,MUSTERILER!$T$7:$T$156,0)),""))</f>
        <v/>
      </c>
      <c r="U2157" s="1" t="str">
        <f>IF($T2157="","",$T2157&amp;"|"&amp;COUNTIFS($T$7:$T2157,$T2157))</f>
        <v/>
      </c>
      <c r="V2157" s="1">
        <f t="shared" si="102"/>
        <v>0</v>
      </c>
      <c r="W2157" s="1" t="str">
        <f t="shared" si="103"/>
        <v/>
      </c>
      <c r="X2157" s="1"/>
      <c r="Y2157" s="1"/>
      <c r="Z2157" s="1"/>
      <c r="AA2157" s="1"/>
      <c r="AB2157" s="1"/>
      <c r="AC2157" s="1"/>
      <c r="AD2157" s="1">
        <f>IF($C2157="",0,SUMPRODUCT((AY_SONU!$O$7:$O$42="Evet")*(AY_SONU!$B$7:$B$42=DATE(YEAR($C2157),MONTH($C2157),1))))</f>
        <v>0</v>
      </c>
      <c r="AE2157" s="1" t="str">
        <f>IF($E2157="","",$E2157&amp;"|"&amp;COUNTIFS($E$7:$E2157,$E2157))</f>
        <v/>
      </c>
    </row>
    <row r="2158" spans="1:31" ht="18" customHeight="1" x14ac:dyDescent="0.3">
      <c r="A2158" s="2"/>
      <c r="B2158" s="65" t="str">
        <f>IF($C2158="","","GG"&amp;TEXT(ROW()-6,"00000"))</f>
        <v/>
      </c>
      <c r="C2158" s="66"/>
      <c r="D2158" s="60"/>
      <c r="E2158" s="61"/>
      <c r="F2158" s="61"/>
      <c r="G2158" s="67"/>
      <c r="H2158" s="60"/>
      <c r="I2158" s="60"/>
      <c r="J2158" s="61"/>
      <c r="K2158" s="61"/>
      <c r="L2158" s="60"/>
      <c r="M2158" s="74" t="str">
        <f>IF($C2158="","",IF($D2158="Gider",$E2158,IF($L2158&lt;&gt;"",$L2158,$H2158)))</f>
        <v/>
      </c>
      <c r="N2158" s="74" t="str">
        <f>IF($C2158="","",IF($D2158="Gider",$H2158,$E2158))</f>
        <v/>
      </c>
      <c r="O2158" s="73" t="str">
        <f>IF($C2158="","",DATE(YEAR($C2158),MONTH($C2158),1))</f>
        <v/>
      </c>
      <c r="P2158" s="65" t="str">
        <f ca="1">IF($C2158="","",IF(AND($D2158="Gelir",$L2158&lt;&gt;"",$T2158=""),"TANIMSIZ BORÇLU",IF($T2158&lt;&gt;"",IF(OR($E2158="",$G2158&lt;=0),"EKSİK",IF($I2158="Evet","TAHAKKUK NAKİT OLAMAZ",IF($C2158&gt;TODAY(),"İLERİ TARİH","TAHAKKUK"))),IF(AND($D2158&lt;&gt;"",$E2158&lt;&gt;"",$G2158&gt;0,$H2158&lt;&gt;"",$I2158&lt;&gt;""),IF($C2158&gt;TODAY(),"İLERİ TARİH",IF(COUNTIF($W$7:$W$3001,$W2158)&gt;1,"MÜKERRER?",IF($AD2158&gt;0,"KAPALI DÖNEM",IF($I2158="Hayır","ÖDENECEK","UYGUN")))),"EKSİK"))))</f>
        <v/>
      </c>
      <c r="Q2158" s="2"/>
      <c r="R2158" s="2"/>
      <c r="S2158" s="1" t="str">
        <f t="shared" si="101"/>
        <v/>
      </c>
      <c r="T2158" s="1" t="str">
        <f>IF(OR($C2158="",$D2158&lt;&gt;"Gelir",$L2158=""),"",IFERROR(INDEX(MUSTERILER!$B$7:$B$156,MATCH($S2158,MUSTERILER!$T$7:$T$156,0)),""))</f>
        <v/>
      </c>
      <c r="U2158" s="1" t="str">
        <f>IF($T2158="","",$T2158&amp;"|"&amp;COUNTIFS($T$7:$T2158,$T2158))</f>
        <v/>
      </c>
      <c r="V2158" s="1">
        <f t="shared" si="102"/>
        <v>0</v>
      </c>
      <c r="W2158" s="1" t="str">
        <f t="shared" si="103"/>
        <v/>
      </c>
      <c r="X2158" s="1"/>
      <c r="Y2158" s="1"/>
      <c r="Z2158" s="1"/>
      <c r="AA2158" s="1"/>
      <c r="AB2158" s="1"/>
      <c r="AC2158" s="1"/>
      <c r="AD2158" s="1">
        <f>IF($C2158="",0,SUMPRODUCT((AY_SONU!$O$7:$O$42="Evet")*(AY_SONU!$B$7:$B$42=DATE(YEAR($C2158),MONTH($C2158),1))))</f>
        <v>0</v>
      </c>
      <c r="AE2158" s="1" t="str">
        <f>IF($E2158="","",$E2158&amp;"|"&amp;COUNTIFS($E$7:$E2158,$E2158))</f>
        <v/>
      </c>
    </row>
    <row r="2159" spans="1:31" ht="18" customHeight="1" x14ac:dyDescent="0.3">
      <c r="A2159" s="2"/>
      <c r="B2159" s="65" t="str">
        <f>IF($C2159="","","GG"&amp;TEXT(ROW()-6,"00000"))</f>
        <v/>
      </c>
      <c r="C2159" s="66"/>
      <c r="D2159" s="60"/>
      <c r="E2159" s="61"/>
      <c r="F2159" s="61"/>
      <c r="G2159" s="67"/>
      <c r="H2159" s="60"/>
      <c r="I2159" s="60"/>
      <c r="J2159" s="61"/>
      <c r="K2159" s="61"/>
      <c r="L2159" s="60"/>
      <c r="M2159" s="74" t="str">
        <f>IF($C2159="","",IF($D2159="Gider",$E2159,IF($L2159&lt;&gt;"",$L2159,$H2159)))</f>
        <v/>
      </c>
      <c r="N2159" s="74" t="str">
        <f>IF($C2159="","",IF($D2159="Gider",$H2159,$E2159))</f>
        <v/>
      </c>
      <c r="O2159" s="73" t="str">
        <f>IF($C2159="","",DATE(YEAR($C2159),MONTH($C2159),1))</f>
        <v/>
      </c>
      <c r="P2159" s="65" t="str">
        <f ca="1">IF($C2159="","",IF(AND($D2159="Gelir",$L2159&lt;&gt;"",$T2159=""),"TANIMSIZ BORÇLU",IF($T2159&lt;&gt;"",IF(OR($E2159="",$G2159&lt;=0),"EKSİK",IF($I2159="Evet","TAHAKKUK NAKİT OLAMAZ",IF($C2159&gt;TODAY(),"İLERİ TARİH","TAHAKKUK"))),IF(AND($D2159&lt;&gt;"",$E2159&lt;&gt;"",$G2159&gt;0,$H2159&lt;&gt;"",$I2159&lt;&gt;""),IF($C2159&gt;TODAY(),"İLERİ TARİH",IF(COUNTIF($W$7:$W$3001,$W2159)&gt;1,"MÜKERRER?",IF($AD2159&gt;0,"KAPALI DÖNEM",IF($I2159="Hayır","ÖDENECEK","UYGUN")))),"EKSİK"))))</f>
        <v/>
      </c>
      <c r="Q2159" s="2"/>
      <c r="R2159" s="2"/>
      <c r="S2159" s="1" t="str">
        <f t="shared" si="101"/>
        <v/>
      </c>
      <c r="T2159" s="1" t="str">
        <f>IF(OR($C2159="",$D2159&lt;&gt;"Gelir",$L2159=""),"",IFERROR(INDEX(MUSTERILER!$B$7:$B$156,MATCH($S2159,MUSTERILER!$T$7:$T$156,0)),""))</f>
        <v/>
      </c>
      <c r="U2159" s="1" t="str">
        <f>IF($T2159="","",$T2159&amp;"|"&amp;COUNTIFS($T$7:$T2159,$T2159))</f>
        <v/>
      </c>
      <c r="V2159" s="1">
        <f t="shared" si="102"/>
        <v>0</v>
      </c>
      <c r="W2159" s="1" t="str">
        <f t="shared" si="103"/>
        <v/>
      </c>
      <c r="X2159" s="1"/>
      <c r="Y2159" s="1"/>
      <c r="Z2159" s="1"/>
      <c r="AA2159" s="1"/>
      <c r="AB2159" s="1"/>
      <c r="AC2159" s="1"/>
      <c r="AD2159" s="1">
        <f>IF($C2159="",0,SUMPRODUCT((AY_SONU!$O$7:$O$42="Evet")*(AY_SONU!$B$7:$B$42=DATE(YEAR($C2159),MONTH($C2159),1))))</f>
        <v>0</v>
      </c>
      <c r="AE2159" s="1" t="str">
        <f>IF($E2159="","",$E2159&amp;"|"&amp;COUNTIFS($E$7:$E2159,$E2159))</f>
        <v/>
      </c>
    </row>
    <row r="2160" spans="1:31" ht="18" customHeight="1" x14ac:dyDescent="0.3">
      <c r="A2160" s="2"/>
      <c r="B2160" s="65" t="str">
        <f>IF($C2160="","","GG"&amp;TEXT(ROW()-6,"00000"))</f>
        <v/>
      </c>
      <c r="C2160" s="66"/>
      <c r="D2160" s="60"/>
      <c r="E2160" s="61"/>
      <c r="F2160" s="61"/>
      <c r="G2160" s="67"/>
      <c r="H2160" s="60"/>
      <c r="I2160" s="60"/>
      <c r="J2160" s="61"/>
      <c r="K2160" s="61"/>
      <c r="L2160" s="60"/>
      <c r="M2160" s="74" t="str">
        <f>IF($C2160="","",IF($D2160="Gider",$E2160,IF($L2160&lt;&gt;"",$L2160,$H2160)))</f>
        <v/>
      </c>
      <c r="N2160" s="74" t="str">
        <f>IF($C2160="","",IF($D2160="Gider",$H2160,$E2160))</f>
        <v/>
      </c>
      <c r="O2160" s="73" t="str">
        <f>IF($C2160="","",DATE(YEAR($C2160),MONTH($C2160),1))</f>
        <v/>
      </c>
      <c r="P2160" s="65" t="str">
        <f ca="1">IF($C2160="","",IF(AND($D2160="Gelir",$L2160&lt;&gt;"",$T2160=""),"TANIMSIZ BORÇLU",IF($T2160&lt;&gt;"",IF(OR($E2160="",$G2160&lt;=0),"EKSİK",IF($I2160="Evet","TAHAKKUK NAKİT OLAMAZ",IF($C2160&gt;TODAY(),"İLERİ TARİH","TAHAKKUK"))),IF(AND($D2160&lt;&gt;"",$E2160&lt;&gt;"",$G2160&gt;0,$H2160&lt;&gt;"",$I2160&lt;&gt;""),IF($C2160&gt;TODAY(),"İLERİ TARİH",IF(COUNTIF($W$7:$W$3001,$W2160)&gt;1,"MÜKERRER?",IF($AD2160&gt;0,"KAPALI DÖNEM",IF($I2160="Hayır","ÖDENECEK","UYGUN")))),"EKSİK"))))</f>
        <v/>
      </c>
      <c r="Q2160" s="2"/>
      <c r="R2160" s="2"/>
      <c r="S2160" s="1" t="str">
        <f t="shared" si="101"/>
        <v/>
      </c>
      <c r="T2160" s="1" t="str">
        <f>IF(OR($C2160="",$D2160&lt;&gt;"Gelir",$L2160=""),"",IFERROR(INDEX(MUSTERILER!$B$7:$B$156,MATCH($S2160,MUSTERILER!$T$7:$T$156,0)),""))</f>
        <v/>
      </c>
      <c r="U2160" s="1" t="str">
        <f>IF($T2160="","",$T2160&amp;"|"&amp;COUNTIFS($T$7:$T2160,$T2160))</f>
        <v/>
      </c>
      <c r="V2160" s="1">
        <f t="shared" si="102"/>
        <v>0</v>
      </c>
      <c r="W2160" s="1" t="str">
        <f t="shared" si="103"/>
        <v/>
      </c>
      <c r="X2160" s="1"/>
      <c r="Y2160" s="1"/>
      <c r="Z2160" s="1"/>
      <c r="AA2160" s="1"/>
      <c r="AB2160" s="1"/>
      <c r="AC2160" s="1"/>
      <c r="AD2160" s="1">
        <f>IF($C2160="",0,SUMPRODUCT((AY_SONU!$O$7:$O$42="Evet")*(AY_SONU!$B$7:$B$42=DATE(YEAR($C2160),MONTH($C2160),1))))</f>
        <v>0</v>
      </c>
      <c r="AE2160" s="1" t="str">
        <f>IF($E2160="","",$E2160&amp;"|"&amp;COUNTIFS($E$7:$E2160,$E2160))</f>
        <v/>
      </c>
    </row>
    <row r="2161" spans="1:31" ht="18" customHeight="1" x14ac:dyDescent="0.3">
      <c r="A2161" s="2"/>
      <c r="B2161" s="65" t="str">
        <f>IF($C2161="","","GG"&amp;TEXT(ROW()-6,"00000"))</f>
        <v/>
      </c>
      <c r="C2161" s="66"/>
      <c r="D2161" s="60"/>
      <c r="E2161" s="61"/>
      <c r="F2161" s="61"/>
      <c r="G2161" s="67"/>
      <c r="H2161" s="60"/>
      <c r="I2161" s="60"/>
      <c r="J2161" s="61"/>
      <c r="K2161" s="61"/>
      <c r="L2161" s="60"/>
      <c r="M2161" s="74" t="str">
        <f>IF($C2161="","",IF($D2161="Gider",$E2161,IF($L2161&lt;&gt;"",$L2161,$H2161)))</f>
        <v/>
      </c>
      <c r="N2161" s="74" t="str">
        <f>IF($C2161="","",IF($D2161="Gider",$H2161,$E2161))</f>
        <v/>
      </c>
      <c r="O2161" s="73" t="str">
        <f>IF($C2161="","",DATE(YEAR($C2161),MONTH($C2161),1))</f>
        <v/>
      </c>
      <c r="P2161" s="65" t="str">
        <f ca="1">IF($C2161="","",IF(AND($D2161="Gelir",$L2161&lt;&gt;"",$T2161=""),"TANIMSIZ BORÇLU",IF($T2161&lt;&gt;"",IF(OR($E2161="",$G2161&lt;=0),"EKSİK",IF($I2161="Evet","TAHAKKUK NAKİT OLAMAZ",IF($C2161&gt;TODAY(),"İLERİ TARİH","TAHAKKUK"))),IF(AND($D2161&lt;&gt;"",$E2161&lt;&gt;"",$G2161&gt;0,$H2161&lt;&gt;"",$I2161&lt;&gt;""),IF($C2161&gt;TODAY(),"İLERİ TARİH",IF(COUNTIF($W$7:$W$3001,$W2161)&gt;1,"MÜKERRER?",IF($AD2161&gt;0,"KAPALI DÖNEM",IF($I2161="Hayır","ÖDENECEK","UYGUN")))),"EKSİK"))))</f>
        <v/>
      </c>
      <c r="Q2161" s="2"/>
      <c r="R2161" s="2"/>
      <c r="S2161" s="1" t="str">
        <f t="shared" si="101"/>
        <v/>
      </c>
      <c r="T2161" s="1" t="str">
        <f>IF(OR($C2161="",$D2161&lt;&gt;"Gelir",$L2161=""),"",IFERROR(INDEX(MUSTERILER!$B$7:$B$156,MATCH($S2161,MUSTERILER!$T$7:$T$156,0)),""))</f>
        <v/>
      </c>
      <c r="U2161" s="1" t="str">
        <f>IF($T2161="","",$T2161&amp;"|"&amp;COUNTIFS($T$7:$T2161,$T2161))</f>
        <v/>
      </c>
      <c r="V2161" s="1">
        <f t="shared" si="102"/>
        <v>0</v>
      </c>
      <c r="W2161" s="1" t="str">
        <f t="shared" si="103"/>
        <v/>
      </c>
      <c r="X2161" s="1"/>
      <c r="Y2161" s="1"/>
      <c r="Z2161" s="1"/>
      <c r="AA2161" s="1"/>
      <c r="AB2161" s="1"/>
      <c r="AC2161" s="1"/>
      <c r="AD2161" s="1">
        <f>IF($C2161="",0,SUMPRODUCT((AY_SONU!$O$7:$O$42="Evet")*(AY_SONU!$B$7:$B$42=DATE(YEAR($C2161),MONTH($C2161),1))))</f>
        <v>0</v>
      </c>
      <c r="AE2161" s="1" t="str">
        <f>IF($E2161="","",$E2161&amp;"|"&amp;COUNTIFS($E$7:$E2161,$E2161))</f>
        <v/>
      </c>
    </row>
    <row r="2162" spans="1:31" ht="18" customHeight="1" x14ac:dyDescent="0.3">
      <c r="A2162" s="2"/>
      <c r="B2162" s="65" t="str">
        <f>IF($C2162="","","GG"&amp;TEXT(ROW()-6,"00000"))</f>
        <v/>
      </c>
      <c r="C2162" s="66"/>
      <c r="D2162" s="60"/>
      <c r="E2162" s="61"/>
      <c r="F2162" s="61"/>
      <c r="G2162" s="67"/>
      <c r="H2162" s="60"/>
      <c r="I2162" s="60"/>
      <c r="J2162" s="61"/>
      <c r="K2162" s="61"/>
      <c r="L2162" s="60"/>
      <c r="M2162" s="74" t="str">
        <f>IF($C2162="","",IF($D2162="Gider",$E2162,IF($L2162&lt;&gt;"",$L2162,$H2162)))</f>
        <v/>
      </c>
      <c r="N2162" s="74" t="str">
        <f>IF($C2162="","",IF($D2162="Gider",$H2162,$E2162))</f>
        <v/>
      </c>
      <c r="O2162" s="73" t="str">
        <f>IF($C2162="","",DATE(YEAR($C2162),MONTH($C2162),1))</f>
        <v/>
      </c>
      <c r="P2162" s="65" t="str">
        <f ca="1">IF($C2162="","",IF(AND($D2162="Gelir",$L2162&lt;&gt;"",$T2162=""),"TANIMSIZ BORÇLU",IF($T2162&lt;&gt;"",IF(OR($E2162="",$G2162&lt;=0),"EKSİK",IF($I2162="Evet","TAHAKKUK NAKİT OLAMAZ",IF($C2162&gt;TODAY(),"İLERİ TARİH","TAHAKKUK"))),IF(AND($D2162&lt;&gt;"",$E2162&lt;&gt;"",$G2162&gt;0,$H2162&lt;&gt;"",$I2162&lt;&gt;""),IF($C2162&gt;TODAY(),"İLERİ TARİH",IF(COUNTIF($W$7:$W$3001,$W2162)&gt;1,"MÜKERRER?",IF($AD2162&gt;0,"KAPALI DÖNEM",IF($I2162="Hayır","ÖDENECEK","UYGUN")))),"EKSİK"))))</f>
        <v/>
      </c>
      <c r="Q2162" s="2"/>
      <c r="R2162" s="2"/>
      <c r="S2162" s="1" t="str">
        <f t="shared" si="101"/>
        <v/>
      </c>
      <c r="T2162" s="1" t="str">
        <f>IF(OR($C2162="",$D2162&lt;&gt;"Gelir",$L2162=""),"",IFERROR(INDEX(MUSTERILER!$B$7:$B$156,MATCH($S2162,MUSTERILER!$T$7:$T$156,0)),""))</f>
        <v/>
      </c>
      <c r="U2162" s="1" t="str">
        <f>IF($T2162="","",$T2162&amp;"|"&amp;COUNTIFS($T$7:$T2162,$T2162))</f>
        <v/>
      </c>
      <c r="V2162" s="1">
        <f t="shared" si="102"/>
        <v>0</v>
      </c>
      <c r="W2162" s="1" t="str">
        <f t="shared" si="103"/>
        <v/>
      </c>
      <c r="X2162" s="1"/>
      <c r="Y2162" s="1"/>
      <c r="Z2162" s="1"/>
      <c r="AA2162" s="1"/>
      <c r="AB2162" s="1"/>
      <c r="AC2162" s="1"/>
      <c r="AD2162" s="1">
        <f>IF($C2162="",0,SUMPRODUCT((AY_SONU!$O$7:$O$42="Evet")*(AY_SONU!$B$7:$B$42=DATE(YEAR($C2162),MONTH($C2162),1))))</f>
        <v>0</v>
      </c>
      <c r="AE2162" s="1" t="str">
        <f>IF($E2162="","",$E2162&amp;"|"&amp;COUNTIFS($E$7:$E2162,$E2162))</f>
        <v/>
      </c>
    </row>
    <row r="2163" spans="1:31" ht="18" customHeight="1" x14ac:dyDescent="0.3">
      <c r="A2163" s="2"/>
      <c r="B2163" s="65" t="str">
        <f>IF($C2163="","","GG"&amp;TEXT(ROW()-6,"00000"))</f>
        <v/>
      </c>
      <c r="C2163" s="66"/>
      <c r="D2163" s="60"/>
      <c r="E2163" s="61"/>
      <c r="F2163" s="61"/>
      <c r="G2163" s="67"/>
      <c r="H2163" s="60"/>
      <c r="I2163" s="60"/>
      <c r="J2163" s="61"/>
      <c r="K2163" s="61"/>
      <c r="L2163" s="60"/>
      <c r="M2163" s="74" t="str">
        <f>IF($C2163="","",IF($D2163="Gider",$E2163,IF($L2163&lt;&gt;"",$L2163,$H2163)))</f>
        <v/>
      </c>
      <c r="N2163" s="74" t="str">
        <f>IF($C2163="","",IF($D2163="Gider",$H2163,$E2163))</f>
        <v/>
      </c>
      <c r="O2163" s="73" t="str">
        <f>IF($C2163="","",DATE(YEAR($C2163),MONTH($C2163),1))</f>
        <v/>
      </c>
      <c r="P2163" s="65" t="str">
        <f ca="1">IF($C2163="","",IF(AND($D2163="Gelir",$L2163&lt;&gt;"",$T2163=""),"TANIMSIZ BORÇLU",IF($T2163&lt;&gt;"",IF(OR($E2163="",$G2163&lt;=0),"EKSİK",IF($I2163="Evet","TAHAKKUK NAKİT OLAMAZ",IF($C2163&gt;TODAY(),"İLERİ TARİH","TAHAKKUK"))),IF(AND($D2163&lt;&gt;"",$E2163&lt;&gt;"",$G2163&gt;0,$H2163&lt;&gt;"",$I2163&lt;&gt;""),IF($C2163&gt;TODAY(),"İLERİ TARİH",IF(COUNTIF($W$7:$W$3001,$W2163)&gt;1,"MÜKERRER?",IF($AD2163&gt;0,"KAPALI DÖNEM",IF($I2163="Hayır","ÖDENECEK","UYGUN")))),"EKSİK"))))</f>
        <v/>
      </c>
      <c r="Q2163" s="2"/>
      <c r="R2163" s="2"/>
      <c r="S2163" s="1" t="str">
        <f t="shared" si="101"/>
        <v/>
      </c>
      <c r="T2163" s="1" t="str">
        <f>IF(OR($C2163="",$D2163&lt;&gt;"Gelir",$L2163=""),"",IFERROR(INDEX(MUSTERILER!$B$7:$B$156,MATCH($S2163,MUSTERILER!$T$7:$T$156,0)),""))</f>
        <v/>
      </c>
      <c r="U2163" s="1" t="str">
        <f>IF($T2163="","",$T2163&amp;"|"&amp;COUNTIFS($T$7:$T2163,$T2163))</f>
        <v/>
      </c>
      <c r="V2163" s="1">
        <f t="shared" si="102"/>
        <v>0</v>
      </c>
      <c r="W2163" s="1" t="str">
        <f t="shared" si="103"/>
        <v/>
      </c>
      <c r="X2163" s="1"/>
      <c r="Y2163" s="1"/>
      <c r="Z2163" s="1"/>
      <c r="AA2163" s="1"/>
      <c r="AB2163" s="1"/>
      <c r="AC2163" s="1"/>
      <c r="AD2163" s="1">
        <f>IF($C2163="",0,SUMPRODUCT((AY_SONU!$O$7:$O$42="Evet")*(AY_SONU!$B$7:$B$42=DATE(YEAR($C2163),MONTH($C2163),1))))</f>
        <v>0</v>
      </c>
      <c r="AE2163" s="1" t="str">
        <f>IF($E2163="","",$E2163&amp;"|"&amp;COUNTIFS($E$7:$E2163,$E2163))</f>
        <v/>
      </c>
    </row>
    <row r="2164" spans="1:31" ht="18" customHeight="1" x14ac:dyDescent="0.3">
      <c r="A2164" s="2"/>
      <c r="B2164" s="65" t="str">
        <f>IF($C2164="","","GG"&amp;TEXT(ROW()-6,"00000"))</f>
        <v/>
      </c>
      <c r="C2164" s="66"/>
      <c r="D2164" s="60"/>
      <c r="E2164" s="61"/>
      <c r="F2164" s="61"/>
      <c r="G2164" s="67"/>
      <c r="H2164" s="60"/>
      <c r="I2164" s="60"/>
      <c r="J2164" s="61"/>
      <c r="K2164" s="61"/>
      <c r="L2164" s="60"/>
      <c r="M2164" s="74" t="str">
        <f>IF($C2164="","",IF($D2164="Gider",$E2164,IF($L2164&lt;&gt;"",$L2164,$H2164)))</f>
        <v/>
      </c>
      <c r="N2164" s="74" t="str">
        <f>IF($C2164="","",IF($D2164="Gider",$H2164,$E2164))</f>
        <v/>
      </c>
      <c r="O2164" s="73" t="str">
        <f>IF($C2164="","",DATE(YEAR($C2164),MONTH($C2164),1))</f>
        <v/>
      </c>
      <c r="P2164" s="65" t="str">
        <f ca="1">IF($C2164="","",IF(AND($D2164="Gelir",$L2164&lt;&gt;"",$T2164=""),"TANIMSIZ BORÇLU",IF($T2164&lt;&gt;"",IF(OR($E2164="",$G2164&lt;=0),"EKSİK",IF($I2164="Evet","TAHAKKUK NAKİT OLAMAZ",IF($C2164&gt;TODAY(),"İLERİ TARİH","TAHAKKUK"))),IF(AND($D2164&lt;&gt;"",$E2164&lt;&gt;"",$G2164&gt;0,$H2164&lt;&gt;"",$I2164&lt;&gt;""),IF($C2164&gt;TODAY(),"İLERİ TARİH",IF(COUNTIF($W$7:$W$3001,$W2164)&gt;1,"MÜKERRER?",IF($AD2164&gt;0,"KAPALI DÖNEM",IF($I2164="Hayır","ÖDENECEK","UYGUN")))),"EKSİK"))))</f>
        <v/>
      </c>
      <c r="Q2164" s="2"/>
      <c r="R2164" s="2"/>
      <c r="S2164" s="1" t="str">
        <f t="shared" si="101"/>
        <v/>
      </c>
      <c r="T2164" s="1" t="str">
        <f>IF(OR($C2164="",$D2164&lt;&gt;"Gelir",$L2164=""),"",IFERROR(INDEX(MUSTERILER!$B$7:$B$156,MATCH($S2164,MUSTERILER!$T$7:$T$156,0)),""))</f>
        <v/>
      </c>
      <c r="U2164" s="1" t="str">
        <f>IF($T2164="","",$T2164&amp;"|"&amp;COUNTIFS($T$7:$T2164,$T2164))</f>
        <v/>
      </c>
      <c r="V2164" s="1">
        <f t="shared" si="102"/>
        <v>0</v>
      </c>
      <c r="W2164" s="1" t="str">
        <f t="shared" si="103"/>
        <v/>
      </c>
      <c r="X2164" s="1"/>
      <c r="Y2164" s="1"/>
      <c r="Z2164" s="1"/>
      <c r="AA2164" s="1"/>
      <c r="AB2164" s="1"/>
      <c r="AC2164" s="1"/>
      <c r="AD2164" s="1">
        <f>IF($C2164="",0,SUMPRODUCT((AY_SONU!$O$7:$O$42="Evet")*(AY_SONU!$B$7:$B$42=DATE(YEAR($C2164),MONTH($C2164),1))))</f>
        <v>0</v>
      </c>
      <c r="AE2164" s="1" t="str">
        <f>IF($E2164="","",$E2164&amp;"|"&amp;COUNTIFS($E$7:$E2164,$E2164))</f>
        <v/>
      </c>
    </row>
    <row r="2165" spans="1:31" ht="18" customHeight="1" x14ac:dyDescent="0.3">
      <c r="A2165" s="2"/>
      <c r="B2165" s="65" t="str">
        <f>IF($C2165="","","GG"&amp;TEXT(ROW()-6,"00000"))</f>
        <v/>
      </c>
      <c r="C2165" s="66"/>
      <c r="D2165" s="60"/>
      <c r="E2165" s="61"/>
      <c r="F2165" s="61"/>
      <c r="G2165" s="67"/>
      <c r="H2165" s="60"/>
      <c r="I2165" s="60"/>
      <c r="J2165" s="61"/>
      <c r="K2165" s="61"/>
      <c r="L2165" s="60"/>
      <c r="M2165" s="74" t="str">
        <f>IF($C2165="","",IF($D2165="Gider",$E2165,IF($L2165&lt;&gt;"",$L2165,$H2165)))</f>
        <v/>
      </c>
      <c r="N2165" s="74" t="str">
        <f>IF($C2165="","",IF($D2165="Gider",$H2165,$E2165))</f>
        <v/>
      </c>
      <c r="O2165" s="73" t="str">
        <f>IF($C2165="","",DATE(YEAR($C2165),MONTH($C2165),1))</f>
        <v/>
      </c>
      <c r="P2165" s="65" t="str">
        <f ca="1">IF($C2165="","",IF(AND($D2165="Gelir",$L2165&lt;&gt;"",$T2165=""),"TANIMSIZ BORÇLU",IF($T2165&lt;&gt;"",IF(OR($E2165="",$G2165&lt;=0),"EKSİK",IF($I2165="Evet","TAHAKKUK NAKİT OLAMAZ",IF($C2165&gt;TODAY(),"İLERİ TARİH","TAHAKKUK"))),IF(AND($D2165&lt;&gt;"",$E2165&lt;&gt;"",$G2165&gt;0,$H2165&lt;&gt;"",$I2165&lt;&gt;""),IF($C2165&gt;TODAY(),"İLERİ TARİH",IF(COUNTIF($W$7:$W$3001,$W2165)&gt;1,"MÜKERRER?",IF($AD2165&gt;0,"KAPALI DÖNEM",IF($I2165="Hayır","ÖDENECEK","UYGUN")))),"EKSİK"))))</f>
        <v/>
      </c>
      <c r="Q2165" s="2"/>
      <c r="R2165" s="2"/>
      <c r="S2165" s="1" t="str">
        <f t="shared" si="101"/>
        <v/>
      </c>
      <c r="T2165" s="1" t="str">
        <f>IF(OR($C2165="",$D2165&lt;&gt;"Gelir",$L2165=""),"",IFERROR(INDEX(MUSTERILER!$B$7:$B$156,MATCH($S2165,MUSTERILER!$T$7:$T$156,0)),""))</f>
        <v/>
      </c>
      <c r="U2165" s="1" t="str">
        <f>IF($T2165="","",$T2165&amp;"|"&amp;COUNTIFS($T$7:$T2165,$T2165))</f>
        <v/>
      </c>
      <c r="V2165" s="1">
        <f t="shared" si="102"/>
        <v>0</v>
      </c>
      <c r="W2165" s="1" t="str">
        <f t="shared" si="103"/>
        <v/>
      </c>
      <c r="X2165" s="1"/>
      <c r="Y2165" s="1"/>
      <c r="Z2165" s="1"/>
      <c r="AA2165" s="1"/>
      <c r="AB2165" s="1"/>
      <c r="AC2165" s="1"/>
      <c r="AD2165" s="1">
        <f>IF($C2165="",0,SUMPRODUCT((AY_SONU!$O$7:$O$42="Evet")*(AY_SONU!$B$7:$B$42=DATE(YEAR($C2165),MONTH($C2165),1))))</f>
        <v>0</v>
      </c>
      <c r="AE2165" s="1" t="str">
        <f>IF($E2165="","",$E2165&amp;"|"&amp;COUNTIFS($E$7:$E2165,$E2165))</f>
        <v/>
      </c>
    </row>
    <row r="2166" spans="1:31" ht="18" customHeight="1" x14ac:dyDescent="0.3">
      <c r="A2166" s="2"/>
      <c r="B2166" s="65" t="str">
        <f>IF($C2166="","","GG"&amp;TEXT(ROW()-6,"00000"))</f>
        <v/>
      </c>
      <c r="C2166" s="66"/>
      <c r="D2166" s="60"/>
      <c r="E2166" s="61"/>
      <c r="F2166" s="61"/>
      <c r="G2166" s="67"/>
      <c r="H2166" s="60"/>
      <c r="I2166" s="60"/>
      <c r="J2166" s="61"/>
      <c r="K2166" s="61"/>
      <c r="L2166" s="60"/>
      <c r="M2166" s="74" t="str">
        <f>IF($C2166="","",IF($D2166="Gider",$E2166,IF($L2166&lt;&gt;"",$L2166,$H2166)))</f>
        <v/>
      </c>
      <c r="N2166" s="74" t="str">
        <f>IF($C2166="","",IF($D2166="Gider",$H2166,$E2166))</f>
        <v/>
      </c>
      <c r="O2166" s="73" t="str">
        <f>IF($C2166="","",DATE(YEAR($C2166),MONTH($C2166),1))</f>
        <v/>
      </c>
      <c r="P2166" s="65" t="str">
        <f ca="1">IF($C2166="","",IF(AND($D2166="Gelir",$L2166&lt;&gt;"",$T2166=""),"TANIMSIZ BORÇLU",IF($T2166&lt;&gt;"",IF(OR($E2166="",$G2166&lt;=0),"EKSİK",IF($I2166="Evet","TAHAKKUK NAKİT OLAMAZ",IF($C2166&gt;TODAY(),"İLERİ TARİH","TAHAKKUK"))),IF(AND($D2166&lt;&gt;"",$E2166&lt;&gt;"",$G2166&gt;0,$H2166&lt;&gt;"",$I2166&lt;&gt;""),IF($C2166&gt;TODAY(),"İLERİ TARİH",IF(COUNTIF($W$7:$W$3001,$W2166)&gt;1,"MÜKERRER?",IF($AD2166&gt;0,"KAPALI DÖNEM",IF($I2166="Hayır","ÖDENECEK","UYGUN")))),"EKSİK"))))</f>
        <v/>
      </c>
      <c r="Q2166" s="2"/>
      <c r="R2166" s="2"/>
      <c r="S2166" s="1" t="str">
        <f t="shared" si="101"/>
        <v/>
      </c>
      <c r="T2166" s="1" t="str">
        <f>IF(OR($C2166="",$D2166&lt;&gt;"Gelir",$L2166=""),"",IFERROR(INDEX(MUSTERILER!$B$7:$B$156,MATCH($S2166,MUSTERILER!$T$7:$T$156,0)),""))</f>
        <v/>
      </c>
      <c r="U2166" s="1" t="str">
        <f>IF($T2166="","",$T2166&amp;"|"&amp;COUNTIFS($T$7:$T2166,$T2166))</f>
        <v/>
      </c>
      <c r="V2166" s="1">
        <f t="shared" si="102"/>
        <v>0</v>
      </c>
      <c r="W2166" s="1" t="str">
        <f t="shared" si="103"/>
        <v/>
      </c>
      <c r="X2166" s="1"/>
      <c r="Y2166" s="1"/>
      <c r="Z2166" s="1"/>
      <c r="AA2166" s="1"/>
      <c r="AB2166" s="1"/>
      <c r="AC2166" s="1"/>
      <c r="AD2166" s="1">
        <f>IF($C2166="",0,SUMPRODUCT((AY_SONU!$O$7:$O$42="Evet")*(AY_SONU!$B$7:$B$42=DATE(YEAR($C2166),MONTH($C2166),1))))</f>
        <v>0</v>
      </c>
      <c r="AE2166" s="1" t="str">
        <f>IF($E2166="","",$E2166&amp;"|"&amp;COUNTIFS($E$7:$E2166,$E2166))</f>
        <v/>
      </c>
    </row>
    <row r="2167" spans="1:31" ht="18" customHeight="1" x14ac:dyDescent="0.3">
      <c r="A2167" s="2"/>
      <c r="B2167" s="65" t="str">
        <f>IF($C2167="","","GG"&amp;TEXT(ROW()-6,"00000"))</f>
        <v/>
      </c>
      <c r="C2167" s="66"/>
      <c r="D2167" s="60"/>
      <c r="E2167" s="61"/>
      <c r="F2167" s="61"/>
      <c r="G2167" s="67"/>
      <c r="H2167" s="60"/>
      <c r="I2167" s="60"/>
      <c r="J2167" s="61"/>
      <c r="K2167" s="61"/>
      <c r="L2167" s="60"/>
      <c r="M2167" s="74" t="str">
        <f>IF($C2167="","",IF($D2167="Gider",$E2167,IF($L2167&lt;&gt;"",$L2167,$H2167)))</f>
        <v/>
      </c>
      <c r="N2167" s="74" t="str">
        <f>IF($C2167="","",IF($D2167="Gider",$H2167,$E2167))</f>
        <v/>
      </c>
      <c r="O2167" s="73" t="str">
        <f>IF($C2167="","",DATE(YEAR($C2167),MONTH($C2167),1))</f>
        <v/>
      </c>
      <c r="P2167" s="65" t="str">
        <f ca="1">IF($C2167="","",IF(AND($D2167="Gelir",$L2167&lt;&gt;"",$T2167=""),"TANIMSIZ BORÇLU",IF($T2167&lt;&gt;"",IF(OR($E2167="",$G2167&lt;=0),"EKSİK",IF($I2167="Evet","TAHAKKUK NAKİT OLAMAZ",IF($C2167&gt;TODAY(),"İLERİ TARİH","TAHAKKUK"))),IF(AND($D2167&lt;&gt;"",$E2167&lt;&gt;"",$G2167&gt;0,$H2167&lt;&gt;"",$I2167&lt;&gt;""),IF($C2167&gt;TODAY(),"İLERİ TARİH",IF(COUNTIF($W$7:$W$3001,$W2167)&gt;1,"MÜKERRER?",IF($AD2167&gt;0,"KAPALI DÖNEM",IF($I2167="Hayır","ÖDENECEK","UYGUN")))),"EKSİK"))))</f>
        <v/>
      </c>
      <c r="Q2167" s="2"/>
      <c r="R2167" s="2"/>
      <c r="S2167" s="1" t="str">
        <f t="shared" si="101"/>
        <v/>
      </c>
      <c r="T2167" s="1" t="str">
        <f>IF(OR($C2167="",$D2167&lt;&gt;"Gelir",$L2167=""),"",IFERROR(INDEX(MUSTERILER!$B$7:$B$156,MATCH($S2167,MUSTERILER!$T$7:$T$156,0)),""))</f>
        <v/>
      </c>
      <c r="U2167" s="1" t="str">
        <f>IF($T2167="","",$T2167&amp;"|"&amp;COUNTIFS($T$7:$T2167,$T2167))</f>
        <v/>
      </c>
      <c r="V2167" s="1">
        <f t="shared" si="102"/>
        <v>0</v>
      </c>
      <c r="W2167" s="1" t="str">
        <f t="shared" si="103"/>
        <v/>
      </c>
      <c r="X2167" s="1"/>
      <c r="Y2167" s="1"/>
      <c r="Z2167" s="1"/>
      <c r="AA2167" s="1"/>
      <c r="AB2167" s="1"/>
      <c r="AC2167" s="1"/>
      <c r="AD2167" s="1">
        <f>IF($C2167="",0,SUMPRODUCT((AY_SONU!$O$7:$O$42="Evet")*(AY_SONU!$B$7:$B$42=DATE(YEAR($C2167),MONTH($C2167),1))))</f>
        <v>0</v>
      </c>
      <c r="AE2167" s="1" t="str">
        <f>IF($E2167="","",$E2167&amp;"|"&amp;COUNTIFS($E$7:$E2167,$E2167))</f>
        <v/>
      </c>
    </row>
    <row r="2168" spans="1:31" ht="18" customHeight="1" x14ac:dyDescent="0.3">
      <c r="A2168" s="2"/>
      <c r="B2168" s="65" t="str">
        <f>IF($C2168="","","GG"&amp;TEXT(ROW()-6,"00000"))</f>
        <v/>
      </c>
      <c r="C2168" s="66"/>
      <c r="D2168" s="60"/>
      <c r="E2168" s="61"/>
      <c r="F2168" s="61"/>
      <c r="G2168" s="67"/>
      <c r="H2168" s="60"/>
      <c r="I2168" s="60"/>
      <c r="J2168" s="61"/>
      <c r="K2168" s="61"/>
      <c r="L2168" s="60"/>
      <c r="M2168" s="74" t="str">
        <f>IF($C2168="","",IF($D2168="Gider",$E2168,IF($L2168&lt;&gt;"",$L2168,$H2168)))</f>
        <v/>
      </c>
      <c r="N2168" s="74" t="str">
        <f>IF($C2168="","",IF($D2168="Gider",$H2168,$E2168))</f>
        <v/>
      </c>
      <c r="O2168" s="73" t="str">
        <f>IF($C2168="","",DATE(YEAR($C2168),MONTH($C2168),1))</f>
        <v/>
      </c>
      <c r="P2168" s="65" t="str">
        <f ca="1">IF($C2168="","",IF(AND($D2168="Gelir",$L2168&lt;&gt;"",$T2168=""),"TANIMSIZ BORÇLU",IF($T2168&lt;&gt;"",IF(OR($E2168="",$G2168&lt;=0),"EKSİK",IF($I2168="Evet","TAHAKKUK NAKİT OLAMAZ",IF($C2168&gt;TODAY(),"İLERİ TARİH","TAHAKKUK"))),IF(AND($D2168&lt;&gt;"",$E2168&lt;&gt;"",$G2168&gt;0,$H2168&lt;&gt;"",$I2168&lt;&gt;""),IF($C2168&gt;TODAY(),"İLERİ TARİH",IF(COUNTIF($W$7:$W$3001,$W2168)&gt;1,"MÜKERRER?",IF($AD2168&gt;0,"KAPALI DÖNEM",IF($I2168="Hayır","ÖDENECEK","UYGUN")))),"EKSİK"))))</f>
        <v/>
      </c>
      <c r="Q2168" s="2"/>
      <c r="R2168" s="2"/>
      <c r="S2168" s="1" t="str">
        <f t="shared" si="101"/>
        <v/>
      </c>
      <c r="T2168" s="1" t="str">
        <f>IF(OR($C2168="",$D2168&lt;&gt;"Gelir",$L2168=""),"",IFERROR(INDEX(MUSTERILER!$B$7:$B$156,MATCH($S2168,MUSTERILER!$T$7:$T$156,0)),""))</f>
        <v/>
      </c>
      <c r="U2168" s="1" t="str">
        <f>IF($T2168="","",$T2168&amp;"|"&amp;COUNTIFS($T$7:$T2168,$T2168))</f>
        <v/>
      </c>
      <c r="V2168" s="1">
        <f t="shared" si="102"/>
        <v>0</v>
      </c>
      <c r="W2168" s="1" t="str">
        <f t="shared" si="103"/>
        <v/>
      </c>
      <c r="X2168" s="1"/>
      <c r="Y2168" s="1"/>
      <c r="Z2168" s="1"/>
      <c r="AA2168" s="1"/>
      <c r="AB2168" s="1"/>
      <c r="AC2168" s="1"/>
      <c r="AD2168" s="1">
        <f>IF($C2168="",0,SUMPRODUCT((AY_SONU!$O$7:$O$42="Evet")*(AY_SONU!$B$7:$B$42=DATE(YEAR($C2168),MONTH($C2168),1))))</f>
        <v>0</v>
      </c>
      <c r="AE2168" s="1" t="str">
        <f>IF($E2168="","",$E2168&amp;"|"&amp;COUNTIFS($E$7:$E2168,$E2168))</f>
        <v/>
      </c>
    </row>
    <row r="2169" spans="1:31" ht="18" customHeight="1" x14ac:dyDescent="0.3">
      <c r="A2169" s="2"/>
      <c r="B2169" s="65" t="str">
        <f>IF($C2169="","","GG"&amp;TEXT(ROW()-6,"00000"))</f>
        <v/>
      </c>
      <c r="C2169" s="66"/>
      <c r="D2169" s="60"/>
      <c r="E2169" s="61"/>
      <c r="F2169" s="61"/>
      <c r="G2169" s="67"/>
      <c r="H2169" s="60"/>
      <c r="I2169" s="60"/>
      <c r="J2169" s="61"/>
      <c r="K2169" s="61"/>
      <c r="L2169" s="60"/>
      <c r="M2169" s="74" t="str">
        <f>IF($C2169="","",IF($D2169="Gider",$E2169,IF($L2169&lt;&gt;"",$L2169,$H2169)))</f>
        <v/>
      </c>
      <c r="N2169" s="74" t="str">
        <f>IF($C2169="","",IF($D2169="Gider",$H2169,$E2169))</f>
        <v/>
      </c>
      <c r="O2169" s="73" t="str">
        <f>IF($C2169="","",DATE(YEAR($C2169),MONTH($C2169),1))</f>
        <v/>
      </c>
      <c r="P2169" s="65" t="str">
        <f ca="1">IF($C2169="","",IF(AND($D2169="Gelir",$L2169&lt;&gt;"",$T2169=""),"TANIMSIZ BORÇLU",IF($T2169&lt;&gt;"",IF(OR($E2169="",$G2169&lt;=0),"EKSİK",IF($I2169="Evet","TAHAKKUK NAKİT OLAMAZ",IF($C2169&gt;TODAY(),"İLERİ TARİH","TAHAKKUK"))),IF(AND($D2169&lt;&gt;"",$E2169&lt;&gt;"",$G2169&gt;0,$H2169&lt;&gt;"",$I2169&lt;&gt;""),IF($C2169&gt;TODAY(),"İLERİ TARİH",IF(COUNTIF($W$7:$W$3001,$W2169)&gt;1,"MÜKERRER?",IF($AD2169&gt;0,"KAPALI DÖNEM",IF($I2169="Hayır","ÖDENECEK","UYGUN")))),"EKSİK"))))</f>
        <v/>
      </c>
      <c r="Q2169" s="2"/>
      <c r="R2169" s="2"/>
      <c r="S2169" s="1" t="str">
        <f t="shared" si="101"/>
        <v/>
      </c>
      <c r="T2169" s="1" t="str">
        <f>IF(OR($C2169="",$D2169&lt;&gt;"Gelir",$L2169=""),"",IFERROR(INDEX(MUSTERILER!$B$7:$B$156,MATCH($S2169,MUSTERILER!$T$7:$T$156,0)),""))</f>
        <v/>
      </c>
      <c r="U2169" s="1" t="str">
        <f>IF($T2169="","",$T2169&amp;"|"&amp;COUNTIFS($T$7:$T2169,$T2169))</f>
        <v/>
      </c>
      <c r="V2169" s="1">
        <f t="shared" si="102"/>
        <v>0</v>
      </c>
      <c r="W2169" s="1" t="str">
        <f t="shared" si="103"/>
        <v/>
      </c>
      <c r="X2169" s="1"/>
      <c r="Y2169" s="1"/>
      <c r="Z2169" s="1"/>
      <c r="AA2169" s="1"/>
      <c r="AB2169" s="1"/>
      <c r="AC2169" s="1"/>
      <c r="AD2169" s="1">
        <f>IF($C2169="",0,SUMPRODUCT((AY_SONU!$O$7:$O$42="Evet")*(AY_SONU!$B$7:$B$42=DATE(YEAR($C2169),MONTH($C2169),1))))</f>
        <v>0</v>
      </c>
      <c r="AE2169" s="1" t="str">
        <f>IF($E2169="","",$E2169&amp;"|"&amp;COUNTIFS($E$7:$E2169,$E2169))</f>
        <v/>
      </c>
    </row>
    <row r="2170" spans="1:31" ht="18" customHeight="1" x14ac:dyDescent="0.3">
      <c r="A2170" s="2"/>
      <c r="B2170" s="65" t="str">
        <f>IF($C2170="","","GG"&amp;TEXT(ROW()-6,"00000"))</f>
        <v/>
      </c>
      <c r="C2170" s="66"/>
      <c r="D2170" s="60"/>
      <c r="E2170" s="61"/>
      <c r="F2170" s="61"/>
      <c r="G2170" s="67"/>
      <c r="H2170" s="60"/>
      <c r="I2170" s="60"/>
      <c r="J2170" s="61"/>
      <c r="K2170" s="61"/>
      <c r="L2170" s="60"/>
      <c r="M2170" s="74" t="str">
        <f>IF($C2170="","",IF($D2170="Gider",$E2170,IF($L2170&lt;&gt;"",$L2170,$H2170)))</f>
        <v/>
      </c>
      <c r="N2170" s="74" t="str">
        <f>IF($C2170="","",IF($D2170="Gider",$H2170,$E2170))</f>
        <v/>
      </c>
      <c r="O2170" s="73" t="str">
        <f>IF($C2170="","",DATE(YEAR($C2170),MONTH($C2170),1))</f>
        <v/>
      </c>
      <c r="P2170" s="65" t="str">
        <f ca="1">IF($C2170="","",IF(AND($D2170="Gelir",$L2170&lt;&gt;"",$T2170=""),"TANIMSIZ BORÇLU",IF($T2170&lt;&gt;"",IF(OR($E2170="",$G2170&lt;=0),"EKSİK",IF($I2170="Evet","TAHAKKUK NAKİT OLAMAZ",IF($C2170&gt;TODAY(),"İLERİ TARİH","TAHAKKUK"))),IF(AND($D2170&lt;&gt;"",$E2170&lt;&gt;"",$G2170&gt;0,$H2170&lt;&gt;"",$I2170&lt;&gt;""),IF($C2170&gt;TODAY(),"İLERİ TARİH",IF(COUNTIF($W$7:$W$3001,$W2170)&gt;1,"MÜKERRER?",IF($AD2170&gt;0,"KAPALI DÖNEM",IF($I2170="Hayır","ÖDENECEK","UYGUN")))),"EKSİK"))))</f>
        <v/>
      </c>
      <c r="Q2170" s="2"/>
      <c r="R2170" s="2"/>
      <c r="S2170" s="1" t="str">
        <f t="shared" si="101"/>
        <v/>
      </c>
      <c r="T2170" s="1" t="str">
        <f>IF(OR($C2170="",$D2170&lt;&gt;"Gelir",$L2170=""),"",IFERROR(INDEX(MUSTERILER!$B$7:$B$156,MATCH($S2170,MUSTERILER!$T$7:$T$156,0)),""))</f>
        <v/>
      </c>
      <c r="U2170" s="1" t="str">
        <f>IF($T2170="","",$T2170&amp;"|"&amp;COUNTIFS($T$7:$T2170,$T2170))</f>
        <v/>
      </c>
      <c r="V2170" s="1">
        <f t="shared" si="102"/>
        <v>0</v>
      </c>
      <c r="W2170" s="1" t="str">
        <f t="shared" si="103"/>
        <v/>
      </c>
      <c r="X2170" s="1"/>
      <c r="Y2170" s="1"/>
      <c r="Z2170" s="1"/>
      <c r="AA2170" s="1"/>
      <c r="AB2170" s="1"/>
      <c r="AC2170" s="1"/>
      <c r="AD2170" s="1">
        <f>IF($C2170="",0,SUMPRODUCT((AY_SONU!$O$7:$O$42="Evet")*(AY_SONU!$B$7:$B$42=DATE(YEAR($C2170),MONTH($C2170),1))))</f>
        <v>0</v>
      </c>
      <c r="AE2170" s="1" t="str">
        <f>IF($E2170="","",$E2170&amp;"|"&amp;COUNTIFS($E$7:$E2170,$E2170))</f>
        <v/>
      </c>
    </row>
    <row r="2171" spans="1:31" ht="18" customHeight="1" x14ac:dyDescent="0.3">
      <c r="A2171" s="2"/>
      <c r="B2171" s="65" t="str">
        <f>IF($C2171="","","GG"&amp;TEXT(ROW()-6,"00000"))</f>
        <v/>
      </c>
      <c r="C2171" s="66"/>
      <c r="D2171" s="60"/>
      <c r="E2171" s="61"/>
      <c r="F2171" s="61"/>
      <c r="G2171" s="67"/>
      <c r="H2171" s="60"/>
      <c r="I2171" s="60"/>
      <c r="J2171" s="61"/>
      <c r="K2171" s="61"/>
      <c r="L2171" s="60"/>
      <c r="M2171" s="74" t="str">
        <f>IF($C2171="","",IF($D2171="Gider",$E2171,IF($L2171&lt;&gt;"",$L2171,$H2171)))</f>
        <v/>
      </c>
      <c r="N2171" s="74" t="str">
        <f>IF($C2171="","",IF($D2171="Gider",$H2171,$E2171))</f>
        <v/>
      </c>
      <c r="O2171" s="73" t="str">
        <f>IF($C2171="","",DATE(YEAR($C2171),MONTH($C2171),1))</f>
        <v/>
      </c>
      <c r="P2171" s="65" t="str">
        <f ca="1">IF($C2171="","",IF(AND($D2171="Gelir",$L2171&lt;&gt;"",$T2171=""),"TANIMSIZ BORÇLU",IF($T2171&lt;&gt;"",IF(OR($E2171="",$G2171&lt;=0),"EKSİK",IF($I2171="Evet","TAHAKKUK NAKİT OLAMAZ",IF($C2171&gt;TODAY(),"İLERİ TARİH","TAHAKKUK"))),IF(AND($D2171&lt;&gt;"",$E2171&lt;&gt;"",$G2171&gt;0,$H2171&lt;&gt;"",$I2171&lt;&gt;""),IF($C2171&gt;TODAY(),"İLERİ TARİH",IF(COUNTIF($W$7:$W$3001,$W2171)&gt;1,"MÜKERRER?",IF($AD2171&gt;0,"KAPALI DÖNEM",IF($I2171="Hayır","ÖDENECEK","UYGUN")))),"EKSİK"))))</f>
        <v/>
      </c>
      <c r="Q2171" s="2"/>
      <c r="R2171" s="2"/>
      <c r="S2171" s="1" t="str">
        <f t="shared" si="101"/>
        <v/>
      </c>
      <c r="T2171" s="1" t="str">
        <f>IF(OR($C2171="",$D2171&lt;&gt;"Gelir",$L2171=""),"",IFERROR(INDEX(MUSTERILER!$B$7:$B$156,MATCH($S2171,MUSTERILER!$T$7:$T$156,0)),""))</f>
        <v/>
      </c>
      <c r="U2171" s="1" t="str">
        <f>IF($T2171="","",$T2171&amp;"|"&amp;COUNTIFS($T$7:$T2171,$T2171))</f>
        <v/>
      </c>
      <c r="V2171" s="1">
        <f t="shared" si="102"/>
        <v>0</v>
      </c>
      <c r="W2171" s="1" t="str">
        <f t="shared" si="103"/>
        <v/>
      </c>
      <c r="X2171" s="1"/>
      <c r="Y2171" s="1"/>
      <c r="Z2171" s="1"/>
      <c r="AA2171" s="1"/>
      <c r="AB2171" s="1"/>
      <c r="AC2171" s="1"/>
      <c r="AD2171" s="1">
        <f>IF($C2171="",0,SUMPRODUCT((AY_SONU!$O$7:$O$42="Evet")*(AY_SONU!$B$7:$B$42=DATE(YEAR($C2171),MONTH($C2171),1))))</f>
        <v>0</v>
      </c>
      <c r="AE2171" s="1" t="str">
        <f>IF($E2171="","",$E2171&amp;"|"&amp;COUNTIFS($E$7:$E2171,$E2171))</f>
        <v/>
      </c>
    </row>
    <row r="2172" spans="1:31" ht="18" customHeight="1" x14ac:dyDescent="0.3">
      <c r="A2172" s="2"/>
      <c r="B2172" s="65" t="str">
        <f>IF($C2172="","","GG"&amp;TEXT(ROW()-6,"00000"))</f>
        <v/>
      </c>
      <c r="C2172" s="66"/>
      <c r="D2172" s="60"/>
      <c r="E2172" s="61"/>
      <c r="F2172" s="61"/>
      <c r="G2172" s="67"/>
      <c r="H2172" s="60"/>
      <c r="I2172" s="60"/>
      <c r="J2172" s="61"/>
      <c r="K2172" s="61"/>
      <c r="L2172" s="60"/>
      <c r="M2172" s="74" t="str">
        <f>IF($C2172="","",IF($D2172="Gider",$E2172,IF($L2172&lt;&gt;"",$L2172,$H2172)))</f>
        <v/>
      </c>
      <c r="N2172" s="74" t="str">
        <f>IF($C2172="","",IF($D2172="Gider",$H2172,$E2172))</f>
        <v/>
      </c>
      <c r="O2172" s="73" t="str">
        <f>IF($C2172="","",DATE(YEAR($C2172),MONTH($C2172),1))</f>
        <v/>
      </c>
      <c r="P2172" s="65" t="str">
        <f ca="1">IF($C2172="","",IF(AND($D2172="Gelir",$L2172&lt;&gt;"",$T2172=""),"TANIMSIZ BORÇLU",IF($T2172&lt;&gt;"",IF(OR($E2172="",$G2172&lt;=0),"EKSİK",IF($I2172="Evet","TAHAKKUK NAKİT OLAMAZ",IF($C2172&gt;TODAY(),"İLERİ TARİH","TAHAKKUK"))),IF(AND($D2172&lt;&gt;"",$E2172&lt;&gt;"",$G2172&gt;0,$H2172&lt;&gt;"",$I2172&lt;&gt;""),IF($C2172&gt;TODAY(),"İLERİ TARİH",IF(COUNTIF($W$7:$W$3001,$W2172)&gt;1,"MÜKERRER?",IF($AD2172&gt;0,"KAPALI DÖNEM",IF($I2172="Hayır","ÖDENECEK","UYGUN")))),"EKSİK"))))</f>
        <v/>
      </c>
      <c r="Q2172" s="2"/>
      <c r="R2172" s="2"/>
      <c r="S2172" s="1" t="str">
        <f t="shared" si="101"/>
        <v/>
      </c>
      <c r="T2172" s="1" t="str">
        <f>IF(OR($C2172="",$D2172&lt;&gt;"Gelir",$L2172=""),"",IFERROR(INDEX(MUSTERILER!$B$7:$B$156,MATCH($S2172,MUSTERILER!$T$7:$T$156,0)),""))</f>
        <v/>
      </c>
      <c r="U2172" s="1" t="str">
        <f>IF($T2172="","",$T2172&amp;"|"&amp;COUNTIFS($T$7:$T2172,$T2172))</f>
        <v/>
      </c>
      <c r="V2172" s="1">
        <f t="shared" si="102"/>
        <v>0</v>
      </c>
      <c r="W2172" s="1" t="str">
        <f t="shared" si="103"/>
        <v/>
      </c>
      <c r="X2172" s="1"/>
      <c r="Y2172" s="1"/>
      <c r="Z2172" s="1"/>
      <c r="AA2172" s="1"/>
      <c r="AB2172" s="1"/>
      <c r="AC2172" s="1"/>
      <c r="AD2172" s="1">
        <f>IF($C2172="",0,SUMPRODUCT((AY_SONU!$O$7:$O$42="Evet")*(AY_SONU!$B$7:$B$42=DATE(YEAR($C2172),MONTH($C2172),1))))</f>
        <v>0</v>
      </c>
      <c r="AE2172" s="1" t="str">
        <f>IF($E2172="","",$E2172&amp;"|"&amp;COUNTIFS($E$7:$E2172,$E2172))</f>
        <v/>
      </c>
    </row>
    <row r="2173" spans="1:31" ht="18" customHeight="1" x14ac:dyDescent="0.3">
      <c r="A2173" s="2"/>
      <c r="B2173" s="65" t="str">
        <f>IF($C2173="","","GG"&amp;TEXT(ROW()-6,"00000"))</f>
        <v/>
      </c>
      <c r="C2173" s="66"/>
      <c r="D2173" s="60"/>
      <c r="E2173" s="61"/>
      <c r="F2173" s="61"/>
      <c r="G2173" s="67"/>
      <c r="H2173" s="60"/>
      <c r="I2173" s="60"/>
      <c r="J2173" s="61"/>
      <c r="K2173" s="61"/>
      <c r="L2173" s="60"/>
      <c r="M2173" s="74" t="str">
        <f>IF($C2173="","",IF($D2173="Gider",$E2173,IF($L2173&lt;&gt;"",$L2173,$H2173)))</f>
        <v/>
      </c>
      <c r="N2173" s="74" t="str">
        <f>IF($C2173="","",IF($D2173="Gider",$H2173,$E2173))</f>
        <v/>
      </c>
      <c r="O2173" s="73" t="str">
        <f>IF($C2173="","",DATE(YEAR($C2173),MONTH($C2173),1))</f>
        <v/>
      </c>
      <c r="P2173" s="65" t="str">
        <f ca="1">IF($C2173="","",IF(AND($D2173="Gelir",$L2173&lt;&gt;"",$T2173=""),"TANIMSIZ BORÇLU",IF($T2173&lt;&gt;"",IF(OR($E2173="",$G2173&lt;=0),"EKSİK",IF($I2173="Evet","TAHAKKUK NAKİT OLAMAZ",IF($C2173&gt;TODAY(),"İLERİ TARİH","TAHAKKUK"))),IF(AND($D2173&lt;&gt;"",$E2173&lt;&gt;"",$G2173&gt;0,$H2173&lt;&gt;"",$I2173&lt;&gt;""),IF($C2173&gt;TODAY(),"İLERİ TARİH",IF(COUNTIF($W$7:$W$3001,$W2173)&gt;1,"MÜKERRER?",IF($AD2173&gt;0,"KAPALI DÖNEM",IF($I2173="Hayır","ÖDENECEK","UYGUN")))),"EKSİK"))))</f>
        <v/>
      </c>
      <c r="Q2173" s="2"/>
      <c r="R2173" s="2"/>
      <c r="S2173" s="1" t="str">
        <f t="shared" si="101"/>
        <v/>
      </c>
      <c r="T2173" s="1" t="str">
        <f>IF(OR($C2173="",$D2173&lt;&gt;"Gelir",$L2173=""),"",IFERROR(INDEX(MUSTERILER!$B$7:$B$156,MATCH($S2173,MUSTERILER!$T$7:$T$156,0)),""))</f>
        <v/>
      </c>
      <c r="U2173" s="1" t="str">
        <f>IF($T2173="","",$T2173&amp;"|"&amp;COUNTIFS($T$7:$T2173,$T2173))</f>
        <v/>
      </c>
      <c r="V2173" s="1">
        <f t="shared" si="102"/>
        <v>0</v>
      </c>
      <c r="W2173" s="1" t="str">
        <f t="shared" si="103"/>
        <v/>
      </c>
      <c r="X2173" s="1"/>
      <c r="Y2173" s="1"/>
      <c r="Z2173" s="1"/>
      <c r="AA2173" s="1"/>
      <c r="AB2173" s="1"/>
      <c r="AC2173" s="1"/>
      <c r="AD2173" s="1">
        <f>IF($C2173="",0,SUMPRODUCT((AY_SONU!$O$7:$O$42="Evet")*(AY_SONU!$B$7:$B$42=DATE(YEAR($C2173),MONTH($C2173),1))))</f>
        <v>0</v>
      </c>
      <c r="AE2173" s="1" t="str">
        <f>IF($E2173="","",$E2173&amp;"|"&amp;COUNTIFS($E$7:$E2173,$E2173))</f>
        <v/>
      </c>
    </row>
    <row r="2174" spans="1:31" ht="18" customHeight="1" x14ac:dyDescent="0.3">
      <c r="A2174" s="2"/>
      <c r="B2174" s="65" t="str">
        <f>IF($C2174="","","GG"&amp;TEXT(ROW()-6,"00000"))</f>
        <v/>
      </c>
      <c r="C2174" s="66"/>
      <c r="D2174" s="60"/>
      <c r="E2174" s="61"/>
      <c r="F2174" s="61"/>
      <c r="G2174" s="67"/>
      <c r="H2174" s="60"/>
      <c r="I2174" s="60"/>
      <c r="J2174" s="61"/>
      <c r="K2174" s="61"/>
      <c r="L2174" s="60"/>
      <c r="M2174" s="74" t="str">
        <f>IF($C2174="","",IF($D2174="Gider",$E2174,IF($L2174&lt;&gt;"",$L2174,$H2174)))</f>
        <v/>
      </c>
      <c r="N2174" s="74" t="str">
        <f>IF($C2174="","",IF($D2174="Gider",$H2174,$E2174))</f>
        <v/>
      </c>
      <c r="O2174" s="73" t="str">
        <f>IF($C2174="","",DATE(YEAR($C2174),MONTH($C2174),1))</f>
        <v/>
      </c>
      <c r="P2174" s="65" t="str">
        <f ca="1">IF($C2174="","",IF(AND($D2174="Gelir",$L2174&lt;&gt;"",$T2174=""),"TANIMSIZ BORÇLU",IF($T2174&lt;&gt;"",IF(OR($E2174="",$G2174&lt;=0),"EKSİK",IF($I2174="Evet","TAHAKKUK NAKİT OLAMAZ",IF($C2174&gt;TODAY(),"İLERİ TARİH","TAHAKKUK"))),IF(AND($D2174&lt;&gt;"",$E2174&lt;&gt;"",$G2174&gt;0,$H2174&lt;&gt;"",$I2174&lt;&gt;""),IF($C2174&gt;TODAY(),"İLERİ TARİH",IF(COUNTIF($W$7:$W$3001,$W2174)&gt;1,"MÜKERRER?",IF($AD2174&gt;0,"KAPALI DÖNEM",IF($I2174="Hayır","ÖDENECEK","UYGUN")))),"EKSİK"))))</f>
        <v/>
      </c>
      <c r="Q2174" s="2"/>
      <c r="R2174" s="2"/>
      <c r="S2174" s="1" t="str">
        <f t="shared" si="101"/>
        <v/>
      </c>
      <c r="T2174" s="1" t="str">
        <f>IF(OR($C2174="",$D2174&lt;&gt;"Gelir",$L2174=""),"",IFERROR(INDEX(MUSTERILER!$B$7:$B$156,MATCH($S2174,MUSTERILER!$T$7:$T$156,0)),""))</f>
        <v/>
      </c>
      <c r="U2174" s="1" t="str">
        <f>IF($T2174="","",$T2174&amp;"|"&amp;COUNTIFS($T$7:$T2174,$T2174))</f>
        <v/>
      </c>
      <c r="V2174" s="1">
        <f t="shared" si="102"/>
        <v>0</v>
      </c>
      <c r="W2174" s="1" t="str">
        <f t="shared" si="103"/>
        <v/>
      </c>
      <c r="X2174" s="1"/>
      <c r="Y2174" s="1"/>
      <c r="Z2174" s="1"/>
      <c r="AA2174" s="1"/>
      <c r="AB2174" s="1"/>
      <c r="AC2174" s="1"/>
      <c r="AD2174" s="1">
        <f>IF($C2174="",0,SUMPRODUCT((AY_SONU!$O$7:$O$42="Evet")*(AY_SONU!$B$7:$B$42=DATE(YEAR($C2174),MONTH($C2174),1))))</f>
        <v>0</v>
      </c>
      <c r="AE2174" s="1" t="str">
        <f>IF($E2174="","",$E2174&amp;"|"&amp;COUNTIFS($E$7:$E2174,$E2174))</f>
        <v/>
      </c>
    </row>
    <row r="2175" spans="1:31" ht="18" customHeight="1" x14ac:dyDescent="0.3">
      <c r="A2175" s="2"/>
      <c r="B2175" s="65" t="str">
        <f>IF($C2175="","","GG"&amp;TEXT(ROW()-6,"00000"))</f>
        <v/>
      </c>
      <c r="C2175" s="66"/>
      <c r="D2175" s="60"/>
      <c r="E2175" s="61"/>
      <c r="F2175" s="61"/>
      <c r="G2175" s="67"/>
      <c r="H2175" s="60"/>
      <c r="I2175" s="60"/>
      <c r="J2175" s="61"/>
      <c r="K2175" s="61"/>
      <c r="L2175" s="60"/>
      <c r="M2175" s="74" t="str">
        <f>IF($C2175="","",IF($D2175="Gider",$E2175,IF($L2175&lt;&gt;"",$L2175,$H2175)))</f>
        <v/>
      </c>
      <c r="N2175" s="74" t="str">
        <f>IF($C2175="","",IF($D2175="Gider",$H2175,$E2175))</f>
        <v/>
      </c>
      <c r="O2175" s="73" t="str">
        <f>IF($C2175="","",DATE(YEAR($C2175),MONTH($C2175),1))</f>
        <v/>
      </c>
      <c r="P2175" s="65" t="str">
        <f ca="1">IF($C2175="","",IF(AND($D2175="Gelir",$L2175&lt;&gt;"",$T2175=""),"TANIMSIZ BORÇLU",IF($T2175&lt;&gt;"",IF(OR($E2175="",$G2175&lt;=0),"EKSİK",IF($I2175="Evet","TAHAKKUK NAKİT OLAMAZ",IF($C2175&gt;TODAY(),"İLERİ TARİH","TAHAKKUK"))),IF(AND($D2175&lt;&gt;"",$E2175&lt;&gt;"",$G2175&gt;0,$H2175&lt;&gt;"",$I2175&lt;&gt;""),IF($C2175&gt;TODAY(),"İLERİ TARİH",IF(COUNTIF($W$7:$W$3001,$W2175)&gt;1,"MÜKERRER?",IF($AD2175&gt;0,"KAPALI DÖNEM",IF($I2175="Hayır","ÖDENECEK","UYGUN")))),"EKSİK"))))</f>
        <v/>
      </c>
      <c r="Q2175" s="2"/>
      <c r="R2175" s="2"/>
      <c r="S2175" s="1" t="str">
        <f t="shared" si="101"/>
        <v/>
      </c>
      <c r="T2175" s="1" t="str">
        <f>IF(OR($C2175="",$D2175&lt;&gt;"Gelir",$L2175=""),"",IFERROR(INDEX(MUSTERILER!$B$7:$B$156,MATCH($S2175,MUSTERILER!$T$7:$T$156,0)),""))</f>
        <v/>
      </c>
      <c r="U2175" s="1" t="str">
        <f>IF($T2175="","",$T2175&amp;"|"&amp;COUNTIFS($T$7:$T2175,$T2175))</f>
        <v/>
      </c>
      <c r="V2175" s="1">
        <f t="shared" si="102"/>
        <v>0</v>
      </c>
      <c r="W2175" s="1" t="str">
        <f t="shared" si="103"/>
        <v/>
      </c>
      <c r="X2175" s="1"/>
      <c r="Y2175" s="1"/>
      <c r="Z2175" s="1"/>
      <c r="AA2175" s="1"/>
      <c r="AB2175" s="1"/>
      <c r="AC2175" s="1"/>
      <c r="AD2175" s="1">
        <f>IF($C2175="",0,SUMPRODUCT((AY_SONU!$O$7:$O$42="Evet")*(AY_SONU!$B$7:$B$42=DATE(YEAR($C2175),MONTH($C2175),1))))</f>
        <v>0</v>
      </c>
      <c r="AE2175" s="1" t="str">
        <f>IF($E2175="","",$E2175&amp;"|"&amp;COUNTIFS($E$7:$E2175,$E2175))</f>
        <v/>
      </c>
    </row>
    <row r="2176" spans="1:31" ht="18" customHeight="1" x14ac:dyDescent="0.3">
      <c r="A2176" s="2"/>
      <c r="B2176" s="65" t="str">
        <f>IF($C2176="","","GG"&amp;TEXT(ROW()-6,"00000"))</f>
        <v/>
      </c>
      <c r="C2176" s="66"/>
      <c r="D2176" s="60"/>
      <c r="E2176" s="61"/>
      <c r="F2176" s="61"/>
      <c r="G2176" s="67"/>
      <c r="H2176" s="60"/>
      <c r="I2176" s="60"/>
      <c r="J2176" s="61"/>
      <c r="K2176" s="61"/>
      <c r="L2176" s="60"/>
      <c r="M2176" s="74" t="str">
        <f>IF($C2176="","",IF($D2176="Gider",$E2176,IF($L2176&lt;&gt;"",$L2176,$H2176)))</f>
        <v/>
      </c>
      <c r="N2176" s="74" t="str">
        <f>IF($C2176="","",IF($D2176="Gider",$H2176,$E2176))</f>
        <v/>
      </c>
      <c r="O2176" s="73" t="str">
        <f>IF($C2176="","",DATE(YEAR($C2176),MONTH($C2176),1))</f>
        <v/>
      </c>
      <c r="P2176" s="65" t="str">
        <f ca="1">IF($C2176="","",IF(AND($D2176="Gelir",$L2176&lt;&gt;"",$T2176=""),"TANIMSIZ BORÇLU",IF($T2176&lt;&gt;"",IF(OR($E2176="",$G2176&lt;=0),"EKSİK",IF($I2176="Evet","TAHAKKUK NAKİT OLAMAZ",IF($C2176&gt;TODAY(),"İLERİ TARİH","TAHAKKUK"))),IF(AND($D2176&lt;&gt;"",$E2176&lt;&gt;"",$G2176&gt;0,$H2176&lt;&gt;"",$I2176&lt;&gt;""),IF($C2176&gt;TODAY(),"İLERİ TARİH",IF(COUNTIF($W$7:$W$3001,$W2176)&gt;1,"MÜKERRER?",IF($AD2176&gt;0,"KAPALI DÖNEM",IF($I2176="Hayır","ÖDENECEK","UYGUN")))),"EKSİK"))))</f>
        <v/>
      </c>
      <c r="Q2176" s="2"/>
      <c r="R2176" s="2"/>
      <c r="S2176" s="1" t="str">
        <f t="shared" si="101"/>
        <v/>
      </c>
      <c r="T2176" s="1" t="str">
        <f>IF(OR($C2176="",$D2176&lt;&gt;"Gelir",$L2176=""),"",IFERROR(INDEX(MUSTERILER!$B$7:$B$156,MATCH($S2176,MUSTERILER!$T$7:$T$156,0)),""))</f>
        <v/>
      </c>
      <c r="U2176" s="1" t="str">
        <f>IF($T2176="","",$T2176&amp;"|"&amp;COUNTIFS($T$7:$T2176,$T2176))</f>
        <v/>
      </c>
      <c r="V2176" s="1">
        <f t="shared" si="102"/>
        <v>0</v>
      </c>
      <c r="W2176" s="1" t="str">
        <f t="shared" si="103"/>
        <v/>
      </c>
      <c r="X2176" s="1"/>
      <c r="Y2176" s="1"/>
      <c r="Z2176" s="1"/>
      <c r="AA2176" s="1"/>
      <c r="AB2176" s="1"/>
      <c r="AC2176" s="1"/>
      <c r="AD2176" s="1">
        <f>IF($C2176="",0,SUMPRODUCT((AY_SONU!$O$7:$O$42="Evet")*(AY_SONU!$B$7:$B$42=DATE(YEAR($C2176),MONTH($C2176),1))))</f>
        <v>0</v>
      </c>
      <c r="AE2176" s="1" t="str">
        <f>IF($E2176="","",$E2176&amp;"|"&amp;COUNTIFS($E$7:$E2176,$E2176))</f>
        <v/>
      </c>
    </row>
    <row r="2177" spans="1:31" ht="18" customHeight="1" x14ac:dyDescent="0.3">
      <c r="A2177" s="2"/>
      <c r="B2177" s="65" t="str">
        <f>IF($C2177="","","GG"&amp;TEXT(ROW()-6,"00000"))</f>
        <v/>
      </c>
      <c r="C2177" s="66"/>
      <c r="D2177" s="60"/>
      <c r="E2177" s="61"/>
      <c r="F2177" s="61"/>
      <c r="G2177" s="67"/>
      <c r="H2177" s="60"/>
      <c r="I2177" s="60"/>
      <c r="J2177" s="61"/>
      <c r="K2177" s="61"/>
      <c r="L2177" s="60"/>
      <c r="M2177" s="74" t="str">
        <f>IF($C2177="","",IF($D2177="Gider",$E2177,IF($L2177&lt;&gt;"",$L2177,$H2177)))</f>
        <v/>
      </c>
      <c r="N2177" s="74" t="str">
        <f>IF($C2177="","",IF($D2177="Gider",$H2177,$E2177))</f>
        <v/>
      </c>
      <c r="O2177" s="73" t="str">
        <f>IF($C2177="","",DATE(YEAR($C2177),MONTH($C2177),1))</f>
        <v/>
      </c>
      <c r="P2177" s="65" t="str">
        <f ca="1">IF($C2177="","",IF(AND($D2177="Gelir",$L2177&lt;&gt;"",$T2177=""),"TANIMSIZ BORÇLU",IF($T2177&lt;&gt;"",IF(OR($E2177="",$G2177&lt;=0),"EKSİK",IF($I2177="Evet","TAHAKKUK NAKİT OLAMAZ",IF($C2177&gt;TODAY(),"İLERİ TARİH","TAHAKKUK"))),IF(AND($D2177&lt;&gt;"",$E2177&lt;&gt;"",$G2177&gt;0,$H2177&lt;&gt;"",$I2177&lt;&gt;""),IF($C2177&gt;TODAY(),"İLERİ TARİH",IF(COUNTIF($W$7:$W$3001,$W2177)&gt;1,"MÜKERRER?",IF($AD2177&gt;0,"KAPALI DÖNEM",IF($I2177="Hayır","ÖDENECEK","UYGUN")))),"EKSİK"))))</f>
        <v/>
      </c>
      <c r="Q2177" s="2"/>
      <c r="R2177" s="2"/>
      <c r="S2177" s="1" t="str">
        <f t="shared" si="101"/>
        <v/>
      </c>
      <c r="T2177" s="1" t="str">
        <f>IF(OR($C2177="",$D2177&lt;&gt;"Gelir",$L2177=""),"",IFERROR(INDEX(MUSTERILER!$B$7:$B$156,MATCH($S2177,MUSTERILER!$T$7:$T$156,0)),""))</f>
        <v/>
      </c>
      <c r="U2177" s="1" t="str">
        <f>IF($T2177="","",$T2177&amp;"|"&amp;COUNTIFS($T$7:$T2177,$T2177))</f>
        <v/>
      </c>
      <c r="V2177" s="1">
        <f t="shared" si="102"/>
        <v>0</v>
      </c>
      <c r="W2177" s="1" t="str">
        <f t="shared" si="103"/>
        <v/>
      </c>
      <c r="X2177" s="1"/>
      <c r="Y2177" s="1"/>
      <c r="Z2177" s="1"/>
      <c r="AA2177" s="1"/>
      <c r="AB2177" s="1"/>
      <c r="AC2177" s="1"/>
      <c r="AD2177" s="1">
        <f>IF($C2177="",0,SUMPRODUCT((AY_SONU!$O$7:$O$42="Evet")*(AY_SONU!$B$7:$B$42=DATE(YEAR($C2177),MONTH($C2177),1))))</f>
        <v>0</v>
      </c>
      <c r="AE2177" s="1" t="str">
        <f>IF($E2177="","",$E2177&amp;"|"&amp;COUNTIFS($E$7:$E2177,$E2177))</f>
        <v/>
      </c>
    </row>
    <row r="2178" spans="1:31" ht="18" customHeight="1" x14ac:dyDescent="0.3">
      <c r="A2178" s="2"/>
      <c r="B2178" s="65" t="str">
        <f>IF($C2178="","","GG"&amp;TEXT(ROW()-6,"00000"))</f>
        <v/>
      </c>
      <c r="C2178" s="66"/>
      <c r="D2178" s="60"/>
      <c r="E2178" s="61"/>
      <c r="F2178" s="61"/>
      <c r="G2178" s="67"/>
      <c r="H2178" s="60"/>
      <c r="I2178" s="60"/>
      <c r="J2178" s="61"/>
      <c r="K2178" s="61"/>
      <c r="L2178" s="60"/>
      <c r="M2178" s="74" t="str">
        <f>IF($C2178="","",IF($D2178="Gider",$E2178,IF($L2178&lt;&gt;"",$L2178,$H2178)))</f>
        <v/>
      </c>
      <c r="N2178" s="74" t="str">
        <f>IF($C2178="","",IF($D2178="Gider",$H2178,$E2178))</f>
        <v/>
      </c>
      <c r="O2178" s="73" t="str">
        <f>IF($C2178="","",DATE(YEAR($C2178),MONTH($C2178),1))</f>
        <v/>
      </c>
      <c r="P2178" s="65" t="str">
        <f ca="1">IF($C2178="","",IF(AND($D2178="Gelir",$L2178&lt;&gt;"",$T2178=""),"TANIMSIZ BORÇLU",IF($T2178&lt;&gt;"",IF(OR($E2178="",$G2178&lt;=0),"EKSİK",IF($I2178="Evet","TAHAKKUK NAKİT OLAMAZ",IF($C2178&gt;TODAY(),"İLERİ TARİH","TAHAKKUK"))),IF(AND($D2178&lt;&gt;"",$E2178&lt;&gt;"",$G2178&gt;0,$H2178&lt;&gt;"",$I2178&lt;&gt;""),IF($C2178&gt;TODAY(),"İLERİ TARİH",IF(COUNTIF($W$7:$W$3001,$W2178)&gt;1,"MÜKERRER?",IF($AD2178&gt;0,"KAPALI DÖNEM",IF($I2178="Hayır","ÖDENECEK","UYGUN")))),"EKSİK"))))</f>
        <v/>
      </c>
      <c r="Q2178" s="2"/>
      <c r="R2178" s="2"/>
      <c r="S2178" s="1" t="str">
        <f t="shared" si="101"/>
        <v/>
      </c>
      <c r="T2178" s="1" t="str">
        <f>IF(OR($C2178="",$D2178&lt;&gt;"Gelir",$L2178=""),"",IFERROR(INDEX(MUSTERILER!$B$7:$B$156,MATCH($S2178,MUSTERILER!$T$7:$T$156,0)),""))</f>
        <v/>
      </c>
      <c r="U2178" s="1" t="str">
        <f>IF($T2178="","",$T2178&amp;"|"&amp;COUNTIFS($T$7:$T2178,$T2178))</f>
        <v/>
      </c>
      <c r="V2178" s="1">
        <f t="shared" si="102"/>
        <v>0</v>
      </c>
      <c r="W2178" s="1" t="str">
        <f t="shared" si="103"/>
        <v/>
      </c>
      <c r="X2178" s="1"/>
      <c r="Y2178" s="1"/>
      <c r="Z2178" s="1"/>
      <c r="AA2178" s="1"/>
      <c r="AB2178" s="1"/>
      <c r="AC2178" s="1"/>
      <c r="AD2178" s="1">
        <f>IF($C2178="",0,SUMPRODUCT((AY_SONU!$O$7:$O$42="Evet")*(AY_SONU!$B$7:$B$42=DATE(YEAR($C2178),MONTH($C2178),1))))</f>
        <v>0</v>
      </c>
      <c r="AE2178" s="1" t="str">
        <f>IF($E2178="","",$E2178&amp;"|"&amp;COUNTIFS($E$7:$E2178,$E2178))</f>
        <v/>
      </c>
    </row>
    <row r="2179" spans="1:31" ht="18" customHeight="1" x14ac:dyDescent="0.3">
      <c r="A2179" s="2"/>
      <c r="B2179" s="65" t="str">
        <f>IF($C2179="","","GG"&amp;TEXT(ROW()-6,"00000"))</f>
        <v/>
      </c>
      <c r="C2179" s="66"/>
      <c r="D2179" s="60"/>
      <c r="E2179" s="61"/>
      <c r="F2179" s="61"/>
      <c r="G2179" s="67"/>
      <c r="H2179" s="60"/>
      <c r="I2179" s="60"/>
      <c r="J2179" s="61"/>
      <c r="K2179" s="61"/>
      <c r="L2179" s="60"/>
      <c r="M2179" s="74" t="str">
        <f>IF($C2179="","",IF($D2179="Gider",$E2179,IF($L2179&lt;&gt;"",$L2179,$H2179)))</f>
        <v/>
      </c>
      <c r="N2179" s="74" t="str">
        <f>IF($C2179="","",IF($D2179="Gider",$H2179,$E2179))</f>
        <v/>
      </c>
      <c r="O2179" s="73" t="str">
        <f>IF($C2179="","",DATE(YEAR($C2179),MONTH($C2179),1))</f>
        <v/>
      </c>
      <c r="P2179" s="65" t="str">
        <f ca="1">IF($C2179="","",IF(AND($D2179="Gelir",$L2179&lt;&gt;"",$T2179=""),"TANIMSIZ BORÇLU",IF($T2179&lt;&gt;"",IF(OR($E2179="",$G2179&lt;=0),"EKSİK",IF($I2179="Evet","TAHAKKUK NAKİT OLAMAZ",IF($C2179&gt;TODAY(),"İLERİ TARİH","TAHAKKUK"))),IF(AND($D2179&lt;&gt;"",$E2179&lt;&gt;"",$G2179&gt;0,$H2179&lt;&gt;"",$I2179&lt;&gt;""),IF($C2179&gt;TODAY(),"İLERİ TARİH",IF(COUNTIF($W$7:$W$3001,$W2179)&gt;1,"MÜKERRER?",IF($AD2179&gt;0,"KAPALI DÖNEM",IF($I2179="Hayır","ÖDENECEK","UYGUN")))),"EKSİK"))))</f>
        <v/>
      </c>
      <c r="Q2179" s="2"/>
      <c r="R2179" s="2"/>
      <c r="S2179" s="1" t="str">
        <f t="shared" si="101"/>
        <v/>
      </c>
      <c r="T2179" s="1" t="str">
        <f>IF(OR($C2179="",$D2179&lt;&gt;"Gelir",$L2179=""),"",IFERROR(INDEX(MUSTERILER!$B$7:$B$156,MATCH($S2179,MUSTERILER!$T$7:$T$156,0)),""))</f>
        <v/>
      </c>
      <c r="U2179" s="1" t="str">
        <f>IF($T2179="","",$T2179&amp;"|"&amp;COUNTIFS($T$7:$T2179,$T2179))</f>
        <v/>
      </c>
      <c r="V2179" s="1">
        <f t="shared" si="102"/>
        <v>0</v>
      </c>
      <c r="W2179" s="1" t="str">
        <f t="shared" si="103"/>
        <v/>
      </c>
      <c r="X2179" s="1"/>
      <c r="Y2179" s="1"/>
      <c r="Z2179" s="1"/>
      <c r="AA2179" s="1"/>
      <c r="AB2179" s="1"/>
      <c r="AC2179" s="1"/>
      <c r="AD2179" s="1">
        <f>IF($C2179="",0,SUMPRODUCT((AY_SONU!$O$7:$O$42="Evet")*(AY_SONU!$B$7:$B$42=DATE(YEAR($C2179),MONTH($C2179),1))))</f>
        <v>0</v>
      </c>
      <c r="AE2179" s="1" t="str">
        <f>IF($E2179="","",$E2179&amp;"|"&amp;COUNTIFS($E$7:$E2179,$E2179))</f>
        <v/>
      </c>
    </row>
    <row r="2180" spans="1:31" ht="18" customHeight="1" x14ac:dyDescent="0.3">
      <c r="A2180" s="2"/>
      <c r="B2180" s="65" t="str">
        <f>IF($C2180="","","GG"&amp;TEXT(ROW()-6,"00000"))</f>
        <v/>
      </c>
      <c r="C2180" s="66"/>
      <c r="D2180" s="60"/>
      <c r="E2180" s="61"/>
      <c r="F2180" s="61"/>
      <c r="G2180" s="67"/>
      <c r="H2180" s="60"/>
      <c r="I2180" s="60"/>
      <c r="J2180" s="61"/>
      <c r="K2180" s="61"/>
      <c r="L2180" s="60"/>
      <c r="M2180" s="74" t="str">
        <f>IF($C2180="","",IF($D2180="Gider",$E2180,IF($L2180&lt;&gt;"",$L2180,$H2180)))</f>
        <v/>
      </c>
      <c r="N2180" s="74" t="str">
        <f>IF($C2180="","",IF($D2180="Gider",$H2180,$E2180))</f>
        <v/>
      </c>
      <c r="O2180" s="73" t="str">
        <f>IF($C2180="","",DATE(YEAR($C2180),MONTH($C2180),1))</f>
        <v/>
      </c>
      <c r="P2180" s="65" t="str">
        <f ca="1">IF($C2180="","",IF(AND($D2180="Gelir",$L2180&lt;&gt;"",$T2180=""),"TANIMSIZ BORÇLU",IF($T2180&lt;&gt;"",IF(OR($E2180="",$G2180&lt;=0),"EKSİK",IF($I2180="Evet","TAHAKKUK NAKİT OLAMAZ",IF($C2180&gt;TODAY(),"İLERİ TARİH","TAHAKKUK"))),IF(AND($D2180&lt;&gt;"",$E2180&lt;&gt;"",$G2180&gt;0,$H2180&lt;&gt;"",$I2180&lt;&gt;""),IF($C2180&gt;TODAY(),"İLERİ TARİH",IF(COUNTIF($W$7:$W$3001,$W2180)&gt;1,"MÜKERRER?",IF($AD2180&gt;0,"KAPALI DÖNEM",IF($I2180="Hayır","ÖDENECEK","UYGUN")))),"EKSİK"))))</f>
        <v/>
      </c>
      <c r="Q2180" s="2"/>
      <c r="R2180" s="2"/>
      <c r="S2180" s="1" t="str">
        <f t="shared" si="101"/>
        <v/>
      </c>
      <c r="T2180" s="1" t="str">
        <f>IF(OR($C2180="",$D2180&lt;&gt;"Gelir",$L2180=""),"",IFERROR(INDEX(MUSTERILER!$B$7:$B$156,MATCH($S2180,MUSTERILER!$T$7:$T$156,0)),""))</f>
        <v/>
      </c>
      <c r="U2180" s="1" t="str">
        <f>IF($T2180="","",$T2180&amp;"|"&amp;COUNTIFS($T$7:$T2180,$T2180))</f>
        <v/>
      </c>
      <c r="V2180" s="1">
        <f t="shared" si="102"/>
        <v>0</v>
      </c>
      <c r="W2180" s="1" t="str">
        <f t="shared" si="103"/>
        <v/>
      </c>
      <c r="X2180" s="1"/>
      <c r="Y2180" s="1"/>
      <c r="Z2180" s="1"/>
      <c r="AA2180" s="1"/>
      <c r="AB2180" s="1"/>
      <c r="AC2180" s="1"/>
      <c r="AD2180" s="1">
        <f>IF($C2180="",0,SUMPRODUCT((AY_SONU!$O$7:$O$42="Evet")*(AY_SONU!$B$7:$B$42=DATE(YEAR($C2180),MONTH($C2180),1))))</f>
        <v>0</v>
      </c>
      <c r="AE2180" s="1" t="str">
        <f>IF($E2180="","",$E2180&amp;"|"&amp;COUNTIFS($E$7:$E2180,$E2180))</f>
        <v/>
      </c>
    </row>
    <row r="2181" spans="1:31" ht="18" customHeight="1" x14ac:dyDescent="0.3">
      <c r="A2181" s="2"/>
      <c r="B2181" s="65" t="str">
        <f>IF($C2181="","","GG"&amp;TEXT(ROW()-6,"00000"))</f>
        <v/>
      </c>
      <c r="C2181" s="66"/>
      <c r="D2181" s="60"/>
      <c r="E2181" s="61"/>
      <c r="F2181" s="61"/>
      <c r="G2181" s="67"/>
      <c r="H2181" s="60"/>
      <c r="I2181" s="60"/>
      <c r="J2181" s="61"/>
      <c r="K2181" s="61"/>
      <c r="L2181" s="60"/>
      <c r="M2181" s="74" t="str">
        <f>IF($C2181="","",IF($D2181="Gider",$E2181,IF($L2181&lt;&gt;"",$L2181,$H2181)))</f>
        <v/>
      </c>
      <c r="N2181" s="74" t="str">
        <f>IF($C2181="","",IF($D2181="Gider",$H2181,$E2181))</f>
        <v/>
      </c>
      <c r="O2181" s="73" t="str">
        <f>IF($C2181="","",DATE(YEAR($C2181),MONTH($C2181),1))</f>
        <v/>
      </c>
      <c r="P2181" s="65" t="str">
        <f ca="1">IF($C2181="","",IF(AND($D2181="Gelir",$L2181&lt;&gt;"",$T2181=""),"TANIMSIZ BORÇLU",IF($T2181&lt;&gt;"",IF(OR($E2181="",$G2181&lt;=0),"EKSİK",IF($I2181="Evet","TAHAKKUK NAKİT OLAMAZ",IF($C2181&gt;TODAY(),"İLERİ TARİH","TAHAKKUK"))),IF(AND($D2181&lt;&gt;"",$E2181&lt;&gt;"",$G2181&gt;0,$H2181&lt;&gt;"",$I2181&lt;&gt;""),IF($C2181&gt;TODAY(),"İLERİ TARİH",IF(COUNTIF($W$7:$W$3001,$W2181)&gt;1,"MÜKERRER?",IF($AD2181&gt;0,"KAPALI DÖNEM",IF($I2181="Hayır","ÖDENECEK","UYGUN")))),"EKSİK"))))</f>
        <v/>
      </c>
      <c r="Q2181" s="2"/>
      <c r="R2181" s="2"/>
      <c r="S2181" s="1" t="str">
        <f t="shared" ref="S2181:S2244" si="104">IF($L2181="","",UPPER(SUBSTITUTE(SUBSTITUTE(SUBSTITUTE(SUBSTITUTE(SUBSTITUTE(SUBSTITUTE(SUBSTITUTE(SUBSTITUTE(SUBSTITUTE(SUBSTITUTE(SUBSTITUTE(SUBSTITUTE(SUBSTITUTE(SUBSTITUTE(SUBSTITUTE(SUBSTITUTE(SUBSTITUTE(SUBSTITUTE(TRIM($L2181),"'",""),"İ","I"),"ı","I"),"i","I"),"Ş","S"),"ş","S"),"Ğ","G"),"ğ","G"),"Ü","U"),"ü","U"),"Ö","O"),"ö","O"),"Ç","C"),"ç","C"),".",""),",","")," ",""),"-","")))</f>
        <v/>
      </c>
      <c r="T2181" s="1" t="str">
        <f>IF(OR($C2181="",$D2181&lt;&gt;"Gelir",$L2181=""),"",IFERROR(INDEX(MUSTERILER!$B$7:$B$156,MATCH($S2181,MUSTERILER!$T$7:$T$156,0)),""))</f>
        <v/>
      </c>
      <c r="U2181" s="1" t="str">
        <f>IF($T2181="","",$T2181&amp;"|"&amp;COUNTIFS($T$7:$T2181,$T2181))</f>
        <v/>
      </c>
      <c r="V2181" s="1">
        <f t="shared" ref="V2181:V2244" si="105">IF($T2181="",0,1)</f>
        <v>0</v>
      </c>
      <c r="W2181" s="1" t="str">
        <f t="shared" ref="W2181:W2244" si="106">IF($C2181="","",$D2181&amp;"|"&amp;$E2181&amp;"|"&amp;TEXT($C2181,"0")&amp;"|"&amp;TEXT($G2181,"0")&amp;"|"&amp;$F2181&amp;"|"&amp;$J2181)</f>
        <v/>
      </c>
      <c r="X2181" s="1"/>
      <c r="Y2181" s="1"/>
      <c r="Z2181" s="1"/>
      <c r="AA2181" s="1"/>
      <c r="AB2181" s="1"/>
      <c r="AC2181" s="1"/>
      <c r="AD2181" s="1">
        <f>IF($C2181="",0,SUMPRODUCT((AY_SONU!$O$7:$O$42="Evet")*(AY_SONU!$B$7:$B$42=DATE(YEAR($C2181),MONTH($C2181),1))))</f>
        <v>0</v>
      </c>
      <c r="AE2181" s="1" t="str">
        <f>IF($E2181="","",$E2181&amp;"|"&amp;COUNTIFS($E$7:$E2181,$E2181))</f>
        <v/>
      </c>
    </row>
    <row r="2182" spans="1:31" ht="18" customHeight="1" x14ac:dyDescent="0.3">
      <c r="A2182" s="2"/>
      <c r="B2182" s="65" t="str">
        <f>IF($C2182="","","GG"&amp;TEXT(ROW()-6,"00000"))</f>
        <v/>
      </c>
      <c r="C2182" s="66"/>
      <c r="D2182" s="60"/>
      <c r="E2182" s="61"/>
      <c r="F2182" s="61"/>
      <c r="G2182" s="67"/>
      <c r="H2182" s="60"/>
      <c r="I2182" s="60"/>
      <c r="J2182" s="61"/>
      <c r="K2182" s="61"/>
      <c r="L2182" s="60"/>
      <c r="M2182" s="74" t="str">
        <f>IF($C2182="","",IF($D2182="Gider",$E2182,IF($L2182&lt;&gt;"",$L2182,$H2182)))</f>
        <v/>
      </c>
      <c r="N2182" s="74" t="str">
        <f>IF($C2182="","",IF($D2182="Gider",$H2182,$E2182))</f>
        <v/>
      </c>
      <c r="O2182" s="73" t="str">
        <f>IF($C2182="","",DATE(YEAR($C2182),MONTH($C2182),1))</f>
        <v/>
      </c>
      <c r="P2182" s="65" t="str">
        <f ca="1">IF($C2182="","",IF(AND($D2182="Gelir",$L2182&lt;&gt;"",$T2182=""),"TANIMSIZ BORÇLU",IF($T2182&lt;&gt;"",IF(OR($E2182="",$G2182&lt;=0),"EKSİK",IF($I2182="Evet","TAHAKKUK NAKİT OLAMAZ",IF($C2182&gt;TODAY(),"İLERİ TARİH","TAHAKKUK"))),IF(AND($D2182&lt;&gt;"",$E2182&lt;&gt;"",$G2182&gt;0,$H2182&lt;&gt;"",$I2182&lt;&gt;""),IF($C2182&gt;TODAY(),"İLERİ TARİH",IF(COUNTIF($W$7:$W$3001,$W2182)&gt;1,"MÜKERRER?",IF($AD2182&gt;0,"KAPALI DÖNEM",IF($I2182="Hayır","ÖDENECEK","UYGUN")))),"EKSİK"))))</f>
        <v/>
      </c>
      <c r="Q2182" s="2"/>
      <c r="R2182" s="2"/>
      <c r="S2182" s="1" t="str">
        <f t="shared" si="104"/>
        <v/>
      </c>
      <c r="T2182" s="1" t="str">
        <f>IF(OR($C2182="",$D2182&lt;&gt;"Gelir",$L2182=""),"",IFERROR(INDEX(MUSTERILER!$B$7:$B$156,MATCH($S2182,MUSTERILER!$T$7:$T$156,0)),""))</f>
        <v/>
      </c>
      <c r="U2182" s="1" t="str">
        <f>IF($T2182="","",$T2182&amp;"|"&amp;COUNTIFS($T$7:$T2182,$T2182))</f>
        <v/>
      </c>
      <c r="V2182" s="1">
        <f t="shared" si="105"/>
        <v>0</v>
      </c>
      <c r="W2182" s="1" t="str">
        <f t="shared" si="106"/>
        <v/>
      </c>
      <c r="X2182" s="1"/>
      <c r="Y2182" s="1"/>
      <c r="Z2182" s="1"/>
      <c r="AA2182" s="1"/>
      <c r="AB2182" s="1"/>
      <c r="AC2182" s="1"/>
      <c r="AD2182" s="1">
        <f>IF($C2182="",0,SUMPRODUCT((AY_SONU!$O$7:$O$42="Evet")*(AY_SONU!$B$7:$B$42=DATE(YEAR($C2182),MONTH($C2182),1))))</f>
        <v>0</v>
      </c>
      <c r="AE2182" s="1" t="str">
        <f>IF($E2182="","",$E2182&amp;"|"&amp;COUNTIFS($E$7:$E2182,$E2182))</f>
        <v/>
      </c>
    </row>
    <row r="2183" spans="1:31" ht="18" customHeight="1" x14ac:dyDescent="0.3">
      <c r="A2183" s="2"/>
      <c r="B2183" s="65" t="str">
        <f>IF($C2183="","","GG"&amp;TEXT(ROW()-6,"00000"))</f>
        <v/>
      </c>
      <c r="C2183" s="66"/>
      <c r="D2183" s="60"/>
      <c r="E2183" s="61"/>
      <c r="F2183" s="61"/>
      <c r="G2183" s="67"/>
      <c r="H2183" s="60"/>
      <c r="I2183" s="60"/>
      <c r="J2183" s="61"/>
      <c r="K2183" s="61"/>
      <c r="L2183" s="60"/>
      <c r="M2183" s="74" t="str">
        <f>IF($C2183="","",IF($D2183="Gider",$E2183,IF($L2183&lt;&gt;"",$L2183,$H2183)))</f>
        <v/>
      </c>
      <c r="N2183" s="74" t="str">
        <f>IF($C2183="","",IF($D2183="Gider",$H2183,$E2183))</f>
        <v/>
      </c>
      <c r="O2183" s="73" t="str">
        <f>IF($C2183="","",DATE(YEAR($C2183),MONTH($C2183),1))</f>
        <v/>
      </c>
      <c r="P2183" s="65" t="str">
        <f ca="1"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TARİH",IF(COUNTIF($W$7:$W$3001,$W2183)&gt;1,"MÜKERRER?",IF($AD2183&gt;0,"KAPALI DÖNEM",IF($I2183="Hayır","ÖDENECEK","UYGUN")))),"EKSİK"))))</f>
        <v/>
      </c>
      <c r="Q2183" s="2"/>
      <c r="R2183" s="2"/>
      <c r="S2183" s="1" t="str">
        <f t="shared" si="104"/>
        <v/>
      </c>
      <c r="T2183" s="1" t="str">
        <f>IF(OR($C2183="",$D2183&lt;&gt;"Gelir",$L2183=""),"",IFERROR(INDEX(MUSTERILER!$B$7:$B$156,MATCH($S2183,MUSTERILER!$T$7:$T$156,0)),""))</f>
        <v/>
      </c>
      <c r="U2183" s="1" t="str">
        <f>IF($T2183="","",$T2183&amp;"|"&amp;COUNTIFS($T$7:$T2183,$T2183))</f>
        <v/>
      </c>
      <c r="V2183" s="1">
        <f t="shared" si="105"/>
        <v>0</v>
      </c>
      <c r="W2183" s="1" t="str">
        <f t="shared" si="106"/>
        <v/>
      </c>
      <c r="X2183" s="1"/>
      <c r="Y2183" s="1"/>
      <c r="Z2183" s="1"/>
      <c r="AA2183" s="1"/>
      <c r="AB2183" s="1"/>
      <c r="AC2183" s="1"/>
      <c r="AD2183" s="1">
        <f>IF($C2183="",0,SUMPRODUCT((AY_SONU!$O$7:$O$42="Evet")*(AY_SONU!$B$7:$B$42=DATE(YEAR($C2183),MONTH($C2183),1))))</f>
        <v>0</v>
      </c>
      <c r="AE2183" s="1" t="str">
        <f>IF($E2183="","",$E2183&amp;"|"&amp;COUNTIFS($E$7:$E2183,$E2183))</f>
        <v/>
      </c>
    </row>
    <row r="2184" spans="1:31" ht="18" customHeight="1" x14ac:dyDescent="0.3">
      <c r="A2184" s="2"/>
      <c r="B2184" s="65" t="str">
        <f>IF($C2184="","","GG"&amp;TEXT(ROW()-6,"00000"))</f>
        <v/>
      </c>
      <c r="C2184" s="66"/>
      <c r="D2184" s="60"/>
      <c r="E2184" s="61"/>
      <c r="F2184" s="61"/>
      <c r="G2184" s="67"/>
      <c r="H2184" s="60"/>
      <c r="I2184" s="60"/>
      <c r="J2184" s="61"/>
      <c r="K2184" s="61"/>
      <c r="L2184" s="60"/>
      <c r="M2184" s="74" t="str">
        <f>IF($C2184="","",IF($D2184="Gider",$E2184,IF($L2184&lt;&gt;"",$L2184,$H2184)))</f>
        <v/>
      </c>
      <c r="N2184" s="74" t="str">
        <f>IF($C2184="","",IF($D2184="Gider",$H2184,$E2184))</f>
        <v/>
      </c>
      <c r="O2184" s="73" t="str">
        <f>IF($C2184="","",DATE(YEAR($C2184),MONTH($C2184),1))</f>
        <v/>
      </c>
      <c r="P2184" s="65" t="str">
        <f ca="1">IF($C2184="","",IF(AND($D2184="Gelir",$L2184&lt;&gt;"",$T2184=""),"TANIMSIZ BORÇLU",IF($T2184&lt;&gt;"",IF(OR($E2184="",$G2184&lt;=0),"EKSİK",IF($I2184="Evet","TAHAKKUK NAKİT OLAMAZ",IF($C2184&gt;TODAY(),"İLERİ TARİH","TAHAKKUK"))),IF(AND($D2184&lt;&gt;"",$E2184&lt;&gt;"",$G2184&gt;0,$H2184&lt;&gt;"",$I2184&lt;&gt;""),IF($C2184&gt;TODAY(),"İLERİ TARİH",IF(COUNTIF($W$7:$W$3001,$W2184)&gt;1,"MÜKERRER?",IF($AD2184&gt;0,"KAPALI DÖNEM",IF($I2184="Hayır","ÖDENECEK","UYGUN")))),"EKSİK"))))</f>
        <v/>
      </c>
      <c r="Q2184" s="2"/>
      <c r="R2184" s="2"/>
      <c r="S2184" s="1" t="str">
        <f t="shared" si="104"/>
        <v/>
      </c>
      <c r="T2184" s="1" t="str">
        <f>IF(OR($C2184="",$D2184&lt;&gt;"Gelir",$L2184=""),"",IFERROR(INDEX(MUSTERILER!$B$7:$B$156,MATCH($S2184,MUSTERILER!$T$7:$T$156,0)),""))</f>
        <v/>
      </c>
      <c r="U2184" s="1" t="str">
        <f>IF($T2184="","",$T2184&amp;"|"&amp;COUNTIFS($T$7:$T2184,$T2184))</f>
        <v/>
      </c>
      <c r="V2184" s="1">
        <f t="shared" si="105"/>
        <v>0</v>
      </c>
      <c r="W2184" s="1" t="str">
        <f t="shared" si="106"/>
        <v/>
      </c>
      <c r="X2184" s="1"/>
      <c r="Y2184" s="1"/>
      <c r="Z2184" s="1"/>
      <c r="AA2184" s="1"/>
      <c r="AB2184" s="1"/>
      <c r="AC2184" s="1"/>
      <c r="AD2184" s="1">
        <f>IF($C2184="",0,SUMPRODUCT((AY_SONU!$O$7:$O$42="Evet")*(AY_SONU!$B$7:$B$42=DATE(YEAR($C2184),MONTH($C2184),1))))</f>
        <v>0</v>
      </c>
      <c r="AE2184" s="1" t="str">
        <f>IF($E2184="","",$E2184&amp;"|"&amp;COUNTIFS($E$7:$E2184,$E2184))</f>
        <v/>
      </c>
    </row>
    <row r="2185" spans="1:31" ht="18" customHeight="1" x14ac:dyDescent="0.3">
      <c r="A2185" s="2"/>
      <c r="B2185" s="65" t="str">
        <f>IF($C2185="","","GG"&amp;TEXT(ROW()-6,"00000"))</f>
        <v/>
      </c>
      <c r="C2185" s="66"/>
      <c r="D2185" s="60"/>
      <c r="E2185" s="61"/>
      <c r="F2185" s="61"/>
      <c r="G2185" s="67"/>
      <c r="H2185" s="60"/>
      <c r="I2185" s="60"/>
      <c r="J2185" s="61"/>
      <c r="K2185" s="61"/>
      <c r="L2185" s="60"/>
      <c r="M2185" s="74" t="str">
        <f>IF($C2185="","",IF($D2185="Gider",$E2185,IF($L2185&lt;&gt;"",$L2185,$H2185)))</f>
        <v/>
      </c>
      <c r="N2185" s="74" t="str">
        <f>IF($C2185="","",IF($D2185="Gider",$H2185,$E2185))</f>
        <v/>
      </c>
      <c r="O2185" s="73" t="str">
        <f>IF($C2185="","",DATE(YEAR($C2185),MONTH($C2185),1))</f>
        <v/>
      </c>
      <c r="P2185" s="65" t="str">
        <f ca="1">IF($C2185="","",IF(AND($D2185="Gelir",$L2185&lt;&gt;"",$T2185=""),"TANIMSIZ BORÇLU",IF($T2185&lt;&gt;"",IF(OR($E2185="",$G2185&lt;=0),"EKSİK",IF($I2185="Evet","TAHAKKUK NAKİT OLAMAZ",IF($C2185&gt;TODAY(),"İLERİ TARİH","TAHAKKUK"))),IF(AND($D2185&lt;&gt;"",$E2185&lt;&gt;"",$G2185&gt;0,$H2185&lt;&gt;"",$I2185&lt;&gt;""),IF($C2185&gt;TODAY(),"İLERİ TARİH",IF(COUNTIF($W$7:$W$3001,$W2185)&gt;1,"MÜKERRER?",IF($AD2185&gt;0,"KAPALI DÖNEM",IF($I2185="Hayır","ÖDENECEK","UYGUN")))),"EKSİK"))))</f>
        <v/>
      </c>
      <c r="Q2185" s="2"/>
      <c r="R2185" s="2"/>
      <c r="S2185" s="1" t="str">
        <f t="shared" si="104"/>
        <v/>
      </c>
      <c r="T2185" s="1" t="str">
        <f>IF(OR($C2185="",$D2185&lt;&gt;"Gelir",$L2185=""),"",IFERROR(INDEX(MUSTERILER!$B$7:$B$156,MATCH($S2185,MUSTERILER!$T$7:$T$156,0)),""))</f>
        <v/>
      </c>
      <c r="U2185" s="1" t="str">
        <f>IF($T2185="","",$T2185&amp;"|"&amp;COUNTIFS($T$7:$T2185,$T2185))</f>
        <v/>
      </c>
      <c r="V2185" s="1">
        <f t="shared" si="105"/>
        <v>0</v>
      </c>
      <c r="W2185" s="1" t="str">
        <f t="shared" si="106"/>
        <v/>
      </c>
      <c r="X2185" s="1"/>
      <c r="Y2185" s="1"/>
      <c r="Z2185" s="1"/>
      <c r="AA2185" s="1"/>
      <c r="AB2185" s="1"/>
      <c r="AC2185" s="1"/>
      <c r="AD2185" s="1">
        <f>IF($C2185="",0,SUMPRODUCT((AY_SONU!$O$7:$O$42="Evet")*(AY_SONU!$B$7:$B$42=DATE(YEAR($C2185),MONTH($C2185),1))))</f>
        <v>0</v>
      </c>
      <c r="AE2185" s="1" t="str">
        <f>IF($E2185="","",$E2185&amp;"|"&amp;COUNTIFS($E$7:$E2185,$E2185))</f>
        <v/>
      </c>
    </row>
    <row r="2186" spans="1:31" ht="18" customHeight="1" x14ac:dyDescent="0.3">
      <c r="A2186" s="2"/>
      <c r="B2186" s="65" t="str">
        <f>IF($C2186="","","GG"&amp;TEXT(ROW()-6,"00000"))</f>
        <v/>
      </c>
      <c r="C2186" s="66"/>
      <c r="D2186" s="60"/>
      <c r="E2186" s="61"/>
      <c r="F2186" s="61"/>
      <c r="G2186" s="67"/>
      <c r="H2186" s="60"/>
      <c r="I2186" s="60"/>
      <c r="J2186" s="61"/>
      <c r="K2186" s="61"/>
      <c r="L2186" s="60"/>
      <c r="M2186" s="74" t="str">
        <f>IF($C2186="","",IF($D2186="Gider",$E2186,IF($L2186&lt;&gt;"",$L2186,$H2186)))</f>
        <v/>
      </c>
      <c r="N2186" s="74" t="str">
        <f>IF($C2186="","",IF($D2186="Gider",$H2186,$E2186))</f>
        <v/>
      </c>
      <c r="O2186" s="73" t="str">
        <f>IF($C2186="","",DATE(YEAR($C2186),MONTH($C2186),1))</f>
        <v/>
      </c>
      <c r="P2186" s="65" t="str">
        <f ca="1">IF($C2186="","",IF(AND($D2186="Gelir",$L2186&lt;&gt;"",$T2186=""),"TANIMSIZ BORÇLU",IF($T2186&lt;&gt;"",IF(OR($E2186="",$G2186&lt;=0),"EKSİK",IF($I2186="Evet","TAHAKKUK NAKİT OLAMAZ",IF($C2186&gt;TODAY(),"İLERİ TARİH","TAHAKKUK"))),IF(AND($D2186&lt;&gt;"",$E2186&lt;&gt;"",$G2186&gt;0,$H2186&lt;&gt;"",$I2186&lt;&gt;""),IF($C2186&gt;TODAY(),"İLERİ TARİH",IF(COUNTIF($W$7:$W$3001,$W2186)&gt;1,"MÜKERRER?",IF($AD2186&gt;0,"KAPALI DÖNEM",IF($I2186="Hayır","ÖDENECEK","UYGUN")))),"EKSİK"))))</f>
        <v/>
      </c>
      <c r="Q2186" s="2"/>
      <c r="R2186" s="2"/>
      <c r="S2186" s="1" t="str">
        <f t="shared" si="104"/>
        <v/>
      </c>
      <c r="T2186" s="1" t="str">
        <f>IF(OR($C2186="",$D2186&lt;&gt;"Gelir",$L2186=""),"",IFERROR(INDEX(MUSTERILER!$B$7:$B$156,MATCH($S2186,MUSTERILER!$T$7:$T$156,0)),""))</f>
        <v/>
      </c>
      <c r="U2186" s="1" t="str">
        <f>IF($T2186="","",$T2186&amp;"|"&amp;COUNTIFS($T$7:$T2186,$T2186))</f>
        <v/>
      </c>
      <c r="V2186" s="1">
        <f t="shared" si="105"/>
        <v>0</v>
      </c>
      <c r="W2186" s="1" t="str">
        <f t="shared" si="106"/>
        <v/>
      </c>
      <c r="X2186" s="1"/>
      <c r="Y2186" s="1"/>
      <c r="Z2186" s="1"/>
      <c r="AA2186" s="1"/>
      <c r="AB2186" s="1"/>
      <c r="AC2186" s="1"/>
      <c r="AD2186" s="1">
        <f>IF($C2186="",0,SUMPRODUCT((AY_SONU!$O$7:$O$42="Evet")*(AY_SONU!$B$7:$B$42=DATE(YEAR($C2186),MONTH($C2186),1))))</f>
        <v>0</v>
      </c>
      <c r="AE2186" s="1" t="str">
        <f>IF($E2186="","",$E2186&amp;"|"&amp;COUNTIFS($E$7:$E2186,$E2186))</f>
        <v/>
      </c>
    </row>
    <row r="2187" spans="1:31" ht="18" customHeight="1" x14ac:dyDescent="0.3">
      <c r="A2187" s="2"/>
      <c r="B2187" s="65" t="str">
        <f>IF($C2187="","","GG"&amp;TEXT(ROW()-6,"00000"))</f>
        <v/>
      </c>
      <c r="C2187" s="66"/>
      <c r="D2187" s="60"/>
      <c r="E2187" s="61"/>
      <c r="F2187" s="61"/>
      <c r="G2187" s="67"/>
      <c r="H2187" s="60"/>
      <c r="I2187" s="60"/>
      <c r="J2187" s="61"/>
      <c r="K2187" s="61"/>
      <c r="L2187" s="60"/>
      <c r="M2187" s="74" t="str">
        <f>IF($C2187="","",IF($D2187="Gider",$E2187,IF($L2187&lt;&gt;"",$L2187,$H2187)))</f>
        <v/>
      </c>
      <c r="N2187" s="74" t="str">
        <f>IF($C2187="","",IF($D2187="Gider",$H2187,$E2187))</f>
        <v/>
      </c>
      <c r="O2187" s="73" t="str">
        <f>IF($C2187="","",DATE(YEAR($C2187),MONTH($C2187),1))</f>
        <v/>
      </c>
      <c r="P2187" s="65" t="str">
        <f ca="1">IF($C2187="","",IF(AND($D2187="Gelir",$L2187&lt;&gt;"",$T2187=""),"TANIMSIZ BORÇLU",IF($T2187&lt;&gt;"",IF(OR($E2187="",$G2187&lt;=0),"EKSİK",IF($I2187="Evet","TAHAKKUK NAKİT OLAMAZ",IF($C2187&gt;TODAY(),"İLERİ TARİH","TAHAKKUK"))),IF(AND($D2187&lt;&gt;"",$E2187&lt;&gt;"",$G2187&gt;0,$H2187&lt;&gt;"",$I2187&lt;&gt;""),IF($C2187&gt;TODAY(),"İLERİ TARİH",IF(COUNTIF($W$7:$W$3001,$W2187)&gt;1,"MÜKERRER?",IF($AD2187&gt;0,"KAPALI DÖNEM",IF($I2187="Hayır","ÖDENECEK","UYGUN")))),"EKSİK"))))</f>
        <v/>
      </c>
      <c r="Q2187" s="2"/>
      <c r="R2187" s="2"/>
      <c r="S2187" s="1" t="str">
        <f t="shared" si="104"/>
        <v/>
      </c>
      <c r="T2187" s="1" t="str">
        <f>IF(OR($C2187="",$D2187&lt;&gt;"Gelir",$L2187=""),"",IFERROR(INDEX(MUSTERILER!$B$7:$B$156,MATCH($S2187,MUSTERILER!$T$7:$T$156,0)),""))</f>
        <v/>
      </c>
      <c r="U2187" s="1" t="str">
        <f>IF($T2187="","",$T2187&amp;"|"&amp;COUNTIFS($T$7:$T2187,$T2187))</f>
        <v/>
      </c>
      <c r="V2187" s="1">
        <f t="shared" si="105"/>
        <v>0</v>
      </c>
      <c r="W2187" s="1" t="str">
        <f t="shared" si="106"/>
        <v/>
      </c>
      <c r="X2187" s="1"/>
      <c r="Y2187" s="1"/>
      <c r="Z2187" s="1"/>
      <c r="AA2187" s="1"/>
      <c r="AB2187" s="1"/>
      <c r="AC2187" s="1"/>
      <c r="AD2187" s="1">
        <f>IF($C2187="",0,SUMPRODUCT((AY_SONU!$O$7:$O$42="Evet")*(AY_SONU!$B$7:$B$42=DATE(YEAR($C2187),MONTH($C2187),1))))</f>
        <v>0</v>
      </c>
      <c r="AE2187" s="1" t="str">
        <f>IF($E2187="","",$E2187&amp;"|"&amp;COUNTIFS($E$7:$E2187,$E2187))</f>
        <v/>
      </c>
    </row>
    <row r="2188" spans="1:31" ht="18" customHeight="1" x14ac:dyDescent="0.3">
      <c r="A2188" s="2"/>
      <c r="B2188" s="65" t="str">
        <f>IF($C2188="","","GG"&amp;TEXT(ROW()-6,"00000"))</f>
        <v/>
      </c>
      <c r="C2188" s="66"/>
      <c r="D2188" s="60"/>
      <c r="E2188" s="61"/>
      <c r="F2188" s="61"/>
      <c r="G2188" s="67"/>
      <c r="H2188" s="60"/>
      <c r="I2188" s="60"/>
      <c r="J2188" s="61"/>
      <c r="K2188" s="61"/>
      <c r="L2188" s="60"/>
      <c r="M2188" s="74" t="str">
        <f>IF($C2188="","",IF($D2188="Gider",$E2188,IF($L2188&lt;&gt;"",$L2188,$H2188)))</f>
        <v/>
      </c>
      <c r="N2188" s="74" t="str">
        <f>IF($C2188="","",IF($D2188="Gider",$H2188,$E2188))</f>
        <v/>
      </c>
      <c r="O2188" s="73" t="str">
        <f>IF($C2188="","",DATE(YEAR($C2188),MONTH($C2188),1))</f>
        <v/>
      </c>
      <c r="P2188" s="65" t="str">
        <f ca="1">IF($C2188="","",IF(AND($D2188="Gelir",$L2188&lt;&gt;"",$T2188=""),"TANIMSIZ BORÇLU",IF($T2188&lt;&gt;"",IF(OR($E2188="",$G2188&lt;=0),"EKSİK",IF($I2188="Evet","TAHAKKUK NAKİT OLAMAZ",IF($C2188&gt;TODAY(),"İLERİ TARİH","TAHAKKUK"))),IF(AND($D2188&lt;&gt;"",$E2188&lt;&gt;"",$G2188&gt;0,$H2188&lt;&gt;"",$I2188&lt;&gt;""),IF($C2188&gt;TODAY(),"İLERİ TARİH",IF(COUNTIF($W$7:$W$3001,$W2188)&gt;1,"MÜKERRER?",IF($AD2188&gt;0,"KAPALI DÖNEM",IF($I2188="Hayır","ÖDENECEK","UYGUN")))),"EKSİK"))))</f>
        <v/>
      </c>
      <c r="Q2188" s="2"/>
      <c r="R2188" s="2"/>
      <c r="S2188" s="1" t="str">
        <f t="shared" si="104"/>
        <v/>
      </c>
      <c r="T2188" s="1" t="str">
        <f>IF(OR($C2188="",$D2188&lt;&gt;"Gelir",$L2188=""),"",IFERROR(INDEX(MUSTERILER!$B$7:$B$156,MATCH($S2188,MUSTERILER!$T$7:$T$156,0)),""))</f>
        <v/>
      </c>
      <c r="U2188" s="1" t="str">
        <f>IF($T2188="","",$T2188&amp;"|"&amp;COUNTIFS($T$7:$T2188,$T2188))</f>
        <v/>
      </c>
      <c r="V2188" s="1">
        <f t="shared" si="105"/>
        <v>0</v>
      </c>
      <c r="W2188" s="1" t="str">
        <f t="shared" si="106"/>
        <v/>
      </c>
      <c r="X2188" s="1"/>
      <c r="Y2188" s="1"/>
      <c r="Z2188" s="1"/>
      <c r="AA2188" s="1"/>
      <c r="AB2188" s="1"/>
      <c r="AC2188" s="1"/>
      <c r="AD2188" s="1">
        <f>IF($C2188="",0,SUMPRODUCT((AY_SONU!$O$7:$O$42="Evet")*(AY_SONU!$B$7:$B$42=DATE(YEAR($C2188),MONTH($C2188),1))))</f>
        <v>0</v>
      </c>
      <c r="AE2188" s="1" t="str">
        <f>IF($E2188="","",$E2188&amp;"|"&amp;COUNTIFS($E$7:$E2188,$E2188))</f>
        <v/>
      </c>
    </row>
    <row r="2189" spans="1:31" ht="18" customHeight="1" x14ac:dyDescent="0.3">
      <c r="A2189" s="2"/>
      <c r="B2189" s="65" t="str">
        <f>IF($C2189="","","GG"&amp;TEXT(ROW()-6,"00000"))</f>
        <v/>
      </c>
      <c r="C2189" s="66"/>
      <c r="D2189" s="60"/>
      <c r="E2189" s="61"/>
      <c r="F2189" s="61"/>
      <c r="G2189" s="67"/>
      <c r="H2189" s="60"/>
      <c r="I2189" s="60"/>
      <c r="J2189" s="61"/>
      <c r="K2189" s="61"/>
      <c r="L2189" s="60"/>
      <c r="M2189" s="74" t="str">
        <f>IF($C2189="","",IF($D2189="Gider",$E2189,IF($L2189&lt;&gt;"",$L2189,$H2189)))</f>
        <v/>
      </c>
      <c r="N2189" s="74" t="str">
        <f>IF($C2189="","",IF($D2189="Gider",$H2189,$E2189))</f>
        <v/>
      </c>
      <c r="O2189" s="73" t="str">
        <f>IF($C2189="","",DATE(YEAR($C2189),MONTH($C2189),1))</f>
        <v/>
      </c>
      <c r="P2189" s="65" t="str">
        <f ca="1">IF($C2189="","",IF(AND($D2189="Gelir",$L2189&lt;&gt;"",$T2189=""),"TANIMSIZ BORÇLU",IF($T2189&lt;&gt;"",IF(OR($E2189="",$G2189&lt;=0),"EKSİK",IF($I2189="Evet","TAHAKKUK NAKİT OLAMAZ",IF($C2189&gt;TODAY(),"İLERİ TARİH","TAHAKKUK"))),IF(AND($D2189&lt;&gt;"",$E2189&lt;&gt;"",$G2189&gt;0,$H2189&lt;&gt;"",$I2189&lt;&gt;""),IF($C2189&gt;TODAY(),"İLERİ TARİH",IF(COUNTIF($W$7:$W$3001,$W2189)&gt;1,"MÜKERRER?",IF($AD2189&gt;0,"KAPALI DÖNEM",IF($I2189="Hayır","ÖDENECEK","UYGUN")))),"EKSİK"))))</f>
        <v/>
      </c>
      <c r="Q2189" s="2"/>
      <c r="R2189" s="2"/>
      <c r="S2189" s="1" t="str">
        <f t="shared" si="104"/>
        <v/>
      </c>
      <c r="T2189" s="1" t="str">
        <f>IF(OR($C2189="",$D2189&lt;&gt;"Gelir",$L2189=""),"",IFERROR(INDEX(MUSTERILER!$B$7:$B$156,MATCH($S2189,MUSTERILER!$T$7:$T$156,0)),""))</f>
        <v/>
      </c>
      <c r="U2189" s="1" t="str">
        <f>IF($T2189="","",$T2189&amp;"|"&amp;COUNTIFS($T$7:$T2189,$T2189))</f>
        <v/>
      </c>
      <c r="V2189" s="1">
        <f t="shared" si="105"/>
        <v>0</v>
      </c>
      <c r="W2189" s="1" t="str">
        <f t="shared" si="106"/>
        <v/>
      </c>
      <c r="X2189" s="1"/>
      <c r="Y2189" s="1"/>
      <c r="Z2189" s="1"/>
      <c r="AA2189" s="1"/>
      <c r="AB2189" s="1"/>
      <c r="AC2189" s="1"/>
      <c r="AD2189" s="1">
        <f>IF($C2189="",0,SUMPRODUCT((AY_SONU!$O$7:$O$42="Evet")*(AY_SONU!$B$7:$B$42=DATE(YEAR($C2189),MONTH($C2189),1))))</f>
        <v>0</v>
      </c>
      <c r="AE2189" s="1" t="str">
        <f>IF($E2189="","",$E2189&amp;"|"&amp;COUNTIFS($E$7:$E2189,$E2189))</f>
        <v/>
      </c>
    </row>
    <row r="2190" spans="1:31" ht="18" customHeight="1" x14ac:dyDescent="0.3">
      <c r="A2190" s="2"/>
      <c r="B2190" s="65" t="str">
        <f>IF($C2190="","","GG"&amp;TEXT(ROW()-6,"00000"))</f>
        <v/>
      </c>
      <c r="C2190" s="66"/>
      <c r="D2190" s="60"/>
      <c r="E2190" s="61"/>
      <c r="F2190" s="61"/>
      <c r="G2190" s="67"/>
      <c r="H2190" s="60"/>
      <c r="I2190" s="60"/>
      <c r="J2190" s="61"/>
      <c r="K2190" s="61"/>
      <c r="L2190" s="60"/>
      <c r="M2190" s="74" t="str">
        <f>IF($C2190="","",IF($D2190="Gider",$E2190,IF($L2190&lt;&gt;"",$L2190,$H2190)))</f>
        <v/>
      </c>
      <c r="N2190" s="74" t="str">
        <f>IF($C2190="","",IF($D2190="Gider",$H2190,$E2190))</f>
        <v/>
      </c>
      <c r="O2190" s="73" t="str">
        <f>IF($C2190="","",DATE(YEAR($C2190),MONTH($C2190),1))</f>
        <v/>
      </c>
      <c r="P2190" s="65" t="str">
        <f ca="1">IF($C2190="","",IF(AND($D2190="Gelir",$L2190&lt;&gt;"",$T2190=""),"TANIMSIZ BORÇLU",IF($T2190&lt;&gt;"",IF(OR($E2190="",$G2190&lt;=0),"EKSİK",IF($I2190="Evet","TAHAKKUK NAKİT OLAMAZ",IF($C2190&gt;TODAY(),"İLERİ TARİH","TAHAKKUK"))),IF(AND($D2190&lt;&gt;"",$E2190&lt;&gt;"",$G2190&gt;0,$H2190&lt;&gt;"",$I2190&lt;&gt;""),IF($C2190&gt;TODAY(),"İLERİ TARİH",IF(COUNTIF($W$7:$W$3001,$W2190)&gt;1,"MÜKERRER?",IF($AD2190&gt;0,"KAPALI DÖNEM",IF($I2190="Hayır","ÖDENECEK","UYGUN")))),"EKSİK"))))</f>
        <v/>
      </c>
      <c r="Q2190" s="2"/>
      <c r="R2190" s="2"/>
      <c r="S2190" s="1" t="str">
        <f t="shared" si="104"/>
        <v/>
      </c>
      <c r="T2190" s="1" t="str">
        <f>IF(OR($C2190="",$D2190&lt;&gt;"Gelir",$L2190=""),"",IFERROR(INDEX(MUSTERILER!$B$7:$B$156,MATCH($S2190,MUSTERILER!$T$7:$T$156,0)),""))</f>
        <v/>
      </c>
      <c r="U2190" s="1" t="str">
        <f>IF($T2190="","",$T2190&amp;"|"&amp;COUNTIFS($T$7:$T2190,$T2190))</f>
        <v/>
      </c>
      <c r="V2190" s="1">
        <f t="shared" si="105"/>
        <v>0</v>
      </c>
      <c r="W2190" s="1" t="str">
        <f t="shared" si="106"/>
        <v/>
      </c>
      <c r="X2190" s="1"/>
      <c r="Y2190" s="1"/>
      <c r="Z2190" s="1"/>
      <c r="AA2190" s="1"/>
      <c r="AB2190" s="1"/>
      <c r="AC2190" s="1"/>
      <c r="AD2190" s="1">
        <f>IF($C2190="",0,SUMPRODUCT((AY_SONU!$O$7:$O$42="Evet")*(AY_SONU!$B$7:$B$42=DATE(YEAR($C2190),MONTH($C2190),1))))</f>
        <v>0</v>
      </c>
      <c r="AE2190" s="1" t="str">
        <f>IF($E2190="","",$E2190&amp;"|"&amp;COUNTIFS($E$7:$E2190,$E2190))</f>
        <v/>
      </c>
    </row>
    <row r="2191" spans="1:31" ht="18" customHeight="1" x14ac:dyDescent="0.3">
      <c r="A2191" s="2"/>
      <c r="B2191" s="65" t="str">
        <f>IF($C2191="","","GG"&amp;TEXT(ROW()-6,"00000"))</f>
        <v/>
      </c>
      <c r="C2191" s="66"/>
      <c r="D2191" s="60"/>
      <c r="E2191" s="61"/>
      <c r="F2191" s="61"/>
      <c r="G2191" s="67"/>
      <c r="H2191" s="60"/>
      <c r="I2191" s="60"/>
      <c r="J2191" s="61"/>
      <c r="K2191" s="61"/>
      <c r="L2191" s="60"/>
      <c r="M2191" s="74" t="str">
        <f>IF($C2191="","",IF($D2191="Gider",$E2191,IF($L2191&lt;&gt;"",$L2191,$H2191)))</f>
        <v/>
      </c>
      <c r="N2191" s="74" t="str">
        <f>IF($C2191="","",IF($D2191="Gider",$H2191,$E2191))</f>
        <v/>
      </c>
      <c r="O2191" s="73" t="str">
        <f>IF($C2191="","",DATE(YEAR($C2191),MONTH($C2191),1))</f>
        <v/>
      </c>
      <c r="P2191" s="65" t="str">
        <f ca="1">IF($C2191="","",IF(AND($D2191="Gelir",$L2191&lt;&gt;"",$T2191=""),"TANIMSIZ BORÇLU",IF($T2191&lt;&gt;"",IF(OR($E2191="",$G2191&lt;=0),"EKSİK",IF($I2191="Evet","TAHAKKUK NAKİT OLAMAZ",IF($C2191&gt;TODAY(),"İLERİ TARİH","TAHAKKUK"))),IF(AND($D2191&lt;&gt;"",$E2191&lt;&gt;"",$G2191&gt;0,$H2191&lt;&gt;"",$I2191&lt;&gt;""),IF($C2191&gt;TODAY(),"İLERİ TARİH",IF(COUNTIF($W$7:$W$3001,$W2191)&gt;1,"MÜKERRER?",IF($AD2191&gt;0,"KAPALI DÖNEM",IF($I2191="Hayır","ÖDENECEK","UYGUN")))),"EKSİK"))))</f>
        <v/>
      </c>
      <c r="Q2191" s="2"/>
      <c r="R2191" s="2"/>
      <c r="S2191" s="1" t="str">
        <f t="shared" si="104"/>
        <v/>
      </c>
      <c r="T2191" s="1" t="str">
        <f>IF(OR($C2191="",$D2191&lt;&gt;"Gelir",$L2191=""),"",IFERROR(INDEX(MUSTERILER!$B$7:$B$156,MATCH($S2191,MUSTERILER!$T$7:$T$156,0)),""))</f>
        <v/>
      </c>
      <c r="U2191" s="1" t="str">
        <f>IF($T2191="","",$T2191&amp;"|"&amp;COUNTIFS($T$7:$T2191,$T2191))</f>
        <v/>
      </c>
      <c r="V2191" s="1">
        <f t="shared" si="105"/>
        <v>0</v>
      </c>
      <c r="W2191" s="1" t="str">
        <f t="shared" si="106"/>
        <v/>
      </c>
      <c r="X2191" s="1"/>
      <c r="Y2191" s="1"/>
      <c r="Z2191" s="1"/>
      <c r="AA2191" s="1"/>
      <c r="AB2191" s="1"/>
      <c r="AC2191" s="1"/>
      <c r="AD2191" s="1">
        <f>IF($C2191="",0,SUMPRODUCT((AY_SONU!$O$7:$O$42="Evet")*(AY_SONU!$B$7:$B$42=DATE(YEAR($C2191),MONTH($C2191),1))))</f>
        <v>0</v>
      </c>
      <c r="AE2191" s="1" t="str">
        <f>IF($E2191="","",$E2191&amp;"|"&amp;COUNTIFS($E$7:$E2191,$E2191))</f>
        <v/>
      </c>
    </row>
    <row r="2192" spans="1:31" ht="18" customHeight="1" x14ac:dyDescent="0.3">
      <c r="A2192" s="2"/>
      <c r="B2192" s="65" t="str">
        <f>IF($C2192="","","GG"&amp;TEXT(ROW()-6,"00000"))</f>
        <v/>
      </c>
      <c r="C2192" s="66"/>
      <c r="D2192" s="60"/>
      <c r="E2192" s="61"/>
      <c r="F2192" s="61"/>
      <c r="G2192" s="67"/>
      <c r="H2192" s="60"/>
      <c r="I2192" s="60"/>
      <c r="J2192" s="61"/>
      <c r="K2192" s="61"/>
      <c r="L2192" s="60"/>
      <c r="M2192" s="74" t="str">
        <f>IF($C2192="","",IF($D2192="Gider",$E2192,IF($L2192&lt;&gt;"",$L2192,$H2192)))</f>
        <v/>
      </c>
      <c r="N2192" s="74" t="str">
        <f>IF($C2192="","",IF($D2192="Gider",$H2192,$E2192))</f>
        <v/>
      </c>
      <c r="O2192" s="73" t="str">
        <f>IF($C2192="","",DATE(YEAR($C2192),MONTH($C2192),1))</f>
        <v/>
      </c>
      <c r="P2192" s="65" t="str">
        <f ca="1">IF($C2192="","",IF(AND($D2192="Gelir",$L2192&lt;&gt;"",$T2192=""),"TANIMSIZ BORÇLU",IF($T2192&lt;&gt;"",IF(OR($E2192="",$G2192&lt;=0),"EKSİK",IF($I2192="Evet","TAHAKKUK NAKİT OLAMAZ",IF($C2192&gt;TODAY(),"İLERİ TARİH","TAHAKKUK"))),IF(AND($D2192&lt;&gt;"",$E2192&lt;&gt;"",$G2192&gt;0,$H2192&lt;&gt;"",$I2192&lt;&gt;""),IF($C2192&gt;TODAY(),"İLERİ TARİH",IF(COUNTIF($W$7:$W$3001,$W2192)&gt;1,"MÜKERRER?",IF($AD2192&gt;0,"KAPALI DÖNEM",IF($I2192="Hayır","ÖDENECEK","UYGUN")))),"EKSİK"))))</f>
        <v/>
      </c>
      <c r="Q2192" s="2"/>
      <c r="R2192" s="2"/>
      <c r="S2192" s="1" t="str">
        <f t="shared" si="104"/>
        <v/>
      </c>
      <c r="T2192" s="1" t="str">
        <f>IF(OR($C2192="",$D2192&lt;&gt;"Gelir",$L2192=""),"",IFERROR(INDEX(MUSTERILER!$B$7:$B$156,MATCH($S2192,MUSTERILER!$T$7:$T$156,0)),""))</f>
        <v/>
      </c>
      <c r="U2192" s="1" t="str">
        <f>IF($T2192="","",$T2192&amp;"|"&amp;COUNTIFS($T$7:$T2192,$T2192))</f>
        <v/>
      </c>
      <c r="V2192" s="1">
        <f t="shared" si="105"/>
        <v>0</v>
      </c>
      <c r="W2192" s="1" t="str">
        <f t="shared" si="106"/>
        <v/>
      </c>
      <c r="X2192" s="1"/>
      <c r="Y2192" s="1"/>
      <c r="Z2192" s="1"/>
      <c r="AA2192" s="1"/>
      <c r="AB2192" s="1"/>
      <c r="AC2192" s="1"/>
      <c r="AD2192" s="1">
        <f>IF($C2192="",0,SUMPRODUCT((AY_SONU!$O$7:$O$42="Evet")*(AY_SONU!$B$7:$B$42=DATE(YEAR($C2192),MONTH($C2192),1))))</f>
        <v>0</v>
      </c>
      <c r="AE2192" s="1" t="str">
        <f>IF($E2192="","",$E2192&amp;"|"&amp;COUNTIFS($E$7:$E2192,$E2192))</f>
        <v/>
      </c>
    </row>
    <row r="2193" spans="1:31" ht="18" customHeight="1" x14ac:dyDescent="0.3">
      <c r="A2193" s="2"/>
      <c r="B2193" s="65" t="str">
        <f>IF($C2193="","","GG"&amp;TEXT(ROW()-6,"00000"))</f>
        <v/>
      </c>
      <c r="C2193" s="66"/>
      <c r="D2193" s="60"/>
      <c r="E2193" s="61"/>
      <c r="F2193" s="61"/>
      <c r="G2193" s="67"/>
      <c r="H2193" s="60"/>
      <c r="I2193" s="60"/>
      <c r="J2193" s="61"/>
      <c r="K2193" s="61"/>
      <c r="L2193" s="60"/>
      <c r="M2193" s="74" t="str">
        <f>IF($C2193="","",IF($D2193="Gider",$E2193,IF($L2193&lt;&gt;"",$L2193,$H2193)))</f>
        <v/>
      </c>
      <c r="N2193" s="74" t="str">
        <f>IF($C2193="","",IF($D2193="Gider",$H2193,$E2193))</f>
        <v/>
      </c>
      <c r="O2193" s="73" t="str">
        <f>IF($C2193="","",DATE(YEAR($C2193),MONTH($C2193),1))</f>
        <v/>
      </c>
      <c r="P2193" s="65" t="str">
        <f ca="1">IF($C2193="","",IF(AND($D2193="Gelir",$L2193&lt;&gt;"",$T2193=""),"TANIMSIZ BORÇLU",IF($T2193&lt;&gt;"",IF(OR($E2193="",$G2193&lt;=0),"EKSİK",IF($I2193="Evet","TAHAKKUK NAKİT OLAMAZ",IF($C2193&gt;TODAY(),"İLERİ TARİH","TAHAKKUK"))),IF(AND($D2193&lt;&gt;"",$E2193&lt;&gt;"",$G2193&gt;0,$H2193&lt;&gt;"",$I2193&lt;&gt;""),IF($C2193&gt;TODAY(),"İLERİ TARİH",IF(COUNTIF($W$7:$W$3001,$W2193)&gt;1,"MÜKERRER?",IF($AD2193&gt;0,"KAPALI DÖNEM",IF($I2193="Hayır","ÖDENECEK","UYGUN")))),"EKSİK"))))</f>
        <v/>
      </c>
      <c r="Q2193" s="2"/>
      <c r="R2193" s="2"/>
      <c r="S2193" s="1" t="str">
        <f t="shared" si="104"/>
        <v/>
      </c>
      <c r="T2193" s="1" t="str">
        <f>IF(OR($C2193="",$D2193&lt;&gt;"Gelir",$L2193=""),"",IFERROR(INDEX(MUSTERILER!$B$7:$B$156,MATCH($S2193,MUSTERILER!$T$7:$T$156,0)),""))</f>
        <v/>
      </c>
      <c r="U2193" s="1" t="str">
        <f>IF($T2193="","",$T2193&amp;"|"&amp;COUNTIFS($T$7:$T2193,$T2193))</f>
        <v/>
      </c>
      <c r="V2193" s="1">
        <f t="shared" si="105"/>
        <v>0</v>
      </c>
      <c r="W2193" s="1" t="str">
        <f t="shared" si="106"/>
        <v/>
      </c>
      <c r="X2193" s="1"/>
      <c r="Y2193" s="1"/>
      <c r="Z2193" s="1"/>
      <c r="AA2193" s="1"/>
      <c r="AB2193" s="1"/>
      <c r="AC2193" s="1"/>
      <c r="AD2193" s="1">
        <f>IF($C2193="",0,SUMPRODUCT((AY_SONU!$O$7:$O$42="Evet")*(AY_SONU!$B$7:$B$42=DATE(YEAR($C2193),MONTH($C2193),1))))</f>
        <v>0</v>
      </c>
      <c r="AE2193" s="1" t="str">
        <f>IF($E2193="","",$E2193&amp;"|"&amp;COUNTIFS($E$7:$E2193,$E2193))</f>
        <v/>
      </c>
    </row>
    <row r="2194" spans="1:31" ht="18" customHeight="1" x14ac:dyDescent="0.3">
      <c r="A2194" s="2"/>
      <c r="B2194" s="65" t="str">
        <f>IF($C2194="","","GG"&amp;TEXT(ROW()-6,"00000"))</f>
        <v/>
      </c>
      <c r="C2194" s="66"/>
      <c r="D2194" s="60"/>
      <c r="E2194" s="61"/>
      <c r="F2194" s="61"/>
      <c r="G2194" s="67"/>
      <c r="H2194" s="60"/>
      <c r="I2194" s="60"/>
      <c r="J2194" s="61"/>
      <c r="K2194" s="61"/>
      <c r="L2194" s="60"/>
      <c r="M2194" s="74" t="str">
        <f>IF($C2194="","",IF($D2194="Gider",$E2194,IF($L2194&lt;&gt;"",$L2194,$H2194)))</f>
        <v/>
      </c>
      <c r="N2194" s="74" t="str">
        <f>IF($C2194="","",IF($D2194="Gider",$H2194,$E2194))</f>
        <v/>
      </c>
      <c r="O2194" s="73" t="str">
        <f>IF($C2194="","",DATE(YEAR($C2194),MONTH($C2194),1))</f>
        <v/>
      </c>
      <c r="P2194" s="65" t="str">
        <f ca="1">IF($C2194="","",IF(AND($D2194="Gelir",$L2194&lt;&gt;"",$T2194=""),"TANIMSIZ BORÇLU",IF($T2194&lt;&gt;"",IF(OR($E2194="",$G2194&lt;=0),"EKSİK",IF($I2194="Evet","TAHAKKUK NAKİT OLAMAZ",IF($C2194&gt;TODAY(),"İLERİ TARİH","TAHAKKUK"))),IF(AND($D2194&lt;&gt;"",$E2194&lt;&gt;"",$G2194&gt;0,$H2194&lt;&gt;"",$I2194&lt;&gt;""),IF($C2194&gt;TODAY(),"İLERİ TARİH",IF(COUNTIF($W$7:$W$3001,$W2194)&gt;1,"MÜKERRER?",IF($AD2194&gt;0,"KAPALI DÖNEM",IF($I2194="Hayır","ÖDENECEK","UYGUN")))),"EKSİK"))))</f>
        <v/>
      </c>
      <c r="Q2194" s="2"/>
      <c r="R2194" s="2"/>
      <c r="S2194" s="1" t="str">
        <f t="shared" si="104"/>
        <v/>
      </c>
      <c r="T2194" s="1" t="str">
        <f>IF(OR($C2194="",$D2194&lt;&gt;"Gelir",$L2194=""),"",IFERROR(INDEX(MUSTERILER!$B$7:$B$156,MATCH($S2194,MUSTERILER!$T$7:$T$156,0)),""))</f>
        <v/>
      </c>
      <c r="U2194" s="1" t="str">
        <f>IF($T2194="","",$T2194&amp;"|"&amp;COUNTIFS($T$7:$T2194,$T2194))</f>
        <v/>
      </c>
      <c r="V2194" s="1">
        <f t="shared" si="105"/>
        <v>0</v>
      </c>
      <c r="W2194" s="1" t="str">
        <f t="shared" si="106"/>
        <v/>
      </c>
      <c r="X2194" s="1"/>
      <c r="Y2194" s="1"/>
      <c r="Z2194" s="1"/>
      <c r="AA2194" s="1"/>
      <c r="AB2194" s="1"/>
      <c r="AC2194" s="1"/>
      <c r="AD2194" s="1">
        <f>IF($C2194="",0,SUMPRODUCT((AY_SONU!$O$7:$O$42="Evet")*(AY_SONU!$B$7:$B$42=DATE(YEAR($C2194),MONTH($C2194),1))))</f>
        <v>0</v>
      </c>
      <c r="AE2194" s="1" t="str">
        <f>IF($E2194="","",$E2194&amp;"|"&amp;COUNTIFS($E$7:$E2194,$E2194))</f>
        <v/>
      </c>
    </row>
    <row r="2195" spans="1:31" ht="18" customHeight="1" x14ac:dyDescent="0.3">
      <c r="A2195" s="2"/>
      <c r="B2195" s="65" t="str">
        <f>IF($C2195="","","GG"&amp;TEXT(ROW()-6,"00000"))</f>
        <v/>
      </c>
      <c r="C2195" s="66"/>
      <c r="D2195" s="60"/>
      <c r="E2195" s="61"/>
      <c r="F2195" s="61"/>
      <c r="G2195" s="67"/>
      <c r="H2195" s="60"/>
      <c r="I2195" s="60"/>
      <c r="J2195" s="61"/>
      <c r="K2195" s="61"/>
      <c r="L2195" s="60"/>
      <c r="M2195" s="74" t="str">
        <f>IF($C2195="","",IF($D2195="Gider",$E2195,IF($L2195&lt;&gt;"",$L2195,$H2195)))</f>
        <v/>
      </c>
      <c r="N2195" s="74" t="str">
        <f>IF($C2195="","",IF($D2195="Gider",$H2195,$E2195))</f>
        <v/>
      </c>
      <c r="O2195" s="73" t="str">
        <f>IF($C2195="","",DATE(YEAR($C2195),MONTH($C2195),1))</f>
        <v/>
      </c>
      <c r="P2195" s="65" t="str">
        <f ca="1">IF($C2195="","",IF(AND($D2195="Gelir",$L2195&lt;&gt;"",$T2195=""),"TANIMSIZ BORÇLU",IF($T2195&lt;&gt;"",IF(OR($E2195="",$G2195&lt;=0),"EKSİK",IF($I2195="Evet","TAHAKKUK NAKİT OLAMAZ",IF($C2195&gt;TODAY(),"İLERİ TARİH","TAHAKKUK"))),IF(AND($D2195&lt;&gt;"",$E2195&lt;&gt;"",$G2195&gt;0,$H2195&lt;&gt;"",$I2195&lt;&gt;""),IF($C2195&gt;TODAY(),"İLERİ TARİH",IF(COUNTIF($W$7:$W$3001,$W2195)&gt;1,"MÜKERRER?",IF($AD2195&gt;0,"KAPALI DÖNEM",IF($I2195="Hayır","ÖDENECEK","UYGUN")))),"EKSİK"))))</f>
        <v/>
      </c>
      <c r="Q2195" s="2"/>
      <c r="R2195" s="2"/>
      <c r="S2195" s="1" t="str">
        <f t="shared" si="104"/>
        <v/>
      </c>
      <c r="T2195" s="1" t="str">
        <f>IF(OR($C2195="",$D2195&lt;&gt;"Gelir",$L2195=""),"",IFERROR(INDEX(MUSTERILER!$B$7:$B$156,MATCH($S2195,MUSTERILER!$T$7:$T$156,0)),""))</f>
        <v/>
      </c>
      <c r="U2195" s="1" t="str">
        <f>IF($T2195="","",$T2195&amp;"|"&amp;COUNTIFS($T$7:$T2195,$T2195))</f>
        <v/>
      </c>
      <c r="V2195" s="1">
        <f t="shared" si="105"/>
        <v>0</v>
      </c>
      <c r="W2195" s="1" t="str">
        <f t="shared" si="106"/>
        <v/>
      </c>
      <c r="X2195" s="1"/>
      <c r="Y2195" s="1"/>
      <c r="Z2195" s="1"/>
      <c r="AA2195" s="1"/>
      <c r="AB2195" s="1"/>
      <c r="AC2195" s="1"/>
      <c r="AD2195" s="1">
        <f>IF($C2195="",0,SUMPRODUCT((AY_SONU!$O$7:$O$42="Evet")*(AY_SONU!$B$7:$B$42=DATE(YEAR($C2195),MONTH($C2195),1))))</f>
        <v>0</v>
      </c>
      <c r="AE2195" s="1" t="str">
        <f>IF($E2195="","",$E2195&amp;"|"&amp;COUNTIFS($E$7:$E2195,$E2195))</f>
        <v/>
      </c>
    </row>
    <row r="2196" spans="1:31" ht="18" customHeight="1" x14ac:dyDescent="0.3">
      <c r="A2196" s="2"/>
      <c r="B2196" s="65" t="str">
        <f>IF($C2196="","","GG"&amp;TEXT(ROW()-6,"00000"))</f>
        <v/>
      </c>
      <c r="C2196" s="66"/>
      <c r="D2196" s="60"/>
      <c r="E2196" s="61"/>
      <c r="F2196" s="61"/>
      <c r="G2196" s="67"/>
      <c r="H2196" s="60"/>
      <c r="I2196" s="60"/>
      <c r="J2196" s="61"/>
      <c r="K2196" s="61"/>
      <c r="L2196" s="60"/>
      <c r="M2196" s="74" t="str">
        <f>IF($C2196="","",IF($D2196="Gider",$E2196,IF($L2196&lt;&gt;"",$L2196,$H2196)))</f>
        <v/>
      </c>
      <c r="N2196" s="74" t="str">
        <f>IF($C2196="","",IF($D2196="Gider",$H2196,$E2196))</f>
        <v/>
      </c>
      <c r="O2196" s="73" t="str">
        <f>IF($C2196="","",DATE(YEAR($C2196),MONTH($C2196),1))</f>
        <v/>
      </c>
      <c r="P2196" s="65" t="str">
        <f ca="1">IF($C2196="","",IF(AND($D2196="Gelir",$L2196&lt;&gt;"",$T2196=""),"TANIMSIZ BORÇLU",IF($T2196&lt;&gt;"",IF(OR($E2196="",$G2196&lt;=0),"EKSİK",IF($I2196="Evet","TAHAKKUK NAKİT OLAMAZ",IF($C2196&gt;TODAY(),"İLERİ TARİH","TAHAKKUK"))),IF(AND($D2196&lt;&gt;"",$E2196&lt;&gt;"",$G2196&gt;0,$H2196&lt;&gt;"",$I2196&lt;&gt;""),IF($C2196&gt;TODAY(),"İLERİ TARİH",IF(COUNTIF($W$7:$W$3001,$W2196)&gt;1,"MÜKERRER?",IF($AD2196&gt;0,"KAPALI DÖNEM",IF($I2196="Hayır","ÖDENECEK","UYGUN")))),"EKSİK"))))</f>
        <v/>
      </c>
      <c r="Q2196" s="2"/>
      <c r="R2196" s="2"/>
      <c r="S2196" s="1" t="str">
        <f t="shared" si="104"/>
        <v/>
      </c>
      <c r="T2196" s="1" t="str">
        <f>IF(OR($C2196="",$D2196&lt;&gt;"Gelir",$L2196=""),"",IFERROR(INDEX(MUSTERILER!$B$7:$B$156,MATCH($S2196,MUSTERILER!$T$7:$T$156,0)),""))</f>
        <v/>
      </c>
      <c r="U2196" s="1" t="str">
        <f>IF($T2196="","",$T2196&amp;"|"&amp;COUNTIFS($T$7:$T2196,$T2196))</f>
        <v/>
      </c>
      <c r="V2196" s="1">
        <f t="shared" si="105"/>
        <v>0</v>
      </c>
      <c r="W2196" s="1" t="str">
        <f t="shared" si="106"/>
        <v/>
      </c>
      <c r="X2196" s="1"/>
      <c r="Y2196" s="1"/>
      <c r="Z2196" s="1"/>
      <c r="AA2196" s="1"/>
      <c r="AB2196" s="1"/>
      <c r="AC2196" s="1"/>
      <c r="AD2196" s="1">
        <f>IF($C2196="",0,SUMPRODUCT((AY_SONU!$O$7:$O$42="Evet")*(AY_SONU!$B$7:$B$42=DATE(YEAR($C2196),MONTH($C2196),1))))</f>
        <v>0</v>
      </c>
      <c r="AE2196" s="1" t="str">
        <f>IF($E2196="","",$E2196&amp;"|"&amp;COUNTIFS($E$7:$E2196,$E2196))</f>
        <v/>
      </c>
    </row>
    <row r="2197" spans="1:31" ht="18" customHeight="1" x14ac:dyDescent="0.3">
      <c r="A2197" s="2"/>
      <c r="B2197" s="65" t="str">
        <f>IF($C2197="","","GG"&amp;TEXT(ROW()-6,"00000"))</f>
        <v/>
      </c>
      <c r="C2197" s="66"/>
      <c r="D2197" s="60"/>
      <c r="E2197" s="61"/>
      <c r="F2197" s="61"/>
      <c r="G2197" s="67"/>
      <c r="H2197" s="60"/>
      <c r="I2197" s="60"/>
      <c r="J2197" s="61"/>
      <c r="K2197" s="61"/>
      <c r="L2197" s="60"/>
      <c r="M2197" s="74" t="str">
        <f>IF($C2197="","",IF($D2197="Gider",$E2197,IF($L2197&lt;&gt;"",$L2197,$H2197)))</f>
        <v/>
      </c>
      <c r="N2197" s="74" t="str">
        <f>IF($C2197="","",IF($D2197="Gider",$H2197,$E2197))</f>
        <v/>
      </c>
      <c r="O2197" s="73" t="str">
        <f>IF($C2197="","",DATE(YEAR($C2197),MONTH($C2197),1))</f>
        <v/>
      </c>
      <c r="P2197" s="65" t="str">
        <f ca="1">IF($C2197="","",IF(AND($D2197="Gelir",$L2197&lt;&gt;"",$T2197=""),"TANIMSIZ BORÇLU",IF($T2197&lt;&gt;"",IF(OR($E2197="",$G2197&lt;=0),"EKSİK",IF($I2197="Evet","TAHAKKUK NAKİT OLAMAZ",IF($C2197&gt;TODAY(),"İLERİ TARİH","TAHAKKUK"))),IF(AND($D2197&lt;&gt;"",$E2197&lt;&gt;"",$G2197&gt;0,$H2197&lt;&gt;"",$I2197&lt;&gt;""),IF($C2197&gt;TODAY(),"İLERİ TARİH",IF(COUNTIF($W$7:$W$3001,$W2197)&gt;1,"MÜKERRER?",IF($AD2197&gt;0,"KAPALI DÖNEM",IF($I2197="Hayır","ÖDENECEK","UYGUN")))),"EKSİK"))))</f>
        <v/>
      </c>
      <c r="Q2197" s="2"/>
      <c r="R2197" s="2"/>
      <c r="S2197" s="1" t="str">
        <f t="shared" si="104"/>
        <v/>
      </c>
      <c r="T2197" s="1" t="str">
        <f>IF(OR($C2197="",$D2197&lt;&gt;"Gelir",$L2197=""),"",IFERROR(INDEX(MUSTERILER!$B$7:$B$156,MATCH($S2197,MUSTERILER!$T$7:$T$156,0)),""))</f>
        <v/>
      </c>
      <c r="U2197" s="1" t="str">
        <f>IF($T2197="","",$T2197&amp;"|"&amp;COUNTIFS($T$7:$T2197,$T2197))</f>
        <v/>
      </c>
      <c r="V2197" s="1">
        <f t="shared" si="105"/>
        <v>0</v>
      </c>
      <c r="W2197" s="1" t="str">
        <f t="shared" si="106"/>
        <v/>
      </c>
      <c r="X2197" s="1"/>
      <c r="Y2197" s="1"/>
      <c r="Z2197" s="1"/>
      <c r="AA2197" s="1"/>
      <c r="AB2197" s="1"/>
      <c r="AC2197" s="1"/>
      <c r="AD2197" s="1">
        <f>IF($C2197="",0,SUMPRODUCT((AY_SONU!$O$7:$O$42="Evet")*(AY_SONU!$B$7:$B$42=DATE(YEAR($C2197),MONTH($C2197),1))))</f>
        <v>0</v>
      </c>
      <c r="AE2197" s="1" t="str">
        <f>IF($E2197="","",$E2197&amp;"|"&amp;COUNTIFS($E$7:$E2197,$E2197))</f>
        <v/>
      </c>
    </row>
    <row r="2198" spans="1:31" ht="18" customHeight="1" x14ac:dyDescent="0.3">
      <c r="A2198" s="2"/>
      <c r="B2198" s="65" t="str">
        <f>IF($C2198="","","GG"&amp;TEXT(ROW()-6,"00000"))</f>
        <v/>
      </c>
      <c r="C2198" s="66"/>
      <c r="D2198" s="60"/>
      <c r="E2198" s="61"/>
      <c r="F2198" s="61"/>
      <c r="G2198" s="67"/>
      <c r="H2198" s="60"/>
      <c r="I2198" s="60"/>
      <c r="J2198" s="61"/>
      <c r="K2198" s="61"/>
      <c r="L2198" s="60"/>
      <c r="M2198" s="74" t="str">
        <f>IF($C2198="","",IF($D2198="Gider",$E2198,IF($L2198&lt;&gt;"",$L2198,$H2198)))</f>
        <v/>
      </c>
      <c r="N2198" s="74" t="str">
        <f>IF($C2198="","",IF($D2198="Gider",$H2198,$E2198))</f>
        <v/>
      </c>
      <c r="O2198" s="73" t="str">
        <f>IF($C2198="","",DATE(YEAR($C2198),MONTH($C2198),1))</f>
        <v/>
      </c>
      <c r="P2198" s="65" t="str">
        <f ca="1">IF($C2198="","",IF(AND($D2198="Gelir",$L2198&lt;&gt;"",$T2198=""),"TANIMSIZ BORÇLU",IF($T2198&lt;&gt;"",IF(OR($E2198="",$G2198&lt;=0),"EKSİK",IF($I2198="Evet","TAHAKKUK NAKİT OLAMAZ",IF($C2198&gt;TODAY(),"İLERİ TARİH","TAHAKKUK"))),IF(AND($D2198&lt;&gt;"",$E2198&lt;&gt;"",$G2198&gt;0,$H2198&lt;&gt;"",$I2198&lt;&gt;""),IF($C2198&gt;TODAY(),"İLERİ TARİH",IF(COUNTIF($W$7:$W$3001,$W2198)&gt;1,"MÜKERRER?",IF($AD2198&gt;0,"KAPALI DÖNEM",IF($I2198="Hayır","ÖDENECEK","UYGUN")))),"EKSİK"))))</f>
        <v/>
      </c>
      <c r="Q2198" s="2"/>
      <c r="R2198" s="2"/>
      <c r="S2198" s="1" t="str">
        <f t="shared" si="104"/>
        <v/>
      </c>
      <c r="T2198" s="1" t="str">
        <f>IF(OR($C2198="",$D2198&lt;&gt;"Gelir",$L2198=""),"",IFERROR(INDEX(MUSTERILER!$B$7:$B$156,MATCH($S2198,MUSTERILER!$T$7:$T$156,0)),""))</f>
        <v/>
      </c>
      <c r="U2198" s="1" t="str">
        <f>IF($T2198="","",$T2198&amp;"|"&amp;COUNTIFS($T$7:$T2198,$T2198))</f>
        <v/>
      </c>
      <c r="V2198" s="1">
        <f t="shared" si="105"/>
        <v>0</v>
      </c>
      <c r="W2198" s="1" t="str">
        <f t="shared" si="106"/>
        <v/>
      </c>
      <c r="X2198" s="1"/>
      <c r="Y2198" s="1"/>
      <c r="Z2198" s="1"/>
      <c r="AA2198" s="1"/>
      <c r="AB2198" s="1"/>
      <c r="AC2198" s="1"/>
      <c r="AD2198" s="1">
        <f>IF($C2198="",0,SUMPRODUCT((AY_SONU!$O$7:$O$42="Evet")*(AY_SONU!$B$7:$B$42=DATE(YEAR($C2198),MONTH($C2198),1))))</f>
        <v>0</v>
      </c>
      <c r="AE2198" s="1" t="str">
        <f>IF($E2198="","",$E2198&amp;"|"&amp;COUNTIFS($E$7:$E2198,$E2198))</f>
        <v/>
      </c>
    </row>
    <row r="2199" spans="1:31" ht="18" customHeight="1" x14ac:dyDescent="0.3">
      <c r="A2199" s="2"/>
      <c r="B2199" s="65" t="str">
        <f>IF($C2199="","","GG"&amp;TEXT(ROW()-6,"00000"))</f>
        <v/>
      </c>
      <c r="C2199" s="66"/>
      <c r="D2199" s="60"/>
      <c r="E2199" s="61"/>
      <c r="F2199" s="61"/>
      <c r="G2199" s="67"/>
      <c r="H2199" s="60"/>
      <c r="I2199" s="60"/>
      <c r="J2199" s="61"/>
      <c r="K2199" s="61"/>
      <c r="L2199" s="60"/>
      <c r="M2199" s="74" t="str">
        <f>IF($C2199="","",IF($D2199="Gider",$E2199,IF($L2199&lt;&gt;"",$L2199,$H2199)))</f>
        <v/>
      </c>
      <c r="N2199" s="74" t="str">
        <f>IF($C2199="","",IF($D2199="Gider",$H2199,$E2199))</f>
        <v/>
      </c>
      <c r="O2199" s="73" t="str">
        <f>IF($C2199="","",DATE(YEAR($C2199),MONTH($C2199),1))</f>
        <v/>
      </c>
      <c r="P2199" s="65" t="str">
        <f ca="1">IF($C2199="","",IF(AND($D2199="Gelir",$L2199&lt;&gt;"",$T2199=""),"TANIMSIZ BORÇLU",IF($T2199&lt;&gt;"",IF(OR($E2199="",$G2199&lt;=0),"EKSİK",IF($I2199="Evet","TAHAKKUK NAKİT OLAMAZ",IF($C2199&gt;TODAY(),"İLERİ TARİH","TAHAKKUK"))),IF(AND($D2199&lt;&gt;"",$E2199&lt;&gt;"",$G2199&gt;0,$H2199&lt;&gt;"",$I2199&lt;&gt;""),IF($C2199&gt;TODAY(),"İLERİ TARİH",IF(COUNTIF($W$7:$W$3001,$W2199)&gt;1,"MÜKERRER?",IF($AD2199&gt;0,"KAPALI DÖNEM",IF($I2199="Hayır","ÖDENECEK","UYGUN")))),"EKSİK"))))</f>
        <v/>
      </c>
      <c r="Q2199" s="2"/>
      <c r="R2199" s="2"/>
      <c r="S2199" s="1" t="str">
        <f t="shared" si="104"/>
        <v/>
      </c>
      <c r="T2199" s="1" t="str">
        <f>IF(OR($C2199="",$D2199&lt;&gt;"Gelir",$L2199=""),"",IFERROR(INDEX(MUSTERILER!$B$7:$B$156,MATCH($S2199,MUSTERILER!$T$7:$T$156,0)),""))</f>
        <v/>
      </c>
      <c r="U2199" s="1" t="str">
        <f>IF($T2199="","",$T2199&amp;"|"&amp;COUNTIFS($T$7:$T2199,$T2199))</f>
        <v/>
      </c>
      <c r="V2199" s="1">
        <f t="shared" si="105"/>
        <v>0</v>
      </c>
      <c r="W2199" s="1" t="str">
        <f t="shared" si="106"/>
        <v/>
      </c>
      <c r="X2199" s="1"/>
      <c r="Y2199" s="1"/>
      <c r="Z2199" s="1"/>
      <c r="AA2199" s="1"/>
      <c r="AB2199" s="1"/>
      <c r="AC2199" s="1"/>
      <c r="AD2199" s="1">
        <f>IF($C2199="",0,SUMPRODUCT((AY_SONU!$O$7:$O$42="Evet")*(AY_SONU!$B$7:$B$42=DATE(YEAR($C2199),MONTH($C2199),1))))</f>
        <v>0</v>
      </c>
      <c r="AE2199" s="1" t="str">
        <f>IF($E2199="","",$E2199&amp;"|"&amp;COUNTIFS($E$7:$E2199,$E2199))</f>
        <v/>
      </c>
    </row>
    <row r="2200" spans="1:31" ht="18" customHeight="1" x14ac:dyDescent="0.3">
      <c r="A2200" s="2"/>
      <c r="B2200" s="65" t="str">
        <f>IF($C2200="","","GG"&amp;TEXT(ROW()-6,"00000"))</f>
        <v/>
      </c>
      <c r="C2200" s="66"/>
      <c r="D2200" s="60"/>
      <c r="E2200" s="61"/>
      <c r="F2200" s="61"/>
      <c r="G2200" s="67"/>
      <c r="H2200" s="60"/>
      <c r="I2200" s="60"/>
      <c r="J2200" s="61"/>
      <c r="K2200" s="61"/>
      <c r="L2200" s="60"/>
      <c r="M2200" s="74" t="str">
        <f>IF($C2200="","",IF($D2200="Gider",$E2200,IF($L2200&lt;&gt;"",$L2200,$H2200)))</f>
        <v/>
      </c>
      <c r="N2200" s="74" t="str">
        <f>IF($C2200="","",IF($D2200="Gider",$H2200,$E2200))</f>
        <v/>
      </c>
      <c r="O2200" s="73" t="str">
        <f>IF($C2200="","",DATE(YEAR($C2200),MONTH($C2200),1))</f>
        <v/>
      </c>
      <c r="P2200" s="65" t="str">
        <f ca="1">IF($C2200="","",IF(AND($D2200="Gelir",$L2200&lt;&gt;"",$T2200=""),"TANIMSIZ BORÇLU",IF($T2200&lt;&gt;"",IF(OR($E2200="",$G2200&lt;=0),"EKSİK",IF($I2200="Evet","TAHAKKUK NAKİT OLAMAZ",IF($C2200&gt;TODAY(),"İLERİ TARİH","TAHAKKUK"))),IF(AND($D2200&lt;&gt;"",$E2200&lt;&gt;"",$G2200&gt;0,$H2200&lt;&gt;"",$I2200&lt;&gt;""),IF($C2200&gt;TODAY(),"İLERİ TARİH",IF(COUNTIF($W$7:$W$3001,$W2200)&gt;1,"MÜKERRER?",IF($AD2200&gt;0,"KAPALI DÖNEM",IF($I2200="Hayır","ÖDENECEK","UYGUN")))),"EKSİK"))))</f>
        <v/>
      </c>
      <c r="Q2200" s="2"/>
      <c r="R2200" s="2"/>
      <c r="S2200" s="1" t="str">
        <f t="shared" si="104"/>
        <v/>
      </c>
      <c r="T2200" s="1" t="str">
        <f>IF(OR($C2200="",$D2200&lt;&gt;"Gelir",$L2200=""),"",IFERROR(INDEX(MUSTERILER!$B$7:$B$156,MATCH($S2200,MUSTERILER!$T$7:$T$156,0)),""))</f>
        <v/>
      </c>
      <c r="U2200" s="1" t="str">
        <f>IF($T2200="","",$T2200&amp;"|"&amp;COUNTIFS($T$7:$T2200,$T2200))</f>
        <v/>
      </c>
      <c r="V2200" s="1">
        <f t="shared" si="105"/>
        <v>0</v>
      </c>
      <c r="W2200" s="1" t="str">
        <f t="shared" si="106"/>
        <v/>
      </c>
      <c r="X2200" s="1"/>
      <c r="Y2200" s="1"/>
      <c r="Z2200" s="1"/>
      <c r="AA2200" s="1"/>
      <c r="AB2200" s="1"/>
      <c r="AC2200" s="1"/>
      <c r="AD2200" s="1">
        <f>IF($C2200="",0,SUMPRODUCT((AY_SONU!$O$7:$O$42="Evet")*(AY_SONU!$B$7:$B$42=DATE(YEAR($C2200),MONTH($C2200),1))))</f>
        <v>0</v>
      </c>
      <c r="AE2200" s="1" t="str">
        <f>IF($E2200="","",$E2200&amp;"|"&amp;COUNTIFS($E$7:$E2200,$E2200))</f>
        <v/>
      </c>
    </row>
    <row r="2201" spans="1:31" ht="18" customHeight="1" x14ac:dyDescent="0.3">
      <c r="A2201" s="2"/>
      <c r="B2201" s="65" t="str">
        <f>IF($C2201="","","GG"&amp;TEXT(ROW()-6,"00000"))</f>
        <v/>
      </c>
      <c r="C2201" s="66"/>
      <c r="D2201" s="60"/>
      <c r="E2201" s="61"/>
      <c r="F2201" s="61"/>
      <c r="G2201" s="67"/>
      <c r="H2201" s="60"/>
      <c r="I2201" s="60"/>
      <c r="J2201" s="61"/>
      <c r="K2201" s="61"/>
      <c r="L2201" s="60"/>
      <c r="M2201" s="74" t="str">
        <f>IF($C2201="","",IF($D2201="Gider",$E2201,IF($L2201&lt;&gt;"",$L2201,$H2201)))</f>
        <v/>
      </c>
      <c r="N2201" s="74" t="str">
        <f>IF($C2201="","",IF($D2201="Gider",$H2201,$E2201))</f>
        <v/>
      </c>
      <c r="O2201" s="73" t="str">
        <f>IF($C2201="","",DATE(YEAR($C2201),MONTH($C2201),1))</f>
        <v/>
      </c>
      <c r="P2201" s="65" t="str">
        <f ca="1">IF($C2201="","",IF(AND($D2201="Gelir",$L2201&lt;&gt;"",$T2201=""),"TANIMSIZ BORÇLU",IF($T2201&lt;&gt;"",IF(OR($E2201="",$G2201&lt;=0),"EKSİK",IF($I2201="Evet","TAHAKKUK NAKİT OLAMAZ",IF($C2201&gt;TODAY(),"İLERİ TARİH","TAHAKKUK"))),IF(AND($D2201&lt;&gt;"",$E2201&lt;&gt;"",$G2201&gt;0,$H2201&lt;&gt;"",$I2201&lt;&gt;""),IF($C2201&gt;TODAY(),"İLERİ TARİH",IF(COUNTIF($W$7:$W$3001,$W2201)&gt;1,"MÜKERRER?",IF($AD2201&gt;0,"KAPALI DÖNEM",IF($I2201="Hayır","ÖDENECEK","UYGUN")))),"EKSİK"))))</f>
        <v/>
      </c>
      <c r="Q2201" s="2"/>
      <c r="R2201" s="2"/>
      <c r="S2201" s="1" t="str">
        <f t="shared" si="104"/>
        <v/>
      </c>
      <c r="T2201" s="1" t="str">
        <f>IF(OR($C2201="",$D2201&lt;&gt;"Gelir",$L2201=""),"",IFERROR(INDEX(MUSTERILER!$B$7:$B$156,MATCH($S2201,MUSTERILER!$T$7:$T$156,0)),""))</f>
        <v/>
      </c>
      <c r="U2201" s="1" t="str">
        <f>IF($T2201="","",$T2201&amp;"|"&amp;COUNTIFS($T$7:$T2201,$T2201))</f>
        <v/>
      </c>
      <c r="V2201" s="1">
        <f t="shared" si="105"/>
        <v>0</v>
      </c>
      <c r="W2201" s="1" t="str">
        <f t="shared" si="106"/>
        <v/>
      </c>
      <c r="X2201" s="1"/>
      <c r="Y2201" s="1"/>
      <c r="Z2201" s="1"/>
      <c r="AA2201" s="1"/>
      <c r="AB2201" s="1"/>
      <c r="AC2201" s="1"/>
      <c r="AD2201" s="1">
        <f>IF($C2201="",0,SUMPRODUCT((AY_SONU!$O$7:$O$42="Evet")*(AY_SONU!$B$7:$B$42=DATE(YEAR($C2201),MONTH($C2201),1))))</f>
        <v>0</v>
      </c>
      <c r="AE2201" s="1" t="str">
        <f>IF($E2201="","",$E2201&amp;"|"&amp;COUNTIFS($E$7:$E2201,$E2201))</f>
        <v/>
      </c>
    </row>
    <row r="2202" spans="1:31" ht="18" customHeight="1" x14ac:dyDescent="0.3">
      <c r="A2202" s="2"/>
      <c r="B2202" s="65" t="str">
        <f>IF($C2202="","","GG"&amp;TEXT(ROW()-6,"00000"))</f>
        <v/>
      </c>
      <c r="C2202" s="66"/>
      <c r="D2202" s="60"/>
      <c r="E2202" s="61"/>
      <c r="F2202" s="61"/>
      <c r="G2202" s="67"/>
      <c r="H2202" s="60"/>
      <c r="I2202" s="60"/>
      <c r="J2202" s="61"/>
      <c r="K2202" s="61"/>
      <c r="L2202" s="60"/>
      <c r="M2202" s="74" t="str">
        <f>IF($C2202="","",IF($D2202="Gider",$E2202,IF($L2202&lt;&gt;"",$L2202,$H2202)))</f>
        <v/>
      </c>
      <c r="N2202" s="74" t="str">
        <f>IF($C2202="","",IF($D2202="Gider",$H2202,$E2202))</f>
        <v/>
      </c>
      <c r="O2202" s="73" t="str">
        <f>IF($C2202="","",DATE(YEAR($C2202),MONTH($C2202),1))</f>
        <v/>
      </c>
      <c r="P2202" s="65" t="str">
        <f ca="1">IF($C2202="","",IF(AND($D2202="Gelir",$L2202&lt;&gt;"",$T2202=""),"TANIMSIZ BORÇLU",IF($T2202&lt;&gt;"",IF(OR($E2202="",$G2202&lt;=0),"EKSİK",IF($I2202="Evet","TAHAKKUK NAKİT OLAMAZ",IF($C2202&gt;TODAY(),"İLERİ TARİH","TAHAKKUK"))),IF(AND($D2202&lt;&gt;"",$E2202&lt;&gt;"",$G2202&gt;0,$H2202&lt;&gt;"",$I2202&lt;&gt;""),IF($C2202&gt;TODAY(),"İLERİ TARİH",IF(COUNTIF($W$7:$W$3001,$W2202)&gt;1,"MÜKERRER?",IF($AD2202&gt;0,"KAPALI DÖNEM",IF($I2202="Hayır","ÖDENECEK","UYGUN")))),"EKSİK"))))</f>
        <v/>
      </c>
      <c r="Q2202" s="2"/>
      <c r="R2202" s="2"/>
      <c r="S2202" s="1" t="str">
        <f t="shared" si="104"/>
        <v/>
      </c>
      <c r="T2202" s="1" t="str">
        <f>IF(OR($C2202="",$D2202&lt;&gt;"Gelir",$L2202=""),"",IFERROR(INDEX(MUSTERILER!$B$7:$B$156,MATCH($S2202,MUSTERILER!$T$7:$T$156,0)),""))</f>
        <v/>
      </c>
      <c r="U2202" s="1" t="str">
        <f>IF($T2202="","",$T2202&amp;"|"&amp;COUNTIFS($T$7:$T2202,$T2202))</f>
        <v/>
      </c>
      <c r="V2202" s="1">
        <f t="shared" si="105"/>
        <v>0</v>
      </c>
      <c r="W2202" s="1" t="str">
        <f t="shared" si="106"/>
        <v/>
      </c>
      <c r="X2202" s="1"/>
      <c r="Y2202" s="1"/>
      <c r="Z2202" s="1"/>
      <c r="AA2202" s="1"/>
      <c r="AB2202" s="1"/>
      <c r="AC2202" s="1"/>
      <c r="AD2202" s="1">
        <f>IF($C2202="",0,SUMPRODUCT((AY_SONU!$O$7:$O$42="Evet")*(AY_SONU!$B$7:$B$42=DATE(YEAR($C2202),MONTH($C2202),1))))</f>
        <v>0</v>
      </c>
      <c r="AE2202" s="1" t="str">
        <f>IF($E2202="","",$E2202&amp;"|"&amp;COUNTIFS($E$7:$E2202,$E2202))</f>
        <v/>
      </c>
    </row>
    <row r="2203" spans="1:31" ht="18" customHeight="1" x14ac:dyDescent="0.3">
      <c r="A2203" s="2"/>
      <c r="B2203" s="65" t="str">
        <f>IF($C2203="","","GG"&amp;TEXT(ROW()-6,"00000"))</f>
        <v/>
      </c>
      <c r="C2203" s="66"/>
      <c r="D2203" s="60"/>
      <c r="E2203" s="61"/>
      <c r="F2203" s="61"/>
      <c r="G2203" s="67"/>
      <c r="H2203" s="60"/>
      <c r="I2203" s="60"/>
      <c r="J2203" s="61"/>
      <c r="K2203" s="61"/>
      <c r="L2203" s="60"/>
      <c r="M2203" s="74" t="str">
        <f>IF($C2203="","",IF($D2203="Gider",$E2203,IF($L2203&lt;&gt;"",$L2203,$H2203)))</f>
        <v/>
      </c>
      <c r="N2203" s="74" t="str">
        <f>IF($C2203="","",IF($D2203="Gider",$H2203,$E2203))</f>
        <v/>
      </c>
      <c r="O2203" s="73" t="str">
        <f>IF($C2203="","",DATE(YEAR($C2203),MONTH($C2203),1))</f>
        <v/>
      </c>
      <c r="P2203" s="65" t="str">
        <f ca="1">IF($C2203="","",IF(AND($D2203="Gelir",$L2203&lt;&gt;"",$T2203=""),"TANIMSIZ BORÇLU",IF($T2203&lt;&gt;"",IF(OR($E2203="",$G2203&lt;=0),"EKSİK",IF($I2203="Evet","TAHAKKUK NAKİT OLAMAZ",IF($C2203&gt;TODAY(),"İLERİ TARİH","TAHAKKUK"))),IF(AND($D2203&lt;&gt;"",$E2203&lt;&gt;"",$G2203&gt;0,$H2203&lt;&gt;"",$I2203&lt;&gt;""),IF($C2203&gt;TODAY(),"İLERİ TARİH",IF(COUNTIF($W$7:$W$3001,$W2203)&gt;1,"MÜKERRER?",IF($AD2203&gt;0,"KAPALI DÖNEM",IF($I2203="Hayır","ÖDENECEK","UYGUN")))),"EKSİK"))))</f>
        <v/>
      </c>
      <c r="Q2203" s="2"/>
      <c r="R2203" s="2"/>
      <c r="S2203" s="1" t="str">
        <f t="shared" si="104"/>
        <v/>
      </c>
      <c r="T2203" s="1" t="str">
        <f>IF(OR($C2203="",$D2203&lt;&gt;"Gelir",$L2203=""),"",IFERROR(INDEX(MUSTERILER!$B$7:$B$156,MATCH($S2203,MUSTERILER!$T$7:$T$156,0)),""))</f>
        <v/>
      </c>
      <c r="U2203" s="1" t="str">
        <f>IF($T2203="","",$T2203&amp;"|"&amp;COUNTIFS($T$7:$T2203,$T2203))</f>
        <v/>
      </c>
      <c r="V2203" s="1">
        <f t="shared" si="105"/>
        <v>0</v>
      </c>
      <c r="W2203" s="1" t="str">
        <f t="shared" si="106"/>
        <v/>
      </c>
      <c r="X2203" s="1"/>
      <c r="Y2203" s="1"/>
      <c r="Z2203" s="1"/>
      <c r="AA2203" s="1"/>
      <c r="AB2203" s="1"/>
      <c r="AC2203" s="1"/>
      <c r="AD2203" s="1">
        <f>IF($C2203="",0,SUMPRODUCT((AY_SONU!$O$7:$O$42="Evet")*(AY_SONU!$B$7:$B$42=DATE(YEAR($C2203),MONTH($C2203),1))))</f>
        <v>0</v>
      </c>
      <c r="AE2203" s="1" t="str">
        <f>IF($E2203="","",$E2203&amp;"|"&amp;COUNTIFS($E$7:$E2203,$E2203))</f>
        <v/>
      </c>
    </row>
    <row r="2204" spans="1:31" ht="18" customHeight="1" x14ac:dyDescent="0.3">
      <c r="A2204" s="2"/>
      <c r="B2204" s="65" t="str">
        <f>IF($C2204="","","GG"&amp;TEXT(ROW()-6,"00000"))</f>
        <v/>
      </c>
      <c r="C2204" s="66"/>
      <c r="D2204" s="60"/>
      <c r="E2204" s="61"/>
      <c r="F2204" s="61"/>
      <c r="G2204" s="67"/>
      <c r="H2204" s="60"/>
      <c r="I2204" s="60"/>
      <c r="J2204" s="61"/>
      <c r="K2204" s="61"/>
      <c r="L2204" s="60"/>
      <c r="M2204" s="74" t="str">
        <f>IF($C2204="","",IF($D2204="Gider",$E2204,IF($L2204&lt;&gt;"",$L2204,$H2204)))</f>
        <v/>
      </c>
      <c r="N2204" s="74" t="str">
        <f>IF($C2204="","",IF($D2204="Gider",$H2204,$E2204))</f>
        <v/>
      </c>
      <c r="O2204" s="73" t="str">
        <f>IF($C2204="","",DATE(YEAR($C2204),MONTH($C2204),1))</f>
        <v/>
      </c>
      <c r="P2204" s="65" t="str">
        <f ca="1">IF($C2204="","",IF(AND($D2204="Gelir",$L2204&lt;&gt;"",$T2204=""),"TANIMSIZ BORÇLU",IF($T2204&lt;&gt;"",IF(OR($E2204="",$G2204&lt;=0),"EKSİK",IF($I2204="Evet","TAHAKKUK NAKİT OLAMAZ",IF($C2204&gt;TODAY(),"İLERİ TARİH","TAHAKKUK"))),IF(AND($D2204&lt;&gt;"",$E2204&lt;&gt;"",$G2204&gt;0,$H2204&lt;&gt;"",$I2204&lt;&gt;""),IF($C2204&gt;TODAY(),"İLERİ TARİH",IF(COUNTIF($W$7:$W$3001,$W2204)&gt;1,"MÜKERRER?",IF($AD2204&gt;0,"KAPALI DÖNEM",IF($I2204="Hayır","ÖDENECEK","UYGUN")))),"EKSİK"))))</f>
        <v/>
      </c>
      <c r="Q2204" s="2"/>
      <c r="R2204" s="2"/>
      <c r="S2204" s="1" t="str">
        <f t="shared" si="104"/>
        <v/>
      </c>
      <c r="T2204" s="1" t="str">
        <f>IF(OR($C2204="",$D2204&lt;&gt;"Gelir",$L2204=""),"",IFERROR(INDEX(MUSTERILER!$B$7:$B$156,MATCH($S2204,MUSTERILER!$T$7:$T$156,0)),""))</f>
        <v/>
      </c>
      <c r="U2204" s="1" t="str">
        <f>IF($T2204="","",$T2204&amp;"|"&amp;COUNTIFS($T$7:$T2204,$T2204))</f>
        <v/>
      </c>
      <c r="V2204" s="1">
        <f t="shared" si="105"/>
        <v>0</v>
      </c>
      <c r="W2204" s="1" t="str">
        <f t="shared" si="106"/>
        <v/>
      </c>
      <c r="X2204" s="1"/>
      <c r="Y2204" s="1"/>
      <c r="Z2204" s="1"/>
      <c r="AA2204" s="1"/>
      <c r="AB2204" s="1"/>
      <c r="AC2204" s="1"/>
      <c r="AD2204" s="1">
        <f>IF($C2204="",0,SUMPRODUCT((AY_SONU!$O$7:$O$42="Evet")*(AY_SONU!$B$7:$B$42=DATE(YEAR($C2204),MONTH($C2204),1))))</f>
        <v>0</v>
      </c>
      <c r="AE2204" s="1" t="str">
        <f>IF($E2204="","",$E2204&amp;"|"&amp;COUNTIFS($E$7:$E2204,$E2204))</f>
        <v/>
      </c>
    </row>
    <row r="2205" spans="1:31" ht="18" customHeight="1" x14ac:dyDescent="0.3">
      <c r="A2205" s="2"/>
      <c r="B2205" s="65" t="str">
        <f>IF($C2205="","","GG"&amp;TEXT(ROW()-6,"00000"))</f>
        <v/>
      </c>
      <c r="C2205" s="66"/>
      <c r="D2205" s="60"/>
      <c r="E2205" s="61"/>
      <c r="F2205" s="61"/>
      <c r="G2205" s="67"/>
      <c r="H2205" s="60"/>
      <c r="I2205" s="60"/>
      <c r="J2205" s="61"/>
      <c r="K2205" s="61"/>
      <c r="L2205" s="60"/>
      <c r="M2205" s="74" t="str">
        <f>IF($C2205="","",IF($D2205="Gider",$E2205,IF($L2205&lt;&gt;"",$L2205,$H2205)))</f>
        <v/>
      </c>
      <c r="N2205" s="74" t="str">
        <f>IF($C2205="","",IF($D2205="Gider",$H2205,$E2205))</f>
        <v/>
      </c>
      <c r="O2205" s="73" t="str">
        <f>IF($C2205="","",DATE(YEAR($C2205),MONTH($C2205),1))</f>
        <v/>
      </c>
      <c r="P2205" s="65" t="str">
        <f ca="1">IF($C2205="","",IF(AND($D2205="Gelir",$L2205&lt;&gt;"",$T2205=""),"TANIMSIZ BORÇLU",IF($T2205&lt;&gt;"",IF(OR($E2205="",$G2205&lt;=0),"EKSİK",IF($I2205="Evet","TAHAKKUK NAKİT OLAMAZ",IF($C2205&gt;TODAY(),"İLERİ TARİH","TAHAKKUK"))),IF(AND($D2205&lt;&gt;"",$E2205&lt;&gt;"",$G2205&gt;0,$H2205&lt;&gt;"",$I2205&lt;&gt;""),IF($C2205&gt;TODAY(),"İLERİ TARİH",IF(COUNTIF($W$7:$W$3001,$W2205)&gt;1,"MÜKERRER?",IF($AD2205&gt;0,"KAPALI DÖNEM",IF($I2205="Hayır","ÖDENECEK","UYGUN")))),"EKSİK"))))</f>
        <v/>
      </c>
      <c r="Q2205" s="2"/>
      <c r="R2205" s="2"/>
      <c r="S2205" s="1" t="str">
        <f t="shared" si="104"/>
        <v/>
      </c>
      <c r="T2205" s="1" t="str">
        <f>IF(OR($C2205="",$D2205&lt;&gt;"Gelir",$L2205=""),"",IFERROR(INDEX(MUSTERILER!$B$7:$B$156,MATCH($S2205,MUSTERILER!$T$7:$T$156,0)),""))</f>
        <v/>
      </c>
      <c r="U2205" s="1" t="str">
        <f>IF($T2205="","",$T2205&amp;"|"&amp;COUNTIFS($T$7:$T2205,$T2205))</f>
        <v/>
      </c>
      <c r="V2205" s="1">
        <f t="shared" si="105"/>
        <v>0</v>
      </c>
      <c r="W2205" s="1" t="str">
        <f t="shared" si="106"/>
        <v/>
      </c>
      <c r="X2205" s="1"/>
      <c r="Y2205" s="1"/>
      <c r="Z2205" s="1"/>
      <c r="AA2205" s="1"/>
      <c r="AB2205" s="1"/>
      <c r="AC2205" s="1"/>
      <c r="AD2205" s="1">
        <f>IF($C2205="",0,SUMPRODUCT((AY_SONU!$O$7:$O$42="Evet")*(AY_SONU!$B$7:$B$42=DATE(YEAR($C2205),MONTH($C2205),1))))</f>
        <v>0</v>
      </c>
      <c r="AE2205" s="1" t="str">
        <f>IF($E2205="","",$E2205&amp;"|"&amp;COUNTIFS($E$7:$E2205,$E2205))</f>
        <v/>
      </c>
    </row>
    <row r="2206" spans="1:31" ht="18" customHeight="1" x14ac:dyDescent="0.3">
      <c r="A2206" s="2"/>
      <c r="B2206" s="65" t="str">
        <f>IF($C2206="","","GG"&amp;TEXT(ROW()-6,"00000"))</f>
        <v/>
      </c>
      <c r="C2206" s="66"/>
      <c r="D2206" s="60"/>
      <c r="E2206" s="61"/>
      <c r="F2206" s="61"/>
      <c r="G2206" s="67"/>
      <c r="H2206" s="60"/>
      <c r="I2206" s="60"/>
      <c r="J2206" s="61"/>
      <c r="K2206" s="61"/>
      <c r="L2206" s="60"/>
      <c r="M2206" s="74" t="str">
        <f>IF($C2206="","",IF($D2206="Gider",$E2206,IF($L2206&lt;&gt;"",$L2206,$H2206)))</f>
        <v/>
      </c>
      <c r="N2206" s="74" t="str">
        <f>IF($C2206="","",IF($D2206="Gider",$H2206,$E2206))</f>
        <v/>
      </c>
      <c r="O2206" s="73" t="str">
        <f>IF($C2206="","",DATE(YEAR($C2206),MONTH($C2206),1))</f>
        <v/>
      </c>
      <c r="P2206" s="65" t="str">
        <f ca="1">IF($C2206="","",IF(AND($D2206="Gelir",$L2206&lt;&gt;"",$T2206=""),"TANIMSIZ BORÇLU",IF($T2206&lt;&gt;"",IF(OR($E2206="",$G2206&lt;=0),"EKSİK",IF($I2206="Evet","TAHAKKUK NAKİT OLAMAZ",IF($C2206&gt;TODAY(),"İLERİ TARİH","TAHAKKUK"))),IF(AND($D2206&lt;&gt;"",$E2206&lt;&gt;"",$G2206&gt;0,$H2206&lt;&gt;"",$I2206&lt;&gt;""),IF($C2206&gt;TODAY(),"İLERİ TARİH",IF(COUNTIF($W$7:$W$3001,$W2206)&gt;1,"MÜKERRER?",IF($AD2206&gt;0,"KAPALI DÖNEM",IF($I2206="Hayır","ÖDENECEK","UYGUN")))),"EKSİK"))))</f>
        <v/>
      </c>
      <c r="Q2206" s="2"/>
      <c r="R2206" s="2"/>
      <c r="S2206" s="1" t="str">
        <f t="shared" si="104"/>
        <v/>
      </c>
      <c r="T2206" s="1" t="str">
        <f>IF(OR($C2206="",$D2206&lt;&gt;"Gelir",$L2206=""),"",IFERROR(INDEX(MUSTERILER!$B$7:$B$156,MATCH($S2206,MUSTERILER!$T$7:$T$156,0)),""))</f>
        <v/>
      </c>
      <c r="U2206" s="1" t="str">
        <f>IF($T2206="","",$T2206&amp;"|"&amp;COUNTIFS($T$7:$T2206,$T2206))</f>
        <v/>
      </c>
      <c r="V2206" s="1">
        <f t="shared" si="105"/>
        <v>0</v>
      </c>
      <c r="W2206" s="1" t="str">
        <f t="shared" si="106"/>
        <v/>
      </c>
      <c r="X2206" s="1"/>
      <c r="Y2206" s="1"/>
      <c r="Z2206" s="1"/>
      <c r="AA2206" s="1"/>
      <c r="AB2206" s="1"/>
      <c r="AC2206" s="1"/>
      <c r="AD2206" s="1">
        <f>IF($C2206="",0,SUMPRODUCT((AY_SONU!$O$7:$O$42="Evet")*(AY_SONU!$B$7:$B$42=DATE(YEAR($C2206),MONTH($C2206),1))))</f>
        <v>0</v>
      </c>
      <c r="AE2206" s="1" t="str">
        <f>IF($E2206="","",$E2206&amp;"|"&amp;COUNTIFS($E$7:$E2206,$E2206))</f>
        <v/>
      </c>
    </row>
    <row r="2207" spans="1:31" ht="18" customHeight="1" x14ac:dyDescent="0.3">
      <c r="A2207" s="2"/>
      <c r="B2207" s="65" t="str">
        <f>IF($C2207="","","GG"&amp;TEXT(ROW()-6,"00000"))</f>
        <v/>
      </c>
      <c r="C2207" s="66"/>
      <c r="D2207" s="60"/>
      <c r="E2207" s="61"/>
      <c r="F2207" s="61"/>
      <c r="G2207" s="67"/>
      <c r="H2207" s="60"/>
      <c r="I2207" s="60"/>
      <c r="J2207" s="61"/>
      <c r="K2207" s="61"/>
      <c r="L2207" s="60"/>
      <c r="M2207" s="74" t="str">
        <f>IF($C2207="","",IF($D2207="Gider",$E2207,IF($L2207&lt;&gt;"",$L2207,$H2207)))</f>
        <v/>
      </c>
      <c r="N2207" s="74" t="str">
        <f>IF($C2207="","",IF($D2207="Gider",$H2207,$E2207))</f>
        <v/>
      </c>
      <c r="O2207" s="73" t="str">
        <f>IF($C2207="","",DATE(YEAR($C2207),MONTH($C2207),1))</f>
        <v/>
      </c>
      <c r="P2207" s="65" t="str">
        <f ca="1">IF($C2207="","",IF(AND($D2207="Gelir",$L2207&lt;&gt;"",$T2207=""),"TANIMSIZ BORÇLU",IF($T2207&lt;&gt;"",IF(OR($E2207="",$G2207&lt;=0),"EKSİK",IF($I2207="Evet","TAHAKKUK NAKİT OLAMAZ",IF($C2207&gt;TODAY(),"İLERİ TARİH","TAHAKKUK"))),IF(AND($D2207&lt;&gt;"",$E2207&lt;&gt;"",$G2207&gt;0,$H2207&lt;&gt;"",$I2207&lt;&gt;""),IF($C2207&gt;TODAY(),"İLERİ TARİH",IF(COUNTIF($W$7:$W$3001,$W2207)&gt;1,"MÜKERRER?",IF($AD2207&gt;0,"KAPALI DÖNEM",IF($I2207="Hayır","ÖDENECEK","UYGUN")))),"EKSİK"))))</f>
        <v/>
      </c>
      <c r="Q2207" s="2"/>
      <c r="R2207" s="2"/>
      <c r="S2207" s="1" t="str">
        <f t="shared" si="104"/>
        <v/>
      </c>
      <c r="T2207" s="1" t="str">
        <f>IF(OR($C2207="",$D2207&lt;&gt;"Gelir",$L2207=""),"",IFERROR(INDEX(MUSTERILER!$B$7:$B$156,MATCH($S2207,MUSTERILER!$T$7:$T$156,0)),""))</f>
        <v/>
      </c>
      <c r="U2207" s="1" t="str">
        <f>IF($T2207="","",$T2207&amp;"|"&amp;COUNTIFS($T$7:$T2207,$T2207))</f>
        <v/>
      </c>
      <c r="V2207" s="1">
        <f t="shared" si="105"/>
        <v>0</v>
      </c>
      <c r="W2207" s="1" t="str">
        <f t="shared" si="106"/>
        <v/>
      </c>
      <c r="X2207" s="1"/>
      <c r="Y2207" s="1"/>
      <c r="Z2207" s="1"/>
      <c r="AA2207" s="1"/>
      <c r="AB2207" s="1"/>
      <c r="AC2207" s="1"/>
      <c r="AD2207" s="1">
        <f>IF($C2207="",0,SUMPRODUCT((AY_SONU!$O$7:$O$42="Evet")*(AY_SONU!$B$7:$B$42=DATE(YEAR($C2207),MONTH($C2207),1))))</f>
        <v>0</v>
      </c>
      <c r="AE2207" s="1" t="str">
        <f>IF($E2207="","",$E2207&amp;"|"&amp;COUNTIFS($E$7:$E2207,$E2207))</f>
        <v/>
      </c>
    </row>
    <row r="2208" spans="1:31" ht="18" customHeight="1" x14ac:dyDescent="0.3">
      <c r="A2208" s="2"/>
      <c r="B2208" s="65" t="str">
        <f>IF($C2208="","","GG"&amp;TEXT(ROW()-6,"00000"))</f>
        <v/>
      </c>
      <c r="C2208" s="66"/>
      <c r="D2208" s="60"/>
      <c r="E2208" s="61"/>
      <c r="F2208" s="61"/>
      <c r="G2208" s="67"/>
      <c r="H2208" s="60"/>
      <c r="I2208" s="60"/>
      <c r="J2208" s="61"/>
      <c r="K2208" s="61"/>
      <c r="L2208" s="60"/>
      <c r="M2208" s="74" t="str">
        <f>IF($C2208="","",IF($D2208="Gider",$E2208,IF($L2208&lt;&gt;"",$L2208,$H2208)))</f>
        <v/>
      </c>
      <c r="N2208" s="74" t="str">
        <f>IF($C2208="","",IF($D2208="Gider",$H2208,$E2208))</f>
        <v/>
      </c>
      <c r="O2208" s="73" t="str">
        <f>IF($C2208="","",DATE(YEAR($C2208),MONTH($C2208),1))</f>
        <v/>
      </c>
      <c r="P2208" s="65" t="str">
        <f ca="1">IF($C2208="","",IF(AND($D2208="Gelir",$L2208&lt;&gt;"",$T2208=""),"TANIMSIZ BORÇLU",IF($T2208&lt;&gt;"",IF(OR($E2208="",$G2208&lt;=0),"EKSİK",IF($I2208="Evet","TAHAKKUK NAKİT OLAMAZ",IF($C2208&gt;TODAY(),"İLERİ TARİH","TAHAKKUK"))),IF(AND($D2208&lt;&gt;"",$E2208&lt;&gt;"",$G2208&gt;0,$H2208&lt;&gt;"",$I2208&lt;&gt;""),IF($C2208&gt;TODAY(),"İLERİ TARİH",IF(COUNTIF($W$7:$W$3001,$W2208)&gt;1,"MÜKERRER?",IF($AD2208&gt;0,"KAPALI DÖNEM",IF($I2208="Hayır","ÖDENECEK","UYGUN")))),"EKSİK"))))</f>
        <v/>
      </c>
      <c r="Q2208" s="2"/>
      <c r="R2208" s="2"/>
      <c r="S2208" s="1" t="str">
        <f t="shared" si="104"/>
        <v/>
      </c>
      <c r="T2208" s="1" t="str">
        <f>IF(OR($C2208="",$D2208&lt;&gt;"Gelir",$L2208=""),"",IFERROR(INDEX(MUSTERILER!$B$7:$B$156,MATCH($S2208,MUSTERILER!$T$7:$T$156,0)),""))</f>
        <v/>
      </c>
      <c r="U2208" s="1" t="str">
        <f>IF($T2208="","",$T2208&amp;"|"&amp;COUNTIFS($T$7:$T2208,$T2208))</f>
        <v/>
      </c>
      <c r="V2208" s="1">
        <f t="shared" si="105"/>
        <v>0</v>
      </c>
      <c r="W2208" s="1" t="str">
        <f t="shared" si="106"/>
        <v/>
      </c>
      <c r="X2208" s="1"/>
      <c r="Y2208" s="1"/>
      <c r="Z2208" s="1"/>
      <c r="AA2208" s="1"/>
      <c r="AB2208" s="1"/>
      <c r="AC2208" s="1"/>
      <c r="AD2208" s="1">
        <f>IF($C2208="",0,SUMPRODUCT((AY_SONU!$O$7:$O$42="Evet")*(AY_SONU!$B$7:$B$42=DATE(YEAR($C2208),MONTH($C2208),1))))</f>
        <v>0</v>
      </c>
      <c r="AE2208" s="1" t="str">
        <f>IF($E2208="","",$E2208&amp;"|"&amp;COUNTIFS($E$7:$E2208,$E2208))</f>
        <v/>
      </c>
    </row>
    <row r="2209" spans="1:31" ht="18" customHeight="1" x14ac:dyDescent="0.3">
      <c r="A2209" s="2"/>
      <c r="B2209" s="65" t="str">
        <f>IF($C2209="","","GG"&amp;TEXT(ROW()-6,"00000"))</f>
        <v/>
      </c>
      <c r="C2209" s="66"/>
      <c r="D2209" s="60"/>
      <c r="E2209" s="61"/>
      <c r="F2209" s="61"/>
      <c r="G2209" s="67"/>
      <c r="H2209" s="60"/>
      <c r="I2209" s="60"/>
      <c r="J2209" s="61"/>
      <c r="K2209" s="61"/>
      <c r="L2209" s="60"/>
      <c r="M2209" s="74" t="str">
        <f>IF($C2209="","",IF($D2209="Gider",$E2209,IF($L2209&lt;&gt;"",$L2209,$H2209)))</f>
        <v/>
      </c>
      <c r="N2209" s="74" t="str">
        <f>IF($C2209="","",IF($D2209="Gider",$H2209,$E2209))</f>
        <v/>
      </c>
      <c r="O2209" s="73" t="str">
        <f>IF($C2209="","",DATE(YEAR($C2209),MONTH($C2209),1))</f>
        <v/>
      </c>
      <c r="P2209" s="65" t="str">
        <f ca="1">IF($C2209="","",IF(AND($D2209="Gelir",$L2209&lt;&gt;"",$T2209=""),"TANIMSIZ BORÇLU",IF($T2209&lt;&gt;"",IF(OR($E2209="",$G2209&lt;=0),"EKSİK",IF($I2209="Evet","TAHAKKUK NAKİT OLAMAZ",IF($C2209&gt;TODAY(),"İLERİ TARİH","TAHAKKUK"))),IF(AND($D2209&lt;&gt;"",$E2209&lt;&gt;"",$G2209&gt;0,$H2209&lt;&gt;"",$I2209&lt;&gt;""),IF($C2209&gt;TODAY(),"İLERİ TARİH",IF(COUNTIF($W$7:$W$3001,$W2209)&gt;1,"MÜKERRER?",IF($AD2209&gt;0,"KAPALI DÖNEM",IF($I2209="Hayır","ÖDENECEK","UYGUN")))),"EKSİK"))))</f>
        <v/>
      </c>
      <c r="Q2209" s="2"/>
      <c r="R2209" s="2"/>
      <c r="S2209" s="1" t="str">
        <f t="shared" si="104"/>
        <v/>
      </c>
      <c r="T2209" s="1" t="str">
        <f>IF(OR($C2209="",$D2209&lt;&gt;"Gelir",$L2209=""),"",IFERROR(INDEX(MUSTERILER!$B$7:$B$156,MATCH($S2209,MUSTERILER!$T$7:$T$156,0)),""))</f>
        <v/>
      </c>
      <c r="U2209" s="1" t="str">
        <f>IF($T2209="","",$T2209&amp;"|"&amp;COUNTIFS($T$7:$T2209,$T2209))</f>
        <v/>
      </c>
      <c r="V2209" s="1">
        <f t="shared" si="105"/>
        <v>0</v>
      </c>
      <c r="W2209" s="1" t="str">
        <f t="shared" si="106"/>
        <v/>
      </c>
      <c r="X2209" s="1"/>
      <c r="Y2209" s="1"/>
      <c r="Z2209" s="1"/>
      <c r="AA2209" s="1"/>
      <c r="AB2209" s="1"/>
      <c r="AC2209" s="1"/>
      <c r="AD2209" s="1">
        <f>IF($C2209="",0,SUMPRODUCT((AY_SONU!$O$7:$O$42="Evet")*(AY_SONU!$B$7:$B$42=DATE(YEAR($C2209),MONTH($C2209),1))))</f>
        <v>0</v>
      </c>
      <c r="AE2209" s="1" t="str">
        <f>IF($E2209="","",$E2209&amp;"|"&amp;COUNTIFS($E$7:$E2209,$E2209))</f>
        <v/>
      </c>
    </row>
    <row r="2210" spans="1:31" ht="18" customHeight="1" x14ac:dyDescent="0.3">
      <c r="A2210" s="2"/>
      <c r="B2210" s="65" t="str">
        <f>IF($C2210="","","GG"&amp;TEXT(ROW()-6,"00000"))</f>
        <v/>
      </c>
      <c r="C2210" s="66"/>
      <c r="D2210" s="60"/>
      <c r="E2210" s="61"/>
      <c r="F2210" s="61"/>
      <c r="G2210" s="67"/>
      <c r="H2210" s="60"/>
      <c r="I2210" s="60"/>
      <c r="J2210" s="61"/>
      <c r="K2210" s="61"/>
      <c r="L2210" s="60"/>
      <c r="M2210" s="74" t="str">
        <f>IF($C2210="","",IF($D2210="Gider",$E2210,IF($L2210&lt;&gt;"",$L2210,$H2210)))</f>
        <v/>
      </c>
      <c r="N2210" s="74" t="str">
        <f>IF($C2210="","",IF($D2210="Gider",$H2210,$E2210))</f>
        <v/>
      </c>
      <c r="O2210" s="73" t="str">
        <f>IF($C2210="","",DATE(YEAR($C2210),MONTH($C2210),1))</f>
        <v/>
      </c>
      <c r="P2210" s="65" t="str">
        <f ca="1">IF($C2210="","",IF(AND($D2210="Gelir",$L2210&lt;&gt;"",$T2210=""),"TANIMSIZ BORÇLU",IF($T2210&lt;&gt;"",IF(OR($E2210="",$G2210&lt;=0),"EKSİK",IF($I2210="Evet","TAHAKKUK NAKİT OLAMAZ",IF($C2210&gt;TODAY(),"İLERİ TARİH","TAHAKKUK"))),IF(AND($D2210&lt;&gt;"",$E2210&lt;&gt;"",$G2210&gt;0,$H2210&lt;&gt;"",$I2210&lt;&gt;""),IF($C2210&gt;TODAY(),"İLERİ TARİH",IF(COUNTIF($W$7:$W$3001,$W2210)&gt;1,"MÜKERRER?",IF($AD2210&gt;0,"KAPALI DÖNEM",IF($I2210="Hayır","ÖDENECEK","UYGUN")))),"EKSİK"))))</f>
        <v/>
      </c>
      <c r="Q2210" s="2"/>
      <c r="R2210" s="2"/>
      <c r="S2210" s="1" t="str">
        <f t="shared" si="104"/>
        <v/>
      </c>
      <c r="T2210" s="1" t="str">
        <f>IF(OR($C2210="",$D2210&lt;&gt;"Gelir",$L2210=""),"",IFERROR(INDEX(MUSTERILER!$B$7:$B$156,MATCH($S2210,MUSTERILER!$T$7:$T$156,0)),""))</f>
        <v/>
      </c>
      <c r="U2210" s="1" t="str">
        <f>IF($T2210="","",$T2210&amp;"|"&amp;COUNTIFS($T$7:$T2210,$T2210))</f>
        <v/>
      </c>
      <c r="V2210" s="1">
        <f t="shared" si="105"/>
        <v>0</v>
      </c>
      <c r="W2210" s="1" t="str">
        <f t="shared" si="106"/>
        <v/>
      </c>
      <c r="X2210" s="1"/>
      <c r="Y2210" s="1"/>
      <c r="Z2210" s="1"/>
      <c r="AA2210" s="1"/>
      <c r="AB2210" s="1"/>
      <c r="AC2210" s="1"/>
      <c r="AD2210" s="1">
        <f>IF($C2210="",0,SUMPRODUCT((AY_SONU!$O$7:$O$42="Evet")*(AY_SONU!$B$7:$B$42=DATE(YEAR($C2210),MONTH($C2210),1))))</f>
        <v>0</v>
      </c>
      <c r="AE2210" s="1" t="str">
        <f>IF($E2210="","",$E2210&amp;"|"&amp;COUNTIFS($E$7:$E2210,$E2210))</f>
        <v/>
      </c>
    </row>
    <row r="2211" spans="1:31" ht="18" customHeight="1" x14ac:dyDescent="0.3">
      <c r="A2211" s="2"/>
      <c r="B2211" s="65" t="str">
        <f>IF($C2211="","","GG"&amp;TEXT(ROW()-6,"00000"))</f>
        <v/>
      </c>
      <c r="C2211" s="66"/>
      <c r="D2211" s="60"/>
      <c r="E2211" s="61"/>
      <c r="F2211" s="61"/>
      <c r="G2211" s="67"/>
      <c r="H2211" s="60"/>
      <c r="I2211" s="60"/>
      <c r="J2211" s="61"/>
      <c r="K2211" s="61"/>
      <c r="L2211" s="60"/>
      <c r="M2211" s="74" t="str">
        <f>IF($C2211="","",IF($D2211="Gider",$E2211,IF($L2211&lt;&gt;"",$L2211,$H2211)))</f>
        <v/>
      </c>
      <c r="N2211" s="74" t="str">
        <f>IF($C2211="","",IF($D2211="Gider",$H2211,$E2211))</f>
        <v/>
      </c>
      <c r="O2211" s="73" t="str">
        <f>IF($C2211="","",DATE(YEAR($C2211),MONTH($C2211),1))</f>
        <v/>
      </c>
      <c r="P2211" s="65" t="str">
        <f ca="1">IF($C2211="","",IF(AND($D2211="Gelir",$L2211&lt;&gt;"",$T2211=""),"TANIMSIZ BORÇLU",IF($T2211&lt;&gt;"",IF(OR($E2211="",$G2211&lt;=0),"EKSİK",IF($I2211="Evet","TAHAKKUK NAKİT OLAMAZ",IF($C2211&gt;TODAY(),"İLERİ TARİH","TAHAKKUK"))),IF(AND($D2211&lt;&gt;"",$E2211&lt;&gt;"",$G2211&gt;0,$H2211&lt;&gt;"",$I2211&lt;&gt;""),IF($C2211&gt;TODAY(),"İLERİ TARİH",IF(COUNTIF($W$7:$W$3001,$W2211)&gt;1,"MÜKERRER?",IF($AD2211&gt;0,"KAPALI DÖNEM",IF($I2211="Hayır","ÖDENECEK","UYGUN")))),"EKSİK"))))</f>
        <v/>
      </c>
      <c r="Q2211" s="2"/>
      <c r="R2211" s="2"/>
      <c r="S2211" s="1" t="str">
        <f t="shared" si="104"/>
        <v/>
      </c>
      <c r="T2211" s="1" t="str">
        <f>IF(OR($C2211="",$D2211&lt;&gt;"Gelir",$L2211=""),"",IFERROR(INDEX(MUSTERILER!$B$7:$B$156,MATCH($S2211,MUSTERILER!$T$7:$T$156,0)),""))</f>
        <v/>
      </c>
      <c r="U2211" s="1" t="str">
        <f>IF($T2211="","",$T2211&amp;"|"&amp;COUNTIFS($T$7:$T2211,$T2211))</f>
        <v/>
      </c>
      <c r="V2211" s="1">
        <f t="shared" si="105"/>
        <v>0</v>
      </c>
      <c r="W2211" s="1" t="str">
        <f t="shared" si="106"/>
        <v/>
      </c>
      <c r="X2211" s="1"/>
      <c r="Y2211" s="1"/>
      <c r="Z2211" s="1"/>
      <c r="AA2211" s="1"/>
      <c r="AB2211" s="1"/>
      <c r="AC2211" s="1"/>
      <c r="AD2211" s="1">
        <f>IF($C2211="",0,SUMPRODUCT((AY_SONU!$O$7:$O$42="Evet")*(AY_SONU!$B$7:$B$42=DATE(YEAR($C2211),MONTH($C2211),1))))</f>
        <v>0</v>
      </c>
      <c r="AE2211" s="1" t="str">
        <f>IF($E2211="","",$E2211&amp;"|"&amp;COUNTIFS($E$7:$E2211,$E2211))</f>
        <v/>
      </c>
    </row>
    <row r="2212" spans="1:31" ht="18" customHeight="1" x14ac:dyDescent="0.3">
      <c r="A2212" s="2"/>
      <c r="B2212" s="65" t="str">
        <f>IF($C2212="","","GG"&amp;TEXT(ROW()-6,"00000"))</f>
        <v/>
      </c>
      <c r="C2212" s="66"/>
      <c r="D2212" s="60"/>
      <c r="E2212" s="61"/>
      <c r="F2212" s="61"/>
      <c r="G2212" s="67"/>
      <c r="H2212" s="60"/>
      <c r="I2212" s="60"/>
      <c r="J2212" s="61"/>
      <c r="K2212" s="61"/>
      <c r="L2212" s="60"/>
      <c r="M2212" s="74" t="str">
        <f>IF($C2212="","",IF($D2212="Gider",$E2212,IF($L2212&lt;&gt;"",$L2212,$H2212)))</f>
        <v/>
      </c>
      <c r="N2212" s="74" t="str">
        <f>IF($C2212="","",IF($D2212="Gider",$H2212,$E2212))</f>
        <v/>
      </c>
      <c r="O2212" s="73" t="str">
        <f>IF($C2212="","",DATE(YEAR($C2212),MONTH($C2212),1))</f>
        <v/>
      </c>
      <c r="P2212" s="65" t="str">
        <f ca="1">IF($C2212="","",IF(AND($D2212="Gelir",$L2212&lt;&gt;"",$T2212=""),"TANIMSIZ BORÇLU",IF($T2212&lt;&gt;"",IF(OR($E2212="",$G2212&lt;=0),"EKSİK",IF($I2212="Evet","TAHAKKUK NAKİT OLAMAZ",IF($C2212&gt;TODAY(),"İLERİ TARİH","TAHAKKUK"))),IF(AND($D2212&lt;&gt;"",$E2212&lt;&gt;"",$G2212&gt;0,$H2212&lt;&gt;"",$I2212&lt;&gt;""),IF($C2212&gt;TODAY(),"İLERİ TARİH",IF(COUNTIF($W$7:$W$3001,$W2212)&gt;1,"MÜKERRER?",IF($AD2212&gt;0,"KAPALI DÖNEM",IF($I2212="Hayır","ÖDENECEK","UYGUN")))),"EKSİK"))))</f>
        <v/>
      </c>
      <c r="Q2212" s="2"/>
      <c r="R2212" s="2"/>
      <c r="S2212" s="1" t="str">
        <f t="shared" si="104"/>
        <v/>
      </c>
      <c r="T2212" s="1" t="str">
        <f>IF(OR($C2212="",$D2212&lt;&gt;"Gelir",$L2212=""),"",IFERROR(INDEX(MUSTERILER!$B$7:$B$156,MATCH($S2212,MUSTERILER!$T$7:$T$156,0)),""))</f>
        <v/>
      </c>
      <c r="U2212" s="1" t="str">
        <f>IF($T2212="","",$T2212&amp;"|"&amp;COUNTIFS($T$7:$T2212,$T2212))</f>
        <v/>
      </c>
      <c r="V2212" s="1">
        <f t="shared" si="105"/>
        <v>0</v>
      </c>
      <c r="W2212" s="1" t="str">
        <f t="shared" si="106"/>
        <v/>
      </c>
      <c r="X2212" s="1"/>
      <c r="Y2212" s="1"/>
      <c r="Z2212" s="1"/>
      <c r="AA2212" s="1"/>
      <c r="AB2212" s="1"/>
      <c r="AC2212" s="1"/>
      <c r="AD2212" s="1">
        <f>IF($C2212="",0,SUMPRODUCT((AY_SONU!$O$7:$O$42="Evet")*(AY_SONU!$B$7:$B$42=DATE(YEAR($C2212),MONTH($C2212),1))))</f>
        <v>0</v>
      </c>
      <c r="AE2212" s="1" t="str">
        <f>IF($E2212="","",$E2212&amp;"|"&amp;COUNTIFS($E$7:$E2212,$E2212))</f>
        <v/>
      </c>
    </row>
    <row r="2213" spans="1:31" ht="18" customHeight="1" x14ac:dyDescent="0.3">
      <c r="A2213" s="2"/>
      <c r="B2213" s="65" t="str">
        <f>IF($C2213="","","GG"&amp;TEXT(ROW()-6,"00000"))</f>
        <v/>
      </c>
      <c r="C2213" s="66"/>
      <c r="D2213" s="60"/>
      <c r="E2213" s="61"/>
      <c r="F2213" s="61"/>
      <c r="G2213" s="67"/>
      <c r="H2213" s="60"/>
      <c r="I2213" s="60"/>
      <c r="J2213" s="61"/>
      <c r="K2213" s="61"/>
      <c r="L2213" s="60"/>
      <c r="M2213" s="74" t="str">
        <f>IF($C2213="","",IF($D2213="Gider",$E2213,IF($L2213&lt;&gt;"",$L2213,$H2213)))</f>
        <v/>
      </c>
      <c r="N2213" s="74" t="str">
        <f>IF($C2213="","",IF($D2213="Gider",$H2213,$E2213))</f>
        <v/>
      </c>
      <c r="O2213" s="73" t="str">
        <f>IF($C2213="","",DATE(YEAR($C2213),MONTH($C2213),1))</f>
        <v/>
      </c>
      <c r="P2213" s="65" t="str">
        <f ca="1">IF($C2213="","",IF(AND($D2213="Gelir",$L2213&lt;&gt;"",$T2213=""),"TANIMSIZ BORÇLU",IF($T2213&lt;&gt;"",IF(OR($E2213="",$G2213&lt;=0),"EKSİK",IF($I2213="Evet","TAHAKKUK NAKİT OLAMAZ",IF($C2213&gt;TODAY(),"İLERİ TARİH","TAHAKKUK"))),IF(AND($D2213&lt;&gt;"",$E2213&lt;&gt;"",$G2213&gt;0,$H2213&lt;&gt;"",$I2213&lt;&gt;""),IF($C2213&gt;TODAY(),"İLERİ TARİH",IF(COUNTIF($W$7:$W$3001,$W2213)&gt;1,"MÜKERRER?",IF($AD2213&gt;0,"KAPALI DÖNEM",IF($I2213="Hayır","ÖDENECEK","UYGUN")))),"EKSİK"))))</f>
        <v/>
      </c>
      <c r="Q2213" s="2"/>
      <c r="R2213" s="2"/>
      <c r="S2213" s="1" t="str">
        <f t="shared" si="104"/>
        <v/>
      </c>
      <c r="T2213" s="1" t="str">
        <f>IF(OR($C2213="",$D2213&lt;&gt;"Gelir",$L2213=""),"",IFERROR(INDEX(MUSTERILER!$B$7:$B$156,MATCH($S2213,MUSTERILER!$T$7:$T$156,0)),""))</f>
        <v/>
      </c>
      <c r="U2213" s="1" t="str">
        <f>IF($T2213="","",$T2213&amp;"|"&amp;COUNTIFS($T$7:$T2213,$T2213))</f>
        <v/>
      </c>
      <c r="V2213" s="1">
        <f t="shared" si="105"/>
        <v>0</v>
      </c>
      <c r="W2213" s="1" t="str">
        <f t="shared" si="106"/>
        <v/>
      </c>
      <c r="X2213" s="1"/>
      <c r="Y2213" s="1"/>
      <c r="Z2213" s="1"/>
      <c r="AA2213" s="1"/>
      <c r="AB2213" s="1"/>
      <c r="AC2213" s="1"/>
      <c r="AD2213" s="1">
        <f>IF($C2213="",0,SUMPRODUCT((AY_SONU!$O$7:$O$42="Evet")*(AY_SONU!$B$7:$B$42=DATE(YEAR($C2213),MONTH($C2213),1))))</f>
        <v>0</v>
      </c>
      <c r="AE2213" s="1" t="str">
        <f>IF($E2213="","",$E2213&amp;"|"&amp;COUNTIFS($E$7:$E2213,$E2213))</f>
        <v/>
      </c>
    </row>
    <row r="2214" spans="1:31" ht="18" customHeight="1" x14ac:dyDescent="0.3">
      <c r="A2214" s="2"/>
      <c r="B2214" s="65" t="str">
        <f>IF($C2214="","","GG"&amp;TEXT(ROW()-6,"00000"))</f>
        <v/>
      </c>
      <c r="C2214" s="66"/>
      <c r="D2214" s="60"/>
      <c r="E2214" s="61"/>
      <c r="F2214" s="61"/>
      <c r="G2214" s="67"/>
      <c r="H2214" s="60"/>
      <c r="I2214" s="60"/>
      <c r="J2214" s="61"/>
      <c r="K2214" s="61"/>
      <c r="L2214" s="60"/>
      <c r="M2214" s="74" t="str">
        <f>IF($C2214="","",IF($D2214="Gider",$E2214,IF($L2214&lt;&gt;"",$L2214,$H2214)))</f>
        <v/>
      </c>
      <c r="N2214" s="74" t="str">
        <f>IF($C2214="","",IF($D2214="Gider",$H2214,$E2214))</f>
        <v/>
      </c>
      <c r="O2214" s="73" t="str">
        <f>IF($C2214="","",DATE(YEAR($C2214),MONTH($C2214),1))</f>
        <v/>
      </c>
      <c r="P2214" s="65" t="str">
        <f ca="1">IF($C2214="","",IF(AND($D2214="Gelir",$L2214&lt;&gt;"",$T2214=""),"TANIMSIZ BORÇLU",IF($T2214&lt;&gt;"",IF(OR($E2214="",$G2214&lt;=0),"EKSİK",IF($I2214="Evet","TAHAKKUK NAKİT OLAMAZ",IF($C2214&gt;TODAY(),"İLERİ TARİH","TAHAKKUK"))),IF(AND($D2214&lt;&gt;"",$E2214&lt;&gt;"",$G2214&gt;0,$H2214&lt;&gt;"",$I2214&lt;&gt;""),IF($C2214&gt;TODAY(),"İLERİ TARİH",IF(COUNTIF($W$7:$W$3001,$W2214)&gt;1,"MÜKERRER?",IF($AD2214&gt;0,"KAPALI DÖNEM",IF($I2214="Hayır","ÖDENECEK","UYGUN")))),"EKSİK"))))</f>
        <v/>
      </c>
      <c r="Q2214" s="2"/>
      <c r="R2214" s="2"/>
      <c r="S2214" s="1" t="str">
        <f t="shared" si="104"/>
        <v/>
      </c>
      <c r="T2214" s="1" t="str">
        <f>IF(OR($C2214="",$D2214&lt;&gt;"Gelir",$L2214=""),"",IFERROR(INDEX(MUSTERILER!$B$7:$B$156,MATCH($S2214,MUSTERILER!$T$7:$T$156,0)),""))</f>
        <v/>
      </c>
      <c r="U2214" s="1" t="str">
        <f>IF($T2214="","",$T2214&amp;"|"&amp;COUNTIFS($T$7:$T2214,$T2214))</f>
        <v/>
      </c>
      <c r="V2214" s="1">
        <f t="shared" si="105"/>
        <v>0</v>
      </c>
      <c r="W2214" s="1" t="str">
        <f t="shared" si="106"/>
        <v/>
      </c>
      <c r="X2214" s="1"/>
      <c r="Y2214" s="1"/>
      <c r="Z2214" s="1"/>
      <c r="AA2214" s="1"/>
      <c r="AB2214" s="1"/>
      <c r="AC2214" s="1"/>
      <c r="AD2214" s="1">
        <f>IF($C2214="",0,SUMPRODUCT((AY_SONU!$O$7:$O$42="Evet")*(AY_SONU!$B$7:$B$42=DATE(YEAR($C2214),MONTH($C2214),1))))</f>
        <v>0</v>
      </c>
      <c r="AE2214" s="1" t="str">
        <f>IF($E2214="","",$E2214&amp;"|"&amp;COUNTIFS($E$7:$E2214,$E2214))</f>
        <v/>
      </c>
    </row>
    <row r="2215" spans="1:31" ht="18" customHeight="1" x14ac:dyDescent="0.3">
      <c r="A2215" s="2"/>
      <c r="B2215" s="65" t="str">
        <f>IF($C2215="","","GG"&amp;TEXT(ROW()-6,"00000"))</f>
        <v/>
      </c>
      <c r="C2215" s="66"/>
      <c r="D2215" s="60"/>
      <c r="E2215" s="61"/>
      <c r="F2215" s="61"/>
      <c r="G2215" s="67"/>
      <c r="H2215" s="60"/>
      <c r="I2215" s="60"/>
      <c r="J2215" s="61"/>
      <c r="K2215" s="61"/>
      <c r="L2215" s="60"/>
      <c r="M2215" s="74" t="str">
        <f>IF($C2215="","",IF($D2215="Gider",$E2215,IF($L2215&lt;&gt;"",$L2215,$H2215)))</f>
        <v/>
      </c>
      <c r="N2215" s="74" t="str">
        <f>IF($C2215="","",IF($D2215="Gider",$H2215,$E2215))</f>
        <v/>
      </c>
      <c r="O2215" s="73" t="str">
        <f>IF($C2215="","",DATE(YEAR($C2215),MONTH($C2215),1))</f>
        <v/>
      </c>
      <c r="P2215" s="65" t="str">
        <f ca="1">IF($C2215="","",IF(AND($D2215="Gelir",$L2215&lt;&gt;"",$T2215=""),"TANIMSIZ BORÇLU",IF($T2215&lt;&gt;"",IF(OR($E2215="",$G2215&lt;=0),"EKSİK",IF($I2215="Evet","TAHAKKUK NAKİT OLAMAZ",IF($C2215&gt;TODAY(),"İLERİ TARİH","TAHAKKUK"))),IF(AND($D2215&lt;&gt;"",$E2215&lt;&gt;"",$G2215&gt;0,$H2215&lt;&gt;"",$I2215&lt;&gt;""),IF($C2215&gt;TODAY(),"İLERİ TARİH",IF(COUNTIF($W$7:$W$3001,$W2215)&gt;1,"MÜKERRER?",IF($AD2215&gt;0,"KAPALI DÖNEM",IF($I2215="Hayır","ÖDENECEK","UYGUN")))),"EKSİK"))))</f>
        <v/>
      </c>
      <c r="Q2215" s="2"/>
      <c r="R2215" s="2"/>
      <c r="S2215" s="1" t="str">
        <f t="shared" si="104"/>
        <v/>
      </c>
      <c r="T2215" s="1" t="str">
        <f>IF(OR($C2215="",$D2215&lt;&gt;"Gelir",$L2215=""),"",IFERROR(INDEX(MUSTERILER!$B$7:$B$156,MATCH($S2215,MUSTERILER!$T$7:$T$156,0)),""))</f>
        <v/>
      </c>
      <c r="U2215" s="1" t="str">
        <f>IF($T2215="","",$T2215&amp;"|"&amp;COUNTIFS($T$7:$T2215,$T2215))</f>
        <v/>
      </c>
      <c r="V2215" s="1">
        <f t="shared" si="105"/>
        <v>0</v>
      </c>
      <c r="W2215" s="1" t="str">
        <f t="shared" si="106"/>
        <v/>
      </c>
      <c r="X2215" s="1"/>
      <c r="Y2215" s="1"/>
      <c r="Z2215" s="1"/>
      <c r="AA2215" s="1"/>
      <c r="AB2215" s="1"/>
      <c r="AC2215" s="1"/>
      <c r="AD2215" s="1">
        <f>IF($C2215="",0,SUMPRODUCT((AY_SONU!$O$7:$O$42="Evet")*(AY_SONU!$B$7:$B$42=DATE(YEAR($C2215),MONTH($C2215),1))))</f>
        <v>0</v>
      </c>
      <c r="AE2215" s="1" t="str">
        <f>IF($E2215="","",$E2215&amp;"|"&amp;COUNTIFS($E$7:$E2215,$E2215))</f>
        <v/>
      </c>
    </row>
    <row r="2216" spans="1:31" ht="18" customHeight="1" x14ac:dyDescent="0.3">
      <c r="A2216" s="2"/>
      <c r="B2216" s="65" t="str">
        <f>IF($C2216="","","GG"&amp;TEXT(ROW()-6,"00000"))</f>
        <v/>
      </c>
      <c r="C2216" s="66"/>
      <c r="D2216" s="60"/>
      <c r="E2216" s="61"/>
      <c r="F2216" s="61"/>
      <c r="G2216" s="67"/>
      <c r="H2216" s="60"/>
      <c r="I2216" s="60"/>
      <c r="J2216" s="61"/>
      <c r="K2216" s="61"/>
      <c r="L2216" s="60"/>
      <c r="M2216" s="74" t="str">
        <f>IF($C2216="","",IF($D2216="Gider",$E2216,IF($L2216&lt;&gt;"",$L2216,$H2216)))</f>
        <v/>
      </c>
      <c r="N2216" s="74" t="str">
        <f>IF($C2216="","",IF($D2216="Gider",$H2216,$E2216))</f>
        <v/>
      </c>
      <c r="O2216" s="73" t="str">
        <f>IF($C2216="","",DATE(YEAR($C2216),MONTH($C2216),1))</f>
        <v/>
      </c>
      <c r="P2216" s="65" t="str">
        <f ca="1">IF($C2216="","",IF(AND($D2216="Gelir",$L2216&lt;&gt;"",$T2216=""),"TANIMSIZ BORÇLU",IF($T2216&lt;&gt;"",IF(OR($E2216="",$G2216&lt;=0),"EKSİK",IF($I2216="Evet","TAHAKKUK NAKİT OLAMAZ",IF($C2216&gt;TODAY(),"İLERİ TARİH","TAHAKKUK"))),IF(AND($D2216&lt;&gt;"",$E2216&lt;&gt;"",$G2216&gt;0,$H2216&lt;&gt;"",$I2216&lt;&gt;""),IF($C2216&gt;TODAY(),"İLERİ TARİH",IF(COUNTIF($W$7:$W$3001,$W2216)&gt;1,"MÜKERRER?",IF($AD2216&gt;0,"KAPALI DÖNEM",IF($I2216="Hayır","ÖDENECEK","UYGUN")))),"EKSİK"))))</f>
        <v/>
      </c>
      <c r="Q2216" s="2"/>
      <c r="R2216" s="2"/>
      <c r="S2216" s="1" t="str">
        <f t="shared" si="104"/>
        <v/>
      </c>
      <c r="T2216" s="1" t="str">
        <f>IF(OR($C2216="",$D2216&lt;&gt;"Gelir",$L2216=""),"",IFERROR(INDEX(MUSTERILER!$B$7:$B$156,MATCH($S2216,MUSTERILER!$T$7:$T$156,0)),""))</f>
        <v/>
      </c>
      <c r="U2216" s="1" t="str">
        <f>IF($T2216="","",$T2216&amp;"|"&amp;COUNTIFS($T$7:$T2216,$T2216))</f>
        <v/>
      </c>
      <c r="V2216" s="1">
        <f t="shared" si="105"/>
        <v>0</v>
      </c>
      <c r="W2216" s="1" t="str">
        <f t="shared" si="106"/>
        <v/>
      </c>
      <c r="X2216" s="1"/>
      <c r="Y2216" s="1"/>
      <c r="Z2216" s="1"/>
      <c r="AA2216" s="1"/>
      <c r="AB2216" s="1"/>
      <c r="AC2216" s="1"/>
      <c r="AD2216" s="1">
        <f>IF($C2216="",0,SUMPRODUCT((AY_SONU!$O$7:$O$42="Evet")*(AY_SONU!$B$7:$B$42=DATE(YEAR($C2216),MONTH($C2216),1))))</f>
        <v>0</v>
      </c>
      <c r="AE2216" s="1" t="str">
        <f>IF($E2216="","",$E2216&amp;"|"&amp;COUNTIFS($E$7:$E2216,$E2216))</f>
        <v/>
      </c>
    </row>
    <row r="2217" spans="1:31" ht="18" customHeight="1" x14ac:dyDescent="0.3">
      <c r="A2217" s="2"/>
      <c r="B2217" s="65" t="str">
        <f>IF($C2217="","","GG"&amp;TEXT(ROW()-6,"00000"))</f>
        <v/>
      </c>
      <c r="C2217" s="66"/>
      <c r="D2217" s="60"/>
      <c r="E2217" s="61"/>
      <c r="F2217" s="61"/>
      <c r="G2217" s="67"/>
      <c r="H2217" s="60"/>
      <c r="I2217" s="60"/>
      <c r="J2217" s="61"/>
      <c r="K2217" s="61"/>
      <c r="L2217" s="60"/>
      <c r="M2217" s="74" t="str">
        <f>IF($C2217="","",IF($D2217="Gider",$E2217,IF($L2217&lt;&gt;"",$L2217,$H2217)))</f>
        <v/>
      </c>
      <c r="N2217" s="74" t="str">
        <f>IF($C2217="","",IF($D2217="Gider",$H2217,$E2217))</f>
        <v/>
      </c>
      <c r="O2217" s="73" t="str">
        <f>IF($C2217="","",DATE(YEAR($C2217),MONTH($C2217),1))</f>
        <v/>
      </c>
      <c r="P2217" s="65" t="str">
        <f ca="1">IF($C2217="","",IF(AND($D2217="Gelir",$L2217&lt;&gt;"",$T2217=""),"TANIMSIZ BORÇLU",IF($T2217&lt;&gt;"",IF(OR($E2217="",$G2217&lt;=0),"EKSİK",IF($I2217="Evet","TAHAKKUK NAKİT OLAMAZ",IF($C2217&gt;TODAY(),"İLERİ TARİH","TAHAKKUK"))),IF(AND($D2217&lt;&gt;"",$E2217&lt;&gt;"",$G2217&gt;0,$H2217&lt;&gt;"",$I2217&lt;&gt;""),IF($C2217&gt;TODAY(),"İLERİ TARİH",IF(COUNTIF($W$7:$W$3001,$W2217)&gt;1,"MÜKERRER?",IF($AD2217&gt;0,"KAPALI DÖNEM",IF($I2217="Hayır","ÖDENECEK","UYGUN")))),"EKSİK"))))</f>
        <v/>
      </c>
      <c r="Q2217" s="2"/>
      <c r="R2217" s="2"/>
      <c r="S2217" s="1" t="str">
        <f t="shared" si="104"/>
        <v/>
      </c>
      <c r="T2217" s="1" t="str">
        <f>IF(OR($C2217="",$D2217&lt;&gt;"Gelir",$L2217=""),"",IFERROR(INDEX(MUSTERILER!$B$7:$B$156,MATCH($S2217,MUSTERILER!$T$7:$T$156,0)),""))</f>
        <v/>
      </c>
      <c r="U2217" s="1" t="str">
        <f>IF($T2217="","",$T2217&amp;"|"&amp;COUNTIFS($T$7:$T2217,$T2217))</f>
        <v/>
      </c>
      <c r="V2217" s="1">
        <f t="shared" si="105"/>
        <v>0</v>
      </c>
      <c r="W2217" s="1" t="str">
        <f t="shared" si="106"/>
        <v/>
      </c>
      <c r="X2217" s="1"/>
      <c r="Y2217" s="1"/>
      <c r="Z2217" s="1"/>
      <c r="AA2217" s="1"/>
      <c r="AB2217" s="1"/>
      <c r="AC2217" s="1"/>
      <c r="AD2217" s="1">
        <f>IF($C2217="",0,SUMPRODUCT((AY_SONU!$O$7:$O$42="Evet")*(AY_SONU!$B$7:$B$42=DATE(YEAR($C2217),MONTH($C2217),1))))</f>
        <v>0</v>
      </c>
      <c r="AE2217" s="1" t="str">
        <f>IF($E2217="","",$E2217&amp;"|"&amp;COUNTIFS($E$7:$E2217,$E2217))</f>
        <v/>
      </c>
    </row>
    <row r="2218" spans="1:31" ht="18" customHeight="1" x14ac:dyDescent="0.3">
      <c r="A2218" s="2"/>
      <c r="B2218" s="65" t="str">
        <f>IF($C2218="","","GG"&amp;TEXT(ROW()-6,"00000"))</f>
        <v/>
      </c>
      <c r="C2218" s="66"/>
      <c r="D2218" s="60"/>
      <c r="E2218" s="61"/>
      <c r="F2218" s="61"/>
      <c r="G2218" s="67"/>
      <c r="H2218" s="60"/>
      <c r="I2218" s="60"/>
      <c r="J2218" s="61"/>
      <c r="K2218" s="61"/>
      <c r="L2218" s="60"/>
      <c r="M2218" s="74" t="str">
        <f>IF($C2218="","",IF($D2218="Gider",$E2218,IF($L2218&lt;&gt;"",$L2218,$H2218)))</f>
        <v/>
      </c>
      <c r="N2218" s="74" t="str">
        <f>IF($C2218="","",IF($D2218="Gider",$H2218,$E2218))</f>
        <v/>
      </c>
      <c r="O2218" s="73" t="str">
        <f>IF($C2218="","",DATE(YEAR($C2218),MONTH($C2218),1))</f>
        <v/>
      </c>
      <c r="P2218" s="65" t="str">
        <f ca="1">IF($C2218="","",IF(AND($D2218="Gelir",$L2218&lt;&gt;"",$T2218=""),"TANIMSIZ BORÇLU",IF($T2218&lt;&gt;"",IF(OR($E2218="",$G2218&lt;=0),"EKSİK",IF($I2218="Evet","TAHAKKUK NAKİT OLAMAZ",IF($C2218&gt;TODAY(),"İLERİ TARİH","TAHAKKUK"))),IF(AND($D2218&lt;&gt;"",$E2218&lt;&gt;"",$G2218&gt;0,$H2218&lt;&gt;"",$I2218&lt;&gt;""),IF($C2218&gt;TODAY(),"İLERİ TARİH",IF(COUNTIF($W$7:$W$3001,$W2218)&gt;1,"MÜKERRER?",IF($AD2218&gt;0,"KAPALI DÖNEM",IF($I2218="Hayır","ÖDENECEK","UYGUN")))),"EKSİK"))))</f>
        <v/>
      </c>
      <c r="Q2218" s="2"/>
      <c r="R2218" s="2"/>
      <c r="S2218" s="1" t="str">
        <f t="shared" si="104"/>
        <v/>
      </c>
      <c r="T2218" s="1" t="str">
        <f>IF(OR($C2218="",$D2218&lt;&gt;"Gelir",$L2218=""),"",IFERROR(INDEX(MUSTERILER!$B$7:$B$156,MATCH($S2218,MUSTERILER!$T$7:$T$156,0)),""))</f>
        <v/>
      </c>
      <c r="U2218" s="1" t="str">
        <f>IF($T2218="","",$T2218&amp;"|"&amp;COUNTIFS($T$7:$T2218,$T2218))</f>
        <v/>
      </c>
      <c r="V2218" s="1">
        <f t="shared" si="105"/>
        <v>0</v>
      </c>
      <c r="W2218" s="1" t="str">
        <f t="shared" si="106"/>
        <v/>
      </c>
      <c r="X2218" s="1"/>
      <c r="Y2218" s="1"/>
      <c r="Z2218" s="1"/>
      <c r="AA2218" s="1"/>
      <c r="AB2218" s="1"/>
      <c r="AC2218" s="1"/>
      <c r="AD2218" s="1">
        <f>IF($C2218="",0,SUMPRODUCT((AY_SONU!$O$7:$O$42="Evet")*(AY_SONU!$B$7:$B$42=DATE(YEAR($C2218),MONTH($C2218),1))))</f>
        <v>0</v>
      </c>
      <c r="AE2218" s="1" t="str">
        <f>IF($E2218="","",$E2218&amp;"|"&amp;COUNTIFS($E$7:$E2218,$E2218))</f>
        <v/>
      </c>
    </row>
    <row r="2219" spans="1:31" ht="18" customHeight="1" x14ac:dyDescent="0.3">
      <c r="A2219" s="2"/>
      <c r="B2219" s="65" t="str">
        <f>IF($C2219="","","GG"&amp;TEXT(ROW()-6,"00000"))</f>
        <v/>
      </c>
      <c r="C2219" s="66"/>
      <c r="D2219" s="60"/>
      <c r="E2219" s="61"/>
      <c r="F2219" s="61"/>
      <c r="G2219" s="67"/>
      <c r="H2219" s="60"/>
      <c r="I2219" s="60"/>
      <c r="J2219" s="61"/>
      <c r="K2219" s="61"/>
      <c r="L2219" s="60"/>
      <c r="M2219" s="74" t="str">
        <f>IF($C2219="","",IF($D2219="Gider",$E2219,IF($L2219&lt;&gt;"",$L2219,$H2219)))</f>
        <v/>
      </c>
      <c r="N2219" s="74" t="str">
        <f>IF($C2219="","",IF($D2219="Gider",$H2219,$E2219))</f>
        <v/>
      </c>
      <c r="O2219" s="73" t="str">
        <f>IF($C2219="","",DATE(YEAR($C2219),MONTH($C2219),1))</f>
        <v/>
      </c>
      <c r="P2219" s="65" t="str">
        <f ca="1">IF($C2219="","",IF(AND($D2219="Gelir",$L2219&lt;&gt;"",$T2219=""),"TANIMSIZ BORÇLU",IF($T2219&lt;&gt;"",IF(OR($E2219="",$G2219&lt;=0),"EKSİK",IF($I2219="Evet","TAHAKKUK NAKİT OLAMAZ",IF($C2219&gt;TODAY(),"İLERİ TARİH","TAHAKKUK"))),IF(AND($D2219&lt;&gt;"",$E2219&lt;&gt;"",$G2219&gt;0,$H2219&lt;&gt;"",$I2219&lt;&gt;""),IF($C2219&gt;TODAY(),"İLERİ TARİH",IF(COUNTIF($W$7:$W$3001,$W2219)&gt;1,"MÜKERRER?",IF($AD2219&gt;0,"KAPALI DÖNEM",IF($I2219="Hayır","ÖDENECEK","UYGUN")))),"EKSİK"))))</f>
        <v/>
      </c>
      <c r="Q2219" s="2"/>
      <c r="R2219" s="2"/>
      <c r="S2219" s="1" t="str">
        <f t="shared" si="104"/>
        <v/>
      </c>
      <c r="T2219" s="1" t="str">
        <f>IF(OR($C2219="",$D2219&lt;&gt;"Gelir",$L2219=""),"",IFERROR(INDEX(MUSTERILER!$B$7:$B$156,MATCH($S2219,MUSTERILER!$T$7:$T$156,0)),""))</f>
        <v/>
      </c>
      <c r="U2219" s="1" t="str">
        <f>IF($T2219="","",$T2219&amp;"|"&amp;COUNTIFS($T$7:$T2219,$T2219))</f>
        <v/>
      </c>
      <c r="V2219" s="1">
        <f t="shared" si="105"/>
        <v>0</v>
      </c>
      <c r="W2219" s="1" t="str">
        <f t="shared" si="106"/>
        <v/>
      </c>
      <c r="X2219" s="1"/>
      <c r="Y2219" s="1"/>
      <c r="Z2219" s="1"/>
      <c r="AA2219" s="1"/>
      <c r="AB2219" s="1"/>
      <c r="AC2219" s="1"/>
      <c r="AD2219" s="1">
        <f>IF($C2219="",0,SUMPRODUCT((AY_SONU!$O$7:$O$42="Evet")*(AY_SONU!$B$7:$B$42=DATE(YEAR($C2219),MONTH($C2219),1))))</f>
        <v>0</v>
      </c>
      <c r="AE2219" s="1" t="str">
        <f>IF($E2219="","",$E2219&amp;"|"&amp;COUNTIFS($E$7:$E2219,$E2219))</f>
        <v/>
      </c>
    </row>
    <row r="2220" spans="1:31" ht="18" customHeight="1" x14ac:dyDescent="0.3">
      <c r="A2220" s="2"/>
      <c r="B2220" s="65" t="str">
        <f>IF($C2220="","","GG"&amp;TEXT(ROW()-6,"00000"))</f>
        <v/>
      </c>
      <c r="C2220" s="66"/>
      <c r="D2220" s="60"/>
      <c r="E2220" s="61"/>
      <c r="F2220" s="61"/>
      <c r="G2220" s="67"/>
      <c r="H2220" s="60"/>
      <c r="I2220" s="60"/>
      <c r="J2220" s="61"/>
      <c r="K2220" s="61"/>
      <c r="L2220" s="60"/>
      <c r="M2220" s="74" t="str">
        <f>IF($C2220="","",IF($D2220="Gider",$E2220,IF($L2220&lt;&gt;"",$L2220,$H2220)))</f>
        <v/>
      </c>
      <c r="N2220" s="74" t="str">
        <f>IF($C2220="","",IF($D2220="Gider",$H2220,$E2220))</f>
        <v/>
      </c>
      <c r="O2220" s="73" t="str">
        <f>IF($C2220="","",DATE(YEAR($C2220),MONTH($C2220),1))</f>
        <v/>
      </c>
      <c r="P2220" s="65" t="str">
        <f ca="1">IF($C2220="","",IF(AND($D2220="Gelir",$L2220&lt;&gt;"",$T2220=""),"TANIMSIZ BORÇLU",IF($T2220&lt;&gt;"",IF(OR($E2220="",$G2220&lt;=0),"EKSİK",IF($I2220="Evet","TAHAKKUK NAKİT OLAMAZ",IF($C2220&gt;TODAY(),"İLERİ TARİH","TAHAKKUK"))),IF(AND($D2220&lt;&gt;"",$E2220&lt;&gt;"",$G2220&gt;0,$H2220&lt;&gt;"",$I2220&lt;&gt;""),IF($C2220&gt;TODAY(),"İLERİ TARİH",IF(COUNTIF($W$7:$W$3001,$W2220)&gt;1,"MÜKERRER?",IF($AD2220&gt;0,"KAPALI DÖNEM",IF($I2220="Hayır","ÖDENECEK","UYGUN")))),"EKSİK"))))</f>
        <v/>
      </c>
      <c r="Q2220" s="2"/>
      <c r="R2220" s="2"/>
      <c r="S2220" s="1" t="str">
        <f t="shared" si="104"/>
        <v/>
      </c>
      <c r="T2220" s="1" t="str">
        <f>IF(OR($C2220="",$D2220&lt;&gt;"Gelir",$L2220=""),"",IFERROR(INDEX(MUSTERILER!$B$7:$B$156,MATCH($S2220,MUSTERILER!$T$7:$T$156,0)),""))</f>
        <v/>
      </c>
      <c r="U2220" s="1" t="str">
        <f>IF($T2220="","",$T2220&amp;"|"&amp;COUNTIFS($T$7:$T2220,$T2220))</f>
        <v/>
      </c>
      <c r="V2220" s="1">
        <f t="shared" si="105"/>
        <v>0</v>
      </c>
      <c r="W2220" s="1" t="str">
        <f t="shared" si="106"/>
        <v/>
      </c>
      <c r="X2220" s="1"/>
      <c r="Y2220" s="1"/>
      <c r="Z2220" s="1"/>
      <c r="AA2220" s="1"/>
      <c r="AB2220" s="1"/>
      <c r="AC2220" s="1"/>
      <c r="AD2220" s="1">
        <f>IF($C2220="",0,SUMPRODUCT((AY_SONU!$O$7:$O$42="Evet")*(AY_SONU!$B$7:$B$42=DATE(YEAR($C2220),MONTH($C2220),1))))</f>
        <v>0</v>
      </c>
      <c r="AE2220" s="1" t="str">
        <f>IF($E2220="","",$E2220&amp;"|"&amp;COUNTIFS($E$7:$E2220,$E2220))</f>
        <v/>
      </c>
    </row>
    <row r="2221" spans="1:31" ht="18" customHeight="1" x14ac:dyDescent="0.3">
      <c r="A2221" s="2"/>
      <c r="B2221" s="65" t="str">
        <f>IF($C2221="","","GG"&amp;TEXT(ROW()-6,"00000"))</f>
        <v/>
      </c>
      <c r="C2221" s="66"/>
      <c r="D2221" s="60"/>
      <c r="E2221" s="61"/>
      <c r="F2221" s="61"/>
      <c r="G2221" s="67"/>
      <c r="H2221" s="60"/>
      <c r="I2221" s="60"/>
      <c r="J2221" s="61"/>
      <c r="K2221" s="61"/>
      <c r="L2221" s="60"/>
      <c r="M2221" s="74" t="str">
        <f>IF($C2221="","",IF($D2221="Gider",$E2221,IF($L2221&lt;&gt;"",$L2221,$H2221)))</f>
        <v/>
      </c>
      <c r="N2221" s="74" t="str">
        <f>IF($C2221="","",IF($D2221="Gider",$H2221,$E2221))</f>
        <v/>
      </c>
      <c r="O2221" s="73" t="str">
        <f>IF($C2221="","",DATE(YEAR($C2221),MONTH($C2221),1))</f>
        <v/>
      </c>
      <c r="P2221" s="65" t="str">
        <f ca="1">IF($C2221="","",IF(AND($D2221="Gelir",$L2221&lt;&gt;"",$T2221=""),"TANIMSIZ BORÇLU",IF($T2221&lt;&gt;"",IF(OR($E2221="",$G2221&lt;=0),"EKSİK",IF($I2221="Evet","TAHAKKUK NAKİT OLAMAZ",IF($C2221&gt;TODAY(),"İLERİ TARİH","TAHAKKUK"))),IF(AND($D2221&lt;&gt;"",$E2221&lt;&gt;"",$G2221&gt;0,$H2221&lt;&gt;"",$I2221&lt;&gt;""),IF($C2221&gt;TODAY(),"İLERİ TARİH",IF(COUNTIF($W$7:$W$3001,$W2221)&gt;1,"MÜKERRER?",IF($AD2221&gt;0,"KAPALI DÖNEM",IF($I2221="Hayır","ÖDENECEK","UYGUN")))),"EKSİK"))))</f>
        <v/>
      </c>
      <c r="Q2221" s="2"/>
      <c r="R2221" s="2"/>
      <c r="S2221" s="1" t="str">
        <f t="shared" si="104"/>
        <v/>
      </c>
      <c r="T2221" s="1" t="str">
        <f>IF(OR($C2221="",$D2221&lt;&gt;"Gelir",$L2221=""),"",IFERROR(INDEX(MUSTERILER!$B$7:$B$156,MATCH($S2221,MUSTERILER!$T$7:$T$156,0)),""))</f>
        <v/>
      </c>
      <c r="U2221" s="1" t="str">
        <f>IF($T2221="","",$T2221&amp;"|"&amp;COUNTIFS($T$7:$T2221,$T2221))</f>
        <v/>
      </c>
      <c r="V2221" s="1">
        <f t="shared" si="105"/>
        <v>0</v>
      </c>
      <c r="W2221" s="1" t="str">
        <f t="shared" si="106"/>
        <v/>
      </c>
      <c r="X2221" s="1"/>
      <c r="Y2221" s="1"/>
      <c r="Z2221" s="1"/>
      <c r="AA2221" s="1"/>
      <c r="AB2221" s="1"/>
      <c r="AC2221" s="1"/>
      <c r="AD2221" s="1">
        <f>IF($C2221="",0,SUMPRODUCT((AY_SONU!$O$7:$O$42="Evet")*(AY_SONU!$B$7:$B$42=DATE(YEAR($C2221),MONTH($C2221),1))))</f>
        <v>0</v>
      </c>
      <c r="AE2221" s="1" t="str">
        <f>IF($E2221="","",$E2221&amp;"|"&amp;COUNTIFS($E$7:$E2221,$E2221))</f>
        <v/>
      </c>
    </row>
    <row r="2222" spans="1:31" ht="18" customHeight="1" x14ac:dyDescent="0.3">
      <c r="A2222" s="2"/>
      <c r="B2222" s="65" t="str">
        <f>IF($C2222="","","GG"&amp;TEXT(ROW()-6,"00000"))</f>
        <v/>
      </c>
      <c r="C2222" s="66"/>
      <c r="D2222" s="60"/>
      <c r="E2222" s="61"/>
      <c r="F2222" s="61"/>
      <c r="G2222" s="67"/>
      <c r="H2222" s="60"/>
      <c r="I2222" s="60"/>
      <c r="J2222" s="61"/>
      <c r="K2222" s="61"/>
      <c r="L2222" s="60"/>
      <c r="M2222" s="74" t="str">
        <f>IF($C2222="","",IF($D2222="Gider",$E2222,IF($L2222&lt;&gt;"",$L2222,$H2222)))</f>
        <v/>
      </c>
      <c r="N2222" s="74" t="str">
        <f>IF($C2222="","",IF($D2222="Gider",$H2222,$E2222))</f>
        <v/>
      </c>
      <c r="O2222" s="73" t="str">
        <f>IF($C2222="","",DATE(YEAR($C2222),MONTH($C2222),1))</f>
        <v/>
      </c>
      <c r="P2222" s="65" t="str">
        <f ca="1">IF($C2222="","",IF(AND($D2222="Gelir",$L2222&lt;&gt;"",$T2222=""),"TANIMSIZ BORÇLU",IF($T2222&lt;&gt;"",IF(OR($E2222="",$G2222&lt;=0),"EKSİK",IF($I2222="Evet","TAHAKKUK NAKİT OLAMAZ",IF($C2222&gt;TODAY(),"İLERİ TARİH","TAHAKKUK"))),IF(AND($D2222&lt;&gt;"",$E2222&lt;&gt;"",$G2222&gt;0,$H2222&lt;&gt;"",$I2222&lt;&gt;""),IF($C2222&gt;TODAY(),"İLERİ TARİH",IF(COUNTIF($W$7:$W$3001,$W2222)&gt;1,"MÜKERRER?",IF($AD2222&gt;0,"KAPALI DÖNEM",IF($I2222="Hayır","ÖDENECEK","UYGUN")))),"EKSİK"))))</f>
        <v/>
      </c>
      <c r="Q2222" s="2"/>
      <c r="R2222" s="2"/>
      <c r="S2222" s="1" t="str">
        <f t="shared" si="104"/>
        <v/>
      </c>
      <c r="T2222" s="1" t="str">
        <f>IF(OR($C2222="",$D2222&lt;&gt;"Gelir",$L2222=""),"",IFERROR(INDEX(MUSTERILER!$B$7:$B$156,MATCH($S2222,MUSTERILER!$T$7:$T$156,0)),""))</f>
        <v/>
      </c>
      <c r="U2222" s="1" t="str">
        <f>IF($T2222="","",$T2222&amp;"|"&amp;COUNTIFS($T$7:$T2222,$T2222))</f>
        <v/>
      </c>
      <c r="V2222" s="1">
        <f t="shared" si="105"/>
        <v>0</v>
      </c>
      <c r="W2222" s="1" t="str">
        <f t="shared" si="106"/>
        <v/>
      </c>
      <c r="X2222" s="1"/>
      <c r="Y2222" s="1"/>
      <c r="Z2222" s="1"/>
      <c r="AA2222" s="1"/>
      <c r="AB2222" s="1"/>
      <c r="AC2222" s="1"/>
      <c r="AD2222" s="1">
        <f>IF($C2222="",0,SUMPRODUCT((AY_SONU!$O$7:$O$42="Evet")*(AY_SONU!$B$7:$B$42=DATE(YEAR($C2222),MONTH($C2222),1))))</f>
        <v>0</v>
      </c>
      <c r="AE2222" s="1" t="str">
        <f>IF($E2222="","",$E2222&amp;"|"&amp;COUNTIFS($E$7:$E2222,$E2222))</f>
        <v/>
      </c>
    </row>
    <row r="2223" spans="1:31" ht="18" customHeight="1" x14ac:dyDescent="0.3">
      <c r="A2223" s="2"/>
      <c r="B2223" s="65" t="str">
        <f>IF($C2223="","","GG"&amp;TEXT(ROW()-6,"00000"))</f>
        <v/>
      </c>
      <c r="C2223" s="66"/>
      <c r="D2223" s="60"/>
      <c r="E2223" s="61"/>
      <c r="F2223" s="61"/>
      <c r="G2223" s="67"/>
      <c r="H2223" s="60"/>
      <c r="I2223" s="60"/>
      <c r="J2223" s="61"/>
      <c r="K2223" s="61"/>
      <c r="L2223" s="60"/>
      <c r="M2223" s="74" t="str">
        <f>IF($C2223="","",IF($D2223="Gider",$E2223,IF($L2223&lt;&gt;"",$L2223,$H2223)))</f>
        <v/>
      </c>
      <c r="N2223" s="74" t="str">
        <f>IF($C2223="","",IF($D2223="Gider",$H2223,$E2223))</f>
        <v/>
      </c>
      <c r="O2223" s="73" t="str">
        <f>IF($C2223="","",DATE(YEAR($C2223),MONTH($C2223),1))</f>
        <v/>
      </c>
      <c r="P2223" s="65" t="str">
        <f ca="1">IF($C2223="","",IF(AND($D2223="Gelir",$L2223&lt;&gt;"",$T2223=""),"TANIMSIZ BORÇLU",IF($T2223&lt;&gt;"",IF(OR($E2223="",$G2223&lt;=0),"EKSİK",IF($I2223="Evet","TAHAKKUK NAKİT OLAMAZ",IF($C2223&gt;TODAY(),"İLERİ TARİH","TAHAKKUK"))),IF(AND($D2223&lt;&gt;"",$E2223&lt;&gt;"",$G2223&gt;0,$H2223&lt;&gt;"",$I2223&lt;&gt;""),IF($C2223&gt;TODAY(),"İLERİ TARİH",IF(COUNTIF($W$7:$W$3001,$W2223)&gt;1,"MÜKERRER?",IF($AD2223&gt;0,"KAPALI DÖNEM",IF($I2223="Hayır","ÖDENECEK","UYGUN")))),"EKSİK"))))</f>
        <v/>
      </c>
      <c r="Q2223" s="2"/>
      <c r="R2223" s="2"/>
      <c r="S2223" s="1" t="str">
        <f t="shared" si="104"/>
        <v/>
      </c>
      <c r="T2223" s="1" t="str">
        <f>IF(OR($C2223="",$D2223&lt;&gt;"Gelir",$L2223=""),"",IFERROR(INDEX(MUSTERILER!$B$7:$B$156,MATCH($S2223,MUSTERILER!$T$7:$T$156,0)),""))</f>
        <v/>
      </c>
      <c r="U2223" s="1" t="str">
        <f>IF($T2223="","",$T2223&amp;"|"&amp;COUNTIFS($T$7:$T2223,$T2223))</f>
        <v/>
      </c>
      <c r="V2223" s="1">
        <f t="shared" si="105"/>
        <v>0</v>
      </c>
      <c r="W2223" s="1" t="str">
        <f t="shared" si="106"/>
        <v/>
      </c>
      <c r="X2223" s="1"/>
      <c r="Y2223" s="1"/>
      <c r="Z2223" s="1"/>
      <c r="AA2223" s="1"/>
      <c r="AB2223" s="1"/>
      <c r="AC2223" s="1"/>
      <c r="AD2223" s="1">
        <f>IF($C2223="",0,SUMPRODUCT((AY_SONU!$O$7:$O$42="Evet")*(AY_SONU!$B$7:$B$42=DATE(YEAR($C2223),MONTH($C2223),1))))</f>
        <v>0</v>
      </c>
      <c r="AE2223" s="1" t="str">
        <f>IF($E2223="","",$E2223&amp;"|"&amp;COUNTIFS($E$7:$E2223,$E2223))</f>
        <v/>
      </c>
    </row>
    <row r="2224" spans="1:31" ht="18" customHeight="1" x14ac:dyDescent="0.3">
      <c r="A2224" s="2"/>
      <c r="B2224" s="65" t="str">
        <f>IF($C2224="","","GG"&amp;TEXT(ROW()-6,"00000"))</f>
        <v/>
      </c>
      <c r="C2224" s="66"/>
      <c r="D2224" s="60"/>
      <c r="E2224" s="61"/>
      <c r="F2224" s="61"/>
      <c r="G2224" s="67"/>
      <c r="H2224" s="60"/>
      <c r="I2224" s="60"/>
      <c r="J2224" s="61"/>
      <c r="K2224" s="61"/>
      <c r="L2224" s="60"/>
      <c r="M2224" s="74" t="str">
        <f>IF($C2224="","",IF($D2224="Gider",$E2224,IF($L2224&lt;&gt;"",$L2224,$H2224)))</f>
        <v/>
      </c>
      <c r="N2224" s="74" t="str">
        <f>IF($C2224="","",IF($D2224="Gider",$H2224,$E2224))</f>
        <v/>
      </c>
      <c r="O2224" s="73" t="str">
        <f>IF($C2224="","",DATE(YEAR($C2224),MONTH($C2224),1))</f>
        <v/>
      </c>
      <c r="P2224" s="65" t="str">
        <f ca="1">IF($C2224="","",IF(AND($D2224="Gelir",$L2224&lt;&gt;"",$T2224=""),"TANIMSIZ BORÇLU",IF($T2224&lt;&gt;"",IF(OR($E2224="",$G2224&lt;=0),"EKSİK",IF($I2224="Evet","TAHAKKUK NAKİT OLAMAZ",IF($C2224&gt;TODAY(),"İLERİ TARİH","TAHAKKUK"))),IF(AND($D2224&lt;&gt;"",$E2224&lt;&gt;"",$G2224&gt;0,$H2224&lt;&gt;"",$I2224&lt;&gt;""),IF($C2224&gt;TODAY(),"İLERİ TARİH",IF(COUNTIF($W$7:$W$3001,$W2224)&gt;1,"MÜKERRER?",IF($AD2224&gt;0,"KAPALI DÖNEM",IF($I2224="Hayır","ÖDENECEK","UYGUN")))),"EKSİK"))))</f>
        <v/>
      </c>
      <c r="Q2224" s="2"/>
      <c r="R2224" s="2"/>
      <c r="S2224" s="1" t="str">
        <f t="shared" si="104"/>
        <v/>
      </c>
      <c r="T2224" s="1" t="str">
        <f>IF(OR($C2224="",$D2224&lt;&gt;"Gelir",$L2224=""),"",IFERROR(INDEX(MUSTERILER!$B$7:$B$156,MATCH($S2224,MUSTERILER!$T$7:$T$156,0)),""))</f>
        <v/>
      </c>
      <c r="U2224" s="1" t="str">
        <f>IF($T2224="","",$T2224&amp;"|"&amp;COUNTIFS($T$7:$T2224,$T2224))</f>
        <v/>
      </c>
      <c r="V2224" s="1">
        <f t="shared" si="105"/>
        <v>0</v>
      </c>
      <c r="W2224" s="1" t="str">
        <f t="shared" si="106"/>
        <v/>
      </c>
      <c r="X2224" s="1"/>
      <c r="Y2224" s="1"/>
      <c r="Z2224" s="1"/>
      <c r="AA2224" s="1"/>
      <c r="AB2224" s="1"/>
      <c r="AC2224" s="1"/>
      <c r="AD2224" s="1">
        <f>IF($C2224="",0,SUMPRODUCT((AY_SONU!$O$7:$O$42="Evet")*(AY_SONU!$B$7:$B$42=DATE(YEAR($C2224),MONTH($C2224),1))))</f>
        <v>0</v>
      </c>
      <c r="AE2224" s="1" t="str">
        <f>IF($E2224="","",$E2224&amp;"|"&amp;COUNTIFS($E$7:$E2224,$E2224))</f>
        <v/>
      </c>
    </row>
    <row r="2225" spans="1:31" ht="18" customHeight="1" x14ac:dyDescent="0.3">
      <c r="A2225" s="2"/>
      <c r="B2225" s="65" t="str">
        <f>IF($C2225="","","GG"&amp;TEXT(ROW()-6,"00000"))</f>
        <v/>
      </c>
      <c r="C2225" s="66"/>
      <c r="D2225" s="60"/>
      <c r="E2225" s="61"/>
      <c r="F2225" s="61"/>
      <c r="G2225" s="67"/>
      <c r="H2225" s="60"/>
      <c r="I2225" s="60"/>
      <c r="J2225" s="61"/>
      <c r="K2225" s="61"/>
      <c r="L2225" s="60"/>
      <c r="M2225" s="74" t="str">
        <f>IF($C2225="","",IF($D2225="Gider",$E2225,IF($L2225&lt;&gt;"",$L2225,$H2225)))</f>
        <v/>
      </c>
      <c r="N2225" s="74" t="str">
        <f>IF($C2225="","",IF($D2225="Gider",$H2225,$E2225))</f>
        <v/>
      </c>
      <c r="O2225" s="73" t="str">
        <f>IF($C2225="","",DATE(YEAR($C2225),MONTH($C2225),1))</f>
        <v/>
      </c>
      <c r="P2225" s="65" t="str">
        <f ca="1">IF($C2225="","",IF(AND($D2225="Gelir",$L2225&lt;&gt;"",$T2225=""),"TANIMSIZ BORÇLU",IF($T2225&lt;&gt;"",IF(OR($E2225="",$G2225&lt;=0),"EKSİK",IF($I2225="Evet","TAHAKKUK NAKİT OLAMAZ",IF($C2225&gt;TODAY(),"İLERİ TARİH","TAHAKKUK"))),IF(AND($D2225&lt;&gt;"",$E2225&lt;&gt;"",$G2225&gt;0,$H2225&lt;&gt;"",$I2225&lt;&gt;""),IF($C2225&gt;TODAY(),"İLERİ TARİH",IF(COUNTIF($W$7:$W$3001,$W2225)&gt;1,"MÜKERRER?",IF($AD2225&gt;0,"KAPALI DÖNEM",IF($I2225="Hayır","ÖDENECEK","UYGUN")))),"EKSİK"))))</f>
        <v/>
      </c>
      <c r="Q2225" s="2"/>
      <c r="R2225" s="2"/>
      <c r="S2225" s="1" t="str">
        <f t="shared" si="104"/>
        <v/>
      </c>
      <c r="T2225" s="1" t="str">
        <f>IF(OR($C2225="",$D2225&lt;&gt;"Gelir",$L2225=""),"",IFERROR(INDEX(MUSTERILER!$B$7:$B$156,MATCH($S2225,MUSTERILER!$T$7:$T$156,0)),""))</f>
        <v/>
      </c>
      <c r="U2225" s="1" t="str">
        <f>IF($T2225="","",$T2225&amp;"|"&amp;COUNTIFS($T$7:$T2225,$T2225))</f>
        <v/>
      </c>
      <c r="V2225" s="1">
        <f t="shared" si="105"/>
        <v>0</v>
      </c>
      <c r="W2225" s="1" t="str">
        <f t="shared" si="106"/>
        <v/>
      </c>
      <c r="X2225" s="1"/>
      <c r="Y2225" s="1"/>
      <c r="Z2225" s="1"/>
      <c r="AA2225" s="1"/>
      <c r="AB2225" s="1"/>
      <c r="AC2225" s="1"/>
      <c r="AD2225" s="1">
        <f>IF($C2225="",0,SUMPRODUCT((AY_SONU!$O$7:$O$42="Evet")*(AY_SONU!$B$7:$B$42=DATE(YEAR($C2225),MONTH($C2225),1))))</f>
        <v>0</v>
      </c>
      <c r="AE2225" s="1" t="str">
        <f>IF($E2225="","",$E2225&amp;"|"&amp;COUNTIFS($E$7:$E2225,$E2225))</f>
        <v/>
      </c>
    </row>
    <row r="2226" spans="1:31" ht="18" customHeight="1" x14ac:dyDescent="0.3">
      <c r="A2226" s="2"/>
      <c r="B2226" s="65" t="str">
        <f>IF($C2226="","","GG"&amp;TEXT(ROW()-6,"00000"))</f>
        <v/>
      </c>
      <c r="C2226" s="66"/>
      <c r="D2226" s="60"/>
      <c r="E2226" s="61"/>
      <c r="F2226" s="61"/>
      <c r="G2226" s="67"/>
      <c r="H2226" s="60"/>
      <c r="I2226" s="60"/>
      <c r="J2226" s="61"/>
      <c r="K2226" s="61"/>
      <c r="L2226" s="60"/>
      <c r="M2226" s="74" t="str">
        <f>IF($C2226="","",IF($D2226="Gider",$E2226,IF($L2226&lt;&gt;"",$L2226,$H2226)))</f>
        <v/>
      </c>
      <c r="N2226" s="74" t="str">
        <f>IF($C2226="","",IF($D2226="Gider",$H2226,$E2226))</f>
        <v/>
      </c>
      <c r="O2226" s="73" t="str">
        <f>IF($C2226="","",DATE(YEAR($C2226),MONTH($C2226),1))</f>
        <v/>
      </c>
      <c r="P2226" s="65" t="str">
        <f ca="1">IF($C2226="","",IF(AND($D2226="Gelir",$L2226&lt;&gt;"",$T2226=""),"TANIMSIZ BORÇLU",IF($T2226&lt;&gt;"",IF(OR($E2226="",$G2226&lt;=0),"EKSİK",IF($I2226="Evet","TAHAKKUK NAKİT OLAMAZ",IF($C2226&gt;TODAY(),"İLERİ TARİH","TAHAKKUK"))),IF(AND($D2226&lt;&gt;"",$E2226&lt;&gt;"",$G2226&gt;0,$H2226&lt;&gt;"",$I2226&lt;&gt;""),IF($C2226&gt;TODAY(),"İLERİ TARİH",IF(COUNTIF($W$7:$W$3001,$W2226)&gt;1,"MÜKERRER?",IF($AD2226&gt;0,"KAPALI DÖNEM",IF($I2226="Hayır","ÖDENECEK","UYGUN")))),"EKSİK"))))</f>
        <v/>
      </c>
      <c r="Q2226" s="2"/>
      <c r="R2226" s="2"/>
      <c r="S2226" s="1" t="str">
        <f t="shared" si="104"/>
        <v/>
      </c>
      <c r="T2226" s="1" t="str">
        <f>IF(OR($C2226="",$D2226&lt;&gt;"Gelir",$L2226=""),"",IFERROR(INDEX(MUSTERILER!$B$7:$B$156,MATCH($S2226,MUSTERILER!$T$7:$T$156,0)),""))</f>
        <v/>
      </c>
      <c r="U2226" s="1" t="str">
        <f>IF($T2226="","",$T2226&amp;"|"&amp;COUNTIFS($T$7:$T2226,$T2226))</f>
        <v/>
      </c>
      <c r="V2226" s="1">
        <f t="shared" si="105"/>
        <v>0</v>
      </c>
      <c r="W2226" s="1" t="str">
        <f t="shared" si="106"/>
        <v/>
      </c>
      <c r="X2226" s="1"/>
      <c r="Y2226" s="1"/>
      <c r="Z2226" s="1"/>
      <c r="AA2226" s="1"/>
      <c r="AB2226" s="1"/>
      <c r="AC2226" s="1"/>
      <c r="AD2226" s="1">
        <f>IF($C2226="",0,SUMPRODUCT((AY_SONU!$O$7:$O$42="Evet")*(AY_SONU!$B$7:$B$42=DATE(YEAR($C2226),MONTH($C2226),1))))</f>
        <v>0</v>
      </c>
      <c r="AE2226" s="1" t="str">
        <f>IF($E2226="","",$E2226&amp;"|"&amp;COUNTIFS($E$7:$E2226,$E2226))</f>
        <v/>
      </c>
    </row>
    <row r="2227" spans="1:31" ht="18" customHeight="1" x14ac:dyDescent="0.3">
      <c r="A2227" s="2"/>
      <c r="B2227" s="65" t="str">
        <f>IF($C2227="","","GG"&amp;TEXT(ROW()-6,"00000"))</f>
        <v/>
      </c>
      <c r="C2227" s="66"/>
      <c r="D2227" s="60"/>
      <c r="E2227" s="61"/>
      <c r="F2227" s="61"/>
      <c r="G2227" s="67"/>
      <c r="H2227" s="60"/>
      <c r="I2227" s="60"/>
      <c r="J2227" s="61"/>
      <c r="K2227" s="61"/>
      <c r="L2227" s="60"/>
      <c r="M2227" s="74" t="str">
        <f>IF($C2227="","",IF($D2227="Gider",$E2227,IF($L2227&lt;&gt;"",$L2227,$H2227)))</f>
        <v/>
      </c>
      <c r="N2227" s="74" t="str">
        <f>IF($C2227="","",IF($D2227="Gider",$H2227,$E2227))</f>
        <v/>
      </c>
      <c r="O2227" s="73" t="str">
        <f>IF($C2227="","",DATE(YEAR($C2227),MONTH($C2227),1))</f>
        <v/>
      </c>
      <c r="P2227" s="65" t="str">
        <f ca="1">IF($C2227="","",IF(AND($D2227="Gelir",$L2227&lt;&gt;"",$T2227=""),"TANIMSIZ BORÇLU",IF($T2227&lt;&gt;"",IF(OR($E2227="",$G2227&lt;=0),"EKSİK",IF($I2227="Evet","TAHAKKUK NAKİT OLAMAZ",IF($C2227&gt;TODAY(),"İLERİ TARİH","TAHAKKUK"))),IF(AND($D2227&lt;&gt;"",$E2227&lt;&gt;"",$G2227&gt;0,$H2227&lt;&gt;"",$I2227&lt;&gt;""),IF($C2227&gt;TODAY(),"İLERİ TARİH",IF(COUNTIF($W$7:$W$3001,$W2227)&gt;1,"MÜKERRER?",IF($AD2227&gt;0,"KAPALI DÖNEM",IF($I2227="Hayır","ÖDENECEK","UYGUN")))),"EKSİK"))))</f>
        <v/>
      </c>
      <c r="Q2227" s="2"/>
      <c r="R2227" s="2"/>
      <c r="S2227" s="1" t="str">
        <f t="shared" si="104"/>
        <v/>
      </c>
      <c r="T2227" s="1" t="str">
        <f>IF(OR($C2227="",$D2227&lt;&gt;"Gelir",$L2227=""),"",IFERROR(INDEX(MUSTERILER!$B$7:$B$156,MATCH($S2227,MUSTERILER!$T$7:$T$156,0)),""))</f>
        <v/>
      </c>
      <c r="U2227" s="1" t="str">
        <f>IF($T2227="","",$T2227&amp;"|"&amp;COUNTIFS($T$7:$T2227,$T2227))</f>
        <v/>
      </c>
      <c r="V2227" s="1">
        <f t="shared" si="105"/>
        <v>0</v>
      </c>
      <c r="W2227" s="1" t="str">
        <f t="shared" si="106"/>
        <v/>
      </c>
      <c r="X2227" s="1"/>
      <c r="Y2227" s="1"/>
      <c r="Z2227" s="1"/>
      <c r="AA2227" s="1"/>
      <c r="AB2227" s="1"/>
      <c r="AC2227" s="1"/>
      <c r="AD2227" s="1">
        <f>IF($C2227="",0,SUMPRODUCT((AY_SONU!$O$7:$O$42="Evet")*(AY_SONU!$B$7:$B$42=DATE(YEAR($C2227),MONTH($C2227),1))))</f>
        <v>0</v>
      </c>
      <c r="AE2227" s="1" t="str">
        <f>IF($E2227="","",$E2227&amp;"|"&amp;COUNTIFS($E$7:$E2227,$E2227))</f>
        <v/>
      </c>
    </row>
    <row r="2228" spans="1:31" ht="18" customHeight="1" x14ac:dyDescent="0.3">
      <c r="A2228" s="2"/>
      <c r="B2228" s="65" t="str">
        <f>IF($C2228="","","GG"&amp;TEXT(ROW()-6,"00000"))</f>
        <v/>
      </c>
      <c r="C2228" s="66"/>
      <c r="D2228" s="60"/>
      <c r="E2228" s="61"/>
      <c r="F2228" s="61"/>
      <c r="G2228" s="67"/>
      <c r="H2228" s="60"/>
      <c r="I2228" s="60"/>
      <c r="J2228" s="61"/>
      <c r="K2228" s="61"/>
      <c r="L2228" s="60"/>
      <c r="M2228" s="74" t="str">
        <f>IF($C2228="","",IF($D2228="Gider",$E2228,IF($L2228&lt;&gt;"",$L2228,$H2228)))</f>
        <v/>
      </c>
      <c r="N2228" s="74" t="str">
        <f>IF($C2228="","",IF($D2228="Gider",$H2228,$E2228))</f>
        <v/>
      </c>
      <c r="O2228" s="73" t="str">
        <f>IF($C2228="","",DATE(YEAR($C2228),MONTH($C2228),1))</f>
        <v/>
      </c>
      <c r="P2228" s="65" t="str">
        <f ca="1">IF($C2228="","",IF(AND($D2228="Gelir",$L2228&lt;&gt;"",$T2228=""),"TANIMSIZ BORÇLU",IF($T2228&lt;&gt;"",IF(OR($E2228="",$G2228&lt;=0),"EKSİK",IF($I2228="Evet","TAHAKKUK NAKİT OLAMAZ",IF($C2228&gt;TODAY(),"İLERİ TARİH","TAHAKKUK"))),IF(AND($D2228&lt;&gt;"",$E2228&lt;&gt;"",$G2228&gt;0,$H2228&lt;&gt;"",$I2228&lt;&gt;""),IF($C2228&gt;TODAY(),"İLERİ TARİH",IF(COUNTIF($W$7:$W$3001,$W2228)&gt;1,"MÜKERRER?",IF($AD2228&gt;0,"KAPALI DÖNEM",IF($I2228="Hayır","ÖDENECEK","UYGUN")))),"EKSİK"))))</f>
        <v/>
      </c>
      <c r="Q2228" s="2"/>
      <c r="R2228" s="2"/>
      <c r="S2228" s="1" t="str">
        <f t="shared" si="104"/>
        <v/>
      </c>
      <c r="T2228" s="1" t="str">
        <f>IF(OR($C2228="",$D2228&lt;&gt;"Gelir",$L2228=""),"",IFERROR(INDEX(MUSTERILER!$B$7:$B$156,MATCH($S2228,MUSTERILER!$T$7:$T$156,0)),""))</f>
        <v/>
      </c>
      <c r="U2228" s="1" t="str">
        <f>IF($T2228="","",$T2228&amp;"|"&amp;COUNTIFS($T$7:$T2228,$T2228))</f>
        <v/>
      </c>
      <c r="V2228" s="1">
        <f t="shared" si="105"/>
        <v>0</v>
      </c>
      <c r="W2228" s="1" t="str">
        <f t="shared" si="106"/>
        <v/>
      </c>
      <c r="X2228" s="1"/>
      <c r="Y2228" s="1"/>
      <c r="Z2228" s="1"/>
      <c r="AA2228" s="1"/>
      <c r="AB2228" s="1"/>
      <c r="AC2228" s="1"/>
      <c r="AD2228" s="1">
        <f>IF($C2228="",0,SUMPRODUCT((AY_SONU!$O$7:$O$42="Evet")*(AY_SONU!$B$7:$B$42=DATE(YEAR($C2228),MONTH($C2228),1))))</f>
        <v>0</v>
      </c>
      <c r="AE2228" s="1" t="str">
        <f>IF($E2228="","",$E2228&amp;"|"&amp;COUNTIFS($E$7:$E2228,$E2228))</f>
        <v/>
      </c>
    </row>
    <row r="2229" spans="1:31" ht="18" customHeight="1" x14ac:dyDescent="0.3">
      <c r="A2229" s="2"/>
      <c r="B2229" s="65" t="str">
        <f>IF($C2229="","","GG"&amp;TEXT(ROW()-6,"00000"))</f>
        <v/>
      </c>
      <c r="C2229" s="66"/>
      <c r="D2229" s="60"/>
      <c r="E2229" s="61"/>
      <c r="F2229" s="61"/>
      <c r="G2229" s="67"/>
      <c r="H2229" s="60"/>
      <c r="I2229" s="60"/>
      <c r="J2229" s="61"/>
      <c r="K2229" s="61"/>
      <c r="L2229" s="60"/>
      <c r="M2229" s="74" t="str">
        <f>IF($C2229="","",IF($D2229="Gider",$E2229,IF($L2229&lt;&gt;"",$L2229,$H2229)))</f>
        <v/>
      </c>
      <c r="N2229" s="74" t="str">
        <f>IF($C2229="","",IF($D2229="Gider",$H2229,$E2229))</f>
        <v/>
      </c>
      <c r="O2229" s="73" t="str">
        <f>IF($C2229="","",DATE(YEAR($C2229),MONTH($C2229),1))</f>
        <v/>
      </c>
      <c r="P2229" s="65" t="str">
        <f ca="1">IF($C2229="","",IF(AND($D2229="Gelir",$L2229&lt;&gt;"",$T2229=""),"TANIMSIZ BORÇLU",IF($T2229&lt;&gt;"",IF(OR($E2229="",$G2229&lt;=0),"EKSİK",IF($I2229="Evet","TAHAKKUK NAKİT OLAMAZ",IF($C2229&gt;TODAY(),"İLERİ TARİH","TAHAKKUK"))),IF(AND($D2229&lt;&gt;"",$E2229&lt;&gt;"",$G2229&gt;0,$H2229&lt;&gt;"",$I2229&lt;&gt;""),IF($C2229&gt;TODAY(),"İLERİ TARİH",IF(COUNTIF($W$7:$W$3001,$W2229)&gt;1,"MÜKERRER?",IF($AD2229&gt;0,"KAPALI DÖNEM",IF($I2229="Hayır","ÖDENECEK","UYGUN")))),"EKSİK"))))</f>
        <v/>
      </c>
      <c r="Q2229" s="2"/>
      <c r="R2229" s="2"/>
      <c r="S2229" s="1" t="str">
        <f t="shared" si="104"/>
        <v/>
      </c>
      <c r="T2229" s="1" t="str">
        <f>IF(OR($C2229="",$D2229&lt;&gt;"Gelir",$L2229=""),"",IFERROR(INDEX(MUSTERILER!$B$7:$B$156,MATCH($S2229,MUSTERILER!$T$7:$T$156,0)),""))</f>
        <v/>
      </c>
      <c r="U2229" s="1" t="str">
        <f>IF($T2229="","",$T2229&amp;"|"&amp;COUNTIFS($T$7:$T2229,$T2229))</f>
        <v/>
      </c>
      <c r="V2229" s="1">
        <f t="shared" si="105"/>
        <v>0</v>
      </c>
      <c r="W2229" s="1" t="str">
        <f t="shared" si="106"/>
        <v/>
      </c>
      <c r="X2229" s="1"/>
      <c r="Y2229" s="1"/>
      <c r="Z2229" s="1"/>
      <c r="AA2229" s="1"/>
      <c r="AB2229" s="1"/>
      <c r="AC2229" s="1"/>
      <c r="AD2229" s="1">
        <f>IF($C2229="",0,SUMPRODUCT((AY_SONU!$O$7:$O$42="Evet")*(AY_SONU!$B$7:$B$42=DATE(YEAR($C2229),MONTH($C2229),1))))</f>
        <v>0</v>
      </c>
      <c r="AE2229" s="1" t="str">
        <f>IF($E2229="","",$E2229&amp;"|"&amp;COUNTIFS($E$7:$E2229,$E2229))</f>
        <v/>
      </c>
    </row>
    <row r="2230" spans="1:31" ht="18" customHeight="1" x14ac:dyDescent="0.3">
      <c r="A2230" s="2"/>
      <c r="B2230" s="65" t="str">
        <f>IF($C2230="","","GG"&amp;TEXT(ROW()-6,"00000"))</f>
        <v/>
      </c>
      <c r="C2230" s="66"/>
      <c r="D2230" s="60"/>
      <c r="E2230" s="61"/>
      <c r="F2230" s="61"/>
      <c r="G2230" s="67"/>
      <c r="H2230" s="60"/>
      <c r="I2230" s="60"/>
      <c r="J2230" s="61"/>
      <c r="K2230" s="61"/>
      <c r="L2230" s="60"/>
      <c r="M2230" s="74" t="str">
        <f>IF($C2230="","",IF($D2230="Gider",$E2230,IF($L2230&lt;&gt;"",$L2230,$H2230)))</f>
        <v/>
      </c>
      <c r="N2230" s="74" t="str">
        <f>IF($C2230="","",IF($D2230="Gider",$H2230,$E2230))</f>
        <v/>
      </c>
      <c r="O2230" s="73" t="str">
        <f>IF($C2230="","",DATE(YEAR($C2230),MONTH($C2230),1))</f>
        <v/>
      </c>
      <c r="P2230" s="65" t="str">
        <f ca="1">IF($C2230="","",IF(AND($D2230="Gelir",$L2230&lt;&gt;"",$T2230=""),"TANIMSIZ BORÇLU",IF($T2230&lt;&gt;"",IF(OR($E2230="",$G2230&lt;=0),"EKSİK",IF($I2230="Evet","TAHAKKUK NAKİT OLAMAZ",IF($C2230&gt;TODAY(),"İLERİ TARİH","TAHAKKUK"))),IF(AND($D2230&lt;&gt;"",$E2230&lt;&gt;"",$G2230&gt;0,$H2230&lt;&gt;"",$I2230&lt;&gt;""),IF($C2230&gt;TODAY(),"İLERİ TARİH",IF(COUNTIF($W$7:$W$3001,$W2230)&gt;1,"MÜKERRER?",IF($AD2230&gt;0,"KAPALI DÖNEM",IF($I2230="Hayır","ÖDENECEK","UYGUN")))),"EKSİK"))))</f>
        <v/>
      </c>
      <c r="Q2230" s="2"/>
      <c r="R2230" s="2"/>
      <c r="S2230" s="1" t="str">
        <f t="shared" si="104"/>
        <v/>
      </c>
      <c r="T2230" s="1" t="str">
        <f>IF(OR($C2230="",$D2230&lt;&gt;"Gelir",$L2230=""),"",IFERROR(INDEX(MUSTERILER!$B$7:$B$156,MATCH($S2230,MUSTERILER!$T$7:$T$156,0)),""))</f>
        <v/>
      </c>
      <c r="U2230" s="1" t="str">
        <f>IF($T2230="","",$T2230&amp;"|"&amp;COUNTIFS($T$7:$T2230,$T2230))</f>
        <v/>
      </c>
      <c r="V2230" s="1">
        <f t="shared" si="105"/>
        <v>0</v>
      </c>
      <c r="W2230" s="1" t="str">
        <f t="shared" si="106"/>
        <v/>
      </c>
      <c r="X2230" s="1"/>
      <c r="Y2230" s="1"/>
      <c r="Z2230" s="1"/>
      <c r="AA2230" s="1"/>
      <c r="AB2230" s="1"/>
      <c r="AC2230" s="1"/>
      <c r="AD2230" s="1">
        <f>IF($C2230="",0,SUMPRODUCT((AY_SONU!$O$7:$O$42="Evet")*(AY_SONU!$B$7:$B$42=DATE(YEAR($C2230),MONTH($C2230),1))))</f>
        <v>0</v>
      </c>
      <c r="AE2230" s="1" t="str">
        <f>IF($E2230="","",$E2230&amp;"|"&amp;COUNTIFS($E$7:$E2230,$E2230))</f>
        <v/>
      </c>
    </row>
    <row r="2231" spans="1:31" ht="18" customHeight="1" x14ac:dyDescent="0.3">
      <c r="A2231" s="2"/>
      <c r="B2231" s="65" t="str">
        <f>IF($C2231="","","GG"&amp;TEXT(ROW()-6,"00000"))</f>
        <v/>
      </c>
      <c r="C2231" s="66"/>
      <c r="D2231" s="60"/>
      <c r="E2231" s="61"/>
      <c r="F2231" s="61"/>
      <c r="G2231" s="67"/>
      <c r="H2231" s="60"/>
      <c r="I2231" s="60"/>
      <c r="J2231" s="61"/>
      <c r="K2231" s="61"/>
      <c r="L2231" s="60"/>
      <c r="M2231" s="74" t="str">
        <f>IF($C2231="","",IF($D2231="Gider",$E2231,IF($L2231&lt;&gt;"",$L2231,$H2231)))</f>
        <v/>
      </c>
      <c r="N2231" s="74" t="str">
        <f>IF($C2231="","",IF($D2231="Gider",$H2231,$E2231))</f>
        <v/>
      </c>
      <c r="O2231" s="73" t="str">
        <f>IF($C2231="","",DATE(YEAR($C2231),MONTH($C2231),1))</f>
        <v/>
      </c>
      <c r="P2231" s="65" t="str">
        <f ca="1">IF($C2231="","",IF(AND($D2231="Gelir",$L2231&lt;&gt;"",$T2231=""),"TANIMSIZ BORÇLU",IF($T2231&lt;&gt;"",IF(OR($E2231="",$G2231&lt;=0),"EKSİK",IF($I2231="Evet","TAHAKKUK NAKİT OLAMAZ",IF($C2231&gt;TODAY(),"İLERİ TARİH","TAHAKKUK"))),IF(AND($D2231&lt;&gt;"",$E2231&lt;&gt;"",$G2231&gt;0,$H2231&lt;&gt;"",$I2231&lt;&gt;""),IF($C2231&gt;TODAY(),"İLERİ TARİH",IF(COUNTIF($W$7:$W$3001,$W2231)&gt;1,"MÜKERRER?",IF($AD2231&gt;0,"KAPALI DÖNEM",IF($I2231="Hayır","ÖDENECEK","UYGUN")))),"EKSİK"))))</f>
        <v/>
      </c>
      <c r="Q2231" s="2"/>
      <c r="R2231" s="2"/>
      <c r="S2231" s="1" t="str">
        <f t="shared" si="104"/>
        <v/>
      </c>
      <c r="T2231" s="1" t="str">
        <f>IF(OR($C2231="",$D2231&lt;&gt;"Gelir",$L2231=""),"",IFERROR(INDEX(MUSTERILER!$B$7:$B$156,MATCH($S2231,MUSTERILER!$T$7:$T$156,0)),""))</f>
        <v/>
      </c>
      <c r="U2231" s="1" t="str">
        <f>IF($T2231="","",$T2231&amp;"|"&amp;COUNTIFS($T$7:$T2231,$T2231))</f>
        <v/>
      </c>
      <c r="V2231" s="1">
        <f t="shared" si="105"/>
        <v>0</v>
      </c>
      <c r="W2231" s="1" t="str">
        <f t="shared" si="106"/>
        <v/>
      </c>
      <c r="X2231" s="1"/>
      <c r="Y2231" s="1"/>
      <c r="Z2231" s="1"/>
      <c r="AA2231" s="1"/>
      <c r="AB2231" s="1"/>
      <c r="AC2231" s="1"/>
      <c r="AD2231" s="1">
        <f>IF($C2231="",0,SUMPRODUCT((AY_SONU!$O$7:$O$42="Evet")*(AY_SONU!$B$7:$B$42=DATE(YEAR($C2231),MONTH($C2231),1))))</f>
        <v>0</v>
      </c>
      <c r="AE2231" s="1" t="str">
        <f>IF($E2231="","",$E2231&amp;"|"&amp;COUNTIFS($E$7:$E2231,$E2231))</f>
        <v/>
      </c>
    </row>
    <row r="2232" spans="1:31" ht="18" customHeight="1" x14ac:dyDescent="0.3">
      <c r="A2232" s="2"/>
      <c r="B2232" s="65" t="str">
        <f>IF($C2232="","","GG"&amp;TEXT(ROW()-6,"00000"))</f>
        <v/>
      </c>
      <c r="C2232" s="66"/>
      <c r="D2232" s="60"/>
      <c r="E2232" s="61"/>
      <c r="F2232" s="61"/>
      <c r="G2232" s="67"/>
      <c r="H2232" s="60"/>
      <c r="I2232" s="60"/>
      <c r="J2232" s="61"/>
      <c r="K2232" s="61"/>
      <c r="L2232" s="60"/>
      <c r="M2232" s="74" t="str">
        <f>IF($C2232="","",IF($D2232="Gider",$E2232,IF($L2232&lt;&gt;"",$L2232,$H2232)))</f>
        <v/>
      </c>
      <c r="N2232" s="74" t="str">
        <f>IF($C2232="","",IF($D2232="Gider",$H2232,$E2232))</f>
        <v/>
      </c>
      <c r="O2232" s="73" t="str">
        <f>IF($C2232="","",DATE(YEAR($C2232),MONTH($C2232),1))</f>
        <v/>
      </c>
      <c r="P2232" s="65" t="str">
        <f ca="1">IF($C2232="","",IF(AND($D2232="Gelir",$L2232&lt;&gt;"",$T2232=""),"TANIMSIZ BORÇLU",IF($T2232&lt;&gt;"",IF(OR($E2232="",$G2232&lt;=0),"EKSİK",IF($I2232="Evet","TAHAKKUK NAKİT OLAMAZ",IF($C2232&gt;TODAY(),"İLERİ TARİH","TAHAKKUK"))),IF(AND($D2232&lt;&gt;"",$E2232&lt;&gt;"",$G2232&gt;0,$H2232&lt;&gt;"",$I2232&lt;&gt;""),IF($C2232&gt;TODAY(),"İLERİ TARİH",IF(COUNTIF($W$7:$W$3001,$W2232)&gt;1,"MÜKERRER?",IF($AD2232&gt;0,"KAPALI DÖNEM",IF($I2232="Hayır","ÖDENECEK","UYGUN")))),"EKSİK"))))</f>
        <v/>
      </c>
      <c r="Q2232" s="2"/>
      <c r="R2232" s="2"/>
      <c r="S2232" s="1" t="str">
        <f t="shared" si="104"/>
        <v/>
      </c>
      <c r="T2232" s="1" t="str">
        <f>IF(OR($C2232="",$D2232&lt;&gt;"Gelir",$L2232=""),"",IFERROR(INDEX(MUSTERILER!$B$7:$B$156,MATCH($S2232,MUSTERILER!$T$7:$T$156,0)),""))</f>
        <v/>
      </c>
      <c r="U2232" s="1" t="str">
        <f>IF($T2232="","",$T2232&amp;"|"&amp;COUNTIFS($T$7:$T2232,$T2232))</f>
        <v/>
      </c>
      <c r="V2232" s="1">
        <f t="shared" si="105"/>
        <v>0</v>
      </c>
      <c r="W2232" s="1" t="str">
        <f t="shared" si="106"/>
        <v/>
      </c>
      <c r="X2232" s="1"/>
      <c r="Y2232" s="1"/>
      <c r="Z2232" s="1"/>
      <c r="AA2232" s="1"/>
      <c r="AB2232" s="1"/>
      <c r="AC2232" s="1"/>
      <c r="AD2232" s="1">
        <f>IF($C2232="",0,SUMPRODUCT((AY_SONU!$O$7:$O$42="Evet")*(AY_SONU!$B$7:$B$42=DATE(YEAR($C2232),MONTH($C2232),1))))</f>
        <v>0</v>
      </c>
      <c r="AE2232" s="1" t="str">
        <f>IF($E2232="","",$E2232&amp;"|"&amp;COUNTIFS($E$7:$E2232,$E2232))</f>
        <v/>
      </c>
    </row>
    <row r="2233" spans="1:31" ht="18" customHeight="1" x14ac:dyDescent="0.3">
      <c r="A2233" s="2"/>
      <c r="B2233" s="65" t="str">
        <f>IF($C2233="","","GG"&amp;TEXT(ROW()-6,"00000"))</f>
        <v/>
      </c>
      <c r="C2233" s="66"/>
      <c r="D2233" s="60"/>
      <c r="E2233" s="61"/>
      <c r="F2233" s="61"/>
      <c r="G2233" s="67"/>
      <c r="H2233" s="60"/>
      <c r="I2233" s="60"/>
      <c r="J2233" s="61"/>
      <c r="K2233" s="61"/>
      <c r="L2233" s="60"/>
      <c r="M2233" s="74" t="str">
        <f>IF($C2233="","",IF($D2233="Gider",$E2233,IF($L2233&lt;&gt;"",$L2233,$H2233)))</f>
        <v/>
      </c>
      <c r="N2233" s="74" t="str">
        <f>IF($C2233="","",IF($D2233="Gider",$H2233,$E2233))</f>
        <v/>
      </c>
      <c r="O2233" s="73" t="str">
        <f>IF($C2233="","",DATE(YEAR($C2233),MONTH($C2233),1))</f>
        <v/>
      </c>
      <c r="P2233" s="65" t="str">
        <f ca="1">IF($C2233="","",IF(AND($D2233="Gelir",$L2233&lt;&gt;"",$T2233=""),"TANIMSIZ BORÇLU",IF($T2233&lt;&gt;"",IF(OR($E2233="",$G2233&lt;=0),"EKSİK",IF($I2233="Evet","TAHAKKUK NAKİT OLAMAZ",IF($C2233&gt;TODAY(),"İLERİ TARİH","TAHAKKUK"))),IF(AND($D2233&lt;&gt;"",$E2233&lt;&gt;"",$G2233&gt;0,$H2233&lt;&gt;"",$I2233&lt;&gt;""),IF($C2233&gt;TODAY(),"İLERİ TARİH",IF(COUNTIF($W$7:$W$3001,$W2233)&gt;1,"MÜKERRER?",IF($AD2233&gt;0,"KAPALI DÖNEM",IF($I2233="Hayır","ÖDENECEK","UYGUN")))),"EKSİK"))))</f>
        <v/>
      </c>
      <c r="Q2233" s="2"/>
      <c r="R2233" s="2"/>
      <c r="S2233" s="1" t="str">
        <f t="shared" si="104"/>
        <v/>
      </c>
      <c r="T2233" s="1" t="str">
        <f>IF(OR($C2233="",$D2233&lt;&gt;"Gelir",$L2233=""),"",IFERROR(INDEX(MUSTERILER!$B$7:$B$156,MATCH($S2233,MUSTERILER!$T$7:$T$156,0)),""))</f>
        <v/>
      </c>
      <c r="U2233" s="1" t="str">
        <f>IF($T2233="","",$T2233&amp;"|"&amp;COUNTIFS($T$7:$T2233,$T2233))</f>
        <v/>
      </c>
      <c r="V2233" s="1">
        <f t="shared" si="105"/>
        <v>0</v>
      </c>
      <c r="W2233" s="1" t="str">
        <f t="shared" si="106"/>
        <v/>
      </c>
      <c r="X2233" s="1"/>
      <c r="Y2233" s="1"/>
      <c r="Z2233" s="1"/>
      <c r="AA2233" s="1"/>
      <c r="AB2233" s="1"/>
      <c r="AC2233" s="1"/>
      <c r="AD2233" s="1">
        <f>IF($C2233="",0,SUMPRODUCT((AY_SONU!$O$7:$O$42="Evet")*(AY_SONU!$B$7:$B$42=DATE(YEAR($C2233),MONTH($C2233),1))))</f>
        <v>0</v>
      </c>
      <c r="AE2233" s="1" t="str">
        <f>IF($E2233="","",$E2233&amp;"|"&amp;COUNTIFS($E$7:$E2233,$E2233))</f>
        <v/>
      </c>
    </row>
    <row r="2234" spans="1:31" ht="18" customHeight="1" x14ac:dyDescent="0.3">
      <c r="A2234" s="2"/>
      <c r="B2234" s="65" t="str">
        <f>IF($C2234="","","GG"&amp;TEXT(ROW()-6,"00000"))</f>
        <v/>
      </c>
      <c r="C2234" s="66"/>
      <c r="D2234" s="60"/>
      <c r="E2234" s="61"/>
      <c r="F2234" s="61"/>
      <c r="G2234" s="67"/>
      <c r="H2234" s="60"/>
      <c r="I2234" s="60"/>
      <c r="J2234" s="61"/>
      <c r="K2234" s="61"/>
      <c r="L2234" s="60"/>
      <c r="M2234" s="74" t="str">
        <f>IF($C2234="","",IF($D2234="Gider",$E2234,IF($L2234&lt;&gt;"",$L2234,$H2234)))</f>
        <v/>
      </c>
      <c r="N2234" s="74" t="str">
        <f>IF($C2234="","",IF($D2234="Gider",$H2234,$E2234))</f>
        <v/>
      </c>
      <c r="O2234" s="73" t="str">
        <f>IF($C2234="","",DATE(YEAR($C2234),MONTH($C2234),1))</f>
        <v/>
      </c>
      <c r="P2234" s="65" t="str">
        <f ca="1">IF($C2234="","",IF(AND($D2234="Gelir",$L2234&lt;&gt;"",$T2234=""),"TANIMSIZ BORÇLU",IF($T2234&lt;&gt;"",IF(OR($E2234="",$G2234&lt;=0),"EKSİK",IF($I2234="Evet","TAHAKKUK NAKİT OLAMAZ",IF($C2234&gt;TODAY(),"İLERİ TARİH","TAHAKKUK"))),IF(AND($D2234&lt;&gt;"",$E2234&lt;&gt;"",$G2234&gt;0,$H2234&lt;&gt;"",$I2234&lt;&gt;""),IF($C2234&gt;TODAY(),"İLERİ TARİH",IF(COUNTIF($W$7:$W$3001,$W2234)&gt;1,"MÜKERRER?",IF($AD2234&gt;0,"KAPALI DÖNEM",IF($I2234="Hayır","ÖDENECEK","UYGUN")))),"EKSİK"))))</f>
        <v/>
      </c>
      <c r="Q2234" s="2"/>
      <c r="R2234" s="2"/>
      <c r="S2234" s="1" t="str">
        <f t="shared" si="104"/>
        <v/>
      </c>
      <c r="T2234" s="1" t="str">
        <f>IF(OR($C2234="",$D2234&lt;&gt;"Gelir",$L2234=""),"",IFERROR(INDEX(MUSTERILER!$B$7:$B$156,MATCH($S2234,MUSTERILER!$T$7:$T$156,0)),""))</f>
        <v/>
      </c>
      <c r="U2234" s="1" t="str">
        <f>IF($T2234="","",$T2234&amp;"|"&amp;COUNTIFS($T$7:$T2234,$T2234))</f>
        <v/>
      </c>
      <c r="V2234" s="1">
        <f t="shared" si="105"/>
        <v>0</v>
      </c>
      <c r="W2234" s="1" t="str">
        <f t="shared" si="106"/>
        <v/>
      </c>
      <c r="X2234" s="1"/>
      <c r="Y2234" s="1"/>
      <c r="Z2234" s="1"/>
      <c r="AA2234" s="1"/>
      <c r="AB2234" s="1"/>
      <c r="AC2234" s="1"/>
      <c r="AD2234" s="1">
        <f>IF($C2234="",0,SUMPRODUCT((AY_SONU!$O$7:$O$42="Evet")*(AY_SONU!$B$7:$B$42=DATE(YEAR($C2234),MONTH($C2234),1))))</f>
        <v>0</v>
      </c>
      <c r="AE2234" s="1" t="str">
        <f>IF($E2234="","",$E2234&amp;"|"&amp;COUNTIFS($E$7:$E2234,$E2234))</f>
        <v/>
      </c>
    </row>
    <row r="2235" spans="1:31" ht="18" customHeight="1" x14ac:dyDescent="0.3">
      <c r="A2235" s="2"/>
      <c r="B2235" s="65" t="str">
        <f>IF($C2235="","","GG"&amp;TEXT(ROW()-6,"00000"))</f>
        <v/>
      </c>
      <c r="C2235" s="66"/>
      <c r="D2235" s="60"/>
      <c r="E2235" s="61"/>
      <c r="F2235" s="61"/>
      <c r="G2235" s="67"/>
      <c r="H2235" s="60"/>
      <c r="I2235" s="60"/>
      <c r="J2235" s="61"/>
      <c r="K2235" s="61"/>
      <c r="L2235" s="60"/>
      <c r="M2235" s="74" t="str">
        <f>IF($C2235="","",IF($D2235="Gider",$E2235,IF($L2235&lt;&gt;"",$L2235,$H2235)))</f>
        <v/>
      </c>
      <c r="N2235" s="74" t="str">
        <f>IF($C2235="","",IF($D2235="Gider",$H2235,$E2235))</f>
        <v/>
      </c>
      <c r="O2235" s="73" t="str">
        <f>IF($C2235="","",DATE(YEAR($C2235),MONTH($C2235),1))</f>
        <v/>
      </c>
      <c r="P2235" s="65" t="str">
        <f ca="1">IF($C2235="","",IF(AND($D2235="Gelir",$L2235&lt;&gt;"",$T2235=""),"TANIMSIZ BORÇLU",IF($T2235&lt;&gt;"",IF(OR($E2235="",$G2235&lt;=0),"EKSİK",IF($I2235="Evet","TAHAKKUK NAKİT OLAMAZ",IF($C2235&gt;TODAY(),"İLERİ TARİH","TAHAKKUK"))),IF(AND($D2235&lt;&gt;"",$E2235&lt;&gt;"",$G2235&gt;0,$H2235&lt;&gt;"",$I2235&lt;&gt;""),IF($C2235&gt;TODAY(),"İLERİ TARİH",IF(COUNTIF($W$7:$W$3001,$W2235)&gt;1,"MÜKERRER?",IF($AD2235&gt;0,"KAPALI DÖNEM",IF($I2235="Hayır","ÖDENECEK","UYGUN")))),"EKSİK"))))</f>
        <v/>
      </c>
      <c r="Q2235" s="2"/>
      <c r="R2235" s="2"/>
      <c r="S2235" s="1" t="str">
        <f t="shared" si="104"/>
        <v/>
      </c>
      <c r="T2235" s="1" t="str">
        <f>IF(OR($C2235="",$D2235&lt;&gt;"Gelir",$L2235=""),"",IFERROR(INDEX(MUSTERILER!$B$7:$B$156,MATCH($S2235,MUSTERILER!$T$7:$T$156,0)),""))</f>
        <v/>
      </c>
      <c r="U2235" s="1" t="str">
        <f>IF($T2235="","",$T2235&amp;"|"&amp;COUNTIFS($T$7:$T2235,$T2235))</f>
        <v/>
      </c>
      <c r="V2235" s="1">
        <f t="shared" si="105"/>
        <v>0</v>
      </c>
      <c r="W2235" s="1" t="str">
        <f t="shared" si="106"/>
        <v/>
      </c>
      <c r="X2235" s="1"/>
      <c r="Y2235" s="1"/>
      <c r="Z2235" s="1"/>
      <c r="AA2235" s="1"/>
      <c r="AB2235" s="1"/>
      <c r="AC2235" s="1"/>
      <c r="AD2235" s="1">
        <f>IF($C2235="",0,SUMPRODUCT((AY_SONU!$O$7:$O$42="Evet")*(AY_SONU!$B$7:$B$42=DATE(YEAR($C2235),MONTH($C2235),1))))</f>
        <v>0</v>
      </c>
      <c r="AE2235" s="1" t="str">
        <f>IF($E2235="","",$E2235&amp;"|"&amp;COUNTIFS($E$7:$E2235,$E2235))</f>
        <v/>
      </c>
    </row>
    <row r="2236" spans="1:31" ht="18" customHeight="1" x14ac:dyDescent="0.3">
      <c r="A2236" s="2"/>
      <c r="B2236" s="65" t="str">
        <f>IF($C2236="","","GG"&amp;TEXT(ROW()-6,"00000"))</f>
        <v/>
      </c>
      <c r="C2236" s="66"/>
      <c r="D2236" s="60"/>
      <c r="E2236" s="61"/>
      <c r="F2236" s="61"/>
      <c r="G2236" s="67"/>
      <c r="H2236" s="60"/>
      <c r="I2236" s="60"/>
      <c r="J2236" s="61"/>
      <c r="K2236" s="61"/>
      <c r="L2236" s="60"/>
      <c r="M2236" s="74" t="str">
        <f>IF($C2236="","",IF($D2236="Gider",$E2236,IF($L2236&lt;&gt;"",$L2236,$H2236)))</f>
        <v/>
      </c>
      <c r="N2236" s="74" t="str">
        <f>IF($C2236="","",IF($D2236="Gider",$H2236,$E2236))</f>
        <v/>
      </c>
      <c r="O2236" s="73" t="str">
        <f>IF($C2236="","",DATE(YEAR($C2236),MONTH($C2236),1))</f>
        <v/>
      </c>
      <c r="P2236" s="65" t="str">
        <f ca="1">IF($C2236="","",IF(AND($D2236="Gelir",$L2236&lt;&gt;"",$T2236=""),"TANIMSIZ BORÇLU",IF($T2236&lt;&gt;"",IF(OR($E2236="",$G2236&lt;=0),"EKSİK",IF($I2236="Evet","TAHAKKUK NAKİT OLAMAZ",IF($C2236&gt;TODAY(),"İLERİ TARİH","TAHAKKUK"))),IF(AND($D2236&lt;&gt;"",$E2236&lt;&gt;"",$G2236&gt;0,$H2236&lt;&gt;"",$I2236&lt;&gt;""),IF($C2236&gt;TODAY(),"İLERİ TARİH",IF(COUNTIF($W$7:$W$3001,$W2236)&gt;1,"MÜKERRER?",IF($AD2236&gt;0,"KAPALI DÖNEM",IF($I2236="Hayır","ÖDENECEK","UYGUN")))),"EKSİK"))))</f>
        <v/>
      </c>
      <c r="Q2236" s="2"/>
      <c r="R2236" s="2"/>
      <c r="S2236" s="1" t="str">
        <f t="shared" si="104"/>
        <v/>
      </c>
      <c r="T2236" s="1" t="str">
        <f>IF(OR($C2236="",$D2236&lt;&gt;"Gelir",$L2236=""),"",IFERROR(INDEX(MUSTERILER!$B$7:$B$156,MATCH($S2236,MUSTERILER!$T$7:$T$156,0)),""))</f>
        <v/>
      </c>
      <c r="U2236" s="1" t="str">
        <f>IF($T2236="","",$T2236&amp;"|"&amp;COUNTIFS($T$7:$T2236,$T2236))</f>
        <v/>
      </c>
      <c r="V2236" s="1">
        <f t="shared" si="105"/>
        <v>0</v>
      </c>
      <c r="W2236" s="1" t="str">
        <f t="shared" si="106"/>
        <v/>
      </c>
      <c r="X2236" s="1"/>
      <c r="Y2236" s="1"/>
      <c r="Z2236" s="1"/>
      <c r="AA2236" s="1"/>
      <c r="AB2236" s="1"/>
      <c r="AC2236" s="1"/>
      <c r="AD2236" s="1">
        <f>IF($C2236="",0,SUMPRODUCT((AY_SONU!$O$7:$O$42="Evet")*(AY_SONU!$B$7:$B$42=DATE(YEAR($C2236),MONTH($C2236),1))))</f>
        <v>0</v>
      </c>
      <c r="AE2236" s="1" t="str">
        <f>IF($E2236="","",$E2236&amp;"|"&amp;COUNTIFS($E$7:$E2236,$E2236))</f>
        <v/>
      </c>
    </row>
    <row r="2237" spans="1:31" ht="18" customHeight="1" x14ac:dyDescent="0.3">
      <c r="A2237" s="2"/>
      <c r="B2237" s="65" t="str">
        <f>IF($C2237="","","GG"&amp;TEXT(ROW()-6,"00000"))</f>
        <v/>
      </c>
      <c r="C2237" s="66"/>
      <c r="D2237" s="60"/>
      <c r="E2237" s="61"/>
      <c r="F2237" s="61"/>
      <c r="G2237" s="67"/>
      <c r="H2237" s="60"/>
      <c r="I2237" s="60"/>
      <c r="J2237" s="61"/>
      <c r="K2237" s="61"/>
      <c r="L2237" s="60"/>
      <c r="M2237" s="74" t="str">
        <f>IF($C2237="","",IF($D2237="Gider",$E2237,IF($L2237&lt;&gt;"",$L2237,$H2237)))</f>
        <v/>
      </c>
      <c r="N2237" s="74" t="str">
        <f>IF($C2237="","",IF($D2237="Gider",$H2237,$E2237))</f>
        <v/>
      </c>
      <c r="O2237" s="73" t="str">
        <f>IF($C2237="","",DATE(YEAR($C2237),MONTH($C2237),1))</f>
        <v/>
      </c>
      <c r="P2237" s="65" t="str">
        <f ca="1">IF($C2237="","",IF(AND($D2237="Gelir",$L2237&lt;&gt;"",$T2237=""),"TANIMSIZ BORÇLU",IF($T2237&lt;&gt;"",IF(OR($E2237="",$G2237&lt;=0),"EKSİK",IF($I2237="Evet","TAHAKKUK NAKİT OLAMAZ",IF($C2237&gt;TODAY(),"İLERİ TARİH","TAHAKKUK"))),IF(AND($D2237&lt;&gt;"",$E2237&lt;&gt;"",$G2237&gt;0,$H2237&lt;&gt;"",$I2237&lt;&gt;""),IF($C2237&gt;TODAY(),"İLERİ TARİH",IF(COUNTIF($W$7:$W$3001,$W2237)&gt;1,"MÜKERRER?",IF($AD2237&gt;0,"KAPALI DÖNEM",IF($I2237="Hayır","ÖDENECEK","UYGUN")))),"EKSİK"))))</f>
        <v/>
      </c>
      <c r="Q2237" s="2"/>
      <c r="R2237" s="2"/>
      <c r="S2237" s="1" t="str">
        <f t="shared" si="104"/>
        <v/>
      </c>
      <c r="T2237" s="1" t="str">
        <f>IF(OR($C2237="",$D2237&lt;&gt;"Gelir",$L2237=""),"",IFERROR(INDEX(MUSTERILER!$B$7:$B$156,MATCH($S2237,MUSTERILER!$T$7:$T$156,0)),""))</f>
        <v/>
      </c>
      <c r="U2237" s="1" t="str">
        <f>IF($T2237="","",$T2237&amp;"|"&amp;COUNTIFS($T$7:$T2237,$T2237))</f>
        <v/>
      </c>
      <c r="V2237" s="1">
        <f t="shared" si="105"/>
        <v>0</v>
      </c>
      <c r="W2237" s="1" t="str">
        <f t="shared" si="106"/>
        <v/>
      </c>
      <c r="X2237" s="1"/>
      <c r="Y2237" s="1"/>
      <c r="Z2237" s="1"/>
      <c r="AA2237" s="1"/>
      <c r="AB2237" s="1"/>
      <c r="AC2237" s="1"/>
      <c r="AD2237" s="1">
        <f>IF($C2237="",0,SUMPRODUCT((AY_SONU!$O$7:$O$42="Evet")*(AY_SONU!$B$7:$B$42=DATE(YEAR($C2237),MONTH($C2237),1))))</f>
        <v>0</v>
      </c>
      <c r="AE2237" s="1" t="str">
        <f>IF($E2237="","",$E2237&amp;"|"&amp;COUNTIFS($E$7:$E2237,$E2237))</f>
        <v/>
      </c>
    </row>
    <row r="2238" spans="1:31" ht="18" customHeight="1" x14ac:dyDescent="0.3">
      <c r="A2238" s="2"/>
      <c r="B2238" s="65" t="str">
        <f>IF($C2238="","","GG"&amp;TEXT(ROW()-6,"00000"))</f>
        <v/>
      </c>
      <c r="C2238" s="66"/>
      <c r="D2238" s="60"/>
      <c r="E2238" s="61"/>
      <c r="F2238" s="61"/>
      <c r="G2238" s="67"/>
      <c r="H2238" s="60"/>
      <c r="I2238" s="60"/>
      <c r="J2238" s="61"/>
      <c r="K2238" s="61"/>
      <c r="L2238" s="60"/>
      <c r="M2238" s="74" t="str">
        <f>IF($C2238="","",IF($D2238="Gider",$E2238,IF($L2238&lt;&gt;"",$L2238,$H2238)))</f>
        <v/>
      </c>
      <c r="N2238" s="74" t="str">
        <f>IF($C2238="","",IF($D2238="Gider",$H2238,$E2238))</f>
        <v/>
      </c>
      <c r="O2238" s="73" t="str">
        <f>IF($C2238="","",DATE(YEAR($C2238),MONTH($C2238),1))</f>
        <v/>
      </c>
      <c r="P2238" s="65" t="str">
        <f ca="1">IF($C2238="","",IF(AND($D2238="Gelir",$L2238&lt;&gt;"",$T2238=""),"TANIMSIZ BORÇLU",IF($T2238&lt;&gt;"",IF(OR($E2238="",$G2238&lt;=0),"EKSİK",IF($I2238="Evet","TAHAKKUK NAKİT OLAMAZ",IF($C2238&gt;TODAY(),"İLERİ TARİH","TAHAKKUK"))),IF(AND($D2238&lt;&gt;"",$E2238&lt;&gt;"",$G2238&gt;0,$H2238&lt;&gt;"",$I2238&lt;&gt;""),IF($C2238&gt;TODAY(),"İLERİ TARİH",IF(COUNTIF($W$7:$W$3001,$W2238)&gt;1,"MÜKERRER?",IF($AD2238&gt;0,"KAPALI DÖNEM",IF($I2238="Hayır","ÖDENECEK","UYGUN")))),"EKSİK"))))</f>
        <v/>
      </c>
      <c r="Q2238" s="2"/>
      <c r="R2238" s="2"/>
      <c r="S2238" s="1" t="str">
        <f t="shared" si="104"/>
        <v/>
      </c>
      <c r="T2238" s="1" t="str">
        <f>IF(OR($C2238="",$D2238&lt;&gt;"Gelir",$L2238=""),"",IFERROR(INDEX(MUSTERILER!$B$7:$B$156,MATCH($S2238,MUSTERILER!$T$7:$T$156,0)),""))</f>
        <v/>
      </c>
      <c r="U2238" s="1" t="str">
        <f>IF($T2238="","",$T2238&amp;"|"&amp;COUNTIFS($T$7:$T2238,$T2238))</f>
        <v/>
      </c>
      <c r="V2238" s="1">
        <f t="shared" si="105"/>
        <v>0</v>
      </c>
      <c r="W2238" s="1" t="str">
        <f t="shared" si="106"/>
        <v/>
      </c>
      <c r="X2238" s="1"/>
      <c r="Y2238" s="1"/>
      <c r="Z2238" s="1"/>
      <c r="AA2238" s="1"/>
      <c r="AB2238" s="1"/>
      <c r="AC2238" s="1"/>
      <c r="AD2238" s="1">
        <f>IF($C2238="",0,SUMPRODUCT((AY_SONU!$O$7:$O$42="Evet")*(AY_SONU!$B$7:$B$42=DATE(YEAR($C2238),MONTH($C2238),1))))</f>
        <v>0</v>
      </c>
      <c r="AE2238" s="1" t="str">
        <f>IF($E2238="","",$E2238&amp;"|"&amp;COUNTIFS($E$7:$E2238,$E2238))</f>
        <v/>
      </c>
    </row>
    <row r="2239" spans="1:31" ht="18" customHeight="1" x14ac:dyDescent="0.3">
      <c r="A2239" s="2"/>
      <c r="B2239" s="65" t="str">
        <f>IF($C2239="","","GG"&amp;TEXT(ROW()-6,"00000"))</f>
        <v/>
      </c>
      <c r="C2239" s="66"/>
      <c r="D2239" s="60"/>
      <c r="E2239" s="61"/>
      <c r="F2239" s="61"/>
      <c r="G2239" s="67"/>
      <c r="H2239" s="60"/>
      <c r="I2239" s="60"/>
      <c r="J2239" s="61"/>
      <c r="K2239" s="61"/>
      <c r="L2239" s="60"/>
      <c r="M2239" s="74" t="str">
        <f>IF($C2239="","",IF($D2239="Gider",$E2239,IF($L2239&lt;&gt;"",$L2239,$H2239)))</f>
        <v/>
      </c>
      <c r="N2239" s="74" t="str">
        <f>IF($C2239="","",IF($D2239="Gider",$H2239,$E2239))</f>
        <v/>
      </c>
      <c r="O2239" s="73" t="str">
        <f>IF($C2239="","",DATE(YEAR($C2239),MONTH($C2239),1))</f>
        <v/>
      </c>
      <c r="P2239" s="65" t="str">
        <f ca="1">IF($C2239="","",IF(AND($D2239="Gelir",$L2239&lt;&gt;"",$T2239=""),"TANIMSIZ BORÇLU",IF($T2239&lt;&gt;"",IF(OR($E2239="",$G2239&lt;=0),"EKSİK",IF($I2239="Evet","TAHAKKUK NAKİT OLAMAZ",IF($C2239&gt;TODAY(),"İLERİ TARİH","TAHAKKUK"))),IF(AND($D2239&lt;&gt;"",$E2239&lt;&gt;"",$G2239&gt;0,$H2239&lt;&gt;"",$I2239&lt;&gt;""),IF($C2239&gt;TODAY(),"İLERİ TARİH",IF(COUNTIF($W$7:$W$3001,$W2239)&gt;1,"MÜKERRER?",IF($AD2239&gt;0,"KAPALI DÖNEM",IF($I2239="Hayır","ÖDENECEK","UYGUN")))),"EKSİK"))))</f>
        <v/>
      </c>
      <c r="Q2239" s="2"/>
      <c r="R2239" s="2"/>
      <c r="S2239" s="1" t="str">
        <f t="shared" si="104"/>
        <v/>
      </c>
      <c r="T2239" s="1" t="str">
        <f>IF(OR($C2239="",$D2239&lt;&gt;"Gelir",$L2239=""),"",IFERROR(INDEX(MUSTERILER!$B$7:$B$156,MATCH($S2239,MUSTERILER!$T$7:$T$156,0)),""))</f>
        <v/>
      </c>
      <c r="U2239" s="1" t="str">
        <f>IF($T2239="","",$T2239&amp;"|"&amp;COUNTIFS($T$7:$T2239,$T2239))</f>
        <v/>
      </c>
      <c r="V2239" s="1">
        <f t="shared" si="105"/>
        <v>0</v>
      </c>
      <c r="W2239" s="1" t="str">
        <f t="shared" si="106"/>
        <v/>
      </c>
      <c r="X2239" s="1"/>
      <c r="Y2239" s="1"/>
      <c r="Z2239" s="1"/>
      <c r="AA2239" s="1"/>
      <c r="AB2239" s="1"/>
      <c r="AC2239" s="1"/>
      <c r="AD2239" s="1">
        <f>IF($C2239="",0,SUMPRODUCT((AY_SONU!$O$7:$O$42="Evet")*(AY_SONU!$B$7:$B$42=DATE(YEAR($C2239),MONTH($C2239),1))))</f>
        <v>0</v>
      </c>
      <c r="AE2239" s="1" t="str">
        <f>IF($E2239="","",$E2239&amp;"|"&amp;COUNTIFS($E$7:$E2239,$E2239))</f>
        <v/>
      </c>
    </row>
    <row r="2240" spans="1:31" ht="18" customHeight="1" x14ac:dyDescent="0.3">
      <c r="A2240" s="2"/>
      <c r="B2240" s="65" t="str">
        <f>IF($C2240="","","GG"&amp;TEXT(ROW()-6,"00000"))</f>
        <v/>
      </c>
      <c r="C2240" s="66"/>
      <c r="D2240" s="60"/>
      <c r="E2240" s="61"/>
      <c r="F2240" s="61"/>
      <c r="G2240" s="67"/>
      <c r="H2240" s="60"/>
      <c r="I2240" s="60"/>
      <c r="J2240" s="61"/>
      <c r="K2240" s="61"/>
      <c r="L2240" s="60"/>
      <c r="M2240" s="74" t="str">
        <f>IF($C2240="","",IF($D2240="Gider",$E2240,IF($L2240&lt;&gt;"",$L2240,$H2240)))</f>
        <v/>
      </c>
      <c r="N2240" s="74" t="str">
        <f>IF($C2240="","",IF($D2240="Gider",$H2240,$E2240))</f>
        <v/>
      </c>
      <c r="O2240" s="73" t="str">
        <f>IF($C2240="","",DATE(YEAR($C2240),MONTH($C2240),1))</f>
        <v/>
      </c>
      <c r="P2240" s="65" t="str">
        <f ca="1">IF($C2240="","",IF(AND($D2240="Gelir",$L2240&lt;&gt;"",$T2240=""),"TANIMSIZ BORÇLU",IF($T2240&lt;&gt;"",IF(OR($E2240="",$G2240&lt;=0),"EKSİK",IF($I2240="Evet","TAHAKKUK NAKİT OLAMAZ",IF($C2240&gt;TODAY(),"İLERİ TARİH","TAHAKKUK"))),IF(AND($D2240&lt;&gt;"",$E2240&lt;&gt;"",$G2240&gt;0,$H2240&lt;&gt;"",$I2240&lt;&gt;""),IF($C2240&gt;TODAY(),"İLERİ TARİH",IF(COUNTIF($W$7:$W$3001,$W2240)&gt;1,"MÜKERRER?",IF($AD2240&gt;0,"KAPALI DÖNEM",IF($I2240="Hayır","ÖDENECEK","UYGUN")))),"EKSİK"))))</f>
        <v/>
      </c>
      <c r="Q2240" s="2"/>
      <c r="R2240" s="2"/>
      <c r="S2240" s="1" t="str">
        <f t="shared" si="104"/>
        <v/>
      </c>
      <c r="T2240" s="1" t="str">
        <f>IF(OR($C2240="",$D2240&lt;&gt;"Gelir",$L2240=""),"",IFERROR(INDEX(MUSTERILER!$B$7:$B$156,MATCH($S2240,MUSTERILER!$T$7:$T$156,0)),""))</f>
        <v/>
      </c>
      <c r="U2240" s="1" t="str">
        <f>IF($T2240="","",$T2240&amp;"|"&amp;COUNTIFS($T$7:$T2240,$T2240))</f>
        <v/>
      </c>
      <c r="V2240" s="1">
        <f t="shared" si="105"/>
        <v>0</v>
      </c>
      <c r="W2240" s="1" t="str">
        <f t="shared" si="106"/>
        <v/>
      </c>
      <c r="X2240" s="1"/>
      <c r="Y2240" s="1"/>
      <c r="Z2240" s="1"/>
      <c r="AA2240" s="1"/>
      <c r="AB2240" s="1"/>
      <c r="AC2240" s="1"/>
      <c r="AD2240" s="1">
        <f>IF($C2240="",0,SUMPRODUCT((AY_SONU!$O$7:$O$42="Evet")*(AY_SONU!$B$7:$B$42=DATE(YEAR($C2240),MONTH($C2240),1))))</f>
        <v>0</v>
      </c>
      <c r="AE2240" s="1" t="str">
        <f>IF($E2240="","",$E2240&amp;"|"&amp;COUNTIFS($E$7:$E2240,$E2240))</f>
        <v/>
      </c>
    </row>
    <row r="2241" spans="1:31" ht="18" customHeight="1" x14ac:dyDescent="0.3">
      <c r="A2241" s="2"/>
      <c r="B2241" s="65" t="str">
        <f>IF($C2241="","","GG"&amp;TEXT(ROW()-6,"00000"))</f>
        <v/>
      </c>
      <c r="C2241" s="66"/>
      <c r="D2241" s="60"/>
      <c r="E2241" s="61"/>
      <c r="F2241" s="61"/>
      <c r="G2241" s="67"/>
      <c r="H2241" s="60"/>
      <c r="I2241" s="60"/>
      <c r="J2241" s="61"/>
      <c r="K2241" s="61"/>
      <c r="L2241" s="60"/>
      <c r="M2241" s="74" t="str">
        <f>IF($C2241="","",IF($D2241="Gider",$E2241,IF($L2241&lt;&gt;"",$L2241,$H2241)))</f>
        <v/>
      </c>
      <c r="N2241" s="74" t="str">
        <f>IF($C2241="","",IF($D2241="Gider",$H2241,$E2241))</f>
        <v/>
      </c>
      <c r="O2241" s="73" t="str">
        <f>IF($C2241="","",DATE(YEAR($C2241),MONTH($C2241),1))</f>
        <v/>
      </c>
      <c r="P2241" s="65" t="str">
        <f ca="1">IF($C2241="","",IF(AND($D2241="Gelir",$L2241&lt;&gt;"",$T2241=""),"TANIMSIZ BORÇLU",IF($T2241&lt;&gt;"",IF(OR($E2241="",$G2241&lt;=0),"EKSİK",IF($I2241="Evet","TAHAKKUK NAKİT OLAMAZ",IF($C2241&gt;TODAY(),"İLERİ TARİH","TAHAKKUK"))),IF(AND($D2241&lt;&gt;"",$E2241&lt;&gt;"",$G2241&gt;0,$H2241&lt;&gt;"",$I2241&lt;&gt;""),IF($C2241&gt;TODAY(),"İLERİ TARİH",IF(COUNTIF($W$7:$W$3001,$W2241)&gt;1,"MÜKERRER?",IF($AD2241&gt;0,"KAPALI DÖNEM",IF($I2241="Hayır","ÖDENECEK","UYGUN")))),"EKSİK"))))</f>
        <v/>
      </c>
      <c r="Q2241" s="2"/>
      <c r="R2241" s="2"/>
      <c r="S2241" s="1" t="str">
        <f t="shared" si="104"/>
        <v/>
      </c>
      <c r="T2241" s="1" t="str">
        <f>IF(OR($C2241="",$D2241&lt;&gt;"Gelir",$L2241=""),"",IFERROR(INDEX(MUSTERILER!$B$7:$B$156,MATCH($S2241,MUSTERILER!$T$7:$T$156,0)),""))</f>
        <v/>
      </c>
      <c r="U2241" s="1" t="str">
        <f>IF($T2241="","",$T2241&amp;"|"&amp;COUNTIFS($T$7:$T2241,$T2241))</f>
        <v/>
      </c>
      <c r="V2241" s="1">
        <f t="shared" si="105"/>
        <v>0</v>
      </c>
      <c r="W2241" s="1" t="str">
        <f t="shared" si="106"/>
        <v/>
      </c>
      <c r="X2241" s="1"/>
      <c r="Y2241" s="1"/>
      <c r="Z2241" s="1"/>
      <c r="AA2241" s="1"/>
      <c r="AB2241" s="1"/>
      <c r="AC2241" s="1"/>
      <c r="AD2241" s="1">
        <f>IF($C2241="",0,SUMPRODUCT((AY_SONU!$O$7:$O$42="Evet")*(AY_SONU!$B$7:$B$42=DATE(YEAR($C2241),MONTH($C2241),1))))</f>
        <v>0</v>
      </c>
      <c r="AE2241" s="1" t="str">
        <f>IF($E2241="","",$E2241&amp;"|"&amp;COUNTIFS($E$7:$E2241,$E2241))</f>
        <v/>
      </c>
    </row>
    <row r="2242" spans="1:31" ht="18" customHeight="1" x14ac:dyDescent="0.3">
      <c r="A2242" s="2"/>
      <c r="B2242" s="65" t="str">
        <f>IF($C2242="","","GG"&amp;TEXT(ROW()-6,"00000"))</f>
        <v/>
      </c>
      <c r="C2242" s="66"/>
      <c r="D2242" s="60"/>
      <c r="E2242" s="61"/>
      <c r="F2242" s="61"/>
      <c r="G2242" s="67"/>
      <c r="H2242" s="60"/>
      <c r="I2242" s="60"/>
      <c r="J2242" s="61"/>
      <c r="K2242" s="61"/>
      <c r="L2242" s="60"/>
      <c r="M2242" s="74" t="str">
        <f>IF($C2242="","",IF($D2242="Gider",$E2242,IF($L2242&lt;&gt;"",$L2242,$H2242)))</f>
        <v/>
      </c>
      <c r="N2242" s="74" t="str">
        <f>IF($C2242="","",IF($D2242="Gider",$H2242,$E2242))</f>
        <v/>
      </c>
      <c r="O2242" s="73" t="str">
        <f>IF($C2242="","",DATE(YEAR($C2242),MONTH($C2242),1))</f>
        <v/>
      </c>
      <c r="P2242" s="65" t="str">
        <f ca="1">IF($C2242="","",IF(AND($D2242="Gelir",$L2242&lt;&gt;"",$T2242=""),"TANIMSIZ BORÇLU",IF($T2242&lt;&gt;"",IF(OR($E2242="",$G2242&lt;=0),"EKSİK",IF($I2242="Evet","TAHAKKUK NAKİT OLAMAZ",IF($C2242&gt;TODAY(),"İLERİ TARİH","TAHAKKUK"))),IF(AND($D2242&lt;&gt;"",$E2242&lt;&gt;"",$G2242&gt;0,$H2242&lt;&gt;"",$I2242&lt;&gt;""),IF($C2242&gt;TODAY(),"İLERİ TARİH",IF(COUNTIF($W$7:$W$3001,$W2242)&gt;1,"MÜKERRER?",IF($AD2242&gt;0,"KAPALI DÖNEM",IF($I2242="Hayır","ÖDENECEK","UYGUN")))),"EKSİK"))))</f>
        <v/>
      </c>
      <c r="Q2242" s="2"/>
      <c r="R2242" s="2"/>
      <c r="S2242" s="1" t="str">
        <f t="shared" si="104"/>
        <v/>
      </c>
      <c r="T2242" s="1" t="str">
        <f>IF(OR($C2242="",$D2242&lt;&gt;"Gelir",$L2242=""),"",IFERROR(INDEX(MUSTERILER!$B$7:$B$156,MATCH($S2242,MUSTERILER!$T$7:$T$156,0)),""))</f>
        <v/>
      </c>
      <c r="U2242" s="1" t="str">
        <f>IF($T2242="","",$T2242&amp;"|"&amp;COUNTIFS($T$7:$T2242,$T2242))</f>
        <v/>
      </c>
      <c r="V2242" s="1">
        <f t="shared" si="105"/>
        <v>0</v>
      </c>
      <c r="W2242" s="1" t="str">
        <f t="shared" si="106"/>
        <v/>
      </c>
      <c r="X2242" s="1"/>
      <c r="Y2242" s="1"/>
      <c r="Z2242" s="1"/>
      <c r="AA2242" s="1"/>
      <c r="AB2242" s="1"/>
      <c r="AC2242" s="1"/>
      <c r="AD2242" s="1">
        <f>IF($C2242="",0,SUMPRODUCT((AY_SONU!$O$7:$O$42="Evet")*(AY_SONU!$B$7:$B$42=DATE(YEAR($C2242),MONTH($C2242),1))))</f>
        <v>0</v>
      </c>
      <c r="AE2242" s="1" t="str">
        <f>IF($E2242="","",$E2242&amp;"|"&amp;COUNTIFS($E$7:$E2242,$E2242))</f>
        <v/>
      </c>
    </row>
    <row r="2243" spans="1:31" ht="18" customHeight="1" x14ac:dyDescent="0.3">
      <c r="A2243" s="2"/>
      <c r="B2243" s="65" t="str">
        <f>IF($C2243="","","GG"&amp;TEXT(ROW()-6,"00000"))</f>
        <v/>
      </c>
      <c r="C2243" s="66"/>
      <c r="D2243" s="60"/>
      <c r="E2243" s="61"/>
      <c r="F2243" s="61"/>
      <c r="G2243" s="67"/>
      <c r="H2243" s="60"/>
      <c r="I2243" s="60"/>
      <c r="J2243" s="61"/>
      <c r="K2243" s="61"/>
      <c r="L2243" s="60"/>
      <c r="M2243" s="74" t="str">
        <f>IF($C2243="","",IF($D2243="Gider",$E2243,IF($L2243&lt;&gt;"",$L2243,$H2243)))</f>
        <v/>
      </c>
      <c r="N2243" s="74" t="str">
        <f>IF($C2243="","",IF($D2243="Gider",$H2243,$E2243))</f>
        <v/>
      </c>
      <c r="O2243" s="73" t="str">
        <f>IF($C2243="","",DATE(YEAR($C2243),MONTH($C2243),1))</f>
        <v/>
      </c>
      <c r="P2243" s="65" t="str">
        <f ca="1">IF($C2243="","",IF(AND($D2243="Gelir",$L2243&lt;&gt;"",$T2243=""),"TANIMSIZ BORÇLU",IF($T2243&lt;&gt;"",IF(OR($E2243="",$G2243&lt;=0),"EKSİK",IF($I2243="Evet","TAHAKKUK NAKİT OLAMAZ",IF($C2243&gt;TODAY(),"İLERİ TARİH","TAHAKKUK"))),IF(AND($D2243&lt;&gt;"",$E2243&lt;&gt;"",$G2243&gt;0,$H2243&lt;&gt;"",$I2243&lt;&gt;""),IF($C2243&gt;TODAY(),"İLERİ TARİH",IF(COUNTIF($W$7:$W$3001,$W2243)&gt;1,"MÜKERRER?",IF($AD2243&gt;0,"KAPALI DÖNEM",IF($I2243="Hayır","ÖDENECEK","UYGUN")))),"EKSİK"))))</f>
        <v/>
      </c>
      <c r="Q2243" s="2"/>
      <c r="R2243" s="2"/>
      <c r="S2243" s="1" t="str">
        <f t="shared" si="104"/>
        <v/>
      </c>
      <c r="T2243" s="1" t="str">
        <f>IF(OR($C2243="",$D2243&lt;&gt;"Gelir",$L2243=""),"",IFERROR(INDEX(MUSTERILER!$B$7:$B$156,MATCH($S2243,MUSTERILER!$T$7:$T$156,0)),""))</f>
        <v/>
      </c>
      <c r="U2243" s="1" t="str">
        <f>IF($T2243="","",$T2243&amp;"|"&amp;COUNTIFS($T$7:$T2243,$T2243))</f>
        <v/>
      </c>
      <c r="V2243" s="1">
        <f t="shared" si="105"/>
        <v>0</v>
      </c>
      <c r="W2243" s="1" t="str">
        <f t="shared" si="106"/>
        <v/>
      </c>
      <c r="X2243" s="1"/>
      <c r="Y2243" s="1"/>
      <c r="Z2243" s="1"/>
      <c r="AA2243" s="1"/>
      <c r="AB2243" s="1"/>
      <c r="AC2243" s="1"/>
      <c r="AD2243" s="1">
        <f>IF($C2243="",0,SUMPRODUCT((AY_SONU!$O$7:$O$42="Evet")*(AY_SONU!$B$7:$B$42=DATE(YEAR($C2243),MONTH($C2243),1))))</f>
        <v>0</v>
      </c>
      <c r="AE2243" s="1" t="str">
        <f>IF($E2243="","",$E2243&amp;"|"&amp;COUNTIFS($E$7:$E2243,$E2243))</f>
        <v/>
      </c>
    </row>
    <row r="2244" spans="1:31" ht="18" customHeight="1" x14ac:dyDescent="0.3">
      <c r="A2244" s="2"/>
      <c r="B2244" s="65" t="str">
        <f>IF($C2244="","","GG"&amp;TEXT(ROW()-6,"00000"))</f>
        <v/>
      </c>
      <c r="C2244" s="66"/>
      <c r="D2244" s="60"/>
      <c r="E2244" s="61"/>
      <c r="F2244" s="61"/>
      <c r="G2244" s="67"/>
      <c r="H2244" s="60"/>
      <c r="I2244" s="60"/>
      <c r="J2244" s="61"/>
      <c r="K2244" s="61"/>
      <c r="L2244" s="60"/>
      <c r="M2244" s="74" t="str">
        <f>IF($C2244="","",IF($D2244="Gider",$E2244,IF($L2244&lt;&gt;"",$L2244,$H2244)))</f>
        <v/>
      </c>
      <c r="N2244" s="74" t="str">
        <f>IF($C2244="","",IF($D2244="Gider",$H2244,$E2244))</f>
        <v/>
      </c>
      <c r="O2244" s="73" t="str">
        <f>IF($C2244="","",DATE(YEAR($C2244),MONTH($C2244),1))</f>
        <v/>
      </c>
      <c r="P2244" s="65" t="str">
        <f ca="1">IF($C2244="","",IF(AND($D2244="Gelir",$L2244&lt;&gt;"",$T2244=""),"TANIMSIZ BORÇLU",IF($T2244&lt;&gt;"",IF(OR($E2244="",$G2244&lt;=0),"EKSİK",IF($I2244="Evet","TAHAKKUK NAKİT OLAMAZ",IF($C2244&gt;TODAY(),"İLERİ TARİH","TAHAKKUK"))),IF(AND($D2244&lt;&gt;"",$E2244&lt;&gt;"",$G2244&gt;0,$H2244&lt;&gt;"",$I2244&lt;&gt;""),IF($C2244&gt;TODAY(),"İLERİ TARİH",IF(COUNTIF($W$7:$W$3001,$W2244)&gt;1,"MÜKERRER?",IF($AD2244&gt;0,"KAPALI DÖNEM",IF($I2244="Hayır","ÖDENECEK","UYGUN")))),"EKSİK"))))</f>
        <v/>
      </c>
      <c r="Q2244" s="2"/>
      <c r="R2244" s="2"/>
      <c r="S2244" s="1" t="str">
        <f t="shared" si="104"/>
        <v/>
      </c>
      <c r="T2244" s="1" t="str">
        <f>IF(OR($C2244="",$D2244&lt;&gt;"Gelir",$L2244=""),"",IFERROR(INDEX(MUSTERILER!$B$7:$B$156,MATCH($S2244,MUSTERILER!$T$7:$T$156,0)),""))</f>
        <v/>
      </c>
      <c r="U2244" s="1" t="str">
        <f>IF($T2244="","",$T2244&amp;"|"&amp;COUNTIFS($T$7:$T2244,$T2244))</f>
        <v/>
      </c>
      <c r="V2244" s="1">
        <f t="shared" si="105"/>
        <v>0</v>
      </c>
      <c r="W2244" s="1" t="str">
        <f t="shared" si="106"/>
        <v/>
      </c>
      <c r="X2244" s="1"/>
      <c r="Y2244" s="1"/>
      <c r="Z2244" s="1"/>
      <c r="AA2244" s="1"/>
      <c r="AB2244" s="1"/>
      <c r="AC2244" s="1"/>
      <c r="AD2244" s="1">
        <f>IF($C2244="",0,SUMPRODUCT((AY_SONU!$O$7:$O$42="Evet")*(AY_SONU!$B$7:$B$42=DATE(YEAR($C2244),MONTH($C2244),1))))</f>
        <v>0</v>
      </c>
      <c r="AE2244" s="1" t="str">
        <f>IF($E2244="","",$E2244&amp;"|"&amp;COUNTIFS($E$7:$E2244,$E2244))</f>
        <v/>
      </c>
    </row>
    <row r="2245" spans="1:31" ht="18" customHeight="1" x14ac:dyDescent="0.3">
      <c r="A2245" s="2"/>
      <c r="B2245" s="65" t="str">
        <f>IF($C2245="","","GG"&amp;TEXT(ROW()-6,"00000"))</f>
        <v/>
      </c>
      <c r="C2245" s="66"/>
      <c r="D2245" s="60"/>
      <c r="E2245" s="61"/>
      <c r="F2245" s="61"/>
      <c r="G2245" s="67"/>
      <c r="H2245" s="60"/>
      <c r="I2245" s="60"/>
      <c r="J2245" s="61"/>
      <c r="K2245" s="61"/>
      <c r="L2245" s="60"/>
      <c r="M2245" s="74" t="str">
        <f>IF($C2245="","",IF($D2245="Gider",$E2245,IF($L2245&lt;&gt;"",$L2245,$H2245)))</f>
        <v/>
      </c>
      <c r="N2245" s="74" t="str">
        <f>IF($C2245="","",IF($D2245="Gider",$H2245,$E2245))</f>
        <v/>
      </c>
      <c r="O2245" s="73" t="str">
        <f>IF($C2245="","",DATE(YEAR($C2245),MONTH($C2245),1))</f>
        <v/>
      </c>
      <c r="P2245" s="65" t="str">
        <f ca="1">IF($C2245="","",IF(AND($D2245="Gelir",$L2245&lt;&gt;"",$T2245=""),"TANIMSIZ BORÇLU",IF($T2245&lt;&gt;"",IF(OR($E2245="",$G2245&lt;=0),"EKSİK",IF($I2245="Evet","TAHAKKUK NAKİT OLAMAZ",IF($C2245&gt;TODAY(),"İLERİ TARİH","TAHAKKUK"))),IF(AND($D2245&lt;&gt;"",$E2245&lt;&gt;"",$G2245&gt;0,$H2245&lt;&gt;"",$I2245&lt;&gt;""),IF($C2245&gt;TODAY(),"İLERİ TARİH",IF(COUNTIF($W$7:$W$3001,$W2245)&gt;1,"MÜKERRER?",IF($AD2245&gt;0,"KAPALI DÖNEM",IF($I2245="Hayır","ÖDENECEK","UYGUN")))),"EKSİK"))))</f>
        <v/>
      </c>
      <c r="Q2245" s="2"/>
      <c r="R2245" s="2"/>
      <c r="S2245" s="1" t="str">
        <f t="shared" ref="S2245:S2308" si="107">IF($L2245="","",UPPER(SUBSTITUTE(SUBSTITUTE(SUBSTITUTE(SUBSTITUTE(SUBSTITUTE(SUBSTITUTE(SUBSTITUTE(SUBSTITUTE(SUBSTITUTE(SUBSTITUTE(SUBSTITUTE(SUBSTITUTE(SUBSTITUTE(SUBSTITUTE(SUBSTITUTE(SUBSTITUTE(SUBSTITUTE(SUBSTITUTE(TRIM($L2245),"'",""),"İ","I"),"ı","I"),"i","I"),"Ş","S"),"ş","S"),"Ğ","G"),"ğ","G"),"Ü","U"),"ü","U"),"Ö","O"),"ö","O"),"Ç","C"),"ç","C"),".",""),",","")," ",""),"-","")))</f>
        <v/>
      </c>
      <c r="T2245" s="1" t="str">
        <f>IF(OR($C2245="",$D2245&lt;&gt;"Gelir",$L2245=""),"",IFERROR(INDEX(MUSTERILER!$B$7:$B$156,MATCH($S2245,MUSTERILER!$T$7:$T$156,0)),""))</f>
        <v/>
      </c>
      <c r="U2245" s="1" t="str">
        <f>IF($T2245="","",$T2245&amp;"|"&amp;COUNTIFS($T$7:$T2245,$T2245))</f>
        <v/>
      </c>
      <c r="V2245" s="1">
        <f t="shared" ref="V2245:V2308" si="108">IF($T2245="",0,1)</f>
        <v>0</v>
      </c>
      <c r="W2245" s="1" t="str">
        <f t="shared" ref="W2245:W2308" si="109">IF($C2245="","",$D2245&amp;"|"&amp;$E2245&amp;"|"&amp;TEXT($C2245,"0")&amp;"|"&amp;TEXT($G2245,"0")&amp;"|"&amp;$F2245&amp;"|"&amp;$J2245)</f>
        <v/>
      </c>
      <c r="X2245" s="1"/>
      <c r="Y2245" s="1"/>
      <c r="Z2245" s="1"/>
      <c r="AA2245" s="1"/>
      <c r="AB2245" s="1"/>
      <c r="AC2245" s="1"/>
      <c r="AD2245" s="1">
        <f>IF($C2245="",0,SUMPRODUCT((AY_SONU!$O$7:$O$42="Evet")*(AY_SONU!$B$7:$B$42=DATE(YEAR($C2245),MONTH($C2245),1))))</f>
        <v>0</v>
      </c>
      <c r="AE2245" s="1" t="str">
        <f>IF($E2245="","",$E2245&amp;"|"&amp;COUNTIFS($E$7:$E2245,$E2245))</f>
        <v/>
      </c>
    </row>
    <row r="2246" spans="1:31" ht="18" customHeight="1" x14ac:dyDescent="0.3">
      <c r="A2246" s="2"/>
      <c r="B2246" s="65" t="str">
        <f>IF($C2246="","","GG"&amp;TEXT(ROW()-6,"00000"))</f>
        <v/>
      </c>
      <c r="C2246" s="66"/>
      <c r="D2246" s="60"/>
      <c r="E2246" s="61"/>
      <c r="F2246" s="61"/>
      <c r="G2246" s="67"/>
      <c r="H2246" s="60"/>
      <c r="I2246" s="60"/>
      <c r="J2246" s="61"/>
      <c r="K2246" s="61"/>
      <c r="L2246" s="60"/>
      <c r="M2246" s="74" t="str">
        <f>IF($C2246="","",IF($D2246="Gider",$E2246,IF($L2246&lt;&gt;"",$L2246,$H2246)))</f>
        <v/>
      </c>
      <c r="N2246" s="74" t="str">
        <f>IF($C2246="","",IF($D2246="Gider",$H2246,$E2246))</f>
        <v/>
      </c>
      <c r="O2246" s="73" t="str">
        <f>IF($C2246="","",DATE(YEAR($C2246),MONTH($C2246),1))</f>
        <v/>
      </c>
      <c r="P2246" s="65" t="str">
        <f ca="1">IF($C2246="","",IF(AND($D2246="Gelir",$L2246&lt;&gt;"",$T2246=""),"TANIMSIZ BORÇLU",IF($T2246&lt;&gt;"",IF(OR($E2246="",$G2246&lt;=0),"EKSİK",IF($I2246="Evet","TAHAKKUK NAKİT OLAMAZ",IF($C2246&gt;TODAY(),"İLERİ TARİH","TAHAKKUK"))),IF(AND($D2246&lt;&gt;"",$E2246&lt;&gt;"",$G2246&gt;0,$H2246&lt;&gt;"",$I2246&lt;&gt;""),IF($C2246&gt;TODAY(),"İLERİ TARİH",IF(COUNTIF($W$7:$W$3001,$W2246)&gt;1,"MÜKERRER?",IF($AD2246&gt;0,"KAPALI DÖNEM",IF($I2246="Hayır","ÖDENECEK","UYGUN")))),"EKSİK"))))</f>
        <v/>
      </c>
      <c r="Q2246" s="2"/>
      <c r="R2246" s="2"/>
      <c r="S2246" s="1" t="str">
        <f t="shared" si="107"/>
        <v/>
      </c>
      <c r="T2246" s="1" t="str">
        <f>IF(OR($C2246="",$D2246&lt;&gt;"Gelir",$L2246=""),"",IFERROR(INDEX(MUSTERILER!$B$7:$B$156,MATCH($S2246,MUSTERILER!$T$7:$T$156,0)),""))</f>
        <v/>
      </c>
      <c r="U2246" s="1" t="str">
        <f>IF($T2246="","",$T2246&amp;"|"&amp;COUNTIFS($T$7:$T2246,$T2246))</f>
        <v/>
      </c>
      <c r="V2246" s="1">
        <f t="shared" si="108"/>
        <v>0</v>
      </c>
      <c r="W2246" s="1" t="str">
        <f t="shared" si="109"/>
        <v/>
      </c>
      <c r="X2246" s="1"/>
      <c r="Y2246" s="1"/>
      <c r="Z2246" s="1"/>
      <c r="AA2246" s="1"/>
      <c r="AB2246" s="1"/>
      <c r="AC2246" s="1"/>
      <c r="AD2246" s="1">
        <f>IF($C2246="",0,SUMPRODUCT((AY_SONU!$O$7:$O$42="Evet")*(AY_SONU!$B$7:$B$42=DATE(YEAR($C2246),MONTH($C2246),1))))</f>
        <v>0</v>
      </c>
      <c r="AE2246" s="1" t="str">
        <f>IF($E2246="","",$E2246&amp;"|"&amp;COUNTIFS($E$7:$E2246,$E2246))</f>
        <v/>
      </c>
    </row>
    <row r="2247" spans="1:31" ht="18" customHeight="1" x14ac:dyDescent="0.3">
      <c r="A2247" s="2"/>
      <c r="B2247" s="65" t="str">
        <f>IF($C2247="","","GG"&amp;TEXT(ROW()-6,"00000"))</f>
        <v/>
      </c>
      <c r="C2247" s="66"/>
      <c r="D2247" s="60"/>
      <c r="E2247" s="61"/>
      <c r="F2247" s="61"/>
      <c r="G2247" s="67"/>
      <c r="H2247" s="60"/>
      <c r="I2247" s="60"/>
      <c r="J2247" s="61"/>
      <c r="K2247" s="61"/>
      <c r="L2247" s="60"/>
      <c r="M2247" s="74" t="str">
        <f>IF($C2247="","",IF($D2247="Gider",$E2247,IF($L2247&lt;&gt;"",$L2247,$H2247)))</f>
        <v/>
      </c>
      <c r="N2247" s="74" t="str">
        <f>IF($C2247="","",IF($D2247="Gider",$H2247,$E2247))</f>
        <v/>
      </c>
      <c r="O2247" s="73" t="str">
        <f>IF($C2247="","",DATE(YEAR($C2247),MONTH($C2247),1))</f>
        <v/>
      </c>
      <c r="P2247" s="65" t="str">
        <f ca="1"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TARİH",IF(COUNTIF($W$7:$W$3001,$W2247)&gt;1,"MÜKERRER?",IF($AD2247&gt;0,"KAPALI DÖNEM",IF($I2247="Hayır","ÖDENECEK","UYGUN")))),"EKSİK"))))</f>
        <v/>
      </c>
      <c r="Q2247" s="2"/>
      <c r="R2247" s="2"/>
      <c r="S2247" s="1" t="str">
        <f t="shared" si="107"/>
        <v/>
      </c>
      <c r="T2247" s="1" t="str">
        <f>IF(OR($C2247="",$D2247&lt;&gt;"Gelir",$L2247=""),"",IFERROR(INDEX(MUSTERILER!$B$7:$B$156,MATCH($S2247,MUSTERILER!$T$7:$T$156,0)),""))</f>
        <v/>
      </c>
      <c r="U2247" s="1" t="str">
        <f>IF($T2247="","",$T2247&amp;"|"&amp;COUNTIFS($T$7:$T2247,$T2247))</f>
        <v/>
      </c>
      <c r="V2247" s="1">
        <f t="shared" si="108"/>
        <v>0</v>
      </c>
      <c r="W2247" s="1" t="str">
        <f t="shared" si="109"/>
        <v/>
      </c>
      <c r="X2247" s="1"/>
      <c r="Y2247" s="1"/>
      <c r="Z2247" s="1"/>
      <c r="AA2247" s="1"/>
      <c r="AB2247" s="1"/>
      <c r="AC2247" s="1"/>
      <c r="AD2247" s="1">
        <f>IF($C2247="",0,SUMPRODUCT((AY_SONU!$O$7:$O$42="Evet")*(AY_SONU!$B$7:$B$42=DATE(YEAR($C2247),MONTH($C2247),1))))</f>
        <v>0</v>
      </c>
      <c r="AE2247" s="1" t="str">
        <f>IF($E2247="","",$E2247&amp;"|"&amp;COUNTIFS($E$7:$E2247,$E2247))</f>
        <v/>
      </c>
    </row>
    <row r="2248" spans="1:31" ht="18" customHeight="1" x14ac:dyDescent="0.3">
      <c r="A2248" s="2"/>
      <c r="B2248" s="65" t="str">
        <f>IF($C2248="","","GG"&amp;TEXT(ROW()-6,"00000"))</f>
        <v/>
      </c>
      <c r="C2248" s="66"/>
      <c r="D2248" s="60"/>
      <c r="E2248" s="61"/>
      <c r="F2248" s="61"/>
      <c r="G2248" s="67"/>
      <c r="H2248" s="60"/>
      <c r="I2248" s="60"/>
      <c r="J2248" s="61"/>
      <c r="K2248" s="61"/>
      <c r="L2248" s="60"/>
      <c r="M2248" s="74" t="str">
        <f>IF($C2248="","",IF($D2248="Gider",$E2248,IF($L2248&lt;&gt;"",$L2248,$H2248)))</f>
        <v/>
      </c>
      <c r="N2248" s="74" t="str">
        <f>IF($C2248="","",IF($D2248="Gider",$H2248,$E2248))</f>
        <v/>
      </c>
      <c r="O2248" s="73" t="str">
        <f>IF($C2248="","",DATE(YEAR($C2248),MONTH($C2248),1))</f>
        <v/>
      </c>
      <c r="P2248" s="65" t="str">
        <f ca="1">IF($C2248="","",IF(AND($D2248="Gelir",$L2248&lt;&gt;"",$T2248=""),"TANIMSIZ BORÇLU",IF($T2248&lt;&gt;"",IF(OR($E2248="",$G2248&lt;=0),"EKSİK",IF($I2248="Evet","TAHAKKUK NAKİT OLAMAZ",IF($C2248&gt;TODAY(),"İLERİ TARİH","TAHAKKUK"))),IF(AND($D2248&lt;&gt;"",$E2248&lt;&gt;"",$G2248&gt;0,$H2248&lt;&gt;"",$I2248&lt;&gt;""),IF($C2248&gt;TODAY(),"İLERİ TARİH",IF(COUNTIF($W$7:$W$3001,$W2248)&gt;1,"MÜKERRER?",IF($AD2248&gt;0,"KAPALI DÖNEM",IF($I2248="Hayır","ÖDENECEK","UYGUN")))),"EKSİK"))))</f>
        <v/>
      </c>
      <c r="Q2248" s="2"/>
      <c r="R2248" s="2"/>
      <c r="S2248" s="1" t="str">
        <f t="shared" si="107"/>
        <v/>
      </c>
      <c r="T2248" s="1" t="str">
        <f>IF(OR($C2248="",$D2248&lt;&gt;"Gelir",$L2248=""),"",IFERROR(INDEX(MUSTERILER!$B$7:$B$156,MATCH($S2248,MUSTERILER!$T$7:$T$156,0)),""))</f>
        <v/>
      </c>
      <c r="U2248" s="1" t="str">
        <f>IF($T2248="","",$T2248&amp;"|"&amp;COUNTIFS($T$7:$T2248,$T2248))</f>
        <v/>
      </c>
      <c r="V2248" s="1">
        <f t="shared" si="108"/>
        <v>0</v>
      </c>
      <c r="W2248" s="1" t="str">
        <f t="shared" si="109"/>
        <v/>
      </c>
      <c r="X2248" s="1"/>
      <c r="Y2248" s="1"/>
      <c r="Z2248" s="1"/>
      <c r="AA2248" s="1"/>
      <c r="AB2248" s="1"/>
      <c r="AC2248" s="1"/>
      <c r="AD2248" s="1">
        <f>IF($C2248="",0,SUMPRODUCT((AY_SONU!$O$7:$O$42="Evet")*(AY_SONU!$B$7:$B$42=DATE(YEAR($C2248),MONTH($C2248),1))))</f>
        <v>0</v>
      </c>
      <c r="AE2248" s="1" t="str">
        <f>IF($E2248="","",$E2248&amp;"|"&amp;COUNTIFS($E$7:$E2248,$E2248))</f>
        <v/>
      </c>
    </row>
    <row r="2249" spans="1:31" ht="18" customHeight="1" x14ac:dyDescent="0.3">
      <c r="A2249" s="2"/>
      <c r="B2249" s="65" t="str">
        <f>IF($C2249="","","GG"&amp;TEXT(ROW()-6,"00000"))</f>
        <v/>
      </c>
      <c r="C2249" s="66"/>
      <c r="D2249" s="60"/>
      <c r="E2249" s="61"/>
      <c r="F2249" s="61"/>
      <c r="G2249" s="67"/>
      <c r="H2249" s="60"/>
      <c r="I2249" s="60"/>
      <c r="J2249" s="61"/>
      <c r="K2249" s="61"/>
      <c r="L2249" s="60"/>
      <c r="M2249" s="74" t="str">
        <f>IF($C2249="","",IF($D2249="Gider",$E2249,IF($L2249&lt;&gt;"",$L2249,$H2249)))</f>
        <v/>
      </c>
      <c r="N2249" s="74" t="str">
        <f>IF($C2249="","",IF($D2249="Gider",$H2249,$E2249))</f>
        <v/>
      </c>
      <c r="O2249" s="73" t="str">
        <f>IF($C2249="","",DATE(YEAR($C2249),MONTH($C2249),1))</f>
        <v/>
      </c>
      <c r="P2249" s="65" t="str">
        <f ca="1">IF($C2249="","",IF(AND($D2249="Gelir",$L2249&lt;&gt;"",$T2249=""),"TANIMSIZ BORÇLU",IF($T2249&lt;&gt;"",IF(OR($E2249="",$G2249&lt;=0),"EKSİK",IF($I2249="Evet","TAHAKKUK NAKİT OLAMAZ",IF($C2249&gt;TODAY(),"İLERİ TARİH","TAHAKKUK"))),IF(AND($D2249&lt;&gt;"",$E2249&lt;&gt;"",$G2249&gt;0,$H2249&lt;&gt;"",$I2249&lt;&gt;""),IF($C2249&gt;TODAY(),"İLERİ TARİH",IF(COUNTIF($W$7:$W$3001,$W2249)&gt;1,"MÜKERRER?",IF($AD2249&gt;0,"KAPALI DÖNEM",IF($I2249="Hayır","ÖDENECEK","UYGUN")))),"EKSİK"))))</f>
        <v/>
      </c>
      <c r="Q2249" s="2"/>
      <c r="R2249" s="2"/>
      <c r="S2249" s="1" t="str">
        <f t="shared" si="107"/>
        <v/>
      </c>
      <c r="T2249" s="1" t="str">
        <f>IF(OR($C2249="",$D2249&lt;&gt;"Gelir",$L2249=""),"",IFERROR(INDEX(MUSTERILER!$B$7:$B$156,MATCH($S2249,MUSTERILER!$T$7:$T$156,0)),""))</f>
        <v/>
      </c>
      <c r="U2249" s="1" t="str">
        <f>IF($T2249="","",$T2249&amp;"|"&amp;COUNTIFS($T$7:$T2249,$T2249))</f>
        <v/>
      </c>
      <c r="V2249" s="1">
        <f t="shared" si="108"/>
        <v>0</v>
      </c>
      <c r="W2249" s="1" t="str">
        <f t="shared" si="109"/>
        <v/>
      </c>
      <c r="X2249" s="1"/>
      <c r="Y2249" s="1"/>
      <c r="Z2249" s="1"/>
      <c r="AA2249" s="1"/>
      <c r="AB2249" s="1"/>
      <c r="AC2249" s="1"/>
      <c r="AD2249" s="1">
        <f>IF($C2249="",0,SUMPRODUCT((AY_SONU!$O$7:$O$42="Evet")*(AY_SONU!$B$7:$B$42=DATE(YEAR($C2249),MONTH($C2249),1))))</f>
        <v>0</v>
      </c>
      <c r="AE2249" s="1" t="str">
        <f>IF($E2249="","",$E2249&amp;"|"&amp;COUNTIFS($E$7:$E2249,$E2249))</f>
        <v/>
      </c>
    </row>
    <row r="2250" spans="1:31" ht="18" customHeight="1" x14ac:dyDescent="0.3">
      <c r="A2250" s="2"/>
      <c r="B2250" s="65" t="str">
        <f>IF($C2250="","","GG"&amp;TEXT(ROW()-6,"00000"))</f>
        <v/>
      </c>
      <c r="C2250" s="66"/>
      <c r="D2250" s="60"/>
      <c r="E2250" s="61"/>
      <c r="F2250" s="61"/>
      <c r="G2250" s="67"/>
      <c r="H2250" s="60"/>
      <c r="I2250" s="60"/>
      <c r="J2250" s="61"/>
      <c r="K2250" s="61"/>
      <c r="L2250" s="60"/>
      <c r="M2250" s="74" t="str">
        <f>IF($C2250="","",IF($D2250="Gider",$E2250,IF($L2250&lt;&gt;"",$L2250,$H2250)))</f>
        <v/>
      </c>
      <c r="N2250" s="74" t="str">
        <f>IF($C2250="","",IF($D2250="Gider",$H2250,$E2250))</f>
        <v/>
      </c>
      <c r="O2250" s="73" t="str">
        <f>IF($C2250="","",DATE(YEAR($C2250),MONTH($C2250),1))</f>
        <v/>
      </c>
      <c r="P2250" s="65" t="str">
        <f ca="1">IF($C2250="","",IF(AND($D2250="Gelir",$L2250&lt;&gt;"",$T2250=""),"TANIMSIZ BORÇLU",IF($T2250&lt;&gt;"",IF(OR($E2250="",$G2250&lt;=0),"EKSİK",IF($I2250="Evet","TAHAKKUK NAKİT OLAMAZ",IF($C2250&gt;TODAY(),"İLERİ TARİH","TAHAKKUK"))),IF(AND($D2250&lt;&gt;"",$E2250&lt;&gt;"",$G2250&gt;0,$H2250&lt;&gt;"",$I2250&lt;&gt;""),IF($C2250&gt;TODAY(),"İLERİ TARİH",IF(COUNTIF($W$7:$W$3001,$W2250)&gt;1,"MÜKERRER?",IF($AD2250&gt;0,"KAPALI DÖNEM",IF($I2250="Hayır","ÖDENECEK","UYGUN")))),"EKSİK"))))</f>
        <v/>
      </c>
      <c r="Q2250" s="2"/>
      <c r="R2250" s="2"/>
      <c r="S2250" s="1" t="str">
        <f t="shared" si="107"/>
        <v/>
      </c>
      <c r="T2250" s="1" t="str">
        <f>IF(OR($C2250="",$D2250&lt;&gt;"Gelir",$L2250=""),"",IFERROR(INDEX(MUSTERILER!$B$7:$B$156,MATCH($S2250,MUSTERILER!$T$7:$T$156,0)),""))</f>
        <v/>
      </c>
      <c r="U2250" s="1" t="str">
        <f>IF($T2250="","",$T2250&amp;"|"&amp;COUNTIFS($T$7:$T2250,$T2250))</f>
        <v/>
      </c>
      <c r="V2250" s="1">
        <f t="shared" si="108"/>
        <v>0</v>
      </c>
      <c r="W2250" s="1" t="str">
        <f t="shared" si="109"/>
        <v/>
      </c>
      <c r="X2250" s="1"/>
      <c r="Y2250" s="1"/>
      <c r="Z2250" s="1"/>
      <c r="AA2250" s="1"/>
      <c r="AB2250" s="1"/>
      <c r="AC2250" s="1"/>
      <c r="AD2250" s="1">
        <f>IF($C2250="",0,SUMPRODUCT((AY_SONU!$O$7:$O$42="Evet")*(AY_SONU!$B$7:$B$42=DATE(YEAR($C2250),MONTH($C2250),1))))</f>
        <v>0</v>
      </c>
      <c r="AE2250" s="1" t="str">
        <f>IF($E2250="","",$E2250&amp;"|"&amp;COUNTIFS($E$7:$E2250,$E2250))</f>
        <v/>
      </c>
    </row>
    <row r="2251" spans="1:31" ht="18" customHeight="1" x14ac:dyDescent="0.3">
      <c r="A2251" s="2"/>
      <c r="B2251" s="65" t="str">
        <f>IF($C2251="","","GG"&amp;TEXT(ROW()-6,"00000"))</f>
        <v/>
      </c>
      <c r="C2251" s="66"/>
      <c r="D2251" s="60"/>
      <c r="E2251" s="61"/>
      <c r="F2251" s="61"/>
      <c r="G2251" s="67"/>
      <c r="H2251" s="60"/>
      <c r="I2251" s="60"/>
      <c r="J2251" s="61"/>
      <c r="K2251" s="61"/>
      <c r="L2251" s="60"/>
      <c r="M2251" s="74" t="str">
        <f>IF($C2251="","",IF($D2251="Gider",$E2251,IF($L2251&lt;&gt;"",$L2251,$H2251)))</f>
        <v/>
      </c>
      <c r="N2251" s="74" t="str">
        <f>IF($C2251="","",IF($D2251="Gider",$H2251,$E2251))</f>
        <v/>
      </c>
      <c r="O2251" s="73" t="str">
        <f>IF($C2251="","",DATE(YEAR($C2251),MONTH($C2251),1))</f>
        <v/>
      </c>
      <c r="P2251" s="65" t="str">
        <f ca="1">IF($C2251="","",IF(AND($D2251="Gelir",$L2251&lt;&gt;"",$T2251=""),"TANIMSIZ BORÇLU",IF($T2251&lt;&gt;"",IF(OR($E2251="",$G2251&lt;=0),"EKSİK",IF($I2251="Evet","TAHAKKUK NAKİT OLAMAZ",IF($C2251&gt;TODAY(),"İLERİ TARİH","TAHAKKUK"))),IF(AND($D2251&lt;&gt;"",$E2251&lt;&gt;"",$G2251&gt;0,$H2251&lt;&gt;"",$I2251&lt;&gt;""),IF($C2251&gt;TODAY(),"İLERİ TARİH",IF(COUNTIF($W$7:$W$3001,$W2251)&gt;1,"MÜKERRER?",IF($AD2251&gt;0,"KAPALI DÖNEM",IF($I2251="Hayır","ÖDENECEK","UYGUN")))),"EKSİK"))))</f>
        <v/>
      </c>
      <c r="Q2251" s="2"/>
      <c r="R2251" s="2"/>
      <c r="S2251" s="1" t="str">
        <f t="shared" si="107"/>
        <v/>
      </c>
      <c r="T2251" s="1" t="str">
        <f>IF(OR($C2251="",$D2251&lt;&gt;"Gelir",$L2251=""),"",IFERROR(INDEX(MUSTERILER!$B$7:$B$156,MATCH($S2251,MUSTERILER!$T$7:$T$156,0)),""))</f>
        <v/>
      </c>
      <c r="U2251" s="1" t="str">
        <f>IF($T2251="","",$T2251&amp;"|"&amp;COUNTIFS($T$7:$T2251,$T2251))</f>
        <v/>
      </c>
      <c r="V2251" s="1">
        <f t="shared" si="108"/>
        <v>0</v>
      </c>
      <c r="W2251" s="1" t="str">
        <f t="shared" si="109"/>
        <v/>
      </c>
      <c r="X2251" s="1"/>
      <c r="Y2251" s="1"/>
      <c r="Z2251" s="1"/>
      <c r="AA2251" s="1"/>
      <c r="AB2251" s="1"/>
      <c r="AC2251" s="1"/>
      <c r="AD2251" s="1">
        <f>IF($C2251="",0,SUMPRODUCT((AY_SONU!$O$7:$O$42="Evet")*(AY_SONU!$B$7:$B$42=DATE(YEAR($C2251),MONTH($C2251),1))))</f>
        <v>0</v>
      </c>
      <c r="AE2251" s="1" t="str">
        <f>IF($E2251="","",$E2251&amp;"|"&amp;COUNTIFS($E$7:$E2251,$E2251))</f>
        <v/>
      </c>
    </row>
    <row r="2252" spans="1:31" ht="18" customHeight="1" x14ac:dyDescent="0.3">
      <c r="A2252" s="2"/>
      <c r="B2252" s="65" t="str">
        <f>IF($C2252="","","GG"&amp;TEXT(ROW()-6,"00000"))</f>
        <v/>
      </c>
      <c r="C2252" s="66"/>
      <c r="D2252" s="60"/>
      <c r="E2252" s="61"/>
      <c r="F2252" s="61"/>
      <c r="G2252" s="67"/>
      <c r="H2252" s="60"/>
      <c r="I2252" s="60"/>
      <c r="J2252" s="61"/>
      <c r="K2252" s="61"/>
      <c r="L2252" s="60"/>
      <c r="M2252" s="74" t="str">
        <f>IF($C2252="","",IF($D2252="Gider",$E2252,IF($L2252&lt;&gt;"",$L2252,$H2252)))</f>
        <v/>
      </c>
      <c r="N2252" s="74" t="str">
        <f>IF($C2252="","",IF($D2252="Gider",$H2252,$E2252))</f>
        <v/>
      </c>
      <c r="O2252" s="73" t="str">
        <f>IF($C2252="","",DATE(YEAR($C2252),MONTH($C2252),1))</f>
        <v/>
      </c>
      <c r="P2252" s="65" t="str">
        <f ca="1">IF($C2252="","",IF(AND($D2252="Gelir",$L2252&lt;&gt;"",$T2252=""),"TANIMSIZ BORÇLU",IF($T2252&lt;&gt;"",IF(OR($E2252="",$G2252&lt;=0),"EKSİK",IF($I2252="Evet","TAHAKKUK NAKİT OLAMAZ",IF($C2252&gt;TODAY(),"İLERİ TARİH","TAHAKKUK"))),IF(AND($D2252&lt;&gt;"",$E2252&lt;&gt;"",$G2252&gt;0,$H2252&lt;&gt;"",$I2252&lt;&gt;""),IF($C2252&gt;TODAY(),"İLERİ TARİH",IF(COUNTIF($W$7:$W$3001,$W2252)&gt;1,"MÜKERRER?",IF($AD2252&gt;0,"KAPALI DÖNEM",IF($I2252="Hayır","ÖDENECEK","UYGUN")))),"EKSİK"))))</f>
        <v/>
      </c>
      <c r="Q2252" s="2"/>
      <c r="R2252" s="2"/>
      <c r="S2252" s="1" t="str">
        <f t="shared" si="107"/>
        <v/>
      </c>
      <c r="T2252" s="1" t="str">
        <f>IF(OR($C2252="",$D2252&lt;&gt;"Gelir",$L2252=""),"",IFERROR(INDEX(MUSTERILER!$B$7:$B$156,MATCH($S2252,MUSTERILER!$T$7:$T$156,0)),""))</f>
        <v/>
      </c>
      <c r="U2252" s="1" t="str">
        <f>IF($T2252="","",$T2252&amp;"|"&amp;COUNTIFS($T$7:$T2252,$T2252))</f>
        <v/>
      </c>
      <c r="V2252" s="1">
        <f t="shared" si="108"/>
        <v>0</v>
      </c>
      <c r="W2252" s="1" t="str">
        <f t="shared" si="109"/>
        <v/>
      </c>
      <c r="X2252" s="1"/>
      <c r="Y2252" s="1"/>
      <c r="Z2252" s="1"/>
      <c r="AA2252" s="1"/>
      <c r="AB2252" s="1"/>
      <c r="AC2252" s="1"/>
      <c r="AD2252" s="1">
        <f>IF($C2252="",0,SUMPRODUCT((AY_SONU!$O$7:$O$42="Evet")*(AY_SONU!$B$7:$B$42=DATE(YEAR($C2252),MONTH($C2252),1))))</f>
        <v>0</v>
      </c>
      <c r="AE2252" s="1" t="str">
        <f>IF($E2252="","",$E2252&amp;"|"&amp;COUNTIFS($E$7:$E2252,$E2252))</f>
        <v/>
      </c>
    </row>
    <row r="2253" spans="1:31" ht="18" customHeight="1" x14ac:dyDescent="0.3">
      <c r="A2253" s="2"/>
      <c r="B2253" s="65" t="str">
        <f>IF($C2253="","","GG"&amp;TEXT(ROW()-6,"00000"))</f>
        <v/>
      </c>
      <c r="C2253" s="66"/>
      <c r="D2253" s="60"/>
      <c r="E2253" s="61"/>
      <c r="F2253" s="61"/>
      <c r="G2253" s="67"/>
      <c r="H2253" s="60"/>
      <c r="I2253" s="60"/>
      <c r="J2253" s="61"/>
      <c r="K2253" s="61"/>
      <c r="L2253" s="60"/>
      <c r="M2253" s="74" t="str">
        <f>IF($C2253="","",IF($D2253="Gider",$E2253,IF($L2253&lt;&gt;"",$L2253,$H2253)))</f>
        <v/>
      </c>
      <c r="N2253" s="74" t="str">
        <f>IF($C2253="","",IF($D2253="Gider",$H2253,$E2253))</f>
        <v/>
      </c>
      <c r="O2253" s="73" t="str">
        <f>IF($C2253="","",DATE(YEAR($C2253),MONTH($C2253),1))</f>
        <v/>
      </c>
      <c r="P2253" s="65" t="str">
        <f ca="1">IF($C2253="","",IF(AND($D2253="Gelir",$L2253&lt;&gt;"",$T2253=""),"TANIMSIZ BORÇLU",IF($T2253&lt;&gt;"",IF(OR($E2253="",$G2253&lt;=0),"EKSİK",IF($I2253="Evet","TAHAKKUK NAKİT OLAMAZ",IF($C2253&gt;TODAY(),"İLERİ TARİH","TAHAKKUK"))),IF(AND($D2253&lt;&gt;"",$E2253&lt;&gt;"",$G2253&gt;0,$H2253&lt;&gt;"",$I2253&lt;&gt;""),IF($C2253&gt;TODAY(),"İLERİ TARİH",IF(COUNTIF($W$7:$W$3001,$W2253)&gt;1,"MÜKERRER?",IF($AD2253&gt;0,"KAPALI DÖNEM",IF($I2253="Hayır","ÖDENECEK","UYGUN")))),"EKSİK"))))</f>
        <v/>
      </c>
      <c r="Q2253" s="2"/>
      <c r="R2253" s="2"/>
      <c r="S2253" s="1" t="str">
        <f t="shared" si="107"/>
        <v/>
      </c>
      <c r="T2253" s="1" t="str">
        <f>IF(OR($C2253="",$D2253&lt;&gt;"Gelir",$L2253=""),"",IFERROR(INDEX(MUSTERILER!$B$7:$B$156,MATCH($S2253,MUSTERILER!$T$7:$T$156,0)),""))</f>
        <v/>
      </c>
      <c r="U2253" s="1" t="str">
        <f>IF($T2253="","",$T2253&amp;"|"&amp;COUNTIFS($T$7:$T2253,$T2253))</f>
        <v/>
      </c>
      <c r="V2253" s="1">
        <f t="shared" si="108"/>
        <v>0</v>
      </c>
      <c r="W2253" s="1" t="str">
        <f t="shared" si="109"/>
        <v/>
      </c>
      <c r="X2253" s="1"/>
      <c r="Y2253" s="1"/>
      <c r="Z2253" s="1"/>
      <c r="AA2253" s="1"/>
      <c r="AB2253" s="1"/>
      <c r="AC2253" s="1"/>
      <c r="AD2253" s="1">
        <f>IF($C2253="",0,SUMPRODUCT((AY_SONU!$O$7:$O$42="Evet")*(AY_SONU!$B$7:$B$42=DATE(YEAR($C2253),MONTH($C2253),1))))</f>
        <v>0</v>
      </c>
      <c r="AE2253" s="1" t="str">
        <f>IF($E2253="","",$E2253&amp;"|"&amp;COUNTIFS($E$7:$E2253,$E2253))</f>
        <v/>
      </c>
    </row>
    <row r="2254" spans="1:31" ht="18" customHeight="1" x14ac:dyDescent="0.3">
      <c r="A2254" s="2"/>
      <c r="B2254" s="65" t="str">
        <f>IF($C2254="","","GG"&amp;TEXT(ROW()-6,"00000"))</f>
        <v/>
      </c>
      <c r="C2254" s="66"/>
      <c r="D2254" s="60"/>
      <c r="E2254" s="61"/>
      <c r="F2254" s="61"/>
      <c r="G2254" s="67"/>
      <c r="H2254" s="60"/>
      <c r="I2254" s="60"/>
      <c r="J2254" s="61"/>
      <c r="K2254" s="61"/>
      <c r="L2254" s="60"/>
      <c r="M2254" s="74" t="str">
        <f>IF($C2254="","",IF($D2254="Gider",$E2254,IF($L2254&lt;&gt;"",$L2254,$H2254)))</f>
        <v/>
      </c>
      <c r="N2254" s="74" t="str">
        <f>IF($C2254="","",IF($D2254="Gider",$H2254,$E2254))</f>
        <v/>
      </c>
      <c r="O2254" s="73" t="str">
        <f>IF($C2254="","",DATE(YEAR($C2254),MONTH($C2254),1))</f>
        <v/>
      </c>
      <c r="P2254" s="65" t="str">
        <f ca="1">IF($C2254="","",IF(AND($D2254="Gelir",$L2254&lt;&gt;"",$T2254=""),"TANIMSIZ BORÇLU",IF($T2254&lt;&gt;"",IF(OR($E2254="",$G2254&lt;=0),"EKSİK",IF($I2254="Evet","TAHAKKUK NAKİT OLAMAZ",IF($C2254&gt;TODAY(),"İLERİ TARİH","TAHAKKUK"))),IF(AND($D2254&lt;&gt;"",$E2254&lt;&gt;"",$G2254&gt;0,$H2254&lt;&gt;"",$I2254&lt;&gt;""),IF($C2254&gt;TODAY(),"İLERİ TARİH",IF(COUNTIF($W$7:$W$3001,$W2254)&gt;1,"MÜKERRER?",IF($AD2254&gt;0,"KAPALI DÖNEM",IF($I2254="Hayır","ÖDENECEK","UYGUN")))),"EKSİK"))))</f>
        <v/>
      </c>
      <c r="Q2254" s="2"/>
      <c r="R2254" s="2"/>
      <c r="S2254" s="1" t="str">
        <f t="shared" si="107"/>
        <v/>
      </c>
      <c r="T2254" s="1" t="str">
        <f>IF(OR($C2254="",$D2254&lt;&gt;"Gelir",$L2254=""),"",IFERROR(INDEX(MUSTERILER!$B$7:$B$156,MATCH($S2254,MUSTERILER!$T$7:$T$156,0)),""))</f>
        <v/>
      </c>
      <c r="U2254" s="1" t="str">
        <f>IF($T2254="","",$T2254&amp;"|"&amp;COUNTIFS($T$7:$T2254,$T2254))</f>
        <v/>
      </c>
      <c r="V2254" s="1">
        <f t="shared" si="108"/>
        <v>0</v>
      </c>
      <c r="W2254" s="1" t="str">
        <f t="shared" si="109"/>
        <v/>
      </c>
      <c r="X2254" s="1"/>
      <c r="Y2254" s="1"/>
      <c r="Z2254" s="1"/>
      <c r="AA2254" s="1"/>
      <c r="AB2254" s="1"/>
      <c r="AC2254" s="1"/>
      <c r="AD2254" s="1">
        <f>IF($C2254="",0,SUMPRODUCT((AY_SONU!$O$7:$O$42="Evet")*(AY_SONU!$B$7:$B$42=DATE(YEAR($C2254),MONTH($C2254),1))))</f>
        <v>0</v>
      </c>
      <c r="AE2254" s="1" t="str">
        <f>IF($E2254="","",$E2254&amp;"|"&amp;COUNTIFS($E$7:$E2254,$E2254))</f>
        <v/>
      </c>
    </row>
    <row r="2255" spans="1:31" ht="18" customHeight="1" x14ac:dyDescent="0.3">
      <c r="A2255" s="2"/>
      <c r="B2255" s="65" t="str">
        <f>IF($C2255="","","GG"&amp;TEXT(ROW()-6,"00000"))</f>
        <v/>
      </c>
      <c r="C2255" s="66"/>
      <c r="D2255" s="60"/>
      <c r="E2255" s="61"/>
      <c r="F2255" s="61"/>
      <c r="G2255" s="67"/>
      <c r="H2255" s="60"/>
      <c r="I2255" s="60"/>
      <c r="J2255" s="61"/>
      <c r="K2255" s="61"/>
      <c r="L2255" s="60"/>
      <c r="M2255" s="74" t="str">
        <f>IF($C2255="","",IF($D2255="Gider",$E2255,IF($L2255&lt;&gt;"",$L2255,$H2255)))</f>
        <v/>
      </c>
      <c r="N2255" s="74" t="str">
        <f>IF($C2255="","",IF($D2255="Gider",$H2255,$E2255))</f>
        <v/>
      </c>
      <c r="O2255" s="73" t="str">
        <f>IF($C2255="","",DATE(YEAR($C2255),MONTH($C2255),1))</f>
        <v/>
      </c>
      <c r="P2255" s="65" t="str">
        <f ca="1">IF($C2255="","",IF(AND($D2255="Gelir",$L2255&lt;&gt;"",$T2255=""),"TANIMSIZ BORÇLU",IF($T2255&lt;&gt;"",IF(OR($E2255="",$G2255&lt;=0),"EKSİK",IF($I2255="Evet","TAHAKKUK NAKİT OLAMAZ",IF($C2255&gt;TODAY(),"İLERİ TARİH","TAHAKKUK"))),IF(AND($D2255&lt;&gt;"",$E2255&lt;&gt;"",$G2255&gt;0,$H2255&lt;&gt;"",$I2255&lt;&gt;""),IF($C2255&gt;TODAY(),"İLERİ TARİH",IF(COUNTIF($W$7:$W$3001,$W2255)&gt;1,"MÜKERRER?",IF($AD2255&gt;0,"KAPALI DÖNEM",IF($I2255="Hayır","ÖDENECEK","UYGUN")))),"EKSİK"))))</f>
        <v/>
      </c>
      <c r="Q2255" s="2"/>
      <c r="R2255" s="2"/>
      <c r="S2255" s="1" t="str">
        <f t="shared" si="107"/>
        <v/>
      </c>
      <c r="T2255" s="1" t="str">
        <f>IF(OR($C2255="",$D2255&lt;&gt;"Gelir",$L2255=""),"",IFERROR(INDEX(MUSTERILER!$B$7:$B$156,MATCH($S2255,MUSTERILER!$T$7:$T$156,0)),""))</f>
        <v/>
      </c>
      <c r="U2255" s="1" t="str">
        <f>IF($T2255="","",$T2255&amp;"|"&amp;COUNTIFS($T$7:$T2255,$T2255))</f>
        <v/>
      </c>
      <c r="V2255" s="1">
        <f t="shared" si="108"/>
        <v>0</v>
      </c>
      <c r="W2255" s="1" t="str">
        <f t="shared" si="109"/>
        <v/>
      </c>
      <c r="X2255" s="1"/>
      <c r="Y2255" s="1"/>
      <c r="Z2255" s="1"/>
      <c r="AA2255" s="1"/>
      <c r="AB2255" s="1"/>
      <c r="AC2255" s="1"/>
      <c r="AD2255" s="1">
        <f>IF($C2255="",0,SUMPRODUCT((AY_SONU!$O$7:$O$42="Evet")*(AY_SONU!$B$7:$B$42=DATE(YEAR($C2255),MONTH($C2255),1))))</f>
        <v>0</v>
      </c>
      <c r="AE2255" s="1" t="str">
        <f>IF($E2255="","",$E2255&amp;"|"&amp;COUNTIFS($E$7:$E2255,$E2255))</f>
        <v/>
      </c>
    </row>
    <row r="2256" spans="1:31" ht="18" customHeight="1" x14ac:dyDescent="0.3">
      <c r="A2256" s="2"/>
      <c r="B2256" s="65" t="str">
        <f>IF($C2256="","","GG"&amp;TEXT(ROW()-6,"00000"))</f>
        <v/>
      </c>
      <c r="C2256" s="66"/>
      <c r="D2256" s="60"/>
      <c r="E2256" s="61"/>
      <c r="F2256" s="61"/>
      <c r="G2256" s="67"/>
      <c r="H2256" s="60"/>
      <c r="I2256" s="60"/>
      <c r="J2256" s="61"/>
      <c r="K2256" s="61"/>
      <c r="L2256" s="60"/>
      <c r="M2256" s="74" t="str">
        <f>IF($C2256="","",IF($D2256="Gider",$E2256,IF($L2256&lt;&gt;"",$L2256,$H2256)))</f>
        <v/>
      </c>
      <c r="N2256" s="74" t="str">
        <f>IF($C2256="","",IF($D2256="Gider",$H2256,$E2256))</f>
        <v/>
      </c>
      <c r="O2256" s="73" t="str">
        <f>IF($C2256="","",DATE(YEAR($C2256),MONTH($C2256),1))</f>
        <v/>
      </c>
      <c r="P2256" s="65" t="str">
        <f ca="1">IF($C2256="","",IF(AND($D2256="Gelir",$L2256&lt;&gt;"",$T2256=""),"TANIMSIZ BORÇLU",IF($T2256&lt;&gt;"",IF(OR($E2256="",$G2256&lt;=0),"EKSİK",IF($I2256="Evet","TAHAKKUK NAKİT OLAMAZ",IF($C2256&gt;TODAY(),"İLERİ TARİH","TAHAKKUK"))),IF(AND($D2256&lt;&gt;"",$E2256&lt;&gt;"",$G2256&gt;0,$H2256&lt;&gt;"",$I2256&lt;&gt;""),IF($C2256&gt;TODAY(),"İLERİ TARİH",IF(COUNTIF($W$7:$W$3001,$W2256)&gt;1,"MÜKERRER?",IF($AD2256&gt;0,"KAPALI DÖNEM",IF($I2256="Hayır","ÖDENECEK","UYGUN")))),"EKSİK"))))</f>
        <v/>
      </c>
      <c r="Q2256" s="2"/>
      <c r="R2256" s="2"/>
      <c r="S2256" s="1" t="str">
        <f t="shared" si="107"/>
        <v/>
      </c>
      <c r="T2256" s="1" t="str">
        <f>IF(OR($C2256="",$D2256&lt;&gt;"Gelir",$L2256=""),"",IFERROR(INDEX(MUSTERILER!$B$7:$B$156,MATCH($S2256,MUSTERILER!$T$7:$T$156,0)),""))</f>
        <v/>
      </c>
      <c r="U2256" s="1" t="str">
        <f>IF($T2256="","",$T2256&amp;"|"&amp;COUNTIFS($T$7:$T2256,$T2256))</f>
        <v/>
      </c>
      <c r="V2256" s="1">
        <f t="shared" si="108"/>
        <v>0</v>
      </c>
      <c r="W2256" s="1" t="str">
        <f t="shared" si="109"/>
        <v/>
      </c>
      <c r="X2256" s="1"/>
      <c r="Y2256" s="1"/>
      <c r="Z2256" s="1"/>
      <c r="AA2256" s="1"/>
      <c r="AB2256" s="1"/>
      <c r="AC2256" s="1"/>
      <c r="AD2256" s="1">
        <f>IF($C2256="",0,SUMPRODUCT((AY_SONU!$O$7:$O$42="Evet")*(AY_SONU!$B$7:$B$42=DATE(YEAR($C2256),MONTH($C2256),1))))</f>
        <v>0</v>
      </c>
      <c r="AE2256" s="1" t="str">
        <f>IF($E2256="","",$E2256&amp;"|"&amp;COUNTIFS($E$7:$E2256,$E2256))</f>
        <v/>
      </c>
    </row>
    <row r="2257" spans="1:31" ht="18" customHeight="1" x14ac:dyDescent="0.3">
      <c r="A2257" s="2"/>
      <c r="B2257" s="65" t="str">
        <f>IF($C2257="","","GG"&amp;TEXT(ROW()-6,"00000"))</f>
        <v/>
      </c>
      <c r="C2257" s="66"/>
      <c r="D2257" s="60"/>
      <c r="E2257" s="61"/>
      <c r="F2257" s="61"/>
      <c r="G2257" s="67"/>
      <c r="H2257" s="60"/>
      <c r="I2257" s="60"/>
      <c r="J2257" s="61"/>
      <c r="K2257" s="61"/>
      <c r="L2257" s="60"/>
      <c r="M2257" s="74" t="str">
        <f>IF($C2257="","",IF($D2257="Gider",$E2257,IF($L2257&lt;&gt;"",$L2257,$H2257)))</f>
        <v/>
      </c>
      <c r="N2257" s="74" t="str">
        <f>IF($C2257="","",IF($D2257="Gider",$H2257,$E2257))</f>
        <v/>
      </c>
      <c r="O2257" s="73" t="str">
        <f>IF($C2257="","",DATE(YEAR($C2257),MONTH($C2257),1))</f>
        <v/>
      </c>
      <c r="P2257" s="65" t="str">
        <f ca="1">IF($C2257="","",IF(AND($D2257="Gelir",$L2257&lt;&gt;"",$T2257=""),"TANIMSIZ BORÇLU",IF($T2257&lt;&gt;"",IF(OR($E2257="",$G2257&lt;=0),"EKSİK",IF($I2257="Evet","TAHAKKUK NAKİT OLAMAZ",IF($C2257&gt;TODAY(),"İLERİ TARİH","TAHAKKUK"))),IF(AND($D2257&lt;&gt;"",$E2257&lt;&gt;"",$G2257&gt;0,$H2257&lt;&gt;"",$I2257&lt;&gt;""),IF($C2257&gt;TODAY(),"İLERİ TARİH",IF(COUNTIF($W$7:$W$3001,$W2257)&gt;1,"MÜKERRER?",IF($AD2257&gt;0,"KAPALI DÖNEM",IF($I2257="Hayır","ÖDENECEK","UYGUN")))),"EKSİK"))))</f>
        <v/>
      </c>
      <c r="Q2257" s="2"/>
      <c r="R2257" s="2"/>
      <c r="S2257" s="1" t="str">
        <f t="shared" si="107"/>
        <v/>
      </c>
      <c r="T2257" s="1" t="str">
        <f>IF(OR($C2257="",$D2257&lt;&gt;"Gelir",$L2257=""),"",IFERROR(INDEX(MUSTERILER!$B$7:$B$156,MATCH($S2257,MUSTERILER!$T$7:$T$156,0)),""))</f>
        <v/>
      </c>
      <c r="U2257" s="1" t="str">
        <f>IF($T2257="","",$T2257&amp;"|"&amp;COUNTIFS($T$7:$T2257,$T2257))</f>
        <v/>
      </c>
      <c r="V2257" s="1">
        <f t="shared" si="108"/>
        <v>0</v>
      </c>
      <c r="W2257" s="1" t="str">
        <f t="shared" si="109"/>
        <v/>
      </c>
      <c r="X2257" s="1"/>
      <c r="Y2257" s="1"/>
      <c r="Z2257" s="1"/>
      <c r="AA2257" s="1"/>
      <c r="AB2257" s="1"/>
      <c r="AC2257" s="1"/>
      <c r="AD2257" s="1">
        <f>IF($C2257="",0,SUMPRODUCT((AY_SONU!$O$7:$O$42="Evet")*(AY_SONU!$B$7:$B$42=DATE(YEAR($C2257),MONTH($C2257),1))))</f>
        <v>0</v>
      </c>
      <c r="AE2257" s="1" t="str">
        <f>IF($E2257="","",$E2257&amp;"|"&amp;COUNTIFS($E$7:$E2257,$E2257))</f>
        <v/>
      </c>
    </row>
    <row r="2258" spans="1:31" ht="18" customHeight="1" x14ac:dyDescent="0.3">
      <c r="A2258" s="2"/>
      <c r="B2258" s="65" t="str">
        <f>IF($C2258="","","GG"&amp;TEXT(ROW()-6,"00000"))</f>
        <v/>
      </c>
      <c r="C2258" s="66"/>
      <c r="D2258" s="60"/>
      <c r="E2258" s="61"/>
      <c r="F2258" s="61"/>
      <c r="G2258" s="67"/>
      <c r="H2258" s="60"/>
      <c r="I2258" s="60"/>
      <c r="J2258" s="61"/>
      <c r="K2258" s="61"/>
      <c r="L2258" s="60"/>
      <c r="M2258" s="74" t="str">
        <f>IF($C2258="","",IF($D2258="Gider",$E2258,IF($L2258&lt;&gt;"",$L2258,$H2258)))</f>
        <v/>
      </c>
      <c r="N2258" s="74" t="str">
        <f>IF($C2258="","",IF($D2258="Gider",$H2258,$E2258))</f>
        <v/>
      </c>
      <c r="O2258" s="73" t="str">
        <f>IF($C2258="","",DATE(YEAR($C2258),MONTH($C2258),1))</f>
        <v/>
      </c>
      <c r="P2258" s="65" t="str">
        <f ca="1">IF($C2258="","",IF(AND($D2258="Gelir",$L2258&lt;&gt;"",$T2258=""),"TANIMSIZ BORÇLU",IF($T2258&lt;&gt;"",IF(OR($E2258="",$G2258&lt;=0),"EKSİK",IF($I2258="Evet","TAHAKKUK NAKİT OLAMAZ",IF($C2258&gt;TODAY(),"İLERİ TARİH","TAHAKKUK"))),IF(AND($D2258&lt;&gt;"",$E2258&lt;&gt;"",$G2258&gt;0,$H2258&lt;&gt;"",$I2258&lt;&gt;""),IF($C2258&gt;TODAY(),"İLERİ TARİH",IF(COUNTIF($W$7:$W$3001,$W2258)&gt;1,"MÜKERRER?",IF($AD2258&gt;0,"KAPALI DÖNEM",IF($I2258="Hayır","ÖDENECEK","UYGUN")))),"EKSİK"))))</f>
        <v/>
      </c>
      <c r="Q2258" s="2"/>
      <c r="R2258" s="2"/>
      <c r="S2258" s="1" t="str">
        <f t="shared" si="107"/>
        <v/>
      </c>
      <c r="T2258" s="1" t="str">
        <f>IF(OR($C2258="",$D2258&lt;&gt;"Gelir",$L2258=""),"",IFERROR(INDEX(MUSTERILER!$B$7:$B$156,MATCH($S2258,MUSTERILER!$T$7:$T$156,0)),""))</f>
        <v/>
      </c>
      <c r="U2258" s="1" t="str">
        <f>IF($T2258="","",$T2258&amp;"|"&amp;COUNTIFS($T$7:$T2258,$T2258))</f>
        <v/>
      </c>
      <c r="V2258" s="1">
        <f t="shared" si="108"/>
        <v>0</v>
      </c>
      <c r="W2258" s="1" t="str">
        <f t="shared" si="109"/>
        <v/>
      </c>
      <c r="X2258" s="1"/>
      <c r="Y2258" s="1"/>
      <c r="Z2258" s="1"/>
      <c r="AA2258" s="1"/>
      <c r="AB2258" s="1"/>
      <c r="AC2258" s="1"/>
      <c r="AD2258" s="1">
        <f>IF($C2258="",0,SUMPRODUCT((AY_SONU!$O$7:$O$42="Evet")*(AY_SONU!$B$7:$B$42=DATE(YEAR($C2258),MONTH($C2258),1))))</f>
        <v>0</v>
      </c>
      <c r="AE2258" s="1" t="str">
        <f>IF($E2258="","",$E2258&amp;"|"&amp;COUNTIFS($E$7:$E2258,$E2258))</f>
        <v/>
      </c>
    </row>
    <row r="2259" spans="1:31" ht="18" customHeight="1" x14ac:dyDescent="0.3">
      <c r="A2259" s="2"/>
      <c r="B2259" s="65" t="str">
        <f>IF($C2259="","","GG"&amp;TEXT(ROW()-6,"00000"))</f>
        <v/>
      </c>
      <c r="C2259" s="66"/>
      <c r="D2259" s="60"/>
      <c r="E2259" s="61"/>
      <c r="F2259" s="61"/>
      <c r="G2259" s="67"/>
      <c r="H2259" s="60"/>
      <c r="I2259" s="60"/>
      <c r="J2259" s="61"/>
      <c r="K2259" s="61"/>
      <c r="L2259" s="60"/>
      <c r="M2259" s="74" t="str">
        <f>IF($C2259="","",IF($D2259="Gider",$E2259,IF($L2259&lt;&gt;"",$L2259,$H2259)))</f>
        <v/>
      </c>
      <c r="N2259" s="74" t="str">
        <f>IF($C2259="","",IF($D2259="Gider",$H2259,$E2259))</f>
        <v/>
      </c>
      <c r="O2259" s="73" t="str">
        <f>IF($C2259="","",DATE(YEAR($C2259),MONTH($C2259),1))</f>
        <v/>
      </c>
      <c r="P2259" s="65" t="str">
        <f ca="1">IF($C2259="","",IF(AND($D2259="Gelir",$L2259&lt;&gt;"",$T2259=""),"TANIMSIZ BORÇLU",IF($T2259&lt;&gt;"",IF(OR($E2259="",$G2259&lt;=0),"EKSİK",IF($I2259="Evet","TAHAKKUK NAKİT OLAMAZ",IF($C2259&gt;TODAY(),"İLERİ TARİH","TAHAKKUK"))),IF(AND($D2259&lt;&gt;"",$E2259&lt;&gt;"",$G2259&gt;0,$H2259&lt;&gt;"",$I2259&lt;&gt;""),IF($C2259&gt;TODAY(),"İLERİ TARİH",IF(COUNTIF($W$7:$W$3001,$W2259)&gt;1,"MÜKERRER?",IF($AD2259&gt;0,"KAPALI DÖNEM",IF($I2259="Hayır","ÖDENECEK","UYGUN")))),"EKSİK"))))</f>
        <v/>
      </c>
      <c r="Q2259" s="2"/>
      <c r="R2259" s="2"/>
      <c r="S2259" s="1" t="str">
        <f t="shared" si="107"/>
        <v/>
      </c>
      <c r="T2259" s="1" t="str">
        <f>IF(OR($C2259="",$D2259&lt;&gt;"Gelir",$L2259=""),"",IFERROR(INDEX(MUSTERILER!$B$7:$B$156,MATCH($S2259,MUSTERILER!$T$7:$T$156,0)),""))</f>
        <v/>
      </c>
      <c r="U2259" s="1" t="str">
        <f>IF($T2259="","",$T2259&amp;"|"&amp;COUNTIFS($T$7:$T2259,$T2259))</f>
        <v/>
      </c>
      <c r="V2259" s="1">
        <f t="shared" si="108"/>
        <v>0</v>
      </c>
      <c r="W2259" s="1" t="str">
        <f t="shared" si="109"/>
        <v/>
      </c>
      <c r="X2259" s="1"/>
      <c r="Y2259" s="1"/>
      <c r="Z2259" s="1"/>
      <c r="AA2259" s="1"/>
      <c r="AB2259" s="1"/>
      <c r="AC2259" s="1"/>
      <c r="AD2259" s="1">
        <f>IF($C2259="",0,SUMPRODUCT((AY_SONU!$O$7:$O$42="Evet")*(AY_SONU!$B$7:$B$42=DATE(YEAR($C2259),MONTH($C2259),1))))</f>
        <v>0</v>
      </c>
      <c r="AE2259" s="1" t="str">
        <f>IF($E2259="","",$E2259&amp;"|"&amp;COUNTIFS($E$7:$E2259,$E2259))</f>
        <v/>
      </c>
    </row>
    <row r="2260" spans="1:31" ht="18" customHeight="1" x14ac:dyDescent="0.3">
      <c r="A2260" s="2"/>
      <c r="B2260" s="65" t="str">
        <f>IF($C2260="","","GG"&amp;TEXT(ROW()-6,"00000"))</f>
        <v/>
      </c>
      <c r="C2260" s="66"/>
      <c r="D2260" s="60"/>
      <c r="E2260" s="61"/>
      <c r="F2260" s="61"/>
      <c r="G2260" s="67"/>
      <c r="H2260" s="60"/>
      <c r="I2260" s="60"/>
      <c r="J2260" s="61"/>
      <c r="K2260" s="61"/>
      <c r="L2260" s="60"/>
      <c r="M2260" s="74" t="str">
        <f>IF($C2260="","",IF($D2260="Gider",$E2260,IF($L2260&lt;&gt;"",$L2260,$H2260)))</f>
        <v/>
      </c>
      <c r="N2260" s="74" t="str">
        <f>IF($C2260="","",IF($D2260="Gider",$H2260,$E2260))</f>
        <v/>
      </c>
      <c r="O2260" s="73" t="str">
        <f>IF($C2260="","",DATE(YEAR($C2260),MONTH($C2260),1))</f>
        <v/>
      </c>
      <c r="P2260" s="65" t="str">
        <f ca="1">IF($C2260="","",IF(AND($D2260="Gelir",$L2260&lt;&gt;"",$T2260=""),"TANIMSIZ BORÇLU",IF($T2260&lt;&gt;"",IF(OR($E2260="",$G2260&lt;=0),"EKSİK",IF($I2260="Evet","TAHAKKUK NAKİT OLAMAZ",IF($C2260&gt;TODAY(),"İLERİ TARİH","TAHAKKUK"))),IF(AND($D2260&lt;&gt;"",$E2260&lt;&gt;"",$G2260&gt;0,$H2260&lt;&gt;"",$I2260&lt;&gt;""),IF($C2260&gt;TODAY(),"İLERİ TARİH",IF(COUNTIF($W$7:$W$3001,$W2260)&gt;1,"MÜKERRER?",IF($AD2260&gt;0,"KAPALI DÖNEM",IF($I2260="Hayır","ÖDENECEK","UYGUN")))),"EKSİK"))))</f>
        <v/>
      </c>
      <c r="Q2260" s="2"/>
      <c r="R2260" s="2"/>
      <c r="S2260" s="1" t="str">
        <f t="shared" si="107"/>
        <v/>
      </c>
      <c r="T2260" s="1" t="str">
        <f>IF(OR($C2260="",$D2260&lt;&gt;"Gelir",$L2260=""),"",IFERROR(INDEX(MUSTERILER!$B$7:$B$156,MATCH($S2260,MUSTERILER!$T$7:$T$156,0)),""))</f>
        <v/>
      </c>
      <c r="U2260" s="1" t="str">
        <f>IF($T2260="","",$T2260&amp;"|"&amp;COUNTIFS($T$7:$T2260,$T2260))</f>
        <v/>
      </c>
      <c r="V2260" s="1">
        <f t="shared" si="108"/>
        <v>0</v>
      </c>
      <c r="W2260" s="1" t="str">
        <f t="shared" si="109"/>
        <v/>
      </c>
      <c r="X2260" s="1"/>
      <c r="Y2260" s="1"/>
      <c r="Z2260" s="1"/>
      <c r="AA2260" s="1"/>
      <c r="AB2260" s="1"/>
      <c r="AC2260" s="1"/>
      <c r="AD2260" s="1">
        <f>IF($C2260="",0,SUMPRODUCT((AY_SONU!$O$7:$O$42="Evet")*(AY_SONU!$B$7:$B$42=DATE(YEAR($C2260),MONTH($C2260),1))))</f>
        <v>0</v>
      </c>
      <c r="AE2260" s="1" t="str">
        <f>IF($E2260="","",$E2260&amp;"|"&amp;COUNTIFS($E$7:$E2260,$E2260))</f>
        <v/>
      </c>
    </row>
    <row r="2261" spans="1:31" ht="18" customHeight="1" x14ac:dyDescent="0.3">
      <c r="A2261" s="2"/>
      <c r="B2261" s="65" t="str">
        <f>IF($C2261="","","GG"&amp;TEXT(ROW()-6,"00000"))</f>
        <v/>
      </c>
      <c r="C2261" s="66"/>
      <c r="D2261" s="60"/>
      <c r="E2261" s="61"/>
      <c r="F2261" s="61"/>
      <c r="G2261" s="67"/>
      <c r="H2261" s="60"/>
      <c r="I2261" s="60"/>
      <c r="J2261" s="61"/>
      <c r="K2261" s="61"/>
      <c r="L2261" s="60"/>
      <c r="M2261" s="74" t="str">
        <f>IF($C2261="","",IF($D2261="Gider",$E2261,IF($L2261&lt;&gt;"",$L2261,$H2261)))</f>
        <v/>
      </c>
      <c r="N2261" s="74" t="str">
        <f>IF($C2261="","",IF($D2261="Gider",$H2261,$E2261))</f>
        <v/>
      </c>
      <c r="O2261" s="73" t="str">
        <f>IF($C2261="","",DATE(YEAR($C2261),MONTH($C2261),1))</f>
        <v/>
      </c>
      <c r="P2261" s="65" t="str">
        <f ca="1">IF($C2261="","",IF(AND($D2261="Gelir",$L2261&lt;&gt;"",$T2261=""),"TANIMSIZ BORÇLU",IF($T2261&lt;&gt;"",IF(OR($E2261="",$G2261&lt;=0),"EKSİK",IF($I2261="Evet","TAHAKKUK NAKİT OLAMAZ",IF($C2261&gt;TODAY(),"İLERİ TARİH","TAHAKKUK"))),IF(AND($D2261&lt;&gt;"",$E2261&lt;&gt;"",$G2261&gt;0,$H2261&lt;&gt;"",$I2261&lt;&gt;""),IF($C2261&gt;TODAY(),"İLERİ TARİH",IF(COUNTIF($W$7:$W$3001,$W2261)&gt;1,"MÜKERRER?",IF($AD2261&gt;0,"KAPALI DÖNEM",IF($I2261="Hayır","ÖDENECEK","UYGUN")))),"EKSİK"))))</f>
        <v/>
      </c>
      <c r="Q2261" s="2"/>
      <c r="R2261" s="2"/>
      <c r="S2261" s="1" t="str">
        <f t="shared" si="107"/>
        <v/>
      </c>
      <c r="T2261" s="1" t="str">
        <f>IF(OR($C2261="",$D2261&lt;&gt;"Gelir",$L2261=""),"",IFERROR(INDEX(MUSTERILER!$B$7:$B$156,MATCH($S2261,MUSTERILER!$T$7:$T$156,0)),""))</f>
        <v/>
      </c>
      <c r="U2261" s="1" t="str">
        <f>IF($T2261="","",$T2261&amp;"|"&amp;COUNTIFS($T$7:$T2261,$T2261))</f>
        <v/>
      </c>
      <c r="V2261" s="1">
        <f t="shared" si="108"/>
        <v>0</v>
      </c>
      <c r="W2261" s="1" t="str">
        <f t="shared" si="109"/>
        <v/>
      </c>
      <c r="X2261" s="1"/>
      <c r="Y2261" s="1"/>
      <c r="Z2261" s="1"/>
      <c r="AA2261" s="1"/>
      <c r="AB2261" s="1"/>
      <c r="AC2261" s="1"/>
      <c r="AD2261" s="1">
        <f>IF($C2261="",0,SUMPRODUCT((AY_SONU!$O$7:$O$42="Evet")*(AY_SONU!$B$7:$B$42=DATE(YEAR($C2261),MONTH($C2261),1))))</f>
        <v>0</v>
      </c>
      <c r="AE2261" s="1" t="str">
        <f>IF($E2261="","",$E2261&amp;"|"&amp;COUNTIFS($E$7:$E2261,$E2261))</f>
        <v/>
      </c>
    </row>
    <row r="2262" spans="1:31" ht="18" customHeight="1" x14ac:dyDescent="0.3">
      <c r="A2262" s="2"/>
      <c r="B2262" s="65" t="str">
        <f>IF($C2262="","","GG"&amp;TEXT(ROW()-6,"00000"))</f>
        <v/>
      </c>
      <c r="C2262" s="66"/>
      <c r="D2262" s="60"/>
      <c r="E2262" s="61"/>
      <c r="F2262" s="61"/>
      <c r="G2262" s="67"/>
      <c r="H2262" s="60"/>
      <c r="I2262" s="60"/>
      <c r="J2262" s="61"/>
      <c r="K2262" s="61"/>
      <c r="L2262" s="60"/>
      <c r="M2262" s="74" t="str">
        <f>IF($C2262="","",IF($D2262="Gider",$E2262,IF($L2262&lt;&gt;"",$L2262,$H2262)))</f>
        <v/>
      </c>
      <c r="N2262" s="74" t="str">
        <f>IF($C2262="","",IF($D2262="Gider",$H2262,$E2262))</f>
        <v/>
      </c>
      <c r="O2262" s="73" t="str">
        <f>IF($C2262="","",DATE(YEAR($C2262),MONTH($C2262),1))</f>
        <v/>
      </c>
      <c r="P2262" s="65" t="str">
        <f ca="1">IF($C2262="","",IF(AND($D2262="Gelir",$L2262&lt;&gt;"",$T2262=""),"TANIMSIZ BORÇLU",IF($T2262&lt;&gt;"",IF(OR($E2262="",$G2262&lt;=0),"EKSİK",IF($I2262="Evet","TAHAKKUK NAKİT OLAMAZ",IF($C2262&gt;TODAY(),"İLERİ TARİH","TAHAKKUK"))),IF(AND($D2262&lt;&gt;"",$E2262&lt;&gt;"",$G2262&gt;0,$H2262&lt;&gt;"",$I2262&lt;&gt;""),IF($C2262&gt;TODAY(),"İLERİ TARİH",IF(COUNTIF($W$7:$W$3001,$W2262)&gt;1,"MÜKERRER?",IF($AD2262&gt;0,"KAPALI DÖNEM",IF($I2262="Hayır","ÖDENECEK","UYGUN")))),"EKSİK"))))</f>
        <v/>
      </c>
      <c r="Q2262" s="2"/>
      <c r="R2262" s="2"/>
      <c r="S2262" s="1" t="str">
        <f t="shared" si="107"/>
        <v/>
      </c>
      <c r="T2262" s="1" t="str">
        <f>IF(OR($C2262="",$D2262&lt;&gt;"Gelir",$L2262=""),"",IFERROR(INDEX(MUSTERILER!$B$7:$B$156,MATCH($S2262,MUSTERILER!$T$7:$T$156,0)),""))</f>
        <v/>
      </c>
      <c r="U2262" s="1" t="str">
        <f>IF($T2262="","",$T2262&amp;"|"&amp;COUNTIFS($T$7:$T2262,$T2262))</f>
        <v/>
      </c>
      <c r="V2262" s="1">
        <f t="shared" si="108"/>
        <v>0</v>
      </c>
      <c r="W2262" s="1" t="str">
        <f t="shared" si="109"/>
        <v/>
      </c>
      <c r="X2262" s="1"/>
      <c r="Y2262" s="1"/>
      <c r="Z2262" s="1"/>
      <c r="AA2262" s="1"/>
      <c r="AB2262" s="1"/>
      <c r="AC2262" s="1"/>
      <c r="AD2262" s="1">
        <f>IF($C2262="",0,SUMPRODUCT((AY_SONU!$O$7:$O$42="Evet")*(AY_SONU!$B$7:$B$42=DATE(YEAR($C2262),MONTH($C2262),1))))</f>
        <v>0</v>
      </c>
      <c r="AE2262" s="1" t="str">
        <f>IF($E2262="","",$E2262&amp;"|"&amp;COUNTIFS($E$7:$E2262,$E2262))</f>
        <v/>
      </c>
    </row>
    <row r="2263" spans="1:31" ht="18" customHeight="1" x14ac:dyDescent="0.3">
      <c r="A2263" s="2"/>
      <c r="B2263" s="65" t="str">
        <f>IF($C2263="","","GG"&amp;TEXT(ROW()-6,"00000"))</f>
        <v/>
      </c>
      <c r="C2263" s="66"/>
      <c r="D2263" s="60"/>
      <c r="E2263" s="61"/>
      <c r="F2263" s="61"/>
      <c r="G2263" s="67"/>
      <c r="H2263" s="60"/>
      <c r="I2263" s="60"/>
      <c r="J2263" s="61"/>
      <c r="K2263" s="61"/>
      <c r="L2263" s="60"/>
      <c r="M2263" s="74" t="str">
        <f>IF($C2263="","",IF($D2263="Gider",$E2263,IF($L2263&lt;&gt;"",$L2263,$H2263)))</f>
        <v/>
      </c>
      <c r="N2263" s="74" t="str">
        <f>IF($C2263="","",IF($D2263="Gider",$H2263,$E2263))</f>
        <v/>
      </c>
      <c r="O2263" s="73" t="str">
        <f>IF($C2263="","",DATE(YEAR($C2263),MONTH($C2263),1))</f>
        <v/>
      </c>
      <c r="P2263" s="65" t="str">
        <f ca="1">IF($C2263="","",IF(AND($D2263="Gelir",$L2263&lt;&gt;"",$T2263=""),"TANIMSIZ BORÇLU",IF($T2263&lt;&gt;"",IF(OR($E2263="",$G2263&lt;=0),"EKSİK",IF($I2263="Evet","TAHAKKUK NAKİT OLAMAZ",IF($C2263&gt;TODAY(),"İLERİ TARİH","TAHAKKUK"))),IF(AND($D2263&lt;&gt;"",$E2263&lt;&gt;"",$G2263&gt;0,$H2263&lt;&gt;"",$I2263&lt;&gt;""),IF($C2263&gt;TODAY(),"İLERİ TARİH",IF(COUNTIF($W$7:$W$3001,$W2263)&gt;1,"MÜKERRER?",IF($AD2263&gt;0,"KAPALI DÖNEM",IF($I2263="Hayır","ÖDENECEK","UYGUN")))),"EKSİK"))))</f>
        <v/>
      </c>
      <c r="Q2263" s="2"/>
      <c r="R2263" s="2"/>
      <c r="S2263" s="1" t="str">
        <f t="shared" si="107"/>
        <v/>
      </c>
      <c r="T2263" s="1" t="str">
        <f>IF(OR($C2263="",$D2263&lt;&gt;"Gelir",$L2263=""),"",IFERROR(INDEX(MUSTERILER!$B$7:$B$156,MATCH($S2263,MUSTERILER!$T$7:$T$156,0)),""))</f>
        <v/>
      </c>
      <c r="U2263" s="1" t="str">
        <f>IF($T2263="","",$T2263&amp;"|"&amp;COUNTIFS($T$7:$T2263,$T2263))</f>
        <v/>
      </c>
      <c r="V2263" s="1">
        <f t="shared" si="108"/>
        <v>0</v>
      </c>
      <c r="W2263" s="1" t="str">
        <f t="shared" si="109"/>
        <v/>
      </c>
      <c r="X2263" s="1"/>
      <c r="Y2263" s="1"/>
      <c r="Z2263" s="1"/>
      <c r="AA2263" s="1"/>
      <c r="AB2263" s="1"/>
      <c r="AC2263" s="1"/>
      <c r="AD2263" s="1">
        <f>IF($C2263="",0,SUMPRODUCT((AY_SONU!$O$7:$O$42="Evet")*(AY_SONU!$B$7:$B$42=DATE(YEAR($C2263),MONTH($C2263),1))))</f>
        <v>0</v>
      </c>
      <c r="AE2263" s="1" t="str">
        <f>IF($E2263="","",$E2263&amp;"|"&amp;COUNTIFS($E$7:$E2263,$E2263))</f>
        <v/>
      </c>
    </row>
    <row r="2264" spans="1:31" ht="18" customHeight="1" x14ac:dyDescent="0.3">
      <c r="A2264" s="2"/>
      <c r="B2264" s="65" t="str">
        <f>IF($C2264="","","GG"&amp;TEXT(ROW()-6,"00000"))</f>
        <v/>
      </c>
      <c r="C2264" s="66"/>
      <c r="D2264" s="60"/>
      <c r="E2264" s="61"/>
      <c r="F2264" s="61"/>
      <c r="G2264" s="67"/>
      <c r="H2264" s="60"/>
      <c r="I2264" s="60"/>
      <c r="J2264" s="61"/>
      <c r="K2264" s="61"/>
      <c r="L2264" s="60"/>
      <c r="M2264" s="74" t="str">
        <f>IF($C2264="","",IF($D2264="Gider",$E2264,IF($L2264&lt;&gt;"",$L2264,$H2264)))</f>
        <v/>
      </c>
      <c r="N2264" s="74" t="str">
        <f>IF($C2264="","",IF($D2264="Gider",$H2264,$E2264))</f>
        <v/>
      </c>
      <c r="O2264" s="73" t="str">
        <f>IF($C2264="","",DATE(YEAR($C2264),MONTH($C2264),1))</f>
        <v/>
      </c>
      <c r="P2264" s="65" t="str">
        <f ca="1">IF($C2264="","",IF(AND($D2264="Gelir",$L2264&lt;&gt;"",$T2264=""),"TANIMSIZ BORÇLU",IF($T2264&lt;&gt;"",IF(OR($E2264="",$G2264&lt;=0),"EKSİK",IF($I2264="Evet","TAHAKKUK NAKİT OLAMAZ",IF($C2264&gt;TODAY(),"İLERİ TARİH","TAHAKKUK"))),IF(AND($D2264&lt;&gt;"",$E2264&lt;&gt;"",$G2264&gt;0,$H2264&lt;&gt;"",$I2264&lt;&gt;""),IF($C2264&gt;TODAY(),"İLERİ TARİH",IF(COUNTIF($W$7:$W$3001,$W2264)&gt;1,"MÜKERRER?",IF($AD2264&gt;0,"KAPALI DÖNEM",IF($I2264="Hayır","ÖDENECEK","UYGUN")))),"EKSİK"))))</f>
        <v/>
      </c>
      <c r="Q2264" s="2"/>
      <c r="R2264" s="2"/>
      <c r="S2264" s="1" t="str">
        <f t="shared" si="107"/>
        <v/>
      </c>
      <c r="T2264" s="1" t="str">
        <f>IF(OR($C2264="",$D2264&lt;&gt;"Gelir",$L2264=""),"",IFERROR(INDEX(MUSTERILER!$B$7:$B$156,MATCH($S2264,MUSTERILER!$T$7:$T$156,0)),""))</f>
        <v/>
      </c>
      <c r="U2264" s="1" t="str">
        <f>IF($T2264="","",$T2264&amp;"|"&amp;COUNTIFS($T$7:$T2264,$T2264))</f>
        <v/>
      </c>
      <c r="V2264" s="1">
        <f t="shared" si="108"/>
        <v>0</v>
      </c>
      <c r="W2264" s="1" t="str">
        <f t="shared" si="109"/>
        <v/>
      </c>
      <c r="X2264" s="1"/>
      <c r="Y2264" s="1"/>
      <c r="Z2264" s="1"/>
      <c r="AA2264" s="1"/>
      <c r="AB2264" s="1"/>
      <c r="AC2264" s="1"/>
      <c r="AD2264" s="1">
        <f>IF($C2264="",0,SUMPRODUCT((AY_SONU!$O$7:$O$42="Evet")*(AY_SONU!$B$7:$B$42=DATE(YEAR($C2264),MONTH($C2264),1))))</f>
        <v>0</v>
      </c>
      <c r="AE2264" s="1" t="str">
        <f>IF($E2264="","",$E2264&amp;"|"&amp;COUNTIFS($E$7:$E2264,$E2264))</f>
        <v/>
      </c>
    </row>
    <row r="2265" spans="1:31" ht="18" customHeight="1" x14ac:dyDescent="0.3">
      <c r="A2265" s="2"/>
      <c r="B2265" s="65" t="str">
        <f>IF($C2265="","","GG"&amp;TEXT(ROW()-6,"00000"))</f>
        <v/>
      </c>
      <c r="C2265" s="66"/>
      <c r="D2265" s="60"/>
      <c r="E2265" s="61"/>
      <c r="F2265" s="61"/>
      <c r="G2265" s="67"/>
      <c r="H2265" s="60"/>
      <c r="I2265" s="60"/>
      <c r="J2265" s="61"/>
      <c r="K2265" s="61"/>
      <c r="L2265" s="60"/>
      <c r="M2265" s="74" t="str">
        <f>IF($C2265="","",IF($D2265="Gider",$E2265,IF($L2265&lt;&gt;"",$L2265,$H2265)))</f>
        <v/>
      </c>
      <c r="N2265" s="74" t="str">
        <f>IF($C2265="","",IF($D2265="Gider",$H2265,$E2265))</f>
        <v/>
      </c>
      <c r="O2265" s="73" t="str">
        <f>IF($C2265="","",DATE(YEAR($C2265),MONTH($C2265),1))</f>
        <v/>
      </c>
      <c r="P2265" s="65" t="str">
        <f ca="1">IF($C2265="","",IF(AND($D2265="Gelir",$L2265&lt;&gt;"",$T2265=""),"TANIMSIZ BORÇLU",IF($T2265&lt;&gt;"",IF(OR($E2265="",$G2265&lt;=0),"EKSİK",IF($I2265="Evet","TAHAKKUK NAKİT OLAMAZ",IF($C2265&gt;TODAY(),"İLERİ TARİH","TAHAKKUK"))),IF(AND($D2265&lt;&gt;"",$E2265&lt;&gt;"",$G2265&gt;0,$H2265&lt;&gt;"",$I2265&lt;&gt;""),IF($C2265&gt;TODAY(),"İLERİ TARİH",IF(COUNTIF($W$7:$W$3001,$W2265)&gt;1,"MÜKERRER?",IF($AD2265&gt;0,"KAPALI DÖNEM",IF($I2265="Hayır","ÖDENECEK","UYGUN")))),"EKSİK"))))</f>
        <v/>
      </c>
      <c r="Q2265" s="2"/>
      <c r="R2265" s="2"/>
      <c r="S2265" s="1" t="str">
        <f t="shared" si="107"/>
        <v/>
      </c>
      <c r="T2265" s="1" t="str">
        <f>IF(OR($C2265="",$D2265&lt;&gt;"Gelir",$L2265=""),"",IFERROR(INDEX(MUSTERILER!$B$7:$B$156,MATCH($S2265,MUSTERILER!$T$7:$T$156,0)),""))</f>
        <v/>
      </c>
      <c r="U2265" s="1" t="str">
        <f>IF($T2265="","",$T2265&amp;"|"&amp;COUNTIFS($T$7:$T2265,$T2265))</f>
        <v/>
      </c>
      <c r="V2265" s="1">
        <f t="shared" si="108"/>
        <v>0</v>
      </c>
      <c r="W2265" s="1" t="str">
        <f t="shared" si="109"/>
        <v/>
      </c>
      <c r="X2265" s="1"/>
      <c r="Y2265" s="1"/>
      <c r="Z2265" s="1"/>
      <c r="AA2265" s="1"/>
      <c r="AB2265" s="1"/>
      <c r="AC2265" s="1"/>
      <c r="AD2265" s="1">
        <f>IF($C2265="",0,SUMPRODUCT((AY_SONU!$O$7:$O$42="Evet")*(AY_SONU!$B$7:$B$42=DATE(YEAR($C2265),MONTH($C2265),1))))</f>
        <v>0</v>
      </c>
      <c r="AE2265" s="1" t="str">
        <f>IF($E2265="","",$E2265&amp;"|"&amp;COUNTIFS($E$7:$E2265,$E2265))</f>
        <v/>
      </c>
    </row>
    <row r="2266" spans="1:31" ht="18" customHeight="1" x14ac:dyDescent="0.3">
      <c r="A2266" s="2"/>
      <c r="B2266" s="65" t="str">
        <f>IF($C2266="","","GG"&amp;TEXT(ROW()-6,"00000"))</f>
        <v/>
      </c>
      <c r="C2266" s="66"/>
      <c r="D2266" s="60"/>
      <c r="E2266" s="61"/>
      <c r="F2266" s="61"/>
      <c r="G2266" s="67"/>
      <c r="H2266" s="60"/>
      <c r="I2266" s="60"/>
      <c r="J2266" s="61"/>
      <c r="K2266" s="61"/>
      <c r="L2266" s="60"/>
      <c r="M2266" s="74" t="str">
        <f>IF($C2266="","",IF($D2266="Gider",$E2266,IF($L2266&lt;&gt;"",$L2266,$H2266)))</f>
        <v/>
      </c>
      <c r="N2266" s="74" t="str">
        <f>IF($C2266="","",IF($D2266="Gider",$H2266,$E2266))</f>
        <v/>
      </c>
      <c r="O2266" s="73" t="str">
        <f>IF($C2266="","",DATE(YEAR($C2266),MONTH($C2266),1))</f>
        <v/>
      </c>
      <c r="P2266" s="65" t="str">
        <f ca="1">IF($C2266="","",IF(AND($D2266="Gelir",$L2266&lt;&gt;"",$T2266=""),"TANIMSIZ BORÇLU",IF($T2266&lt;&gt;"",IF(OR($E2266="",$G2266&lt;=0),"EKSİK",IF($I2266="Evet","TAHAKKUK NAKİT OLAMAZ",IF($C2266&gt;TODAY(),"İLERİ TARİH","TAHAKKUK"))),IF(AND($D2266&lt;&gt;"",$E2266&lt;&gt;"",$G2266&gt;0,$H2266&lt;&gt;"",$I2266&lt;&gt;""),IF($C2266&gt;TODAY(),"İLERİ TARİH",IF(COUNTIF($W$7:$W$3001,$W2266)&gt;1,"MÜKERRER?",IF($AD2266&gt;0,"KAPALI DÖNEM",IF($I2266="Hayır","ÖDENECEK","UYGUN")))),"EKSİK"))))</f>
        <v/>
      </c>
      <c r="Q2266" s="2"/>
      <c r="R2266" s="2"/>
      <c r="S2266" s="1" t="str">
        <f t="shared" si="107"/>
        <v/>
      </c>
      <c r="T2266" s="1" t="str">
        <f>IF(OR($C2266="",$D2266&lt;&gt;"Gelir",$L2266=""),"",IFERROR(INDEX(MUSTERILER!$B$7:$B$156,MATCH($S2266,MUSTERILER!$T$7:$T$156,0)),""))</f>
        <v/>
      </c>
      <c r="U2266" s="1" t="str">
        <f>IF($T2266="","",$T2266&amp;"|"&amp;COUNTIFS($T$7:$T2266,$T2266))</f>
        <v/>
      </c>
      <c r="V2266" s="1">
        <f t="shared" si="108"/>
        <v>0</v>
      </c>
      <c r="W2266" s="1" t="str">
        <f t="shared" si="109"/>
        <v/>
      </c>
      <c r="X2266" s="1"/>
      <c r="Y2266" s="1"/>
      <c r="Z2266" s="1"/>
      <c r="AA2266" s="1"/>
      <c r="AB2266" s="1"/>
      <c r="AC2266" s="1"/>
      <c r="AD2266" s="1">
        <f>IF($C2266="",0,SUMPRODUCT((AY_SONU!$O$7:$O$42="Evet")*(AY_SONU!$B$7:$B$42=DATE(YEAR($C2266),MONTH($C2266),1))))</f>
        <v>0</v>
      </c>
      <c r="AE2266" s="1" t="str">
        <f>IF($E2266="","",$E2266&amp;"|"&amp;COUNTIFS($E$7:$E2266,$E2266))</f>
        <v/>
      </c>
    </row>
    <row r="2267" spans="1:31" ht="18" customHeight="1" x14ac:dyDescent="0.3">
      <c r="A2267" s="2"/>
      <c r="B2267" s="65" t="str">
        <f>IF($C2267="","","GG"&amp;TEXT(ROW()-6,"00000"))</f>
        <v/>
      </c>
      <c r="C2267" s="66"/>
      <c r="D2267" s="60"/>
      <c r="E2267" s="61"/>
      <c r="F2267" s="61"/>
      <c r="G2267" s="67"/>
      <c r="H2267" s="60"/>
      <c r="I2267" s="60"/>
      <c r="J2267" s="61"/>
      <c r="K2267" s="61"/>
      <c r="L2267" s="60"/>
      <c r="M2267" s="74" t="str">
        <f>IF($C2267="","",IF($D2267="Gider",$E2267,IF($L2267&lt;&gt;"",$L2267,$H2267)))</f>
        <v/>
      </c>
      <c r="N2267" s="74" t="str">
        <f>IF($C2267="","",IF($D2267="Gider",$H2267,$E2267))</f>
        <v/>
      </c>
      <c r="O2267" s="73" t="str">
        <f>IF($C2267="","",DATE(YEAR($C2267),MONTH($C2267),1))</f>
        <v/>
      </c>
      <c r="P2267" s="65" t="str">
        <f ca="1">IF($C2267="","",IF(AND($D2267="Gelir",$L2267&lt;&gt;"",$T2267=""),"TANIMSIZ BORÇLU",IF($T2267&lt;&gt;"",IF(OR($E2267="",$G2267&lt;=0),"EKSİK",IF($I2267="Evet","TAHAKKUK NAKİT OLAMAZ",IF($C2267&gt;TODAY(),"İLERİ TARİH","TAHAKKUK"))),IF(AND($D2267&lt;&gt;"",$E2267&lt;&gt;"",$G2267&gt;0,$H2267&lt;&gt;"",$I2267&lt;&gt;""),IF($C2267&gt;TODAY(),"İLERİ TARİH",IF(COUNTIF($W$7:$W$3001,$W2267)&gt;1,"MÜKERRER?",IF($AD2267&gt;0,"KAPALI DÖNEM",IF($I2267="Hayır","ÖDENECEK","UYGUN")))),"EKSİK"))))</f>
        <v/>
      </c>
      <c r="Q2267" s="2"/>
      <c r="R2267" s="2"/>
      <c r="S2267" s="1" t="str">
        <f t="shared" si="107"/>
        <v/>
      </c>
      <c r="T2267" s="1" t="str">
        <f>IF(OR($C2267="",$D2267&lt;&gt;"Gelir",$L2267=""),"",IFERROR(INDEX(MUSTERILER!$B$7:$B$156,MATCH($S2267,MUSTERILER!$T$7:$T$156,0)),""))</f>
        <v/>
      </c>
      <c r="U2267" s="1" t="str">
        <f>IF($T2267="","",$T2267&amp;"|"&amp;COUNTIFS($T$7:$T2267,$T2267))</f>
        <v/>
      </c>
      <c r="V2267" s="1">
        <f t="shared" si="108"/>
        <v>0</v>
      </c>
      <c r="W2267" s="1" t="str">
        <f t="shared" si="109"/>
        <v/>
      </c>
      <c r="X2267" s="1"/>
      <c r="Y2267" s="1"/>
      <c r="Z2267" s="1"/>
      <c r="AA2267" s="1"/>
      <c r="AB2267" s="1"/>
      <c r="AC2267" s="1"/>
      <c r="AD2267" s="1">
        <f>IF($C2267="",0,SUMPRODUCT((AY_SONU!$O$7:$O$42="Evet")*(AY_SONU!$B$7:$B$42=DATE(YEAR($C2267),MONTH($C2267),1))))</f>
        <v>0</v>
      </c>
      <c r="AE2267" s="1" t="str">
        <f>IF($E2267="","",$E2267&amp;"|"&amp;COUNTIFS($E$7:$E2267,$E2267))</f>
        <v/>
      </c>
    </row>
    <row r="2268" spans="1:31" ht="18" customHeight="1" x14ac:dyDescent="0.3">
      <c r="A2268" s="2"/>
      <c r="B2268" s="65" t="str">
        <f>IF($C2268="","","GG"&amp;TEXT(ROW()-6,"00000"))</f>
        <v/>
      </c>
      <c r="C2268" s="66"/>
      <c r="D2268" s="60"/>
      <c r="E2268" s="61"/>
      <c r="F2268" s="61"/>
      <c r="G2268" s="67"/>
      <c r="H2268" s="60"/>
      <c r="I2268" s="60"/>
      <c r="J2268" s="61"/>
      <c r="K2268" s="61"/>
      <c r="L2268" s="60"/>
      <c r="M2268" s="74" t="str">
        <f>IF($C2268="","",IF($D2268="Gider",$E2268,IF($L2268&lt;&gt;"",$L2268,$H2268)))</f>
        <v/>
      </c>
      <c r="N2268" s="74" t="str">
        <f>IF($C2268="","",IF($D2268="Gider",$H2268,$E2268))</f>
        <v/>
      </c>
      <c r="O2268" s="73" t="str">
        <f>IF($C2268="","",DATE(YEAR($C2268),MONTH($C2268),1))</f>
        <v/>
      </c>
      <c r="P2268" s="65" t="str">
        <f ca="1">IF($C2268="","",IF(AND($D2268="Gelir",$L2268&lt;&gt;"",$T2268=""),"TANIMSIZ BORÇLU",IF($T2268&lt;&gt;"",IF(OR($E2268="",$G2268&lt;=0),"EKSİK",IF($I2268="Evet","TAHAKKUK NAKİT OLAMAZ",IF($C2268&gt;TODAY(),"İLERİ TARİH","TAHAKKUK"))),IF(AND($D2268&lt;&gt;"",$E2268&lt;&gt;"",$G2268&gt;0,$H2268&lt;&gt;"",$I2268&lt;&gt;""),IF($C2268&gt;TODAY(),"İLERİ TARİH",IF(COUNTIF($W$7:$W$3001,$W2268)&gt;1,"MÜKERRER?",IF($AD2268&gt;0,"KAPALI DÖNEM",IF($I2268="Hayır","ÖDENECEK","UYGUN")))),"EKSİK"))))</f>
        <v/>
      </c>
      <c r="Q2268" s="2"/>
      <c r="R2268" s="2"/>
      <c r="S2268" s="1" t="str">
        <f t="shared" si="107"/>
        <v/>
      </c>
      <c r="T2268" s="1" t="str">
        <f>IF(OR($C2268="",$D2268&lt;&gt;"Gelir",$L2268=""),"",IFERROR(INDEX(MUSTERILER!$B$7:$B$156,MATCH($S2268,MUSTERILER!$T$7:$T$156,0)),""))</f>
        <v/>
      </c>
      <c r="U2268" s="1" t="str">
        <f>IF($T2268="","",$T2268&amp;"|"&amp;COUNTIFS($T$7:$T2268,$T2268))</f>
        <v/>
      </c>
      <c r="V2268" s="1">
        <f t="shared" si="108"/>
        <v>0</v>
      </c>
      <c r="W2268" s="1" t="str">
        <f t="shared" si="109"/>
        <v/>
      </c>
      <c r="X2268" s="1"/>
      <c r="Y2268" s="1"/>
      <c r="Z2268" s="1"/>
      <c r="AA2268" s="1"/>
      <c r="AB2268" s="1"/>
      <c r="AC2268" s="1"/>
      <c r="AD2268" s="1">
        <f>IF($C2268="",0,SUMPRODUCT((AY_SONU!$O$7:$O$42="Evet")*(AY_SONU!$B$7:$B$42=DATE(YEAR($C2268),MONTH($C2268),1))))</f>
        <v>0</v>
      </c>
      <c r="AE2268" s="1" t="str">
        <f>IF($E2268="","",$E2268&amp;"|"&amp;COUNTIFS($E$7:$E2268,$E2268))</f>
        <v/>
      </c>
    </row>
    <row r="2269" spans="1:31" ht="18" customHeight="1" x14ac:dyDescent="0.3">
      <c r="A2269" s="2"/>
      <c r="B2269" s="65" t="str">
        <f>IF($C2269="","","GG"&amp;TEXT(ROW()-6,"00000"))</f>
        <v/>
      </c>
      <c r="C2269" s="66"/>
      <c r="D2269" s="60"/>
      <c r="E2269" s="61"/>
      <c r="F2269" s="61"/>
      <c r="G2269" s="67"/>
      <c r="H2269" s="60"/>
      <c r="I2269" s="60"/>
      <c r="J2269" s="61"/>
      <c r="K2269" s="61"/>
      <c r="L2269" s="60"/>
      <c r="M2269" s="74" t="str">
        <f>IF($C2269="","",IF($D2269="Gider",$E2269,IF($L2269&lt;&gt;"",$L2269,$H2269)))</f>
        <v/>
      </c>
      <c r="N2269" s="74" t="str">
        <f>IF($C2269="","",IF($D2269="Gider",$H2269,$E2269))</f>
        <v/>
      </c>
      <c r="O2269" s="73" t="str">
        <f>IF($C2269="","",DATE(YEAR($C2269),MONTH($C2269),1))</f>
        <v/>
      </c>
      <c r="P2269" s="65" t="str">
        <f ca="1">IF($C2269="","",IF(AND($D2269="Gelir",$L2269&lt;&gt;"",$T2269=""),"TANIMSIZ BORÇLU",IF($T2269&lt;&gt;"",IF(OR($E2269="",$G2269&lt;=0),"EKSİK",IF($I2269="Evet","TAHAKKUK NAKİT OLAMAZ",IF($C2269&gt;TODAY(),"İLERİ TARİH","TAHAKKUK"))),IF(AND($D2269&lt;&gt;"",$E2269&lt;&gt;"",$G2269&gt;0,$H2269&lt;&gt;"",$I2269&lt;&gt;""),IF($C2269&gt;TODAY(),"İLERİ TARİH",IF(COUNTIF($W$7:$W$3001,$W2269)&gt;1,"MÜKERRER?",IF($AD2269&gt;0,"KAPALI DÖNEM",IF($I2269="Hayır","ÖDENECEK","UYGUN")))),"EKSİK"))))</f>
        <v/>
      </c>
      <c r="Q2269" s="2"/>
      <c r="R2269" s="2"/>
      <c r="S2269" s="1" t="str">
        <f t="shared" si="107"/>
        <v/>
      </c>
      <c r="T2269" s="1" t="str">
        <f>IF(OR($C2269="",$D2269&lt;&gt;"Gelir",$L2269=""),"",IFERROR(INDEX(MUSTERILER!$B$7:$B$156,MATCH($S2269,MUSTERILER!$T$7:$T$156,0)),""))</f>
        <v/>
      </c>
      <c r="U2269" s="1" t="str">
        <f>IF($T2269="","",$T2269&amp;"|"&amp;COUNTIFS($T$7:$T2269,$T2269))</f>
        <v/>
      </c>
      <c r="V2269" s="1">
        <f t="shared" si="108"/>
        <v>0</v>
      </c>
      <c r="W2269" s="1" t="str">
        <f t="shared" si="109"/>
        <v/>
      </c>
      <c r="X2269" s="1"/>
      <c r="Y2269" s="1"/>
      <c r="Z2269" s="1"/>
      <c r="AA2269" s="1"/>
      <c r="AB2269" s="1"/>
      <c r="AC2269" s="1"/>
      <c r="AD2269" s="1">
        <f>IF($C2269="",0,SUMPRODUCT((AY_SONU!$O$7:$O$42="Evet")*(AY_SONU!$B$7:$B$42=DATE(YEAR($C2269),MONTH($C2269),1))))</f>
        <v>0</v>
      </c>
      <c r="AE2269" s="1" t="str">
        <f>IF($E2269="","",$E2269&amp;"|"&amp;COUNTIFS($E$7:$E2269,$E2269))</f>
        <v/>
      </c>
    </row>
    <row r="2270" spans="1:31" ht="18" customHeight="1" x14ac:dyDescent="0.3">
      <c r="A2270" s="2"/>
      <c r="B2270" s="65" t="str">
        <f>IF($C2270="","","GG"&amp;TEXT(ROW()-6,"00000"))</f>
        <v/>
      </c>
      <c r="C2270" s="66"/>
      <c r="D2270" s="60"/>
      <c r="E2270" s="61"/>
      <c r="F2270" s="61"/>
      <c r="G2270" s="67"/>
      <c r="H2270" s="60"/>
      <c r="I2270" s="60"/>
      <c r="J2270" s="61"/>
      <c r="K2270" s="61"/>
      <c r="L2270" s="60"/>
      <c r="M2270" s="74" t="str">
        <f>IF($C2270="","",IF($D2270="Gider",$E2270,IF($L2270&lt;&gt;"",$L2270,$H2270)))</f>
        <v/>
      </c>
      <c r="N2270" s="74" t="str">
        <f>IF($C2270="","",IF($D2270="Gider",$H2270,$E2270))</f>
        <v/>
      </c>
      <c r="O2270" s="73" t="str">
        <f>IF($C2270="","",DATE(YEAR($C2270),MONTH($C2270),1))</f>
        <v/>
      </c>
      <c r="P2270" s="65" t="str">
        <f ca="1">IF($C2270="","",IF(AND($D2270="Gelir",$L2270&lt;&gt;"",$T2270=""),"TANIMSIZ BORÇLU",IF($T2270&lt;&gt;"",IF(OR($E2270="",$G2270&lt;=0),"EKSİK",IF($I2270="Evet","TAHAKKUK NAKİT OLAMAZ",IF($C2270&gt;TODAY(),"İLERİ TARİH","TAHAKKUK"))),IF(AND($D2270&lt;&gt;"",$E2270&lt;&gt;"",$G2270&gt;0,$H2270&lt;&gt;"",$I2270&lt;&gt;""),IF($C2270&gt;TODAY(),"İLERİ TARİH",IF(COUNTIF($W$7:$W$3001,$W2270)&gt;1,"MÜKERRER?",IF($AD2270&gt;0,"KAPALI DÖNEM",IF($I2270="Hayır","ÖDENECEK","UYGUN")))),"EKSİK"))))</f>
        <v/>
      </c>
      <c r="Q2270" s="2"/>
      <c r="R2270" s="2"/>
      <c r="S2270" s="1" t="str">
        <f t="shared" si="107"/>
        <v/>
      </c>
      <c r="T2270" s="1" t="str">
        <f>IF(OR($C2270="",$D2270&lt;&gt;"Gelir",$L2270=""),"",IFERROR(INDEX(MUSTERILER!$B$7:$B$156,MATCH($S2270,MUSTERILER!$T$7:$T$156,0)),""))</f>
        <v/>
      </c>
      <c r="U2270" s="1" t="str">
        <f>IF($T2270="","",$T2270&amp;"|"&amp;COUNTIFS($T$7:$T2270,$T2270))</f>
        <v/>
      </c>
      <c r="V2270" s="1">
        <f t="shared" si="108"/>
        <v>0</v>
      </c>
      <c r="W2270" s="1" t="str">
        <f t="shared" si="109"/>
        <v/>
      </c>
      <c r="X2270" s="1"/>
      <c r="Y2270" s="1"/>
      <c r="Z2270" s="1"/>
      <c r="AA2270" s="1"/>
      <c r="AB2270" s="1"/>
      <c r="AC2270" s="1"/>
      <c r="AD2270" s="1">
        <f>IF($C2270="",0,SUMPRODUCT((AY_SONU!$O$7:$O$42="Evet")*(AY_SONU!$B$7:$B$42=DATE(YEAR($C2270),MONTH($C2270),1))))</f>
        <v>0</v>
      </c>
      <c r="AE2270" s="1" t="str">
        <f>IF($E2270="","",$E2270&amp;"|"&amp;COUNTIFS($E$7:$E2270,$E2270))</f>
        <v/>
      </c>
    </row>
    <row r="2271" spans="1:31" ht="18" customHeight="1" x14ac:dyDescent="0.3">
      <c r="A2271" s="2"/>
      <c r="B2271" s="65" t="str">
        <f>IF($C2271="","","GG"&amp;TEXT(ROW()-6,"00000"))</f>
        <v/>
      </c>
      <c r="C2271" s="66"/>
      <c r="D2271" s="60"/>
      <c r="E2271" s="61"/>
      <c r="F2271" s="61"/>
      <c r="G2271" s="67"/>
      <c r="H2271" s="60"/>
      <c r="I2271" s="60"/>
      <c r="J2271" s="61"/>
      <c r="K2271" s="61"/>
      <c r="L2271" s="60"/>
      <c r="M2271" s="74" t="str">
        <f>IF($C2271="","",IF($D2271="Gider",$E2271,IF($L2271&lt;&gt;"",$L2271,$H2271)))</f>
        <v/>
      </c>
      <c r="N2271" s="74" t="str">
        <f>IF($C2271="","",IF($D2271="Gider",$H2271,$E2271))</f>
        <v/>
      </c>
      <c r="O2271" s="73" t="str">
        <f>IF($C2271="","",DATE(YEAR($C2271),MONTH($C2271),1))</f>
        <v/>
      </c>
      <c r="P2271" s="65" t="str">
        <f ca="1">IF($C2271="","",IF(AND($D2271="Gelir",$L2271&lt;&gt;"",$T2271=""),"TANIMSIZ BORÇLU",IF($T2271&lt;&gt;"",IF(OR($E2271="",$G2271&lt;=0),"EKSİK",IF($I2271="Evet","TAHAKKUK NAKİT OLAMAZ",IF($C2271&gt;TODAY(),"İLERİ TARİH","TAHAKKUK"))),IF(AND($D2271&lt;&gt;"",$E2271&lt;&gt;"",$G2271&gt;0,$H2271&lt;&gt;"",$I2271&lt;&gt;""),IF($C2271&gt;TODAY(),"İLERİ TARİH",IF(COUNTIF($W$7:$W$3001,$W2271)&gt;1,"MÜKERRER?",IF($AD2271&gt;0,"KAPALI DÖNEM",IF($I2271="Hayır","ÖDENECEK","UYGUN")))),"EKSİK"))))</f>
        <v/>
      </c>
      <c r="Q2271" s="2"/>
      <c r="R2271" s="2"/>
      <c r="S2271" s="1" t="str">
        <f t="shared" si="107"/>
        <v/>
      </c>
      <c r="T2271" s="1" t="str">
        <f>IF(OR($C2271="",$D2271&lt;&gt;"Gelir",$L2271=""),"",IFERROR(INDEX(MUSTERILER!$B$7:$B$156,MATCH($S2271,MUSTERILER!$T$7:$T$156,0)),""))</f>
        <v/>
      </c>
      <c r="U2271" s="1" t="str">
        <f>IF($T2271="","",$T2271&amp;"|"&amp;COUNTIFS($T$7:$T2271,$T2271))</f>
        <v/>
      </c>
      <c r="V2271" s="1">
        <f t="shared" si="108"/>
        <v>0</v>
      </c>
      <c r="W2271" s="1" t="str">
        <f t="shared" si="109"/>
        <v/>
      </c>
      <c r="X2271" s="1"/>
      <c r="Y2271" s="1"/>
      <c r="Z2271" s="1"/>
      <c r="AA2271" s="1"/>
      <c r="AB2271" s="1"/>
      <c r="AC2271" s="1"/>
      <c r="AD2271" s="1">
        <f>IF($C2271="",0,SUMPRODUCT((AY_SONU!$O$7:$O$42="Evet")*(AY_SONU!$B$7:$B$42=DATE(YEAR($C2271),MONTH($C2271),1))))</f>
        <v>0</v>
      </c>
      <c r="AE2271" s="1" t="str">
        <f>IF($E2271="","",$E2271&amp;"|"&amp;COUNTIFS($E$7:$E2271,$E2271))</f>
        <v/>
      </c>
    </row>
    <row r="2272" spans="1:31" ht="18" customHeight="1" x14ac:dyDescent="0.3">
      <c r="A2272" s="2"/>
      <c r="B2272" s="65" t="str">
        <f>IF($C2272="","","GG"&amp;TEXT(ROW()-6,"00000"))</f>
        <v/>
      </c>
      <c r="C2272" s="66"/>
      <c r="D2272" s="60"/>
      <c r="E2272" s="61"/>
      <c r="F2272" s="61"/>
      <c r="G2272" s="67"/>
      <c r="H2272" s="60"/>
      <c r="I2272" s="60"/>
      <c r="J2272" s="61"/>
      <c r="K2272" s="61"/>
      <c r="L2272" s="60"/>
      <c r="M2272" s="74" t="str">
        <f>IF($C2272="","",IF($D2272="Gider",$E2272,IF($L2272&lt;&gt;"",$L2272,$H2272)))</f>
        <v/>
      </c>
      <c r="N2272" s="74" t="str">
        <f>IF($C2272="","",IF($D2272="Gider",$H2272,$E2272))</f>
        <v/>
      </c>
      <c r="O2272" s="73" t="str">
        <f>IF($C2272="","",DATE(YEAR($C2272),MONTH($C2272),1))</f>
        <v/>
      </c>
      <c r="P2272" s="65" t="str">
        <f ca="1">IF($C2272="","",IF(AND($D2272="Gelir",$L2272&lt;&gt;"",$T2272=""),"TANIMSIZ BORÇLU",IF($T2272&lt;&gt;"",IF(OR($E2272="",$G2272&lt;=0),"EKSİK",IF($I2272="Evet","TAHAKKUK NAKİT OLAMAZ",IF($C2272&gt;TODAY(),"İLERİ TARİH","TAHAKKUK"))),IF(AND($D2272&lt;&gt;"",$E2272&lt;&gt;"",$G2272&gt;0,$H2272&lt;&gt;"",$I2272&lt;&gt;""),IF($C2272&gt;TODAY(),"İLERİ TARİH",IF(COUNTIF($W$7:$W$3001,$W2272)&gt;1,"MÜKERRER?",IF($AD2272&gt;0,"KAPALI DÖNEM",IF($I2272="Hayır","ÖDENECEK","UYGUN")))),"EKSİK"))))</f>
        <v/>
      </c>
      <c r="Q2272" s="2"/>
      <c r="R2272" s="2"/>
      <c r="S2272" s="1" t="str">
        <f t="shared" si="107"/>
        <v/>
      </c>
      <c r="T2272" s="1" t="str">
        <f>IF(OR($C2272="",$D2272&lt;&gt;"Gelir",$L2272=""),"",IFERROR(INDEX(MUSTERILER!$B$7:$B$156,MATCH($S2272,MUSTERILER!$T$7:$T$156,0)),""))</f>
        <v/>
      </c>
      <c r="U2272" s="1" t="str">
        <f>IF($T2272="","",$T2272&amp;"|"&amp;COUNTIFS($T$7:$T2272,$T2272))</f>
        <v/>
      </c>
      <c r="V2272" s="1">
        <f t="shared" si="108"/>
        <v>0</v>
      </c>
      <c r="W2272" s="1" t="str">
        <f t="shared" si="109"/>
        <v/>
      </c>
      <c r="X2272" s="1"/>
      <c r="Y2272" s="1"/>
      <c r="Z2272" s="1"/>
      <c r="AA2272" s="1"/>
      <c r="AB2272" s="1"/>
      <c r="AC2272" s="1"/>
      <c r="AD2272" s="1">
        <f>IF($C2272="",0,SUMPRODUCT((AY_SONU!$O$7:$O$42="Evet")*(AY_SONU!$B$7:$B$42=DATE(YEAR($C2272),MONTH($C2272),1))))</f>
        <v>0</v>
      </c>
      <c r="AE2272" s="1" t="str">
        <f>IF($E2272="","",$E2272&amp;"|"&amp;COUNTIFS($E$7:$E2272,$E2272))</f>
        <v/>
      </c>
    </row>
    <row r="2273" spans="1:31" ht="18" customHeight="1" x14ac:dyDescent="0.3">
      <c r="A2273" s="2"/>
      <c r="B2273" s="65" t="str">
        <f>IF($C2273="","","GG"&amp;TEXT(ROW()-6,"00000"))</f>
        <v/>
      </c>
      <c r="C2273" s="66"/>
      <c r="D2273" s="60"/>
      <c r="E2273" s="61"/>
      <c r="F2273" s="61"/>
      <c r="G2273" s="67"/>
      <c r="H2273" s="60"/>
      <c r="I2273" s="60"/>
      <c r="J2273" s="61"/>
      <c r="K2273" s="61"/>
      <c r="L2273" s="60"/>
      <c r="M2273" s="74" t="str">
        <f>IF($C2273="","",IF($D2273="Gider",$E2273,IF($L2273&lt;&gt;"",$L2273,$H2273)))</f>
        <v/>
      </c>
      <c r="N2273" s="74" t="str">
        <f>IF($C2273="","",IF($D2273="Gider",$H2273,$E2273))</f>
        <v/>
      </c>
      <c r="O2273" s="73" t="str">
        <f>IF($C2273="","",DATE(YEAR($C2273),MONTH($C2273),1))</f>
        <v/>
      </c>
      <c r="P2273" s="65" t="str">
        <f ca="1">IF($C2273="","",IF(AND($D2273="Gelir",$L2273&lt;&gt;"",$T2273=""),"TANIMSIZ BORÇLU",IF($T2273&lt;&gt;"",IF(OR($E2273="",$G2273&lt;=0),"EKSİK",IF($I2273="Evet","TAHAKKUK NAKİT OLAMAZ",IF($C2273&gt;TODAY(),"İLERİ TARİH","TAHAKKUK"))),IF(AND($D2273&lt;&gt;"",$E2273&lt;&gt;"",$G2273&gt;0,$H2273&lt;&gt;"",$I2273&lt;&gt;""),IF($C2273&gt;TODAY(),"İLERİ TARİH",IF(COUNTIF($W$7:$W$3001,$W2273)&gt;1,"MÜKERRER?",IF($AD2273&gt;0,"KAPALI DÖNEM",IF($I2273="Hayır","ÖDENECEK","UYGUN")))),"EKSİK"))))</f>
        <v/>
      </c>
      <c r="Q2273" s="2"/>
      <c r="R2273" s="2"/>
      <c r="S2273" s="1" t="str">
        <f t="shared" si="107"/>
        <v/>
      </c>
      <c r="T2273" s="1" t="str">
        <f>IF(OR($C2273="",$D2273&lt;&gt;"Gelir",$L2273=""),"",IFERROR(INDEX(MUSTERILER!$B$7:$B$156,MATCH($S2273,MUSTERILER!$T$7:$T$156,0)),""))</f>
        <v/>
      </c>
      <c r="U2273" s="1" t="str">
        <f>IF($T2273="","",$T2273&amp;"|"&amp;COUNTIFS($T$7:$T2273,$T2273))</f>
        <v/>
      </c>
      <c r="V2273" s="1">
        <f t="shared" si="108"/>
        <v>0</v>
      </c>
      <c r="W2273" s="1" t="str">
        <f t="shared" si="109"/>
        <v/>
      </c>
      <c r="X2273" s="1"/>
      <c r="Y2273" s="1"/>
      <c r="Z2273" s="1"/>
      <c r="AA2273" s="1"/>
      <c r="AB2273" s="1"/>
      <c r="AC2273" s="1"/>
      <c r="AD2273" s="1">
        <f>IF($C2273="",0,SUMPRODUCT((AY_SONU!$O$7:$O$42="Evet")*(AY_SONU!$B$7:$B$42=DATE(YEAR($C2273),MONTH($C2273),1))))</f>
        <v>0</v>
      </c>
      <c r="AE2273" s="1" t="str">
        <f>IF($E2273="","",$E2273&amp;"|"&amp;COUNTIFS($E$7:$E2273,$E2273))</f>
        <v/>
      </c>
    </row>
    <row r="2274" spans="1:31" ht="18" customHeight="1" x14ac:dyDescent="0.3">
      <c r="A2274" s="2"/>
      <c r="B2274" s="65" t="str">
        <f>IF($C2274="","","GG"&amp;TEXT(ROW()-6,"00000"))</f>
        <v/>
      </c>
      <c r="C2274" s="66"/>
      <c r="D2274" s="60"/>
      <c r="E2274" s="61"/>
      <c r="F2274" s="61"/>
      <c r="G2274" s="67"/>
      <c r="H2274" s="60"/>
      <c r="I2274" s="60"/>
      <c r="J2274" s="61"/>
      <c r="K2274" s="61"/>
      <c r="L2274" s="60"/>
      <c r="M2274" s="74" t="str">
        <f>IF($C2274="","",IF($D2274="Gider",$E2274,IF($L2274&lt;&gt;"",$L2274,$H2274)))</f>
        <v/>
      </c>
      <c r="N2274" s="74" t="str">
        <f>IF($C2274="","",IF($D2274="Gider",$H2274,$E2274))</f>
        <v/>
      </c>
      <c r="O2274" s="73" t="str">
        <f>IF($C2274="","",DATE(YEAR($C2274),MONTH($C2274),1))</f>
        <v/>
      </c>
      <c r="P2274" s="65" t="str">
        <f ca="1">IF($C2274="","",IF(AND($D2274="Gelir",$L2274&lt;&gt;"",$T2274=""),"TANIMSIZ BORÇLU",IF($T2274&lt;&gt;"",IF(OR($E2274="",$G2274&lt;=0),"EKSİK",IF($I2274="Evet","TAHAKKUK NAKİT OLAMAZ",IF($C2274&gt;TODAY(),"İLERİ TARİH","TAHAKKUK"))),IF(AND($D2274&lt;&gt;"",$E2274&lt;&gt;"",$G2274&gt;0,$H2274&lt;&gt;"",$I2274&lt;&gt;""),IF($C2274&gt;TODAY(),"İLERİ TARİH",IF(COUNTIF($W$7:$W$3001,$W2274)&gt;1,"MÜKERRER?",IF($AD2274&gt;0,"KAPALI DÖNEM",IF($I2274="Hayır","ÖDENECEK","UYGUN")))),"EKSİK"))))</f>
        <v/>
      </c>
      <c r="Q2274" s="2"/>
      <c r="R2274" s="2"/>
      <c r="S2274" s="1" t="str">
        <f t="shared" si="107"/>
        <v/>
      </c>
      <c r="T2274" s="1" t="str">
        <f>IF(OR($C2274="",$D2274&lt;&gt;"Gelir",$L2274=""),"",IFERROR(INDEX(MUSTERILER!$B$7:$B$156,MATCH($S2274,MUSTERILER!$T$7:$T$156,0)),""))</f>
        <v/>
      </c>
      <c r="U2274" s="1" t="str">
        <f>IF($T2274="","",$T2274&amp;"|"&amp;COUNTIFS($T$7:$T2274,$T2274))</f>
        <v/>
      </c>
      <c r="V2274" s="1">
        <f t="shared" si="108"/>
        <v>0</v>
      </c>
      <c r="W2274" s="1" t="str">
        <f t="shared" si="109"/>
        <v/>
      </c>
      <c r="X2274" s="1"/>
      <c r="Y2274" s="1"/>
      <c r="Z2274" s="1"/>
      <c r="AA2274" s="1"/>
      <c r="AB2274" s="1"/>
      <c r="AC2274" s="1"/>
      <c r="AD2274" s="1">
        <f>IF($C2274="",0,SUMPRODUCT((AY_SONU!$O$7:$O$42="Evet")*(AY_SONU!$B$7:$B$42=DATE(YEAR($C2274),MONTH($C2274),1))))</f>
        <v>0</v>
      </c>
      <c r="AE2274" s="1" t="str">
        <f>IF($E2274="","",$E2274&amp;"|"&amp;COUNTIFS($E$7:$E2274,$E2274))</f>
        <v/>
      </c>
    </row>
    <row r="2275" spans="1:31" ht="18" customHeight="1" x14ac:dyDescent="0.3">
      <c r="A2275" s="2"/>
      <c r="B2275" s="65" t="str">
        <f>IF($C2275="","","GG"&amp;TEXT(ROW()-6,"00000"))</f>
        <v/>
      </c>
      <c r="C2275" s="66"/>
      <c r="D2275" s="60"/>
      <c r="E2275" s="61"/>
      <c r="F2275" s="61"/>
      <c r="G2275" s="67"/>
      <c r="H2275" s="60"/>
      <c r="I2275" s="60"/>
      <c r="J2275" s="61"/>
      <c r="K2275" s="61"/>
      <c r="L2275" s="60"/>
      <c r="M2275" s="74" t="str">
        <f>IF($C2275="","",IF($D2275="Gider",$E2275,IF($L2275&lt;&gt;"",$L2275,$H2275)))</f>
        <v/>
      </c>
      <c r="N2275" s="74" t="str">
        <f>IF($C2275="","",IF($D2275="Gider",$H2275,$E2275))</f>
        <v/>
      </c>
      <c r="O2275" s="73" t="str">
        <f>IF($C2275="","",DATE(YEAR($C2275),MONTH($C2275),1))</f>
        <v/>
      </c>
      <c r="P2275" s="65" t="str">
        <f ca="1">IF($C2275="","",IF(AND($D2275="Gelir",$L2275&lt;&gt;"",$T2275=""),"TANIMSIZ BORÇLU",IF($T2275&lt;&gt;"",IF(OR($E2275="",$G2275&lt;=0),"EKSİK",IF($I2275="Evet","TAHAKKUK NAKİT OLAMAZ",IF($C2275&gt;TODAY(),"İLERİ TARİH","TAHAKKUK"))),IF(AND($D2275&lt;&gt;"",$E2275&lt;&gt;"",$G2275&gt;0,$H2275&lt;&gt;"",$I2275&lt;&gt;""),IF($C2275&gt;TODAY(),"İLERİ TARİH",IF(COUNTIF($W$7:$W$3001,$W2275)&gt;1,"MÜKERRER?",IF($AD2275&gt;0,"KAPALI DÖNEM",IF($I2275="Hayır","ÖDENECEK","UYGUN")))),"EKSİK"))))</f>
        <v/>
      </c>
      <c r="Q2275" s="2"/>
      <c r="R2275" s="2"/>
      <c r="S2275" s="1" t="str">
        <f t="shared" si="107"/>
        <v/>
      </c>
      <c r="T2275" s="1" t="str">
        <f>IF(OR($C2275="",$D2275&lt;&gt;"Gelir",$L2275=""),"",IFERROR(INDEX(MUSTERILER!$B$7:$B$156,MATCH($S2275,MUSTERILER!$T$7:$T$156,0)),""))</f>
        <v/>
      </c>
      <c r="U2275" s="1" t="str">
        <f>IF($T2275="","",$T2275&amp;"|"&amp;COUNTIFS($T$7:$T2275,$T2275))</f>
        <v/>
      </c>
      <c r="V2275" s="1">
        <f t="shared" si="108"/>
        <v>0</v>
      </c>
      <c r="W2275" s="1" t="str">
        <f t="shared" si="109"/>
        <v/>
      </c>
      <c r="X2275" s="1"/>
      <c r="Y2275" s="1"/>
      <c r="Z2275" s="1"/>
      <c r="AA2275" s="1"/>
      <c r="AB2275" s="1"/>
      <c r="AC2275" s="1"/>
      <c r="AD2275" s="1">
        <f>IF($C2275="",0,SUMPRODUCT((AY_SONU!$O$7:$O$42="Evet")*(AY_SONU!$B$7:$B$42=DATE(YEAR($C2275),MONTH($C2275),1))))</f>
        <v>0</v>
      </c>
      <c r="AE2275" s="1" t="str">
        <f>IF($E2275="","",$E2275&amp;"|"&amp;COUNTIFS($E$7:$E2275,$E2275))</f>
        <v/>
      </c>
    </row>
    <row r="2276" spans="1:31" ht="18" customHeight="1" x14ac:dyDescent="0.3">
      <c r="A2276" s="2"/>
      <c r="B2276" s="65" t="str">
        <f>IF($C2276="","","GG"&amp;TEXT(ROW()-6,"00000"))</f>
        <v/>
      </c>
      <c r="C2276" s="66"/>
      <c r="D2276" s="60"/>
      <c r="E2276" s="61"/>
      <c r="F2276" s="61"/>
      <c r="G2276" s="67"/>
      <c r="H2276" s="60"/>
      <c r="I2276" s="60"/>
      <c r="J2276" s="61"/>
      <c r="K2276" s="61"/>
      <c r="L2276" s="60"/>
      <c r="M2276" s="74" t="str">
        <f>IF($C2276="","",IF($D2276="Gider",$E2276,IF($L2276&lt;&gt;"",$L2276,$H2276)))</f>
        <v/>
      </c>
      <c r="N2276" s="74" t="str">
        <f>IF($C2276="","",IF($D2276="Gider",$H2276,$E2276))</f>
        <v/>
      </c>
      <c r="O2276" s="73" t="str">
        <f>IF($C2276="","",DATE(YEAR($C2276),MONTH($C2276),1))</f>
        <v/>
      </c>
      <c r="P2276" s="65" t="str">
        <f ca="1">IF($C2276="","",IF(AND($D2276="Gelir",$L2276&lt;&gt;"",$T2276=""),"TANIMSIZ BORÇLU",IF($T2276&lt;&gt;"",IF(OR($E2276="",$G2276&lt;=0),"EKSİK",IF($I2276="Evet","TAHAKKUK NAKİT OLAMAZ",IF($C2276&gt;TODAY(),"İLERİ TARİH","TAHAKKUK"))),IF(AND($D2276&lt;&gt;"",$E2276&lt;&gt;"",$G2276&gt;0,$H2276&lt;&gt;"",$I2276&lt;&gt;""),IF($C2276&gt;TODAY(),"İLERİ TARİH",IF(COUNTIF($W$7:$W$3001,$W2276)&gt;1,"MÜKERRER?",IF($AD2276&gt;0,"KAPALI DÖNEM",IF($I2276="Hayır","ÖDENECEK","UYGUN")))),"EKSİK"))))</f>
        <v/>
      </c>
      <c r="Q2276" s="2"/>
      <c r="R2276" s="2"/>
      <c r="S2276" s="1" t="str">
        <f t="shared" si="107"/>
        <v/>
      </c>
      <c r="T2276" s="1" t="str">
        <f>IF(OR($C2276="",$D2276&lt;&gt;"Gelir",$L2276=""),"",IFERROR(INDEX(MUSTERILER!$B$7:$B$156,MATCH($S2276,MUSTERILER!$T$7:$T$156,0)),""))</f>
        <v/>
      </c>
      <c r="U2276" s="1" t="str">
        <f>IF($T2276="","",$T2276&amp;"|"&amp;COUNTIFS($T$7:$T2276,$T2276))</f>
        <v/>
      </c>
      <c r="V2276" s="1">
        <f t="shared" si="108"/>
        <v>0</v>
      </c>
      <c r="W2276" s="1" t="str">
        <f t="shared" si="109"/>
        <v/>
      </c>
      <c r="X2276" s="1"/>
      <c r="Y2276" s="1"/>
      <c r="Z2276" s="1"/>
      <c r="AA2276" s="1"/>
      <c r="AB2276" s="1"/>
      <c r="AC2276" s="1"/>
      <c r="AD2276" s="1">
        <f>IF($C2276="",0,SUMPRODUCT((AY_SONU!$O$7:$O$42="Evet")*(AY_SONU!$B$7:$B$42=DATE(YEAR($C2276),MONTH($C2276),1))))</f>
        <v>0</v>
      </c>
      <c r="AE2276" s="1" t="str">
        <f>IF($E2276="","",$E2276&amp;"|"&amp;COUNTIFS($E$7:$E2276,$E2276))</f>
        <v/>
      </c>
    </row>
    <row r="2277" spans="1:31" ht="18" customHeight="1" x14ac:dyDescent="0.3">
      <c r="A2277" s="2"/>
      <c r="B2277" s="65" t="str">
        <f>IF($C2277="","","GG"&amp;TEXT(ROW()-6,"00000"))</f>
        <v/>
      </c>
      <c r="C2277" s="66"/>
      <c r="D2277" s="60"/>
      <c r="E2277" s="61"/>
      <c r="F2277" s="61"/>
      <c r="G2277" s="67"/>
      <c r="H2277" s="60"/>
      <c r="I2277" s="60"/>
      <c r="J2277" s="61"/>
      <c r="K2277" s="61"/>
      <c r="L2277" s="60"/>
      <c r="M2277" s="74" t="str">
        <f>IF($C2277="","",IF($D2277="Gider",$E2277,IF($L2277&lt;&gt;"",$L2277,$H2277)))</f>
        <v/>
      </c>
      <c r="N2277" s="74" t="str">
        <f>IF($C2277="","",IF($D2277="Gider",$H2277,$E2277))</f>
        <v/>
      </c>
      <c r="O2277" s="73" t="str">
        <f>IF($C2277="","",DATE(YEAR($C2277),MONTH($C2277),1))</f>
        <v/>
      </c>
      <c r="P2277" s="65" t="str">
        <f ca="1">IF($C2277="","",IF(AND($D2277="Gelir",$L2277&lt;&gt;"",$T2277=""),"TANIMSIZ BORÇLU",IF($T2277&lt;&gt;"",IF(OR($E2277="",$G2277&lt;=0),"EKSİK",IF($I2277="Evet","TAHAKKUK NAKİT OLAMAZ",IF($C2277&gt;TODAY(),"İLERİ TARİH","TAHAKKUK"))),IF(AND($D2277&lt;&gt;"",$E2277&lt;&gt;"",$G2277&gt;0,$H2277&lt;&gt;"",$I2277&lt;&gt;""),IF($C2277&gt;TODAY(),"İLERİ TARİH",IF(COUNTIF($W$7:$W$3001,$W2277)&gt;1,"MÜKERRER?",IF($AD2277&gt;0,"KAPALI DÖNEM",IF($I2277="Hayır","ÖDENECEK","UYGUN")))),"EKSİK"))))</f>
        <v/>
      </c>
      <c r="Q2277" s="2"/>
      <c r="R2277" s="2"/>
      <c r="S2277" s="1" t="str">
        <f t="shared" si="107"/>
        <v/>
      </c>
      <c r="T2277" s="1" t="str">
        <f>IF(OR($C2277="",$D2277&lt;&gt;"Gelir",$L2277=""),"",IFERROR(INDEX(MUSTERILER!$B$7:$B$156,MATCH($S2277,MUSTERILER!$T$7:$T$156,0)),""))</f>
        <v/>
      </c>
      <c r="U2277" s="1" t="str">
        <f>IF($T2277="","",$T2277&amp;"|"&amp;COUNTIFS($T$7:$T2277,$T2277))</f>
        <v/>
      </c>
      <c r="V2277" s="1">
        <f t="shared" si="108"/>
        <v>0</v>
      </c>
      <c r="W2277" s="1" t="str">
        <f t="shared" si="109"/>
        <v/>
      </c>
      <c r="X2277" s="1"/>
      <c r="Y2277" s="1"/>
      <c r="Z2277" s="1"/>
      <c r="AA2277" s="1"/>
      <c r="AB2277" s="1"/>
      <c r="AC2277" s="1"/>
      <c r="AD2277" s="1">
        <f>IF($C2277="",0,SUMPRODUCT((AY_SONU!$O$7:$O$42="Evet")*(AY_SONU!$B$7:$B$42=DATE(YEAR($C2277),MONTH($C2277),1))))</f>
        <v>0</v>
      </c>
      <c r="AE2277" s="1" t="str">
        <f>IF($E2277="","",$E2277&amp;"|"&amp;COUNTIFS($E$7:$E2277,$E2277))</f>
        <v/>
      </c>
    </row>
    <row r="2278" spans="1:31" ht="18" customHeight="1" x14ac:dyDescent="0.3">
      <c r="A2278" s="2"/>
      <c r="B2278" s="65" t="str">
        <f>IF($C2278="","","GG"&amp;TEXT(ROW()-6,"00000"))</f>
        <v/>
      </c>
      <c r="C2278" s="66"/>
      <c r="D2278" s="60"/>
      <c r="E2278" s="61"/>
      <c r="F2278" s="61"/>
      <c r="G2278" s="67"/>
      <c r="H2278" s="60"/>
      <c r="I2278" s="60"/>
      <c r="J2278" s="61"/>
      <c r="K2278" s="61"/>
      <c r="L2278" s="60"/>
      <c r="M2278" s="74" t="str">
        <f>IF($C2278="","",IF($D2278="Gider",$E2278,IF($L2278&lt;&gt;"",$L2278,$H2278)))</f>
        <v/>
      </c>
      <c r="N2278" s="74" t="str">
        <f>IF($C2278="","",IF($D2278="Gider",$H2278,$E2278))</f>
        <v/>
      </c>
      <c r="O2278" s="73" t="str">
        <f>IF($C2278="","",DATE(YEAR($C2278),MONTH($C2278),1))</f>
        <v/>
      </c>
      <c r="P2278" s="65" t="str">
        <f ca="1">IF($C2278="","",IF(AND($D2278="Gelir",$L2278&lt;&gt;"",$T2278=""),"TANIMSIZ BORÇLU",IF($T2278&lt;&gt;"",IF(OR($E2278="",$G2278&lt;=0),"EKSİK",IF($I2278="Evet","TAHAKKUK NAKİT OLAMAZ",IF($C2278&gt;TODAY(),"İLERİ TARİH","TAHAKKUK"))),IF(AND($D2278&lt;&gt;"",$E2278&lt;&gt;"",$G2278&gt;0,$H2278&lt;&gt;"",$I2278&lt;&gt;""),IF($C2278&gt;TODAY(),"İLERİ TARİH",IF(COUNTIF($W$7:$W$3001,$W2278)&gt;1,"MÜKERRER?",IF($AD2278&gt;0,"KAPALI DÖNEM",IF($I2278="Hayır","ÖDENECEK","UYGUN")))),"EKSİK"))))</f>
        <v/>
      </c>
      <c r="Q2278" s="2"/>
      <c r="R2278" s="2"/>
      <c r="S2278" s="1" t="str">
        <f t="shared" si="107"/>
        <v/>
      </c>
      <c r="T2278" s="1" t="str">
        <f>IF(OR($C2278="",$D2278&lt;&gt;"Gelir",$L2278=""),"",IFERROR(INDEX(MUSTERILER!$B$7:$B$156,MATCH($S2278,MUSTERILER!$T$7:$T$156,0)),""))</f>
        <v/>
      </c>
      <c r="U2278" s="1" t="str">
        <f>IF($T2278="","",$T2278&amp;"|"&amp;COUNTIFS($T$7:$T2278,$T2278))</f>
        <v/>
      </c>
      <c r="V2278" s="1">
        <f t="shared" si="108"/>
        <v>0</v>
      </c>
      <c r="W2278" s="1" t="str">
        <f t="shared" si="109"/>
        <v/>
      </c>
      <c r="X2278" s="1"/>
      <c r="Y2278" s="1"/>
      <c r="Z2278" s="1"/>
      <c r="AA2278" s="1"/>
      <c r="AB2278" s="1"/>
      <c r="AC2278" s="1"/>
      <c r="AD2278" s="1">
        <f>IF($C2278="",0,SUMPRODUCT((AY_SONU!$O$7:$O$42="Evet")*(AY_SONU!$B$7:$B$42=DATE(YEAR($C2278),MONTH($C2278),1))))</f>
        <v>0</v>
      </c>
      <c r="AE2278" s="1" t="str">
        <f>IF($E2278="","",$E2278&amp;"|"&amp;COUNTIFS($E$7:$E2278,$E2278))</f>
        <v/>
      </c>
    </row>
    <row r="2279" spans="1:31" ht="18" customHeight="1" x14ac:dyDescent="0.3">
      <c r="A2279" s="2"/>
      <c r="B2279" s="65" t="str">
        <f>IF($C2279="","","GG"&amp;TEXT(ROW()-6,"00000"))</f>
        <v/>
      </c>
      <c r="C2279" s="66"/>
      <c r="D2279" s="60"/>
      <c r="E2279" s="61"/>
      <c r="F2279" s="61"/>
      <c r="G2279" s="67"/>
      <c r="H2279" s="60"/>
      <c r="I2279" s="60"/>
      <c r="J2279" s="61"/>
      <c r="K2279" s="61"/>
      <c r="L2279" s="60"/>
      <c r="M2279" s="74" t="str">
        <f>IF($C2279="","",IF($D2279="Gider",$E2279,IF($L2279&lt;&gt;"",$L2279,$H2279)))</f>
        <v/>
      </c>
      <c r="N2279" s="74" t="str">
        <f>IF($C2279="","",IF($D2279="Gider",$H2279,$E2279))</f>
        <v/>
      </c>
      <c r="O2279" s="73" t="str">
        <f>IF($C2279="","",DATE(YEAR($C2279),MONTH($C2279),1))</f>
        <v/>
      </c>
      <c r="P2279" s="65" t="str">
        <f ca="1">IF($C2279="","",IF(AND($D2279="Gelir",$L2279&lt;&gt;"",$T2279=""),"TANIMSIZ BORÇLU",IF($T2279&lt;&gt;"",IF(OR($E2279="",$G2279&lt;=0),"EKSİK",IF($I2279="Evet","TAHAKKUK NAKİT OLAMAZ",IF($C2279&gt;TODAY(),"İLERİ TARİH","TAHAKKUK"))),IF(AND($D2279&lt;&gt;"",$E2279&lt;&gt;"",$G2279&gt;0,$H2279&lt;&gt;"",$I2279&lt;&gt;""),IF($C2279&gt;TODAY(),"İLERİ TARİH",IF(COUNTIF($W$7:$W$3001,$W2279)&gt;1,"MÜKERRER?",IF($AD2279&gt;0,"KAPALI DÖNEM",IF($I2279="Hayır","ÖDENECEK","UYGUN")))),"EKSİK"))))</f>
        <v/>
      </c>
      <c r="Q2279" s="2"/>
      <c r="R2279" s="2"/>
      <c r="S2279" s="1" t="str">
        <f t="shared" si="107"/>
        <v/>
      </c>
      <c r="T2279" s="1" t="str">
        <f>IF(OR($C2279="",$D2279&lt;&gt;"Gelir",$L2279=""),"",IFERROR(INDEX(MUSTERILER!$B$7:$B$156,MATCH($S2279,MUSTERILER!$T$7:$T$156,0)),""))</f>
        <v/>
      </c>
      <c r="U2279" s="1" t="str">
        <f>IF($T2279="","",$T2279&amp;"|"&amp;COUNTIFS($T$7:$T2279,$T2279))</f>
        <v/>
      </c>
      <c r="V2279" s="1">
        <f t="shared" si="108"/>
        <v>0</v>
      </c>
      <c r="W2279" s="1" t="str">
        <f t="shared" si="109"/>
        <v/>
      </c>
      <c r="X2279" s="1"/>
      <c r="Y2279" s="1"/>
      <c r="Z2279" s="1"/>
      <c r="AA2279" s="1"/>
      <c r="AB2279" s="1"/>
      <c r="AC2279" s="1"/>
      <c r="AD2279" s="1">
        <f>IF($C2279="",0,SUMPRODUCT((AY_SONU!$O$7:$O$42="Evet")*(AY_SONU!$B$7:$B$42=DATE(YEAR($C2279),MONTH($C2279),1))))</f>
        <v>0</v>
      </c>
      <c r="AE2279" s="1" t="str">
        <f>IF($E2279="","",$E2279&amp;"|"&amp;COUNTIFS($E$7:$E2279,$E2279))</f>
        <v/>
      </c>
    </row>
    <row r="2280" spans="1:31" ht="18" customHeight="1" x14ac:dyDescent="0.3">
      <c r="A2280" s="2"/>
      <c r="B2280" s="65" t="str">
        <f>IF($C2280="","","GG"&amp;TEXT(ROW()-6,"00000"))</f>
        <v/>
      </c>
      <c r="C2280" s="66"/>
      <c r="D2280" s="60"/>
      <c r="E2280" s="61"/>
      <c r="F2280" s="61"/>
      <c r="G2280" s="67"/>
      <c r="H2280" s="60"/>
      <c r="I2280" s="60"/>
      <c r="J2280" s="61"/>
      <c r="K2280" s="61"/>
      <c r="L2280" s="60"/>
      <c r="M2280" s="74" t="str">
        <f>IF($C2280="","",IF($D2280="Gider",$E2280,IF($L2280&lt;&gt;"",$L2280,$H2280)))</f>
        <v/>
      </c>
      <c r="N2280" s="74" t="str">
        <f>IF($C2280="","",IF($D2280="Gider",$H2280,$E2280))</f>
        <v/>
      </c>
      <c r="O2280" s="73" t="str">
        <f>IF($C2280="","",DATE(YEAR($C2280),MONTH($C2280),1))</f>
        <v/>
      </c>
      <c r="P2280" s="65" t="str">
        <f ca="1">IF($C2280="","",IF(AND($D2280="Gelir",$L2280&lt;&gt;"",$T2280=""),"TANIMSIZ BORÇLU",IF($T2280&lt;&gt;"",IF(OR($E2280="",$G2280&lt;=0),"EKSİK",IF($I2280="Evet","TAHAKKUK NAKİT OLAMAZ",IF($C2280&gt;TODAY(),"İLERİ TARİH","TAHAKKUK"))),IF(AND($D2280&lt;&gt;"",$E2280&lt;&gt;"",$G2280&gt;0,$H2280&lt;&gt;"",$I2280&lt;&gt;""),IF($C2280&gt;TODAY(),"İLERİ TARİH",IF(COUNTIF($W$7:$W$3001,$W2280)&gt;1,"MÜKERRER?",IF($AD2280&gt;0,"KAPALI DÖNEM",IF($I2280="Hayır","ÖDENECEK","UYGUN")))),"EKSİK"))))</f>
        <v/>
      </c>
      <c r="Q2280" s="2"/>
      <c r="R2280" s="2"/>
      <c r="S2280" s="1" t="str">
        <f t="shared" si="107"/>
        <v/>
      </c>
      <c r="T2280" s="1" t="str">
        <f>IF(OR($C2280="",$D2280&lt;&gt;"Gelir",$L2280=""),"",IFERROR(INDEX(MUSTERILER!$B$7:$B$156,MATCH($S2280,MUSTERILER!$T$7:$T$156,0)),""))</f>
        <v/>
      </c>
      <c r="U2280" s="1" t="str">
        <f>IF($T2280="","",$T2280&amp;"|"&amp;COUNTIFS($T$7:$T2280,$T2280))</f>
        <v/>
      </c>
      <c r="V2280" s="1">
        <f t="shared" si="108"/>
        <v>0</v>
      </c>
      <c r="W2280" s="1" t="str">
        <f t="shared" si="109"/>
        <v/>
      </c>
      <c r="X2280" s="1"/>
      <c r="Y2280" s="1"/>
      <c r="Z2280" s="1"/>
      <c r="AA2280" s="1"/>
      <c r="AB2280" s="1"/>
      <c r="AC2280" s="1"/>
      <c r="AD2280" s="1">
        <f>IF($C2280="",0,SUMPRODUCT((AY_SONU!$O$7:$O$42="Evet")*(AY_SONU!$B$7:$B$42=DATE(YEAR($C2280),MONTH($C2280),1))))</f>
        <v>0</v>
      </c>
      <c r="AE2280" s="1" t="str">
        <f>IF($E2280="","",$E2280&amp;"|"&amp;COUNTIFS($E$7:$E2280,$E2280))</f>
        <v/>
      </c>
    </row>
    <row r="2281" spans="1:31" ht="18" customHeight="1" x14ac:dyDescent="0.3">
      <c r="A2281" s="2"/>
      <c r="B2281" s="65" t="str">
        <f>IF($C2281="","","GG"&amp;TEXT(ROW()-6,"00000"))</f>
        <v/>
      </c>
      <c r="C2281" s="66"/>
      <c r="D2281" s="60"/>
      <c r="E2281" s="61"/>
      <c r="F2281" s="61"/>
      <c r="G2281" s="67"/>
      <c r="H2281" s="60"/>
      <c r="I2281" s="60"/>
      <c r="J2281" s="61"/>
      <c r="K2281" s="61"/>
      <c r="L2281" s="60"/>
      <c r="M2281" s="74" t="str">
        <f>IF($C2281="","",IF($D2281="Gider",$E2281,IF($L2281&lt;&gt;"",$L2281,$H2281)))</f>
        <v/>
      </c>
      <c r="N2281" s="74" t="str">
        <f>IF($C2281="","",IF($D2281="Gider",$H2281,$E2281))</f>
        <v/>
      </c>
      <c r="O2281" s="73" t="str">
        <f>IF($C2281="","",DATE(YEAR($C2281),MONTH($C2281),1))</f>
        <v/>
      </c>
      <c r="P2281" s="65" t="str">
        <f ca="1">IF($C2281="","",IF(AND($D2281="Gelir",$L2281&lt;&gt;"",$T2281=""),"TANIMSIZ BORÇLU",IF($T2281&lt;&gt;"",IF(OR($E2281="",$G2281&lt;=0),"EKSİK",IF($I2281="Evet","TAHAKKUK NAKİT OLAMAZ",IF($C2281&gt;TODAY(),"İLERİ TARİH","TAHAKKUK"))),IF(AND($D2281&lt;&gt;"",$E2281&lt;&gt;"",$G2281&gt;0,$H2281&lt;&gt;"",$I2281&lt;&gt;""),IF($C2281&gt;TODAY(),"İLERİ TARİH",IF(COUNTIF($W$7:$W$3001,$W2281)&gt;1,"MÜKERRER?",IF($AD2281&gt;0,"KAPALI DÖNEM",IF($I2281="Hayır","ÖDENECEK","UYGUN")))),"EKSİK"))))</f>
        <v/>
      </c>
      <c r="Q2281" s="2"/>
      <c r="R2281" s="2"/>
      <c r="S2281" s="1" t="str">
        <f t="shared" si="107"/>
        <v/>
      </c>
      <c r="T2281" s="1" t="str">
        <f>IF(OR($C2281="",$D2281&lt;&gt;"Gelir",$L2281=""),"",IFERROR(INDEX(MUSTERILER!$B$7:$B$156,MATCH($S2281,MUSTERILER!$T$7:$T$156,0)),""))</f>
        <v/>
      </c>
      <c r="U2281" s="1" t="str">
        <f>IF($T2281="","",$T2281&amp;"|"&amp;COUNTIFS($T$7:$T2281,$T2281))</f>
        <v/>
      </c>
      <c r="V2281" s="1">
        <f t="shared" si="108"/>
        <v>0</v>
      </c>
      <c r="W2281" s="1" t="str">
        <f t="shared" si="109"/>
        <v/>
      </c>
      <c r="X2281" s="1"/>
      <c r="Y2281" s="1"/>
      <c r="Z2281" s="1"/>
      <c r="AA2281" s="1"/>
      <c r="AB2281" s="1"/>
      <c r="AC2281" s="1"/>
      <c r="AD2281" s="1">
        <f>IF($C2281="",0,SUMPRODUCT((AY_SONU!$O$7:$O$42="Evet")*(AY_SONU!$B$7:$B$42=DATE(YEAR($C2281),MONTH($C2281),1))))</f>
        <v>0</v>
      </c>
      <c r="AE2281" s="1" t="str">
        <f>IF($E2281="","",$E2281&amp;"|"&amp;COUNTIFS($E$7:$E2281,$E2281))</f>
        <v/>
      </c>
    </row>
    <row r="2282" spans="1:31" ht="18" customHeight="1" x14ac:dyDescent="0.3">
      <c r="A2282" s="2"/>
      <c r="B2282" s="65" t="str">
        <f>IF($C2282="","","GG"&amp;TEXT(ROW()-6,"00000"))</f>
        <v/>
      </c>
      <c r="C2282" s="66"/>
      <c r="D2282" s="60"/>
      <c r="E2282" s="61"/>
      <c r="F2282" s="61"/>
      <c r="G2282" s="67"/>
      <c r="H2282" s="60"/>
      <c r="I2282" s="60"/>
      <c r="J2282" s="61"/>
      <c r="K2282" s="61"/>
      <c r="L2282" s="60"/>
      <c r="M2282" s="74" t="str">
        <f>IF($C2282="","",IF($D2282="Gider",$E2282,IF($L2282&lt;&gt;"",$L2282,$H2282)))</f>
        <v/>
      </c>
      <c r="N2282" s="74" t="str">
        <f>IF($C2282="","",IF($D2282="Gider",$H2282,$E2282))</f>
        <v/>
      </c>
      <c r="O2282" s="73" t="str">
        <f>IF($C2282="","",DATE(YEAR($C2282),MONTH($C2282),1))</f>
        <v/>
      </c>
      <c r="P2282" s="65" t="str">
        <f ca="1">IF($C2282="","",IF(AND($D2282="Gelir",$L2282&lt;&gt;"",$T2282=""),"TANIMSIZ BORÇLU",IF($T2282&lt;&gt;"",IF(OR($E2282="",$G2282&lt;=0),"EKSİK",IF($I2282="Evet","TAHAKKUK NAKİT OLAMAZ",IF($C2282&gt;TODAY(),"İLERİ TARİH","TAHAKKUK"))),IF(AND($D2282&lt;&gt;"",$E2282&lt;&gt;"",$G2282&gt;0,$H2282&lt;&gt;"",$I2282&lt;&gt;""),IF($C2282&gt;TODAY(),"İLERİ TARİH",IF(COUNTIF($W$7:$W$3001,$W2282)&gt;1,"MÜKERRER?",IF($AD2282&gt;0,"KAPALI DÖNEM",IF($I2282="Hayır","ÖDENECEK","UYGUN")))),"EKSİK"))))</f>
        <v/>
      </c>
      <c r="Q2282" s="2"/>
      <c r="R2282" s="2"/>
      <c r="S2282" s="1" t="str">
        <f t="shared" si="107"/>
        <v/>
      </c>
      <c r="T2282" s="1" t="str">
        <f>IF(OR($C2282="",$D2282&lt;&gt;"Gelir",$L2282=""),"",IFERROR(INDEX(MUSTERILER!$B$7:$B$156,MATCH($S2282,MUSTERILER!$T$7:$T$156,0)),""))</f>
        <v/>
      </c>
      <c r="U2282" s="1" t="str">
        <f>IF($T2282="","",$T2282&amp;"|"&amp;COUNTIFS($T$7:$T2282,$T2282))</f>
        <v/>
      </c>
      <c r="V2282" s="1">
        <f t="shared" si="108"/>
        <v>0</v>
      </c>
      <c r="W2282" s="1" t="str">
        <f t="shared" si="109"/>
        <v/>
      </c>
      <c r="X2282" s="1"/>
      <c r="Y2282" s="1"/>
      <c r="Z2282" s="1"/>
      <c r="AA2282" s="1"/>
      <c r="AB2282" s="1"/>
      <c r="AC2282" s="1"/>
      <c r="AD2282" s="1">
        <f>IF($C2282="",0,SUMPRODUCT((AY_SONU!$O$7:$O$42="Evet")*(AY_SONU!$B$7:$B$42=DATE(YEAR($C2282),MONTH($C2282),1))))</f>
        <v>0</v>
      </c>
      <c r="AE2282" s="1" t="str">
        <f>IF($E2282="","",$E2282&amp;"|"&amp;COUNTIFS($E$7:$E2282,$E2282))</f>
        <v/>
      </c>
    </row>
    <row r="2283" spans="1:31" ht="18" customHeight="1" x14ac:dyDescent="0.3">
      <c r="A2283" s="2"/>
      <c r="B2283" s="65" t="str">
        <f>IF($C2283="","","GG"&amp;TEXT(ROW()-6,"00000"))</f>
        <v/>
      </c>
      <c r="C2283" s="66"/>
      <c r="D2283" s="60"/>
      <c r="E2283" s="61"/>
      <c r="F2283" s="61"/>
      <c r="G2283" s="67"/>
      <c r="H2283" s="60"/>
      <c r="I2283" s="60"/>
      <c r="J2283" s="61"/>
      <c r="K2283" s="61"/>
      <c r="L2283" s="60"/>
      <c r="M2283" s="74" t="str">
        <f>IF($C2283="","",IF($D2283="Gider",$E2283,IF($L2283&lt;&gt;"",$L2283,$H2283)))</f>
        <v/>
      </c>
      <c r="N2283" s="74" t="str">
        <f>IF($C2283="","",IF($D2283="Gider",$H2283,$E2283))</f>
        <v/>
      </c>
      <c r="O2283" s="73" t="str">
        <f>IF($C2283="","",DATE(YEAR($C2283),MONTH($C2283),1))</f>
        <v/>
      </c>
      <c r="P2283" s="65" t="str">
        <f ca="1">IF($C2283="","",IF(AND($D2283="Gelir",$L2283&lt;&gt;"",$T2283=""),"TANIMSIZ BORÇLU",IF($T2283&lt;&gt;"",IF(OR($E2283="",$G2283&lt;=0),"EKSİK",IF($I2283="Evet","TAHAKKUK NAKİT OLAMAZ",IF($C2283&gt;TODAY(),"İLERİ TARİH","TAHAKKUK"))),IF(AND($D2283&lt;&gt;"",$E2283&lt;&gt;"",$G2283&gt;0,$H2283&lt;&gt;"",$I2283&lt;&gt;""),IF($C2283&gt;TODAY(),"İLERİ TARİH",IF(COUNTIF($W$7:$W$3001,$W2283)&gt;1,"MÜKERRER?",IF($AD2283&gt;0,"KAPALI DÖNEM",IF($I2283="Hayır","ÖDENECEK","UYGUN")))),"EKSİK"))))</f>
        <v/>
      </c>
      <c r="Q2283" s="2"/>
      <c r="R2283" s="2"/>
      <c r="S2283" s="1" t="str">
        <f t="shared" si="107"/>
        <v/>
      </c>
      <c r="T2283" s="1" t="str">
        <f>IF(OR($C2283="",$D2283&lt;&gt;"Gelir",$L2283=""),"",IFERROR(INDEX(MUSTERILER!$B$7:$B$156,MATCH($S2283,MUSTERILER!$T$7:$T$156,0)),""))</f>
        <v/>
      </c>
      <c r="U2283" s="1" t="str">
        <f>IF($T2283="","",$T2283&amp;"|"&amp;COUNTIFS($T$7:$T2283,$T2283))</f>
        <v/>
      </c>
      <c r="V2283" s="1">
        <f t="shared" si="108"/>
        <v>0</v>
      </c>
      <c r="W2283" s="1" t="str">
        <f t="shared" si="109"/>
        <v/>
      </c>
      <c r="X2283" s="1"/>
      <c r="Y2283" s="1"/>
      <c r="Z2283" s="1"/>
      <c r="AA2283" s="1"/>
      <c r="AB2283" s="1"/>
      <c r="AC2283" s="1"/>
      <c r="AD2283" s="1">
        <f>IF($C2283="",0,SUMPRODUCT((AY_SONU!$O$7:$O$42="Evet")*(AY_SONU!$B$7:$B$42=DATE(YEAR($C2283),MONTH($C2283),1))))</f>
        <v>0</v>
      </c>
      <c r="AE2283" s="1" t="str">
        <f>IF($E2283="","",$E2283&amp;"|"&amp;COUNTIFS($E$7:$E2283,$E2283))</f>
        <v/>
      </c>
    </row>
    <row r="2284" spans="1:31" ht="18" customHeight="1" x14ac:dyDescent="0.3">
      <c r="A2284" s="2"/>
      <c r="B2284" s="65" t="str">
        <f>IF($C2284="","","GG"&amp;TEXT(ROW()-6,"00000"))</f>
        <v/>
      </c>
      <c r="C2284" s="66"/>
      <c r="D2284" s="60"/>
      <c r="E2284" s="61"/>
      <c r="F2284" s="61"/>
      <c r="G2284" s="67"/>
      <c r="H2284" s="60"/>
      <c r="I2284" s="60"/>
      <c r="J2284" s="61"/>
      <c r="K2284" s="61"/>
      <c r="L2284" s="60"/>
      <c r="M2284" s="74" t="str">
        <f>IF($C2284="","",IF($D2284="Gider",$E2284,IF($L2284&lt;&gt;"",$L2284,$H2284)))</f>
        <v/>
      </c>
      <c r="N2284" s="74" t="str">
        <f>IF($C2284="","",IF($D2284="Gider",$H2284,$E2284))</f>
        <v/>
      </c>
      <c r="O2284" s="73" t="str">
        <f>IF($C2284="","",DATE(YEAR($C2284),MONTH($C2284),1))</f>
        <v/>
      </c>
      <c r="P2284" s="65" t="str">
        <f ca="1">IF($C2284="","",IF(AND($D2284="Gelir",$L2284&lt;&gt;"",$T2284=""),"TANIMSIZ BORÇLU",IF($T2284&lt;&gt;"",IF(OR($E2284="",$G2284&lt;=0),"EKSİK",IF($I2284="Evet","TAHAKKUK NAKİT OLAMAZ",IF($C2284&gt;TODAY(),"İLERİ TARİH","TAHAKKUK"))),IF(AND($D2284&lt;&gt;"",$E2284&lt;&gt;"",$G2284&gt;0,$H2284&lt;&gt;"",$I2284&lt;&gt;""),IF($C2284&gt;TODAY(),"İLERİ TARİH",IF(COUNTIF($W$7:$W$3001,$W2284)&gt;1,"MÜKERRER?",IF($AD2284&gt;0,"KAPALI DÖNEM",IF($I2284="Hayır","ÖDENECEK","UYGUN")))),"EKSİK"))))</f>
        <v/>
      </c>
      <c r="Q2284" s="2"/>
      <c r="R2284" s="2"/>
      <c r="S2284" s="1" t="str">
        <f t="shared" si="107"/>
        <v/>
      </c>
      <c r="T2284" s="1" t="str">
        <f>IF(OR($C2284="",$D2284&lt;&gt;"Gelir",$L2284=""),"",IFERROR(INDEX(MUSTERILER!$B$7:$B$156,MATCH($S2284,MUSTERILER!$T$7:$T$156,0)),""))</f>
        <v/>
      </c>
      <c r="U2284" s="1" t="str">
        <f>IF($T2284="","",$T2284&amp;"|"&amp;COUNTIFS($T$7:$T2284,$T2284))</f>
        <v/>
      </c>
      <c r="V2284" s="1">
        <f t="shared" si="108"/>
        <v>0</v>
      </c>
      <c r="W2284" s="1" t="str">
        <f t="shared" si="109"/>
        <v/>
      </c>
      <c r="X2284" s="1"/>
      <c r="Y2284" s="1"/>
      <c r="Z2284" s="1"/>
      <c r="AA2284" s="1"/>
      <c r="AB2284" s="1"/>
      <c r="AC2284" s="1"/>
      <c r="AD2284" s="1">
        <f>IF($C2284="",0,SUMPRODUCT((AY_SONU!$O$7:$O$42="Evet")*(AY_SONU!$B$7:$B$42=DATE(YEAR($C2284),MONTH($C2284),1))))</f>
        <v>0</v>
      </c>
      <c r="AE2284" s="1" t="str">
        <f>IF($E2284="","",$E2284&amp;"|"&amp;COUNTIFS($E$7:$E2284,$E2284))</f>
        <v/>
      </c>
    </row>
    <row r="2285" spans="1:31" ht="18" customHeight="1" x14ac:dyDescent="0.3">
      <c r="A2285" s="2"/>
      <c r="B2285" s="65" t="str">
        <f>IF($C2285="","","GG"&amp;TEXT(ROW()-6,"00000"))</f>
        <v/>
      </c>
      <c r="C2285" s="66"/>
      <c r="D2285" s="60"/>
      <c r="E2285" s="61"/>
      <c r="F2285" s="61"/>
      <c r="G2285" s="67"/>
      <c r="H2285" s="60"/>
      <c r="I2285" s="60"/>
      <c r="J2285" s="61"/>
      <c r="K2285" s="61"/>
      <c r="L2285" s="60"/>
      <c r="M2285" s="74" t="str">
        <f>IF($C2285="","",IF($D2285="Gider",$E2285,IF($L2285&lt;&gt;"",$L2285,$H2285)))</f>
        <v/>
      </c>
      <c r="N2285" s="74" t="str">
        <f>IF($C2285="","",IF($D2285="Gider",$H2285,$E2285))</f>
        <v/>
      </c>
      <c r="O2285" s="73" t="str">
        <f>IF($C2285="","",DATE(YEAR($C2285),MONTH($C2285),1))</f>
        <v/>
      </c>
      <c r="P2285" s="65" t="str">
        <f ca="1">IF($C2285="","",IF(AND($D2285="Gelir",$L2285&lt;&gt;"",$T2285=""),"TANIMSIZ BORÇLU",IF($T2285&lt;&gt;"",IF(OR($E2285="",$G2285&lt;=0),"EKSİK",IF($I2285="Evet","TAHAKKUK NAKİT OLAMAZ",IF($C2285&gt;TODAY(),"İLERİ TARİH","TAHAKKUK"))),IF(AND($D2285&lt;&gt;"",$E2285&lt;&gt;"",$G2285&gt;0,$H2285&lt;&gt;"",$I2285&lt;&gt;""),IF($C2285&gt;TODAY(),"İLERİ TARİH",IF(COUNTIF($W$7:$W$3001,$W2285)&gt;1,"MÜKERRER?",IF($AD2285&gt;0,"KAPALI DÖNEM",IF($I2285="Hayır","ÖDENECEK","UYGUN")))),"EKSİK"))))</f>
        <v/>
      </c>
      <c r="Q2285" s="2"/>
      <c r="R2285" s="2"/>
      <c r="S2285" s="1" t="str">
        <f t="shared" si="107"/>
        <v/>
      </c>
      <c r="T2285" s="1" t="str">
        <f>IF(OR($C2285="",$D2285&lt;&gt;"Gelir",$L2285=""),"",IFERROR(INDEX(MUSTERILER!$B$7:$B$156,MATCH($S2285,MUSTERILER!$T$7:$T$156,0)),""))</f>
        <v/>
      </c>
      <c r="U2285" s="1" t="str">
        <f>IF($T2285="","",$T2285&amp;"|"&amp;COUNTIFS($T$7:$T2285,$T2285))</f>
        <v/>
      </c>
      <c r="V2285" s="1">
        <f t="shared" si="108"/>
        <v>0</v>
      </c>
      <c r="W2285" s="1" t="str">
        <f t="shared" si="109"/>
        <v/>
      </c>
      <c r="X2285" s="1"/>
      <c r="Y2285" s="1"/>
      <c r="Z2285" s="1"/>
      <c r="AA2285" s="1"/>
      <c r="AB2285" s="1"/>
      <c r="AC2285" s="1"/>
      <c r="AD2285" s="1">
        <f>IF($C2285="",0,SUMPRODUCT((AY_SONU!$O$7:$O$42="Evet")*(AY_SONU!$B$7:$B$42=DATE(YEAR($C2285),MONTH($C2285),1))))</f>
        <v>0</v>
      </c>
      <c r="AE2285" s="1" t="str">
        <f>IF($E2285="","",$E2285&amp;"|"&amp;COUNTIFS($E$7:$E2285,$E2285))</f>
        <v/>
      </c>
    </row>
    <row r="2286" spans="1:31" ht="18" customHeight="1" x14ac:dyDescent="0.3">
      <c r="A2286" s="2"/>
      <c r="B2286" s="65" t="str">
        <f>IF($C2286="","","GG"&amp;TEXT(ROW()-6,"00000"))</f>
        <v/>
      </c>
      <c r="C2286" s="66"/>
      <c r="D2286" s="60"/>
      <c r="E2286" s="61"/>
      <c r="F2286" s="61"/>
      <c r="G2286" s="67"/>
      <c r="H2286" s="60"/>
      <c r="I2286" s="60"/>
      <c r="J2286" s="61"/>
      <c r="K2286" s="61"/>
      <c r="L2286" s="60"/>
      <c r="M2286" s="74" t="str">
        <f>IF($C2286="","",IF($D2286="Gider",$E2286,IF($L2286&lt;&gt;"",$L2286,$H2286)))</f>
        <v/>
      </c>
      <c r="N2286" s="74" t="str">
        <f>IF($C2286="","",IF($D2286="Gider",$H2286,$E2286))</f>
        <v/>
      </c>
      <c r="O2286" s="73" t="str">
        <f>IF($C2286="","",DATE(YEAR($C2286),MONTH($C2286),1))</f>
        <v/>
      </c>
      <c r="P2286" s="65" t="str">
        <f ca="1">IF($C2286="","",IF(AND($D2286="Gelir",$L2286&lt;&gt;"",$T2286=""),"TANIMSIZ BORÇLU",IF($T2286&lt;&gt;"",IF(OR($E2286="",$G2286&lt;=0),"EKSİK",IF($I2286="Evet","TAHAKKUK NAKİT OLAMAZ",IF($C2286&gt;TODAY(),"İLERİ TARİH","TAHAKKUK"))),IF(AND($D2286&lt;&gt;"",$E2286&lt;&gt;"",$G2286&gt;0,$H2286&lt;&gt;"",$I2286&lt;&gt;""),IF($C2286&gt;TODAY(),"İLERİ TARİH",IF(COUNTIF($W$7:$W$3001,$W2286)&gt;1,"MÜKERRER?",IF($AD2286&gt;0,"KAPALI DÖNEM",IF($I2286="Hayır","ÖDENECEK","UYGUN")))),"EKSİK"))))</f>
        <v/>
      </c>
      <c r="Q2286" s="2"/>
      <c r="R2286" s="2"/>
      <c r="S2286" s="1" t="str">
        <f t="shared" si="107"/>
        <v/>
      </c>
      <c r="T2286" s="1" t="str">
        <f>IF(OR($C2286="",$D2286&lt;&gt;"Gelir",$L2286=""),"",IFERROR(INDEX(MUSTERILER!$B$7:$B$156,MATCH($S2286,MUSTERILER!$T$7:$T$156,0)),""))</f>
        <v/>
      </c>
      <c r="U2286" s="1" t="str">
        <f>IF($T2286="","",$T2286&amp;"|"&amp;COUNTIFS($T$7:$T2286,$T2286))</f>
        <v/>
      </c>
      <c r="V2286" s="1">
        <f t="shared" si="108"/>
        <v>0</v>
      </c>
      <c r="W2286" s="1" t="str">
        <f t="shared" si="109"/>
        <v/>
      </c>
      <c r="X2286" s="1"/>
      <c r="Y2286" s="1"/>
      <c r="Z2286" s="1"/>
      <c r="AA2286" s="1"/>
      <c r="AB2286" s="1"/>
      <c r="AC2286" s="1"/>
      <c r="AD2286" s="1">
        <f>IF($C2286="",0,SUMPRODUCT((AY_SONU!$O$7:$O$42="Evet")*(AY_SONU!$B$7:$B$42=DATE(YEAR($C2286),MONTH($C2286),1))))</f>
        <v>0</v>
      </c>
      <c r="AE2286" s="1" t="str">
        <f>IF($E2286="","",$E2286&amp;"|"&amp;COUNTIFS($E$7:$E2286,$E2286))</f>
        <v/>
      </c>
    </row>
    <row r="2287" spans="1:31" ht="18" customHeight="1" x14ac:dyDescent="0.3">
      <c r="A2287" s="2"/>
      <c r="B2287" s="65" t="str">
        <f>IF($C2287="","","GG"&amp;TEXT(ROW()-6,"00000"))</f>
        <v/>
      </c>
      <c r="C2287" s="66"/>
      <c r="D2287" s="60"/>
      <c r="E2287" s="61"/>
      <c r="F2287" s="61"/>
      <c r="G2287" s="67"/>
      <c r="H2287" s="60"/>
      <c r="I2287" s="60"/>
      <c r="J2287" s="61"/>
      <c r="K2287" s="61"/>
      <c r="L2287" s="60"/>
      <c r="M2287" s="74" t="str">
        <f>IF($C2287="","",IF($D2287="Gider",$E2287,IF($L2287&lt;&gt;"",$L2287,$H2287)))</f>
        <v/>
      </c>
      <c r="N2287" s="74" t="str">
        <f>IF($C2287="","",IF($D2287="Gider",$H2287,$E2287))</f>
        <v/>
      </c>
      <c r="O2287" s="73" t="str">
        <f>IF($C2287="","",DATE(YEAR($C2287),MONTH($C2287),1))</f>
        <v/>
      </c>
      <c r="P2287" s="65" t="str">
        <f ca="1">IF($C2287="","",IF(AND($D2287="Gelir",$L2287&lt;&gt;"",$T2287=""),"TANIMSIZ BORÇLU",IF($T2287&lt;&gt;"",IF(OR($E2287="",$G2287&lt;=0),"EKSİK",IF($I2287="Evet","TAHAKKUK NAKİT OLAMAZ",IF($C2287&gt;TODAY(),"İLERİ TARİH","TAHAKKUK"))),IF(AND($D2287&lt;&gt;"",$E2287&lt;&gt;"",$G2287&gt;0,$H2287&lt;&gt;"",$I2287&lt;&gt;""),IF($C2287&gt;TODAY(),"İLERİ TARİH",IF(COUNTIF($W$7:$W$3001,$W2287)&gt;1,"MÜKERRER?",IF($AD2287&gt;0,"KAPALI DÖNEM",IF($I2287="Hayır","ÖDENECEK","UYGUN")))),"EKSİK"))))</f>
        <v/>
      </c>
      <c r="Q2287" s="2"/>
      <c r="R2287" s="2"/>
      <c r="S2287" s="1" t="str">
        <f t="shared" si="107"/>
        <v/>
      </c>
      <c r="T2287" s="1" t="str">
        <f>IF(OR($C2287="",$D2287&lt;&gt;"Gelir",$L2287=""),"",IFERROR(INDEX(MUSTERILER!$B$7:$B$156,MATCH($S2287,MUSTERILER!$T$7:$T$156,0)),""))</f>
        <v/>
      </c>
      <c r="U2287" s="1" t="str">
        <f>IF($T2287="","",$T2287&amp;"|"&amp;COUNTIFS($T$7:$T2287,$T2287))</f>
        <v/>
      </c>
      <c r="V2287" s="1">
        <f t="shared" si="108"/>
        <v>0</v>
      </c>
      <c r="W2287" s="1" t="str">
        <f t="shared" si="109"/>
        <v/>
      </c>
      <c r="X2287" s="1"/>
      <c r="Y2287" s="1"/>
      <c r="Z2287" s="1"/>
      <c r="AA2287" s="1"/>
      <c r="AB2287" s="1"/>
      <c r="AC2287" s="1"/>
      <c r="AD2287" s="1">
        <f>IF($C2287="",0,SUMPRODUCT((AY_SONU!$O$7:$O$42="Evet")*(AY_SONU!$B$7:$B$42=DATE(YEAR($C2287),MONTH($C2287),1))))</f>
        <v>0</v>
      </c>
      <c r="AE2287" s="1" t="str">
        <f>IF($E2287="","",$E2287&amp;"|"&amp;COUNTIFS($E$7:$E2287,$E2287))</f>
        <v/>
      </c>
    </row>
    <row r="2288" spans="1:31" ht="18" customHeight="1" x14ac:dyDescent="0.3">
      <c r="A2288" s="2"/>
      <c r="B2288" s="65" t="str">
        <f>IF($C2288="","","GG"&amp;TEXT(ROW()-6,"00000"))</f>
        <v/>
      </c>
      <c r="C2288" s="66"/>
      <c r="D2288" s="60"/>
      <c r="E2288" s="61"/>
      <c r="F2288" s="61"/>
      <c r="G2288" s="67"/>
      <c r="H2288" s="60"/>
      <c r="I2288" s="60"/>
      <c r="J2288" s="61"/>
      <c r="K2288" s="61"/>
      <c r="L2288" s="60"/>
      <c r="M2288" s="74" t="str">
        <f>IF($C2288="","",IF($D2288="Gider",$E2288,IF($L2288&lt;&gt;"",$L2288,$H2288)))</f>
        <v/>
      </c>
      <c r="N2288" s="74" t="str">
        <f>IF($C2288="","",IF($D2288="Gider",$H2288,$E2288))</f>
        <v/>
      </c>
      <c r="O2288" s="73" t="str">
        <f>IF($C2288="","",DATE(YEAR($C2288),MONTH($C2288),1))</f>
        <v/>
      </c>
      <c r="P2288" s="65" t="str">
        <f ca="1">IF($C2288="","",IF(AND($D2288="Gelir",$L2288&lt;&gt;"",$T2288=""),"TANIMSIZ BORÇLU",IF($T2288&lt;&gt;"",IF(OR($E2288="",$G2288&lt;=0),"EKSİK",IF($I2288="Evet","TAHAKKUK NAKİT OLAMAZ",IF($C2288&gt;TODAY(),"İLERİ TARİH","TAHAKKUK"))),IF(AND($D2288&lt;&gt;"",$E2288&lt;&gt;"",$G2288&gt;0,$H2288&lt;&gt;"",$I2288&lt;&gt;""),IF($C2288&gt;TODAY(),"İLERİ TARİH",IF(COUNTIF($W$7:$W$3001,$W2288)&gt;1,"MÜKERRER?",IF($AD2288&gt;0,"KAPALI DÖNEM",IF($I2288="Hayır","ÖDENECEK","UYGUN")))),"EKSİK"))))</f>
        <v/>
      </c>
      <c r="Q2288" s="2"/>
      <c r="R2288" s="2"/>
      <c r="S2288" s="1" t="str">
        <f t="shared" si="107"/>
        <v/>
      </c>
      <c r="T2288" s="1" t="str">
        <f>IF(OR($C2288="",$D2288&lt;&gt;"Gelir",$L2288=""),"",IFERROR(INDEX(MUSTERILER!$B$7:$B$156,MATCH($S2288,MUSTERILER!$T$7:$T$156,0)),""))</f>
        <v/>
      </c>
      <c r="U2288" s="1" t="str">
        <f>IF($T2288="","",$T2288&amp;"|"&amp;COUNTIFS($T$7:$T2288,$T2288))</f>
        <v/>
      </c>
      <c r="V2288" s="1">
        <f t="shared" si="108"/>
        <v>0</v>
      </c>
      <c r="W2288" s="1" t="str">
        <f t="shared" si="109"/>
        <v/>
      </c>
      <c r="X2288" s="1"/>
      <c r="Y2288" s="1"/>
      <c r="Z2288" s="1"/>
      <c r="AA2288" s="1"/>
      <c r="AB2288" s="1"/>
      <c r="AC2288" s="1"/>
      <c r="AD2288" s="1">
        <f>IF($C2288="",0,SUMPRODUCT((AY_SONU!$O$7:$O$42="Evet")*(AY_SONU!$B$7:$B$42=DATE(YEAR($C2288),MONTH($C2288),1))))</f>
        <v>0</v>
      </c>
      <c r="AE2288" s="1" t="str">
        <f>IF($E2288="","",$E2288&amp;"|"&amp;COUNTIFS($E$7:$E2288,$E2288))</f>
        <v/>
      </c>
    </row>
    <row r="2289" spans="1:31" ht="18" customHeight="1" x14ac:dyDescent="0.3">
      <c r="A2289" s="2"/>
      <c r="B2289" s="65" t="str">
        <f>IF($C2289="","","GG"&amp;TEXT(ROW()-6,"00000"))</f>
        <v/>
      </c>
      <c r="C2289" s="66"/>
      <c r="D2289" s="60"/>
      <c r="E2289" s="61"/>
      <c r="F2289" s="61"/>
      <c r="G2289" s="67"/>
      <c r="H2289" s="60"/>
      <c r="I2289" s="60"/>
      <c r="J2289" s="61"/>
      <c r="K2289" s="61"/>
      <c r="L2289" s="60"/>
      <c r="M2289" s="74" t="str">
        <f>IF($C2289="","",IF($D2289="Gider",$E2289,IF($L2289&lt;&gt;"",$L2289,$H2289)))</f>
        <v/>
      </c>
      <c r="N2289" s="74" t="str">
        <f>IF($C2289="","",IF($D2289="Gider",$H2289,$E2289))</f>
        <v/>
      </c>
      <c r="O2289" s="73" t="str">
        <f>IF($C2289="","",DATE(YEAR($C2289),MONTH($C2289),1))</f>
        <v/>
      </c>
      <c r="P2289" s="65" t="str">
        <f ca="1">IF($C2289="","",IF(AND($D2289="Gelir",$L2289&lt;&gt;"",$T2289=""),"TANIMSIZ BORÇLU",IF($T2289&lt;&gt;"",IF(OR($E2289="",$G2289&lt;=0),"EKSİK",IF($I2289="Evet","TAHAKKUK NAKİT OLAMAZ",IF($C2289&gt;TODAY(),"İLERİ TARİH","TAHAKKUK"))),IF(AND($D2289&lt;&gt;"",$E2289&lt;&gt;"",$G2289&gt;0,$H2289&lt;&gt;"",$I2289&lt;&gt;""),IF($C2289&gt;TODAY(),"İLERİ TARİH",IF(COUNTIF($W$7:$W$3001,$W2289)&gt;1,"MÜKERRER?",IF($AD2289&gt;0,"KAPALI DÖNEM",IF($I2289="Hayır","ÖDENECEK","UYGUN")))),"EKSİK"))))</f>
        <v/>
      </c>
      <c r="Q2289" s="2"/>
      <c r="R2289" s="2"/>
      <c r="S2289" s="1" t="str">
        <f t="shared" si="107"/>
        <v/>
      </c>
      <c r="T2289" s="1" t="str">
        <f>IF(OR($C2289="",$D2289&lt;&gt;"Gelir",$L2289=""),"",IFERROR(INDEX(MUSTERILER!$B$7:$B$156,MATCH($S2289,MUSTERILER!$T$7:$T$156,0)),""))</f>
        <v/>
      </c>
      <c r="U2289" s="1" t="str">
        <f>IF($T2289="","",$T2289&amp;"|"&amp;COUNTIFS($T$7:$T2289,$T2289))</f>
        <v/>
      </c>
      <c r="V2289" s="1">
        <f t="shared" si="108"/>
        <v>0</v>
      </c>
      <c r="W2289" s="1" t="str">
        <f t="shared" si="109"/>
        <v/>
      </c>
      <c r="X2289" s="1"/>
      <c r="Y2289" s="1"/>
      <c r="Z2289" s="1"/>
      <c r="AA2289" s="1"/>
      <c r="AB2289" s="1"/>
      <c r="AC2289" s="1"/>
      <c r="AD2289" s="1">
        <f>IF($C2289="",0,SUMPRODUCT((AY_SONU!$O$7:$O$42="Evet")*(AY_SONU!$B$7:$B$42=DATE(YEAR($C2289),MONTH($C2289),1))))</f>
        <v>0</v>
      </c>
      <c r="AE2289" s="1" t="str">
        <f>IF($E2289="","",$E2289&amp;"|"&amp;COUNTIFS($E$7:$E2289,$E2289))</f>
        <v/>
      </c>
    </row>
    <row r="2290" spans="1:31" ht="18" customHeight="1" x14ac:dyDescent="0.3">
      <c r="A2290" s="2"/>
      <c r="B2290" s="65" t="str">
        <f>IF($C2290="","","GG"&amp;TEXT(ROW()-6,"00000"))</f>
        <v/>
      </c>
      <c r="C2290" s="66"/>
      <c r="D2290" s="60"/>
      <c r="E2290" s="61"/>
      <c r="F2290" s="61"/>
      <c r="G2290" s="67"/>
      <c r="H2290" s="60"/>
      <c r="I2290" s="60"/>
      <c r="J2290" s="61"/>
      <c r="K2290" s="61"/>
      <c r="L2290" s="60"/>
      <c r="M2290" s="74" t="str">
        <f>IF($C2290="","",IF($D2290="Gider",$E2290,IF($L2290&lt;&gt;"",$L2290,$H2290)))</f>
        <v/>
      </c>
      <c r="N2290" s="74" t="str">
        <f>IF($C2290="","",IF($D2290="Gider",$H2290,$E2290))</f>
        <v/>
      </c>
      <c r="O2290" s="73" t="str">
        <f>IF($C2290="","",DATE(YEAR($C2290),MONTH($C2290),1))</f>
        <v/>
      </c>
      <c r="P2290" s="65" t="str">
        <f ca="1">IF($C2290="","",IF(AND($D2290="Gelir",$L2290&lt;&gt;"",$T2290=""),"TANIMSIZ BORÇLU",IF($T2290&lt;&gt;"",IF(OR($E2290="",$G2290&lt;=0),"EKSİK",IF($I2290="Evet","TAHAKKUK NAKİT OLAMAZ",IF($C2290&gt;TODAY(),"İLERİ TARİH","TAHAKKUK"))),IF(AND($D2290&lt;&gt;"",$E2290&lt;&gt;"",$G2290&gt;0,$H2290&lt;&gt;"",$I2290&lt;&gt;""),IF($C2290&gt;TODAY(),"İLERİ TARİH",IF(COUNTIF($W$7:$W$3001,$W2290)&gt;1,"MÜKERRER?",IF($AD2290&gt;0,"KAPALI DÖNEM",IF($I2290="Hayır","ÖDENECEK","UYGUN")))),"EKSİK"))))</f>
        <v/>
      </c>
      <c r="Q2290" s="2"/>
      <c r="R2290" s="2"/>
      <c r="S2290" s="1" t="str">
        <f t="shared" si="107"/>
        <v/>
      </c>
      <c r="T2290" s="1" t="str">
        <f>IF(OR($C2290="",$D2290&lt;&gt;"Gelir",$L2290=""),"",IFERROR(INDEX(MUSTERILER!$B$7:$B$156,MATCH($S2290,MUSTERILER!$T$7:$T$156,0)),""))</f>
        <v/>
      </c>
      <c r="U2290" s="1" t="str">
        <f>IF($T2290="","",$T2290&amp;"|"&amp;COUNTIFS($T$7:$T2290,$T2290))</f>
        <v/>
      </c>
      <c r="V2290" s="1">
        <f t="shared" si="108"/>
        <v>0</v>
      </c>
      <c r="W2290" s="1" t="str">
        <f t="shared" si="109"/>
        <v/>
      </c>
      <c r="X2290" s="1"/>
      <c r="Y2290" s="1"/>
      <c r="Z2290" s="1"/>
      <c r="AA2290" s="1"/>
      <c r="AB2290" s="1"/>
      <c r="AC2290" s="1"/>
      <c r="AD2290" s="1">
        <f>IF($C2290="",0,SUMPRODUCT((AY_SONU!$O$7:$O$42="Evet")*(AY_SONU!$B$7:$B$42=DATE(YEAR($C2290),MONTH($C2290),1))))</f>
        <v>0</v>
      </c>
      <c r="AE2290" s="1" t="str">
        <f>IF($E2290="","",$E2290&amp;"|"&amp;COUNTIFS($E$7:$E2290,$E2290))</f>
        <v/>
      </c>
    </row>
    <row r="2291" spans="1:31" ht="18" customHeight="1" x14ac:dyDescent="0.3">
      <c r="A2291" s="2"/>
      <c r="B2291" s="65" t="str">
        <f>IF($C2291="","","GG"&amp;TEXT(ROW()-6,"00000"))</f>
        <v/>
      </c>
      <c r="C2291" s="66"/>
      <c r="D2291" s="60"/>
      <c r="E2291" s="61"/>
      <c r="F2291" s="61"/>
      <c r="G2291" s="67"/>
      <c r="H2291" s="60"/>
      <c r="I2291" s="60"/>
      <c r="J2291" s="61"/>
      <c r="K2291" s="61"/>
      <c r="L2291" s="60"/>
      <c r="M2291" s="74" t="str">
        <f>IF($C2291="","",IF($D2291="Gider",$E2291,IF($L2291&lt;&gt;"",$L2291,$H2291)))</f>
        <v/>
      </c>
      <c r="N2291" s="74" t="str">
        <f>IF($C2291="","",IF($D2291="Gider",$H2291,$E2291))</f>
        <v/>
      </c>
      <c r="O2291" s="73" t="str">
        <f>IF($C2291="","",DATE(YEAR($C2291),MONTH($C2291),1))</f>
        <v/>
      </c>
      <c r="P2291" s="65" t="str">
        <f ca="1">IF($C2291="","",IF(AND($D2291="Gelir",$L2291&lt;&gt;"",$T2291=""),"TANIMSIZ BORÇLU",IF($T2291&lt;&gt;"",IF(OR($E2291="",$G2291&lt;=0),"EKSİK",IF($I2291="Evet","TAHAKKUK NAKİT OLAMAZ",IF($C2291&gt;TODAY(),"İLERİ TARİH","TAHAKKUK"))),IF(AND($D2291&lt;&gt;"",$E2291&lt;&gt;"",$G2291&gt;0,$H2291&lt;&gt;"",$I2291&lt;&gt;""),IF($C2291&gt;TODAY(),"İLERİ TARİH",IF(COUNTIF($W$7:$W$3001,$W2291)&gt;1,"MÜKERRER?",IF($AD2291&gt;0,"KAPALI DÖNEM",IF($I2291="Hayır","ÖDENECEK","UYGUN")))),"EKSİK"))))</f>
        <v/>
      </c>
      <c r="Q2291" s="2"/>
      <c r="R2291" s="2"/>
      <c r="S2291" s="1" t="str">
        <f t="shared" si="107"/>
        <v/>
      </c>
      <c r="T2291" s="1" t="str">
        <f>IF(OR($C2291="",$D2291&lt;&gt;"Gelir",$L2291=""),"",IFERROR(INDEX(MUSTERILER!$B$7:$B$156,MATCH($S2291,MUSTERILER!$T$7:$T$156,0)),""))</f>
        <v/>
      </c>
      <c r="U2291" s="1" t="str">
        <f>IF($T2291="","",$T2291&amp;"|"&amp;COUNTIFS($T$7:$T2291,$T2291))</f>
        <v/>
      </c>
      <c r="V2291" s="1">
        <f t="shared" si="108"/>
        <v>0</v>
      </c>
      <c r="W2291" s="1" t="str">
        <f t="shared" si="109"/>
        <v/>
      </c>
      <c r="X2291" s="1"/>
      <c r="Y2291" s="1"/>
      <c r="Z2291" s="1"/>
      <c r="AA2291" s="1"/>
      <c r="AB2291" s="1"/>
      <c r="AC2291" s="1"/>
      <c r="AD2291" s="1">
        <f>IF($C2291="",0,SUMPRODUCT((AY_SONU!$O$7:$O$42="Evet")*(AY_SONU!$B$7:$B$42=DATE(YEAR($C2291),MONTH($C2291),1))))</f>
        <v>0</v>
      </c>
      <c r="AE2291" s="1" t="str">
        <f>IF($E2291="","",$E2291&amp;"|"&amp;COUNTIFS($E$7:$E2291,$E2291))</f>
        <v/>
      </c>
    </row>
    <row r="2292" spans="1:31" ht="18" customHeight="1" x14ac:dyDescent="0.3">
      <c r="A2292" s="2"/>
      <c r="B2292" s="65" t="str">
        <f>IF($C2292="","","GG"&amp;TEXT(ROW()-6,"00000"))</f>
        <v/>
      </c>
      <c r="C2292" s="66"/>
      <c r="D2292" s="60"/>
      <c r="E2292" s="61"/>
      <c r="F2292" s="61"/>
      <c r="G2292" s="67"/>
      <c r="H2292" s="60"/>
      <c r="I2292" s="60"/>
      <c r="J2292" s="61"/>
      <c r="K2292" s="61"/>
      <c r="L2292" s="60"/>
      <c r="M2292" s="74" t="str">
        <f>IF($C2292="","",IF($D2292="Gider",$E2292,IF($L2292&lt;&gt;"",$L2292,$H2292)))</f>
        <v/>
      </c>
      <c r="N2292" s="74" t="str">
        <f>IF($C2292="","",IF($D2292="Gider",$H2292,$E2292))</f>
        <v/>
      </c>
      <c r="O2292" s="73" t="str">
        <f>IF($C2292="","",DATE(YEAR($C2292),MONTH($C2292),1))</f>
        <v/>
      </c>
      <c r="P2292" s="65" t="str">
        <f ca="1">IF($C2292="","",IF(AND($D2292="Gelir",$L2292&lt;&gt;"",$T2292=""),"TANIMSIZ BORÇLU",IF($T2292&lt;&gt;"",IF(OR($E2292="",$G2292&lt;=0),"EKSİK",IF($I2292="Evet","TAHAKKUK NAKİT OLAMAZ",IF($C2292&gt;TODAY(),"İLERİ TARİH","TAHAKKUK"))),IF(AND($D2292&lt;&gt;"",$E2292&lt;&gt;"",$G2292&gt;0,$H2292&lt;&gt;"",$I2292&lt;&gt;""),IF($C2292&gt;TODAY(),"İLERİ TARİH",IF(COUNTIF($W$7:$W$3001,$W2292)&gt;1,"MÜKERRER?",IF($AD2292&gt;0,"KAPALI DÖNEM",IF($I2292="Hayır","ÖDENECEK","UYGUN")))),"EKSİK"))))</f>
        <v/>
      </c>
      <c r="Q2292" s="2"/>
      <c r="R2292" s="2"/>
      <c r="S2292" s="1" t="str">
        <f t="shared" si="107"/>
        <v/>
      </c>
      <c r="T2292" s="1" t="str">
        <f>IF(OR($C2292="",$D2292&lt;&gt;"Gelir",$L2292=""),"",IFERROR(INDEX(MUSTERILER!$B$7:$B$156,MATCH($S2292,MUSTERILER!$T$7:$T$156,0)),""))</f>
        <v/>
      </c>
      <c r="U2292" s="1" t="str">
        <f>IF($T2292="","",$T2292&amp;"|"&amp;COUNTIFS($T$7:$T2292,$T2292))</f>
        <v/>
      </c>
      <c r="V2292" s="1">
        <f t="shared" si="108"/>
        <v>0</v>
      </c>
      <c r="W2292" s="1" t="str">
        <f t="shared" si="109"/>
        <v/>
      </c>
      <c r="X2292" s="1"/>
      <c r="Y2292" s="1"/>
      <c r="Z2292" s="1"/>
      <c r="AA2292" s="1"/>
      <c r="AB2292" s="1"/>
      <c r="AC2292" s="1"/>
      <c r="AD2292" s="1">
        <f>IF($C2292="",0,SUMPRODUCT((AY_SONU!$O$7:$O$42="Evet")*(AY_SONU!$B$7:$B$42=DATE(YEAR($C2292),MONTH($C2292),1))))</f>
        <v>0</v>
      </c>
      <c r="AE2292" s="1" t="str">
        <f>IF($E2292="","",$E2292&amp;"|"&amp;COUNTIFS($E$7:$E2292,$E2292))</f>
        <v/>
      </c>
    </row>
    <row r="2293" spans="1:31" ht="18" customHeight="1" x14ac:dyDescent="0.3">
      <c r="A2293" s="2"/>
      <c r="B2293" s="65" t="str">
        <f>IF($C2293="","","GG"&amp;TEXT(ROW()-6,"00000"))</f>
        <v/>
      </c>
      <c r="C2293" s="66"/>
      <c r="D2293" s="60"/>
      <c r="E2293" s="61"/>
      <c r="F2293" s="61"/>
      <c r="G2293" s="67"/>
      <c r="H2293" s="60"/>
      <c r="I2293" s="60"/>
      <c r="J2293" s="61"/>
      <c r="K2293" s="61"/>
      <c r="L2293" s="60"/>
      <c r="M2293" s="74" t="str">
        <f>IF($C2293="","",IF($D2293="Gider",$E2293,IF($L2293&lt;&gt;"",$L2293,$H2293)))</f>
        <v/>
      </c>
      <c r="N2293" s="74" t="str">
        <f>IF($C2293="","",IF($D2293="Gider",$H2293,$E2293))</f>
        <v/>
      </c>
      <c r="O2293" s="73" t="str">
        <f>IF($C2293="","",DATE(YEAR($C2293),MONTH($C2293),1))</f>
        <v/>
      </c>
      <c r="P2293" s="65" t="str">
        <f ca="1">IF($C2293="","",IF(AND($D2293="Gelir",$L2293&lt;&gt;"",$T2293=""),"TANIMSIZ BORÇLU",IF($T2293&lt;&gt;"",IF(OR($E2293="",$G2293&lt;=0),"EKSİK",IF($I2293="Evet","TAHAKKUK NAKİT OLAMAZ",IF($C2293&gt;TODAY(),"İLERİ TARİH","TAHAKKUK"))),IF(AND($D2293&lt;&gt;"",$E2293&lt;&gt;"",$G2293&gt;0,$H2293&lt;&gt;"",$I2293&lt;&gt;""),IF($C2293&gt;TODAY(),"İLERİ TARİH",IF(COUNTIF($W$7:$W$3001,$W2293)&gt;1,"MÜKERRER?",IF($AD2293&gt;0,"KAPALI DÖNEM",IF($I2293="Hayır","ÖDENECEK","UYGUN")))),"EKSİK"))))</f>
        <v/>
      </c>
      <c r="Q2293" s="2"/>
      <c r="R2293" s="2"/>
      <c r="S2293" s="1" t="str">
        <f t="shared" si="107"/>
        <v/>
      </c>
      <c r="T2293" s="1" t="str">
        <f>IF(OR($C2293="",$D2293&lt;&gt;"Gelir",$L2293=""),"",IFERROR(INDEX(MUSTERILER!$B$7:$B$156,MATCH($S2293,MUSTERILER!$T$7:$T$156,0)),""))</f>
        <v/>
      </c>
      <c r="U2293" s="1" t="str">
        <f>IF($T2293="","",$T2293&amp;"|"&amp;COUNTIFS($T$7:$T2293,$T2293))</f>
        <v/>
      </c>
      <c r="V2293" s="1">
        <f t="shared" si="108"/>
        <v>0</v>
      </c>
      <c r="W2293" s="1" t="str">
        <f t="shared" si="109"/>
        <v/>
      </c>
      <c r="X2293" s="1"/>
      <c r="Y2293" s="1"/>
      <c r="Z2293" s="1"/>
      <c r="AA2293" s="1"/>
      <c r="AB2293" s="1"/>
      <c r="AC2293" s="1"/>
      <c r="AD2293" s="1">
        <f>IF($C2293="",0,SUMPRODUCT((AY_SONU!$O$7:$O$42="Evet")*(AY_SONU!$B$7:$B$42=DATE(YEAR($C2293),MONTH($C2293),1))))</f>
        <v>0</v>
      </c>
      <c r="AE2293" s="1" t="str">
        <f>IF($E2293="","",$E2293&amp;"|"&amp;COUNTIFS($E$7:$E2293,$E2293))</f>
        <v/>
      </c>
    </row>
    <row r="2294" spans="1:31" ht="18" customHeight="1" x14ac:dyDescent="0.3">
      <c r="A2294" s="2"/>
      <c r="B2294" s="65" t="str">
        <f>IF($C2294="","","GG"&amp;TEXT(ROW()-6,"00000"))</f>
        <v/>
      </c>
      <c r="C2294" s="66"/>
      <c r="D2294" s="60"/>
      <c r="E2294" s="61"/>
      <c r="F2294" s="61"/>
      <c r="G2294" s="67"/>
      <c r="H2294" s="60"/>
      <c r="I2294" s="60"/>
      <c r="J2294" s="61"/>
      <c r="K2294" s="61"/>
      <c r="L2294" s="60"/>
      <c r="M2294" s="74" t="str">
        <f>IF($C2294="","",IF($D2294="Gider",$E2294,IF($L2294&lt;&gt;"",$L2294,$H2294)))</f>
        <v/>
      </c>
      <c r="N2294" s="74" t="str">
        <f>IF($C2294="","",IF($D2294="Gider",$H2294,$E2294))</f>
        <v/>
      </c>
      <c r="O2294" s="73" t="str">
        <f>IF($C2294="","",DATE(YEAR($C2294),MONTH($C2294),1))</f>
        <v/>
      </c>
      <c r="P2294" s="65" t="str">
        <f ca="1">IF($C2294="","",IF(AND($D2294="Gelir",$L2294&lt;&gt;"",$T2294=""),"TANIMSIZ BORÇLU",IF($T2294&lt;&gt;"",IF(OR($E2294="",$G2294&lt;=0),"EKSİK",IF($I2294="Evet","TAHAKKUK NAKİT OLAMAZ",IF($C2294&gt;TODAY(),"İLERİ TARİH","TAHAKKUK"))),IF(AND($D2294&lt;&gt;"",$E2294&lt;&gt;"",$G2294&gt;0,$H2294&lt;&gt;"",$I2294&lt;&gt;""),IF($C2294&gt;TODAY(),"İLERİ TARİH",IF(COUNTIF($W$7:$W$3001,$W2294)&gt;1,"MÜKERRER?",IF($AD2294&gt;0,"KAPALI DÖNEM",IF($I2294="Hayır","ÖDENECEK","UYGUN")))),"EKSİK"))))</f>
        <v/>
      </c>
      <c r="Q2294" s="2"/>
      <c r="R2294" s="2"/>
      <c r="S2294" s="1" t="str">
        <f t="shared" si="107"/>
        <v/>
      </c>
      <c r="T2294" s="1" t="str">
        <f>IF(OR($C2294="",$D2294&lt;&gt;"Gelir",$L2294=""),"",IFERROR(INDEX(MUSTERILER!$B$7:$B$156,MATCH($S2294,MUSTERILER!$T$7:$T$156,0)),""))</f>
        <v/>
      </c>
      <c r="U2294" s="1" t="str">
        <f>IF($T2294="","",$T2294&amp;"|"&amp;COUNTIFS($T$7:$T2294,$T2294))</f>
        <v/>
      </c>
      <c r="V2294" s="1">
        <f t="shared" si="108"/>
        <v>0</v>
      </c>
      <c r="W2294" s="1" t="str">
        <f t="shared" si="109"/>
        <v/>
      </c>
      <c r="X2294" s="1"/>
      <c r="Y2294" s="1"/>
      <c r="Z2294" s="1"/>
      <c r="AA2294" s="1"/>
      <c r="AB2294" s="1"/>
      <c r="AC2294" s="1"/>
      <c r="AD2294" s="1">
        <f>IF($C2294="",0,SUMPRODUCT((AY_SONU!$O$7:$O$42="Evet")*(AY_SONU!$B$7:$B$42=DATE(YEAR($C2294),MONTH($C2294),1))))</f>
        <v>0</v>
      </c>
      <c r="AE2294" s="1" t="str">
        <f>IF($E2294="","",$E2294&amp;"|"&amp;COUNTIFS($E$7:$E2294,$E2294))</f>
        <v/>
      </c>
    </row>
    <row r="2295" spans="1:31" ht="18" customHeight="1" x14ac:dyDescent="0.3">
      <c r="A2295" s="2"/>
      <c r="B2295" s="65" t="str">
        <f>IF($C2295="","","GG"&amp;TEXT(ROW()-6,"00000"))</f>
        <v/>
      </c>
      <c r="C2295" s="66"/>
      <c r="D2295" s="60"/>
      <c r="E2295" s="61"/>
      <c r="F2295" s="61"/>
      <c r="G2295" s="67"/>
      <c r="H2295" s="60"/>
      <c r="I2295" s="60"/>
      <c r="J2295" s="61"/>
      <c r="K2295" s="61"/>
      <c r="L2295" s="60"/>
      <c r="M2295" s="74" t="str">
        <f>IF($C2295="","",IF($D2295="Gider",$E2295,IF($L2295&lt;&gt;"",$L2295,$H2295)))</f>
        <v/>
      </c>
      <c r="N2295" s="74" t="str">
        <f>IF($C2295="","",IF($D2295="Gider",$H2295,$E2295))</f>
        <v/>
      </c>
      <c r="O2295" s="73" t="str">
        <f>IF($C2295="","",DATE(YEAR($C2295),MONTH($C2295),1))</f>
        <v/>
      </c>
      <c r="P2295" s="65" t="str">
        <f ca="1">IF($C2295="","",IF(AND($D2295="Gelir",$L2295&lt;&gt;"",$T2295=""),"TANIMSIZ BORÇLU",IF($T2295&lt;&gt;"",IF(OR($E2295="",$G2295&lt;=0),"EKSİK",IF($I2295="Evet","TAHAKKUK NAKİT OLAMAZ",IF($C2295&gt;TODAY(),"İLERİ TARİH","TAHAKKUK"))),IF(AND($D2295&lt;&gt;"",$E2295&lt;&gt;"",$G2295&gt;0,$H2295&lt;&gt;"",$I2295&lt;&gt;""),IF($C2295&gt;TODAY(),"İLERİ TARİH",IF(COUNTIF($W$7:$W$3001,$W2295)&gt;1,"MÜKERRER?",IF($AD2295&gt;0,"KAPALI DÖNEM",IF($I2295="Hayır","ÖDENECEK","UYGUN")))),"EKSİK"))))</f>
        <v/>
      </c>
      <c r="Q2295" s="2"/>
      <c r="R2295" s="2"/>
      <c r="S2295" s="1" t="str">
        <f t="shared" si="107"/>
        <v/>
      </c>
      <c r="T2295" s="1" t="str">
        <f>IF(OR($C2295="",$D2295&lt;&gt;"Gelir",$L2295=""),"",IFERROR(INDEX(MUSTERILER!$B$7:$B$156,MATCH($S2295,MUSTERILER!$T$7:$T$156,0)),""))</f>
        <v/>
      </c>
      <c r="U2295" s="1" t="str">
        <f>IF($T2295="","",$T2295&amp;"|"&amp;COUNTIFS($T$7:$T2295,$T2295))</f>
        <v/>
      </c>
      <c r="V2295" s="1">
        <f t="shared" si="108"/>
        <v>0</v>
      </c>
      <c r="W2295" s="1" t="str">
        <f t="shared" si="109"/>
        <v/>
      </c>
      <c r="X2295" s="1"/>
      <c r="Y2295" s="1"/>
      <c r="Z2295" s="1"/>
      <c r="AA2295" s="1"/>
      <c r="AB2295" s="1"/>
      <c r="AC2295" s="1"/>
      <c r="AD2295" s="1">
        <f>IF($C2295="",0,SUMPRODUCT((AY_SONU!$O$7:$O$42="Evet")*(AY_SONU!$B$7:$B$42=DATE(YEAR($C2295),MONTH($C2295),1))))</f>
        <v>0</v>
      </c>
      <c r="AE2295" s="1" t="str">
        <f>IF($E2295="","",$E2295&amp;"|"&amp;COUNTIFS($E$7:$E2295,$E2295))</f>
        <v/>
      </c>
    </row>
    <row r="2296" spans="1:31" ht="18" customHeight="1" x14ac:dyDescent="0.3">
      <c r="A2296" s="2"/>
      <c r="B2296" s="65" t="str">
        <f>IF($C2296="","","GG"&amp;TEXT(ROW()-6,"00000"))</f>
        <v/>
      </c>
      <c r="C2296" s="66"/>
      <c r="D2296" s="60"/>
      <c r="E2296" s="61"/>
      <c r="F2296" s="61"/>
      <c r="G2296" s="67"/>
      <c r="H2296" s="60"/>
      <c r="I2296" s="60"/>
      <c r="J2296" s="61"/>
      <c r="K2296" s="61"/>
      <c r="L2296" s="60"/>
      <c r="M2296" s="74" t="str">
        <f>IF($C2296="","",IF($D2296="Gider",$E2296,IF($L2296&lt;&gt;"",$L2296,$H2296)))</f>
        <v/>
      </c>
      <c r="N2296" s="74" t="str">
        <f>IF($C2296="","",IF($D2296="Gider",$H2296,$E2296))</f>
        <v/>
      </c>
      <c r="O2296" s="73" t="str">
        <f>IF($C2296="","",DATE(YEAR($C2296),MONTH($C2296),1))</f>
        <v/>
      </c>
      <c r="P2296" s="65" t="str">
        <f ca="1">IF($C2296="","",IF(AND($D2296="Gelir",$L2296&lt;&gt;"",$T2296=""),"TANIMSIZ BORÇLU",IF($T2296&lt;&gt;"",IF(OR($E2296="",$G2296&lt;=0),"EKSİK",IF($I2296="Evet","TAHAKKUK NAKİT OLAMAZ",IF($C2296&gt;TODAY(),"İLERİ TARİH","TAHAKKUK"))),IF(AND($D2296&lt;&gt;"",$E2296&lt;&gt;"",$G2296&gt;0,$H2296&lt;&gt;"",$I2296&lt;&gt;""),IF($C2296&gt;TODAY(),"İLERİ TARİH",IF(COUNTIF($W$7:$W$3001,$W2296)&gt;1,"MÜKERRER?",IF($AD2296&gt;0,"KAPALI DÖNEM",IF($I2296="Hayır","ÖDENECEK","UYGUN")))),"EKSİK"))))</f>
        <v/>
      </c>
      <c r="Q2296" s="2"/>
      <c r="R2296" s="2"/>
      <c r="S2296" s="1" t="str">
        <f t="shared" si="107"/>
        <v/>
      </c>
      <c r="T2296" s="1" t="str">
        <f>IF(OR($C2296="",$D2296&lt;&gt;"Gelir",$L2296=""),"",IFERROR(INDEX(MUSTERILER!$B$7:$B$156,MATCH($S2296,MUSTERILER!$T$7:$T$156,0)),""))</f>
        <v/>
      </c>
      <c r="U2296" s="1" t="str">
        <f>IF($T2296="","",$T2296&amp;"|"&amp;COUNTIFS($T$7:$T2296,$T2296))</f>
        <v/>
      </c>
      <c r="V2296" s="1">
        <f t="shared" si="108"/>
        <v>0</v>
      </c>
      <c r="W2296" s="1" t="str">
        <f t="shared" si="109"/>
        <v/>
      </c>
      <c r="X2296" s="1"/>
      <c r="Y2296" s="1"/>
      <c r="Z2296" s="1"/>
      <c r="AA2296" s="1"/>
      <c r="AB2296" s="1"/>
      <c r="AC2296" s="1"/>
      <c r="AD2296" s="1">
        <f>IF($C2296="",0,SUMPRODUCT((AY_SONU!$O$7:$O$42="Evet")*(AY_SONU!$B$7:$B$42=DATE(YEAR($C2296),MONTH($C2296),1))))</f>
        <v>0</v>
      </c>
      <c r="AE2296" s="1" t="str">
        <f>IF($E2296="","",$E2296&amp;"|"&amp;COUNTIFS($E$7:$E2296,$E2296))</f>
        <v/>
      </c>
    </row>
    <row r="2297" spans="1:31" ht="18" customHeight="1" x14ac:dyDescent="0.3">
      <c r="A2297" s="2"/>
      <c r="B2297" s="65" t="str">
        <f>IF($C2297="","","GG"&amp;TEXT(ROW()-6,"00000"))</f>
        <v/>
      </c>
      <c r="C2297" s="66"/>
      <c r="D2297" s="60"/>
      <c r="E2297" s="61"/>
      <c r="F2297" s="61"/>
      <c r="G2297" s="67"/>
      <c r="H2297" s="60"/>
      <c r="I2297" s="60"/>
      <c r="J2297" s="61"/>
      <c r="K2297" s="61"/>
      <c r="L2297" s="60"/>
      <c r="M2297" s="74" t="str">
        <f>IF($C2297="","",IF($D2297="Gider",$E2297,IF($L2297&lt;&gt;"",$L2297,$H2297)))</f>
        <v/>
      </c>
      <c r="N2297" s="74" t="str">
        <f>IF($C2297="","",IF($D2297="Gider",$H2297,$E2297))</f>
        <v/>
      </c>
      <c r="O2297" s="73" t="str">
        <f>IF($C2297="","",DATE(YEAR($C2297),MONTH($C2297),1))</f>
        <v/>
      </c>
      <c r="P2297" s="65" t="str">
        <f ca="1">IF($C2297="","",IF(AND($D2297="Gelir",$L2297&lt;&gt;"",$T2297=""),"TANIMSIZ BORÇLU",IF($T2297&lt;&gt;"",IF(OR($E2297="",$G2297&lt;=0),"EKSİK",IF($I2297="Evet","TAHAKKUK NAKİT OLAMAZ",IF($C2297&gt;TODAY(),"İLERİ TARİH","TAHAKKUK"))),IF(AND($D2297&lt;&gt;"",$E2297&lt;&gt;"",$G2297&gt;0,$H2297&lt;&gt;"",$I2297&lt;&gt;""),IF($C2297&gt;TODAY(),"İLERİ TARİH",IF(COUNTIF($W$7:$W$3001,$W2297)&gt;1,"MÜKERRER?",IF($AD2297&gt;0,"KAPALI DÖNEM",IF($I2297="Hayır","ÖDENECEK","UYGUN")))),"EKSİK"))))</f>
        <v/>
      </c>
      <c r="Q2297" s="2"/>
      <c r="R2297" s="2"/>
      <c r="S2297" s="1" t="str">
        <f t="shared" si="107"/>
        <v/>
      </c>
      <c r="T2297" s="1" t="str">
        <f>IF(OR($C2297="",$D2297&lt;&gt;"Gelir",$L2297=""),"",IFERROR(INDEX(MUSTERILER!$B$7:$B$156,MATCH($S2297,MUSTERILER!$T$7:$T$156,0)),""))</f>
        <v/>
      </c>
      <c r="U2297" s="1" t="str">
        <f>IF($T2297="","",$T2297&amp;"|"&amp;COUNTIFS($T$7:$T2297,$T2297))</f>
        <v/>
      </c>
      <c r="V2297" s="1">
        <f t="shared" si="108"/>
        <v>0</v>
      </c>
      <c r="W2297" s="1" t="str">
        <f t="shared" si="109"/>
        <v/>
      </c>
      <c r="X2297" s="1"/>
      <c r="Y2297" s="1"/>
      <c r="Z2297" s="1"/>
      <c r="AA2297" s="1"/>
      <c r="AB2297" s="1"/>
      <c r="AC2297" s="1"/>
      <c r="AD2297" s="1">
        <f>IF($C2297="",0,SUMPRODUCT((AY_SONU!$O$7:$O$42="Evet")*(AY_SONU!$B$7:$B$42=DATE(YEAR($C2297),MONTH($C2297),1))))</f>
        <v>0</v>
      </c>
      <c r="AE2297" s="1" t="str">
        <f>IF($E2297="","",$E2297&amp;"|"&amp;COUNTIFS($E$7:$E2297,$E2297))</f>
        <v/>
      </c>
    </row>
    <row r="2298" spans="1:31" ht="18" customHeight="1" x14ac:dyDescent="0.3">
      <c r="A2298" s="2"/>
      <c r="B2298" s="65" t="str">
        <f>IF($C2298="","","GG"&amp;TEXT(ROW()-6,"00000"))</f>
        <v/>
      </c>
      <c r="C2298" s="66"/>
      <c r="D2298" s="60"/>
      <c r="E2298" s="61"/>
      <c r="F2298" s="61"/>
      <c r="G2298" s="67"/>
      <c r="H2298" s="60"/>
      <c r="I2298" s="60"/>
      <c r="J2298" s="61"/>
      <c r="K2298" s="61"/>
      <c r="L2298" s="60"/>
      <c r="M2298" s="74" t="str">
        <f>IF($C2298="","",IF($D2298="Gider",$E2298,IF($L2298&lt;&gt;"",$L2298,$H2298)))</f>
        <v/>
      </c>
      <c r="N2298" s="74" t="str">
        <f>IF($C2298="","",IF($D2298="Gider",$H2298,$E2298))</f>
        <v/>
      </c>
      <c r="O2298" s="73" t="str">
        <f>IF($C2298="","",DATE(YEAR($C2298),MONTH($C2298),1))</f>
        <v/>
      </c>
      <c r="P2298" s="65" t="str">
        <f ca="1">IF($C2298="","",IF(AND($D2298="Gelir",$L2298&lt;&gt;"",$T2298=""),"TANIMSIZ BORÇLU",IF($T2298&lt;&gt;"",IF(OR($E2298="",$G2298&lt;=0),"EKSİK",IF($I2298="Evet","TAHAKKUK NAKİT OLAMAZ",IF($C2298&gt;TODAY(),"İLERİ TARİH","TAHAKKUK"))),IF(AND($D2298&lt;&gt;"",$E2298&lt;&gt;"",$G2298&gt;0,$H2298&lt;&gt;"",$I2298&lt;&gt;""),IF($C2298&gt;TODAY(),"İLERİ TARİH",IF(COUNTIF($W$7:$W$3001,$W2298)&gt;1,"MÜKERRER?",IF($AD2298&gt;0,"KAPALI DÖNEM",IF($I2298="Hayır","ÖDENECEK","UYGUN")))),"EKSİK"))))</f>
        <v/>
      </c>
      <c r="Q2298" s="2"/>
      <c r="R2298" s="2"/>
      <c r="S2298" s="1" t="str">
        <f t="shared" si="107"/>
        <v/>
      </c>
      <c r="T2298" s="1" t="str">
        <f>IF(OR($C2298="",$D2298&lt;&gt;"Gelir",$L2298=""),"",IFERROR(INDEX(MUSTERILER!$B$7:$B$156,MATCH($S2298,MUSTERILER!$T$7:$T$156,0)),""))</f>
        <v/>
      </c>
      <c r="U2298" s="1" t="str">
        <f>IF($T2298="","",$T2298&amp;"|"&amp;COUNTIFS($T$7:$T2298,$T2298))</f>
        <v/>
      </c>
      <c r="V2298" s="1">
        <f t="shared" si="108"/>
        <v>0</v>
      </c>
      <c r="W2298" s="1" t="str">
        <f t="shared" si="109"/>
        <v/>
      </c>
      <c r="X2298" s="1"/>
      <c r="Y2298" s="1"/>
      <c r="Z2298" s="1"/>
      <c r="AA2298" s="1"/>
      <c r="AB2298" s="1"/>
      <c r="AC2298" s="1"/>
      <c r="AD2298" s="1">
        <f>IF($C2298="",0,SUMPRODUCT((AY_SONU!$O$7:$O$42="Evet")*(AY_SONU!$B$7:$B$42=DATE(YEAR($C2298),MONTH($C2298),1))))</f>
        <v>0</v>
      </c>
      <c r="AE2298" s="1" t="str">
        <f>IF($E2298="","",$E2298&amp;"|"&amp;COUNTIFS($E$7:$E2298,$E2298))</f>
        <v/>
      </c>
    </row>
    <row r="2299" spans="1:31" ht="18" customHeight="1" x14ac:dyDescent="0.3">
      <c r="A2299" s="2"/>
      <c r="B2299" s="65" t="str">
        <f>IF($C2299="","","GG"&amp;TEXT(ROW()-6,"00000"))</f>
        <v/>
      </c>
      <c r="C2299" s="66"/>
      <c r="D2299" s="60"/>
      <c r="E2299" s="61"/>
      <c r="F2299" s="61"/>
      <c r="G2299" s="67"/>
      <c r="H2299" s="60"/>
      <c r="I2299" s="60"/>
      <c r="J2299" s="61"/>
      <c r="K2299" s="61"/>
      <c r="L2299" s="60"/>
      <c r="M2299" s="74" t="str">
        <f>IF($C2299="","",IF($D2299="Gider",$E2299,IF($L2299&lt;&gt;"",$L2299,$H2299)))</f>
        <v/>
      </c>
      <c r="N2299" s="74" t="str">
        <f>IF($C2299="","",IF($D2299="Gider",$H2299,$E2299))</f>
        <v/>
      </c>
      <c r="O2299" s="73" t="str">
        <f>IF($C2299="","",DATE(YEAR($C2299),MONTH($C2299),1))</f>
        <v/>
      </c>
      <c r="P2299" s="65" t="str">
        <f ca="1">IF($C2299="","",IF(AND($D2299="Gelir",$L2299&lt;&gt;"",$T2299=""),"TANIMSIZ BORÇLU",IF($T2299&lt;&gt;"",IF(OR($E2299="",$G2299&lt;=0),"EKSİK",IF($I2299="Evet","TAHAKKUK NAKİT OLAMAZ",IF($C2299&gt;TODAY(),"İLERİ TARİH","TAHAKKUK"))),IF(AND($D2299&lt;&gt;"",$E2299&lt;&gt;"",$G2299&gt;0,$H2299&lt;&gt;"",$I2299&lt;&gt;""),IF($C2299&gt;TODAY(),"İLERİ TARİH",IF(COUNTIF($W$7:$W$3001,$W2299)&gt;1,"MÜKERRER?",IF($AD2299&gt;0,"KAPALI DÖNEM",IF($I2299="Hayır","ÖDENECEK","UYGUN")))),"EKSİK"))))</f>
        <v/>
      </c>
      <c r="Q2299" s="2"/>
      <c r="R2299" s="2"/>
      <c r="S2299" s="1" t="str">
        <f t="shared" si="107"/>
        <v/>
      </c>
      <c r="T2299" s="1" t="str">
        <f>IF(OR($C2299="",$D2299&lt;&gt;"Gelir",$L2299=""),"",IFERROR(INDEX(MUSTERILER!$B$7:$B$156,MATCH($S2299,MUSTERILER!$T$7:$T$156,0)),""))</f>
        <v/>
      </c>
      <c r="U2299" s="1" t="str">
        <f>IF($T2299="","",$T2299&amp;"|"&amp;COUNTIFS($T$7:$T2299,$T2299))</f>
        <v/>
      </c>
      <c r="V2299" s="1">
        <f t="shared" si="108"/>
        <v>0</v>
      </c>
      <c r="W2299" s="1" t="str">
        <f t="shared" si="109"/>
        <v/>
      </c>
      <c r="X2299" s="1"/>
      <c r="Y2299" s="1"/>
      <c r="Z2299" s="1"/>
      <c r="AA2299" s="1"/>
      <c r="AB2299" s="1"/>
      <c r="AC2299" s="1"/>
      <c r="AD2299" s="1">
        <f>IF($C2299="",0,SUMPRODUCT((AY_SONU!$O$7:$O$42="Evet")*(AY_SONU!$B$7:$B$42=DATE(YEAR($C2299),MONTH($C2299),1))))</f>
        <v>0</v>
      </c>
      <c r="AE2299" s="1" t="str">
        <f>IF($E2299="","",$E2299&amp;"|"&amp;COUNTIFS($E$7:$E2299,$E2299))</f>
        <v/>
      </c>
    </row>
    <row r="2300" spans="1:31" ht="18" customHeight="1" x14ac:dyDescent="0.3">
      <c r="A2300" s="2"/>
      <c r="B2300" s="65" t="str">
        <f>IF($C2300="","","GG"&amp;TEXT(ROW()-6,"00000"))</f>
        <v/>
      </c>
      <c r="C2300" s="66"/>
      <c r="D2300" s="60"/>
      <c r="E2300" s="61"/>
      <c r="F2300" s="61"/>
      <c r="G2300" s="67"/>
      <c r="H2300" s="60"/>
      <c r="I2300" s="60"/>
      <c r="J2300" s="61"/>
      <c r="K2300" s="61"/>
      <c r="L2300" s="60"/>
      <c r="M2300" s="74" t="str">
        <f>IF($C2300="","",IF($D2300="Gider",$E2300,IF($L2300&lt;&gt;"",$L2300,$H2300)))</f>
        <v/>
      </c>
      <c r="N2300" s="74" t="str">
        <f>IF($C2300="","",IF($D2300="Gider",$H2300,$E2300))</f>
        <v/>
      </c>
      <c r="O2300" s="73" t="str">
        <f>IF($C2300="","",DATE(YEAR($C2300),MONTH($C2300),1))</f>
        <v/>
      </c>
      <c r="P2300" s="65" t="str">
        <f ca="1">IF($C2300="","",IF(AND($D2300="Gelir",$L2300&lt;&gt;"",$T2300=""),"TANIMSIZ BORÇLU",IF($T2300&lt;&gt;"",IF(OR($E2300="",$G2300&lt;=0),"EKSİK",IF($I2300="Evet","TAHAKKUK NAKİT OLAMAZ",IF($C2300&gt;TODAY(),"İLERİ TARİH","TAHAKKUK"))),IF(AND($D2300&lt;&gt;"",$E2300&lt;&gt;"",$G2300&gt;0,$H2300&lt;&gt;"",$I2300&lt;&gt;""),IF($C2300&gt;TODAY(),"İLERİ TARİH",IF(COUNTIF($W$7:$W$3001,$W2300)&gt;1,"MÜKERRER?",IF($AD2300&gt;0,"KAPALI DÖNEM",IF($I2300="Hayır","ÖDENECEK","UYGUN")))),"EKSİK"))))</f>
        <v/>
      </c>
      <c r="Q2300" s="2"/>
      <c r="R2300" s="2"/>
      <c r="S2300" s="1" t="str">
        <f t="shared" si="107"/>
        <v/>
      </c>
      <c r="T2300" s="1" t="str">
        <f>IF(OR($C2300="",$D2300&lt;&gt;"Gelir",$L2300=""),"",IFERROR(INDEX(MUSTERILER!$B$7:$B$156,MATCH($S2300,MUSTERILER!$T$7:$T$156,0)),""))</f>
        <v/>
      </c>
      <c r="U2300" s="1" t="str">
        <f>IF($T2300="","",$T2300&amp;"|"&amp;COUNTIFS($T$7:$T2300,$T2300))</f>
        <v/>
      </c>
      <c r="V2300" s="1">
        <f t="shared" si="108"/>
        <v>0</v>
      </c>
      <c r="W2300" s="1" t="str">
        <f t="shared" si="109"/>
        <v/>
      </c>
      <c r="X2300" s="1"/>
      <c r="Y2300" s="1"/>
      <c r="Z2300" s="1"/>
      <c r="AA2300" s="1"/>
      <c r="AB2300" s="1"/>
      <c r="AC2300" s="1"/>
      <c r="AD2300" s="1">
        <f>IF($C2300="",0,SUMPRODUCT((AY_SONU!$O$7:$O$42="Evet")*(AY_SONU!$B$7:$B$42=DATE(YEAR($C2300),MONTH($C2300),1))))</f>
        <v>0</v>
      </c>
      <c r="AE2300" s="1" t="str">
        <f>IF($E2300="","",$E2300&amp;"|"&amp;COUNTIFS($E$7:$E2300,$E2300))</f>
        <v/>
      </c>
    </row>
    <row r="2301" spans="1:31" ht="18" customHeight="1" x14ac:dyDescent="0.3">
      <c r="A2301" s="2"/>
      <c r="B2301" s="65" t="str">
        <f>IF($C2301="","","GG"&amp;TEXT(ROW()-6,"00000"))</f>
        <v/>
      </c>
      <c r="C2301" s="66"/>
      <c r="D2301" s="60"/>
      <c r="E2301" s="61"/>
      <c r="F2301" s="61"/>
      <c r="G2301" s="67"/>
      <c r="H2301" s="60"/>
      <c r="I2301" s="60"/>
      <c r="J2301" s="61"/>
      <c r="K2301" s="61"/>
      <c r="L2301" s="60"/>
      <c r="M2301" s="74" t="str">
        <f>IF($C2301="","",IF($D2301="Gider",$E2301,IF($L2301&lt;&gt;"",$L2301,$H2301)))</f>
        <v/>
      </c>
      <c r="N2301" s="74" t="str">
        <f>IF($C2301="","",IF($D2301="Gider",$H2301,$E2301))</f>
        <v/>
      </c>
      <c r="O2301" s="73" t="str">
        <f>IF($C2301="","",DATE(YEAR($C2301),MONTH($C2301),1))</f>
        <v/>
      </c>
      <c r="P2301" s="65" t="str">
        <f ca="1">IF($C2301="","",IF(AND($D2301="Gelir",$L2301&lt;&gt;"",$T2301=""),"TANIMSIZ BORÇLU",IF($T2301&lt;&gt;"",IF(OR($E2301="",$G2301&lt;=0),"EKSİK",IF($I2301="Evet","TAHAKKUK NAKİT OLAMAZ",IF($C2301&gt;TODAY(),"İLERİ TARİH","TAHAKKUK"))),IF(AND($D2301&lt;&gt;"",$E2301&lt;&gt;"",$G2301&gt;0,$H2301&lt;&gt;"",$I2301&lt;&gt;""),IF($C2301&gt;TODAY(),"İLERİ TARİH",IF(COUNTIF($W$7:$W$3001,$W2301)&gt;1,"MÜKERRER?",IF($AD2301&gt;0,"KAPALI DÖNEM",IF($I2301="Hayır","ÖDENECEK","UYGUN")))),"EKSİK"))))</f>
        <v/>
      </c>
      <c r="Q2301" s="2"/>
      <c r="R2301" s="2"/>
      <c r="S2301" s="1" t="str">
        <f t="shared" si="107"/>
        <v/>
      </c>
      <c r="T2301" s="1" t="str">
        <f>IF(OR($C2301="",$D2301&lt;&gt;"Gelir",$L2301=""),"",IFERROR(INDEX(MUSTERILER!$B$7:$B$156,MATCH($S2301,MUSTERILER!$T$7:$T$156,0)),""))</f>
        <v/>
      </c>
      <c r="U2301" s="1" t="str">
        <f>IF($T2301="","",$T2301&amp;"|"&amp;COUNTIFS($T$7:$T2301,$T2301))</f>
        <v/>
      </c>
      <c r="V2301" s="1">
        <f t="shared" si="108"/>
        <v>0</v>
      </c>
      <c r="W2301" s="1" t="str">
        <f t="shared" si="109"/>
        <v/>
      </c>
      <c r="X2301" s="1"/>
      <c r="Y2301" s="1"/>
      <c r="Z2301" s="1"/>
      <c r="AA2301" s="1"/>
      <c r="AB2301" s="1"/>
      <c r="AC2301" s="1"/>
      <c r="AD2301" s="1">
        <f>IF($C2301="",0,SUMPRODUCT((AY_SONU!$O$7:$O$42="Evet")*(AY_SONU!$B$7:$B$42=DATE(YEAR($C2301),MONTH($C2301),1))))</f>
        <v>0</v>
      </c>
      <c r="AE2301" s="1" t="str">
        <f>IF($E2301="","",$E2301&amp;"|"&amp;COUNTIFS($E$7:$E2301,$E2301))</f>
        <v/>
      </c>
    </row>
    <row r="2302" spans="1:31" ht="18" customHeight="1" x14ac:dyDescent="0.3">
      <c r="A2302" s="2"/>
      <c r="B2302" s="65" t="str">
        <f>IF($C2302="","","GG"&amp;TEXT(ROW()-6,"00000"))</f>
        <v/>
      </c>
      <c r="C2302" s="66"/>
      <c r="D2302" s="60"/>
      <c r="E2302" s="61"/>
      <c r="F2302" s="61"/>
      <c r="G2302" s="67"/>
      <c r="H2302" s="60"/>
      <c r="I2302" s="60"/>
      <c r="J2302" s="61"/>
      <c r="K2302" s="61"/>
      <c r="L2302" s="60"/>
      <c r="M2302" s="74" t="str">
        <f>IF($C2302="","",IF($D2302="Gider",$E2302,IF($L2302&lt;&gt;"",$L2302,$H2302)))</f>
        <v/>
      </c>
      <c r="N2302" s="74" t="str">
        <f>IF($C2302="","",IF($D2302="Gider",$H2302,$E2302))</f>
        <v/>
      </c>
      <c r="O2302" s="73" t="str">
        <f>IF($C2302="","",DATE(YEAR($C2302),MONTH($C2302),1))</f>
        <v/>
      </c>
      <c r="P2302" s="65" t="str">
        <f ca="1">IF($C2302="","",IF(AND($D2302="Gelir",$L2302&lt;&gt;"",$T2302=""),"TANIMSIZ BORÇLU",IF($T2302&lt;&gt;"",IF(OR($E2302="",$G2302&lt;=0),"EKSİK",IF($I2302="Evet","TAHAKKUK NAKİT OLAMAZ",IF($C2302&gt;TODAY(),"İLERİ TARİH","TAHAKKUK"))),IF(AND($D2302&lt;&gt;"",$E2302&lt;&gt;"",$G2302&gt;0,$H2302&lt;&gt;"",$I2302&lt;&gt;""),IF($C2302&gt;TODAY(),"İLERİ TARİH",IF(COUNTIF($W$7:$W$3001,$W2302)&gt;1,"MÜKERRER?",IF($AD2302&gt;0,"KAPALI DÖNEM",IF($I2302="Hayır","ÖDENECEK","UYGUN")))),"EKSİK"))))</f>
        <v/>
      </c>
      <c r="Q2302" s="2"/>
      <c r="R2302" s="2"/>
      <c r="S2302" s="1" t="str">
        <f t="shared" si="107"/>
        <v/>
      </c>
      <c r="T2302" s="1" t="str">
        <f>IF(OR($C2302="",$D2302&lt;&gt;"Gelir",$L2302=""),"",IFERROR(INDEX(MUSTERILER!$B$7:$B$156,MATCH($S2302,MUSTERILER!$T$7:$T$156,0)),""))</f>
        <v/>
      </c>
      <c r="U2302" s="1" t="str">
        <f>IF($T2302="","",$T2302&amp;"|"&amp;COUNTIFS($T$7:$T2302,$T2302))</f>
        <v/>
      </c>
      <c r="V2302" s="1">
        <f t="shared" si="108"/>
        <v>0</v>
      </c>
      <c r="W2302" s="1" t="str">
        <f t="shared" si="109"/>
        <v/>
      </c>
      <c r="X2302" s="1"/>
      <c r="Y2302" s="1"/>
      <c r="Z2302" s="1"/>
      <c r="AA2302" s="1"/>
      <c r="AB2302" s="1"/>
      <c r="AC2302" s="1"/>
      <c r="AD2302" s="1">
        <f>IF($C2302="",0,SUMPRODUCT((AY_SONU!$O$7:$O$42="Evet")*(AY_SONU!$B$7:$B$42=DATE(YEAR($C2302),MONTH($C2302),1))))</f>
        <v>0</v>
      </c>
      <c r="AE2302" s="1" t="str">
        <f>IF($E2302="","",$E2302&amp;"|"&amp;COUNTIFS($E$7:$E2302,$E2302))</f>
        <v/>
      </c>
    </row>
    <row r="2303" spans="1:31" ht="18" customHeight="1" x14ac:dyDescent="0.3">
      <c r="A2303" s="2"/>
      <c r="B2303" s="65" t="str">
        <f>IF($C2303="","","GG"&amp;TEXT(ROW()-6,"00000"))</f>
        <v/>
      </c>
      <c r="C2303" s="66"/>
      <c r="D2303" s="60"/>
      <c r="E2303" s="61"/>
      <c r="F2303" s="61"/>
      <c r="G2303" s="67"/>
      <c r="H2303" s="60"/>
      <c r="I2303" s="60"/>
      <c r="J2303" s="61"/>
      <c r="K2303" s="61"/>
      <c r="L2303" s="60"/>
      <c r="M2303" s="74" t="str">
        <f>IF($C2303="","",IF($D2303="Gider",$E2303,IF($L2303&lt;&gt;"",$L2303,$H2303)))</f>
        <v/>
      </c>
      <c r="N2303" s="74" t="str">
        <f>IF($C2303="","",IF($D2303="Gider",$H2303,$E2303))</f>
        <v/>
      </c>
      <c r="O2303" s="73" t="str">
        <f>IF($C2303="","",DATE(YEAR($C2303),MONTH($C2303),1))</f>
        <v/>
      </c>
      <c r="P2303" s="65" t="str">
        <f ca="1">IF($C2303="","",IF(AND($D2303="Gelir",$L2303&lt;&gt;"",$T2303=""),"TANIMSIZ BORÇLU",IF($T2303&lt;&gt;"",IF(OR($E2303="",$G2303&lt;=0),"EKSİK",IF($I2303="Evet","TAHAKKUK NAKİT OLAMAZ",IF($C2303&gt;TODAY(),"İLERİ TARİH","TAHAKKUK"))),IF(AND($D2303&lt;&gt;"",$E2303&lt;&gt;"",$G2303&gt;0,$H2303&lt;&gt;"",$I2303&lt;&gt;""),IF($C2303&gt;TODAY(),"İLERİ TARİH",IF(COUNTIF($W$7:$W$3001,$W2303)&gt;1,"MÜKERRER?",IF($AD2303&gt;0,"KAPALI DÖNEM",IF($I2303="Hayır","ÖDENECEK","UYGUN")))),"EKSİK"))))</f>
        <v/>
      </c>
      <c r="Q2303" s="2"/>
      <c r="R2303" s="2"/>
      <c r="S2303" s="1" t="str">
        <f t="shared" si="107"/>
        <v/>
      </c>
      <c r="T2303" s="1" t="str">
        <f>IF(OR($C2303="",$D2303&lt;&gt;"Gelir",$L2303=""),"",IFERROR(INDEX(MUSTERILER!$B$7:$B$156,MATCH($S2303,MUSTERILER!$T$7:$T$156,0)),""))</f>
        <v/>
      </c>
      <c r="U2303" s="1" t="str">
        <f>IF($T2303="","",$T2303&amp;"|"&amp;COUNTIFS($T$7:$T2303,$T2303))</f>
        <v/>
      </c>
      <c r="V2303" s="1">
        <f t="shared" si="108"/>
        <v>0</v>
      </c>
      <c r="W2303" s="1" t="str">
        <f t="shared" si="109"/>
        <v/>
      </c>
      <c r="X2303" s="1"/>
      <c r="Y2303" s="1"/>
      <c r="Z2303" s="1"/>
      <c r="AA2303" s="1"/>
      <c r="AB2303" s="1"/>
      <c r="AC2303" s="1"/>
      <c r="AD2303" s="1">
        <f>IF($C2303="",0,SUMPRODUCT((AY_SONU!$O$7:$O$42="Evet")*(AY_SONU!$B$7:$B$42=DATE(YEAR($C2303),MONTH($C2303),1))))</f>
        <v>0</v>
      </c>
      <c r="AE2303" s="1" t="str">
        <f>IF($E2303="","",$E2303&amp;"|"&amp;COUNTIFS($E$7:$E2303,$E2303))</f>
        <v/>
      </c>
    </row>
    <row r="2304" spans="1:31" ht="18" customHeight="1" x14ac:dyDescent="0.3">
      <c r="A2304" s="2"/>
      <c r="B2304" s="65" t="str">
        <f>IF($C2304="","","GG"&amp;TEXT(ROW()-6,"00000"))</f>
        <v/>
      </c>
      <c r="C2304" s="66"/>
      <c r="D2304" s="60"/>
      <c r="E2304" s="61"/>
      <c r="F2304" s="61"/>
      <c r="G2304" s="67"/>
      <c r="H2304" s="60"/>
      <c r="I2304" s="60"/>
      <c r="J2304" s="61"/>
      <c r="K2304" s="61"/>
      <c r="L2304" s="60"/>
      <c r="M2304" s="74" t="str">
        <f>IF($C2304="","",IF($D2304="Gider",$E2304,IF($L2304&lt;&gt;"",$L2304,$H2304)))</f>
        <v/>
      </c>
      <c r="N2304" s="74" t="str">
        <f>IF($C2304="","",IF($D2304="Gider",$H2304,$E2304))</f>
        <v/>
      </c>
      <c r="O2304" s="73" t="str">
        <f>IF($C2304="","",DATE(YEAR($C2304),MONTH($C2304),1))</f>
        <v/>
      </c>
      <c r="P2304" s="65" t="str">
        <f ca="1">IF($C2304="","",IF(AND($D2304="Gelir",$L2304&lt;&gt;"",$T2304=""),"TANIMSIZ BORÇLU",IF($T2304&lt;&gt;"",IF(OR($E2304="",$G2304&lt;=0),"EKSİK",IF($I2304="Evet","TAHAKKUK NAKİT OLAMAZ",IF($C2304&gt;TODAY(),"İLERİ TARİH","TAHAKKUK"))),IF(AND($D2304&lt;&gt;"",$E2304&lt;&gt;"",$G2304&gt;0,$H2304&lt;&gt;"",$I2304&lt;&gt;""),IF($C2304&gt;TODAY(),"İLERİ TARİH",IF(COUNTIF($W$7:$W$3001,$W2304)&gt;1,"MÜKERRER?",IF($AD2304&gt;0,"KAPALI DÖNEM",IF($I2304="Hayır","ÖDENECEK","UYGUN")))),"EKSİK"))))</f>
        <v/>
      </c>
      <c r="Q2304" s="2"/>
      <c r="R2304" s="2"/>
      <c r="S2304" s="1" t="str">
        <f t="shared" si="107"/>
        <v/>
      </c>
      <c r="T2304" s="1" t="str">
        <f>IF(OR($C2304="",$D2304&lt;&gt;"Gelir",$L2304=""),"",IFERROR(INDEX(MUSTERILER!$B$7:$B$156,MATCH($S2304,MUSTERILER!$T$7:$T$156,0)),""))</f>
        <v/>
      </c>
      <c r="U2304" s="1" t="str">
        <f>IF($T2304="","",$T2304&amp;"|"&amp;COUNTIFS($T$7:$T2304,$T2304))</f>
        <v/>
      </c>
      <c r="V2304" s="1">
        <f t="shared" si="108"/>
        <v>0</v>
      </c>
      <c r="W2304" s="1" t="str">
        <f t="shared" si="109"/>
        <v/>
      </c>
      <c r="X2304" s="1"/>
      <c r="Y2304" s="1"/>
      <c r="Z2304" s="1"/>
      <c r="AA2304" s="1"/>
      <c r="AB2304" s="1"/>
      <c r="AC2304" s="1"/>
      <c r="AD2304" s="1">
        <f>IF($C2304="",0,SUMPRODUCT((AY_SONU!$O$7:$O$42="Evet")*(AY_SONU!$B$7:$B$42=DATE(YEAR($C2304),MONTH($C2304),1))))</f>
        <v>0</v>
      </c>
      <c r="AE2304" s="1" t="str">
        <f>IF($E2304="","",$E2304&amp;"|"&amp;COUNTIFS($E$7:$E2304,$E2304))</f>
        <v/>
      </c>
    </row>
    <row r="2305" spans="1:31" ht="18" customHeight="1" x14ac:dyDescent="0.3">
      <c r="A2305" s="2"/>
      <c r="B2305" s="65" t="str">
        <f>IF($C2305="","","GG"&amp;TEXT(ROW()-6,"00000"))</f>
        <v/>
      </c>
      <c r="C2305" s="66"/>
      <c r="D2305" s="60"/>
      <c r="E2305" s="61"/>
      <c r="F2305" s="61"/>
      <c r="G2305" s="67"/>
      <c r="H2305" s="60"/>
      <c r="I2305" s="60"/>
      <c r="J2305" s="61"/>
      <c r="K2305" s="61"/>
      <c r="L2305" s="60"/>
      <c r="M2305" s="74" t="str">
        <f>IF($C2305="","",IF($D2305="Gider",$E2305,IF($L2305&lt;&gt;"",$L2305,$H2305)))</f>
        <v/>
      </c>
      <c r="N2305" s="74" t="str">
        <f>IF($C2305="","",IF($D2305="Gider",$H2305,$E2305))</f>
        <v/>
      </c>
      <c r="O2305" s="73" t="str">
        <f>IF($C2305="","",DATE(YEAR($C2305),MONTH($C2305),1))</f>
        <v/>
      </c>
      <c r="P2305" s="65" t="str">
        <f ca="1">IF($C2305="","",IF(AND($D2305="Gelir",$L2305&lt;&gt;"",$T2305=""),"TANIMSIZ BORÇLU",IF($T2305&lt;&gt;"",IF(OR($E2305="",$G2305&lt;=0),"EKSİK",IF($I2305="Evet","TAHAKKUK NAKİT OLAMAZ",IF($C2305&gt;TODAY(),"İLERİ TARİH","TAHAKKUK"))),IF(AND($D2305&lt;&gt;"",$E2305&lt;&gt;"",$G2305&gt;0,$H2305&lt;&gt;"",$I2305&lt;&gt;""),IF($C2305&gt;TODAY(),"İLERİ TARİH",IF(COUNTIF($W$7:$W$3001,$W2305)&gt;1,"MÜKERRER?",IF($AD2305&gt;0,"KAPALI DÖNEM",IF($I2305="Hayır","ÖDENECEK","UYGUN")))),"EKSİK"))))</f>
        <v/>
      </c>
      <c r="Q2305" s="2"/>
      <c r="R2305" s="2"/>
      <c r="S2305" s="1" t="str">
        <f t="shared" si="107"/>
        <v/>
      </c>
      <c r="T2305" s="1" t="str">
        <f>IF(OR($C2305="",$D2305&lt;&gt;"Gelir",$L2305=""),"",IFERROR(INDEX(MUSTERILER!$B$7:$B$156,MATCH($S2305,MUSTERILER!$T$7:$T$156,0)),""))</f>
        <v/>
      </c>
      <c r="U2305" s="1" t="str">
        <f>IF($T2305="","",$T2305&amp;"|"&amp;COUNTIFS($T$7:$T2305,$T2305))</f>
        <v/>
      </c>
      <c r="V2305" s="1">
        <f t="shared" si="108"/>
        <v>0</v>
      </c>
      <c r="W2305" s="1" t="str">
        <f t="shared" si="109"/>
        <v/>
      </c>
      <c r="X2305" s="1"/>
      <c r="Y2305" s="1"/>
      <c r="Z2305" s="1"/>
      <c r="AA2305" s="1"/>
      <c r="AB2305" s="1"/>
      <c r="AC2305" s="1"/>
      <c r="AD2305" s="1">
        <f>IF($C2305="",0,SUMPRODUCT((AY_SONU!$O$7:$O$42="Evet")*(AY_SONU!$B$7:$B$42=DATE(YEAR($C2305),MONTH($C2305),1))))</f>
        <v>0</v>
      </c>
      <c r="AE2305" s="1" t="str">
        <f>IF($E2305="","",$E2305&amp;"|"&amp;COUNTIFS($E$7:$E2305,$E2305))</f>
        <v/>
      </c>
    </row>
    <row r="2306" spans="1:31" ht="18" customHeight="1" x14ac:dyDescent="0.3">
      <c r="A2306" s="2"/>
      <c r="B2306" s="65" t="str">
        <f>IF($C2306="","","GG"&amp;TEXT(ROW()-6,"00000"))</f>
        <v/>
      </c>
      <c r="C2306" s="66"/>
      <c r="D2306" s="60"/>
      <c r="E2306" s="61"/>
      <c r="F2306" s="61"/>
      <c r="G2306" s="67"/>
      <c r="H2306" s="60"/>
      <c r="I2306" s="60"/>
      <c r="J2306" s="61"/>
      <c r="K2306" s="61"/>
      <c r="L2306" s="60"/>
      <c r="M2306" s="74" t="str">
        <f>IF($C2306="","",IF($D2306="Gider",$E2306,IF($L2306&lt;&gt;"",$L2306,$H2306)))</f>
        <v/>
      </c>
      <c r="N2306" s="74" t="str">
        <f>IF($C2306="","",IF($D2306="Gider",$H2306,$E2306))</f>
        <v/>
      </c>
      <c r="O2306" s="73" t="str">
        <f>IF($C2306="","",DATE(YEAR($C2306),MONTH($C2306),1))</f>
        <v/>
      </c>
      <c r="P2306" s="65" t="str">
        <f ca="1">IF($C2306="","",IF(AND($D2306="Gelir",$L2306&lt;&gt;"",$T2306=""),"TANIMSIZ BORÇLU",IF($T2306&lt;&gt;"",IF(OR($E2306="",$G2306&lt;=0),"EKSİK",IF($I2306="Evet","TAHAKKUK NAKİT OLAMAZ",IF($C2306&gt;TODAY(),"İLERİ TARİH","TAHAKKUK"))),IF(AND($D2306&lt;&gt;"",$E2306&lt;&gt;"",$G2306&gt;0,$H2306&lt;&gt;"",$I2306&lt;&gt;""),IF($C2306&gt;TODAY(),"İLERİ TARİH",IF(COUNTIF($W$7:$W$3001,$W2306)&gt;1,"MÜKERRER?",IF($AD2306&gt;0,"KAPALI DÖNEM",IF($I2306="Hayır","ÖDENECEK","UYGUN")))),"EKSİK"))))</f>
        <v/>
      </c>
      <c r="Q2306" s="2"/>
      <c r="R2306" s="2"/>
      <c r="S2306" s="1" t="str">
        <f t="shared" si="107"/>
        <v/>
      </c>
      <c r="T2306" s="1" t="str">
        <f>IF(OR($C2306="",$D2306&lt;&gt;"Gelir",$L2306=""),"",IFERROR(INDEX(MUSTERILER!$B$7:$B$156,MATCH($S2306,MUSTERILER!$T$7:$T$156,0)),""))</f>
        <v/>
      </c>
      <c r="U2306" s="1" t="str">
        <f>IF($T2306="","",$T2306&amp;"|"&amp;COUNTIFS($T$7:$T2306,$T2306))</f>
        <v/>
      </c>
      <c r="V2306" s="1">
        <f t="shared" si="108"/>
        <v>0</v>
      </c>
      <c r="W2306" s="1" t="str">
        <f t="shared" si="109"/>
        <v/>
      </c>
      <c r="X2306" s="1"/>
      <c r="Y2306" s="1"/>
      <c r="Z2306" s="1"/>
      <c r="AA2306" s="1"/>
      <c r="AB2306" s="1"/>
      <c r="AC2306" s="1"/>
      <c r="AD2306" s="1">
        <f>IF($C2306="",0,SUMPRODUCT((AY_SONU!$O$7:$O$42="Evet")*(AY_SONU!$B$7:$B$42=DATE(YEAR($C2306),MONTH($C2306),1))))</f>
        <v>0</v>
      </c>
      <c r="AE2306" s="1" t="str">
        <f>IF($E2306="","",$E2306&amp;"|"&amp;COUNTIFS($E$7:$E2306,$E2306))</f>
        <v/>
      </c>
    </row>
    <row r="2307" spans="1:31" ht="18" customHeight="1" x14ac:dyDescent="0.3">
      <c r="A2307" s="2"/>
      <c r="B2307" s="65" t="str">
        <f>IF($C2307="","","GG"&amp;TEXT(ROW()-6,"00000"))</f>
        <v/>
      </c>
      <c r="C2307" s="66"/>
      <c r="D2307" s="60"/>
      <c r="E2307" s="61"/>
      <c r="F2307" s="61"/>
      <c r="G2307" s="67"/>
      <c r="H2307" s="60"/>
      <c r="I2307" s="60"/>
      <c r="J2307" s="61"/>
      <c r="K2307" s="61"/>
      <c r="L2307" s="60"/>
      <c r="M2307" s="74" t="str">
        <f>IF($C2307="","",IF($D2307="Gider",$E2307,IF($L2307&lt;&gt;"",$L2307,$H2307)))</f>
        <v/>
      </c>
      <c r="N2307" s="74" t="str">
        <f>IF($C2307="","",IF($D2307="Gider",$H2307,$E2307))</f>
        <v/>
      </c>
      <c r="O2307" s="73" t="str">
        <f>IF($C2307="","",DATE(YEAR($C2307),MONTH($C2307),1))</f>
        <v/>
      </c>
      <c r="P2307" s="65" t="str">
        <f ca="1">IF($C2307="","",IF(AND($D2307="Gelir",$L2307&lt;&gt;"",$T2307=""),"TANIMSIZ BORÇLU",IF($T2307&lt;&gt;"",IF(OR($E2307="",$G2307&lt;=0),"EKSİK",IF($I2307="Evet","TAHAKKUK NAKİT OLAMAZ",IF($C2307&gt;TODAY(),"İLERİ TARİH","TAHAKKUK"))),IF(AND($D2307&lt;&gt;"",$E2307&lt;&gt;"",$G2307&gt;0,$H2307&lt;&gt;"",$I2307&lt;&gt;""),IF($C2307&gt;TODAY(),"İLERİ TARİH",IF(COUNTIF($W$7:$W$3001,$W2307)&gt;1,"MÜKERRER?",IF($AD2307&gt;0,"KAPALI DÖNEM",IF($I2307="Hayır","ÖDENECEK","UYGUN")))),"EKSİK"))))</f>
        <v/>
      </c>
      <c r="Q2307" s="2"/>
      <c r="R2307" s="2"/>
      <c r="S2307" s="1" t="str">
        <f t="shared" si="107"/>
        <v/>
      </c>
      <c r="T2307" s="1" t="str">
        <f>IF(OR($C2307="",$D2307&lt;&gt;"Gelir",$L2307=""),"",IFERROR(INDEX(MUSTERILER!$B$7:$B$156,MATCH($S2307,MUSTERILER!$T$7:$T$156,0)),""))</f>
        <v/>
      </c>
      <c r="U2307" s="1" t="str">
        <f>IF($T2307="","",$T2307&amp;"|"&amp;COUNTIFS($T$7:$T2307,$T2307))</f>
        <v/>
      </c>
      <c r="V2307" s="1">
        <f t="shared" si="108"/>
        <v>0</v>
      </c>
      <c r="W2307" s="1" t="str">
        <f t="shared" si="109"/>
        <v/>
      </c>
      <c r="X2307" s="1"/>
      <c r="Y2307" s="1"/>
      <c r="Z2307" s="1"/>
      <c r="AA2307" s="1"/>
      <c r="AB2307" s="1"/>
      <c r="AC2307" s="1"/>
      <c r="AD2307" s="1">
        <f>IF($C2307="",0,SUMPRODUCT((AY_SONU!$O$7:$O$42="Evet")*(AY_SONU!$B$7:$B$42=DATE(YEAR($C2307),MONTH($C2307),1))))</f>
        <v>0</v>
      </c>
      <c r="AE2307" s="1" t="str">
        <f>IF($E2307="","",$E2307&amp;"|"&amp;COUNTIFS($E$7:$E2307,$E2307))</f>
        <v/>
      </c>
    </row>
    <row r="2308" spans="1:31" ht="18" customHeight="1" x14ac:dyDescent="0.3">
      <c r="A2308" s="2"/>
      <c r="B2308" s="65" t="str">
        <f>IF($C2308="","","GG"&amp;TEXT(ROW()-6,"00000"))</f>
        <v/>
      </c>
      <c r="C2308" s="66"/>
      <c r="D2308" s="60"/>
      <c r="E2308" s="61"/>
      <c r="F2308" s="61"/>
      <c r="G2308" s="67"/>
      <c r="H2308" s="60"/>
      <c r="I2308" s="60"/>
      <c r="J2308" s="61"/>
      <c r="K2308" s="61"/>
      <c r="L2308" s="60"/>
      <c r="M2308" s="74" t="str">
        <f>IF($C2308="","",IF($D2308="Gider",$E2308,IF($L2308&lt;&gt;"",$L2308,$H2308)))</f>
        <v/>
      </c>
      <c r="N2308" s="74" t="str">
        <f>IF($C2308="","",IF($D2308="Gider",$H2308,$E2308))</f>
        <v/>
      </c>
      <c r="O2308" s="73" t="str">
        <f>IF($C2308="","",DATE(YEAR($C2308),MONTH($C2308),1))</f>
        <v/>
      </c>
      <c r="P2308" s="65" t="str">
        <f ca="1">IF($C2308="","",IF(AND($D2308="Gelir",$L2308&lt;&gt;"",$T2308=""),"TANIMSIZ BORÇLU",IF($T2308&lt;&gt;"",IF(OR($E2308="",$G2308&lt;=0),"EKSİK",IF($I2308="Evet","TAHAKKUK NAKİT OLAMAZ",IF($C2308&gt;TODAY(),"İLERİ TARİH","TAHAKKUK"))),IF(AND($D2308&lt;&gt;"",$E2308&lt;&gt;"",$G2308&gt;0,$H2308&lt;&gt;"",$I2308&lt;&gt;""),IF($C2308&gt;TODAY(),"İLERİ TARİH",IF(COUNTIF($W$7:$W$3001,$W2308)&gt;1,"MÜKERRER?",IF($AD2308&gt;0,"KAPALI DÖNEM",IF($I2308="Hayır","ÖDENECEK","UYGUN")))),"EKSİK"))))</f>
        <v/>
      </c>
      <c r="Q2308" s="2"/>
      <c r="R2308" s="2"/>
      <c r="S2308" s="1" t="str">
        <f t="shared" si="107"/>
        <v/>
      </c>
      <c r="T2308" s="1" t="str">
        <f>IF(OR($C2308="",$D2308&lt;&gt;"Gelir",$L2308=""),"",IFERROR(INDEX(MUSTERILER!$B$7:$B$156,MATCH($S2308,MUSTERILER!$T$7:$T$156,0)),""))</f>
        <v/>
      </c>
      <c r="U2308" s="1" t="str">
        <f>IF($T2308="","",$T2308&amp;"|"&amp;COUNTIFS($T$7:$T2308,$T2308))</f>
        <v/>
      </c>
      <c r="V2308" s="1">
        <f t="shared" si="108"/>
        <v>0</v>
      </c>
      <c r="W2308" s="1" t="str">
        <f t="shared" si="109"/>
        <v/>
      </c>
      <c r="X2308" s="1"/>
      <c r="Y2308" s="1"/>
      <c r="Z2308" s="1"/>
      <c r="AA2308" s="1"/>
      <c r="AB2308" s="1"/>
      <c r="AC2308" s="1"/>
      <c r="AD2308" s="1">
        <f>IF($C2308="",0,SUMPRODUCT((AY_SONU!$O$7:$O$42="Evet")*(AY_SONU!$B$7:$B$42=DATE(YEAR($C2308),MONTH($C2308),1))))</f>
        <v>0</v>
      </c>
      <c r="AE2308" s="1" t="str">
        <f>IF($E2308="","",$E2308&amp;"|"&amp;COUNTIFS($E$7:$E2308,$E2308))</f>
        <v/>
      </c>
    </row>
    <row r="2309" spans="1:31" ht="18" customHeight="1" x14ac:dyDescent="0.3">
      <c r="A2309" s="2"/>
      <c r="B2309" s="65" t="str">
        <f>IF($C2309="","","GG"&amp;TEXT(ROW()-6,"00000"))</f>
        <v/>
      </c>
      <c r="C2309" s="66"/>
      <c r="D2309" s="60"/>
      <c r="E2309" s="61"/>
      <c r="F2309" s="61"/>
      <c r="G2309" s="67"/>
      <c r="H2309" s="60"/>
      <c r="I2309" s="60"/>
      <c r="J2309" s="61"/>
      <c r="K2309" s="61"/>
      <c r="L2309" s="60"/>
      <c r="M2309" s="74" t="str">
        <f>IF($C2309="","",IF($D2309="Gider",$E2309,IF($L2309&lt;&gt;"",$L2309,$H2309)))</f>
        <v/>
      </c>
      <c r="N2309" s="74" t="str">
        <f>IF($C2309="","",IF($D2309="Gider",$H2309,$E2309))</f>
        <v/>
      </c>
      <c r="O2309" s="73" t="str">
        <f>IF($C2309="","",DATE(YEAR($C2309),MONTH($C2309),1))</f>
        <v/>
      </c>
      <c r="P2309" s="65" t="str">
        <f ca="1">IF($C2309="","",IF(AND($D2309="Gelir",$L2309&lt;&gt;"",$T2309=""),"TANIMSIZ BORÇLU",IF($T2309&lt;&gt;"",IF(OR($E2309="",$G2309&lt;=0),"EKSİK",IF($I2309="Evet","TAHAKKUK NAKİT OLAMAZ",IF($C2309&gt;TODAY(),"İLERİ TARİH","TAHAKKUK"))),IF(AND($D2309&lt;&gt;"",$E2309&lt;&gt;"",$G2309&gt;0,$H2309&lt;&gt;"",$I2309&lt;&gt;""),IF($C2309&gt;TODAY(),"İLERİ TARİH",IF(COUNTIF($W$7:$W$3001,$W2309)&gt;1,"MÜKERRER?",IF($AD2309&gt;0,"KAPALI DÖNEM",IF($I2309="Hayır","ÖDENECEK","UYGUN")))),"EKSİK"))))</f>
        <v/>
      </c>
      <c r="Q2309" s="2"/>
      <c r="R2309" s="2"/>
      <c r="S2309" s="1" t="str">
        <f t="shared" ref="S2309:S2372" si="110">IF($L2309="","",UPPER(SUBSTITUTE(SUBSTITUTE(SUBSTITUTE(SUBSTITUTE(SUBSTITUTE(SUBSTITUTE(SUBSTITUTE(SUBSTITUTE(SUBSTITUTE(SUBSTITUTE(SUBSTITUTE(SUBSTITUTE(SUBSTITUTE(SUBSTITUTE(SUBSTITUTE(SUBSTITUTE(SUBSTITUTE(SUBSTITUTE(TRIM($L2309),"'",""),"İ","I"),"ı","I"),"i","I"),"Ş","S"),"ş","S"),"Ğ","G"),"ğ","G"),"Ü","U"),"ü","U"),"Ö","O"),"ö","O"),"Ç","C"),"ç","C"),".",""),",","")," ",""),"-","")))</f>
        <v/>
      </c>
      <c r="T2309" s="1" t="str">
        <f>IF(OR($C2309="",$D2309&lt;&gt;"Gelir",$L2309=""),"",IFERROR(INDEX(MUSTERILER!$B$7:$B$156,MATCH($S2309,MUSTERILER!$T$7:$T$156,0)),""))</f>
        <v/>
      </c>
      <c r="U2309" s="1" t="str">
        <f>IF($T2309="","",$T2309&amp;"|"&amp;COUNTIFS($T$7:$T2309,$T2309))</f>
        <v/>
      </c>
      <c r="V2309" s="1">
        <f t="shared" ref="V2309:V2372" si="111">IF($T2309="",0,1)</f>
        <v>0</v>
      </c>
      <c r="W2309" s="1" t="str">
        <f t="shared" ref="W2309:W2372" si="112">IF($C2309="","",$D2309&amp;"|"&amp;$E2309&amp;"|"&amp;TEXT($C2309,"0")&amp;"|"&amp;TEXT($G2309,"0")&amp;"|"&amp;$F2309&amp;"|"&amp;$J2309)</f>
        <v/>
      </c>
      <c r="X2309" s="1"/>
      <c r="Y2309" s="1"/>
      <c r="Z2309" s="1"/>
      <c r="AA2309" s="1"/>
      <c r="AB2309" s="1"/>
      <c r="AC2309" s="1"/>
      <c r="AD2309" s="1">
        <f>IF($C2309="",0,SUMPRODUCT((AY_SONU!$O$7:$O$42="Evet")*(AY_SONU!$B$7:$B$42=DATE(YEAR($C2309),MONTH($C2309),1))))</f>
        <v>0</v>
      </c>
      <c r="AE2309" s="1" t="str">
        <f>IF($E2309="","",$E2309&amp;"|"&amp;COUNTIFS($E$7:$E2309,$E2309))</f>
        <v/>
      </c>
    </row>
    <row r="2310" spans="1:31" ht="18" customHeight="1" x14ac:dyDescent="0.3">
      <c r="A2310" s="2"/>
      <c r="B2310" s="65" t="str">
        <f>IF($C2310="","","GG"&amp;TEXT(ROW()-6,"00000"))</f>
        <v/>
      </c>
      <c r="C2310" s="66"/>
      <c r="D2310" s="60"/>
      <c r="E2310" s="61"/>
      <c r="F2310" s="61"/>
      <c r="G2310" s="67"/>
      <c r="H2310" s="60"/>
      <c r="I2310" s="60"/>
      <c r="J2310" s="61"/>
      <c r="K2310" s="61"/>
      <c r="L2310" s="60"/>
      <c r="M2310" s="74" t="str">
        <f>IF($C2310="","",IF($D2310="Gider",$E2310,IF($L2310&lt;&gt;"",$L2310,$H2310)))</f>
        <v/>
      </c>
      <c r="N2310" s="74" t="str">
        <f>IF($C2310="","",IF($D2310="Gider",$H2310,$E2310))</f>
        <v/>
      </c>
      <c r="O2310" s="73" t="str">
        <f>IF($C2310="","",DATE(YEAR($C2310),MONTH($C2310),1))</f>
        <v/>
      </c>
      <c r="P2310" s="65" t="str">
        <f ca="1">IF($C2310="","",IF(AND($D2310="Gelir",$L2310&lt;&gt;"",$T2310=""),"TANIMSIZ BORÇLU",IF($T2310&lt;&gt;"",IF(OR($E2310="",$G2310&lt;=0),"EKSİK",IF($I2310="Evet","TAHAKKUK NAKİT OLAMAZ",IF($C2310&gt;TODAY(),"İLERİ TARİH","TAHAKKUK"))),IF(AND($D2310&lt;&gt;"",$E2310&lt;&gt;"",$G2310&gt;0,$H2310&lt;&gt;"",$I2310&lt;&gt;""),IF($C2310&gt;TODAY(),"İLERİ TARİH",IF(COUNTIF($W$7:$W$3001,$W2310)&gt;1,"MÜKERRER?",IF($AD2310&gt;0,"KAPALI DÖNEM",IF($I2310="Hayır","ÖDENECEK","UYGUN")))),"EKSİK"))))</f>
        <v/>
      </c>
      <c r="Q2310" s="2"/>
      <c r="R2310" s="2"/>
      <c r="S2310" s="1" t="str">
        <f t="shared" si="110"/>
        <v/>
      </c>
      <c r="T2310" s="1" t="str">
        <f>IF(OR($C2310="",$D2310&lt;&gt;"Gelir",$L2310=""),"",IFERROR(INDEX(MUSTERILER!$B$7:$B$156,MATCH($S2310,MUSTERILER!$T$7:$T$156,0)),""))</f>
        <v/>
      </c>
      <c r="U2310" s="1" t="str">
        <f>IF($T2310="","",$T2310&amp;"|"&amp;COUNTIFS($T$7:$T2310,$T2310))</f>
        <v/>
      </c>
      <c r="V2310" s="1">
        <f t="shared" si="111"/>
        <v>0</v>
      </c>
      <c r="W2310" s="1" t="str">
        <f t="shared" si="112"/>
        <v/>
      </c>
      <c r="X2310" s="1"/>
      <c r="Y2310" s="1"/>
      <c r="Z2310" s="1"/>
      <c r="AA2310" s="1"/>
      <c r="AB2310" s="1"/>
      <c r="AC2310" s="1"/>
      <c r="AD2310" s="1">
        <f>IF($C2310="",0,SUMPRODUCT((AY_SONU!$O$7:$O$42="Evet")*(AY_SONU!$B$7:$B$42=DATE(YEAR($C2310),MONTH($C2310),1))))</f>
        <v>0</v>
      </c>
      <c r="AE2310" s="1" t="str">
        <f>IF($E2310="","",$E2310&amp;"|"&amp;COUNTIFS($E$7:$E2310,$E2310))</f>
        <v/>
      </c>
    </row>
    <row r="2311" spans="1:31" ht="18" customHeight="1" x14ac:dyDescent="0.3">
      <c r="A2311" s="2"/>
      <c r="B2311" s="65" t="str">
        <f>IF($C2311="","","GG"&amp;TEXT(ROW()-6,"00000"))</f>
        <v/>
      </c>
      <c r="C2311" s="66"/>
      <c r="D2311" s="60"/>
      <c r="E2311" s="61"/>
      <c r="F2311" s="61"/>
      <c r="G2311" s="67"/>
      <c r="H2311" s="60"/>
      <c r="I2311" s="60"/>
      <c r="J2311" s="61"/>
      <c r="K2311" s="61"/>
      <c r="L2311" s="60"/>
      <c r="M2311" s="74" t="str">
        <f>IF($C2311="","",IF($D2311="Gider",$E2311,IF($L2311&lt;&gt;"",$L2311,$H2311)))</f>
        <v/>
      </c>
      <c r="N2311" s="74" t="str">
        <f>IF($C2311="","",IF($D2311="Gider",$H2311,$E2311))</f>
        <v/>
      </c>
      <c r="O2311" s="73" t="str">
        <f>IF($C2311="","",DATE(YEAR($C2311),MONTH($C2311),1))</f>
        <v/>
      </c>
      <c r="P2311" s="65" t="str">
        <f ca="1"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TARİH",IF(COUNTIF($W$7:$W$3001,$W2311)&gt;1,"MÜKERRER?",IF($AD2311&gt;0,"KAPALI DÖNEM",IF($I2311="Hayır","ÖDENECEK","UYGUN")))),"EKSİK"))))</f>
        <v/>
      </c>
      <c r="Q2311" s="2"/>
      <c r="R2311" s="2"/>
      <c r="S2311" s="1" t="str">
        <f t="shared" si="110"/>
        <v/>
      </c>
      <c r="T2311" s="1" t="str">
        <f>IF(OR($C2311="",$D2311&lt;&gt;"Gelir",$L2311=""),"",IFERROR(INDEX(MUSTERILER!$B$7:$B$156,MATCH($S2311,MUSTERILER!$T$7:$T$156,0)),""))</f>
        <v/>
      </c>
      <c r="U2311" s="1" t="str">
        <f>IF($T2311="","",$T2311&amp;"|"&amp;COUNTIFS($T$7:$T2311,$T2311))</f>
        <v/>
      </c>
      <c r="V2311" s="1">
        <f t="shared" si="111"/>
        <v>0</v>
      </c>
      <c r="W2311" s="1" t="str">
        <f t="shared" si="112"/>
        <v/>
      </c>
      <c r="X2311" s="1"/>
      <c r="Y2311" s="1"/>
      <c r="Z2311" s="1"/>
      <c r="AA2311" s="1"/>
      <c r="AB2311" s="1"/>
      <c r="AC2311" s="1"/>
      <c r="AD2311" s="1">
        <f>IF($C2311="",0,SUMPRODUCT((AY_SONU!$O$7:$O$42="Evet")*(AY_SONU!$B$7:$B$42=DATE(YEAR($C2311),MONTH($C2311),1))))</f>
        <v>0</v>
      </c>
      <c r="AE2311" s="1" t="str">
        <f>IF($E2311="","",$E2311&amp;"|"&amp;COUNTIFS($E$7:$E2311,$E2311))</f>
        <v/>
      </c>
    </row>
    <row r="2312" spans="1:31" ht="18" customHeight="1" x14ac:dyDescent="0.3">
      <c r="A2312" s="2"/>
      <c r="B2312" s="65" t="str">
        <f>IF($C2312="","","GG"&amp;TEXT(ROW()-6,"00000"))</f>
        <v/>
      </c>
      <c r="C2312" s="66"/>
      <c r="D2312" s="60"/>
      <c r="E2312" s="61"/>
      <c r="F2312" s="61"/>
      <c r="G2312" s="67"/>
      <c r="H2312" s="60"/>
      <c r="I2312" s="60"/>
      <c r="J2312" s="61"/>
      <c r="K2312" s="61"/>
      <c r="L2312" s="60"/>
      <c r="M2312" s="74" t="str">
        <f>IF($C2312="","",IF($D2312="Gider",$E2312,IF($L2312&lt;&gt;"",$L2312,$H2312)))</f>
        <v/>
      </c>
      <c r="N2312" s="74" t="str">
        <f>IF($C2312="","",IF($D2312="Gider",$H2312,$E2312))</f>
        <v/>
      </c>
      <c r="O2312" s="73" t="str">
        <f>IF($C2312="","",DATE(YEAR($C2312),MONTH($C2312),1))</f>
        <v/>
      </c>
      <c r="P2312" s="65" t="str">
        <f ca="1">IF($C2312="","",IF(AND($D2312="Gelir",$L2312&lt;&gt;"",$T2312=""),"TANIMSIZ BORÇLU",IF($T2312&lt;&gt;"",IF(OR($E2312="",$G2312&lt;=0),"EKSİK",IF($I2312="Evet","TAHAKKUK NAKİT OLAMAZ",IF($C2312&gt;TODAY(),"İLERİ TARİH","TAHAKKUK"))),IF(AND($D2312&lt;&gt;"",$E2312&lt;&gt;"",$G2312&gt;0,$H2312&lt;&gt;"",$I2312&lt;&gt;""),IF($C2312&gt;TODAY(),"İLERİ TARİH",IF(COUNTIF($W$7:$W$3001,$W2312)&gt;1,"MÜKERRER?",IF($AD2312&gt;0,"KAPALI DÖNEM",IF($I2312="Hayır","ÖDENECEK","UYGUN")))),"EKSİK"))))</f>
        <v/>
      </c>
      <c r="Q2312" s="2"/>
      <c r="R2312" s="2"/>
      <c r="S2312" s="1" t="str">
        <f t="shared" si="110"/>
        <v/>
      </c>
      <c r="T2312" s="1" t="str">
        <f>IF(OR($C2312="",$D2312&lt;&gt;"Gelir",$L2312=""),"",IFERROR(INDEX(MUSTERILER!$B$7:$B$156,MATCH($S2312,MUSTERILER!$T$7:$T$156,0)),""))</f>
        <v/>
      </c>
      <c r="U2312" s="1" t="str">
        <f>IF($T2312="","",$T2312&amp;"|"&amp;COUNTIFS($T$7:$T2312,$T2312))</f>
        <v/>
      </c>
      <c r="V2312" s="1">
        <f t="shared" si="111"/>
        <v>0</v>
      </c>
      <c r="W2312" s="1" t="str">
        <f t="shared" si="112"/>
        <v/>
      </c>
      <c r="X2312" s="1"/>
      <c r="Y2312" s="1"/>
      <c r="Z2312" s="1"/>
      <c r="AA2312" s="1"/>
      <c r="AB2312" s="1"/>
      <c r="AC2312" s="1"/>
      <c r="AD2312" s="1">
        <f>IF($C2312="",0,SUMPRODUCT((AY_SONU!$O$7:$O$42="Evet")*(AY_SONU!$B$7:$B$42=DATE(YEAR($C2312),MONTH($C2312),1))))</f>
        <v>0</v>
      </c>
      <c r="AE2312" s="1" t="str">
        <f>IF($E2312="","",$E2312&amp;"|"&amp;COUNTIFS($E$7:$E2312,$E2312))</f>
        <v/>
      </c>
    </row>
    <row r="2313" spans="1:31" ht="18" customHeight="1" x14ac:dyDescent="0.3">
      <c r="A2313" s="2"/>
      <c r="B2313" s="65" t="str">
        <f>IF($C2313="","","GG"&amp;TEXT(ROW()-6,"00000"))</f>
        <v/>
      </c>
      <c r="C2313" s="66"/>
      <c r="D2313" s="60"/>
      <c r="E2313" s="61"/>
      <c r="F2313" s="61"/>
      <c r="G2313" s="67"/>
      <c r="H2313" s="60"/>
      <c r="I2313" s="60"/>
      <c r="J2313" s="61"/>
      <c r="K2313" s="61"/>
      <c r="L2313" s="60"/>
      <c r="M2313" s="74" t="str">
        <f>IF($C2313="","",IF($D2313="Gider",$E2313,IF($L2313&lt;&gt;"",$L2313,$H2313)))</f>
        <v/>
      </c>
      <c r="N2313" s="74" t="str">
        <f>IF($C2313="","",IF($D2313="Gider",$H2313,$E2313))</f>
        <v/>
      </c>
      <c r="O2313" s="73" t="str">
        <f>IF($C2313="","",DATE(YEAR($C2313),MONTH($C2313),1))</f>
        <v/>
      </c>
      <c r="P2313" s="65" t="str">
        <f ca="1">IF($C2313="","",IF(AND($D2313="Gelir",$L2313&lt;&gt;"",$T2313=""),"TANIMSIZ BORÇLU",IF($T2313&lt;&gt;"",IF(OR($E2313="",$G2313&lt;=0),"EKSİK",IF($I2313="Evet","TAHAKKUK NAKİT OLAMAZ",IF($C2313&gt;TODAY(),"İLERİ TARİH","TAHAKKUK"))),IF(AND($D2313&lt;&gt;"",$E2313&lt;&gt;"",$G2313&gt;0,$H2313&lt;&gt;"",$I2313&lt;&gt;""),IF($C2313&gt;TODAY(),"İLERİ TARİH",IF(COUNTIF($W$7:$W$3001,$W2313)&gt;1,"MÜKERRER?",IF($AD2313&gt;0,"KAPALI DÖNEM",IF($I2313="Hayır","ÖDENECEK","UYGUN")))),"EKSİK"))))</f>
        <v/>
      </c>
      <c r="Q2313" s="2"/>
      <c r="R2313" s="2"/>
      <c r="S2313" s="1" t="str">
        <f t="shared" si="110"/>
        <v/>
      </c>
      <c r="T2313" s="1" t="str">
        <f>IF(OR($C2313="",$D2313&lt;&gt;"Gelir",$L2313=""),"",IFERROR(INDEX(MUSTERILER!$B$7:$B$156,MATCH($S2313,MUSTERILER!$T$7:$T$156,0)),""))</f>
        <v/>
      </c>
      <c r="U2313" s="1" t="str">
        <f>IF($T2313="","",$T2313&amp;"|"&amp;COUNTIFS($T$7:$T2313,$T2313))</f>
        <v/>
      </c>
      <c r="V2313" s="1">
        <f t="shared" si="111"/>
        <v>0</v>
      </c>
      <c r="W2313" s="1" t="str">
        <f t="shared" si="112"/>
        <v/>
      </c>
      <c r="X2313" s="1"/>
      <c r="Y2313" s="1"/>
      <c r="Z2313" s="1"/>
      <c r="AA2313" s="1"/>
      <c r="AB2313" s="1"/>
      <c r="AC2313" s="1"/>
      <c r="AD2313" s="1">
        <f>IF($C2313="",0,SUMPRODUCT((AY_SONU!$O$7:$O$42="Evet")*(AY_SONU!$B$7:$B$42=DATE(YEAR($C2313),MONTH($C2313),1))))</f>
        <v>0</v>
      </c>
      <c r="AE2313" s="1" t="str">
        <f>IF($E2313="","",$E2313&amp;"|"&amp;COUNTIFS($E$7:$E2313,$E2313))</f>
        <v/>
      </c>
    </row>
    <row r="2314" spans="1:31" ht="18" customHeight="1" x14ac:dyDescent="0.3">
      <c r="A2314" s="2"/>
      <c r="B2314" s="65" t="str">
        <f>IF($C2314="","","GG"&amp;TEXT(ROW()-6,"00000"))</f>
        <v/>
      </c>
      <c r="C2314" s="66"/>
      <c r="D2314" s="60"/>
      <c r="E2314" s="61"/>
      <c r="F2314" s="61"/>
      <c r="G2314" s="67"/>
      <c r="H2314" s="60"/>
      <c r="I2314" s="60"/>
      <c r="J2314" s="61"/>
      <c r="K2314" s="61"/>
      <c r="L2314" s="60"/>
      <c r="M2314" s="74" t="str">
        <f>IF($C2314="","",IF($D2314="Gider",$E2314,IF($L2314&lt;&gt;"",$L2314,$H2314)))</f>
        <v/>
      </c>
      <c r="N2314" s="74" t="str">
        <f>IF($C2314="","",IF($D2314="Gider",$H2314,$E2314))</f>
        <v/>
      </c>
      <c r="O2314" s="73" t="str">
        <f>IF($C2314="","",DATE(YEAR($C2314),MONTH($C2314),1))</f>
        <v/>
      </c>
      <c r="P2314" s="65" t="str">
        <f ca="1">IF($C2314="","",IF(AND($D2314="Gelir",$L2314&lt;&gt;"",$T2314=""),"TANIMSIZ BORÇLU",IF($T2314&lt;&gt;"",IF(OR($E2314="",$G2314&lt;=0),"EKSİK",IF($I2314="Evet","TAHAKKUK NAKİT OLAMAZ",IF($C2314&gt;TODAY(),"İLERİ TARİH","TAHAKKUK"))),IF(AND($D2314&lt;&gt;"",$E2314&lt;&gt;"",$G2314&gt;0,$H2314&lt;&gt;"",$I2314&lt;&gt;""),IF($C2314&gt;TODAY(),"İLERİ TARİH",IF(COUNTIF($W$7:$W$3001,$W2314)&gt;1,"MÜKERRER?",IF($AD2314&gt;0,"KAPALI DÖNEM",IF($I2314="Hayır","ÖDENECEK","UYGUN")))),"EKSİK"))))</f>
        <v/>
      </c>
      <c r="Q2314" s="2"/>
      <c r="R2314" s="2"/>
      <c r="S2314" s="1" t="str">
        <f t="shared" si="110"/>
        <v/>
      </c>
      <c r="T2314" s="1" t="str">
        <f>IF(OR($C2314="",$D2314&lt;&gt;"Gelir",$L2314=""),"",IFERROR(INDEX(MUSTERILER!$B$7:$B$156,MATCH($S2314,MUSTERILER!$T$7:$T$156,0)),""))</f>
        <v/>
      </c>
      <c r="U2314" s="1" t="str">
        <f>IF($T2314="","",$T2314&amp;"|"&amp;COUNTIFS($T$7:$T2314,$T2314))</f>
        <v/>
      </c>
      <c r="V2314" s="1">
        <f t="shared" si="111"/>
        <v>0</v>
      </c>
      <c r="W2314" s="1" t="str">
        <f t="shared" si="112"/>
        <v/>
      </c>
      <c r="X2314" s="1"/>
      <c r="Y2314" s="1"/>
      <c r="Z2314" s="1"/>
      <c r="AA2314" s="1"/>
      <c r="AB2314" s="1"/>
      <c r="AC2314" s="1"/>
      <c r="AD2314" s="1">
        <f>IF($C2314="",0,SUMPRODUCT((AY_SONU!$O$7:$O$42="Evet")*(AY_SONU!$B$7:$B$42=DATE(YEAR($C2314),MONTH($C2314),1))))</f>
        <v>0</v>
      </c>
      <c r="AE2314" s="1" t="str">
        <f>IF($E2314="","",$E2314&amp;"|"&amp;COUNTIFS($E$7:$E2314,$E2314))</f>
        <v/>
      </c>
    </row>
    <row r="2315" spans="1:31" ht="18" customHeight="1" x14ac:dyDescent="0.3">
      <c r="A2315" s="2"/>
      <c r="B2315" s="65" t="str">
        <f>IF($C2315="","","GG"&amp;TEXT(ROW()-6,"00000"))</f>
        <v/>
      </c>
      <c r="C2315" s="66"/>
      <c r="D2315" s="60"/>
      <c r="E2315" s="61"/>
      <c r="F2315" s="61"/>
      <c r="G2315" s="67"/>
      <c r="H2315" s="60"/>
      <c r="I2315" s="60"/>
      <c r="J2315" s="61"/>
      <c r="K2315" s="61"/>
      <c r="L2315" s="60"/>
      <c r="M2315" s="74" t="str">
        <f>IF($C2315="","",IF($D2315="Gider",$E2315,IF($L2315&lt;&gt;"",$L2315,$H2315)))</f>
        <v/>
      </c>
      <c r="N2315" s="74" t="str">
        <f>IF($C2315="","",IF($D2315="Gider",$H2315,$E2315))</f>
        <v/>
      </c>
      <c r="O2315" s="73" t="str">
        <f>IF($C2315="","",DATE(YEAR($C2315),MONTH($C2315),1))</f>
        <v/>
      </c>
      <c r="P2315" s="65" t="str">
        <f ca="1">IF($C2315="","",IF(AND($D2315="Gelir",$L2315&lt;&gt;"",$T2315=""),"TANIMSIZ BORÇLU",IF($T2315&lt;&gt;"",IF(OR($E2315="",$G2315&lt;=0),"EKSİK",IF($I2315="Evet","TAHAKKUK NAKİT OLAMAZ",IF($C2315&gt;TODAY(),"İLERİ TARİH","TAHAKKUK"))),IF(AND($D2315&lt;&gt;"",$E2315&lt;&gt;"",$G2315&gt;0,$H2315&lt;&gt;"",$I2315&lt;&gt;""),IF($C2315&gt;TODAY(),"İLERİ TARİH",IF(COUNTIF($W$7:$W$3001,$W2315)&gt;1,"MÜKERRER?",IF($AD2315&gt;0,"KAPALI DÖNEM",IF($I2315="Hayır","ÖDENECEK","UYGUN")))),"EKSİK"))))</f>
        <v/>
      </c>
      <c r="Q2315" s="2"/>
      <c r="R2315" s="2"/>
      <c r="S2315" s="1" t="str">
        <f t="shared" si="110"/>
        <v/>
      </c>
      <c r="T2315" s="1" t="str">
        <f>IF(OR($C2315="",$D2315&lt;&gt;"Gelir",$L2315=""),"",IFERROR(INDEX(MUSTERILER!$B$7:$B$156,MATCH($S2315,MUSTERILER!$T$7:$T$156,0)),""))</f>
        <v/>
      </c>
      <c r="U2315" s="1" t="str">
        <f>IF($T2315="","",$T2315&amp;"|"&amp;COUNTIFS($T$7:$T2315,$T2315))</f>
        <v/>
      </c>
      <c r="V2315" s="1">
        <f t="shared" si="111"/>
        <v>0</v>
      </c>
      <c r="W2315" s="1" t="str">
        <f t="shared" si="112"/>
        <v/>
      </c>
      <c r="X2315" s="1"/>
      <c r="Y2315" s="1"/>
      <c r="Z2315" s="1"/>
      <c r="AA2315" s="1"/>
      <c r="AB2315" s="1"/>
      <c r="AC2315" s="1"/>
      <c r="AD2315" s="1">
        <f>IF($C2315="",0,SUMPRODUCT((AY_SONU!$O$7:$O$42="Evet")*(AY_SONU!$B$7:$B$42=DATE(YEAR($C2315),MONTH($C2315),1))))</f>
        <v>0</v>
      </c>
      <c r="AE2315" s="1" t="str">
        <f>IF($E2315="","",$E2315&amp;"|"&amp;COUNTIFS($E$7:$E2315,$E2315))</f>
        <v/>
      </c>
    </row>
    <row r="2316" spans="1:31" ht="18" customHeight="1" x14ac:dyDescent="0.3">
      <c r="A2316" s="2"/>
      <c r="B2316" s="65" t="str">
        <f>IF($C2316="","","GG"&amp;TEXT(ROW()-6,"00000"))</f>
        <v/>
      </c>
      <c r="C2316" s="66"/>
      <c r="D2316" s="60"/>
      <c r="E2316" s="61"/>
      <c r="F2316" s="61"/>
      <c r="G2316" s="67"/>
      <c r="H2316" s="60"/>
      <c r="I2316" s="60"/>
      <c r="J2316" s="61"/>
      <c r="K2316" s="61"/>
      <c r="L2316" s="60"/>
      <c r="M2316" s="74" t="str">
        <f>IF($C2316="","",IF($D2316="Gider",$E2316,IF($L2316&lt;&gt;"",$L2316,$H2316)))</f>
        <v/>
      </c>
      <c r="N2316" s="74" t="str">
        <f>IF($C2316="","",IF($D2316="Gider",$H2316,$E2316))</f>
        <v/>
      </c>
      <c r="O2316" s="73" t="str">
        <f>IF($C2316="","",DATE(YEAR($C2316),MONTH($C2316),1))</f>
        <v/>
      </c>
      <c r="P2316" s="65" t="str">
        <f ca="1">IF($C2316="","",IF(AND($D2316="Gelir",$L2316&lt;&gt;"",$T2316=""),"TANIMSIZ BORÇLU",IF($T2316&lt;&gt;"",IF(OR($E2316="",$G2316&lt;=0),"EKSİK",IF($I2316="Evet","TAHAKKUK NAKİT OLAMAZ",IF($C2316&gt;TODAY(),"İLERİ TARİH","TAHAKKUK"))),IF(AND($D2316&lt;&gt;"",$E2316&lt;&gt;"",$G2316&gt;0,$H2316&lt;&gt;"",$I2316&lt;&gt;""),IF($C2316&gt;TODAY(),"İLERİ TARİH",IF(COUNTIF($W$7:$W$3001,$W2316)&gt;1,"MÜKERRER?",IF($AD2316&gt;0,"KAPALI DÖNEM",IF($I2316="Hayır","ÖDENECEK","UYGUN")))),"EKSİK"))))</f>
        <v/>
      </c>
      <c r="Q2316" s="2"/>
      <c r="R2316" s="2"/>
      <c r="S2316" s="1" t="str">
        <f t="shared" si="110"/>
        <v/>
      </c>
      <c r="T2316" s="1" t="str">
        <f>IF(OR($C2316="",$D2316&lt;&gt;"Gelir",$L2316=""),"",IFERROR(INDEX(MUSTERILER!$B$7:$B$156,MATCH($S2316,MUSTERILER!$T$7:$T$156,0)),""))</f>
        <v/>
      </c>
      <c r="U2316" s="1" t="str">
        <f>IF($T2316="","",$T2316&amp;"|"&amp;COUNTIFS($T$7:$T2316,$T2316))</f>
        <v/>
      </c>
      <c r="V2316" s="1">
        <f t="shared" si="111"/>
        <v>0</v>
      </c>
      <c r="W2316" s="1" t="str">
        <f t="shared" si="112"/>
        <v/>
      </c>
      <c r="X2316" s="1"/>
      <c r="Y2316" s="1"/>
      <c r="Z2316" s="1"/>
      <c r="AA2316" s="1"/>
      <c r="AB2316" s="1"/>
      <c r="AC2316" s="1"/>
      <c r="AD2316" s="1">
        <f>IF($C2316="",0,SUMPRODUCT((AY_SONU!$O$7:$O$42="Evet")*(AY_SONU!$B$7:$B$42=DATE(YEAR($C2316),MONTH($C2316),1))))</f>
        <v>0</v>
      </c>
      <c r="AE2316" s="1" t="str">
        <f>IF($E2316="","",$E2316&amp;"|"&amp;COUNTIFS($E$7:$E2316,$E2316))</f>
        <v/>
      </c>
    </row>
    <row r="2317" spans="1:31" ht="18" customHeight="1" x14ac:dyDescent="0.3">
      <c r="A2317" s="2"/>
      <c r="B2317" s="65" t="str">
        <f>IF($C2317="","","GG"&amp;TEXT(ROW()-6,"00000"))</f>
        <v/>
      </c>
      <c r="C2317" s="66"/>
      <c r="D2317" s="60"/>
      <c r="E2317" s="61"/>
      <c r="F2317" s="61"/>
      <c r="G2317" s="67"/>
      <c r="H2317" s="60"/>
      <c r="I2317" s="60"/>
      <c r="J2317" s="61"/>
      <c r="K2317" s="61"/>
      <c r="L2317" s="60"/>
      <c r="M2317" s="74" t="str">
        <f>IF($C2317="","",IF($D2317="Gider",$E2317,IF($L2317&lt;&gt;"",$L2317,$H2317)))</f>
        <v/>
      </c>
      <c r="N2317" s="74" t="str">
        <f>IF($C2317="","",IF($D2317="Gider",$H2317,$E2317))</f>
        <v/>
      </c>
      <c r="O2317" s="73" t="str">
        <f>IF($C2317="","",DATE(YEAR($C2317),MONTH($C2317),1))</f>
        <v/>
      </c>
      <c r="P2317" s="65" t="str">
        <f ca="1">IF($C2317="","",IF(AND($D2317="Gelir",$L2317&lt;&gt;"",$T2317=""),"TANIMSIZ BORÇLU",IF($T2317&lt;&gt;"",IF(OR($E2317="",$G2317&lt;=0),"EKSİK",IF($I2317="Evet","TAHAKKUK NAKİT OLAMAZ",IF($C2317&gt;TODAY(),"İLERİ TARİH","TAHAKKUK"))),IF(AND($D2317&lt;&gt;"",$E2317&lt;&gt;"",$G2317&gt;0,$H2317&lt;&gt;"",$I2317&lt;&gt;""),IF($C2317&gt;TODAY(),"İLERİ TARİH",IF(COUNTIF($W$7:$W$3001,$W2317)&gt;1,"MÜKERRER?",IF($AD2317&gt;0,"KAPALI DÖNEM",IF($I2317="Hayır","ÖDENECEK","UYGUN")))),"EKSİK"))))</f>
        <v/>
      </c>
      <c r="Q2317" s="2"/>
      <c r="R2317" s="2"/>
      <c r="S2317" s="1" t="str">
        <f t="shared" si="110"/>
        <v/>
      </c>
      <c r="T2317" s="1" t="str">
        <f>IF(OR($C2317="",$D2317&lt;&gt;"Gelir",$L2317=""),"",IFERROR(INDEX(MUSTERILER!$B$7:$B$156,MATCH($S2317,MUSTERILER!$T$7:$T$156,0)),""))</f>
        <v/>
      </c>
      <c r="U2317" s="1" t="str">
        <f>IF($T2317="","",$T2317&amp;"|"&amp;COUNTIFS($T$7:$T2317,$T2317))</f>
        <v/>
      </c>
      <c r="V2317" s="1">
        <f t="shared" si="111"/>
        <v>0</v>
      </c>
      <c r="W2317" s="1" t="str">
        <f t="shared" si="112"/>
        <v/>
      </c>
      <c r="X2317" s="1"/>
      <c r="Y2317" s="1"/>
      <c r="Z2317" s="1"/>
      <c r="AA2317" s="1"/>
      <c r="AB2317" s="1"/>
      <c r="AC2317" s="1"/>
      <c r="AD2317" s="1">
        <f>IF($C2317="",0,SUMPRODUCT((AY_SONU!$O$7:$O$42="Evet")*(AY_SONU!$B$7:$B$42=DATE(YEAR($C2317),MONTH($C2317),1))))</f>
        <v>0</v>
      </c>
      <c r="AE2317" s="1" t="str">
        <f>IF($E2317="","",$E2317&amp;"|"&amp;COUNTIFS($E$7:$E2317,$E2317))</f>
        <v/>
      </c>
    </row>
    <row r="2318" spans="1:31" ht="18" customHeight="1" x14ac:dyDescent="0.3">
      <c r="A2318" s="2"/>
      <c r="B2318" s="65" t="str">
        <f>IF($C2318="","","GG"&amp;TEXT(ROW()-6,"00000"))</f>
        <v/>
      </c>
      <c r="C2318" s="66"/>
      <c r="D2318" s="60"/>
      <c r="E2318" s="61"/>
      <c r="F2318" s="61"/>
      <c r="G2318" s="67"/>
      <c r="H2318" s="60"/>
      <c r="I2318" s="60"/>
      <c r="J2318" s="61"/>
      <c r="K2318" s="61"/>
      <c r="L2318" s="60"/>
      <c r="M2318" s="74" t="str">
        <f>IF($C2318="","",IF($D2318="Gider",$E2318,IF($L2318&lt;&gt;"",$L2318,$H2318)))</f>
        <v/>
      </c>
      <c r="N2318" s="74" t="str">
        <f>IF($C2318="","",IF($D2318="Gider",$H2318,$E2318))</f>
        <v/>
      </c>
      <c r="O2318" s="73" t="str">
        <f>IF($C2318="","",DATE(YEAR($C2318),MONTH($C2318),1))</f>
        <v/>
      </c>
      <c r="P2318" s="65" t="str">
        <f ca="1">IF($C2318="","",IF(AND($D2318="Gelir",$L2318&lt;&gt;"",$T2318=""),"TANIMSIZ BORÇLU",IF($T2318&lt;&gt;"",IF(OR($E2318="",$G2318&lt;=0),"EKSİK",IF($I2318="Evet","TAHAKKUK NAKİT OLAMAZ",IF($C2318&gt;TODAY(),"İLERİ TARİH","TAHAKKUK"))),IF(AND($D2318&lt;&gt;"",$E2318&lt;&gt;"",$G2318&gt;0,$H2318&lt;&gt;"",$I2318&lt;&gt;""),IF($C2318&gt;TODAY(),"İLERİ TARİH",IF(COUNTIF($W$7:$W$3001,$W2318)&gt;1,"MÜKERRER?",IF($AD2318&gt;0,"KAPALI DÖNEM",IF($I2318="Hayır","ÖDENECEK","UYGUN")))),"EKSİK"))))</f>
        <v/>
      </c>
      <c r="Q2318" s="2"/>
      <c r="R2318" s="2"/>
      <c r="S2318" s="1" t="str">
        <f t="shared" si="110"/>
        <v/>
      </c>
      <c r="T2318" s="1" t="str">
        <f>IF(OR($C2318="",$D2318&lt;&gt;"Gelir",$L2318=""),"",IFERROR(INDEX(MUSTERILER!$B$7:$B$156,MATCH($S2318,MUSTERILER!$T$7:$T$156,0)),""))</f>
        <v/>
      </c>
      <c r="U2318" s="1" t="str">
        <f>IF($T2318="","",$T2318&amp;"|"&amp;COUNTIFS($T$7:$T2318,$T2318))</f>
        <v/>
      </c>
      <c r="V2318" s="1">
        <f t="shared" si="111"/>
        <v>0</v>
      </c>
      <c r="W2318" s="1" t="str">
        <f t="shared" si="112"/>
        <v/>
      </c>
      <c r="X2318" s="1"/>
      <c r="Y2318" s="1"/>
      <c r="Z2318" s="1"/>
      <c r="AA2318" s="1"/>
      <c r="AB2318" s="1"/>
      <c r="AC2318" s="1"/>
      <c r="AD2318" s="1">
        <f>IF($C2318="",0,SUMPRODUCT((AY_SONU!$O$7:$O$42="Evet")*(AY_SONU!$B$7:$B$42=DATE(YEAR($C2318),MONTH($C2318),1))))</f>
        <v>0</v>
      </c>
      <c r="AE2318" s="1" t="str">
        <f>IF($E2318="","",$E2318&amp;"|"&amp;COUNTIFS($E$7:$E2318,$E2318))</f>
        <v/>
      </c>
    </row>
    <row r="2319" spans="1:31" ht="18" customHeight="1" x14ac:dyDescent="0.3">
      <c r="A2319" s="2"/>
      <c r="B2319" s="65" t="str">
        <f>IF($C2319="","","GG"&amp;TEXT(ROW()-6,"00000"))</f>
        <v/>
      </c>
      <c r="C2319" s="66"/>
      <c r="D2319" s="60"/>
      <c r="E2319" s="61"/>
      <c r="F2319" s="61"/>
      <c r="G2319" s="67"/>
      <c r="H2319" s="60"/>
      <c r="I2319" s="60"/>
      <c r="J2319" s="61"/>
      <c r="K2319" s="61"/>
      <c r="L2319" s="60"/>
      <c r="M2319" s="74" t="str">
        <f>IF($C2319="","",IF($D2319="Gider",$E2319,IF($L2319&lt;&gt;"",$L2319,$H2319)))</f>
        <v/>
      </c>
      <c r="N2319" s="74" t="str">
        <f>IF($C2319="","",IF($D2319="Gider",$H2319,$E2319))</f>
        <v/>
      </c>
      <c r="O2319" s="73" t="str">
        <f>IF($C2319="","",DATE(YEAR($C2319),MONTH($C2319),1))</f>
        <v/>
      </c>
      <c r="P2319" s="65" t="str">
        <f ca="1">IF($C2319="","",IF(AND($D2319="Gelir",$L2319&lt;&gt;"",$T2319=""),"TANIMSIZ BORÇLU",IF($T2319&lt;&gt;"",IF(OR($E2319="",$G2319&lt;=0),"EKSİK",IF($I2319="Evet","TAHAKKUK NAKİT OLAMAZ",IF($C2319&gt;TODAY(),"İLERİ TARİH","TAHAKKUK"))),IF(AND($D2319&lt;&gt;"",$E2319&lt;&gt;"",$G2319&gt;0,$H2319&lt;&gt;"",$I2319&lt;&gt;""),IF($C2319&gt;TODAY(),"İLERİ TARİH",IF(COUNTIF($W$7:$W$3001,$W2319)&gt;1,"MÜKERRER?",IF($AD2319&gt;0,"KAPALI DÖNEM",IF($I2319="Hayır","ÖDENECEK","UYGUN")))),"EKSİK"))))</f>
        <v/>
      </c>
      <c r="Q2319" s="2"/>
      <c r="R2319" s="2"/>
      <c r="S2319" s="1" t="str">
        <f t="shared" si="110"/>
        <v/>
      </c>
      <c r="T2319" s="1" t="str">
        <f>IF(OR($C2319="",$D2319&lt;&gt;"Gelir",$L2319=""),"",IFERROR(INDEX(MUSTERILER!$B$7:$B$156,MATCH($S2319,MUSTERILER!$T$7:$T$156,0)),""))</f>
        <v/>
      </c>
      <c r="U2319" s="1" t="str">
        <f>IF($T2319="","",$T2319&amp;"|"&amp;COUNTIFS($T$7:$T2319,$T2319))</f>
        <v/>
      </c>
      <c r="V2319" s="1">
        <f t="shared" si="111"/>
        <v>0</v>
      </c>
      <c r="W2319" s="1" t="str">
        <f t="shared" si="112"/>
        <v/>
      </c>
      <c r="X2319" s="1"/>
      <c r="Y2319" s="1"/>
      <c r="Z2319" s="1"/>
      <c r="AA2319" s="1"/>
      <c r="AB2319" s="1"/>
      <c r="AC2319" s="1"/>
      <c r="AD2319" s="1">
        <f>IF($C2319="",0,SUMPRODUCT((AY_SONU!$O$7:$O$42="Evet")*(AY_SONU!$B$7:$B$42=DATE(YEAR($C2319),MONTH($C2319),1))))</f>
        <v>0</v>
      </c>
      <c r="AE2319" s="1" t="str">
        <f>IF($E2319="","",$E2319&amp;"|"&amp;COUNTIFS($E$7:$E2319,$E2319))</f>
        <v/>
      </c>
    </row>
    <row r="2320" spans="1:31" ht="18" customHeight="1" x14ac:dyDescent="0.3">
      <c r="A2320" s="2"/>
      <c r="B2320" s="65" t="str">
        <f>IF($C2320="","","GG"&amp;TEXT(ROW()-6,"00000"))</f>
        <v/>
      </c>
      <c r="C2320" s="66"/>
      <c r="D2320" s="60"/>
      <c r="E2320" s="61"/>
      <c r="F2320" s="61"/>
      <c r="G2320" s="67"/>
      <c r="H2320" s="60"/>
      <c r="I2320" s="60"/>
      <c r="J2320" s="61"/>
      <c r="K2320" s="61"/>
      <c r="L2320" s="60"/>
      <c r="M2320" s="74" t="str">
        <f>IF($C2320="","",IF($D2320="Gider",$E2320,IF($L2320&lt;&gt;"",$L2320,$H2320)))</f>
        <v/>
      </c>
      <c r="N2320" s="74" t="str">
        <f>IF($C2320="","",IF($D2320="Gider",$H2320,$E2320))</f>
        <v/>
      </c>
      <c r="O2320" s="73" t="str">
        <f>IF($C2320="","",DATE(YEAR($C2320),MONTH($C2320),1))</f>
        <v/>
      </c>
      <c r="P2320" s="65" t="str">
        <f ca="1">IF($C2320="","",IF(AND($D2320="Gelir",$L2320&lt;&gt;"",$T2320=""),"TANIMSIZ BORÇLU",IF($T2320&lt;&gt;"",IF(OR($E2320="",$G2320&lt;=0),"EKSİK",IF($I2320="Evet","TAHAKKUK NAKİT OLAMAZ",IF($C2320&gt;TODAY(),"İLERİ TARİH","TAHAKKUK"))),IF(AND($D2320&lt;&gt;"",$E2320&lt;&gt;"",$G2320&gt;0,$H2320&lt;&gt;"",$I2320&lt;&gt;""),IF($C2320&gt;TODAY(),"İLERİ TARİH",IF(COUNTIF($W$7:$W$3001,$W2320)&gt;1,"MÜKERRER?",IF($AD2320&gt;0,"KAPALI DÖNEM",IF($I2320="Hayır","ÖDENECEK","UYGUN")))),"EKSİK"))))</f>
        <v/>
      </c>
      <c r="Q2320" s="2"/>
      <c r="R2320" s="2"/>
      <c r="S2320" s="1" t="str">
        <f t="shared" si="110"/>
        <v/>
      </c>
      <c r="T2320" s="1" t="str">
        <f>IF(OR($C2320="",$D2320&lt;&gt;"Gelir",$L2320=""),"",IFERROR(INDEX(MUSTERILER!$B$7:$B$156,MATCH($S2320,MUSTERILER!$T$7:$T$156,0)),""))</f>
        <v/>
      </c>
      <c r="U2320" s="1" t="str">
        <f>IF($T2320="","",$T2320&amp;"|"&amp;COUNTIFS($T$7:$T2320,$T2320))</f>
        <v/>
      </c>
      <c r="V2320" s="1">
        <f t="shared" si="111"/>
        <v>0</v>
      </c>
      <c r="W2320" s="1" t="str">
        <f t="shared" si="112"/>
        <v/>
      </c>
      <c r="X2320" s="1"/>
      <c r="Y2320" s="1"/>
      <c r="Z2320" s="1"/>
      <c r="AA2320" s="1"/>
      <c r="AB2320" s="1"/>
      <c r="AC2320" s="1"/>
      <c r="AD2320" s="1">
        <f>IF($C2320="",0,SUMPRODUCT((AY_SONU!$O$7:$O$42="Evet")*(AY_SONU!$B$7:$B$42=DATE(YEAR($C2320),MONTH($C2320),1))))</f>
        <v>0</v>
      </c>
      <c r="AE2320" s="1" t="str">
        <f>IF($E2320="","",$E2320&amp;"|"&amp;COUNTIFS($E$7:$E2320,$E2320))</f>
        <v/>
      </c>
    </row>
    <row r="2321" spans="1:31" ht="18" customHeight="1" x14ac:dyDescent="0.3">
      <c r="A2321" s="2"/>
      <c r="B2321" s="65" t="str">
        <f>IF($C2321="","","GG"&amp;TEXT(ROW()-6,"00000"))</f>
        <v/>
      </c>
      <c r="C2321" s="66"/>
      <c r="D2321" s="60"/>
      <c r="E2321" s="61"/>
      <c r="F2321" s="61"/>
      <c r="G2321" s="67"/>
      <c r="H2321" s="60"/>
      <c r="I2321" s="60"/>
      <c r="J2321" s="61"/>
      <c r="K2321" s="61"/>
      <c r="L2321" s="60"/>
      <c r="M2321" s="74" t="str">
        <f>IF($C2321="","",IF($D2321="Gider",$E2321,IF($L2321&lt;&gt;"",$L2321,$H2321)))</f>
        <v/>
      </c>
      <c r="N2321" s="74" t="str">
        <f>IF($C2321="","",IF($D2321="Gider",$H2321,$E2321))</f>
        <v/>
      </c>
      <c r="O2321" s="73" t="str">
        <f>IF($C2321="","",DATE(YEAR($C2321),MONTH($C2321),1))</f>
        <v/>
      </c>
      <c r="P2321" s="65" t="str">
        <f ca="1">IF($C2321="","",IF(AND($D2321="Gelir",$L2321&lt;&gt;"",$T2321=""),"TANIMSIZ BORÇLU",IF($T2321&lt;&gt;"",IF(OR($E2321="",$G2321&lt;=0),"EKSİK",IF($I2321="Evet","TAHAKKUK NAKİT OLAMAZ",IF($C2321&gt;TODAY(),"İLERİ TARİH","TAHAKKUK"))),IF(AND($D2321&lt;&gt;"",$E2321&lt;&gt;"",$G2321&gt;0,$H2321&lt;&gt;"",$I2321&lt;&gt;""),IF($C2321&gt;TODAY(),"İLERİ TARİH",IF(COUNTIF($W$7:$W$3001,$W2321)&gt;1,"MÜKERRER?",IF($AD2321&gt;0,"KAPALI DÖNEM",IF($I2321="Hayır","ÖDENECEK","UYGUN")))),"EKSİK"))))</f>
        <v/>
      </c>
      <c r="Q2321" s="2"/>
      <c r="R2321" s="2"/>
      <c r="S2321" s="1" t="str">
        <f t="shared" si="110"/>
        <v/>
      </c>
      <c r="T2321" s="1" t="str">
        <f>IF(OR($C2321="",$D2321&lt;&gt;"Gelir",$L2321=""),"",IFERROR(INDEX(MUSTERILER!$B$7:$B$156,MATCH($S2321,MUSTERILER!$T$7:$T$156,0)),""))</f>
        <v/>
      </c>
      <c r="U2321" s="1" t="str">
        <f>IF($T2321="","",$T2321&amp;"|"&amp;COUNTIFS($T$7:$T2321,$T2321))</f>
        <v/>
      </c>
      <c r="V2321" s="1">
        <f t="shared" si="111"/>
        <v>0</v>
      </c>
      <c r="W2321" s="1" t="str">
        <f t="shared" si="112"/>
        <v/>
      </c>
      <c r="X2321" s="1"/>
      <c r="Y2321" s="1"/>
      <c r="Z2321" s="1"/>
      <c r="AA2321" s="1"/>
      <c r="AB2321" s="1"/>
      <c r="AC2321" s="1"/>
      <c r="AD2321" s="1">
        <f>IF($C2321="",0,SUMPRODUCT((AY_SONU!$O$7:$O$42="Evet")*(AY_SONU!$B$7:$B$42=DATE(YEAR($C2321),MONTH($C2321),1))))</f>
        <v>0</v>
      </c>
      <c r="AE2321" s="1" t="str">
        <f>IF($E2321="","",$E2321&amp;"|"&amp;COUNTIFS($E$7:$E2321,$E2321))</f>
        <v/>
      </c>
    </row>
    <row r="2322" spans="1:31" ht="18" customHeight="1" x14ac:dyDescent="0.3">
      <c r="A2322" s="2"/>
      <c r="B2322" s="65" t="str">
        <f>IF($C2322="","","GG"&amp;TEXT(ROW()-6,"00000"))</f>
        <v/>
      </c>
      <c r="C2322" s="66"/>
      <c r="D2322" s="60"/>
      <c r="E2322" s="61"/>
      <c r="F2322" s="61"/>
      <c r="G2322" s="67"/>
      <c r="H2322" s="60"/>
      <c r="I2322" s="60"/>
      <c r="J2322" s="61"/>
      <c r="K2322" s="61"/>
      <c r="L2322" s="60"/>
      <c r="M2322" s="74" t="str">
        <f>IF($C2322="","",IF($D2322="Gider",$E2322,IF($L2322&lt;&gt;"",$L2322,$H2322)))</f>
        <v/>
      </c>
      <c r="N2322" s="74" t="str">
        <f>IF($C2322="","",IF($D2322="Gider",$H2322,$E2322))</f>
        <v/>
      </c>
      <c r="O2322" s="73" t="str">
        <f>IF($C2322="","",DATE(YEAR($C2322),MONTH($C2322),1))</f>
        <v/>
      </c>
      <c r="P2322" s="65" t="str">
        <f ca="1">IF($C2322="","",IF(AND($D2322="Gelir",$L2322&lt;&gt;"",$T2322=""),"TANIMSIZ BORÇLU",IF($T2322&lt;&gt;"",IF(OR($E2322="",$G2322&lt;=0),"EKSİK",IF($I2322="Evet","TAHAKKUK NAKİT OLAMAZ",IF($C2322&gt;TODAY(),"İLERİ TARİH","TAHAKKUK"))),IF(AND($D2322&lt;&gt;"",$E2322&lt;&gt;"",$G2322&gt;0,$H2322&lt;&gt;"",$I2322&lt;&gt;""),IF($C2322&gt;TODAY(),"İLERİ TARİH",IF(COUNTIF($W$7:$W$3001,$W2322)&gt;1,"MÜKERRER?",IF($AD2322&gt;0,"KAPALI DÖNEM",IF($I2322="Hayır","ÖDENECEK","UYGUN")))),"EKSİK"))))</f>
        <v/>
      </c>
      <c r="Q2322" s="2"/>
      <c r="R2322" s="2"/>
      <c r="S2322" s="1" t="str">
        <f t="shared" si="110"/>
        <v/>
      </c>
      <c r="T2322" s="1" t="str">
        <f>IF(OR($C2322="",$D2322&lt;&gt;"Gelir",$L2322=""),"",IFERROR(INDEX(MUSTERILER!$B$7:$B$156,MATCH($S2322,MUSTERILER!$T$7:$T$156,0)),""))</f>
        <v/>
      </c>
      <c r="U2322" s="1" t="str">
        <f>IF($T2322="","",$T2322&amp;"|"&amp;COUNTIFS($T$7:$T2322,$T2322))</f>
        <v/>
      </c>
      <c r="V2322" s="1">
        <f t="shared" si="111"/>
        <v>0</v>
      </c>
      <c r="W2322" s="1" t="str">
        <f t="shared" si="112"/>
        <v/>
      </c>
      <c r="X2322" s="1"/>
      <c r="Y2322" s="1"/>
      <c r="Z2322" s="1"/>
      <c r="AA2322" s="1"/>
      <c r="AB2322" s="1"/>
      <c r="AC2322" s="1"/>
      <c r="AD2322" s="1">
        <f>IF($C2322="",0,SUMPRODUCT((AY_SONU!$O$7:$O$42="Evet")*(AY_SONU!$B$7:$B$42=DATE(YEAR($C2322),MONTH($C2322),1))))</f>
        <v>0</v>
      </c>
      <c r="AE2322" s="1" t="str">
        <f>IF($E2322="","",$E2322&amp;"|"&amp;COUNTIFS($E$7:$E2322,$E2322))</f>
        <v/>
      </c>
    </row>
    <row r="2323" spans="1:31" ht="18" customHeight="1" x14ac:dyDescent="0.3">
      <c r="A2323" s="2"/>
      <c r="B2323" s="65" t="str">
        <f>IF($C2323="","","GG"&amp;TEXT(ROW()-6,"00000"))</f>
        <v/>
      </c>
      <c r="C2323" s="66"/>
      <c r="D2323" s="60"/>
      <c r="E2323" s="61"/>
      <c r="F2323" s="61"/>
      <c r="G2323" s="67"/>
      <c r="H2323" s="60"/>
      <c r="I2323" s="60"/>
      <c r="J2323" s="61"/>
      <c r="K2323" s="61"/>
      <c r="L2323" s="60"/>
      <c r="M2323" s="74" t="str">
        <f>IF($C2323="","",IF($D2323="Gider",$E2323,IF($L2323&lt;&gt;"",$L2323,$H2323)))</f>
        <v/>
      </c>
      <c r="N2323" s="74" t="str">
        <f>IF($C2323="","",IF($D2323="Gider",$H2323,$E2323))</f>
        <v/>
      </c>
      <c r="O2323" s="73" t="str">
        <f>IF($C2323="","",DATE(YEAR($C2323),MONTH($C2323),1))</f>
        <v/>
      </c>
      <c r="P2323" s="65" t="str">
        <f ca="1">IF($C2323="","",IF(AND($D2323="Gelir",$L2323&lt;&gt;"",$T2323=""),"TANIMSIZ BORÇLU",IF($T2323&lt;&gt;"",IF(OR($E2323="",$G2323&lt;=0),"EKSİK",IF($I2323="Evet","TAHAKKUK NAKİT OLAMAZ",IF($C2323&gt;TODAY(),"İLERİ TARİH","TAHAKKUK"))),IF(AND($D2323&lt;&gt;"",$E2323&lt;&gt;"",$G2323&gt;0,$H2323&lt;&gt;"",$I2323&lt;&gt;""),IF($C2323&gt;TODAY(),"İLERİ TARİH",IF(COUNTIF($W$7:$W$3001,$W2323)&gt;1,"MÜKERRER?",IF($AD2323&gt;0,"KAPALI DÖNEM",IF($I2323="Hayır","ÖDENECEK","UYGUN")))),"EKSİK"))))</f>
        <v/>
      </c>
      <c r="Q2323" s="2"/>
      <c r="R2323" s="2"/>
      <c r="S2323" s="1" t="str">
        <f t="shared" si="110"/>
        <v/>
      </c>
      <c r="T2323" s="1" t="str">
        <f>IF(OR($C2323="",$D2323&lt;&gt;"Gelir",$L2323=""),"",IFERROR(INDEX(MUSTERILER!$B$7:$B$156,MATCH($S2323,MUSTERILER!$T$7:$T$156,0)),""))</f>
        <v/>
      </c>
      <c r="U2323" s="1" t="str">
        <f>IF($T2323="","",$T2323&amp;"|"&amp;COUNTIFS($T$7:$T2323,$T2323))</f>
        <v/>
      </c>
      <c r="V2323" s="1">
        <f t="shared" si="111"/>
        <v>0</v>
      </c>
      <c r="W2323" s="1" t="str">
        <f t="shared" si="112"/>
        <v/>
      </c>
      <c r="X2323" s="1"/>
      <c r="Y2323" s="1"/>
      <c r="Z2323" s="1"/>
      <c r="AA2323" s="1"/>
      <c r="AB2323" s="1"/>
      <c r="AC2323" s="1"/>
      <c r="AD2323" s="1">
        <f>IF($C2323="",0,SUMPRODUCT((AY_SONU!$O$7:$O$42="Evet")*(AY_SONU!$B$7:$B$42=DATE(YEAR($C2323),MONTH($C2323),1))))</f>
        <v>0</v>
      </c>
      <c r="AE2323" s="1" t="str">
        <f>IF($E2323="","",$E2323&amp;"|"&amp;COUNTIFS($E$7:$E2323,$E2323))</f>
        <v/>
      </c>
    </row>
    <row r="2324" spans="1:31" ht="18" customHeight="1" x14ac:dyDescent="0.3">
      <c r="A2324" s="2"/>
      <c r="B2324" s="65" t="str">
        <f>IF($C2324="","","GG"&amp;TEXT(ROW()-6,"00000"))</f>
        <v/>
      </c>
      <c r="C2324" s="66"/>
      <c r="D2324" s="60"/>
      <c r="E2324" s="61"/>
      <c r="F2324" s="61"/>
      <c r="G2324" s="67"/>
      <c r="H2324" s="60"/>
      <c r="I2324" s="60"/>
      <c r="J2324" s="61"/>
      <c r="K2324" s="61"/>
      <c r="L2324" s="60"/>
      <c r="M2324" s="74" t="str">
        <f>IF($C2324="","",IF($D2324="Gider",$E2324,IF($L2324&lt;&gt;"",$L2324,$H2324)))</f>
        <v/>
      </c>
      <c r="N2324" s="74" t="str">
        <f>IF($C2324="","",IF($D2324="Gider",$H2324,$E2324))</f>
        <v/>
      </c>
      <c r="O2324" s="73" t="str">
        <f>IF($C2324="","",DATE(YEAR($C2324),MONTH($C2324),1))</f>
        <v/>
      </c>
      <c r="P2324" s="65" t="str">
        <f ca="1">IF($C2324="","",IF(AND($D2324="Gelir",$L2324&lt;&gt;"",$T2324=""),"TANIMSIZ BORÇLU",IF($T2324&lt;&gt;"",IF(OR($E2324="",$G2324&lt;=0),"EKSİK",IF($I2324="Evet","TAHAKKUK NAKİT OLAMAZ",IF($C2324&gt;TODAY(),"İLERİ TARİH","TAHAKKUK"))),IF(AND($D2324&lt;&gt;"",$E2324&lt;&gt;"",$G2324&gt;0,$H2324&lt;&gt;"",$I2324&lt;&gt;""),IF($C2324&gt;TODAY(),"İLERİ TARİH",IF(COUNTIF($W$7:$W$3001,$W2324)&gt;1,"MÜKERRER?",IF($AD2324&gt;0,"KAPALI DÖNEM",IF($I2324="Hayır","ÖDENECEK","UYGUN")))),"EKSİK"))))</f>
        <v/>
      </c>
      <c r="Q2324" s="2"/>
      <c r="R2324" s="2"/>
      <c r="S2324" s="1" t="str">
        <f t="shared" si="110"/>
        <v/>
      </c>
      <c r="T2324" s="1" t="str">
        <f>IF(OR($C2324="",$D2324&lt;&gt;"Gelir",$L2324=""),"",IFERROR(INDEX(MUSTERILER!$B$7:$B$156,MATCH($S2324,MUSTERILER!$T$7:$T$156,0)),""))</f>
        <v/>
      </c>
      <c r="U2324" s="1" t="str">
        <f>IF($T2324="","",$T2324&amp;"|"&amp;COUNTIFS($T$7:$T2324,$T2324))</f>
        <v/>
      </c>
      <c r="V2324" s="1">
        <f t="shared" si="111"/>
        <v>0</v>
      </c>
      <c r="W2324" s="1" t="str">
        <f t="shared" si="112"/>
        <v/>
      </c>
      <c r="X2324" s="1"/>
      <c r="Y2324" s="1"/>
      <c r="Z2324" s="1"/>
      <c r="AA2324" s="1"/>
      <c r="AB2324" s="1"/>
      <c r="AC2324" s="1"/>
      <c r="AD2324" s="1">
        <f>IF($C2324="",0,SUMPRODUCT((AY_SONU!$O$7:$O$42="Evet")*(AY_SONU!$B$7:$B$42=DATE(YEAR($C2324),MONTH($C2324),1))))</f>
        <v>0</v>
      </c>
      <c r="AE2324" s="1" t="str">
        <f>IF($E2324="","",$E2324&amp;"|"&amp;COUNTIFS($E$7:$E2324,$E2324))</f>
        <v/>
      </c>
    </row>
    <row r="2325" spans="1:31" ht="18" customHeight="1" x14ac:dyDescent="0.3">
      <c r="A2325" s="2"/>
      <c r="B2325" s="65" t="str">
        <f>IF($C2325="","","GG"&amp;TEXT(ROW()-6,"00000"))</f>
        <v/>
      </c>
      <c r="C2325" s="66"/>
      <c r="D2325" s="60"/>
      <c r="E2325" s="61"/>
      <c r="F2325" s="61"/>
      <c r="G2325" s="67"/>
      <c r="H2325" s="60"/>
      <c r="I2325" s="60"/>
      <c r="J2325" s="61"/>
      <c r="K2325" s="61"/>
      <c r="L2325" s="60"/>
      <c r="M2325" s="74" t="str">
        <f>IF($C2325="","",IF($D2325="Gider",$E2325,IF($L2325&lt;&gt;"",$L2325,$H2325)))</f>
        <v/>
      </c>
      <c r="N2325" s="74" t="str">
        <f>IF($C2325="","",IF($D2325="Gider",$H2325,$E2325))</f>
        <v/>
      </c>
      <c r="O2325" s="73" t="str">
        <f>IF($C2325="","",DATE(YEAR($C2325),MONTH($C2325),1))</f>
        <v/>
      </c>
      <c r="P2325" s="65" t="str">
        <f ca="1">IF($C2325="","",IF(AND($D2325="Gelir",$L2325&lt;&gt;"",$T2325=""),"TANIMSIZ BORÇLU",IF($T2325&lt;&gt;"",IF(OR($E2325="",$G2325&lt;=0),"EKSİK",IF($I2325="Evet","TAHAKKUK NAKİT OLAMAZ",IF($C2325&gt;TODAY(),"İLERİ TARİH","TAHAKKUK"))),IF(AND($D2325&lt;&gt;"",$E2325&lt;&gt;"",$G2325&gt;0,$H2325&lt;&gt;"",$I2325&lt;&gt;""),IF($C2325&gt;TODAY(),"İLERİ TARİH",IF(COUNTIF($W$7:$W$3001,$W2325)&gt;1,"MÜKERRER?",IF($AD2325&gt;0,"KAPALI DÖNEM",IF($I2325="Hayır","ÖDENECEK","UYGUN")))),"EKSİK"))))</f>
        <v/>
      </c>
      <c r="Q2325" s="2"/>
      <c r="R2325" s="2"/>
      <c r="S2325" s="1" t="str">
        <f t="shared" si="110"/>
        <v/>
      </c>
      <c r="T2325" s="1" t="str">
        <f>IF(OR($C2325="",$D2325&lt;&gt;"Gelir",$L2325=""),"",IFERROR(INDEX(MUSTERILER!$B$7:$B$156,MATCH($S2325,MUSTERILER!$T$7:$T$156,0)),""))</f>
        <v/>
      </c>
      <c r="U2325" s="1" t="str">
        <f>IF($T2325="","",$T2325&amp;"|"&amp;COUNTIFS($T$7:$T2325,$T2325))</f>
        <v/>
      </c>
      <c r="V2325" s="1">
        <f t="shared" si="111"/>
        <v>0</v>
      </c>
      <c r="W2325" s="1" t="str">
        <f t="shared" si="112"/>
        <v/>
      </c>
      <c r="X2325" s="1"/>
      <c r="Y2325" s="1"/>
      <c r="Z2325" s="1"/>
      <c r="AA2325" s="1"/>
      <c r="AB2325" s="1"/>
      <c r="AC2325" s="1"/>
      <c r="AD2325" s="1">
        <f>IF($C2325="",0,SUMPRODUCT((AY_SONU!$O$7:$O$42="Evet")*(AY_SONU!$B$7:$B$42=DATE(YEAR($C2325),MONTH($C2325),1))))</f>
        <v>0</v>
      </c>
      <c r="AE2325" s="1" t="str">
        <f>IF($E2325="","",$E2325&amp;"|"&amp;COUNTIFS($E$7:$E2325,$E2325))</f>
        <v/>
      </c>
    </row>
    <row r="2326" spans="1:31" ht="18" customHeight="1" x14ac:dyDescent="0.3">
      <c r="A2326" s="2"/>
      <c r="B2326" s="65" t="str">
        <f>IF($C2326="","","GG"&amp;TEXT(ROW()-6,"00000"))</f>
        <v/>
      </c>
      <c r="C2326" s="66"/>
      <c r="D2326" s="60"/>
      <c r="E2326" s="61"/>
      <c r="F2326" s="61"/>
      <c r="G2326" s="67"/>
      <c r="H2326" s="60"/>
      <c r="I2326" s="60"/>
      <c r="J2326" s="61"/>
      <c r="K2326" s="61"/>
      <c r="L2326" s="60"/>
      <c r="M2326" s="74" t="str">
        <f>IF($C2326="","",IF($D2326="Gider",$E2326,IF($L2326&lt;&gt;"",$L2326,$H2326)))</f>
        <v/>
      </c>
      <c r="N2326" s="74" t="str">
        <f>IF($C2326="","",IF($D2326="Gider",$H2326,$E2326))</f>
        <v/>
      </c>
      <c r="O2326" s="73" t="str">
        <f>IF($C2326="","",DATE(YEAR($C2326),MONTH($C2326),1))</f>
        <v/>
      </c>
      <c r="P2326" s="65" t="str">
        <f ca="1">IF($C2326="","",IF(AND($D2326="Gelir",$L2326&lt;&gt;"",$T2326=""),"TANIMSIZ BORÇLU",IF($T2326&lt;&gt;"",IF(OR($E2326="",$G2326&lt;=0),"EKSİK",IF($I2326="Evet","TAHAKKUK NAKİT OLAMAZ",IF($C2326&gt;TODAY(),"İLERİ TARİH","TAHAKKUK"))),IF(AND($D2326&lt;&gt;"",$E2326&lt;&gt;"",$G2326&gt;0,$H2326&lt;&gt;"",$I2326&lt;&gt;""),IF($C2326&gt;TODAY(),"İLERİ TARİH",IF(COUNTIF($W$7:$W$3001,$W2326)&gt;1,"MÜKERRER?",IF($AD2326&gt;0,"KAPALI DÖNEM",IF($I2326="Hayır","ÖDENECEK","UYGUN")))),"EKSİK"))))</f>
        <v/>
      </c>
      <c r="Q2326" s="2"/>
      <c r="R2326" s="2"/>
      <c r="S2326" s="1" t="str">
        <f t="shared" si="110"/>
        <v/>
      </c>
      <c r="T2326" s="1" t="str">
        <f>IF(OR($C2326="",$D2326&lt;&gt;"Gelir",$L2326=""),"",IFERROR(INDEX(MUSTERILER!$B$7:$B$156,MATCH($S2326,MUSTERILER!$T$7:$T$156,0)),""))</f>
        <v/>
      </c>
      <c r="U2326" s="1" t="str">
        <f>IF($T2326="","",$T2326&amp;"|"&amp;COUNTIFS($T$7:$T2326,$T2326))</f>
        <v/>
      </c>
      <c r="V2326" s="1">
        <f t="shared" si="111"/>
        <v>0</v>
      </c>
      <c r="W2326" s="1" t="str">
        <f t="shared" si="112"/>
        <v/>
      </c>
      <c r="X2326" s="1"/>
      <c r="Y2326" s="1"/>
      <c r="Z2326" s="1"/>
      <c r="AA2326" s="1"/>
      <c r="AB2326" s="1"/>
      <c r="AC2326" s="1"/>
      <c r="AD2326" s="1">
        <f>IF($C2326="",0,SUMPRODUCT((AY_SONU!$O$7:$O$42="Evet")*(AY_SONU!$B$7:$B$42=DATE(YEAR($C2326),MONTH($C2326),1))))</f>
        <v>0</v>
      </c>
      <c r="AE2326" s="1" t="str">
        <f>IF($E2326="","",$E2326&amp;"|"&amp;COUNTIFS($E$7:$E2326,$E2326))</f>
        <v/>
      </c>
    </row>
    <row r="2327" spans="1:31" ht="18" customHeight="1" x14ac:dyDescent="0.3">
      <c r="A2327" s="2"/>
      <c r="B2327" s="65" t="str">
        <f>IF($C2327="","","GG"&amp;TEXT(ROW()-6,"00000"))</f>
        <v/>
      </c>
      <c r="C2327" s="66"/>
      <c r="D2327" s="60"/>
      <c r="E2327" s="61"/>
      <c r="F2327" s="61"/>
      <c r="G2327" s="67"/>
      <c r="H2327" s="60"/>
      <c r="I2327" s="60"/>
      <c r="J2327" s="61"/>
      <c r="K2327" s="61"/>
      <c r="L2327" s="60"/>
      <c r="M2327" s="74" t="str">
        <f>IF($C2327="","",IF($D2327="Gider",$E2327,IF($L2327&lt;&gt;"",$L2327,$H2327)))</f>
        <v/>
      </c>
      <c r="N2327" s="74" t="str">
        <f>IF($C2327="","",IF($D2327="Gider",$H2327,$E2327))</f>
        <v/>
      </c>
      <c r="O2327" s="73" t="str">
        <f>IF($C2327="","",DATE(YEAR($C2327),MONTH($C2327),1))</f>
        <v/>
      </c>
      <c r="P2327" s="65" t="str">
        <f ca="1">IF($C2327="","",IF(AND($D2327="Gelir",$L2327&lt;&gt;"",$T2327=""),"TANIMSIZ BORÇLU",IF($T2327&lt;&gt;"",IF(OR($E2327="",$G2327&lt;=0),"EKSİK",IF($I2327="Evet","TAHAKKUK NAKİT OLAMAZ",IF($C2327&gt;TODAY(),"İLERİ TARİH","TAHAKKUK"))),IF(AND($D2327&lt;&gt;"",$E2327&lt;&gt;"",$G2327&gt;0,$H2327&lt;&gt;"",$I2327&lt;&gt;""),IF($C2327&gt;TODAY(),"İLERİ TARİH",IF(COUNTIF($W$7:$W$3001,$W2327)&gt;1,"MÜKERRER?",IF($AD2327&gt;0,"KAPALI DÖNEM",IF($I2327="Hayır","ÖDENECEK","UYGUN")))),"EKSİK"))))</f>
        <v/>
      </c>
      <c r="Q2327" s="2"/>
      <c r="R2327" s="2"/>
      <c r="S2327" s="1" t="str">
        <f t="shared" si="110"/>
        <v/>
      </c>
      <c r="T2327" s="1" t="str">
        <f>IF(OR($C2327="",$D2327&lt;&gt;"Gelir",$L2327=""),"",IFERROR(INDEX(MUSTERILER!$B$7:$B$156,MATCH($S2327,MUSTERILER!$T$7:$T$156,0)),""))</f>
        <v/>
      </c>
      <c r="U2327" s="1" t="str">
        <f>IF($T2327="","",$T2327&amp;"|"&amp;COUNTIFS($T$7:$T2327,$T2327))</f>
        <v/>
      </c>
      <c r="V2327" s="1">
        <f t="shared" si="111"/>
        <v>0</v>
      </c>
      <c r="W2327" s="1" t="str">
        <f t="shared" si="112"/>
        <v/>
      </c>
      <c r="X2327" s="1"/>
      <c r="Y2327" s="1"/>
      <c r="Z2327" s="1"/>
      <c r="AA2327" s="1"/>
      <c r="AB2327" s="1"/>
      <c r="AC2327" s="1"/>
      <c r="AD2327" s="1">
        <f>IF($C2327="",0,SUMPRODUCT((AY_SONU!$O$7:$O$42="Evet")*(AY_SONU!$B$7:$B$42=DATE(YEAR($C2327),MONTH($C2327),1))))</f>
        <v>0</v>
      </c>
      <c r="AE2327" s="1" t="str">
        <f>IF($E2327="","",$E2327&amp;"|"&amp;COUNTIFS($E$7:$E2327,$E2327))</f>
        <v/>
      </c>
    </row>
    <row r="2328" spans="1:31" ht="18" customHeight="1" x14ac:dyDescent="0.3">
      <c r="A2328" s="2"/>
      <c r="B2328" s="65" t="str">
        <f>IF($C2328="","","GG"&amp;TEXT(ROW()-6,"00000"))</f>
        <v/>
      </c>
      <c r="C2328" s="66"/>
      <c r="D2328" s="60"/>
      <c r="E2328" s="61"/>
      <c r="F2328" s="61"/>
      <c r="G2328" s="67"/>
      <c r="H2328" s="60"/>
      <c r="I2328" s="60"/>
      <c r="J2328" s="61"/>
      <c r="K2328" s="61"/>
      <c r="L2328" s="60"/>
      <c r="M2328" s="74" t="str">
        <f>IF($C2328="","",IF($D2328="Gider",$E2328,IF($L2328&lt;&gt;"",$L2328,$H2328)))</f>
        <v/>
      </c>
      <c r="N2328" s="74" t="str">
        <f>IF($C2328="","",IF($D2328="Gider",$H2328,$E2328))</f>
        <v/>
      </c>
      <c r="O2328" s="73" t="str">
        <f>IF($C2328="","",DATE(YEAR($C2328),MONTH($C2328),1))</f>
        <v/>
      </c>
      <c r="P2328" s="65" t="str">
        <f ca="1">IF($C2328="","",IF(AND($D2328="Gelir",$L2328&lt;&gt;"",$T2328=""),"TANIMSIZ BORÇLU",IF($T2328&lt;&gt;"",IF(OR($E2328="",$G2328&lt;=0),"EKSİK",IF($I2328="Evet","TAHAKKUK NAKİT OLAMAZ",IF($C2328&gt;TODAY(),"İLERİ TARİH","TAHAKKUK"))),IF(AND($D2328&lt;&gt;"",$E2328&lt;&gt;"",$G2328&gt;0,$H2328&lt;&gt;"",$I2328&lt;&gt;""),IF($C2328&gt;TODAY(),"İLERİ TARİH",IF(COUNTIF($W$7:$W$3001,$W2328)&gt;1,"MÜKERRER?",IF($AD2328&gt;0,"KAPALI DÖNEM",IF($I2328="Hayır","ÖDENECEK","UYGUN")))),"EKSİK"))))</f>
        <v/>
      </c>
      <c r="Q2328" s="2"/>
      <c r="R2328" s="2"/>
      <c r="S2328" s="1" t="str">
        <f t="shared" si="110"/>
        <v/>
      </c>
      <c r="T2328" s="1" t="str">
        <f>IF(OR($C2328="",$D2328&lt;&gt;"Gelir",$L2328=""),"",IFERROR(INDEX(MUSTERILER!$B$7:$B$156,MATCH($S2328,MUSTERILER!$T$7:$T$156,0)),""))</f>
        <v/>
      </c>
      <c r="U2328" s="1" t="str">
        <f>IF($T2328="","",$T2328&amp;"|"&amp;COUNTIFS($T$7:$T2328,$T2328))</f>
        <v/>
      </c>
      <c r="V2328" s="1">
        <f t="shared" si="111"/>
        <v>0</v>
      </c>
      <c r="W2328" s="1" t="str">
        <f t="shared" si="112"/>
        <v/>
      </c>
      <c r="X2328" s="1"/>
      <c r="Y2328" s="1"/>
      <c r="Z2328" s="1"/>
      <c r="AA2328" s="1"/>
      <c r="AB2328" s="1"/>
      <c r="AC2328" s="1"/>
      <c r="AD2328" s="1">
        <f>IF($C2328="",0,SUMPRODUCT((AY_SONU!$O$7:$O$42="Evet")*(AY_SONU!$B$7:$B$42=DATE(YEAR($C2328),MONTH($C2328),1))))</f>
        <v>0</v>
      </c>
      <c r="AE2328" s="1" t="str">
        <f>IF($E2328="","",$E2328&amp;"|"&amp;COUNTIFS($E$7:$E2328,$E2328))</f>
        <v/>
      </c>
    </row>
    <row r="2329" spans="1:31" ht="18" customHeight="1" x14ac:dyDescent="0.3">
      <c r="A2329" s="2"/>
      <c r="B2329" s="65" t="str">
        <f>IF($C2329="","","GG"&amp;TEXT(ROW()-6,"00000"))</f>
        <v/>
      </c>
      <c r="C2329" s="66"/>
      <c r="D2329" s="60"/>
      <c r="E2329" s="61"/>
      <c r="F2329" s="61"/>
      <c r="G2329" s="67"/>
      <c r="H2329" s="60"/>
      <c r="I2329" s="60"/>
      <c r="J2329" s="61"/>
      <c r="K2329" s="61"/>
      <c r="L2329" s="60"/>
      <c r="M2329" s="74" t="str">
        <f>IF($C2329="","",IF($D2329="Gider",$E2329,IF($L2329&lt;&gt;"",$L2329,$H2329)))</f>
        <v/>
      </c>
      <c r="N2329" s="74" t="str">
        <f>IF($C2329="","",IF($D2329="Gider",$H2329,$E2329))</f>
        <v/>
      </c>
      <c r="O2329" s="73" t="str">
        <f>IF($C2329="","",DATE(YEAR($C2329),MONTH($C2329),1))</f>
        <v/>
      </c>
      <c r="P2329" s="65" t="str">
        <f ca="1">IF($C2329="","",IF(AND($D2329="Gelir",$L2329&lt;&gt;"",$T2329=""),"TANIMSIZ BORÇLU",IF($T2329&lt;&gt;"",IF(OR($E2329="",$G2329&lt;=0),"EKSİK",IF($I2329="Evet","TAHAKKUK NAKİT OLAMAZ",IF($C2329&gt;TODAY(),"İLERİ TARİH","TAHAKKUK"))),IF(AND($D2329&lt;&gt;"",$E2329&lt;&gt;"",$G2329&gt;0,$H2329&lt;&gt;"",$I2329&lt;&gt;""),IF($C2329&gt;TODAY(),"İLERİ TARİH",IF(COUNTIF($W$7:$W$3001,$W2329)&gt;1,"MÜKERRER?",IF($AD2329&gt;0,"KAPALI DÖNEM",IF($I2329="Hayır","ÖDENECEK","UYGUN")))),"EKSİK"))))</f>
        <v/>
      </c>
      <c r="Q2329" s="2"/>
      <c r="R2329" s="2"/>
      <c r="S2329" s="1" t="str">
        <f t="shared" si="110"/>
        <v/>
      </c>
      <c r="T2329" s="1" t="str">
        <f>IF(OR($C2329="",$D2329&lt;&gt;"Gelir",$L2329=""),"",IFERROR(INDEX(MUSTERILER!$B$7:$B$156,MATCH($S2329,MUSTERILER!$T$7:$T$156,0)),""))</f>
        <v/>
      </c>
      <c r="U2329" s="1" t="str">
        <f>IF($T2329="","",$T2329&amp;"|"&amp;COUNTIFS($T$7:$T2329,$T2329))</f>
        <v/>
      </c>
      <c r="V2329" s="1">
        <f t="shared" si="111"/>
        <v>0</v>
      </c>
      <c r="W2329" s="1" t="str">
        <f t="shared" si="112"/>
        <v/>
      </c>
      <c r="X2329" s="1"/>
      <c r="Y2329" s="1"/>
      <c r="Z2329" s="1"/>
      <c r="AA2329" s="1"/>
      <c r="AB2329" s="1"/>
      <c r="AC2329" s="1"/>
      <c r="AD2329" s="1">
        <f>IF($C2329="",0,SUMPRODUCT((AY_SONU!$O$7:$O$42="Evet")*(AY_SONU!$B$7:$B$42=DATE(YEAR($C2329),MONTH($C2329),1))))</f>
        <v>0</v>
      </c>
      <c r="AE2329" s="1" t="str">
        <f>IF($E2329="","",$E2329&amp;"|"&amp;COUNTIFS($E$7:$E2329,$E2329))</f>
        <v/>
      </c>
    </row>
    <row r="2330" spans="1:31" ht="18" customHeight="1" x14ac:dyDescent="0.3">
      <c r="A2330" s="2"/>
      <c r="B2330" s="65" t="str">
        <f>IF($C2330="","","GG"&amp;TEXT(ROW()-6,"00000"))</f>
        <v/>
      </c>
      <c r="C2330" s="66"/>
      <c r="D2330" s="60"/>
      <c r="E2330" s="61"/>
      <c r="F2330" s="61"/>
      <c r="G2330" s="67"/>
      <c r="H2330" s="60"/>
      <c r="I2330" s="60"/>
      <c r="J2330" s="61"/>
      <c r="K2330" s="61"/>
      <c r="L2330" s="60"/>
      <c r="M2330" s="74" t="str">
        <f>IF($C2330="","",IF($D2330="Gider",$E2330,IF($L2330&lt;&gt;"",$L2330,$H2330)))</f>
        <v/>
      </c>
      <c r="N2330" s="74" t="str">
        <f>IF($C2330="","",IF($D2330="Gider",$H2330,$E2330))</f>
        <v/>
      </c>
      <c r="O2330" s="73" t="str">
        <f>IF($C2330="","",DATE(YEAR($C2330),MONTH($C2330),1))</f>
        <v/>
      </c>
      <c r="P2330" s="65" t="str">
        <f ca="1">IF($C2330="","",IF(AND($D2330="Gelir",$L2330&lt;&gt;"",$T2330=""),"TANIMSIZ BORÇLU",IF($T2330&lt;&gt;"",IF(OR($E2330="",$G2330&lt;=0),"EKSİK",IF($I2330="Evet","TAHAKKUK NAKİT OLAMAZ",IF($C2330&gt;TODAY(),"İLERİ TARİH","TAHAKKUK"))),IF(AND($D2330&lt;&gt;"",$E2330&lt;&gt;"",$G2330&gt;0,$H2330&lt;&gt;"",$I2330&lt;&gt;""),IF($C2330&gt;TODAY(),"İLERİ TARİH",IF(COUNTIF($W$7:$W$3001,$W2330)&gt;1,"MÜKERRER?",IF($AD2330&gt;0,"KAPALI DÖNEM",IF($I2330="Hayır","ÖDENECEK","UYGUN")))),"EKSİK"))))</f>
        <v/>
      </c>
      <c r="Q2330" s="2"/>
      <c r="R2330" s="2"/>
      <c r="S2330" s="1" t="str">
        <f t="shared" si="110"/>
        <v/>
      </c>
      <c r="T2330" s="1" t="str">
        <f>IF(OR($C2330="",$D2330&lt;&gt;"Gelir",$L2330=""),"",IFERROR(INDEX(MUSTERILER!$B$7:$B$156,MATCH($S2330,MUSTERILER!$T$7:$T$156,0)),""))</f>
        <v/>
      </c>
      <c r="U2330" s="1" t="str">
        <f>IF($T2330="","",$T2330&amp;"|"&amp;COUNTIFS($T$7:$T2330,$T2330))</f>
        <v/>
      </c>
      <c r="V2330" s="1">
        <f t="shared" si="111"/>
        <v>0</v>
      </c>
      <c r="W2330" s="1" t="str">
        <f t="shared" si="112"/>
        <v/>
      </c>
      <c r="X2330" s="1"/>
      <c r="Y2330" s="1"/>
      <c r="Z2330" s="1"/>
      <c r="AA2330" s="1"/>
      <c r="AB2330" s="1"/>
      <c r="AC2330" s="1"/>
      <c r="AD2330" s="1">
        <f>IF($C2330="",0,SUMPRODUCT((AY_SONU!$O$7:$O$42="Evet")*(AY_SONU!$B$7:$B$42=DATE(YEAR($C2330),MONTH($C2330),1))))</f>
        <v>0</v>
      </c>
      <c r="AE2330" s="1" t="str">
        <f>IF($E2330="","",$E2330&amp;"|"&amp;COUNTIFS($E$7:$E2330,$E2330))</f>
        <v/>
      </c>
    </row>
    <row r="2331" spans="1:31" ht="18" customHeight="1" x14ac:dyDescent="0.3">
      <c r="A2331" s="2"/>
      <c r="B2331" s="65" t="str">
        <f>IF($C2331="","","GG"&amp;TEXT(ROW()-6,"00000"))</f>
        <v/>
      </c>
      <c r="C2331" s="66"/>
      <c r="D2331" s="60"/>
      <c r="E2331" s="61"/>
      <c r="F2331" s="61"/>
      <c r="G2331" s="67"/>
      <c r="H2331" s="60"/>
      <c r="I2331" s="60"/>
      <c r="J2331" s="61"/>
      <c r="K2331" s="61"/>
      <c r="L2331" s="60"/>
      <c r="M2331" s="74" t="str">
        <f>IF($C2331="","",IF($D2331="Gider",$E2331,IF($L2331&lt;&gt;"",$L2331,$H2331)))</f>
        <v/>
      </c>
      <c r="N2331" s="74" t="str">
        <f>IF($C2331="","",IF($D2331="Gider",$H2331,$E2331))</f>
        <v/>
      </c>
      <c r="O2331" s="73" t="str">
        <f>IF($C2331="","",DATE(YEAR($C2331),MONTH($C2331),1))</f>
        <v/>
      </c>
      <c r="P2331" s="65" t="str">
        <f ca="1">IF($C2331="","",IF(AND($D2331="Gelir",$L2331&lt;&gt;"",$T2331=""),"TANIMSIZ BORÇLU",IF($T2331&lt;&gt;"",IF(OR($E2331="",$G2331&lt;=0),"EKSİK",IF($I2331="Evet","TAHAKKUK NAKİT OLAMAZ",IF($C2331&gt;TODAY(),"İLERİ TARİH","TAHAKKUK"))),IF(AND($D2331&lt;&gt;"",$E2331&lt;&gt;"",$G2331&gt;0,$H2331&lt;&gt;"",$I2331&lt;&gt;""),IF($C2331&gt;TODAY(),"İLERİ TARİH",IF(COUNTIF($W$7:$W$3001,$W2331)&gt;1,"MÜKERRER?",IF($AD2331&gt;0,"KAPALI DÖNEM",IF($I2331="Hayır","ÖDENECEK","UYGUN")))),"EKSİK"))))</f>
        <v/>
      </c>
      <c r="Q2331" s="2"/>
      <c r="R2331" s="2"/>
      <c r="S2331" s="1" t="str">
        <f t="shared" si="110"/>
        <v/>
      </c>
      <c r="T2331" s="1" t="str">
        <f>IF(OR($C2331="",$D2331&lt;&gt;"Gelir",$L2331=""),"",IFERROR(INDEX(MUSTERILER!$B$7:$B$156,MATCH($S2331,MUSTERILER!$T$7:$T$156,0)),""))</f>
        <v/>
      </c>
      <c r="U2331" s="1" t="str">
        <f>IF($T2331="","",$T2331&amp;"|"&amp;COUNTIFS($T$7:$T2331,$T2331))</f>
        <v/>
      </c>
      <c r="V2331" s="1">
        <f t="shared" si="111"/>
        <v>0</v>
      </c>
      <c r="W2331" s="1" t="str">
        <f t="shared" si="112"/>
        <v/>
      </c>
      <c r="X2331" s="1"/>
      <c r="Y2331" s="1"/>
      <c r="Z2331" s="1"/>
      <c r="AA2331" s="1"/>
      <c r="AB2331" s="1"/>
      <c r="AC2331" s="1"/>
      <c r="AD2331" s="1">
        <f>IF($C2331="",0,SUMPRODUCT((AY_SONU!$O$7:$O$42="Evet")*(AY_SONU!$B$7:$B$42=DATE(YEAR($C2331),MONTH($C2331),1))))</f>
        <v>0</v>
      </c>
      <c r="AE2331" s="1" t="str">
        <f>IF($E2331="","",$E2331&amp;"|"&amp;COUNTIFS($E$7:$E2331,$E2331))</f>
        <v/>
      </c>
    </row>
    <row r="2332" spans="1:31" ht="18" customHeight="1" x14ac:dyDescent="0.3">
      <c r="A2332" s="2"/>
      <c r="B2332" s="65" t="str">
        <f>IF($C2332="","","GG"&amp;TEXT(ROW()-6,"00000"))</f>
        <v/>
      </c>
      <c r="C2332" s="66"/>
      <c r="D2332" s="60"/>
      <c r="E2332" s="61"/>
      <c r="F2332" s="61"/>
      <c r="G2332" s="67"/>
      <c r="H2332" s="60"/>
      <c r="I2332" s="60"/>
      <c r="J2332" s="61"/>
      <c r="K2332" s="61"/>
      <c r="L2332" s="60"/>
      <c r="M2332" s="74" t="str">
        <f>IF($C2332="","",IF($D2332="Gider",$E2332,IF($L2332&lt;&gt;"",$L2332,$H2332)))</f>
        <v/>
      </c>
      <c r="N2332" s="74" t="str">
        <f>IF($C2332="","",IF($D2332="Gider",$H2332,$E2332))</f>
        <v/>
      </c>
      <c r="O2332" s="73" t="str">
        <f>IF($C2332="","",DATE(YEAR($C2332),MONTH($C2332),1))</f>
        <v/>
      </c>
      <c r="P2332" s="65" t="str">
        <f ca="1">IF($C2332="","",IF(AND($D2332="Gelir",$L2332&lt;&gt;"",$T2332=""),"TANIMSIZ BORÇLU",IF($T2332&lt;&gt;"",IF(OR($E2332="",$G2332&lt;=0),"EKSİK",IF($I2332="Evet","TAHAKKUK NAKİT OLAMAZ",IF($C2332&gt;TODAY(),"İLERİ TARİH","TAHAKKUK"))),IF(AND($D2332&lt;&gt;"",$E2332&lt;&gt;"",$G2332&gt;0,$H2332&lt;&gt;"",$I2332&lt;&gt;""),IF($C2332&gt;TODAY(),"İLERİ TARİH",IF(COUNTIF($W$7:$W$3001,$W2332)&gt;1,"MÜKERRER?",IF($AD2332&gt;0,"KAPALI DÖNEM",IF($I2332="Hayır","ÖDENECEK","UYGUN")))),"EKSİK"))))</f>
        <v/>
      </c>
      <c r="Q2332" s="2"/>
      <c r="R2332" s="2"/>
      <c r="S2332" s="1" t="str">
        <f t="shared" si="110"/>
        <v/>
      </c>
      <c r="T2332" s="1" t="str">
        <f>IF(OR($C2332="",$D2332&lt;&gt;"Gelir",$L2332=""),"",IFERROR(INDEX(MUSTERILER!$B$7:$B$156,MATCH($S2332,MUSTERILER!$T$7:$T$156,0)),""))</f>
        <v/>
      </c>
      <c r="U2332" s="1" t="str">
        <f>IF($T2332="","",$T2332&amp;"|"&amp;COUNTIFS($T$7:$T2332,$T2332))</f>
        <v/>
      </c>
      <c r="V2332" s="1">
        <f t="shared" si="111"/>
        <v>0</v>
      </c>
      <c r="W2332" s="1" t="str">
        <f t="shared" si="112"/>
        <v/>
      </c>
      <c r="X2332" s="1"/>
      <c r="Y2332" s="1"/>
      <c r="Z2332" s="1"/>
      <c r="AA2332" s="1"/>
      <c r="AB2332" s="1"/>
      <c r="AC2332" s="1"/>
      <c r="AD2332" s="1">
        <f>IF($C2332="",0,SUMPRODUCT((AY_SONU!$O$7:$O$42="Evet")*(AY_SONU!$B$7:$B$42=DATE(YEAR($C2332),MONTH($C2332),1))))</f>
        <v>0</v>
      </c>
      <c r="AE2332" s="1" t="str">
        <f>IF($E2332="","",$E2332&amp;"|"&amp;COUNTIFS($E$7:$E2332,$E2332))</f>
        <v/>
      </c>
    </row>
    <row r="2333" spans="1:31" ht="18" customHeight="1" x14ac:dyDescent="0.3">
      <c r="A2333" s="2"/>
      <c r="B2333" s="65" t="str">
        <f>IF($C2333="","","GG"&amp;TEXT(ROW()-6,"00000"))</f>
        <v/>
      </c>
      <c r="C2333" s="66"/>
      <c r="D2333" s="60"/>
      <c r="E2333" s="61"/>
      <c r="F2333" s="61"/>
      <c r="G2333" s="67"/>
      <c r="H2333" s="60"/>
      <c r="I2333" s="60"/>
      <c r="J2333" s="61"/>
      <c r="K2333" s="61"/>
      <c r="L2333" s="60"/>
      <c r="M2333" s="74" t="str">
        <f>IF($C2333="","",IF($D2333="Gider",$E2333,IF($L2333&lt;&gt;"",$L2333,$H2333)))</f>
        <v/>
      </c>
      <c r="N2333" s="74" t="str">
        <f>IF($C2333="","",IF($D2333="Gider",$H2333,$E2333))</f>
        <v/>
      </c>
      <c r="O2333" s="73" t="str">
        <f>IF($C2333="","",DATE(YEAR($C2333),MONTH($C2333),1))</f>
        <v/>
      </c>
      <c r="P2333" s="65" t="str">
        <f ca="1">IF($C2333="","",IF(AND($D2333="Gelir",$L2333&lt;&gt;"",$T2333=""),"TANIMSIZ BORÇLU",IF($T2333&lt;&gt;"",IF(OR($E2333="",$G2333&lt;=0),"EKSİK",IF($I2333="Evet","TAHAKKUK NAKİT OLAMAZ",IF($C2333&gt;TODAY(),"İLERİ TARİH","TAHAKKUK"))),IF(AND($D2333&lt;&gt;"",$E2333&lt;&gt;"",$G2333&gt;0,$H2333&lt;&gt;"",$I2333&lt;&gt;""),IF($C2333&gt;TODAY(),"İLERİ TARİH",IF(COUNTIF($W$7:$W$3001,$W2333)&gt;1,"MÜKERRER?",IF($AD2333&gt;0,"KAPALI DÖNEM",IF($I2333="Hayır","ÖDENECEK","UYGUN")))),"EKSİK"))))</f>
        <v/>
      </c>
      <c r="Q2333" s="2"/>
      <c r="R2333" s="2"/>
      <c r="S2333" s="1" t="str">
        <f t="shared" si="110"/>
        <v/>
      </c>
      <c r="T2333" s="1" t="str">
        <f>IF(OR($C2333="",$D2333&lt;&gt;"Gelir",$L2333=""),"",IFERROR(INDEX(MUSTERILER!$B$7:$B$156,MATCH($S2333,MUSTERILER!$T$7:$T$156,0)),""))</f>
        <v/>
      </c>
      <c r="U2333" s="1" t="str">
        <f>IF($T2333="","",$T2333&amp;"|"&amp;COUNTIFS($T$7:$T2333,$T2333))</f>
        <v/>
      </c>
      <c r="V2333" s="1">
        <f t="shared" si="111"/>
        <v>0</v>
      </c>
      <c r="W2333" s="1" t="str">
        <f t="shared" si="112"/>
        <v/>
      </c>
      <c r="X2333" s="1"/>
      <c r="Y2333" s="1"/>
      <c r="Z2333" s="1"/>
      <c r="AA2333" s="1"/>
      <c r="AB2333" s="1"/>
      <c r="AC2333" s="1"/>
      <c r="AD2333" s="1">
        <f>IF($C2333="",0,SUMPRODUCT((AY_SONU!$O$7:$O$42="Evet")*(AY_SONU!$B$7:$B$42=DATE(YEAR($C2333),MONTH($C2333),1))))</f>
        <v>0</v>
      </c>
      <c r="AE2333" s="1" t="str">
        <f>IF($E2333="","",$E2333&amp;"|"&amp;COUNTIFS($E$7:$E2333,$E2333))</f>
        <v/>
      </c>
    </row>
    <row r="2334" spans="1:31" ht="18" customHeight="1" x14ac:dyDescent="0.3">
      <c r="A2334" s="2"/>
      <c r="B2334" s="65" t="str">
        <f>IF($C2334="","","GG"&amp;TEXT(ROW()-6,"00000"))</f>
        <v/>
      </c>
      <c r="C2334" s="66"/>
      <c r="D2334" s="60"/>
      <c r="E2334" s="61"/>
      <c r="F2334" s="61"/>
      <c r="G2334" s="67"/>
      <c r="H2334" s="60"/>
      <c r="I2334" s="60"/>
      <c r="J2334" s="61"/>
      <c r="K2334" s="61"/>
      <c r="L2334" s="60"/>
      <c r="M2334" s="74" t="str">
        <f>IF($C2334="","",IF($D2334="Gider",$E2334,IF($L2334&lt;&gt;"",$L2334,$H2334)))</f>
        <v/>
      </c>
      <c r="N2334" s="74" t="str">
        <f>IF($C2334="","",IF($D2334="Gider",$H2334,$E2334))</f>
        <v/>
      </c>
      <c r="O2334" s="73" t="str">
        <f>IF($C2334="","",DATE(YEAR($C2334),MONTH($C2334),1))</f>
        <v/>
      </c>
      <c r="P2334" s="65" t="str">
        <f ca="1">IF($C2334="","",IF(AND($D2334="Gelir",$L2334&lt;&gt;"",$T2334=""),"TANIMSIZ BORÇLU",IF($T2334&lt;&gt;"",IF(OR($E2334="",$G2334&lt;=0),"EKSİK",IF($I2334="Evet","TAHAKKUK NAKİT OLAMAZ",IF($C2334&gt;TODAY(),"İLERİ TARİH","TAHAKKUK"))),IF(AND($D2334&lt;&gt;"",$E2334&lt;&gt;"",$G2334&gt;0,$H2334&lt;&gt;"",$I2334&lt;&gt;""),IF($C2334&gt;TODAY(),"İLERİ TARİH",IF(COUNTIF($W$7:$W$3001,$W2334)&gt;1,"MÜKERRER?",IF($AD2334&gt;0,"KAPALI DÖNEM",IF($I2334="Hayır","ÖDENECEK","UYGUN")))),"EKSİK"))))</f>
        <v/>
      </c>
      <c r="Q2334" s="2"/>
      <c r="R2334" s="2"/>
      <c r="S2334" s="1" t="str">
        <f t="shared" si="110"/>
        <v/>
      </c>
      <c r="T2334" s="1" t="str">
        <f>IF(OR($C2334="",$D2334&lt;&gt;"Gelir",$L2334=""),"",IFERROR(INDEX(MUSTERILER!$B$7:$B$156,MATCH($S2334,MUSTERILER!$T$7:$T$156,0)),""))</f>
        <v/>
      </c>
      <c r="U2334" s="1" t="str">
        <f>IF($T2334="","",$T2334&amp;"|"&amp;COUNTIFS($T$7:$T2334,$T2334))</f>
        <v/>
      </c>
      <c r="V2334" s="1">
        <f t="shared" si="111"/>
        <v>0</v>
      </c>
      <c r="W2334" s="1" t="str">
        <f t="shared" si="112"/>
        <v/>
      </c>
      <c r="X2334" s="1"/>
      <c r="Y2334" s="1"/>
      <c r="Z2334" s="1"/>
      <c r="AA2334" s="1"/>
      <c r="AB2334" s="1"/>
      <c r="AC2334" s="1"/>
      <c r="AD2334" s="1">
        <f>IF($C2334="",0,SUMPRODUCT((AY_SONU!$O$7:$O$42="Evet")*(AY_SONU!$B$7:$B$42=DATE(YEAR($C2334),MONTH($C2334),1))))</f>
        <v>0</v>
      </c>
      <c r="AE2334" s="1" t="str">
        <f>IF($E2334="","",$E2334&amp;"|"&amp;COUNTIFS($E$7:$E2334,$E2334))</f>
        <v/>
      </c>
    </row>
    <row r="2335" spans="1:31" ht="18" customHeight="1" x14ac:dyDescent="0.3">
      <c r="A2335" s="2"/>
      <c r="B2335" s="65" t="str">
        <f>IF($C2335="","","GG"&amp;TEXT(ROW()-6,"00000"))</f>
        <v/>
      </c>
      <c r="C2335" s="66"/>
      <c r="D2335" s="60"/>
      <c r="E2335" s="61"/>
      <c r="F2335" s="61"/>
      <c r="G2335" s="67"/>
      <c r="H2335" s="60"/>
      <c r="I2335" s="60"/>
      <c r="J2335" s="61"/>
      <c r="K2335" s="61"/>
      <c r="L2335" s="60"/>
      <c r="M2335" s="74" t="str">
        <f>IF($C2335="","",IF($D2335="Gider",$E2335,IF($L2335&lt;&gt;"",$L2335,$H2335)))</f>
        <v/>
      </c>
      <c r="N2335" s="74" t="str">
        <f>IF($C2335="","",IF($D2335="Gider",$H2335,$E2335))</f>
        <v/>
      </c>
      <c r="O2335" s="73" t="str">
        <f>IF($C2335="","",DATE(YEAR($C2335),MONTH($C2335),1))</f>
        <v/>
      </c>
      <c r="P2335" s="65" t="str">
        <f ca="1">IF($C2335="","",IF(AND($D2335="Gelir",$L2335&lt;&gt;"",$T2335=""),"TANIMSIZ BORÇLU",IF($T2335&lt;&gt;"",IF(OR($E2335="",$G2335&lt;=0),"EKSİK",IF($I2335="Evet","TAHAKKUK NAKİT OLAMAZ",IF($C2335&gt;TODAY(),"İLERİ TARİH","TAHAKKUK"))),IF(AND($D2335&lt;&gt;"",$E2335&lt;&gt;"",$G2335&gt;0,$H2335&lt;&gt;"",$I2335&lt;&gt;""),IF($C2335&gt;TODAY(),"İLERİ TARİH",IF(COUNTIF($W$7:$W$3001,$W2335)&gt;1,"MÜKERRER?",IF($AD2335&gt;0,"KAPALI DÖNEM",IF($I2335="Hayır","ÖDENECEK","UYGUN")))),"EKSİK"))))</f>
        <v/>
      </c>
      <c r="Q2335" s="2"/>
      <c r="R2335" s="2"/>
      <c r="S2335" s="1" t="str">
        <f t="shared" si="110"/>
        <v/>
      </c>
      <c r="T2335" s="1" t="str">
        <f>IF(OR($C2335="",$D2335&lt;&gt;"Gelir",$L2335=""),"",IFERROR(INDEX(MUSTERILER!$B$7:$B$156,MATCH($S2335,MUSTERILER!$T$7:$T$156,0)),""))</f>
        <v/>
      </c>
      <c r="U2335" s="1" t="str">
        <f>IF($T2335="","",$T2335&amp;"|"&amp;COUNTIFS($T$7:$T2335,$T2335))</f>
        <v/>
      </c>
      <c r="V2335" s="1">
        <f t="shared" si="111"/>
        <v>0</v>
      </c>
      <c r="W2335" s="1" t="str">
        <f t="shared" si="112"/>
        <v/>
      </c>
      <c r="X2335" s="1"/>
      <c r="Y2335" s="1"/>
      <c r="Z2335" s="1"/>
      <c r="AA2335" s="1"/>
      <c r="AB2335" s="1"/>
      <c r="AC2335" s="1"/>
      <c r="AD2335" s="1">
        <f>IF($C2335="",0,SUMPRODUCT((AY_SONU!$O$7:$O$42="Evet")*(AY_SONU!$B$7:$B$42=DATE(YEAR($C2335),MONTH($C2335),1))))</f>
        <v>0</v>
      </c>
      <c r="AE2335" s="1" t="str">
        <f>IF($E2335="","",$E2335&amp;"|"&amp;COUNTIFS($E$7:$E2335,$E2335))</f>
        <v/>
      </c>
    </row>
    <row r="2336" spans="1:31" ht="18" customHeight="1" x14ac:dyDescent="0.3">
      <c r="A2336" s="2"/>
      <c r="B2336" s="65" t="str">
        <f>IF($C2336="","","GG"&amp;TEXT(ROW()-6,"00000"))</f>
        <v/>
      </c>
      <c r="C2336" s="66"/>
      <c r="D2336" s="60"/>
      <c r="E2336" s="61"/>
      <c r="F2336" s="61"/>
      <c r="G2336" s="67"/>
      <c r="H2336" s="60"/>
      <c r="I2336" s="60"/>
      <c r="J2336" s="61"/>
      <c r="K2336" s="61"/>
      <c r="L2336" s="60"/>
      <c r="M2336" s="74" t="str">
        <f>IF($C2336="","",IF($D2336="Gider",$E2336,IF($L2336&lt;&gt;"",$L2336,$H2336)))</f>
        <v/>
      </c>
      <c r="N2336" s="74" t="str">
        <f>IF($C2336="","",IF($D2336="Gider",$H2336,$E2336))</f>
        <v/>
      </c>
      <c r="O2336" s="73" t="str">
        <f>IF($C2336="","",DATE(YEAR($C2336),MONTH($C2336),1))</f>
        <v/>
      </c>
      <c r="P2336" s="65" t="str">
        <f ca="1">IF($C2336="","",IF(AND($D2336="Gelir",$L2336&lt;&gt;"",$T2336=""),"TANIMSIZ BORÇLU",IF($T2336&lt;&gt;"",IF(OR($E2336="",$G2336&lt;=0),"EKSİK",IF($I2336="Evet","TAHAKKUK NAKİT OLAMAZ",IF($C2336&gt;TODAY(),"İLERİ TARİH","TAHAKKUK"))),IF(AND($D2336&lt;&gt;"",$E2336&lt;&gt;"",$G2336&gt;0,$H2336&lt;&gt;"",$I2336&lt;&gt;""),IF($C2336&gt;TODAY(),"İLERİ TARİH",IF(COUNTIF($W$7:$W$3001,$W2336)&gt;1,"MÜKERRER?",IF($AD2336&gt;0,"KAPALI DÖNEM",IF($I2336="Hayır","ÖDENECEK","UYGUN")))),"EKSİK"))))</f>
        <v/>
      </c>
      <c r="Q2336" s="2"/>
      <c r="R2336" s="2"/>
      <c r="S2336" s="1" t="str">
        <f t="shared" si="110"/>
        <v/>
      </c>
      <c r="T2336" s="1" t="str">
        <f>IF(OR($C2336="",$D2336&lt;&gt;"Gelir",$L2336=""),"",IFERROR(INDEX(MUSTERILER!$B$7:$B$156,MATCH($S2336,MUSTERILER!$T$7:$T$156,0)),""))</f>
        <v/>
      </c>
      <c r="U2336" s="1" t="str">
        <f>IF($T2336="","",$T2336&amp;"|"&amp;COUNTIFS($T$7:$T2336,$T2336))</f>
        <v/>
      </c>
      <c r="V2336" s="1">
        <f t="shared" si="111"/>
        <v>0</v>
      </c>
      <c r="W2336" s="1" t="str">
        <f t="shared" si="112"/>
        <v/>
      </c>
      <c r="X2336" s="1"/>
      <c r="Y2336" s="1"/>
      <c r="Z2336" s="1"/>
      <c r="AA2336" s="1"/>
      <c r="AB2336" s="1"/>
      <c r="AC2336" s="1"/>
      <c r="AD2336" s="1">
        <f>IF($C2336="",0,SUMPRODUCT((AY_SONU!$O$7:$O$42="Evet")*(AY_SONU!$B$7:$B$42=DATE(YEAR($C2336),MONTH($C2336),1))))</f>
        <v>0</v>
      </c>
      <c r="AE2336" s="1" t="str">
        <f>IF($E2336="","",$E2336&amp;"|"&amp;COUNTIFS($E$7:$E2336,$E2336))</f>
        <v/>
      </c>
    </row>
    <row r="2337" spans="1:31" ht="18" customHeight="1" x14ac:dyDescent="0.3">
      <c r="A2337" s="2"/>
      <c r="B2337" s="65" t="str">
        <f>IF($C2337="","","GG"&amp;TEXT(ROW()-6,"00000"))</f>
        <v/>
      </c>
      <c r="C2337" s="66"/>
      <c r="D2337" s="60"/>
      <c r="E2337" s="61"/>
      <c r="F2337" s="61"/>
      <c r="G2337" s="67"/>
      <c r="H2337" s="60"/>
      <c r="I2337" s="60"/>
      <c r="J2337" s="61"/>
      <c r="K2337" s="61"/>
      <c r="L2337" s="60"/>
      <c r="M2337" s="74" t="str">
        <f>IF($C2337="","",IF($D2337="Gider",$E2337,IF($L2337&lt;&gt;"",$L2337,$H2337)))</f>
        <v/>
      </c>
      <c r="N2337" s="74" t="str">
        <f>IF($C2337="","",IF($D2337="Gider",$H2337,$E2337))</f>
        <v/>
      </c>
      <c r="O2337" s="73" t="str">
        <f>IF($C2337="","",DATE(YEAR($C2337),MONTH($C2337),1))</f>
        <v/>
      </c>
      <c r="P2337" s="65" t="str">
        <f ca="1">IF($C2337="","",IF(AND($D2337="Gelir",$L2337&lt;&gt;"",$T2337=""),"TANIMSIZ BORÇLU",IF($T2337&lt;&gt;"",IF(OR($E2337="",$G2337&lt;=0),"EKSİK",IF($I2337="Evet","TAHAKKUK NAKİT OLAMAZ",IF($C2337&gt;TODAY(),"İLERİ TARİH","TAHAKKUK"))),IF(AND($D2337&lt;&gt;"",$E2337&lt;&gt;"",$G2337&gt;0,$H2337&lt;&gt;"",$I2337&lt;&gt;""),IF($C2337&gt;TODAY(),"İLERİ TARİH",IF(COUNTIF($W$7:$W$3001,$W2337)&gt;1,"MÜKERRER?",IF($AD2337&gt;0,"KAPALI DÖNEM",IF($I2337="Hayır","ÖDENECEK","UYGUN")))),"EKSİK"))))</f>
        <v/>
      </c>
      <c r="Q2337" s="2"/>
      <c r="R2337" s="2"/>
      <c r="S2337" s="1" t="str">
        <f t="shared" si="110"/>
        <v/>
      </c>
      <c r="T2337" s="1" t="str">
        <f>IF(OR($C2337="",$D2337&lt;&gt;"Gelir",$L2337=""),"",IFERROR(INDEX(MUSTERILER!$B$7:$B$156,MATCH($S2337,MUSTERILER!$T$7:$T$156,0)),""))</f>
        <v/>
      </c>
      <c r="U2337" s="1" t="str">
        <f>IF($T2337="","",$T2337&amp;"|"&amp;COUNTIFS($T$7:$T2337,$T2337))</f>
        <v/>
      </c>
      <c r="V2337" s="1">
        <f t="shared" si="111"/>
        <v>0</v>
      </c>
      <c r="W2337" s="1" t="str">
        <f t="shared" si="112"/>
        <v/>
      </c>
      <c r="X2337" s="1"/>
      <c r="Y2337" s="1"/>
      <c r="Z2337" s="1"/>
      <c r="AA2337" s="1"/>
      <c r="AB2337" s="1"/>
      <c r="AC2337" s="1"/>
      <c r="AD2337" s="1">
        <f>IF($C2337="",0,SUMPRODUCT((AY_SONU!$O$7:$O$42="Evet")*(AY_SONU!$B$7:$B$42=DATE(YEAR($C2337),MONTH($C2337),1))))</f>
        <v>0</v>
      </c>
      <c r="AE2337" s="1" t="str">
        <f>IF($E2337="","",$E2337&amp;"|"&amp;COUNTIFS($E$7:$E2337,$E2337))</f>
        <v/>
      </c>
    </row>
    <row r="2338" spans="1:31" ht="18" customHeight="1" x14ac:dyDescent="0.3">
      <c r="A2338" s="2"/>
      <c r="B2338" s="65" t="str">
        <f>IF($C2338="","","GG"&amp;TEXT(ROW()-6,"00000"))</f>
        <v/>
      </c>
      <c r="C2338" s="66"/>
      <c r="D2338" s="60"/>
      <c r="E2338" s="61"/>
      <c r="F2338" s="61"/>
      <c r="G2338" s="67"/>
      <c r="H2338" s="60"/>
      <c r="I2338" s="60"/>
      <c r="J2338" s="61"/>
      <c r="K2338" s="61"/>
      <c r="L2338" s="60"/>
      <c r="M2338" s="74" t="str">
        <f>IF($C2338="","",IF($D2338="Gider",$E2338,IF($L2338&lt;&gt;"",$L2338,$H2338)))</f>
        <v/>
      </c>
      <c r="N2338" s="74" t="str">
        <f>IF($C2338="","",IF($D2338="Gider",$H2338,$E2338))</f>
        <v/>
      </c>
      <c r="O2338" s="73" t="str">
        <f>IF($C2338="","",DATE(YEAR($C2338),MONTH($C2338),1))</f>
        <v/>
      </c>
      <c r="P2338" s="65" t="str">
        <f ca="1">IF($C2338="","",IF(AND($D2338="Gelir",$L2338&lt;&gt;"",$T2338=""),"TANIMSIZ BORÇLU",IF($T2338&lt;&gt;"",IF(OR($E2338="",$G2338&lt;=0),"EKSİK",IF($I2338="Evet","TAHAKKUK NAKİT OLAMAZ",IF($C2338&gt;TODAY(),"İLERİ TARİH","TAHAKKUK"))),IF(AND($D2338&lt;&gt;"",$E2338&lt;&gt;"",$G2338&gt;0,$H2338&lt;&gt;"",$I2338&lt;&gt;""),IF($C2338&gt;TODAY(),"İLERİ TARİH",IF(COUNTIF($W$7:$W$3001,$W2338)&gt;1,"MÜKERRER?",IF($AD2338&gt;0,"KAPALI DÖNEM",IF($I2338="Hayır","ÖDENECEK","UYGUN")))),"EKSİK"))))</f>
        <v/>
      </c>
      <c r="Q2338" s="2"/>
      <c r="R2338" s="2"/>
      <c r="S2338" s="1" t="str">
        <f t="shared" si="110"/>
        <v/>
      </c>
      <c r="T2338" s="1" t="str">
        <f>IF(OR($C2338="",$D2338&lt;&gt;"Gelir",$L2338=""),"",IFERROR(INDEX(MUSTERILER!$B$7:$B$156,MATCH($S2338,MUSTERILER!$T$7:$T$156,0)),""))</f>
        <v/>
      </c>
      <c r="U2338" s="1" t="str">
        <f>IF($T2338="","",$T2338&amp;"|"&amp;COUNTIFS($T$7:$T2338,$T2338))</f>
        <v/>
      </c>
      <c r="V2338" s="1">
        <f t="shared" si="111"/>
        <v>0</v>
      </c>
      <c r="W2338" s="1" t="str">
        <f t="shared" si="112"/>
        <v/>
      </c>
      <c r="X2338" s="1"/>
      <c r="Y2338" s="1"/>
      <c r="Z2338" s="1"/>
      <c r="AA2338" s="1"/>
      <c r="AB2338" s="1"/>
      <c r="AC2338" s="1"/>
      <c r="AD2338" s="1">
        <f>IF($C2338="",0,SUMPRODUCT((AY_SONU!$O$7:$O$42="Evet")*(AY_SONU!$B$7:$B$42=DATE(YEAR($C2338),MONTH($C2338),1))))</f>
        <v>0</v>
      </c>
      <c r="AE2338" s="1" t="str">
        <f>IF($E2338="","",$E2338&amp;"|"&amp;COUNTIFS($E$7:$E2338,$E2338))</f>
        <v/>
      </c>
    </row>
    <row r="2339" spans="1:31" ht="18" customHeight="1" x14ac:dyDescent="0.3">
      <c r="A2339" s="2"/>
      <c r="B2339" s="65" t="str">
        <f>IF($C2339="","","GG"&amp;TEXT(ROW()-6,"00000"))</f>
        <v/>
      </c>
      <c r="C2339" s="66"/>
      <c r="D2339" s="60"/>
      <c r="E2339" s="61"/>
      <c r="F2339" s="61"/>
      <c r="G2339" s="67"/>
      <c r="H2339" s="60"/>
      <c r="I2339" s="60"/>
      <c r="J2339" s="61"/>
      <c r="K2339" s="61"/>
      <c r="L2339" s="60"/>
      <c r="M2339" s="74" t="str">
        <f>IF($C2339="","",IF($D2339="Gider",$E2339,IF($L2339&lt;&gt;"",$L2339,$H2339)))</f>
        <v/>
      </c>
      <c r="N2339" s="74" t="str">
        <f>IF($C2339="","",IF($D2339="Gider",$H2339,$E2339))</f>
        <v/>
      </c>
      <c r="O2339" s="73" t="str">
        <f>IF($C2339="","",DATE(YEAR($C2339),MONTH($C2339),1))</f>
        <v/>
      </c>
      <c r="P2339" s="65" t="str">
        <f ca="1">IF($C2339="","",IF(AND($D2339="Gelir",$L2339&lt;&gt;"",$T2339=""),"TANIMSIZ BORÇLU",IF($T2339&lt;&gt;"",IF(OR($E2339="",$G2339&lt;=0),"EKSİK",IF($I2339="Evet","TAHAKKUK NAKİT OLAMAZ",IF($C2339&gt;TODAY(),"İLERİ TARİH","TAHAKKUK"))),IF(AND($D2339&lt;&gt;"",$E2339&lt;&gt;"",$G2339&gt;0,$H2339&lt;&gt;"",$I2339&lt;&gt;""),IF($C2339&gt;TODAY(),"İLERİ TARİH",IF(COUNTIF($W$7:$W$3001,$W2339)&gt;1,"MÜKERRER?",IF($AD2339&gt;0,"KAPALI DÖNEM",IF($I2339="Hayır","ÖDENECEK","UYGUN")))),"EKSİK"))))</f>
        <v/>
      </c>
      <c r="Q2339" s="2"/>
      <c r="R2339" s="2"/>
      <c r="S2339" s="1" t="str">
        <f t="shared" si="110"/>
        <v/>
      </c>
      <c r="T2339" s="1" t="str">
        <f>IF(OR($C2339="",$D2339&lt;&gt;"Gelir",$L2339=""),"",IFERROR(INDEX(MUSTERILER!$B$7:$B$156,MATCH($S2339,MUSTERILER!$T$7:$T$156,0)),""))</f>
        <v/>
      </c>
      <c r="U2339" s="1" t="str">
        <f>IF($T2339="","",$T2339&amp;"|"&amp;COUNTIFS($T$7:$T2339,$T2339))</f>
        <v/>
      </c>
      <c r="V2339" s="1">
        <f t="shared" si="111"/>
        <v>0</v>
      </c>
      <c r="W2339" s="1" t="str">
        <f t="shared" si="112"/>
        <v/>
      </c>
      <c r="X2339" s="1"/>
      <c r="Y2339" s="1"/>
      <c r="Z2339" s="1"/>
      <c r="AA2339" s="1"/>
      <c r="AB2339" s="1"/>
      <c r="AC2339" s="1"/>
      <c r="AD2339" s="1">
        <f>IF($C2339="",0,SUMPRODUCT((AY_SONU!$O$7:$O$42="Evet")*(AY_SONU!$B$7:$B$42=DATE(YEAR($C2339),MONTH($C2339),1))))</f>
        <v>0</v>
      </c>
      <c r="AE2339" s="1" t="str">
        <f>IF($E2339="","",$E2339&amp;"|"&amp;COUNTIFS($E$7:$E2339,$E2339))</f>
        <v/>
      </c>
    </row>
    <row r="2340" spans="1:31" ht="18" customHeight="1" x14ac:dyDescent="0.3">
      <c r="A2340" s="2"/>
      <c r="B2340" s="65" t="str">
        <f>IF($C2340="","","GG"&amp;TEXT(ROW()-6,"00000"))</f>
        <v/>
      </c>
      <c r="C2340" s="66"/>
      <c r="D2340" s="60"/>
      <c r="E2340" s="61"/>
      <c r="F2340" s="61"/>
      <c r="G2340" s="67"/>
      <c r="H2340" s="60"/>
      <c r="I2340" s="60"/>
      <c r="J2340" s="61"/>
      <c r="K2340" s="61"/>
      <c r="L2340" s="60"/>
      <c r="M2340" s="74" t="str">
        <f>IF($C2340="","",IF($D2340="Gider",$E2340,IF($L2340&lt;&gt;"",$L2340,$H2340)))</f>
        <v/>
      </c>
      <c r="N2340" s="74" t="str">
        <f>IF($C2340="","",IF($D2340="Gider",$H2340,$E2340))</f>
        <v/>
      </c>
      <c r="O2340" s="73" t="str">
        <f>IF($C2340="","",DATE(YEAR($C2340),MONTH($C2340),1))</f>
        <v/>
      </c>
      <c r="P2340" s="65" t="str">
        <f ca="1">IF($C2340="","",IF(AND($D2340="Gelir",$L2340&lt;&gt;"",$T2340=""),"TANIMSIZ BORÇLU",IF($T2340&lt;&gt;"",IF(OR($E2340="",$G2340&lt;=0),"EKSİK",IF($I2340="Evet","TAHAKKUK NAKİT OLAMAZ",IF($C2340&gt;TODAY(),"İLERİ TARİH","TAHAKKUK"))),IF(AND($D2340&lt;&gt;"",$E2340&lt;&gt;"",$G2340&gt;0,$H2340&lt;&gt;"",$I2340&lt;&gt;""),IF($C2340&gt;TODAY(),"İLERİ TARİH",IF(COUNTIF($W$7:$W$3001,$W2340)&gt;1,"MÜKERRER?",IF($AD2340&gt;0,"KAPALI DÖNEM",IF($I2340="Hayır","ÖDENECEK","UYGUN")))),"EKSİK"))))</f>
        <v/>
      </c>
      <c r="Q2340" s="2"/>
      <c r="R2340" s="2"/>
      <c r="S2340" s="1" t="str">
        <f t="shared" si="110"/>
        <v/>
      </c>
      <c r="T2340" s="1" t="str">
        <f>IF(OR($C2340="",$D2340&lt;&gt;"Gelir",$L2340=""),"",IFERROR(INDEX(MUSTERILER!$B$7:$B$156,MATCH($S2340,MUSTERILER!$T$7:$T$156,0)),""))</f>
        <v/>
      </c>
      <c r="U2340" s="1" t="str">
        <f>IF($T2340="","",$T2340&amp;"|"&amp;COUNTIFS($T$7:$T2340,$T2340))</f>
        <v/>
      </c>
      <c r="V2340" s="1">
        <f t="shared" si="111"/>
        <v>0</v>
      </c>
      <c r="W2340" s="1" t="str">
        <f t="shared" si="112"/>
        <v/>
      </c>
      <c r="X2340" s="1"/>
      <c r="Y2340" s="1"/>
      <c r="Z2340" s="1"/>
      <c r="AA2340" s="1"/>
      <c r="AB2340" s="1"/>
      <c r="AC2340" s="1"/>
      <c r="AD2340" s="1">
        <f>IF($C2340="",0,SUMPRODUCT((AY_SONU!$O$7:$O$42="Evet")*(AY_SONU!$B$7:$B$42=DATE(YEAR($C2340),MONTH($C2340),1))))</f>
        <v>0</v>
      </c>
      <c r="AE2340" s="1" t="str">
        <f>IF($E2340="","",$E2340&amp;"|"&amp;COUNTIFS($E$7:$E2340,$E2340))</f>
        <v/>
      </c>
    </row>
    <row r="2341" spans="1:31" ht="18" customHeight="1" x14ac:dyDescent="0.3">
      <c r="A2341" s="2"/>
      <c r="B2341" s="65" t="str">
        <f>IF($C2341="","","GG"&amp;TEXT(ROW()-6,"00000"))</f>
        <v/>
      </c>
      <c r="C2341" s="66"/>
      <c r="D2341" s="60"/>
      <c r="E2341" s="61"/>
      <c r="F2341" s="61"/>
      <c r="G2341" s="67"/>
      <c r="H2341" s="60"/>
      <c r="I2341" s="60"/>
      <c r="J2341" s="61"/>
      <c r="K2341" s="61"/>
      <c r="L2341" s="60"/>
      <c r="M2341" s="74" t="str">
        <f>IF($C2341="","",IF($D2341="Gider",$E2341,IF($L2341&lt;&gt;"",$L2341,$H2341)))</f>
        <v/>
      </c>
      <c r="N2341" s="74" t="str">
        <f>IF($C2341="","",IF($D2341="Gider",$H2341,$E2341))</f>
        <v/>
      </c>
      <c r="O2341" s="73" t="str">
        <f>IF($C2341="","",DATE(YEAR($C2341),MONTH($C2341),1))</f>
        <v/>
      </c>
      <c r="P2341" s="65" t="str">
        <f ca="1">IF($C2341="","",IF(AND($D2341="Gelir",$L2341&lt;&gt;"",$T2341=""),"TANIMSIZ BORÇLU",IF($T2341&lt;&gt;"",IF(OR($E2341="",$G2341&lt;=0),"EKSİK",IF($I2341="Evet","TAHAKKUK NAKİT OLAMAZ",IF($C2341&gt;TODAY(),"İLERİ TARİH","TAHAKKUK"))),IF(AND($D2341&lt;&gt;"",$E2341&lt;&gt;"",$G2341&gt;0,$H2341&lt;&gt;"",$I2341&lt;&gt;""),IF($C2341&gt;TODAY(),"İLERİ TARİH",IF(COUNTIF($W$7:$W$3001,$W2341)&gt;1,"MÜKERRER?",IF($AD2341&gt;0,"KAPALI DÖNEM",IF($I2341="Hayır","ÖDENECEK","UYGUN")))),"EKSİK"))))</f>
        <v/>
      </c>
      <c r="Q2341" s="2"/>
      <c r="R2341" s="2"/>
      <c r="S2341" s="1" t="str">
        <f t="shared" si="110"/>
        <v/>
      </c>
      <c r="T2341" s="1" t="str">
        <f>IF(OR($C2341="",$D2341&lt;&gt;"Gelir",$L2341=""),"",IFERROR(INDEX(MUSTERILER!$B$7:$B$156,MATCH($S2341,MUSTERILER!$T$7:$T$156,0)),""))</f>
        <v/>
      </c>
      <c r="U2341" s="1" t="str">
        <f>IF($T2341="","",$T2341&amp;"|"&amp;COUNTIFS($T$7:$T2341,$T2341))</f>
        <v/>
      </c>
      <c r="V2341" s="1">
        <f t="shared" si="111"/>
        <v>0</v>
      </c>
      <c r="W2341" s="1" t="str">
        <f t="shared" si="112"/>
        <v/>
      </c>
      <c r="X2341" s="1"/>
      <c r="Y2341" s="1"/>
      <c r="Z2341" s="1"/>
      <c r="AA2341" s="1"/>
      <c r="AB2341" s="1"/>
      <c r="AC2341" s="1"/>
      <c r="AD2341" s="1">
        <f>IF($C2341="",0,SUMPRODUCT((AY_SONU!$O$7:$O$42="Evet")*(AY_SONU!$B$7:$B$42=DATE(YEAR($C2341),MONTH($C2341),1))))</f>
        <v>0</v>
      </c>
      <c r="AE2341" s="1" t="str">
        <f>IF($E2341="","",$E2341&amp;"|"&amp;COUNTIFS($E$7:$E2341,$E2341))</f>
        <v/>
      </c>
    </row>
    <row r="2342" spans="1:31" ht="18" customHeight="1" x14ac:dyDescent="0.3">
      <c r="A2342" s="2"/>
      <c r="B2342" s="65" t="str">
        <f>IF($C2342="","","GG"&amp;TEXT(ROW()-6,"00000"))</f>
        <v/>
      </c>
      <c r="C2342" s="66"/>
      <c r="D2342" s="60"/>
      <c r="E2342" s="61"/>
      <c r="F2342" s="61"/>
      <c r="G2342" s="67"/>
      <c r="H2342" s="60"/>
      <c r="I2342" s="60"/>
      <c r="J2342" s="61"/>
      <c r="K2342" s="61"/>
      <c r="L2342" s="60"/>
      <c r="M2342" s="74" t="str">
        <f>IF($C2342="","",IF($D2342="Gider",$E2342,IF($L2342&lt;&gt;"",$L2342,$H2342)))</f>
        <v/>
      </c>
      <c r="N2342" s="74" t="str">
        <f>IF($C2342="","",IF($D2342="Gider",$H2342,$E2342))</f>
        <v/>
      </c>
      <c r="O2342" s="73" t="str">
        <f>IF($C2342="","",DATE(YEAR($C2342),MONTH($C2342),1))</f>
        <v/>
      </c>
      <c r="P2342" s="65" t="str">
        <f ca="1">IF($C2342="","",IF(AND($D2342="Gelir",$L2342&lt;&gt;"",$T2342=""),"TANIMSIZ BORÇLU",IF($T2342&lt;&gt;"",IF(OR($E2342="",$G2342&lt;=0),"EKSİK",IF($I2342="Evet","TAHAKKUK NAKİT OLAMAZ",IF($C2342&gt;TODAY(),"İLERİ TARİH","TAHAKKUK"))),IF(AND($D2342&lt;&gt;"",$E2342&lt;&gt;"",$G2342&gt;0,$H2342&lt;&gt;"",$I2342&lt;&gt;""),IF($C2342&gt;TODAY(),"İLERİ TARİH",IF(COUNTIF($W$7:$W$3001,$W2342)&gt;1,"MÜKERRER?",IF($AD2342&gt;0,"KAPALI DÖNEM",IF($I2342="Hayır","ÖDENECEK","UYGUN")))),"EKSİK"))))</f>
        <v/>
      </c>
      <c r="Q2342" s="2"/>
      <c r="R2342" s="2"/>
      <c r="S2342" s="1" t="str">
        <f t="shared" si="110"/>
        <v/>
      </c>
      <c r="T2342" s="1" t="str">
        <f>IF(OR($C2342="",$D2342&lt;&gt;"Gelir",$L2342=""),"",IFERROR(INDEX(MUSTERILER!$B$7:$B$156,MATCH($S2342,MUSTERILER!$T$7:$T$156,0)),""))</f>
        <v/>
      </c>
      <c r="U2342" s="1" t="str">
        <f>IF($T2342="","",$T2342&amp;"|"&amp;COUNTIFS($T$7:$T2342,$T2342))</f>
        <v/>
      </c>
      <c r="V2342" s="1">
        <f t="shared" si="111"/>
        <v>0</v>
      </c>
      <c r="W2342" s="1" t="str">
        <f t="shared" si="112"/>
        <v/>
      </c>
      <c r="X2342" s="1"/>
      <c r="Y2342" s="1"/>
      <c r="Z2342" s="1"/>
      <c r="AA2342" s="1"/>
      <c r="AB2342" s="1"/>
      <c r="AC2342" s="1"/>
      <c r="AD2342" s="1">
        <f>IF($C2342="",0,SUMPRODUCT((AY_SONU!$O$7:$O$42="Evet")*(AY_SONU!$B$7:$B$42=DATE(YEAR($C2342),MONTH($C2342),1))))</f>
        <v>0</v>
      </c>
      <c r="AE2342" s="1" t="str">
        <f>IF($E2342="","",$E2342&amp;"|"&amp;COUNTIFS($E$7:$E2342,$E2342))</f>
        <v/>
      </c>
    </row>
    <row r="2343" spans="1:31" ht="18" customHeight="1" x14ac:dyDescent="0.3">
      <c r="A2343" s="2"/>
      <c r="B2343" s="65" t="str">
        <f>IF($C2343="","","GG"&amp;TEXT(ROW()-6,"00000"))</f>
        <v/>
      </c>
      <c r="C2343" s="66"/>
      <c r="D2343" s="60"/>
      <c r="E2343" s="61"/>
      <c r="F2343" s="61"/>
      <c r="G2343" s="67"/>
      <c r="H2343" s="60"/>
      <c r="I2343" s="60"/>
      <c r="J2343" s="61"/>
      <c r="K2343" s="61"/>
      <c r="L2343" s="60"/>
      <c r="M2343" s="74" t="str">
        <f>IF($C2343="","",IF($D2343="Gider",$E2343,IF($L2343&lt;&gt;"",$L2343,$H2343)))</f>
        <v/>
      </c>
      <c r="N2343" s="74" t="str">
        <f>IF($C2343="","",IF($D2343="Gider",$H2343,$E2343))</f>
        <v/>
      </c>
      <c r="O2343" s="73" t="str">
        <f>IF($C2343="","",DATE(YEAR($C2343),MONTH($C2343),1))</f>
        <v/>
      </c>
      <c r="P2343" s="65" t="str">
        <f ca="1">IF($C2343="","",IF(AND($D2343="Gelir",$L2343&lt;&gt;"",$T2343=""),"TANIMSIZ BORÇLU",IF($T2343&lt;&gt;"",IF(OR($E2343="",$G2343&lt;=0),"EKSİK",IF($I2343="Evet","TAHAKKUK NAKİT OLAMAZ",IF($C2343&gt;TODAY(),"İLERİ TARİH","TAHAKKUK"))),IF(AND($D2343&lt;&gt;"",$E2343&lt;&gt;"",$G2343&gt;0,$H2343&lt;&gt;"",$I2343&lt;&gt;""),IF($C2343&gt;TODAY(),"İLERİ TARİH",IF(COUNTIF($W$7:$W$3001,$W2343)&gt;1,"MÜKERRER?",IF($AD2343&gt;0,"KAPALI DÖNEM",IF($I2343="Hayır","ÖDENECEK","UYGUN")))),"EKSİK"))))</f>
        <v/>
      </c>
      <c r="Q2343" s="2"/>
      <c r="R2343" s="2"/>
      <c r="S2343" s="1" t="str">
        <f t="shared" si="110"/>
        <v/>
      </c>
      <c r="T2343" s="1" t="str">
        <f>IF(OR($C2343="",$D2343&lt;&gt;"Gelir",$L2343=""),"",IFERROR(INDEX(MUSTERILER!$B$7:$B$156,MATCH($S2343,MUSTERILER!$T$7:$T$156,0)),""))</f>
        <v/>
      </c>
      <c r="U2343" s="1" t="str">
        <f>IF($T2343="","",$T2343&amp;"|"&amp;COUNTIFS($T$7:$T2343,$T2343))</f>
        <v/>
      </c>
      <c r="V2343" s="1">
        <f t="shared" si="111"/>
        <v>0</v>
      </c>
      <c r="W2343" s="1" t="str">
        <f t="shared" si="112"/>
        <v/>
      </c>
      <c r="X2343" s="1"/>
      <c r="Y2343" s="1"/>
      <c r="Z2343" s="1"/>
      <c r="AA2343" s="1"/>
      <c r="AB2343" s="1"/>
      <c r="AC2343" s="1"/>
      <c r="AD2343" s="1">
        <f>IF($C2343="",0,SUMPRODUCT((AY_SONU!$O$7:$O$42="Evet")*(AY_SONU!$B$7:$B$42=DATE(YEAR($C2343),MONTH($C2343),1))))</f>
        <v>0</v>
      </c>
      <c r="AE2343" s="1" t="str">
        <f>IF($E2343="","",$E2343&amp;"|"&amp;COUNTIFS($E$7:$E2343,$E2343))</f>
        <v/>
      </c>
    </row>
    <row r="2344" spans="1:31" ht="18" customHeight="1" x14ac:dyDescent="0.3">
      <c r="A2344" s="2"/>
      <c r="B2344" s="65" t="str">
        <f>IF($C2344="","","GG"&amp;TEXT(ROW()-6,"00000"))</f>
        <v/>
      </c>
      <c r="C2344" s="66"/>
      <c r="D2344" s="60"/>
      <c r="E2344" s="61"/>
      <c r="F2344" s="61"/>
      <c r="G2344" s="67"/>
      <c r="H2344" s="60"/>
      <c r="I2344" s="60"/>
      <c r="J2344" s="61"/>
      <c r="K2344" s="61"/>
      <c r="L2344" s="60"/>
      <c r="M2344" s="74" t="str">
        <f>IF($C2344="","",IF($D2344="Gider",$E2344,IF($L2344&lt;&gt;"",$L2344,$H2344)))</f>
        <v/>
      </c>
      <c r="N2344" s="74" t="str">
        <f>IF($C2344="","",IF($D2344="Gider",$H2344,$E2344))</f>
        <v/>
      </c>
      <c r="O2344" s="73" t="str">
        <f>IF($C2344="","",DATE(YEAR($C2344),MONTH($C2344),1))</f>
        <v/>
      </c>
      <c r="P2344" s="65" t="str">
        <f ca="1">IF($C2344="","",IF(AND($D2344="Gelir",$L2344&lt;&gt;"",$T2344=""),"TANIMSIZ BORÇLU",IF($T2344&lt;&gt;"",IF(OR($E2344="",$G2344&lt;=0),"EKSİK",IF($I2344="Evet","TAHAKKUK NAKİT OLAMAZ",IF($C2344&gt;TODAY(),"İLERİ TARİH","TAHAKKUK"))),IF(AND($D2344&lt;&gt;"",$E2344&lt;&gt;"",$G2344&gt;0,$H2344&lt;&gt;"",$I2344&lt;&gt;""),IF($C2344&gt;TODAY(),"İLERİ TARİH",IF(COUNTIF($W$7:$W$3001,$W2344)&gt;1,"MÜKERRER?",IF($AD2344&gt;0,"KAPALI DÖNEM",IF($I2344="Hayır","ÖDENECEK","UYGUN")))),"EKSİK"))))</f>
        <v/>
      </c>
      <c r="Q2344" s="2"/>
      <c r="R2344" s="2"/>
      <c r="S2344" s="1" t="str">
        <f t="shared" si="110"/>
        <v/>
      </c>
      <c r="T2344" s="1" t="str">
        <f>IF(OR($C2344="",$D2344&lt;&gt;"Gelir",$L2344=""),"",IFERROR(INDEX(MUSTERILER!$B$7:$B$156,MATCH($S2344,MUSTERILER!$T$7:$T$156,0)),""))</f>
        <v/>
      </c>
      <c r="U2344" s="1" t="str">
        <f>IF($T2344="","",$T2344&amp;"|"&amp;COUNTIFS($T$7:$T2344,$T2344))</f>
        <v/>
      </c>
      <c r="V2344" s="1">
        <f t="shared" si="111"/>
        <v>0</v>
      </c>
      <c r="W2344" s="1" t="str">
        <f t="shared" si="112"/>
        <v/>
      </c>
      <c r="X2344" s="1"/>
      <c r="Y2344" s="1"/>
      <c r="Z2344" s="1"/>
      <c r="AA2344" s="1"/>
      <c r="AB2344" s="1"/>
      <c r="AC2344" s="1"/>
      <c r="AD2344" s="1">
        <f>IF($C2344="",0,SUMPRODUCT((AY_SONU!$O$7:$O$42="Evet")*(AY_SONU!$B$7:$B$42=DATE(YEAR($C2344),MONTH($C2344),1))))</f>
        <v>0</v>
      </c>
      <c r="AE2344" s="1" t="str">
        <f>IF($E2344="","",$E2344&amp;"|"&amp;COUNTIFS($E$7:$E2344,$E2344))</f>
        <v/>
      </c>
    </row>
    <row r="2345" spans="1:31" ht="18" customHeight="1" x14ac:dyDescent="0.3">
      <c r="A2345" s="2"/>
      <c r="B2345" s="65" t="str">
        <f>IF($C2345="","","GG"&amp;TEXT(ROW()-6,"00000"))</f>
        <v/>
      </c>
      <c r="C2345" s="66"/>
      <c r="D2345" s="60"/>
      <c r="E2345" s="61"/>
      <c r="F2345" s="61"/>
      <c r="G2345" s="67"/>
      <c r="H2345" s="60"/>
      <c r="I2345" s="60"/>
      <c r="J2345" s="61"/>
      <c r="K2345" s="61"/>
      <c r="L2345" s="60"/>
      <c r="M2345" s="74" t="str">
        <f>IF($C2345="","",IF($D2345="Gider",$E2345,IF($L2345&lt;&gt;"",$L2345,$H2345)))</f>
        <v/>
      </c>
      <c r="N2345" s="74" t="str">
        <f>IF($C2345="","",IF($D2345="Gider",$H2345,$E2345))</f>
        <v/>
      </c>
      <c r="O2345" s="73" t="str">
        <f>IF($C2345="","",DATE(YEAR($C2345),MONTH($C2345),1))</f>
        <v/>
      </c>
      <c r="P2345" s="65" t="str">
        <f ca="1">IF($C2345="","",IF(AND($D2345="Gelir",$L2345&lt;&gt;"",$T2345=""),"TANIMSIZ BORÇLU",IF($T2345&lt;&gt;"",IF(OR($E2345="",$G2345&lt;=0),"EKSİK",IF($I2345="Evet","TAHAKKUK NAKİT OLAMAZ",IF($C2345&gt;TODAY(),"İLERİ TARİH","TAHAKKUK"))),IF(AND($D2345&lt;&gt;"",$E2345&lt;&gt;"",$G2345&gt;0,$H2345&lt;&gt;"",$I2345&lt;&gt;""),IF($C2345&gt;TODAY(),"İLERİ TARİH",IF(COUNTIF($W$7:$W$3001,$W2345)&gt;1,"MÜKERRER?",IF($AD2345&gt;0,"KAPALI DÖNEM",IF($I2345="Hayır","ÖDENECEK","UYGUN")))),"EKSİK"))))</f>
        <v/>
      </c>
      <c r="Q2345" s="2"/>
      <c r="R2345" s="2"/>
      <c r="S2345" s="1" t="str">
        <f t="shared" si="110"/>
        <v/>
      </c>
      <c r="T2345" s="1" t="str">
        <f>IF(OR($C2345="",$D2345&lt;&gt;"Gelir",$L2345=""),"",IFERROR(INDEX(MUSTERILER!$B$7:$B$156,MATCH($S2345,MUSTERILER!$T$7:$T$156,0)),""))</f>
        <v/>
      </c>
      <c r="U2345" s="1" t="str">
        <f>IF($T2345="","",$T2345&amp;"|"&amp;COUNTIFS($T$7:$T2345,$T2345))</f>
        <v/>
      </c>
      <c r="V2345" s="1">
        <f t="shared" si="111"/>
        <v>0</v>
      </c>
      <c r="W2345" s="1" t="str">
        <f t="shared" si="112"/>
        <v/>
      </c>
      <c r="X2345" s="1"/>
      <c r="Y2345" s="1"/>
      <c r="Z2345" s="1"/>
      <c r="AA2345" s="1"/>
      <c r="AB2345" s="1"/>
      <c r="AC2345" s="1"/>
      <c r="AD2345" s="1">
        <f>IF($C2345="",0,SUMPRODUCT((AY_SONU!$O$7:$O$42="Evet")*(AY_SONU!$B$7:$B$42=DATE(YEAR($C2345),MONTH($C2345),1))))</f>
        <v>0</v>
      </c>
      <c r="AE2345" s="1" t="str">
        <f>IF($E2345="","",$E2345&amp;"|"&amp;COUNTIFS($E$7:$E2345,$E2345))</f>
        <v/>
      </c>
    </row>
    <row r="2346" spans="1:31" ht="18" customHeight="1" x14ac:dyDescent="0.3">
      <c r="A2346" s="2"/>
      <c r="B2346" s="65" t="str">
        <f>IF($C2346="","","GG"&amp;TEXT(ROW()-6,"00000"))</f>
        <v/>
      </c>
      <c r="C2346" s="66"/>
      <c r="D2346" s="60"/>
      <c r="E2346" s="61"/>
      <c r="F2346" s="61"/>
      <c r="G2346" s="67"/>
      <c r="H2346" s="60"/>
      <c r="I2346" s="60"/>
      <c r="J2346" s="61"/>
      <c r="K2346" s="61"/>
      <c r="L2346" s="60"/>
      <c r="M2346" s="74" t="str">
        <f>IF($C2346="","",IF($D2346="Gider",$E2346,IF($L2346&lt;&gt;"",$L2346,$H2346)))</f>
        <v/>
      </c>
      <c r="N2346" s="74" t="str">
        <f>IF($C2346="","",IF($D2346="Gider",$H2346,$E2346))</f>
        <v/>
      </c>
      <c r="O2346" s="73" t="str">
        <f>IF($C2346="","",DATE(YEAR($C2346),MONTH($C2346),1))</f>
        <v/>
      </c>
      <c r="P2346" s="65" t="str">
        <f ca="1">IF($C2346="","",IF(AND($D2346="Gelir",$L2346&lt;&gt;"",$T2346=""),"TANIMSIZ BORÇLU",IF($T2346&lt;&gt;"",IF(OR($E2346="",$G2346&lt;=0),"EKSİK",IF($I2346="Evet","TAHAKKUK NAKİT OLAMAZ",IF($C2346&gt;TODAY(),"İLERİ TARİH","TAHAKKUK"))),IF(AND($D2346&lt;&gt;"",$E2346&lt;&gt;"",$G2346&gt;0,$H2346&lt;&gt;"",$I2346&lt;&gt;""),IF($C2346&gt;TODAY(),"İLERİ TARİH",IF(COUNTIF($W$7:$W$3001,$W2346)&gt;1,"MÜKERRER?",IF($AD2346&gt;0,"KAPALI DÖNEM",IF($I2346="Hayır","ÖDENECEK","UYGUN")))),"EKSİK"))))</f>
        <v/>
      </c>
      <c r="Q2346" s="2"/>
      <c r="R2346" s="2"/>
      <c r="S2346" s="1" t="str">
        <f t="shared" si="110"/>
        <v/>
      </c>
      <c r="T2346" s="1" t="str">
        <f>IF(OR($C2346="",$D2346&lt;&gt;"Gelir",$L2346=""),"",IFERROR(INDEX(MUSTERILER!$B$7:$B$156,MATCH($S2346,MUSTERILER!$T$7:$T$156,0)),""))</f>
        <v/>
      </c>
      <c r="U2346" s="1" t="str">
        <f>IF($T2346="","",$T2346&amp;"|"&amp;COUNTIFS($T$7:$T2346,$T2346))</f>
        <v/>
      </c>
      <c r="V2346" s="1">
        <f t="shared" si="111"/>
        <v>0</v>
      </c>
      <c r="W2346" s="1" t="str">
        <f t="shared" si="112"/>
        <v/>
      </c>
      <c r="X2346" s="1"/>
      <c r="Y2346" s="1"/>
      <c r="Z2346" s="1"/>
      <c r="AA2346" s="1"/>
      <c r="AB2346" s="1"/>
      <c r="AC2346" s="1"/>
      <c r="AD2346" s="1">
        <f>IF($C2346="",0,SUMPRODUCT((AY_SONU!$O$7:$O$42="Evet")*(AY_SONU!$B$7:$B$42=DATE(YEAR($C2346),MONTH($C2346),1))))</f>
        <v>0</v>
      </c>
      <c r="AE2346" s="1" t="str">
        <f>IF($E2346="","",$E2346&amp;"|"&amp;COUNTIFS($E$7:$E2346,$E2346))</f>
        <v/>
      </c>
    </row>
    <row r="2347" spans="1:31" ht="18" customHeight="1" x14ac:dyDescent="0.3">
      <c r="A2347" s="2"/>
      <c r="B2347" s="65" t="str">
        <f>IF($C2347="","","GG"&amp;TEXT(ROW()-6,"00000"))</f>
        <v/>
      </c>
      <c r="C2347" s="66"/>
      <c r="D2347" s="60"/>
      <c r="E2347" s="61"/>
      <c r="F2347" s="61"/>
      <c r="G2347" s="67"/>
      <c r="H2347" s="60"/>
      <c r="I2347" s="60"/>
      <c r="J2347" s="61"/>
      <c r="K2347" s="61"/>
      <c r="L2347" s="60"/>
      <c r="M2347" s="74" t="str">
        <f>IF($C2347="","",IF($D2347="Gider",$E2347,IF($L2347&lt;&gt;"",$L2347,$H2347)))</f>
        <v/>
      </c>
      <c r="N2347" s="74" t="str">
        <f>IF($C2347="","",IF($D2347="Gider",$H2347,$E2347))</f>
        <v/>
      </c>
      <c r="O2347" s="73" t="str">
        <f>IF($C2347="","",DATE(YEAR($C2347),MONTH($C2347),1))</f>
        <v/>
      </c>
      <c r="P2347" s="65" t="str">
        <f ca="1">IF($C2347="","",IF(AND($D2347="Gelir",$L2347&lt;&gt;"",$T2347=""),"TANIMSIZ BORÇLU",IF($T2347&lt;&gt;"",IF(OR($E2347="",$G2347&lt;=0),"EKSİK",IF($I2347="Evet","TAHAKKUK NAKİT OLAMAZ",IF($C2347&gt;TODAY(),"İLERİ TARİH","TAHAKKUK"))),IF(AND($D2347&lt;&gt;"",$E2347&lt;&gt;"",$G2347&gt;0,$H2347&lt;&gt;"",$I2347&lt;&gt;""),IF($C2347&gt;TODAY(),"İLERİ TARİH",IF(COUNTIF($W$7:$W$3001,$W2347)&gt;1,"MÜKERRER?",IF($AD2347&gt;0,"KAPALI DÖNEM",IF($I2347="Hayır","ÖDENECEK","UYGUN")))),"EKSİK"))))</f>
        <v/>
      </c>
      <c r="Q2347" s="2"/>
      <c r="R2347" s="2"/>
      <c r="S2347" s="1" t="str">
        <f t="shared" si="110"/>
        <v/>
      </c>
      <c r="T2347" s="1" t="str">
        <f>IF(OR($C2347="",$D2347&lt;&gt;"Gelir",$L2347=""),"",IFERROR(INDEX(MUSTERILER!$B$7:$B$156,MATCH($S2347,MUSTERILER!$T$7:$T$156,0)),""))</f>
        <v/>
      </c>
      <c r="U2347" s="1" t="str">
        <f>IF($T2347="","",$T2347&amp;"|"&amp;COUNTIFS($T$7:$T2347,$T2347))</f>
        <v/>
      </c>
      <c r="V2347" s="1">
        <f t="shared" si="111"/>
        <v>0</v>
      </c>
      <c r="W2347" s="1" t="str">
        <f t="shared" si="112"/>
        <v/>
      </c>
      <c r="X2347" s="1"/>
      <c r="Y2347" s="1"/>
      <c r="Z2347" s="1"/>
      <c r="AA2347" s="1"/>
      <c r="AB2347" s="1"/>
      <c r="AC2347" s="1"/>
      <c r="AD2347" s="1">
        <f>IF($C2347="",0,SUMPRODUCT((AY_SONU!$O$7:$O$42="Evet")*(AY_SONU!$B$7:$B$42=DATE(YEAR($C2347),MONTH($C2347),1))))</f>
        <v>0</v>
      </c>
      <c r="AE2347" s="1" t="str">
        <f>IF($E2347="","",$E2347&amp;"|"&amp;COUNTIFS($E$7:$E2347,$E2347))</f>
        <v/>
      </c>
    </row>
    <row r="2348" spans="1:31" ht="18" customHeight="1" x14ac:dyDescent="0.3">
      <c r="A2348" s="2"/>
      <c r="B2348" s="65" t="str">
        <f>IF($C2348="","","GG"&amp;TEXT(ROW()-6,"00000"))</f>
        <v/>
      </c>
      <c r="C2348" s="66"/>
      <c r="D2348" s="60"/>
      <c r="E2348" s="61"/>
      <c r="F2348" s="61"/>
      <c r="G2348" s="67"/>
      <c r="H2348" s="60"/>
      <c r="I2348" s="60"/>
      <c r="J2348" s="61"/>
      <c r="K2348" s="61"/>
      <c r="L2348" s="60"/>
      <c r="M2348" s="74" t="str">
        <f>IF($C2348="","",IF($D2348="Gider",$E2348,IF($L2348&lt;&gt;"",$L2348,$H2348)))</f>
        <v/>
      </c>
      <c r="N2348" s="74" t="str">
        <f>IF($C2348="","",IF($D2348="Gider",$H2348,$E2348))</f>
        <v/>
      </c>
      <c r="O2348" s="73" t="str">
        <f>IF($C2348="","",DATE(YEAR($C2348),MONTH($C2348),1))</f>
        <v/>
      </c>
      <c r="P2348" s="65" t="str">
        <f ca="1">IF($C2348="","",IF(AND($D2348="Gelir",$L2348&lt;&gt;"",$T2348=""),"TANIMSIZ BORÇLU",IF($T2348&lt;&gt;"",IF(OR($E2348="",$G2348&lt;=0),"EKSİK",IF($I2348="Evet","TAHAKKUK NAKİT OLAMAZ",IF($C2348&gt;TODAY(),"İLERİ TARİH","TAHAKKUK"))),IF(AND($D2348&lt;&gt;"",$E2348&lt;&gt;"",$G2348&gt;0,$H2348&lt;&gt;"",$I2348&lt;&gt;""),IF($C2348&gt;TODAY(),"İLERİ TARİH",IF(COUNTIF($W$7:$W$3001,$W2348)&gt;1,"MÜKERRER?",IF($AD2348&gt;0,"KAPALI DÖNEM",IF($I2348="Hayır","ÖDENECEK","UYGUN")))),"EKSİK"))))</f>
        <v/>
      </c>
      <c r="Q2348" s="2"/>
      <c r="R2348" s="2"/>
      <c r="S2348" s="1" t="str">
        <f t="shared" si="110"/>
        <v/>
      </c>
      <c r="T2348" s="1" t="str">
        <f>IF(OR($C2348="",$D2348&lt;&gt;"Gelir",$L2348=""),"",IFERROR(INDEX(MUSTERILER!$B$7:$B$156,MATCH($S2348,MUSTERILER!$T$7:$T$156,0)),""))</f>
        <v/>
      </c>
      <c r="U2348" s="1" t="str">
        <f>IF($T2348="","",$T2348&amp;"|"&amp;COUNTIFS($T$7:$T2348,$T2348))</f>
        <v/>
      </c>
      <c r="V2348" s="1">
        <f t="shared" si="111"/>
        <v>0</v>
      </c>
      <c r="W2348" s="1" t="str">
        <f t="shared" si="112"/>
        <v/>
      </c>
      <c r="X2348" s="1"/>
      <c r="Y2348" s="1"/>
      <c r="Z2348" s="1"/>
      <c r="AA2348" s="1"/>
      <c r="AB2348" s="1"/>
      <c r="AC2348" s="1"/>
      <c r="AD2348" s="1">
        <f>IF($C2348="",0,SUMPRODUCT((AY_SONU!$O$7:$O$42="Evet")*(AY_SONU!$B$7:$B$42=DATE(YEAR($C2348),MONTH($C2348),1))))</f>
        <v>0</v>
      </c>
      <c r="AE2348" s="1" t="str">
        <f>IF($E2348="","",$E2348&amp;"|"&amp;COUNTIFS($E$7:$E2348,$E2348))</f>
        <v/>
      </c>
    </row>
    <row r="2349" spans="1:31" ht="18" customHeight="1" x14ac:dyDescent="0.3">
      <c r="A2349" s="2"/>
      <c r="B2349" s="65" t="str">
        <f>IF($C2349="","","GG"&amp;TEXT(ROW()-6,"00000"))</f>
        <v/>
      </c>
      <c r="C2349" s="66"/>
      <c r="D2349" s="60"/>
      <c r="E2349" s="61"/>
      <c r="F2349" s="61"/>
      <c r="G2349" s="67"/>
      <c r="H2349" s="60"/>
      <c r="I2349" s="60"/>
      <c r="J2349" s="61"/>
      <c r="K2349" s="61"/>
      <c r="L2349" s="60"/>
      <c r="M2349" s="74" t="str">
        <f>IF($C2349="","",IF($D2349="Gider",$E2349,IF($L2349&lt;&gt;"",$L2349,$H2349)))</f>
        <v/>
      </c>
      <c r="N2349" s="74" t="str">
        <f>IF($C2349="","",IF($D2349="Gider",$H2349,$E2349))</f>
        <v/>
      </c>
      <c r="O2349" s="73" t="str">
        <f>IF($C2349="","",DATE(YEAR($C2349),MONTH($C2349),1))</f>
        <v/>
      </c>
      <c r="P2349" s="65" t="str">
        <f ca="1">IF($C2349="","",IF(AND($D2349="Gelir",$L2349&lt;&gt;"",$T2349=""),"TANIMSIZ BORÇLU",IF($T2349&lt;&gt;"",IF(OR($E2349="",$G2349&lt;=0),"EKSİK",IF($I2349="Evet","TAHAKKUK NAKİT OLAMAZ",IF($C2349&gt;TODAY(),"İLERİ TARİH","TAHAKKUK"))),IF(AND($D2349&lt;&gt;"",$E2349&lt;&gt;"",$G2349&gt;0,$H2349&lt;&gt;"",$I2349&lt;&gt;""),IF($C2349&gt;TODAY(),"İLERİ TARİH",IF(COUNTIF($W$7:$W$3001,$W2349)&gt;1,"MÜKERRER?",IF($AD2349&gt;0,"KAPALI DÖNEM",IF($I2349="Hayır","ÖDENECEK","UYGUN")))),"EKSİK"))))</f>
        <v/>
      </c>
      <c r="Q2349" s="2"/>
      <c r="R2349" s="2"/>
      <c r="S2349" s="1" t="str">
        <f t="shared" si="110"/>
        <v/>
      </c>
      <c r="T2349" s="1" t="str">
        <f>IF(OR($C2349="",$D2349&lt;&gt;"Gelir",$L2349=""),"",IFERROR(INDEX(MUSTERILER!$B$7:$B$156,MATCH($S2349,MUSTERILER!$T$7:$T$156,0)),""))</f>
        <v/>
      </c>
      <c r="U2349" s="1" t="str">
        <f>IF($T2349="","",$T2349&amp;"|"&amp;COUNTIFS($T$7:$T2349,$T2349))</f>
        <v/>
      </c>
      <c r="V2349" s="1">
        <f t="shared" si="111"/>
        <v>0</v>
      </c>
      <c r="W2349" s="1" t="str">
        <f t="shared" si="112"/>
        <v/>
      </c>
      <c r="X2349" s="1"/>
      <c r="Y2349" s="1"/>
      <c r="Z2349" s="1"/>
      <c r="AA2349" s="1"/>
      <c r="AB2349" s="1"/>
      <c r="AC2349" s="1"/>
      <c r="AD2349" s="1">
        <f>IF($C2349="",0,SUMPRODUCT((AY_SONU!$O$7:$O$42="Evet")*(AY_SONU!$B$7:$B$42=DATE(YEAR($C2349),MONTH($C2349),1))))</f>
        <v>0</v>
      </c>
      <c r="AE2349" s="1" t="str">
        <f>IF($E2349="","",$E2349&amp;"|"&amp;COUNTIFS($E$7:$E2349,$E2349))</f>
        <v/>
      </c>
    </row>
    <row r="2350" spans="1:31" ht="18" customHeight="1" x14ac:dyDescent="0.3">
      <c r="A2350" s="2"/>
      <c r="B2350" s="65" t="str">
        <f>IF($C2350="","","GG"&amp;TEXT(ROW()-6,"00000"))</f>
        <v/>
      </c>
      <c r="C2350" s="66"/>
      <c r="D2350" s="60"/>
      <c r="E2350" s="61"/>
      <c r="F2350" s="61"/>
      <c r="G2350" s="67"/>
      <c r="H2350" s="60"/>
      <c r="I2350" s="60"/>
      <c r="J2350" s="61"/>
      <c r="K2350" s="61"/>
      <c r="L2350" s="60"/>
      <c r="M2350" s="74" t="str">
        <f>IF($C2350="","",IF($D2350="Gider",$E2350,IF($L2350&lt;&gt;"",$L2350,$H2350)))</f>
        <v/>
      </c>
      <c r="N2350" s="74" t="str">
        <f>IF($C2350="","",IF($D2350="Gider",$H2350,$E2350))</f>
        <v/>
      </c>
      <c r="O2350" s="73" t="str">
        <f>IF($C2350="","",DATE(YEAR($C2350),MONTH($C2350),1))</f>
        <v/>
      </c>
      <c r="P2350" s="65" t="str">
        <f ca="1">IF($C2350="","",IF(AND($D2350="Gelir",$L2350&lt;&gt;"",$T2350=""),"TANIMSIZ BORÇLU",IF($T2350&lt;&gt;"",IF(OR($E2350="",$G2350&lt;=0),"EKSİK",IF($I2350="Evet","TAHAKKUK NAKİT OLAMAZ",IF($C2350&gt;TODAY(),"İLERİ TARİH","TAHAKKUK"))),IF(AND($D2350&lt;&gt;"",$E2350&lt;&gt;"",$G2350&gt;0,$H2350&lt;&gt;"",$I2350&lt;&gt;""),IF($C2350&gt;TODAY(),"İLERİ TARİH",IF(COUNTIF($W$7:$W$3001,$W2350)&gt;1,"MÜKERRER?",IF($AD2350&gt;0,"KAPALI DÖNEM",IF($I2350="Hayır","ÖDENECEK","UYGUN")))),"EKSİK"))))</f>
        <v/>
      </c>
      <c r="Q2350" s="2"/>
      <c r="R2350" s="2"/>
      <c r="S2350" s="1" t="str">
        <f t="shared" si="110"/>
        <v/>
      </c>
      <c r="T2350" s="1" t="str">
        <f>IF(OR($C2350="",$D2350&lt;&gt;"Gelir",$L2350=""),"",IFERROR(INDEX(MUSTERILER!$B$7:$B$156,MATCH($S2350,MUSTERILER!$T$7:$T$156,0)),""))</f>
        <v/>
      </c>
      <c r="U2350" s="1" t="str">
        <f>IF($T2350="","",$T2350&amp;"|"&amp;COUNTIFS($T$7:$T2350,$T2350))</f>
        <v/>
      </c>
      <c r="V2350" s="1">
        <f t="shared" si="111"/>
        <v>0</v>
      </c>
      <c r="W2350" s="1" t="str">
        <f t="shared" si="112"/>
        <v/>
      </c>
      <c r="X2350" s="1"/>
      <c r="Y2350" s="1"/>
      <c r="Z2350" s="1"/>
      <c r="AA2350" s="1"/>
      <c r="AB2350" s="1"/>
      <c r="AC2350" s="1"/>
      <c r="AD2350" s="1">
        <f>IF($C2350="",0,SUMPRODUCT((AY_SONU!$O$7:$O$42="Evet")*(AY_SONU!$B$7:$B$42=DATE(YEAR($C2350),MONTH($C2350),1))))</f>
        <v>0</v>
      </c>
      <c r="AE2350" s="1" t="str">
        <f>IF($E2350="","",$E2350&amp;"|"&amp;COUNTIFS($E$7:$E2350,$E2350))</f>
        <v/>
      </c>
    </row>
    <row r="2351" spans="1:31" ht="18" customHeight="1" x14ac:dyDescent="0.3">
      <c r="A2351" s="2"/>
      <c r="B2351" s="65" t="str">
        <f>IF($C2351="","","GG"&amp;TEXT(ROW()-6,"00000"))</f>
        <v/>
      </c>
      <c r="C2351" s="66"/>
      <c r="D2351" s="60"/>
      <c r="E2351" s="61"/>
      <c r="F2351" s="61"/>
      <c r="G2351" s="67"/>
      <c r="H2351" s="60"/>
      <c r="I2351" s="60"/>
      <c r="J2351" s="61"/>
      <c r="K2351" s="61"/>
      <c r="L2351" s="60"/>
      <c r="M2351" s="74" t="str">
        <f>IF($C2351="","",IF($D2351="Gider",$E2351,IF($L2351&lt;&gt;"",$L2351,$H2351)))</f>
        <v/>
      </c>
      <c r="N2351" s="74" t="str">
        <f>IF($C2351="","",IF($D2351="Gider",$H2351,$E2351))</f>
        <v/>
      </c>
      <c r="O2351" s="73" t="str">
        <f>IF($C2351="","",DATE(YEAR($C2351),MONTH($C2351),1))</f>
        <v/>
      </c>
      <c r="P2351" s="65" t="str">
        <f ca="1">IF($C2351="","",IF(AND($D2351="Gelir",$L2351&lt;&gt;"",$T2351=""),"TANIMSIZ BORÇLU",IF($T2351&lt;&gt;"",IF(OR($E2351="",$G2351&lt;=0),"EKSİK",IF($I2351="Evet","TAHAKKUK NAKİT OLAMAZ",IF($C2351&gt;TODAY(),"İLERİ TARİH","TAHAKKUK"))),IF(AND($D2351&lt;&gt;"",$E2351&lt;&gt;"",$G2351&gt;0,$H2351&lt;&gt;"",$I2351&lt;&gt;""),IF($C2351&gt;TODAY(),"İLERİ TARİH",IF(COUNTIF($W$7:$W$3001,$W2351)&gt;1,"MÜKERRER?",IF($AD2351&gt;0,"KAPALI DÖNEM",IF($I2351="Hayır","ÖDENECEK","UYGUN")))),"EKSİK"))))</f>
        <v/>
      </c>
      <c r="Q2351" s="2"/>
      <c r="R2351" s="2"/>
      <c r="S2351" s="1" t="str">
        <f t="shared" si="110"/>
        <v/>
      </c>
      <c r="T2351" s="1" t="str">
        <f>IF(OR($C2351="",$D2351&lt;&gt;"Gelir",$L2351=""),"",IFERROR(INDEX(MUSTERILER!$B$7:$B$156,MATCH($S2351,MUSTERILER!$T$7:$T$156,0)),""))</f>
        <v/>
      </c>
      <c r="U2351" s="1" t="str">
        <f>IF($T2351="","",$T2351&amp;"|"&amp;COUNTIFS($T$7:$T2351,$T2351))</f>
        <v/>
      </c>
      <c r="V2351" s="1">
        <f t="shared" si="111"/>
        <v>0</v>
      </c>
      <c r="W2351" s="1" t="str">
        <f t="shared" si="112"/>
        <v/>
      </c>
      <c r="X2351" s="1"/>
      <c r="Y2351" s="1"/>
      <c r="Z2351" s="1"/>
      <c r="AA2351" s="1"/>
      <c r="AB2351" s="1"/>
      <c r="AC2351" s="1"/>
      <c r="AD2351" s="1">
        <f>IF($C2351="",0,SUMPRODUCT((AY_SONU!$O$7:$O$42="Evet")*(AY_SONU!$B$7:$B$42=DATE(YEAR($C2351),MONTH($C2351),1))))</f>
        <v>0</v>
      </c>
      <c r="AE2351" s="1" t="str">
        <f>IF($E2351="","",$E2351&amp;"|"&amp;COUNTIFS($E$7:$E2351,$E2351))</f>
        <v/>
      </c>
    </row>
    <row r="2352" spans="1:31" ht="18" customHeight="1" x14ac:dyDescent="0.3">
      <c r="A2352" s="2"/>
      <c r="B2352" s="65" t="str">
        <f>IF($C2352="","","GG"&amp;TEXT(ROW()-6,"00000"))</f>
        <v/>
      </c>
      <c r="C2352" s="66"/>
      <c r="D2352" s="60"/>
      <c r="E2352" s="61"/>
      <c r="F2352" s="61"/>
      <c r="G2352" s="67"/>
      <c r="H2352" s="60"/>
      <c r="I2352" s="60"/>
      <c r="J2352" s="61"/>
      <c r="K2352" s="61"/>
      <c r="L2352" s="60"/>
      <c r="M2352" s="74" t="str">
        <f>IF($C2352="","",IF($D2352="Gider",$E2352,IF($L2352&lt;&gt;"",$L2352,$H2352)))</f>
        <v/>
      </c>
      <c r="N2352" s="74" t="str">
        <f>IF($C2352="","",IF($D2352="Gider",$H2352,$E2352))</f>
        <v/>
      </c>
      <c r="O2352" s="73" t="str">
        <f>IF($C2352="","",DATE(YEAR($C2352),MONTH($C2352),1))</f>
        <v/>
      </c>
      <c r="P2352" s="65" t="str">
        <f ca="1">IF($C2352="","",IF(AND($D2352="Gelir",$L2352&lt;&gt;"",$T2352=""),"TANIMSIZ BORÇLU",IF($T2352&lt;&gt;"",IF(OR($E2352="",$G2352&lt;=0),"EKSİK",IF($I2352="Evet","TAHAKKUK NAKİT OLAMAZ",IF($C2352&gt;TODAY(),"İLERİ TARİH","TAHAKKUK"))),IF(AND($D2352&lt;&gt;"",$E2352&lt;&gt;"",$G2352&gt;0,$H2352&lt;&gt;"",$I2352&lt;&gt;""),IF($C2352&gt;TODAY(),"İLERİ TARİH",IF(COUNTIF($W$7:$W$3001,$W2352)&gt;1,"MÜKERRER?",IF($AD2352&gt;0,"KAPALI DÖNEM",IF($I2352="Hayır","ÖDENECEK","UYGUN")))),"EKSİK"))))</f>
        <v/>
      </c>
      <c r="Q2352" s="2"/>
      <c r="R2352" s="2"/>
      <c r="S2352" s="1" t="str">
        <f t="shared" si="110"/>
        <v/>
      </c>
      <c r="T2352" s="1" t="str">
        <f>IF(OR($C2352="",$D2352&lt;&gt;"Gelir",$L2352=""),"",IFERROR(INDEX(MUSTERILER!$B$7:$B$156,MATCH($S2352,MUSTERILER!$T$7:$T$156,0)),""))</f>
        <v/>
      </c>
      <c r="U2352" s="1" t="str">
        <f>IF($T2352="","",$T2352&amp;"|"&amp;COUNTIFS($T$7:$T2352,$T2352))</f>
        <v/>
      </c>
      <c r="V2352" s="1">
        <f t="shared" si="111"/>
        <v>0</v>
      </c>
      <c r="W2352" s="1" t="str">
        <f t="shared" si="112"/>
        <v/>
      </c>
      <c r="X2352" s="1"/>
      <c r="Y2352" s="1"/>
      <c r="Z2352" s="1"/>
      <c r="AA2352" s="1"/>
      <c r="AB2352" s="1"/>
      <c r="AC2352" s="1"/>
      <c r="AD2352" s="1">
        <f>IF($C2352="",0,SUMPRODUCT((AY_SONU!$O$7:$O$42="Evet")*(AY_SONU!$B$7:$B$42=DATE(YEAR($C2352),MONTH($C2352),1))))</f>
        <v>0</v>
      </c>
      <c r="AE2352" s="1" t="str">
        <f>IF($E2352="","",$E2352&amp;"|"&amp;COUNTIFS($E$7:$E2352,$E2352))</f>
        <v/>
      </c>
    </row>
    <row r="2353" spans="1:31" ht="18" customHeight="1" x14ac:dyDescent="0.3">
      <c r="A2353" s="2"/>
      <c r="B2353" s="65" t="str">
        <f>IF($C2353="","","GG"&amp;TEXT(ROW()-6,"00000"))</f>
        <v/>
      </c>
      <c r="C2353" s="66"/>
      <c r="D2353" s="60"/>
      <c r="E2353" s="61"/>
      <c r="F2353" s="61"/>
      <c r="G2353" s="67"/>
      <c r="H2353" s="60"/>
      <c r="I2353" s="60"/>
      <c r="J2353" s="61"/>
      <c r="K2353" s="61"/>
      <c r="L2353" s="60"/>
      <c r="M2353" s="74" t="str">
        <f>IF($C2353="","",IF($D2353="Gider",$E2353,IF($L2353&lt;&gt;"",$L2353,$H2353)))</f>
        <v/>
      </c>
      <c r="N2353" s="74" t="str">
        <f>IF($C2353="","",IF($D2353="Gider",$H2353,$E2353))</f>
        <v/>
      </c>
      <c r="O2353" s="73" t="str">
        <f>IF($C2353="","",DATE(YEAR($C2353),MONTH($C2353),1))</f>
        <v/>
      </c>
      <c r="P2353" s="65" t="str">
        <f ca="1">IF($C2353="","",IF(AND($D2353="Gelir",$L2353&lt;&gt;"",$T2353=""),"TANIMSIZ BORÇLU",IF($T2353&lt;&gt;"",IF(OR($E2353="",$G2353&lt;=0),"EKSİK",IF($I2353="Evet","TAHAKKUK NAKİT OLAMAZ",IF($C2353&gt;TODAY(),"İLERİ TARİH","TAHAKKUK"))),IF(AND($D2353&lt;&gt;"",$E2353&lt;&gt;"",$G2353&gt;0,$H2353&lt;&gt;"",$I2353&lt;&gt;""),IF($C2353&gt;TODAY(),"İLERİ TARİH",IF(COUNTIF($W$7:$W$3001,$W2353)&gt;1,"MÜKERRER?",IF($AD2353&gt;0,"KAPALI DÖNEM",IF($I2353="Hayır","ÖDENECEK","UYGUN")))),"EKSİK"))))</f>
        <v/>
      </c>
      <c r="Q2353" s="2"/>
      <c r="R2353" s="2"/>
      <c r="S2353" s="1" t="str">
        <f t="shared" si="110"/>
        <v/>
      </c>
      <c r="T2353" s="1" t="str">
        <f>IF(OR($C2353="",$D2353&lt;&gt;"Gelir",$L2353=""),"",IFERROR(INDEX(MUSTERILER!$B$7:$B$156,MATCH($S2353,MUSTERILER!$T$7:$T$156,0)),""))</f>
        <v/>
      </c>
      <c r="U2353" s="1" t="str">
        <f>IF($T2353="","",$T2353&amp;"|"&amp;COUNTIFS($T$7:$T2353,$T2353))</f>
        <v/>
      </c>
      <c r="V2353" s="1">
        <f t="shared" si="111"/>
        <v>0</v>
      </c>
      <c r="W2353" s="1" t="str">
        <f t="shared" si="112"/>
        <v/>
      </c>
      <c r="X2353" s="1"/>
      <c r="Y2353" s="1"/>
      <c r="Z2353" s="1"/>
      <c r="AA2353" s="1"/>
      <c r="AB2353" s="1"/>
      <c r="AC2353" s="1"/>
      <c r="AD2353" s="1">
        <f>IF($C2353="",0,SUMPRODUCT((AY_SONU!$O$7:$O$42="Evet")*(AY_SONU!$B$7:$B$42=DATE(YEAR($C2353),MONTH($C2353),1))))</f>
        <v>0</v>
      </c>
      <c r="AE2353" s="1" t="str">
        <f>IF($E2353="","",$E2353&amp;"|"&amp;COUNTIFS($E$7:$E2353,$E2353))</f>
        <v/>
      </c>
    </row>
    <row r="2354" spans="1:31" ht="18" customHeight="1" x14ac:dyDescent="0.3">
      <c r="A2354" s="2"/>
      <c r="B2354" s="65" t="str">
        <f>IF($C2354="","","GG"&amp;TEXT(ROW()-6,"00000"))</f>
        <v/>
      </c>
      <c r="C2354" s="66"/>
      <c r="D2354" s="60"/>
      <c r="E2354" s="61"/>
      <c r="F2354" s="61"/>
      <c r="G2354" s="67"/>
      <c r="H2354" s="60"/>
      <c r="I2354" s="60"/>
      <c r="J2354" s="61"/>
      <c r="K2354" s="61"/>
      <c r="L2354" s="60"/>
      <c r="M2354" s="74" t="str">
        <f>IF($C2354="","",IF($D2354="Gider",$E2354,IF($L2354&lt;&gt;"",$L2354,$H2354)))</f>
        <v/>
      </c>
      <c r="N2354" s="74" t="str">
        <f>IF($C2354="","",IF($D2354="Gider",$H2354,$E2354))</f>
        <v/>
      </c>
      <c r="O2354" s="73" t="str">
        <f>IF($C2354="","",DATE(YEAR($C2354),MONTH($C2354),1))</f>
        <v/>
      </c>
      <c r="P2354" s="65" t="str">
        <f ca="1">IF($C2354="","",IF(AND($D2354="Gelir",$L2354&lt;&gt;"",$T2354=""),"TANIMSIZ BORÇLU",IF($T2354&lt;&gt;"",IF(OR($E2354="",$G2354&lt;=0),"EKSİK",IF($I2354="Evet","TAHAKKUK NAKİT OLAMAZ",IF($C2354&gt;TODAY(),"İLERİ TARİH","TAHAKKUK"))),IF(AND($D2354&lt;&gt;"",$E2354&lt;&gt;"",$G2354&gt;0,$H2354&lt;&gt;"",$I2354&lt;&gt;""),IF($C2354&gt;TODAY(),"İLERİ TARİH",IF(COUNTIF($W$7:$W$3001,$W2354)&gt;1,"MÜKERRER?",IF($AD2354&gt;0,"KAPALI DÖNEM",IF($I2354="Hayır","ÖDENECEK","UYGUN")))),"EKSİK"))))</f>
        <v/>
      </c>
      <c r="Q2354" s="2"/>
      <c r="R2354" s="2"/>
      <c r="S2354" s="1" t="str">
        <f t="shared" si="110"/>
        <v/>
      </c>
      <c r="T2354" s="1" t="str">
        <f>IF(OR($C2354="",$D2354&lt;&gt;"Gelir",$L2354=""),"",IFERROR(INDEX(MUSTERILER!$B$7:$B$156,MATCH($S2354,MUSTERILER!$T$7:$T$156,0)),""))</f>
        <v/>
      </c>
      <c r="U2354" s="1" t="str">
        <f>IF($T2354="","",$T2354&amp;"|"&amp;COUNTIFS($T$7:$T2354,$T2354))</f>
        <v/>
      </c>
      <c r="V2354" s="1">
        <f t="shared" si="111"/>
        <v>0</v>
      </c>
      <c r="W2354" s="1" t="str">
        <f t="shared" si="112"/>
        <v/>
      </c>
      <c r="X2354" s="1"/>
      <c r="Y2354" s="1"/>
      <c r="Z2354" s="1"/>
      <c r="AA2354" s="1"/>
      <c r="AB2354" s="1"/>
      <c r="AC2354" s="1"/>
      <c r="AD2354" s="1">
        <f>IF($C2354="",0,SUMPRODUCT((AY_SONU!$O$7:$O$42="Evet")*(AY_SONU!$B$7:$B$42=DATE(YEAR($C2354),MONTH($C2354),1))))</f>
        <v>0</v>
      </c>
      <c r="AE2354" s="1" t="str">
        <f>IF($E2354="","",$E2354&amp;"|"&amp;COUNTIFS($E$7:$E2354,$E2354))</f>
        <v/>
      </c>
    </row>
    <row r="2355" spans="1:31" ht="18" customHeight="1" x14ac:dyDescent="0.3">
      <c r="A2355" s="2"/>
      <c r="B2355" s="65" t="str">
        <f>IF($C2355="","","GG"&amp;TEXT(ROW()-6,"00000"))</f>
        <v/>
      </c>
      <c r="C2355" s="66"/>
      <c r="D2355" s="60"/>
      <c r="E2355" s="61"/>
      <c r="F2355" s="61"/>
      <c r="G2355" s="67"/>
      <c r="H2355" s="60"/>
      <c r="I2355" s="60"/>
      <c r="J2355" s="61"/>
      <c r="K2355" s="61"/>
      <c r="L2355" s="60"/>
      <c r="M2355" s="74" t="str">
        <f>IF($C2355="","",IF($D2355="Gider",$E2355,IF($L2355&lt;&gt;"",$L2355,$H2355)))</f>
        <v/>
      </c>
      <c r="N2355" s="74" t="str">
        <f>IF($C2355="","",IF($D2355="Gider",$H2355,$E2355))</f>
        <v/>
      </c>
      <c r="O2355" s="73" t="str">
        <f>IF($C2355="","",DATE(YEAR($C2355),MONTH($C2355),1))</f>
        <v/>
      </c>
      <c r="P2355" s="65" t="str">
        <f ca="1">IF($C2355="","",IF(AND($D2355="Gelir",$L2355&lt;&gt;"",$T2355=""),"TANIMSIZ BORÇLU",IF($T2355&lt;&gt;"",IF(OR($E2355="",$G2355&lt;=0),"EKSİK",IF($I2355="Evet","TAHAKKUK NAKİT OLAMAZ",IF($C2355&gt;TODAY(),"İLERİ TARİH","TAHAKKUK"))),IF(AND($D2355&lt;&gt;"",$E2355&lt;&gt;"",$G2355&gt;0,$H2355&lt;&gt;"",$I2355&lt;&gt;""),IF($C2355&gt;TODAY(),"İLERİ TARİH",IF(COUNTIF($W$7:$W$3001,$W2355)&gt;1,"MÜKERRER?",IF($AD2355&gt;0,"KAPALI DÖNEM",IF($I2355="Hayır","ÖDENECEK","UYGUN")))),"EKSİK"))))</f>
        <v/>
      </c>
      <c r="Q2355" s="2"/>
      <c r="R2355" s="2"/>
      <c r="S2355" s="1" t="str">
        <f t="shared" si="110"/>
        <v/>
      </c>
      <c r="T2355" s="1" t="str">
        <f>IF(OR($C2355="",$D2355&lt;&gt;"Gelir",$L2355=""),"",IFERROR(INDEX(MUSTERILER!$B$7:$B$156,MATCH($S2355,MUSTERILER!$T$7:$T$156,0)),""))</f>
        <v/>
      </c>
      <c r="U2355" s="1" t="str">
        <f>IF($T2355="","",$T2355&amp;"|"&amp;COUNTIFS($T$7:$T2355,$T2355))</f>
        <v/>
      </c>
      <c r="V2355" s="1">
        <f t="shared" si="111"/>
        <v>0</v>
      </c>
      <c r="W2355" s="1" t="str">
        <f t="shared" si="112"/>
        <v/>
      </c>
      <c r="X2355" s="1"/>
      <c r="Y2355" s="1"/>
      <c r="Z2355" s="1"/>
      <c r="AA2355" s="1"/>
      <c r="AB2355" s="1"/>
      <c r="AC2355" s="1"/>
      <c r="AD2355" s="1">
        <f>IF($C2355="",0,SUMPRODUCT((AY_SONU!$O$7:$O$42="Evet")*(AY_SONU!$B$7:$B$42=DATE(YEAR($C2355),MONTH($C2355),1))))</f>
        <v>0</v>
      </c>
      <c r="AE2355" s="1" t="str">
        <f>IF($E2355="","",$E2355&amp;"|"&amp;COUNTIFS($E$7:$E2355,$E2355))</f>
        <v/>
      </c>
    </row>
    <row r="2356" spans="1:31" ht="18" customHeight="1" x14ac:dyDescent="0.3">
      <c r="A2356" s="2"/>
      <c r="B2356" s="65" t="str">
        <f>IF($C2356="","","GG"&amp;TEXT(ROW()-6,"00000"))</f>
        <v/>
      </c>
      <c r="C2356" s="66"/>
      <c r="D2356" s="60"/>
      <c r="E2356" s="61"/>
      <c r="F2356" s="61"/>
      <c r="G2356" s="67"/>
      <c r="H2356" s="60"/>
      <c r="I2356" s="60"/>
      <c r="J2356" s="61"/>
      <c r="K2356" s="61"/>
      <c r="L2356" s="60"/>
      <c r="M2356" s="74" t="str">
        <f>IF($C2356="","",IF($D2356="Gider",$E2356,IF($L2356&lt;&gt;"",$L2356,$H2356)))</f>
        <v/>
      </c>
      <c r="N2356" s="74" t="str">
        <f>IF($C2356="","",IF($D2356="Gider",$H2356,$E2356))</f>
        <v/>
      </c>
      <c r="O2356" s="73" t="str">
        <f>IF($C2356="","",DATE(YEAR($C2356),MONTH($C2356),1))</f>
        <v/>
      </c>
      <c r="P2356" s="65" t="str">
        <f ca="1">IF($C2356="","",IF(AND($D2356="Gelir",$L2356&lt;&gt;"",$T2356=""),"TANIMSIZ BORÇLU",IF($T2356&lt;&gt;"",IF(OR($E2356="",$G2356&lt;=0),"EKSİK",IF($I2356="Evet","TAHAKKUK NAKİT OLAMAZ",IF($C2356&gt;TODAY(),"İLERİ TARİH","TAHAKKUK"))),IF(AND($D2356&lt;&gt;"",$E2356&lt;&gt;"",$G2356&gt;0,$H2356&lt;&gt;"",$I2356&lt;&gt;""),IF($C2356&gt;TODAY(),"İLERİ TARİH",IF(COUNTIF($W$7:$W$3001,$W2356)&gt;1,"MÜKERRER?",IF($AD2356&gt;0,"KAPALI DÖNEM",IF($I2356="Hayır","ÖDENECEK","UYGUN")))),"EKSİK"))))</f>
        <v/>
      </c>
      <c r="Q2356" s="2"/>
      <c r="R2356" s="2"/>
      <c r="S2356" s="1" t="str">
        <f t="shared" si="110"/>
        <v/>
      </c>
      <c r="T2356" s="1" t="str">
        <f>IF(OR($C2356="",$D2356&lt;&gt;"Gelir",$L2356=""),"",IFERROR(INDEX(MUSTERILER!$B$7:$B$156,MATCH($S2356,MUSTERILER!$T$7:$T$156,0)),""))</f>
        <v/>
      </c>
      <c r="U2356" s="1" t="str">
        <f>IF($T2356="","",$T2356&amp;"|"&amp;COUNTIFS($T$7:$T2356,$T2356))</f>
        <v/>
      </c>
      <c r="V2356" s="1">
        <f t="shared" si="111"/>
        <v>0</v>
      </c>
      <c r="W2356" s="1" t="str">
        <f t="shared" si="112"/>
        <v/>
      </c>
      <c r="X2356" s="1"/>
      <c r="Y2356" s="1"/>
      <c r="Z2356" s="1"/>
      <c r="AA2356" s="1"/>
      <c r="AB2356" s="1"/>
      <c r="AC2356" s="1"/>
      <c r="AD2356" s="1">
        <f>IF($C2356="",0,SUMPRODUCT((AY_SONU!$O$7:$O$42="Evet")*(AY_SONU!$B$7:$B$42=DATE(YEAR($C2356),MONTH($C2356),1))))</f>
        <v>0</v>
      </c>
      <c r="AE2356" s="1" t="str">
        <f>IF($E2356="","",$E2356&amp;"|"&amp;COUNTIFS($E$7:$E2356,$E2356))</f>
        <v/>
      </c>
    </row>
    <row r="2357" spans="1:31" ht="18" customHeight="1" x14ac:dyDescent="0.3">
      <c r="A2357" s="2"/>
      <c r="B2357" s="65" t="str">
        <f>IF($C2357="","","GG"&amp;TEXT(ROW()-6,"00000"))</f>
        <v/>
      </c>
      <c r="C2357" s="66"/>
      <c r="D2357" s="60"/>
      <c r="E2357" s="61"/>
      <c r="F2357" s="61"/>
      <c r="G2357" s="67"/>
      <c r="H2357" s="60"/>
      <c r="I2357" s="60"/>
      <c r="J2357" s="61"/>
      <c r="K2357" s="61"/>
      <c r="L2357" s="60"/>
      <c r="M2357" s="74" t="str">
        <f>IF($C2357="","",IF($D2357="Gider",$E2357,IF($L2357&lt;&gt;"",$L2357,$H2357)))</f>
        <v/>
      </c>
      <c r="N2357" s="74" t="str">
        <f>IF($C2357="","",IF($D2357="Gider",$H2357,$E2357))</f>
        <v/>
      </c>
      <c r="O2357" s="73" t="str">
        <f>IF($C2357="","",DATE(YEAR($C2357),MONTH($C2357),1))</f>
        <v/>
      </c>
      <c r="P2357" s="65" t="str">
        <f ca="1">IF($C2357="","",IF(AND($D2357="Gelir",$L2357&lt;&gt;"",$T2357=""),"TANIMSIZ BORÇLU",IF($T2357&lt;&gt;"",IF(OR($E2357="",$G2357&lt;=0),"EKSİK",IF($I2357="Evet","TAHAKKUK NAKİT OLAMAZ",IF($C2357&gt;TODAY(),"İLERİ TARİH","TAHAKKUK"))),IF(AND($D2357&lt;&gt;"",$E2357&lt;&gt;"",$G2357&gt;0,$H2357&lt;&gt;"",$I2357&lt;&gt;""),IF($C2357&gt;TODAY(),"İLERİ TARİH",IF(COUNTIF($W$7:$W$3001,$W2357)&gt;1,"MÜKERRER?",IF($AD2357&gt;0,"KAPALI DÖNEM",IF($I2357="Hayır","ÖDENECEK","UYGUN")))),"EKSİK"))))</f>
        <v/>
      </c>
      <c r="Q2357" s="2"/>
      <c r="R2357" s="2"/>
      <c r="S2357" s="1" t="str">
        <f t="shared" si="110"/>
        <v/>
      </c>
      <c r="T2357" s="1" t="str">
        <f>IF(OR($C2357="",$D2357&lt;&gt;"Gelir",$L2357=""),"",IFERROR(INDEX(MUSTERILER!$B$7:$B$156,MATCH($S2357,MUSTERILER!$T$7:$T$156,0)),""))</f>
        <v/>
      </c>
      <c r="U2357" s="1" t="str">
        <f>IF($T2357="","",$T2357&amp;"|"&amp;COUNTIFS($T$7:$T2357,$T2357))</f>
        <v/>
      </c>
      <c r="V2357" s="1">
        <f t="shared" si="111"/>
        <v>0</v>
      </c>
      <c r="W2357" s="1" t="str">
        <f t="shared" si="112"/>
        <v/>
      </c>
      <c r="X2357" s="1"/>
      <c r="Y2357" s="1"/>
      <c r="Z2357" s="1"/>
      <c r="AA2357" s="1"/>
      <c r="AB2357" s="1"/>
      <c r="AC2357" s="1"/>
      <c r="AD2357" s="1">
        <f>IF($C2357="",0,SUMPRODUCT((AY_SONU!$O$7:$O$42="Evet")*(AY_SONU!$B$7:$B$42=DATE(YEAR($C2357),MONTH($C2357),1))))</f>
        <v>0</v>
      </c>
      <c r="AE2357" s="1" t="str">
        <f>IF($E2357="","",$E2357&amp;"|"&amp;COUNTIFS($E$7:$E2357,$E2357))</f>
        <v/>
      </c>
    </row>
    <row r="2358" spans="1:31" ht="18" customHeight="1" x14ac:dyDescent="0.3">
      <c r="A2358" s="2"/>
      <c r="B2358" s="65" t="str">
        <f>IF($C2358="","","GG"&amp;TEXT(ROW()-6,"00000"))</f>
        <v/>
      </c>
      <c r="C2358" s="66"/>
      <c r="D2358" s="60"/>
      <c r="E2358" s="61"/>
      <c r="F2358" s="61"/>
      <c r="G2358" s="67"/>
      <c r="H2358" s="60"/>
      <c r="I2358" s="60"/>
      <c r="J2358" s="61"/>
      <c r="K2358" s="61"/>
      <c r="L2358" s="60"/>
      <c r="M2358" s="74" t="str">
        <f>IF($C2358="","",IF($D2358="Gider",$E2358,IF($L2358&lt;&gt;"",$L2358,$H2358)))</f>
        <v/>
      </c>
      <c r="N2358" s="74" t="str">
        <f>IF($C2358="","",IF($D2358="Gider",$H2358,$E2358))</f>
        <v/>
      </c>
      <c r="O2358" s="73" t="str">
        <f>IF($C2358="","",DATE(YEAR($C2358),MONTH($C2358),1))</f>
        <v/>
      </c>
      <c r="P2358" s="65" t="str">
        <f ca="1">IF($C2358="","",IF(AND($D2358="Gelir",$L2358&lt;&gt;"",$T2358=""),"TANIMSIZ BORÇLU",IF($T2358&lt;&gt;"",IF(OR($E2358="",$G2358&lt;=0),"EKSİK",IF($I2358="Evet","TAHAKKUK NAKİT OLAMAZ",IF($C2358&gt;TODAY(),"İLERİ TARİH","TAHAKKUK"))),IF(AND($D2358&lt;&gt;"",$E2358&lt;&gt;"",$G2358&gt;0,$H2358&lt;&gt;"",$I2358&lt;&gt;""),IF($C2358&gt;TODAY(),"İLERİ TARİH",IF(COUNTIF($W$7:$W$3001,$W2358)&gt;1,"MÜKERRER?",IF($AD2358&gt;0,"KAPALI DÖNEM",IF($I2358="Hayır","ÖDENECEK","UYGUN")))),"EKSİK"))))</f>
        <v/>
      </c>
      <c r="Q2358" s="2"/>
      <c r="R2358" s="2"/>
      <c r="S2358" s="1" t="str">
        <f t="shared" si="110"/>
        <v/>
      </c>
      <c r="T2358" s="1" t="str">
        <f>IF(OR($C2358="",$D2358&lt;&gt;"Gelir",$L2358=""),"",IFERROR(INDEX(MUSTERILER!$B$7:$B$156,MATCH($S2358,MUSTERILER!$T$7:$T$156,0)),""))</f>
        <v/>
      </c>
      <c r="U2358" s="1" t="str">
        <f>IF($T2358="","",$T2358&amp;"|"&amp;COUNTIFS($T$7:$T2358,$T2358))</f>
        <v/>
      </c>
      <c r="V2358" s="1">
        <f t="shared" si="111"/>
        <v>0</v>
      </c>
      <c r="W2358" s="1" t="str">
        <f t="shared" si="112"/>
        <v/>
      </c>
      <c r="X2358" s="1"/>
      <c r="Y2358" s="1"/>
      <c r="Z2358" s="1"/>
      <c r="AA2358" s="1"/>
      <c r="AB2358" s="1"/>
      <c r="AC2358" s="1"/>
      <c r="AD2358" s="1">
        <f>IF($C2358="",0,SUMPRODUCT((AY_SONU!$O$7:$O$42="Evet")*(AY_SONU!$B$7:$B$42=DATE(YEAR($C2358),MONTH($C2358),1))))</f>
        <v>0</v>
      </c>
      <c r="AE2358" s="1" t="str">
        <f>IF($E2358="","",$E2358&amp;"|"&amp;COUNTIFS($E$7:$E2358,$E2358))</f>
        <v/>
      </c>
    </row>
    <row r="2359" spans="1:31" ht="18" customHeight="1" x14ac:dyDescent="0.3">
      <c r="A2359" s="2"/>
      <c r="B2359" s="65" t="str">
        <f>IF($C2359="","","GG"&amp;TEXT(ROW()-6,"00000"))</f>
        <v/>
      </c>
      <c r="C2359" s="66"/>
      <c r="D2359" s="60"/>
      <c r="E2359" s="61"/>
      <c r="F2359" s="61"/>
      <c r="G2359" s="67"/>
      <c r="H2359" s="60"/>
      <c r="I2359" s="60"/>
      <c r="J2359" s="61"/>
      <c r="K2359" s="61"/>
      <c r="L2359" s="60"/>
      <c r="M2359" s="74" t="str">
        <f>IF($C2359="","",IF($D2359="Gider",$E2359,IF($L2359&lt;&gt;"",$L2359,$H2359)))</f>
        <v/>
      </c>
      <c r="N2359" s="74" t="str">
        <f>IF($C2359="","",IF($D2359="Gider",$H2359,$E2359))</f>
        <v/>
      </c>
      <c r="O2359" s="73" t="str">
        <f>IF($C2359="","",DATE(YEAR($C2359),MONTH($C2359),1))</f>
        <v/>
      </c>
      <c r="P2359" s="65" t="str">
        <f ca="1">IF($C2359="","",IF(AND($D2359="Gelir",$L2359&lt;&gt;"",$T2359=""),"TANIMSIZ BORÇLU",IF($T2359&lt;&gt;"",IF(OR($E2359="",$G2359&lt;=0),"EKSİK",IF($I2359="Evet","TAHAKKUK NAKİT OLAMAZ",IF($C2359&gt;TODAY(),"İLERİ TARİH","TAHAKKUK"))),IF(AND($D2359&lt;&gt;"",$E2359&lt;&gt;"",$G2359&gt;0,$H2359&lt;&gt;"",$I2359&lt;&gt;""),IF($C2359&gt;TODAY(),"İLERİ TARİH",IF(COUNTIF($W$7:$W$3001,$W2359)&gt;1,"MÜKERRER?",IF($AD2359&gt;0,"KAPALI DÖNEM",IF($I2359="Hayır","ÖDENECEK","UYGUN")))),"EKSİK"))))</f>
        <v/>
      </c>
      <c r="Q2359" s="2"/>
      <c r="R2359" s="2"/>
      <c r="S2359" s="1" t="str">
        <f t="shared" si="110"/>
        <v/>
      </c>
      <c r="T2359" s="1" t="str">
        <f>IF(OR($C2359="",$D2359&lt;&gt;"Gelir",$L2359=""),"",IFERROR(INDEX(MUSTERILER!$B$7:$B$156,MATCH($S2359,MUSTERILER!$T$7:$T$156,0)),""))</f>
        <v/>
      </c>
      <c r="U2359" s="1" t="str">
        <f>IF($T2359="","",$T2359&amp;"|"&amp;COUNTIFS($T$7:$T2359,$T2359))</f>
        <v/>
      </c>
      <c r="V2359" s="1">
        <f t="shared" si="111"/>
        <v>0</v>
      </c>
      <c r="W2359" s="1" t="str">
        <f t="shared" si="112"/>
        <v/>
      </c>
      <c r="X2359" s="1"/>
      <c r="Y2359" s="1"/>
      <c r="Z2359" s="1"/>
      <c r="AA2359" s="1"/>
      <c r="AB2359" s="1"/>
      <c r="AC2359" s="1"/>
      <c r="AD2359" s="1">
        <f>IF($C2359="",0,SUMPRODUCT((AY_SONU!$O$7:$O$42="Evet")*(AY_SONU!$B$7:$B$42=DATE(YEAR($C2359),MONTH($C2359),1))))</f>
        <v>0</v>
      </c>
      <c r="AE2359" s="1" t="str">
        <f>IF($E2359="","",$E2359&amp;"|"&amp;COUNTIFS($E$7:$E2359,$E2359))</f>
        <v/>
      </c>
    </row>
    <row r="2360" spans="1:31" ht="18" customHeight="1" x14ac:dyDescent="0.3">
      <c r="A2360" s="2"/>
      <c r="B2360" s="65" t="str">
        <f>IF($C2360="","","GG"&amp;TEXT(ROW()-6,"00000"))</f>
        <v/>
      </c>
      <c r="C2360" s="66"/>
      <c r="D2360" s="60"/>
      <c r="E2360" s="61"/>
      <c r="F2360" s="61"/>
      <c r="G2360" s="67"/>
      <c r="H2360" s="60"/>
      <c r="I2360" s="60"/>
      <c r="J2360" s="61"/>
      <c r="K2360" s="61"/>
      <c r="L2360" s="60"/>
      <c r="M2360" s="74" t="str">
        <f>IF($C2360="","",IF($D2360="Gider",$E2360,IF($L2360&lt;&gt;"",$L2360,$H2360)))</f>
        <v/>
      </c>
      <c r="N2360" s="74" t="str">
        <f>IF($C2360="","",IF($D2360="Gider",$H2360,$E2360))</f>
        <v/>
      </c>
      <c r="O2360" s="73" t="str">
        <f>IF($C2360="","",DATE(YEAR($C2360),MONTH($C2360),1))</f>
        <v/>
      </c>
      <c r="P2360" s="65" t="str">
        <f ca="1">IF($C2360="","",IF(AND($D2360="Gelir",$L2360&lt;&gt;"",$T2360=""),"TANIMSIZ BORÇLU",IF($T2360&lt;&gt;"",IF(OR($E2360="",$G2360&lt;=0),"EKSİK",IF($I2360="Evet","TAHAKKUK NAKİT OLAMAZ",IF($C2360&gt;TODAY(),"İLERİ TARİH","TAHAKKUK"))),IF(AND($D2360&lt;&gt;"",$E2360&lt;&gt;"",$G2360&gt;0,$H2360&lt;&gt;"",$I2360&lt;&gt;""),IF($C2360&gt;TODAY(),"İLERİ TARİH",IF(COUNTIF($W$7:$W$3001,$W2360)&gt;1,"MÜKERRER?",IF($AD2360&gt;0,"KAPALI DÖNEM",IF($I2360="Hayır","ÖDENECEK","UYGUN")))),"EKSİK"))))</f>
        <v/>
      </c>
      <c r="Q2360" s="2"/>
      <c r="R2360" s="2"/>
      <c r="S2360" s="1" t="str">
        <f t="shared" si="110"/>
        <v/>
      </c>
      <c r="T2360" s="1" t="str">
        <f>IF(OR($C2360="",$D2360&lt;&gt;"Gelir",$L2360=""),"",IFERROR(INDEX(MUSTERILER!$B$7:$B$156,MATCH($S2360,MUSTERILER!$T$7:$T$156,0)),""))</f>
        <v/>
      </c>
      <c r="U2360" s="1" t="str">
        <f>IF($T2360="","",$T2360&amp;"|"&amp;COUNTIFS($T$7:$T2360,$T2360))</f>
        <v/>
      </c>
      <c r="V2360" s="1">
        <f t="shared" si="111"/>
        <v>0</v>
      </c>
      <c r="W2360" s="1" t="str">
        <f t="shared" si="112"/>
        <v/>
      </c>
      <c r="X2360" s="1"/>
      <c r="Y2360" s="1"/>
      <c r="Z2360" s="1"/>
      <c r="AA2360" s="1"/>
      <c r="AB2360" s="1"/>
      <c r="AC2360" s="1"/>
      <c r="AD2360" s="1">
        <f>IF($C2360="",0,SUMPRODUCT((AY_SONU!$O$7:$O$42="Evet")*(AY_SONU!$B$7:$B$42=DATE(YEAR($C2360),MONTH($C2360),1))))</f>
        <v>0</v>
      </c>
      <c r="AE2360" s="1" t="str">
        <f>IF($E2360="","",$E2360&amp;"|"&amp;COUNTIFS($E$7:$E2360,$E2360))</f>
        <v/>
      </c>
    </row>
    <row r="2361" spans="1:31" ht="18" customHeight="1" x14ac:dyDescent="0.3">
      <c r="A2361" s="2"/>
      <c r="B2361" s="65" t="str">
        <f>IF($C2361="","","GG"&amp;TEXT(ROW()-6,"00000"))</f>
        <v/>
      </c>
      <c r="C2361" s="66"/>
      <c r="D2361" s="60"/>
      <c r="E2361" s="61"/>
      <c r="F2361" s="61"/>
      <c r="G2361" s="67"/>
      <c r="H2361" s="60"/>
      <c r="I2361" s="60"/>
      <c r="J2361" s="61"/>
      <c r="K2361" s="61"/>
      <c r="L2361" s="60"/>
      <c r="M2361" s="74" t="str">
        <f>IF($C2361="","",IF($D2361="Gider",$E2361,IF($L2361&lt;&gt;"",$L2361,$H2361)))</f>
        <v/>
      </c>
      <c r="N2361" s="74" t="str">
        <f>IF($C2361="","",IF($D2361="Gider",$H2361,$E2361))</f>
        <v/>
      </c>
      <c r="O2361" s="73" t="str">
        <f>IF($C2361="","",DATE(YEAR($C2361),MONTH($C2361),1))</f>
        <v/>
      </c>
      <c r="P2361" s="65" t="str">
        <f ca="1">IF($C2361="","",IF(AND($D2361="Gelir",$L2361&lt;&gt;"",$T2361=""),"TANIMSIZ BORÇLU",IF($T2361&lt;&gt;"",IF(OR($E2361="",$G2361&lt;=0),"EKSİK",IF($I2361="Evet","TAHAKKUK NAKİT OLAMAZ",IF($C2361&gt;TODAY(),"İLERİ TARİH","TAHAKKUK"))),IF(AND($D2361&lt;&gt;"",$E2361&lt;&gt;"",$G2361&gt;0,$H2361&lt;&gt;"",$I2361&lt;&gt;""),IF($C2361&gt;TODAY(),"İLERİ TARİH",IF(COUNTIF($W$7:$W$3001,$W2361)&gt;1,"MÜKERRER?",IF($AD2361&gt;0,"KAPALI DÖNEM",IF($I2361="Hayır","ÖDENECEK","UYGUN")))),"EKSİK"))))</f>
        <v/>
      </c>
      <c r="Q2361" s="2"/>
      <c r="R2361" s="2"/>
      <c r="S2361" s="1" t="str">
        <f t="shared" si="110"/>
        <v/>
      </c>
      <c r="T2361" s="1" t="str">
        <f>IF(OR($C2361="",$D2361&lt;&gt;"Gelir",$L2361=""),"",IFERROR(INDEX(MUSTERILER!$B$7:$B$156,MATCH($S2361,MUSTERILER!$T$7:$T$156,0)),""))</f>
        <v/>
      </c>
      <c r="U2361" s="1" t="str">
        <f>IF($T2361="","",$T2361&amp;"|"&amp;COUNTIFS($T$7:$T2361,$T2361))</f>
        <v/>
      </c>
      <c r="V2361" s="1">
        <f t="shared" si="111"/>
        <v>0</v>
      </c>
      <c r="W2361" s="1" t="str">
        <f t="shared" si="112"/>
        <v/>
      </c>
      <c r="X2361" s="1"/>
      <c r="Y2361" s="1"/>
      <c r="Z2361" s="1"/>
      <c r="AA2361" s="1"/>
      <c r="AB2361" s="1"/>
      <c r="AC2361" s="1"/>
      <c r="AD2361" s="1">
        <f>IF($C2361="",0,SUMPRODUCT((AY_SONU!$O$7:$O$42="Evet")*(AY_SONU!$B$7:$B$42=DATE(YEAR($C2361),MONTH($C2361),1))))</f>
        <v>0</v>
      </c>
      <c r="AE2361" s="1" t="str">
        <f>IF($E2361="","",$E2361&amp;"|"&amp;COUNTIFS($E$7:$E2361,$E2361))</f>
        <v/>
      </c>
    </row>
    <row r="2362" spans="1:31" ht="18" customHeight="1" x14ac:dyDescent="0.3">
      <c r="A2362" s="2"/>
      <c r="B2362" s="65" t="str">
        <f>IF($C2362="","","GG"&amp;TEXT(ROW()-6,"00000"))</f>
        <v/>
      </c>
      <c r="C2362" s="66"/>
      <c r="D2362" s="60"/>
      <c r="E2362" s="61"/>
      <c r="F2362" s="61"/>
      <c r="G2362" s="67"/>
      <c r="H2362" s="60"/>
      <c r="I2362" s="60"/>
      <c r="J2362" s="61"/>
      <c r="K2362" s="61"/>
      <c r="L2362" s="60"/>
      <c r="M2362" s="74" t="str">
        <f>IF($C2362="","",IF($D2362="Gider",$E2362,IF($L2362&lt;&gt;"",$L2362,$H2362)))</f>
        <v/>
      </c>
      <c r="N2362" s="74" t="str">
        <f>IF($C2362="","",IF($D2362="Gider",$H2362,$E2362))</f>
        <v/>
      </c>
      <c r="O2362" s="73" t="str">
        <f>IF($C2362="","",DATE(YEAR($C2362),MONTH($C2362),1))</f>
        <v/>
      </c>
      <c r="P2362" s="65" t="str">
        <f ca="1">IF($C2362="","",IF(AND($D2362="Gelir",$L2362&lt;&gt;"",$T2362=""),"TANIMSIZ BORÇLU",IF($T2362&lt;&gt;"",IF(OR($E2362="",$G2362&lt;=0),"EKSİK",IF($I2362="Evet","TAHAKKUK NAKİT OLAMAZ",IF($C2362&gt;TODAY(),"İLERİ TARİH","TAHAKKUK"))),IF(AND($D2362&lt;&gt;"",$E2362&lt;&gt;"",$G2362&gt;0,$H2362&lt;&gt;"",$I2362&lt;&gt;""),IF($C2362&gt;TODAY(),"İLERİ TARİH",IF(COUNTIF($W$7:$W$3001,$W2362)&gt;1,"MÜKERRER?",IF($AD2362&gt;0,"KAPALI DÖNEM",IF($I2362="Hayır","ÖDENECEK","UYGUN")))),"EKSİK"))))</f>
        <v/>
      </c>
      <c r="Q2362" s="2"/>
      <c r="R2362" s="2"/>
      <c r="S2362" s="1" t="str">
        <f t="shared" si="110"/>
        <v/>
      </c>
      <c r="T2362" s="1" t="str">
        <f>IF(OR($C2362="",$D2362&lt;&gt;"Gelir",$L2362=""),"",IFERROR(INDEX(MUSTERILER!$B$7:$B$156,MATCH($S2362,MUSTERILER!$T$7:$T$156,0)),""))</f>
        <v/>
      </c>
      <c r="U2362" s="1" t="str">
        <f>IF($T2362="","",$T2362&amp;"|"&amp;COUNTIFS($T$7:$T2362,$T2362))</f>
        <v/>
      </c>
      <c r="V2362" s="1">
        <f t="shared" si="111"/>
        <v>0</v>
      </c>
      <c r="W2362" s="1" t="str">
        <f t="shared" si="112"/>
        <v/>
      </c>
      <c r="X2362" s="1"/>
      <c r="Y2362" s="1"/>
      <c r="Z2362" s="1"/>
      <c r="AA2362" s="1"/>
      <c r="AB2362" s="1"/>
      <c r="AC2362" s="1"/>
      <c r="AD2362" s="1">
        <f>IF($C2362="",0,SUMPRODUCT((AY_SONU!$O$7:$O$42="Evet")*(AY_SONU!$B$7:$B$42=DATE(YEAR($C2362),MONTH($C2362),1))))</f>
        <v>0</v>
      </c>
      <c r="AE2362" s="1" t="str">
        <f>IF($E2362="","",$E2362&amp;"|"&amp;COUNTIFS($E$7:$E2362,$E2362))</f>
        <v/>
      </c>
    </row>
    <row r="2363" spans="1:31" ht="18" customHeight="1" x14ac:dyDescent="0.3">
      <c r="A2363" s="2"/>
      <c r="B2363" s="65" t="str">
        <f>IF($C2363="","","GG"&amp;TEXT(ROW()-6,"00000"))</f>
        <v/>
      </c>
      <c r="C2363" s="66"/>
      <c r="D2363" s="60"/>
      <c r="E2363" s="61"/>
      <c r="F2363" s="61"/>
      <c r="G2363" s="67"/>
      <c r="H2363" s="60"/>
      <c r="I2363" s="60"/>
      <c r="J2363" s="61"/>
      <c r="K2363" s="61"/>
      <c r="L2363" s="60"/>
      <c r="M2363" s="74" t="str">
        <f>IF($C2363="","",IF($D2363="Gider",$E2363,IF($L2363&lt;&gt;"",$L2363,$H2363)))</f>
        <v/>
      </c>
      <c r="N2363" s="74" t="str">
        <f>IF($C2363="","",IF($D2363="Gider",$H2363,$E2363))</f>
        <v/>
      </c>
      <c r="O2363" s="73" t="str">
        <f>IF($C2363="","",DATE(YEAR($C2363),MONTH($C2363),1))</f>
        <v/>
      </c>
      <c r="P2363" s="65" t="str">
        <f ca="1">IF($C2363="","",IF(AND($D2363="Gelir",$L2363&lt;&gt;"",$T2363=""),"TANIMSIZ BORÇLU",IF($T2363&lt;&gt;"",IF(OR($E2363="",$G2363&lt;=0),"EKSİK",IF($I2363="Evet","TAHAKKUK NAKİT OLAMAZ",IF($C2363&gt;TODAY(),"İLERİ TARİH","TAHAKKUK"))),IF(AND($D2363&lt;&gt;"",$E2363&lt;&gt;"",$G2363&gt;0,$H2363&lt;&gt;"",$I2363&lt;&gt;""),IF($C2363&gt;TODAY(),"İLERİ TARİH",IF(COUNTIF($W$7:$W$3001,$W2363)&gt;1,"MÜKERRER?",IF($AD2363&gt;0,"KAPALI DÖNEM",IF($I2363="Hayır","ÖDENECEK","UYGUN")))),"EKSİK"))))</f>
        <v/>
      </c>
      <c r="Q2363" s="2"/>
      <c r="R2363" s="2"/>
      <c r="S2363" s="1" t="str">
        <f t="shared" si="110"/>
        <v/>
      </c>
      <c r="T2363" s="1" t="str">
        <f>IF(OR($C2363="",$D2363&lt;&gt;"Gelir",$L2363=""),"",IFERROR(INDEX(MUSTERILER!$B$7:$B$156,MATCH($S2363,MUSTERILER!$T$7:$T$156,0)),""))</f>
        <v/>
      </c>
      <c r="U2363" s="1" t="str">
        <f>IF($T2363="","",$T2363&amp;"|"&amp;COUNTIFS($T$7:$T2363,$T2363))</f>
        <v/>
      </c>
      <c r="V2363" s="1">
        <f t="shared" si="111"/>
        <v>0</v>
      </c>
      <c r="W2363" s="1" t="str">
        <f t="shared" si="112"/>
        <v/>
      </c>
      <c r="X2363" s="1"/>
      <c r="Y2363" s="1"/>
      <c r="Z2363" s="1"/>
      <c r="AA2363" s="1"/>
      <c r="AB2363" s="1"/>
      <c r="AC2363" s="1"/>
      <c r="AD2363" s="1">
        <f>IF($C2363="",0,SUMPRODUCT((AY_SONU!$O$7:$O$42="Evet")*(AY_SONU!$B$7:$B$42=DATE(YEAR($C2363),MONTH($C2363),1))))</f>
        <v>0</v>
      </c>
      <c r="AE2363" s="1" t="str">
        <f>IF($E2363="","",$E2363&amp;"|"&amp;COUNTIFS($E$7:$E2363,$E2363))</f>
        <v/>
      </c>
    </row>
    <row r="2364" spans="1:31" ht="18" customHeight="1" x14ac:dyDescent="0.3">
      <c r="A2364" s="2"/>
      <c r="B2364" s="65" t="str">
        <f>IF($C2364="","","GG"&amp;TEXT(ROW()-6,"00000"))</f>
        <v/>
      </c>
      <c r="C2364" s="66"/>
      <c r="D2364" s="60"/>
      <c r="E2364" s="61"/>
      <c r="F2364" s="61"/>
      <c r="G2364" s="67"/>
      <c r="H2364" s="60"/>
      <c r="I2364" s="60"/>
      <c r="J2364" s="61"/>
      <c r="K2364" s="61"/>
      <c r="L2364" s="60"/>
      <c r="M2364" s="74" t="str">
        <f>IF($C2364="","",IF($D2364="Gider",$E2364,IF($L2364&lt;&gt;"",$L2364,$H2364)))</f>
        <v/>
      </c>
      <c r="N2364" s="74" t="str">
        <f>IF($C2364="","",IF($D2364="Gider",$H2364,$E2364))</f>
        <v/>
      </c>
      <c r="O2364" s="73" t="str">
        <f>IF($C2364="","",DATE(YEAR($C2364),MONTH($C2364),1))</f>
        <v/>
      </c>
      <c r="P2364" s="65" t="str">
        <f ca="1">IF($C2364="","",IF(AND($D2364="Gelir",$L2364&lt;&gt;"",$T2364=""),"TANIMSIZ BORÇLU",IF($T2364&lt;&gt;"",IF(OR($E2364="",$G2364&lt;=0),"EKSİK",IF($I2364="Evet","TAHAKKUK NAKİT OLAMAZ",IF($C2364&gt;TODAY(),"İLERİ TARİH","TAHAKKUK"))),IF(AND($D2364&lt;&gt;"",$E2364&lt;&gt;"",$G2364&gt;0,$H2364&lt;&gt;"",$I2364&lt;&gt;""),IF($C2364&gt;TODAY(),"İLERİ TARİH",IF(COUNTIF($W$7:$W$3001,$W2364)&gt;1,"MÜKERRER?",IF($AD2364&gt;0,"KAPALI DÖNEM",IF($I2364="Hayır","ÖDENECEK","UYGUN")))),"EKSİK"))))</f>
        <v/>
      </c>
      <c r="Q2364" s="2"/>
      <c r="R2364" s="2"/>
      <c r="S2364" s="1" t="str">
        <f t="shared" si="110"/>
        <v/>
      </c>
      <c r="T2364" s="1" t="str">
        <f>IF(OR($C2364="",$D2364&lt;&gt;"Gelir",$L2364=""),"",IFERROR(INDEX(MUSTERILER!$B$7:$B$156,MATCH($S2364,MUSTERILER!$T$7:$T$156,0)),""))</f>
        <v/>
      </c>
      <c r="U2364" s="1" t="str">
        <f>IF($T2364="","",$T2364&amp;"|"&amp;COUNTIFS($T$7:$T2364,$T2364))</f>
        <v/>
      </c>
      <c r="V2364" s="1">
        <f t="shared" si="111"/>
        <v>0</v>
      </c>
      <c r="W2364" s="1" t="str">
        <f t="shared" si="112"/>
        <v/>
      </c>
      <c r="X2364" s="1"/>
      <c r="Y2364" s="1"/>
      <c r="Z2364" s="1"/>
      <c r="AA2364" s="1"/>
      <c r="AB2364" s="1"/>
      <c r="AC2364" s="1"/>
      <c r="AD2364" s="1">
        <f>IF($C2364="",0,SUMPRODUCT((AY_SONU!$O$7:$O$42="Evet")*(AY_SONU!$B$7:$B$42=DATE(YEAR($C2364),MONTH($C2364),1))))</f>
        <v>0</v>
      </c>
      <c r="AE2364" s="1" t="str">
        <f>IF($E2364="","",$E2364&amp;"|"&amp;COUNTIFS($E$7:$E2364,$E2364))</f>
        <v/>
      </c>
    </row>
    <row r="2365" spans="1:31" ht="18" customHeight="1" x14ac:dyDescent="0.3">
      <c r="A2365" s="2"/>
      <c r="B2365" s="65" t="str">
        <f>IF($C2365="","","GG"&amp;TEXT(ROW()-6,"00000"))</f>
        <v/>
      </c>
      <c r="C2365" s="66"/>
      <c r="D2365" s="60"/>
      <c r="E2365" s="61"/>
      <c r="F2365" s="61"/>
      <c r="G2365" s="67"/>
      <c r="H2365" s="60"/>
      <c r="I2365" s="60"/>
      <c r="J2365" s="61"/>
      <c r="K2365" s="61"/>
      <c r="L2365" s="60"/>
      <c r="M2365" s="74" t="str">
        <f>IF($C2365="","",IF($D2365="Gider",$E2365,IF($L2365&lt;&gt;"",$L2365,$H2365)))</f>
        <v/>
      </c>
      <c r="N2365" s="74" t="str">
        <f>IF($C2365="","",IF($D2365="Gider",$H2365,$E2365))</f>
        <v/>
      </c>
      <c r="O2365" s="73" t="str">
        <f>IF($C2365="","",DATE(YEAR($C2365),MONTH($C2365),1))</f>
        <v/>
      </c>
      <c r="P2365" s="65" t="str">
        <f ca="1">IF($C2365="","",IF(AND($D2365="Gelir",$L2365&lt;&gt;"",$T2365=""),"TANIMSIZ BORÇLU",IF($T2365&lt;&gt;"",IF(OR($E2365="",$G2365&lt;=0),"EKSİK",IF($I2365="Evet","TAHAKKUK NAKİT OLAMAZ",IF($C2365&gt;TODAY(),"İLERİ TARİH","TAHAKKUK"))),IF(AND($D2365&lt;&gt;"",$E2365&lt;&gt;"",$G2365&gt;0,$H2365&lt;&gt;"",$I2365&lt;&gt;""),IF($C2365&gt;TODAY(),"İLERİ TARİH",IF(COUNTIF($W$7:$W$3001,$W2365)&gt;1,"MÜKERRER?",IF($AD2365&gt;0,"KAPALI DÖNEM",IF($I2365="Hayır","ÖDENECEK","UYGUN")))),"EKSİK"))))</f>
        <v/>
      </c>
      <c r="Q2365" s="2"/>
      <c r="R2365" s="2"/>
      <c r="S2365" s="1" t="str">
        <f t="shared" si="110"/>
        <v/>
      </c>
      <c r="T2365" s="1" t="str">
        <f>IF(OR($C2365="",$D2365&lt;&gt;"Gelir",$L2365=""),"",IFERROR(INDEX(MUSTERILER!$B$7:$B$156,MATCH($S2365,MUSTERILER!$T$7:$T$156,0)),""))</f>
        <v/>
      </c>
      <c r="U2365" s="1" t="str">
        <f>IF($T2365="","",$T2365&amp;"|"&amp;COUNTIFS($T$7:$T2365,$T2365))</f>
        <v/>
      </c>
      <c r="V2365" s="1">
        <f t="shared" si="111"/>
        <v>0</v>
      </c>
      <c r="W2365" s="1" t="str">
        <f t="shared" si="112"/>
        <v/>
      </c>
      <c r="X2365" s="1"/>
      <c r="Y2365" s="1"/>
      <c r="Z2365" s="1"/>
      <c r="AA2365" s="1"/>
      <c r="AB2365" s="1"/>
      <c r="AC2365" s="1"/>
      <c r="AD2365" s="1">
        <f>IF($C2365="",0,SUMPRODUCT((AY_SONU!$O$7:$O$42="Evet")*(AY_SONU!$B$7:$B$42=DATE(YEAR($C2365),MONTH($C2365),1))))</f>
        <v>0</v>
      </c>
      <c r="AE2365" s="1" t="str">
        <f>IF($E2365="","",$E2365&amp;"|"&amp;COUNTIFS($E$7:$E2365,$E2365))</f>
        <v/>
      </c>
    </row>
    <row r="2366" spans="1:31" ht="18" customHeight="1" x14ac:dyDescent="0.3">
      <c r="A2366" s="2"/>
      <c r="B2366" s="65" t="str">
        <f>IF($C2366="","","GG"&amp;TEXT(ROW()-6,"00000"))</f>
        <v/>
      </c>
      <c r="C2366" s="66"/>
      <c r="D2366" s="60"/>
      <c r="E2366" s="61"/>
      <c r="F2366" s="61"/>
      <c r="G2366" s="67"/>
      <c r="H2366" s="60"/>
      <c r="I2366" s="60"/>
      <c r="J2366" s="61"/>
      <c r="K2366" s="61"/>
      <c r="L2366" s="60"/>
      <c r="M2366" s="74" t="str">
        <f>IF($C2366="","",IF($D2366="Gider",$E2366,IF($L2366&lt;&gt;"",$L2366,$H2366)))</f>
        <v/>
      </c>
      <c r="N2366" s="74" t="str">
        <f>IF($C2366="","",IF($D2366="Gider",$H2366,$E2366))</f>
        <v/>
      </c>
      <c r="O2366" s="73" t="str">
        <f>IF($C2366="","",DATE(YEAR($C2366),MONTH($C2366),1))</f>
        <v/>
      </c>
      <c r="P2366" s="65" t="str">
        <f ca="1">IF($C2366="","",IF(AND($D2366="Gelir",$L2366&lt;&gt;"",$T2366=""),"TANIMSIZ BORÇLU",IF($T2366&lt;&gt;"",IF(OR($E2366="",$G2366&lt;=0),"EKSİK",IF($I2366="Evet","TAHAKKUK NAKİT OLAMAZ",IF($C2366&gt;TODAY(),"İLERİ TARİH","TAHAKKUK"))),IF(AND($D2366&lt;&gt;"",$E2366&lt;&gt;"",$G2366&gt;0,$H2366&lt;&gt;"",$I2366&lt;&gt;""),IF($C2366&gt;TODAY(),"İLERİ TARİH",IF(COUNTIF($W$7:$W$3001,$W2366)&gt;1,"MÜKERRER?",IF($AD2366&gt;0,"KAPALI DÖNEM",IF($I2366="Hayır","ÖDENECEK","UYGUN")))),"EKSİK"))))</f>
        <v/>
      </c>
      <c r="Q2366" s="2"/>
      <c r="R2366" s="2"/>
      <c r="S2366" s="1" t="str">
        <f t="shared" si="110"/>
        <v/>
      </c>
      <c r="T2366" s="1" t="str">
        <f>IF(OR($C2366="",$D2366&lt;&gt;"Gelir",$L2366=""),"",IFERROR(INDEX(MUSTERILER!$B$7:$B$156,MATCH($S2366,MUSTERILER!$T$7:$T$156,0)),""))</f>
        <v/>
      </c>
      <c r="U2366" s="1" t="str">
        <f>IF($T2366="","",$T2366&amp;"|"&amp;COUNTIFS($T$7:$T2366,$T2366))</f>
        <v/>
      </c>
      <c r="V2366" s="1">
        <f t="shared" si="111"/>
        <v>0</v>
      </c>
      <c r="W2366" s="1" t="str">
        <f t="shared" si="112"/>
        <v/>
      </c>
      <c r="X2366" s="1"/>
      <c r="Y2366" s="1"/>
      <c r="Z2366" s="1"/>
      <c r="AA2366" s="1"/>
      <c r="AB2366" s="1"/>
      <c r="AC2366" s="1"/>
      <c r="AD2366" s="1">
        <f>IF($C2366="",0,SUMPRODUCT((AY_SONU!$O$7:$O$42="Evet")*(AY_SONU!$B$7:$B$42=DATE(YEAR($C2366),MONTH($C2366),1))))</f>
        <v>0</v>
      </c>
      <c r="AE2366" s="1" t="str">
        <f>IF($E2366="","",$E2366&amp;"|"&amp;COUNTIFS($E$7:$E2366,$E2366))</f>
        <v/>
      </c>
    </row>
    <row r="2367" spans="1:31" ht="18" customHeight="1" x14ac:dyDescent="0.3">
      <c r="A2367" s="2"/>
      <c r="B2367" s="65" t="str">
        <f>IF($C2367="","","GG"&amp;TEXT(ROW()-6,"00000"))</f>
        <v/>
      </c>
      <c r="C2367" s="66"/>
      <c r="D2367" s="60"/>
      <c r="E2367" s="61"/>
      <c r="F2367" s="61"/>
      <c r="G2367" s="67"/>
      <c r="H2367" s="60"/>
      <c r="I2367" s="60"/>
      <c r="J2367" s="61"/>
      <c r="K2367" s="61"/>
      <c r="L2367" s="60"/>
      <c r="M2367" s="74" t="str">
        <f>IF($C2367="","",IF($D2367="Gider",$E2367,IF($L2367&lt;&gt;"",$L2367,$H2367)))</f>
        <v/>
      </c>
      <c r="N2367" s="74" t="str">
        <f>IF($C2367="","",IF($D2367="Gider",$H2367,$E2367))</f>
        <v/>
      </c>
      <c r="O2367" s="73" t="str">
        <f>IF($C2367="","",DATE(YEAR($C2367),MONTH($C2367),1))</f>
        <v/>
      </c>
      <c r="P2367" s="65" t="str">
        <f ca="1">IF($C2367="","",IF(AND($D2367="Gelir",$L2367&lt;&gt;"",$T2367=""),"TANIMSIZ BORÇLU",IF($T2367&lt;&gt;"",IF(OR($E2367="",$G2367&lt;=0),"EKSİK",IF($I2367="Evet","TAHAKKUK NAKİT OLAMAZ",IF($C2367&gt;TODAY(),"İLERİ TARİH","TAHAKKUK"))),IF(AND($D2367&lt;&gt;"",$E2367&lt;&gt;"",$G2367&gt;0,$H2367&lt;&gt;"",$I2367&lt;&gt;""),IF($C2367&gt;TODAY(),"İLERİ TARİH",IF(COUNTIF($W$7:$W$3001,$W2367)&gt;1,"MÜKERRER?",IF($AD2367&gt;0,"KAPALI DÖNEM",IF($I2367="Hayır","ÖDENECEK","UYGUN")))),"EKSİK"))))</f>
        <v/>
      </c>
      <c r="Q2367" s="2"/>
      <c r="R2367" s="2"/>
      <c r="S2367" s="1" t="str">
        <f t="shared" si="110"/>
        <v/>
      </c>
      <c r="T2367" s="1" t="str">
        <f>IF(OR($C2367="",$D2367&lt;&gt;"Gelir",$L2367=""),"",IFERROR(INDEX(MUSTERILER!$B$7:$B$156,MATCH($S2367,MUSTERILER!$T$7:$T$156,0)),""))</f>
        <v/>
      </c>
      <c r="U2367" s="1" t="str">
        <f>IF($T2367="","",$T2367&amp;"|"&amp;COUNTIFS($T$7:$T2367,$T2367))</f>
        <v/>
      </c>
      <c r="V2367" s="1">
        <f t="shared" si="111"/>
        <v>0</v>
      </c>
      <c r="W2367" s="1" t="str">
        <f t="shared" si="112"/>
        <v/>
      </c>
      <c r="X2367" s="1"/>
      <c r="Y2367" s="1"/>
      <c r="Z2367" s="1"/>
      <c r="AA2367" s="1"/>
      <c r="AB2367" s="1"/>
      <c r="AC2367" s="1"/>
      <c r="AD2367" s="1">
        <f>IF($C2367="",0,SUMPRODUCT((AY_SONU!$O$7:$O$42="Evet")*(AY_SONU!$B$7:$B$42=DATE(YEAR($C2367),MONTH($C2367),1))))</f>
        <v>0</v>
      </c>
      <c r="AE2367" s="1" t="str">
        <f>IF($E2367="","",$E2367&amp;"|"&amp;COUNTIFS($E$7:$E2367,$E2367))</f>
        <v/>
      </c>
    </row>
    <row r="2368" spans="1:31" ht="18" customHeight="1" x14ac:dyDescent="0.3">
      <c r="A2368" s="2"/>
      <c r="B2368" s="65" t="str">
        <f>IF($C2368="","","GG"&amp;TEXT(ROW()-6,"00000"))</f>
        <v/>
      </c>
      <c r="C2368" s="66"/>
      <c r="D2368" s="60"/>
      <c r="E2368" s="61"/>
      <c r="F2368" s="61"/>
      <c r="G2368" s="67"/>
      <c r="H2368" s="60"/>
      <c r="I2368" s="60"/>
      <c r="J2368" s="61"/>
      <c r="K2368" s="61"/>
      <c r="L2368" s="60"/>
      <c r="M2368" s="74" t="str">
        <f>IF($C2368="","",IF($D2368="Gider",$E2368,IF($L2368&lt;&gt;"",$L2368,$H2368)))</f>
        <v/>
      </c>
      <c r="N2368" s="74" t="str">
        <f>IF($C2368="","",IF($D2368="Gider",$H2368,$E2368))</f>
        <v/>
      </c>
      <c r="O2368" s="73" t="str">
        <f>IF($C2368="","",DATE(YEAR($C2368),MONTH($C2368),1))</f>
        <v/>
      </c>
      <c r="P2368" s="65" t="str">
        <f ca="1">IF($C2368="","",IF(AND($D2368="Gelir",$L2368&lt;&gt;"",$T2368=""),"TANIMSIZ BORÇLU",IF($T2368&lt;&gt;"",IF(OR($E2368="",$G2368&lt;=0),"EKSİK",IF($I2368="Evet","TAHAKKUK NAKİT OLAMAZ",IF($C2368&gt;TODAY(),"İLERİ TARİH","TAHAKKUK"))),IF(AND($D2368&lt;&gt;"",$E2368&lt;&gt;"",$G2368&gt;0,$H2368&lt;&gt;"",$I2368&lt;&gt;""),IF($C2368&gt;TODAY(),"İLERİ TARİH",IF(COUNTIF($W$7:$W$3001,$W2368)&gt;1,"MÜKERRER?",IF($AD2368&gt;0,"KAPALI DÖNEM",IF($I2368="Hayır","ÖDENECEK","UYGUN")))),"EKSİK"))))</f>
        <v/>
      </c>
      <c r="Q2368" s="2"/>
      <c r="R2368" s="2"/>
      <c r="S2368" s="1" t="str">
        <f t="shared" si="110"/>
        <v/>
      </c>
      <c r="T2368" s="1" t="str">
        <f>IF(OR($C2368="",$D2368&lt;&gt;"Gelir",$L2368=""),"",IFERROR(INDEX(MUSTERILER!$B$7:$B$156,MATCH($S2368,MUSTERILER!$T$7:$T$156,0)),""))</f>
        <v/>
      </c>
      <c r="U2368" s="1" t="str">
        <f>IF($T2368="","",$T2368&amp;"|"&amp;COUNTIFS($T$7:$T2368,$T2368))</f>
        <v/>
      </c>
      <c r="V2368" s="1">
        <f t="shared" si="111"/>
        <v>0</v>
      </c>
      <c r="W2368" s="1" t="str">
        <f t="shared" si="112"/>
        <v/>
      </c>
      <c r="X2368" s="1"/>
      <c r="Y2368" s="1"/>
      <c r="Z2368" s="1"/>
      <c r="AA2368" s="1"/>
      <c r="AB2368" s="1"/>
      <c r="AC2368" s="1"/>
      <c r="AD2368" s="1">
        <f>IF($C2368="",0,SUMPRODUCT((AY_SONU!$O$7:$O$42="Evet")*(AY_SONU!$B$7:$B$42=DATE(YEAR($C2368),MONTH($C2368),1))))</f>
        <v>0</v>
      </c>
      <c r="AE2368" s="1" t="str">
        <f>IF($E2368="","",$E2368&amp;"|"&amp;COUNTIFS($E$7:$E2368,$E2368))</f>
        <v/>
      </c>
    </row>
    <row r="2369" spans="1:31" ht="18" customHeight="1" x14ac:dyDescent="0.3">
      <c r="A2369" s="2"/>
      <c r="B2369" s="65" t="str">
        <f>IF($C2369="","","GG"&amp;TEXT(ROW()-6,"00000"))</f>
        <v/>
      </c>
      <c r="C2369" s="66"/>
      <c r="D2369" s="60"/>
      <c r="E2369" s="61"/>
      <c r="F2369" s="61"/>
      <c r="G2369" s="67"/>
      <c r="H2369" s="60"/>
      <c r="I2369" s="60"/>
      <c r="J2369" s="61"/>
      <c r="K2369" s="61"/>
      <c r="L2369" s="60"/>
      <c r="M2369" s="74" t="str">
        <f>IF($C2369="","",IF($D2369="Gider",$E2369,IF($L2369&lt;&gt;"",$L2369,$H2369)))</f>
        <v/>
      </c>
      <c r="N2369" s="74" t="str">
        <f>IF($C2369="","",IF($D2369="Gider",$H2369,$E2369))</f>
        <v/>
      </c>
      <c r="O2369" s="73" t="str">
        <f>IF($C2369="","",DATE(YEAR($C2369),MONTH($C2369),1))</f>
        <v/>
      </c>
      <c r="P2369" s="65" t="str">
        <f ca="1">IF($C2369="","",IF(AND($D2369="Gelir",$L2369&lt;&gt;"",$T2369=""),"TANIMSIZ BORÇLU",IF($T2369&lt;&gt;"",IF(OR($E2369="",$G2369&lt;=0),"EKSİK",IF($I2369="Evet","TAHAKKUK NAKİT OLAMAZ",IF($C2369&gt;TODAY(),"İLERİ TARİH","TAHAKKUK"))),IF(AND($D2369&lt;&gt;"",$E2369&lt;&gt;"",$G2369&gt;0,$H2369&lt;&gt;"",$I2369&lt;&gt;""),IF($C2369&gt;TODAY(),"İLERİ TARİH",IF(COUNTIF($W$7:$W$3001,$W2369)&gt;1,"MÜKERRER?",IF($AD2369&gt;0,"KAPALI DÖNEM",IF($I2369="Hayır","ÖDENECEK","UYGUN")))),"EKSİK"))))</f>
        <v/>
      </c>
      <c r="Q2369" s="2"/>
      <c r="R2369" s="2"/>
      <c r="S2369" s="1" t="str">
        <f t="shared" si="110"/>
        <v/>
      </c>
      <c r="T2369" s="1" t="str">
        <f>IF(OR($C2369="",$D2369&lt;&gt;"Gelir",$L2369=""),"",IFERROR(INDEX(MUSTERILER!$B$7:$B$156,MATCH($S2369,MUSTERILER!$T$7:$T$156,0)),""))</f>
        <v/>
      </c>
      <c r="U2369" s="1" t="str">
        <f>IF($T2369="","",$T2369&amp;"|"&amp;COUNTIFS($T$7:$T2369,$T2369))</f>
        <v/>
      </c>
      <c r="V2369" s="1">
        <f t="shared" si="111"/>
        <v>0</v>
      </c>
      <c r="W2369" s="1" t="str">
        <f t="shared" si="112"/>
        <v/>
      </c>
      <c r="X2369" s="1"/>
      <c r="Y2369" s="1"/>
      <c r="Z2369" s="1"/>
      <c r="AA2369" s="1"/>
      <c r="AB2369" s="1"/>
      <c r="AC2369" s="1"/>
      <c r="AD2369" s="1">
        <f>IF($C2369="",0,SUMPRODUCT((AY_SONU!$O$7:$O$42="Evet")*(AY_SONU!$B$7:$B$42=DATE(YEAR($C2369),MONTH($C2369),1))))</f>
        <v>0</v>
      </c>
      <c r="AE2369" s="1" t="str">
        <f>IF($E2369="","",$E2369&amp;"|"&amp;COUNTIFS($E$7:$E2369,$E2369))</f>
        <v/>
      </c>
    </row>
    <row r="2370" spans="1:31" ht="18" customHeight="1" x14ac:dyDescent="0.3">
      <c r="A2370" s="2"/>
      <c r="B2370" s="65" t="str">
        <f>IF($C2370="","","GG"&amp;TEXT(ROW()-6,"00000"))</f>
        <v/>
      </c>
      <c r="C2370" s="66"/>
      <c r="D2370" s="60"/>
      <c r="E2370" s="61"/>
      <c r="F2370" s="61"/>
      <c r="G2370" s="67"/>
      <c r="H2370" s="60"/>
      <c r="I2370" s="60"/>
      <c r="J2370" s="61"/>
      <c r="K2370" s="61"/>
      <c r="L2370" s="60"/>
      <c r="M2370" s="74" t="str">
        <f>IF($C2370="","",IF($D2370="Gider",$E2370,IF($L2370&lt;&gt;"",$L2370,$H2370)))</f>
        <v/>
      </c>
      <c r="N2370" s="74" t="str">
        <f>IF($C2370="","",IF($D2370="Gider",$H2370,$E2370))</f>
        <v/>
      </c>
      <c r="O2370" s="73" t="str">
        <f>IF($C2370="","",DATE(YEAR($C2370),MONTH($C2370),1))</f>
        <v/>
      </c>
      <c r="P2370" s="65" t="str">
        <f ca="1">IF($C2370="","",IF(AND($D2370="Gelir",$L2370&lt;&gt;"",$T2370=""),"TANIMSIZ BORÇLU",IF($T2370&lt;&gt;"",IF(OR($E2370="",$G2370&lt;=0),"EKSİK",IF($I2370="Evet","TAHAKKUK NAKİT OLAMAZ",IF($C2370&gt;TODAY(),"İLERİ TARİH","TAHAKKUK"))),IF(AND($D2370&lt;&gt;"",$E2370&lt;&gt;"",$G2370&gt;0,$H2370&lt;&gt;"",$I2370&lt;&gt;""),IF($C2370&gt;TODAY(),"İLERİ TARİH",IF(COUNTIF($W$7:$W$3001,$W2370)&gt;1,"MÜKERRER?",IF($AD2370&gt;0,"KAPALI DÖNEM",IF($I2370="Hayır","ÖDENECEK","UYGUN")))),"EKSİK"))))</f>
        <v/>
      </c>
      <c r="Q2370" s="2"/>
      <c r="R2370" s="2"/>
      <c r="S2370" s="1" t="str">
        <f t="shared" si="110"/>
        <v/>
      </c>
      <c r="T2370" s="1" t="str">
        <f>IF(OR($C2370="",$D2370&lt;&gt;"Gelir",$L2370=""),"",IFERROR(INDEX(MUSTERILER!$B$7:$B$156,MATCH($S2370,MUSTERILER!$T$7:$T$156,0)),""))</f>
        <v/>
      </c>
      <c r="U2370" s="1" t="str">
        <f>IF($T2370="","",$T2370&amp;"|"&amp;COUNTIFS($T$7:$T2370,$T2370))</f>
        <v/>
      </c>
      <c r="V2370" s="1">
        <f t="shared" si="111"/>
        <v>0</v>
      </c>
      <c r="W2370" s="1" t="str">
        <f t="shared" si="112"/>
        <v/>
      </c>
      <c r="X2370" s="1"/>
      <c r="Y2370" s="1"/>
      <c r="Z2370" s="1"/>
      <c r="AA2370" s="1"/>
      <c r="AB2370" s="1"/>
      <c r="AC2370" s="1"/>
      <c r="AD2370" s="1">
        <f>IF($C2370="",0,SUMPRODUCT((AY_SONU!$O$7:$O$42="Evet")*(AY_SONU!$B$7:$B$42=DATE(YEAR($C2370),MONTH($C2370),1))))</f>
        <v>0</v>
      </c>
      <c r="AE2370" s="1" t="str">
        <f>IF($E2370="","",$E2370&amp;"|"&amp;COUNTIFS($E$7:$E2370,$E2370))</f>
        <v/>
      </c>
    </row>
    <row r="2371" spans="1:31" ht="18" customHeight="1" x14ac:dyDescent="0.3">
      <c r="A2371" s="2"/>
      <c r="B2371" s="65" t="str">
        <f>IF($C2371="","","GG"&amp;TEXT(ROW()-6,"00000"))</f>
        <v/>
      </c>
      <c r="C2371" s="66"/>
      <c r="D2371" s="60"/>
      <c r="E2371" s="61"/>
      <c r="F2371" s="61"/>
      <c r="G2371" s="67"/>
      <c r="H2371" s="60"/>
      <c r="I2371" s="60"/>
      <c r="J2371" s="61"/>
      <c r="K2371" s="61"/>
      <c r="L2371" s="60"/>
      <c r="M2371" s="74" t="str">
        <f>IF($C2371="","",IF($D2371="Gider",$E2371,IF($L2371&lt;&gt;"",$L2371,$H2371)))</f>
        <v/>
      </c>
      <c r="N2371" s="74" t="str">
        <f>IF($C2371="","",IF($D2371="Gider",$H2371,$E2371))</f>
        <v/>
      </c>
      <c r="O2371" s="73" t="str">
        <f>IF($C2371="","",DATE(YEAR($C2371),MONTH($C2371),1))</f>
        <v/>
      </c>
      <c r="P2371" s="65" t="str">
        <f ca="1">IF($C2371="","",IF(AND($D2371="Gelir",$L2371&lt;&gt;"",$T2371=""),"TANIMSIZ BORÇLU",IF($T2371&lt;&gt;"",IF(OR($E2371="",$G2371&lt;=0),"EKSİK",IF($I2371="Evet","TAHAKKUK NAKİT OLAMAZ",IF($C2371&gt;TODAY(),"İLERİ TARİH","TAHAKKUK"))),IF(AND($D2371&lt;&gt;"",$E2371&lt;&gt;"",$G2371&gt;0,$H2371&lt;&gt;"",$I2371&lt;&gt;""),IF($C2371&gt;TODAY(),"İLERİ TARİH",IF(COUNTIF($W$7:$W$3001,$W2371)&gt;1,"MÜKERRER?",IF($AD2371&gt;0,"KAPALI DÖNEM",IF($I2371="Hayır","ÖDENECEK","UYGUN")))),"EKSİK"))))</f>
        <v/>
      </c>
      <c r="Q2371" s="2"/>
      <c r="R2371" s="2"/>
      <c r="S2371" s="1" t="str">
        <f t="shared" si="110"/>
        <v/>
      </c>
      <c r="T2371" s="1" t="str">
        <f>IF(OR($C2371="",$D2371&lt;&gt;"Gelir",$L2371=""),"",IFERROR(INDEX(MUSTERILER!$B$7:$B$156,MATCH($S2371,MUSTERILER!$T$7:$T$156,0)),""))</f>
        <v/>
      </c>
      <c r="U2371" s="1" t="str">
        <f>IF($T2371="","",$T2371&amp;"|"&amp;COUNTIFS($T$7:$T2371,$T2371))</f>
        <v/>
      </c>
      <c r="V2371" s="1">
        <f t="shared" si="111"/>
        <v>0</v>
      </c>
      <c r="W2371" s="1" t="str">
        <f t="shared" si="112"/>
        <v/>
      </c>
      <c r="X2371" s="1"/>
      <c r="Y2371" s="1"/>
      <c r="Z2371" s="1"/>
      <c r="AA2371" s="1"/>
      <c r="AB2371" s="1"/>
      <c r="AC2371" s="1"/>
      <c r="AD2371" s="1">
        <f>IF($C2371="",0,SUMPRODUCT((AY_SONU!$O$7:$O$42="Evet")*(AY_SONU!$B$7:$B$42=DATE(YEAR($C2371),MONTH($C2371),1))))</f>
        <v>0</v>
      </c>
      <c r="AE2371" s="1" t="str">
        <f>IF($E2371="","",$E2371&amp;"|"&amp;COUNTIFS($E$7:$E2371,$E2371))</f>
        <v/>
      </c>
    </row>
    <row r="2372" spans="1:31" ht="18" customHeight="1" x14ac:dyDescent="0.3">
      <c r="A2372" s="2"/>
      <c r="B2372" s="65" t="str">
        <f>IF($C2372="","","GG"&amp;TEXT(ROW()-6,"00000"))</f>
        <v/>
      </c>
      <c r="C2372" s="66"/>
      <c r="D2372" s="60"/>
      <c r="E2372" s="61"/>
      <c r="F2372" s="61"/>
      <c r="G2372" s="67"/>
      <c r="H2372" s="60"/>
      <c r="I2372" s="60"/>
      <c r="J2372" s="61"/>
      <c r="K2372" s="61"/>
      <c r="L2372" s="60"/>
      <c r="M2372" s="74" t="str">
        <f>IF($C2372="","",IF($D2372="Gider",$E2372,IF($L2372&lt;&gt;"",$L2372,$H2372)))</f>
        <v/>
      </c>
      <c r="N2372" s="74" t="str">
        <f>IF($C2372="","",IF($D2372="Gider",$H2372,$E2372))</f>
        <v/>
      </c>
      <c r="O2372" s="73" t="str">
        <f>IF($C2372="","",DATE(YEAR($C2372),MONTH($C2372),1))</f>
        <v/>
      </c>
      <c r="P2372" s="65" t="str">
        <f ca="1">IF($C2372="","",IF(AND($D2372="Gelir",$L2372&lt;&gt;"",$T2372=""),"TANIMSIZ BORÇLU",IF($T2372&lt;&gt;"",IF(OR($E2372="",$G2372&lt;=0),"EKSİK",IF($I2372="Evet","TAHAKKUK NAKİT OLAMAZ",IF($C2372&gt;TODAY(),"İLERİ TARİH","TAHAKKUK"))),IF(AND($D2372&lt;&gt;"",$E2372&lt;&gt;"",$G2372&gt;0,$H2372&lt;&gt;"",$I2372&lt;&gt;""),IF($C2372&gt;TODAY(),"İLERİ TARİH",IF(COUNTIF($W$7:$W$3001,$W2372)&gt;1,"MÜKERRER?",IF($AD2372&gt;0,"KAPALI DÖNEM",IF($I2372="Hayır","ÖDENECEK","UYGUN")))),"EKSİK"))))</f>
        <v/>
      </c>
      <c r="Q2372" s="2"/>
      <c r="R2372" s="2"/>
      <c r="S2372" s="1" t="str">
        <f t="shared" si="110"/>
        <v/>
      </c>
      <c r="T2372" s="1" t="str">
        <f>IF(OR($C2372="",$D2372&lt;&gt;"Gelir",$L2372=""),"",IFERROR(INDEX(MUSTERILER!$B$7:$B$156,MATCH($S2372,MUSTERILER!$T$7:$T$156,0)),""))</f>
        <v/>
      </c>
      <c r="U2372" s="1" t="str">
        <f>IF($T2372="","",$T2372&amp;"|"&amp;COUNTIFS($T$7:$T2372,$T2372))</f>
        <v/>
      </c>
      <c r="V2372" s="1">
        <f t="shared" si="111"/>
        <v>0</v>
      </c>
      <c r="W2372" s="1" t="str">
        <f t="shared" si="112"/>
        <v/>
      </c>
      <c r="X2372" s="1"/>
      <c r="Y2372" s="1"/>
      <c r="Z2372" s="1"/>
      <c r="AA2372" s="1"/>
      <c r="AB2372" s="1"/>
      <c r="AC2372" s="1"/>
      <c r="AD2372" s="1">
        <f>IF($C2372="",0,SUMPRODUCT((AY_SONU!$O$7:$O$42="Evet")*(AY_SONU!$B$7:$B$42=DATE(YEAR($C2372),MONTH($C2372),1))))</f>
        <v>0</v>
      </c>
      <c r="AE2372" s="1" t="str">
        <f>IF($E2372="","",$E2372&amp;"|"&amp;COUNTIFS($E$7:$E2372,$E2372))</f>
        <v/>
      </c>
    </row>
    <row r="2373" spans="1:31" ht="18" customHeight="1" x14ac:dyDescent="0.3">
      <c r="A2373" s="2"/>
      <c r="B2373" s="65" t="str">
        <f>IF($C2373="","","GG"&amp;TEXT(ROW()-6,"00000"))</f>
        <v/>
      </c>
      <c r="C2373" s="66"/>
      <c r="D2373" s="60"/>
      <c r="E2373" s="61"/>
      <c r="F2373" s="61"/>
      <c r="G2373" s="67"/>
      <c r="H2373" s="60"/>
      <c r="I2373" s="60"/>
      <c r="J2373" s="61"/>
      <c r="K2373" s="61"/>
      <c r="L2373" s="60"/>
      <c r="M2373" s="74" t="str">
        <f>IF($C2373="","",IF($D2373="Gider",$E2373,IF($L2373&lt;&gt;"",$L2373,$H2373)))</f>
        <v/>
      </c>
      <c r="N2373" s="74" t="str">
        <f>IF($C2373="","",IF($D2373="Gider",$H2373,$E2373))</f>
        <v/>
      </c>
      <c r="O2373" s="73" t="str">
        <f>IF($C2373="","",DATE(YEAR($C2373),MONTH($C2373),1))</f>
        <v/>
      </c>
      <c r="P2373" s="65" t="str">
        <f ca="1">IF($C2373="","",IF(AND($D2373="Gelir",$L2373&lt;&gt;"",$T2373=""),"TANIMSIZ BORÇLU",IF($T2373&lt;&gt;"",IF(OR($E2373="",$G2373&lt;=0),"EKSİK",IF($I2373="Evet","TAHAKKUK NAKİT OLAMAZ",IF($C2373&gt;TODAY(),"İLERİ TARİH","TAHAKKUK"))),IF(AND($D2373&lt;&gt;"",$E2373&lt;&gt;"",$G2373&gt;0,$H2373&lt;&gt;"",$I2373&lt;&gt;""),IF($C2373&gt;TODAY(),"İLERİ TARİH",IF(COUNTIF($W$7:$W$3001,$W2373)&gt;1,"MÜKERRER?",IF($AD2373&gt;0,"KAPALI DÖNEM",IF($I2373="Hayır","ÖDENECEK","UYGUN")))),"EKSİK"))))</f>
        <v/>
      </c>
      <c r="Q2373" s="2"/>
      <c r="R2373" s="2"/>
      <c r="S2373" s="1" t="str">
        <f t="shared" ref="S2373:S2436" si="113">IF($L2373="","",UPPER(SUBSTITUTE(SUBSTITUTE(SUBSTITUTE(SUBSTITUTE(SUBSTITUTE(SUBSTITUTE(SUBSTITUTE(SUBSTITUTE(SUBSTITUTE(SUBSTITUTE(SUBSTITUTE(SUBSTITUTE(SUBSTITUTE(SUBSTITUTE(SUBSTITUTE(SUBSTITUTE(SUBSTITUTE(SUBSTITUTE(TRIM($L2373),"'",""),"İ","I"),"ı","I"),"i","I"),"Ş","S"),"ş","S"),"Ğ","G"),"ğ","G"),"Ü","U"),"ü","U"),"Ö","O"),"ö","O"),"Ç","C"),"ç","C"),".",""),",","")," ",""),"-","")))</f>
        <v/>
      </c>
      <c r="T2373" s="1" t="str">
        <f>IF(OR($C2373="",$D2373&lt;&gt;"Gelir",$L2373=""),"",IFERROR(INDEX(MUSTERILER!$B$7:$B$156,MATCH($S2373,MUSTERILER!$T$7:$T$156,0)),""))</f>
        <v/>
      </c>
      <c r="U2373" s="1" t="str">
        <f>IF($T2373="","",$T2373&amp;"|"&amp;COUNTIFS($T$7:$T2373,$T2373))</f>
        <v/>
      </c>
      <c r="V2373" s="1">
        <f t="shared" ref="V2373:V2436" si="114">IF($T2373="",0,1)</f>
        <v>0</v>
      </c>
      <c r="W2373" s="1" t="str">
        <f t="shared" ref="W2373:W2436" si="115">IF($C2373="","",$D2373&amp;"|"&amp;$E2373&amp;"|"&amp;TEXT($C2373,"0")&amp;"|"&amp;TEXT($G2373,"0")&amp;"|"&amp;$F2373&amp;"|"&amp;$J2373)</f>
        <v/>
      </c>
      <c r="X2373" s="1"/>
      <c r="Y2373" s="1"/>
      <c r="Z2373" s="1"/>
      <c r="AA2373" s="1"/>
      <c r="AB2373" s="1"/>
      <c r="AC2373" s="1"/>
      <c r="AD2373" s="1">
        <f>IF($C2373="",0,SUMPRODUCT((AY_SONU!$O$7:$O$42="Evet")*(AY_SONU!$B$7:$B$42=DATE(YEAR($C2373),MONTH($C2373),1))))</f>
        <v>0</v>
      </c>
      <c r="AE2373" s="1" t="str">
        <f>IF($E2373="","",$E2373&amp;"|"&amp;COUNTIFS($E$7:$E2373,$E2373))</f>
        <v/>
      </c>
    </row>
    <row r="2374" spans="1:31" ht="18" customHeight="1" x14ac:dyDescent="0.3">
      <c r="A2374" s="2"/>
      <c r="B2374" s="65" t="str">
        <f>IF($C2374="","","GG"&amp;TEXT(ROW()-6,"00000"))</f>
        <v/>
      </c>
      <c r="C2374" s="66"/>
      <c r="D2374" s="60"/>
      <c r="E2374" s="61"/>
      <c r="F2374" s="61"/>
      <c r="G2374" s="67"/>
      <c r="H2374" s="60"/>
      <c r="I2374" s="60"/>
      <c r="J2374" s="61"/>
      <c r="K2374" s="61"/>
      <c r="L2374" s="60"/>
      <c r="M2374" s="74" t="str">
        <f>IF($C2374="","",IF($D2374="Gider",$E2374,IF($L2374&lt;&gt;"",$L2374,$H2374)))</f>
        <v/>
      </c>
      <c r="N2374" s="74" t="str">
        <f>IF($C2374="","",IF($D2374="Gider",$H2374,$E2374))</f>
        <v/>
      </c>
      <c r="O2374" s="73" t="str">
        <f>IF($C2374="","",DATE(YEAR($C2374),MONTH($C2374),1))</f>
        <v/>
      </c>
      <c r="P2374" s="65" t="str">
        <f ca="1">IF($C2374="","",IF(AND($D2374="Gelir",$L2374&lt;&gt;"",$T2374=""),"TANIMSIZ BORÇLU",IF($T2374&lt;&gt;"",IF(OR($E2374="",$G2374&lt;=0),"EKSİK",IF($I2374="Evet","TAHAKKUK NAKİT OLAMAZ",IF($C2374&gt;TODAY(),"İLERİ TARİH","TAHAKKUK"))),IF(AND($D2374&lt;&gt;"",$E2374&lt;&gt;"",$G2374&gt;0,$H2374&lt;&gt;"",$I2374&lt;&gt;""),IF($C2374&gt;TODAY(),"İLERİ TARİH",IF(COUNTIF($W$7:$W$3001,$W2374)&gt;1,"MÜKERRER?",IF($AD2374&gt;0,"KAPALI DÖNEM",IF($I2374="Hayır","ÖDENECEK","UYGUN")))),"EKSİK"))))</f>
        <v/>
      </c>
      <c r="Q2374" s="2"/>
      <c r="R2374" s="2"/>
      <c r="S2374" s="1" t="str">
        <f t="shared" si="113"/>
        <v/>
      </c>
      <c r="T2374" s="1" t="str">
        <f>IF(OR($C2374="",$D2374&lt;&gt;"Gelir",$L2374=""),"",IFERROR(INDEX(MUSTERILER!$B$7:$B$156,MATCH($S2374,MUSTERILER!$T$7:$T$156,0)),""))</f>
        <v/>
      </c>
      <c r="U2374" s="1" t="str">
        <f>IF($T2374="","",$T2374&amp;"|"&amp;COUNTIFS($T$7:$T2374,$T2374))</f>
        <v/>
      </c>
      <c r="V2374" s="1">
        <f t="shared" si="114"/>
        <v>0</v>
      </c>
      <c r="W2374" s="1" t="str">
        <f t="shared" si="115"/>
        <v/>
      </c>
      <c r="X2374" s="1"/>
      <c r="Y2374" s="1"/>
      <c r="Z2374" s="1"/>
      <c r="AA2374" s="1"/>
      <c r="AB2374" s="1"/>
      <c r="AC2374" s="1"/>
      <c r="AD2374" s="1">
        <f>IF($C2374="",0,SUMPRODUCT((AY_SONU!$O$7:$O$42="Evet")*(AY_SONU!$B$7:$B$42=DATE(YEAR($C2374),MONTH($C2374),1))))</f>
        <v>0</v>
      </c>
      <c r="AE2374" s="1" t="str">
        <f>IF($E2374="","",$E2374&amp;"|"&amp;COUNTIFS($E$7:$E2374,$E2374))</f>
        <v/>
      </c>
    </row>
    <row r="2375" spans="1:31" ht="18" customHeight="1" x14ac:dyDescent="0.3">
      <c r="A2375" s="2"/>
      <c r="B2375" s="65" t="str">
        <f>IF($C2375="","","GG"&amp;TEXT(ROW()-6,"00000"))</f>
        <v/>
      </c>
      <c r="C2375" s="66"/>
      <c r="D2375" s="60"/>
      <c r="E2375" s="61"/>
      <c r="F2375" s="61"/>
      <c r="G2375" s="67"/>
      <c r="H2375" s="60"/>
      <c r="I2375" s="60"/>
      <c r="J2375" s="61"/>
      <c r="K2375" s="61"/>
      <c r="L2375" s="60"/>
      <c r="M2375" s="74" t="str">
        <f>IF($C2375="","",IF($D2375="Gider",$E2375,IF($L2375&lt;&gt;"",$L2375,$H2375)))</f>
        <v/>
      </c>
      <c r="N2375" s="74" t="str">
        <f>IF($C2375="","",IF($D2375="Gider",$H2375,$E2375))</f>
        <v/>
      </c>
      <c r="O2375" s="73" t="str">
        <f>IF($C2375="","",DATE(YEAR($C2375),MONTH($C2375),1))</f>
        <v/>
      </c>
      <c r="P2375" s="65" t="str">
        <f ca="1"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TARİH",IF(COUNTIF($W$7:$W$3001,$W2375)&gt;1,"MÜKERRER?",IF($AD2375&gt;0,"KAPALI DÖNEM",IF($I2375="Hayır","ÖDENECEK","UYGUN")))),"EKSİK"))))</f>
        <v/>
      </c>
      <c r="Q2375" s="2"/>
      <c r="R2375" s="2"/>
      <c r="S2375" s="1" t="str">
        <f t="shared" si="113"/>
        <v/>
      </c>
      <c r="T2375" s="1" t="str">
        <f>IF(OR($C2375="",$D2375&lt;&gt;"Gelir",$L2375=""),"",IFERROR(INDEX(MUSTERILER!$B$7:$B$156,MATCH($S2375,MUSTERILER!$T$7:$T$156,0)),""))</f>
        <v/>
      </c>
      <c r="U2375" s="1" t="str">
        <f>IF($T2375="","",$T2375&amp;"|"&amp;COUNTIFS($T$7:$T2375,$T2375))</f>
        <v/>
      </c>
      <c r="V2375" s="1">
        <f t="shared" si="114"/>
        <v>0</v>
      </c>
      <c r="W2375" s="1" t="str">
        <f t="shared" si="115"/>
        <v/>
      </c>
      <c r="X2375" s="1"/>
      <c r="Y2375" s="1"/>
      <c r="Z2375" s="1"/>
      <c r="AA2375" s="1"/>
      <c r="AB2375" s="1"/>
      <c r="AC2375" s="1"/>
      <c r="AD2375" s="1">
        <f>IF($C2375="",0,SUMPRODUCT((AY_SONU!$O$7:$O$42="Evet")*(AY_SONU!$B$7:$B$42=DATE(YEAR($C2375),MONTH($C2375),1))))</f>
        <v>0</v>
      </c>
      <c r="AE2375" s="1" t="str">
        <f>IF($E2375="","",$E2375&amp;"|"&amp;COUNTIFS($E$7:$E2375,$E2375))</f>
        <v/>
      </c>
    </row>
    <row r="2376" spans="1:31" ht="18" customHeight="1" x14ac:dyDescent="0.3">
      <c r="A2376" s="2"/>
      <c r="B2376" s="65" t="str">
        <f>IF($C2376="","","GG"&amp;TEXT(ROW()-6,"00000"))</f>
        <v/>
      </c>
      <c r="C2376" s="66"/>
      <c r="D2376" s="60"/>
      <c r="E2376" s="61"/>
      <c r="F2376" s="61"/>
      <c r="G2376" s="67"/>
      <c r="H2376" s="60"/>
      <c r="I2376" s="60"/>
      <c r="J2376" s="61"/>
      <c r="K2376" s="61"/>
      <c r="L2376" s="60"/>
      <c r="M2376" s="74" t="str">
        <f>IF($C2376="","",IF($D2376="Gider",$E2376,IF($L2376&lt;&gt;"",$L2376,$H2376)))</f>
        <v/>
      </c>
      <c r="N2376" s="74" t="str">
        <f>IF($C2376="","",IF($D2376="Gider",$H2376,$E2376))</f>
        <v/>
      </c>
      <c r="O2376" s="73" t="str">
        <f>IF($C2376="","",DATE(YEAR($C2376),MONTH($C2376),1))</f>
        <v/>
      </c>
      <c r="P2376" s="65" t="str">
        <f ca="1">IF($C2376="","",IF(AND($D2376="Gelir",$L2376&lt;&gt;"",$T2376=""),"TANIMSIZ BORÇLU",IF($T2376&lt;&gt;"",IF(OR($E2376="",$G2376&lt;=0),"EKSİK",IF($I2376="Evet","TAHAKKUK NAKİT OLAMAZ",IF($C2376&gt;TODAY(),"İLERİ TARİH","TAHAKKUK"))),IF(AND($D2376&lt;&gt;"",$E2376&lt;&gt;"",$G2376&gt;0,$H2376&lt;&gt;"",$I2376&lt;&gt;""),IF($C2376&gt;TODAY(),"İLERİ TARİH",IF(COUNTIF($W$7:$W$3001,$W2376)&gt;1,"MÜKERRER?",IF($AD2376&gt;0,"KAPALI DÖNEM",IF($I2376="Hayır","ÖDENECEK","UYGUN")))),"EKSİK"))))</f>
        <v/>
      </c>
      <c r="Q2376" s="2"/>
      <c r="R2376" s="2"/>
      <c r="S2376" s="1" t="str">
        <f t="shared" si="113"/>
        <v/>
      </c>
      <c r="T2376" s="1" t="str">
        <f>IF(OR($C2376="",$D2376&lt;&gt;"Gelir",$L2376=""),"",IFERROR(INDEX(MUSTERILER!$B$7:$B$156,MATCH($S2376,MUSTERILER!$T$7:$T$156,0)),""))</f>
        <v/>
      </c>
      <c r="U2376" s="1" t="str">
        <f>IF($T2376="","",$T2376&amp;"|"&amp;COUNTIFS($T$7:$T2376,$T2376))</f>
        <v/>
      </c>
      <c r="V2376" s="1">
        <f t="shared" si="114"/>
        <v>0</v>
      </c>
      <c r="W2376" s="1" t="str">
        <f t="shared" si="115"/>
        <v/>
      </c>
      <c r="X2376" s="1"/>
      <c r="Y2376" s="1"/>
      <c r="Z2376" s="1"/>
      <c r="AA2376" s="1"/>
      <c r="AB2376" s="1"/>
      <c r="AC2376" s="1"/>
      <c r="AD2376" s="1">
        <f>IF($C2376="",0,SUMPRODUCT((AY_SONU!$O$7:$O$42="Evet")*(AY_SONU!$B$7:$B$42=DATE(YEAR($C2376),MONTH($C2376),1))))</f>
        <v>0</v>
      </c>
      <c r="AE2376" s="1" t="str">
        <f>IF($E2376="","",$E2376&amp;"|"&amp;COUNTIFS($E$7:$E2376,$E2376))</f>
        <v/>
      </c>
    </row>
    <row r="2377" spans="1:31" ht="18" customHeight="1" x14ac:dyDescent="0.3">
      <c r="A2377" s="2"/>
      <c r="B2377" s="65" t="str">
        <f>IF($C2377="","","GG"&amp;TEXT(ROW()-6,"00000"))</f>
        <v/>
      </c>
      <c r="C2377" s="66"/>
      <c r="D2377" s="60"/>
      <c r="E2377" s="61"/>
      <c r="F2377" s="61"/>
      <c r="G2377" s="67"/>
      <c r="H2377" s="60"/>
      <c r="I2377" s="60"/>
      <c r="J2377" s="61"/>
      <c r="K2377" s="61"/>
      <c r="L2377" s="60"/>
      <c r="M2377" s="74" t="str">
        <f>IF($C2377="","",IF($D2377="Gider",$E2377,IF($L2377&lt;&gt;"",$L2377,$H2377)))</f>
        <v/>
      </c>
      <c r="N2377" s="74" t="str">
        <f>IF($C2377="","",IF($D2377="Gider",$H2377,$E2377))</f>
        <v/>
      </c>
      <c r="O2377" s="73" t="str">
        <f>IF($C2377="","",DATE(YEAR($C2377),MONTH($C2377),1))</f>
        <v/>
      </c>
      <c r="P2377" s="65" t="str">
        <f ca="1">IF($C2377="","",IF(AND($D2377="Gelir",$L2377&lt;&gt;"",$T2377=""),"TANIMSIZ BORÇLU",IF($T2377&lt;&gt;"",IF(OR($E2377="",$G2377&lt;=0),"EKSİK",IF($I2377="Evet","TAHAKKUK NAKİT OLAMAZ",IF($C2377&gt;TODAY(),"İLERİ TARİH","TAHAKKUK"))),IF(AND($D2377&lt;&gt;"",$E2377&lt;&gt;"",$G2377&gt;0,$H2377&lt;&gt;"",$I2377&lt;&gt;""),IF($C2377&gt;TODAY(),"İLERİ TARİH",IF(COUNTIF($W$7:$W$3001,$W2377)&gt;1,"MÜKERRER?",IF($AD2377&gt;0,"KAPALI DÖNEM",IF($I2377="Hayır","ÖDENECEK","UYGUN")))),"EKSİK"))))</f>
        <v/>
      </c>
      <c r="Q2377" s="2"/>
      <c r="R2377" s="2"/>
      <c r="S2377" s="1" t="str">
        <f t="shared" si="113"/>
        <v/>
      </c>
      <c r="T2377" s="1" t="str">
        <f>IF(OR($C2377="",$D2377&lt;&gt;"Gelir",$L2377=""),"",IFERROR(INDEX(MUSTERILER!$B$7:$B$156,MATCH($S2377,MUSTERILER!$T$7:$T$156,0)),""))</f>
        <v/>
      </c>
      <c r="U2377" s="1" t="str">
        <f>IF($T2377="","",$T2377&amp;"|"&amp;COUNTIFS($T$7:$T2377,$T2377))</f>
        <v/>
      </c>
      <c r="V2377" s="1">
        <f t="shared" si="114"/>
        <v>0</v>
      </c>
      <c r="W2377" s="1" t="str">
        <f t="shared" si="115"/>
        <v/>
      </c>
      <c r="X2377" s="1"/>
      <c r="Y2377" s="1"/>
      <c r="Z2377" s="1"/>
      <c r="AA2377" s="1"/>
      <c r="AB2377" s="1"/>
      <c r="AC2377" s="1"/>
      <c r="AD2377" s="1">
        <f>IF($C2377="",0,SUMPRODUCT((AY_SONU!$O$7:$O$42="Evet")*(AY_SONU!$B$7:$B$42=DATE(YEAR($C2377),MONTH($C2377),1))))</f>
        <v>0</v>
      </c>
      <c r="AE2377" s="1" t="str">
        <f>IF($E2377="","",$E2377&amp;"|"&amp;COUNTIFS($E$7:$E2377,$E2377))</f>
        <v/>
      </c>
    </row>
    <row r="2378" spans="1:31" ht="18" customHeight="1" x14ac:dyDescent="0.3">
      <c r="A2378" s="2"/>
      <c r="B2378" s="65" t="str">
        <f>IF($C2378="","","GG"&amp;TEXT(ROW()-6,"00000"))</f>
        <v/>
      </c>
      <c r="C2378" s="66"/>
      <c r="D2378" s="60"/>
      <c r="E2378" s="61"/>
      <c r="F2378" s="61"/>
      <c r="G2378" s="67"/>
      <c r="H2378" s="60"/>
      <c r="I2378" s="60"/>
      <c r="J2378" s="61"/>
      <c r="K2378" s="61"/>
      <c r="L2378" s="60"/>
      <c r="M2378" s="74" t="str">
        <f>IF($C2378="","",IF($D2378="Gider",$E2378,IF($L2378&lt;&gt;"",$L2378,$H2378)))</f>
        <v/>
      </c>
      <c r="N2378" s="74" t="str">
        <f>IF($C2378="","",IF($D2378="Gider",$H2378,$E2378))</f>
        <v/>
      </c>
      <c r="O2378" s="73" t="str">
        <f>IF($C2378="","",DATE(YEAR($C2378),MONTH($C2378),1))</f>
        <v/>
      </c>
      <c r="P2378" s="65" t="str">
        <f ca="1">IF($C2378="","",IF(AND($D2378="Gelir",$L2378&lt;&gt;"",$T2378=""),"TANIMSIZ BORÇLU",IF($T2378&lt;&gt;"",IF(OR($E2378="",$G2378&lt;=0),"EKSİK",IF($I2378="Evet","TAHAKKUK NAKİT OLAMAZ",IF($C2378&gt;TODAY(),"İLERİ TARİH","TAHAKKUK"))),IF(AND($D2378&lt;&gt;"",$E2378&lt;&gt;"",$G2378&gt;0,$H2378&lt;&gt;"",$I2378&lt;&gt;""),IF($C2378&gt;TODAY(),"İLERİ TARİH",IF(COUNTIF($W$7:$W$3001,$W2378)&gt;1,"MÜKERRER?",IF($AD2378&gt;0,"KAPALI DÖNEM",IF($I2378="Hayır","ÖDENECEK","UYGUN")))),"EKSİK"))))</f>
        <v/>
      </c>
      <c r="Q2378" s="2"/>
      <c r="R2378" s="2"/>
      <c r="S2378" s="1" t="str">
        <f t="shared" si="113"/>
        <v/>
      </c>
      <c r="T2378" s="1" t="str">
        <f>IF(OR($C2378="",$D2378&lt;&gt;"Gelir",$L2378=""),"",IFERROR(INDEX(MUSTERILER!$B$7:$B$156,MATCH($S2378,MUSTERILER!$T$7:$T$156,0)),""))</f>
        <v/>
      </c>
      <c r="U2378" s="1" t="str">
        <f>IF($T2378="","",$T2378&amp;"|"&amp;COUNTIFS($T$7:$T2378,$T2378))</f>
        <v/>
      </c>
      <c r="V2378" s="1">
        <f t="shared" si="114"/>
        <v>0</v>
      </c>
      <c r="W2378" s="1" t="str">
        <f t="shared" si="115"/>
        <v/>
      </c>
      <c r="X2378" s="1"/>
      <c r="Y2378" s="1"/>
      <c r="Z2378" s="1"/>
      <c r="AA2378" s="1"/>
      <c r="AB2378" s="1"/>
      <c r="AC2378" s="1"/>
      <c r="AD2378" s="1">
        <f>IF($C2378="",0,SUMPRODUCT((AY_SONU!$O$7:$O$42="Evet")*(AY_SONU!$B$7:$B$42=DATE(YEAR($C2378),MONTH($C2378),1))))</f>
        <v>0</v>
      </c>
      <c r="AE2378" s="1" t="str">
        <f>IF($E2378="","",$E2378&amp;"|"&amp;COUNTIFS($E$7:$E2378,$E2378))</f>
        <v/>
      </c>
    </row>
    <row r="2379" spans="1:31" ht="18" customHeight="1" x14ac:dyDescent="0.3">
      <c r="A2379" s="2"/>
      <c r="B2379" s="65" t="str">
        <f>IF($C2379="","","GG"&amp;TEXT(ROW()-6,"00000"))</f>
        <v/>
      </c>
      <c r="C2379" s="66"/>
      <c r="D2379" s="60"/>
      <c r="E2379" s="61"/>
      <c r="F2379" s="61"/>
      <c r="G2379" s="67"/>
      <c r="H2379" s="60"/>
      <c r="I2379" s="60"/>
      <c r="J2379" s="61"/>
      <c r="K2379" s="61"/>
      <c r="L2379" s="60"/>
      <c r="M2379" s="74" t="str">
        <f>IF($C2379="","",IF($D2379="Gider",$E2379,IF($L2379&lt;&gt;"",$L2379,$H2379)))</f>
        <v/>
      </c>
      <c r="N2379" s="74" t="str">
        <f>IF($C2379="","",IF($D2379="Gider",$H2379,$E2379))</f>
        <v/>
      </c>
      <c r="O2379" s="73" t="str">
        <f>IF($C2379="","",DATE(YEAR($C2379),MONTH($C2379),1))</f>
        <v/>
      </c>
      <c r="P2379" s="65" t="str">
        <f ca="1">IF($C2379="","",IF(AND($D2379="Gelir",$L2379&lt;&gt;"",$T2379=""),"TANIMSIZ BORÇLU",IF($T2379&lt;&gt;"",IF(OR($E2379="",$G2379&lt;=0),"EKSİK",IF($I2379="Evet","TAHAKKUK NAKİT OLAMAZ",IF($C2379&gt;TODAY(),"İLERİ TARİH","TAHAKKUK"))),IF(AND($D2379&lt;&gt;"",$E2379&lt;&gt;"",$G2379&gt;0,$H2379&lt;&gt;"",$I2379&lt;&gt;""),IF($C2379&gt;TODAY(),"İLERİ TARİH",IF(COUNTIF($W$7:$W$3001,$W2379)&gt;1,"MÜKERRER?",IF($AD2379&gt;0,"KAPALI DÖNEM",IF($I2379="Hayır","ÖDENECEK","UYGUN")))),"EKSİK"))))</f>
        <v/>
      </c>
      <c r="Q2379" s="2"/>
      <c r="R2379" s="2"/>
      <c r="S2379" s="1" t="str">
        <f t="shared" si="113"/>
        <v/>
      </c>
      <c r="T2379" s="1" t="str">
        <f>IF(OR($C2379="",$D2379&lt;&gt;"Gelir",$L2379=""),"",IFERROR(INDEX(MUSTERILER!$B$7:$B$156,MATCH($S2379,MUSTERILER!$T$7:$T$156,0)),""))</f>
        <v/>
      </c>
      <c r="U2379" s="1" t="str">
        <f>IF($T2379="","",$T2379&amp;"|"&amp;COUNTIFS($T$7:$T2379,$T2379))</f>
        <v/>
      </c>
      <c r="V2379" s="1">
        <f t="shared" si="114"/>
        <v>0</v>
      </c>
      <c r="W2379" s="1" t="str">
        <f t="shared" si="115"/>
        <v/>
      </c>
      <c r="X2379" s="1"/>
      <c r="Y2379" s="1"/>
      <c r="Z2379" s="1"/>
      <c r="AA2379" s="1"/>
      <c r="AB2379" s="1"/>
      <c r="AC2379" s="1"/>
      <c r="AD2379" s="1">
        <f>IF($C2379="",0,SUMPRODUCT((AY_SONU!$O$7:$O$42="Evet")*(AY_SONU!$B$7:$B$42=DATE(YEAR($C2379),MONTH($C2379),1))))</f>
        <v>0</v>
      </c>
      <c r="AE2379" s="1" t="str">
        <f>IF($E2379="","",$E2379&amp;"|"&amp;COUNTIFS($E$7:$E2379,$E2379))</f>
        <v/>
      </c>
    </row>
    <row r="2380" spans="1:31" ht="18" customHeight="1" x14ac:dyDescent="0.3">
      <c r="A2380" s="2"/>
      <c r="B2380" s="65" t="str">
        <f>IF($C2380="","","GG"&amp;TEXT(ROW()-6,"00000"))</f>
        <v/>
      </c>
      <c r="C2380" s="66"/>
      <c r="D2380" s="60"/>
      <c r="E2380" s="61"/>
      <c r="F2380" s="61"/>
      <c r="G2380" s="67"/>
      <c r="H2380" s="60"/>
      <c r="I2380" s="60"/>
      <c r="J2380" s="61"/>
      <c r="K2380" s="61"/>
      <c r="L2380" s="60"/>
      <c r="M2380" s="74" t="str">
        <f>IF($C2380="","",IF($D2380="Gider",$E2380,IF($L2380&lt;&gt;"",$L2380,$H2380)))</f>
        <v/>
      </c>
      <c r="N2380" s="74" t="str">
        <f>IF($C2380="","",IF($D2380="Gider",$H2380,$E2380))</f>
        <v/>
      </c>
      <c r="O2380" s="73" t="str">
        <f>IF($C2380="","",DATE(YEAR($C2380),MONTH($C2380),1))</f>
        <v/>
      </c>
      <c r="P2380" s="65" t="str">
        <f ca="1">IF($C2380="","",IF(AND($D2380="Gelir",$L2380&lt;&gt;"",$T2380=""),"TANIMSIZ BORÇLU",IF($T2380&lt;&gt;"",IF(OR($E2380="",$G2380&lt;=0),"EKSİK",IF($I2380="Evet","TAHAKKUK NAKİT OLAMAZ",IF($C2380&gt;TODAY(),"İLERİ TARİH","TAHAKKUK"))),IF(AND($D2380&lt;&gt;"",$E2380&lt;&gt;"",$G2380&gt;0,$H2380&lt;&gt;"",$I2380&lt;&gt;""),IF($C2380&gt;TODAY(),"İLERİ TARİH",IF(COUNTIF($W$7:$W$3001,$W2380)&gt;1,"MÜKERRER?",IF($AD2380&gt;0,"KAPALI DÖNEM",IF($I2380="Hayır","ÖDENECEK","UYGUN")))),"EKSİK"))))</f>
        <v/>
      </c>
      <c r="Q2380" s="2"/>
      <c r="R2380" s="2"/>
      <c r="S2380" s="1" t="str">
        <f t="shared" si="113"/>
        <v/>
      </c>
      <c r="T2380" s="1" t="str">
        <f>IF(OR($C2380="",$D2380&lt;&gt;"Gelir",$L2380=""),"",IFERROR(INDEX(MUSTERILER!$B$7:$B$156,MATCH($S2380,MUSTERILER!$T$7:$T$156,0)),""))</f>
        <v/>
      </c>
      <c r="U2380" s="1" t="str">
        <f>IF($T2380="","",$T2380&amp;"|"&amp;COUNTIFS($T$7:$T2380,$T2380))</f>
        <v/>
      </c>
      <c r="V2380" s="1">
        <f t="shared" si="114"/>
        <v>0</v>
      </c>
      <c r="W2380" s="1" t="str">
        <f t="shared" si="115"/>
        <v/>
      </c>
      <c r="X2380" s="1"/>
      <c r="Y2380" s="1"/>
      <c r="Z2380" s="1"/>
      <c r="AA2380" s="1"/>
      <c r="AB2380" s="1"/>
      <c r="AC2380" s="1"/>
      <c r="AD2380" s="1">
        <f>IF($C2380="",0,SUMPRODUCT((AY_SONU!$O$7:$O$42="Evet")*(AY_SONU!$B$7:$B$42=DATE(YEAR($C2380),MONTH($C2380),1))))</f>
        <v>0</v>
      </c>
      <c r="AE2380" s="1" t="str">
        <f>IF($E2380="","",$E2380&amp;"|"&amp;COUNTIFS($E$7:$E2380,$E2380))</f>
        <v/>
      </c>
    </row>
    <row r="2381" spans="1:31" ht="18" customHeight="1" x14ac:dyDescent="0.3">
      <c r="A2381" s="2"/>
      <c r="B2381" s="65" t="str">
        <f>IF($C2381="","","GG"&amp;TEXT(ROW()-6,"00000"))</f>
        <v/>
      </c>
      <c r="C2381" s="66"/>
      <c r="D2381" s="60"/>
      <c r="E2381" s="61"/>
      <c r="F2381" s="61"/>
      <c r="G2381" s="67"/>
      <c r="H2381" s="60"/>
      <c r="I2381" s="60"/>
      <c r="J2381" s="61"/>
      <c r="K2381" s="61"/>
      <c r="L2381" s="60"/>
      <c r="M2381" s="74" t="str">
        <f>IF($C2381="","",IF($D2381="Gider",$E2381,IF($L2381&lt;&gt;"",$L2381,$H2381)))</f>
        <v/>
      </c>
      <c r="N2381" s="74" t="str">
        <f>IF($C2381="","",IF($D2381="Gider",$H2381,$E2381))</f>
        <v/>
      </c>
      <c r="O2381" s="73" t="str">
        <f>IF($C2381="","",DATE(YEAR($C2381),MONTH($C2381),1))</f>
        <v/>
      </c>
      <c r="P2381" s="65" t="str">
        <f ca="1">IF($C2381="","",IF(AND($D2381="Gelir",$L2381&lt;&gt;"",$T2381=""),"TANIMSIZ BORÇLU",IF($T2381&lt;&gt;"",IF(OR($E2381="",$G2381&lt;=0),"EKSİK",IF($I2381="Evet","TAHAKKUK NAKİT OLAMAZ",IF($C2381&gt;TODAY(),"İLERİ TARİH","TAHAKKUK"))),IF(AND($D2381&lt;&gt;"",$E2381&lt;&gt;"",$G2381&gt;0,$H2381&lt;&gt;"",$I2381&lt;&gt;""),IF($C2381&gt;TODAY(),"İLERİ TARİH",IF(COUNTIF($W$7:$W$3001,$W2381)&gt;1,"MÜKERRER?",IF($AD2381&gt;0,"KAPALI DÖNEM",IF($I2381="Hayır","ÖDENECEK","UYGUN")))),"EKSİK"))))</f>
        <v/>
      </c>
      <c r="Q2381" s="2"/>
      <c r="R2381" s="2"/>
      <c r="S2381" s="1" t="str">
        <f t="shared" si="113"/>
        <v/>
      </c>
      <c r="T2381" s="1" t="str">
        <f>IF(OR($C2381="",$D2381&lt;&gt;"Gelir",$L2381=""),"",IFERROR(INDEX(MUSTERILER!$B$7:$B$156,MATCH($S2381,MUSTERILER!$T$7:$T$156,0)),""))</f>
        <v/>
      </c>
      <c r="U2381" s="1" t="str">
        <f>IF($T2381="","",$T2381&amp;"|"&amp;COUNTIFS($T$7:$T2381,$T2381))</f>
        <v/>
      </c>
      <c r="V2381" s="1">
        <f t="shared" si="114"/>
        <v>0</v>
      </c>
      <c r="W2381" s="1" t="str">
        <f t="shared" si="115"/>
        <v/>
      </c>
      <c r="X2381" s="1"/>
      <c r="Y2381" s="1"/>
      <c r="Z2381" s="1"/>
      <c r="AA2381" s="1"/>
      <c r="AB2381" s="1"/>
      <c r="AC2381" s="1"/>
      <c r="AD2381" s="1">
        <f>IF($C2381="",0,SUMPRODUCT((AY_SONU!$O$7:$O$42="Evet")*(AY_SONU!$B$7:$B$42=DATE(YEAR($C2381),MONTH($C2381),1))))</f>
        <v>0</v>
      </c>
      <c r="AE2381" s="1" t="str">
        <f>IF($E2381="","",$E2381&amp;"|"&amp;COUNTIFS($E$7:$E2381,$E2381))</f>
        <v/>
      </c>
    </row>
    <row r="2382" spans="1:31" ht="18" customHeight="1" x14ac:dyDescent="0.3">
      <c r="A2382" s="2"/>
      <c r="B2382" s="65" t="str">
        <f>IF($C2382="","","GG"&amp;TEXT(ROW()-6,"00000"))</f>
        <v/>
      </c>
      <c r="C2382" s="66"/>
      <c r="D2382" s="60"/>
      <c r="E2382" s="61"/>
      <c r="F2382" s="61"/>
      <c r="G2382" s="67"/>
      <c r="H2382" s="60"/>
      <c r="I2382" s="60"/>
      <c r="J2382" s="61"/>
      <c r="K2382" s="61"/>
      <c r="L2382" s="60"/>
      <c r="M2382" s="74" t="str">
        <f>IF($C2382="","",IF($D2382="Gider",$E2382,IF($L2382&lt;&gt;"",$L2382,$H2382)))</f>
        <v/>
      </c>
      <c r="N2382" s="74" t="str">
        <f>IF($C2382="","",IF($D2382="Gider",$H2382,$E2382))</f>
        <v/>
      </c>
      <c r="O2382" s="73" t="str">
        <f>IF($C2382="","",DATE(YEAR($C2382),MONTH($C2382),1))</f>
        <v/>
      </c>
      <c r="P2382" s="65" t="str">
        <f ca="1">IF($C2382="","",IF(AND($D2382="Gelir",$L2382&lt;&gt;"",$T2382=""),"TANIMSIZ BORÇLU",IF($T2382&lt;&gt;"",IF(OR($E2382="",$G2382&lt;=0),"EKSİK",IF($I2382="Evet","TAHAKKUK NAKİT OLAMAZ",IF($C2382&gt;TODAY(),"İLERİ TARİH","TAHAKKUK"))),IF(AND($D2382&lt;&gt;"",$E2382&lt;&gt;"",$G2382&gt;0,$H2382&lt;&gt;"",$I2382&lt;&gt;""),IF($C2382&gt;TODAY(),"İLERİ TARİH",IF(COUNTIF($W$7:$W$3001,$W2382)&gt;1,"MÜKERRER?",IF($AD2382&gt;0,"KAPALI DÖNEM",IF($I2382="Hayır","ÖDENECEK","UYGUN")))),"EKSİK"))))</f>
        <v/>
      </c>
      <c r="Q2382" s="2"/>
      <c r="R2382" s="2"/>
      <c r="S2382" s="1" t="str">
        <f t="shared" si="113"/>
        <v/>
      </c>
      <c r="T2382" s="1" t="str">
        <f>IF(OR($C2382="",$D2382&lt;&gt;"Gelir",$L2382=""),"",IFERROR(INDEX(MUSTERILER!$B$7:$B$156,MATCH($S2382,MUSTERILER!$T$7:$T$156,0)),""))</f>
        <v/>
      </c>
      <c r="U2382" s="1" t="str">
        <f>IF($T2382="","",$T2382&amp;"|"&amp;COUNTIFS($T$7:$T2382,$T2382))</f>
        <v/>
      </c>
      <c r="V2382" s="1">
        <f t="shared" si="114"/>
        <v>0</v>
      </c>
      <c r="W2382" s="1" t="str">
        <f t="shared" si="115"/>
        <v/>
      </c>
      <c r="X2382" s="1"/>
      <c r="Y2382" s="1"/>
      <c r="Z2382" s="1"/>
      <c r="AA2382" s="1"/>
      <c r="AB2382" s="1"/>
      <c r="AC2382" s="1"/>
      <c r="AD2382" s="1">
        <f>IF($C2382="",0,SUMPRODUCT((AY_SONU!$O$7:$O$42="Evet")*(AY_SONU!$B$7:$B$42=DATE(YEAR($C2382),MONTH($C2382),1))))</f>
        <v>0</v>
      </c>
      <c r="AE2382" s="1" t="str">
        <f>IF($E2382="","",$E2382&amp;"|"&amp;COUNTIFS($E$7:$E2382,$E2382))</f>
        <v/>
      </c>
    </row>
    <row r="2383" spans="1:31" ht="18" customHeight="1" x14ac:dyDescent="0.3">
      <c r="A2383" s="2"/>
      <c r="B2383" s="65" t="str">
        <f>IF($C2383="","","GG"&amp;TEXT(ROW()-6,"00000"))</f>
        <v/>
      </c>
      <c r="C2383" s="66"/>
      <c r="D2383" s="60"/>
      <c r="E2383" s="61"/>
      <c r="F2383" s="61"/>
      <c r="G2383" s="67"/>
      <c r="H2383" s="60"/>
      <c r="I2383" s="60"/>
      <c r="J2383" s="61"/>
      <c r="K2383" s="61"/>
      <c r="L2383" s="60"/>
      <c r="M2383" s="74" t="str">
        <f>IF($C2383="","",IF($D2383="Gider",$E2383,IF($L2383&lt;&gt;"",$L2383,$H2383)))</f>
        <v/>
      </c>
      <c r="N2383" s="74" t="str">
        <f>IF($C2383="","",IF($D2383="Gider",$H2383,$E2383))</f>
        <v/>
      </c>
      <c r="O2383" s="73" t="str">
        <f>IF($C2383="","",DATE(YEAR($C2383),MONTH($C2383),1))</f>
        <v/>
      </c>
      <c r="P2383" s="65" t="str">
        <f ca="1">IF($C2383="","",IF(AND($D2383="Gelir",$L2383&lt;&gt;"",$T2383=""),"TANIMSIZ BORÇLU",IF($T2383&lt;&gt;"",IF(OR($E2383="",$G2383&lt;=0),"EKSİK",IF($I2383="Evet","TAHAKKUK NAKİT OLAMAZ",IF($C2383&gt;TODAY(),"İLERİ TARİH","TAHAKKUK"))),IF(AND($D2383&lt;&gt;"",$E2383&lt;&gt;"",$G2383&gt;0,$H2383&lt;&gt;"",$I2383&lt;&gt;""),IF($C2383&gt;TODAY(),"İLERİ TARİH",IF(COUNTIF($W$7:$W$3001,$W2383)&gt;1,"MÜKERRER?",IF($AD2383&gt;0,"KAPALI DÖNEM",IF($I2383="Hayır","ÖDENECEK","UYGUN")))),"EKSİK"))))</f>
        <v/>
      </c>
      <c r="Q2383" s="2"/>
      <c r="R2383" s="2"/>
      <c r="S2383" s="1" t="str">
        <f t="shared" si="113"/>
        <v/>
      </c>
      <c r="T2383" s="1" t="str">
        <f>IF(OR($C2383="",$D2383&lt;&gt;"Gelir",$L2383=""),"",IFERROR(INDEX(MUSTERILER!$B$7:$B$156,MATCH($S2383,MUSTERILER!$T$7:$T$156,0)),""))</f>
        <v/>
      </c>
      <c r="U2383" s="1" t="str">
        <f>IF($T2383="","",$T2383&amp;"|"&amp;COUNTIFS($T$7:$T2383,$T2383))</f>
        <v/>
      </c>
      <c r="V2383" s="1">
        <f t="shared" si="114"/>
        <v>0</v>
      </c>
      <c r="W2383" s="1" t="str">
        <f t="shared" si="115"/>
        <v/>
      </c>
      <c r="X2383" s="1"/>
      <c r="Y2383" s="1"/>
      <c r="Z2383" s="1"/>
      <c r="AA2383" s="1"/>
      <c r="AB2383" s="1"/>
      <c r="AC2383" s="1"/>
      <c r="AD2383" s="1">
        <f>IF($C2383="",0,SUMPRODUCT((AY_SONU!$O$7:$O$42="Evet")*(AY_SONU!$B$7:$B$42=DATE(YEAR($C2383),MONTH($C2383),1))))</f>
        <v>0</v>
      </c>
      <c r="AE2383" s="1" t="str">
        <f>IF($E2383="","",$E2383&amp;"|"&amp;COUNTIFS($E$7:$E2383,$E2383))</f>
        <v/>
      </c>
    </row>
    <row r="2384" spans="1:31" ht="18" customHeight="1" x14ac:dyDescent="0.3">
      <c r="A2384" s="2"/>
      <c r="B2384" s="65" t="str">
        <f>IF($C2384="","","GG"&amp;TEXT(ROW()-6,"00000"))</f>
        <v/>
      </c>
      <c r="C2384" s="66"/>
      <c r="D2384" s="60"/>
      <c r="E2384" s="61"/>
      <c r="F2384" s="61"/>
      <c r="G2384" s="67"/>
      <c r="H2384" s="60"/>
      <c r="I2384" s="60"/>
      <c r="J2384" s="61"/>
      <c r="K2384" s="61"/>
      <c r="L2384" s="60"/>
      <c r="M2384" s="74" t="str">
        <f>IF($C2384="","",IF($D2384="Gider",$E2384,IF($L2384&lt;&gt;"",$L2384,$H2384)))</f>
        <v/>
      </c>
      <c r="N2384" s="74" t="str">
        <f>IF($C2384="","",IF($D2384="Gider",$H2384,$E2384))</f>
        <v/>
      </c>
      <c r="O2384" s="73" t="str">
        <f>IF($C2384="","",DATE(YEAR($C2384),MONTH($C2384),1))</f>
        <v/>
      </c>
      <c r="P2384" s="65" t="str">
        <f ca="1">IF($C2384="","",IF(AND($D2384="Gelir",$L2384&lt;&gt;"",$T2384=""),"TANIMSIZ BORÇLU",IF($T2384&lt;&gt;"",IF(OR($E2384="",$G2384&lt;=0),"EKSİK",IF($I2384="Evet","TAHAKKUK NAKİT OLAMAZ",IF($C2384&gt;TODAY(),"İLERİ TARİH","TAHAKKUK"))),IF(AND($D2384&lt;&gt;"",$E2384&lt;&gt;"",$G2384&gt;0,$H2384&lt;&gt;"",$I2384&lt;&gt;""),IF($C2384&gt;TODAY(),"İLERİ TARİH",IF(COUNTIF($W$7:$W$3001,$W2384)&gt;1,"MÜKERRER?",IF($AD2384&gt;0,"KAPALI DÖNEM",IF($I2384="Hayır","ÖDENECEK","UYGUN")))),"EKSİK"))))</f>
        <v/>
      </c>
      <c r="Q2384" s="2"/>
      <c r="R2384" s="2"/>
      <c r="S2384" s="1" t="str">
        <f t="shared" si="113"/>
        <v/>
      </c>
      <c r="T2384" s="1" t="str">
        <f>IF(OR($C2384="",$D2384&lt;&gt;"Gelir",$L2384=""),"",IFERROR(INDEX(MUSTERILER!$B$7:$B$156,MATCH($S2384,MUSTERILER!$T$7:$T$156,0)),""))</f>
        <v/>
      </c>
      <c r="U2384" s="1" t="str">
        <f>IF($T2384="","",$T2384&amp;"|"&amp;COUNTIFS($T$7:$T2384,$T2384))</f>
        <v/>
      </c>
      <c r="V2384" s="1">
        <f t="shared" si="114"/>
        <v>0</v>
      </c>
      <c r="W2384" s="1" t="str">
        <f t="shared" si="115"/>
        <v/>
      </c>
      <c r="X2384" s="1"/>
      <c r="Y2384" s="1"/>
      <c r="Z2384" s="1"/>
      <c r="AA2384" s="1"/>
      <c r="AB2384" s="1"/>
      <c r="AC2384" s="1"/>
      <c r="AD2384" s="1">
        <f>IF($C2384="",0,SUMPRODUCT((AY_SONU!$O$7:$O$42="Evet")*(AY_SONU!$B$7:$B$42=DATE(YEAR($C2384),MONTH($C2384),1))))</f>
        <v>0</v>
      </c>
      <c r="AE2384" s="1" t="str">
        <f>IF($E2384="","",$E2384&amp;"|"&amp;COUNTIFS($E$7:$E2384,$E2384))</f>
        <v/>
      </c>
    </row>
    <row r="2385" spans="1:31" ht="18" customHeight="1" x14ac:dyDescent="0.3">
      <c r="A2385" s="2"/>
      <c r="B2385" s="65" t="str">
        <f>IF($C2385="","","GG"&amp;TEXT(ROW()-6,"00000"))</f>
        <v/>
      </c>
      <c r="C2385" s="66"/>
      <c r="D2385" s="60"/>
      <c r="E2385" s="61"/>
      <c r="F2385" s="61"/>
      <c r="G2385" s="67"/>
      <c r="H2385" s="60"/>
      <c r="I2385" s="60"/>
      <c r="J2385" s="61"/>
      <c r="K2385" s="61"/>
      <c r="L2385" s="60"/>
      <c r="M2385" s="74" t="str">
        <f>IF($C2385="","",IF($D2385="Gider",$E2385,IF($L2385&lt;&gt;"",$L2385,$H2385)))</f>
        <v/>
      </c>
      <c r="N2385" s="74" t="str">
        <f>IF($C2385="","",IF($D2385="Gider",$H2385,$E2385))</f>
        <v/>
      </c>
      <c r="O2385" s="73" t="str">
        <f>IF($C2385="","",DATE(YEAR($C2385),MONTH($C2385),1))</f>
        <v/>
      </c>
      <c r="P2385" s="65" t="str">
        <f ca="1">IF($C2385="","",IF(AND($D2385="Gelir",$L2385&lt;&gt;"",$T2385=""),"TANIMSIZ BORÇLU",IF($T2385&lt;&gt;"",IF(OR($E2385="",$G2385&lt;=0),"EKSİK",IF($I2385="Evet","TAHAKKUK NAKİT OLAMAZ",IF($C2385&gt;TODAY(),"İLERİ TARİH","TAHAKKUK"))),IF(AND($D2385&lt;&gt;"",$E2385&lt;&gt;"",$G2385&gt;0,$H2385&lt;&gt;"",$I2385&lt;&gt;""),IF($C2385&gt;TODAY(),"İLERİ TARİH",IF(COUNTIF($W$7:$W$3001,$W2385)&gt;1,"MÜKERRER?",IF($AD2385&gt;0,"KAPALI DÖNEM",IF($I2385="Hayır","ÖDENECEK","UYGUN")))),"EKSİK"))))</f>
        <v/>
      </c>
      <c r="Q2385" s="2"/>
      <c r="R2385" s="2"/>
      <c r="S2385" s="1" t="str">
        <f t="shared" si="113"/>
        <v/>
      </c>
      <c r="T2385" s="1" t="str">
        <f>IF(OR($C2385="",$D2385&lt;&gt;"Gelir",$L2385=""),"",IFERROR(INDEX(MUSTERILER!$B$7:$B$156,MATCH($S2385,MUSTERILER!$T$7:$T$156,0)),""))</f>
        <v/>
      </c>
      <c r="U2385" s="1" t="str">
        <f>IF($T2385="","",$T2385&amp;"|"&amp;COUNTIFS($T$7:$T2385,$T2385))</f>
        <v/>
      </c>
      <c r="V2385" s="1">
        <f t="shared" si="114"/>
        <v>0</v>
      </c>
      <c r="W2385" s="1" t="str">
        <f t="shared" si="115"/>
        <v/>
      </c>
      <c r="X2385" s="1"/>
      <c r="Y2385" s="1"/>
      <c r="Z2385" s="1"/>
      <c r="AA2385" s="1"/>
      <c r="AB2385" s="1"/>
      <c r="AC2385" s="1"/>
      <c r="AD2385" s="1">
        <f>IF($C2385="",0,SUMPRODUCT((AY_SONU!$O$7:$O$42="Evet")*(AY_SONU!$B$7:$B$42=DATE(YEAR($C2385),MONTH($C2385),1))))</f>
        <v>0</v>
      </c>
      <c r="AE2385" s="1" t="str">
        <f>IF($E2385="","",$E2385&amp;"|"&amp;COUNTIFS($E$7:$E2385,$E2385))</f>
        <v/>
      </c>
    </row>
    <row r="2386" spans="1:31" ht="18" customHeight="1" x14ac:dyDescent="0.3">
      <c r="A2386" s="2"/>
      <c r="B2386" s="65" t="str">
        <f>IF($C2386="","","GG"&amp;TEXT(ROW()-6,"00000"))</f>
        <v/>
      </c>
      <c r="C2386" s="66"/>
      <c r="D2386" s="60"/>
      <c r="E2386" s="61"/>
      <c r="F2386" s="61"/>
      <c r="G2386" s="67"/>
      <c r="H2386" s="60"/>
      <c r="I2386" s="60"/>
      <c r="J2386" s="61"/>
      <c r="K2386" s="61"/>
      <c r="L2386" s="60"/>
      <c r="M2386" s="74" t="str">
        <f>IF($C2386="","",IF($D2386="Gider",$E2386,IF($L2386&lt;&gt;"",$L2386,$H2386)))</f>
        <v/>
      </c>
      <c r="N2386" s="74" t="str">
        <f>IF($C2386="","",IF($D2386="Gider",$H2386,$E2386))</f>
        <v/>
      </c>
      <c r="O2386" s="73" t="str">
        <f>IF($C2386="","",DATE(YEAR($C2386),MONTH($C2386),1))</f>
        <v/>
      </c>
      <c r="P2386" s="65" t="str">
        <f ca="1">IF($C2386="","",IF(AND($D2386="Gelir",$L2386&lt;&gt;"",$T2386=""),"TANIMSIZ BORÇLU",IF($T2386&lt;&gt;"",IF(OR($E2386="",$G2386&lt;=0),"EKSİK",IF($I2386="Evet","TAHAKKUK NAKİT OLAMAZ",IF($C2386&gt;TODAY(),"İLERİ TARİH","TAHAKKUK"))),IF(AND($D2386&lt;&gt;"",$E2386&lt;&gt;"",$G2386&gt;0,$H2386&lt;&gt;"",$I2386&lt;&gt;""),IF($C2386&gt;TODAY(),"İLERİ TARİH",IF(COUNTIF($W$7:$W$3001,$W2386)&gt;1,"MÜKERRER?",IF($AD2386&gt;0,"KAPALI DÖNEM",IF($I2386="Hayır","ÖDENECEK","UYGUN")))),"EKSİK"))))</f>
        <v/>
      </c>
      <c r="Q2386" s="2"/>
      <c r="R2386" s="2"/>
      <c r="S2386" s="1" t="str">
        <f t="shared" si="113"/>
        <v/>
      </c>
      <c r="T2386" s="1" t="str">
        <f>IF(OR($C2386="",$D2386&lt;&gt;"Gelir",$L2386=""),"",IFERROR(INDEX(MUSTERILER!$B$7:$B$156,MATCH($S2386,MUSTERILER!$T$7:$T$156,0)),""))</f>
        <v/>
      </c>
      <c r="U2386" s="1" t="str">
        <f>IF($T2386="","",$T2386&amp;"|"&amp;COUNTIFS($T$7:$T2386,$T2386))</f>
        <v/>
      </c>
      <c r="V2386" s="1">
        <f t="shared" si="114"/>
        <v>0</v>
      </c>
      <c r="W2386" s="1" t="str">
        <f t="shared" si="115"/>
        <v/>
      </c>
      <c r="X2386" s="1"/>
      <c r="Y2386" s="1"/>
      <c r="Z2386" s="1"/>
      <c r="AA2386" s="1"/>
      <c r="AB2386" s="1"/>
      <c r="AC2386" s="1"/>
      <c r="AD2386" s="1">
        <f>IF($C2386="",0,SUMPRODUCT((AY_SONU!$O$7:$O$42="Evet")*(AY_SONU!$B$7:$B$42=DATE(YEAR($C2386),MONTH($C2386),1))))</f>
        <v>0</v>
      </c>
      <c r="AE2386" s="1" t="str">
        <f>IF($E2386="","",$E2386&amp;"|"&amp;COUNTIFS($E$7:$E2386,$E2386))</f>
        <v/>
      </c>
    </row>
    <row r="2387" spans="1:31" ht="18" customHeight="1" x14ac:dyDescent="0.3">
      <c r="A2387" s="2"/>
      <c r="B2387" s="65" t="str">
        <f>IF($C2387="","","GG"&amp;TEXT(ROW()-6,"00000"))</f>
        <v/>
      </c>
      <c r="C2387" s="66"/>
      <c r="D2387" s="60"/>
      <c r="E2387" s="61"/>
      <c r="F2387" s="61"/>
      <c r="G2387" s="67"/>
      <c r="H2387" s="60"/>
      <c r="I2387" s="60"/>
      <c r="J2387" s="61"/>
      <c r="K2387" s="61"/>
      <c r="L2387" s="60"/>
      <c r="M2387" s="74" t="str">
        <f>IF($C2387="","",IF($D2387="Gider",$E2387,IF($L2387&lt;&gt;"",$L2387,$H2387)))</f>
        <v/>
      </c>
      <c r="N2387" s="74" t="str">
        <f>IF($C2387="","",IF($D2387="Gider",$H2387,$E2387))</f>
        <v/>
      </c>
      <c r="O2387" s="73" t="str">
        <f>IF($C2387="","",DATE(YEAR($C2387),MONTH($C2387),1))</f>
        <v/>
      </c>
      <c r="P2387" s="65" t="str">
        <f ca="1">IF($C2387="","",IF(AND($D2387="Gelir",$L2387&lt;&gt;"",$T2387=""),"TANIMSIZ BORÇLU",IF($T2387&lt;&gt;"",IF(OR($E2387="",$G2387&lt;=0),"EKSİK",IF($I2387="Evet","TAHAKKUK NAKİT OLAMAZ",IF($C2387&gt;TODAY(),"İLERİ TARİH","TAHAKKUK"))),IF(AND($D2387&lt;&gt;"",$E2387&lt;&gt;"",$G2387&gt;0,$H2387&lt;&gt;"",$I2387&lt;&gt;""),IF($C2387&gt;TODAY(),"İLERİ TARİH",IF(COUNTIF($W$7:$W$3001,$W2387)&gt;1,"MÜKERRER?",IF($AD2387&gt;0,"KAPALI DÖNEM",IF($I2387="Hayır","ÖDENECEK","UYGUN")))),"EKSİK"))))</f>
        <v/>
      </c>
      <c r="Q2387" s="2"/>
      <c r="R2387" s="2"/>
      <c r="S2387" s="1" t="str">
        <f t="shared" si="113"/>
        <v/>
      </c>
      <c r="T2387" s="1" t="str">
        <f>IF(OR($C2387="",$D2387&lt;&gt;"Gelir",$L2387=""),"",IFERROR(INDEX(MUSTERILER!$B$7:$B$156,MATCH($S2387,MUSTERILER!$T$7:$T$156,0)),""))</f>
        <v/>
      </c>
      <c r="U2387" s="1" t="str">
        <f>IF($T2387="","",$T2387&amp;"|"&amp;COUNTIFS($T$7:$T2387,$T2387))</f>
        <v/>
      </c>
      <c r="V2387" s="1">
        <f t="shared" si="114"/>
        <v>0</v>
      </c>
      <c r="W2387" s="1" t="str">
        <f t="shared" si="115"/>
        <v/>
      </c>
      <c r="X2387" s="1"/>
      <c r="Y2387" s="1"/>
      <c r="Z2387" s="1"/>
      <c r="AA2387" s="1"/>
      <c r="AB2387" s="1"/>
      <c r="AC2387" s="1"/>
      <c r="AD2387" s="1">
        <f>IF($C2387="",0,SUMPRODUCT((AY_SONU!$O$7:$O$42="Evet")*(AY_SONU!$B$7:$B$42=DATE(YEAR($C2387),MONTH($C2387),1))))</f>
        <v>0</v>
      </c>
      <c r="AE2387" s="1" t="str">
        <f>IF($E2387="","",$E2387&amp;"|"&amp;COUNTIFS($E$7:$E2387,$E2387))</f>
        <v/>
      </c>
    </row>
    <row r="2388" spans="1:31" ht="18" customHeight="1" x14ac:dyDescent="0.3">
      <c r="A2388" s="2"/>
      <c r="B2388" s="65" t="str">
        <f>IF($C2388="","","GG"&amp;TEXT(ROW()-6,"00000"))</f>
        <v/>
      </c>
      <c r="C2388" s="66"/>
      <c r="D2388" s="60"/>
      <c r="E2388" s="61"/>
      <c r="F2388" s="61"/>
      <c r="G2388" s="67"/>
      <c r="H2388" s="60"/>
      <c r="I2388" s="60"/>
      <c r="J2388" s="61"/>
      <c r="K2388" s="61"/>
      <c r="L2388" s="60"/>
      <c r="M2388" s="74" t="str">
        <f>IF($C2388="","",IF($D2388="Gider",$E2388,IF($L2388&lt;&gt;"",$L2388,$H2388)))</f>
        <v/>
      </c>
      <c r="N2388" s="74" t="str">
        <f>IF($C2388="","",IF($D2388="Gider",$H2388,$E2388))</f>
        <v/>
      </c>
      <c r="O2388" s="73" t="str">
        <f>IF($C2388="","",DATE(YEAR($C2388),MONTH($C2388),1))</f>
        <v/>
      </c>
      <c r="P2388" s="65" t="str">
        <f ca="1">IF($C2388="","",IF(AND($D2388="Gelir",$L2388&lt;&gt;"",$T2388=""),"TANIMSIZ BORÇLU",IF($T2388&lt;&gt;"",IF(OR($E2388="",$G2388&lt;=0),"EKSİK",IF($I2388="Evet","TAHAKKUK NAKİT OLAMAZ",IF($C2388&gt;TODAY(),"İLERİ TARİH","TAHAKKUK"))),IF(AND($D2388&lt;&gt;"",$E2388&lt;&gt;"",$G2388&gt;0,$H2388&lt;&gt;"",$I2388&lt;&gt;""),IF($C2388&gt;TODAY(),"İLERİ TARİH",IF(COUNTIF($W$7:$W$3001,$W2388)&gt;1,"MÜKERRER?",IF($AD2388&gt;0,"KAPALI DÖNEM",IF($I2388="Hayır","ÖDENECEK","UYGUN")))),"EKSİK"))))</f>
        <v/>
      </c>
      <c r="Q2388" s="2"/>
      <c r="R2388" s="2"/>
      <c r="S2388" s="1" t="str">
        <f t="shared" si="113"/>
        <v/>
      </c>
      <c r="T2388" s="1" t="str">
        <f>IF(OR($C2388="",$D2388&lt;&gt;"Gelir",$L2388=""),"",IFERROR(INDEX(MUSTERILER!$B$7:$B$156,MATCH($S2388,MUSTERILER!$T$7:$T$156,0)),""))</f>
        <v/>
      </c>
      <c r="U2388" s="1" t="str">
        <f>IF($T2388="","",$T2388&amp;"|"&amp;COUNTIFS($T$7:$T2388,$T2388))</f>
        <v/>
      </c>
      <c r="V2388" s="1">
        <f t="shared" si="114"/>
        <v>0</v>
      </c>
      <c r="W2388" s="1" t="str">
        <f t="shared" si="115"/>
        <v/>
      </c>
      <c r="X2388" s="1"/>
      <c r="Y2388" s="1"/>
      <c r="Z2388" s="1"/>
      <c r="AA2388" s="1"/>
      <c r="AB2388" s="1"/>
      <c r="AC2388" s="1"/>
      <c r="AD2388" s="1">
        <f>IF($C2388="",0,SUMPRODUCT((AY_SONU!$O$7:$O$42="Evet")*(AY_SONU!$B$7:$B$42=DATE(YEAR($C2388),MONTH($C2388),1))))</f>
        <v>0</v>
      </c>
      <c r="AE2388" s="1" t="str">
        <f>IF($E2388="","",$E2388&amp;"|"&amp;COUNTIFS($E$7:$E2388,$E2388))</f>
        <v/>
      </c>
    </row>
    <row r="2389" spans="1:31" ht="18" customHeight="1" x14ac:dyDescent="0.3">
      <c r="A2389" s="2"/>
      <c r="B2389" s="65" t="str">
        <f>IF($C2389="","","GG"&amp;TEXT(ROW()-6,"00000"))</f>
        <v/>
      </c>
      <c r="C2389" s="66"/>
      <c r="D2389" s="60"/>
      <c r="E2389" s="61"/>
      <c r="F2389" s="61"/>
      <c r="G2389" s="67"/>
      <c r="H2389" s="60"/>
      <c r="I2389" s="60"/>
      <c r="J2389" s="61"/>
      <c r="K2389" s="61"/>
      <c r="L2389" s="60"/>
      <c r="M2389" s="74" t="str">
        <f>IF($C2389="","",IF($D2389="Gider",$E2389,IF($L2389&lt;&gt;"",$L2389,$H2389)))</f>
        <v/>
      </c>
      <c r="N2389" s="74" t="str">
        <f>IF($C2389="","",IF($D2389="Gider",$H2389,$E2389))</f>
        <v/>
      </c>
      <c r="O2389" s="73" t="str">
        <f>IF($C2389="","",DATE(YEAR($C2389),MONTH($C2389),1))</f>
        <v/>
      </c>
      <c r="P2389" s="65" t="str">
        <f ca="1">IF($C2389="","",IF(AND($D2389="Gelir",$L2389&lt;&gt;"",$T2389=""),"TANIMSIZ BORÇLU",IF($T2389&lt;&gt;"",IF(OR($E2389="",$G2389&lt;=0),"EKSİK",IF($I2389="Evet","TAHAKKUK NAKİT OLAMAZ",IF($C2389&gt;TODAY(),"İLERİ TARİH","TAHAKKUK"))),IF(AND($D2389&lt;&gt;"",$E2389&lt;&gt;"",$G2389&gt;0,$H2389&lt;&gt;"",$I2389&lt;&gt;""),IF($C2389&gt;TODAY(),"İLERİ TARİH",IF(COUNTIF($W$7:$W$3001,$W2389)&gt;1,"MÜKERRER?",IF($AD2389&gt;0,"KAPALI DÖNEM",IF($I2389="Hayır","ÖDENECEK","UYGUN")))),"EKSİK"))))</f>
        <v/>
      </c>
      <c r="Q2389" s="2"/>
      <c r="R2389" s="2"/>
      <c r="S2389" s="1" t="str">
        <f t="shared" si="113"/>
        <v/>
      </c>
      <c r="T2389" s="1" t="str">
        <f>IF(OR($C2389="",$D2389&lt;&gt;"Gelir",$L2389=""),"",IFERROR(INDEX(MUSTERILER!$B$7:$B$156,MATCH($S2389,MUSTERILER!$T$7:$T$156,0)),""))</f>
        <v/>
      </c>
      <c r="U2389" s="1" t="str">
        <f>IF($T2389="","",$T2389&amp;"|"&amp;COUNTIFS($T$7:$T2389,$T2389))</f>
        <v/>
      </c>
      <c r="V2389" s="1">
        <f t="shared" si="114"/>
        <v>0</v>
      </c>
      <c r="W2389" s="1" t="str">
        <f t="shared" si="115"/>
        <v/>
      </c>
      <c r="X2389" s="1"/>
      <c r="Y2389" s="1"/>
      <c r="Z2389" s="1"/>
      <c r="AA2389" s="1"/>
      <c r="AB2389" s="1"/>
      <c r="AC2389" s="1"/>
      <c r="AD2389" s="1">
        <f>IF($C2389="",0,SUMPRODUCT((AY_SONU!$O$7:$O$42="Evet")*(AY_SONU!$B$7:$B$42=DATE(YEAR($C2389),MONTH($C2389),1))))</f>
        <v>0</v>
      </c>
      <c r="AE2389" s="1" t="str">
        <f>IF($E2389="","",$E2389&amp;"|"&amp;COUNTIFS($E$7:$E2389,$E2389))</f>
        <v/>
      </c>
    </row>
    <row r="2390" spans="1:31" ht="18" customHeight="1" x14ac:dyDescent="0.3">
      <c r="A2390" s="2"/>
      <c r="B2390" s="65" t="str">
        <f>IF($C2390="","","GG"&amp;TEXT(ROW()-6,"00000"))</f>
        <v/>
      </c>
      <c r="C2390" s="66"/>
      <c r="D2390" s="60"/>
      <c r="E2390" s="61"/>
      <c r="F2390" s="61"/>
      <c r="G2390" s="67"/>
      <c r="H2390" s="60"/>
      <c r="I2390" s="60"/>
      <c r="J2390" s="61"/>
      <c r="K2390" s="61"/>
      <c r="L2390" s="60"/>
      <c r="M2390" s="74" t="str">
        <f>IF($C2390="","",IF($D2390="Gider",$E2390,IF($L2390&lt;&gt;"",$L2390,$H2390)))</f>
        <v/>
      </c>
      <c r="N2390" s="74" t="str">
        <f>IF($C2390="","",IF($D2390="Gider",$H2390,$E2390))</f>
        <v/>
      </c>
      <c r="O2390" s="73" t="str">
        <f>IF($C2390="","",DATE(YEAR($C2390),MONTH($C2390),1))</f>
        <v/>
      </c>
      <c r="P2390" s="65" t="str">
        <f ca="1">IF($C2390="","",IF(AND($D2390="Gelir",$L2390&lt;&gt;"",$T2390=""),"TANIMSIZ BORÇLU",IF($T2390&lt;&gt;"",IF(OR($E2390="",$G2390&lt;=0),"EKSİK",IF($I2390="Evet","TAHAKKUK NAKİT OLAMAZ",IF($C2390&gt;TODAY(),"İLERİ TARİH","TAHAKKUK"))),IF(AND($D2390&lt;&gt;"",$E2390&lt;&gt;"",$G2390&gt;0,$H2390&lt;&gt;"",$I2390&lt;&gt;""),IF($C2390&gt;TODAY(),"İLERİ TARİH",IF(COUNTIF($W$7:$W$3001,$W2390)&gt;1,"MÜKERRER?",IF($AD2390&gt;0,"KAPALI DÖNEM",IF($I2390="Hayır","ÖDENECEK","UYGUN")))),"EKSİK"))))</f>
        <v/>
      </c>
      <c r="Q2390" s="2"/>
      <c r="R2390" s="2"/>
      <c r="S2390" s="1" t="str">
        <f t="shared" si="113"/>
        <v/>
      </c>
      <c r="T2390" s="1" t="str">
        <f>IF(OR($C2390="",$D2390&lt;&gt;"Gelir",$L2390=""),"",IFERROR(INDEX(MUSTERILER!$B$7:$B$156,MATCH($S2390,MUSTERILER!$T$7:$T$156,0)),""))</f>
        <v/>
      </c>
      <c r="U2390" s="1" t="str">
        <f>IF($T2390="","",$T2390&amp;"|"&amp;COUNTIFS($T$7:$T2390,$T2390))</f>
        <v/>
      </c>
      <c r="V2390" s="1">
        <f t="shared" si="114"/>
        <v>0</v>
      </c>
      <c r="W2390" s="1" t="str">
        <f t="shared" si="115"/>
        <v/>
      </c>
      <c r="X2390" s="1"/>
      <c r="Y2390" s="1"/>
      <c r="Z2390" s="1"/>
      <c r="AA2390" s="1"/>
      <c r="AB2390" s="1"/>
      <c r="AC2390" s="1"/>
      <c r="AD2390" s="1">
        <f>IF($C2390="",0,SUMPRODUCT((AY_SONU!$O$7:$O$42="Evet")*(AY_SONU!$B$7:$B$42=DATE(YEAR($C2390),MONTH($C2390),1))))</f>
        <v>0</v>
      </c>
      <c r="AE2390" s="1" t="str">
        <f>IF($E2390="","",$E2390&amp;"|"&amp;COUNTIFS($E$7:$E2390,$E2390))</f>
        <v/>
      </c>
    </row>
    <row r="2391" spans="1:31" ht="18" customHeight="1" x14ac:dyDescent="0.3">
      <c r="A2391" s="2"/>
      <c r="B2391" s="65" t="str">
        <f>IF($C2391="","","GG"&amp;TEXT(ROW()-6,"00000"))</f>
        <v/>
      </c>
      <c r="C2391" s="66"/>
      <c r="D2391" s="60"/>
      <c r="E2391" s="61"/>
      <c r="F2391" s="61"/>
      <c r="G2391" s="67"/>
      <c r="H2391" s="60"/>
      <c r="I2391" s="60"/>
      <c r="J2391" s="61"/>
      <c r="K2391" s="61"/>
      <c r="L2391" s="60"/>
      <c r="M2391" s="74" t="str">
        <f>IF($C2391="","",IF($D2391="Gider",$E2391,IF($L2391&lt;&gt;"",$L2391,$H2391)))</f>
        <v/>
      </c>
      <c r="N2391" s="74" t="str">
        <f>IF($C2391="","",IF($D2391="Gider",$H2391,$E2391))</f>
        <v/>
      </c>
      <c r="O2391" s="73" t="str">
        <f>IF($C2391="","",DATE(YEAR($C2391),MONTH($C2391),1))</f>
        <v/>
      </c>
      <c r="P2391" s="65" t="str">
        <f ca="1">IF($C2391="","",IF(AND($D2391="Gelir",$L2391&lt;&gt;"",$T2391=""),"TANIMSIZ BORÇLU",IF($T2391&lt;&gt;"",IF(OR($E2391="",$G2391&lt;=0),"EKSİK",IF($I2391="Evet","TAHAKKUK NAKİT OLAMAZ",IF($C2391&gt;TODAY(),"İLERİ TARİH","TAHAKKUK"))),IF(AND($D2391&lt;&gt;"",$E2391&lt;&gt;"",$G2391&gt;0,$H2391&lt;&gt;"",$I2391&lt;&gt;""),IF($C2391&gt;TODAY(),"İLERİ TARİH",IF(COUNTIF($W$7:$W$3001,$W2391)&gt;1,"MÜKERRER?",IF($AD2391&gt;0,"KAPALI DÖNEM",IF($I2391="Hayır","ÖDENECEK","UYGUN")))),"EKSİK"))))</f>
        <v/>
      </c>
      <c r="Q2391" s="2"/>
      <c r="R2391" s="2"/>
      <c r="S2391" s="1" t="str">
        <f t="shared" si="113"/>
        <v/>
      </c>
      <c r="T2391" s="1" t="str">
        <f>IF(OR($C2391="",$D2391&lt;&gt;"Gelir",$L2391=""),"",IFERROR(INDEX(MUSTERILER!$B$7:$B$156,MATCH($S2391,MUSTERILER!$T$7:$T$156,0)),""))</f>
        <v/>
      </c>
      <c r="U2391" s="1" t="str">
        <f>IF($T2391="","",$T2391&amp;"|"&amp;COUNTIFS($T$7:$T2391,$T2391))</f>
        <v/>
      </c>
      <c r="V2391" s="1">
        <f t="shared" si="114"/>
        <v>0</v>
      </c>
      <c r="W2391" s="1" t="str">
        <f t="shared" si="115"/>
        <v/>
      </c>
      <c r="X2391" s="1"/>
      <c r="Y2391" s="1"/>
      <c r="Z2391" s="1"/>
      <c r="AA2391" s="1"/>
      <c r="AB2391" s="1"/>
      <c r="AC2391" s="1"/>
      <c r="AD2391" s="1">
        <f>IF($C2391="",0,SUMPRODUCT((AY_SONU!$O$7:$O$42="Evet")*(AY_SONU!$B$7:$B$42=DATE(YEAR($C2391),MONTH($C2391),1))))</f>
        <v>0</v>
      </c>
      <c r="AE2391" s="1" t="str">
        <f>IF($E2391="","",$E2391&amp;"|"&amp;COUNTIFS($E$7:$E2391,$E2391))</f>
        <v/>
      </c>
    </row>
    <row r="2392" spans="1:31" ht="18" customHeight="1" x14ac:dyDescent="0.3">
      <c r="A2392" s="2"/>
      <c r="B2392" s="65" t="str">
        <f>IF($C2392="","","GG"&amp;TEXT(ROW()-6,"00000"))</f>
        <v/>
      </c>
      <c r="C2392" s="66"/>
      <c r="D2392" s="60"/>
      <c r="E2392" s="61"/>
      <c r="F2392" s="61"/>
      <c r="G2392" s="67"/>
      <c r="H2392" s="60"/>
      <c r="I2392" s="60"/>
      <c r="J2392" s="61"/>
      <c r="K2392" s="61"/>
      <c r="L2392" s="60"/>
      <c r="M2392" s="74" t="str">
        <f>IF($C2392="","",IF($D2392="Gider",$E2392,IF($L2392&lt;&gt;"",$L2392,$H2392)))</f>
        <v/>
      </c>
      <c r="N2392" s="74" t="str">
        <f>IF($C2392="","",IF($D2392="Gider",$H2392,$E2392))</f>
        <v/>
      </c>
      <c r="O2392" s="73" t="str">
        <f>IF($C2392="","",DATE(YEAR($C2392),MONTH($C2392),1))</f>
        <v/>
      </c>
      <c r="P2392" s="65" t="str">
        <f ca="1">IF($C2392="","",IF(AND($D2392="Gelir",$L2392&lt;&gt;"",$T2392=""),"TANIMSIZ BORÇLU",IF($T2392&lt;&gt;"",IF(OR($E2392="",$G2392&lt;=0),"EKSİK",IF($I2392="Evet","TAHAKKUK NAKİT OLAMAZ",IF($C2392&gt;TODAY(),"İLERİ TARİH","TAHAKKUK"))),IF(AND($D2392&lt;&gt;"",$E2392&lt;&gt;"",$G2392&gt;0,$H2392&lt;&gt;"",$I2392&lt;&gt;""),IF($C2392&gt;TODAY(),"İLERİ TARİH",IF(COUNTIF($W$7:$W$3001,$W2392)&gt;1,"MÜKERRER?",IF($AD2392&gt;0,"KAPALI DÖNEM",IF($I2392="Hayır","ÖDENECEK","UYGUN")))),"EKSİK"))))</f>
        <v/>
      </c>
      <c r="Q2392" s="2"/>
      <c r="R2392" s="2"/>
      <c r="S2392" s="1" t="str">
        <f t="shared" si="113"/>
        <v/>
      </c>
      <c r="T2392" s="1" t="str">
        <f>IF(OR($C2392="",$D2392&lt;&gt;"Gelir",$L2392=""),"",IFERROR(INDEX(MUSTERILER!$B$7:$B$156,MATCH($S2392,MUSTERILER!$T$7:$T$156,0)),""))</f>
        <v/>
      </c>
      <c r="U2392" s="1" t="str">
        <f>IF($T2392="","",$T2392&amp;"|"&amp;COUNTIFS($T$7:$T2392,$T2392))</f>
        <v/>
      </c>
      <c r="V2392" s="1">
        <f t="shared" si="114"/>
        <v>0</v>
      </c>
      <c r="W2392" s="1" t="str">
        <f t="shared" si="115"/>
        <v/>
      </c>
      <c r="X2392" s="1"/>
      <c r="Y2392" s="1"/>
      <c r="Z2392" s="1"/>
      <c r="AA2392" s="1"/>
      <c r="AB2392" s="1"/>
      <c r="AC2392" s="1"/>
      <c r="AD2392" s="1">
        <f>IF($C2392="",0,SUMPRODUCT((AY_SONU!$O$7:$O$42="Evet")*(AY_SONU!$B$7:$B$42=DATE(YEAR($C2392),MONTH($C2392),1))))</f>
        <v>0</v>
      </c>
      <c r="AE2392" s="1" t="str">
        <f>IF($E2392="","",$E2392&amp;"|"&amp;COUNTIFS($E$7:$E2392,$E2392))</f>
        <v/>
      </c>
    </row>
    <row r="2393" spans="1:31" ht="18" customHeight="1" x14ac:dyDescent="0.3">
      <c r="A2393" s="2"/>
      <c r="B2393" s="65" t="str">
        <f>IF($C2393="","","GG"&amp;TEXT(ROW()-6,"00000"))</f>
        <v/>
      </c>
      <c r="C2393" s="66"/>
      <c r="D2393" s="60"/>
      <c r="E2393" s="61"/>
      <c r="F2393" s="61"/>
      <c r="G2393" s="67"/>
      <c r="H2393" s="60"/>
      <c r="I2393" s="60"/>
      <c r="J2393" s="61"/>
      <c r="K2393" s="61"/>
      <c r="L2393" s="60"/>
      <c r="M2393" s="74" t="str">
        <f>IF($C2393="","",IF($D2393="Gider",$E2393,IF($L2393&lt;&gt;"",$L2393,$H2393)))</f>
        <v/>
      </c>
      <c r="N2393" s="74" t="str">
        <f>IF($C2393="","",IF($D2393="Gider",$H2393,$E2393))</f>
        <v/>
      </c>
      <c r="O2393" s="73" t="str">
        <f>IF($C2393="","",DATE(YEAR($C2393),MONTH($C2393),1))</f>
        <v/>
      </c>
      <c r="P2393" s="65" t="str">
        <f ca="1">IF($C2393="","",IF(AND($D2393="Gelir",$L2393&lt;&gt;"",$T2393=""),"TANIMSIZ BORÇLU",IF($T2393&lt;&gt;"",IF(OR($E2393="",$G2393&lt;=0),"EKSİK",IF($I2393="Evet","TAHAKKUK NAKİT OLAMAZ",IF($C2393&gt;TODAY(),"İLERİ TARİH","TAHAKKUK"))),IF(AND($D2393&lt;&gt;"",$E2393&lt;&gt;"",$G2393&gt;0,$H2393&lt;&gt;"",$I2393&lt;&gt;""),IF($C2393&gt;TODAY(),"İLERİ TARİH",IF(COUNTIF($W$7:$W$3001,$W2393)&gt;1,"MÜKERRER?",IF($AD2393&gt;0,"KAPALI DÖNEM",IF($I2393="Hayır","ÖDENECEK","UYGUN")))),"EKSİK"))))</f>
        <v/>
      </c>
      <c r="Q2393" s="2"/>
      <c r="R2393" s="2"/>
      <c r="S2393" s="1" t="str">
        <f t="shared" si="113"/>
        <v/>
      </c>
      <c r="T2393" s="1" t="str">
        <f>IF(OR($C2393="",$D2393&lt;&gt;"Gelir",$L2393=""),"",IFERROR(INDEX(MUSTERILER!$B$7:$B$156,MATCH($S2393,MUSTERILER!$T$7:$T$156,0)),""))</f>
        <v/>
      </c>
      <c r="U2393" s="1" t="str">
        <f>IF($T2393="","",$T2393&amp;"|"&amp;COUNTIFS($T$7:$T2393,$T2393))</f>
        <v/>
      </c>
      <c r="V2393" s="1">
        <f t="shared" si="114"/>
        <v>0</v>
      </c>
      <c r="W2393" s="1" t="str">
        <f t="shared" si="115"/>
        <v/>
      </c>
      <c r="X2393" s="1"/>
      <c r="Y2393" s="1"/>
      <c r="Z2393" s="1"/>
      <c r="AA2393" s="1"/>
      <c r="AB2393" s="1"/>
      <c r="AC2393" s="1"/>
      <c r="AD2393" s="1">
        <f>IF($C2393="",0,SUMPRODUCT((AY_SONU!$O$7:$O$42="Evet")*(AY_SONU!$B$7:$B$42=DATE(YEAR($C2393),MONTH($C2393),1))))</f>
        <v>0</v>
      </c>
      <c r="AE2393" s="1" t="str">
        <f>IF($E2393="","",$E2393&amp;"|"&amp;COUNTIFS($E$7:$E2393,$E2393))</f>
        <v/>
      </c>
    </row>
    <row r="2394" spans="1:31" ht="18" customHeight="1" x14ac:dyDescent="0.3">
      <c r="A2394" s="2"/>
      <c r="B2394" s="65" t="str">
        <f>IF($C2394="","","GG"&amp;TEXT(ROW()-6,"00000"))</f>
        <v/>
      </c>
      <c r="C2394" s="66"/>
      <c r="D2394" s="60"/>
      <c r="E2394" s="61"/>
      <c r="F2394" s="61"/>
      <c r="G2394" s="67"/>
      <c r="H2394" s="60"/>
      <c r="I2394" s="60"/>
      <c r="J2394" s="61"/>
      <c r="K2394" s="61"/>
      <c r="L2394" s="60"/>
      <c r="M2394" s="74" t="str">
        <f>IF($C2394="","",IF($D2394="Gider",$E2394,IF($L2394&lt;&gt;"",$L2394,$H2394)))</f>
        <v/>
      </c>
      <c r="N2394" s="74" t="str">
        <f>IF($C2394="","",IF($D2394="Gider",$H2394,$E2394))</f>
        <v/>
      </c>
      <c r="O2394" s="73" t="str">
        <f>IF($C2394="","",DATE(YEAR($C2394),MONTH($C2394),1))</f>
        <v/>
      </c>
      <c r="P2394" s="65" t="str">
        <f ca="1">IF($C2394="","",IF(AND($D2394="Gelir",$L2394&lt;&gt;"",$T2394=""),"TANIMSIZ BORÇLU",IF($T2394&lt;&gt;"",IF(OR($E2394="",$G2394&lt;=0),"EKSİK",IF($I2394="Evet","TAHAKKUK NAKİT OLAMAZ",IF($C2394&gt;TODAY(),"İLERİ TARİH","TAHAKKUK"))),IF(AND($D2394&lt;&gt;"",$E2394&lt;&gt;"",$G2394&gt;0,$H2394&lt;&gt;"",$I2394&lt;&gt;""),IF($C2394&gt;TODAY(),"İLERİ TARİH",IF(COUNTIF($W$7:$W$3001,$W2394)&gt;1,"MÜKERRER?",IF($AD2394&gt;0,"KAPALI DÖNEM",IF($I2394="Hayır","ÖDENECEK","UYGUN")))),"EKSİK"))))</f>
        <v/>
      </c>
      <c r="Q2394" s="2"/>
      <c r="R2394" s="2"/>
      <c r="S2394" s="1" t="str">
        <f t="shared" si="113"/>
        <v/>
      </c>
      <c r="T2394" s="1" t="str">
        <f>IF(OR($C2394="",$D2394&lt;&gt;"Gelir",$L2394=""),"",IFERROR(INDEX(MUSTERILER!$B$7:$B$156,MATCH($S2394,MUSTERILER!$T$7:$T$156,0)),""))</f>
        <v/>
      </c>
      <c r="U2394" s="1" t="str">
        <f>IF($T2394="","",$T2394&amp;"|"&amp;COUNTIFS($T$7:$T2394,$T2394))</f>
        <v/>
      </c>
      <c r="V2394" s="1">
        <f t="shared" si="114"/>
        <v>0</v>
      </c>
      <c r="W2394" s="1" t="str">
        <f t="shared" si="115"/>
        <v/>
      </c>
      <c r="X2394" s="1"/>
      <c r="Y2394" s="1"/>
      <c r="Z2394" s="1"/>
      <c r="AA2394" s="1"/>
      <c r="AB2394" s="1"/>
      <c r="AC2394" s="1"/>
      <c r="AD2394" s="1">
        <f>IF($C2394="",0,SUMPRODUCT((AY_SONU!$O$7:$O$42="Evet")*(AY_SONU!$B$7:$B$42=DATE(YEAR($C2394),MONTH($C2394),1))))</f>
        <v>0</v>
      </c>
      <c r="AE2394" s="1" t="str">
        <f>IF($E2394="","",$E2394&amp;"|"&amp;COUNTIFS($E$7:$E2394,$E2394))</f>
        <v/>
      </c>
    </row>
    <row r="2395" spans="1:31" ht="18" customHeight="1" x14ac:dyDescent="0.3">
      <c r="A2395" s="2"/>
      <c r="B2395" s="65" t="str">
        <f>IF($C2395="","","GG"&amp;TEXT(ROW()-6,"00000"))</f>
        <v/>
      </c>
      <c r="C2395" s="66"/>
      <c r="D2395" s="60"/>
      <c r="E2395" s="61"/>
      <c r="F2395" s="61"/>
      <c r="G2395" s="67"/>
      <c r="H2395" s="60"/>
      <c r="I2395" s="60"/>
      <c r="J2395" s="61"/>
      <c r="K2395" s="61"/>
      <c r="L2395" s="60"/>
      <c r="M2395" s="74" t="str">
        <f>IF($C2395="","",IF($D2395="Gider",$E2395,IF($L2395&lt;&gt;"",$L2395,$H2395)))</f>
        <v/>
      </c>
      <c r="N2395" s="74" t="str">
        <f>IF($C2395="","",IF($D2395="Gider",$H2395,$E2395))</f>
        <v/>
      </c>
      <c r="O2395" s="73" t="str">
        <f>IF($C2395="","",DATE(YEAR($C2395),MONTH($C2395),1))</f>
        <v/>
      </c>
      <c r="P2395" s="65" t="str">
        <f ca="1">IF($C2395="","",IF(AND($D2395="Gelir",$L2395&lt;&gt;"",$T2395=""),"TANIMSIZ BORÇLU",IF($T2395&lt;&gt;"",IF(OR($E2395="",$G2395&lt;=0),"EKSİK",IF($I2395="Evet","TAHAKKUK NAKİT OLAMAZ",IF($C2395&gt;TODAY(),"İLERİ TARİH","TAHAKKUK"))),IF(AND($D2395&lt;&gt;"",$E2395&lt;&gt;"",$G2395&gt;0,$H2395&lt;&gt;"",$I2395&lt;&gt;""),IF($C2395&gt;TODAY(),"İLERİ TARİH",IF(COUNTIF($W$7:$W$3001,$W2395)&gt;1,"MÜKERRER?",IF($AD2395&gt;0,"KAPALI DÖNEM",IF($I2395="Hayır","ÖDENECEK","UYGUN")))),"EKSİK"))))</f>
        <v/>
      </c>
      <c r="Q2395" s="2"/>
      <c r="R2395" s="2"/>
      <c r="S2395" s="1" t="str">
        <f t="shared" si="113"/>
        <v/>
      </c>
      <c r="T2395" s="1" t="str">
        <f>IF(OR($C2395="",$D2395&lt;&gt;"Gelir",$L2395=""),"",IFERROR(INDEX(MUSTERILER!$B$7:$B$156,MATCH($S2395,MUSTERILER!$T$7:$T$156,0)),""))</f>
        <v/>
      </c>
      <c r="U2395" s="1" t="str">
        <f>IF($T2395="","",$T2395&amp;"|"&amp;COUNTIFS($T$7:$T2395,$T2395))</f>
        <v/>
      </c>
      <c r="V2395" s="1">
        <f t="shared" si="114"/>
        <v>0</v>
      </c>
      <c r="W2395" s="1" t="str">
        <f t="shared" si="115"/>
        <v/>
      </c>
      <c r="X2395" s="1"/>
      <c r="Y2395" s="1"/>
      <c r="Z2395" s="1"/>
      <c r="AA2395" s="1"/>
      <c r="AB2395" s="1"/>
      <c r="AC2395" s="1"/>
      <c r="AD2395" s="1">
        <f>IF($C2395="",0,SUMPRODUCT((AY_SONU!$O$7:$O$42="Evet")*(AY_SONU!$B$7:$B$42=DATE(YEAR($C2395),MONTH($C2395),1))))</f>
        <v>0</v>
      </c>
      <c r="AE2395" s="1" t="str">
        <f>IF($E2395="","",$E2395&amp;"|"&amp;COUNTIFS($E$7:$E2395,$E2395))</f>
        <v/>
      </c>
    </row>
    <row r="2396" spans="1:31" ht="18" customHeight="1" x14ac:dyDescent="0.3">
      <c r="A2396" s="2"/>
      <c r="B2396" s="65" t="str">
        <f>IF($C2396="","","GG"&amp;TEXT(ROW()-6,"00000"))</f>
        <v/>
      </c>
      <c r="C2396" s="66"/>
      <c r="D2396" s="60"/>
      <c r="E2396" s="61"/>
      <c r="F2396" s="61"/>
      <c r="G2396" s="67"/>
      <c r="H2396" s="60"/>
      <c r="I2396" s="60"/>
      <c r="J2396" s="61"/>
      <c r="K2396" s="61"/>
      <c r="L2396" s="60"/>
      <c r="M2396" s="74" t="str">
        <f>IF($C2396="","",IF($D2396="Gider",$E2396,IF($L2396&lt;&gt;"",$L2396,$H2396)))</f>
        <v/>
      </c>
      <c r="N2396" s="74" t="str">
        <f>IF($C2396="","",IF($D2396="Gider",$H2396,$E2396))</f>
        <v/>
      </c>
      <c r="O2396" s="73" t="str">
        <f>IF($C2396="","",DATE(YEAR($C2396),MONTH($C2396),1))</f>
        <v/>
      </c>
      <c r="P2396" s="65" t="str">
        <f ca="1">IF($C2396="","",IF(AND($D2396="Gelir",$L2396&lt;&gt;"",$T2396=""),"TANIMSIZ BORÇLU",IF($T2396&lt;&gt;"",IF(OR($E2396="",$G2396&lt;=0),"EKSİK",IF($I2396="Evet","TAHAKKUK NAKİT OLAMAZ",IF($C2396&gt;TODAY(),"İLERİ TARİH","TAHAKKUK"))),IF(AND($D2396&lt;&gt;"",$E2396&lt;&gt;"",$G2396&gt;0,$H2396&lt;&gt;"",$I2396&lt;&gt;""),IF($C2396&gt;TODAY(),"İLERİ TARİH",IF(COUNTIF($W$7:$W$3001,$W2396)&gt;1,"MÜKERRER?",IF($AD2396&gt;0,"KAPALI DÖNEM",IF($I2396="Hayır","ÖDENECEK","UYGUN")))),"EKSİK"))))</f>
        <v/>
      </c>
      <c r="Q2396" s="2"/>
      <c r="R2396" s="2"/>
      <c r="S2396" s="1" t="str">
        <f t="shared" si="113"/>
        <v/>
      </c>
      <c r="T2396" s="1" t="str">
        <f>IF(OR($C2396="",$D2396&lt;&gt;"Gelir",$L2396=""),"",IFERROR(INDEX(MUSTERILER!$B$7:$B$156,MATCH($S2396,MUSTERILER!$T$7:$T$156,0)),""))</f>
        <v/>
      </c>
      <c r="U2396" s="1" t="str">
        <f>IF($T2396="","",$T2396&amp;"|"&amp;COUNTIFS($T$7:$T2396,$T2396))</f>
        <v/>
      </c>
      <c r="V2396" s="1">
        <f t="shared" si="114"/>
        <v>0</v>
      </c>
      <c r="W2396" s="1" t="str">
        <f t="shared" si="115"/>
        <v/>
      </c>
      <c r="X2396" s="1"/>
      <c r="Y2396" s="1"/>
      <c r="Z2396" s="1"/>
      <c r="AA2396" s="1"/>
      <c r="AB2396" s="1"/>
      <c r="AC2396" s="1"/>
      <c r="AD2396" s="1">
        <f>IF($C2396="",0,SUMPRODUCT((AY_SONU!$O$7:$O$42="Evet")*(AY_SONU!$B$7:$B$42=DATE(YEAR($C2396),MONTH($C2396),1))))</f>
        <v>0</v>
      </c>
      <c r="AE2396" s="1" t="str">
        <f>IF($E2396="","",$E2396&amp;"|"&amp;COUNTIFS($E$7:$E2396,$E2396))</f>
        <v/>
      </c>
    </row>
    <row r="2397" spans="1:31" ht="18" customHeight="1" x14ac:dyDescent="0.3">
      <c r="A2397" s="2"/>
      <c r="B2397" s="65" t="str">
        <f>IF($C2397="","","GG"&amp;TEXT(ROW()-6,"00000"))</f>
        <v/>
      </c>
      <c r="C2397" s="66"/>
      <c r="D2397" s="60"/>
      <c r="E2397" s="61"/>
      <c r="F2397" s="61"/>
      <c r="G2397" s="67"/>
      <c r="H2397" s="60"/>
      <c r="I2397" s="60"/>
      <c r="J2397" s="61"/>
      <c r="K2397" s="61"/>
      <c r="L2397" s="60"/>
      <c r="M2397" s="74" t="str">
        <f>IF($C2397="","",IF($D2397="Gider",$E2397,IF($L2397&lt;&gt;"",$L2397,$H2397)))</f>
        <v/>
      </c>
      <c r="N2397" s="74" t="str">
        <f>IF($C2397="","",IF($D2397="Gider",$H2397,$E2397))</f>
        <v/>
      </c>
      <c r="O2397" s="73" t="str">
        <f>IF($C2397="","",DATE(YEAR($C2397),MONTH($C2397),1))</f>
        <v/>
      </c>
      <c r="P2397" s="65" t="str">
        <f ca="1">IF($C2397="","",IF(AND($D2397="Gelir",$L2397&lt;&gt;"",$T2397=""),"TANIMSIZ BORÇLU",IF($T2397&lt;&gt;"",IF(OR($E2397="",$G2397&lt;=0),"EKSİK",IF($I2397="Evet","TAHAKKUK NAKİT OLAMAZ",IF($C2397&gt;TODAY(),"İLERİ TARİH","TAHAKKUK"))),IF(AND($D2397&lt;&gt;"",$E2397&lt;&gt;"",$G2397&gt;0,$H2397&lt;&gt;"",$I2397&lt;&gt;""),IF($C2397&gt;TODAY(),"İLERİ TARİH",IF(COUNTIF($W$7:$W$3001,$W2397)&gt;1,"MÜKERRER?",IF($AD2397&gt;0,"KAPALI DÖNEM",IF($I2397="Hayır","ÖDENECEK","UYGUN")))),"EKSİK"))))</f>
        <v/>
      </c>
      <c r="Q2397" s="2"/>
      <c r="R2397" s="2"/>
      <c r="S2397" s="1" t="str">
        <f t="shared" si="113"/>
        <v/>
      </c>
      <c r="T2397" s="1" t="str">
        <f>IF(OR($C2397="",$D2397&lt;&gt;"Gelir",$L2397=""),"",IFERROR(INDEX(MUSTERILER!$B$7:$B$156,MATCH($S2397,MUSTERILER!$T$7:$T$156,0)),""))</f>
        <v/>
      </c>
      <c r="U2397" s="1" t="str">
        <f>IF($T2397="","",$T2397&amp;"|"&amp;COUNTIFS($T$7:$T2397,$T2397))</f>
        <v/>
      </c>
      <c r="V2397" s="1">
        <f t="shared" si="114"/>
        <v>0</v>
      </c>
      <c r="W2397" s="1" t="str">
        <f t="shared" si="115"/>
        <v/>
      </c>
      <c r="X2397" s="1"/>
      <c r="Y2397" s="1"/>
      <c r="Z2397" s="1"/>
      <c r="AA2397" s="1"/>
      <c r="AB2397" s="1"/>
      <c r="AC2397" s="1"/>
      <c r="AD2397" s="1">
        <f>IF($C2397="",0,SUMPRODUCT((AY_SONU!$O$7:$O$42="Evet")*(AY_SONU!$B$7:$B$42=DATE(YEAR($C2397),MONTH($C2397),1))))</f>
        <v>0</v>
      </c>
      <c r="AE2397" s="1" t="str">
        <f>IF($E2397="","",$E2397&amp;"|"&amp;COUNTIFS($E$7:$E2397,$E2397))</f>
        <v/>
      </c>
    </row>
    <row r="2398" spans="1:31" ht="18" customHeight="1" x14ac:dyDescent="0.3">
      <c r="A2398" s="2"/>
      <c r="B2398" s="65" t="str">
        <f>IF($C2398="","","GG"&amp;TEXT(ROW()-6,"00000"))</f>
        <v/>
      </c>
      <c r="C2398" s="66"/>
      <c r="D2398" s="60"/>
      <c r="E2398" s="61"/>
      <c r="F2398" s="61"/>
      <c r="G2398" s="67"/>
      <c r="H2398" s="60"/>
      <c r="I2398" s="60"/>
      <c r="J2398" s="61"/>
      <c r="K2398" s="61"/>
      <c r="L2398" s="60"/>
      <c r="M2398" s="74" t="str">
        <f>IF($C2398="","",IF($D2398="Gider",$E2398,IF($L2398&lt;&gt;"",$L2398,$H2398)))</f>
        <v/>
      </c>
      <c r="N2398" s="74" t="str">
        <f>IF($C2398="","",IF($D2398="Gider",$H2398,$E2398))</f>
        <v/>
      </c>
      <c r="O2398" s="73" t="str">
        <f>IF($C2398="","",DATE(YEAR($C2398),MONTH($C2398),1))</f>
        <v/>
      </c>
      <c r="P2398" s="65" t="str">
        <f ca="1">IF($C2398="","",IF(AND($D2398="Gelir",$L2398&lt;&gt;"",$T2398=""),"TANIMSIZ BORÇLU",IF($T2398&lt;&gt;"",IF(OR($E2398="",$G2398&lt;=0),"EKSİK",IF($I2398="Evet","TAHAKKUK NAKİT OLAMAZ",IF($C2398&gt;TODAY(),"İLERİ TARİH","TAHAKKUK"))),IF(AND($D2398&lt;&gt;"",$E2398&lt;&gt;"",$G2398&gt;0,$H2398&lt;&gt;"",$I2398&lt;&gt;""),IF($C2398&gt;TODAY(),"İLERİ TARİH",IF(COUNTIF($W$7:$W$3001,$W2398)&gt;1,"MÜKERRER?",IF($AD2398&gt;0,"KAPALI DÖNEM",IF($I2398="Hayır","ÖDENECEK","UYGUN")))),"EKSİK"))))</f>
        <v/>
      </c>
      <c r="Q2398" s="2"/>
      <c r="R2398" s="2"/>
      <c r="S2398" s="1" t="str">
        <f t="shared" si="113"/>
        <v/>
      </c>
      <c r="T2398" s="1" t="str">
        <f>IF(OR($C2398="",$D2398&lt;&gt;"Gelir",$L2398=""),"",IFERROR(INDEX(MUSTERILER!$B$7:$B$156,MATCH($S2398,MUSTERILER!$T$7:$T$156,0)),""))</f>
        <v/>
      </c>
      <c r="U2398" s="1" t="str">
        <f>IF($T2398="","",$T2398&amp;"|"&amp;COUNTIFS($T$7:$T2398,$T2398))</f>
        <v/>
      </c>
      <c r="V2398" s="1">
        <f t="shared" si="114"/>
        <v>0</v>
      </c>
      <c r="W2398" s="1" t="str">
        <f t="shared" si="115"/>
        <v/>
      </c>
      <c r="X2398" s="1"/>
      <c r="Y2398" s="1"/>
      <c r="Z2398" s="1"/>
      <c r="AA2398" s="1"/>
      <c r="AB2398" s="1"/>
      <c r="AC2398" s="1"/>
      <c r="AD2398" s="1">
        <f>IF($C2398="",0,SUMPRODUCT((AY_SONU!$O$7:$O$42="Evet")*(AY_SONU!$B$7:$B$42=DATE(YEAR($C2398),MONTH($C2398),1))))</f>
        <v>0</v>
      </c>
      <c r="AE2398" s="1" t="str">
        <f>IF($E2398="","",$E2398&amp;"|"&amp;COUNTIFS($E$7:$E2398,$E2398))</f>
        <v/>
      </c>
    </row>
    <row r="2399" spans="1:31" ht="18" customHeight="1" x14ac:dyDescent="0.3">
      <c r="A2399" s="2"/>
      <c r="B2399" s="65" t="str">
        <f>IF($C2399="","","GG"&amp;TEXT(ROW()-6,"00000"))</f>
        <v/>
      </c>
      <c r="C2399" s="66"/>
      <c r="D2399" s="60"/>
      <c r="E2399" s="61"/>
      <c r="F2399" s="61"/>
      <c r="G2399" s="67"/>
      <c r="H2399" s="60"/>
      <c r="I2399" s="60"/>
      <c r="J2399" s="61"/>
      <c r="K2399" s="61"/>
      <c r="L2399" s="60"/>
      <c r="M2399" s="74" t="str">
        <f>IF($C2399="","",IF($D2399="Gider",$E2399,IF($L2399&lt;&gt;"",$L2399,$H2399)))</f>
        <v/>
      </c>
      <c r="N2399" s="74" t="str">
        <f>IF($C2399="","",IF($D2399="Gider",$H2399,$E2399))</f>
        <v/>
      </c>
      <c r="O2399" s="73" t="str">
        <f>IF($C2399="","",DATE(YEAR($C2399),MONTH($C2399),1))</f>
        <v/>
      </c>
      <c r="P2399" s="65" t="str">
        <f ca="1">IF($C2399="","",IF(AND($D2399="Gelir",$L2399&lt;&gt;"",$T2399=""),"TANIMSIZ BORÇLU",IF($T2399&lt;&gt;"",IF(OR($E2399="",$G2399&lt;=0),"EKSİK",IF($I2399="Evet","TAHAKKUK NAKİT OLAMAZ",IF($C2399&gt;TODAY(),"İLERİ TARİH","TAHAKKUK"))),IF(AND($D2399&lt;&gt;"",$E2399&lt;&gt;"",$G2399&gt;0,$H2399&lt;&gt;"",$I2399&lt;&gt;""),IF($C2399&gt;TODAY(),"İLERİ TARİH",IF(COUNTIF($W$7:$W$3001,$W2399)&gt;1,"MÜKERRER?",IF($AD2399&gt;0,"KAPALI DÖNEM",IF($I2399="Hayır","ÖDENECEK","UYGUN")))),"EKSİK"))))</f>
        <v/>
      </c>
      <c r="Q2399" s="2"/>
      <c r="R2399" s="2"/>
      <c r="S2399" s="1" t="str">
        <f t="shared" si="113"/>
        <v/>
      </c>
      <c r="T2399" s="1" t="str">
        <f>IF(OR($C2399="",$D2399&lt;&gt;"Gelir",$L2399=""),"",IFERROR(INDEX(MUSTERILER!$B$7:$B$156,MATCH($S2399,MUSTERILER!$T$7:$T$156,0)),""))</f>
        <v/>
      </c>
      <c r="U2399" s="1" t="str">
        <f>IF($T2399="","",$T2399&amp;"|"&amp;COUNTIFS($T$7:$T2399,$T2399))</f>
        <v/>
      </c>
      <c r="V2399" s="1">
        <f t="shared" si="114"/>
        <v>0</v>
      </c>
      <c r="W2399" s="1" t="str">
        <f t="shared" si="115"/>
        <v/>
      </c>
      <c r="X2399" s="1"/>
      <c r="Y2399" s="1"/>
      <c r="Z2399" s="1"/>
      <c r="AA2399" s="1"/>
      <c r="AB2399" s="1"/>
      <c r="AC2399" s="1"/>
      <c r="AD2399" s="1">
        <f>IF($C2399="",0,SUMPRODUCT((AY_SONU!$O$7:$O$42="Evet")*(AY_SONU!$B$7:$B$42=DATE(YEAR($C2399),MONTH($C2399),1))))</f>
        <v>0</v>
      </c>
      <c r="AE2399" s="1" t="str">
        <f>IF($E2399="","",$E2399&amp;"|"&amp;COUNTIFS($E$7:$E2399,$E2399))</f>
        <v/>
      </c>
    </row>
    <row r="2400" spans="1:31" ht="18" customHeight="1" x14ac:dyDescent="0.3">
      <c r="A2400" s="2"/>
      <c r="B2400" s="65" t="str">
        <f>IF($C2400="","","GG"&amp;TEXT(ROW()-6,"00000"))</f>
        <v/>
      </c>
      <c r="C2400" s="66"/>
      <c r="D2400" s="60"/>
      <c r="E2400" s="61"/>
      <c r="F2400" s="61"/>
      <c r="G2400" s="67"/>
      <c r="H2400" s="60"/>
      <c r="I2400" s="60"/>
      <c r="J2400" s="61"/>
      <c r="K2400" s="61"/>
      <c r="L2400" s="60"/>
      <c r="M2400" s="74" t="str">
        <f>IF($C2400="","",IF($D2400="Gider",$E2400,IF($L2400&lt;&gt;"",$L2400,$H2400)))</f>
        <v/>
      </c>
      <c r="N2400" s="74" t="str">
        <f>IF($C2400="","",IF($D2400="Gider",$H2400,$E2400))</f>
        <v/>
      </c>
      <c r="O2400" s="73" t="str">
        <f>IF($C2400="","",DATE(YEAR($C2400),MONTH($C2400),1))</f>
        <v/>
      </c>
      <c r="P2400" s="65" t="str">
        <f ca="1">IF($C2400="","",IF(AND($D2400="Gelir",$L2400&lt;&gt;"",$T2400=""),"TANIMSIZ BORÇLU",IF($T2400&lt;&gt;"",IF(OR($E2400="",$G2400&lt;=0),"EKSİK",IF($I2400="Evet","TAHAKKUK NAKİT OLAMAZ",IF($C2400&gt;TODAY(),"İLERİ TARİH","TAHAKKUK"))),IF(AND($D2400&lt;&gt;"",$E2400&lt;&gt;"",$G2400&gt;0,$H2400&lt;&gt;"",$I2400&lt;&gt;""),IF($C2400&gt;TODAY(),"İLERİ TARİH",IF(COUNTIF($W$7:$W$3001,$W2400)&gt;1,"MÜKERRER?",IF($AD2400&gt;0,"KAPALI DÖNEM",IF($I2400="Hayır","ÖDENECEK","UYGUN")))),"EKSİK"))))</f>
        <v/>
      </c>
      <c r="Q2400" s="2"/>
      <c r="R2400" s="2"/>
      <c r="S2400" s="1" t="str">
        <f t="shared" si="113"/>
        <v/>
      </c>
      <c r="T2400" s="1" t="str">
        <f>IF(OR($C2400="",$D2400&lt;&gt;"Gelir",$L2400=""),"",IFERROR(INDEX(MUSTERILER!$B$7:$B$156,MATCH($S2400,MUSTERILER!$T$7:$T$156,0)),""))</f>
        <v/>
      </c>
      <c r="U2400" s="1" t="str">
        <f>IF($T2400="","",$T2400&amp;"|"&amp;COUNTIFS($T$7:$T2400,$T2400))</f>
        <v/>
      </c>
      <c r="V2400" s="1">
        <f t="shared" si="114"/>
        <v>0</v>
      </c>
      <c r="W2400" s="1" t="str">
        <f t="shared" si="115"/>
        <v/>
      </c>
      <c r="X2400" s="1"/>
      <c r="Y2400" s="1"/>
      <c r="Z2400" s="1"/>
      <c r="AA2400" s="1"/>
      <c r="AB2400" s="1"/>
      <c r="AC2400" s="1"/>
      <c r="AD2400" s="1">
        <f>IF($C2400="",0,SUMPRODUCT((AY_SONU!$O$7:$O$42="Evet")*(AY_SONU!$B$7:$B$42=DATE(YEAR($C2400),MONTH($C2400),1))))</f>
        <v>0</v>
      </c>
      <c r="AE2400" s="1" t="str">
        <f>IF($E2400="","",$E2400&amp;"|"&amp;COUNTIFS($E$7:$E2400,$E2400))</f>
        <v/>
      </c>
    </row>
    <row r="2401" spans="1:31" ht="18" customHeight="1" x14ac:dyDescent="0.3">
      <c r="A2401" s="2"/>
      <c r="B2401" s="65" t="str">
        <f>IF($C2401="","","GG"&amp;TEXT(ROW()-6,"00000"))</f>
        <v/>
      </c>
      <c r="C2401" s="66"/>
      <c r="D2401" s="60"/>
      <c r="E2401" s="61"/>
      <c r="F2401" s="61"/>
      <c r="G2401" s="67"/>
      <c r="H2401" s="60"/>
      <c r="I2401" s="60"/>
      <c r="J2401" s="61"/>
      <c r="K2401" s="61"/>
      <c r="L2401" s="60"/>
      <c r="M2401" s="74" t="str">
        <f>IF($C2401="","",IF($D2401="Gider",$E2401,IF($L2401&lt;&gt;"",$L2401,$H2401)))</f>
        <v/>
      </c>
      <c r="N2401" s="74" t="str">
        <f>IF($C2401="","",IF($D2401="Gider",$H2401,$E2401))</f>
        <v/>
      </c>
      <c r="O2401" s="73" t="str">
        <f>IF($C2401="","",DATE(YEAR($C2401),MONTH($C2401),1))</f>
        <v/>
      </c>
      <c r="P2401" s="65" t="str">
        <f ca="1">IF($C2401="","",IF(AND($D2401="Gelir",$L2401&lt;&gt;"",$T2401=""),"TANIMSIZ BORÇLU",IF($T2401&lt;&gt;"",IF(OR($E2401="",$G2401&lt;=0),"EKSİK",IF($I2401="Evet","TAHAKKUK NAKİT OLAMAZ",IF($C2401&gt;TODAY(),"İLERİ TARİH","TAHAKKUK"))),IF(AND($D2401&lt;&gt;"",$E2401&lt;&gt;"",$G2401&gt;0,$H2401&lt;&gt;"",$I2401&lt;&gt;""),IF($C2401&gt;TODAY(),"İLERİ TARİH",IF(COUNTIF($W$7:$W$3001,$W2401)&gt;1,"MÜKERRER?",IF($AD2401&gt;0,"KAPALI DÖNEM",IF($I2401="Hayır","ÖDENECEK","UYGUN")))),"EKSİK"))))</f>
        <v/>
      </c>
      <c r="Q2401" s="2"/>
      <c r="R2401" s="2"/>
      <c r="S2401" s="1" t="str">
        <f t="shared" si="113"/>
        <v/>
      </c>
      <c r="T2401" s="1" t="str">
        <f>IF(OR($C2401="",$D2401&lt;&gt;"Gelir",$L2401=""),"",IFERROR(INDEX(MUSTERILER!$B$7:$B$156,MATCH($S2401,MUSTERILER!$T$7:$T$156,0)),""))</f>
        <v/>
      </c>
      <c r="U2401" s="1" t="str">
        <f>IF($T2401="","",$T2401&amp;"|"&amp;COUNTIFS($T$7:$T2401,$T2401))</f>
        <v/>
      </c>
      <c r="V2401" s="1">
        <f t="shared" si="114"/>
        <v>0</v>
      </c>
      <c r="W2401" s="1" t="str">
        <f t="shared" si="115"/>
        <v/>
      </c>
      <c r="X2401" s="1"/>
      <c r="Y2401" s="1"/>
      <c r="Z2401" s="1"/>
      <c r="AA2401" s="1"/>
      <c r="AB2401" s="1"/>
      <c r="AC2401" s="1"/>
      <c r="AD2401" s="1">
        <f>IF($C2401="",0,SUMPRODUCT((AY_SONU!$O$7:$O$42="Evet")*(AY_SONU!$B$7:$B$42=DATE(YEAR($C2401),MONTH($C2401),1))))</f>
        <v>0</v>
      </c>
      <c r="AE2401" s="1" t="str">
        <f>IF($E2401="","",$E2401&amp;"|"&amp;COUNTIFS($E$7:$E2401,$E2401))</f>
        <v/>
      </c>
    </row>
    <row r="2402" spans="1:31" ht="18" customHeight="1" x14ac:dyDescent="0.3">
      <c r="A2402" s="2"/>
      <c r="B2402" s="65" t="str">
        <f>IF($C2402="","","GG"&amp;TEXT(ROW()-6,"00000"))</f>
        <v/>
      </c>
      <c r="C2402" s="66"/>
      <c r="D2402" s="60"/>
      <c r="E2402" s="61"/>
      <c r="F2402" s="61"/>
      <c r="G2402" s="67"/>
      <c r="H2402" s="60"/>
      <c r="I2402" s="60"/>
      <c r="J2402" s="61"/>
      <c r="K2402" s="61"/>
      <c r="L2402" s="60"/>
      <c r="M2402" s="74" t="str">
        <f>IF($C2402="","",IF($D2402="Gider",$E2402,IF($L2402&lt;&gt;"",$L2402,$H2402)))</f>
        <v/>
      </c>
      <c r="N2402" s="74" t="str">
        <f>IF($C2402="","",IF($D2402="Gider",$H2402,$E2402))</f>
        <v/>
      </c>
      <c r="O2402" s="73" t="str">
        <f>IF($C2402="","",DATE(YEAR($C2402),MONTH($C2402),1))</f>
        <v/>
      </c>
      <c r="P2402" s="65" t="str">
        <f ca="1">IF($C2402="","",IF(AND($D2402="Gelir",$L2402&lt;&gt;"",$T2402=""),"TANIMSIZ BORÇLU",IF($T2402&lt;&gt;"",IF(OR($E2402="",$G2402&lt;=0),"EKSİK",IF($I2402="Evet","TAHAKKUK NAKİT OLAMAZ",IF($C2402&gt;TODAY(),"İLERİ TARİH","TAHAKKUK"))),IF(AND($D2402&lt;&gt;"",$E2402&lt;&gt;"",$G2402&gt;0,$H2402&lt;&gt;"",$I2402&lt;&gt;""),IF($C2402&gt;TODAY(),"İLERİ TARİH",IF(COUNTIF($W$7:$W$3001,$W2402)&gt;1,"MÜKERRER?",IF($AD2402&gt;0,"KAPALI DÖNEM",IF($I2402="Hayır","ÖDENECEK","UYGUN")))),"EKSİK"))))</f>
        <v/>
      </c>
      <c r="Q2402" s="2"/>
      <c r="R2402" s="2"/>
      <c r="S2402" s="1" t="str">
        <f t="shared" si="113"/>
        <v/>
      </c>
      <c r="T2402" s="1" t="str">
        <f>IF(OR($C2402="",$D2402&lt;&gt;"Gelir",$L2402=""),"",IFERROR(INDEX(MUSTERILER!$B$7:$B$156,MATCH($S2402,MUSTERILER!$T$7:$T$156,0)),""))</f>
        <v/>
      </c>
      <c r="U2402" s="1" t="str">
        <f>IF($T2402="","",$T2402&amp;"|"&amp;COUNTIFS($T$7:$T2402,$T2402))</f>
        <v/>
      </c>
      <c r="V2402" s="1">
        <f t="shared" si="114"/>
        <v>0</v>
      </c>
      <c r="W2402" s="1" t="str">
        <f t="shared" si="115"/>
        <v/>
      </c>
      <c r="X2402" s="1"/>
      <c r="Y2402" s="1"/>
      <c r="Z2402" s="1"/>
      <c r="AA2402" s="1"/>
      <c r="AB2402" s="1"/>
      <c r="AC2402" s="1"/>
      <c r="AD2402" s="1">
        <f>IF($C2402="",0,SUMPRODUCT((AY_SONU!$O$7:$O$42="Evet")*(AY_SONU!$B$7:$B$42=DATE(YEAR($C2402),MONTH($C2402),1))))</f>
        <v>0</v>
      </c>
      <c r="AE2402" s="1" t="str">
        <f>IF($E2402="","",$E2402&amp;"|"&amp;COUNTIFS($E$7:$E2402,$E2402))</f>
        <v/>
      </c>
    </row>
    <row r="2403" spans="1:31" ht="18" customHeight="1" x14ac:dyDescent="0.3">
      <c r="A2403" s="2"/>
      <c r="B2403" s="65" t="str">
        <f>IF($C2403="","","GG"&amp;TEXT(ROW()-6,"00000"))</f>
        <v/>
      </c>
      <c r="C2403" s="66"/>
      <c r="D2403" s="60"/>
      <c r="E2403" s="61"/>
      <c r="F2403" s="61"/>
      <c r="G2403" s="67"/>
      <c r="H2403" s="60"/>
      <c r="I2403" s="60"/>
      <c r="J2403" s="61"/>
      <c r="K2403" s="61"/>
      <c r="L2403" s="60"/>
      <c r="M2403" s="74" t="str">
        <f>IF($C2403="","",IF($D2403="Gider",$E2403,IF($L2403&lt;&gt;"",$L2403,$H2403)))</f>
        <v/>
      </c>
      <c r="N2403" s="74" t="str">
        <f>IF($C2403="","",IF($D2403="Gider",$H2403,$E2403))</f>
        <v/>
      </c>
      <c r="O2403" s="73" t="str">
        <f>IF($C2403="","",DATE(YEAR($C2403),MONTH($C2403),1))</f>
        <v/>
      </c>
      <c r="P2403" s="65" t="str">
        <f ca="1">IF($C2403="","",IF(AND($D2403="Gelir",$L2403&lt;&gt;"",$T2403=""),"TANIMSIZ BORÇLU",IF($T2403&lt;&gt;"",IF(OR($E2403="",$G2403&lt;=0),"EKSİK",IF($I2403="Evet","TAHAKKUK NAKİT OLAMAZ",IF($C2403&gt;TODAY(),"İLERİ TARİH","TAHAKKUK"))),IF(AND($D2403&lt;&gt;"",$E2403&lt;&gt;"",$G2403&gt;0,$H2403&lt;&gt;"",$I2403&lt;&gt;""),IF($C2403&gt;TODAY(),"İLERİ TARİH",IF(COUNTIF($W$7:$W$3001,$W2403)&gt;1,"MÜKERRER?",IF($AD2403&gt;0,"KAPALI DÖNEM",IF($I2403="Hayır","ÖDENECEK","UYGUN")))),"EKSİK"))))</f>
        <v/>
      </c>
      <c r="Q2403" s="2"/>
      <c r="R2403" s="2"/>
      <c r="S2403" s="1" t="str">
        <f t="shared" si="113"/>
        <v/>
      </c>
      <c r="T2403" s="1" t="str">
        <f>IF(OR($C2403="",$D2403&lt;&gt;"Gelir",$L2403=""),"",IFERROR(INDEX(MUSTERILER!$B$7:$B$156,MATCH($S2403,MUSTERILER!$T$7:$T$156,0)),""))</f>
        <v/>
      </c>
      <c r="U2403" s="1" t="str">
        <f>IF($T2403="","",$T2403&amp;"|"&amp;COUNTIFS($T$7:$T2403,$T2403))</f>
        <v/>
      </c>
      <c r="V2403" s="1">
        <f t="shared" si="114"/>
        <v>0</v>
      </c>
      <c r="W2403" s="1" t="str">
        <f t="shared" si="115"/>
        <v/>
      </c>
      <c r="X2403" s="1"/>
      <c r="Y2403" s="1"/>
      <c r="Z2403" s="1"/>
      <c r="AA2403" s="1"/>
      <c r="AB2403" s="1"/>
      <c r="AC2403" s="1"/>
      <c r="AD2403" s="1">
        <f>IF($C2403="",0,SUMPRODUCT((AY_SONU!$O$7:$O$42="Evet")*(AY_SONU!$B$7:$B$42=DATE(YEAR($C2403),MONTH($C2403),1))))</f>
        <v>0</v>
      </c>
      <c r="AE2403" s="1" t="str">
        <f>IF($E2403="","",$E2403&amp;"|"&amp;COUNTIFS($E$7:$E2403,$E2403))</f>
        <v/>
      </c>
    </row>
    <row r="2404" spans="1:31" ht="18" customHeight="1" x14ac:dyDescent="0.3">
      <c r="A2404" s="2"/>
      <c r="B2404" s="65" t="str">
        <f>IF($C2404="","","GG"&amp;TEXT(ROW()-6,"00000"))</f>
        <v/>
      </c>
      <c r="C2404" s="66"/>
      <c r="D2404" s="60"/>
      <c r="E2404" s="61"/>
      <c r="F2404" s="61"/>
      <c r="G2404" s="67"/>
      <c r="H2404" s="60"/>
      <c r="I2404" s="60"/>
      <c r="J2404" s="61"/>
      <c r="K2404" s="61"/>
      <c r="L2404" s="60"/>
      <c r="M2404" s="74" t="str">
        <f>IF($C2404="","",IF($D2404="Gider",$E2404,IF($L2404&lt;&gt;"",$L2404,$H2404)))</f>
        <v/>
      </c>
      <c r="N2404" s="74" t="str">
        <f>IF($C2404="","",IF($D2404="Gider",$H2404,$E2404))</f>
        <v/>
      </c>
      <c r="O2404" s="73" t="str">
        <f>IF($C2404="","",DATE(YEAR($C2404),MONTH($C2404),1))</f>
        <v/>
      </c>
      <c r="P2404" s="65" t="str">
        <f ca="1">IF($C2404="","",IF(AND($D2404="Gelir",$L2404&lt;&gt;"",$T2404=""),"TANIMSIZ BORÇLU",IF($T2404&lt;&gt;"",IF(OR($E2404="",$G2404&lt;=0),"EKSİK",IF($I2404="Evet","TAHAKKUK NAKİT OLAMAZ",IF($C2404&gt;TODAY(),"İLERİ TARİH","TAHAKKUK"))),IF(AND($D2404&lt;&gt;"",$E2404&lt;&gt;"",$G2404&gt;0,$H2404&lt;&gt;"",$I2404&lt;&gt;""),IF($C2404&gt;TODAY(),"İLERİ TARİH",IF(COUNTIF($W$7:$W$3001,$W2404)&gt;1,"MÜKERRER?",IF($AD2404&gt;0,"KAPALI DÖNEM",IF($I2404="Hayır","ÖDENECEK","UYGUN")))),"EKSİK"))))</f>
        <v/>
      </c>
      <c r="Q2404" s="2"/>
      <c r="R2404" s="2"/>
      <c r="S2404" s="1" t="str">
        <f t="shared" si="113"/>
        <v/>
      </c>
      <c r="T2404" s="1" t="str">
        <f>IF(OR($C2404="",$D2404&lt;&gt;"Gelir",$L2404=""),"",IFERROR(INDEX(MUSTERILER!$B$7:$B$156,MATCH($S2404,MUSTERILER!$T$7:$T$156,0)),""))</f>
        <v/>
      </c>
      <c r="U2404" s="1" t="str">
        <f>IF($T2404="","",$T2404&amp;"|"&amp;COUNTIFS($T$7:$T2404,$T2404))</f>
        <v/>
      </c>
      <c r="V2404" s="1">
        <f t="shared" si="114"/>
        <v>0</v>
      </c>
      <c r="W2404" s="1" t="str">
        <f t="shared" si="115"/>
        <v/>
      </c>
      <c r="X2404" s="1"/>
      <c r="Y2404" s="1"/>
      <c r="Z2404" s="1"/>
      <c r="AA2404" s="1"/>
      <c r="AB2404" s="1"/>
      <c r="AC2404" s="1"/>
      <c r="AD2404" s="1">
        <f>IF($C2404="",0,SUMPRODUCT((AY_SONU!$O$7:$O$42="Evet")*(AY_SONU!$B$7:$B$42=DATE(YEAR($C2404),MONTH($C2404),1))))</f>
        <v>0</v>
      </c>
      <c r="AE2404" s="1" t="str">
        <f>IF($E2404="","",$E2404&amp;"|"&amp;COUNTIFS($E$7:$E2404,$E2404))</f>
        <v/>
      </c>
    </row>
    <row r="2405" spans="1:31" ht="18" customHeight="1" x14ac:dyDescent="0.3">
      <c r="A2405" s="2"/>
      <c r="B2405" s="65" t="str">
        <f>IF($C2405="","","GG"&amp;TEXT(ROW()-6,"00000"))</f>
        <v/>
      </c>
      <c r="C2405" s="66"/>
      <c r="D2405" s="60"/>
      <c r="E2405" s="61"/>
      <c r="F2405" s="61"/>
      <c r="G2405" s="67"/>
      <c r="H2405" s="60"/>
      <c r="I2405" s="60"/>
      <c r="J2405" s="61"/>
      <c r="K2405" s="61"/>
      <c r="L2405" s="60"/>
      <c r="M2405" s="74" t="str">
        <f>IF($C2405="","",IF($D2405="Gider",$E2405,IF($L2405&lt;&gt;"",$L2405,$H2405)))</f>
        <v/>
      </c>
      <c r="N2405" s="74" t="str">
        <f>IF($C2405="","",IF($D2405="Gider",$H2405,$E2405))</f>
        <v/>
      </c>
      <c r="O2405" s="73" t="str">
        <f>IF($C2405="","",DATE(YEAR($C2405),MONTH($C2405),1))</f>
        <v/>
      </c>
      <c r="P2405" s="65" t="str">
        <f ca="1">IF($C2405="","",IF(AND($D2405="Gelir",$L2405&lt;&gt;"",$T2405=""),"TANIMSIZ BORÇLU",IF($T2405&lt;&gt;"",IF(OR($E2405="",$G2405&lt;=0),"EKSİK",IF($I2405="Evet","TAHAKKUK NAKİT OLAMAZ",IF($C2405&gt;TODAY(),"İLERİ TARİH","TAHAKKUK"))),IF(AND($D2405&lt;&gt;"",$E2405&lt;&gt;"",$G2405&gt;0,$H2405&lt;&gt;"",$I2405&lt;&gt;""),IF($C2405&gt;TODAY(),"İLERİ TARİH",IF(COUNTIF($W$7:$W$3001,$W2405)&gt;1,"MÜKERRER?",IF($AD2405&gt;0,"KAPALI DÖNEM",IF($I2405="Hayır","ÖDENECEK","UYGUN")))),"EKSİK"))))</f>
        <v/>
      </c>
      <c r="Q2405" s="2"/>
      <c r="R2405" s="2"/>
      <c r="S2405" s="1" t="str">
        <f t="shared" si="113"/>
        <v/>
      </c>
      <c r="T2405" s="1" t="str">
        <f>IF(OR($C2405="",$D2405&lt;&gt;"Gelir",$L2405=""),"",IFERROR(INDEX(MUSTERILER!$B$7:$B$156,MATCH($S2405,MUSTERILER!$T$7:$T$156,0)),""))</f>
        <v/>
      </c>
      <c r="U2405" s="1" t="str">
        <f>IF($T2405="","",$T2405&amp;"|"&amp;COUNTIFS($T$7:$T2405,$T2405))</f>
        <v/>
      </c>
      <c r="V2405" s="1">
        <f t="shared" si="114"/>
        <v>0</v>
      </c>
      <c r="W2405" s="1" t="str">
        <f t="shared" si="115"/>
        <v/>
      </c>
      <c r="X2405" s="1"/>
      <c r="Y2405" s="1"/>
      <c r="Z2405" s="1"/>
      <c r="AA2405" s="1"/>
      <c r="AB2405" s="1"/>
      <c r="AC2405" s="1"/>
      <c r="AD2405" s="1">
        <f>IF($C2405="",0,SUMPRODUCT((AY_SONU!$O$7:$O$42="Evet")*(AY_SONU!$B$7:$B$42=DATE(YEAR($C2405),MONTH($C2405),1))))</f>
        <v>0</v>
      </c>
      <c r="AE2405" s="1" t="str">
        <f>IF($E2405="","",$E2405&amp;"|"&amp;COUNTIFS($E$7:$E2405,$E2405))</f>
        <v/>
      </c>
    </row>
    <row r="2406" spans="1:31" ht="18" customHeight="1" x14ac:dyDescent="0.3">
      <c r="A2406" s="2"/>
      <c r="B2406" s="65" t="str">
        <f>IF($C2406="","","GG"&amp;TEXT(ROW()-6,"00000"))</f>
        <v/>
      </c>
      <c r="C2406" s="66"/>
      <c r="D2406" s="60"/>
      <c r="E2406" s="61"/>
      <c r="F2406" s="61"/>
      <c r="G2406" s="67"/>
      <c r="H2406" s="60"/>
      <c r="I2406" s="60"/>
      <c r="J2406" s="61"/>
      <c r="K2406" s="61"/>
      <c r="L2406" s="60"/>
      <c r="M2406" s="74" t="str">
        <f>IF($C2406="","",IF($D2406="Gider",$E2406,IF($L2406&lt;&gt;"",$L2406,$H2406)))</f>
        <v/>
      </c>
      <c r="N2406" s="74" t="str">
        <f>IF($C2406="","",IF($D2406="Gider",$H2406,$E2406))</f>
        <v/>
      </c>
      <c r="O2406" s="73" t="str">
        <f>IF($C2406="","",DATE(YEAR($C2406),MONTH($C2406),1))</f>
        <v/>
      </c>
      <c r="P2406" s="65" t="str">
        <f ca="1">IF($C2406="","",IF(AND($D2406="Gelir",$L2406&lt;&gt;"",$T2406=""),"TANIMSIZ BORÇLU",IF($T2406&lt;&gt;"",IF(OR($E2406="",$G2406&lt;=0),"EKSİK",IF($I2406="Evet","TAHAKKUK NAKİT OLAMAZ",IF($C2406&gt;TODAY(),"İLERİ TARİH","TAHAKKUK"))),IF(AND($D2406&lt;&gt;"",$E2406&lt;&gt;"",$G2406&gt;0,$H2406&lt;&gt;"",$I2406&lt;&gt;""),IF($C2406&gt;TODAY(),"İLERİ TARİH",IF(COUNTIF($W$7:$W$3001,$W2406)&gt;1,"MÜKERRER?",IF($AD2406&gt;0,"KAPALI DÖNEM",IF($I2406="Hayır","ÖDENECEK","UYGUN")))),"EKSİK"))))</f>
        <v/>
      </c>
      <c r="Q2406" s="2"/>
      <c r="R2406" s="2"/>
      <c r="S2406" s="1" t="str">
        <f t="shared" si="113"/>
        <v/>
      </c>
      <c r="T2406" s="1" t="str">
        <f>IF(OR($C2406="",$D2406&lt;&gt;"Gelir",$L2406=""),"",IFERROR(INDEX(MUSTERILER!$B$7:$B$156,MATCH($S2406,MUSTERILER!$T$7:$T$156,0)),""))</f>
        <v/>
      </c>
      <c r="U2406" s="1" t="str">
        <f>IF($T2406="","",$T2406&amp;"|"&amp;COUNTIFS($T$7:$T2406,$T2406))</f>
        <v/>
      </c>
      <c r="V2406" s="1">
        <f t="shared" si="114"/>
        <v>0</v>
      </c>
      <c r="W2406" s="1" t="str">
        <f t="shared" si="115"/>
        <v/>
      </c>
      <c r="X2406" s="1"/>
      <c r="Y2406" s="1"/>
      <c r="Z2406" s="1"/>
      <c r="AA2406" s="1"/>
      <c r="AB2406" s="1"/>
      <c r="AC2406" s="1"/>
      <c r="AD2406" s="1">
        <f>IF($C2406="",0,SUMPRODUCT((AY_SONU!$O$7:$O$42="Evet")*(AY_SONU!$B$7:$B$42=DATE(YEAR($C2406),MONTH($C2406),1))))</f>
        <v>0</v>
      </c>
      <c r="AE2406" s="1" t="str">
        <f>IF($E2406="","",$E2406&amp;"|"&amp;COUNTIFS($E$7:$E2406,$E2406))</f>
        <v/>
      </c>
    </row>
    <row r="2407" spans="1:31" ht="18" customHeight="1" x14ac:dyDescent="0.3">
      <c r="A2407" s="2"/>
      <c r="B2407" s="65" t="str">
        <f>IF($C2407="","","GG"&amp;TEXT(ROW()-6,"00000"))</f>
        <v/>
      </c>
      <c r="C2407" s="66"/>
      <c r="D2407" s="60"/>
      <c r="E2407" s="61"/>
      <c r="F2407" s="61"/>
      <c r="G2407" s="67"/>
      <c r="H2407" s="60"/>
      <c r="I2407" s="60"/>
      <c r="J2407" s="61"/>
      <c r="K2407" s="61"/>
      <c r="L2407" s="60"/>
      <c r="M2407" s="74" t="str">
        <f>IF($C2407="","",IF($D2407="Gider",$E2407,IF($L2407&lt;&gt;"",$L2407,$H2407)))</f>
        <v/>
      </c>
      <c r="N2407" s="74" t="str">
        <f>IF($C2407="","",IF($D2407="Gider",$H2407,$E2407))</f>
        <v/>
      </c>
      <c r="O2407" s="73" t="str">
        <f>IF($C2407="","",DATE(YEAR($C2407),MONTH($C2407),1))</f>
        <v/>
      </c>
      <c r="P2407" s="65" t="str">
        <f ca="1">IF($C2407="","",IF(AND($D2407="Gelir",$L2407&lt;&gt;"",$T2407=""),"TANIMSIZ BORÇLU",IF($T2407&lt;&gt;"",IF(OR($E2407="",$G2407&lt;=0),"EKSİK",IF($I2407="Evet","TAHAKKUK NAKİT OLAMAZ",IF($C2407&gt;TODAY(),"İLERİ TARİH","TAHAKKUK"))),IF(AND($D2407&lt;&gt;"",$E2407&lt;&gt;"",$G2407&gt;0,$H2407&lt;&gt;"",$I2407&lt;&gt;""),IF($C2407&gt;TODAY(),"İLERİ TARİH",IF(COUNTIF($W$7:$W$3001,$W2407)&gt;1,"MÜKERRER?",IF($AD2407&gt;0,"KAPALI DÖNEM",IF($I2407="Hayır","ÖDENECEK","UYGUN")))),"EKSİK"))))</f>
        <v/>
      </c>
      <c r="Q2407" s="2"/>
      <c r="R2407" s="2"/>
      <c r="S2407" s="1" t="str">
        <f t="shared" si="113"/>
        <v/>
      </c>
      <c r="T2407" s="1" t="str">
        <f>IF(OR($C2407="",$D2407&lt;&gt;"Gelir",$L2407=""),"",IFERROR(INDEX(MUSTERILER!$B$7:$B$156,MATCH($S2407,MUSTERILER!$T$7:$T$156,0)),""))</f>
        <v/>
      </c>
      <c r="U2407" s="1" t="str">
        <f>IF($T2407="","",$T2407&amp;"|"&amp;COUNTIFS($T$7:$T2407,$T2407))</f>
        <v/>
      </c>
      <c r="V2407" s="1">
        <f t="shared" si="114"/>
        <v>0</v>
      </c>
      <c r="W2407" s="1" t="str">
        <f t="shared" si="115"/>
        <v/>
      </c>
      <c r="X2407" s="1"/>
      <c r="Y2407" s="1"/>
      <c r="Z2407" s="1"/>
      <c r="AA2407" s="1"/>
      <c r="AB2407" s="1"/>
      <c r="AC2407" s="1"/>
      <c r="AD2407" s="1">
        <f>IF($C2407="",0,SUMPRODUCT((AY_SONU!$O$7:$O$42="Evet")*(AY_SONU!$B$7:$B$42=DATE(YEAR($C2407),MONTH($C2407),1))))</f>
        <v>0</v>
      </c>
      <c r="AE2407" s="1" t="str">
        <f>IF($E2407="","",$E2407&amp;"|"&amp;COUNTIFS($E$7:$E2407,$E2407))</f>
        <v/>
      </c>
    </row>
    <row r="2408" spans="1:31" ht="18" customHeight="1" x14ac:dyDescent="0.3">
      <c r="A2408" s="2"/>
      <c r="B2408" s="65" t="str">
        <f>IF($C2408="","","GG"&amp;TEXT(ROW()-6,"00000"))</f>
        <v/>
      </c>
      <c r="C2408" s="66"/>
      <c r="D2408" s="60"/>
      <c r="E2408" s="61"/>
      <c r="F2408" s="61"/>
      <c r="G2408" s="67"/>
      <c r="H2408" s="60"/>
      <c r="I2408" s="60"/>
      <c r="J2408" s="61"/>
      <c r="K2408" s="61"/>
      <c r="L2408" s="60"/>
      <c r="M2408" s="74" t="str">
        <f>IF($C2408="","",IF($D2408="Gider",$E2408,IF($L2408&lt;&gt;"",$L2408,$H2408)))</f>
        <v/>
      </c>
      <c r="N2408" s="74" t="str">
        <f>IF($C2408="","",IF($D2408="Gider",$H2408,$E2408))</f>
        <v/>
      </c>
      <c r="O2408" s="73" t="str">
        <f>IF($C2408="","",DATE(YEAR($C2408),MONTH($C2408),1))</f>
        <v/>
      </c>
      <c r="P2408" s="65" t="str">
        <f ca="1">IF($C2408="","",IF(AND($D2408="Gelir",$L2408&lt;&gt;"",$T2408=""),"TANIMSIZ BORÇLU",IF($T2408&lt;&gt;"",IF(OR($E2408="",$G2408&lt;=0),"EKSİK",IF($I2408="Evet","TAHAKKUK NAKİT OLAMAZ",IF($C2408&gt;TODAY(),"İLERİ TARİH","TAHAKKUK"))),IF(AND($D2408&lt;&gt;"",$E2408&lt;&gt;"",$G2408&gt;0,$H2408&lt;&gt;"",$I2408&lt;&gt;""),IF($C2408&gt;TODAY(),"İLERİ TARİH",IF(COUNTIF($W$7:$W$3001,$W2408)&gt;1,"MÜKERRER?",IF($AD2408&gt;0,"KAPALI DÖNEM",IF($I2408="Hayır","ÖDENECEK","UYGUN")))),"EKSİK"))))</f>
        <v/>
      </c>
      <c r="Q2408" s="2"/>
      <c r="R2408" s="2"/>
      <c r="S2408" s="1" t="str">
        <f t="shared" si="113"/>
        <v/>
      </c>
      <c r="T2408" s="1" t="str">
        <f>IF(OR($C2408="",$D2408&lt;&gt;"Gelir",$L2408=""),"",IFERROR(INDEX(MUSTERILER!$B$7:$B$156,MATCH($S2408,MUSTERILER!$T$7:$T$156,0)),""))</f>
        <v/>
      </c>
      <c r="U2408" s="1" t="str">
        <f>IF($T2408="","",$T2408&amp;"|"&amp;COUNTIFS($T$7:$T2408,$T2408))</f>
        <v/>
      </c>
      <c r="V2408" s="1">
        <f t="shared" si="114"/>
        <v>0</v>
      </c>
      <c r="W2408" s="1" t="str">
        <f t="shared" si="115"/>
        <v/>
      </c>
      <c r="X2408" s="1"/>
      <c r="Y2408" s="1"/>
      <c r="Z2408" s="1"/>
      <c r="AA2408" s="1"/>
      <c r="AB2408" s="1"/>
      <c r="AC2408" s="1"/>
      <c r="AD2408" s="1">
        <f>IF($C2408="",0,SUMPRODUCT((AY_SONU!$O$7:$O$42="Evet")*(AY_SONU!$B$7:$B$42=DATE(YEAR($C2408),MONTH($C2408),1))))</f>
        <v>0</v>
      </c>
      <c r="AE2408" s="1" t="str">
        <f>IF($E2408="","",$E2408&amp;"|"&amp;COUNTIFS($E$7:$E2408,$E2408))</f>
        <v/>
      </c>
    </row>
    <row r="2409" spans="1:31" ht="18" customHeight="1" x14ac:dyDescent="0.3">
      <c r="A2409" s="2"/>
      <c r="B2409" s="65" t="str">
        <f>IF($C2409="","","GG"&amp;TEXT(ROW()-6,"00000"))</f>
        <v/>
      </c>
      <c r="C2409" s="66"/>
      <c r="D2409" s="60"/>
      <c r="E2409" s="61"/>
      <c r="F2409" s="61"/>
      <c r="G2409" s="67"/>
      <c r="H2409" s="60"/>
      <c r="I2409" s="60"/>
      <c r="J2409" s="61"/>
      <c r="K2409" s="61"/>
      <c r="L2409" s="60"/>
      <c r="M2409" s="74" t="str">
        <f>IF($C2409="","",IF($D2409="Gider",$E2409,IF($L2409&lt;&gt;"",$L2409,$H2409)))</f>
        <v/>
      </c>
      <c r="N2409" s="74" t="str">
        <f>IF($C2409="","",IF($D2409="Gider",$H2409,$E2409))</f>
        <v/>
      </c>
      <c r="O2409" s="73" t="str">
        <f>IF($C2409="","",DATE(YEAR($C2409),MONTH($C2409),1))</f>
        <v/>
      </c>
      <c r="P2409" s="65" t="str">
        <f ca="1">IF($C2409="","",IF(AND($D2409="Gelir",$L2409&lt;&gt;"",$T2409=""),"TANIMSIZ BORÇLU",IF($T2409&lt;&gt;"",IF(OR($E2409="",$G2409&lt;=0),"EKSİK",IF($I2409="Evet","TAHAKKUK NAKİT OLAMAZ",IF($C2409&gt;TODAY(),"İLERİ TARİH","TAHAKKUK"))),IF(AND($D2409&lt;&gt;"",$E2409&lt;&gt;"",$G2409&gt;0,$H2409&lt;&gt;"",$I2409&lt;&gt;""),IF($C2409&gt;TODAY(),"İLERİ TARİH",IF(COUNTIF($W$7:$W$3001,$W2409)&gt;1,"MÜKERRER?",IF($AD2409&gt;0,"KAPALI DÖNEM",IF($I2409="Hayır","ÖDENECEK","UYGUN")))),"EKSİK"))))</f>
        <v/>
      </c>
      <c r="Q2409" s="2"/>
      <c r="R2409" s="2"/>
      <c r="S2409" s="1" t="str">
        <f t="shared" si="113"/>
        <v/>
      </c>
      <c r="T2409" s="1" t="str">
        <f>IF(OR($C2409="",$D2409&lt;&gt;"Gelir",$L2409=""),"",IFERROR(INDEX(MUSTERILER!$B$7:$B$156,MATCH($S2409,MUSTERILER!$T$7:$T$156,0)),""))</f>
        <v/>
      </c>
      <c r="U2409" s="1" t="str">
        <f>IF($T2409="","",$T2409&amp;"|"&amp;COUNTIFS($T$7:$T2409,$T2409))</f>
        <v/>
      </c>
      <c r="V2409" s="1">
        <f t="shared" si="114"/>
        <v>0</v>
      </c>
      <c r="W2409" s="1" t="str">
        <f t="shared" si="115"/>
        <v/>
      </c>
      <c r="X2409" s="1"/>
      <c r="Y2409" s="1"/>
      <c r="Z2409" s="1"/>
      <c r="AA2409" s="1"/>
      <c r="AB2409" s="1"/>
      <c r="AC2409" s="1"/>
      <c r="AD2409" s="1">
        <f>IF($C2409="",0,SUMPRODUCT((AY_SONU!$O$7:$O$42="Evet")*(AY_SONU!$B$7:$B$42=DATE(YEAR($C2409),MONTH($C2409),1))))</f>
        <v>0</v>
      </c>
      <c r="AE2409" s="1" t="str">
        <f>IF($E2409="","",$E2409&amp;"|"&amp;COUNTIFS($E$7:$E2409,$E2409))</f>
        <v/>
      </c>
    </row>
    <row r="2410" spans="1:31" ht="18" customHeight="1" x14ac:dyDescent="0.3">
      <c r="A2410" s="2"/>
      <c r="B2410" s="65" t="str">
        <f>IF($C2410="","","GG"&amp;TEXT(ROW()-6,"00000"))</f>
        <v/>
      </c>
      <c r="C2410" s="66"/>
      <c r="D2410" s="60"/>
      <c r="E2410" s="61"/>
      <c r="F2410" s="61"/>
      <c r="G2410" s="67"/>
      <c r="H2410" s="60"/>
      <c r="I2410" s="60"/>
      <c r="J2410" s="61"/>
      <c r="K2410" s="61"/>
      <c r="L2410" s="60"/>
      <c r="M2410" s="74" t="str">
        <f>IF($C2410="","",IF($D2410="Gider",$E2410,IF($L2410&lt;&gt;"",$L2410,$H2410)))</f>
        <v/>
      </c>
      <c r="N2410" s="74" t="str">
        <f>IF($C2410="","",IF($D2410="Gider",$H2410,$E2410))</f>
        <v/>
      </c>
      <c r="O2410" s="73" t="str">
        <f>IF($C2410="","",DATE(YEAR($C2410),MONTH($C2410),1))</f>
        <v/>
      </c>
      <c r="P2410" s="65" t="str">
        <f ca="1">IF($C2410="","",IF(AND($D2410="Gelir",$L2410&lt;&gt;"",$T2410=""),"TANIMSIZ BORÇLU",IF($T2410&lt;&gt;"",IF(OR($E2410="",$G2410&lt;=0),"EKSİK",IF($I2410="Evet","TAHAKKUK NAKİT OLAMAZ",IF($C2410&gt;TODAY(),"İLERİ TARİH","TAHAKKUK"))),IF(AND($D2410&lt;&gt;"",$E2410&lt;&gt;"",$G2410&gt;0,$H2410&lt;&gt;"",$I2410&lt;&gt;""),IF($C2410&gt;TODAY(),"İLERİ TARİH",IF(COUNTIF($W$7:$W$3001,$W2410)&gt;1,"MÜKERRER?",IF($AD2410&gt;0,"KAPALI DÖNEM",IF($I2410="Hayır","ÖDENECEK","UYGUN")))),"EKSİK"))))</f>
        <v/>
      </c>
      <c r="Q2410" s="2"/>
      <c r="R2410" s="2"/>
      <c r="S2410" s="1" t="str">
        <f t="shared" si="113"/>
        <v/>
      </c>
      <c r="T2410" s="1" t="str">
        <f>IF(OR($C2410="",$D2410&lt;&gt;"Gelir",$L2410=""),"",IFERROR(INDEX(MUSTERILER!$B$7:$B$156,MATCH($S2410,MUSTERILER!$T$7:$T$156,0)),""))</f>
        <v/>
      </c>
      <c r="U2410" s="1" t="str">
        <f>IF($T2410="","",$T2410&amp;"|"&amp;COUNTIFS($T$7:$T2410,$T2410))</f>
        <v/>
      </c>
      <c r="V2410" s="1">
        <f t="shared" si="114"/>
        <v>0</v>
      </c>
      <c r="W2410" s="1" t="str">
        <f t="shared" si="115"/>
        <v/>
      </c>
      <c r="X2410" s="1"/>
      <c r="Y2410" s="1"/>
      <c r="Z2410" s="1"/>
      <c r="AA2410" s="1"/>
      <c r="AB2410" s="1"/>
      <c r="AC2410" s="1"/>
      <c r="AD2410" s="1">
        <f>IF($C2410="",0,SUMPRODUCT((AY_SONU!$O$7:$O$42="Evet")*(AY_SONU!$B$7:$B$42=DATE(YEAR($C2410),MONTH($C2410),1))))</f>
        <v>0</v>
      </c>
      <c r="AE2410" s="1" t="str">
        <f>IF($E2410="","",$E2410&amp;"|"&amp;COUNTIFS($E$7:$E2410,$E2410))</f>
        <v/>
      </c>
    </row>
    <row r="2411" spans="1:31" ht="18" customHeight="1" x14ac:dyDescent="0.3">
      <c r="A2411" s="2"/>
      <c r="B2411" s="65" t="str">
        <f>IF($C2411="","","GG"&amp;TEXT(ROW()-6,"00000"))</f>
        <v/>
      </c>
      <c r="C2411" s="66"/>
      <c r="D2411" s="60"/>
      <c r="E2411" s="61"/>
      <c r="F2411" s="61"/>
      <c r="G2411" s="67"/>
      <c r="H2411" s="60"/>
      <c r="I2411" s="60"/>
      <c r="J2411" s="61"/>
      <c r="K2411" s="61"/>
      <c r="L2411" s="60"/>
      <c r="M2411" s="74" t="str">
        <f>IF($C2411="","",IF($D2411="Gider",$E2411,IF($L2411&lt;&gt;"",$L2411,$H2411)))</f>
        <v/>
      </c>
      <c r="N2411" s="74" t="str">
        <f>IF($C2411="","",IF($D2411="Gider",$H2411,$E2411))</f>
        <v/>
      </c>
      <c r="O2411" s="73" t="str">
        <f>IF($C2411="","",DATE(YEAR($C2411),MONTH($C2411),1))</f>
        <v/>
      </c>
      <c r="P2411" s="65" t="str">
        <f ca="1">IF($C2411="","",IF(AND($D2411="Gelir",$L2411&lt;&gt;"",$T2411=""),"TANIMSIZ BORÇLU",IF($T2411&lt;&gt;"",IF(OR($E2411="",$G2411&lt;=0),"EKSİK",IF($I2411="Evet","TAHAKKUK NAKİT OLAMAZ",IF($C2411&gt;TODAY(),"İLERİ TARİH","TAHAKKUK"))),IF(AND($D2411&lt;&gt;"",$E2411&lt;&gt;"",$G2411&gt;0,$H2411&lt;&gt;"",$I2411&lt;&gt;""),IF($C2411&gt;TODAY(),"İLERİ TARİH",IF(COUNTIF($W$7:$W$3001,$W2411)&gt;1,"MÜKERRER?",IF($AD2411&gt;0,"KAPALI DÖNEM",IF($I2411="Hayır","ÖDENECEK","UYGUN")))),"EKSİK"))))</f>
        <v/>
      </c>
      <c r="Q2411" s="2"/>
      <c r="R2411" s="2"/>
      <c r="S2411" s="1" t="str">
        <f t="shared" si="113"/>
        <v/>
      </c>
      <c r="T2411" s="1" t="str">
        <f>IF(OR($C2411="",$D2411&lt;&gt;"Gelir",$L2411=""),"",IFERROR(INDEX(MUSTERILER!$B$7:$B$156,MATCH($S2411,MUSTERILER!$T$7:$T$156,0)),""))</f>
        <v/>
      </c>
      <c r="U2411" s="1" t="str">
        <f>IF($T2411="","",$T2411&amp;"|"&amp;COUNTIFS($T$7:$T2411,$T2411))</f>
        <v/>
      </c>
      <c r="V2411" s="1">
        <f t="shared" si="114"/>
        <v>0</v>
      </c>
      <c r="W2411" s="1" t="str">
        <f t="shared" si="115"/>
        <v/>
      </c>
      <c r="X2411" s="1"/>
      <c r="Y2411" s="1"/>
      <c r="Z2411" s="1"/>
      <c r="AA2411" s="1"/>
      <c r="AB2411" s="1"/>
      <c r="AC2411" s="1"/>
      <c r="AD2411" s="1">
        <f>IF($C2411="",0,SUMPRODUCT((AY_SONU!$O$7:$O$42="Evet")*(AY_SONU!$B$7:$B$42=DATE(YEAR($C2411),MONTH($C2411),1))))</f>
        <v>0</v>
      </c>
      <c r="AE2411" s="1" t="str">
        <f>IF($E2411="","",$E2411&amp;"|"&amp;COUNTIFS($E$7:$E2411,$E2411))</f>
        <v/>
      </c>
    </row>
    <row r="2412" spans="1:31" ht="18" customHeight="1" x14ac:dyDescent="0.3">
      <c r="A2412" s="2"/>
      <c r="B2412" s="65" t="str">
        <f>IF($C2412="","","GG"&amp;TEXT(ROW()-6,"00000"))</f>
        <v/>
      </c>
      <c r="C2412" s="66"/>
      <c r="D2412" s="60"/>
      <c r="E2412" s="61"/>
      <c r="F2412" s="61"/>
      <c r="G2412" s="67"/>
      <c r="H2412" s="60"/>
      <c r="I2412" s="60"/>
      <c r="J2412" s="61"/>
      <c r="K2412" s="61"/>
      <c r="L2412" s="60"/>
      <c r="M2412" s="74" t="str">
        <f>IF($C2412="","",IF($D2412="Gider",$E2412,IF($L2412&lt;&gt;"",$L2412,$H2412)))</f>
        <v/>
      </c>
      <c r="N2412" s="74" t="str">
        <f>IF($C2412="","",IF($D2412="Gider",$H2412,$E2412))</f>
        <v/>
      </c>
      <c r="O2412" s="73" t="str">
        <f>IF($C2412="","",DATE(YEAR($C2412),MONTH($C2412),1))</f>
        <v/>
      </c>
      <c r="P2412" s="65" t="str">
        <f ca="1">IF($C2412="","",IF(AND($D2412="Gelir",$L2412&lt;&gt;"",$T2412=""),"TANIMSIZ BORÇLU",IF($T2412&lt;&gt;"",IF(OR($E2412="",$G2412&lt;=0),"EKSİK",IF($I2412="Evet","TAHAKKUK NAKİT OLAMAZ",IF($C2412&gt;TODAY(),"İLERİ TARİH","TAHAKKUK"))),IF(AND($D2412&lt;&gt;"",$E2412&lt;&gt;"",$G2412&gt;0,$H2412&lt;&gt;"",$I2412&lt;&gt;""),IF($C2412&gt;TODAY(),"İLERİ TARİH",IF(COUNTIF($W$7:$W$3001,$W2412)&gt;1,"MÜKERRER?",IF($AD2412&gt;0,"KAPALI DÖNEM",IF($I2412="Hayır","ÖDENECEK","UYGUN")))),"EKSİK"))))</f>
        <v/>
      </c>
      <c r="Q2412" s="2"/>
      <c r="R2412" s="2"/>
      <c r="S2412" s="1" t="str">
        <f t="shared" si="113"/>
        <v/>
      </c>
      <c r="T2412" s="1" t="str">
        <f>IF(OR($C2412="",$D2412&lt;&gt;"Gelir",$L2412=""),"",IFERROR(INDEX(MUSTERILER!$B$7:$B$156,MATCH($S2412,MUSTERILER!$T$7:$T$156,0)),""))</f>
        <v/>
      </c>
      <c r="U2412" s="1" t="str">
        <f>IF($T2412="","",$T2412&amp;"|"&amp;COUNTIFS($T$7:$T2412,$T2412))</f>
        <v/>
      </c>
      <c r="V2412" s="1">
        <f t="shared" si="114"/>
        <v>0</v>
      </c>
      <c r="W2412" s="1" t="str">
        <f t="shared" si="115"/>
        <v/>
      </c>
      <c r="X2412" s="1"/>
      <c r="Y2412" s="1"/>
      <c r="Z2412" s="1"/>
      <c r="AA2412" s="1"/>
      <c r="AB2412" s="1"/>
      <c r="AC2412" s="1"/>
      <c r="AD2412" s="1">
        <f>IF($C2412="",0,SUMPRODUCT((AY_SONU!$O$7:$O$42="Evet")*(AY_SONU!$B$7:$B$42=DATE(YEAR($C2412),MONTH($C2412),1))))</f>
        <v>0</v>
      </c>
      <c r="AE2412" s="1" t="str">
        <f>IF($E2412="","",$E2412&amp;"|"&amp;COUNTIFS($E$7:$E2412,$E2412))</f>
        <v/>
      </c>
    </row>
    <row r="2413" spans="1:31" ht="18" customHeight="1" x14ac:dyDescent="0.3">
      <c r="A2413" s="2"/>
      <c r="B2413" s="65" t="str">
        <f>IF($C2413="","","GG"&amp;TEXT(ROW()-6,"00000"))</f>
        <v/>
      </c>
      <c r="C2413" s="66"/>
      <c r="D2413" s="60"/>
      <c r="E2413" s="61"/>
      <c r="F2413" s="61"/>
      <c r="G2413" s="67"/>
      <c r="H2413" s="60"/>
      <c r="I2413" s="60"/>
      <c r="J2413" s="61"/>
      <c r="K2413" s="61"/>
      <c r="L2413" s="60"/>
      <c r="M2413" s="74" t="str">
        <f>IF($C2413="","",IF($D2413="Gider",$E2413,IF($L2413&lt;&gt;"",$L2413,$H2413)))</f>
        <v/>
      </c>
      <c r="N2413" s="74" t="str">
        <f>IF($C2413="","",IF($D2413="Gider",$H2413,$E2413))</f>
        <v/>
      </c>
      <c r="O2413" s="73" t="str">
        <f>IF($C2413="","",DATE(YEAR($C2413),MONTH($C2413),1))</f>
        <v/>
      </c>
      <c r="P2413" s="65" t="str">
        <f ca="1">IF($C2413="","",IF(AND($D2413="Gelir",$L2413&lt;&gt;"",$T2413=""),"TANIMSIZ BORÇLU",IF($T2413&lt;&gt;"",IF(OR($E2413="",$G2413&lt;=0),"EKSİK",IF($I2413="Evet","TAHAKKUK NAKİT OLAMAZ",IF($C2413&gt;TODAY(),"İLERİ TARİH","TAHAKKUK"))),IF(AND($D2413&lt;&gt;"",$E2413&lt;&gt;"",$G2413&gt;0,$H2413&lt;&gt;"",$I2413&lt;&gt;""),IF($C2413&gt;TODAY(),"İLERİ TARİH",IF(COUNTIF($W$7:$W$3001,$W2413)&gt;1,"MÜKERRER?",IF($AD2413&gt;0,"KAPALI DÖNEM",IF($I2413="Hayır","ÖDENECEK","UYGUN")))),"EKSİK"))))</f>
        <v/>
      </c>
      <c r="Q2413" s="2"/>
      <c r="R2413" s="2"/>
      <c r="S2413" s="1" t="str">
        <f t="shared" si="113"/>
        <v/>
      </c>
      <c r="T2413" s="1" t="str">
        <f>IF(OR($C2413="",$D2413&lt;&gt;"Gelir",$L2413=""),"",IFERROR(INDEX(MUSTERILER!$B$7:$B$156,MATCH($S2413,MUSTERILER!$T$7:$T$156,0)),""))</f>
        <v/>
      </c>
      <c r="U2413" s="1" t="str">
        <f>IF($T2413="","",$T2413&amp;"|"&amp;COUNTIFS($T$7:$T2413,$T2413))</f>
        <v/>
      </c>
      <c r="V2413" s="1">
        <f t="shared" si="114"/>
        <v>0</v>
      </c>
      <c r="W2413" s="1" t="str">
        <f t="shared" si="115"/>
        <v/>
      </c>
      <c r="X2413" s="1"/>
      <c r="Y2413" s="1"/>
      <c r="Z2413" s="1"/>
      <c r="AA2413" s="1"/>
      <c r="AB2413" s="1"/>
      <c r="AC2413" s="1"/>
      <c r="AD2413" s="1">
        <f>IF($C2413="",0,SUMPRODUCT((AY_SONU!$O$7:$O$42="Evet")*(AY_SONU!$B$7:$B$42=DATE(YEAR($C2413),MONTH($C2413),1))))</f>
        <v>0</v>
      </c>
      <c r="AE2413" s="1" t="str">
        <f>IF($E2413="","",$E2413&amp;"|"&amp;COUNTIFS($E$7:$E2413,$E2413))</f>
        <v/>
      </c>
    </row>
    <row r="2414" spans="1:31" ht="18" customHeight="1" x14ac:dyDescent="0.3">
      <c r="A2414" s="2"/>
      <c r="B2414" s="65" t="str">
        <f>IF($C2414="","","GG"&amp;TEXT(ROW()-6,"00000"))</f>
        <v/>
      </c>
      <c r="C2414" s="66"/>
      <c r="D2414" s="60"/>
      <c r="E2414" s="61"/>
      <c r="F2414" s="61"/>
      <c r="G2414" s="67"/>
      <c r="H2414" s="60"/>
      <c r="I2414" s="60"/>
      <c r="J2414" s="61"/>
      <c r="K2414" s="61"/>
      <c r="L2414" s="60"/>
      <c r="M2414" s="74" t="str">
        <f>IF($C2414="","",IF($D2414="Gider",$E2414,IF($L2414&lt;&gt;"",$L2414,$H2414)))</f>
        <v/>
      </c>
      <c r="N2414" s="74" t="str">
        <f>IF($C2414="","",IF($D2414="Gider",$H2414,$E2414))</f>
        <v/>
      </c>
      <c r="O2414" s="73" t="str">
        <f>IF($C2414="","",DATE(YEAR($C2414),MONTH($C2414),1))</f>
        <v/>
      </c>
      <c r="P2414" s="65" t="str">
        <f ca="1">IF($C2414="","",IF(AND($D2414="Gelir",$L2414&lt;&gt;"",$T2414=""),"TANIMSIZ BORÇLU",IF($T2414&lt;&gt;"",IF(OR($E2414="",$G2414&lt;=0),"EKSİK",IF($I2414="Evet","TAHAKKUK NAKİT OLAMAZ",IF($C2414&gt;TODAY(),"İLERİ TARİH","TAHAKKUK"))),IF(AND($D2414&lt;&gt;"",$E2414&lt;&gt;"",$G2414&gt;0,$H2414&lt;&gt;"",$I2414&lt;&gt;""),IF($C2414&gt;TODAY(),"İLERİ TARİH",IF(COUNTIF($W$7:$W$3001,$W2414)&gt;1,"MÜKERRER?",IF($AD2414&gt;0,"KAPALI DÖNEM",IF($I2414="Hayır","ÖDENECEK","UYGUN")))),"EKSİK"))))</f>
        <v/>
      </c>
      <c r="Q2414" s="2"/>
      <c r="R2414" s="2"/>
      <c r="S2414" s="1" t="str">
        <f t="shared" si="113"/>
        <v/>
      </c>
      <c r="T2414" s="1" t="str">
        <f>IF(OR($C2414="",$D2414&lt;&gt;"Gelir",$L2414=""),"",IFERROR(INDEX(MUSTERILER!$B$7:$B$156,MATCH($S2414,MUSTERILER!$T$7:$T$156,0)),""))</f>
        <v/>
      </c>
      <c r="U2414" s="1" t="str">
        <f>IF($T2414="","",$T2414&amp;"|"&amp;COUNTIFS($T$7:$T2414,$T2414))</f>
        <v/>
      </c>
      <c r="V2414" s="1">
        <f t="shared" si="114"/>
        <v>0</v>
      </c>
      <c r="W2414" s="1" t="str">
        <f t="shared" si="115"/>
        <v/>
      </c>
      <c r="X2414" s="1"/>
      <c r="Y2414" s="1"/>
      <c r="Z2414" s="1"/>
      <c r="AA2414" s="1"/>
      <c r="AB2414" s="1"/>
      <c r="AC2414" s="1"/>
      <c r="AD2414" s="1">
        <f>IF($C2414="",0,SUMPRODUCT((AY_SONU!$O$7:$O$42="Evet")*(AY_SONU!$B$7:$B$42=DATE(YEAR($C2414),MONTH($C2414),1))))</f>
        <v>0</v>
      </c>
      <c r="AE2414" s="1" t="str">
        <f>IF($E2414="","",$E2414&amp;"|"&amp;COUNTIFS($E$7:$E2414,$E2414))</f>
        <v/>
      </c>
    </row>
    <row r="2415" spans="1:31" ht="18" customHeight="1" x14ac:dyDescent="0.3">
      <c r="A2415" s="2"/>
      <c r="B2415" s="65" t="str">
        <f>IF($C2415="","","GG"&amp;TEXT(ROW()-6,"00000"))</f>
        <v/>
      </c>
      <c r="C2415" s="66"/>
      <c r="D2415" s="60"/>
      <c r="E2415" s="61"/>
      <c r="F2415" s="61"/>
      <c r="G2415" s="67"/>
      <c r="H2415" s="60"/>
      <c r="I2415" s="60"/>
      <c r="J2415" s="61"/>
      <c r="K2415" s="61"/>
      <c r="L2415" s="60"/>
      <c r="M2415" s="74" t="str">
        <f>IF($C2415="","",IF($D2415="Gider",$E2415,IF($L2415&lt;&gt;"",$L2415,$H2415)))</f>
        <v/>
      </c>
      <c r="N2415" s="74" t="str">
        <f>IF($C2415="","",IF($D2415="Gider",$H2415,$E2415))</f>
        <v/>
      </c>
      <c r="O2415" s="73" t="str">
        <f>IF($C2415="","",DATE(YEAR($C2415),MONTH($C2415),1))</f>
        <v/>
      </c>
      <c r="P2415" s="65" t="str">
        <f ca="1">IF($C2415="","",IF(AND($D2415="Gelir",$L2415&lt;&gt;"",$T2415=""),"TANIMSIZ BORÇLU",IF($T2415&lt;&gt;"",IF(OR($E2415="",$G2415&lt;=0),"EKSİK",IF($I2415="Evet","TAHAKKUK NAKİT OLAMAZ",IF($C2415&gt;TODAY(),"İLERİ TARİH","TAHAKKUK"))),IF(AND($D2415&lt;&gt;"",$E2415&lt;&gt;"",$G2415&gt;0,$H2415&lt;&gt;"",$I2415&lt;&gt;""),IF($C2415&gt;TODAY(),"İLERİ TARİH",IF(COUNTIF($W$7:$W$3001,$W2415)&gt;1,"MÜKERRER?",IF($AD2415&gt;0,"KAPALI DÖNEM",IF($I2415="Hayır","ÖDENECEK","UYGUN")))),"EKSİK"))))</f>
        <v/>
      </c>
      <c r="Q2415" s="2"/>
      <c r="R2415" s="2"/>
      <c r="S2415" s="1" t="str">
        <f t="shared" si="113"/>
        <v/>
      </c>
      <c r="T2415" s="1" t="str">
        <f>IF(OR($C2415="",$D2415&lt;&gt;"Gelir",$L2415=""),"",IFERROR(INDEX(MUSTERILER!$B$7:$B$156,MATCH($S2415,MUSTERILER!$T$7:$T$156,0)),""))</f>
        <v/>
      </c>
      <c r="U2415" s="1" t="str">
        <f>IF($T2415="","",$T2415&amp;"|"&amp;COUNTIFS($T$7:$T2415,$T2415))</f>
        <v/>
      </c>
      <c r="V2415" s="1">
        <f t="shared" si="114"/>
        <v>0</v>
      </c>
      <c r="W2415" s="1" t="str">
        <f t="shared" si="115"/>
        <v/>
      </c>
      <c r="X2415" s="1"/>
      <c r="Y2415" s="1"/>
      <c r="Z2415" s="1"/>
      <c r="AA2415" s="1"/>
      <c r="AB2415" s="1"/>
      <c r="AC2415" s="1"/>
      <c r="AD2415" s="1">
        <f>IF($C2415="",0,SUMPRODUCT((AY_SONU!$O$7:$O$42="Evet")*(AY_SONU!$B$7:$B$42=DATE(YEAR($C2415),MONTH($C2415),1))))</f>
        <v>0</v>
      </c>
      <c r="AE2415" s="1" t="str">
        <f>IF($E2415="","",$E2415&amp;"|"&amp;COUNTIFS($E$7:$E2415,$E2415))</f>
        <v/>
      </c>
    </row>
    <row r="2416" spans="1:31" ht="18" customHeight="1" x14ac:dyDescent="0.3">
      <c r="A2416" s="2"/>
      <c r="B2416" s="65" t="str">
        <f>IF($C2416="","","GG"&amp;TEXT(ROW()-6,"00000"))</f>
        <v/>
      </c>
      <c r="C2416" s="66"/>
      <c r="D2416" s="60"/>
      <c r="E2416" s="61"/>
      <c r="F2416" s="61"/>
      <c r="G2416" s="67"/>
      <c r="H2416" s="60"/>
      <c r="I2416" s="60"/>
      <c r="J2416" s="61"/>
      <c r="K2416" s="61"/>
      <c r="L2416" s="60"/>
      <c r="M2416" s="74" t="str">
        <f>IF($C2416="","",IF($D2416="Gider",$E2416,IF($L2416&lt;&gt;"",$L2416,$H2416)))</f>
        <v/>
      </c>
      <c r="N2416" s="74" t="str">
        <f>IF($C2416="","",IF($D2416="Gider",$H2416,$E2416))</f>
        <v/>
      </c>
      <c r="O2416" s="73" t="str">
        <f>IF($C2416="","",DATE(YEAR($C2416),MONTH($C2416),1))</f>
        <v/>
      </c>
      <c r="P2416" s="65" t="str">
        <f ca="1">IF($C2416="","",IF(AND($D2416="Gelir",$L2416&lt;&gt;"",$T2416=""),"TANIMSIZ BORÇLU",IF($T2416&lt;&gt;"",IF(OR($E2416="",$G2416&lt;=0),"EKSİK",IF($I2416="Evet","TAHAKKUK NAKİT OLAMAZ",IF($C2416&gt;TODAY(),"İLERİ TARİH","TAHAKKUK"))),IF(AND($D2416&lt;&gt;"",$E2416&lt;&gt;"",$G2416&gt;0,$H2416&lt;&gt;"",$I2416&lt;&gt;""),IF($C2416&gt;TODAY(),"İLERİ TARİH",IF(COUNTIF($W$7:$W$3001,$W2416)&gt;1,"MÜKERRER?",IF($AD2416&gt;0,"KAPALI DÖNEM",IF($I2416="Hayır","ÖDENECEK","UYGUN")))),"EKSİK"))))</f>
        <v/>
      </c>
      <c r="Q2416" s="2"/>
      <c r="R2416" s="2"/>
      <c r="S2416" s="1" t="str">
        <f t="shared" si="113"/>
        <v/>
      </c>
      <c r="T2416" s="1" t="str">
        <f>IF(OR($C2416="",$D2416&lt;&gt;"Gelir",$L2416=""),"",IFERROR(INDEX(MUSTERILER!$B$7:$B$156,MATCH($S2416,MUSTERILER!$T$7:$T$156,0)),""))</f>
        <v/>
      </c>
      <c r="U2416" s="1" t="str">
        <f>IF($T2416="","",$T2416&amp;"|"&amp;COUNTIFS($T$7:$T2416,$T2416))</f>
        <v/>
      </c>
      <c r="V2416" s="1">
        <f t="shared" si="114"/>
        <v>0</v>
      </c>
      <c r="W2416" s="1" t="str">
        <f t="shared" si="115"/>
        <v/>
      </c>
      <c r="X2416" s="1"/>
      <c r="Y2416" s="1"/>
      <c r="Z2416" s="1"/>
      <c r="AA2416" s="1"/>
      <c r="AB2416" s="1"/>
      <c r="AC2416" s="1"/>
      <c r="AD2416" s="1">
        <f>IF($C2416="",0,SUMPRODUCT((AY_SONU!$O$7:$O$42="Evet")*(AY_SONU!$B$7:$B$42=DATE(YEAR($C2416),MONTH($C2416),1))))</f>
        <v>0</v>
      </c>
      <c r="AE2416" s="1" t="str">
        <f>IF($E2416="","",$E2416&amp;"|"&amp;COUNTIFS($E$7:$E2416,$E2416))</f>
        <v/>
      </c>
    </row>
    <row r="2417" spans="1:31" ht="18" customHeight="1" x14ac:dyDescent="0.3">
      <c r="A2417" s="2"/>
      <c r="B2417" s="65" t="str">
        <f>IF($C2417="","","GG"&amp;TEXT(ROW()-6,"00000"))</f>
        <v/>
      </c>
      <c r="C2417" s="66"/>
      <c r="D2417" s="60"/>
      <c r="E2417" s="61"/>
      <c r="F2417" s="61"/>
      <c r="G2417" s="67"/>
      <c r="H2417" s="60"/>
      <c r="I2417" s="60"/>
      <c r="J2417" s="61"/>
      <c r="K2417" s="61"/>
      <c r="L2417" s="60"/>
      <c r="M2417" s="74" t="str">
        <f>IF($C2417="","",IF($D2417="Gider",$E2417,IF($L2417&lt;&gt;"",$L2417,$H2417)))</f>
        <v/>
      </c>
      <c r="N2417" s="74" t="str">
        <f>IF($C2417="","",IF($D2417="Gider",$H2417,$E2417))</f>
        <v/>
      </c>
      <c r="O2417" s="73" t="str">
        <f>IF($C2417="","",DATE(YEAR($C2417),MONTH($C2417),1))</f>
        <v/>
      </c>
      <c r="P2417" s="65" t="str">
        <f ca="1">IF($C2417="","",IF(AND($D2417="Gelir",$L2417&lt;&gt;"",$T2417=""),"TANIMSIZ BORÇLU",IF($T2417&lt;&gt;"",IF(OR($E2417="",$G2417&lt;=0),"EKSİK",IF($I2417="Evet","TAHAKKUK NAKİT OLAMAZ",IF($C2417&gt;TODAY(),"İLERİ TARİH","TAHAKKUK"))),IF(AND($D2417&lt;&gt;"",$E2417&lt;&gt;"",$G2417&gt;0,$H2417&lt;&gt;"",$I2417&lt;&gt;""),IF($C2417&gt;TODAY(),"İLERİ TARİH",IF(COUNTIF($W$7:$W$3001,$W2417)&gt;1,"MÜKERRER?",IF($AD2417&gt;0,"KAPALI DÖNEM",IF($I2417="Hayır","ÖDENECEK","UYGUN")))),"EKSİK"))))</f>
        <v/>
      </c>
      <c r="Q2417" s="2"/>
      <c r="R2417" s="2"/>
      <c r="S2417" s="1" t="str">
        <f t="shared" si="113"/>
        <v/>
      </c>
      <c r="T2417" s="1" t="str">
        <f>IF(OR($C2417="",$D2417&lt;&gt;"Gelir",$L2417=""),"",IFERROR(INDEX(MUSTERILER!$B$7:$B$156,MATCH($S2417,MUSTERILER!$T$7:$T$156,0)),""))</f>
        <v/>
      </c>
      <c r="U2417" s="1" t="str">
        <f>IF($T2417="","",$T2417&amp;"|"&amp;COUNTIFS($T$7:$T2417,$T2417))</f>
        <v/>
      </c>
      <c r="V2417" s="1">
        <f t="shared" si="114"/>
        <v>0</v>
      </c>
      <c r="W2417" s="1" t="str">
        <f t="shared" si="115"/>
        <v/>
      </c>
      <c r="X2417" s="1"/>
      <c r="Y2417" s="1"/>
      <c r="Z2417" s="1"/>
      <c r="AA2417" s="1"/>
      <c r="AB2417" s="1"/>
      <c r="AC2417" s="1"/>
      <c r="AD2417" s="1">
        <f>IF($C2417="",0,SUMPRODUCT((AY_SONU!$O$7:$O$42="Evet")*(AY_SONU!$B$7:$B$42=DATE(YEAR($C2417),MONTH($C2417),1))))</f>
        <v>0</v>
      </c>
      <c r="AE2417" s="1" t="str">
        <f>IF($E2417="","",$E2417&amp;"|"&amp;COUNTIFS($E$7:$E2417,$E2417))</f>
        <v/>
      </c>
    </row>
    <row r="2418" spans="1:31" ht="18" customHeight="1" x14ac:dyDescent="0.3">
      <c r="A2418" s="2"/>
      <c r="B2418" s="65" t="str">
        <f>IF($C2418="","","GG"&amp;TEXT(ROW()-6,"00000"))</f>
        <v/>
      </c>
      <c r="C2418" s="66"/>
      <c r="D2418" s="60"/>
      <c r="E2418" s="61"/>
      <c r="F2418" s="61"/>
      <c r="G2418" s="67"/>
      <c r="H2418" s="60"/>
      <c r="I2418" s="60"/>
      <c r="J2418" s="61"/>
      <c r="K2418" s="61"/>
      <c r="L2418" s="60"/>
      <c r="M2418" s="74" t="str">
        <f>IF($C2418="","",IF($D2418="Gider",$E2418,IF($L2418&lt;&gt;"",$L2418,$H2418)))</f>
        <v/>
      </c>
      <c r="N2418" s="74" t="str">
        <f>IF($C2418="","",IF($D2418="Gider",$H2418,$E2418))</f>
        <v/>
      </c>
      <c r="O2418" s="73" t="str">
        <f>IF($C2418="","",DATE(YEAR($C2418),MONTH($C2418),1))</f>
        <v/>
      </c>
      <c r="P2418" s="65" t="str">
        <f ca="1">IF($C2418="","",IF(AND($D2418="Gelir",$L2418&lt;&gt;"",$T2418=""),"TANIMSIZ BORÇLU",IF($T2418&lt;&gt;"",IF(OR($E2418="",$G2418&lt;=0),"EKSİK",IF($I2418="Evet","TAHAKKUK NAKİT OLAMAZ",IF($C2418&gt;TODAY(),"İLERİ TARİH","TAHAKKUK"))),IF(AND($D2418&lt;&gt;"",$E2418&lt;&gt;"",$G2418&gt;0,$H2418&lt;&gt;"",$I2418&lt;&gt;""),IF($C2418&gt;TODAY(),"İLERİ TARİH",IF(COUNTIF($W$7:$W$3001,$W2418)&gt;1,"MÜKERRER?",IF($AD2418&gt;0,"KAPALI DÖNEM",IF($I2418="Hayır","ÖDENECEK","UYGUN")))),"EKSİK"))))</f>
        <v/>
      </c>
      <c r="Q2418" s="2"/>
      <c r="R2418" s="2"/>
      <c r="S2418" s="1" t="str">
        <f t="shared" si="113"/>
        <v/>
      </c>
      <c r="T2418" s="1" t="str">
        <f>IF(OR($C2418="",$D2418&lt;&gt;"Gelir",$L2418=""),"",IFERROR(INDEX(MUSTERILER!$B$7:$B$156,MATCH($S2418,MUSTERILER!$T$7:$T$156,0)),""))</f>
        <v/>
      </c>
      <c r="U2418" s="1" t="str">
        <f>IF($T2418="","",$T2418&amp;"|"&amp;COUNTIFS($T$7:$T2418,$T2418))</f>
        <v/>
      </c>
      <c r="V2418" s="1">
        <f t="shared" si="114"/>
        <v>0</v>
      </c>
      <c r="W2418" s="1" t="str">
        <f t="shared" si="115"/>
        <v/>
      </c>
      <c r="X2418" s="1"/>
      <c r="Y2418" s="1"/>
      <c r="Z2418" s="1"/>
      <c r="AA2418" s="1"/>
      <c r="AB2418" s="1"/>
      <c r="AC2418" s="1"/>
      <c r="AD2418" s="1">
        <f>IF($C2418="",0,SUMPRODUCT((AY_SONU!$O$7:$O$42="Evet")*(AY_SONU!$B$7:$B$42=DATE(YEAR($C2418),MONTH($C2418),1))))</f>
        <v>0</v>
      </c>
      <c r="AE2418" s="1" t="str">
        <f>IF($E2418="","",$E2418&amp;"|"&amp;COUNTIFS($E$7:$E2418,$E2418))</f>
        <v/>
      </c>
    </row>
    <row r="2419" spans="1:31" ht="18" customHeight="1" x14ac:dyDescent="0.3">
      <c r="A2419" s="2"/>
      <c r="B2419" s="65" t="str">
        <f>IF($C2419="","","GG"&amp;TEXT(ROW()-6,"00000"))</f>
        <v/>
      </c>
      <c r="C2419" s="66"/>
      <c r="D2419" s="60"/>
      <c r="E2419" s="61"/>
      <c r="F2419" s="61"/>
      <c r="G2419" s="67"/>
      <c r="H2419" s="60"/>
      <c r="I2419" s="60"/>
      <c r="J2419" s="61"/>
      <c r="K2419" s="61"/>
      <c r="L2419" s="60"/>
      <c r="M2419" s="74" t="str">
        <f>IF($C2419="","",IF($D2419="Gider",$E2419,IF($L2419&lt;&gt;"",$L2419,$H2419)))</f>
        <v/>
      </c>
      <c r="N2419" s="74" t="str">
        <f>IF($C2419="","",IF($D2419="Gider",$H2419,$E2419))</f>
        <v/>
      </c>
      <c r="O2419" s="73" t="str">
        <f>IF($C2419="","",DATE(YEAR($C2419),MONTH($C2419),1))</f>
        <v/>
      </c>
      <c r="P2419" s="65" t="str">
        <f ca="1">IF($C2419="","",IF(AND($D2419="Gelir",$L2419&lt;&gt;"",$T2419=""),"TANIMSIZ BORÇLU",IF($T2419&lt;&gt;"",IF(OR($E2419="",$G2419&lt;=0),"EKSİK",IF($I2419="Evet","TAHAKKUK NAKİT OLAMAZ",IF($C2419&gt;TODAY(),"İLERİ TARİH","TAHAKKUK"))),IF(AND($D2419&lt;&gt;"",$E2419&lt;&gt;"",$G2419&gt;0,$H2419&lt;&gt;"",$I2419&lt;&gt;""),IF($C2419&gt;TODAY(),"İLERİ TARİH",IF(COUNTIF($W$7:$W$3001,$W2419)&gt;1,"MÜKERRER?",IF($AD2419&gt;0,"KAPALI DÖNEM",IF($I2419="Hayır","ÖDENECEK","UYGUN")))),"EKSİK"))))</f>
        <v/>
      </c>
      <c r="Q2419" s="2"/>
      <c r="R2419" s="2"/>
      <c r="S2419" s="1" t="str">
        <f t="shared" si="113"/>
        <v/>
      </c>
      <c r="T2419" s="1" t="str">
        <f>IF(OR($C2419="",$D2419&lt;&gt;"Gelir",$L2419=""),"",IFERROR(INDEX(MUSTERILER!$B$7:$B$156,MATCH($S2419,MUSTERILER!$T$7:$T$156,0)),""))</f>
        <v/>
      </c>
      <c r="U2419" s="1" t="str">
        <f>IF($T2419="","",$T2419&amp;"|"&amp;COUNTIFS($T$7:$T2419,$T2419))</f>
        <v/>
      </c>
      <c r="V2419" s="1">
        <f t="shared" si="114"/>
        <v>0</v>
      </c>
      <c r="W2419" s="1" t="str">
        <f t="shared" si="115"/>
        <v/>
      </c>
      <c r="X2419" s="1"/>
      <c r="Y2419" s="1"/>
      <c r="Z2419" s="1"/>
      <c r="AA2419" s="1"/>
      <c r="AB2419" s="1"/>
      <c r="AC2419" s="1"/>
      <c r="AD2419" s="1">
        <f>IF($C2419="",0,SUMPRODUCT((AY_SONU!$O$7:$O$42="Evet")*(AY_SONU!$B$7:$B$42=DATE(YEAR($C2419),MONTH($C2419),1))))</f>
        <v>0</v>
      </c>
      <c r="AE2419" s="1" t="str">
        <f>IF($E2419="","",$E2419&amp;"|"&amp;COUNTIFS($E$7:$E2419,$E2419))</f>
        <v/>
      </c>
    </row>
    <row r="2420" spans="1:31" ht="18" customHeight="1" x14ac:dyDescent="0.3">
      <c r="A2420" s="2"/>
      <c r="B2420" s="65" t="str">
        <f>IF($C2420="","","GG"&amp;TEXT(ROW()-6,"00000"))</f>
        <v/>
      </c>
      <c r="C2420" s="66"/>
      <c r="D2420" s="60"/>
      <c r="E2420" s="61"/>
      <c r="F2420" s="61"/>
      <c r="G2420" s="67"/>
      <c r="H2420" s="60"/>
      <c r="I2420" s="60"/>
      <c r="J2420" s="61"/>
      <c r="K2420" s="61"/>
      <c r="L2420" s="60"/>
      <c r="M2420" s="74" t="str">
        <f>IF($C2420="","",IF($D2420="Gider",$E2420,IF($L2420&lt;&gt;"",$L2420,$H2420)))</f>
        <v/>
      </c>
      <c r="N2420" s="74" t="str">
        <f>IF($C2420="","",IF($D2420="Gider",$H2420,$E2420))</f>
        <v/>
      </c>
      <c r="O2420" s="73" t="str">
        <f>IF($C2420="","",DATE(YEAR($C2420),MONTH($C2420),1))</f>
        <v/>
      </c>
      <c r="P2420" s="65" t="str">
        <f ca="1">IF($C2420="","",IF(AND($D2420="Gelir",$L2420&lt;&gt;"",$T2420=""),"TANIMSIZ BORÇLU",IF($T2420&lt;&gt;"",IF(OR($E2420="",$G2420&lt;=0),"EKSİK",IF($I2420="Evet","TAHAKKUK NAKİT OLAMAZ",IF($C2420&gt;TODAY(),"İLERİ TARİH","TAHAKKUK"))),IF(AND($D2420&lt;&gt;"",$E2420&lt;&gt;"",$G2420&gt;0,$H2420&lt;&gt;"",$I2420&lt;&gt;""),IF($C2420&gt;TODAY(),"İLERİ TARİH",IF(COUNTIF($W$7:$W$3001,$W2420)&gt;1,"MÜKERRER?",IF($AD2420&gt;0,"KAPALI DÖNEM",IF($I2420="Hayır","ÖDENECEK","UYGUN")))),"EKSİK"))))</f>
        <v/>
      </c>
      <c r="Q2420" s="2"/>
      <c r="R2420" s="2"/>
      <c r="S2420" s="1" t="str">
        <f t="shared" si="113"/>
        <v/>
      </c>
      <c r="T2420" s="1" t="str">
        <f>IF(OR($C2420="",$D2420&lt;&gt;"Gelir",$L2420=""),"",IFERROR(INDEX(MUSTERILER!$B$7:$B$156,MATCH($S2420,MUSTERILER!$T$7:$T$156,0)),""))</f>
        <v/>
      </c>
      <c r="U2420" s="1" t="str">
        <f>IF($T2420="","",$T2420&amp;"|"&amp;COUNTIFS($T$7:$T2420,$T2420))</f>
        <v/>
      </c>
      <c r="V2420" s="1">
        <f t="shared" si="114"/>
        <v>0</v>
      </c>
      <c r="W2420" s="1" t="str">
        <f t="shared" si="115"/>
        <v/>
      </c>
      <c r="X2420" s="1"/>
      <c r="Y2420" s="1"/>
      <c r="Z2420" s="1"/>
      <c r="AA2420" s="1"/>
      <c r="AB2420" s="1"/>
      <c r="AC2420" s="1"/>
      <c r="AD2420" s="1">
        <f>IF($C2420="",0,SUMPRODUCT((AY_SONU!$O$7:$O$42="Evet")*(AY_SONU!$B$7:$B$42=DATE(YEAR($C2420),MONTH($C2420),1))))</f>
        <v>0</v>
      </c>
      <c r="AE2420" s="1" t="str">
        <f>IF($E2420="","",$E2420&amp;"|"&amp;COUNTIFS($E$7:$E2420,$E2420))</f>
        <v/>
      </c>
    </row>
    <row r="2421" spans="1:31" ht="18" customHeight="1" x14ac:dyDescent="0.3">
      <c r="A2421" s="2"/>
      <c r="B2421" s="65" t="str">
        <f>IF($C2421="","","GG"&amp;TEXT(ROW()-6,"00000"))</f>
        <v/>
      </c>
      <c r="C2421" s="66"/>
      <c r="D2421" s="60"/>
      <c r="E2421" s="61"/>
      <c r="F2421" s="61"/>
      <c r="G2421" s="67"/>
      <c r="H2421" s="60"/>
      <c r="I2421" s="60"/>
      <c r="J2421" s="61"/>
      <c r="K2421" s="61"/>
      <c r="L2421" s="60"/>
      <c r="M2421" s="74" t="str">
        <f>IF($C2421="","",IF($D2421="Gider",$E2421,IF($L2421&lt;&gt;"",$L2421,$H2421)))</f>
        <v/>
      </c>
      <c r="N2421" s="74" t="str">
        <f>IF($C2421="","",IF($D2421="Gider",$H2421,$E2421))</f>
        <v/>
      </c>
      <c r="O2421" s="73" t="str">
        <f>IF($C2421="","",DATE(YEAR($C2421),MONTH($C2421),1))</f>
        <v/>
      </c>
      <c r="P2421" s="65" t="str">
        <f ca="1">IF($C2421="","",IF(AND($D2421="Gelir",$L2421&lt;&gt;"",$T2421=""),"TANIMSIZ BORÇLU",IF($T2421&lt;&gt;"",IF(OR($E2421="",$G2421&lt;=0),"EKSİK",IF($I2421="Evet","TAHAKKUK NAKİT OLAMAZ",IF($C2421&gt;TODAY(),"İLERİ TARİH","TAHAKKUK"))),IF(AND($D2421&lt;&gt;"",$E2421&lt;&gt;"",$G2421&gt;0,$H2421&lt;&gt;"",$I2421&lt;&gt;""),IF($C2421&gt;TODAY(),"İLERİ TARİH",IF(COUNTIF($W$7:$W$3001,$W2421)&gt;1,"MÜKERRER?",IF($AD2421&gt;0,"KAPALI DÖNEM",IF($I2421="Hayır","ÖDENECEK","UYGUN")))),"EKSİK"))))</f>
        <v/>
      </c>
      <c r="Q2421" s="2"/>
      <c r="R2421" s="2"/>
      <c r="S2421" s="1" t="str">
        <f t="shared" si="113"/>
        <v/>
      </c>
      <c r="T2421" s="1" t="str">
        <f>IF(OR($C2421="",$D2421&lt;&gt;"Gelir",$L2421=""),"",IFERROR(INDEX(MUSTERILER!$B$7:$B$156,MATCH($S2421,MUSTERILER!$T$7:$T$156,0)),""))</f>
        <v/>
      </c>
      <c r="U2421" s="1" t="str">
        <f>IF($T2421="","",$T2421&amp;"|"&amp;COUNTIFS($T$7:$T2421,$T2421))</f>
        <v/>
      </c>
      <c r="V2421" s="1">
        <f t="shared" si="114"/>
        <v>0</v>
      </c>
      <c r="W2421" s="1" t="str">
        <f t="shared" si="115"/>
        <v/>
      </c>
      <c r="X2421" s="1"/>
      <c r="Y2421" s="1"/>
      <c r="Z2421" s="1"/>
      <c r="AA2421" s="1"/>
      <c r="AB2421" s="1"/>
      <c r="AC2421" s="1"/>
      <c r="AD2421" s="1">
        <f>IF($C2421="",0,SUMPRODUCT((AY_SONU!$O$7:$O$42="Evet")*(AY_SONU!$B$7:$B$42=DATE(YEAR($C2421),MONTH($C2421),1))))</f>
        <v>0</v>
      </c>
      <c r="AE2421" s="1" t="str">
        <f>IF($E2421="","",$E2421&amp;"|"&amp;COUNTIFS($E$7:$E2421,$E2421))</f>
        <v/>
      </c>
    </row>
    <row r="2422" spans="1:31" ht="18" customHeight="1" x14ac:dyDescent="0.3">
      <c r="A2422" s="2"/>
      <c r="B2422" s="65" t="str">
        <f>IF($C2422="","","GG"&amp;TEXT(ROW()-6,"00000"))</f>
        <v/>
      </c>
      <c r="C2422" s="66"/>
      <c r="D2422" s="60"/>
      <c r="E2422" s="61"/>
      <c r="F2422" s="61"/>
      <c r="G2422" s="67"/>
      <c r="H2422" s="60"/>
      <c r="I2422" s="60"/>
      <c r="J2422" s="61"/>
      <c r="K2422" s="61"/>
      <c r="L2422" s="60"/>
      <c r="M2422" s="74" t="str">
        <f>IF($C2422="","",IF($D2422="Gider",$E2422,IF($L2422&lt;&gt;"",$L2422,$H2422)))</f>
        <v/>
      </c>
      <c r="N2422" s="74" t="str">
        <f>IF($C2422="","",IF($D2422="Gider",$H2422,$E2422))</f>
        <v/>
      </c>
      <c r="O2422" s="73" t="str">
        <f>IF($C2422="","",DATE(YEAR($C2422),MONTH($C2422),1))</f>
        <v/>
      </c>
      <c r="P2422" s="65" t="str">
        <f ca="1">IF($C2422="","",IF(AND($D2422="Gelir",$L2422&lt;&gt;"",$T2422=""),"TANIMSIZ BORÇLU",IF($T2422&lt;&gt;"",IF(OR($E2422="",$G2422&lt;=0),"EKSİK",IF($I2422="Evet","TAHAKKUK NAKİT OLAMAZ",IF($C2422&gt;TODAY(),"İLERİ TARİH","TAHAKKUK"))),IF(AND($D2422&lt;&gt;"",$E2422&lt;&gt;"",$G2422&gt;0,$H2422&lt;&gt;"",$I2422&lt;&gt;""),IF($C2422&gt;TODAY(),"İLERİ TARİH",IF(COUNTIF($W$7:$W$3001,$W2422)&gt;1,"MÜKERRER?",IF($AD2422&gt;0,"KAPALI DÖNEM",IF($I2422="Hayır","ÖDENECEK","UYGUN")))),"EKSİK"))))</f>
        <v/>
      </c>
      <c r="Q2422" s="2"/>
      <c r="R2422" s="2"/>
      <c r="S2422" s="1" t="str">
        <f t="shared" si="113"/>
        <v/>
      </c>
      <c r="T2422" s="1" t="str">
        <f>IF(OR($C2422="",$D2422&lt;&gt;"Gelir",$L2422=""),"",IFERROR(INDEX(MUSTERILER!$B$7:$B$156,MATCH($S2422,MUSTERILER!$T$7:$T$156,0)),""))</f>
        <v/>
      </c>
      <c r="U2422" s="1" t="str">
        <f>IF($T2422="","",$T2422&amp;"|"&amp;COUNTIFS($T$7:$T2422,$T2422))</f>
        <v/>
      </c>
      <c r="V2422" s="1">
        <f t="shared" si="114"/>
        <v>0</v>
      </c>
      <c r="W2422" s="1" t="str">
        <f t="shared" si="115"/>
        <v/>
      </c>
      <c r="X2422" s="1"/>
      <c r="Y2422" s="1"/>
      <c r="Z2422" s="1"/>
      <c r="AA2422" s="1"/>
      <c r="AB2422" s="1"/>
      <c r="AC2422" s="1"/>
      <c r="AD2422" s="1">
        <f>IF($C2422="",0,SUMPRODUCT((AY_SONU!$O$7:$O$42="Evet")*(AY_SONU!$B$7:$B$42=DATE(YEAR($C2422),MONTH($C2422),1))))</f>
        <v>0</v>
      </c>
      <c r="AE2422" s="1" t="str">
        <f>IF($E2422="","",$E2422&amp;"|"&amp;COUNTIFS($E$7:$E2422,$E2422))</f>
        <v/>
      </c>
    </row>
    <row r="2423" spans="1:31" ht="18" customHeight="1" x14ac:dyDescent="0.3">
      <c r="A2423" s="2"/>
      <c r="B2423" s="65" t="str">
        <f>IF($C2423="","","GG"&amp;TEXT(ROW()-6,"00000"))</f>
        <v/>
      </c>
      <c r="C2423" s="66"/>
      <c r="D2423" s="60"/>
      <c r="E2423" s="61"/>
      <c r="F2423" s="61"/>
      <c r="G2423" s="67"/>
      <c r="H2423" s="60"/>
      <c r="I2423" s="60"/>
      <c r="J2423" s="61"/>
      <c r="K2423" s="61"/>
      <c r="L2423" s="60"/>
      <c r="M2423" s="74" t="str">
        <f>IF($C2423="","",IF($D2423="Gider",$E2423,IF($L2423&lt;&gt;"",$L2423,$H2423)))</f>
        <v/>
      </c>
      <c r="N2423" s="74" t="str">
        <f>IF($C2423="","",IF($D2423="Gider",$H2423,$E2423))</f>
        <v/>
      </c>
      <c r="O2423" s="73" t="str">
        <f>IF($C2423="","",DATE(YEAR($C2423),MONTH($C2423),1))</f>
        <v/>
      </c>
      <c r="P2423" s="65" t="str">
        <f ca="1">IF($C2423="","",IF(AND($D2423="Gelir",$L2423&lt;&gt;"",$T2423=""),"TANIMSIZ BORÇLU",IF($T2423&lt;&gt;"",IF(OR($E2423="",$G2423&lt;=0),"EKSİK",IF($I2423="Evet","TAHAKKUK NAKİT OLAMAZ",IF($C2423&gt;TODAY(),"İLERİ TARİH","TAHAKKUK"))),IF(AND($D2423&lt;&gt;"",$E2423&lt;&gt;"",$G2423&gt;0,$H2423&lt;&gt;"",$I2423&lt;&gt;""),IF($C2423&gt;TODAY(),"İLERİ TARİH",IF(COUNTIF($W$7:$W$3001,$W2423)&gt;1,"MÜKERRER?",IF($AD2423&gt;0,"KAPALI DÖNEM",IF($I2423="Hayır","ÖDENECEK","UYGUN")))),"EKSİK"))))</f>
        <v/>
      </c>
      <c r="Q2423" s="2"/>
      <c r="R2423" s="2"/>
      <c r="S2423" s="1" t="str">
        <f t="shared" si="113"/>
        <v/>
      </c>
      <c r="T2423" s="1" t="str">
        <f>IF(OR($C2423="",$D2423&lt;&gt;"Gelir",$L2423=""),"",IFERROR(INDEX(MUSTERILER!$B$7:$B$156,MATCH($S2423,MUSTERILER!$T$7:$T$156,0)),""))</f>
        <v/>
      </c>
      <c r="U2423" s="1" t="str">
        <f>IF($T2423="","",$T2423&amp;"|"&amp;COUNTIFS($T$7:$T2423,$T2423))</f>
        <v/>
      </c>
      <c r="V2423" s="1">
        <f t="shared" si="114"/>
        <v>0</v>
      </c>
      <c r="W2423" s="1" t="str">
        <f t="shared" si="115"/>
        <v/>
      </c>
      <c r="X2423" s="1"/>
      <c r="Y2423" s="1"/>
      <c r="Z2423" s="1"/>
      <c r="AA2423" s="1"/>
      <c r="AB2423" s="1"/>
      <c r="AC2423" s="1"/>
      <c r="AD2423" s="1">
        <f>IF($C2423="",0,SUMPRODUCT((AY_SONU!$O$7:$O$42="Evet")*(AY_SONU!$B$7:$B$42=DATE(YEAR($C2423),MONTH($C2423),1))))</f>
        <v>0</v>
      </c>
      <c r="AE2423" s="1" t="str">
        <f>IF($E2423="","",$E2423&amp;"|"&amp;COUNTIFS($E$7:$E2423,$E2423))</f>
        <v/>
      </c>
    </row>
    <row r="2424" spans="1:31" ht="18" customHeight="1" x14ac:dyDescent="0.3">
      <c r="A2424" s="2"/>
      <c r="B2424" s="65" t="str">
        <f>IF($C2424="","","GG"&amp;TEXT(ROW()-6,"00000"))</f>
        <v/>
      </c>
      <c r="C2424" s="66"/>
      <c r="D2424" s="60"/>
      <c r="E2424" s="61"/>
      <c r="F2424" s="61"/>
      <c r="G2424" s="67"/>
      <c r="H2424" s="60"/>
      <c r="I2424" s="60"/>
      <c r="J2424" s="61"/>
      <c r="K2424" s="61"/>
      <c r="L2424" s="60"/>
      <c r="M2424" s="74" t="str">
        <f>IF($C2424="","",IF($D2424="Gider",$E2424,IF($L2424&lt;&gt;"",$L2424,$H2424)))</f>
        <v/>
      </c>
      <c r="N2424" s="74" t="str">
        <f>IF($C2424="","",IF($D2424="Gider",$H2424,$E2424))</f>
        <v/>
      </c>
      <c r="O2424" s="73" t="str">
        <f>IF($C2424="","",DATE(YEAR($C2424),MONTH($C2424),1))</f>
        <v/>
      </c>
      <c r="P2424" s="65" t="str">
        <f ca="1">IF($C2424="","",IF(AND($D2424="Gelir",$L2424&lt;&gt;"",$T2424=""),"TANIMSIZ BORÇLU",IF($T2424&lt;&gt;"",IF(OR($E2424="",$G2424&lt;=0),"EKSİK",IF($I2424="Evet","TAHAKKUK NAKİT OLAMAZ",IF($C2424&gt;TODAY(),"İLERİ TARİH","TAHAKKUK"))),IF(AND($D2424&lt;&gt;"",$E2424&lt;&gt;"",$G2424&gt;0,$H2424&lt;&gt;"",$I2424&lt;&gt;""),IF($C2424&gt;TODAY(),"İLERİ TARİH",IF(COUNTIF($W$7:$W$3001,$W2424)&gt;1,"MÜKERRER?",IF($AD2424&gt;0,"KAPALI DÖNEM",IF($I2424="Hayır","ÖDENECEK","UYGUN")))),"EKSİK"))))</f>
        <v/>
      </c>
      <c r="Q2424" s="2"/>
      <c r="R2424" s="2"/>
      <c r="S2424" s="1" t="str">
        <f t="shared" si="113"/>
        <v/>
      </c>
      <c r="T2424" s="1" t="str">
        <f>IF(OR($C2424="",$D2424&lt;&gt;"Gelir",$L2424=""),"",IFERROR(INDEX(MUSTERILER!$B$7:$B$156,MATCH($S2424,MUSTERILER!$T$7:$T$156,0)),""))</f>
        <v/>
      </c>
      <c r="U2424" s="1" t="str">
        <f>IF($T2424="","",$T2424&amp;"|"&amp;COUNTIFS($T$7:$T2424,$T2424))</f>
        <v/>
      </c>
      <c r="V2424" s="1">
        <f t="shared" si="114"/>
        <v>0</v>
      </c>
      <c r="W2424" s="1" t="str">
        <f t="shared" si="115"/>
        <v/>
      </c>
      <c r="X2424" s="1"/>
      <c r="Y2424" s="1"/>
      <c r="Z2424" s="1"/>
      <c r="AA2424" s="1"/>
      <c r="AB2424" s="1"/>
      <c r="AC2424" s="1"/>
      <c r="AD2424" s="1">
        <f>IF($C2424="",0,SUMPRODUCT((AY_SONU!$O$7:$O$42="Evet")*(AY_SONU!$B$7:$B$42=DATE(YEAR($C2424),MONTH($C2424),1))))</f>
        <v>0</v>
      </c>
      <c r="AE2424" s="1" t="str">
        <f>IF($E2424="","",$E2424&amp;"|"&amp;COUNTIFS($E$7:$E2424,$E2424))</f>
        <v/>
      </c>
    </row>
    <row r="2425" spans="1:31" ht="18" customHeight="1" x14ac:dyDescent="0.3">
      <c r="A2425" s="2"/>
      <c r="B2425" s="65" t="str">
        <f>IF($C2425="","","GG"&amp;TEXT(ROW()-6,"00000"))</f>
        <v/>
      </c>
      <c r="C2425" s="66"/>
      <c r="D2425" s="60"/>
      <c r="E2425" s="61"/>
      <c r="F2425" s="61"/>
      <c r="G2425" s="67"/>
      <c r="H2425" s="60"/>
      <c r="I2425" s="60"/>
      <c r="J2425" s="61"/>
      <c r="K2425" s="61"/>
      <c r="L2425" s="60"/>
      <c r="M2425" s="74" t="str">
        <f>IF($C2425="","",IF($D2425="Gider",$E2425,IF($L2425&lt;&gt;"",$L2425,$H2425)))</f>
        <v/>
      </c>
      <c r="N2425" s="74" t="str">
        <f>IF($C2425="","",IF($D2425="Gider",$H2425,$E2425))</f>
        <v/>
      </c>
      <c r="O2425" s="73" t="str">
        <f>IF($C2425="","",DATE(YEAR($C2425),MONTH($C2425),1))</f>
        <v/>
      </c>
      <c r="P2425" s="65" t="str">
        <f ca="1">IF($C2425="","",IF(AND($D2425="Gelir",$L2425&lt;&gt;"",$T2425=""),"TANIMSIZ BORÇLU",IF($T2425&lt;&gt;"",IF(OR($E2425="",$G2425&lt;=0),"EKSİK",IF($I2425="Evet","TAHAKKUK NAKİT OLAMAZ",IF($C2425&gt;TODAY(),"İLERİ TARİH","TAHAKKUK"))),IF(AND($D2425&lt;&gt;"",$E2425&lt;&gt;"",$G2425&gt;0,$H2425&lt;&gt;"",$I2425&lt;&gt;""),IF($C2425&gt;TODAY(),"İLERİ TARİH",IF(COUNTIF($W$7:$W$3001,$W2425)&gt;1,"MÜKERRER?",IF($AD2425&gt;0,"KAPALI DÖNEM",IF($I2425="Hayır","ÖDENECEK","UYGUN")))),"EKSİK"))))</f>
        <v/>
      </c>
      <c r="Q2425" s="2"/>
      <c r="R2425" s="2"/>
      <c r="S2425" s="1" t="str">
        <f t="shared" si="113"/>
        <v/>
      </c>
      <c r="T2425" s="1" t="str">
        <f>IF(OR($C2425="",$D2425&lt;&gt;"Gelir",$L2425=""),"",IFERROR(INDEX(MUSTERILER!$B$7:$B$156,MATCH($S2425,MUSTERILER!$T$7:$T$156,0)),""))</f>
        <v/>
      </c>
      <c r="U2425" s="1" t="str">
        <f>IF($T2425="","",$T2425&amp;"|"&amp;COUNTIFS($T$7:$T2425,$T2425))</f>
        <v/>
      </c>
      <c r="V2425" s="1">
        <f t="shared" si="114"/>
        <v>0</v>
      </c>
      <c r="W2425" s="1" t="str">
        <f t="shared" si="115"/>
        <v/>
      </c>
      <c r="X2425" s="1"/>
      <c r="Y2425" s="1"/>
      <c r="Z2425" s="1"/>
      <c r="AA2425" s="1"/>
      <c r="AB2425" s="1"/>
      <c r="AC2425" s="1"/>
      <c r="AD2425" s="1">
        <f>IF($C2425="",0,SUMPRODUCT((AY_SONU!$O$7:$O$42="Evet")*(AY_SONU!$B$7:$B$42=DATE(YEAR($C2425),MONTH($C2425),1))))</f>
        <v>0</v>
      </c>
      <c r="AE2425" s="1" t="str">
        <f>IF($E2425="","",$E2425&amp;"|"&amp;COUNTIFS($E$7:$E2425,$E2425))</f>
        <v/>
      </c>
    </row>
    <row r="2426" spans="1:31" ht="18" customHeight="1" x14ac:dyDescent="0.3">
      <c r="A2426" s="2"/>
      <c r="B2426" s="65" t="str">
        <f>IF($C2426="","","GG"&amp;TEXT(ROW()-6,"00000"))</f>
        <v/>
      </c>
      <c r="C2426" s="66"/>
      <c r="D2426" s="60"/>
      <c r="E2426" s="61"/>
      <c r="F2426" s="61"/>
      <c r="G2426" s="67"/>
      <c r="H2426" s="60"/>
      <c r="I2426" s="60"/>
      <c r="J2426" s="61"/>
      <c r="K2426" s="61"/>
      <c r="L2426" s="60"/>
      <c r="M2426" s="74" t="str">
        <f>IF($C2426="","",IF($D2426="Gider",$E2426,IF($L2426&lt;&gt;"",$L2426,$H2426)))</f>
        <v/>
      </c>
      <c r="N2426" s="74" t="str">
        <f>IF($C2426="","",IF($D2426="Gider",$H2426,$E2426))</f>
        <v/>
      </c>
      <c r="O2426" s="73" t="str">
        <f>IF($C2426="","",DATE(YEAR($C2426),MONTH($C2426),1))</f>
        <v/>
      </c>
      <c r="P2426" s="65" t="str">
        <f ca="1">IF($C2426="","",IF(AND($D2426="Gelir",$L2426&lt;&gt;"",$T2426=""),"TANIMSIZ BORÇLU",IF($T2426&lt;&gt;"",IF(OR($E2426="",$G2426&lt;=0),"EKSİK",IF($I2426="Evet","TAHAKKUK NAKİT OLAMAZ",IF($C2426&gt;TODAY(),"İLERİ TARİH","TAHAKKUK"))),IF(AND($D2426&lt;&gt;"",$E2426&lt;&gt;"",$G2426&gt;0,$H2426&lt;&gt;"",$I2426&lt;&gt;""),IF($C2426&gt;TODAY(),"İLERİ TARİH",IF(COUNTIF($W$7:$W$3001,$W2426)&gt;1,"MÜKERRER?",IF($AD2426&gt;0,"KAPALI DÖNEM",IF($I2426="Hayır","ÖDENECEK","UYGUN")))),"EKSİK"))))</f>
        <v/>
      </c>
      <c r="Q2426" s="2"/>
      <c r="R2426" s="2"/>
      <c r="S2426" s="1" t="str">
        <f t="shared" si="113"/>
        <v/>
      </c>
      <c r="T2426" s="1" t="str">
        <f>IF(OR($C2426="",$D2426&lt;&gt;"Gelir",$L2426=""),"",IFERROR(INDEX(MUSTERILER!$B$7:$B$156,MATCH($S2426,MUSTERILER!$T$7:$T$156,0)),""))</f>
        <v/>
      </c>
      <c r="U2426" s="1" t="str">
        <f>IF($T2426="","",$T2426&amp;"|"&amp;COUNTIFS($T$7:$T2426,$T2426))</f>
        <v/>
      </c>
      <c r="V2426" s="1">
        <f t="shared" si="114"/>
        <v>0</v>
      </c>
      <c r="W2426" s="1" t="str">
        <f t="shared" si="115"/>
        <v/>
      </c>
      <c r="X2426" s="1"/>
      <c r="Y2426" s="1"/>
      <c r="Z2426" s="1"/>
      <c r="AA2426" s="1"/>
      <c r="AB2426" s="1"/>
      <c r="AC2426" s="1"/>
      <c r="AD2426" s="1">
        <f>IF($C2426="",0,SUMPRODUCT((AY_SONU!$O$7:$O$42="Evet")*(AY_SONU!$B$7:$B$42=DATE(YEAR($C2426),MONTH($C2426),1))))</f>
        <v>0</v>
      </c>
      <c r="AE2426" s="1" t="str">
        <f>IF($E2426="","",$E2426&amp;"|"&amp;COUNTIFS($E$7:$E2426,$E2426))</f>
        <v/>
      </c>
    </row>
    <row r="2427" spans="1:31" ht="18" customHeight="1" x14ac:dyDescent="0.3">
      <c r="A2427" s="2"/>
      <c r="B2427" s="65" t="str">
        <f>IF($C2427="","","GG"&amp;TEXT(ROW()-6,"00000"))</f>
        <v/>
      </c>
      <c r="C2427" s="66"/>
      <c r="D2427" s="60"/>
      <c r="E2427" s="61"/>
      <c r="F2427" s="61"/>
      <c r="G2427" s="67"/>
      <c r="H2427" s="60"/>
      <c r="I2427" s="60"/>
      <c r="J2427" s="61"/>
      <c r="K2427" s="61"/>
      <c r="L2427" s="60"/>
      <c r="M2427" s="74" t="str">
        <f>IF($C2427="","",IF($D2427="Gider",$E2427,IF($L2427&lt;&gt;"",$L2427,$H2427)))</f>
        <v/>
      </c>
      <c r="N2427" s="74" t="str">
        <f>IF($C2427="","",IF($D2427="Gider",$H2427,$E2427))</f>
        <v/>
      </c>
      <c r="O2427" s="73" t="str">
        <f>IF($C2427="","",DATE(YEAR($C2427),MONTH($C2427),1))</f>
        <v/>
      </c>
      <c r="P2427" s="65" t="str">
        <f ca="1">IF($C2427="","",IF(AND($D2427="Gelir",$L2427&lt;&gt;"",$T2427=""),"TANIMSIZ BORÇLU",IF($T2427&lt;&gt;"",IF(OR($E2427="",$G2427&lt;=0),"EKSİK",IF($I2427="Evet","TAHAKKUK NAKİT OLAMAZ",IF($C2427&gt;TODAY(),"İLERİ TARİH","TAHAKKUK"))),IF(AND($D2427&lt;&gt;"",$E2427&lt;&gt;"",$G2427&gt;0,$H2427&lt;&gt;"",$I2427&lt;&gt;""),IF($C2427&gt;TODAY(),"İLERİ TARİH",IF(COUNTIF($W$7:$W$3001,$W2427)&gt;1,"MÜKERRER?",IF($AD2427&gt;0,"KAPALI DÖNEM",IF($I2427="Hayır","ÖDENECEK","UYGUN")))),"EKSİK"))))</f>
        <v/>
      </c>
      <c r="Q2427" s="2"/>
      <c r="R2427" s="2"/>
      <c r="S2427" s="1" t="str">
        <f t="shared" si="113"/>
        <v/>
      </c>
      <c r="T2427" s="1" t="str">
        <f>IF(OR($C2427="",$D2427&lt;&gt;"Gelir",$L2427=""),"",IFERROR(INDEX(MUSTERILER!$B$7:$B$156,MATCH($S2427,MUSTERILER!$T$7:$T$156,0)),""))</f>
        <v/>
      </c>
      <c r="U2427" s="1" t="str">
        <f>IF($T2427="","",$T2427&amp;"|"&amp;COUNTIFS($T$7:$T2427,$T2427))</f>
        <v/>
      </c>
      <c r="V2427" s="1">
        <f t="shared" si="114"/>
        <v>0</v>
      </c>
      <c r="W2427" s="1" t="str">
        <f t="shared" si="115"/>
        <v/>
      </c>
      <c r="X2427" s="1"/>
      <c r="Y2427" s="1"/>
      <c r="Z2427" s="1"/>
      <c r="AA2427" s="1"/>
      <c r="AB2427" s="1"/>
      <c r="AC2427" s="1"/>
      <c r="AD2427" s="1">
        <f>IF($C2427="",0,SUMPRODUCT((AY_SONU!$O$7:$O$42="Evet")*(AY_SONU!$B$7:$B$42=DATE(YEAR($C2427),MONTH($C2427),1))))</f>
        <v>0</v>
      </c>
      <c r="AE2427" s="1" t="str">
        <f>IF($E2427="","",$E2427&amp;"|"&amp;COUNTIFS($E$7:$E2427,$E2427))</f>
        <v/>
      </c>
    </row>
    <row r="2428" spans="1:31" ht="18" customHeight="1" x14ac:dyDescent="0.3">
      <c r="A2428" s="2"/>
      <c r="B2428" s="65" t="str">
        <f>IF($C2428="","","GG"&amp;TEXT(ROW()-6,"00000"))</f>
        <v/>
      </c>
      <c r="C2428" s="66"/>
      <c r="D2428" s="60"/>
      <c r="E2428" s="61"/>
      <c r="F2428" s="61"/>
      <c r="G2428" s="67"/>
      <c r="H2428" s="60"/>
      <c r="I2428" s="60"/>
      <c r="J2428" s="61"/>
      <c r="K2428" s="61"/>
      <c r="L2428" s="60"/>
      <c r="M2428" s="74" t="str">
        <f>IF($C2428="","",IF($D2428="Gider",$E2428,IF($L2428&lt;&gt;"",$L2428,$H2428)))</f>
        <v/>
      </c>
      <c r="N2428" s="74" t="str">
        <f>IF($C2428="","",IF($D2428="Gider",$H2428,$E2428))</f>
        <v/>
      </c>
      <c r="O2428" s="73" t="str">
        <f>IF($C2428="","",DATE(YEAR($C2428),MONTH($C2428),1))</f>
        <v/>
      </c>
      <c r="P2428" s="65" t="str">
        <f ca="1">IF($C2428="","",IF(AND($D2428="Gelir",$L2428&lt;&gt;"",$T2428=""),"TANIMSIZ BORÇLU",IF($T2428&lt;&gt;"",IF(OR($E2428="",$G2428&lt;=0),"EKSİK",IF($I2428="Evet","TAHAKKUK NAKİT OLAMAZ",IF($C2428&gt;TODAY(),"İLERİ TARİH","TAHAKKUK"))),IF(AND($D2428&lt;&gt;"",$E2428&lt;&gt;"",$G2428&gt;0,$H2428&lt;&gt;"",$I2428&lt;&gt;""),IF($C2428&gt;TODAY(),"İLERİ TARİH",IF(COUNTIF($W$7:$W$3001,$W2428)&gt;1,"MÜKERRER?",IF($AD2428&gt;0,"KAPALI DÖNEM",IF($I2428="Hayır","ÖDENECEK","UYGUN")))),"EKSİK"))))</f>
        <v/>
      </c>
      <c r="Q2428" s="2"/>
      <c r="R2428" s="2"/>
      <c r="S2428" s="1" t="str">
        <f t="shared" si="113"/>
        <v/>
      </c>
      <c r="T2428" s="1" t="str">
        <f>IF(OR($C2428="",$D2428&lt;&gt;"Gelir",$L2428=""),"",IFERROR(INDEX(MUSTERILER!$B$7:$B$156,MATCH($S2428,MUSTERILER!$T$7:$T$156,0)),""))</f>
        <v/>
      </c>
      <c r="U2428" s="1" t="str">
        <f>IF($T2428="","",$T2428&amp;"|"&amp;COUNTIFS($T$7:$T2428,$T2428))</f>
        <v/>
      </c>
      <c r="V2428" s="1">
        <f t="shared" si="114"/>
        <v>0</v>
      </c>
      <c r="W2428" s="1" t="str">
        <f t="shared" si="115"/>
        <v/>
      </c>
      <c r="X2428" s="1"/>
      <c r="Y2428" s="1"/>
      <c r="Z2428" s="1"/>
      <c r="AA2428" s="1"/>
      <c r="AB2428" s="1"/>
      <c r="AC2428" s="1"/>
      <c r="AD2428" s="1">
        <f>IF($C2428="",0,SUMPRODUCT((AY_SONU!$O$7:$O$42="Evet")*(AY_SONU!$B$7:$B$42=DATE(YEAR($C2428),MONTH($C2428),1))))</f>
        <v>0</v>
      </c>
      <c r="AE2428" s="1" t="str">
        <f>IF($E2428="","",$E2428&amp;"|"&amp;COUNTIFS($E$7:$E2428,$E2428))</f>
        <v/>
      </c>
    </row>
    <row r="2429" spans="1:31" ht="18" customHeight="1" x14ac:dyDescent="0.3">
      <c r="A2429" s="2"/>
      <c r="B2429" s="65" t="str">
        <f>IF($C2429="","","GG"&amp;TEXT(ROW()-6,"00000"))</f>
        <v/>
      </c>
      <c r="C2429" s="66"/>
      <c r="D2429" s="60"/>
      <c r="E2429" s="61"/>
      <c r="F2429" s="61"/>
      <c r="G2429" s="67"/>
      <c r="H2429" s="60"/>
      <c r="I2429" s="60"/>
      <c r="J2429" s="61"/>
      <c r="K2429" s="61"/>
      <c r="L2429" s="60"/>
      <c r="M2429" s="74" t="str">
        <f>IF($C2429="","",IF($D2429="Gider",$E2429,IF($L2429&lt;&gt;"",$L2429,$H2429)))</f>
        <v/>
      </c>
      <c r="N2429" s="74" t="str">
        <f>IF($C2429="","",IF($D2429="Gider",$H2429,$E2429))</f>
        <v/>
      </c>
      <c r="O2429" s="73" t="str">
        <f>IF($C2429="","",DATE(YEAR($C2429),MONTH($C2429),1))</f>
        <v/>
      </c>
      <c r="P2429" s="65" t="str">
        <f ca="1">IF($C2429="","",IF(AND($D2429="Gelir",$L2429&lt;&gt;"",$T2429=""),"TANIMSIZ BORÇLU",IF($T2429&lt;&gt;"",IF(OR($E2429="",$G2429&lt;=0),"EKSİK",IF($I2429="Evet","TAHAKKUK NAKİT OLAMAZ",IF($C2429&gt;TODAY(),"İLERİ TARİH","TAHAKKUK"))),IF(AND($D2429&lt;&gt;"",$E2429&lt;&gt;"",$G2429&gt;0,$H2429&lt;&gt;"",$I2429&lt;&gt;""),IF($C2429&gt;TODAY(),"İLERİ TARİH",IF(COUNTIF($W$7:$W$3001,$W2429)&gt;1,"MÜKERRER?",IF($AD2429&gt;0,"KAPALI DÖNEM",IF($I2429="Hayır","ÖDENECEK","UYGUN")))),"EKSİK"))))</f>
        <v/>
      </c>
      <c r="Q2429" s="2"/>
      <c r="R2429" s="2"/>
      <c r="S2429" s="1" t="str">
        <f t="shared" si="113"/>
        <v/>
      </c>
      <c r="T2429" s="1" t="str">
        <f>IF(OR($C2429="",$D2429&lt;&gt;"Gelir",$L2429=""),"",IFERROR(INDEX(MUSTERILER!$B$7:$B$156,MATCH($S2429,MUSTERILER!$T$7:$T$156,0)),""))</f>
        <v/>
      </c>
      <c r="U2429" s="1" t="str">
        <f>IF($T2429="","",$T2429&amp;"|"&amp;COUNTIFS($T$7:$T2429,$T2429))</f>
        <v/>
      </c>
      <c r="V2429" s="1">
        <f t="shared" si="114"/>
        <v>0</v>
      </c>
      <c r="W2429" s="1" t="str">
        <f t="shared" si="115"/>
        <v/>
      </c>
      <c r="X2429" s="1"/>
      <c r="Y2429" s="1"/>
      <c r="Z2429" s="1"/>
      <c r="AA2429" s="1"/>
      <c r="AB2429" s="1"/>
      <c r="AC2429" s="1"/>
      <c r="AD2429" s="1">
        <f>IF($C2429="",0,SUMPRODUCT((AY_SONU!$O$7:$O$42="Evet")*(AY_SONU!$B$7:$B$42=DATE(YEAR($C2429),MONTH($C2429),1))))</f>
        <v>0</v>
      </c>
      <c r="AE2429" s="1" t="str">
        <f>IF($E2429="","",$E2429&amp;"|"&amp;COUNTIFS($E$7:$E2429,$E2429))</f>
        <v/>
      </c>
    </row>
    <row r="2430" spans="1:31" ht="18" customHeight="1" x14ac:dyDescent="0.3">
      <c r="A2430" s="2"/>
      <c r="B2430" s="65" t="str">
        <f>IF($C2430="","","GG"&amp;TEXT(ROW()-6,"00000"))</f>
        <v/>
      </c>
      <c r="C2430" s="66"/>
      <c r="D2430" s="60"/>
      <c r="E2430" s="61"/>
      <c r="F2430" s="61"/>
      <c r="G2430" s="67"/>
      <c r="H2430" s="60"/>
      <c r="I2430" s="60"/>
      <c r="J2430" s="61"/>
      <c r="K2430" s="61"/>
      <c r="L2430" s="60"/>
      <c r="M2430" s="74" t="str">
        <f>IF($C2430="","",IF($D2430="Gider",$E2430,IF($L2430&lt;&gt;"",$L2430,$H2430)))</f>
        <v/>
      </c>
      <c r="N2430" s="74" t="str">
        <f>IF($C2430="","",IF($D2430="Gider",$H2430,$E2430))</f>
        <v/>
      </c>
      <c r="O2430" s="73" t="str">
        <f>IF($C2430="","",DATE(YEAR($C2430),MONTH($C2430),1))</f>
        <v/>
      </c>
      <c r="P2430" s="65" t="str">
        <f ca="1">IF($C2430="","",IF(AND($D2430="Gelir",$L2430&lt;&gt;"",$T2430=""),"TANIMSIZ BORÇLU",IF($T2430&lt;&gt;"",IF(OR($E2430="",$G2430&lt;=0),"EKSİK",IF($I2430="Evet","TAHAKKUK NAKİT OLAMAZ",IF($C2430&gt;TODAY(),"İLERİ TARİH","TAHAKKUK"))),IF(AND($D2430&lt;&gt;"",$E2430&lt;&gt;"",$G2430&gt;0,$H2430&lt;&gt;"",$I2430&lt;&gt;""),IF($C2430&gt;TODAY(),"İLERİ TARİH",IF(COUNTIF($W$7:$W$3001,$W2430)&gt;1,"MÜKERRER?",IF($AD2430&gt;0,"KAPALI DÖNEM",IF($I2430="Hayır","ÖDENECEK","UYGUN")))),"EKSİK"))))</f>
        <v/>
      </c>
      <c r="Q2430" s="2"/>
      <c r="R2430" s="2"/>
      <c r="S2430" s="1" t="str">
        <f t="shared" si="113"/>
        <v/>
      </c>
      <c r="T2430" s="1" t="str">
        <f>IF(OR($C2430="",$D2430&lt;&gt;"Gelir",$L2430=""),"",IFERROR(INDEX(MUSTERILER!$B$7:$B$156,MATCH($S2430,MUSTERILER!$T$7:$T$156,0)),""))</f>
        <v/>
      </c>
      <c r="U2430" s="1" t="str">
        <f>IF($T2430="","",$T2430&amp;"|"&amp;COUNTIFS($T$7:$T2430,$T2430))</f>
        <v/>
      </c>
      <c r="V2430" s="1">
        <f t="shared" si="114"/>
        <v>0</v>
      </c>
      <c r="W2430" s="1" t="str">
        <f t="shared" si="115"/>
        <v/>
      </c>
      <c r="X2430" s="1"/>
      <c r="Y2430" s="1"/>
      <c r="Z2430" s="1"/>
      <c r="AA2430" s="1"/>
      <c r="AB2430" s="1"/>
      <c r="AC2430" s="1"/>
      <c r="AD2430" s="1">
        <f>IF($C2430="",0,SUMPRODUCT((AY_SONU!$O$7:$O$42="Evet")*(AY_SONU!$B$7:$B$42=DATE(YEAR($C2430),MONTH($C2430),1))))</f>
        <v>0</v>
      </c>
      <c r="AE2430" s="1" t="str">
        <f>IF($E2430="","",$E2430&amp;"|"&amp;COUNTIFS($E$7:$E2430,$E2430))</f>
        <v/>
      </c>
    </row>
    <row r="2431" spans="1:31" ht="18" customHeight="1" x14ac:dyDescent="0.3">
      <c r="A2431" s="2"/>
      <c r="B2431" s="65" t="str">
        <f>IF($C2431="","","GG"&amp;TEXT(ROW()-6,"00000"))</f>
        <v/>
      </c>
      <c r="C2431" s="66"/>
      <c r="D2431" s="60"/>
      <c r="E2431" s="61"/>
      <c r="F2431" s="61"/>
      <c r="G2431" s="67"/>
      <c r="H2431" s="60"/>
      <c r="I2431" s="60"/>
      <c r="J2431" s="61"/>
      <c r="K2431" s="61"/>
      <c r="L2431" s="60"/>
      <c r="M2431" s="74" t="str">
        <f>IF($C2431="","",IF($D2431="Gider",$E2431,IF($L2431&lt;&gt;"",$L2431,$H2431)))</f>
        <v/>
      </c>
      <c r="N2431" s="74" t="str">
        <f>IF($C2431="","",IF($D2431="Gider",$H2431,$E2431))</f>
        <v/>
      </c>
      <c r="O2431" s="73" t="str">
        <f>IF($C2431="","",DATE(YEAR($C2431),MONTH($C2431),1))</f>
        <v/>
      </c>
      <c r="P2431" s="65" t="str">
        <f ca="1">IF($C2431="","",IF(AND($D2431="Gelir",$L2431&lt;&gt;"",$T2431=""),"TANIMSIZ BORÇLU",IF($T2431&lt;&gt;"",IF(OR($E2431="",$G2431&lt;=0),"EKSİK",IF($I2431="Evet","TAHAKKUK NAKİT OLAMAZ",IF($C2431&gt;TODAY(),"İLERİ TARİH","TAHAKKUK"))),IF(AND($D2431&lt;&gt;"",$E2431&lt;&gt;"",$G2431&gt;0,$H2431&lt;&gt;"",$I2431&lt;&gt;""),IF($C2431&gt;TODAY(),"İLERİ TARİH",IF(COUNTIF($W$7:$W$3001,$W2431)&gt;1,"MÜKERRER?",IF($AD2431&gt;0,"KAPALI DÖNEM",IF($I2431="Hayır","ÖDENECEK","UYGUN")))),"EKSİK"))))</f>
        <v/>
      </c>
      <c r="Q2431" s="2"/>
      <c r="R2431" s="2"/>
      <c r="S2431" s="1" t="str">
        <f t="shared" si="113"/>
        <v/>
      </c>
      <c r="T2431" s="1" t="str">
        <f>IF(OR($C2431="",$D2431&lt;&gt;"Gelir",$L2431=""),"",IFERROR(INDEX(MUSTERILER!$B$7:$B$156,MATCH($S2431,MUSTERILER!$T$7:$T$156,0)),""))</f>
        <v/>
      </c>
      <c r="U2431" s="1" t="str">
        <f>IF($T2431="","",$T2431&amp;"|"&amp;COUNTIFS($T$7:$T2431,$T2431))</f>
        <v/>
      </c>
      <c r="V2431" s="1">
        <f t="shared" si="114"/>
        <v>0</v>
      </c>
      <c r="W2431" s="1" t="str">
        <f t="shared" si="115"/>
        <v/>
      </c>
      <c r="X2431" s="1"/>
      <c r="Y2431" s="1"/>
      <c r="Z2431" s="1"/>
      <c r="AA2431" s="1"/>
      <c r="AB2431" s="1"/>
      <c r="AC2431" s="1"/>
      <c r="AD2431" s="1">
        <f>IF($C2431="",0,SUMPRODUCT((AY_SONU!$O$7:$O$42="Evet")*(AY_SONU!$B$7:$B$42=DATE(YEAR($C2431),MONTH($C2431),1))))</f>
        <v>0</v>
      </c>
      <c r="AE2431" s="1" t="str">
        <f>IF($E2431="","",$E2431&amp;"|"&amp;COUNTIFS($E$7:$E2431,$E2431))</f>
        <v/>
      </c>
    </row>
    <row r="2432" spans="1:31" ht="18" customHeight="1" x14ac:dyDescent="0.3">
      <c r="A2432" s="2"/>
      <c r="B2432" s="65" t="str">
        <f>IF($C2432="","","GG"&amp;TEXT(ROW()-6,"00000"))</f>
        <v/>
      </c>
      <c r="C2432" s="66"/>
      <c r="D2432" s="60"/>
      <c r="E2432" s="61"/>
      <c r="F2432" s="61"/>
      <c r="G2432" s="67"/>
      <c r="H2432" s="60"/>
      <c r="I2432" s="60"/>
      <c r="J2432" s="61"/>
      <c r="K2432" s="61"/>
      <c r="L2432" s="60"/>
      <c r="M2432" s="74" t="str">
        <f>IF($C2432="","",IF($D2432="Gider",$E2432,IF($L2432&lt;&gt;"",$L2432,$H2432)))</f>
        <v/>
      </c>
      <c r="N2432" s="74" t="str">
        <f>IF($C2432="","",IF($D2432="Gider",$H2432,$E2432))</f>
        <v/>
      </c>
      <c r="O2432" s="73" t="str">
        <f>IF($C2432="","",DATE(YEAR($C2432),MONTH($C2432),1))</f>
        <v/>
      </c>
      <c r="P2432" s="65" t="str">
        <f ca="1">IF($C2432="","",IF(AND($D2432="Gelir",$L2432&lt;&gt;"",$T2432=""),"TANIMSIZ BORÇLU",IF($T2432&lt;&gt;"",IF(OR($E2432="",$G2432&lt;=0),"EKSİK",IF($I2432="Evet","TAHAKKUK NAKİT OLAMAZ",IF($C2432&gt;TODAY(),"İLERİ TARİH","TAHAKKUK"))),IF(AND($D2432&lt;&gt;"",$E2432&lt;&gt;"",$G2432&gt;0,$H2432&lt;&gt;"",$I2432&lt;&gt;""),IF($C2432&gt;TODAY(),"İLERİ TARİH",IF(COUNTIF($W$7:$W$3001,$W2432)&gt;1,"MÜKERRER?",IF($AD2432&gt;0,"KAPALI DÖNEM",IF($I2432="Hayır","ÖDENECEK","UYGUN")))),"EKSİK"))))</f>
        <v/>
      </c>
      <c r="Q2432" s="2"/>
      <c r="R2432" s="2"/>
      <c r="S2432" s="1" t="str">
        <f t="shared" si="113"/>
        <v/>
      </c>
      <c r="T2432" s="1" t="str">
        <f>IF(OR($C2432="",$D2432&lt;&gt;"Gelir",$L2432=""),"",IFERROR(INDEX(MUSTERILER!$B$7:$B$156,MATCH($S2432,MUSTERILER!$T$7:$T$156,0)),""))</f>
        <v/>
      </c>
      <c r="U2432" s="1" t="str">
        <f>IF($T2432="","",$T2432&amp;"|"&amp;COUNTIFS($T$7:$T2432,$T2432))</f>
        <v/>
      </c>
      <c r="V2432" s="1">
        <f t="shared" si="114"/>
        <v>0</v>
      </c>
      <c r="W2432" s="1" t="str">
        <f t="shared" si="115"/>
        <v/>
      </c>
      <c r="X2432" s="1"/>
      <c r="Y2432" s="1"/>
      <c r="Z2432" s="1"/>
      <c r="AA2432" s="1"/>
      <c r="AB2432" s="1"/>
      <c r="AC2432" s="1"/>
      <c r="AD2432" s="1">
        <f>IF($C2432="",0,SUMPRODUCT((AY_SONU!$O$7:$O$42="Evet")*(AY_SONU!$B$7:$B$42=DATE(YEAR($C2432),MONTH($C2432),1))))</f>
        <v>0</v>
      </c>
      <c r="AE2432" s="1" t="str">
        <f>IF($E2432="","",$E2432&amp;"|"&amp;COUNTIFS($E$7:$E2432,$E2432))</f>
        <v/>
      </c>
    </row>
    <row r="2433" spans="1:31" ht="18" customHeight="1" x14ac:dyDescent="0.3">
      <c r="A2433" s="2"/>
      <c r="B2433" s="65" t="str">
        <f>IF($C2433="","","GG"&amp;TEXT(ROW()-6,"00000"))</f>
        <v/>
      </c>
      <c r="C2433" s="66"/>
      <c r="D2433" s="60"/>
      <c r="E2433" s="61"/>
      <c r="F2433" s="61"/>
      <c r="G2433" s="67"/>
      <c r="H2433" s="60"/>
      <c r="I2433" s="60"/>
      <c r="J2433" s="61"/>
      <c r="K2433" s="61"/>
      <c r="L2433" s="60"/>
      <c r="M2433" s="74" t="str">
        <f>IF($C2433="","",IF($D2433="Gider",$E2433,IF($L2433&lt;&gt;"",$L2433,$H2433)))</f>
        <v/>
      </c>
      <c r="N2433" s="74" t="str">
        <f>IF($C2433="","",IF($D2433="Gider",$H2433,$E2433))</f>
        <v/>
      </c>
      <c r="O2433" s="73" t="str">
        <f>IF($C2433="","",DATE(YEAR($C2433),MONTH($C2433),1))</f>
        <v/>
      </c>
      <c r="P2433" s="65" t="str">
        <f ca="1">IF($C2433="","",IF(AND($D2433="Gelir",$L2433&lt;&gt;"",$T2433=""),"TANIMSIZ BORÇLU",IF($T2433&lt;&gt;"",IF(OR($E2433="",$G2433&lt;=0),"EKSİK",IF($I2433="Evet","TAHAKKUK NAKİT OLAMAZ",IF($C2433&gt;TODAY(),"İLERİ TARİH","TAHAKKUK"))),IF(AND($D2433&lt;&gt;"",$E2433&lt;&gt;"",$G2433&gt;0,$H2433&lt;&gt;"",$I2433&lt;&gt;""),IF($C2433&gt;TODAY(),"İLERİ TARİH",IF(COUNTIF($W$7:$W$3001,$W2433)&gt;1,"MÜKERRER?",IF($AD2433&gt;0,"KAPALI DÖNEM",IF($I2433="Hayır","ÖDENECEK","UYGUN")))),"EKSİK"))))</f>
        <v/>
      </c>
      <c r="Q2433" s="2"/>
      <c r="R2433" s="2"/>
      <c r="S2433" s="1" t="str">
        <f t="shared" si="113"/>
        <v/>
      </c>
      <c r="T2433" s="1" t="str">
        <f>IF(OR($C2433="",$D2433&lt;&gt;"Gelir",$L2433=""),"",IFERROR(INDEX(MUSTERILER!$B$7:$B$156,MATCH($S2433,MUSTERILER!$T$7:$T$156,0)),""))</f>
        <v/>
      </c>
      <c r="U2433" s="1" t="str">
        <f>IF($T2433="","",$T2433&amp;"|"&amp;COUNTIFS($T$7:$T2433,$T2433))</f>
        <v/>
      </c>
      <c r="V2433" s="1">
        <f t="shared" si="114"/>
        <v>0</v>
      </c>
      <c r="W2433" s="1" t="str">
        <f t="shared" si="115"/>
        <v/>
      </c>
      <c r="X2433" s="1"/>
      <c r="Y2433" s="1"/>
      <c r="Z2433" s="1"/>
      <c r="AA2433" s="1"/>
      <c r="AB2433" s="1"/>
      <c r="AC2433" s="1"/>
      <c r="AD2433" s="1">
        <f>IF($C2433="",0,SUMPRODUCT((AY_SONU!$O$7:$O$42="Evet")*(AY_SONU!$B$7:$B$42=DATE(YEAR($C2433),MONTH($C2433),1))))</f>
        <v>0</v>
      </c>
      <c r="AE2433" s="1" t="str">
        <f>IF($E2433="","",$E2433&amp;"|"&amp;COUNTIFS($E$7:$E2433,$E2433))</f>
        <v/>
      </c>
    </row>
    <row r="2434" spans="1:31" ht="18" customHeight="1" x14ac:dyDescent="0.3">
      <c r="A2434" s="2"/>
      <c r="B2434" s="65" t="str">
        <f>IF($C2434="","","GG"&amp;TEXT(ROW()-6,"00000"))</f>
        <v/>
      </c>
      <c r="C2434" s="66"/>
      <c r="D2434" s="60"/>
      <c r="E2434" s="61"/>
      <c r="F2434" s="61"/>
      <c r="G2434" s="67"/>
      <c r="H2434" s="60"/>
      <c r="I2434" s="60"/>
      <c r="J2434" s="61"/>
      <c r="K2434" s="61"/>
      <c r="L2434" s="60"/>
      <c r="M2434" s="74" t="str">
        <f>IF($C2434="","",IF($D2434="Gider",$E2434,IF($L2434&lt;&gt;"",$L2434,$H2434)))</f>
        <v/>
      </c>
      <c r="N2434" s="74" t="str">
        <f>IF($C2434="","",IF($D2434="Gider",$H2434,$E2434))</f>
        <v/>
      </c>
      <c r="O2434" s="73" t="str">
        <f>IF($C2434="","",DATE(YEAR($C2434),MONTH($C2434),1))</f>
        <v/>
      </c>
      <c r="P2434" s="65" t="str">
        <f ca="1">IF($C2434="","",IF(AND($D2434="Gelir",$L2434&lt;&gt;"",$T2434=""),"TANIMSIZ BORÇLU",IF($T2434&lt;&gt;"",IF(OR($E2434="",$G2434&lt;=0),"EKSİK",IF($I2434="Evet","TAHAKKUK NAKİT OLAMAZ",IF($C2434&gt;TODAY(),"İLERİ TARİH","TAHAKKUK"))),IF(AND($D2434&lt;&gt;"",$E2434&lt;&gt;"",$G2434&gt;0,$H2434&lt;&gt;"",$I2434&lt;&gt;""),IF($C2434&gt;TODAY(),"İLERİ TARİH",IF(COUNTIF($W$7:$W$3001,$W2434)&gt;1,"MÜKERRER?",IF($AD2434&gt;0,"KAPALI DÖNEM",IF($I2434="Hayır","ÖDENECEK","UYGUN")))),"EKSİK"))))</f>
        <v/>
      </c>
      <c r="Q2434" s="2"/>
      <c r="R2434" s="2"/>
      <c r="S2434" s="1" t="str">
        <f t="shared" si="113"/>
        <v/>
      </c>
      <c r="T2434" s="1" t="str">
        <f>IF(OR($C2434="",$D2434&lt;&gt;"Gelir",$L2434=""),"",IFERROR(INDEX(MUSTERILER!$B$7:$B$156,MATCH($S2434,MUSTERILER!$T$7:$T$156,0)),""))</f>
        <v/>
      </c>
      <c r="U2434" s="1" t="str">
        <f>IF($T2434="","",$T2434&amp;"|"&amp;COUNTIFS($T$7:$T2434,$T2434))</f>
        <v/>
      </c>
      <c r="V2434" s="1">
        <f t="shared" si="114"/>
        <v>0</v>
      </c>
      <c r="W2434" s="1" t="str">
        <f t="shared" si="115"/>
        <v/>
      </c>
      <c r="X2434" s="1"/>
      <c r="Y2434" s="1"/>
      <c r="Z2434" s="1"/>
      <c r="AA2434" s="1"/>
      <c r="AB2434" s="1"/>
      <c r="AC2434" s="1"/>
      <c r="AD2434" s="1">
        <f>IF($C2434="",0,SUMPRODUCT((AY_SONU!$O$7:$O$42="Evet")*(AY_SONU!$B$7:$B$42=DATE(YEAR($C2434),MONTH($C2434),1))))</f>
        <v>0</v>
      </c>
      <c r="AE2434" s="1" t="str">
        <f>IF($E2434="","",$E2434&amp;"|"&amp;COUNTIFS($E$7:$E2434,$E2434))</f>
        <v/>
      </c>
    </row>
    <row r="2435" spans="1:31" ht="18" customHeight="1" x14ac:dyDescent="0.3">
      <c r="A2435" s="2"/>
      <c r="B2435" s="65" t="str">
        <f>IF($C2435="","","GG"&amp;TEXT(ROW()-6,"00000"))</f>
        <v/>
      </c>
      <c r="C2435" s="66"/>
      <c r="D2435" s="60"/>
      <c r="E2435" s="61"/>
      <c r="F2435" s="61"/>
      <c r="G2435" s="67"/>
      <c r="H2435" s="60"/>
      <c r="I2435" s="60"/>
      <c r="J2435" s="61"/>
      <c r="K2435" s="61"/>
      <c r="L2435" s="60"/>
      <c r="M2435" s="74" t="str">
        <f>IF($C2435="","",IF($D2435="Gider",$E2435,IF($L2435&lt;&gt;"",$L2435,$H2435)))</f>
        <v/>
      </c>
      <c r="N2435" s="74" t="str">
        <f>IF($C2435="","",IF($D2435="Gider",$H2435,$E2435))</f>
        <v/>
      </c>
      <c r="O2435" s="73" t="str">
        <f>IF($C2435="","",DATE(YEAR($C2435),MONTH($C2435),1))</f>
        <v/>
      </c>
      <c r="P2435" s="65" t="str">
        <f ca="1">IF($C2435="","",IF(AND($D2435="Gelir",$L2435&lt;&gt;"",$T2435=""),"TANIMSIZ BORÇLU",IF($T2435&lt;&gt;"",IF(OR($E2435="",$G2435&lt;=0),"EKSİK",IF($I2435="Evet","TAHAKKUK NAKİT OLAMAZ",IF($C2435&gt;TODAY(),"İLERİ TARİH","TAHAKKUK"))),IF(AND($D2435&lt;&gt;"",$E2435&lt;&gt;"",$G2435&gt;0,$H2435&lt;&gt;"",$I2435&lt;&gt;""),IF($C2435&gt;TODAY(),"İLERİ TARİH",IF(COUNTIF($W$7:$W$3001,$W2435)&gt;1,"MÜKERRER?",IF($AD2435&gt;0,"KAPALI DÖNEM",IF($I2435="Hayır","ÖDENECEK","UYGUN")))),"EKSİK"))))</f>
        <v/>
      </c>
      <c r="Q2435" s="2"/>
      <c r="R2435" s="2"/>
      <c r="S2435" s="1" t="str">
        <f t="shared" si="113"/>
        <v/>
      </c>
      <c r="T2435" s="1" t="str">
        <f>IF(OR($C2435="",$D2435&lt;&gt;"Gelir",$L2435=""),"",IFERROR(INDEX(MUSTERILER!$B$7:$B$156,MATCH($S2435,MUSTERILER!$T$7:$T$156,0)),""))</f>
        <v/>
      </c>
      <c r="U2435" s="1" t="str">
        <f>IF($T2435="","",$T2435&amp;"|"&amp;COUNTIFS($T$7:$T2435,$T2435))</f>
        <v/>
      </c>
      <c r="V2435" s="1">
        <f t="shared" si="114"/>
        <v>0</v>
      </c>
      <c r="W2435" s="1" t="str">
        <f t="shared" si="115"/>
        <v/>
      </c>
      <c r="X2435" s="1"/>
      <c r="Y2435" s="1"/>
      <c r="Z2435" s="1"/>
      <c r="AA2435" s="1"/>
      <c r="AB2435" s="1"/>
      <c r="AC2435" s="1"/>
      <c r="AD2435" s="1">
        <f>IF($C2435="",0,SUMPRODUCT((AY_SONU!$O$7:$O$42="Evet")*(AY_SONU!$B$7:$B$42=DATE(YEAR($C2435),MONTH($C2435),1))))</f>
        <v>0</v>
      </c>
      <c r="AE2435" s="1" t="str">
        <f>IF($E2435="","",$E2435&amp;"|"&amp;COUNTIFS($E$7:$E2435,$E2435))</f>
        <v/>
      </c>
    </row>
    <row r="2436" spans="1:31" ht="18" customHeight="1" x14ac:dyDescent="0.3">
      <c r="A2436" s="2"/>
      <c r="B2436" s="65" t="str">
        <f>IF($C2436="","","GG"&amp;TEXT(ROW()-6,"00000"))</f>
        <v/>
      </c>
      <c r="C2436" s="66"/>
      <c r="D2436" s="60"/>
      <c r="E2436" s="61"/>
      <c r="F2436" s="61"/>
      <c r="G2436" s="67"/>
      <c r="H2436" s="60"/>
      <c r="I2436" s="60"/>
      <c r="J2436" s="61"/>
      <c r="K2436" s="61"/>
      <c r="L2436" s="60"/>
      <c r="M2436" s="74" t="str">
        <f>IF($C2436="","",IF($D2436="Gider",$E2436,IF($L2436&lt;&gt;"",$L2436,$H2436)))</f>
        <v/>
      </c>
      <c r="N2436" s="74" t="str">
        <f>IF($C2436="","",IF($D2436="Gider",$H2436,$E2436))</f>
        <v/>
      </c>
      <c r="O2436" s="73" t="str">
        <f>IF($C2436="","",DATE(YEAR($C2436),MONTH($C2436),1))</f>
        <v/>
      </c>
      <c r="P2436" s="65" t="str">
        <f ca="1">IF($C2436="","",IF(AND($D2436="Gelir",$L2436&lt;&gt;"",$T2436=""),"TANIMSIZ BORÇLU",IF($T2436&lt;&gt;"",IF(OR($E2436="",$G2436&lt;=0),"EKSİK",IF($I2436="Evet","TAHAKKUK NAKİT OLAMAZ",IF($C2436&gt;TODAY(),"İLERİ TARİH","TAHAKKUK"))),IF(AND($D2436&lt;&gt;"",$E2436&lt;&gt;"",$G2436&gt;0,$H2436&lt;&gt;"",$I2436&lt;&gt;""),IF($C2436&gt;TODAY(),"İLERİ TARİH",IF(COUNTIF($W$7:$W$3001,$W2436)&gt;1,"MÜKERRER?",IF($AD2436&gt;0,"KAPALI DÖNEM",IF($I2436="Hayır","ÖDENECEK","UYGUN")))),"EKSİK"))))</f>
        <v/>
      </c>
      <c r="Q2436" s="2"/>
      <c r="R2436" s="2"/>
      <c r="S2436" s="1" t="str">
        <f t="shared" si="113"/>
        <v/>
      </c>
      <c r="T2436" s="1" t="str">
        <f>IF(OR($C2436="",$D2436&lt;&gt;"Gelir",$L2436=""),"",IFERROR(INDEX(MUSTERILER!$B$7:$B$156,MATCH($S2436,MUSTERILER!$T$7:$T$156,0)),""))</f>
        <v/>
      </c>
      <c r="U2436" s="1" t="str">
        <f>IF($T2436="","",$T2436&amp;"|"&amp;COUNTIFS($T$7:$T2436,$T2436))</f>
        <v/>
      </c>
      <c r="V2436" s="1">
        <f t="shared" si="114"/>
        <v>0</v>
      </c>
      <c r="W2436" s="1" t="str">
        <f t="shared" si="115"/>
        <v/>
      </c>
      <c r="X2436" s="1"/>
      <c r="Y2436" s="1"/>
      <c r="Z2436" s="1"/>
      <c r="AA2436" s="1"/>
      <c r="AB2436" s="1"/>
      <c r="AC2436" s="1"/>
      <c r="AD2436" s="1">
        <f>IF($C2436="",0,SUMPRODUCT((AY_SONU!$O$7:$O$42="Evet")*(AY_SONU!$B$7:$B$42=DATE(YEAR($C2436),MONTH($C2436),1))))</f>
        <v>0</v>
      </c>
      <c r="AE2436" s="1" t="str">
        <f>IF($E2436="","",$E2436&amp;"|"&amp;COUNTIFS($E$7:$E2436,$E2436))</f>
        <v/>
      </c>
    </row>
    <row r="2437" spans="1:31" ht="18" customHeight="1" x14ac:dyDescent="0.3">
      <c r="A2437" s="2"/>
      <c r="B2437" s="65" t="str">
        <f>IF($C2437="","","GG"&amp;TEXT(ROW()-6,"00000"))</f>
        <v/>
      </c>
      <c r="C2437" s="66"/>
      <c r="D2437" s="60"/>
      <c r="E2437" s="61"/>
      <c r="F2437" s="61"/>
      <c r="G2437" s="67"/>
      <c r="H2437" s="60"/>
      <c r="I2437" s="60"/>
      <c r="J2437" s="61"/>
      <c r="K2437" s="61"/>
      <c r="L2437" s="60"/>
      <c r="M2437" s="74" t="str">
        <f>IF($C2437="","",IF($D2437="Gider",$E2437,IF($L2437&lt;&gt;"",$L2437,$H2437)))</f>
        <v/>
      </c>
      <c r="N2437" s="74" t="str">
        <f>IF($C2437="","",IF($D2437="Gider",$H2437,$E2437))</f>
        <v/>
      </c>
      <c r="O2437" s="73" t="str">
        <f>IF($C2437="","",DATE(YEAR($C2437),MONTH($C2437),1))</f>
        <v/>
      </c>
      <c r="P2437" s="65" t="str">
        <f ca="1">IF($C2437="","",IF(AND($D2437="Gelir",$L2437&lt;&gt;"",$T2437=""),"TANIMSIZ BORÇLU",IF($T2437&lt;&gt;"",IF(OR($E2437="",$G2437&lt;=0),"EKSİK",IF($I2437="Evet","TAHAKKUK NAKİT OLAMAZ",IF($C2437&gt;TODAY(),"İLERİ TARİH","TAHAKKUK"))),IF(AND($D2437&lt;&gt;"",$E2437&lt;&gt;"",$G2437&gt;0,$H2437&lt;&gt;"",$I2437&lt;&gt;""),IF($C2437&gt;TODAY(),"İLERİ TARİH",IF(COUNTIF($W$7:$W$3001,$W2437)&gt;1,"MÜKERRER?",IF($AD2437&gt;0,"KAPALI DÖNEM",IF($I2437="Hayır","ÖDENECEK","UYGUN")))),"EKSİK"))))</f>
        <v/>
      </c>
      <c r="Q2437" s="2"/>
      <c r="R2437" s="2"/>
      <c r="S2437" s="1" t="str">
        <f t="shared" ref="S2437:S2500" si="116">IF($L2437="","",UPPER(SUBSTITUTE(SUBSTITUTE(SUBSTITUTE(SUBSTITUTE(SUBSTITUTE(SUBSTITUTE(SUBSTITUTE(SUBSTITUTE(SUBSTITUTE(SUBSTITUTE(SUBSTITUTE(SUBSTITUTE(SUBSTITUTE(SUBSTITUTE(SUBSTITUTE(SUBSTITUTE(SUBSTITUTE(SUBSTITUTE(TRIM($L2437),"'",""),"İ","I"),"ı","I"),"i","I"),"Ş","S"),"ş","S"),"Ğ","G"),"ğ","G"),"Ü","U"),"ü","U"),"Ö","O"),"ö","O"),"Ç","C"),"ç","C"),".",""),",","")," ",""),"-","")))</f>
        <v/>
      </c>
      <c r="T2437" s="1" t="str">
        <f>IF(OR($C2437="",$D2437&lt;&gt;"Gelir",$L2437=""),"",IFERROR(INDEX(MUSTERILER!$B$7:$B$156,MATCH($S2437,MUSTERILER!$T$7:$T$156,0)),""))</f>
        <v/>
      </c>
      <c r="U2437" s="1" t="str">
        <f>IF($T2437="","",$T2437&amp;"|"&amp;COUNTIFS($T$7:$T2437,$T2437))</f>
        <v/>
      </c>
      <c r="V2437" s="1">
        <f t="shared" ref="V2437:V2500" si="117">IF($T2437="",0,1)</f>
        <v>0</v>
      </c>
      <c r="W2437" s="1" t="str">
        <f t="shared" ref="W2437:W2500" si="118">IF($C2437="","",$D2437&amp;"|"&amp;$E2437&amp;"|"&amp;TEXT($C2437,"0")&amp;"|"&amp;TEXT($G2437,"0")&amp;"|"&amp;$F2437&amp;"|"&amp;$J2437)</f>
        <v/>
      </c>
      <c r="X2437" s="1"/>
      <c r="Y2437" s="1"/>
      <c r="Z2437" s="1"/>
      <c r="AA2437" s="1"/>
      <c r="AB2437" s="1"/>
      <c r="AC2437" s="1"/>
      <c r="AD2437" s="1">
        <f>IF($C2437="",0,SUMPRODUCT((AY_SONU!$O$7:$O$42="Evet")*(AY_SONU!$B$7:$B$42=DATE(YEAR($C2437),MONTH($C2437),1))))</f>
        <v>0</v>
      </c>
      <c r="AE2437" s="1" t="str">
        <f>IF($E2437="","",$E2437&amp;"|"&amp;COUNTIFS($E$7:$E2437,$E2437))</f>
        <v/>
      </c>
    </row>
    <row r="2438" spans="1:31" ht="18" customHeight="1" x14ac:dyDescent="0.3">
      <c r="A2438" s="2"/>
      <c r="B2438" s="65" t="str">
        <f>IF($C2438="","","GG"&amp;TEXT(ROW()-6,"00000"))</f>
        <v/>
      </c>
      <c r="C2438" s="66"/>
      <c r="D2438" s="60"/>
      <c r="E2438" s="61"/>
      <c r="F2438" s="61"/>
      <c r="G2438" s="67"/>
      <c r="H2438" s="60"/>
      <c r="I2438" s="60"/>
      <c r="J2438" s="61"/>
      <c r="K2438" s="61"/>
      <c r="L2438" s="60"/>
      <c r="M2438" s="74" t="str">
        <f>IF($C2438="","",IF($D2438="Gider",$E2438,IF($L2438&lt;&gt;"",$L2438,$H2438)))</f>
        <v/>
      </c>
      <c r="N2438" s="74" t="str">
        <f>IF($C2438="","",IF($D2438="Gider",$H2438,$E2438))</f>
        <v/>
      </c>
      <c r="O2438" s="73" t="str">
        <f>IF($C2438="","",DATE(YEAR($C2438),MONTH($C2438),1))</f>
        <v/>
      </c>
      <c r="P2438" s="65" t="str">
        <f ca="1">IF($C2438="","",IF(AND($D2438="Gelir",$L2438&lt;&gt;"",$T2438=""),"TANIMSIZ BORÇLU",IF($T2438&lt;&gt;"",IF(OR($E2438="",$G2438&lt;=0),"EKSİK",IF($I2438="Evet","TAHAKKUK NAKİT OLAMAZ",IF($C2438&gt;TODAY(),"İLERİ TARİH","TAHAKKUK"))),IF(AND($D2438&lt;&gt;"",$E2438&lt;&gt;"",$G2438&gt;0,$H2438&lt;&gt;"",$I2438&lt;&gt;""),IF($C2438&gt;TODAY(),"İLERİ TARİH",IF(COUNTIF($W$7:$W$3001,$W2438)&gt;1,"MÜKERRER?",IF($AD2438&gt;0,"KAPALI DÖNEM",IF($I2438="Hayır","ÖDENECEK","UYGUN")))),"EKSİK"))))</f>
        <v/>
      </c>
      <c r="Q2438" s="2"/>
      <c r="R2438" s="2"/>
      <c r="S2438" s="1" t="str">
        <f t="shared" si="116"/>
        <v/>
      </c>
      <c r="T2438" s="1" t="str">
        <f>IF(OR($C2438="",$D2438&lt;&gt;"Gelir",$L2438=""),"",IFERROR(INDEX(MUSTERILER!$B$7:$B$156,MATCH($S2438,MUSTERILER!$T$7:$T$156,0)),""))</f>
        <v/>
      </c>
      <c r="U2438" s="1" t="str">
        <f>IF($T2438="","",$T2438&amp;"|"&amp;COUNTIFS($T$7:$T2438,$T2438))</f>
        <v/>
      </c>
      <c r="V2438" s="1">
        <f t="shared" si="117"/>
        <v>0</v>
      </c>
      <c r="W2438" s="1" t="str">
        <f t="shared" si="118"/>
        <v/>
      </c>
      <c r="X2438" s="1"/>
      <c r="Y2438" s="1"/>
      <c r="Z2438" s="1"/>
      <c r="AA2438" s="1"/>
      <c r="AB2438" s="1"/>
      <c r="AC2438" s="1"/>
      <c r="AD2438" s="1">
        <f>IF($C2438="",0,SUMPRODUCT((AY_SONU!$O$7:$O$42="Evet")*(AY_SONU!$B$7:$B$42=DATE(YEAR($C2438),MONTH($C2438),1))))</f>
        <v>0</v>
      </c>
      <c r="AE2438" s="1" t="str">
        <f>IF($E2438="","",$E2438&amp;"|"&amp;COUNTIFS($E$7:$E2438,$E2438))</f>
        <v/>
      </c>
    </row>
    <row r="2439" spans="1:31" ht="18" customHeight="1" x14ac:dyDescent="0.3">
      <c r="A2439" s="2"/>
      <c r="B2439" s="65" t="str">
        <f>IF($C2439="","","GG"&amp;TEXT(ROW()-6,"00000"))</f>
        <v/>
      </c>
      <c r="C2439" s="66"/>
      <c r="D2439" s="60"/>
      <c r="E2439" s="61"/>
      <c r="F2439" s="61"/>
      <c r="G2439" s="67"/>
      <c r="H2439" s="60"/>
      <c r="I2439" s="60"/>
      <c r="J2439" s="61"/>
      <c r="K2439" s="61"/>
      <c r="L2439" s="60"/>
      <c r="M2439" s="74" t="str">
        <f>IF($C2439="","",IF($D2439="Gider",$E2439,IF($L2439&lt;&gt;"",$L2439,$H2439)))</f>
        <v/>
      </c>
      <c r="N2439" s="74" t="str">
        <f>IF($C2439="","",IF($D2439="Gider",$H2439,$E2439))</f>
        <v/>
      </c>
      <c r="O2439" s="73" t="str">
        <f>IF($C2439="","",DATE(YEAR($C2439),MONTH($C2439),1))</f>
        <v/>
      </c>
      <c r="P2439" s="65" t="str">
        <f ca="1"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TARİH",IF(COUNTIF($W$7:$W$3001,$W2439)&gt;1,"MÜKERRER?",IF($AD2439&gt;0,"KAPALI DÖNEM",IF($I2439="Hayır","ÖDENECEK","UYGUN")))),"EKSİK"))))</f>
        <v/>
      </c>
      <c r="Q2439" s="2"/>
      <c r="R2439" s="2"/>
      <c r="S2439" s="1" t="str">
        <f t="shared" si="116"/>
        <v/>
      </c>
      <c r="T2439" s="1" t="str">
        <f>IF(OR($C2439="",$D2439&lt;&gt;"Gelir",$L2439=""),"",IFERROR(INDEX(MUSTERILER!$B$7:$B$156,MATCH($S2439,MUSTERILER!$T$7:$T$156,0)),""))</f>
        <v/>
      </c>
      <c r="U2439" s="1" t="str">
        <f>IF($T2439="","",$T2439&amp;"|"&amp;COUNTIFS($T$7:$T2439,$T2439))</f>
        <v/>
      </c>
      <c r="V2439" s="1">
        <f t="shared" si="117"/>
        <v>0</v>
      </c>
      <c r="W2439" s="1" t="str">
        <f t="shared" si="118"/>
        <v/>
      </c>
      <c r="X2439" s="1"/>
      <c r="Y2439" s="1"/>
      <c r="Z2439" s="1"/>
      <c r="AA2439" s="1"/>
      <c r="AB2439" s="1"/>
      <c r="AC2439" s="1"/>
      <c r="AD2439" s="1">
        <f>IF($C2439="",0,SUMPRODUCT((AY_SONU!$O$7:$O$42="Evet")*(AY_SONU!$B$7:$B$42=DATE(YEAR($C2439),MONTH($C2439),1))))</f>
        <v>0</v>
      </c>
      <c r="AE2439" s="1" t="str">
        <f>IF($E2439="","",$E2439&amp;"|"&amp;COUNTIFS($E$7:$E2439,$E2439))</f>
        <v/>
      </c>
    </row>
    <row r="2440" spans="1:31" ht="18" customHeight="1" x14ac:dyDescent="0.3">
      <c r="A2440" s="2"/>
      <c r="B2440" s="65" t="str">
        <f>IF($C2440="","","GG"&amp;TEXT(ROW()-6,"00000"))</f>
        <v/>
      </c>
      <c r="C2440" s="66"/>
      <c r="D2440" s="60"/>
      <c r="E2440" s="61"/>
      <c r="F2440" s="61"/>
      <c r="G2440" s="67"/>
      <c r="H2440" s="60"/>
      <c r="I2440" s="60"/>
      <c r="J2440" s="61"/>
      <c r="K2440" s="61"/>
      <c r="L2440" s="60"/>
      <c r="M2440" s="74" t="str">
        <f>IF($C2440="","",IF($D2440="Gider",$E2440,IF($L2440&lt;&gt;"",$L2440,$H2440)))</f>
        <v/>
      </c>
      <c r="N2440" s="74" t="str">
        <f>IF($C2440="","",IF($D2440="Gider",$H2440,$E2440))</f>
        <v/>
      </c>
      <c r="O2440" s="73" t="str">
        <f>IF($C2440="","",DATE(YEAR($C2440),MONTH($C2440),1))</f>
        <v/>
      </c>
      <c r="P2440" s="65" t="str">
        <f ca="1">IF($C2440="","",IF(AND($D2440="Gelir",$L2440&lt;&gt;"",$T2440=""),"TANIMSIZ BORÇLU",IF($T2440&lt;&gt;"",IF(OR($E2440="",$G2440&lt;=0),"EKSİK",IF($I2440="Evet","TAHAKKUK NAKİT OLAMAZ",IF($C2440&gt;TODAY(),"İLERİ TARİH","TAHAKKUK"))),IF(AND($D2440&lt;&gt;"",$E2440&lt;&gt;"",$G2440&gt;0,$H2440&lt;&gt;"",$I2440&lt;&gt;""),IF($C2440&gt;TODAY(),"İLERİ TARİH",IF(COUNTIF($W$7:$W$3001,$W2440)&gt;1,"MÜKERRER?",IF($AD2440&gt;0,"KAPALI DÖNEM",IF($I2440="Hayır","ÖDENECEK","UYGUN")))),"EKSİK"))))</f>
        <v/>
      </c>
      <c r="Q2440" s="2"/>
      <c r="R2440" s="2"/>
      <c r="S2440" s="1" t="str">
        <f t="shared" si="116"/>
        <v/>
      </c>
      <c r="T2440" s="1" t="str">
        <f>IF(OR($C2440="",$D2440&lt;&gt;"Gelir",$L2440=""),"",IFERROR(INDEX(MUSTERILER!$B$7:$B$156,MATCH($S2440,MUSTERILER!$T$7:$T$156,0)),""))</f>
        <v/>
      </c>
      <c r="U2440" s="1" t="str">
        <f>IF($T2440="","",$T2440&amp;"|"&amp;COUNTIFS($T$7:$T2440,$T2440))</f>
        <v/>
      </c>
      <c r="V2440" s="1">
        <f t="shared" si="117"/>
        <v>0</v>
      </c>
      <c r="W2440" s="1" t="str">
        <f t="shared" si="118"/>
        <v/>
      </c>
      <c r="X2440" s="1"/>
      <c r="Y2440" s="1"/>
      <c r="Z2440" s="1"/>
      <c r="AA2440" s="1"/>
      <c r="AB2440" s="1"/>
      <c r="AC2440" s="1"/>
      <c r="AD2440" s="1">
        <f>IF($C2440="",0,SUMPRODUCT((AY_SONU!$O$7:$O$42="Evet")*(AY_SONU!$B$7:$B$42=DATE(YEAR($C2440),MONTH($C2440),1))))</f>
        <v>0</v>
      </c>
      <c r="AE2440" s="1" t="str">
        <f>IF($E2440="","",$E2440&amp;"|"&amp;COUNTIFS($E$7:$E2440,$E2440))</f>
        <v/>
      </c>
    </row>
    <row r="2441" spans="1:31" ht="18" customHeight="1" x14ac:dyDescent="0.3">
      <c r="A2441" s="2"/>
      <c r="B2441" s="65" t="str">
        <f>IF($C2441="","","GG"&amp;TEXT(ROW()-6,"00000"))</f>
        <v/>
      </c>
      <c r="C2441" s="66"/>
      <c r="D2441" s="60"/>
      <c r="E2441" s="61"/>
      <c r="F2441" s="61"/>
      <c r="G2441" s="67"/>
      <c r="H2441" s="60"/>
      <c r="I2441" s="60"/>
      <c r="J2441" s="61"/>
      <c r="K2441" s="61"/>
      <c r="L2441" s="60"/>
      <c r="M2441" s="74" t="str">
        <f>IF($C2441="","",IF($D2441="Gider",$E2441,IF($L2441&lt;&gt;"",$L2441,$H2441)))</f>
        <v/>
      </c>
      <c r="N2441" s="74" t="str">
        <f>IF($C2441="","",IF($D2441="Gider",$H2441,$E2441))</f>
        <v/>
      </c>
      <c r="O2441" s="73" t="str">
        <f>IF($C2441="","",DATE(YEAR($C2441),MONTH($C2441),1))</f>
        <v/>
      </c>
      <c r="P2441" s="65" t="str">
        <f ca="1">IF($C2441="","",IF(AND($D2441="Gelir",$L2441&lt;&gt;"",$T2441=""),"TANIMSIZ BORÇLU",IF($T2441&lt;&gt;"",IF(OR($E2441="",$G2441&lt;=0),"EKSİK",IF($I2441="Evet","TAHAKKUK NAKİT OLAMAZ",IF($C2441&gt;TODAY(),"İLERİ TARİH","TAHAKKUK"))),IF(AND($D2441&lt;&gt;"",$E2441&lt;&gt;"",$G2441&gt;0,$H2441&lt;&gt;"",$I2441&lt;&gt;""),IF($C2441&gt;TODAY(),"İLERİ TARİH",IF(COUNTIF($W$7:$W$3001,$W2441)&gt;1,"MÜKERRER?",IF($AD2441&gt;0,"KAPALI DÖNEM",IF($I2441="Hayır","ÖDENECEK","UYGUN")))),"EKSİK"))))</f>
        <v/>
      </c>
      <c r="Q2441" s="2"/>
      <c r="R2441" s="2"/>
      <c r="S2441" s="1" t="str">
        <f t="shared" si="116"/>
        <v/>
      </c>
      <c r="T2441" s="1" t="str">
        <f>IF(OR($C2441="",$D2441&lt;&gt;"Gelir",$L2441=""),"",IFERROR(INDEX(MUSTERILER!$B$7:$B$156,MATCH($S2441,MUSTERILER!$T$7:$T$156,0)),""))</f>
        <v/>
      </c>
      <c r="U2441" s="1" t="str">
        <f>IF($T2441="","",$T2441&amp;"|"&amp;COUNTIFS($T$7:$T2441,$T2441))</f>
        <v/>
      </c>
      <c r="V2441" s="1">
        <f t="shared" si="117"/>
        <v>0</v>
      </c>
      <c r="W2441" s="1" t="str">
        <f t="shared" si="118"/>
        <v/>
      </c>
      <c r="X2441" s="1"/>
      <c r="Y2441" s="1"/>
      <c r="Z2441" s="1"/>
      <c r="AA2441" s="1"/>
      <c r="AB2441" s="1"/>
      <c r="AC2441" s="1"/>
      <c r="AD2441" s="1">
        <f>IF($C2441="",0,SUMPRODUCT((AY_SONU!$O$7:$O$42="Evet")*(AY_SONU!$B$7:$B$42=DATE(YEAR($C2441),MONTH($C2441),1))))</f>
        <v>0</v>
      </c>
      <c r="AE2441" s="1" t="str">
        <f>IF($E2441="","",$E2441&amp;"|"&amp;COUNTIFS($E$7:$E2441,$E2441))</f>
        <v/>
      </c>
    </row>
    <row r="2442" spans="1:31" ht="18" customHeight="1" x14ac:dyDescent="0.3">
      <c r="A2442" s="2"/>
      <c r="B2442" s="65" t="str">
        <f>IF($C2442="","","GG"&amp;TEXT(ROW()-6,"00000"))</f>
        <v/>
      </c>
      <c r="C2442" s="66"/>
      <c r="D2442" s="60"/>
      <c r="E2442" s="61"/>
      <c r="F2442" s="61"/>
      <c r="G2442" s="67"/>
      <c r="H2442" s="60"/>
      <c r="I2442" s="60"/>
      <c r="J2442" s="61"/>
      <c r="K2442" s="61"/>
      <c r="L2442" s="60"/>
      <c r="M2442" s="74" t="str">
        <f>IF($C2442="","",IF($D2442="Gider",$E2442,IF($L2442&lt;&gt;"",$L2442,$H2442)))</f>
        <v/>
      </c>
      <c r="N2442" s="74" t="str">
        <f>IF($C2442="","",IF($D2442="Gider",$H2442,$E2442))</f>
        <v/>
      </c>
      <c r="O2442" s="73" t="str">
        <f>IF($C2442="","",DATE(YEAR($C2442),MONTH($C2442),1))</f>
        <v/>
      </c>
      <c r="P2442" s="65" t="str">
        <f ca="1">IF($C2442="","",IF(AND($D2442="Gelir",$L2442&lt;&gt;"",$T2442=""),"TANIMSIZ BORÇLU",IF($T2442&lt;&gt;"",IF(OR($E2442="",$G2442&lt;=0),"EKSİK",IF($I2442="Evet","TAHAKKUK NAKİT OLAMAZ",IF($C2442&gt;TODAY(),"İLERİ TARİH","TAHAKKUK"))),IF(AND($D2442&lt;&gt;"",$E2442&lt;&gt;"",$G2442&gt;0,$H2442&lt;&gt;"",$I2442&lt;&gt;""),IF($C2442&gt;TODAY(),"İLERİ TARİH",IF(COUNTIF($W$7:$W$3001,$W2442)&gt;1,"MÜKERRER?",IF($AD2442&gt;0,"KAPALI DÖNEM",IF($I2442="Hayır","ÖDENECEK","UYGUN")))),"EKSİK"))))</f>
        <v/>
      </c>
      <c r="Q2442" s="2"/>
      <c r="R2442" s="2"/>
      <c r="S2442" s="1" t="str">
        <f t="shared" si="116"/>
        <v/>
      </c>
      <c r="T2442" s="1" t="str">
        <f>IF(OR($C2442="",$D2442&lt;&gt;"Gelir",$L2442=""),"",IFERROR(INDEX(MUSTERILER!$B$7:$B$156,MATCH($S2442,MUSTERILER!$T$7:$T$156,0)),""))</f>
        <v/>
      </c>
      <c r="U2442" s="1" t="str">
        <f>IF($T2442="","",$T2442&amp;"|"&amp;COUNTIFS($T$7:$T2442,$T2442))</f>
        <v/>
      </c>
      <c r="V2442" s="1">
        <f t="shared" si="117"/>
        <v>0</v>
      </c>
      <c r="W2442" s="1" t="str">
        <f t="shared" si="118"/>
        <v/>
      </c>
      <c r="X2442" s="1"/>
      <c r="Y2442" s="1"/>
      <c r="Z2442" s="1"/>
      <c r="AA2442" s="1"/>
      <c r="AB2442" s="1"/>
      <c r="AC2442" s="1"/>
      <c r="AD2442" s="1">
        <f>IF($C2442="",0,SUMPRODUCT((AY_SONU!$O$7:$O$42="Evet")*(AY_SONU!$B$7:$B$42=DATE(YEAR($C2442),MONTH($C2442),1))))</f>
        <v>0</v>
      </c>
      <c r="AE2442" s="1" t="str">
        <f>IF($E2442="","",$E2442&amp;"|"&amp;COUNTIFS($E$7:$E2442,$E2442))</f>
        <v/>
      </c>
    </row>
    <row r="2443" spans="1:31" ht="18" customHeight="1" x14ac:dyDescent="0.3">
      <c r="A2443" s="2"/>
      <c r="B2443" s="65" t="str">
        <f>IF($C2443="","","GG"&amp;TEXT(ROW()-6,"00000"))</f>
        <v/>
      </c>
      <c r="C2443" s="66"/>
      <c r="D2443" s="60"/>
      <c r="E2443" s="61"/>
      <c r="F2443" s="61"/>
      <c r="G2443" s="67"/>
      <c r="H2443" s="60"/>
      <c r="I2443" s="60"/>
      <c r="J2443" s="61"/>
      <c r="K2443" s="61"/>
      <c r="L2443" s="60"/>
      <c r="M2443" s="74" t="str">
        <f>IF($C2443="","",IF($D2443="Gider",$E2443,IF($L2443&lt;&gt;"",$L2443,$H2443)))</f>
        <v/>
      </c>
      <c r="N2443" s="74" t="str">
        <f>IF($C2443="","",IF($D2443="Gider",$H2443,$E2443))</f>
        <v/>
      </c>
      <c r="O2443" s="73" t="str">
        <f>IF($C2443="","",DATE(YEAR($C2443),MONTH($C2443),1))</f>
        <v/>
      </c>
      <c r="P2443" s="65" t="str">
        <f ca="1">IF($C2443="","",IF(AND($D2443="Gelir",$L2443&lt;&gt;"",$T2443=""),"TANIMSIZ BORÇLU",IF($T2443&lt;&gt;"",IF(OR($E2443="",$G2443&lt;=0),"EKSİK",IF($I2443="Evet","TAHAKKUK NAKİT OLAMAZ",IF($C2443&gt;TODAY(),"İLERİ TARİH","TAHAKKUK"))),IF(AND($D2443&lt;&gt;"",$E2443&lt;&gt;"",$G2443&gt;0,$H2443&lt;&gt;"",$I2443&lt;&gt;""),IF($C2443&gt;TODAY(),"İLERİ TARİH",IF(COUNTIF($W$7:$W$3001,$W2443)&gt;1,"MÜKERRER?",IF($AD2443&gt;0,"KAPALI DÖNEM",IF($I2443="Hayır","ÖDENECEK","UYGUN")))),"EKSİK"))))</f>
        <v/>
      </c>
      <c r="Q2443" s="2"/>
      <c r="R2443" s="2"/>
      <c r="S2443" s="1" t="str">
        <f t="shared" si="116"/>
        <v/>
      </c>
      <c r="T2443" s="1" t="str">
        <f>IF(OR($C2443="",$D2443&lt;&gt;"Gelir",$L2443=""),"",IFERROR(INDEX(MUSTERILER!$B$7:$B$156,MATCH($S2443,MUSTERILER!$T$7:$T$156,0)),""))</f>
        <v/>
      </c>
      <c r="U2443" s="1" t="str">
        <f>IF($T2443="","",$T2443&amp;"|"&amp;COUNTIFS($T$7:$T2443,$T2443))</f>
        <v/>
      </c>
      <c r="V2443" s="1">
        <f t="shared" si="117"/>
        <v>0</v>
      </c>
      <c r="W2443" s="1" t="str">
        <f t="shared" si="118"/>
        <v/>
      </c>
      <c r="X2443" s="1"/>
      <c r="Y2443" s="1"/>
      <c r="Z2443" s="1"/>
      <c r="AA2443" s="1"/>
      <c r="AB2443" s="1"/>
      <c r="AC2443" s="1"/>
      <c r="AD2443" s="1">
        <f>IF($C2443="",0,SUMPRODUCT((AY_SONU!$O$7:$O$42="Evet")*(AY_SONU!$B$7:$B$42=DATE(YEAR($C2443),MONTH($C2443),1))))</f>
        <v>0</v>
      </c>
      <c r="AE2443" s="1" t="str">
        <f>IF($E2443="","",$E2443&amp;"|"&amp;COUNTIFS($E$7:$E2443,$E2443))</f>
        <v/>
      </c>
    </row>
    <row r="2444" spans="1:31" ht="18" customHeight="1" x14ac:dyDescent="0.3">
      <c r="A2444" s="2"/>
      <c r="B2444" s="65" t="str">
        <f>IF($C2444="","","GG"&amp;TEXT(ROW()-6,"00000"))</f>
        <v/>
      </c>
      <c r="C2444" s="66"/>
      <c r="D2444" s="60"/>
      <c r="E2444" s="61"/>
      <c r="F2444" s="61"/>
      <c r="G2444" s="67"/>
      <c r="H2444" s="60"/>
      <c r="I2444" s="60"/>
      <c r="J2444" s="61"/>
      <c r="K2444" s="61"/>
      <c r="L2444" s="60"/>
      <c r="M2444" s="74" t="str">
        <f>IF($C2444="","",IF($D2444="Gider",$E2444,IF($L2444&lt;&gt;"",$L2444,$H2444)))</f>
        <v/>
      </c>
      <c r="N2444" s="74" t="str">
        <f>IF($C2444="","",IF($D2444="Gider",$H2444,$E2444))</f>
        <v/>
      </c>
      <c r="O2444" s="73" t="str">
        <f>IF($C2444="","",DATE(YEAR($C2444),MONTH($C2444),1))</f>
        <v/>
      </c>
      <c r="P2444" s="65" t="str">
        <f ca="1">IF($C2444="","",IF(AND($D2444="Gelir",$L2444&lt;&gt;"",$T2444=""),"TANIMSIZ BORÇLU",IF($T2444&lt;&gt;"",IF(OR($E2444="",$G2444&lt;=0),"EKSİK",IF($I2444="Evet","TAHAKKUK NAKİT OLAMAZ",IF($C2444&gt;TODAY(),"İLERİ TARİH","TAHAKKUK"))),IF(AND($D2444&lt;&gt;"",$E2444&lt;&gt;"",$G2444&gt;0,$H2444&lt;&gt;"",$I2444&lt;&gt;""),IF($C2444&gt;TODAY(),"İLERİ TARİH",IF(COUNTIF($W$7:$W$3001,$W2444)&gt;1,"MÜKERRER?",IF($AD2444&gt;0,"KAPALI DÖNEM",IF($I2444="Hayır","ÖDENECEK","UYGUN")))),"EKSİK"))))</f>
        <v/>
      </c>
      <c r="Q2444" s="2"/>
      <c r="R2444" s="2"/>
      <c r="S2444" s="1" t="str">
        <f t="shared" si="116"/>
        <v/>
      </c>
      <c r="T2444" s="1" t="str">
        <f>IF(OR($C2444="",$D2444&lt;&gt;"Gelir",$L2444=""),"",IFERROR(INDEX(MUSTERILER!$B$7:$B$156,MATCH($S2444,MUSTERILER!$T$7:$T$156,0)),""))</f>
        <v/>
      </c>
      <c r="U2444" s="1" t="str">
        <f>IF($T2444="","",$T2444&amp;"|"&amp;COUNTIFS($T$7:$T2444,$T2444))</f>
        <v/>
      </c>
      <c r="V2444" s="1">
        <f t="shared" si="117"/>
        <v>0</v>
      </c>
      <c r="W2444" s="1" t="str">
        <f t="shared" si="118"/>
        <v/>
      </c>
      <c r="X2444" s="1"/>
      <c r="Y2444" s="1"/>
      <c r="Z2444" s="1"/>
      <c r="AA2444" s="1"/>
      <c r="AB2444" s="1"/>
      <c r="AC2444" s="1"/>
      <c r="AD2444" s="1">
        <f>IF($C2444="",0,SUMPRODUCT((AY_SONU!$O$7:$O$42="Evet")*(AY_SONU!$B$7:$B$42=DATE(YEAR($C2444),MONTH($C2444),1))))</f>
        <v>0</v>
      </c>
      <c r="AE2444" s="1" t="str">
        <f>IF($E2444="","",$E2444&amp;"|"&amp;COUNTIFS($E$7:$E2444,$E2444))</f>
        <v/>
      </c>
    </row>
    <row r="2445" spans="1:31" ht="18" customHeight="1" x14ac:dyDescent="0.3">
      <c r="A2445" s="2"/>
      <c r="B2445" s="65" t="str">
        <f>IF($C2445="","","GG"&amp;TEXT(ROW()-6,"00000"))</f>
        <v/>
      </c>
      <c r="C2445" s="66"/>
      <c r="D2445" s="60"/>
      <c r="E2445" s="61"/>
      <c r="F2445" s="61"/>
      <c r="G2445" s="67"/>
      <c r="H2445" s="60"/>
      <c r="I2445" s="60"/>
      <c r="J2445" s="61"/>
      <c r="K2445" s="61"/>
      <c r="L2445" s="60"/>
      <c r="M2445" s="74" t="str">
        <f>IF($C2445="","",IF($D2445="Gider",$E2445,IF($L2445&lt;&gt;"",$L2445,$H2445)))</f>
        <v/>
      </c>
      <c r="N2445" s="74" t="str">
        <f>IF($C2445="","",IF($D2445="Gider",$H2445,$E2445))</f>
        <v/>
      </c>
      <c r="O2445" s="73" t="str">
        <f>IF($C2445="","",DATE(YEAR($C2445),MONTH($C2445),1))</f>
        <v/>
      </c>
      <c r="P2445" s="65" t="str">
        <f ca="1">IF($C2445="","",IF(AND($D2445="Gelir",$L2445&lt;&gt;"",$T2445=""),"TANIMSIZ BORÇLU",IF($T2445&lt;&gt;"",IF(OR($E2445="",$G2445&lt;=0),"EKSİK",IF($I2445="Evet","TAHAKKUK NAKİT OLAMAZ",IF($C2445&gt;TODAY(),"İLERİ TARİH","TAHAKKUK"))),IF(AND($D2445&lt;&gt;"",$E2445&lt;&gt;"",$G2445&gt;0,$H2445&lt;&gt;"",$I2445&lt;&gt;""),IF($C2445&gt;TODAY(),"İLERİ TARİH",IF(COUNTIF($W$7:$W$3001,$W2445)&gt;1,"MÜKERRER?",IF($AD2445&gt;0,"KAPALI DÖNEM",IF($I2445="Hayır","ÖDENECEK","UYGUN")))),"EKSİK"))))</f>
        <v/>
      </c>
      <c r="Q2445" s="2"/>
      <c r="R2445" s="2"/>
      <c r="S2445" s="1" t="str">
        <f t="shared" si="116"/>
        <v/>
      </c>
      <c r="T2445" s="1" t="str">
        <f>IF(OR($C2445="",$D2445&lt;&gt;"Gelir",$L2445=""),"",IFERROR(INDEX(MUSTERILER!$B$7:$B$156,MATCH($S2445,MUSTERILER!$T$7:$T$156,0)),""))</f>
        <v/>
      </c>
      <c r="U2445" s="1" t="str">
        <f>IF($T2445="","",$T2445&amp;"|"&amp;COUNTIFS($T$7:$T2445,$T2445))</f>
        <v/>
      </c>
      <c r="V2445" s="1">
        <f t="shared" si="117"/>
        <v>0</v>
      </c>
      <c r="W2445" s="1" t="str">
        <f t="shared" si="118"/>
        <v/>
      </c>
      <c r="X2445" s="1"/>
      <c r="Y2445" s="1"/>
      <c r="Z2445" s="1"/>
      <c r="AA2445" s="1"/>
      <c r="AB2445" s="1"/>
      <c r="AC2445" s="1"/>
      <c r="AD2445" s="1">
        <f>IF($C2445="",0,SUMPRODUCT((AY_SONU!$O$7:$O$42="Evet")*(AY_SONU!$B$7:$B$42=DATE(YEAR($C2445),MONTH($C2445),1))))</f>
        <v>0</v>
      </c>
      <c r="AE2445" s="1" t="str">
        <f>IF($E2445="","",$E2445&amp;"|"&amp;COUNTIFS($E$7:$E2445,$E2445))</f>
        <v/>
      </c>
    </row>
    <row r="2446" spans="1:31" ht="18" customHeight="1" x14ac:dyDescent="0.3">
      <c r="A2446" s="2"/>
      <c r="B2446" s="65" t="str">
        <f>IF($C2446="","","GG"&amp;TEXT(ROW()-6,"00000"))</f>
        <v/>
      </c>
      <c r="C2446" s="66"/>
      <c r="D2446" s="60"/>
      <c r="E2446" s="61"/>
      <c r="F2446" s="61"/>
      <c r="G2446" s="67"/>
      <c r="H2446" s="60"/>
      <c r="I2446" s="60"/>
      <c r="J2446" s="61"/>
      <c r="K2446" s="61"/>
      <c r="L2446" s="60"/>
      <c r="M2446" s="74" t="str">
        <f>IF($C2446="","",IF($D2446="Gider",$E2446,IF($L2446&lt;&gt;"",$L2446,$H2446)))</f>
        <v/>
      </c>
      <c r="N2446" s="74" t="str">
        <f>IF($C2446="","",IF($D2446="Gider",$H2446,$E2446))</f>
        <v/>
      </c>
      <c r="O2446" s="73" t="str">
        <f>IF($C2446="","",DATE(YEAR($C2446),MONTH($C2446),1))</f>
        <v/>
      </c>
      <c r="P2446" s="65" t="str">
        <f ca="1">IF($C2446="","",IF(AND($D2446="Gelir",$L2446&lt;&gt;"",$T2446=""),"TANIMSIZ BORÇLU",IF($T2446&lt;&gt;"",IF(OR($E2446="",$G2446&lt;=0),"EKSİK",IF($I2446="Evet","TAHAKKUK NAKİT OLAMAZ",IF($C2446&gt;TODAY(),"İLERİ TARİH","TAHAKKUK"))),IF(AND($D2446&lt;&gt;"",$E2446&lt;&gt;"",$G2446&gt;0,$H2446&lt;&gt;"",$I2446&lt;&gt;""),IF($C2446&gt;TODAY(),"İLERİ TARİH",IF(COUNTIF($W$7:$W$3001,$W2446)&gt;1,"MÜKERRER?",IF($AD2446&gt;0,"KAPALI DÖNEM",IF($I2446="Hayır","ÖDENECEK","UYGUN")))),"EKSİK"))))</f>
        <v/>
      </c>
      <c r="Q2446" s="2"/>
      <c r="R2446" s="2"/>
      <c r="S2446" s="1" t="str">
        <f t="shared" si="116"/>
        <v/>
      </c>
      <c r="T2446" s="1" t="str">
        <f>IF(OR($C2446="",$D2446&lt;&gt;"Gelir",$L2446=""),"",IFERROR(INDEX(MUSTERILER!$B$7:$B$156,MATCH($S2446,MUSTERILER!$T$7:$T$156,0)),""))</f>
        <v/>
      </c>
      <c r="U2446" s="1" t="str">
        <f>IF($T2446="","",$T2446&amp;"|"&amp;COUNTIFS($T$7:$T2446,$T2446))</f>
        <v/>
      </c>
      <c r="V2446" s="1">
        <f t="shared" si="117"/>
        <v>0</v>
      </c>
      <c r="W2446" s="1" t="str">
        <f t="shared" si="118"/>
        <v/>
      </c>
      <c r="X2446" s="1"/>
      <c r="Y2446" s="1"/>
      <c r="Z2446" s="1"/>
      <c r="AA2446" s="1"/>
      <c r="AB2446" s="1"/>
      <c r="AC2446" s="1"/>
      <c r="AD2446" s="1">
        <f>IF($C2446="",0,SUMPRODUCT((AY_SONU!$O$7:$O$42="Evet")*(AY_SONU!$B$7:$B$42=DATE(YEAR($C2446),MONTH($C2446),1))))</f>
        <v>0</v>
      </c>
      <c r="AE2446" s="1" t="str">
        <f>IF($E2446="","",$E2446&amp;"|"&amp;COUNTIFS($E$7:$E2446,$E2446))</f>
        <v/>
      </c>
    </row>
    <row r="2447" spans="1:31" ht="18" customHeight="1" x14ac:dyDescent="0.3">
      <c r="A2447" s="2"/>
      <c r="B2447" s="65" t="str">
        <f>IF($C2447="","","GG"&amp;TEXT(ROW()-6,"00000"))</f>
        <v/>
      </c>
      <c r="C2447" s="66"/>
      <c r="D2447" s="60"/>
      <c r="E2447" s="61"/>
      <c r="F2447" s="61"/>
      <c r="G2447" s="67"/>
      <c r="H2447" s="60"/>
      <c r="I2447" s="60"/>
      <c r="J2447" s="61"/>
      <c r="K2447" s="61"/>
      <c r="L2447" s="60"/>
      <c r="M2447" s="74" t="str">
        <f>IF($C2447="","",IF($D2447="Gider",$E2447,IF($L2447&lt;&gt;"",$L2447,$H2447)))</f>
        <v/>
      </c>
      <c r="N2447" s="74" t="str">
        <f>IF($C2447="","",IF($D2447="Gider",$H2447,$E2447))</f>
        <v/>
      </c>
      <c r="O2447" s="73" t="str">
        <f>IF($C2447="","",DATE(YEAR($C2447),MONTH($C2447),1))</f>
        <v/>
      </c>
      <c r="P2447" s="65" t="str">
        <f ca="1">IF($C2447="","",IF(AND($D2447="Gelir",$L2447&lt;&gt;"",$T2447=""),"TANIMSIZ BORÇLU",IF($T2447&lt;&gt;"",IF(OR($E2447="",$G2447&lt;=0),"EKSİK",IF($I2447="Evet","TAHAKKUK NAKİT OLAMAZ",IF($C2447&gt;TODAY(),"İLERİ TARİH","TAHAKKUK"))),IF(AND($D2447&lt;&gt;"",$E2447&lt;&gt;"",$G2447&gt;0,$H2447&lt;&gt;"",$I2447&lt;&gt;""),IF($C2447&gt;TODAY(),"İLERİ TARİH",IF(COUNTIF($W$7:$W$3001,$W2447)&gt;1,"MÜKERRER?",IF($AD2447&gt;0,"KAPALI DÖNEM",IF($I2447="Hayır","ÖDENECEK","UYGUN")))),"EKSİK"))))</f>
        <v/>
      </c>
      <c r="Q2447" s="2"/>
      <c r="R2447" s="2"/>
      <c r="S2447" s="1" t="str">
        <f t="shared" si="116"/>
        <v/>
      </c>
      <c r="T2447" s="1" t="str">
        <f>IF(OR($C2447="",$D2447&lt;&gt;"Gelir",$L2447=""),"",IFERROR(INDEX(MUSTERILER!$B$7:$B$156,MATCH($S2447,MUSTERILER!$T$7:$T$156,0)),""))</f>
        <v/>
      </c>
      <c r="U2447" s="1" t="str">
        <f>IF($T2447="","",$T2447&amp;"|"&amp;COUNTIFS($T$7:$T2447,$T2447))</f>
        <v/>
      </c>
      <c r="V2447" s="1">
        <f t="shared" si="117"/>
        <v>0</v>
      </c>
      <c r="W2447" s="1" t="str">
        <f t="shared" si="118"/>
        <v/>
      </c>
      <c r="X2447" s="1"/>
      <c r="Y2447" s="1"/>
      <c r="Z2447" s="1"/>
      <c r="AA2447" s="1"/>
      <c r="AB2447" s="1"/>
      <c r="AC2447" s="1"/>
      <c r="AD2447" s="1">
        <f>IF($C2447="",0,SUMPRODUCT((AY_SONU!$O$7:$O$42="Evet")*(AY_SONU!$B$7:$B$42=DATE(YEAR($C2447),MONTH($C2447),1))))</f>
        <v>0</v>
      </c>
      <c r="AE2447" s="1" t="str">
        <f>IF($E2447="","",$E2447&amp;"|"&amp;COUNTIFS($E$7:$E2447,$E2447))</f>
        <v/>
      </c>
    </row>
    <row r="2448" spans="1:31" ht="18" customHeight="1" x14ac:dyDescent="0.3">
      <c r="A2448" s="2"/>
      <c r="B2448" s="65" t="str">
        <f>IF($C2448="","","GG"&amp;TEXT(ROW()-6,"00000"))</f>
        <v/>
      </c>
      <c r="C2448" s="66"/>
      <c r="D2448" s="60"/>
      <c r="E2448" s="61"/>
      <c r="F2448" s="61"/>
      <c r="G2448" s="67"/>
      <c r="H2448" s="60"/>
      <c r="I2448" s="60"/>
      <c r="J2448" s="61"/>
      <c r="K2448" s="61"/>
      <c r="L2448" s="60"/>
      <c r="M2448" s="74" t="str">
        <f>IF($C2448="","",IF($D2448="Gider",$E2448,IF($L2448&lt;&gt;"",$L2448,$H2448)))</f>
        <v/>
      </c>
      <c r="N2448" s="74" t="str">
        <f>IF($C2448="","",IF($D2448="Gider",$H2448,$E2448))</f>
        <v/>
      </c>
      <c r="O2448" s="73" t="str">
        <f>IF($C2448="","",DATE(YEAR($C2448),MONTH($C2448),1))</f>
        <v/>
      </c>
      <c r="P2448" s="65" t="str">
        <f ca="1">IF($C2448="","",IF(AND($D2448="Gelir",$L2448&lt;&gt;"",$T2448=""),"TANIMSIZ BORÇLU",IF($T2448&lt;&gt;"",IF(OR($E2448="",$G2448&lt;=0),"EKSİK",IF($I2448="Evet","TAHAKKUK NAKİT OLAMAZ",IF($C2448&gt;TODAY(),"İLERİ TARİH","TAHAKKUK"))),IF(AND($D2448&lt;&gt;"",$E2448&lt;&gt;"",$G2448&gt;0,$H2448&lt;&gt;"",$I2448&lt;&gt;""),IF($C2448&gt;TODAY(),"İLERİ TARİH",IF(COUNTIF($W$7:$W$3001,$W2448)&gt;1,"MÜKERRER?",IF($AD2448&gt;0,"KAPALI DÖNEM",IF($I2448="Hayır","ÖDENECEK","UYGUN")))),"EKSİK"))))</f>
        <v/>
      </c>
      <c r="Q2448" s="2"/>
      <c r="R2448" s="2"/>
      <c r="S2448" s="1" t="str">
        <f t="shared" si="116"/>
        <v/>
      </c>
      <c r="T2448" s="1" t="str">
        <f>IF(OR($C2448="",$D2448&lt;&gt;"Gelir",$L2448=""),"",IFERROR(INDEX(MUSTERILER!$B$7:$B$156,MATCH($S2448,MUSTERILER!$T$7:$T$156,0)),""))</f>
        <v/>
      </c>
      <c r="U2448" s="1" t="str">
        <f>IF($T2448="","",$T2448&amp;"|"&amp;COUNTIFS($T$7:$T2448,$T2448))</f>
        <v/>
      </c>
      <c r="V2448" s="1">
        <f t="shared" si="117"/>
        <v>0</v>
      </c>
      <c r="W2448" s="1" t="str">
        <f t="shared" si="118"/>
        <v/>
      </c>
      <c r="X2448" s="1"/>
      <c r="Y2448" s="1"/>
      <c r="Z2448" s="1"/>
      <c r="AA2448" s="1"/>
      <c r="AB2448" s="1"/>
      <c r="AC2448" s="1"/>
      <c r="AD2448" s="1">
        <f>IF($C2448="",0,SUMPRODUCT((AY_SONU!$O$7:$O$42="Evet")*(AY_SONU!$B$7:$B$42=DATE(YEAR($C2448),MONTH($C2448),1))))</f>
        <v>0</v>
      </c>
      <c r="AE2448" s="1" t="str">
        <f>IF($E2448="","",$E2448&amp;"|"&amp;COUNTIFS($E$7:$E2448,$E2448))</f>
        <v/>
      </c>
    </row>
    <row r="2449" spans="1:31" ht="18" customHeight="1" x14ac:dyDescent="0.3">
      <c r="A2449" s="2"/>
      <c r="B2449" s="65" t="str">
        <f>IF($C2449="","","GG"&amp;TEXT(ROW()-6,"00000"))</f>
        <v/>
      </c>
      <c r="C2449" s="66"/>
      <c r="D2449" s="60"/>
      <c r="E2449" s="61"/>
      <c r="F2449" s="61"/>
      <c r="G2449" s="67"/>
      <c r="H2449" s="60"/>
      <c r="I2449" s="60"/>
      <c r="J2449" s="61"/>
      <c r="K2449" s="61"/>
      <c r="L2449" s="60"/>
      <c r="M2449" s="74" t="str">
        <f>IF($C2449="","",IF($D2449="Gider",$E2449,IF($L2449&lt;&gt;"",$L2449,$H2449)))</f>
        <v/>
      </c>
      <c r="N2449" s="74" t="str">
        <f>IF($C2449="","",IF($D2449="Gider",$H2449,$E2449))</f>
        <v/>
      </c>
      <c r="O2449" s="73" t="str">
        <f>IF($C2449="","",DATE(YEAR($C2449),MONTH($C2449),1))</f>
        <v/>
      </c>
      <c r="P2449" s="65" t="str">
        <f ca="1">IF($C2449="","",IF(AND($D2449="Gelir",$L2449&lt;&gt;"",$T2449=""),"TANIMSIZ BORÇLU",IF($T2449&lt;&gt;"",IF(OR($E2449="",$G2449&lt;=0),"EKSİK",IF($I2449="Evet","TAHAKKUK NAKİT OLAMAZ",IF($C2449&gt;TODAY(),"İLERİ TARİH","TAHAKKUK"))),IF(AND($D2449&lt;&gt;"",$E2449&lt;&gt;"",$G2449&gt;0,$H2449&lt;&gt;"",$I2449&lt;&gt;""),IF($C2449&gt;TODAY(),"İLERİ TARİH",IF(COUNTIF($W$7:$W$3001,$W2449)&gt;1,"MÜKERRER?",IF($AD2449&gt;0,"KAPALI DÖNEM",IF($I2449="Hayır","ÖDENECEK","UYGUN")))),"EKSİK"))))</f>
        <v/>
      </c>
      <c r="Q2449" s="2"/>
      <c r="R2449" s="2"/>
      <c r="S2449" s="1" t="str">
        <f t="shared" si="116"/>
        <v/>
      </c>
      <c r="T2449" s="1" t="str">
        <f>IF(OR($C2449="",$D2449&lt;&gt;"Gelir",$L2449=""),"",IFERROR(INDEX(MUSTERILER!$B$7:$B$156,MATCH($S2449,MUSTERILER!$T$7:$T$156,0)),""))</f>
        <v/>
      </c>
      <c r="U2449" s="1" t="str">
        <f>IF($T2449="","",$T2449&amp;"|"&amp;COUNTIFS($T$7:$T2449,$T2449))</f>
        <v/>
      </c>
      <c r="V2449" s="1">
        <f t="shared" si="117"/>
        <v>0</v>
      </c>
      <c r="W2449" s="1" t="str">
        <f t="shared" si="118"/>
        <v/>
      </c>
      <c r="X2449" s="1"/>
      <c r="Y2449" s="1"/>
      <c r="Z2449" s="1"/>
      <c r="AA2449" s="1"/>
      <c r="AB2449" s="1"/>
      <c r="AC2449" s="1"/>
      <c r="AD2449" s="1">
        <f>IF($C2449="",0,SUMPRODUCT((AY_SONU!$O$7:$O$42="Evet")*(AY_SONU!$B$7:$B$42=DATE(YEAR($C2449),MONTH($C2449),1))))</f>
        <v>0</v>
      </c>
      <c r="AE2449" s="1" t="str">
        <f>IF($E2449="","",$E2449&amp;"|"&amp;COUNTIFS($E$7:$E2449,$E2449))</f>
        <v/>
      </c>
    </row>
    <row r="2450" spans="1:31" ht="18" customHeight="1" x14ac:dyDescent="0.3">
      <c r="A2450" s="2"/>
      <c r="B2450" s="65" t="str">
        <f>IF($C2450="","","GG"&amp;TEXT(ROW()-6,"00000"))</f>
        <v/>
      </c>
      <c r="C2450" s="66"/>
      <c r="D2450" s="60"/>
      <c r="E2450" s="61"/>
      <c r="F2450" s="61"/>
      <c r="G2450" s="67"/>
      <c r="H2450" s="60"/>
      <c r="I2450" s="60"/>
      <c r="J2450" s="61"/>
      <c r="K2450" s="61"/>
      <c r="L2450" s="60"/>
      <c r="M2450" s="74" t="str">
        <f>IF($C2450="","",IF($D2450="Gider",$E2450,IF($L2450&lt;&gt;"",$L2450,$H2450)))</f>
        <v/>
      </c>
      <c r="N2450" s="74" t="str">
        <f>IF($C2450="","",IF($D2450="Gider",$H2450,$E2450))</f>
        <v/>
      </c>
      <c r="O2450" s="73" t="str">
        <f>IF($C2450="","",DATE(YEAR($C2450),MONTH($C2450),1))</f>
        <v/>
      </c>
      <c r="P2450" s="65" t="str">
        <f ca="1">IF($C2450="","",IF(AND($D2450="Gelir",$L2450&lt;&gt;"",$T2450=""),"TANIMSIZ BORÇLU",IF($T2450&lt;&gt;"",IF(OR($E2450="",$G2450&lt;=0),"EKSİK",IF($I2450="Evet","TAHAKKUK NAKİT OLAMAZ",IF($C2450&gt;TODAY(),"İLERİ TARİH","TAHAKKUK"))),IF(AND($D2450&lt;&gt;"",$E2450&lt;&gt;"",$G2450&gt;0,$H2450&lt;&gt;"",$I2450&lt;&gt;""),IF($C2450&gt;TODAY(),"İLERİ TARİH",IF(COUNTIF($W$7:$W$3001,$W2450)&gt;1,"MÜKERRER?",IF($AD2450&gt;0,"KAPALI DÖNEM",IF($I2450="Hayır","ÖDENECEK","UYGUN")))),"EKSİK"))))</f>
        <v/>
      </c>
      <c r="Q2450" s="2"/>
      <c r="R2450" s="2"/>
      <c r="S2450" s="1" t="str">
        <f t="shared" si="116"/>
        <v/>
      </c>
      <c r="T2450" s="1" t="str">
        <f>IF(OR($C2450="",$D2450&lt;&gt;"Gelir",$L2450=""),"",IFERROR(INDEX(MUSTERILER!$B$7:$B$156,MATCH($S2450,MUSTERILER!$T$7:$T$156,0)),""))</f>
        <v/>
      </c>
      <c r="U2450" s="1" t="str">
        <f>IF($T2450="","",$T2450&amp;"|"&amp;COUNTIFS($T$7:$T2450,$T2450))</f>
        <v/>
      </c>
      <c r="V2450" s="1">
        <f t="shared" si="117"/>
        <v>0</v>
      </c>
      <c r="W2450" s="1" t="str">
        <f t="shared" si="118"/>
        <v/>
      </c>
      <c r="X2450" s="1"/>
      <c r="Y2450" s="1"/>
      <c r="Z2450" s="1"/>
      <c r="AA2450" s="1"/>
      <c r="AB2450" s="1"/>
      <c r="AC2450" s="1"/>
      <c r="AD2450" s="1">
        <f>IF($C2450="",0,SUMPRODUCT((AY_SONU!$O$7:$O$42="Evet")*(AY_SONU!$B$7:$B$42=DATE(YEAR($C2450),MONTH($C2450),1))))</f>
        <v>0</v>
      </c>
      <c r="AE2450" s="1" t="str">
        <f>IF($E2450="","",$E2450&amp;"|"&amp;COUNTIFS($E$7:$E2450,$E2450))</f>
        <v/>
      </c>
    </row>
    <row r="2451" spans="1:31" ht="18" customHeight="1" x14ac:dyDescent="0.3">
      <c r="A2451" s="2"/>
      <c r="B2451" s="65" t="str">
        <f>IF($C2451="","","GG"&amp;TEXT(ROW()-6,"00000"))</f>
        <v/>
      </c>
      <c r="C2451" s="66"/>
      <c r="D2451" s="60"/>
      <c r="E2451" s="61"/>
      <c r="F2451" s="61"/>
      <c r="G2451" s="67"/>
      <c r="H2451" s="60"/>
      <c r="I2451" s="60"/>
      <c r="J2451" s="61"/>
      <c r="K2451" s="61"/>
      <c r="L2451" s="60"/>
      <c r="M2451" s="74" t="str">
        <f>IF($C2451="","",IF($D2451="Gider",$E2451,IF($L2451&lt;&gt;"",$L2451,$H2451)))</f>
        <v/>
      </c>
      <c r="N2451" s="74" t="str">
        <f>IF($C2451="","",IF($D2451="Gider",$H2451,$E2451))</f>
        <v/>
      </c>
      <c r="O2451" s="73" t="str">
        <f>IF($C2451="","",DATE(YEAR($C2451),MONTH($C2451),1))</f>
        <v/>
      </c>
      <c r="P2451" s="65" t="str">
        <f ca="1">IF($C2451="","",IF(AND($D2451="Gelir",$L2451&lt;&gt;"",$T2451=""),"TANIMSIZ BORÇLU",IF($T2451&lt;&gt;"",IF(OR($E2451="",$G2451&lt;=0),"EKSİK",IF($I2451="Evet","TAHAKKUK NAKİT OLAMAZ",IF($C2451&gt;TODAY(),"İLERİ TARİH","TAHAKKUK"))),IF(AND($D2451&lt;&gt;"",$E2451&lt;&gt;"",$G2451&gt;0,$H2451&lt;&gt;"",$I2451&lt;&gt;""),IF($C2451&gt;TODAY(),"İLERİ TARİH",IF(COUNTIF($W$7:$W$3001,$W2451)&gt;1,"MÜKERRER?",IF($AD2451&gt;0,"KAPALI DÖNEM",IF($I2451="Hayır","ÖDENECEK","UYGUN")))),"EKSİK"))))</f>
        <v/>
      </c>
      <c r="Q2451" s="2"/>
      <c r="R2451" s="2"/>
      <c r="S2451" s="1" t="str">
        <f t="shared" si="116"/>
        <v/>
      </c>
      <c r="T2451" s="1" t="str">
        <f>IF(OR($C2451="",$D2451&lt;&gt;"Gelir",$L2451=""),"",IFERROR(INDEX(MUSTERILER!$B$7:$B$156,MATCH($S2451,MUSTERILER!$T$7:$T$156,0)),""))</f>
        <v/>
      </c>
      <c r="U2451" s="1" t="str">
        <f>IF($T2451="","",$T2451&amp;"|"&amp;COUNTIFS($T$7:$T2451,$T2451))</f>
        <v/>
      </c>
      <c r="V2451" s="1">
        <f t="shared" si="117"/>
        <v>0</v>
      </c>
      <c r="W2451" s="1" t="str">
        <f t="shared" si="118"/>
        <v/>
      </c>
      <c r="X2451" s="1"/>
      <c r="Y2451" s="1"/>
      <c r="Z2451" s="1"/>
      <c r="AA2451" s="1"/>
      <c r="AB2451" s="1"/>
      <c r="AC2451" s="1"/>
      <c r="AD2451" s="1">
        <f>IF($C2451="",0,SUMPRODUCT((AY_SONU!$O$7:$O$42="Evet")*(AY_SONU!$B$7:$B$42=DATE(YEAR($C2451),MONTH($C2451),1))))</f>
        <v>0</v>
      </c>
      <c r="AE2451" s="1" t="str">
        <f>IF($E2451="","",$E2451&amp;"|"&amp;COUNTIFS($E$7:$E2451,$E2451))</f>
        <v/>
      </c>
    </row>
    <row r="2452" spans="1:31" ht="18" customHeight="1" x14ac:dyDescent="0.3">
      <c r="A2452" s="2"/>
      <c r="B2452" s="65" t="str">
        <f>IF($C2452="","","GG"&amp;TEXT(ROW()-6,"00000"))</f>
        <v/>
      </c>
      <c r="C2452" s="66"/>
      <c r="D2452" s="60"/>
      <c r="E2452" s="61"/>
      <c r="F2452" s="61"/>
      <c r="G2452" s="67"/>
      <c r="H2452" s="60"/>
      <c r="I2452" s="60"/>
      <c r="J2452" s="61"/>
      <c r="K2452" s="61"/>
      <c r="L2452" s="60"/>
      <c r="M2452" s="74" t="str">
        <f>IF($C2452="","",IF($D2452="Gider",$E2452,IF($L2452&lt;&gt;"",$L2452,$H2452)))</f>
        <v/>
      </c>
      <c r="N2452" s="74" t="str">
        <f>IF($C2452="","",IF($D2452="Gider",$H2452,$E2452))</f>
        <v/>
      </c>
      <c r="O2452" s="73" t="str">
        <f>IF($C2452="","",DATE(YEAR($C2452),MONTH($C2452),1))</f>
        <v/>
      </c>
      <c r="P2452" s="65" t="str">
        <f ca="1">IF($C2452="","",IF(AND($D2452="Gelir",$L2452&lt;&gt;"",$T2452=""),"TANIMSIZ BORÇLU",IF($T2452&lt;&gt;"",IF(OR($E2452="",$G2452&lt;=0),"EKSİK",IF($I2452="Evet","TAHAKKUK NAKİT OLAMAZ",IF($C2452&gt;TODAY(),"İLERİ TARİH","TAHAKKUK"))),IF(AND($D2452&lt;&gt;"",$E2452&lt;&gt;"",$G2452&gt;0,$H2452&lt;&gt;"",$I2452&lt;&gt;""),IF($C2452&gt;TODAY(),"İLERİ TARİH",IF(COUNTIF($W$7:$W$3001,$W2452)&gt;1,"MÜKERRER?",IF($AD2452&gt;0,"KAPALI DÖNEM",IF($I2452="Hayır","ÖDENECEK","UYGUN")))),"EKSİK"))))</f>
        <v/>
      </c>
      <c r="Q2452" s="2"/>
      <c r="R2452" s="2"/>
      <c r="S2452" s="1" t="str">
        <f t="shared" si="116"/>
        <v/>
      </c>
      <c r="T2452" s="1" t="str">
        <f>IF(OR($C2452="",$D2452&lt;&gt;"Gelir",$L2452=""),"",IFERROR(INDEX(MUSTERILER!$B$7:$B$156,MATCH($S2452,MUSTERILER!$T$7:$T$156,0)),""))</f>
        <v/>
      </c>
      <c r="U2452" s="1" t="str">
        <f>IF($T2452="","",$T2452&amp;"|"&amp;COUNTIFS($T$7:$T2452,$T2452))</f>
        <v/>
      </c>
      <c r="V2452" s="1">
        <f t="shared" si="117"/>
        <v>0</v>
      </c>
      <c r="W2452" s="1" t="str">
        <f t="shared" si="118"/>
        <v/>
      </c>
      <c r="X2452" s="1"/>
      <c r="Y2452" s="1"/>
      <c r="Z2452" s="1"/>
      <c r="AA2452" s="1"/>
      <c r="AB2452" s="1"/>
      <c r="AC2452" s="1"/>
      <c r="AD2452" s="1">
        <f>IF($C2452="",0,SUMPRODUCT((AY_SONU!$O$7:$O$42="Evet")*(AY_SONU!$B$7:$B$42=DATE(YEAR($C2452),MONTH($C2452),1))))</f>
        <v>0</v>
      </c>
      <c r="AE2452" s="1" t="str">
        <f>IF($E2452="","",$E2452&amp;"|"&amp;COUNTIFS($E$7:$E2452,$E2452))</f>
        <v/>
      </c>
    </row>
    <row r="2453" spans="1:31" ht="18" customHeight="1" x14ac:dyDescent="0.3">
      <c r="A2453" s="2"/>
      <c r="B2453" s="65" t="str">
        <f>IF($C2453="","","GG"&amp;TEXT(ROW()-6,"00000"))</f>
        <v/>
      </c>
      <c r="C2453" s="66"/>
      <c r="D2453" s="60"/>
      <c r="E2453" s="61"/>
      <c r="F2453" s="61"/>
      <c r="G2453" s="67"/>
      <c r="H2453" s="60"/>
      <c r="I2453" s="60"/>
      <c r="J2453" s="61"/>
      <c r="K2453" s="61"/>
      <c r="L2453" s="60"/>
      <c r="M2453" s="74" t="str">
        <f>IF($C2453="","",IF($D2453="Gider",$E2453,IF($L2453&lt;&gt;"",$L2453,$H2453)))</f>
        <v/>
      </c>
      <c r="N2453" s="74" t="str">
        <f>IF($C2453="","",IF($D2453="Gider",$H2453,$E2453))</f>
        <v/>
      </c>
      <c r="O2453" s="73" t="str">
        <f>IF($C2453="","",DATE(YEAR($C2453),MONTH($C2453),1))</f>
        <v/>
      </c>
      <c r="P2453" s="65" t="str">
        <f ca="1">IF($C2453="","",IF(AND($D2453="Gelir",$L2453&lt;&gt;"",$T2453=""),"TANIMSIZ BORÇLU",IF($T2453&lt;&gt;"",IF(OR($E2453="",$G2453&lt;=0),"EKSİK",IF($I2453="Evet","TAHAKKUK NAKİT OLAMAZ",IF($C2453&gt;TODAY(),"İLERİ TARİH","TAHAKKUK"))),IF(AND($D2453&lt;&gt;"",$E2453&lt;&gt;"",$G2453&gt;0,$H2453&lt;&gt;"",$I2453&lt;&gt;""),IF($C2453&gt;TODAY(),"İLERİ TARİH",IF(COUNTIF($W$7:$W$3001,$W2453)&gt;1,"MÜKERRER?",IF($AD2453&gt;0,"KAPALI DÖNEM",IF($I2453="Hayır","ÖDENECEK","UYGUN")))),"EKSİK"))))</f>
        <v/>
      </c>
      <c r="Q2453" s="2"/>
      <c r="R2453" s="2"/>
      <c r="S2453" s="1" t="str">
        <f t="shared" si="116"/>
        <v/>
      </c>
      <c r="T2453" s="1" t="str">
        <f>IF(OR($C2453="",$D2453&lt;&gt;"Gelir",$L2453=""),"",IFERROR(INDEX(MUSTERILER!$B$7:$B$156,MATCH($S2453,MUSTERILER!$T$7:$T$156,0)),""))</f>
        <v/>
      </c>
      <c r="U2453" s="1" t="str">
        <f>IF($T2453="","",$T2453&amp;"|"&amp;COUNTIFS($T$7:$T2453,$T2453))</f>
        <v/>
      </c>
      <c r="V2453" s="1">
        <f t="shared" si="117"/>
        <v>0</v>
      </c>
      <c r="W2453" s="1" t="str">
        <f t="shared" si="118"/>
        <v/>
      </c>
      <c r="X2453" s="1"/>
      <c r="Y2453" s="1"/>
      <c r="Z2453" s="1"/>
      <c r="AA2453" s="1"/>
      <c r="AB2453" s="1"/>
      <c r="AC2453" s="1"/>
      <c r="AD2453" s="1">
        <f>IF($C2453="",0,SUMPRODUCT((AY_SONU!$O$7:$O$42="Evet")*(AY_SONU!$B$7:$B$42=DATE(YEAR($C2453),MONTH($C2453),1))))</f>
        <v>0</v>
      </c>
      <c r="AE2453" s="1" t="str">
        <f>IF($E2453="","",$E2453&amp;"|"&amp;COUNTIFS($E$7:$E2453,$E2453))</f>
        <v/>
      </c>
    </row>
    <row r="2454" spans="1:31" ht="18" customHeight="1" x14ac:dyDescent="0.3">
      <c r="A2454" s="2"/>
      <c r="B2454" s="65" t="str">
        <f>IF($C2454="","","GG"&amp;TEXT(ROW()-6,"00000"))</f>
        <v/>
      </c>
      <c r="C2454" s="66"/>
      <c r="D2454" s="60"/>
      <c r="E2454" s="61"/>
      <c r="F2454" s="61"/>
      <c r="G2454" s="67"/>
      <c r="H2454" s="60"/>
      <c r="I2454" s="60"/>
      <c r="J2454" s="61"/>
      <c r="K2454" s="61"/>
      <c r="L2454" s="60"/>
      <c r="M2454" s="74" t="str">
        <f>IF($C2454="","",IF($D2454="Gider",$E2454,IF($L2454&lt;&gt;"",$L2454,$H2454)))</f>
        <v/>
      </c>
      <c r="N2454" s="74" t="str">
        <f>IF($C2454="","",IF($D2454="Gider",$H2454,$E2454))</f>
        <v/>
      </c>
      <c r="O2454" s="73" t="str">
        <f>IF($C2454="","",DATE(YEAR($C2454),MONTH($C2454),1))</f>
        <v/>
      </c>
      <c r="P2454" s="65" t="str">
        <f ca="1">IF($C2454="","",IF(AND($D2454="Gelir",$L2454&lt;&gt;"",$T2454=""),"TANIMSIZ BORÇLU",IF($T2454&lt;&gt;"",IF(OR($E2454="",$G2454&lt;=0),"EKSİK",IF($I2454="Evet","TAHAKKUK NAKİT OLAMAZ",IF($C2454&gt;TODAY(),"İLERİ TARİH","TAHAKKUK"))),IF(AND($D2454&lt;&gt;"",$E2454&lt;&gt;"",$G2454&gt;0,$H2454&lt;&gt;"",$I2454&lt;&gt;""),IF($C2454&gt;TODAY(),"İLERİ TARİH",IF(COUNTIF($W$7:$W$3001,$W2454)&gt;1,"MÜKERRER?",IF($AD2454&gt;0,"KAPALI DÖNEM",IF($I2454="Hayır","ÖDENECEK","UYGUN")))),"EKSİK"))))</f>
        <v/>
      </c>
      <c r="Q2454" s="2"/>
      <c r="R2454" s="2"/>
      <c r="S2454" s="1" t="str">
        <f t="shared" si="116"/>
        <v/>
      </c>
      <c r="T2454" s="1" t="str">
        <f>IF(OR($C2454="",$D2454&lt;&gt;"Gelir",$L2454=""),"",IFERROR(INDEX(MUSTERILER!$B$7:$B$156,MATCH($S2454,MUSTERILER!$T$7:$T$156,0)),""))</f>
        <v/>
      </c>
      <c r="U2454" s="1" t="str">
        <f>IF($T2454="","",$T2454&amp;"|"&amp;COUNTIFS($T$7:$T2454,$T2454))</f>
        <v/>
      </c>
      <c r="V2454" s="1">
        <f t="shared" si="117"/>
        <v>0</v>
      </c>
      <c r="W2454" s="1" t="str">
        <f t="shared" si="118"/>
        <v/>
      </c>
      <c r="X2454" s="1"/>
      <c r="Y2454" s="1"/>
      <c r="Z2454" s="1"/>
      <c r="AA2454" s="1"/>
      <c r="AB2454" s="1"/>
      <c r="AC2454" s="1"/>
      <c r="AD2454" s="1">
        <f>IF($C2454="",0,SUMPRODUCT((AY_SONU!$O$7:$O$42="Evet")*(AY_SONU!$B$7:$B$42=DATE(YEAR($C2454),MONTH($C2454),1))))</f>
        <v>0</v>
      </c>
      <c r="AE2454" s="1" t="str">
        <f>IF($E2454="","",$E2454&amp;"|"&amp;COUNTIFS($E$7:$E2454,$E2454))</f>
        <v/>
      </c>
    </row>
    <row r="2455" spans="1:31" ht="18" customHeight="1" x14ac:dyDescent="0.3">
      <c r="A2455" s="2"/>
      <c r="B2455" s="65" t="str">
        <f>IF($C2455="","","GG"&amp;TEXT(ROW()-6,"00000"))</f>
        <v/>
      </c>
      <c r="C2455" s="66"/>
      <c r="D2455" s="60"/>
      <c r="E2455" s="61"/>
      <c r="F2455" s="61"/>
      <c r="G2455" s="67"/>
      <c r="H2455" s="60"/>
      <c r="I2455" s="60"/>
      <c r="J2455" s="61"/>
      <c r="K2455" s="61"/>
      <c r="L2455" s="60"/>
      <c r="M2455" s="74" t="str">
        <f>IF($C2455="","",IF($D2455="Gider",$E2455,IF($L2455&lt;&gt;"",$L2455,$H2455)))</f>
        <v/>
      </c>
      <c r="N2455" s="74" t="str">
        <f>IF($C2455="","",IF($D2455="Gider",$H2455,$E2455))</f>
        <v/>
      </c>
      <c r="O2455" s="73" t="str">
        <f>IF($C2455="","",DATE(YEAR($C2455),MONTH($C2455),1))</f>
        <v/>
      </c>
      <c r="P2455" s="65" t="str">
        <f ca="1">IF($C2455="","",IF(AND($D2455="Gelir",$L2455&lt;&gt;"",$T2455=""),"TANIMSIZ BORÇLU",IF($T2455&lt;&gt;"",IF(OR($E2455="",$G2455&lt;=0),"EKSİK",IF($I2455="Evet","TAHAKKUK NAKİT OLAMAZ",IF($C2455&gt;TODAY(),"İLERİ TARİH","TAHAKKUK"))),IF(AND($D2455&lt;&gt;"",$E2455&lt;&gt;"",$G2455&gt;0,$H2455&lt;&gt;"",$I2455&lt;&gt;""),IF($C2455&gt;TODAY(),"İLERİ TARİH",IF(COUNTIF($W$7:$W$3001,$W2455)&gt;1,"MÜKERRER?",IF($AD2455&gt;0,"KAPALI DÖNEM",IF($I2455="Hayır","ÖDENECEK","UYGUN")))),"EKSİK"))))</f>
        <v/>
      </c>
      <c r="Q2455" s="2"/>
      <c r="R2455" s="2"/>
      <c r="S2455" s="1" t="str">
        <f t="shared" si="116"/>
        <v/>
      </c>
      <c r="T2455" s="1" t="str">
        <f>IF(OR($C2455="",$D2455&lt;&gt;"Gelir",$L2455=""),"",IFERROR(INDEX(MUSTERILER!$B$7:$B$156,MATCH($S2455,MUSTERILER!$T$7:$T$156,0)),""))</f>
        <v/>
      </c>
      <c r="U2455" s="1" t="str">
        <f>IF($T2455="","",$T2455&amp;"|"&amp;COUNTIFS($T$7:$T2455,$T2455))</f>
        <v/>
      </c>
      <c r="V2455" s="1">
        <f t="shared" si="117"/>
        <v>0</v>
      </c>
      <c r="W2455" s="1" t="str">
        <f t="shared" si="118"/>
        <v/>
      </c>
      <c r="X2455" s="1"/>
      <c r="Y2455" s="1"/>
      <c r="Z2455" s="1"/>
      <c r="AA2455" s="1"/>
      <c r="AB2455" s="1"/>
      <c r="AC2455" s="1"/>
      <c r="AD2455" s="1">
        <f>IF($C2455="",0,SUMPRODUCT((AY_SONU!$O$7:$O$42="Evet")*(AY_SONU!$B$7:$B$42=DATE(YEAR($C2455),MONTH($C2455),1))))</f>
        <v>0</v>
      </c>
      <c r="AE2455" s="1" t="str">
        <f>IF($E2455="","",$E2455&amp;"|"&amp;COUNTIFS($E$7:$E2455,$E2455))</f>
        <v/>
      </c>
    </row>
    <row r="2456" spans="1:31" ht="18" customHeight="1" x14ac:dyDescent="0.3">
      <c r="A2456" s="2"/>
      <c r="B2456" s="65" t="str">
        <f>IF($C2456="","","GG"&amp;TEXT(ROW()-6,"00000"))</f>
        <v/>
      </c>
      <c r="C2456" s="66"/>
      <c r="D2456" s="60"/>
      <c r="E2456" s="61"/>
      <c r="F2456" s="61"/>
      <c r="G2456" s="67"/>
      <c r="H2456" s="60"/>
      <c r="I2456" s="60"/>
      <c r="J2456" s="61"/>
      <c r="K2456" s="61"/>
      <c r="L2456" s="60"/>
      <c r="M2456" s="74" t="str">
        <f>IF($C2456="","",IF($D2456="Gider",$E2456,IF($L2456&lt;&gt;"",$L2456,$H2456)))</f>
        <v/>
      </c>
      <c r="N2456" s="74" t="str">
        <f>IF($C2456="","",IF($D2456="Gider",$H2456,$E2456))</f>
        <v/>
      </c>
      <c r="O2456" s="73" t="str">
        <f>IF($C2456="","",DATE(YEAR($C2456),MONTH($C2456),1))</f>
        <v/>
      </c>
      <c r="P2456" s="65" t="str">
        <f ca="1">IF($C2456="","",IF(AND($D2456="Gelir",$L2456&lt;&gt;"",$T2456=""),"TANIMSIZ BORÇLU",IF($T2456&lt;&gt;"",IF(OR($E2456="",$G2456&lt;=0),"EKSİK",IF($I2456="Evet","TAHAKKUK NAKİT OLAMAZ",IF($C2456&gt;TODAY(),"İLERİ TARİH","TAHAKKUK"))),IF(AND($D2456&lt;&gt;"",$E2456&lt;&gt;"",$G2456&gt;0,$H2456&lt;&gt;"",$I2456&lt;&gt;""),IF($C2456&gt;TODAY(),"İLERİ TARİH",IF(COUNTIF($W$7:$W$3001,$W2456)&gt;1,"MÜKERRER?",IF($AD2456&gt;0,"KAPALI DÖNEM",IF($I2456="Hayır","ÖDENECEK","UYGUN")))),"EKSİK"))))</f>
        <v/>
      </c>
      <c r="Q2456" s="2"/>
      <c r="R2456" s="2"/>
      <c r="S2456" s="1" t="str">
        <f t="shared" si="116"/>
        <v/>
      </c>
      <c r="T2456" s="1" t="str">
        <f>IF(OR($C2456="",$D2456&lt;&gt;"Gelir",$L2456=""),"",IFERROR(INDEX(MUSTERILER!$B$7:$B$156,MATCH($S2456,MUSTERILER!$T$7:$T$156,0)),""))</f>
        <v/>
      </c>
      <c r="U2456" s="1" t="str">
        <f>IF($T2456="","",$T2456&amp;"|"&amp;COUNTIFS($T$7:$T2456,$T2456))</f>
        <v/>
      </c>
      <c r="V2456" s="1">
        <f t="shared" si="117"/>
        <v>0</v>
      </c>
      <c r="W2456" s="1" t="str">
        <f t="shared" si="118"/>
        <v/>
      </c>
      <c r="X2456" s="1"/>
      <c r="Y2456" s="1"/>
      <c r="Z2456" s="1"/>
      <c r="AA2456" s="1"/>
      <c r="AB2456" s="1"/>
      <c r="AC2456" s="1"/>
      <c r="AD2456" s="1">
        <f>IF($C2456="",0,SUMPRODUCT((AY_SONU!$O$7:$O$42="Evet")*(AY_SONU!$B$7:$B$42=DATE(YEAR($C2456),MONTH($C2456),1))))</f>
        <v>0</v>
      </c>
      <c r="AE2456" s="1" t="str">
        <f>IF($E2456="","",$E2456&amp;"|"&amp;COUNTIFS($E$7:$E2456,$E2456))</f>
        <v/>
      </c>
    </row>
    <row r="2457" spans="1:31" ht="18" customHeight="1" x14ac:dyDescent="0.3">
      <c r="A2457" s="2"/>
      <c r="B2457" s="65" t="str">
        <f>IF($C2457="","","GG"&amp;TEXT(ROW()-6,"00000"))</f>
        <v/>
      </c>
      <c r="C2457" s="66"/>
      <c r="D2457" s="60"/>
      <c r="E2457" s="61"/>
      <c r="F2457" s="61"/>
      <c r="G2457" s="67"/>
      <c r="H2457" s="60"/>
      <c r="I2457" s="60"/>
      <c r="J2457" s="61"/>
      <c r="K2457" s="61"/>
      <c r="L2457" s="60"/>
      <c r="M2457" s="74" t="str">
        <f>IF($C2457="","",IF($D2457="Gider",$E2457,IF($L2457&lt;&gt;"",$L2457,$H2457)))</f>
        <v/>
      </c>
      <c r="N2457" s="74" t="str">
        <f>IF($C2457="","",IF($D2457="Gider",$H2457,$E2457))</f>
        <v/>
      </c>
      <c r="O2457" s="73" t="str">
        <f>IF($C2457="","",DATE(YEAR($C2457),MONTH($C2457),1))</f>
        <v/>
      </c>
      <c r="P2457" s="65" t="str">
        <f ca="1">IF($C2457="","",IF(AND($D2457="Gelir",$L2457&lt;&gt;"",$T2457=""),"TANIMSIZ BORÇLU",IF($T2457&lt;&gt;"",IF(OR($E2457="",$G2457&lt;=0),"EKSİK",IF($I2457="Evet","TAHAKKUK NAKİT OLAMAZ",IF($C2457&gt;TODAY(),"İLERİ TARİH","TAHAKKUK"))),IF(AND($D2457&lt;&gt;"",$E2457&lt;&gt;"",$G2457&gt;0,$H2457&lt;&gt;"",$I2457&lt;&gt;""),IF($C2457&gt;TODAY(),"İLERİ TARİH",IF(COUNTIF($W$7:$W$3001,$W2457)&gt;1,"MÜKERRER?",IF($AD2457&gt;0,"KAPALI DÖNEM",IF($I2457="Hayır","ÖDENECEK","UYGUN")))),"EKSİK"))))</f>
        <v/>
      </c>
      <c r="Q2457" s="2"/>
      <c r="R2457" s="2"/>
      <c r="S2457" s="1" t="str">
        <f t="shared" si="116"/>
        <v/>
      </c>
      <c r="T2457" s="1" t="str">
        <f>IF(OR($C2457="",$D2457&lt;&gt;"Gelir",$L2457=""),"",IFERROR(INDEX(MUSTERILER!$B$7:$B$156,MATCH($S2457,MUSTERILER!$T$7:$T$156,0)),""))</f>
        <v/>
      </c>
      <c r="U2457" s="1" t="str">
        <f>IF($T2457="","",$T2457&amp;"|"&amp;COUNTIFS($T$7:$T2457,$T2457))</f>
        <v/>
      </c>
      <c r="V2457" s="1">
        <f t="shared" si="117"/>
        <v>0</v>
      </c>
      <c r="W2457" s="1" t="str">
        <f t="shared" si="118"/>
        <v/>
      </c>
      <c r="X2457" s="1"/>
      <c r="Y2457" s="1"/>
      <c r="Z2457" s="1"/>
      <c r="AA2457" s="1"/>
      <c r="AB2457" s="1"/>
      <c r="AC2457" s="1"/>
      <c r="AD2457" s="1">
        <f>IF($C2457="",0,SUMPRODUCT((AY_SONU!$O$7:$O$42="Evet")*(AY_SONU!$B$7:$B$42=DATE(YEAR($C2457),MONTH($C2457),1))))</f>
        <v>0</v>
      </c>
      <c r="AE2457" s="1" t="str">
        <f>IF($E2457="","",$E2457&amp;"|"&amp;COUNTIFS($E$7:$E2457,$E2457))</f>
        <v/>
      </c>
    </row>
    <row r="2458" spans="1:31" ht="18" customHeight="1" x14ac:dyDescent="0.3">
      <c r="A2458" s="2"/>
      <c r="B2458" s="65" t="str">
        <f>IF($C2458="","","GG"&amp;TEXT(ROW()-6,"00000"))</f>
        <v/>
      </c>
      <c r="C2458" s="66"/>
      <c r="D2458" s="60"/>
      <c r="E2458" s="61"/>
      <c r="F2458" s="61"/>
      <c r="G2458" s="67"/>
      <c r="H2458" s="60"/>
      <c r="I2458" s="60"/>
      <c r="J2458" s="61"/>
      <c r="K2458" s="61"/>
      <c r="L2458" s="60"/>
      <c r="M2458" s="74" t="str">
        <f>IF($C2458="","",IF($D2458="Gider",$E2458,IF($L2458&lt;&gt;"",$L2458,$H2458)))</f>
        <v/>
      </c>
      <c r="N2458" s="74" t="str">
        <f>IF($C2458="","",IF($D2458="Gider",$H2458,$E2458))</f>
        <v/>
      </c>
      <c r="O2458" s="73" t="str">
        <f>IF($C2458="","",DATE(YEAR($C2458),MONTH($C2458),1))</f>
        <v/>
      </c>
      <c r="P2458" s="65" t="str">
        <f ca="1">IF($C2458="","",IF(AND($D2458="Gelir",$L2458&lt;&gt;"",$T2458=""),"TANIMSIZ BORÇLU",IF($T2458&lt;&gt;"",IF(OR($E2458="",$G2458&lt;=0),"EKSİK",IF($I2458="Evet","TAHAKKUK NAKİT OLAMAZ",IF($C2458&gt;TODAY(),"İLERİ TARİH","TAHAKKUK"))),IF(AND($D2458&lt;&gt;"",$E2458&lt;&gt;"",$G2458&gt;0,$H2458&lt;&gt;"",$I2458&lt;&gt;""),IF($C2458&gt;TODAY(),"İLERİ TARİH",IF(COUNTIF($W$7:$W$3001,$W2458)&gt;1,"MÜKERRER?",IF($AD2458&gt;0,"KAPALI DÖNEM",IF($I2458="Hayır","ÖDENECEK","UYGUN")))),"EKSİK"))))</f>
        <v/>
      </c>
      <c r="Q2458" s="2"/>
      <c r="R2458" s="2"/>
      <c r="S2458" s="1" t="str">
        <f t="shared" si="116"/>
        <v/>
      </c>
      <c r="T2458" s="1" t="str">
        <f>IF(OR($C2458="",$D2458&lt;&gt;"Gelir",$L2458=""),"",IFERROR(INDEX(MUSTERILER!$B$7:$B$156,MATCH($S2458,MUSTERILER!$T$7:$T$156,0)),""))</f>
        <v/>
      </c>
      <c r="U2458" s="1" t="str">
        <f>IF($T2458="","",$T2458&amp;"|"&amp;COUNTIFS($T$7:$T2458,$T2458))</f>
        <v/>
      </c>
      <c r="V2458" s="1">
        <f t="shared" si="117"/>
        <v>0</v>
      </c>
      <c r="W2458" s="1" t="str">
        <f t="shared" si="118"/>
        <v/>
      </c>
      <c r="X2458" s="1"/>
      <c r="Y2458" s="1"/>
      <c r="Z2458" s="1"/>
      <c r="AA2458" s="1"/>
      <c r="AB2458" s="1"/>
      <c r="AC2458" s="1"/>
      <c r="AD2458" s="1">
        <f>IF($C2458="",0,SUMPRODUCT((AY_SONU!$O$7:$O$42="Evet")*(AY_SONU!$B$7:$B$42=DATE(YEAR($C2458),MONTH($C2458),1))))</f>
        <v>0</v>
      </c>
      <c r="AE2458" s="1" t="str">
        <f>IF($E2458="","",$E2458&amp;"|"&amp;COUNTIFS($E$7:$E2458,$E2458))</f>
        <v/>
      </c>
    </row>
    <row r="2459" spans="1:31" ht="18" customHeight="1" x14ac:dyDescent="0.3">
      <c r="A2459" s="2"/>
      <c r="B2459" s="65" t="str">
        <f>IF($C2459="","","GG"&amp;TEXT(ROW()-6,"00000"))</f>
        <v/>
      </c>
      <c r="C2459" s="66"/>
      <c r="D2459" s="60"/>
      <c r="E2459" s="61"/>
      <c r="F2459" s="61"/>
      <c r="G2459" s="67"/>
      <c r="H2459" s="60"/>
      <c r="I2459" s="60"/>
      <c r="J2459" s="61"/>
      <c r="K2459" s="61"/>
      <c r="L2459" s="60"/>
      <c r="M2459" s="74" t="str">
        <f>IF($C2459="","",IF($D2459="Gider",$E2459,IF($L2459&lt;&gt;"",$L2459,$H2459)))</f>
        <v/>
      </c>
      <c r="N2459" s="74" t="str">
        <f>IF($C2459="","",IF($D2459="Gider",$H2459,$E2459))</f>
        <v/>
      </c>
      <c r="O2459" s="73" t="str">
        <f>IF($C2459="","",DATE(YEAR($C2459),MONTH($C2459),1))</f>
        <v/>
      </c>
      <c r="P2459" s="65" t="str">
        <f ca="1">IF($C2459="","",IF(AND($D2459="Gelir",$L2459&lt;&gt;"",$T2459=""),"TANIMSIZ BORÇLU",IF($T2459&lt;&gt;"",IF(OR($E2459="",$G2459&lt;=0),"EKSİK",IF($I2459="Evet","TAHAKKUK NAKİT OLAMAZ",IF($C2459&gt;TODAY(),"İLERİ TARİH","TAHAKKUK"))),IF(AND($D2459&lt;&gt;"",$E2459&lt;&gt;"",$G2459&gt;0,$H2459&lt;&gt;"",$I2459&lt;&gt;""),IF($C2459&gt;TODAY(),"İLERİ TARİH",IF(COUNTIF($W$7:$W$3001,$W2459)&gt;1,"MÜKERRER?",IF($AD2459&gt;0,"KAPALI DÖNEM",IF($I2459="Hayır","ÖDENECEK","UYGUN")))),"EKSİK"))))</f>
        <v/>
      </c>
      <c r="Q2459" s="2"/>
      <c r="R2459" s="2"/>
      <c r="S2459" s="1" t="str">
        <f t="shared" si="116"/>
        <v/>
      </c>
      <c r="T2459" s="1" t="str">
        <f>IF(OR($C2459="",$D2459&lt;&gt;"Gelir",$L2459=""),"",IFERROR(INDEX(MUSTERILER!$B$7:$B$156,MATCH($S2459,MUSTERILER!$T$7:$T$156,0)),""))</f>
        <v/>
      </c>
      <c r="U2459" s="1" t="str">
        <f>IF($T2459="","",$T2459&amp;"|"&amp;COUNTIFS($T$7:$T2459,$T2459))</f>
        <v/>
      </c>
      <c r="V2459" s="1">
        <f t="shared" si="117"/>
        <v>0</v>
      </c>
      <c r="W2459" s="1" t="str">
        <f t="shared" si="118"/>
        <v/>
      </c>
      <c r="X2459" s="1"/>
      <c r="Y2459" s="1"/>
      <c r="Z2459" s="1"/>
      <c r="AA2459" s="1"/>
      <c r="AB2459" s="1"/>
      <c r="AC2459" s="1"/>
      <c r="AD2459" s="1">
        <f>IF($C2459="",0,SUMPRODUCT((AY_SONU!$O$7:$O$42="Evet")*(AY_SONU!$B$7:$B$42=DATE(YEAR($C2459),MONTH($C2459),1))))</f>
        <v>0</v>
      </c>
      <c r="AE2459" s="1" t="str">
        <f>IF($E2459="","",$E2459&amp;"|"&amp;COUNTIFS($E$7:$E2459,$E2459))</f>
        <v/>
      </c>
    </row>
    <row r="2460" spans="1:31" ht="18" customHeight="1" x14ac:dyDescent="0.3">
      <c r="A2460" s="2"/>
      <c r="B2460" s="65" t="str">
        <f>IF($C2460="","","GG"&amp;TEXT(ROW()-6,"00000"))</f>
        <v/>
      </c>
      <c r="C2460" s="66"/>
      <c r="D2460" s="60"/>
      <c r="E2460" s="61"/>
      <c r="F2460" s="61"/>
      <c r="G2460" s="67"/>
      <c r="H2460" s="60"/>
      <c r="I2460" s="60"/>
      <c r="J2460" s="61"/>
      <c r="K2460" s="61"/>
      <c r="L2460" s="60"/>
      <c r="M2460" s="74" t="str">
        <f>IF($C2460="","",IF($D2460="Gider",$E2460,IF($L2460&lt;&gt;"",$L2460,$H2460)))</f>
        <v/>
      </c>
      <c r="N2460" s="74" t="str">
        <f>IF($C2460="","",IF($D2460="Gider",$H2460,$E2460))</f>
        <v/>
      </c>
      <c r="O2460" s="73" t="str">
        <f>IF($C2460="","",DATE(YEAR($C2460),MONTH($C2460),1))</f>
        <v/>
      </c>
      <c r="P2460" s="65" t="str">
        <f ca="1">IF($C2460="","",IF(AND($D2460="Gelir",$L2460&lt;&gt;"",$T2460=""),"TANIMSIZ BORÇLU",IF($T2460&lt;&gt;"",IF(OR($E2460="",$G2460&lt;=0),"EKSİK",IF($I2460="Evet","TAHAKKUK NAKİT OLAMAZ",IF($C2460&gt;TODAY(),"İLERİ TARİH","TAHAKKUK"))),IF(AND($D2460&lt;&gt;"",$E2460&lt;&gt;"",$G2460&gt;0,$H2460&lt;&gt;"",$I2460&lt;&gt;""),IF($C2460&gt;TODAY(),"İLERİ TARİH",IF(COUNTIF($W$7:$W$3001,$W2460)&gt;1,"MÜKERRER?",IF($AD2460&gt;0,"KAPALI DÖNEM",IF($I2460="Hayır","ÖDENECEK","UYGUN")))),"EKSİK"))))</f>
        <v/>
      </c>
      <c r="Q2460" s="2"/>
      <c r="R2460" s="2"/>
      <c r="S2460" s="1" t="str">
        <f t="shared" si="116"/>
        <v/>
      </c>
      <c r="T2460" s="1" t="str">
        <f>IF(OR($C2460="",$D2460&lt;&gt;"Gelir",$L2460=""),"",IFERROR(INDEX(MUSTERILER!$B$7:$B$156,MATCH($S2460,MUSTERILER!$T$7:$T$156,0)),""))</f>
        <v/>
      </c>
      <c r="U2460" s="1" t="str">
        <f>IF($T2460="","",$T2460&amp;"|"&amp;COUNTIFS($T$7:$T2460,$T2460))</f>
        <v/>
      </c>
      <c r="V2460" s="1">
        <f t="shared" si="117"/>
        <v>0</v>
      </c>
      <c r="W2460" s="1" t="str">
        <f t="shared" si="118"/>
        <v/>
      </c>
      <c r="X2460" s="1"/>
      <c r="Y2460" s="1"/>
      <c r="Z2460" s="1"/>
      <c r="AA2460" s="1"/>
      <c r="AB2460" s="1"/>
      <c r="AC2460" s="1"/>
      <c r="AD2460" s="1">
        <f>IF($C2460="",0,SUMPRODUCT((AY_SONU!$O$7:$O$42="Evet")*(AY_SONU!$B$7:$B$42=DATE(YEAR($C2460),MONTH($C2460),1))))</f>
        <v>0</v>
      </c>
      <c r="AE2460" s="1" t="str">
        <f>IF($E2460="","",$E2460&amp;"|"&amp;COUNTIFS($E$7:$E2460,$E2460))</f>
        <v/>
      </c>
    </row>
    <row r="2461" spans="1:31" ht="18" customHeight="1" x14ac:dyDescent="0.3">
      <c r="A2461" s="2"/>
      <c r="B2461" s="65" t="str">
        <f>IF($C2461="","","GG"&amp;TEXT(ROW()-6,"00000"))</f>
        <v/>
      </c>
      <c r="C2461" s="66"/>
      <c r="D2461" s="60"/>
      <c r="E2461" s="61"/>
      <c r="F2461" s="61"/>
      <c r="G2461" s="67"/>
      <c r="H2461" s="60"/>
      <c r="I2461" s="60"/>
      <c r="J2461" s="61"/>
      <c r="K2461" s="61"/>
      <c r="L2461" s="60"/>
      <c r="M2461" s="74" t="str">
        <f>IF($C2461="","",IF($D2461="Gider",$E2461,IF($L2461&lt;&gt;"",$L2461,$H2461)))</f>
        <v/>
      </c>
      <c r="N2461" s="74" t="str">
        <f>IF($C2461="","",IF($D2461="Gider",$H2461,$E2461))</f>
        <v/>
      </c>
      <c r="O2461" s="73" t="str">
        <f>IF($C2461="","",DATE(YEAR($C2461),MONTH($C2461),1))</f>
        <v/>
      </c>
      <c r="P2461" s="65" t="str">
        <f ca="1">IF($C2461="","",IF(AND($D2461="Gelir",$L2461&lt;&gt;"",$T2461=""),"TANIMSIZ BORÇLU",IF($T2461&lt;&gt;"",IF(OR($E2461="",$G2461&lt;=0),"EKSİK",IF($I2461="Evet","TAHAKKUK NAKİT OLAMAZ",IF($C2461&gt;TODAY(),"İLERİ TARİH","TAHAKKUK"))),IF(AND($D2461&lt;&gt;"",$E2461&lt;&gt;"",$G2461&gt;0,$H2461&lt;&gt;"",$I2461&lt;&gt;""),IF($C2461&gt;TODAY(),"İLERİ TARİH",IF(COUNTIF($W$7:$W$3001,$W2461)&gt;1,"MÜKERRER?",IF($AD2461&gt;0,"KAPALI DÖNEM",IF($I2461="Hayır","ÖDENECEK","UYGUN")))),"EKSİK"))))</f>
        <v/>
      </c>
      <c r="Q2461" s="2"/>
      <c r="R2461" s="2"/>
      <c r="S2461" s="1" t="str">
        <f t="shared" si="116"/>
        <v/>
      </c>
      <c r="T2461" s="1" t="str">
        <f>IF(OR($C2461="",$D2461&lt;&gt;"Gelir",$L2461=""),"",IFERROR(INDEX(MUSTERILER!$B$7:$B$156,MATCH($S2461,MUSTERILER!$T$7:$T$156,0)),""))</f>
        <v/>
      </c>
      <c r="U2461" s="1" t="str">
        <f>IF($T2461="","",$T2461&amp;"|"&amp;COUNTIFS($T$7:$T2461,$T2461))</f>
        <v/>
      </c>
      <c r="V2461" s="1">
        <f t="shared" si="117"/>
        <v>0</v>
      </c>
      <c r="W2461" s="1" t="str">
        <f t="shared" si="118"/>
        <v/>
      </c>
      <c r="X2461" s="1"/>
      <c r="Y2461" s="1"/>
      <c r="Z2461" s="1"/>
      <c r="AA2461" s="1"/>
      <c r="AB2461" s="1"/>
      <c r="AC2461" s="1"/>
      <c r="AD2461" s="1">
        <f>IF($C2461="",0,SUMPRODUCT((AY_SONU!$O$7:$O$42="Evet")*(AY_SONU!$B$7:$B$42=DATE(YEAR($C2461),MONTH($C2461),1))))</f>
        <v>0</v>
      </c>
      <c r="AE2461" s="1" t="str">
        <f>IF($E2461="","",$E2461&amp;"|"&amp;COUNTIFS($E$7:$E2461,$E2461))</f>
        <v/>
      </c>
    </row>
    <row r="2462" spans="1:31" ht="18" customHeight="1" x14ac:dyDescent="0.3">
      <c r="A2462" s="2"/>
      <c r="B2462" s="65" t="str">
        <f>IF($C2462="","","GG"&amp;TEXT(ROW()-6,"00000"))</f>
        <v/>
      </c>
      <c r="C2462" s="66"/>
      <c r="D2462" s="60"/>
      <c r="E2462" s="61"/>
      <c r="F2462" s="61"/>
      <c r="G2462" s="67"/>
      <c r="H2462" s="60"/>
      <c r="I2462" s="60"/>
      <c r="J2462" s="61"/>
      <c r="K2462" s="61"/>
      <c r="L2462" s="60"/>
      <c r="M2462" s="74" t="str">
        <f>IF($C2462="","",IF($D2462="Gider",$E2462,IF($L2462&lt;&gt;"",$L2462,$H2462)))</f>
        <v/>
      </c>
      <c r="N2462" s="74" t="str">
        <f>IF($C2462="","",IF($D2462="Gider",$H2462,$E2462))</f>
        <v/>
      </c>
      <c r="O2462" s="73" t="str">
        <f>IF($C2462="","",DATE(YEAR($C2462),MONTH($C2462),1))</f>
        <v/>
      </c>
      <c r="P2462" s="65" t="str">
        <f ca="1">IF($C2462="","",IF(AND($D2462="Gelir",$L2462&lt;&gt;"",$T2462=""),"TANIMSIZ BORÇLU",IF($T2462&lt;&gt;"",IF(OR($E2462="",$G2462&lt;=0),"EKSİK",IF($I2462="Evet","TAHAKKUK NAKİT OLAMAZ",IF($C2462&gt;TODAY(),"İLERİ TARİH","TAHAKKUK"))),IF(AND($D2462&lt;&gt;"",$E2462&lt;&gt;"",$G2462&gt;0,$H2462&lt;&gt;"",$I2462&lt;&gt;""),IF($C2462&gt;TODAY(),"İLERİ TARİH",IF(COUNTIF($W$7:$W$3001,$W2462)&gt;1,"MÜKERRER?",IF($AD2462&gt;0,"KAPALI DÖNEM",IF($I2462="Hayır","ÖDENECEK","UYGUN")))),"EKSİK"))))</f>
        <v/>
      </c>
      <c r="Q2462" s="2"/>
      <c r="R2462" s="2"/>
      <c r="S2462" s="1" t="str">
        <f t="shared" si="116"/>
        <v/>
      </c>
      <c r="T2462" s="1" t="str">
        <f>IF(OR($C2462="",$D2462&lt;&gt;"Gelir",$L2462=""),"",IFERROR(INDEX(MUSTERILER!$B$7:$B$156,MATCH($S2462,MUSTERILER!$T$7:$T$156,0)),""))</f>
        <v/>
      </c>
      <c r="U2462" s="1" t="str">
        <f>IF($T2462="","",$T2462&amp;"|"&amp;COUNTIFS($T$7:$T2462,$T2462))</f>
        <v/>
      </c>
      <c r="V2462" s="1">
        <f t="shared" si="117"/>
        <v>0</v>
      </c>
      <c r="W2462" s="1" t="str">
        <f t="shared" si="118"/>
        <v/>
      </c>
      <c r="X2462" s="1"/>
      <c r="Y2462" s="1"/>
      <c r="Z2462" s="1"/>
      <c r="AA2462" s="1"/>
      <c r="AB2462" s="1"/>
      <c r="AC2462" s="1"/>
      <c r="AD2462" s="1">
        <f>IF($C2462="",0,SUMPRODUCT((AY_SONU!$O$7:$O$42="Evet")*(AY_SONU!$B$7:$B$42=DATE(YEAR($C2462),MONTH($C2462),1))))</f>
        <v>0</v>
      </c>
      <c r="AE2462" s="1" t="str">
        <f>IF($E2462="","",$E2462&amp;"|"&amp;COUNTIFS($E$7:$E2462,$E2462))</f>
        <v/>
      </c>
    </row>
    <row r="2463" spans="1:31" ht="18" customHeight="1" x14ac:dyDescent="0.3">
      <c r="A2463" s="2"/>
      <c r="B2463" s="65" t="str">
        <f>IF($C2463="","","GG"&amp;TEXT(ROW()-6,"00000"))</f>
        <v/>
      </c>
      <c r="C2463" s="66"/>
      <c r="D2463" s="60"/>
      <c r="E2463" s="61"/>
      <c r="F2463" s="61"/>
      <c r="G2463" s="67"/>
      <c r="H2463" s="60"/>
      <c r="I2463" s="60"/>
      <c r="J2463" s="61"/>
      <c r="K2463" s="61"/>
      <c r="L2463" s="60"/>
      <c r="M2463" s="74" t="str">
        <f>IF($C2463="","",IF($D2463="Gider",$E2463,IF($L2463&lt;&gt;"",$L2463,$H2463)))</f>
        <v/>
      </c>
      <c r="N2463" s="74" t="str">
        <f>IF($C2463="","",IF($D2463="Gider",$H2463,$E2463))</f>
        <v/>
      </c>
      <c r="O2463" s="73" t="str">
        <f>IF($C2463="","",DATE(YEAR($C2463),MONTH($C2463),1))</f>
        <v/>
      </c>
      <c r="P2463" s="65" t="str">
        <f ca="1">IF($C2463="","",IF(AND($D2463="Gelir",$L2463&lt;&gt;"",$T2463=""),"TANIMSIZ BORÇLU",IF($T2463&lt;&gt;"",IF(OR($E2463="",$G2463&lt;=0),"EKSİK",IF($I2463="Evet","TAHAKKUK NAKİT OLAMAZ",IF($C2463&gt;TODAY(),"İLERİ TARİH","TAHAKKUK"))),IF(AND($D2463&lt;&gt;"",$E2463&lt;&gt;"",$G2463&gt;0,$H2463&lt;&gt;"",$I2463&lt;&gt;""),IF($C2463&gt;TODAY(),"İLERİ TARİH",IF(COUNTIF($W$7:$W$3001,$W2463)&gt;1,"MÜKERRER?",IF($AD2463&gt;0,"KAPALI DÖNEM",IF($I2463="Hayır","ÖDENECEK","UYGUN")))),"EKSİK"))))</f>
        <v/>
      </c>
      <c r="Q2463" s="2"/>
      <c r="R2463" s="2"/>
      <c r="S2463" s="1" t="str">
        <f t="shared" si="116"/>
        <v/>
      </c>
      <c r="T2463" s="1" t="str">
        <f>IF(OR($C2463="",$D2463&lt;&gt;"Gelir",$L2463=""),"",IFERROR(INDEX(MUSTERILER!$B$7:$B$156,MATCH($S2463,MUSTERILER!$T$7:$T$156,0)),""))</f>
        <v/>
      </c>
      <c r="U2463" s="1" t="str">
        <f>IF($T2463="","",$T2463&amp;"|"&amp;COUNTIFS($T$7:$T2463,$T2463))</f>
        <v/>
      </c>
      <c r="V2463" s="1">
        <f t="shared" si="117"/>
        <v>0</v>
      </c>
      <c r="W2463" s="1" t="str">
        <f t="shared" si="118"/>
        <v/>
      </c>
      <c r="X2463" s="1"/>
      <c r="Y2463" s="1"/>
      <c r="Z2463" s="1"/>
      <c r="AA2463" s="1"/>
      <c r="AB2463" s="1"/>
      <c r="AC2463" s="1"/>
      <c r="AD2463" s="1">
        <f>IF($C2463="",0,SUMPRODUCT((AY_SONU!$O$7:$O$42="Evet")*(AY_SONU!$B$7:$B$42=DATE(YEAR($C2463),MONTH($C2463),1))))</f>
        <v>0</v>
      </c>
      <c r="AE2463" s="1" t="str">
        <f>IF($E2463="","",$E2463&amp;"|"&amp;COUNTIFS($E$7:$E2463,$E2463))</f>
        <v/>
      </c>
    </row>
    <row r="2464" spans="1:31" ht="18" customHeight="1" x14ac:dyDescent="0.3">
      <c r="A2464" s="2"/>
      <c r="B2464" s="65" t="str">
        <f>IF($C2464="","","GG"&amp;TEXT(ROW()-6,"00000"))</f>
        <v/>
      </c>
      <c r="C2464" s="66"/>
      <c r="D2464" s="60"/>
      <c r="E2464" s="61"/>
      <c r="F2464" s="61"/>
      <c r="G2464" s="67"/>
      <c r="H2464" s="60"/>
      <c r="I2464" s="60"/>
      <c r="J2464" s="61"/>
      <c r="K2464" s="61"/>
      <c r="L2464" s="60"/>
      <c r="M2464" s="74" t="str">
        <f>IF($C2464="","",IF($D2464="Gider",$E2464,IF($L2464&lt;&gt;"",$L2464,$H2464)))</f>
        <v/>
      </c>
      <c r="N2464" s="74" t="str">
        <f>IF($C2464="","",IF($D2464="Gider",$H2464,$E2464))</f>
        <v/>
      </c>
      <c r="O2464" s="73" t="str">
        <f>IF($C2464="","",DATE(YEAR($C2464),MONTH($C2464),1))</f>
        <v/>
      </c>
      <c r="P2464" s="65" t="str">
        <f ca="1">IF($C2464="","",IF(AND($D2464="Gelir",$L2464&lt;&gt;"",$T2464=""),"TANIMSIZ BORÇLU",IF($T2464&lt;&gt;"",IF(OR($E2464="",$G2464&lt;=0),"EKSİK",IF($I2464="Evet","TAHAKKUK NAKİT OLAMAZ",IF($C2464&gt;TODAY(),"İLERİ TARİH","TAHAKKUK"))),IF(AND($D2464&lt;&gt;"",$E2464&lt;&gt;"",$G2464&gt;0,$H2464&lt;&gt;"",$I2464&lt;&gt;""),IF($C2464&gt;TODAY(),"İLERİ TARİH",IF(COUNTIF($W$7:$W$3001,$W2464)&gt;1,"MÜKERRER?",IF($AD2464&gt;0,"KAPALI DÖNEM",IF($I2464="Hayır","ÖDENECEK","UYGUN")))),"EKSİK"))))</f>
        <v/>
      </c>
      <c r="Q2464" s="2"/>
      <c r="R2464" s="2"/>
      <c r="S2464" s="1" t="str">
        <f t="shared" si="116"/>
        <v/>
      </c>
      <c r="T2464" s="1" t="str">
        <f>IF(OR($C2464="",$D2464&lt;&gt;"Gelir",$L2464=""),"",IFERROR(INDEX(MUSTERILER!$B$7:$B$156,MATCH($S2464,MUSTERILER!$T$7:$T$156,0)),""))</f>
        <v/>
      </c>
      <c r="U2464" s="1" t="str">
        <f>IF($T2464="","",$T2464&amp;"|"&amp;COUNTIFS($T$7:$T2464,$T2464))</f>
        <v/>
      </c>
      <c r="V2464" s="1">
        <f t="shared" si="117"/>
        <v>0</v>
      </c>
      <c r="W2464" s="1" t="str">
        <f t="shared" si="118"/>
        <v/>
      </c>
      <c r="X2464" s="1"/>
      <c r="Y2464" s="1"/>
      <c r="Z2464" s="1"/>
      <c r="AA2464" s="1"/>
      <c r="AB2464" s="1"/>
      <c r="AC2464" s="1"/>
      <c r="AD2464" s="1">
        <f>IF($C2464="",0,SUMPRODUCT((AY_SONU!$O$7:$O$42="Evet")*(AY_SONU!$B$7:$B$42=DATE(YEAR($C2464),MONTH($C2464),1))))</f>
        <v>0</v>
      </c>
      <c r="AE2464" s="1" t="str">
        <f>IF($E2464="","",$E2464&amp;"|"&amp;COUNTIFS($E$7:$E2464,$E2464))</f>
        <v/>
      </c>
    </row>
    <row r="2465" spans="1:31" ht="18" customHeight="1" x14ac:dyDescent="0.3">
      <c r="A2465" s="2"/>
      <c r="B2465" s="65" t="str">
        <f>IF($C2465="","","GG"&amp;TEXT(ROW()-6,"00000"))</f>
        <v/>
      </c>
      <c r="C2465" s="66"/>
      <c r="D2465" s="60"/>
      <c r="E2465" s="61"/>
      <c r="F2465" s="61"/>
      <c r="G2465" s="67"/>
      <c r="H2465" s="60"/>
      <c r="I2465" s="60"/>
      <c r="J2465" s="61"/>
      <c r="K2465" s="61"/>
      <c r="L2465" s="60"/>
      <c r="M2465" s="74" t="str">
        <f>IF($C2465="","",IF($D2465="Gider",$E2465,IF($L2465&lt;&gt;"",$L2465,$H2465)))</f>
        <v/>
      </c>
      <c r="N2465" s="74" t="str">
        <f>IF($C2465="","",IF($D2465="Gider",$H2465,$E2465))</f>
        <v/>
      </c>
      <c r="O2465" s="73" t="str">
        <f>IF($C2465="","",DATE(YEAR($C2465),MONTH($C2465),1))</f>
        <v/>
      </c>
      <c r="P2465" s="65" t="str">
        <f ca="1">IF($C2465="","",IF(AND($D2465="Gelir",$L2465&lt;&gt;"",$T2465=""),"TANIMSIZ BORÇLU",IF($T2465&lt;&gt;"",IF(OR($E2465="",$G2465&lt;=0),"EKSİK",IF($I2465="Evet","TAHAKKUK NAKİT OLAMAZ",IF($C2465&gt;TODAY(),"İLERİ TARİH","TAHAKKUK"))),IF(AND($D2465&lt;&gt;"",$E2465&lt;&gt;"",$G2465&gt;0,$H2465&lt;&gt;"",$I2465&lt;&gt;""),IF($C2465&gt;TODAY(),"İLERİ TARİH",IF(COUNTIF($W$7:$W$3001,$W2465)&gt;1,"MÜKERRER?",IF($AD2465&gt;0,"KAPALI DÖNEM",IF($I2465="Hayır","ÖDENECEK","UYGUN")))),"EKSİK"))))</f>
        <v/>
      </c>
      <c r="Q2465" s="2"/>
      <c r="R2465" s="2"/>
      <c r="S2465" s="1" t="str">
        <f t="shared" si="116"/>
        <v/>
      </c>
      <c r="T2465" s="1" t="str">
        <f>IF(OR($C2465="",$D2465&lt;&gt;"Gelir",$L2465=""),"",IFERROR(INDEX(MUSTERILER!$B$7:$B$156,MATCH($S2465,MUSTERILER!$T$7:$T$156,0)),""))</f>
        <v/>
      </c>
      <c r="U2465" s="1" t="str">
        <f>IF($T2465="","",$T2465&amp;"|"&amp;COUNTIFS($T$7:$T2465,$T2465))</f>
        <v/>
      </c>
      <c r="V2465" s="1">
        <f t="shared" si="117"/>
        <v>0</v>
      </c>
      <c r="W2465" s="1" t="str">
        <f t="shared" si="118"/>
        <v/>
      </c>
      <c r="X2465" s="1"/>
      <c r="Y2465" s="1"/>
      <c r="Z2465" s="1"/>
      <c r="AA2465" s="1"/>
      <c r="AB2465" s="1"/>
      <c r="AC2465" s="1"/>
      <c r="AD2465" s="1">
        <f>IF($C2465="",0,SUMPRODUCT((AY_SONU!$O$7:$O$42="Evet")*(AY_SONU!$B$7:$B$42=DATE(YEAR($C2465),MONTH($C2465),1))))</f>
        <v>0</v>
      </c>
      <c r="AE2465" s="1" t="str">
        <f>IF($E2465="","",$E2465&amp;"|"&amp;COUNTIFS($E$7:$E2465,$E2465))</f>
        <v/>
      </c>
    </row>
    <row r="2466" spans="1:31" ht="18" customHeight="1" x14ac:dyDescent="0.3">
      <c r="A2466" s="2"/>
      <c r="B2466" s="65" t="str">
        <f>IF($C2466="","","GG"&amp;TEXT(ROW()-6,"00000"))</f>
        <v/>
      </c>
      <c r="C2466" s="66"/>
      <c r="D2466" s="60"/>
      <c r="E2466" s="61"/>
      <c r="F2466" s="61"/>
      <c r="G2466" s="67"/>
      <c r="H2466" s="60"/>
      <c r="I2466" s="60"/>
      <c r="J2466" s="61"/>
      <c r="K2466" s="61"/>
      <c r="L2466" s="60"/>
      <c r="M2466" s="74" t="str">
        <f>IF($C2466="","",IF($D2466="Gider",$E2466,IF($L2466&lt;&gt;"",$L2466,$H2466)))</f>
        <v/>
      </c>
      <c r="N2466" s="74" t="str">
        <f>IF($C2466="","",IF($D2466="Gider",$H2466,$E2466))</f>
        <v/>
      </c>
      <c r="O2466" s="73" t="str">
        <f>IF($C2466="","",DATE(YEAR($C2466),MONTH($C2466),1))</f>
        <v/>
      </c>
      <c r="P2466" s="65" t="str">
        <f ca="1">IF($C2466="","",IF(AND($D2466="Gelir",$L2466&lt;&gt;"",$T2466=""),"TANIMSIZ BORÇLU",IF($T2466&lt;&gt;"",IF(OR($E2466="",$G2466&lt;=0),"EKSİK",IF($I2466="Evet","TAHAKKUK NAKİT OLAMAZ",IF($C2466&gt;TODAY(),"İLERİ TARİH","TAHAKKUK"))),IF(AND($D2466&lt;&gt;"",$E2466&lt;&gt;"",$G2466&gt;0,$H2466&lt;&gt;"",$I2466&lt;&gt;""),IF($C2466&gt;TODAY(),"İLERİ TARİH",IF(COUNTIF($W$7:$W$3001,$W2466)&gt;1,"MÜKERRER?",IF($AD2466&gt;0,"KAPALI DÖNEM",IF($I2466="Hayır","ÖDENECEK","UYGUN")))),"EKSİK"))))</f>
        <v/>
      </c>
      <c r="Q2466" s="2"/>
      <c r="R2466" s="2"/>
      <c r="S2466" s="1" t="str">
        <f t="shared" si="116"/>
        <v/>
      </c>
      <c r="T2466" s="1" t="str">
        <f>IF(OR($C2466="",$D2466&lt;&gt;"Gelir",$L2466=""),"",IFERROR(INDEX(MUSTERILER!$B$7:$B$156,MATCH($S2466,MUSTERILER!$T$7:$T$156,0)),""))</f>
        <v/>
      </c>
      <c r="U2466" s="1" t="str">
        <f>IF($T2466="","",$T2466&amp;"|"&amp;COUNTIFS($T$7:$T2466,$T2466))</f>
        <v/>
      </c>
      <c r="V2466" s="1">
        <f t="shared" si="117"/>
        <v>0</v>
      </c>
      <c r="W2466" s="1" t="str">
        <f t="shared" si="118"/>
        <v/>
      </c>
      <c r="X2466" s="1"/>
      <c r="Y2466" s="1"/>
      <c r="Z2466" s="1"/>
      <c r="AA2466" s="1"/>
      <c r="AB2466" s="1"/>
      <c r="AC2466" s="1"/>
      <c r="AD2466" s="1">
        <f>IF($C2466="",0,SUMPRODUCT((AY_SONU!$O$7:$O$42="Evet")*(AY_SONU!$B$7:$B$42=DATE(YEAR($C2466),MONTH($C2466),1))))</f>
        <v>0</v>
      </c>
      <c r="AE2466" s="1" t="str">
        <f>IF($E2466="","",$E2466&amp;"|"&amp;COUNTIFS($E$7:$E2466,$E2466))</f>
        <v/>
      </c>
    </row>
    <row r="2467" spans="1:31" ht="18" customHeight="1" x14ac:dyDescent="0.3">
      <c r="A2467" s="2"/>
      <c r="B2467" s="65" t="str">
        <f>IF($C2467="","","GG"&amp;TEXT(ROW()-6,"00000"))</f>
        <v/>
      </c>
      <c r="C2467" s="66"/>
      <c r="D2467" s="60"/>
      <c r="E2467" s="61"/>
      <c r="F2467" s="61"/>
      <c r="G2467" s="67"/>
      <c r="H2467" s="60"/>
      <c r="I2467" s="60"/>
      <c r="J2467" s="61"/>
      <c r="K2467" s="61"/>
      <c r="L2467" s="60"/>
      <c r="M2467" s="74" t="str">
        <f>IF($C2467="","",IF($D2467="Gider",$E2467,IF($L2467&lt;&gt;"",$L2467,$H2467)))</f>
        <v/>
      </c>
      <c r="N2467" s="74" t="str">
        <f>IF($C2467="","",IF($D2467="Gider",$H2467,$E2467))</f>
        <v/>
      </c>
      <c r="O2467" s="73" t="str">
        <f>IF($C2467="","",DATE(YEAR($C2467),MONTH($C2467),1))</f>
        <v/>
      </c>
      <c r="P2467" s="65" t="str">
        <f ca="1">IF($C2467="","",IF(AND($D2467="Gelir",$L2467&lt;&gt;"",$T2467=""),"TANIMSIZ BORÇLU",IF($T2467&lt;&gt;"",IF(OR($E2467="",$G2467&lt;=0),"EKSİK",IF($I2467="Evet","TAHAKKUK NAKİT OLAMAZ",IF($C2467&gt;TODAY(),"İLERİ TARİH","TAHAKKUK"))),IF(AND($D2467&lt;&gt;"",$E2467&lt;&gt;"",$G2467&gt;0,$H2467&lt;&gt;"",$I2467&lt;&gt;""),IF($C2467&gt;TODAY(),"İLERİ TARİH",IF(COUNTIF($W$7:$W$3001,$W2467)&gt;1,"MÜKERRER?",IF($AD2467&gt;0,"KAPALI DÖNEM",IF($I2467="Hayır","ÖDENECEK","UYGUN")))),"EKSİK"))))</f>
        <v/>
      </c>
      <c r="Q2467" s="2"/>
      <c r="R2467" s="2"/>
      <c r="S2467" s="1" t="str">
        <f t="shared" si="116"/>
        <v/>
      </c>
      <c r="T2467" s="1" t="str">
        <f>IF(OR($C2467="",$D2467&lt;&gt;"Gelir",$L2467=""),"",IFERROR(INDEX(MUSTERILER!$B$7:$B$156,MATCH($S2467,MUSTERILER!$T$7:$T$156,0)),""))</f>
        <v/>
      </c>
      <c r="U2467" s="1" t="str">
        <f>IF($T2467="","",$T2467&amp;"|"&amp;COUNTIFS($T$7:$T2467,$T2467))</f>
        <v/>
      </c>
      <c r="V2467" s="1">
        <f t="shared" si="117"/>
        <v>0</v>
      </c>
      <c r="W2467" s="1" t="str">
        <f t="shared" si="118"/>
        <v/>
      </c>
      <c r="X2467" s="1"/>
      <c r="Y2467" s="1"/>
      <c r="Z2467" s="1"/>
      <c r="AA2467" s="1"/>
      <c r="AB2467" s="1"/>
      <c r="AC2467" s="1"/>
      <c r="AD2467" s="1">
        <f>IF($C2467="",0,SUMPRODUCT((AY_SONU!$O$7:$O$42="Evet")*(AY_SONU!$B$7:$B$42=DATE(YEAR($C2467),MONTH($C2467),1))))</f>
        <v>0</v>
      </c>
      <c r="AE2467" s="1" t="str">
        <f>IF($E2467="","",$E2467&amp;"|"&amp;COUNTIFS($E$7:$E2467,$E2467))</f>
        <v/>
      </c>
    </row>
    <row r="2468" spans="1:31" ht="18" customHeight="1" x14ac:dyDescent="0.3">
      <c r="A2468" s="2"/>
      <c r="B2468" s="65" t="str">
        <f>IF($C2468="","","GG"&amp;TEXT(ROW()-6,"00000"))</f>
        <v/>
      </c>
      <c r="C2468" s="66"/>
      <c r="D2468" s="60"/>
      <c r="E2468" s="61"/>
      <c r="F2468" s="61"/>
      <c r="G2468" s="67"/>
      <c r="H2468" s="60"/>
      <c r="I2468" s="60"/>
      <c r="J2468" s="61"/>
      <c r="K2468" s="61"/>
      <c r="L2468" s="60"/>
      <c r="M2468" s="74" t="str">
        <f>IF($C2468="","",IF($D2468="Gider",$E2468,IF($L2468&lt;&gt;"",$L2468,$H2468)))</f>
        <v/>
      </c>
      <c r="N2468" s="74" t="str">
        <f>IF($C2468="","",IF($D2468="Gider",$H2468,$E2468))</f>
        <v/>
      </c>
      <c r="O2468" s="73" t="str">
        <f>IF($C2468="","",DATE(YEAR($C2468),MONTH($C2468),1))</f>
        <v/>
      </c>
      <c r="P2468" s="65" t="str">
        <f ca="1">IF($C2468="","",IF(AND($D2468="Gelir",$L2468&lt;&gt;"",$T2468=""),"TANIMSIZ BORÇLU",IF($T2468&lt;&gt;"",IF(OR($E2468="",$G2468&lt;=0),"EKSİK",IF($I2468="Evet","TAHAKKUK NAKİT OLAMAZ",IF($C2468&gt;TODAY(),"İLERİ TARİH","TAHAKKUK"))),IF(AND($D2468&lt;&gt;"",$E2468&lt;&gt;"",$G2468&gt;0,$H2468&lt;&gt;"",$I2468&lt;&gt;""),IF($C2468&gt;TODAY(),"İLERİ TARİH",IF(COUNTIF($W$7:$W$3001,$W2468)&gt;1,"MÜKERRER?",IF($AD2468&gt;0,"KAPALI DÖNEM",IF($I2468="Hayır","ÖDENECEK","UYGUN")))),"EKSİK"))))</f>
        <v/>
      </c>
      <c r="Q2468" s="2"/>
      <c r="R2468" s="2"/>
      <c r="S2468" s="1" t="str">
        <f t="shared" si="116"/>
        <v/>
      </c>
      <c r="T2468" s="1" t="str">
        <f>IF(OR($C2468="",$D2468&lt;&gt;"Gelir",$L2468=""),"",IFERROR(INDEX(MUSTERILER!$B$7:$B$156,MATCH($S2468,MUSTERILER!$T$7:$T$156,0)),""))</f>
        <v/>
      </c>
      <c r="U2468" s="1" t="str">
        <f>IF($T2468="","",$T2468&amp;"|"&amp;COUNTIFS($T$7:$T2468,$T2468))</f>
        <v/>
      </c>
      <c r="V2468" s="1">
        <f t="shared" si="117"/>
        <v>0</v>
      </c>
      <c r="W2468" s="1" t="str">
        <f t="shared" si="118"/>
        <v/>
      </c>
      <c r="X2468" s="1"/>
      <c r="Y2468" s="1"/>
      <c r="Z2468" s="1"/>
      <c r="AA2468" s="1"/>
      <c r="AB2468" s="1"/>
      <c r="AC2468" s="1"/>
      <c r="AD2468" s="1">
        <f>IF($C2468="",0,SUMPRODUCT((AY_SONU!$O$7:$O$42="Evet")*(AY_SONU!$B$7:$B$42=DATE(YEAR($C2468),MONTH($C2468),1))))</f>
        <v>0</v>
      </c>
      <c r="AE2468" s="1" t="str">
        <f>IF($E2468="","",$E2468&amp;"|"&amp;COUNTIFS($E$7:$E2468,$E2468))</f>
        <v/>
      </c>
    </row>
    <row r="2469" spans="1:31" ht="18" customHeight="1" x14ac:dyDescent="0.3">
      <c r="A2469" s="2"/>
      <c r="B2469" s="65" t="str">
        <f>IF($C2469="","","GG"&amp;TEXT(ROW()-6,"00000"))</f>
        <v/>
      </c>
      <c r="C2469" s="66"/>
      <c r="D2469" s="60"/>
      <c r="E2469" s="61"/>
      <c r="F2469" s="61"/>
      <c r="G2469" s="67"/>
      <c r="H2469" s="60"/>
      <c r="I2469" s="60"/>
      <c r="J2469" s="61"/>
      <c r="K2469" s="61"/>
      <c r="L2469" s="60"/>
      <c r="M2469" s="74" t="str">
        <f>IF($C2469="","",IF($D2469="Gider",$E2469,IF($L2469&lt;&gt;"",$L2469,$H2469)))</f>
        <v/>
      </c>
      <c r="N2469" s="74" t="str">
        <f>IF($C2469="","",IF($D2469="Gider",$H2469,$E2469))</f>
        <v/>
      </c>
      <c r="O2469" s="73" t="str">
        <f>IF($C2469="","",DATE(YEAR($C2469),MONTH($C2469),1))</f>
        <v/>
      </c>
      <c r="P2469" s="65" t="str">
        <f ca="1">IF($C2469="","",IF(AND($D2469="Gelir",$L2469&lt;&gt;"",$T2469=""),"TANIMSIZ BORÇLU",IF($T2469&lt;&gt;"",IF(OR($E2469="",$G2469&lt;=0),"EKSİK",IF($I2469="Evet","TAHAKKUK NAKİT OLAMAZ",IF($C2469&gt;TODAY(),"İLERİ TARİH","TAHAKKUK"))),IF(AND($D2469&lt;&gt;"",$E2469&lt;&gt;"",$G2469&gt;0,$H2469&lt;&gt;"",$I2469&lt;&gt;""),IF($C2469&gt;TODAY(),"İLERİ TARİH",IF(COUNTIF($W$7:$W$3001,$W2469)&gt;1,"MÜKERRER?",IF($AD2469&gt;0,"KAPALI DÖNEM",IF($I2469="Hayır","ÖDENECEK","UYGUN")))),"EKSİK"))))</f>
        <v/>
      </c>
      <c r="Q2469" s="2"/>
      <c r="R2469" s="2"/>
      <c r="S2469" s="1" t="str">
        <f t="shared" si="116"/>
        <v/>
      </c>
      <c r="T2469" s="1" t="str">
        <f>IF(OR($C2469="",$D2469&lt;&gt;"Gelir",$L2469=""),"",IFERROR(INDEX(MUSTERILER!$B$7:$B$156,MATCH($S2469,MUSTERILER!$T$7:$T$156,0)),""))</f>
        <v/>
      </c>
      <c r="U2469" s="1" t="str">
        <f>IF($T2469="","",$T2469&amp;"|"&amp;COUNTIFS($T$7:$T2469,$T2469))</f>
        <v/>
      </c>
      <c r="V2469" s="1">
        <f t="shared" si="117"/>
        <v>0</v>
      </c>
      <c r="W2469" s="1" t="str">
        <f t="shared" si="118"/>
        <v/>
      </c>
      <c r="X2469" s="1"/>
      <c r="Y2469" s="1"/>
      <c r="Z2469" s="1"/>
      <c r="AA2469" s="1"/>
      <c r="AB2469" s="1"/>
      <c r="AC2469" s="1"/>
      <c r="AD2469" s="1">
        <f>IF($C2469="",0,SUMPRODUCT((AY_SONU!$O$7:$O$42="Evet")*(AY_SONU!$B$7:$B$42=DATE(YEAR($C2469),MONTH($C2469),1))))</f>
        <v>0</v>
      </c>
      <c r="AE2469" s="1" t="str">
        <f>IF($E2469="","",$E2469&amp;"|"&amp;COUNTIFS($E$7:$E2469,$E2469))</f>
        <v/>
      </c>
    </row>
    <row r="2470" spans="1:31" ht="18" customHeight="1" x14ac:dyDescent="0.3">
      <c r="A2470" s="2"/>
      <c r="B2470" s="65" t="str">
        <f>IF($C2470="","","GG"&amp;TEXT(ROW()-6,"00000"))</f>
        <v/>
      </c>
      <c r="C2470" s="66"/>
      <c r="D2470" s="60"/>
      <c r="E2470" s="61"/>
      <c r="F2470" s="61"/>
      <c r="G2470" s="67"/>
      <c r="H2470" s="60"/>
      <c r="I2470" s="60"/>
      <c r="J2470" s="61"/>
      <c r="K2470" s="61"/>
      <c r="L2470" s="60"/>
      <c r="M2470" s="74" t="str">
        <f>IF($C2470="","",IF($D2470="Gider",$E2470,IF($L2470&lt;&gt;"",$L2470,$H2470)))</f>
        <v/>
      </c>
      <c r="N2470" s="74" t="str">
        <f>IF($C2470="","",IF($D2470="Gider",$H2470,$E2470))</f>
        <v/>
      </c>
      <c r="O2470" s="73" t="str">
        <f>IF($C2470="","",DATE(YEAR($C2470),MONTH($C2470),1))</f>
        <v/>
      </c>
      <c r="P2470" s="65" t="str">
        <f ca="1">IF($C2470="","",IF(AND($D2470="Gelir",$L2470&lt;&gt;"",$T2470=""),"TANIMSIZ BORÇLU",IF($T2470&lt;&gt;"",IF(OR($E2470="",$G2470&lt;=0),"EKSİK",IF($I2470="Evet","TAHAKKUK NAKİT OLAMAZ",IF($C2470&gt;TODAY(),"İLERİ TARİH","TAHAKKUK"))),IF(AND($D2470&lt;&gt;"",$E2470&lt;&gt;"",$G2470&gt;0,$H2470&lt;&gt;"",$I2470&lt;&gt;""),IF($C2470&gt;TODAY(),"İLERİ TARİH",IF(COUNTIF($W$7:$W$3001,$W2470)&gt;1,"MÜKERRER?",IF($AD2470&gt;0,"KAPALI DÖNEM",IF($I2470="Hayır","ÖDENECEK","UYGUN")))),"EKSİK"))))</f>
        <v/>
      </c>
      <c r="Q2470" s="2"/>
      <c r="R2470" s="2"/>
      <c r="S2470" s="1" t="str">
        <f t="shared" si="116"/>
        <v/>
      </c>
      <c r="T2470" s="1" t="str">
        <f>IF(OR($C2470="",$D2470&lt;&gt;"Gelir",$L2470=""),"",IFERROR(INDEX(MUSTERILER!$B$7:$B$156,MATCH($S2470,MUSTERILER!$T$7:$T$156,0)),""))</f>
        <v/>
      </c>
      <c r="U2470" s="1" t="str">
        <f>IF($T2470="","",$T2470&amp;"|"&amp;COUNTIFS($T$7:$T2470,$T2470))</f>
        <v/>
      </c>
      <c r="V2470" s="1">
        <f t="shared" si="117"/>
        <v>0</v>
      </c>
      <c r="W2470" s="1" t="str">
        <f t="shared" si="118"/>
        <v/>
      </c>
      <c r="X2470" s="1"/>
      <c r="Y2470" s="1"/>
      <c r="Z2470" s="1"/>
      <c r="AA2470" s="1"/>
      <c r="AB2470" s="1"/>
      <c r="AC2470" s="1"/>
      <c r="AD2470" s="1">
        <f>IF($C2470="",0,SUMPRODUCT((AY_SONU!$O$7:$O$42="Evet")*(AY_SONU!$B$7:$B$42=DATE(YEAR($C2470),MONTH($C2470),1))))</f>
        <v>0</v>
      </c>
      <c r="AE2470" s="1" t="str">
        <f>IF($E2470="","",$E2470&amp;"|"&amp;COUNTIFS($E$7:$E2470,$E2470))</f>
        <v/>
      </c>
    </row>
    <row r="2471" spans="1:31" ht="18" customHeight="1" x14ac:dyDescent="0.3">
      <c r="A2471" s="2"/>
      <c r="B2471" s="65" t="str">
        <f>IF($C2471="","","GG"&amp;TEXT(ROW()-6,"00000"))</f>
        <v/>
      </c>
      <c r="C2471" s="66"/>
      <c r="D2471" s="60"/>
      <c r="E2471" s="61"/>
      <c r="F2471" s="61"/>
      <c r="G2471" s="67"/>
      <c r="H2471" s="60"/>
      <c r="I2471" s="60"/>
      <c r="J2471" s="61"/>
      <c r="K2471" s="61"/>
      <c r="L2471" s="60"/>
      <c r="M2471" s="74" t="str">
        <f>IF($C2471="","",IF($D2471="Gider",$E2471,IF($L2471&lt;&gt;"",$L2471,$H2471)))</f>
        <v/>
      </c>
      <c r="N2471" s="74" t="str">
        <f>IF($C2471="","",IF($D2471="Gider",$H2471,$E2471))</f>
        <v/>
      </c>
      <c r="O2471" s="73" t="str">
        <f>IF($C2471="","",DATE(YEAR($C2471),MONTH($C2471),1))</f>
        <v/>
      </c>
      <c r="P2471" s="65" t="str">
        <f ca="1">IF($C2471="","",IF(AND($D2471="Gelir",$L2471&lt;&gt;"",$T2471=""),"TANIMSIZ BORÇLU",IF($T2471&lt;&gt;"",IF(OR($E2471="",$G2471&lt;=0),"EKSİK",IF($I2471="Evet","TAHAKKUK NAKİT OLAMAZ",IF($C2471&gt;TODAY(),"İLERİ TARİH","TAHAKKUK"))),IF(AND($D2471&lt;&gt;"",$E2471&lt;&gt;"",$G2471&gt;0,$H2471&lt;&gt;"",$I2471&lt;&gt;""),IF($C2471&gt;TODAY(),"İLERİ TARİH",IF(COUNTIF($W$7:$W$3001,$W2471)&gt;1,"MÜKERRER?",IF($AD2471&gt;0,"KAPALI DÖNEM",IF($I2471="Hayır","ÖDENECEK","UYGUN")))),"EKSİK"))))</f>
        <v/>
      </c>
      <c r="Q2471" s="2"/>
      <c r="R2471" s="2"/>
      <c r="S2471" s="1" t="str">
        <f t="shared" si="116"/>
        <v/>
      </c>
      <c r="T2471" s="1" t="str">
        <f>IF(OR($C2471="",$D2471&lt;&gt;"Gelir",$L2471=""),"",IFERROR(INDEX(MUSTERILER!$B$7:$B$156,MATCH($S2471,MUSTERILER!$T$7:$T$156,0)),""))</f>
        <v/>
      </c>
      <c r="U2471" s="1" t="str">
        <f>IF($T2471="","",$T2471&amp;"|"&amp;COUNTIFS($T$7:$T2471,$T2471))</f>
        <v/>
      </c>
      <c r="V2471" s="1">
        <f t="shared" si="117"/>
        <v>0</v>
      </c>
      <c r="W2471" s="1" t="str">
        <f t="shared" si="118"/>
        <v/>
      </c>
      <c r="X2471" s="1"/>
      <c r="Y2471" s="1"/>
      <c r="Z2471" s="1"/>
      <c r="AA2471" s="1"/>
      <c r="AB2471" s="1"/>
      <c r="AC2471" s="1"/>
      <c r="AD2471" s="1">
        <f>IF($C2471="",0,SUMPRODUCT((AY_SONU!$O$7:$O$42="Evet")*(AY_SONU!$B$7:$B$42=DATE(YEAR($C2471),MONTH($C2471),1))))</f>
        <v>0</v>
      </c>
      <c r="AE2471" s="1" t="str">
        <f>IF($E2471="","",$E2471&amp;"|"&amp;COUNTIFS($E$7:$E2471,$E2471))</f>
        <v/>
      </c>
    </row>
    <row r="2472" spans="1:31" ht="18" customHeight="1" x14ac:dyDescent="0.3">
      <c r="A2472" s="2"/>
      <c r="B2472" s="65" t="str">
        <f>IF($C2472="","","GG"&amp;TEXT(ROW()-6,"00000"))</f>
        <v/>
      </c>
      <c r="C2472" s="66"/>
      <c r="D2472" s="60"/>
      <c r="E2472" s="61"/>
      <c r="F2472" s="61"/>
      <c r="G2472" s="67"/>
      <c r="H2472" s="60"/>
      <c r="I2472" s="60"/>
      <c r="J2472" s="61"/>
      <c r="K2472" s="61"/>
      <c r="L2472" s="60"/>
      <c r="M2472" s="74" t="str">
        <f>IF($C2472="","",IF($D2472="Gider",$E2472,IF($L2472&lt;&gt;"",$L2472,$H2472)))</f>
        <v/>
      </c>
      <c r="N2472" s="74" t="str">
        <f>IF($C2472="","",IF($D2472="Gider",$H2472,$E2472))</f>
        <v/>
      </c>
      <c r="O2472" s="73" t="str">
        <f>IF($C2472="","",DATE(YEAR($C2472),MONTH($C2472),1))</f>
        <v/>
      </c>
      <c r="P2472" s="65" t="str">
        <f ca="1">IF($C2472="","",IF(AND($D2472="Gelir",$L2472&lt;&gt;"",$T2472=""),"TANIMSIZ BORÇLU",IF($T2472&lt;&gt;"",IF(OR($E2472="",$G2472&lt;=0),"EKSİK",IF($I2472="Evet","TAHAKKUK NAKİT OLAMAZ",IF($C2472&gt;TODAY(),"İLERİ TARİH","TAHAKKUK"))),IF(AND($D2472&lt;&gt;"",$E2472&lt;&gt;"",$G2472&gt;0,$H2472&lt;&gt;"",$I2472&lt;&gt;""),IF($C2472&gt;TODAY(),"İLERİ TARİH",IF(COUNTIF($W$7:$W$3001,$W2472)&gt;1,"MÜKERRER?",IF($AD2472&gt;0,"KAPALI DÖNEM",IF($I2472="Hayır","ÖDENECEK","UYGUN")))),"EKSİK"))))</f>
        <v/>
      </c>
      <c r="Q2472" s="2"/>
      <c r="R2472" s="2"/>
      <c r="S2472" s="1" t="str">
        <f t="shared" si="116"/>
        <v/>
      </c>
      <c r="T2472" s="1" t="str">
        <f>IF(OR($C2472="",$D2472&lt;&gt;"Gelir",$L2472=""),"",IFERROR(INDEX(MUSTERILER!$B$7:$B$156,MATCH($S2472,MUSTERILER!$T$7:$T$156,0)),""))</f>
        <v/>
      </c>
      <c r="U2472" s="1" t="str">
        <f>IF($T2472="","",$T2472&amp;"|"&amp;COUNTIFS($T$7:$T2472,$T2472))</f>
        <v/>
      </c>
      <c r="V2472" s="1">
        <f t="shared" si="117"/>
        <v>0</v>
      </c>
      <c r="W2472" s="1" t="str">
        <f t="shared" si="118"/>
        <v/>
      </c>
      <c r="X2472" s="1"/>
      <c r="Y2472" s="1"/>
      <c r="Z2472" s="1"/>
      <c r="AA2472" s="1"/>
      <c r="AB2472" s="1"/>
      <c r="AC2472" s="1"/>
      <c r="AD2472" s="1">
        <f>IF($C2472="",0,SUMPRODUCT((AY_SONU!$O$7:$O$42="Evet")*(AY_SONU!$B$7:$B$42=DATE(YEAR($C2472),MONTH($C2472),1))))</f>
        <v>0</v>
      </c>
      <c r="AE2472" s="1" t="str">
        <f>IF($E2472="","",$E2472&amp;"|"&amp;COUNTIFS($E$7:$E2472,$E2472))</f>
        <v/>
      </c>
    </row>
    <row r="2473" spans="1:31" ht="18" customHeight="1" x14ac:dyDescent="0.3">
      <c r="A2473" s="2"/>
      <c r="B2473" s="65" t="str">
        <f>IF($C2473="","","GG"&amp;TEXT(ROW()-6,"00000"))</f>
        <v/>
      </c>
      <c r="C2473" s="66"/>
      <c r="D2473" s="60"/>
      <c r="E2473" s="61"/>
      <c r="F2473" s="61"/>
      <c r="G2473" s="67"/>
      <c r="H2473" s="60"/>
      <c r="I2473" s="60"/>
      <c r="J2473" s="61"/>
      <c r="K2473" s="61"/>
      <c r="L2473" s="60"/>
      <c r="M2473" s="74" t="str">
        <f>IF($C2473="","",IF($D2473="Gider",$E2473,IF($L2473&lt;&gt;"",$L2473,$H2473)))</f>
        <v/>
      </c>
      <c r="N2473" s="74" t="str">
        <f>IF($C2473="","",IF($D2473="Gider",$H2473,$E2473))</f>
        <v/>
      </c>
      <c r="O2473" s="73" t="str">
        <f>IF($C2473="","",DATE(YEAR($C2473),MONTH($C2473),1))</f>
        <v/>
      </c>
      <c r="P2473" s="65" t="str">
        <f ca="1">IF($C2473="","",IF(AND($D2473="Gelir",$L2473&lt;&gt;"",$T2473=""),"TANIMSIZ BORÇLU",IF($T2473&lt;&gt;"",IF(OR($E2473="",$G2473&lt;=0),"EKSİK",IF($I2473="Evet","TAHAKKUK NAKİT OLAMAZ",IF($C2473&gt;TODAY(),"İLERİ TARİH","TAHAKKUK"))),IF(AND($D2473&lt;&gt;"",$E2473&lt;&gt;"",$G2473&gt;0,$H2473&lt;&gt;"",$I2473&lt;&gt;""),IF($C2473&gt;TODAY(),"İLERİ TARİH",IF(COUNTIF($W$7:$W$3001,$W2473)&gt;1,"MÜKERRER?",IF($AD2473&gt;0,"KAPALI DÖNEM",IF($I2473="Hayır","ÖDENECEK","UYGUN")))),"EKSİK"))))</f>
        <v/>
      </c>
      <c r="Q2473" s="2"/>
      <c r="R2473" s="2"/>
      <c r="S2473" s="1" t="str">
        <f t="shared" si="116"/>
        <v/>
      </c>
      <c r="T2473" s="1" t="str">
        <f>IF(OR($C2473="",$D2473&lt;&gt;"Gelir",$L2473=""),"",IFERROR(INDEX(MUSTERILER!$B$7:$B$156,MATCH($S2473,MUSTERILER!$T$7:$T$156,0)),""))</f>
        <v/>
      </c>
      <c r="U2473" s="1" t="str">
        <f>IF($T2473="","",$T2473&amp;"|"&amp;COUNTIFS($T$7:$T2473,$T2473))</f>
        <v/>
      </c>
      <c r="V2473" s="1">
        <f t="shared" si="117"/>
        <v>0</v>
      </c>
      <c r="W2473" s="1" t="str">
        <f t="shared" si="118"/>
        <v/>
      </c>
      <c r="X2473" s="1"/>
      <c r="Y2473" s="1"/>
      <c r="Z2473" s="1"/>
      <c r="AA2473" s="1"/>
      <c r="AB2473" s="1"/>
      <c r="AC2473" s="1"/>
      <c r="AD2473" s="1">
        <f>IF($C2473="",0,SUMPRODUCT((AY_SONU!$O$7:$O$42="Evet")*(AY_SONU!$B$7:$B$42=DATE(YEAR($C2473),MONTH($C2473),1))))</f>
        <v>0</v>
      </c>
      <c r="AE2473" s="1" t="str">
        <f>IF($E2473="","",$E2473&amp;"|"&amp;COUNTIFS($E$7:$E2473,$E2473))</f>
        <v/>
      </c>
    </row>
    <row r="2474" spans="1:31" ht="18" customHeight="1" x14ac:dyDescent="0.3">
      <c r="A2474" s="2"/>
      <c r="B2474" s="65" t="str">
        <f>IF($C2474="","","GG"&amp;TEXT(ROW()-6,"00000"))</f>
        <v/>
      </c>
      <c r="C2474" s="66"/>
      <c r="D2474" s="60"/>
      <c r="E2474" s="61"/>
      <c r="F2474" s="61"/>
      <c r="G2474" s="67"/>
      <c r="H2474" s="60"/>
      <c r="I2474" s="60"/>
      <c r="J2474" s="61"/>
      <c r="K2474" s="61"/>
      <c r="L2474" s="60"/>
      <c r="M2474" s="74" t="str">
        <f>IF($C2474="","",IF($D2474="Gider",$E2474,IF($L2474&lt;&gt;"",$L2474,$H2474)))</f>
        <v/>
      </c>
      <c r="N2474" s="74" t="str">
        <f>IF($C2474="","",IF($D2474="Gider",$H2474,$E2474))</f>
        <v/>
      </c>
      <c r="O2474" s="73" t="str">
        <f>IF($C2474="","",DATE(YEAR($C2474),MONTH($C2474),1))</f>
        <v/>
      </c>
      <c r="P2474" s="65" t="str">
        <f ca="1">IF($C2474="","",IF(AND($D2474="Gelir",$L2474&lt;&gt;"",$T2474=""),"TANIMSIZ BORÇLU",IF($T2474&lt;&gt;"",IF(OR($E2474="",$G2474&lt;=0),"EKSİK",IF($I2474="Evet","TAHAKKUK NAKİT OLAMAZ",IF($C2474&gt;TODAY(),"İLERİ TARİH","TAHAKKUK"))),IF(AND($D2474&lt;&gt;"",$E2474&lt;&gt;"",$G2474&gt;0,$H2474&lt;&gt;"",$I2474&lt;&gt;""),IF($C2474&gt;TODAY(),"İLERİ TARİH",IF(COUNTIF($W$7:$W$3001,$W2474)&gt;1,"MÜKERRER?",IF($AD2474&gt;0,"KAPALI DÖNEM",IF($I2474="Hayır","ÖDENECEK","UYGUN")))),"EKSİK"))))</f>
        <v/>
      </c>
      <c r="Q2474" s="2"/>
      <c r="R2474" s="2"/>
      <c r="S2474" s="1" t="str">
        <f t="shared" si="116"/>
        <v/>
      </c>
      <c r="T2474" s="1" t="str">
        <f>IF(OR($C2474="",$D2474&lt;&gt;"Gelir",$L2474=""),"",IFERROR(INDEX(MUSTERILER!$B$7:$B$156,MATCH($S2474,MUSTERILER!$T$7:$T$156,0)),""))</f>
        <v/>
      </c>
      <c r="U2474" s="1" t="str">
        <f>IF($T2474="","",$T2474&amp;"|"&amp;COUNTIFS($T$7:$T2474,$T2474))</f>
        <v/>
      </c>
      <c r="V2474" s="1">
        <f t="shared" si="117"/>
        <v>0</v>
      </c>
      <c r="W2474" s="1" t="str">
        <f t="shared" si="118"/>
        <v/>
      </c>
      <c r="X2474" s="1"/>
      <c r="Y2474" s="1"/>
      <c r="Z2474" s="1"/>
      <c r="AA2474" s="1"/>
      <c r="AB2474" s="1"/>
      <c r="AC2474" s="1"/>
      <c r="AD2474" s="1">
        <f>IF($C2474="",0,SUMPRODUCT((AY_SONU!$O$7:$O$42="Evet")*(AY_SONU!$B$7:$B$42=DATE(YEAR($C2474),MONTH($C2474),1))))</f>
        <v>0</v>
      </c>
      <c r="AE2474" s="1" t="str">
        <f>IF($E2474="","",$E2474&amp;"|"&amp;COUNTIFS($E$7:$E2474,$E2474))</f>
        <v/>
      </c>
    </row>
    <row r="2475" spans="1:31" ht="18" customHeight="1" x14ac:dyDescent="0.3">
      <c r="A2475" s="2"/>
      <c r="B2475" s="65" t="str">
        <f>IF($C2475="","","GG"&amp;TEXT(ROW()-6,"00000"))</f>
        <v/>
      </c>
      <c r="C2475" s="66"/>
      <c r="D2475" s="60"/>
      <c r="E2475" s="61"/>
      <c r="F2475" s="61"/>
      <c r="G2475" s="67"/>
      <c r="H2475" s="60"/>
      <c r="I2475" s="60"/>
      <c r="J2475" s="61"/>
      <c r="K2475" s="61"/>
      <c r="L2475" s="60"/>
      <c r="M2475" s="74" t="str">
        <f>IF($C2475="","",IF($D2475="Gider",$E2475,IF($L2475&lt;&gt;"",$L2475,$H2475)))</f>
        <v/>
      </c>
      <c r="N2475" s="74" t="str">
        <f>IF($C2475="","",IF($D2475="Gider",$H2475,$E2475))</f>
        <v/>
      </c>
      <c r="O2475" s="73" t="str">
        <f>IF($C2475="","",DATE(YEAR($C2475),MONTH($C2475),1))</f>
        <v/>
      </c>
      <c r="P2475" s="65" t="str">
        <f ca="1">IF($C2475="","",IF(AND($D2475="Gelir",$L2475&lt;&gt;"",$T2475=""),"TANIMSIZ BORÇLU",IF($T2475&lt;&gt;"",IF(OR($E2475="",$G2475&lt;=0),"EKSİK",IF($I2475="Evet","TAHAKKUK NAKİT OLAMAZ",IF($C2475&gt;TODAY(),"İLERİ TARİH","TAHAKKUK"))),IF(AND($D2475&lt;&gt;"",$E2475&lt;&gt;"",$G2475&gt;0,$H2475&lt;&gt;"",$I2475&lt;&gt;""),IF($C2475&gt;TODAY(),"İLERİ TARİH",IF(COUNTIF($W$7:$W$3001,$W2475)&gt;1,"MÜKERRER?",IF($AD2475&gt;0,"KAPALI DÖNEM",IF($I2475="Hayır","ÖDENECEK","UYGUN")))),"EKSİK"))))</f>
        <v/>
      </c>
      <c r="Q2475" s="2"/>
      <c r="R2475" s="2"/>
      <c r="S2475" s="1" t="str">
        <f t="shared" si="116"/>
        <v/>
      </c>
      <c r="T2475" s="1" t="str">
        <f>IF(OR($C2475="",$D2475&lt;&gt;"Gelir",$L2475=""),"",IFERROR(INDEX(MUSTERILER!$B$7:$B$156,MATCH($S2475,MUSTERILER!$T$7:$T$156,0)),""))</f>
        <v/>
      </c>
      <c r="U2475" s="1" t="str">
        <f>IF($T2475="","",$T2475&amp;"|"&amp;COUNTIFS($T$7:$T2475,$T2475))</f>
        <v/>
      </c>
      <c r="V2475" s="1">
        <f t="shared" si="117"/>
        <v>0</v>
      </c>
      <c r="W2475" s="1" t="str">
        <f t="shared" si="118"/>
        <v/>
      </c>
      <c r="X2475" s="1"/>
      <c r="Y2475" s="1"/>
      <c r="Z2475" s="1"/>
      <c r="AA2475" s="1"/>
      <c r="AB2475" s="1"/>
      <c r="AC2475" s="1"/>
      <c r="AD2475" s="1">
        <f>IF($C2475="",0,SUMPRODUCT((AY_SONU!$O$7:$O$42="Evet")*(AY_SONU!$B$7:$B$42=DATE(YEAR($C2475),MONTH($C2475),1))))</f>
        <v>0</v>
      </c>
      <c r="AE2475" s="1" t="str">
        <f>IF($E2475="","",$E2475&amp;"|"&amp;COUNTIFS($E$7:$E2475,$E2475))</f>
        <v/>
      </c>
    </row>
    <row r="2476" spans="1:31" ht="18" customHeight="1" x14ac:dyDescent="0.3">
      <c r="A2476" s="2"/>
      <c r="B2476" s="65" t="str">
        <f>IF($C2476="","","GG"&amp;TEXT(ROW()-6,"00000"))</f>
        <v/>
      </c>
      <c r="C2476" s="66"/>
      <c r="D2476" s="60"/>
      <c r="E2476" s="61"/>
      <c r="F2476" s="61"/>
      <c r="G2476" s="67"/>
      <c r="H2476" s="60"/>
      <c r="I2476" s="60"/>
      <c r="J2476" s="61"/>
      <c r="K2476" s="61"/>
      <c r="L2476" s="60"/>
      <c r="M2476" s="74" t="str">
        <f>IF($C2476="","",IF($D2476="Gider",$E2476,IF($L2476&lt;&gt;"",$L2476,$H2476)))</f>
        <v/>
      </c>
      <c r="N2476" s="74" t="str">
        <f>IF($C2476="","",IF($D2476="Gider",$H2476,$E2476))</f>
        <v/>
      </c>
      <c r="O2476" s="73" t="str">
        <f>IF($C2476="","",DATE(YEAR($C2476),MONTH($C2476),1))</f>
        <v/>
      </c>
      <c r="P2476" s="65" t="str">
        <f ca="1">IF($C2476="","",IF(AND($D2476="Gelir",$L2476&lt;&gt;"",$T2476=""),"TANIMSIZ BORÇLU",IF($T2476&lt;&gt;"",IF(OR($E2476="",$G2476&lt;=0),"EKSİK",IF($I2476="Evet","TAHAKKUK NAKİT OLAMAZ",IF($C2476&gt;TODAY(),"İLERİ TARİH","TAHAKKUK"))),IF(AND($D2476&lt;&gt;"",$E2476&lt;&gt;"",$G2476&gt;0,$H2476&lt;&gt;"",$I2476&lt;&gt;""),IF($C2476&gt;TODAY(),"İLERİ TARİH",IF(COUNTIF($W$7:$W$3001,$W2476)&gt;1,"MÜKERRER?",IF($AD2476&gt;0,"KAPALI DÖNEM",IF($I2476="Hayır","ÖDENECEK","UYGUN")))),"EKSİK"))))</f>
        <v/>
      </c>
      <c r="Q2476" s="2"/>
      <c r="R2476" s="2"/>
      <c r="S2476" s="1" t="str">
        <f t="shared" si="116"/>
        <v/>
      </c>
      <c r="T2476" s="1" t="str">
        <f>IF(OR($C2476="",$D2476&lt;&gt;"Gelir",$L2476=""),"",IFERROR(INDEX(MUSTERILER!$B$7:$B$156,MATCH($S2476,MUSTERILER!$T$7:$T$156,0)),""))</f>
        <v/>
      </c>
      <c r="U2476" s="1" t="str">
        <f>IF($T2476="","",$T2476&amp;"|"&amp;COUNTIFS($T$7:$T2476,$T2476))</f>
        <v/>
      </c>
      <c r="V2476" s="1">
        <f t="shared" si="117"/>
        <v>0</v>
      </c>
      <c r="W2476" s="1" t="str">
        <f t="shared" si="118"/>
        <v/>
      </c>
      <c r="X2476" s="1"/>
      <c r="Y2476" s="1"/>
      <c r="Z2476" s="1"/>
      <c r="AA2476" s="1"/>
      <c r="AB2476" s="1"/>
      <c r="AC2476" s="1"/>
      <c r="AD2476" s="1">
        <f>IF($C2476="",0,SUMPRODUCT((AY_SONU!$O$7:$O$42="Evet")*(AY_SONU!$B$7:$B$42=DATE(YEAR($C2476),MONTH($C2476),1))))</f>
        <v>0</v>
      </c>
      <c r="AE2476" s="1" t="str">
        <f>IF($E2476="","",$E2476&amp;"|"&amp;COUNTIFS($E$7:$E2476,$E2476))</f>
        <v/>
      </c>
    </row>
    <row r="2477" spans="1:31" ht="18" customHeight="1" x14ac:dyDescent="0.3">
      <c r="A2477" s="2"/>
      <c r="B2477" s="65" t="str">
        <f>IF($C2477="","","GG"&amp;TEXT(ROW()-6,"00000"))</f>
        <v/>
      </c>
      <c r="C2477" s="66"/>
      <c r="D2477" s="60"/>
      <c r="E2477" s="61"/>
      <c r="F2477" s="61"/>
      <c r="G2477" s="67"/>
      <c r="H2477" s="60"/>
      <c r="I2477" s="60"/>
      <c r="J2477" s="61"/>
      <c r="K2477" s="61"/>
      <c r="L2477" s="60"/>
      <c r="M2477" s="74" t="str">
        <f>IF($C2477="","",IF($D2477="Gider",$E2477,IF($L2477&lt;&gt;"",$L2477,$H2477)))</f>
        <v/>
      </c>
      <c r="N2477" s="74" t="str">
        <f>IF($C2477="","",IF($D2477="Gider",$H2477,$E2477))</f>
        <v/>
      </c>
      <c r="O2477" s="73" t="str">
        <f>IF($C2477="","",DATE(YEAR($C2477),MONTH($C2477),1))</f>
        <v/>
      </c>
      <c r="P2477" s="65" t="str">
        <f ca="1">IF($C2477="","",IF(AND($D2477="Gelir",$L2477&lt;&gt;"",$T2477=""),"TANIMSIZ BORÇLU",IF($T2477&lt;&gt;"",IF(OR($E2477="",$G2477&lt;=0),"EKSİK",IF($I2477="Evet","TAHAKKUK NAKİT OLAMAZ",IF($C2477&gt;TODAY(),"İLERİ TARİH","TAHAKKUK"))),IF(AND($D2477&lt;&gt;"",$E2477&lt;&gt;"",$G2477&gt;0,$H2477&lt;&gt;"",$I2477&lt;&gt;""),IF($C2477&gt;TODAY(),"İLERİ TARİH",IF(COUNTIF($W$7:$W$3001,$W2477)&gt;1,"MÜKERRER?",IF($AD2477&gt;0,"KAPALI DÖNEM",IF($I2477="Hayır","ÖDENECEK","UYGUN")))),"EKSİK"))))</f>
        <v/>
      </c>
      <c r="Q2477" s="2"/>
      <c r="R2477" s="2"/>
      <c r="S2477" s="1" t="str">
        <f t="shared" si="116"/>
        <v/>
      </c>
      <c r="T2477" s="1" t="str">
        <f>IF(OR($C2477="",$D2477&lt;&gt;"Gelir",$L2477=""),"",IFERROR(INDEX(MUSTERILER!$B$7:$B$156,MATCH($S2477,MUSTERILER!$T$7:$T$156,0)),""))</f>
        <v/>
      </c>
      <c r="U2477" s="1" t="str">
        <f>IF($T2477="","",$T2477&amp;"|"&amp;COUNTIFS($T$7:$T2477,$T2477))</f>
        <v/>
      </c>
      <c r="V2477" s="1">
        <f t="shared" si="117"/>
        <v>0</v>
      </c>
      <c r="W2477" s="1" t="str">
        <f t="shared" si="118"/>
        <v/>
      </c>
      <c r="X2477" s="1"/>
      <c r="Y2477" s="1"/>
      <c r="Z2477" s="1"/>
      <c r="AA2477" s="1"/>
      <c r="AB2477" s="1"/>
      <c r="AC2477" s="1"/>
      <c r="AD2477" s="1">
        <f>IF($C2477="",0,SUMPRODUCT((AY_SONU!$O$7:$O$42="Evet")*(AY_SONU!$B$7:$B$42=DATE(YEAR($C2477),MONTH($C2477),1))))</f>
        <v>0</v>
      </c>
      <c r="AE2477" s="1" t="str">
        <f>IF($E2477="","",$E2477&amp;"|"&amp;COUNTIFS($E$7:$E2477,$E2477))</f>
        <v/>
      </c>
    </row>
    <row r="2478" spans="1:31" ht="18" customHeight="1" x14ac:dyDescent="0.3">
      <c r="A2478" s="2"/>
      <c r="B2478" s="65" t="str">
        <f>IF($C2478="","","GG"&amp;TEXT(ROW()-6,"00000"))</f>
        <v/>
      </c>
      <c r="C2478" s="66"/>
      <c r="D2478" s="60"/>
      <c r="E2478" s="61"/>
      <c r="F2478" s="61"/>
      <c r="G2478" s="67"/>
      <c r="H2478" s="60"/>
      <c r="I2478" s="60"/>
      <c r="J2478" s="61"/>
      <c r="K2478" s="61"/>
      <c r="L2478" s="60"/>
      <c r="M2478" s="74" t="str">
        <f>IF($C2478="","",IF($D2478="Gider",$E2478,IF($L2478&lt;&gt;"",$L2478,$H2478)))</f>
        <v/>
      </c>
      <c r="N2478" s="74" t="str">
        <f>IF($C2478="","",IF($D2478="Gider",$H2478,$E2478))</f>
        <v/>
      </c>
      <c r="O2478" s="73" t="str">
        <f>IF($C2478="","",DATE(YEAR($C2478),MONTH($C2478),1))</f>
        <v/>
      </c>
      <c r="P2478" s="65" t="str">
        <f ca="1">IF($C2478="","",IF(AND($D2478="Gelir",$L2478&lt;&gt;"",$T2478=""),"TANIMSIZ BORÇLU",IF($T2478&lt;&gt;"",IF(OR($E2478="",$G2478&lt;=0),"EKSİK",IF($I2478="Evet","TAHAKKUK NAKİT OLAMAZ",IF($C2478&gt;TODAY(),"İLERİ TARİH","TAHAKKUK"))),IF(AND($D2478&lt;&gt;"",$E2478&lt;&gt;"",$G2478&gt;0,$H2478&lt;&gt;"",$I2478&lt;&gt;""),IF($C2478&gt;TODAY(),"İLERİ TARİH",IF(COUNTIF($W$7:$W$3001,$W2478)&gt;1,"MÜKERRER?",IF($AD2478&gt;0,"KAPALI DÖNEM",IF($I2478="Hayır","ÖDENECEK","UYGUN")))),"EKSİK"))))</f>
        <v/>
      </c>
      <c r="Q2478" s="2"/>
      <c r="R2478" s="2"/>
      <c r="S2478" s="1" t="str">
        <f t="shared" si="116"/>
        <v/>
      </c>
      <c r="T2478" s="1" t="str">
        <f>IF(OR($C2478="",$D2478&lt;&gt;"Gelir",$L2478=""),"",IFERROR(INDEX(MUSTERILER!$B$7:$B$156,MATCH($S2478,MUSTERILER!$T$7:$T$156,0)),""))</f>
        <v/>
      </c>
      <c r="U2478" s="1" t="str">
        <f>IF($T2478="","",$T2478&amp;"|"&amp;COUNTIFS($T$7:$T2478,$T2478))</f>
        <v/>
      </c>
      <c r="V2478" s="1">
        <f t="shared" si="117"/>
        <v>0</v>
      </c>
      <c r="W2478" s="1" t="str">
        <f t="shared" si="118"/>
        <v/>
      </c>
      <c r="X2478" s="1"/>
      <c r="Y2478" s="1"/>
      <c r="Z2478" s="1"/>
      <c r="AA2478" s="1"/>
      <c r="AB2478" s="1"/>
      <c r="AC2478" s="1"/>
      <c r="AD2478" s="1">
        <f>IF($C2478="",0,SUMPRODUCT((AY_SONU!$O$7:$O$42="Evet")*(AY_SONU!$B$7:$B$42=DATE(YEAR($C2478),MONTH($C2478),1))))</f>
        <v>0</v>
      </c>
      <c r="AE2478" s="1" t="str">
        <f>IF($E2478="","",$E2478&amp;"|"&amp;COUNTIFS($E$7:$E2478,$E2478))</f>
        <v/>
      </c>
    </row>
    <row r="2479" spans="1:31" ht="18" customHeight="1" x14ac:dyDescent="0.3">
      <c r="A2479" s="2"/>
      <c r="B2479" s="65" t="str">
        <f>IF($C2479="","","GG"&amp;TEXT(ROW()-6,"00000"))</f>
        <v/>
      </c>
      <c r="C2479" s="66"/>
      <c r="D2479" s="60"/>
      <c r="E2479" s="61"/>
      <c r="F2479" s="61"/>
      <c r="G2479" s="67"/>
      <c r="H2479" s="60"/>
      <c r="I2479" s="60"/>
      <c r="J2479" s="61"/>
      <c r="K2479" s="61"/>
      <c r="L2479" s="60"/>
      <c r="M2479" s="74" t="str">
        <f>IF($C2479="","",IF($D2479="Gider",$E2479,IF($L2479&lt;&gt;"",$L2479,$H2479)))</f>
        <v/>
      </c>
      <c r="N2479" s="74" t="str">
        <f>IF($C2479="","",IF($D2479="Gider",$H2479,$E2479))</f>
        <v/>
      </c>
      <c r="O2479" s="73" t="str">
        <f>IF($C2479="","",DATE(YEAR($C2479),MONTH($C2479),1))</f>
        <v/>
      </c>
      <c r="P2479" s="65" t="str">
        <f ca="1">IF($C2479="","",IF(AND($D2479="Gelir",$L2479&lt;&gt;"",$T2479=""),"TANIMSIZ BORÇLU",IF($T2479&lt;&gt;"",IF(OR($E2479="",$G2479&lt;=0),"EKSİK",IF($I2479="Evet","TAHAKKUK NAKİT OLAMAZ",IF($C2479&gt;TODAY(),"İLERİ TARİH","TAHAKKUK"))),IF(AND($D2479&lt;&gt;"",$E2479&lt;&gt;"",$G2479&gt;0,$H2479&lt;&gt;"",$I2479&lt;&gt;""),IF($C2479&gt;TODAY(),"İLERİ TARİH",IF(COUNTIF($W$7:$W$3001,$W2479)&gt;1,"MÜKERRER?",IF($AD2479&gt;0,"KAPALI DÖNEM",IF($I2479="Hayır","ÖDENECEK","UYGUN")))),"EKSİK"))))</f>
        <v/>
      </c>
      <c r="Q2479" s="2"/>
      <c r="R2479" s="2"/>
      <c r="S2479" s="1" t="str">
        <f t="shared" si="116"/>
        <v/>
      </c>
      <c r="T2479" s="1" t="str">
        <f>IF(OR($C2479="",$D2479&lt;&gt;"Gelir",$L2479=""),"",IFERROR(INDEX(MUSTERILER!$B$7:$B$156,MATCH($S2479,MUSTERILER!$T$7:$T$156,0)),""))</f>
        <v/>
      </c>
      <c r="U2479" s="1" t="str">
        <f>IF($T2479="","",$T2479&amp;"|"&amp;COUNTIFS($T$7:$T2479,$T2479))</f>
        <v/>
      </c>
      <c r="V2479" s="1">
        <f t="shared" si="117"/>
        <v>0</v>
      </c>
      <c r="W2479" s="1" t="str">
        <f t="shared" si="118"/>
        <v/>
      </c>
      <c r="X2479" s="1"/>
      <c r="Y2479" s="1"/>
      <c r="Z2479" s="1"/>
      <c r="AA2479" s="1"/>
      <c r="AB2479" s="1"/>
      <c r="AC2479" s="1"/>
      <c r="AD2479" s="1">
        <f>IF($C2479="",0,SUMPRODUCT((AY_SONU!$O$7:$O$42="Evet")*(AY_SONU!$B$7:$B$42=DATE(YEAR($C2479),MONTH($C2479),1))))</f>
        <v>0</v>
      </c>
      <c r="AE2479" s="1" t="str">
        <f>IF($E2479="","",$E2479&amp;"|"&amp;COUNTIFS($E$7:$E2479,$E2479))</f>
        <v/>
      </c>
    </row>
    <row r="2480" spans="1:31" ht="18" customHeight="1" x14ac:dyDescent="0.3">
      <c r="A2480" s="2"/>
      <c r="B2480" s="65" t="str">
        <f>IF($C2480="","","GG"&amp;TEXT(ROW()-6,"00000"))</f>
        <v/>
      </c>
      <c r="C2480" s="66"/>
      <c r="D2480" s="60"/>
      <c r="E2480" s="61"/>
      <c r="F2480" s="61"/>
      <c r="G2480" s="67"/>
      <c r="H2480" s="60"/>
      <c r="I2480" s="60"/>
      <c r="J2480" s="61"/>
      <c r="K2480" s="61"/>
      <c r="L2480" s="60"/>
      <c r="M2480" s="74" t="str">
        <f>IF($C2480="","",IF($D2480="Gider",$E2480,IF($L2480&lt;&gt;"",$L2480,$H2480)))</f>
        <v/>
      </c>
      <c r="N2480" s="74" t="str">
        <f>IF($C2480="","",IF($D2480="Gider",$H2480,$E2480))</f>
        <v/>
      </c>
      <c r="O2480" s="73" t="str">
        <f>IF($C2480="","",DATE(YEAR($C2480),MONTH($C2480),1))</f>
        <v/>
      </c>
      <c r="P2480" s="65" t="str">
        <f ca="1">IF($C2480="","",IF(AND($D2480="Gelir",$L2480&lt;&gt;"",$T2480=""),"TANIMSIZ BORÇLU",IF($T2480&lt;&gt;"",IF(OR($E2480="",$G2480&lt;=0),"EKSİK",IF($I2480="Evet","TAHAKKUK NAKİT OLAMAZ",IF($C2480&gt;TODAY(),"İLERİ TARİH","TAHAKKUK"))),IF(AND($D2480&lt;&gt;"",$E2480&lt;&gt;"",$G2480&gt;0,$H2480&lt;&gt;"",$I2480&lt;&gt;""),IF($C2480&gt;TODAY(),"İLERİ TARİH",IF(COUNTIF($W$7:$W$3001,$W2480)&gt;1,"MÜKERRER?",IF($AD2480&gt;0,"KAPALI DÖNEM",IF($I2480="Hayır","ÖDENECEK","UYGUN")))),"EKSİK"))))</f>
        <v/>
      </c>
      <c r="Q2480" s="2"/>
      <c r="R2480" s="2"/>
      <c r="S2480" s="1" t="str">
        <f t="shared" si="116"/>
        <v/>
      </c>
      <c r="T2480" s="1" t="str">
        <f>IF(OR($C2480="",$D2480&lt;&gt;"Gelir",$L2480=""),"",IFERROR(INDEX(MUSTERILER!$B$7:$B$156,MATCH($S2480,MUSTERILER!$T$7:$T$156,0)),""))</f>
        <v/>
      </c>
      <c r="U2480" s="1" t="str">
        <f>IF($T2480="","",$T2480&amp;"|"&amp;COUNTIFS($T$7:$T2480,$T2480))</f>
        <v/>
      </c>
      <c r="V2480" s="1">
        <f t="shared" si="117"/>
        <v>0</v>
      </c>
      <c r="W2480" s="1" t="str">
        <f t="shared" si="118"/>
        <v/>
      </c>
      <c r="X2480" s="1"/>
      <c r="Y2480" s="1"/>
      <c r="Z2480" s="1"/>
      <c r="AA2480" s="1"/>
      <c r="AB2480" s="1"/>
      <c r="AC2480" s="1"/>
      <c r="AD2480" s="1">
        <f>IF($C2480="",0,SUMPRODUCT((AY_SONU!$O$7:$O$42="Evet")*(AY_SONU!$B$7:$B$42=DATE(YEAR($C2480),MONTH($C2480),1))))</f>
        <v>0</v>
      </c>
      <c r="AE2480" s="1" t="str">
        <f>IF($E2480="","",$E2480&amp;"|"&amp;COUNTIFS($E$7:$E2480,$E2480))</f>
        <v/>
      </c>
    </row>
    <row r="2481" spans="1:31" ht="18" customHeight="1" x14ac:dyDescent="0.3">
      <c r="A2481" s="2"/>
      <c r="B2481" s="65" t="str">
        <f>IF($C2481="","","GG"&amp;TEXT(ROW()-6,"00000"))</f>
        <v/>
      </c>
      <c r="C2481" s="66"/>
      <c r="D2481" s="60"/>
      <c r="E2481" s="61"/>
      <c r="F2481" s="61"/>
      <c r="G2481" s="67"/>
      <c r="H2481" s="60"/>
      <c r="I2481" s="60"/>
      <c r="J2481" s="61"/>
      <c r="K2481" s="61"/>
      <c r="L2481" s="60"/>
      <c r="M2481" s="74" t="str">
        <f>IF($C2481="","",IF($D2481="Gider",$E2481,IF($L2481&lt;&gt;"",$L2481,$H2481)))</f>
        <v/>
      </c>
      <c r="N2481" s="74" t="str">
        <f>IF($C2481="","",IF($D2481="Gider",$H2481,$E2481))</f>
        <v/>
      </c>
      <c r="O2481" s="73" t="str">
        <f>IF($C2481="","",DATE(YEAR($C2481),MONTH($C2481),1))</f>
        <v/>
      </c>
      <c r="P2481" s="65" t="str">
        <f ca="1">IF($C2481="","",IF(AND($D2481="Gelir",$L2481&lt;&gt;"",$T2481=""),"TANIMSIZ BORÇLU",IF($T2481&lt;&gt;"",IF(OR($E2481="",$G2481&lt;=0),"EKSİK",IF($I2481="Evet","TAHAKKUK NAKİT OLAMAZ",IF($C2481&gt;TODAY(),"İLERİ TARİH","TAHAKKUK"))),IF(AND($D2481&lt;&gt;"",$E2481&lt;&gt;"",$G2481&gt;0,$H2481&lt;&gt;"",$I2481&lt;&gt;""),IF($C2481&gt;TODAY(),"İLERİ TARİH",IF(COUNTIF($W$7:$W$3001,$W2481)&gt;1,"MÜKERRER?",IF($AD2481&gt;0,"KAPALI DÖNEM",IF($I2481="Hayır","ÖDENECEK","UYGUN")))),"EKSİK"))))</f>
        <v/>
      </c>
      <c r="Q2481" s="2"/>
      <c r="R2481" s="2"/>
      <c r="S2481" s="1" t="str">
        <f t="shared" si="116"/>
        <v/>
      </c>
      <c r="T2481" s="1" t="str">
        <f>IF(OR($C2481="",$D2481&lt;&gt;"Gelir",$L2481=""),"",IFERROR(INDEX(MUSTERILER!$B$7:$B$156,MATCH($S2481,MUSTERILER!$T$7:$T$156,0)),""))</f>
        <v/>
      </c>
      <c r="U2481" s="1" t="str">
        <f>IF($T2481="","",$T2481&amp;"|"&amp;COUNTIFS($T$7:$T2481,$T2481))</f>
        <v/>
      </c>
      <c r="V2481" s="1">
        <f t="shared" si="117"/>
        <v>0</v>
      </c>
      <c r="W2481" s="1" t="str">
        <f t="shared" si="118"/>
        <v/>
      </c>
      <c r="X2481" s="1"/>
      <c r="Y2481" s="1"/>
      <c r="Z2481" s="1"/>
      <c r="AA2481" s="1"/>
      <c r="AB2481" s="1"/>
      <c r="AC2481" s="1"/>
      <c r="AD2481" s="1">
        <f>IF($C2481="",0,SUMPRODUCT((AY_SONU!$O$7:$O$42="Evet")*(AY_SONU!$B$7:$B$42=DATE(YEAR($C2481),MONTH($C2481),1))))</f>
        <v>0</v>
      </c>
      <c r="AE2481" s="1" t="str">
        <f>IF($E2481="","",$E2481&amp;"|"&amp;COUNTIFS($E$7:$E2481,$E2481))</f>
        <v/>
      </c>
    </row>
    <row r="2482" spans="1:31" ht="18" customHeight="1" x14ac:dyDescent="0.3">
      <c r="A2482" s="2"/>
      <c r="B2482" s="65" t="str">
        <f>IF($C2482="","","GG"&amp;TEXT(ROW()-6,"00000"))</f>
        <v/>
      </c>
      <c r="C2482" s="66"/>
      <c r="D2482" s="60"/>
      <c r="E2482" s="61"/>
      <c r="F2482" s="61"/>
      <c r="G2482" s="67"/>
      <c r="H2482" s="60"/>
      <c r="I2482" s="60"/>
      <c r="J2482" s="61"/>
      <c r="K2482" s="61"/>
      <c r="L2482" s="60"/>
      <c r="M2482" s="74" t="str">
        <f>IF($C2482="","",IF($D2482="Gider",$E2482,IF($L2482&lt;&gt;"",$L2482,$H2482)))</f>
        <v/>
      </c>
      <c r="N2482" s="74" t="str">
        <f>IF($C2482="","",IF($D2482="Gider",$H2482,$E2482))</f>
        <v/>
      </c>
      <c r="O2482" s="73" t="str">
        <f>IF($C2482="","",DATE(YEAR($C2482),MONTH($C2482),1))</f>
        <v/>
      </c>
      <c r="P2482" s="65" t="str">
        <f ca="1">IF($C2482="","",IF(AND($D2482="Gelir",$L2482&lt;&gt;"",$T2482=""),"TANIMSIZ BORÇLU",IF($T2482&lt;&gt;"",IF(OR($E2482="",$G2482&lt;=0),"EKSİK",IF($I2482="Evet","TAHAKKUK NAKİT OLAMAZ",IF($C2482&gt;TODAY(),"İLERİ TARİH","TAHAKKUK"))),IF(AND($D2482&lt;&gt;"",$E2482&lt;&gt;"",$G2482&gt;0,$H2482&lt;&gt;"",$I2482&lt;&gt;""),IF($C2482&gt;TODAY(),"İLERİ TARİH",IF(COUNTIF($W$7:$W$3001,$W2482)&gt;1,"MÜKERRER?",IF($AD2482&gt;0,"KAPALI DÖNEM",IF($I2482="Hayır","ÖDENECEK","UYGUN")))),"EKSİK"))))</f>
        <v/>
      </c>
      <c r="Q2482" s="2"/>
      <c r="R2482" s="2"/>
      <c r="S2482" s="1" t="str">
        <f t="shared" si="116"/>
        <v/>
      </c>
      <c r="T2482" s="1" t="str">
        <f>IF(OR($C2482="",$D2482&lt;&gt;"Gelir",$L2482=""),"",IFERROR(INDEX(MUSTERILER!$B$7:$B$156,MATCH($S2482,MUSTERILER!$T$7:$T$156,0)),""))</f>
        <v/>
      </c>
      <c r="U2482" s="1" t="str">
        <f>IF($T2482="","",$T2482&amp;"|"&amp;COUNTIFS($T$7:$T2482,$T2482))</f>
        <v/>
      </c>
      <c r="V2482" s="1">
        <f t="shared" si="117"/>
        <v>0</v>
      </c>
      <c r="W2482" s="1" t="str">
        <f t="shared" si="118"/>
        <v/>
      </c>
      <c r="X2482" s="1"/>
      <c r="Y2482" s="1"/>
      <c r="Z2482" s="1"/>
      <c r="AA2482" s="1"/>
      <c r="AB2482" s="1"/>
      <c r="AC2482" s="1"/>
      <c r="AD2482" s="1">
        <f>IF($C2482="",0,SUMPRODUCT((AY_SONU!$O$7:$O$42="Evet")*(AY_SONU!$B$7:$B$42=DATE(YEAR($C2482),MONTH($C2482),1))))</f>
        <v>0</v>
      </c>
      <c r="AE2482" s="1" t="str">
        <f>IF($E2482="","",$E2482&amp;"|"&amp;COUNTIFS($E$7:$E2482,$E2482))</f>
        <v/>
      </c>
    </row>
    <row r="2483" spans="1:31" ht="18" customHeight="1" x14ac:dyDescent="0.3">
      <c r="A2483" s="2"/>
      <c r="B2483" s="65" t="str">
        <f>IF($C2483="","","GG"&amp;TEXT(ROW()-6,"00000"))</f>
        <v/>
      </c>
      <c r="C2483" s="66"/>
      <c r="D2483" s="60"/>
      <c r="E2483" s="61"/>
      <c r="F2483" s="61"/>
      <c r="G2483" s="67"/>
      <c r="H2483" s="60"/>
      <c r="I2483" s="60"/>
      <c r="J2483" s="61"/>
      <c r="K2483" s="61"/>
      <c r="L2483" s="60"/>
      <c r="M2483" s="74" t="str">
        <f>IF($C2483="","",IF($D2483="Gider",$E2483,IF($L2483&lt;&gt;"",$L2483,$H2483)))</f>
        <v/>
      </c>
      <c r="N2483" s="74" t="str">
        <f>IF($C2483="","",IF($D2483="Gider",$H2483,$E2483))</f>
        <v/>
      </c>
      <c r="O2483" s="73" t="str">
        <f>IF($C2483="","",DATE(YEAR($C2483),MONTH($C2483),1))</f>
        <v/>
      </c>
      <c r="P2483" s="65" t="str">
        <f ca="1">IF($C2483="","",IF(AND($D2483="Gelir",$L2483&lt;&gt;"",$T2483=""),"TANIMSIZ BORÇLU",IF($T2483&lt;&gt;"",IF(OR($E2483="",$G2483&lt;=0),"EKSİK",IF($I2483="Evet","TAHAKKUK NAKİT OLAMAZ",IF($C2483&gt;TODAY(),"İLERİ TARİH","TAHAKKUK"))),IF(AND($D2483&lt;&gt;"",$E2483&lt;&gt;"",$G2483&gt;0,$H2483&lt;&gt;"",$I2483&lt;&gt;""),IF($C2483&gt;TODAY(),"İLERİ TARİH",IF(COUNTIF($W$7:$W$3001,$W2483)&gt;1,"MÜKERRER?",IF($AD2483&gt;0,"KAPALI DÖNEM",IF($I2483="Hayır","ÖDENECEK","UYGUN")))),"EKSİK"))))</f>
        <v/>
      </c>
      <c r="Q2483" s="2"/>
      <c r="R2483" s="2"/>
      <c r="S2483" s="1" t="str">
        <f t="shared" si="116"/>
        <v/>
      </c>
      <c r="T2483" s="1" t="str">
        <f>IF(OR($C2483="",$D2483&lt;&gt;"Gelir",$L2483=""),"",IFERROR(INDEX(MUSTERILER!$B$7:$B$156,MATCH($S2483,MUSTERILER!$T$7:$T$156,0)),""))</f>
        <v/>
      </c>
      <c r="U2483" s="1" t="str">
        <f>IF($T2483="","",$T2483&amp;"|"&amp;COUNTIFS($T$7:$T2483,$T2483))</f>
        <v/>
      </c>
      <c r="V2483" s="1">
        <f t="shared" si="117"/>
        <v>0</v>
      </c>
      <c r="W2483" s="1" t="str">
        <f t="shared" si="118"/>
        <v/>
      </c>
      <c r="X2483" s="1"/>
      <c r="Y2483" s="1"/>
      <c r="Z2483" s="1"/>
      <c r="AA2483" s="1"/>
      <c r="AB2483" s="1"/>
      <c r="AC2483" s="1"/>
      <c r="AD2483" s="1">
        <f>IF($C2483="",0,SUMPRODUCT((AY_SONU!$O$7:$O$42="Evet")*(AY_SONU!$B$7:$B$42=DATE(YEAR($C2483),MONTH($C2483),1))))</f>
        <v>0</v>
      </c>
      <c r="AE2483" s="1" t="str">
        <f>IF($E2483="","",$E2483&amp;"|"&amp;COUNTIFS($E$7:$E2483,$E2483))</f>
        <v/>
      </c>
    </row>
    <row r="2484" spans="1:31" ht="18" customHeight="1" x14ac:dyDescent="0.3">
      <c r="A2484" s="2"/>
      <c r="B2484" s="65" t="str">
        <f>IF($C2484="","","GG"&amp;TEXT(ROW()-6,"00000"))</f>
        <v/>
      </c>
      <c r="C2484" s="66"/>
      <c r="D2484" s="60"/>
      <c r="E2484" s="61"/>
      <c r="F2484" s="61"/>
      <c r="G2484" s="67"/>
      <c r="H2484" s="60"/>
      <c r="I2484" s="60"/>
      <c r="J2484" s="61"/>
      <c r="K2484" s="61"/>
      <c r="L2484" s="60"/>
      <c r="M2484" s="74" t="str">
        <f>IF($C2484="","",IF($D2484="Gider",$E2484,IF($L2484&lt;&gt;"",$L2484,$H2484)))</f>
        <v/>
      </c>
      <c r="N2484" s="74" t="str">
        <f>IF($C2484="","",IF($D2484="Gider",$H2484,$E2484))</f>
        <v/>
      </c>
      <c r="O2484" s="73" t="str">
        <f>IF($C2484="","",DATE(YEAR($C2484),MONTH($C2484),1))</f>
        <v/>
      </c>
      <c r="P2484" s="65" t="str">
        <f ca="1">IF($C2484="","",IF(AND($D2484="Gelir",$L2484&lt;&gt;"",$T2484=""),"TANIMSIZ BORÇLU",IF($T2484&lt;&gt;"",IF(OR($E2484="",$G2484&lt;=0),"EKSİK",IF($I2484="Evet","TAHAKKUK NAKİT OLAMAZ",IF($C2484&gt;TODAY(),"İLERİ TARİH","TAHAKKUK"))),IF(AND($D2484&lt;&gt;"",$E2484&lt;&gt;"",$G2484&gt;0,$H2484&lt;&gt;"",$I2484&lt;&gt;""),IF($C2484&gt;TODAY(),"İLERİ TARİH",IF(COUNTIF($W$7:$W$3001,$W2484)&gt;1,"MÜKERRER?",IF($AD2484&gt;0,"KAPALI DÖNEM",IF($I2484="Hayır","ÖDENECEK","UYGUN")))),"EKSİK"))))</f>
        <v/>
      </c>
      <c r="Q2484" s="2"/>
      <c r="R2484" s="2"/>
      <c r="S2484" s="1" t="str">
        <f t="shared" si="116"/>
        <v/>
      </c>
      <c r="T2484" s="1" t="str">
        <f>IF(OR($C2484="",$D2484&lt;&gt;"Gelir",$L2484=""),"",IFERROR(INDEX(MUSTERILER!$B$7:$B$156,MATCH($S2484,MUSTERILER!$T$7:$T$156,0)),""))</f>
        <v/>
      </c>
      <c r="U2484" s="1" t="str">
        <f>IF($T2484="","",$T2484&amp;"|"&amp;COUNTIFS($T$7:$T2484,$T2484))</f>
        <v/>
      </c>
      <c r="V2484" s="1">
        <f t="shared" si="117"/>
        <v>0</v>
      </c>
      <c r="W2484" s="1" t="str">
        <f t="shared" si="118"/>
        <v/>
      </c>
      <c r="X2484" s="1"/>
      <c r="Y2484" s="1"/>
      <c r="Z2484" s="1"/>
      <c r="AA2484" s="1"/>
      <c r="AB2484" s="1"/>
      <c r="AC2484" s="1"/>
      <c r="AD2484" s="1">
        <f>IF($C2484="",0,SUMPRODUCT((AY_SONU!$O$7:$O$42="Evet")*(AY_SONU!$B$7:$B$42=DATE(YEAR($C2484),MONTH($C2484),1))))</f>
        <v>0</v>
      </c>
      <c r="AE2484" s="1" t="str">
        <f>IF($E2484="","",$E2484&amp;"|"&amp;COUNTIFS($E$7:$E2484,$E2484))</f>
        <v/>
      </c>
    </row>
    <row r="2485" spans="1:31" ht="18" customHeight="1" x14ac:dyDescent="0.3">
      <c r="A2485" s="2"/>
      <c r="B2485" s="65" t="str">
        <f>IF($C2485="","","GG"&amp;TEXT(ROW()-6,"00000"))</f>
        <v/>
      </c>
      <c r="C2485" s="66"/>
      <c r="D2485" s="60"/>
      <c r="E2485" s="61"/>
      <c r="F2485" s="61"/>
      <c r="G2485" s="67"/>
      <c r="H2485" s="60"/>
      <c r="I2485" s="60"/>
      <c r="J2485" s="61"/>
      <c r="K2485" s="61"/>
      <c r="L2485" s="60"/>
      <c r="M2485" s="74" t="str">
        <f>IF($C2485="","",IF($D2485="Gider",$E2485,IF($L2485&lt;&gt;"",$L2485,$H2485)))</f>
        <v/>
      </c>
      <c r="N2485" s="74" t="str">
        <f>IF($C2485="","",IF($D2485="Gider",$H2485,$E2485))</f>
        <v/>
      </c>
      <c r="O2485" s="73" t="str">
        <f>IF($C2485="","",DATE(YEAR($C2485),MONTH($C2485),1))</f>
        <v/>
      </c>
      <c r="P2485" s="65" t="str">
        <f ca="1">IF($C2485="","",IF(AND($D2485="Gelir",$L2485&lt;&gt;"",$T2485=""),"TANIMSIZ BORÇLU",IF($T2485&lt;&gt;"",IF(OR($E2485="",$G2485&lt;=0),"EKSİK",IF($I2485="Evet","TAHAKKUK NAKİT OLAMAZ",IF($C2485&gt;TODAY(),"İLERİ TARİH","TAHAKKUK"))),IF(AND($D2485&lt;&gt;"",$E2485&lt;&gt;"",$G2485&gt;0,$H2485&lt;&gt;"",$I2485&lt;&gt;""),IF($C2485&gt;TODAY(),"İLERİ TARİH",IF(COUNTIF($W$7:$W$3001,$W2485)&gt;1,"MÜKERRER?",IF($AD2485&gt;0,"KAPALI DÖNEM",IF($I2485="Hayır","ÖDENECEK","UYGUN")))),"EKSİK"))))</f>
        <v/>
      </c>
      <c r="Q2485" s="2"/>
      <c r="R2485" s="2"/>
      <c r="S2485" s="1" t="str">
        <f t="shared" si="116"/>
        <v/>
      </c>
      <c r="T2485" s="1" t="str">
        <f>IF(OR($C2485="",$D2485&lt;&gt;"Gelir",$L2485=""),"",IFERROR(INDEX(MUSTERILER!$B$7:$B$156,MATCH($S2485,MUSTERILER!$T$7:$T$156,0)),""))</f>
        <v/>
      </c>
      <c r="U2485" s="1" t="str">
        <f>IF($T2485="","",$T2485&amp;"|"&amp;COUNTIFS($T$7:$T2485,$T2485))</f>
        <v/>
      </c>
      <c r="V2485" s="1">
        <f t="shared" si="117"/>
        <v>0</v>
      </c>
      <c r="W2485" s="1" t="str">
        <f t="shared" si="118"/>
        <v/>
      </c>
      <c r="X2485" s="1"/>
      <c r="Y2485" s="1"/>
      <c r="Z2485" s="1"/>
      <c r="AA2485" s="1"/>
      <c r="AB2485" s="1"/>
      <c r="AC2485" s="1"/>
      <c r="AD2485" s="1">
        <f>IF($C2485="",0,SUMPRODUCT((AY_SONU!$O$7:$O$42="Evet")*(AY_SONU!$B$7:$B$42=DATE(YEAR($C2485),MONTH($C2485),1))))</f>
        <v>0</v>
      </c>
      <c r="AE2485" s="1" t="str">
        <f>IF($E2485="","",$E2485&amp;"|"&amp;COUNTIFS($E$7:$E2485,$E2485))</f>
        <v/>
      </c>
    </row>
    <row r="2486" spans="1:31" ht="18" customHeight="1" x14ac:dyDescent="0.3">
      <c r="A2486" s="2"/>
      <c r="B2486" s="65" t="str">
        <f>IF($C2486="","","GG"&amp;TEXT(ROW()-6,"00000"))</f>
        <v/>
      </c>
      <c r="C2486" s="66"/>
      <c r="D2486" s="60"/>
      <c r="E2486" s="61"/>
      <c r="F2486" s="61"/>
      <c r="G2486" s="67"/>
      <c r="H2486" s="60"/>
      <c r="I2486" s="60"/>
      <c r="J2486" s="61"/>
      <c r="K2486" s="61"/>
      <c r="L2486" s="60"/>
      <c r="M2486" s="74" t="str">
        <f>IF($C2486="","",IF($D2486="Gider",$E2486,IF($L2486&lt;&gt;"",$L2486,$H2486)))</f>
        <v/>
      </c>
      <c r="N2486" s="74" t="str">
        <f>IF($C2486="","",IF($D2486="Gider",$H2486,$E2486))</f>
        <v/>
      </c>
      <c r="O2486" s="73" t="str">
        <f>IF($C2486="","",DATE(YEAR($C2486),MONTH($C2486),1))</f>
        <v/>
      </c>
      <c r="P2486" s="65" t="str">
        <f ca="1">IF($C2486="","",IF(AND($D2486="Gelir",$L2486&lt;&gt;"",$T2486=""),"TANIMSIZ BORÇLU",IF($T2486&lt;&gt;"",IF(OR($E2486="",$G2486&lt;=0),"EKSİK",IF($I2486="Evet","TAHAKKUK NAKİT OLAMAZ",IF($C2486&gt;TODAY(),"İLERİ TARİH","TAHAKKUK"))),IF(AND($D2486&lt;&gt;"",$E2486&lt;&gt;"",$G2486&gt;0,$H2486&lt;&gt;"",$I2486&lt;&gt;""),IF($C2486&gt;TODAY(),"İLERİ TARİH",IF(COUNTIF($W$7:$W$3001,$W2486)&gt;1,"MÜKERRER?",IF($AD2486&gt;0,"KAPALI DÖNEM",IF($I2486="Hayır","ÖDENECEK","UYGUN")))),"EKSİK"))))</f>
        <v/>
      </c>
      <c r="Q2486" s="2"/>
      <c r="R2486" s="2"/>
      <c r="S2486" s="1" t="str">
        <f t="shared" si="116"/>
        <v/>
      </c>
      <c r="T2486" s="1" t="str">
        <f>IF(OR($C2486="",$D2486&lt;&gt;"Gelir",$L2486=""),"",IFERROR(INDEX(MUSTERILER!$B$7:$B$156,MATCH($S2486,MUSTERILER!$T$7:$T$156,0)),""))</f>
        <v/>
      </c>
      <c r="U2486" s="1" t="str">
        <f>IF($T2486="","",$T2486&amp;"|"&amp;COUNTIFS($T$7:$T2486,$T2486))</f>
        <v/>
      </c>
      <c r="V2486" s="1">
        <f t="shared" si="117"/>
        <v>0</v>
      </c>
      <c r="W2486" s="1" t="str">
        <f t="shared" si="118"/>
        <v/>
      </c>
      <c r="X2486" s="1"/>
      <c r="Y2486" s="1"/>
      <c r="Z2486" s="1"/>
      <c r="AA2486" s="1"/>
      <c r="AB2486" s="1"/>
      <c r="AC2486" s="1"/>
      <c r="AD2486" s="1">
        <f>IF($C2486="",0,SUMPRODUCT((AY_SONU!$O$7:$O$42="Evet")*(AY_SONU!$B$7:$B$42=DATE(YEAR($C2486),MONTH($C2486),1))))</f>
        <v>0</v>
      </c>
      <c r="AE2486" s="1" t="str">
        <f>IF($E2486="","",$E2486&amp;"|"&amp;COUNTIFS($E$7:$E2486,$E2486))</f>
        <v/>
      </c>
    </row>
    <row r="2487" spans="1:31" ht="18" customHeight="1" x14ac:dyDescent="0.3">
      <c r="A2487" s="2"/>
      <c r="B2487" s="65" t="str">
        <f>IF($C2487="","","GG"&amp;TEXT(ROW()-6,"00000"))</f>
        <v/>
      </c>
      <c r="C2487" s="66"/>
      <c r="D2487" s="60"/>
      <c r="E2487" s="61"/>
      <c r="F2487" s="61"/>
      <c r="G2487" s="67"/>
      <c r="H2487" s="60"/>
      <c r="I2487" s="60"/>
      <c r="J2487" s="61"/>
      <c r="K2487" s="61"/>
      <c r="L2487" s="60"/>
      <c r="M2487" s="74" t="str">
        <f>IF($C2487="","",IF($D2487="Gider",$E2487,IF($L2487&lt;&gt;"",$L2487,$H2487)))</f>
        <v/>
      </c>
      <c r="N2487" s="74" t="str">
        <f>IF($C2487="","",IF($D2487="Gider",$H2487,$E2487))</f>
        <v/>
      </c>
      <c r="O2487" s="73" t="str">
        <f>IF($C2487="","",DATE(YEAR($C2487),MONTH($C2487),1))</f>
        <v/>
      </c>
      <c r="P2487" s="65" t="str">
        <f ca="1">IF($C2487="","",IF(AND($D2487="Gelir",$L2487&lt;&gt;"",$T2487=""),"TANIMSIZ BORÇLU",IF($T2487&lt;&gt;"",IF(OR($E2487="",$G2487&lt;=0),"EKSİK",IF($I2487="Evet","TAHAKKUK NAKİT OLAMAZ",IF($C2487&gt;TODAY(),"İLERİ TARİH","TAHAKKUK"))),IF(AND($D2487&lt;&gt;"",$E2487&lt;&gt;"",$G2487&gt;0,$H2487&lt;&gt;"",$I2487&lt;&gt;""),IF($C2487&gt;TODAY(),"İLERİ TARİH",IF(COUNTIF($W$7:$W$3001,$W2487)&gt;1,"MÜKERRER?",IF($AD2487&gt;0,"KAPALI DÖNEM",IF($I2487="Hayır","ÖDENECEK","UYGUN")))),"EKSİK"))))</f>
        <v/>
      </c>
      <c r="Q2487" s="2"/>
      <c r="R2487" s="2"/>
      <c r="S2487" s="1" t="str">
        <f t="shared" si="116"/>
        <v/>
      </c>
      <c r="T2487" s="1" t="str">
        <f>IF(OR($C2487="",$D2487&lt;&gt;"Gelir",$L2487=""),"",IFERROR(INDEX(MUSTERILER!$B$7:$B$156,MATCH($S2487,MUSTERILER!$T$7:$T$156,0)),""))</f>
        <v/>
      </c>
      <c r="U2487" s="1" t="str">
        <f>IF($T2487="","",$T2487&amp;"|"&amp;COUNTIFS($T$7:$T2487,$T2487))</f>
        <v/>
      </c>
      <c r="V2487" s="1">
        <f t="shared" si="117"/>
        <v>0</v>
      </c>
      <c r="W2487" s="1" t="str">
        <f t="shared" si="118"/>
        <v/>
      </c>
      <c r="X2487" s="1"/>
      <c r="Y2487" s="1"/>
      <c r="Z2487" s="1"/>
      <c r="AA2487" s="1"/>
      <c r="AB2487" s="1"/>
      <c r="AC2487" s="1"/>
      <c r="AD2487" s="1">
        <f>IF($C2487="",0,SUMPRODUCT((AY_SONU!$O$7:$O$42="Evet")*(AY_SONU!$B$7:$B$42=DATE(YEAR($C2487),MONTH($C2487),1))))</f>
        <v>0</v>
      </c>
      <c r="AE2487" s="1" t="str">
        <f>IF($E2487="","",$E2487&amp;"|"&amp;COUNTIFS($E$7:$E2487,$E2487))</f>
        <v/>
      </c>
    </row>
    <row r="2488" spans="1:31" ht="18" customHeight="1" x14ac:dyDescent="0.3">
      <c r="A2488" s="2"/>
      <c r="B2488" s="65" t="str">
        <f>IF($C2488="","","GG"&amp;TEXT(ROW()-6,"00000"))</f>
        <v/>
      </c>
      <c r="C2488" s="66"/>
      <c r="D2488" s="60"/>
      <c r="E2488" s="61"/>
      <c r="F2488" s="61"/>
      <c r="G2488" s="67"/>
      <c r="H2488" s="60"/>
      <c r="I2488" s="60"/>
      <c r="J2488" s="61"/>
      <c r="K2488" s="61"/>
      <c r="L2488" s="60"/>
      <c r="M2488" s="74" t="str">
        <f>IF($C2488="","",IF($D2488="Gider",$E2488,IF($L2488&lt;&gt;"",$L2488,$H2488)))</f>
        <v/>
      </c>
      <c r="N2488" s="74" t="str">
        <f>IF($C2488="","",IF($D2488="Gider",$H2488,$E2488))</f>
        <v/>
      </c>
      <c r="O2488" s="73" t="str">
        <f>IF($C2488="","",DATE(YEAR($C2488),MONTH($C2488),1))</f>
        <v/>
      </c>
      <c r="P2488" s="65" t="str">
        <f ca="1">IF($C2488="","",IF(AND($D2488="Gelir",$L2488&lt;&gt;"",$T2488=""),"TANIMSIZ BORÇLU",IF($T2488&lt;&gt;"",IF(OR($E2488="",$G2488&lt;=0),"EKSİK",IF($I2488="Evet","TAHAKKUK NAKİT OLAMAZ",IF($C2488&gt;TODAY(),"İLERİ TARİH","TAHAKKUK"))),IF(AND($D2488&lt;&gt;"",$E2488&lt;&gt;"",$G2488&gt;0,$H2488&lt;&gt;"",$I2488&lt;&gt;""),IF($C2488&gt;TODAY(),"İLERİ TARİH",IF(COUNTIF($W$7:$W$3001,$W2488)&gt;1,"MÜKERRER?",IF($AD2488&gt;0,"KAPALI DÖNEM",IF($I2488="Hayır","ÖDENECEK","UYGUN")))),"EKSİK"))))</f>
        <v/>
      </c>
      <c r="Q2488" s="2"/>
      <c r="R2488" s="2"/>
      <c r="S2488" s="1" t="str">
        <f t="shared" si="116"/>
        <v/>
      </c>
      <c r="T2488" s="1" t="str">
        <f>IF(OR($C2488="",$D2488&lt;&gt;"Gelir",$L2488=""),"",IFERROR(INDEX(MUSTERILER!$B$7:$B$156,MATCH($S2488,MUSTERILER!$T$7:$T$156,0)),""))</f>
        <v/>
      </c>
      <c r="U2488" s="1" t="str">
        <f>IF($T2488="","",$T2488&amp;"|"&amp;COUNTIFS($T$7:$T2488,$T2488))</f>
        <v/>
      </c>
      <c r="V2488" s="1">
        <f t="shared" si="117"/>
        <v>0</v>
      </c>
      <c r="W2488" s="1" t="str">
        <f t="shared" si="118"/>
        <v/>
      </c>
      <c r="X2488" s="1"/>
      <c r="Y2488" s="1"/>
      <c r="Z2488" s="1"/>
      <c r="AA2488" s="1"/>
      <c r="AB2488" s="1"/>
      <c r="AC2488" s="1"/>
      <c r="AD2488" s="1">
        <f>IF($C2488="",0,SUMPRODUCT((AY_SONU!$O$7:$O$42="Evet")*(AY_SONU!$B$7:$B$42=DATE(YEAR($C2488),MONTH($C2488),1))))</f>
        <v>0</v>
      </c>
      <c r="AE2488" s="1" t="str">
        <f>IF($E2488="","",$E2488&amp;"|"&amp;COUNTIFS($E$7:$E2488,$E2488))</f>
        <v/>
      </c>
    </row>
    <row r="2489" spans="1:31" ht="18" customHeight="1" x14ac:dyDescent="0.3">
      <c r="A2489" s="2"/>
      <c r="B2489" s="65" t="str">
        <f>IF($C2489="","","GG"&amp;TEXT(ROW()-6,"00000"))</f>
        <v/>
      </c>
      <c r="C2489" s="66"/>
      <c r="D2489" s="60"/>
      <c r="E2489" s="61"/>
      <c r="F2489" s="61"/>
      <c r="G2489" s="67"/>
      <c r="H2489" s="60"/>
      <c r="I2489" s="60"/>
      <c r="J2489" s="61"/>
      <c r="K2489" s="61"/>
      <c r="L2489" s="60"/>
      <c r="M2489" s="74" t="str">
        <f>IF($C2489="","",IF($D2489="Gider",$E2489,IF($L2489&lt;&gt;"",$L2489,$H2489)))</f>
        <v/>
      </c>
      <c r="N2489" s="74" t="str">
        <f>IF($C2489="","",IF($D2489="Gider",$H2489,$E2489))</f>
        <v/>
      </c>
      <c r="O2489" s="73" t="str">
        <f>IF($C2489="","",DATE(YEAR($C2489),MONTH($C2489),1))</f>
        <v/>
      </c>
      <c r="P2489" s="65" t="str">
        <f ca="1">IF($C2489="","",IF(AND($D2489="Gelir",$L2489&lt;&gt;"",$T2489=""),"TANIMSIZ BORÇLU",IF($T2489&lt;&gt;"",IF(OR($E2489="",$G2489&lt;=0),"EKSİK",IF($I2489="Evet","TAHAKKUK NAKİT OLAMAZ",IF($C2489&gt;TODAY(),"İLERİ TARİH","TAHAKKUK"))),IF(AND($D2489&lt;&gt;"",$E2489&lt;&gt;"",$G2489&gt;0,$H2489&lt;&gt;"",$I2489&lt;&gt;""),IF($C2489&gt;TODAY(),"İLERİ TARİH",IF(COUNTIF($W$7:$W$3001,$W2489)&gt;1,"MÜKERRER?",IF($AD2489&gt;0,"KAPALI DÖNEM",IF($I2489="Hayır","ÖDENECEK","UYGUN")))),"EKSİK"))))</f>
        <v/>
      </c>
      <c r="Q2489" s="2"/>
      <c r="R2489" s="2"/>
      <c r="S2489" s="1" t="str">
        <f t="shared" si="116"/>
        <v/>
      </c>
      <c r="T2489" s="1" t="str">
        <f>IF(OR($C2489="",$D2489&lt;&gt;"Gelir",$L2489=""),"",IFERROR(INDEX(MUSTERILER!$B$7:$B$156,MATCH($S2489,MUSTERILER!$T$7:$T$156,0)),""))</f>
        <v/>
      </c>
      <c r="U2489" s="1" t="str">
        <f>IF($T2489="","",$T2489&amp;"|"&amp;COUNTIFS($T$7:$T2489,$T2489))</f>
        <v/>
      </c>
      <c r="V2489" s="1">
        <f t="shared" si="117"/>
        <v>0</v>
      </c>
      <c r="W2489" s="1" t="str">
        <f t="shared" si="118"/>
        <v/>
      </c>
      <c r="X2489" s="1"/>
      <c r="Y2489" s="1"/>
      <c r="Z2489" s="1"/>
      <c r="AA2489" s="1"/>
      <c r="AB2489" s="1"/>
      <c r="AC2489" s="1"/>
      <c r="AD2489" s="1">
        <f>IF($C2489="",0,SUMPRODUCT((AY_SONU!$O$7:$O$42="Evet")*(AY_SONU!$B$7:$B$42=DATE(YEAR($C2489),MONTH($C2489),1))))</f>
        <v>0</v>
      </c>
      <c r="AE2489" s="1" t="str">
        <f>IF($E2489="","",$E2489&amp;"|"&amp;COUNTIFS($E$7:$E2489,$E2489))</f>
        <v/>
      </c>
    </row>
    <row r="2490" spans="1:31" ht="18" customHeight="1" x14ac:dyDescent="0.3">
      <c r="A2490" s="2"/>
      <c r="B2490" s="65" t="str">
        <f>IF($C2490="","","GG"&amp;TEXT(ROW()-6,"00000"))</f>
        <v/>
      </c>
      <c r="C2490" s="66"/>
      <c r="D2490" s="60"/>
      <c r="E2490" s="61"/>
      <c r="F2490" s="61"/>
      <c r="G2490" s="67"/>
      <c r="H2490" s="60"/>
      <c r="I2490" s="60"/>
      <c r="J2490" s="61"/>
      <c r="K2490" s="61"/>
      <c r="L2490" s="60"/>
      <c r="M2490" s="74" t="str">
        <f>IF($C2490="","",IF($D2490="Gider",$E2490,IF($L2490&lt;&gt;"",$L2490,$H2490)))</f>
        <v/>
      </c>
      <c r="N2490" s="74" t="str">
        <f>IF($C2490="","",IF($D2490="Gider",$H2490,$E2490))</f>
        <v/>
      </c>
      <c r="O2490" s="73" t="str">
        <f>IF($C2490="","",DATE(YEAR($C2490),MONTH($C2490),1))</f>
        <v/>
      </c>
      <c r="P2490" s="65" t="str">
        <f ca="1">IF($C2490="","",IF(AND($D2490="Gelir",$L2490&lt;&gt;"",$T2490=""),"TANIMSIZ BORÇLU",IF($T2490&lt;&gt;"",IF(OR($E2490="",$G2490&lt;=0),"EKSİK",IF($I2490="Evet","TAHAKKUK NAKİT OLAMAZ",IF($C2490&gt;TODAY(),"İLERİ TARİH","TAHAKKUK"))),IF(AND($D2490&lt;&gt;"",$E2490&lt;&gt;"",$G2490&gt;0,$H2490&lt;&gt;"",$I2490&lt;&gt;""),IF($C2490&gt;TODAY(),"İLERİ TARİH",IF(COUNTIF($W$7:$W$3001,$W2490)&gt;1,"MÜKERRER?",IF($AD2490&gt;0,"KAPALI DÖNEM",IF($I2490="Hayır","ÖDENECEK","UYGUN")))),"EKSİK"))))</f>
        <v/>
      </c>
      <c r="Q2490" s="2"/>
      <c r="R2490" s="2"/>
      <c r="S2490" s="1" t="str">
        <f t="shared" si="116"/>
        <v/>
      </c>
      <c r="T2490" s="1" t="str">
        <f>IF(OR($C2490="",$D2490&lt;&gt;"Gelir",$L2490=""),"",IFERROR(INDEX(MUSTERILER!$B$7:$B$156,MATCH($S2490,MUSTERILER!$T$7:$T$156,0)),""))</f>
        <v/>
      </c>
      <c r="U2490" s="1" t="str">
        <f>IF($T2490="","",$T2490&amp;"|"&amp;COUNTIFS($T$7:$T2490,$T2490))</f>
        <v/>
      </c>
      <c r="V2490" s="1">
        <f t="shared" si="117"/>
        <v>0</v>
      </c>
      <c r="W2490" s="1" t="str">
        <f t="shared" si="118"/>
        <v/>
      </c>
      <c r="X2490" s="1"/>
      <c r="Y2490" s="1"/>
      <c r="Z2490" s="1"/>
      <c r="AA2490" s="1"/>
      <c r="AB2490" s="1"/>
      <c r="AC2490" s="1"/>
      <c r="AD2490" s="1">
        <f>IF($C2490="",0,SUMPRODUCT((AY_SONU!$O$7:$O$42="Evet")*(AY_SONU!$B$7:$B$42=DATE(YEAR($C2490),MONTH($C2490),1))))</f>
        <v>0</v>
      </c>
      <c r="AE2490" s="1" t="str">
        <f>IF($E2490="","",$E2490&amp;"|"&amp;COUNTIFS($E$7:$E2490,$E2490))</f>
        <v/>
      </c>
    </row>
    <row r="2491" spans="1:31" ht="18" customHeight="1" x14ac:dyDescent="0.3">
      <c r="A2491" s="2"/>
      <c r="B2491" s="65" t="str">
        <f>IF($C2491="","","GG"&amp;TEXT(ROW()-6,"00000"))</f>
        <v/>
      </c>
      <c r="C2491" s="66"/>
      <c r="D2491" s="60"/>
      <c r="E2491" s="61"/>
      <c r="F2491" s="61"/>
      <c r="G2491" s="67"/>
      <c r="H2491" s="60"/>
      <c r="I2491" s="60"/>
      <c r="J2491" s="61"/>
      <c r="K2491" s="61"/>
      <c r="L2491" s="60"/>
      <c r="M2491" s="74" t="str">
        <f>IF($C2491="","",IF($D2491="Gider",$E2491,IF($L2491&lt;&gt;"",$L2491,$H2491)))</f>
        <v/>
      </c>
      <c r="N2491" s="74" t="str">
        <f>IF($C2491="","",IF($D2491="Gider",$H2491,$E2491))</f>
        <v/>
      </c>
      <c r="O2491" s="73" t="str">
        <f>IF($C2491="","",DATE(YEAR($C2491),MONTH($C2491),1))</f>
        <v/>
      </c>
      <c r="P2491" s="65" t="str">
        <f ca="1">IF($C2491="","",IF(AND($D2491="Gelir",$L2491&lt;&gt;"",$T2491=""),"TANIMSIZ BORÇLU",IF($T2491&lt;&gt;"",IF(OR($E2491="",$G2491&lt;=0),"EKSİK",IF($I2491="Evet","TAHAKKUK NAKİT OLAMAZ",IF($C2491&gt;TODAY(),"İLERİ TARİH","TAHAKKUK"))),IF(AND($D2491&lt;&gt;"",$E2491&lt;&gt;"",$G2491&gt;0,$H2491&lt;&gt;"",$I2491&lt;&gt;""),IF($C2491&gt;TODAY(),"İLERİ TARİH",IF(COUNTIF($W$7:$W$3001,$W2491)&gt;1,"MÜKERRER?",IF($AD2491&gt;0,"KAPALI DÖNEM",IF($I2491="Hayır","ÖDENECEK","UYGUN")))),"EKSİK"))))</f>
        <v/>
      </c>
      <c r="Q2491" s="2"/>
      <c r="R2491" s="2"/>
      <c r="S2491" s="1" t="str">
        <f t="shared" si="116"/>
        <v/>
      </c>
      <c r="T2491" s="1" t="str">
        <f>IF(OR($C2491="",$D2491&lt;&gt;"Gelir",$L2491=""),"",IFERROR(INDEX(MUSTERILER!$B$7:$B$156,MATCH($S2491,MUSTERILER!$T$7:$T$156,0)),""))</f>
        <v/>
      </c>
      <c r="U2491" s="1" t="str">
        <f>IF($T2491="","",$T2491&amp;"|"&amp;COUNTIFS($T$7:$T2491,$T2491))</f>
        <v/>
      </c>
      <c r="V2491" s="1">
        <f t="shared" si="117"/>
        <v>0</v>
      </c>
      <c r="W2491" s="1" t="str">
        <f t="shared" si="118"/>
        <v/>
      </c>
      <c r="X2491" s="1"/>
      <c r="Y2491" s="1"/>
      <c r="Z2491" s="1"/>
      <c r="AA2491" s="1"/>
      <c r="AB2491" s="1"/>
      <c r="AC2491" s="1"/>
      <c r="AD2491" s="1">
        <f>IF($C2491="",0,SUMPRODUCT((AY_SONU!$O$7:$O$42="Evet")*(AY_SONU!$B$7:$B$42=DATE(YEAR($C2491),MONTH($C2491),1))))</f>
        <v>0</v>
      </c>
      <c r="AE2491" s="1" t="str">
        <f>IF($E2491="","",$E2491&amp;"|"&amp;COUNTIFS($E$7:$E2491,$E2491))</f>
        <v/>
      </c>
    </row>
    <row r="2492" spans="1:31" ht="18" customHeight="1" x14ac:dyDescent="0.3">
      <c r="A2492" s="2"/>
      <c r="B2492" s="65" t="str">
        <f>IF($C2492="","","GG"&amp;TEXT(ROW()-6,"00000"))</f>
        <v/>
      </c>
      <c r="C2492" s="66"/>
      <c r="D2492" s="60"/>
      <c r="E2492" s="61"/>
      <c r="F2492" s="61"/>
      <c r="G2492" s="67"/>
      <c r="H2492" s="60"/>
      <c r="I2492" s="60"/>
      <c r="J2492" s="61"/>
      <c r="K2492" s="61"/>
      <c r="L2492" s="60"/>
      <c r="M2492" s="74" t="str">
        <f>IF($C2492="","",IF($D2492="Gider",$E2492,IF($L2492&lt;&gt;"",$L2492,$H2492)))</f>
        <v/>
      </c>
      <c r="N2492" s="74" t="str">
        <f>IF($C2492="","",IF($D2492="Gider",$H2492,$E2492))</f>
        <v/>
      </c>
      <c r="O2492" s="73" t="str">
        <f>IF($C2492="","",DATE(YEAR($C2492),MONTH($C2492),1))</f>
        <v/>
      </c>
      <c r="P2492" s="65" t="str">
        <f ca="1">IF($C2492="","",IF(AND($D2492="Gelir",$L2492&lt;&gt;"",$T2492=""),"TANIMSIZ BORÇLU",IF($T2492&lt;&gt;"",IF(OR($E2492="",$G2492&lt;=0),"EKSİK",IF($I2492="Evet","TAHAKKUK NAKİT OLAMAZ",IF($C2492&gt;TODAY(),"İLERİ TARİH","TAHAKKUK"))),IF(AND($D2492&lt;&gt;"",$E2492&lt;&gt;"",$G2492&gt;0,$H2492&lt;&gt;"",$I2492&lt;&gt;""),IF($C2492&gt;TODAY(),"İLERİ TARİH",IF(COUNTIF($W$7:$W$3001,$W2492)&gt;1,"MÜKERRER?",IF($AD2492&gt;0,"KAPALI DÖNEM",IF($I2492="Hayır","ÖDENECEK","UYGUN")))),"EKSİK"))))</f>
        <v/>
      </c>
      <c r="Q2492" s="2"/>
      <c r="R2492" s="2"/>
      <c r="S2492" s="1" t="str">
        <f t="shared" si="116"/>
        <v/>
      </c>
      <c r="T2492" s="1" t="str">
        <f>IF(OR($C2492="",$D2492&lt;&gt;"Gelir",$L2492=""),"",IFERROR(INDEX(MUSTERILER!$B$7:$B$156,MATCH($S2492,MUSTERILER!$T$7:$T$156,0)),""))</f>
        <v/>
      </c>
      <c r="U2492" s="1" t="str">
        <f>IF($T2492="","",$T2492&amp;"|"&amp;COUNTIFS($T$7:$T2492,$T2492))</f>
        <v/>
      </c>
      <c r="V2492" s="1">
        <f t="shared" si="117"/>
        <v>0</v>
      </c>
      <c r="W2492" s="1" t="str">
        <f t="shared" si="118"/>
        <v/>
      </c>
      <c r="X2492" s="1"/>
      <c r="Y2492" s="1"/>
      <c r="Z2492" s="1"/>
      <c r="AA2492" s="1"/>
      <c r="AB2492" s="1"/>
      <c r="AC2492" s="1"/>
      <c r="AD2492" s="1">
        <f>IF($C2492="",0,SUMPRODUCT((AY_SONU!$O$7:$O$42="Evet")*(AY_SONU!$B$7:$B$42=DATE(YEAR($C2492),MONTH($C2492),1))))</f>
        <v>0</v>
      </c>
      <c r="AE2492" s="1" t="str">
        <f>IF($E2492="","",$E2492&amp;"|"&amp;COUNTIFS($E$7:$E2492,$E2492))</f>
        <v/>
      </c>
    </row>
    <row r="2493" spans="1:31" ht="18" customHeight="1" x14ac:dyDescent="0.3">
      <c r="A2493" s="2"/>
      <c r="B2493" s="65" t="str">
        <f>IF($C2493="","","GG"&amp;TEXT(ROW()-6,"00000"))</f>
        <v/>
      </c>
      <c r="C2493" s="66"/>
      <c r="D2493" s="60"/>
      <c r="E2493" s="61"/>
      <c r="F2493" s="61"/>
      <c r="G2493" s="67"/>
      <c r="H2493" s="60"/>
      <c r="I2493" s="60"/>
      <c r="J2493" s="61"/>
      <c r="K2493" s="61"/>
      <c r="L2493" s="60"/>
      <c r="M2493" s="74" t="str">
        <f>IF($C2493="","",IF($D2493="Gider",$E2493,IF($L2493&lt;&gt;"",$L2493,$H2493)))</f>
        <v/>
      </c>
      <c r="N2493" s="74" t="str">
        <f>IF($C2493="","",IF($D2493="Gider",$H2493,$E2493))</f>
        <v/>
      </c>
      <c r="O2493" s="73" t="str">
        <f>IF($C2493="","",DATE(YEAR($C2493),MONTH($C2493),1))</f>
        <v/>
      </c>
      <c r="P2493" s="65" t="str">
        <f ca="1">IF($C2493="","",IF(AND($D2493="Gelir",$L2493&lt;&gt;"",$T2493=""),"TANIMSIZ BORÇLU",IF($T2493&lt;&gt;"",IF(OR($E2493="",$G2493&lt;=0),"EKSİK",IF($I2493="Evet","TAHAKKUK NAKİT OLAMAZ",IF($C2493&gt;TODAY(),"İLERİ TARİH","TAHAKKUK"))),IF(AND($D2493&lt;&gt;"",$E2493&lt;&gt;"",$G2493&gt;0,$H2493&lt;&gt;"",$I2493&lt;&gt;""),IF($C2493&gt;TODAY(),"İLERİ TARİH",IF(COUNTIF($W$7:$W$3001,$W2493)&gt;1,"MÜKERRER?",IF($AD2493&gt;0,"KAPALI DÖNEM",IF($I2493="Hayır","ÖDENECEK","UYGUN")))),"EKSİK"))))</f>
        <v/>
      </c>
      <c r="Q2493" s="2"/>
      <c r="R2493" s="2"/>
      <c r="S2493" s="1" t="str">
        <f t="shared" si="116"/>
        <v/>
      </c>
      <c r="T2493" s="1" t="str">
        <f>IF(OR($C2493="",$D2493&lt;&gt;"Gelir",$L2493=""),"",IFERROR(INDEX(MUSTERILER!$B$7:$B$156,MATCH($S2493,MUSTERILER!$T$7:$T$156,0)),""))</f>
        <v/>
      </c>
      <c r="U2493" s="1" t="str">
        <f>IF($T2493="","",$T2493&amp;"|"&amp;COUNTIFS($T$7:$T2493,$T2493))</f>
        <v/>
      </c>
      <c r="V2493" s="1">
        <f t="shared" si="117"/>
        <v>0</v>
      </c>
      <c r="W2493" s="1" t="str">
        <f t="shared" si="118"/>
        <v/>
      </c>
      <c r="X2493" s="1"/>
      <c r="Y2493" s="1"/>
      <c r="Z2493" s="1"/>
      <c r="AA2493" s="1"/>
      <c r="AB2493" s="1"/>
      <c r="AC2493" s="1"/>
      <c r="AD2493" s="1">
        <f>IF($C2493="",0,SUMPRODUCT((AY_SONU!$O$7:$O$42="Evet")*(AY_SONU!$B$7:$B$42=DATE(YEAR($C2493),MONTH($C2493),1))))</f>
        <v>0</v>
      </c>
      <c r="AE2493" s="1" t="str">
        <f>IF($E2493="","",$E2493&amp;"|"&amp;COUNTIFS($E$7:$E2493,$E2493))</f>
        <v/>
      </c>
    </row>
    <row r="2494" spans="1:31" ht="18" customHeight="1" x14ac:dyDescent="0.3">
      <c r="A2494" s="2"/>
      <c r="B2494" s="65" t="str">
        <f>IF($C2494="","","GG"&amp;TEXT(ROW()-6,"00000"))</f>
        <v/>
      </c>
      <c r="C2494" s="66"/>
      <c r="D2494" s="60"/>
      <c r="E2494" s="61"/>
      <c r="F2494" s="61"/>
      <c r="G2494" s="67"/>
      <c r="H2494" s="60"/>
      <c r="I2494" s="60"/>
      <c r="J2494" s="61"/>
      <c r="K2494" s="61"/>
      <c r="L2494" s="60"/>
      <c r="M2494" s="74" t="str">
        <f>IF($C2494="","",IF($D2494="Gider",$E2494,IF($L2494&lt;&gt;"",$L2494,$H2494)))</f>
        <v/>
      </c>
      <c r="N2494" s="74" t="str">
        <f>IF($C2494="","",IF($D2494="Gider",$H2494,$E2494))</f>
        <v/>
      </c>
      <c r="O2494" s="73" t="str">
        <f>IF($C2494="","",DATE(YEAR($C2494),MONTH($C2494),1))</f>
        <v/>
      </c>
      <c r="P2494" s="65" t="str">
        <f ca="1">IF($C2494="","",IF(AND($D2494="Gelir",$L2494&lt;&gt;"",$T2494=""),"TANIMSIZ BORÇLU",IF($T2494&lt;&gt;"",IF(OR($E2494="",$G2494&lt;=0),"EKSİK",IF($I2494="Evet","TAHAKKUK NAKİT OLAMAZ",IF($C2494&gt;TODAY(),"İLERİ TARİH","TAHAKKUK"))),IF(AND($D2494&lt;&gt;"",$E2494&lt;&gt;"",$G2494&gt;0,$H2494&lt;&gt;"",$I2494&lt;&gt;""),IF($C2494&gt;TODAY(),"İLERİ TARİH",IF(COUNTIF($W$7:$W$3001,$W2494)&gt;1,"MÜKERRER?",IF($AD2494&gt;0,"KAPALI DÖNEM",IF($I2494="Hayır","ÖDENECEK","UYGUN")))),"EKSİK"))))</f>
        <v/>
      </c>
      <c r="Q2494" s="2"/>
      <c r="R2494" s="2"/>
      <c r="S2494" s="1" t="str">
        <f t="shared" si="116"/>
        <v/>
      </c>
      <c r="T2494" s="1" t="str">
        <f>IF(OR($C2494="",$D2494&lt;&gt;"Gelir",$L2494=""),"",IFERROR(INDEX(MUSTERILER!$B$7:$B$156,MATCH($S2494,MUSTERILER!$T$7:$T$156,0)),""))</f>
        <v/>
      </c>
      <c r="U2494" s="1" t="str">
        <f>IF($T2494="","",$T2494&amp;"|"&amp;COUNTIFS($T$7:$T2494,$T2494))</f>
        <v/>
      </c>
      <c r="V2494" s="1">
        <f t="shared" si="117"/>
        <v>0</v>
      </c>
      <c r="W2494" s="1" t="str">
        <f t="shared" si="118"/>
        <v/>
      </c>
      <c r="X2494" s="1"/>
      <c r="Y2494" s="1"/>
      <c r="Z2494" s="1"/>
      <c r="AA2494" s="1"/>
      <c r="AB2494" s="1"/>
      <c r="AC2494" s="1"/>
      <c r="AD2494" s="1">
        <f>IF($C2494="",0,SUMPRODUCT((AY_SONU!$O$7:$O$42="Evet")*(AY_SONU!$B$7:$B$42=DATE(YEAR($C2494),MONTH($C2494),1))))</f>
        <v>0</v>
      </c>
      <c r="AE2494" s="1" t="str">
        <f>IF($E2494="","",$E2494&amp;"|"&amp;COUNTIFS($E$7:$E2494,$E2494))</f>
        <v/>
      </c>
    </row>
    <row r="2495" spans="1:31" ht="18" customHeight="1" x14ac:dyDescent="0.3">
      <c r="A2495" s="2"/>
      <c r="B2495" s="65" t="str">
        <f>IF($C2495="","","GG"&amp;TEXT(ROW()-6,"00000"))</f>
        <v/>
      </c>
      <c r="C2495" s="66"/>
      <c r="D2495" s="60"/>
      <c r="E2495" s="61"/>
      <c r="F2495" s="61"/>
      <c r="G2495" s="67"/>
      <c r="H2495" s="60"/>
      <c r="I2495" s="60"/>
      <c r="J2495" s="61"/>
      <c r="K2495" s="61"/>
      <c r="L2495" s="60"/>
      <c r="M2495" s="74" t="str">
        <f>IF($C2495="","",IF($D2495="Gider",$E2495,IF($L2495&lt;&gt;"",$L2495,$H2495)))</f>
        <v/>
      </c>
      <c r="N2495" s="74" t="str">
        <f>IF($C2495="","",IF($D2495="Gider",$H2495,$E2495))</f>
        <v/>
      </c>
      <c r="O2495" s="73" t="str">
        <f>IF($C2495="","",DATE(YEAR($C2495),MONTH($C2495),1))</f>
        <v/>
      </c>
      <c r="P2495" s="65" t="str">
        <f ca="1">IF($C2495="","",IF(AND($D2495="Gelir",$L2495&lt;&gt;"",$T2495=""),"TANIMSIZ BORÇLU",IF($T2495&lt;&gt;"",IF(OR($E2495="",$G2495&lt;=0),"EKSİK",IF($I2495="Evet","TAHAKKUK NAKİT OLAMAZ",IF($C2495&gt;TODAY(),"İLERİ TARİH","TAHAKKUK"))),IF(AND($D2495&lt;&gt;"",$E2495&lt;&gt;"",$G2495&gt;0,$H2495&lt;&gt;"",$I2495&lt;&gt;""),IF($C2495&gt;TODAY(),"İLERİ TARİH",IF(COUNTIF($W$7:$W$3001,$W2495)&gt;1,"MÜKERRER?",IF($AD2495&gt;0,"KAPALI DÖNEM",IF($I2495="Hayır","ÖDENECEK","UYGUN")))),"EKSİK"))))</f>
        <v/>
      </c>
      <c r="Q2495" s="2"/>
      <c r="R2495" s="2"/>
      <c r="S2495" s="1" t="str">
        <f t="shared" si="116"/>
        <v/>
      </c>
      <c r="T2495" s="1" t="str">
        <f>IF(OR($C2495="",$D2495&lt;&gt;"Gelir",$L2495=""),"",IFERROR(INDEX(MUSTERILER!$B$7:$B$156,MATCH($S2495,MUSTERILER!$T$7:$T$156,0)),""))</f>
        <v/>
      </c>
      <c r="U2495" s="1" t="str">
        <f>IF($T2495="","",$T2495&amp;"|"&amp;COUNTIFS($T$7:$T2495,$T2495))</f>
        <v/>
      </c>
      <c r="V2495" s="1">
        <f t="shared" si="117"/>
        <v>0</v>
      </c>
      <c r="W2495" s="1" t="str">
        <f t="shared" si="118"/>
        <v/>
      </c>
      <c r="X2495" s="1"/>
      <c r="Y2495" s="1"/>
      <c r="Z2495" s="1"/>
      <c r="AA2495" s="1"/>
      <c r="AB2495" s="1"/>
      <c r="AC2495" s="1"/>
      <c r="AD2495" s="1">
        <f>IF($C2495="",0,SUMPRODUCT((AY_SONU!$O$7:$O$42="Evet")*(AY_SONU!$B$7:$B$42=DATE(YEAR($C2495),MONTH($C2495),1))))</f>
        <v>0</v>
      </c>
      <c r="AE2495" s="1" t="str">
        <f>IF($E2495="","",$E2495&amp;"|"&amp;COUNTIFS($E$7:$E2495,$E2495))</f>
        <v/>
      </c>
    </row>
    <row r="2496" spans="1:31" ht="18" customHeight="1" x14ac:dyDescent="0.3">
      <c r="A2496" s="2"/>
      <c r="B2496" s="65" t="str">
        <f>IF($C2496="","","GG"&amp;TEXT(ROW()-6,"00000"))</f>
        <v/>
      </c>
      <c r="C2496" s="66"/>
      <c r="D2496" s="60"/>
      <c r="E2496" s="61"/>
      <c r="F2496" s="61"/>
      <c r="G2496" s="67"/>
      <c r="H2496" s="60"/>
      <c r="I2496" s="60"/>
      <c r="J2496" s="61"/>
      <c r="K2496" s="61"/>
      <c r="L2496" s="60"/>
      <c r="M2496" s="74" t="str">
        <f>IF($C2496="","",IF($D2496="Gider",$E2496,IF($L2496&lt;&gt;"",$L2496,$H2496)))</f>
        <v/>
      </c>
      <c r="N2496" s="74" t="str">
        <f>IF($C2496="","",IF($D2496="Gider",$H2496,$E2496))</f>
        <v/>
      </c>
      <c r="O2496" s="73" t="str">
        <f>IF($C2496="","",DATE(YEAR($C2496),MONTH($C2496),1))</f>
        <v/>
      </c>
      <c r="P2496" s="65" t="str">
        <f ca="1">IF($C2496="","",IF(AND($D2496="Gelir",$L2496&lt;&gt;"",$T2496=""),"TANIMSIZ BORÇLU",IF($T2496&lt;&gt;"",IF(OR($E2496="",$G2496&lt;=0),"EKSİK",IF($I2496="Evet","TAHAKKUK NAKİT OLAMAZ",IF($C2496&gt;TODAY(),"İLERİ TARİH","TAHAKKUK"))),IF(AND($D2496&lt;&gt;"",$E2496&lt;&gt;"",$G2496&gt;0,$H2496&lt;&gt;"",$I2496&lt;&gt;""),IF($C2496&gt;TODAY(),"İLERİ TARİH",IF(COUNTIF($W$7:$W$3001,$W2496)&gt;1,"MÜKERRER?",IF($AD2496&gt;0,"KAPALI DÖNEM",IF($I2496="Hayır","ÖDENECEK","UYGUN")))),"EKSİK"))))</f>
        <v/>
      </c>
      <c r="Q2496" s="2"/>
      <c r="R2496" s="2"/>
      <c r="S2496" s="1" t="str">
        <f t="shared" si="116"/>
        <v/>
      </c>
      <c r="T2496" s="1" t="str">
        <f>IF(OR($C2496="",$D2496&lt;&gt;"Gelir",$L2496=""),"",IFERROR(INDEX(MUSTERILER!$B$7:$B$156,MATCH($S2496,MUSTERILER!$T$7:$T$156,0)),""))</f>
        <v/>
      </c>
      <c r="U2496" s="1" t="str">
        <f>IF($T2496="","",$T2496&amp;"|"&amp;COUNTIFS($T$7:$T2496,$T2496))</f>
        <v/>
      </c>
      <c r="V2496" s="1">
        <f t="shared" si="117"/>
        <v>0</v>
      </c>
      <c r="W2496" s="1" t="str">
        <f t="shared" si="118"/>
        <v/>
      </c>
      <c r="X2496" s="1"/>
      <c r="Y2496" s="1"/>
      <c r="Z2496" s="1"/>
      <c r="AA2496" s="1"/>
      <c r="AB2496" s="1"/>
      <c r="AC2496" s="1"/>
      <c r="AD2496" s="1">
        <f>IF($C2496="",0,SUMPRODUCT((AY_SONU!$O$7:$O$42="Evet")*(AY_SONU!$B$7:$B$42=DATE(YEAR($C2496),MONTH($C2496),1))))</f>
        <v>0</v>
      </c>
      <c r="AE2496" s="1" t="str">
        <f>IF($E2496="","",$E2496&amp;"|"&amp;COUNTIFS($E$7:$E2496,$E2496))</f>
        <v/>
      </c>
    </row>
    <row r="2497" spans="1:31" ht="18" customHeight="1" x14ac:dyDescent="0.3">
      <c r="A2497" s="2"/>
      <c r="B2497" s="65" t="str">
        <f>IF($C2497="","","GG"&amp;TEXT(ROW()-6,"00000"))</f>
        <v/>
      </c>
      <c r="C2497" s="66"/>
      <c r="D2497" s="60"/>
      <c r="E2497" s="61"/>
      <c r="F2497" s="61"/>
      <c r="G2497" s="67"/>
      <c r="H2497" s="60"/>
      <c r="I2497" s="60"/>
      <c r="J2497" s="61"/>
      <c r="K2497" s="61"/>
      <c r="L2497" s="60"/>
      <c r="M2497" s="74" t="str">
        <f>IF($C2497="","",IF($D2497="Gider",$E2497,IF($L2497&lt;&gt;"",$L2497,$H2497)))</f>
        <v/>
      </c>
      <c r="N2497" s="74" t="str">
        <f>IF($C2497="","",IF($D2497="Gider",$H2497,$E2497))</f>
        <v/>
      </c>
      <c r="O2497" s="73" t="str">
        <f>IF($C2497="","",DATE(YEAR($C2497),MONTH($C2497),1))</f>
        <v/>
      </c>
      <c r="P2497" s="65" t="str">
        <f ca="1">IF($C2497="","",IF(AND($D2497="Gelir",$L2497&lt;&gt;"",$T2497=""),"TANIMSIZ BORÇLU",IF($T2497&lt;&gt;"",IF(OR($E2497="",$G2497&lt;=0),"EKSİK",IF($I2497="Evet","TAHAKKUK NAKİT OLAMAZ",IF($C2497&gt;TODAY(),"İLERİ TARİH","TAHAKKUK"))),IF(AND($D2497&lt;&gt;"",$E2497&lt;&gt;"",$G2497&gt;0,$H2497&lt;&gt;"",$I2497&lt;&gt;""),IF($C2497&gt;TODAY(),"İLERİ TARİH",IF(COUNTIF($W$7:$W$3001,$W2497)&gt;1,"MÜKERRER?",IF($AD2497&gt;0,"KAPALI DÖNEM",IF($I2497="Hayır","ÖDENECEK","UYGUN")))),"EKSİK"))))</f>
        <v/>
      </c>
      <c r="Q2497" s="2"/>
      <c r="R2497" s="2"/>
      <c r="S2497" s="1" t="str">
        <f t="shared" si="116"/>
        <v/>
      </c>
      <c r="T2497" s="1" t="str">
        <f>IF(OR($C2497="",$D2497&lt;&gt;"Gelir",$L2497=""),"",IFERROR(INDEX(MUSTERILER!$B$7:$B$156,MATCH($S2497,MUSTERILER!$T$7:$T$156,0)),""))</f>
        <v/>
      </c>
      <c r="U2497" s="1" t="str">
        <f>IF($T2497="","",$T2497&amp;"|"&amp;COUNTIFS($T$7:$T2497,$T2497))</f>
        <v/>
      </c>
      <c r="V2497" s="1">
        <f t="shared" si="117"/>
        <v>0</v>
      </c>
      <c r="W2497" s="1" t="str">
        <f t="shared" si="118"/>
        <v/>
      </c>
      <c r="X2497" s="1"/>
      <c r="Y2497" s="1"/>
      <c r="Z2497" s="1"/>
      <c r="AA2497" s="1"/>
      <c r="AB2497" s="1"/>
      <c r="AC2497" s="1"/>
      <c r="AD2497" s="1">
        <f>IF($C2497="",0,SUMPRODUCT((AY_SONU!$O$7:$O$42="Evet")*(AY_SONU!$B$7:$B$42=DATE(YEAR($C2497),MONTH($C2497),1))))</f>
        <v>0</v>
      </c>
      <c r="AE2497" s="1" t="str">
        <f>IF($E2497="","",$E2497&amp;"|"&amp;COUNTIFS($E$7:$E2497,$E2497))</f>
        <v/>
      </c>
    </row>
    <row r="2498" spans="1:31" ht="18" customHeight="1" x14ac:dyDescent="0.3">
      <c r="A2498" s="2"/>
      <c r="B2498" s="65" t="str">
        <f>IF($C2498="","","GG"&amp;TEXT(ROW()-6,"00000"))</f>
        <v/>
      </c>
      <c r="C2498" s="66"/>
      <c r="D2498" s="60"/>
      <c r="E2498" s="61"/>
      <c r="F2498" s="61"/>
      <c r="G2498" s="67"/>
      <c r="H2498" s="60"/>
      <c r="I2498" s="60"/>
      <c r="J2498" s="61"/>
      <c r="K2498" s="61"/>
      <c r="L2498" s="60"/>
      <c r="M2498" s="74" t="str">
        <f>IF($C2498="","",IF($D2498="Gider",$E2498,IF($L2498&lt;&gt;"",$L2498,$H2498)))</f>
        <v/>
      </c>
      <c r="N2498" s="74" t="str">
        <f>IF($C2498="","",IF($D2498="Gider",$H2498,$E2498))</f>
        <v/>
      </c>
      <c r="O2498" s="73" t="str">
        <f>IF($C2498="","",DATE(YEAR($C2498),MONTH($C2498),1))</f>
        <v/>
      </c>
      <c r="P2498" s="65" t="str">
        <f ca="1">IF($C2498="","",IF(AND($D2498="Gelir",$L2498&lt;&gt;"",$T2498=""),"TANIMSIZ BORÇLU",IF($T2498&lt;&gt;"",IF(OR($E2498="",$G2498&lt;=0),"EKSİK",IF($I2498="Evet","TAHAKKUK NAKİT OLAMAZ",IF($C2498&gt;TODAY(),"İLERİ TARİH","TAHAKKUK"))),IF(AND($D2498&lt;&gt;"",$E2498&lt;&gt;"",$G2498&gt;0,$H2498&lt;&gt;"",$I2498&lt;&gt;""),IF($C2498&gt;TODAY(),"İLERİ TARİH",IF(COUNTIF($W$7:$W$3001,$W2498)&gt;1,"MÜKERRER?",IF($AD2498&gt;0,"KAPALI DÖNEM",IF($I2498="Hayır","ÖDENECEK","UYGUN")))),"EKSİK"))))</f>
        <v/>
      </c>
      <c r="Q2498" s="2"/>
      <c r="R2498" s="2"/>
      <c r="S2498" s="1" t="str">
        <f t="shared" si="116"/>
        <v/>
      </c>
      <c r="T2498" s="1" t="str">
        <f>IF(OR($C2498="",$D2498&lt;&gt;"Gelir",$L2498=""),"",IFERROR(INDEX(MUSTERILER!$B$7:$B$156,MATCH($S2498,MUSTERILER!$T$7:$T$156,0)),""))</f>
        <v/>
      </c>
      <c r="U2498" s="1" t="str">
        <f>IF($T2498="","",$T2498&amp;"|"&amp;COUNTIFS($T$7:$T2498,$T2498))</f>
        <v/>
      </c>
      <c r="V2498" s="1">
        <f t="shared" si="117"/>
        <v>0</v>
      </c>
      <c r="W2498" s="1" t="str">
        <f t="shared" si="118"/>
        <v/>
      </c>
      <c r="X2498" s="1"/>
      <c r="Y2498" s="1"/>
      <c r="Z2498" s="1"/>
      <c r="AA2498" s="1"/>
      <c r="AB2498" s="1"/>
      <c r="AC2498" s="1"/>
      <c r="AD2498" s="1">
        <f>IF($C2498="",0,SUMPRODUCT((AY_SONU!$O$7:$O$42="Evet")*(AY_SONU!$B$7:$B$42=DATE(YEAR($C2498),MONTH($C2498),1))))</f>
        <v>0</v>
      </c>
      <c r="AE2498" s="1" t="str">
        <f>IF($E2498="","",$E2498&amp;"|"&amp;COUNTIFS($E$7:$E2498,$E2498))</f>
        <v/>
      </c>
    </row>
    <row r="2499" spans="1:31" ht="18" customHeight="1" x14ac:dyDescent="0.3">
      <c r="A2499" s="2"/>
      <c r="B2499" s="65" t="str">
        <f>IF($C2499="","","GG"&amp;TEXT(ROW()-6,"00000"))</f>
        <v/>
      </c>
      <c r="C2499" s="66"/>
      <c r="D2499" s="60"/>
      <c r="E2499" s="61"/>
      <c r="F2499" s="61"/>
      <c r="G2499" s="67"/>
      <c r="H2499" s="60"/>
      <c r="I2499" s="60"/>
      <c r="J2499" s="61"/>
      <c r="K2499" s="61"/>
      <c r="L2499" s="60"/>
      <c r="M2499" s="74" t="str">
        <f>IF($C2499="","",IF($D2499="Gider",$E2499,IF($L2499&lt;&gt;"",$L2499,$H2499)))</f>
        <v/>
      </c>
      <c r="N2499" s="74" t="str">
        <f>IF($C2499="","",IF($D2499="Gider",$H2499,$E2499))</f>
        <v/>
      </c>
      <c r="O2499" s="73" t="str">
        <f>IF($C2499="","",DATE(YEAR($C2499),MONTH($C2499),1))</f>
        <v/>
      </c>
      <c r="P2499" s="65" t="str">
        <f ca="1">IF($C2499="","",IF(AND($D2499="Gelir",$L2499&lt;&gt;"",$T2499=""),"TANIMSIZ BORÇLU",IF($T2499&lt;&gt;"",IF(OR($E2499="",$G2499&lt;=0),"EKSİK",IF($I2499="Evet","TAHAKKUK NAKİT OLAMAZ",IF($C2499&gt;TODAY(),"İLERİ TARİH","TAHAKKUK"))),IF(AND($D2499&lt;&gt;"",$E2499&lt;&gt;"",$G2499&gt;0,$H2499&lt;&gt;"",$I2499&lt;&gt;""),IF($C2499&gt;TODAY(),"İLERİ TARİH",IF(COUNTIF($W$7:$W$3001,$W2499)&gt;1,"MÜKERRER?",IF($AD2499&gt;0,"KAPALI DÖNEM",IF($I2499="Hayır","ÖDENECEK","UYGUN")))),"EKSİK"))))</f>
        <v/>
      </c>
      <c r="Q2499" s="2"/>
      <c r="R2499" s="2"/>
      <c r="S2499" s="1" t="str">
        <f t="shared" si="116"/>
        <v/>
      </c>
      <c r="T2499" s="1" t="str">
        <f>IF(OR($C2499="",$D2499&lt;&gt;"Gelir",$L2499=""),"",IFERROR(INDEX(MUSTERILER!$B$7:$B$156,MATCH($S2499,MUSTERILER!$T$7:$T$156,0)),""))</f>
        <v/>
      </c>
      <c r="U2499" s="1" t="str">
        <f>IF($T2499="","",$T2499&amp;"|"&amp;COUNTIFS($T$7:$T2499,$T2499))</f>
        <v/>
      </c>
      <c r="V2499" s="1">
        <f t="shared" si="117"/>
        <v>0</v>
      </c>
      <c r="W2499" s="1" t="str">
        <f t="shared" si="118"/>
        <v/>
      </c>
      <c r="X2499" s="1"/>
      <c r="Y2499" s="1"/>
      <c r="Z2499" s="1"/>
      <c r="AA2499" s="1"/>
      <c r="AB2499" s="1"/>
      <c r="AC2499" s="1"/>
      <c r="AD2499" s="1">
        <f>IF($C2499="",0,SUMPRODUCT((AY_SONU!$O$7:$O$42="Evet")*(AY_SONU!$B$7:$B$42=DATE(YEAR($C2499),MONTH($C2499),1))))</f>
        <v>0</v>
      </c>
      <c r="AE2499" s="1" t="str">
        <f>IF($E2499="","",$E2499&amp;"|"&amp;COUNTIFS($E$7:$E2499,$E2499))</f>
        <v/>
      </c>
    </row>
    <row r="2500" spans="1:31" ht="18" customHeight="1" x14ac:dyDescent="0.3">
      <c r="A2500" s="2"/>
      <c r="B2500" s="65" t="str">
        <f>IF($C2500="","","GG"&amp;TEXT(ROW()-6,"00000"))</f>
        <v/>
      </c>
      <c r="C2500" s="66"/>
      <c r="D2500" s="60"/>
      <c r="E2500" s="61"/>
      <c r="F2500" s="61"/>
      <c r="G2500" s="67"/>
      <c r="H2500" s="60"/>
      <c r="I2500" s="60"/>
      <c r="J2500" s="61"/>
      <c r="K2500" s="61"/>
      <c r="L2500" s="60"/>
      <c r="M2500" s="74" t="str">
        <f>IF($C2500="","",IF($D2500="Gider",$E2500,IF($L2500&lt;&gt;"",$L2500,$H2500)))</f>
        <v/>
      </c>
      <c r="N2500" s="74" t="str">
        <f>IF($C2500="","",IF($D2500="Gider",$H2500,$E2500))</f>
        <v/>
      </c>
      <c r="O2500" s="73" t="str">
        <f>IF($C2500="","",DATE(YEAR($C2500),MONTH($C2500),1))</f>
        <v/>
      </c>
      <c r="P2500" s="65" t="str">
        <f ca="1">IF($C2500="","",IF(AND($D2500="Gelir",$L2500&lt;&gt;"",$T2500=""),"TANIMSIZ BORÇLU",IF($T2500&lt;&gt;"",IF(OR($E2500="",$G2500&lt;=0),"EKSİK",IF($I2500="Evet","TAHAKKUK NAKİT OLAMAZ",IF($C2500&gt;TODAY(),"İLERİ TARİH","TAHAKKUK"))),IF(AND($D2500&lt;&gt;"",$E2500&lt;&gt;"",$G2500&gt;0,$H2500&lt;&gt;"",$I2500&lt;&gt;""),IF($C2500&gt;TODAY(),"İLERİ TARİH",IF(COUNTIF($W$7:$W$3001,$W2500)&gt;1,"MÜKERRER?",IF($AD2500&gt;0,"KAPALI DÖNEM",IF($I2500="Hayır","ÖDENECEK","UYGUN")))),"EKSİK"))))</f>
        <v/>
      </c>
      <c r="Q2500" s="2"/>
      <c r="R2500" s="2"/>
      <c r="S2500" s="1" t="str">
        <f t="shared" si="116"/>
        <v/>
      </c>
      <c r="T2500" s="1" t="str">
        <f>IF(OR($C2500="",$D2500&lt;&gt;"Gelir",$L2500=""),"",IFERROR(INDEX(MUSTERILER!$B$7:$B$156,MATCH($S2500,MUSTERILER!$T$7:$T$156,0)),""))</f>
        <v/>
      </c>
      <c r="U2500" s="1" t="str">
        <f>IF($T2500="","",$T2500&amp;"|"&amp;COUNTIFS($T$7:$T2500,$T2500))</f>
        <v/>
      </c>
      <c r="V2500" s="1">
        <f t="shared" si="117"/>
        <v>0</v>
      </c>
      <c r="W2500" s="1" t="str">
        <f t="shared" si="118"/>
        <v/>
      </c>
      <c r="X2500" s="1"/>
      <c r="Y2500" s="1"/>
      <c r="Z2500" s="1"/>
      <c r="AA2500" s="1"/>
      <c r="AB2500" s="1"/>
      <c r="AC2500" s="1"/>
      <c r="AD2500" s="1">
        <f>IF($C2500="",0,SUMPRODUCT((AY_SONU!$O$7:$O$42="Evet")*(AY_SONU!$B$7:$B$42=DATE(YEAR($C2500),MONTH($C2500),1))))</f>
        <v>0</v>
      </c>
      <c r="AE2500" s="1" t="str">
        <f>IF($E2500="","",$E2500&amp;"|"&amp;COUNTIFS($E$7:$E2500,$E2500))</f>
        <v/>
      </c>
    </row>
    <row r="2501" spans="1:31" ht="18" customHeight="1" x14ac:dyDescent="0.3">
      <c r="A2501" s="2"/>
      <c r="B2501" s="65" t="str">
        <f>IF($C2501="","","GG"&amp;TEXT(ROW()-6,"00000"))</f>
        <v/>
      </c>
      <c r="C2501" s="66"/>
      <c r="D2501" s="60"/>
      <c r="E2501" s="61"/>
      <c r="F2501" s="61"/>
      <c r="G2501" s="67"/>
      <c r="H2501" s="60"/>
      <c r="I2501" s="60"/>
      <c r="J2501" s="61"/>
      <c r="K2501" s="61"/>
      <c r="L2501" s="60"/>
      <c r="M2501" s="74" t="str">
        <f>IF($C2501="","",IF($D2501="Gider",$E2501,IF($L2501&lt;&gt;"",$L2501,$H2501)))</f>
        <v/>
      </c>
      <c r="N2501" s="74" t="str">
        <f>IF($C2501="","",IF($D2501="Gider",$H2501,$E2501))</f>
        <v/>
      </c>
      <c r="O2501" s="73" t="str">
        <f>IF($C2501="","",DATE(YEAR($C2501),MONTH($C2501),1))</f>
        <v/>
      </c>
      <c r="P2501" s="65" t="str">
        <f ca="1">IF($C2501="","",IF(AND($D2501="Gelir",$L2501&lt;&gt;"",$T2501=""),"TANIMSIZ BORÇLU",IF($T2501&lt;&gt;"",IF(OR($E2501="",$G2501&lt;=0),"EKSİK",IF($I2501="Evet","TAHAKKUK NAKİT OLAMAZ",IF($C2501&gt;TODAY(),"İLERİ TARİH","TAHAKKUK"))),IF(AND($D2501&lt;&gt;"",$E2501&lt;&gt;"",$G2501&gt;0,$H2501&lt;&gt;"",$I2501&lt;&gt;""),IF($C2501&gt;TODAY(),"İLERİ TARİH",IF(COUNTIF($W$7:$W$3001,$W2501)&gt;1,"MÜKERRER?",IF($AD2501&gt;0,"KAPALI DÖNEM",IF($I2501="Hayır","ÖDENECEK","UYGUN")))),"EKSİK"))))</f>
        <v/>
      </c>
      <c r="Q2501" s="2"/>
      <c r="R2501" s="2"/>
      <c r="S2501" s="1" t="str">
        <f t="shared" ref="S2501:S2564" si="119">IF($L2501="","",UPPER(SUBSTITUTE(SUBSTITUTE(SUBSTITUTE(SUBSTITUTE(SUBSTITUTE(SUBSTITUTE(SUBSTITUTE(SUBSTITUTE(SUBSTITUTE(SUBSTITUTE(SUBSTITUTE(SUBSTITUTE(SUBSTITUTE(SUBSTITUTE(SUBSTITUTE(SUBSTITUTE(SUBSTITUTE(SUBSTITUTE(TRIM($L2501),"'",""),"İ","I"),"ı","I"),"i","I"),"Ş","S"),"ş","S"),"Ğ","G"),"ğ","G"),"Ü","U"),"ü","U"),"Ö","O"),"ö","O"),"Ç","C"),"ç","C"),".",""),",","")," ",""),"-","")))</f>
        <v/>
      </c>
      <c r="T2501" s="1" t="str">
        <f>IF(OR($C2501="",$D2501&lt;&gt;"Gelir",$L2501=""),"",IFERROR(INDEX(MUSTERILER!$B$7:$B$156,MATCH($S2501,MUSTERILER!$T$7:$T$156,0)),""))</f>
        <v/>
      </c>
      <c r="U2501" s="1" t="str">
        <f>IF($T2501="","",$T2501&amp;"|"&amp;COUNTIFS($T$7:$T2501,$T2501))</f>
        <v/>
      </c>
      <c r="V2501" s="1">
        <f t="shared" ref="V2501:V2564" si="120">IF($T2501="",0,1)</f>
        <v>0</v>
      </c>
      <c r="W2501" s="1" t="str">
        <f t="shared" ref="W2501:W2564" si="121">IF($C2501="","",$D2501&amp;"|"&amp;$E2501&amp;"|"&amp;TEXT($C2501,"0")&amp;"|"&amp;TEXT($G2501,"0")&amp;"|"&amp;$F2501&amp;"|"&amp;$J2501)</f>
        <v/>
      </c>
      <c r="X2501" s="1"/>
      <c r="Y2501" s="1"/>
      <c r="Z2501" s="1"/>
      <c r="AA2501" s="1"/>
      <c r="AB2501" s="1"/>
      <c r="AC2501" s="1"/>
      <c r="AD2501" s="1">
        <f>IF($C2501="",0,SUMPRODUCT((AY_SONU!$O$7:$O$42="Evet")*(AY_SONU!$B$7:$B$42=DATE(YEAR($C2501),MONTH($C2501),1))))</f>
        <v>0</v>
      </c>
      <c r="AE2501" s="1" t="str">
        <f>IF($E2501="","",$E2501&amp;"|"&amp;COUNTIFS($E$7:$E2501,$E2501))</f>
        <v/>
      </c>
    </row>
    <row r="2502" spans="1:31" ht="18" customHeight="1" x14ac:dyDescent="0.3">
      <c r="A2502" s="2"/>
      <c r="B2502" s="65" t="str">
        <f>IF($C2502="","","GG"&amp;TEXT(ROW()-6,"00000"))</f>
        <v/>
      </c>
      <c r="C2502" s="66"/>
      <c r="D2502" s="60"/>
      <c r="E2502" s="61"/>
      <c r="F2502" s="61"/>
      <c r="G2502" s="67"/>
      <c r="H2502" s="60"/>
      <c r="I2502" s="60"/>
      <c r="J2502" s="61"/>
      <c r="K2502" s="61"/>
      <c r="L2502" s="60"/>
      <c r="M2502" s="74" t="str">
        <f>IF($C2502="","",IF($D2502="Gider",$E2502,IF($L2502&lt;&gt;"",$L2502,$H2502)))</f>
        <v/>
      </c>
      <c r="N2502" s="74" t="str">
        <f>IF($C2502="","",IF($D2502="Gider",$H2502,$E2502))</f>
        <v/>
      </c>
      <c r="O2502" s="73" t="str">
        <f>IF($C2502="","",DATE(YEAR($C2502),MONTH($C2502),1))</f>
        <v/>
      </c>
      <c r="P2502" s="65" t="str">
        <f ca="1">IF($C2502="","",IF(AND($D2502="Gelir",$L2502&lt;&gt;"",$T2502=""),"TANIMSIZ BORÇLU",IF($T2502&lt;&gt;"",IF(OR($E2502="",$G2502&lt;=0),"EKSİK",IF($I2502="Evet","TAHAKKUK NAKİT OLAMAZ",IF($C2502&gt;TODAY(),"İLERİ TARİH","TAHAKKUK"))),IF(AND($D2502&lt;&gt;"",$E2502&lt;&gt;"",$G2502&gt;0,$H2502&lt;&gt;"",$I2502&lt;&gt;""),IF($C2502&gt;TODAY(),"İLERİ TARİH",IF(COUNTIF($W$7:$W$3001,$W2502)&gt;1,"MÜKERRER?",IF($AD2502&gt;0,"KAPALI DÖNEM",IF($I2502="Hayır","ÖDENECEK","UYGUN")))),"EKSİK"))))</f>
        <v/>
      </c>
      <c r="Q2502" s="2"/>
      <c r="R2502" s="2"/>
      <c r="S2502" s="1" t="str">
        <f t="shared" si="119"/>
        <v/>
      </c>
      <c r="T2502" s="1" t="str">
        <f>IF(OR($C2502="",$D2502&lt;&gt;"Gelir",$L2502=""),"",IFERROR(INDEX(MUSTERILER!$B$7:$B$156,MATCH($S2502,MUSTERILER!$T$7:$T$156,0)),""))</f>
        <v/>
      </c>
      <c r="U2502" s="1" t="str">
        <f>IF($T2502="","",$T2502&amp;"|"&amp;COUNTIFS($T$7:$T2502,$T2502))</f>
        <v/>
      </c>
      <c r="V2502" s="1">
        <f t="shared" si="120"/>
        <v>0</v>
      </c>
      <c r="W2502" s="1" t="str">
        <f t="shared" si="121"/>
        <v/>
      </c>
      <c r="X2502" s="1"/>
      <c r="Y2502" s="1"/>
      <c r="Z2502" s="1"/>
      <c r="AA2502" s="1"/>
      <c r="AB2502" s="1"/>
      <c r="AC2502" s="1"/>
      <c r="AD2502" s="1">
        <f>IF($C2502="",0,SUMPRODUCT((AY_SONU!$O$7:$O$42="Evet")*(AY_SONU!$B$7:$B$42=DATE(YEAR($C2502),MONTH($C2502),1))))</f>
        <v>0</v>
      </c>
      <c r="AE2502" s="1" t="str">
        <f>IF($E2502="","",$E2502&amp;"|"&amp;COUNTIFS($E$7:$E2502,$E2502))</f>
        <v/>
      </c>
    </row>
    <row r="2503" spans="1:31" ht="18" customHeight="1" x14ac:dyDescent="0.3">
      <c r="A2503" s="2"/>
      <c r="B2503" s="65" t="str">
        <f>IF($C2503="","","GG"&amp;TEXT(ROW()-6,"00000"))</f>
        <v/>
      </c>
      <c r="C2503" s="66"/>
      <c r="D2503" s="60"/>
      <c r="E2503" s="61"/>
      <c r="F2503" s="61"/>
      <c r="G2503" s="67"/>
      <c r="H2503" s="60"/>
      <c r="I2503" s="60"/>
      <c r="J2503" s="61"/>
      <c r="K2503" s="61"/>
      <c r="L2503" s="60"/>
      <c r="M2503" s="74" t="str">
        <f>IF($C2503="","",IF($D2503="Gider",$E2503,IF($L2503&lt;&gt;"",$L2503,$H2503)))</f>
        <v/>
      </c>
      <c r="N2503" s="74" t="str">
        <f>IF($C2503="","",IF($D2503="Gider",$H2503,$E2503))</f>
        <v/>
      </c>
      <c r="O2503" s="73" t="str">
        <f>IF($C2503="","",DATE(YEAR($C2503),MONTH($C2503),1))</f>
        <v/>
      </c>
      <c r="P2503" s="65" t="str">
        <f ca="1"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TARİH",IF(COUNTIF($W$7:$W$3001,$W2503)&gt;1,"MÜKERRER?",IF($AD2503&gt;0,"KAPALI DÖNEM",IF($I2503="Hayır","ÖDENECEK","UYGUN")))),"EKSİK"))))</f>
        <v/>
      </c>
      <c r="Q2503" s="2"/>
      <c r="R2503" s="2"/>
      <c r="S2503" s="1" t="str">
        <f t="shared" si="119"/>
        <v/>
      </c>
      <c r="T2503" s="1" t="str">
        <f>IF(OR($C2503="",$D2503&lt;&gt;"Gelir",$L2503=""),"",IFERROR(INDEX(MUSTERILER!$B$7:$B$156,MATCH($S2503,MUSTERILER!$T$7:$T$156,0)),""))</f>
        <v/>
      </c>
      <c r="U2503" s="1" t="str">
        <f>IF($T2503="","",$T2503&amp;"|"&amp;COUNTIFS($T$7:$T2503,$T2503))</f>
        <v/>
      </c>
      <c r="V2503" s="1">
        <f t="shared" si="120"/>
        <v>0</v>
      </c>
      <c r="W2503" s="1" t="str">
        <f t="shared" si="121"/>
        <v/>
      </c>
      <c r="X2503" s="1"/>
      <c r="Y2503" s="1"/>
      <c r="Z2503" s="1"/>
      <c r="AA2503" s="1"/>
      <c r="AB2503" s="1"/>
      <c r="AC2503" s="1"/>
      <c r="AD2503" s="1">
        <f>IF($C2503="",0,SUMPRODUCT((AY_SONU!$O$7:$O$42="Evet")*(AY_SONU!$B$7:$B$42=DATE(YEAR($C2503),MONTH($C2503),1))))</f>
        <v>0</v>
      </c>
      <c r="AE2503" s="1" t="str">
        <f>IF($E2503="","",$E2503&amp;"|"&amp;COUNTIFS($E$7:$E2503,$E2503))</f>
        <v/>
      </c>
    </row>
    <row r="2504" spans="1:31" ht="18" customHeight="1" x14ac:dyDescent="0.3">
      <c r="A2504" s="2"/>
      <c r="B2504" s="65" t="str">
        <f>IF($C2504="","","GG"&amp;TEXT(ROW()-6,"00000"))</f>
        <v/>
      </c>
      <c r="C2504" s="66"/>
      <c r="D2504" s="60"/>
      <c r="E2504" s="61"/>
      <c r="F2504" s="61"/>
      <c r="G2504" s="67"/>
      <c r="H2504" s="60"/>
      <c r="I2504" s="60"/>
      <c r="J2504" s="61"/>
      <c r="K2504" s="61"/>
      <c r="L2504" s="60"/>
      <c r="M2504" s="74" t="str">
        <f>IF($C2504="","",IF($D2504="Gider",$E2504,IF($L2504&lt;&gt;"",$L2504,$H2504)))</f>
        <v/>
      </c>
      <c r="N2504" s="74" t="str">
        <f>IF($C2504="","",IF($D2504="Gider",$H2504,$E2504))</f>
        <v/>
      </c>
      <c r="O2504" s="73" t="str">
        <f>IF($C2504="","",DATE(YEAR($C2504),MONTH($C2504),1))</f>
        <v/>
      </c>
      <c r="P2504" s="65" t="str">
        <f ca="1">IF($C2504="","",IF(AND($D2504="Gelir",$L2504&lt;&gt;"",$T2504=""),"TANIMSIZ BORÇLU",IF($T2504&lt;&gt;"",IF(OR($E2504="",$G2504&lt;=0),"EKSİK",IF($I2504="Evet","TAHAKKUK NAKİT OLAMAZ",IF($C2504&gt;TODAY(),"İLERİ TARİH","TAHAKKUK"))),IF(AND($D2504&lt;&gt;"",$E2504&lt;&gt;"",$G2504&gt;0,$H2504&lt;&gt;"",$I2504&lt;&gt;""),IF($C2504&gt;TODAY(),"İLERİ TARİH",IF(COUNTIF($W$7:$W$3001,$W2504)&gt;1,"MÜKERRER?",IF($AD2504&gt;0,"KAPALI DÖNEM",IF($I2504="Hayır","ÖDENECEK","UYGUN")))),"EKSİK"))))</f>
        <v/>
      </c>
      <c r="Q2504" s="2"/>
      <c r="R2504" s="2"/>
      <c r="S2504" s="1" t="str">
        <f t="shared" si="119"/>
        <v/>
      </c>
      <c r="T2504" s="1" t="str">
        <f>IF(OR($C2504="",$D2504&lt;&gt;"Gelir",$L2504=""),"",IFERROR(INDEX(MUSTERILER!$B$7:$B$156,MATCH($S2504,MUSTERILER!$T$7:$T$156,0)),""))</f>
        <v/>
      </c>
      <c r="U2504" s="1" t="str">
        <f>IF($T2504="","",$T2504&amp;"|"&amp;COUNTIFS($T$7:$T2504,$T2504))</f>
        <v/>
      </c>
      <c r="V2504" s="1">
        <f t="shared" si="120"/>
        <v>0</v>
      </c>
      <c r="W2504" s="1" t="str">
        <f t="shared" si="121"/>
        <v/>
      </c>
      <c r="X2504" s="1"/>
      <c r="Y2504" s="1"/>
      <c r="Z2504" s="1"/>
      <c r="AA2504" s="1"/>
      <c r="AB2504" s="1"/>
      <c r="AC2504" s="1"/>
      <c r="AD2504" s="1">
        <f>IF($C2504="",0,SUMPRODUCT((AY_SONU!$O$7:$O$42="Evet")*(AY_SONU!$B$7:$B$42=DATE(YEAR($C2504),MONTH($C2504),1))))</f>
        <v>0</v>
      </c>
      <c r="AE2504" s="1" t="str">
        <f>IF($E2504="","",$E2504&amp;"|"&amp;COUNTIFS($E$7:$E2504,$E2504))</f>
        <v/>
      </c>
    </row>
    <row r="2505" spans="1:31" ht="18" customHeight="1" x14ac:dyDescent="0.3">
      <c r="A2505" s="2"/>
      <c r="B2505" s="65" t="str">
        <f>IF($C2505="","","GG"&amp;TEXT(ROW()-6,"00000"))</f>
        <v/>
      </c>
      <c r="C2505" s="66"/>
      <c r="D2505" s="60"/>
      <c r="E2505" s="61"/>
      <c r="F2505" s="61"/>
      <c r="G2505" s="67"/>
      <c r="H2505" s="60"/>
      <c r="I2505" s="60"/>
      <c r="J2505" s="61"/>
      <c r="K2505" s="61"/>
      <c r="L2505" s="60"/>
      <c r="M2505" s="74" t="str">
        <f>IF($C2505="","",IF($D2505="Gider",$E2505,IF($L2505&lt;&gt;"",$L2505,$H2505)))</f>
        <v/>
      </c>
      <c r="N2505" s="74" t="str">
        <f>IF($C2505="","",IF($D2505="Gider",$H2505,$E2505))</f>
        <v/>
      </c>
      <c r="O2505" s="73" t="str">
        <f>IF($C2505="","",DATE(YEAR($C2505),MONTH($C2505),1))</f>
        <v/>
      </c>
      <c r="P2505" s="65" t="str">
        <f ca="1">IF($C2505="","",IF(AND($D2505="Gelir",$L2505&lt;&gt;"",$T2505=""),"TANIMSIZ BORÇLU",IF($T2505&lt;&gt;"",IF(OR($E2505="",$G2505&lt;=0),"EKSİK",IF($I2505="Evet","TAHAKKUK NAKİT OLAMAZ",IF($C2505&gt;TODAY(),"İLERİ TARİH","TAHAKKUK"))),IF(AND($D2505&lt;&gt;"",$E2505&lt;&gt;"",$G2505&gt;0,$H2505&lt;&gt;"",$I2505&lt;&gt;""),IF($C2505&gt;TODAY(),"İLERİ TARİH",IF(COUNTIF($W$7:$W$3001,$W2505)&gt;1,"MÜKERRER?",IF($AD2505&gt;0,"KAPALI DÖNEM",IF($I2505="Hayır","ÖDENECEK","UYGUN")))),"EKSİK"))))</f>
        <v/>
      </c>
      <c r="Q2505" s="2"/>
      <c r="R2505" s="2"/>
      <c r="S2505" s="1" t="str">
        <f t="shared" si="119"/>
        <v/>
      </c>
      <c r="T2505" s="1" t="str">
        <f>IF(OR($C2505="",$D2505&lt;&gt;"Gelir",$L2505=""),"",IFERROR(INDEX(MUSTERILER!$B$7:$B$156,MATCH($S2505,MUSTERILER!$T$7:$T$156,0)),""))</f>
        <v/>
      </c>
      <c r="U2505" s="1" t="str">
        <f>IF($T2505="","",$T2505&amp;"|"&amp;COUNTIFS($T$7:$T2505,$T2505))</f>
        <v/>
      </c>
      <c r="V2505" s="1">
        <f t="shared" si="120"/>
        <v>0</v>
      </c>
      <c r="W2505" s="1" t="str">
        <f t="shared" si="121"/>
        <v/>
      </c>
      <c r="X2505" s="1"/>
      <c r="Y2505" s="1"/>
      <c r="Z2505" s="1"/>
      <c r="AA2505" s="1"/>
      <c r="AB2505" s="1"/>
      <c r="AC2505" s="1"/>
      <c r="AD2505" s="1">
        <f>IF($C2505="",0,SUMPRODUCT((AY_SONU!$O$7:$O$42="Evet")*(AY_SONU!$B$7:$B$42=DATE(YEAR($C2505),MONTH($C2505),1))))</f>
        <v>0</v>
      </c>
      <c r="AE2505" s="1" t="str">
        <f>IF($E2505="","",$E2505&amp;"|"&amp;COUNTIFS($E$7:$E2505,$E2505))</f>
        <v/>
      </c>
    </row>
    <row r="2506" spans="1:31" ht="18" customHeight="1" x14ac:dyDescent="0.3">
      <c r="A2506" s="2"/>
      <c r="B2506" s="65" t="str">
        <f>IF($C2506="","","GG"&amp;TEXT(ROW()-6,"00000"))</f>
        <v/>
      </c>
      <c r="C2506" s="66"/>
      <c r="D2506" s="60"/>
      <c r="E2506" s="61"/>
      <c r="F2506" s="61"/>
      <c r="G2506" s="67"/>
      <c r="H2506" s="60"/>
      <c r="I2506" s="60"/>
      <c r="J2506" s="61"/>
      <c r="K2506" s="61"/>
      <c r="L2506" s="60"/>
      <c r="M2506" s="74" t="str">
        <f>IF($C2506="","",IF($D2506="Gider",$E2506,IF($L2506&lt;&gt;"",$L2506,$H2506)))</f>
        <v/>
      </c>
      <c r="N2506" s="74" t="str">
        <f>IF($C2506="","",IF($D2506="Gider",$H2506,$E2506))</f>
        <v/>
      </c>
      <c r="O2506" s="73" t="str">
        <f>IF($C2506="","",DATE(YEAR($C2506),MONTH($C2506),1))</f>
        <v/>
      </c>
      <c r="P2506" s="65" t="str">
        <f ca="1">IF($C2506="","",IF(AND($D2506="Gelir",$L2506&lt;&gt;"",$T2506=""),"TANIMSIZ BORÇLU",IF($T2506&lt;&gt;"",IF(OR($E2506="",$G2506&lt;=0),"EKSİK",IF($I2506="Evet","TAHAKKUK NAKİT OLAMAZ",IF($C2506&gt;TODAY(),"İLERİ TARİH","TAHAKKUK"))),IF(AND($D2506&lt;&gt;"",$E2506&lt;&gt;"",$G2506&gt;0,$H2506&lt;&gt;"",$I2506&lt;&gt;""),IF($C2506&gt;TODAY(),"İLERİ TARİH",IF(COUNTIF($W$7:$W$3001,$W2506)&gt;1,"MÜKERRER?",IF($AD2506&gt;0,"KAPALI DÖNEM",IF($I2506="Hayır","ÖDENECEK","UYGUN")))),"EKSİK"))))</f>
        <v/>
      </c>
      <c r="Q2506" s="2"/>
      <c r="R2506" s="2"/>
      <c r="S2506" s="1" t="str">
        <f t="shared" si="119"/>
        <v/>
      </c>
      <c r="T2506" s="1" t="str">
        <f>IF(OR($C2506="",$D2506&lt;&gt;"Gelir",$L2506=""),"",IFERROR(INDEX(MUSTERILER!$B$7:$B$156,MATCH($S2506,MUSTERILER!$T$7:$T$156,0)),""))</f>
        <v/>
      </c>
      <c r="U2506" s="1" t="str">
        <f>IF($T2506="","",$T2506&amp;"|"&amp;COUNTIFS($T$7:$T2506,$T2506))</f>
        <v/>
      </c>
      <c r="V2506" s="1">
        <f t="shared" si="120"/>
        <v>0</v>
      </c>
      <c r="W2506" s="1" t="str">
        <f t="shared" si="121"/>
        <v/>
      </c>
      <c r="X2506" s="1"/>
      <c r="Y2506" s="1"/>
      <c r="Z2506" s="1"/>
      <c r="AA2506" s="1"/>
      <c r="AB2506" s="1"/>
      <c r="AC2506" s="1"/>
      <c r="AD2506" s="1">
        <f>IF($C2506="",0,SUMPRODUCT((AY_SONU!$O$7:$O$42="Evet")*(AY_SONU!$B$7:$B$42=DATE(YEAR($C2506),MONTH($C2506),1))))</f>
        <v>0</v>
      </c>
      <c r="AE2506" s="1" t="str">
        <f>IF($E2506="","",$E2506&amp;"|"&amp;COUNTIFS($E$7:$E2506,$E2506))</f>
        <v/>
      </c>
    </row>
    <row r="2507" spans="1:31" ht="18" customHeight="1" x14ac:dyDescent="0.3">
      <c r="A2507" s="2"/>
      <c r="B2507" s="65" t="str">
        <f>IF($C2507="","","GG"&amp;TEXT(ROW()-6,"00000"))</f>
        <v/>
      </c>
      <c r="C2507" s="66"/>
      <c r="D2507" s="60"/>
      <c r="E2507" s="61"/>
      <c r="F2507" s="61"/>
      <c r="G2507" s="67"/>
      <c r="H2507" s="60"/>
      <c r="I2507" s="60"/>
      <c r="J2507" s="61"/>
      <c r="K2507" s="61"/>
      <c r="L2507" s="60"/>
      <c r="M2507" s="74" t="str">
        <f>IF($C2507="","",IF($D2507="Gider",$E2507,IF($L2507&lt;&gt;"",$L2507,$H2507)))</f>
        <v/>
      </c>
      <c r="N2507" s="74" t="str">
        <f>IF($C2507="","",IF($D2507="Gider",$H2507,$E2507))</f>
        <v/>
      </c>
      <c r="O2507" s="73" t="str">
        <f>IF($C2507="","",DATE(YEAR($C2507),MONTH($C2507),1))</f>
        <v/>
      </c>
      <c r="P2507" s="65" t="str">
        <f ca="1">IF($C2507="","",IF(AND($D2507="Gelir",$L2507&lt;&gt;"",$T2507=""),"TANIMSIZ BORÇLU",IF($T2507&lt;&gt;"",IF(OR($E2507="",$G2507&lt;=0),"EKSİK",IF($I2507="Evet","TAHAKKUK NAKİT OLAMAZ",IF($C2507&gt;TODAY(),"İLERİ TARİH","TAHAKKUK"))),IF(AND($D2507&lt;&gt;"",$E2507&lt;&gt;"",$G2507&gt;0,$H2507&lt;&gt;"",$I2507&lt;&gt;""),IF($C2507&gt;TODAY(),"İLERİ TARİH",IF(COUNTIF($W$7:$W$3001,$W2507)&gt;1,"MÜKERRER?",IF($AD2507&gt;0,"KAPALI DÖNEM",IF($I2507="Hayır","ÖDENECEK","UYGUN")))),"EKSİK"))))</f>
        <v/>
      </c>
      <c r="Q2507" s="2"/>
      <c r="R2507" s="2"/>
      <c r="S2507" s="1" t="str">
        <f t="shared" si="119"/>
        <v/>
      </c>
      <c r="T2507" s="1" t="str">
        <f>IF(OR($C2507="",$D2507&lt;&gt;"Gelir",$L2507=""),"",IFERROR(INDEX(MUSTERILER!$B$7:$B$156,MATCH($S2507,MUSTERILER!$T$7:$T$156,0)),""))</f>
        <v/>
      </c>
      <c r="U2507" s="1" t="str">
        <f>IF($T2507="","",$T2507&amp;"|"&amp;COUNTIFS($T$7:$T2507,$T2507))</f>
        <v/>
      </c>
      <c r="V2507" s="1">
        <f t="shared" si="120"/>
        <v>0</v>
      </c>
      <c r="W2507" s="1" t="str">
        <f t="shared" si="121"/>
        <v/>
      </c>
      <c r="X2507" s="1"/>
      <c r="Y2507" s="1"/>
      <c r="Z2507" s="1"/>
      <c r="AA2507" s="1"/>
      <c r="AB2507" s="1"/>
      <c r="AC2507" s="1"/>
      <c r="AD2507" s="1">
        <f>IF($C2507="",0,SUMPRODUCT((AY_SONU!$O$7:$O$42="Evet")*(AY_SONU!$B$7:$B$42=DATE(YEAR($C2507),MONTH($C2507),1))))</f>
        <v>0</v>
      </c>
      <c r="AE2507" s="1" t="str">
        <f>IF($E2507="","",$E2507&amp;"|"&amp;COUNTIFS($E$7:$E2507,$E2507))</f>
        <v/>
      </c>
    </row>
    <row r="2508" spans="1:31" ht="18" customHeight="1" x14ac:dyDescent="0.3">
      <c r="A2508" s="2"/>
      <c r="B2508" s="65" t="str">
        <f>IF($C2508="","","GG"&amp;TEXT(ROW()-6,"00000"))</f>
        <v/>
      </c>
      <c r="C2508" s="66"/>
      <c r="D2508" s="60"/>
      <c r="E2508" s="61"/>
      <c r="F2508" s="61"/>
      <c r="G2508" s="67"/>
      <c r="H2508" s="60"/>
      <c r="I2508" s="60"/>
      <c r="J2508" s="61"/>
      <c r="K2508" s="61"/>
      <c r="L2508" s="60"/>
      <c r="M2508" s="74" t="str">
        <f>IF($C2508="","",IF($D2508="Gider",$E2508,IF($L2508&lt;&gt;"",$L2508,$H2508)))</f>
        <v/>
      </c>
      <c r="N2508" s="74" t="str">
        <f>IF($C2508="","",IF($D2508="Gider",$H2508,$E2508))</f>
        <v/>
      </c>
      <c r="O2508" s="73" t="str">
        <f>IF($C2508="","",DATE(YEAR($C2508),MONTH($C2508),1))</f>
        <v/>
      </c>
      <c r="P2508" s="65" t="str">
        <f ca="1">IF($C2508="","",IF(AND($D2508="Gelir",$L2508&lt;&gt;"",$T2508=""),"TANIMSIZ BORÇLU",IF($T2508&lt;&gt;"",IF(OR($E2508="",$G2508&lt;=0),"EKSİK",IF($I2508="Evet","TAHAKKUK NAKİT OLAMAZ",IF($C2508&gt;TODAY(),"İLERİ TARİH","TAHAKKUK"))),IF(AND($D2508&lt;&gt;"",$E2508&lt;&gt;"",$G2508&gt;0,$H2508&lt;&gt;"",$I2508&lt;&gt;""),IF($C2508&gt;TODAY(),"İLERİ TARİH",IF(COUNTIF($W$7:$W$3001,$W2508)&gt;1,"MÜKERRER?",IF($AD2508&gt;0,"KAPALI DÖNEM",IF($I2508="Hayır","ÖDENECEK","UYGUN")))),"EKSİK"))))</f>
        <v/>
      </c>
      <c r="Q2508" s="2"/>
      <c r="R2508" s="2"/>
      <c r="S2508" s="1" t="str">
        <f t="shared" si="119"/>
        <v/>
      </c>
      <c r="T2508" s="1" t="str">
        <f>IF(OR($C2508="",$D2508&lt;&gt;"Gelir",$L2508=""),"",IFERROR(INDEX(MUSTERILER!$B$7:$B$156,MATCH($S2508,MUSTERILER!$T$7:$T$156,0)),""))</f>
        <v/>
      </c>
      <c r="U2508" s="1" t="str">
        <f>IF($T2508="","",$T2508&amp;"|"&amp;COUNTIFS($T$7:$T2508,$T2508))</f>
        <v/>
      </c>
      <c r="V2508" s="1">
        <f t="shared" si="120"/>
        <v>0</v>
      </c>
      <c r="W2508" s="1" t="str">
        <f t="shared" si="121"/>
        <v/>
      </c>
      <c r="X2508" s="1"/>
      <c r="Y2508" s="1"/>
      <c r="Z2508" s="1"/>
      <c r="AA2508" s="1"/>
      <c r="AB2508" s="1"/>
      <c r="AC2508" s="1"/>
      <c r="AD2508" s="1">
        <f>IF($C2508="",0,SUMPRODUCT((AY_SONU!$O$7:$O$42="Evet")*(AY_SONU!$B$7:$B$42=DATE(YEAR($C2508),MONTH($C2508),1))))</f>
        <v>0</v>
      </c>
      <c r="AE2508" s="1" t="str">
        <f>IF($E2508="","",$E2508&amp;"|"&amp;COUNTIFS($E$7:$E2508,$E2508))</f>
        <v/>
      </c>
    </row>
    <row r="2509" spans="1:31" ht="18" customHeight="1" x14ac:dyDescent="0.3">
      <c r="A2509" s="2"/>
      <c r="B2509" s="65" t="str">
        <f>IF($C2509="","","GG"&amp;TEXT(ROW()-6,"00000"))</f>
        <v/>
      </c>
      <c r="C2509" s="66"/>
      <c r="D2509" s="60"/>
      <c r="E2509" s="61"/>
      <c r="F2509" s="61"/>
      <c r="G2509" s="67"/>
      <c r="H2509" s="60"/>
      <c r="I2509" s="60"/>
      <c r="J2509" s="61"/>
      <c r="K2509" s="61"/>
      <c r="L2509" s="60"/>
      <c r="M2509" s="74" t="str">
        <f>IF($C2509="","",IF($D2509="Gider",$E2509,IF($L2509&lt;&gt;"",$L2509,$H2509)))</f>
        <v/>
      </c>
      <c r="N2509" s="74" t="str">
        <f>IF($C2509="","",IF($D2509="Gider",$H2509,$E2509))</f>
        <v/>
      </c>
      <c r="O2509" s="73" t="str">
        <f>IF($C2509="","",DATE(YEAR($C2509),MONTH($C2509),1))</f>
        <v/>
      </c>
      <c r="P2509" s="65" t="str">
        <f ca="1">IF($C2509="","",IF(AND($D2509="Gelir",$L2509&lt;&gt;"",$T2509=""),"TANIMSIZ BORÇLU",IF($T2509&lt;&gt;"",IF(OR($E2509="",$G2509&lt;=0),"EKSİK",IF($I2509="Evet","TAHAKKUK NAKİT OLAMAZ",IF($C2509&gt;TODAY(),"İLERİ TARİH","TAHAKKUK"))),IF(AND($D2509&lt;&gt;"",$E2509&lt;&gt;"",$G2509&gt;0,$H2509&lt;&gt;"",$I2509&lt;&gt;""),IF($C2509&gt;TODAY(),"İLERİ TARİH",IF(COUNTIF($W$7:$W$3001,$W2509)&gt;1,"MÜKERRER?",IF($AD2509&gt;0,"KAPALI DÖNEM",IF($I2509="Hayır","ÖDENECEK","UYGUN")))),"EKSİK"))))</f>
        <v/>
      </c>
      <c r="Q2509" s="2"/>
      <c r="R2509" s="2"/>
      <c r="S2509" s="1" t="str">
        <f t="shared" si="119"/>
        <v/>
      </c>
      <c r="T2509" s="1" t="str">
        <f>IF(OR($C2509="",$D2509&lt;&gt;"Gelir",$L2509=""),"",IFERROR(INDEX(MUSTERILER!$B$7:$B$156,MATCH($S2509,MUSTERILER!$T$7:$T$156,0)),""))</f>
        <v/>
      </c>
      <c r="U2509" s="1" t="str">
        <f>IF($T2509="","",$T2509&amp;"|"&amp;COUNTIFS($T$7:$T2509,$T2509))</f>
        <v/>
      </c>
      <c r="V2509" s="1">
        <f t="shared" si="120"/>
        <v>0</v>
      </c>
      <c r="W2509" s="1" t="str">
        <f t="shared" si="121"/>
        <v/>
      </c>
      <c r="X2509" s="1"/>
      <c r="Y2509" s="1"/>
      <c r="Z2509" s="1"/>
      <c r="AA2509" s="1"/>
      <c r="AB2509" s="1"/>
      <c r="AC2509" s="1"/>
      <c r="AD2509" s="1">
        <f>IF($C2509="",0,SUMPRODUCT((AY_SONU!$O$7:$O$42="Evet")*(AY_SONU!$B$7:$B$42=DATE(YEAR($C2509),MONTH($C2509),1))))</f>
        <v>0</v>
      </c>
      <c r="AE2509" s="1" t="str">
        <f>IF($E2509="","",$E2509&amp;"|"&amp;COUNTIFS($E$7:$E2509,$E2509))</f>
        <v/>
      </c>
    </row>
    <row r="2510" spans="1:31" ht="18" customHeight="1" x14ac:dyDescent="0.3">
      <c r="A2510" s="2"/>
      <c r="B2510" s="65" t="str">
        <f>IF($C2510="","","GG"&amp;TEXT(ROW()-6,"00000"))</f>
        <v/>
      </c>
      <c r="C2510" s="66"/>
      <c r="D2510" s="60"/>
      <c r="E2510" s="61"/>
      <c r="F2510" s="61"/>
      <c r="G2510" s="67"/>
      <c r="H2510" s="60"/>
      <c r="I2510" s="60"/>
      <c r="J2510" s="61"/>
      <c r="K2510" s="61"/>
      <c r="L2510" s="60"/>
      <c r="M2510" s="74" t="str">
        <f>IF($C2510="","",IF($D2510="Gider",$E2510,IF($L2510&lt;&gt;"",$L2510,$H2510)))</f>
        <v/>
      </c>
      <c r="N2510" s="74" t="str">
        <f>IF($C2510="","",IF($D2510="Gider",$H2510,$E2510))</f>
        <v/>
      </c>
      <c r="O2510" s="73" t="str">
        <f>IF($C2510="","",DATE(YEAR($C2510),MONTH($C2510),1))</f>
        <v/>
      </c>
      <c r="P2510" s="65" t="str">
        <f ca="1">IF($C2510="","",IF(AND($D2510="Gelir",$L2510&lt;&gt;"",$T2510=""),"TANIMSIZ BORÇLU",IF($T2510&lt;&gt;"",IF(OR($E2510="",$G2510&lt;=0),"EKSİK",IF($I2510="Evet","TAHAKKUK NAKİT OLAMAZ",IF($C2510&gt;TODAY(),"İLERİ TARİH","TAHAKKUK"))),IF(AND($D2510&lt;&gt;"",$E2510&lt;&gt;"",$G2510&gt;0,$H2510&lt;&gt;"",$I2510&lt;&gt;""),IF($C2510&gt;TODAY(),"İLERİ TARİH",IF(COUNTIF($W$7:$W$3001,$W2510)&gt;1,"MÜKERRER?",IF($AD2510&gt;0,"KAPALI DÖNEM",IF($I2510="Hayır","ÖDENECEK","UYGUN")))),"EKSİK"))))</f>
        <v/>
      </c>
      <c r="Q2510" s="2"/>
      <c r="R2510" s="2"/>
      <c r="S2510" s="1" t="str">
        <f t="shared" si="119"/>
        <v/>
      </c>
      <c r="T2510" s="1" t="str">
        <f>IF(OR($C2510="",$D2510&lt;&gt;"Gelir",$L2510=""),"",IFERROR(INDEX(MUSTERILER!$B$7:$B$156,MATCH($S2510,MUSTERILER!$T$7:$T$156,0)),""))</f>
        <v/>
      </c>
      <c r="U2510" s="1" t="str">
        <f>IF($T2510="","",$T2510&amp;"|"&amp;COUNTIFS($T$7:$T2510,$T2510))</f>
        <v/>
      </c>
      <c r="V2510" s="1">
        <f t="shared" si="120"/>
        <v>0</v>
      </c>
      <c r="W2510" s="1" t="str">
        <f t="shared" si="121"/>
        <v/>
      </c>
      <c r="X2510" s="1"/>
      <c r="Y2510" s="1"/>
      <c r="Z2510" s="1"/>
      <c r="AA2510" s="1"/>
      <c r="AB2510" s="1"/>
      <c r="AC2510" s="1"/>
      <c r="AD2510" s="1">
        <f>IF($C2510="",0,SUMPRODUCT((AY_SONU!$O$7:$O$42="Evet")*(AY_SONU!$B$7:$B$42=DATE(YEAR($C2510),MONTH($C2510),1))))</f>
        <v>0</v>
      </c>
      <c r="AE2510" s="1" t="str">
        <f>IF($E2510="","",$E2510&amp;"|"&amp;COUNTIFS($E$7:$E2510,$E2510))</f>
        <v/>
      </c>
    </row>
    <row r="2511" spans="1:31" ht="18" customHeight="1" x14ac:dyDescent="0.3">
      <c r="A2511" s="2"/>
      <c r="B2511" s="65" t="str">
        <f>IF($C2511="","","GG"&amp;TEXT(ROW()-6,"00000"))</f>
        <v/>
      </c>
      <c r="C2511" s="66"/>
      <c r="D2511" s="60"/>
      <c r="E2511" s="61"/>
      <c r="F2511" s="61"/>
      <c r="G2511" s="67"/>
      <c r="H2511" s="60"/>
      <c r="I2511" s="60"/>
      <c r="J2511" s="61"/>
      <c r="K2511" s="61"/>
      <c r="L2511" s="60"/>
      <c r="M2511" s="74" t="str">
        <f>IF($C2511="","",IF($D2511="Gider",$E2511,IF($L2511&lt;&gt;"",$L2511,$H2511)))</f>
        <v/>
      </c>
      <c r="N2511" s="74" t="str">
        <f>IF($C2511="","",IF($D2511="Gider",$H2511,$E2511))</f>
        <v/>
      </c>
      <c r="O2511" s="73" t="str">
        <f>IF($C2511="","",DATE(YEAR($C2511),MONTH($C2511),1))</f>
        <v/>
      </c>
      <c r="P2511" s="65" t="str">
        <f ca="1">IF($C2511="","",IF(AND($D2511="Gelir",$L2511&lt;&gt;"",$T2511=""),"TANIMSIZ BORÇLU",IF($T2511&lt;&gt;"",IF(OR($E2511="",$G2511&lt;=0),"EKSİK",IF($I2511="Evet","TAHAKKUK NAKİT OLAMAZ",IF($C2511&gt;TODAY(),"İLERİ TARİH","TAHAKKUK"))),IF(AND($D2511&lt;&gt;"",$E2511&lt;&gt;"",$G2511&gt;0,$H2511&lt;&gt;"",$I2511&lt;&gt;""),IF($C2511&gt;TODAY(),"İLERİ TARİH",IF(COUNTIF($W$7:$W$3001,$W2511)&gt;1,"MÜKERRER?",IF($AD2511&gt;0,"KAPALI DÖNEM",IF($I2511="Hayır","ÖDENECEK","UYGUN")))),"EKSİK"))))</f>
        <v/>
      </c>
      <c r="Q2511" s="2"/>
      <c r="R2511" s="2"/>
      <c r="S2511" s="1" t="str">
        <f t="shared" si="119"/>
        <v/>
      </c>
      <c r="T2511" s="1" t="str">
        <f>IF(OR($C2511="",$D2511&lt;&gt;"Gelir",$L2511=""),"",IFERROR(INDEX(MUSTERILER!$B$7:$B$156,MATCH($S2511,MUSTERILER!$T$7:$T$156,0)),""))</f>
        <v/>
      </c>
      <c r="U2511" s="1" t="str">
        <f>IF($T2511="","",$T2511&amp;"|"&amp;COUNTIFS($T$7:$T2511,$T2511))</f>
        <v/>
      </c>
      <c r="V2511" s="1">
        <f t="shared" si="120"/>
        <v>0</v>
      </c>
      <c r="W2511" s="1" t="str">
        <f t="shared" si="121"/>
        <v/>
      </c>
      <c r="X2511" s="1"/>
      <c r="Y2511" s="1"/>
      <c r="Z2511" s="1"/>
      <c r="AA2511" s="1"/>
      <c r="AB2511" s="1"/>
      <c r="AC2511" s="1"/>
      <c r="AD2511" s="1">
        <f>IF($C2511="",0,SUMPRODUCT((AY_SONU!$O$7:$O$42="Evet")*(AY_SONU!$B$7:$B$42=DATE(YEAR($C2511),MONTH($C2511),1))))</f>
        <v>0</v>
      </c>
      <c r="AE2511" s="1" t="str">
        <f>IF($E2511="","",$E2511&amp;"|"&amp;COUNTIFS($E$7:$E2511,$E2511))</f>
        <v/>
      </c>
    </row>
    <row r="2512" spans="1:31" ht="18" customHeight="1" x14ac:dyDescent="0.3">
      <c r="A2512" s="2"/>
      <c r="B2512" s="65" t="str">
        <f>IF($C2512="","","GG"&amp;TEXT(ROW()-6,"00000"))</f>
        <v/>
      </c>
      <c r="C2512" s="66"/>
      <c r="D2512" s="60"/>
      <c r="E2512" s="61"/>
      <c r="F2512" s="61"/>
      <c r="G2512" s="67"/>
      <c r="H2512" s="60"/>
      <c r="I2512" s="60"/>
      <c r="J2512" s="61"/>
      <c r="K2512" s="61"/>
      <c r="L2512" s="60"/>
      <c r="M2512" s="74" t="str">
        <f>IF($C2512="","",IF($D2512="Gider",$E2512,IF($L2512&lt;&gt;"",$L2512,$H2512)))</f>
        <v/>
      </c>
      <c r="N2512" s="74" t="str">
        <f>IF($C2512="","",IF($D2512="Gider",$H2512,$E2512))</f>
        <v/>
      </c>
      <c r="O2512" s="73" t="str">
        <f>IF($C2512="","",DATE(YEAR($C2512),MONTH($C2512),1))</f>
        <v/>
      </c>
      <c r="P2512" s="65" t="str">
        <f ca="1">IF($C2512="","",IF(AND($D2512="Gelir",$L2512&lt;&gt;"",$T2512=""),"TANIMSIZ BORÇLU",IF($T2512&lt;&gt;"",IF(OR($E2512="",$G2512&lt;=0),"EKSİK",IF($I2512="Evet","TAHAKKUK NAKİT OLAMAZ",IF($C2512&gt;TODAY(),"İLERİ TARİH","TAHAKKUK"))),IF(AND($D2512&lt;&gt;"",$E2512&lt;&gt;"",$G2512&gt;0,$H2512&lt;&gt;"",$I2512&lt;&gt;""),IF($C2512&gt;TODAY(),"İLERİ TARİH",IF(COUNTIF($W$7:$W$3001,$W2512)&gt;1,"MÜKERRER?",IF($AD2512&gt;0,"KAPALI DÖNEM",IF($I2512="Hayır","ÖDENECEK","UYGUN")))),"EKSİK"))))</f>
        <v/>
      </c>
      <c r="Q2512" s="2"/>
      <c r="R2512" s="2"/>
      <c r="S2512" s="1" t="str">
        <f t="shared" si="119"/>
        <v/>
      </c>
      <c r="T2512" s="1" t="str">
        <f>IF(OR($C2512="",$D2512&lt;&gt;"Gelir",$L2512=""),"",IFERROR(INDEX(MUSTERILER!$B$7:$B$156,MATCH($S2512,MUSTERILER!$T$7:$T$156,0)),""))</f>
        <v/>
      </c>
      <c r="U2512" s="1" t="str">
        <f>IF($T2512="","",$T2512&amp;"|"&amp;COUNTIFS($T$7:$T2512,$T2512))</f>
        <v/>
      </c>
      <c r="V2512" s="1">
        <f t="shared" si="120"/>
        <v>0</v>
      </c>
      <c r="W2512" s="1" t="str">
        <f t="shared" si="121"/>
        <v/>
      </c>
      <c r="X2512" s="1"/>
      <c r="Y2512" s="1"/>
      <c r="Z2512" s="1"/>
      <c r="AA2512" s="1"/>
      <c r="AB2512" s="1"/>
      <c r="AC2512" s="1"/>
      <c r="AD2512" s="1">
        <f>IF($C2512="",0,SUMPRODUCT((AY_SONU!$O$7:$O$42="Evet")*(AY_SONU!$B$7:$B$42=DATE(YEAR($C2512),MONTH($C2512),1))))</f>
        <v>0</v>
      </c>
      <c r="AE2512" s="1" t="str">
        <f>IF($E2512="","",$E2512&amp;"|"&amp;COUNTIFS($E$7:$E2512,$E2512))</f>
        <v/>
      </c>
    </row>
    <row r="2513" spans="1:31" ht="18" customHeight="1" x14ac:dyDescent="0.3">
      <c r="A2513" s="2"/>
      <c r="B2513" s="65" t="str">
        <f>IF($C2513="","","GG"&amp;TEXT(ROW()-6,"00000"))</f>
        <v/>
      </c>
      <c r="C2513" s="66"/>
      <c r="D2513" s="60"/>
      <c r="E2513" s="61"/>
      <c r="F2513" s="61"/>
      <c r="G2513" s="67"/>
      <c r="H2513" s="60"/>
      <c r="I2513" s="60"/>
      <c r="J2513" s="61"/>
      <c r="K2513" s="61"/>
      <c r="L2513" s="60"/>
      <c r="M2513" s="74" t="str">
        <f>IF($C2513="","",IF($D2513="Gider",$E2513,IF($L2513&lt;&gt;"",$L2513,$H2513)))</f>
        <v/>
      </c>
      <c r="N2513" s="74" t="str">
        <f>IF($C2513="","",IF($D2513="Gider",$H2513,$E2513))</f>
        <v/>
      </c>
      <c r="O2513" s="73" t="str">
        <f>IF($C2513="","",DATE(YEAR($C2513),MONTH($C2513),1))</f>
        <v/>
      </c>
      <c r="P2513" s="65" t="str">
        <f ca="1">IF($C2513="","",IF(AND($D2513="Gelir",$L2513&lt;&gt;"",$T2513=""),"TANIMSIZ BORÇLU",IF($T2513&lt;&gt;"",IF(OR($E2513="",$G2513&lt;=0),"EKSİK",IF($I2513="Evet","TAHAKKUK NAKİT OLAMAZ",IF($C2513&gt;TODAY(),"İLERİ TARİH","TAHAKKUK"))),IF(AND($D2513&lt;&gt;"",$E2513&lt;&gt;"",$G2513&gt;0,$H2513&lt;&gt;"",$I2513&lt;&gt;""),IF($C2513&gt;TODAY(),"İLERİ TARİH",IF(COUNTIF($W$7:$W$3001,$W2513)&gt;1,"MÜKERRER?",IF($AD2513&gt;0,"KAPALI DÖNEM",IF($I2513="Hayır","ÖDENECEK","UYGUN")))),"EKSİK"))))</f>
        <v/>
      </c>
      <c r="Q2513" s="2"/>
      <c r="R2513" s="2"/>
      <c r="S2513" s="1" t="str">
        <f t="shared" si="119"/>
        <v/>
      </c>
      <c r="T2513" s="1" t="str">
        <f>IF(OR($C2513="",$D2513&lt;&gt;"Gelir",$L2513=""),"",IFERROR(INDEX(MUSTERILER!$B$7:$B$156,MATCH($S2513,MUSTERILER!$T$7:$T$156,0)),""))</f>
        <v/>
      </c>
      <c r="U2513" s="1" t="str">
        <f>IF($T2513="","",$T2513&amp;"|"&amp;COUNTIFS($T$7:$T2513,$T2513))</f>
        <v/>
      </c>
      <c r="V2513" s="1">
        <f t="shared" si="120"/>
        <v>0</v>
      </c>
      <c r="W2513" s="1" t="str">
        <f t="shared" si="121"/>
        <v/>
      </c>
      <c r="X2513" s="1"/>
      <c r="Y2513" s="1"/>
      <c r="Z2513" s="1"/>
      <c r="AA2513" s="1"/>
      <c r="AB2513" s="1"/>
      <c r="AC2513" s="1"/>
      <c r="AD2513" s="1">
        <f>IF($C2513="",0,SUMPRODUCT((AY_SONU!$O$7:$O$42="Evet")*(AY_SONU!$B$7:$B$42=DATE(YEAR($C2513),MONTH($C2513),1))))</f>
        <v>0</v>
      </c>
      <c r="AE2513" s="1" t="str">
        <f>IF($E2513="","",$E2513&amp;"|"&amp;COUNTIFS($E$7:$E2513,$E2513))</f>
        <v/>
      </c>
    </row>
    <row r="2514" spans="1:31" ht="18" customHeight="1" x14ac:dyDescent="0.3">
      <c r="A2514" s="2"/>
      <c r="B2514" s="65" t="str">
        <f>IF($C2514="","","GG"&amp;TEXT(ROW()-6,"00000"))</f>
        <v/>
      </c>
      <c r="C2514" s="66"/>
      <c r="D2514" s="60"/>
      <c r="E2514" s="61"/>
      <c r="F2514" s="61"/>
      <c r="G2514" s="67"/>
      <c r="H2514" s="60"/>
      <c r="I2514" s="60"/>
      <c r="J2514" s="61"/>
      <c r="K2514" s="61"/>
      <c r="L2514" s="60"/>
      <c r="M2514" s="74" t="str">
        <f>IF($C2514="","",IF($D2514="Gider",$E2514,IF($L2514&lt;&gt;"",$L2514,$H2514)))</f>
        <v/>
      </c>
      <c r="N2514" s="74" t="str">
        <f>IF($C2514="","",IF($D2514="Gider",$H2514,$E2514))</f>
        <v/>
      </c>
      <c r="O2514" s="73" t="str">
        <f>IF($C2514="","",DATE(YEAR($C2514),MONTH($C2514),1))</f>
        <v/>
      </c>
      <c r="P2514" s="65" t="str">
        <f ca="1">IF($C2514="","",IF(AND($D2514="Gelir",$L2514&lt;&gt;"",$T2514=""),"TANIMSIZ BORÇLU",IF($T2514&lt;&gt;"",IF(OR($E2514="",$G2514&lt;=0),"EKSİK",IF($I2514="Evet","TAHAKKUK NAKİT OLAMAZ",IF($C2514&gt;TODAY(),"İLERİ TARİH","TAHAKKUK"))),IF(AND($D2514&lt;&gt;"",$E2514&lt;&gt;"",$G2514&gt;0,$H2514&lt;&gt;"",$I2514&lt;&gt;""),IF($C2514&gt;TODAY(),"İLERİ TARİH",IF(COUNTIF($W$7:$W$3001,$W2514)&gt;1,"MÜKERRER?",IF($AD2514&gt;0,"KAPALI DÖNEM",IF($I2514="Hayır","ÖDENECEK","UYGUN")))),"EKSİK"))))</f>
        <v/>
      </c>
      <c r="Q2514" s="2"/>
      <c r="R2514" s="2"/>
      <c r="S2514" s="1" t="str">
        <f t="shared" si="119"/>
        <v/>
      </c>
      <c r="T2514" s="1" t="str">
        <f>IF(OR($C2514="",$D2514&lt;&gt;"Gelir",$L2514=""),"",IFERROR(INDEX(MUSTERILER!$B$7:$B$156,MATCH($S2514,MUSTERILER!$T$7:$T$156,0)),""))</f>
        <v/>
      </c>
      <c r="U2514" s="1" t="str">
        <f>IF($T2514="","",$T2514&amp;"|"&amp;COUNTIFS($T$7:$T2514,$T2514))</f>
        <v/>
      </c>
      <c r="V2514" s="1">
        <f t="shared" si="120"/>
        <v>0</v>
      </c>
      <c r="W2514" s="1" t="str">
        <f t="shared" si="121"/>
        <v/>
      </c>
      <c r="X2514" s="1"/>
      <c r="Y2514" s="1"/>
      <c r="Z2514" s="1"/>
      <c r="AA2514" s="1"/>
      <c r="AB2514" s="1"/>
      <c r="AC2514" s="1"/>
      <c r="AD2514" s="1">
        <f>IF($C2514="",0,SUMPRODUCT((AY_SONU!$O$7:$O$42="Evet")*(AY_SONU!$B$7:$B$42=DATE(YEAR($C2514),MONTH($C2514),1))))</f>
        <v>0</v>
      </c>
      <c r="AE2514" s="1" t="str">
        <f>IF($E2514="","",$E2514&amp;"|"&amp;COUNTIFS($E$7:$E2514,$E2514))</f>
        <v/>
      </c>
    </row>
    <row r="2515" spans="1:31" ht="18" customHeight="1" x14ac:dyDescent="0.3">
      <c r="A2515" s="2"/>
      <c r="B2515" s="65" t="str">
        <f>IF($C2515="","","GG"&amp;TEXT(ROW()-6,"00000"))</f>
        <v/>
      </c>
      <c r="C2515" s="66"/>
      <c r="D2515" s="60"/>
      <c r="E2515" s="61"/>
      <c r="F2515" s="61"/>
      <c r="G2515" s="67"/>
      <c r="H2515" s="60"/>
      <c r="I2515" s="60"/>
      <c r="J2515" s="61"/>
      <c r="K2515" s="61"/>
      <c r="L2515" s="60"/>
      <c r="M2515" s="74" t="str">
        <f>IF($C2515="","",IF($D2515="Gider",$E2515,IF($L2515&lt;&gt;"",$L2515,$H2515)))</f>
        <v/>
      </c>
      <c r="N2515" s="74" t="str">
        <f>IF($C2515="","",IF($D2515="Gider",$H2515,$E2515))</f>
        <v/>
      </c>
      <c r="O2515" s="73" t="str">
        <f>IF($C2515="","",DATE(YEAR($C2515),MONTH($C2515),1))</f>
        <v/>
      </c>
      <c r="P2515" s="65" t="str">
        <f ca="1">IF($C2515="","",IF(AND($D2515="Gelir",$L2515&lt;&gt;"",$T2515=""),"TANIMSIZ BORÇLU",IF($T2515&lt;&gt;"",IF(OR($E2515="",$G2515&lt;=0),"EKSİK",IF($I2515="Evet","TAHAKKUK NAKİT OLAMAZ",IF($C2515&gt;TODAY(),"İLERİ TARİH","TAHAKKUK"))),IF(AND($D2515&lt;&gt;"",$E2515&lt;&gt;"",$G2515&gt;0,$H2515&lt;&gt;"",$I2515&lt;&gt;""),IF($C2515&gt;TODAY(),"İLERİ TARİH",IF(COUNTIF($W$7:$W$3001,$W2515)&gt;1,"MÜKERRER?",IF($AD2515&gt;0,"KAPALI DÖNEM",IF($I2515="Hayır","ÖDENECEK","UYGUN")))),"EKSİK"))))</f>
        <v/>
      </c>
      <c r="Q2515" s="2"/>
      <c r="R2515" s="2"/>
      <c r="S2515" s="1" t="str">
        <f t="shared" si="119"/>
        <v/>
      </c>
      <c r="T2515" s="1" t="str">
        <f>IF(OR($C2515="",$D2515&lt;&gt;"Gelir",$L2515=""),"",IFERROR(INDEX(MUSTERILER!$B$7:$B$156,MATCH($S2515,MUSTERILER!$T$7:$T$156,0)),""))</f>
        <v/>
      </c>
      <c r="U2515" s="1" t="str">
        <f>IF($T2515="","",$T2515&amp;"|"&amp;COUNTIFS($T$7:$T2515,$T2515))</f>
        <v/>
      </c>
      <c r="V2515" s="1">
        <f t="shared" si="120"/>
        <v>0</v>
      </c>
      <c r="W2515" s="1" t="str">
        <f t="shared" si="121"/>
        <v/>
      </c>
      <c r="X2515" s="1"/>
      <c r="Y2515" s="1"/>
      <c r="Z2515" s="1"/>
      <c r="AA2515" s="1"/>
      <c r="AB2515" s="1"/>
      <c r="AC2515" s="1"/>
      <c r="AD2515" s="1">
        <f>IF($C2515="",0,SUMPRODUCT((AY_SONU!$O$7:$O$42="Evet")*(AY_SONU!$B$7:$B$42=DATE(YEAR($C2515),MONTH($C2515),1))))</f>
        <v>0</v>
      </c>
      <c r="AE2515" s="1" t="str">
        <f>IF($E2515="","",$E2515&amp;"|"&amp;COUNTIFS($E$7:$E2515,$E2515))</f>
        <v/>
      </c>
    </row>
    <row r="2516" spans="1:31" ht="18" customHeight="1" x14ac:dyDescent="0.3">
      <c r="A2516" s="2"/>
      <c r="B2516" s="65" t="str">
        <f>IF($C2516="","","GG"&amp;TEXT(ROW()-6,"00000"))</f>
        <v/>
      </c>
      <c r="C2516" s="66"/>
      <c r="D2516" s="60"/>
      <c r="E2516" s="61"/>
      <c r="F2516" s="61"/>
      <c r="G2516" s="67"/>
      <c r="H2516" s="60"/>
      <c r="I2516" s="60"/>
      <c r="J2516" s="61"/>
      <c r="K2516" s="61"/>
      <c r="L2516" s="60"/>
      <c r="M2516" s="74" t="str">
        <f>IF($C2516="","",IF($D2516="Gider",$E2516,IF($L2516&lt;&gt;"",$L2516,$H2516)))</f>
        <v/>
      </c>
      <c r="N2516" s="74" t="str">
        <f>IF($C2516="","",IF($D2516="Gider",$H2516,$E2516))</f>
        <v/>
      </c>
      <c r="O2516" s="73" t="str">
        <f>IF($C2516="","",DATE(YEAR($C2516),MONTH($C2516),1))</f>
        <v/>
      </c>
      <c r="P2516" s="65" t="str">
        <f ca="1">IF($C2516="","",IF(AND($D2516="Gelir",$L2516&lt;&gt;"",$T2516=""),"TANIMSIZ BORÇLU",IF($T2516&lt;&gt;"",IF(OR($E2516="",$G2516&lt;=0),"EKSİK",IF($I2516="Evet","TAHAKKUK NAKİT OLAMAZ",IF($C2516&gt;TODAY(),"İLERİ TARİH","TAHAKKUK"))),IF(AND($D2516&lt;&gt;"",$E2516&lt;&gt;"",$G2516&gt;0,$H2516&lt;&gt;"",$I2516&lt;&gt;""),IF($C2516&gt;TODAY(),"İLERİ TARİH",IF(COUNTIF($W$7:$W$3001,$W2516)&gt;1,"MÜKERRER?",IF($AD2516&gt;0,"KAPALI DÖNEM",IF($I2516="Hayır","ÖDENECEK","UYGUN")))),"EKSİK"))))</f>
        <v/>
      </c>
      <c r="Q2516" s="2"/>
      <c r="R2516" s="2"/>
      <c r="S2516" s="1" t="str">
        <f t="shared" si="119"/>
        <v/>
      </c>
      <c r="T2516" s="1" t="str">
        <f>IF(OR($C2516="",$D2516&lt;&gt;"Gelir",$L2516=""),"",IFERROR(INDEX(MUSTERILER!$B$7:$B$156,MATCH($S2516,MUSTERILER!$T$7:$T$156,0)),""))</f>
        <v/>
      </c>
      <c r="U2516" s="1" t="str">
        <f>IF($T2516="","",$T2516&amp;"|"&amp;COUNTIFS($T$7:$T2516,$T2516))</f>
        <v/>
      </c>
      <c r="V2516" s="1">
        <f t="shared" si="120"/>
        <v>0</v>
      </c>
      <c r="W2516" s="1" t="str">
        <f t="shared" si="121"/>
        <v/>
      </c>
      <c r="X2516" s="1"/>
      <c r="Y2516" s="1"/>
      <c r="Z2516" s="1"/>
      <c r="AA2516" s="1"/>
      <c r="AB2516" s="1"/>
      <c r="AC2516" s="1"/>
      <c r="AD2516" s="1">
        <f>IF($C2516="",0,SUMPRODUCT((AY_SONU!$O$7:$O$42="Evet")*(AY_SONU!$B$7:$B$42=DATE(YEAR($C2516),MONTH($C2516),1))))</f>
        <v>0</v>
      </c>
      <c r="AE2516" s="1" t="str">
        <f>IF($E2516="","",$E2516&amp;"|"&amp;COUNTIFS($E$7:$E2516,$E2516))</f>
        <v/>
      </c>
    </row>
    <row r="2517" spans="1:31" ht="18" customHeight="1" x14ac:dyDescent="0.3">
      <c r="A2517" s="2"/>
      <c r="B2517" s="65" t="str">
        <f>IF($C2517="","","GG"&amp;TEXT(ROW()-6,"00000"))</f>
        <v/>
      </c>
      <c r="C2517" s="66"/>
      <c r="D2517" s="60"/>
      <c r="E2517" s="61"/>
      <c r="F2517" s="61"/>
      <c r="G2517" s="67"/>
      <c r="H2517" s="60"/>
      <c r="I2517" s="60"/>
      <c r="J2517" s="61"/>
      <c r="K2517" s="61"/>
      <c r="L2517" s="60"/>
      <c r="M2517" s="74" t="str">
        <f>IF($C2517="","",IF($D2517="Gider",$E2517,IF($L2517&lt;&gt;"",$L2517,$H2517)))</f>
        <v/>
      </c>
      <c r="N2517" s="74" t="str">
        <f>IF($C2517="","",IF($D2517="Gider",$H2517,$E2517))</f>
        <v/>
      </c>
      <c r="O2517" s="73" t="str">
        <f>IF($C2517="","",DATE(YEAR($C2517),MONTH($C2517),1))</f>
        <v/>
      </c>
      <c r="P2517" s="65" t="str">
        <f ca="1">IF($C2517="","",IF(AND($D2517="Gelir",$L2517&lt;&gt;"",$T2517=""),"TANIMSIZ BORÇLU",IF($T2517&lt;&gt;"",IF(OR($E2517="",$G2517&lt;=0),"EKSİK",IF($I2517="Evet","TAHAKKUK NAKİT OLAMAZ",IF($C2517&gt;TODAY(),"İLERİ TARİH","TAHAKKUK"))),IF(AND($D2517&lt;&gt;"",$E2517&lt;&gt;"",$G2517&gt;0,$H2517&lt;&gt;"",$I2517&lt;&gt;""),IF($C2517&gt;TODAY(),"İLERİ TARİH",IF(COUNTIF($W$7:$W$3001,$W2517)&gt;1,"MÜKERRER?",IF($AD2517&gt;0,"KAPALI DÖNEM",IF($I2517="Hayır","ÖDENECEK","UYGUN")))),"EKSİK"))))</f>
        <v/>
      </c>
      <c r="Q2517" s="2"/>
      <c r="R2517" s="2"/>
      <c r="S2517" s="1" t="str">
        <f t="shared" si="119"/>
        <v/>
      </c>
      <c r="T2517" s="1" t="str">
        <f>IF(OR($C2517="",$D2517&lt;&gt;"Gelir",$L2517=""),"",IFERROR(INDEX(MUSTERILER!$B$7:$B$156,MATCH($S2517,MUSTERILER!$T$7:$T$156,0)),""))</f>
        <v/>
      </c>
      <c r="U2517" s="1" t="str">
        <f>IF($T2517="","",$T2517&amp;"|"&amp;COUNTIFS($T$7:$T2517,$T2517))</f>
        <v/>
      </c>
      <c r="V2517" s="1">
        <f t="shared" si="120"/>
        <v>0</v>
      </c>
      <c r="W2517" s="1" t="str">
        <f t="shared" si="121"/>
        <v/>
      </c>
      <c r="X2517" s="1"/>
      <c r="Y2517" s="1"/>
      <c r="Z2517" s="1"/>
      <c r="AA2517" s="1"/>
      <c r="AB2517" s="1"/>
      <c r="AC2517" s="1"/>
      <c r="AD2517" s="1">
        <f>IF($C2517="",0,SUMPRODUCT((AY_SONU!$O$7:$O$42="Evet")*(AY_SONU!$B$7:$B$42=DATE(YEAR($C2517),MONTH($C2517),1))))</f>
        <v>0</v>
      </c>
      <c r="AE2517" s="1" t="str">
        <f>IF($E2517="","",$E2517&amp;"|"&amp;COUNTIFS($E$7:$E2517,$E2517))</f>
        <v/>
      </c>
    </row>
    <row r="2518" spans="1:31" ht="18" customHeight="1" x14ac:dyDescent="0.3">
      <c r="A2518" s="2"/>
      <c r="B2518" s="65" t="str">
        <f>IF($C2518="","","GG"&amp;TEXT(ROW()-6,"00000"))</f>
        <v/>
      </c>
      <c r="C2518" s="66"/>
      <c r="D2518" s="60"/>
      <c r="E2518" s="61"/>
      <c r="F2518" s="61"/>
      <c r="G2518" s="67"/>
      <c r="H2518" s="60"/>
      <c r="I2518" s="60"/>
      <c r="J2518" s="61"/>
      <c r="K2518" s="61"/>
      <c r="L2518" s="60"/>
      <c r="M2518" s="74" t="str">
        <f>IF($C2518="","",IF($D2518="Gider",$E2518,IF($L2518&lt;&gt;"",$L2518,$H2518)))</f>
        <v/>
      </c>
      <c r="N2518" s="74" t="str">
        <f>IF($C2518="","",IF($D2518="Gider",$H2518,$E2518))</f>
        <v/>
      </c>
      <c r="O2518" s="73" t="str">
        <f>IF($C2518="","",DATE(YEAR($C2518),MONTH($C2518),1))</f>
        <v/>
      </c>
      <c r="P2518" s="65" t="str">
        <f ca="1">IF($C2518="","",IF(AND($D2518="Gelir",$L2518&lt;&gt;"",$T2518=""),"TANIMSIZ BORÇLU",IF($T2518&lt;&gt;"",IF(OR($E2518="",$G2518&lt;=0),"EKSİK",IF($I2518="Evet","TAHAKKUK NAKİT OLAMAZ",IF($C2518&gt;TODAY(),"İLERİ TARİH","TAHAKKUK"))),IF(AND($D2518&lt;&gt;"",$E2518&lt;&gt;"",$G2518&gt;0,$H2518&lt;&gt;"",$I2518&lt;&gt;""),IF($C2518&gt;TODAY(),"İLERİ TARİH",IF(COUNTIF($W$7:$W$3001,$W2518)&gt;1,"MÜKERRER?",IF($AD2518&gt;0,"KAPALI DÖNEM",IF($I2518="Hayır","ÖDENECEK","UYGUN")))),"EKSİK"))))</f>
        <v/>
      </c>
      <c r="Q2518" s="2"/>
      <c r="R2518" s="2"/>
      <c r="S2518" s="1" t="str">
        <f t="shared" si="119"/>
        <v/>
      </c>
      <c r="T2518" s="1" t="str">
        <f>IF(OR($C2518="",$D2518&lt;&gt;"Gelir",$L2518=""),"",IFERROR(INDEX(MUSTERILER!$B$7:$B$156,MATCH($S2518,MUSTERILER!$T$7:$T$156,0)),""))</f>
        <v/>
      </c>
      <c r="U2518" s="1" t="str">
        <f>IF($T2518="","",$T2518&amp;"|"&amp;COUNTIFS($T$7:$T2518,$T2518))</f>
        <v/>
      </c>
      <c r="V2518" s="1">
        <f t="shared" si="120"/>
        <v>0</v>
      </c>
      <c r="W2518" s="1" t="str">
        <f t="shared" si="121"/>
        <v/>
      </c>
      <c r="X2518" s="1"/>
      <c r="Y2518" s="1"/>
      <c r="Z2518" s="1"/>
      <c r="AA2518" s="1"/>
      <c r="AB2518" s="1"/>
      <c r="AC2518" s="1"/>
      <c r="AD2518" s="1">
        <f>IF($C2518="",0,SUMPRODUCT((AY_SONU!$O$7:$O$42="Evet")*(AY_SONU!$B$7:$B$42=DATE(YEAR($C2518),MONTH($C2518),1))))</f>
        <v>0</v>
      </c>
      <c r="AE2518" s="1" t="str">
        <f>IF($E2518="","",$E2518&amp;"|"&amp;COUNTIFS($E$7:$E2518,$E2518))</f>
        <v/>
      </c>
    </row>
    <row r="2519" spans="1:31" ht="18" customHeight="1" x14ac:dyDescent="0.3">
      <c r="A2519" s="2"/>
      <c r="B2519" s="65" t="str">
        <f>IF($C2519="","","GG"&amp;TEXT(ROW()-6,"00000"))</f>
        <v/>
      </c>
      <c r="C2519" s="66"/>
      <c r="D2519" s="60"/>
      <c r="E2519" s="61"/>
      <c r="F2519" s="61"/>
      <c r="G2519" s="67"/>
      <c r="H2519" s="60"/>
      <c r="I2519" s="60"/>
      <c r="J2519" s="61"/>
      <c r="K2519" s="61"/>
      <c r="L2519" s="60"/>
      <c r="M2519" s="74" t="str">
        <f>IF($C2519="","",IF($D2519="Gider",$E2519,IF($L2519&lt;&gt;"",$L2519,$H2519)))</f>
        <v/>
      </c>
      <c r="N2519" s="74" t="str">
        <f>IF($C2519="","",IF($D2519="Gider",$H2519,$E2519))</f>
        <v/>
      </c>
      <c r="O2519" s="73" t="str">
        <f>IF($C2519="","",DATE(YEAR($C2519),MONTH($C2519),1))</f>
        <v/>
      </c>
      <c r="P2519" s="65" t="str">
        <f ca="1">IF($C2519="","",IF(AND($D2519="Gelir",$L2519&lt;&gt;"",$T2519=""),"TANIMSIZ BORÇLU",IF($T2519&lt;&gt;"",IF(OR($E2519="",$G2519&lt;=0),"EKSİK",IF($I2519="Evet","TAHAKKUK NAKİT OLAMAZ",IF($C2519&gt;TODAY(),"İLERİ TARİH","TAHAKKUK"))),IF(AND($D2519&lt;&gt;"",$E2519&lt;&gt;"",$G2519&gt;0,$H2519&lt;&gt;"",$I2519&lt;&gt;""),IF($C2519&gt;TODAY(),"İLERİ TARİH",IF(COUNTIF($W$7:$W$3001,$W2519)&gt;1,"MÜKERRER?",IF($AD2519&gt;0,"KAPALI DÖNEM",IF($I2519="Hayır","ÖDENECEK","UYGUN")))),"EKSİK"))))</f>
        <v/>
      </c>
      <c r="Q2519" s="2"/>
      <c r="R2519" s="2"/>
      <c r="S2519" s="1" t="str">
        <f t="shared" si="119"/>
        <v/>
      </c>
      <c r="T2519" s="1" t="str">
        <f>IF(OR($C2519="",$D2519&lt;&gt;"Gelir",$L2519=""),"",IFERROR(INDEX(MUSTERILER!$B$7:$B$156,MATCH($S2519,MUSTERILER!$T$7:$T$156,0)),""))</f>
        <v/>
      </c>
      <c r="U2519" s="1" t="str">
        <f>IF($T2519="","",$T2519&amp;"|"&amp;COUNTIFS($T$7:$T2519,$T2519))</f>
        <v/>
      </c>
      <c r="V2519" s="1">
        <f t="shared" si="120"/>
        <v>0</v>
      </c>
      <c r="W2519" s="1" t="str">
        <f t="shared" si="121"/>
        <v/>
      </c>
      <c r="X2519" s="1"/>
      <c r="Y2519" s="1"/>
      <c r="Z2519" s="1"/>
      <c r="AA2519" s="1"/>
      <c r="AB2519" s="1"/>
      <c r="AC2519" s="1"/>
      <c r="AD2519" s="1">
        <f>IF($C2519="",0,SUMPRODUCT((AY_SONU!$O$7:$O$42="Evet")*(AY_SONU!$B$7:$B$42=DATE(YEAR($C2519),MONTH($C2519),1))))</f>
        <v>0</v>
      </c>
      <c r="AE2519" s="1" t="str">
        <f>IF($E2519="","",$E2519&amp;"|"&amp;COUNTIFS($E$7:$E2519,$E2519))</f>
        <v/>
      </c>
    </row>
    <row r="2520" spans="1:31" ht="18" customHeight="1" x14ac:dyDescent="0.3">
      <c r="A2520" s="2"/>
      <c r="B2520" s="65" t="str">
        <f>IF($C2520="","","GG"&amp;TEXT(ROW()-6,"00000"))</f>
        <v/>
      </c>
      <c r="C2520" s="66"/>
      <c r="D2520" s="60"/>
      <c r="E2520" s="61"/>
      <c r="F2520" s="61"/>
      <c r="G2520" s="67"/>
      <c r="H2520" s="60"/>
      <c r="I2520" s="60"/>
      <c r="J2520" s="61"/>
      <c r="K2520" s="61"/>
      <c r="L2520" s="60"/>
      <c r="M2520" s="74" t="str">
        <f>IF($C2520="","",IF($D2520="Gider",$E2520,IF($L2520&lt;&gt;"",$L2520,$H2520)))</f>
        <v/>
      </c>
      <c r="N2520" s="74" t="str">
        <f>IF($C2520="","",IF($D2520="Gider",$H2520,$E2520))</f>
        <v/>
      </c>
      <c r="O2520" s="73" t="str">
        <f>IF($C2520="","",DATE(YEAR($C2520),MONTH($C2520),1))</f>
        <v/>
      </c>
      <c r="P2520" s="65" t="str">
        <f ca="1">IF($C2520="","",IF(AND($D2520="Gelir",$L2520&lt;&gt;"",$T2520=""),"TANIMSIZ BORÇLU",IF($T2520&lt;&gt;"",IF(OR($E2520="",$G2520&lt;=0),"EKSİK",IF($I2520="Evet","TAHAKKUK NAKİT OLAMAZ",IF($C2520&gt;TODAY(),"İLERİ TARİH","TAHAKKUK"))),IF(AND($D2520&lt;&gt;"",$E2520&lt;&gt;"",$G2520&gt;0,$H2520&lt;&gt;"",$I2520&lt;&gt;""),IF($C2520&gt;TODAY(),"İLERİ TARİH",IF(COUNTIF($W$7:$W$3001,$W2520)&gt;1,"MÜKERRER?",IF($AD2520&gt;0,"KAPALI DÖNEM",IF($I2520="Hayır","ÖDENECEK","UYGUN")))),"EKSİK"))))</f>
        <v/>
      </c>
      <c r="Q2520" s="2"/>
      <c r="R2520" s="2"/>
      <c r="S2520" s="1" t="str">
        <f t="shared" si="119"/>
        <v/>
      </c>
      <c r="T2520" s="1" t="str">
        <f>IF(OR($C2520="",$D2520&lt;&gt;"Gelir",$L2520=""),"",IFERROR(INDEX(MUSTERILER!$B$7:$B$156,MATCH($S2520,MUSTERILER!$T$7:$T$156,0)),""))</f>
        <v/>
      </c>
      <c r="U2520" s="1" t="str">
        <f>IF($T2520="","",$T2520&amp;"|"&amp;COUNTIFS($T$7:$T2520,$T2520))</f>
        <v/>
      </c>
      <c r="V2520" s="1">
        <f t="shared" si="120"/>
        <v>0</v>
      </c>
      <c r="W2520" s="1" t="str">
        <f t="shared" si="121"/>
        <v/>
      </c>
      <c r="X2520" s="1"/>
      <c r="Y2520" s="1"/>
      <c r="Z2520" s="1"/>
      <c r="AA2520" s="1"/>
      <c r="AB2520" s="1"/>
      <c r="AC2520" s="1"/>
      <c r="AD2520" s="1">
        <f>IF($C2520="",0,SUMPRODUCT((AY_SONU!$O$7:$O$42="Evet")*(AY_SONU!$B$7:$B$42=DATE(YEAR($C2520),MONTH($C2520),1))))</f>
        <v>0</v>
      </c>
      <c r="AE2520" s="1" t="str">
        <f>IF($E2520="","",$E2520&amp;"|"&amp;COUNTIFS($E$7:$E2520,$E2520))</f>
        <v/>
      </c>
    </row>
    <row r="2521" spans="1:31" ht="18" customHeight="1" x14ac:dyDescent="0.3">
      <c r="A2521" s="2"/>
      <c r="B2521" s="65" t="str">
        <f>IF($C2521="","","GG"&amp;TEXT(ROW()-6,"00000"))</f>
        <v/>
      </c>
      <c r="C2521" s="66"/>
      <c r="D2521" s="60"/>
      <c r="E2521" s="61"/>
      <c r="F2521" s="61"/>
      <c r="G2521" s="67"/>
      <c r="H2521" s="60"/>
      <c r="I2521" s="60"/>
      <c r="J2521" s="61"/>
      <c r="K2521" s="61"/>
      <c r="L2521" s="60"/>
      <c r="M2521" s="74" t="str">
        <f>IF($C2521="","",IF($D2521="Gider",$E2521,IF($L2521&lt;&gt;"",$L2521,$H2521)))</f>
        <v/>
      </c>
      <c r="N2521" s="74" t="str">
        <f>IF($C2521="","",IF($D2521="Gider",$H2521,$E2521))</f>
        <v/>
      </c>
      <c r="O2521" s="73" t="str">
        <f>IF($C2521="","",DATE(YEAR($C2521),MONTH($C2521),1))</f>
        <v/>
      </c>
      <c r="P2521" s="65" t="str">
        <f ca="1">IF($C2521="","",IF(AND($D2521="Gelir",$L2521&lt;&gt;"",$T2521=""),"TANIMSIZ BORÇLU",IF($T2521&lt;&gt;"",IF(OR($E2521="",$G2521&lt;=0),"EKSİK",IF($I2521="Evet","TAHAKKUK NAKİT OLAMAZ",IF($C2521&gt;TODAY(),"İLERİ TARİH","TAHAKKUK"))),IF(AND($D2521&lt;&gt;"",$E2521&lt;&gt;"",$G2521&gt;0,$H2521&lt;&gt;"",$I2521&lt;&gt;""),IF($C2521&gt;TODAY(),"İLERİ TARİH",IF(COUNTIF($W$7:$W$3001,$W2521)&gt;1,"MÜKERRER?",IF($AD2521&gt;0,"KAPALI DÖNEM",IF($I2521="Hayır","ÖDENECEK","UYGUN")))),"EKSİK"))))</f>
        <v/>
      </c>
      <c r="Q2521" s="2"/>
      <c r="R2521" s="2"/>
      <c r="S2521" s="1" t="str">
        <f t="shared" si="119"/>
        <v/>
      </c>
      <c r="T2521" s="1" t="str">
        <f>IF(OR($C2521="",$D2521&lt;&gt;"Gelir",$L2521=""),"",IFERROR(INDEX(MUSTERILER!$B$7:$B$156,MATCH($S2521,MUSTERILER!$T$7:$T$156,0)),""))</f>
        <v/>
      </c>
      <c r="U2521" s="1" t="str">
        <f>IF($T2521="","",$T2521&amp;"|"&amp;COUNTIFS($T$7:$T2521,$T2521))</f>
        <v/>
      </c>
      <c r="V2521" s="1">
        <f t="shared" si="120"/>
        <v>0</v>
      </c>
      <c r="W2521" s="1" t="str">
        <f t="shared" si="121"/>
        <v/>
      </c>
      <c r="X2521" s="1"/>
      <c r="Y2521" s="1"/>
      <c r="Z2521" s="1"/>
      <c r="AA2521" s="1"/>
      <c r="AB2521" s="1"/>
      <c r="AC2521" s="1"/>
      <c r="AD2521" s="1">
        <f>IF($C2521="",0,SUMPRODUCT((AY_SONU!$O$7:$O$42="Evet")*(AY_SONU!$B$7:$B$42=DATE(YEAR($C2521),MONTH($C2521),1))))</f>
        <v>0</v>
      </c>
      <c r="AE2521" s="1" t="str">
        <f>IF($E2521="","",$E2521&amp;"|"&amp;COUNTIFS($E$7:$E2521,$E2521))</f>
        <v/>
      </c>
    </row>
    <row r="2522" spans="1:31" ht="18" customHeight="1" x14ac:dyDescent="0.3">
      <c r="A2522" s="2"/>
      <c r="B2522" s="65" t="str">
        <f>IF($C2522="","","GG"&amp;TEXT(ROW()-6,"00000"))</f>
        <v/>
      </c>
      <c r="C2522" s="66"/>
      <c r="D2522" s="60"/>
      <c r="E2522" s="61"/>
      <c r="F2522" s="61"/>
      <c r="G2522" s="67"/>
      <c r="H2522" s="60"/>
      <c r="I2522" s="60"/>
      <c r="J2522" s="61"/>
      <c r="K2522" s="61"/>
      <c r="L2522" s="60"/>
      <c r="M2522" s="74" t="str">
        <f>IF($C2522="","",IF($D2522="Gider",$E2522,IF($L2522&lt;&gt;"",$L2522,$H2522)))</f>
        <v/>
      </c>
      <c r="N2522" s="74" t="str">
        <f>IF($C2522="","",IF($D2522="Gider",$H2522,$E2522))</f>
        <v/>
      </c>
      <c r="O2522" s="73" t="str">
        <f>IF($C2522="","",DATE(YEAR($C2522),MONTH($C2522),1))</f>
        <v/>
      </c>
      <c r="P2522" s="65" t="str">
        <f ca="1">IF($C2522="","",IF(AND($D2522="Gelir",$L2522&lt;&gt;"",$T2522=""),"TANIMSIZ BORÇLU",IF($T2522&lt;&gt;"",IF(OR($E2522="",$G2522&lt;=0),"EKSİK",IF($I2522="Evet","TAHAKKUK NAKİT OLAMAZ",IF($C2522&gt;TODAY(),"İLERİ TARİH","TAHAKKUK"))),IF(AND($D2522&lt;&gt;"",$E2522&lt;&gt;"",$G2522&gt;0,$H2522&lt;&gt;"",$I2522&lt;&gt;""),IF($C2522&gt;TODAY(),"İLERİ TARİH",IF(COUNTIF($W$7:$W$3001,$W2522)&gt;1,"MÜKERRER?",IF($AD2522&gt;0,"KAPALI DÖNEM",IF($I2522="Hayır","ÖDENECEK","UYGUN")))),"EKSİK"))))</f>
        <v/>
      </c>
      <c r="Q2522" s="2"/>
      <c r="R2522" s="2"/>
      <c r="S2522" s="1" t="str">
        <f t="shared" si="119"/>
        <v/>
      </c>
      <c r="T2522" s="1" t="str">
        <f>IF(OR($C2522="",$D2522&lt;&gt;"Gelir",$L2522=""),"",IFERROR(INDEX(MUSTERILER!$B$7:$B$156,MATCH($S2522,MUSTERILER!$T$7:$T$156,0)),""))</f>
        <v/>
      </c>
      <c r="U2522" s="1" t="str">
        <f>IF($T2522="","",$T2522&amp;"|"&amp;COUNTIFS($T$7:$T2522,$T2522))</f>
        <v/>
      </c>
      <c r="V2522" s="1">
        <f t="shared" si="120"/>
        <v>0</v>
      </c>
      <c r="W2522" s="1" t="str">
        <f t="shared" si="121"/>
        <v/>
      </c>
      <c r="X2522" s="1"/>
      <c r="Y2522" s="1"/>
      <c r="Z2522" s="1"/>
      <c r="AA2522" s="1"/>
      <c r="AB2522" s="1"/>
      <c r="AC2522" s="1"/>
      <c r="AD2522" s="1">
        <f>IF($C2522="",0,SUMPRODUCT((AY_SONU!$O$7:$O$42="Evet")*(AY_SONU!$B$7:$B$42=DATE(YEAR($C2522),MONTH($C2522),1))))</f>
        <v>0</v>
      </c>
      <c r="AE2522" s="1" t="str">
        <f>IF($E2522="","",$E2522&amp;"|"&amp;COUNTIFS($E$7:$E2522,$E2522))</f>
        <v/>
      </c>
    </row>
    <row r="2523" spans="1:31" ht="18" customHeight="1" x14ac:dyDescent="0.3">
      <c r="A2523" s="2"/>
      <c r="B2523" s="65" t="str">
        <f>IF($C2523="","","GG"&amp;TEXT(ROW()-6,"00000"))</f>
        <v/>
      </c>
      <c r="C2523" s="66"/>
      <c r="D2523" s="60"/>
      <c r="E2523" s="61"/>
      <c r="F2523" s="61"/>
      <c r="G2523" s="67"/>
      <c r="H2523" s="60"/>
      <c r="I2523" s="60"/>
      <c r="J2523" s="61"/>
      <c r="K2523" s="61"/>
      <c r="L2523" s="60"/>
      <c r="M2523" s="74" t="str">
        <f>IF($C2523="","",IF($D2523="Gider",$E2523,IF($L2523&lt;&gt;"",$L2523,$H2523)))</f>
        <v/>
      </c>
      <c r="N2523" s="74" t="str">
        <f>IF($C2523="","",IF($D2523="Gider",$H2523,$E2523))</f>
        <v/>
      </c>
      <c r="O2523" s="73" t="str">
        <f>IF($C2523="","",DATE(YEAR($C2523),MONTH($C2523),1))</f>
        <v/>
      </c>
      <c r="P2523" s="65" t="str">
        <f ca="1">IF($C2523="","",IF(AND($D2523="Gelir",$L2523&lt;&gt;"",$T2523=""),"TANIMSIZ BORÇLU",IF($T2523&lt;&gt;"",IF(OR($E2523="",$G2523&lt;=0),"EKSİK",IF($I2523="Evet","TAHAKKUK NAKİT OLAMAZ",IF($C2523&gt;TODAY(),"İLERİ TARİH","TAHAKKUK"))),IF(AND($D2523&lt;&gt;"",$E2523&lt;&gt;"",$G2523&gt;0,$H2523&lt;&gt;"",$I2523&lt;&gt;""),IF($C2523&gt;TODAY(),"İLERİ TARİH",IF(COUNTIF($W$7:$W$3001,$W2523)&gt;1,"MÜKERRER?",IF($AD2523&gt;0,"KAPALI DÖNEM",IF($I2523="Hayır","ÖDENECEK","UYGUN")))),"EKSİK"))))</f>
        <v/>
      </c>
      <c r="Q2523" s="2"/>
      <c r="R2523" s="2"/>
      <c r="S2523" s="1" t="str">
        <f t="shared" si="119"/>
        <v/>
      </c>
      <c r="T2523" s="1" t="str">
        <f>IF(OR($C2523="",$D2523&lt;&gt;"Gelir",$L2523=""),"",IFERROR(INDEX(MUSTERILER!$B$7:$B$156,MATCH($S2523,MUSTERILER!$T$7:$T$156,0)),""))</f>
        <v/>
      </c>
      <c r="U2523" s="1" t="str">
        <f>IF($T2523="","",$T2523&amp;"|"&amp;COUNTIFS($T$7:$T2523,$T2523))</f>
        <v/>
      </c>
      <c r="V2523" s="1">
        <f t="shared" si="120"/>
        <v>0</v>
      </c>
      <c r="W2523" s="1" t="str">
        <f t="shared" si="121"/>
        <v/>
      </c>
      <c r="X2523" s="1"/>
      <c r="Y2523" s="1"/>
      <c r="Z2523" s="1"/>
      <c r="AA2523" s="1"/>
      <c r="AB2523" s="1"/>
      <c r="AC2523" s="1"/>
      <c r="AD2523" s="1">
        <f>IF($C2523="",0,SUMPRODUCT((AY_SONU!$O$7:$O$42="Evet")*(AY_SONU!$B$7:$B$42=DATE(YEAR($C2523),MONTH($C2523),1))))</f>
        <v>0</v>
      </c>
      <c r="AE2523" s="1" t="str">
        <f>IF($E2523="","",$E2523&amp;"|"&amp;COUNTIFS($E$7:$E2523,$E2523))</f>
        <v/>
      </c>
    </row>
    <row r="2524" spans="1:31" ht="18" customHeight="1" x14ac:dyDescent="0.3">
      <c r="A2524" s="2"/>
      <c r="B2524" s="65" t="str">
        <f>IF($C2524="","","GG"&amp;TEXT(ROW()-6,"00000"))</f>
        <v/>
      </c>
      <c r="C2524" s="66"/>
      <c r="D2524" s="60"/>
      <c r="E2524" s="61"/>
      <c r="F2524" s="61"/>
      <c r="G2524" s="67"/>
      <c r="H2524" s="60"/>
      <c r="I2524" s="60"/>
      <c r="J2524" s="61"/>
      <c r="K2524" s="61"/>
      <c r="L2524" s="60"/>
      <c r="M2524" s="74" t="str">
        <f>IF($C2524="","",IF($D2524="Gider",$E2524,IF($L2524&lt;&gt;"",$L2524,$H2524)))</f>
        <v/>
      </c>
      <c r="N2524" s="74" t="str">
        <f>IF($C2524="","",IF($D2524="Gider",$H2524,$E2524))</f>
        <v/>
      </c>
      <c r="O2524" s="73" t="str">
        <f>IF($C2524="","",DATE(YEAR($C2524),MONTH($C2524),1))</f>
        <v/>
      </c>
      <c r="P2524" s="65" t="str">
        <f ca="1">IF($C2524="","",IF(AND($D2524="Gelir",$L2524&lt;&gt;"",$T2524=""),"TANIMSIZ BORÇLU",IF($T2524&lt;&gt;"",IF(OR($E2524="",$G2524&lt;=0),"EKSİK",IF($I2524="Evet","TAHAKKUK NAKİT OLAMAZ",IF($C2524&gt;TODAY(),"İLERİ TARİH","TAHAKKUK"))),IF(AND($D2524&lt;&gt;"",$E2524&lt;&gt;"",$G2524&gt;0,$H2524&lt;&gt;"",$I2524&lt;&gt;""),IF($C2524&gt;TODAY(),"İLERİ TARİH",IF(COUNTIF($W$7:$W$3001,$W2524)&gt;1,"MÜKERRER?",IF($AD2524&gt;0,"KAPALI DÖNEM",IF($I2524="Hayır","ÖDENECEK","UYGUN")))),"EKSİK"))))</f>
        <v/>
      </c>
      <c r="Q2524" s="2"/>
      <c r="R2524" s="2"/>
      <c r="S2524" s="1" t="str">
        <f t="shared" si="119"/>
        <v/>
      </c>
      <c r="T2524" s="1" t="str">
        <f>IF(OR($C2524="",$D2524&lt;&gt;"Gelir",$L2524=""),"",IFERROR(INDEX(MUSTERILER!$B$7:$B$156,MATCH($S2524,MUSTERILER!$T$7:$T$156,0)),""))</f>
        <v/>
      </c>
      <c r="U2524" s="1" t="str">
        <f>IF($T2524="","",$T2524&amp;"|"&amp;COUNTIFS($T$7:$T2524,$T2524))</f>
        <v/>
      </c>
      <c r="V2524" s="1">
        <f t="shared" si="120"/>
        <v>0</v>
      </c>
      <c r="W2524" s="1" t="str">
        <f t="shared" si="121"/>
        <v/>
      </c>
      <c r="X2524" s="1"/>
      <c r="Y2524" s="1"/>
      <c r="Z2524" s="1"/>
      <c r="AA2524" s="1"/>
      <c r="AB2524" s="1"/>
      <c r="AC2524" s="1"/>
      <c r="AD2524" s="1">
        <f>IF($C2524="",0,SUMPRODUCT((AY_SONU!$O$7:$O$42="Evet")*(AY_SONU!$B$7:$B$42=DATE(YEAR($C2524),MONTH($C2524),1))))</f>
        <v>0</v>
      </c>
      <c r="AE2524" s="1" t="str">
        <f>IF($E2524="","",$E2524&amp;"|"&amp;COUNTIFS($E$7:$E2524,$E2524))</f>
        <v/>
      </c>
    </row>
    <row r="2525" spans="1:31" ht="18" customHeight="1" x14ac:dyDescent="0.3">
      <c r="A2525" s="2"/>
      <c r="B2525" s="65" t="str">
        <f>IF($C2525="","","GG"&amp;TEXT(ROW()-6,"00000"))</f>
        <v/>
      </c>
      <c r="C2525" s="66"/>
      <c r="D2525" s="60"/>
      <c r="E2525" s="61"/>
      <c r="F2525" s="61"/>
      <c r="G2525" s="67"/>
      <c r="H2525" s="60"/>
      <c r="I2525" s="60"/>
      <c r="J2525" s="61"/>
      <c r="K2525" s="61"/>
      <c r="L2525" s="60"/>
      <c r="M2525" s="74" t="str">
        <f>IF($C2525="","",IF($D2525="Gider",$E2525,IF($L2525&lt;&gt;"",$L2525,$H2525)))</f>
        <v/>
      </c>
      <c r="N2525" s="74" t="str">
        <f>IF($C2525="","",IF($D2525="Gider",$H2525,$E2525))</f>
        <v/>
      </c>
      <c r="O2525" s="73" t="str">
        <f>IF($C2525="","",DATE(YEAR($C2525),MONTH($C2525),1))</f>
        <v/>
      </c>
      <c r="P2525" s="65" t="str">
        <f ca="1">IF($C2525="","",IF(AND($D2525="Gelir",$L2525&lt;&gt;"",$T2525=""),"TANIMSIZ BORÇLU",IF($T2525&lt;&gt;"",IF(OR($E2525="",$G2525&lt;=0),"EKSİK",IF($I2525="Evet","TAHAKKUK NAKİT OLAMAZ",IF($C2525&gt;TODAY(),"İLERİ TARİH","TAHAKKUK"))),IF(AND($D2525&lt;&gt;"",$E2525&lt;&gt;"",$G2525&gt;0,$H2525&lt;&gt;"",$I2525&lt;&gt;""),IF($C2525&gt;TODAY(),"İLERİ TARİH",IF(COUNTIF($W$7:$W$3001,$W2525)&gt;1,"MÜKERRER?",IF($AD2525&gt;0,"KAPALI DÖNEM",IF($I2525="Hayır","ÖDENECEK","UYGUN")))),"EKSİK"))))</f>
        <v/>
      </c>
      <c r="Q2525" s="2"/>
      <c r="R2525" s="2"/>
      <c r="S2525" s="1" t="str">
        <f t="shared" si="119"/>
        <v/>
      </c>
      <c r="T2525" s="1" t="str">
        <f>IF(OR($C2525="",$D2525&lt;&gt;"Gelir",$L2525=""),"",IFERROR(INDEX(MUSTERILER!$B$7:$B$156,MATCH($S2525,MUSTERILER!$T$7:$T$156,0)),""))</f>
        <v/>
      </c>
      <c r="U2525" s="1" t="str">
        <f>IF($T2525="","",$T2525&amp;"|"&amp;COUNTIFS($T$7:$T2525,$T2525))</f>
        <v/>
      </c>
      <c r="V2525" s="1">
        <f t="shared" si="120"/>
        <v>0</v>
      </c>
      <c r="W2525" s="1" t="str">
        <f t="shared" si="121"/>
        <v/>
      </c>
      <c r="X2525" s="1"/>
      <c r="Y2525" s="1"/>
      <c r="Z2525" s="1"/>
      <c r="AA2525" s="1"/>
      <c r="AB2525" s="1"/>
      <c r="AC2525" s="1"/>
      <c r="AD2525" s="1">
        <f>IF($C2525="",0,SUMPRODUCT((AY_SONU!$O$7:$O$42="Evet")*(AY_SONU!$B$7:$B$42=DATE(YEAR($C2525),MONTH($C2525),1))))</f>
        <v>0</v>
      </c>
      <c r="AE2525" s="1" t="str">
        <f>IF($E2525="","",$E2525&amp;"|"&amp;COUNTIFS($E$7:$E2525,$E2525))</f>
        <v/>
      </c>
    </row>
    <row r="2526" spans="1:31" ht="18" customHeight="1" x14ac:dyDescent="0.3">
      <c r="A2526" s="2"/>
      <c r="B2526" s="65" t="str">
        <f>IF($C2526="","","GG"&amp;TEXT(ROW()-6,"00000"))</f>
        <v/>
      </c>
      <c r="C2526" s="66"/>
      <c r="D2526" s="60"/>
      <c r="E2526" s="61"/>
      <c r="F2526" s="61"/>
      <c r="G2526" s="67"/>
      <c r="H2526" s="60"/>
      <c r="I2526" s="60"/>
      <c r="J2526" s="61"/>
      <c r="K2526" s="61"/>
      <c r="L2526" s="60"/>
      <c r="M2526" s="74" t="str">
        <f>IF($C2526="","",IF($D2526="Gider",$E2526,IF($L2526&lt;&gt;"",$L2526,$H2526)))</f>
        <v/>
      </c>
      <c r="N2526" s="74" t="str">
        <f>IF($C2526="","",IF($D2526="Gider",$H2526,$E2526))</f>
        <v/>
      </c>
      <c r="O2526" s="73" t="str">
        <f>IF($C2526="","",DATE(YEAR($C2526),MONTH($C2526),1))</f>
        <v/>
      </c>
      <c r="P2526" s="65" t="str">
        <f ca="1">IF($C2526="","",IF(AND($D2526="Gelir",$L2526&lt;&gt;"",$T2526=""),"TANIMSIZ BORÇLU",IF($T2526&lt;&gt;"",IF(OR($E2526="",$G2526&lt;=0),"EKSİK",IF($I2526="Evet","TAHAKKUK NAKİT OLAMAZ",IF($C2526&gt;TODAY(),"İLERİ TARİH","TAHAKKUK"))),IF(AND($D2526&lt;&gt;"",$E2526&lt;&gt;"",$G2526&gt;0,$H2526&lt;&gt;"",$I2526&lt;&gt;""),IF($C2526&gt;TODAY(),"İLERİ TARİH",IF(COUNTIF($W$7:$W$3001,$W2526)&gt;1,"MÜKERRER?",IF($AD2526&gt;0,"KAPALI DÖNEM",IF($I2526="Hayır","ÖDENECEK","UYGUN")))),"EKSİK"))))</f>
        <v/>
      </c>
      <c r="Q2526" s="2"/>
      <c r="R2526" s="2"/>
      <c r="S2526" s="1" t="str">
        <f t="shared" si="119"/>
        <v/>
      </c>
      <c r="T2526" s="1" t="str">
        <f>IF(OR($C2526="",$D2526&lt;&gt;"Gelir",$L2526=""),"",IFERROR(INDEX(MUSTERILER!$B$7:$B$156,MATCH($S2526,MUSTERILER!$T$7:$T$156,0)),""))</f>
        <v/>
      </c>
      <c r="U2526" s="1" t="str">
        <f>IF($T2526="","",$T2526&amp;"|"&amp;COUNTIFS($T$7:$T2526,$T2526))</f>
        <v/>
      </c>
      <c r="V2526" s="1">
        <f t="shared" si="120"/>
        <v>0</v>
      </c>
      <c r="W2526" s="1" t="str">
        <f t="shared" si="121"/>
        <v/>
      </c>
      <c r="X2526" s="1"/>
      <c r="Y2526" s="1"/>
      <c r="Z2526" s="1"/>
      <c r="AA2526" s="1"/>
      <c r="AB2526" s="1"/>
      <c r="AC2526" s="1"/>
      <c r="AD2526" s="1">
        <f>IF($C2526="",0,SUMPRODUCT((AY_SONU!$O$7:$O$42="Evet")*(AY_SONU!$B$7:$B$42=DATE(YEAR($C2526),MONTH($C2526),1))))</f>
        <v>0</v>
      </c>
      <c r="AE2526" s="1" t="str">
        <f>IF($E2526="","",$E2526&amp;"|"&amp;COUNTIFS($E$7:$E2526,$E2526))</f>
        <v/>
      </c>
    </row>
    <row r="2527" spans="1:31" ht="18" customHeight="1" x14ac:dyDescent="0.3">
      <c r="A2527" s="2"/>
      <c r="B2527" s="65" t="str">
        <f>IF($C2527="","","GG"&amp;TEXT(ROW()-6,"00000"))</f>
        <v/>
      </c>
      <c r="C2527" s="66"/>
      <c r="D2527" s="60"/>
      <c r="E2527" s="61"/>
      <c r="F2527" s="61"/>
      <c r="G2527" s="67"/>
      <c r="H2527" s="60"/>
      <c r="I2527" s="60"/>
      <c r="J2527" s="61"/>
      <c r="K2527" s="61"/>
      <c r="L2527" s="60"/>
      <c r="M2527" s="74" t="str">
        <f>IF($C2527="","",IF($D2527="Gider",$E2527,IF($L2527&lt;&gt;"",$L2527,$H2527)))</f>
        <v/>
      </c>
      <c r="N2527" s="74" t="str">
        <f>IF($C2527="","",IF($D2527="Gider",$H2527,$E2527))</f>
        <v/>
      </c>
      <c r="O2527" s="73" t="str">
        <f>IF($C2527="","",DATE(YEAR($C2527),MONTH($C2527),1))</f>
        <v/>
      </c>
      <c r="P2527" s="65" t="str">
        <f ca="1">IF($C2527="","",IF(AND($D2527="Gelir",$L2527&lt;&gt;"",$T2527=""),"TANIMSIZ BORÇLU",IF($T2527&lt;&gt;"",IF(OR($E2527="",$G2527&lt;=0),"EKSİK",IF($I2527="Evet","TAHAKKUK NAKİT OLAMAZ",IF($C2527&gt;TODAY(),"İLERİ TARİH","TAHAKKUK"))),IF(AND($D2527&lt;&gt;"",$E2527&lt;&gt;"",$G2527&gt;0,$H2527&lt;&gt;"",$I2527&lt;&gt;""),IF($C2527&gt;TODAY(),"İLERİ TARİH",IF(COUNTIF($W$7:$W$3001,$W2527)&gt;1,"MÜKERRER?",IF($AD2527&gt;0,"KAPALI DÖNEM",IF($I2527="Hayır","ÖDENECEK","UYGUN")))),"EKSİK"))))</f>
        <v/>
      </c>
      <c r="Q2527" s="2"/>
      <c r="R2527" s="2"/>
      <c r="S2527" s="1" t="str">
        <f t="shared" si="119"/>
        <v/>
      </c>
      <c r="T2527" s="1" t="str">
        <f>IF(OR($C2527="",$D2527&lt;&gt;"Gelir",$L2527=""),"",IFERROR(INDEX(MUSTERILER!$B$7:$B$156,MATCH($S2527,MUSTERILER!$T$7:$T$156,0)),""))</f>
        <v/>
      </c>
      <c r="U2527" s="1" t="str">
        <f>IF($T2527="","",$T2527&amp;"|"&amp;COUNTIFS($T$7:$T2527,$T2527))</f>
        <v/>
      </c>
      <c r="V2527" s="1">
        <f t="shared" si="120"/>
        <v>0</v>
      </c>
      <c r="W2527" s="1" t="str">
        <f t="shared" si="121"/>
        <v/>
      </c>
      <c r="X2527" s="1"/>
      <c r="Y2527" s="1"/>
      <c r="Z2527" s="1"/>
      <c r="AA2527" s="1"/>
      <c r="AB2527" s="1"/>
      <c r="AC2527" s="1"/>
      <c r="AD2527" s="1">
        <f>IF($C2527="",0,SUMPRODUCT((AY_SONU!$O$7:$O$42="Evet")*(AY_SONU!$B$7:$B$42=DATE(YEAR($C2527),MONTH($C2527),1))))</f>
        <v>0</v>
      </c>
      <c r="AE2527" s="1" t="str">
        <f>IF($E2527="","",$E2527&amp;"|"&amp;COUNTIFS($E$7:$E2527,$E2527))</f>
        <v/>
      </c>
    </row>
    <row r="2528" spans="1:31" ht="18" customHeight="1" x14ac:dyDescent="0.3">
      <c r="A2528" s="2"/>
      <c r="B2528" s="65" t="str">
        <f>IF($C2528="","","GG"&amp;TEXT(ROW()-6,"00000"))</f>
        <v/>
      </c>
      <c r="C2528" s="66"/>
      <c r="D2528" s="60"/>
      <c r="E2528" s="61"/>
      <c r="F2528" s="61"/>
      <c r="G2528" s="67"/>
      <c r="H2528" s="60"/>
      <c r="I2528" s="60"/>
      <c r="J2528" s="61"/>
      <c r="K2528" s="61"/>
      <c r="L2528" s="60"/>
      <c r="M2528" s="74" t="str">
        <f>IF($C2528="","",IF($D2528="Gider",$E2528,IF($L2528&lt;&gt;"",$L2528,$H2528)))</f>
        <v/>
      </c>
      <c r="N2528" s="74" t="str">
        <f>IF($C2528="","",IF($D2528="Gider",$H2528,$E2528))</f>
        <v/>
      </c>
      <c r="O2528" s="73" t="str">
        <f>IF($C2528="","",DATE(YEAR($C2528),MONTH($C2528),1))</f>
        <v/>
      </c>
      <c r="P2528" s="65" t="str">
        <f ca="1">IF($C2528="","",IF(AND($D2528="Gelir",$L2528&lt;&gt;"",$T2528=""),"TANIMSIZ BORÇLU",IF($T2528&lt;&gt;"",IF(OR($E2528="",$G2528&lt;=0),"EKSİK",IF($I2528="Evet","TAHAKKUK NAKİT OLAMAZ",IF($C2528&gt;TODAY(),"İLERİ TARİH","TAHAKKUK"))),IF(AND($D2528&lt;&gt;"",$E2528&lt;&gt;"",$G2528&gt;0,$H2528&lt;&gt;"",$I2528&lt;&gt;""),IF($C2528&gt;TODAY(),"İLERİ TARİH",IF(COUNTIF($W$7:$W$3001,$W2528)&gt;1,"MÜKERRER?",IF($AD2528&gt;0,"KAPALI DÖNEM",IF($I2528="Hayır","ÖDENECEK","UYGUN")))),"EKSİK"))))</f>
        <v/>
      </c>
      <c r="Q2528" s="2"/>
      <c r="R2528" s="2"/>
      <c r="S2528" s="1" t="str">
        <f t="shared" si="119"/>
        <v/>
      </c>
      <c r="T2528" s="1" t="str">
        <f>IF(OR($C2528="",$D2528&lt;&gt;"Gelir",$L2528=""),"",IFERROR(INDEX(MUSTERILER!$B$7:$B$156,MATCH($S2528,MUSTERILER!$T$7:$T$156,0)),""))</f>
        <v/>
      </c>
      <c r="U2528" s="1" t="str">
        <f>IF($T2528="","",$T2528&amp;"|"&amp;COUNTIFS($T$7:$T2528,$T2528))</f>
        <v/>
      </c>
      <c r="V2528" s="1">
        <f t="shared" si="120"/>
        <v>0</v>
      </c>
      <c r="W2528" s="1" t="str">
        <f t="shared" si="121"/>
        <v/>
      </c>
      <c r="X2528" s="1"/>
      <c r="Y2528" s="1"/>
      <c r="Z2528" s="1"/>
      <c r="AA2528" s="1"/>
      <c r="AB2528" s="1"/>
      <c r="AC2528" s="1"/>
      <c r="AD2528" s="1">
        <f>IF($C2528="",0,SUMPRODUCT((AY_SONU!$O$7:$O$42="Evet")*(AY_SONU!$B$7:$B$42=DATE(YEAR($C2528),MONTH($C2528),1))))</f>
        <v>0</v>
      </c>
      <c r="AE2528" s="1" t="str">
        <f>IF($E2528="","",$E2528&amp;"|"&amp;COUNTIFS($E$7:$E2528,$E2528))</f>
        <v/>
      </c>
    </row>
    <row r="2529" spans="1:31" ht="18" customHeight="1" x14ac:dyDescent="0.3">
      <c r="A2529" s="2"/>
      <c r="B2529" s="65" t="str">
        <f>IF($C2529="","","GG"&amp;TEXT(ROW()-6,"00000"))</f>
        <v/>
      </c>
      <c r="C2529" s="66"/>
      <c r="D2529" s="60"/>
      <c r="E2529" s="61"/>
      <c r="F2529" s="61"/>
      <c r="G2529" s="67"/>
      <c r="H2529" s="60"/>
      <c r="I2529" s="60"/>
      <c r="J2529" s="61"/>
      <c r="K2529" s="61"/>
      <c r="L2529" s="60"/>
      <c r="M2529" s="74" t="str">
        <f>IF($C2529="","",IF($D2529="Gider",$E2529,IF($L2529&lt;&gt;"",$L2529,$H2529)))</f>
        <v/>
      </c>
      <c r="N2529" s="74" t="str">
        <f>IF($C2529="","",IF($D2529="Gider",$H2529,$E2529))</f>
        <v/>
      </c>
      <c r="O2529" s="73" t="str">
        <f>IF($C2529="","",DATE(YEAR($C2529),MONTH($C2529),1))</f>
        <v/>
      </c>
      <c r="P2529" s="65" t="str">
        <f ca="1">IF($C2529="","",IF(AND($D2529="Gelir",$L2529&lt;&gt;"",$T2529=""),"TANIMSIZ BORÇLU",IF($T2529&lt;&gt;"",IF(OR($E2529="",$G2529&lt;=0),"EKSİK",IF($I2529="Evet","TAHAKKUK NAKİT OLAMAZ",IF($C2529&gt;TODAY(),"İLERİ TARİH","TAHAKKUK"))),IF(AND($D2529&lt;&gt;"",$E2529&lt;&gt;"",$G2529&gt;0,$H2529&lt;&gt;"",$I2529&lt;&gt;""),IF($C2529&gt;TODAY(),"İLERİ TARİH",IF(COUNTIF($W$7:$W$3001,$W2529)&gt;1,"MÜKERRER?",IF($AD2529&gt;0,"KAPALI DÖNEM",IF($I2529="Hayır","ÖDENECEK","UYGUN")))),"EKSİK"))))</f>
        <v/>
      </c>
      <c r="Q2529" s="2"/>
      <c r="R2529" s="2"/>
      <c r="S2529" s="1" t="str">
        <f t="shared" si="119"/>
        <v/>
      </c>
      <c r="T2529" s="1" t="str">
        <f>IF(OR($C2529="",$D2529&lt;&gt;"Gelir",$L2529=""),"",IFERROR(INDEX(MUSTERILER!$B$7:$B$156,MATCH($S2529,MUSTERILER!$T$7:$T$156,0)),""))</f>
        <v/>
      </c>
      <c r="U2529" s="1" t="str">
        <f>IF($T2529="","",$T2529&amp;"|"&amp;COUNTIFS($T$7:$T2529,$T2529))</f>
        <v/>
      </c>
      <c r="V2529" s="1">
        <f t="shared" si="120"/>
        <v>0</v>
      </c>
      <c r="W2529" s="1" t="str">
        <f t="shared" si="121"/>
        <v/>
      </c>
      <c r="X2529" s="1"/>
      <c r="Y2529" s="1"/>
      <c r="Z2529" s="1"/>
      <c r="AA2529" s="1"/>
      <c r="AB2529" s="1"/>
      <c r="AC2529" s="1"/>
      <c r="AD2529" s="1">
        <f>IF($C2529="",0,SUMPRODUCT((AY_SONU!$O$7:$O$42="Evet")*(AY_SONU!$B$7:$B$42=DATE(YEAR($C2529),MONTH($C2529),1))))</f>
        <v>0</v>
      </c>
      <c r="AE2529" s="1" t="str">
        <f>IF($E2529="","",$E2529&amp;"|"&amp;COUNTIFS($E$7:$E2529,$E2529))</f>
        <v/>
      </c>
    </row>
    <row r="2530" spans="1:31" ht="18" customHeight="1" x14ac:dyDescent="0.3">
      <c r="A2530" s="2"/>
      <c r="B2530" s="65" t="str">
        <f>IF($C2530="","","GG"&amp;TEXT(ROW()-6,"00000"))</f>
        <v/>
      </c>
      <c r="C2530" s="66"/>
      <c r="D2530" s="60"/>
      <c r="E2530" s="61"/>
      <c r="F2530" s="61"/>
      <c r="G2530" s="67"/>
      <c r="H2530" s="60"/>
      <c r="I2530" s="60"/>
      <c r="J2530" s="61"/>
      <c r="K2530" s="61"/>
      <c r="L2530" s="60"/>
      <c r="M2530" s="74" t="str">
        <f>IF($C2530="","",IF($D2530="Gider",$E2530,IF($L2530&lt;&gt;"",$L2530,$H2530)))</f>
        <v/>
      </c>
      <c r="N2530" s="74" t="str">
        <f>IF($C2530="","",IF($D2530="Gider",$H2530,$E2530))</f>
        <v/>
      </c>
      <c r="O2530" s="73" t="str">
        <f>IF($C2530="","",DATE(YEAR($C2530),MONTH($C2530),1))</f>
        <v/>
      </c>
      <c r="P2530" s="65" t="str">
        <f ca="1">IF($C2530="","",IF(AND($D2530="Gelir",$L2530&lt;&gt;"",$T2530=""),"TANIMSIZ BORÇLU",IF($T2530&lt;&gt;"",IF(OR($E2530="",$G2530&lt;=0),"EKSİK",IF($I2530="Evet","TAHAKKUK NAKİT OLAMAZ",IF($C2530&gt;TODAY(),"İLERİ TARİH","TAHAKKUK"))),IF(AND($D2530&lt;&gt;"",$E2530&lt;&gt;"",$G2530&gt;0,$H2530&lt;&gt;"",$I2530&lt;&gt;""),IF($C2530&gt;TODAY(),"İLERİ TARİH",IF(COUNTIF($W$7:$W$3001,$W2530)&gt;1,"MÜKERRER?",IF($AD2530&gt;0,"KAPALI DÖNEM",IF($I2530="Hayır","ÖDENECEK","UYGUN")))),"EKSİK"))))</f>
        <v/>
      </c>
      <c r="Q2530" s="2"/>
      <c r="R2530" s="2"/>
      <c r="S2530" s="1" t="str">
        <f t="shared" si="119"/>
        <v/>
      </c>
      <c r="T2530" s="1" t="str">
        <f>IF(OR($C2530="",$D2530&lt;&gt;"Gelir",$L2530=""),"",IFERROR(INDEX(MUSTERILER!$B$7:$B$156,MATCH($S2530,MUSTERILER!$T$7:$T$156,0)),""))</f>
        <v/>
      </c>
      <c r="U2530" s="1" t="str">
        <f>IF($T2530="","",$T2530&amp;"|"&amp;COUNTIFS($T$7:$T2530,$T2530))</f>
        <v/>
      </c>
      <c r="V2530" s="1">
        <f t="shared" si="120"/>
        <v>0</v>
      </c>
      <c r="W2530" s="1" t="str">
        <f t="shared" si="121"/>
        <v/>
      </c>
      <c r="X2530" s="1"/>
      <c r="Y2530" s="1"/>
      <c r="Z2530" s="1"/>
      <c r="AA2530" s="1"/>
      <c r="AB2530" s="1"/>
      <c r="AC2530" s="1"/>
      <c r="AD2530" s="1">
        <f>IF($C2530="",0,SUMPRODUCT((AY_SONU!$O$7:$O$42="Evet")*(AY_SONU!$B$7:$B$42=DATE(YEAR($C2530),MONTH($C2530),1))))</f>
        <v>0</v>
      </c>
      <c r="AE2530" s="1" t="str">
        <f>IF($E2530="","",$E2530&amp;"|"&amp;COUNTIFS($E$7:$E2530,$E2530))</f>
        <v/>
      </c>
    </row>
    <row r="2531" spans="1:31" ht="18" customHeight="1" x14ac:dyDescent="0.3">
      <c r="A2531" s="2"/>
      <c r="B2531" s="65" t="str">
        <f>IF($C2531="","","GG"&amp;TEXT(ROW()-6,"00000"))</f>
        <v/>
      </c>
      <c r="C2531" s="66"/>
      <c r="D2531" s="60"/>
      <c r="E2531" s="61"/>
      <c r="F2531" s="61"/>
      <c r="G2531" s="67"/>
      <c r="H2531" s="60"/>
      <c r="I2531" s="60"/>
      <c r="J2531" s="61"/>
      <c r="K2531" s="61"/>
      <c r="L2531" s="60"/>
      <c r="M2531" s="74" t="str">
        <f>IF($C2531="","",IF($D2531="Gider",$E2531,IF($L2531&lt;&gt;"",$L2531,$H2531)))</f>
        <v/>
      </c>
      <c r="N2531" s="74" t="str">
        <f>IF($C2531="","",IF($D2531="Gider",$H2531,$E2531))</f>
        <v/>
      </c>
      <c r="O2531" s="73" t="str">
        <f>IF($C2531="","",DATE(YEAR($C2531),MONTH($C2531),1))</f>
        <v/>
      </c>
      <c r="P2531" s="65" t="str">
        <f ca="1">IF($C2531="","",IF(AND($D2531="Gelir",$L2531&lt;&gt;"",$T2531=""),"TANIMSIZ BORÇLU",IF($T2531&lt;&gt;"",IF(OR($E2531="",$G2531&lt;=0),"EKSİK",IF($I2531="Evet","TAHAKKUK NAKİT OLAMAZ",IF($C2531&gt;TODAY(),"İLERİ TARİH","TAHAKKUK"))),IF(AND($D2531&lt;&gt;"",$E2531&lt;&gt;"",$G2531&gt;0,$H2531&lt;&gt;"",$I2531&lt;&gt;""),IF($C2531&gt;TODAY(),"İLERİ TARİH",IF(COUNTIF($W$7:$W$3001,$W2531)&gt;1,"MÜKERRER?",IF($AD2531&gt;0,"KAPALI DÖNEM",IF($I2531="Hayır","ÖDENECEK","UYGUN")))),"EKSİK"))))</f>
        <v/>
      </c>
      <c r="Q2531" s="2"/>
      <c r="R2531" s="2"/>
      <c r="S2531" s="1" t="str">
        <f t="shared" si="119"/>
        <v/>
      </c>
      <c r="T2531" s="1" t="str">
        <f>IF(OR($C2531="",$D2531&lt;&gt;"Gelir",$L2531=""),"",IFERROR(INDEX(MUSTERILER!$B$7:$B$156,MATCH($S2531,MUSTERILER!$T$7:$T$156,0)),""))</f>
        <v/>
      </c>
      <c r="U2531" s="1" t="str">
        <f>IF($T2531="","",$T2531&amp;"|"&amp;COUNTIFS($T$7:$T2531,$T2531))</f>
        <v/>
      </c>
      <c r="V2531" s="1">
        <f t="shared" si="120"/>
        <v>0</v>
      </c>
      <c r="W2531" s="1" t="str">
        <f t="shared" si="121"/>
        <v/>
      </c>
      <c r="X2531" s="1"/>
      <c r="Y2531" s="1"/>
      <c r="Z2531" s="1"/>
      <c r="AA2531" s="1"/>
      <c r="AB2531" s="1"/>
      <c r="AC2531" s="1"/>
      <c r="AD2531" s="1">
        <f>IF($C2531="",0,SUMPRODUCT((AY_SONU!$O$7:$O$42="Evet")*(AY_SONU!$B$7:$B$42=DATE(YEAR($C2531),MONTH($C2531),1))))</f>
        <v>0</v>
      </c>
      <c r="AE2531" s="1" t="str">
        <f>IF($E2531="","",$E2531&amp;"|"&amp;COUNTIFS($E$7:$E2531,$E2531))</f>
        <v/>
      </c>
    </row>
    <row r="2532" spans="1:31" ht="18" customHeight="1" x14ac:dyDescent="0.3">
      <c r="A2532" s="2"/>
      <c r="B2532" s="65" t="str">
        <f>IF($C2532="","","GG"&amp;TEXT(ROW()-6,"00000"))</f>
        <v/>
      </c>
      <c r="C2532" s="66"/>
      <c r="D2532" s="60"/>
      <c r="E2532" s="61"/>
      <c r="F2532" s="61"/>
      <c r="G2532" s="67"/>
      <c r="H2532" s="60"/>
      <c r="I2532" s="60"/>
      <c r="J2532" s="61"/>
      <c r="K2532" s="61"/>
      <c r="L2532" s="60"/>
      <c r="M2532" s="74" t="str">
        <f>IF($C2532="","",IF($D2532="Gider",$E2532,IF($L2532&lt;&gt;"",$L2532,$H2532)))</f>
        <v/>
      </c>
      <c r="N2532" s="74" t="str">
        <f>IF($C2532="","",IF($D2532="Gider",$H2532,$E2532))</f>
        <v/>
      </c>
      <c r="O2532" s="73" t="str">
        <f>IF($C2532="","",DATE(YEAR($C2532),MONTH($C2532),1))</f>
        <v/>
      </c>
      <c r="P2532" s="65" t="str">
        <f ca="1">IF($C2532="","",IF(AND($D2532="Gelir",$L2532&lt;&gt;"",$T2532=""),"TANIMSIZ BORÇLU",IF($T2532&lt;&gt;"",IF(OR($E2532="",$G2532&lt;=0),"EKSİK",IF($I2532="Evet","TAHAKKUK NAKİT OLAMAZ",IF($C2532&gt;TODAY(),"İLERİ TARİH","TAHAKKUK"))),IF(AND($D2532&lt;&gt;"",$E2532&lt;&gt;"",$G2532&gt;0,$H2532&lt;&gt;"",$I2532&lt;&gt;""),IF($C2532&gt;TODAY(),"İLERİ TARİH",IF(COUNTIF($W$7:$W$3001,$W2532)&gt;1,"MÜKERRER?",IF($AD2532&gt;0,"KAPALI DÖNEM",IF($I2532="Hayır","ÖDENECEK","UYGUN")))),"EKSİK"))))</f>
        <v/>
      </c>
      <c r="Q2532" s="2"/>
      <c r="R2532" s="2"/>
      <c r="S2532" s="1" t="str">
        <f t="shared" si="119"/>
        <v/>
      </c>
      <c r="T2532" s="1" t="str">
        <f>IF(OR($C2532="",$D2532&lt;&gt;"Gelir",$L2532=""),"",IFERROR(INDEX(MUSTERILER!$B$7:$B$156,MATCH($S2532,MUSTERILER!$T$7:$T$156,0)),""))</f>
        <v/>
      </c>
      <c r="U2532" s="1" t="str">
        <f>IF($T2532="","",$T2532&amp;"|"&amp;COUNTIFS($T$7:$T2532,$T2532))</f>
        <v/>
      </c>
      <c r="V2532" s="1">
        <f t="shared" si="120"/>
        <v>0</v>
      </c>
      <c r="W2532" s="1" t="str">
        <f t="shared" si="121"/>
        <v/>
      </c>
      <c r="X2532" s="1"/>
      <c r="Y2532" s="1"/>
      <c r="Z2532" s="1"/>
      <c r="AA2532" s="1"/>
      <c r="AB2532" s="1"/>
      <c r="AC2532" s="1"/>
      <c r="AD2532" s="1">
        <f>IF($C2532="",0,SUMPRODUCT((AY_SONU!$O$7:$O$42="Evet")*(AY_SONU!$B$7:$B$42=DATE(YEAR($C2532),MONTH($C2532),1))))</f>
        <v>0</v>
      </c>
      <c r="AE2532" s="1" t="str">
        <f>IF($E2532="","",$E2532&amp;"|"&amp;COUNTIFS($E$7:$E2532,$E2532))</f>
        <v/>
      </c>
    </row>
    <row r="2533" spans="1:31" ht="18" customHeight="1" x14ac:dyDescent="0.3">
      <c r="A2533" s="2"/>
      <c r="B2533" s="65" t="str">
        <f>IF($C2533="","","GG"&amp;TEXT(ROW()-6,"00000"))</f>
        <v/>
      </c>
      <c r="C2533" s="66"/>
      <c r="D2533" s="60"/>
      <c r="E2533" s="61"/>
      <c r="F2533" s="61"/>
      <c r="G2533" s="67"/>
      <c r="H2533" s="60"/>
      <c r="I2533" s="60"/>
      <c r="J2533" s="61"/>
      <c r="K2533" s="61"/>
      <c r="L2533" s="60"/>
      <c r="M2533" s="74" t="str">
        <f>IF($C2533="","",IF($D2533="Gider",$E2533,IF($L2533&lt;&gt;"",$L2533,$H2533)))</f>
        <v/>
      </c>
      <c r="N2533" s="74" t="str">
        <f>IF($C2533="","",IF($D2533="Gider",$H2533,$E2533))</f>
        <v/>
      </c>
      <c r="O2533" s="73" t="str">
        <f>IF($C2533="","",DATE(YEAR($C2533),MONTH($C2533),1))</f>
        <v/>
      </c>
      <c r="P2533" s="65" t="str">
        <f ca="1">IF($C2533="","",IF(AND($D2533="Gelir",$L2533&lt;&gt;"",$T2533=""),"TANIMSIZ BORÇLU",IF($T2533&lt;&gt;"",IF(OR($E2533="",$G2533&lt;=0),"EKSİK",IF($I2533="Evet","TAHAKKUK NAKİT OLAMAZ",IF($C2533&gt;TODAY(),"İLERİ TARİH","TAHAKKUK"))),IF(AND($D2533&lt;&gt;"",$E2533&lt;&gt;"",$G2533&gt;0,$H2533&lt;&gt;"",$I2533&lt;&gt;""),IF($C2533&gt;TODAY(),"İLERİ TARİH",IF(COUNTIF($W$7:$W$3001,$W2533)&gt;1,"MÜKERRER?",IF($AD2533&gt;0,"KAPALI DÖNEM",IF($I2533="Hayır","ÖDENECEK","UYGUN")))),"EKSİK"))))</f>
        <v/>
      </c>
      <c r="Q2533" s="2"/>
      <c r="R2533" s="2"/>
      <c r="S2533" s="1" t="str">
        <f t="shared" si="119"/>
        <v/>
      </c>
      <c r="T2533" s="1" t="str">
        <f>IF(OR($C2533="",$D2533&lt;&gt;"Gelir",$L2533=""),"",IFERROR(INDEX(MUSTERILER!$B$7:$B$156,MATCH($S2533,MUSTERILER!$T$7:$T$156,0)),""))</f>
        <v/>
      </c>
      <c r="U2533" s="1" t="str">
        <f>IF($T2533="","",$T2533&amp;"|"&amp;COUNTIFS($T$7:$T2533,$T2533))</f>
        <v/>
      </c>
      <c r="V2533" s="1">
        <f t="shared" si="120"/>
        <v>0</v>
      </c>
      <c r="W2533" s="1" t="str">
        <f t="shared" si="121"/>
        <v/>
      </c>
      <c r="X2533" s="1"/>
      <c r="Y2533" s="1"/>
      <c r="Z2533" s="1"/>
      <c r="AA2533" s="1"/>
      <c r="AB2533" s="1"/>
      <c r="AC2533" s="1"/>
      <c r="AD2533" s="1">
        <f>IF($C2533="",0,SUMPRODUCT((AY_SONU!$O$7:$O$42="Evet")*(AY_SONU!$B$7:$B$42=DATE(YEAR($C2533),MONTH($C2533),1))))</f>
        <v>0</v>
      </c>
      <c r="AE2533" s="1" t="str">
        <f>IF($E2533="","",$E2533&amp;"|"&amp;COUNTIFS($E$7:$E2533,$E2533))</f>
        <v/>
      </c>
    </row>
    <row r="2534" spans="1:31" ht="18" customHeight="1" x14ac:dyDescent="0.3">
      <c r="A2534" s="2"/>
      <c r="B2534" s="65" t="str">
        <f>IF($C2534="","","GG"&amp;TEXT(ROW()-6,"00000"))</f>
        <v/>
      </c>
      <c r="C2534" s="66"/>
      <c r="D2534" s="60"/>
      <c r="E2534" s="61"/>
      <c r="F2534" s="61"/>
      <c r="G2534" s="67"/>
      <c r="H2534" s="60"/>
      <c r="I2534" s="60"/>
      <c r="J2534" s="61"/>
      <c r="K2534" s="61"/>
      <c r="L2534" s="60"/>
      <c r="M2534" s="74" t="str">
        <f>IF($C2534="","",IF($D2534="Gider",$E2534,IF($L2534&lt;&gt;"",$L2534,$H2534)))</f>
        <v/>
      </c>
      <c r="N2534" s="74" t="str">
        <f>IF($C2534="","",IF($D2534="Gider",$H2534,$E2534))</f>
        <v/>
      </c>
      <c r="O2534" s="73" t="str">
        <f>IF($C2534="","",DATE(YEAR($C2534),MONTH($C2534),1))</f>
        <v/>
      </c>
      <c r="P2534" s="65" t="str">
        <f ca="1">IF($C2534="","",IF(AND($D2534="Gelir",$L2534&lt;&gt;"",$T2534=""),"TANIMSIZ BORÇLU",IF($T2534&lt;&gt;"",IF(OR($E2534="",$G2534&lt;=0),"EKSİK",IF($I2534="Evet","TAHAKKUK NAKİT OLAMAZ",IF($C2534&gt;TODAY(),"İLERİ TARİH","TAHAKKUK"))),IF(AND($D2534&lt;&gt;"",$E2534&lt;&gt;"",$G2534&gt;0,$H2534&lt;&gt;"",$I2534&lt;&gt;""),IF($C2534&gt;TODAY(),"İLERİ TARİH",IF(COUNTIF($W$7:$W$3001,$W2534)&gt;1,"MÜKERRER?",IF($AD2534&gt;0,"KAPALI DÖNEM",IF($I2534="Hayır","ÖDENECEK","UYGUN")))),"EKSİK"))))</f>
        <v/>
      </c>
      <c r="Q2534" s="2"/>
      <c r="R2534" s="2"/>
      <c r="S2534" s="1" t="str">
        <f t="shared" si="119"/>
        <v/>
      </c>
      <c r="T2534" s="1" t="str">
        <f>IF(OR($C2534="",$D2534&lt;&gt;"Gelir",$L2534=""),"",IFERROR(INDEX(MUSTERILER!$B$7:$B$156,MATCH($S2534,MUSTERILER!$T$7:$T$156,0)),""))</f>
        <v/>
      </c>
      <c r="U2534" s="1" t="str">
        <f>IF($T2534="","",$T2534&amp;"|"&amp;COUNTIFS($T$7:$T2534,$T2534))</f>
        <v/>
      </c>
      <c r="V2534" s="1">
        <f t="shared" si="120"/>
        <v>0</v>
      </c>
      <c r="W2534" s="1" t="str">
        <f t="shared" si="121"/>
        <v/>
      </c>
      <c r="X2534" s="1"/>
      <c r="Y2534" s="1"/>
      <c r="Z2534" s="1"/>
      <c r="AA2534" s="1"/>
      <c r="AB2534" s="1"/>
      <c r="AC2534" s="1"/>
      <c r="AD2534" s="1">
        <f>IF($C2534="",0,SUMPRODUCT((AY_SONU!$O$7:$O$42="Evet")*(AY_SONU!$B$7:$B$42=DATE(YEAR($C2534),MONTH($C2534),1))))</f>
        <v>0</v>
      </c>
      <c r="AE2534" s="1" t="str">
        <f>IF($E2534="","",$E2534&amp;"|"&amp;COUNTIFS($E$7:$E2534,$E2534))</f>
        <v/>
      </c>
    </row>
    <row r="2535" spans="1:31" ht="18" customHeight="1" x14ac:dyDescent="0.3">
      <c r="A2535" s="2"/>
      <c r="B2535" s="65" t="str">
        <f>IF($C2535="","","GG"&amp;TEXT(ROW()-6,"00000"))</f>
        <v/>
      </c>
      <c r="C2535" s="66"/>
      <c r="D2535" s="60"/>
      <c r="E2535" s="61"/>
      <c r="F2535" s="61"/>
      <c r="G2535" s="67"/>
      <c r="H2535" s="60"/>
      <c r="I2535" s="60"/>
      <c r="J2535" s="61"/>
      <c r="K2535" s="61"/>
      <c r="L2535" s="60"/>
      <c r="M2535" s="74" t="str">
        <f>IF($C2535="","",IF($D2535="Gider",$E2535,IF($L2535&lt;&gt;"",$L2535,$H2535)))</f>
        <v/>
      </c>
      <c r="N2535" s="74" t="str">
        <f>IF($C2535="","",IF($D2535="Gider",$H2535,$E2535))</f>
        <v/>
      </c>
      <c r="O2535" s="73" t="str">
        <f>IF($C2535="","",DATE(YEAR($C2535),MONTH($C2535),1))</f>
        <v/>
      </c>
      <c r="P2535" s="65" t="str">
        <f ca="1">IF($C2535="","",IF(AND($D2535="Gelir",$L2535&lt;&gt;"",$T2535=""),"TANIMSIZ BORÇLU",IF($T2535&lt;&gt;"",IF(OR($E2535="",$G2535&lt;=0),"EKSİK",IF($I2535="Evet","TAHAKKUK NAKİT OLAMAZ",IF($C2535&gt;TODAY(),"İLERİ TARİH","TAHAKKUK"))),IF(AND($D2535&lt;&gt;"",$E2535&lt;&gt;"",$G2535&gt;0,$H2535&lt;&gt;"",$I2535&lt;&gt;""),IF($C2535&gt;TODAY(),"İLERİ TARİH",IF(COUNTIF($W$7:$W$3001,$W2535)&gt;1,"MÜKERRER?",IF($AD2535&gt;0,"KAPALI DÖNEM",IF($I2535="Hayır","ÖDENECEK","UYGUN")))),"EKSİK"))))</f>
        <v/>
      </c>
      <c r="Q2535" s="2"/>
      <c r="R2535" s="2"/>
      <c r="S2535" s="1" t="str">
        <f t="shared" si="119"/>
        <v/>
      </c>
      <c r="T2535" s="1" t="str">
        <f>IF(OR($C2535="",$D2535&lt;&gt;"Gelir",$L2535=""),"",IFERROR(INDEX(MUSTERILER!$B$7:$B$156,MATCH($S2535,MUSTERILER!$T$7:$T$156,0)),""))</f>
        <v/>
      </c>
      <c r="U2535" s="1" t="str">
        <f>IF($T2535="","",$T2535&amp;"|"&amp;COUNTIFS($T$7:$T2535,$T2535))</f>
        <v/>
      </c>
      <c r="V2535" s="1">
        <f t="shared" si="120"/>
        <v>0</v>
      </c>
      <c r="W2535" s="1" t="str">
        <f t="shared" si="121"/>
        <v/>
      </c>
      <c r="X2535" s="1"/>
      <c r="Y2535" s="1"/>
      <c r="Z2535" s="1"/>
      <c r="AA2535" s="1"/>
      <c r="AB2535" s="1"/>
      <c r="AC2535" s="1"/>
      <c r="AD2535" s="1">
        <f>IF($C2535="",0,SUMPRODUCT((AY_SONU!$O$7:$O$42="Evet")*(AY_SONU!$B$7:$B$42=DATE(YEAR($C2535),MONTH($C2535),1))))</f>
        <v>0</v>
      </c>
      <c r="AE2535" s="1" t="str">
        <f>IF($E2535="","",$E2535&amp;"|"&amp;COUNTIFS($E$7:$E2535,$E2535))</f>
        <v/>
      </c>
    </row>
    <row r="2536" spans="1:31" ht="18" customHeight="1" x14ac:dyDescent="0.3">
      <c r="A2536" s="2"/>
      <c r="B2536" s="65" t="str">
        <f>IF($C2536="","","GG"&amp;TEXT(ROW()-6,"00000"))</f>
        <v/>
      </c>
      <c r="C2536" s="66"/>
      <c r="D2536" s="60"/>
      <c r="E2536" s="61"/>
      <c r="F2536" s="61"/>
      <c r="G2536" s="67"/>
      <c r="H2536" s="60"/>
      <c r="I2536" s="60"/>
      <c r="J2536" s="61"/>
      <c r="K2536" s="61"/>
      <c r="L2536" s="60"/>
      <c r="M2536" s="74" t="str">
        <f>IF($C2536="","",IF($D2536="Gider",$E2536,IF($L2536&lt;&gt;"",$L2536,$H2536)))</f>
        <v/>
      </c>
      <c r="N2536" s="74" t="str">
        <f>IF($C2536="","",IF($D2536="Gider",$H2536,$E2536))</f>
        <v/>
      </c>
      <c r="O2536" s="73" t="str">
        <f>IF($C2536="","",DATE(YEAR($C2536),MONTH($C2536),1))</f>
        <v/>
      </c>
      <c r="P2536" s="65" t="str">
        <f ca="1">IF($C2536="","",IF(AND($D2536="Gelir",$L2536&lt;&gt;"",$T2536=""),"TANIMSIZ BORÇLU",IF($T2536&lt;&gt;"",IF(OR($E2536="",$G2536&lt;=0),"EKSİK",IF($I2536="Evet","TAHAKKUK NAKİT OLAMAZ",IF($C2536&gt;TODAY(),"İLERİ TARİH","TAHAKKUK"))),IF(AND($D2536&lt;&gt;"",$E2536&lt;&gt;"",$G2536&gt;0,$H2536&lt;&gt;"",$I2536&lt;&gt;""),IF($C2536&gt;TODAY(),"İLERİ TARİH",IF(COUNTIF($W$7:$W$3001,$W2536)&gt;1,"MÜKERRER?",IF($AD2536&gt;0,"KAPALI DÖNEM",IF($I2536="Hayır","ÖDENECEK","UYGUN")))),"EKSİK"))))</f>
        <v/>
      </c>
      <c r="Q2536" s="2"/>
      <c r="R2536" s="2"/>
      <c r="S2536" s="1" t="str">
        <f t="shared" si="119"/>
        <v/>
      </c>
      <c r="T2536" s="1" t="str">
        <f>IF(OR($C2536="",$D2536&lt;&gt;"Gelir",$L2536=""),"",IFERROR(INDEX(MUSTERILER!$B$7:$B$156,MATCH($S2536,MUSTERILER!$T$7:$T$156,0)),""))</f>
        <v/>
      </c>
      <c r="U2536" s="1" t="str">
        <f>IF($T2536="","",$T2536&amp;"|"&amp;COUNTIFS($T$7:$T2536,$T2536))</f>
        <v/>
      </c>
      <c r="V2536" s="1">
        <f t="shared" si="120"/>
        <v>0</v>
      </c>
      <c r="W2536" s="1" t="str">
        <f t="shared" si="121"/>
        <v/>
      </c>
      <c r="X2536" s="1"/>
      <c r="Y2536" s="1"/>
      <c r="Z2536" s="1"/>
      <c r="AA2536" s="1"/>
      <c r="AB2536" s="1"/>
      <c r="AC2536" s="1"/>
      <c r="AD2536" s="1">
        <f>IF($C2536="",0,SUMPRODUCT((AY_SONU!$O$7:$O$42="Evet")*(AY_SONU!$B$7:$B$42=DATE(YEAR($C2536),MONTH($C2536),1))))</f>
        <v>0</v>
      </c>
      <c r="AE2536" s="1" t="str">
        <f>IF($E2536="","",$E2536&amp;"|"&amp;COUNTIFS($E$7:$E2536,$E2536))</f>
        <v/>
      </c>
    </row>
    <row r="2537" spans="1:31" ht="18" customHeight="1" x14ac:dyDescent="0.3">
      <c r="A2537" s="2"/>
      <c r="B2537" s="65" t="str">
        <f>IF($C2537="","","GG"&amp;TEXT(ROW()-6,"00000"))</f>
        <v/>
      </c>
      <c r="C2537" s="66"/>
      <c r="D2537" s="60"/>
      <c r="E2537" s="61"/>
      <c r="F2537" s="61"/>
      <c r="G2537" s="67"/>
      <c r="H2537" s="60"/>
      <c r="I2537" s="60"/>
      <c r="J2537" s="61"/>
      <c r="K2537" s="61"/>
      <c r="L2537" s="60"/>
      <c r="M2537" s="74" t="str">
        <f>IF($C2537="","",IF($D2537="Gider",$E2537,IF($L2537&lt;&gt;"",$L2537,$H2537)))</f>
        <v/>
      </c>
      <c r="N2537" s="74" t="str">
        <f>IF($C2537="","",IF($D2537="Gider",$H2537,$E2537))</f>
        <v/>
      </c>
      <c r="O2537" s="73" t="str">
        <f>IF($C2537="","",DATE(YEAR($C2537),MONTH($C2537),1))</f>
        <v/>
      </c>
      <c r="P2537" s="65" t="str">
        <f ca="1">IF($C2537="","",IF(AND($D2537="Gelir",$L2537&lt;&gt;"",$T2537=""),"TANIMSIZ BORÇLU",IF($T2537&lt;&gt;"",IF(OR($E2537="",$G2537&lt;=0),"EKSİK",IF($I2537="Evet","TAHAKKUK NAKİT OLAMAZ",IF($C2537&gt;TODAY(),"İLERİ TARİH","TAHAKKUK"))),IF(AND($D2537&lt;&gt;"",$E2537&lt;&gt;"",$G2537&gt;0,$H2537&lt;&gt;"",$I2537&lt;&gt;""),IF($C2537&gt;TODAY(),"İLERİ TARİH",IF(COUNTIF($W$7:$W$3001,$W2537)&gt;1,"MÜKERRER?",IF($AD2537&gt;0,"KAPALI DÖNEM",IF($I2537="Hayır","ÖDENECEK","UYGUN")))),"EKSİK"))))</f>
        <v/>
      </c>
      <c r="Q2537" s="2"/>
      <c r="R2537" s="2"/>
      <c r="S2537" s="1" t="str">
        <f t="shared" si="119"/>
        <v/>
      </c>
      <c r="T2537" s="1" t="str">
        <f>IF(OR($C2537="",$D2537&lt;&gt;"Gelir",$L2537=""),"",IFERROR(INDEX(MUSTERILER!$B$7:$B$156,MATCH($S2537,MUSTERILER!$T$7:$T$156,0)),""))</f>
        <v/>
      </c>
      <c r="U2537" s="1" t="str">
        <f>IF($T2537="","",$T2537&amp;"|"&amp;COUNTIFS($T$7:$T2537,$T2537))</f>
        <v/>
      </c>
      <c r="V2537" s="1">
        <f t="shared" si="120"/>
        <v>0</v>
      </c>
      <c r="W2537" s="1" t="str">
        <f t="shared" si="121"/>
        <v/>
      </c>
      <c r="X2537" s="1"/>
      <c r="Y2537" s="1"/>
      <c r="Z2537" s="1"/>
      <c r="AA2537" s="1"/>
      <c r="AB2537" s="1"/>
      <c r="AC2537" s="1"/>
      <c r="AD2537" s="1">
        <f>IF($C2537="",0,SUMPRODUCT((AY_SONU!$O$7:$O$42="Evet")*(AY_SONU!$B$7:$B$42=DATE(YEAR($C2537),MONTH($C2537),1))))</f>
        <v>0</v>
      </c>
      <c r="AE2537" s="1" t="str">
        <f>IF($E2537="","",$E2537&amp;"|"&amp;COUNTIFS($E$7:$E2537,$E2537))</f>
        <v/>
      </c>
    </row>
    <row r="2538" spans="1:31" ht="18" customHeight="1" x14ac:dyDescent="0.3">
      <c r="A2538" s="2"/>
      <c r="B2538" s="65" t="str">
        <f>IF($C2538="","","GG"&amp;TEXT(ROW()-6,"00000"))</f>
        <v/>
      </c>
      <c r="C2538" s="66"/>
      <c r="D2538" s="60"/>
      <c r="E2538" s="61"/>
      <c r="F2538" s="61"/>
      <c r="G2538" s="67"/>
      <c r="H2538" s="60"/>
      <c r="I2538" s="60"/>
      <c r="J2538" s="61"/>
      <c r="K2538" s="61"/>
      <c r="L2538" s="60"/>
      <c r="M2538" s="74" t="str">
        <f>IF($C2538="","",IF($D2538="Gider",$E2538,IF($L2538&lt;&gt;"",$L2538,$H2538)))</f>
        <v/>
      </c>
      <c r="N2538" s="74" t="str">
        <f>IF($C2538="","",IF($D2538="Gider",$H2538,$E2538))</f>
        <v/>
      </c>
      <c r="O2538" s="73" t="str">
        <f>IF($C2538="","",DATE(YEAR($C2538),MONTH($C2538),1))</f>
        <v/>
      </c>
      <c r="P2538" s="65" t="str">
        <f ca="1">IF($C2538="","",IF(AND($D2538="Gelir",$L2538&lt;&gt;"",$T2538=""),"TANIMSIZ BORÇLU",IF($T2538&lt;&gt;"",IF(OR($E2538="",$G2538&lt;=0),"EKSİK",IF($I2538="Evet","TAHAKKUK NAKİT OLAMAZ",IF($C2538&gt;TODAY(),"İLERİ TARİH","TAHAKKUK"))),IF(AND($D2538&lt;&gt;"",$E2538&lt;&gt;"",$G2538&gt;0,$H2538&lt;&gt;"",$I2538&lt;&gt;""),IF($C2538&gt;TODAY(),"İLERİ TARİH",IF(COUNTIF($W$7:$W$3001,$W2538)&gt;1,"MÜKERRER?",IF($AD2538&gt;0,"KAPALI DÖNEM",IF($I2538="Hayır","ÖDENECEK","UYGUN")))),"EKSİK"))))</f>
        <v/>
      </c>
      <c r="Q2538" s="2"/>
      <c r="R2538" s="2"/>
      <c r="S2538" s="1" t="str">
        <f t="shared" si="119"/>
        <v/>
      </c>
      <c r="T2538" s="1" t="str">
        <f>IF(OR($C2538="",$D2538&lt;&gt;"Gelir",$L2538=""),"",IFERROR(INDEX(MUSTERILER!$B$7:$B$156,MATCH($S2538,MUSTERILER!$T$7:$T$156,0)),""))</f>
        <v/>
      </c>
      <c r="U2538" s="1" t="str">
        <f>IF($T2538="","",$T2538&amp;"|"&amp;COUNTIFS($T$7:$T2538,$T2538))</f>
        <v/>
      </c>
      <c r="V2538" s="1">
        <f t="shared" si="120"/>
        <v>0</v>
      </c>
      <c r="W2538" s="1" t="str">
        <f t="shared" si="121"/>
        <v/>
      </c>
      <c r="X2538" s="1"/>
      <c r="Y2538" s="1"/>
      <c r="Z2538" s="1"/>
      <c r="AA2538" s="1"/>
      <c r="AB2538" s="1"/>
      <c r="AC2538" s="1"/>
      <c r="AD2538" s="1">
        <f>IF($C2538="",0,SUMPRODUCT((AY_SONU!$O$7:$O$42="Evet")*(AY_SONU!$B$7:$B$42=DATE(YEAR($C2538),MONTH($C2538),1))))</f>
        <v>0</v>
      </c>
      <c r="AE2538" s="1" t="str">
        <f>IF($E2538="","",$E2538&amp;"|"&amp;COUNTIFS($E$7:$E2538,$E2538))</f>
        <v/>
      </c>
    </row>
    <row r="2539" spans="1:31" ht="18" customHeight="1" x14ac:dyDescent="0.3">
      <c r="A2539" s="2"/>
      <c r="B2539" s="65" t="str">
        <f>IF($C2539="","","GG"&amp;TEXT(ROW()-6,"00000"))</f>
        <v/>
      </c>
      <c r="C2539" s="66"/>
      <c r="D2539" s="60"/>
      <c r="E2539" s="61"/>
      <c r="F2539" s="61"/>
      <c r="G2539" s="67"/>
      <c r="H2539" s="60"/>
      <c r="I2539" s="60"/>
      <c r="J2539" s="61"/>
      <c r="K2539" s="61"/>
      <c r="L2539" s="60"/>
      <c r="M2539" s="74" t="str">
        <f>IF($C2539="","",IF($D2539="Gider",$E2539,IF($L2539&lt;&gt;"",$L2539,$H2539)))</f>
        <v/>
      </c>
      <c r="N2539" s="74" t="str">
        <f>IF($C2539="","",IF($D2539="Gider",$H2539,$E2539))</f>
        <v/>
      </c>
      <c r="O2539" s="73" t="str">
        <f>IF($C2539="","",DATE(YEAR($C2539),MONTH($C2539),1))</f>
        <v/>
      </c>
      <c r="P2539" s="65" t="str">
        <f ca="1">IF($C2539="","",IF(AND($D2539="Gelir",$L2539&lt;&gt;"",$T2539=""),"TANIMSIZ BORÇLU",IF($T2539&lt;&gt;"",IF(OR($E2539="",$G2539&lt;=0),"EKSİK",IF($I2539="Evet","TAHAKKUK NAKİT OLAMAZ",IF($C2539&gt;TODAY(),"İLERİ TARİH","TAHAKKUK"))),IF(AND($D2539&lt;&gt;"",$E2539&lt;&gt;"",$G2539&gt;0,$H2539&lt;&gt;"",$I2539&lt;&gt;""),IF($C2539&gt;TODAY(),"İLERİ TARİH",IF(COUNTIF($W$7:$W$3001,$W2539)&gt;1,"MÜKERRER?",IF($AD2539&gt;0,"KAPALI DÖNEM",IF($I2539="Hayır","ÖDENECEK","UYGUN")))),"EKSİK"))))</f>
        <v/>
      </c>
      <c r="Q2539" s="2"/>
      <c r="R2539" s="2"/>
      <c r="S2539" s="1" t="str">
        <f t="shared" si="119"/>
        <v/>
      </c>
      <c r="T2539" s="1" t="str">
        <f>IF(OR($C2539="",$D2539&lt;&gt;"Gelir",$L2539=""),"",IFERROR(INDEX(MUSTERILER!$B$7:$B$156,MATCH($S2539,MUSTERILER!$T$7:$T$156,0)),""))</f>
        <v/>
      </c>
      <c r="U2539" s="1" t="str">
        <f>IF($T2539="","",$T2539&amp;"|"&amp;COUNTIFS($T$7:$T2539,$T2539))</f>
        <v/>
      </c>
      <c r="V2539" s="1">
        <f t="shared" si="120"/>
        <v>0</v>
      </c>
      <c r="W2539" s="1" t="str">
        <f t="shared" si="121"/>
        <v/>
      </c>
      <c r="X2539" s="1"/>
      <c r="Y2539" s="1"/>
      <c r="Z2539" s="1"/>
      <c r="AA2539" s="1"/>
      <c r="AB2539" s="1"/>
      <c r="AC2539" s="1"/>
      <c r="AD2539" s="1">
        <f>IF($C2539="",0,SUMPRODUCT((AY_SONU!$O$7:$O$42="Evet")*(AY_SONU!$B$7:$B$42=DATE(YEAR($C2539),MONTH($C2539),1))))</f>
        <v>0</v>
      </c>
      <c r="AE2539" s="1" t="str">
        <f>IF($E2539="","",$E2539&amp;"|"&amp;COUNTIFS($E$7:$E2539,$E2539))</f>
        <v/>
      </c>
    </row>
    <row r="2540" spans="1:31" ht="18" customHeight="1" x14ac:dyDescent="0.3">
      <c r="A2540" s="2"/>
      <c r="B2540" s="65" t="str">
        <f>IF($C2540="","","GG"&amp;TEXT(ROW()-6,"00000"))</f>
        <v/>
      </c>
      <c r="C2540" s="66"/>
      <c r="D2540" s="60"/>
      <c r="E2540" s="61"/>
      <c r="F2540" s="61"/>
      <c r="G2540" s="67"/>
      <c r="H2540" s="60"/>
      <c r="I2540" s="60"/>
      <c r="J2540" s="61"/>
      <c r="K2540" s="61"/>
      <c r="L2540" s="60"/>
      <c r="M2540" s="74" t="str">
        <f>IF($C2540="","",IF($D2540="Gider",$E2540,IF($L2540&lt;&gt;"",$L2540,$H2540)))</f>
        <v/>
      </c>
      <c r="N2540" s="74" t="str">
        <f>IF($C2540="","",IF($D2540="Gider",$H2540,$E2540))</f>
        <v/>
      </c>
      <c r="O2540" s="73" t="str">
        <f>IF($C2540="","",DATE(YEAR($C2540),MONTH($C2540),1))</f>
        <v/>
      </c>
      <c r="P2540" s="65" t="str">
        <f ca="1">IF($C2540="","",IF(AND($D2540="Gelir",$L2540&lt;&gt;"",$T2540=""),"TANIMSIZ BORÇLU",IF($T2540&lt;&gt;"",IF(OR($E2540="",$G2540&lt;=0),"EKSİK",IF($I2540="Evet","TAHAKKUK NAKİT OLAMAZ",IF($C2540&gt;TODAY(),"İLERİ TARİH","TAHAKKUK"))),IF(AND($D2540&lt;&gt;"",$E2540&lt;&gt;"",$G2540&gt;0,$H2540&lt;&gt;"",$I2540&lt;&gt;""),IF($C2540&gt;TODAY(),"İLERİ TARİH",IF(COUNTIF($W$7:$W$3001,$W2540)&gt;1,"MÜKERRER?",IF($AD2540&gt;0,"KAPALI DÖNEM",IF($I2540="Hayır","ÖDENECEK","UYGUN")))),"EKSİK"))))</f>
        <v/>
      </c>
      <c r="Q2540" s="2"/>
      <c r="R2540" s="2"/>
      <c r="S2540" s="1" t="str">
        <f t="shared" si="119"/>
        <v/>
      </c>
      <c r="T2540" s="1" t="str">
        <f>IF(OR($C2540="",$D2540&lt;&gt;"Gelir",$L2540=""),"",IFERROR(INDEX(MUSTERILER!$B$7:$B$156,MATCH($S2540,MUSTERILER!$T$7:$T$156,0)),""))</f>
        <v/>
      </c>
      <c r="U2540" s="1" t="str">
        <f>IF($T2540="","",$T2540&amp;"|"&amp;COUNTIFS($T$7:$T2540,$T2540))</f>
        <v/>
      </c>
      <c r="V2540" s="1">
        <f t="shared" si="120"/>
        <v>0</v>
      </c>
      <c r="W2540" s="1" t="str">
        <f t="shared" si="121"/>
        <v/>
      </c>
      <c r="X2540" s="1"/>
      <c r="Y2540" s="1"/>
      <c r="Z2540" s="1"/>
      <c r="AA2540" s="1"/>
      <c r="AB2540" s="1"/>
      <c r="AC2540" s="1"/>
      <c r="AD2540" s="1">
        <f>IF($C2540="",0,SUMPRODUCT((AY_SONU!$O$7:$O$42="Evet")*(AY_SONU!$B$7:$B$42=DATE(YEAR($C2540),MONTH($C2540),1))))</f>
        <v>0</v>
      </c>
      <c r="AE2540" s="1" t="str">
        <f>IF($E2540="","",$E2540&amp;"|"&amp;COUNTIFS($E$7:$E2540,$E2540))</f>
        <v/>
      </c>
    </row>
    <row r="2541" spans="1:31" ht="18" customHeight="1" x14ac:dyDescent="0.3">
      <c r="A2541" s="2"/>
      <c r="B2541" s="65" t="str">
        <f>IF($C2541="","","GG"&amp;TEXT(ROW()-6,"00000"))</f>
        <v/>
      </c>
      <c r="C2541" s="66"/>
      <c r="D2541" s="60"/>
      <c r="E2541" s="61"/>
      <c r="F2541" s="61"/>
      <c r="G2541" s="67"/>
      <c r="H2541" s="60"/>
      <c r="I2541" s="60"/>
      <c r="J2541" s="61"/>
      <c r="K2541" s="61"/>
      <c r="L2541" s="60"/>
      <c r="M2541" s="74" t="str">
        <f>IF($C2541="","",IF($D2541="Gider",$E2541,IF($L2541&lt;&gt;"",$L2541,$H2541)))</f>
        <v/>
      </c>
      <c r="N2541" s="74" t="str">
        <f>IF($C2541="","",IF($D2541="Gider",$H2541,$E2541))</f>
        <v/>
      </c>
      <c r="O2541" s="73" t="str">
        <f>IF($C2541="","",DATE(YEAR($C2541),MONTH($C2541),1))</f>
        <v/>
      </c>
      <c r="P2541" s="65" t="str">
        <f ca="1">IF($C2541="","",IF(AND($D2541="Gelir",$L2541&lt;&gt;"",$T2541=""),"TANIMSIZ BORÇLU",IF($T2541&lt;&gt;"",IF(OR($E2541="",$G2541&lt;=0),"EKSİK",IF($I2541="Evet","TAHAKKUK NAKİT OLAMAZ",IF($C2541&gt;TODAY(),"İLERİ TARİH","TAHAKKUK"))),IF(AND($D2541&lt;&gt;"",$E2541&lt;&gt;"",$G2541&gt;0,$H2541&lt;&gt;"",$I2541&lt;&gt;""),IF($C2541&gt;TODAY(),"İLERİ TARİH",IF(COUNTIF($W$7:$W$3001,$W2541)&gt;1,"MÜKERRER?",IF($AD2541&gt;0,"KAPALI DÖNEM",IF($I2541="Hayır","ÖDENECEK","UYGUN")))),"EKSİK"))))</f>
        <v/>
      </c>
      <c r="Q2541" s="2"/>
      <c r="R2541" s="2"/>
      <c r="S2541" s="1" t="str">
        <f t="shared" si="119"/>
        <v/>
      </c>
      <c r="T2541" s="1" t="str">
        <f>IF(OR($C2541="",$D2541&lt;&gt;"Gelir",$L2541=""),"",IFERROR(INDEX(MUSTERILER!$B$7:$B$156,MATCH($S2541,MUSTERILER!$T$7:$T$156,0)),""))</f>
        <v/>
      </c>
      <c r="U2541" s="1" t="str">
        <f>IF($T2541="","",$T2541&amp;"|"&amp;COUNTIFS($T$7:$T2541,$T2541))</f>
        <v/>
      </c>
      <c r="V2541" s="1">
        <f t="shared" si="120"/>
        <v>0</v>
      </c>
      <c r="W2541" s="1" t="str">
        <f t="shared" si="121"/>
        <v/>
      </c>
      <c r="X2541" s="1"/>
      <c r="Y2541" s="1"/>
      <c r="Z2541" s="1"/>
      <c r="AA2541" s="1"/>
      <c r="AB2541" s="1"/>
      <c r="AC2541" s="1"/>
      <c r="AD2541" s="1">
        <f>IF($C2541="",0,SUMPRODUCT((AY_SONU!$O$7:$O$42="Evet")*(AY_SONU!$B$7:$B$42=DATE(YEAR($C2541),MONTH($C2541),1))))</f>
        <v>0</v>
      </c>
      <c r="AE2541" s="1" t="str">
        <f>IF($E2541="","",$E2541&amp;"|"&amp;COUNTIFS($E$7:$E2541,$E2541))</f>
        <v/>
      </c>
    </row>
    <row r="2542" spans="1:31" ht="18" customHeight="1" x14ac:dyDescent="0.3">
      <c r="A2542" s="2"/>
      <c r="B2542" s="65" t="str">
        <f>IF($C2542="","","GG"&amp;TEXT(ROW()-6,"00000"))</f>
        <v/>
      </c>
      <c r="C2542" s="66"/>
      <c r="D2542" s="60"/>
      <c r="E2542" s="61"/>
      <c r="F2542" s="61"/>
      <c r="G2542" s="67"/>
      <c r="H2542" s="60"/>
      <c r="I2542" s="60"/>
      <c r="J2542" s="61"/>
      <c r="K2542" s="61"/>
      <c r="L2542" s="60"/>
      <c r="M2542" s="74" t="str">
        <f>IF($C2542="","",IF($D2542="Gider",$E2542,IF($L2542&lt;&gt;"",$L2542,$H2542)))</f>
        <v/>
      </c>
      <c r="N2542" s="74" t="str">
        <f>IF($C2542="","",IF($D2542="Gider",$H2542,$E2542))</f>
        <v/>
      </c>
      <c r="O2542" s="73" t="str">
        <f>IF($C2542="","",DATE(YEAR($C2542),MONTH($C2542),1))</f>
        <v/>
      </c>
      <c r="P2542" s="65" t="str">
        <f ca="1">IF($C2542="","",IF(AND($D2542="Gelir",$L2542&lt;&gt;"",$T2542=""),"TANIMSIZ BORÇLU",IF($T2542&lt;&gt;"",IF(OR($E2542="",$G2542&lt;=0),"EKSİK",IF($I2542="Evet","TAHAKKUK NAKİT OLAMAZ",IF($C2542&gt;TODAY(),"İLERİ TARİH","TAHAKKUK"))),IF(AND($D2542&lt;&gt;"",$E2542&lt;&gt;"",$G2542&gt;0,$H2542&lt;&gt;"",$I2542&lt;&gt;""),IF($C2542&gt;TODAY(),"İLERİ TARİH",IF(COUNTIF($W$7:$W$3001,$W2542)&gt;1,"MÜKERRER?",IF($AD2542&gt;0,"KAPALI DÖNEM",IF($I2542="Hayır","ÖDENECEK","UYGUN")))),"EKSİK"))))</f>
        <v/>
      </c>
      <c r="Q2542" s="2"/>
      <c r="R2542" s="2"/>
      <c r="S2542" s="1" t="str">
        <f t="shared" si="119"/>
        <v/>
      </c>
      <c r="T2542" s="1" t="str">
        <f>IF(OR($C2542="",$D2542&lt;&gt;"Gelir",$L2542=""),"",IFERROR(INDEX(MUSTERILER!$B$7:$B$156,MATCH($S2542,MUSTERILER!$T$7:$T$156,0)),""))</f>
        <v/>
      </c>
      <c r="U2542" s="1" t="str">
        <f>IF($T2542="","",$T2542&amp;"|"&amp;COUNTIFS($T$7:$T2542,$T2542))</f>
        <v/>
      </c>
      <c r="V2542" s="1">
        <f t="shared" si="120"/>
        <v>0</v>
      </c>
      <c r="W2542" s="1" t="str">
        <f t="shared" si="121"/>
        <v/>
      </c>
      <c r="X2542" s="1"/>
      <c r="Y2542" s="1"/>
      <c r="Z2542" s="1"/>
      <c r="AA2542" s="1"/>
      <c r="AB2542" s="1"/>
      <c r="AC2542" s="1"/>
      <c r="AD2542" s="1">
        <f>IF($C2542="",0,SUMPRODUCT((AY_SONU!$O$7:$O$42="Evet")*(AY_SONU!$B$7:$B$42=DATE(YEAR($C2542),MONTH($C2542),1))))</f>
        <v>0</v>
      </c>
      <c r="AE2542" s="1" t="str">
        <f>IF($E2542="","",$E2542&amp;"|"&amp;COUNTIFS($E$7:$E2542,$E2542))</f>
        <v/>
      </c>
    </row>
    <row r="2543" spans="1:31" ht="18" customHeight="1" x14ac:dyDescent="0.3">
      <c r="A2543" s="2"/>
      <c r="B2543" s="65" t="str">
        <f>IF($C2543="","","GG"&amp;TEXT(ROW()-6,"00000"))</f>
        <v/>
      </c>
      <c r="C2543" s="66"/>
      <c r="D2543" s="60"/>
      <c r="E2543" s="61"/>
      <c r="F2543" s="61"/>
      <c r="G2543" s="67"/>
      <c r="H2543" s="60"/>
      <c r="I2543" s="60"/>
      <c r="J2543" s="61"/>
      <c r="K2543" s="61"/>
      <c r="L2543" s="60"/>
      <c r="M2543" s="74" t="str">
        <f>IF($C2543="","",IF($D2543="Gider",$E2543,IF($L2543&lt;&gt;"",$L2543,$H2543)))</f>
        <v/>
      </c>
      <c r="N2543" s="74" t="str">
        <f>IF($C2543="","",IF($D2543="Gider",$H2543,$E2543))</f>
        <v/>
      </c>
      <c r="O2543" s="73" t="str">
        <f>IF($C2543="","",DATE(YEAR($C2543),MONTH($C2543),1))</f>
        <v/>
      </c>
      <c r="P2543" s="65" t="str">
        <f ca="1">IF($C2543="","",IF(AND($D2543="Gelir",$L2543&lt;&gt;"",$T2543=""),"TANIMSIZ BORÇLU",IF($T2543&lt;&gt;"",IF(OR($E2543="",$G2543&lt;=0),"EKSİK",IF($I2543="Evet","TAHAKKUK NAKİT OLAMAZ",IF($C2543&gt;TODAY(),"İLERİ TARİH","TAHAKKUK"))),IF(AND($D2543&lt;&gt;"",$E2543&lt;&gt;"",$G2543&gt;0,$H2543&lt;&gt;"",$I2543&lt;&gt;""),IF($C2543&gt;TODAY(),"İLERİ TARİH",IF(COUNTIF($W$7:$W$3001,$W2543)&gt;1,"MÜKERRER?",IF($AD2543&gt;0,"KAPALI DÖNEM",IF($I2543="Hayır","ÖDENECEK","UYGUN")))),"EKSİK"))))</f>
        <v/>
      </c>
      <c r="Q2543" s="2"/>
      <c r="R2543" s="2"/>
      <c r="S2543" s="1" t="str">
        <f t="shared" si="119"/>
        <v/>
      </c>
      <c r="T2543" s="1" t="str">
        <f>IF(OR($C2543="",$D2543&lt;&gt;"Gelir",$L2543=""),"",IFERROR(INDEX(MUSTERILER!$B$7:$B$156,MATCH($S2543,MUSTERILER!$T$7:$T$156,0)),""))</f>
        <v/>
      </c>
      <c r="U2543" s="1" t="str">
        <f>IF($T2543="","",$T2543&amp;"|"&amp;COUNTIFS($T$7:$T2543,$T2543))</f>
        <v/>
      </c>
      <c r="V2543" s="1">
        <f t="shared" si="120"/>
        <v>0</v>
      </c>
      <c r="W2543" s="1" t="str">
        <f t="shared" si="121"/>
        <v/>
      </c>
      <c r="X2543" s="1"/>
      <c r="Y2543" s="1"/>
      <c r="Z2543" s="1"/>
      <c r="AA2543" s="1"/>
      <c r="AB2543" s="1"/>
      <c r="AC2543" s="1"/>
      <c r="AD2543" s="1">
        <f>IF($C2543="",0,SUMPRODUCT((AY_SONU!$O$7:$O$42="Evet")*(AY_SONU!$B$7:$B$42=DATE(YEAR($C2543),MONTH($C2543),1))))</f>
        <v>0</v>
      </c>
      <c r="AE2543" s="1" t="str">
        <f>IF($E2543="","",$E2543&amp;"|"&amp;COUNTIFS($E$7:$E2543,$E2543))</f>
        <v/>
      </c>
    </row>
    <row r="2544" spans="1:31" ht="18" customHeight="1" x14ac:dyDescent="0.3">
      <c r="A2544" s="2"/>
      <c r="B2544" s="65" t="str">
        <f>IF($C2544="","","GG"&amp;TEXT(ROW()-6,"00000"))</f>
        <v/>
      </c>
      <c r="C2544" s="66"/>
      <c r="D2544" s="60"/>
      <c r="E2544" s="61"/>
      <c r="F2544" s="61"/>
      <c r="G2544" s="67"/>
      <c r="H2544" s="60"/>
      <c r="I2544" s="60"/>
      <c r="J2544" s="61"/>
      <c r="K2544" s="61"/>
      <c r="L2544" s="60"/>
      <c r="M2544" s="74" t="str">
        <f>IF($C2544="","",IF($D2544="Gider",$E2544,IF($L2544&lt;&gt;"",$L2544,$H2544)))</f>
        <v/>
      </c>
      <c r="N2544" s="74" t="str">
        <f>IF($C2544="","",IF($D2544="Gider",$H2544,$E2544))</f>
        <v/>
      </c>
      <c r="O2544" s="73" t="str">
        <f>IF($C2544="","",DATE(YEAR($C2544),MONTH($C2544),1))</f>
        <v/>
      </c>
      <c r="P2544" s="65" t="str">
        <f ca="1">IF($C2544="","",IF(AND($D2544="Gelir",$L2544&lt;&gt;"",$T2544=""),"TANIMSIZ BORÇLU",IF($T2544&lt;&gt;"",IF(OR($E2544="",$G2544&lt;=0),"EKSİK",IF($I2544="Evet","TAHAKKUK NAKİT OLAMAZ",IF($C2544&gt;TODAY(),"İLERİ TARİH","TAHAKKUK"))),IF(AND($D2544&lt;&gt;"",$E2544&lt;&gt;"",$G2544&gt;0,$H2544&lt;&gt;"",$I2544&lt;&gt;""),IF($C2544&gt;TODAY(),"İLERİ TARİH",IF(COUNTIF($W$7:$W$3001,$W2544)&gt;1,"MÜKERRER?",IF($AD2544&gt;0,"KAPALI DÖNEM",IF($I2544="Hayır","ÖDENECEK","UYGUN")))),"EKSİK"))))</f>
        <v/>
      </c>
      <c r="Q2544" s="2"/>
      <c r="R2544" s="2"/>
      <c r="S2544" s="1" t="str">
        <f t="shared" si="119"/>
        <v/>
      </c>
      <c r="T2544" s="1" t="str">
        <f>IF(OR($C2544="",$D2544&lt;&gt;"Gelir",$L2544=""),"",IFERROR(INDEX(MUSTERILER!$B$7:$B$156,MATCH($S2544,MUSTERILER!$T$7:$T$156,0)),""))</f>
        <v/>
      </c>
      <c r="U2544" s="1" t="str">
        <f>IF($T2544="","",$T2544&amp;"|"&amp;COUNTIFS($T$7:$T2544,$T2544))</f>
        <v/>
      </c>
      <c r="V2544" s="1">
        <f t="shared" si="120"/>
        <v>0</v>
      </c>
      <c r="W2544" s="1" t="str">
        <f t="shared" si="121"/>
        <v/>
      </c>
      <c r="X2544" s="1"/>
      <c r="Y2544" s="1"/>
      <c r="Z2544" s="1"/>
      <c r="AA2544" s="1"/>
      <c r="AB2544" s="1"/>
      <c r="AC2544" s="1"/>
      <c r="AD2544" s="1">
        <f>IF($C2544="",0,SUMPRODUCT((AY_SONU!$O$7:$O$42="Evet")*(AY_SONU!$B$7:$B$42=DATE(YEAR($C2544),MONTH($C2544),1))))</f>
        <v>0</v>
      </c>
      <c r="AE2544" s="1" t="str">
        <f>IF($E2544="","",$E2544&amp;"|"&amp;COUNTIFS($E$7:$E2544,$E2544))</f>
        <v/>
      </c>
    </row>
    <row r="2545" spans="1:31" ht="18" customHeight="1" x14ac:dyDescent="0.3">
      <c r="A2545" s="2"/>
      <c r="B2545" s="65" t="str">
        <f>IF($C2545="","","GG"&amp;TEXT(ROW()-6,"00000"))</f>
        <v/>
      </c>
      <c r="C2545" s="66"/>
      <c r="D2545" s="60"/>
      <c r="E2545" s="61"/>
      <c r="F2545" s="61"/>
      <c r="G2545" s="67"/>
      <c r="H2545" s="60"/>
      <c r="I2545" s="60"/>
      <c r="J2545" s="61"/>
      <c r="K2545" s="61"/>
      <c r="L2545" s="60"/>
      <c r="M2545" s="74" t="str">
        <f>IF($C2545="","",IF($D2545="Gider",$E2545,IF($L2545&lt;&gt;"",$L2545,$H2545)))</f>
        <v/>
      </c>
      <c r="N2545" s="74" t="str">
        <f>IF($C2545="","",IF($D2545="Gider",$H2545,$E2545))</f>
        <v/>
      </c>
      <c r="O2545" s="73" t="str">
        <f>IF($C2545="","",DATE(YEAR($C2545),MONTH($C2545),1))</f>
        <v/>
      </c>
      <c r="P2545" s="65" t="str">
        <f ca="1">IF($C2545="","",IF(AND($D2545="Gelir",$L2545&lt;&gt;"",$T2545=""),"TANIMSIZ BORÇLU",IF($T2545&lt;&gt;"",IF(OR($E2545="",$G2545&lt;=0),"EKSİK",IF($I2545="Evet","TAHAKKUK NAKİT OLAMAZ",IF($C2545&gt;TODAY(),"İLERİ TARİH","TAHAKKUK"))),IF(AND($D2545&lt;&gt;"",$E2545&lt;&gt;"",$G2545&gt;0,$H2545&lt;&gt;"",$I2545&lt;&gt;""),IF($C2545&gt;TODAY(),"İLERİ TARİH",IF(COUNTIF($W$7:$W$3001,$W2545)&gt;1,"MÜKERRER?",IF($AD2545&gt;0,"KAPALI DÖNEM",IF($I2545="Hayır","ÖDENECEK","UYGUN")))),"EKSİK"))))</f>
        <v/>
      </c>
      <c r="Q2545" s="2"/>
      <c r="R2545" s="2"/>
      <c r="S2545" s="1" t="str">
        <f t="shared" si="119"/>
        <v/>
      </c>
      <c r="T2545" s="1" t="str">
        <f>IF(OR($C2545="",$D2545&lt;&gt;"Gelir",$L2545=""),"",IFERROR(INDEX(MUSTERILER!$B$7:$B$156,MATCH($S2545,MUSTERILER!$T$7:$T$156,0)),""))</f>
        <v/>
      </c>
      <c r="U2545" s="1" t="str">
        <f>IF($T2545="","",$T2545&amp;"|"&amp;COUNTIFS($T$7:$T2545,$T2545))</f>
        <v/>
      </c>
      <c r="V2545" s="1">
        <f t="shared" si="120"/>
        <v>0</v>
      </c>
      <c r="W2545" s="1" t="str">
        <f t="shared" si="121"/>
        <v/>
      </c>
      <c r="X2545" s="1"/>
      <c r="Y2545" s="1"/>
      <c r="Z2545" s="1"/>
      <c r="AA2545" s="1"/>
      <c r="AB2545" s="1"/>
      <c r="AC2545" s="1"/>
      <c r="AD2545" s="1">
        <f>IF($C2545="",0,SUMPRODUCT((AY_SONU!$O$7:$O$42="Evet")*(AY_SONU!$B$7:$B$42=DATE(YEAR($C2545),MONTH($C2545),1))))</f>
        <v>0</v>
      </c>
      <c r="AE2545" s="1" t="str">
        <f>IF($E2545="","",$E2545&amp;"|"&amp;COUNTIFS($E$7:$E2545,$E2545))</f>
        <v/>
      </c>
    </row>
    <row r="2546" spans="1:31" ht="18" customHeight="1" x14ac:dyDescent="0.3">
      <c r="A2546" s="2"/>
      <c r="B2546" s="65" t="str">
        <f>IF($C2546="","","GG"&amp;TEXT(ROW()-6,"00000"))</f>
        <v/>
      </c>
      <c r="C2546" s="66"/>
      <c r="D2546" s="60"/>
      <c r="E2546" s="61"/>
      <c r="F2546" s="61"/>
      <c r="G2546" s="67"/>
      <c r="H2546" s="60"/>
      <c r="I2546" s="60"/>
      <c r="J2546" s="61"/>
      <c r="K2546" s="61"/>
      <c r="L2546" s="60"/>
      <c r="M2546" s="74" t="str">
        <f>IF($C2546="","",IF($D2546="Gider",$E2546,IF($L2546&lt;&gt;"",$L2546,$H2546)))</f>
        <v/>
      </c>
      <c r="N2546" s="74" t="str">
        <f>IF($C2546="","",IF($D2546="Gider",$H2546,$E2546))</f>
        <v/>
      </c>
      <c r="O2546" s="73" t="str">
        <f>IF($C2546="","",DATE(YEAR($C2546),MONTH($C2546),1))</f>
        <v/>
      </c>
      <c r="P2546" s="65" t="str">
        <f ca="1">IF($C2546="","",IF(AND($D2546="Gelir",$L2546&lt;&gt;"",$T2546=""),"TANIMSIZ BORÇLU",IF($T2546&lt;&gt;"",IF(OR($E2546="",$G2546&lt;=0),"EKSİK",IF($I2546="Evet","TAHAKKUK NAKİT OLAMAZ",IF($C2546&gt;TODAY(),"İLERİ TARİH","TAHAKKUK"))),IF(AND($D2546&lt;&gt;"",$E2546&lt;&gt;"",$G2546&gt;0,$H2546&lt;&gt;"",$I2546&lt;&gt;""),IF($C2546&gt;TODAY(),"İLERİ TARİH",IF(COUNTIF($W$7:$W$3001,$W2546)&gt;1,"MÜKERRER?",IF($AD2546&gt;0,"KAPALI DÖNEM",IF($I2546="Hayır","ÖDENECEK","UYGUN")))),"EKSİK"))))</f>
        <v/>
      </c>
      <c r="Q2546" s="2"/>
      <c r="R2546" s="2"/>
      <c r="S2546" s="1" t="str">
        <f t="shared" si="119"/>
        <v/>
      </c>
      <c r="T2546" s="1" t="str">
        <f>IF(OR($C2546="",$D2546&lt;&gt;"Gelir",$L2546=""),"",IFERROR(INDEX(MUSTERILER!$B$7:$B$156,MATCH($S2546,MUSTERILER!$T$7:$T$156,0)),""))</f>
        <v/>
      </c>
      <c r="U2546" s="1" t="str">
        <f>IF($T2546="","",$T2546&amp;"|"&amp;COUNTIFS($T$7:$T2546,$T2546))</f>
        <v/>
      </c>
      <c r="V2546" s="1">
        <f t="shared" si="120"/>
        <v>0</v>
      </c>
      <c r="W2546" s="1" t="str">
        <f t="shared" si="121"/>
        <v/>
      </c>
      <c r="X2546" s="1"/>
      <c r="Y2546" s="1"/>
      <c r="Z2546" s="1"/>
      <c r="AA2546" s="1"/>
      <c r="AB2546" s="1"/>
      <c r="AC2546" s="1"/>
      <c r="AD2546" s="1">
        <f>IF($C2546="",0,SUMPRODUCT((AY_SONU!$O$7:$O$42="Evet")*(AY_SONU!$B$7:$B$42=DATE(YEAR($C2546),MONTH($C2546),1))))</f>
        <v>0</v>
      </c>
      <c r="AE2546" s="1" t="str">
        <f>IF($E2546="","",$E2546&amp;"|"&amp;COUNTIFS($E$7:$E2546,$E2546))</f>
        <v/>
      </c>
    </row>
    <row r="2547" spans="1:31" ht="18" customHeight="1" x14ac:dyDescent="0.3">
      <c r="A2547" s="2"/>
      <c r="B2547" s="65" t="str">
        <f>IF($C2547="","","GG"&amp;TEXT(ROW()-6,"00000"))</f>
        <v/>
      </c>
      <c r="C2547" s="66"/>
      <c r="D2547" s="60"/>
      <c r="E2547" s="61"/>
      <c r="F2547" s="61"/>
      <c r="G2547" s="67"/>
      <c r="H2547" s="60"/>
      <c r="I2547" s="60"/>
      <c r="J2547" s="61"/>
      <c r="K2547" s="61"/>
      <c r="L2547" s="60"/>
      <c r="M2547" s="74" t="str">
        <f>IF($C2547="","",IF($D2547="Gider",$E2547,IF($L2547&lt;&gt;"",$L2547,$H2547)))</f>
        <v/>
      </c>
      <c r="N2547" s="74" t="str">
        <f>IF($C2547="","",IF($D2547="Gider",$H2547,$E2547))</f>
        <v/>
      </c>
      <c r="O2547" s="73" t="str">
        <f>IF($C2547="","",DATE(YEAR($C2547),MONTH($C2547),1))</f>
        <v/>
      </c>
      <c r="P2547" s="65" t="str">
        <f ca="1">IF($C2547="","",IF(AND($D2547="Gelir",$L2547&lt;&gt;"",$T2547=""),"TANIMSIZ BORÇLU",IF($T2547&lt;&gt;"",IF(OR($E2547="",$G2547&lt;=0),"EKSİK",IF($I2547="Evet","TAHAKKUK NAKİT OLAMAZ",IF($C2547&gt;TODAY(),"İLERİ TARİH","TAHAKKUK"))),IF(AND($D2547&lt;&gt;"",$E2547&lt;&gt;"",$G2547&gt;0,$H2547&lt;&gt;"",$I2547&lt;&gt;""),IF($C2547&gt;TODAY(),"İLERİ TARİH",IF(COUNTIF($W$7:$W$3001,$W2547)&gt;1,"MÜKERRER?",IF($AD2547&gt;0,"KAPALI DÖNEM",IF($I2547="Hayır","ÖDENECEK","UYGUN")))),"EKSİK"))))</f>
        <v/>
      </c>
      <c r="Q2547" s="2"/>
      <c r="R2547" s="2"/>
      <c r="S2547" s="1" t="str">
        <f t="shared" si="119"/>
        <v/>
      </c>
      <c r="T2547" s="1" t="str">
        <f>IF(OR($C2547="",$D2547&lt;&gt;"Gelir",$L2547=""),"",IFERROR(INDEX(MUSTERILER!$B$7:$B$156,MATCH($S2547,MUSTERILER!$T$7:$T$156,0)),""))</f>
        <v/>
      </c>
      <c r="U2547" s="1" t="str">
        <f>IF($T2547="","",$T2547&amp;"|"&amp;COUNTIFS($T$7:$T2547,$T2547))</f>
        <v/>
      </c>
      <c r="V2547" s="1">
        <f t="shared" si="120"/>
        <v>0</v>
      </c>
      <c r="W2547" s="1" t="str">
        <f t="shared" si="121"/>
        <v/>
      </c>
      <c r="X2547" s="1"/>
      <c r="Y2547" s="1"/>
      <c r="Z2547" s="1"/>
      <c r="AA2547" s="1"/>
      <c r="AB2547" s="1"/>
      <c r="AC2547" s="1"/>
      <c r="AD2547" s="1">
        <f>IF($C2547="",0,SUMPRODUCT((AY_SONU!$O$7:$O$42="Evet")*(AY_SONU!$B$7:$B$42=DATE(YEAR($C2547),MONTH($C2547),1))))</f>
        <v>0</v>
      </c>
      <c r="AE2547" s="1" t="str">
        <f>IF($E2547="","",$E2547&amp;"|"&amp;COUNTIFS($E$7:$E2547,$E2547))</f>
        <v/>
      </c>
    </row>
    <row r="2548" spans="1:31" ht="18" customHeight="1" x14ac:dyDescent="0.3">
      <c r="A2548" s="2"/>
      <c r="B2548" s="65" t="str">
        <f>IF($C2548="","","GG"&amp;TEXT(ROW()-6,"00000"))</f>
        <v/>
      </c>
      <c r="C2548" s="66"/>
      <c r="D2548" s="60"/>
      <c r="E2548" s="61"/>
      <c r="F2548" s="61"/>
      <c r="G2548" s="67"/>
      <c r="H2548" s="60"/>
      <c r="I2548" s="60"/>
      <c r="J2548" s="61"/>
      <c r="K2548" s="61"/>
      <c r="L2548" s="60"/>
      <c r="M2548" s="74" t="str">
        <f>IF($C2548="","",IF($D2548="Gider",$E2548,IF($L2548&lt;&gt;"",$L2548,$H2548)))</f>
        <v/>
      </c>
      <c r="N2548" s="74" t="str">
        <f>IF($C2548="","",IF($D2548="Gider",$H2548,$E2548))</f>
        <v/>
      </c>
      <c r="O2548" s="73" t="str">
        <f>IF($C2548="","",DATE(YEAR($C2548),MONTH($C2548),1))</f>
        <v/>
      </c>
      <c r="P2548" s="65" t="str">
        <f ca="1">IF($C2548="","",IF(AND($D2548="Gelir",$L2548&lt;&gt;"",$T2548=""),"TANIMSIZ BORÇLU",IF($T2548&lt;&gt;"",IF(OR($E2548="",$G2548&lt;=0),"EKSİK",IF($I2548="Evet","TAHAKKUK NAKİT OLAMAZ",IF($C2548&gt;TODAY(),"İLERİ TARİH","TAHAKKUK"))),IF(AND($D2548&lt;&gt;"",$E2548&lt;&gt;"",$G2548&gt;0,$H2548&lt;&gt;"",$I2548&lt;&gt;""),IF($C2548&gt;TODAY(),"İLERİ TARİH",IF(COUNTIF($W$7:$W$3001,$W2548)&gt;1,"MÜKERRER?",IF($AD2548&gt;0,"KAPALI DÖNEM",IF($I2548="Hayır","ÖDENECEK","UYGUN")))),"EKSİK"))))</f>
        <v/>
      </c>
      <c r="Q2548" s="2"/>
      <c r="R2548" s="2"/>
      <c r="S2548" s="1" t="str">
        <f t="shared" si="119"/>
        <v/>
      </c>
      <c r="T2548" s="1" t="str">
        <f>IF(OR($C2548="",$D2548&lt;&gt;"Gelir",$L2548=""),"",IFERROR(INDEX(MUSTERILER!$B$7:$B$156,MATCH($S2548,MUSTERILER!$T$7:$T$156,0)),""))</f>
        <v/>
      </c>
      <c r="U2548" s="1" t="str">
        <f>IF($T2548="","",$T2548&amp;"|"&amp;COUNTIFS($T$7:$T2548,$T2548))</f>
        <v/>
      </c>
      <c r="V2548" s="1">
        <f t="shared" si="120"/>
        <v>0</v>
      </c>
      <c r="W2548" s="1" t="str">
        <f t="shared" si="121"/>
        <v/>
      </c>
      <c r="X2548" s="1"/>
      <c r="Y2548" s="1"/>
      <c r="Z2548" s="1"/>
      <c r="AA2548" s="1"/>
      <c r="AB2548" s="1"/>
      <c r="AC2548" s="1"/>
      <c r="AD2548" s="1">
        <f>IF($C2548="",0,SUMPRODUCT((AY_SONU!$O$7:$O$42="Evet")*(AY_SONU!$B$7:$B$42=DATE(YEAR($C2548),MONTH($C2548),1))))</f>
        <v>0</v>
      </c>
      <c r="AE2548" s="1" t="str">
        <f>IF($E2548="","",$E2548&amp;"|"&amp;COUNTIFS($E$7:$E2548,$E2548))</f>
        <v/>
      </c>
    </row>
    <row r="2549" spans="1:31" ht="18" customHeight="1" x14ac:dyDescent="0.3">
      <c r="A2549" s="2"/>
      <c r="B2549" s="65" t="str">
        <f>IF($C2549="","","GG"&amp;TEXT(ROW()-6,"00000"))</f>
        <v/>
      </c>
      <c r="C2549" s="66"/>
      <c r="D2549" s="60"/>
      <c r="E2549" s="61"/>
      <c r="F2549" s="61"/>
      <c r="G2549" s="67"/>
      <c r="H2549" s="60"/>
      <c r="I2549" s="60"/>
      <c r="J2549" s="61"/>
      <c r="K2549" s="61"/>
      <c r="L2549" s="60"/>
      <c r="M2549" s="74" t="str">
        <f>IF($C2549="","",IF($D2549="Gider",$E2549,IF($L2549&lt;&gt;"",$L2549,$H2549)))</f>
        <v/>
      </c>
      <c r="N2549" s="74" t="str">
        <f>IF($C2549="","",IF($D2549="Gider",$H2549,$E2549))</f>
        <v/>
      </c>
      <c r="O2549" s="73" t="str">
        <f>IF($C2549="","",DATE(YEAR($C2549),MONTH($C2549),1))</f>
        <v/>
      </c>
      <c r="P2549" s="65" t="str">
        <f ca="1">IF($C2549="","",IF(AND($D2549="Gelir",$L2549&lt;&gt;"",$T2549=""),"TANIMSIZ BORÇLU",IF($T2549&lt;&gt;"",IF(OR($E2549="",$G2549&lt;=0),"EKSİK",IF($I2549="Evet","TAHAKKUK NAKİT OLAMAZ",IF($C2549&gt;TODAY(),"İLERİ TARİH","TAHAKKUK"))),IF(AND($D2549&lt;&gt;"",$E2549&lt;&gt;"",$G2549&gt;0,$H2549&lt;&gt;"",$I2549&lt;&gt;""),IF($C2549&gt;TODAY(),"İLERİ TARİH",IF(COUNTIF($W$7:$W$3001,$W2549)&gt;1,"MÜKERRER?",IF($AD2549&gt;0,"KAPALI DÖNEM",IF($I2549="Hayır","ÖDENECEK","UYGUN")))),"EKSİK"))))</f>
        <v/>
      </c>
      <c r="Q2549" s="2"/>
      <c r="R2549" s="2"/>
      <c r="S2549" s="1" t="str">
        <f t="shared" si="119"/>
        <v/>
      </c>
      <c r="T2549" s="1" t="str">
        <f>IF(OR($C2549="",$D2549&lt;&gt;"Gelir",$L2549=""),"",IFERROR(INDEX(MUSTERILER!$B$7:$B$156,MATCH($S2549,MUSTERILER!$T$7:$T$156,0)),""))</f>
        <v/>
      </c>
      <c r="U2549" s="1" t="str">
        <f>IF($T2549="","",$T2549&amp;"|"&amp;COUNTIFS($T$7:$T2549,$T2549))</f>
        <v/>
      </c>
      <c r="V2549" s="1">
        <f t="shared" si="120"/>
        <v>0</v>
      </c>
      <c r="W2549" s="1" t="str">
        <f t="shared" si="121"/>
        <v/>
      </c>
      <c r="X2549" s="1"/>
      <c r="Y2549" s="1"/>
      <c r="Z2549" s="1"/>
      <c r="AA2549" s="1"/>
      <c r="AB2549" s="1"/>
      <c r="AC2549" s="1"/>
      <c r="AD2549" s="1">
        <f>IF($C2549="",0,SUMPRODUCT((AY_SONU!$O$7:$O$42="Evet")*(AY_SONU!$B$7:$B$42=DATE(YEAR($C2549),MONTH($C2549),1))))</f>
        <v>0</v>
      </c>
      <c r="AE2549" s="1" t="str">
        <f>IF($E2549="","",$E2549&amp;"|"&amp;COUNTIFS($E$7:$E2549,$E2549))</f>
        <v/>
      </c>
    </row>
    <row r="2550" spans="1:31" ht="18" customHeight="1" x14ac:dyDescent="0.3">
      <c r="A2550" s="2"/>
      <c r="B2550" s="65" t="str">
        <f>IF($C2550="","","GG"&amp;TEXT(ROW()-6,"00000"))</f>
        <v/>
      </c>
      <c r="C2550" s="66"/>
      <c r="D2550" s="60"/>
      <c r="E2550" s="61"/>
      <c r="F2550" s="61"/>
      <c r="G2550" s="67"/>
      <c r="H2550" s="60"/>
      <c r="I2550" s="60"/>
      <c r="J2550" s="61"/>
      <c r="K2550" s="61"/>
      <c r="L2550" s="60"/>
      <c r="M2550" s="74" t="str">
        <f>IF($C2550="","",IF($D2550="Gider",$E2550,IF($L2550&lt;&gt;"",$L2550,$H2550)))</f>
        <v/>
      </c>
      <c r="N2550" s="74" t="str">
        <f>IF($C2550="","",IF($D2550="Gider",$H2550,$E2550))</f>
        <v/>
      </c>
      <c r="O2550" s="73" t="str">
        <f>IF($C2550="","",DATE(YEAR($C2550),MONTH($C2550),1))</f>
        <v/>
      </c>
      <c r="P2550" s="65" t="str">
        <f ca="1">IF($C2550="","",IF(AND($D2550="Gelir",$L2550&lt;&gt;"",$T2550=""),"TANIMSIZ BORÇLU",IF($T2550&lt;&gt;"",IF(OR($E2550="",$G2550&lt;=0),"EKSİK",IF($I2550="Evet","TAHAKKUK NAKİT OLAMAZ",IF($C2550&gt;TODAY(),"İLERİ TARİH","TAHAKKUK"))),IF(AND($D2550&lt;&gt;"",$E2550&lt;&gt;"",$G2550&gt;0,$H2550&lt;&gt;"",$I2550&lt;&gt;""),IF($C2550&gt;TODAY(),"İLERİ TARİH",IF(COUNTIF($W$7:$W$3001,$W2550)&gt;1,"MÜKERRER?",IF($AD2550&gt;0,"KAPALI DÖNEM",IF($I2550="Hayır","ÖDENECEK","UYGUN")))),"EKSİK"))))</f>
        <v/>
      </c>
      <c r="Q2550" s="2"/>
      <c r="R2550" s="2"/>
      <c r="S2550" s="1" t="str">
        <f t="shared" si="119"/>
        <v/>
      </c>
      <c r="T2550" s="1" t="str">
        <f>IF(OR($C2550="",$D2550&lt;&gt;"Gelir",$L2550=""),"",IFERROR(INDEX(MUSTERILER!$B$7:$B$156,MATCH($S2550,MUSTERILER!$T$7:$T$156,0)),""))</f>
        <v/>
      </c>
      <c r="U2550" s="1" t="str">
        <f>IF($T2550="","",$T2550&amp;"|"&amp;COUNTIFS($T$7:$T2550,$T2550))</f>
        <v/>
      </c>
      <c r="V2550" s="1">
        <f t="shared" si="120"/>
        <v>0</v>
      </c>
      <c r="W2550" s="1" t="str">
        <f t="shared" si="121"/>
        <v/>
      </c>
      <c r="X2550" s="1"/>
      <c r="Y2550" s="1"/>
      <c r="Z2550" s="1"/>
      <c r="AA2550" s="1"/>
      <c r="AB2550" s="1"/>
      <c r="AC2550" s="1"/>
      <c r="AD2550" s="1">
        <f>IF($C2550="",0,SUMPRODUCT((AY_SONU!$O$7:$O$42="Evet")*(AY_SONU!$B$7:$B$42=DATE(YEAR($C2550),MONTH($C2550),1))))</f>
        <v>0</v>
      </c>
      <c r="AE2550" s="1" t="str">
        <f>IF($E2550="","",$E2550&amp;"|"&amp;COUNTIFS($E$7:$E2550,$E2550))</f>
        <v/>
      </c>
    </row>
    <row r="2551" spans="1:31" ht="18" customHeight="1" x14ac:dyDescent="0.3">
      <c r="A2551" s="2"/>
      <c r="B2551" s="65" t="str">
        <f>IF($C2551="","","GG"&amp;TEXT(ROW()-6,"00000"))</f>
        <v/>
      </c>
      <c r="C2551" s="66"/>
      <c r="D2551" s="60"/>
      <c r="E2551" s="61"/>
      <c r="F2551" s="61"/>
      <c r="G2551" s="67"/>
      <c r="H2551" s="60"/>
      <c r="I2551" s="60"/>
      <c r="J2551" s="61"/>
      <c r="K2551" s="61"/>
      <c r="L2551" s="60"/>
      <c r="M2551" s="74" t="str">
        <f>IF($C2551="","",IF($D2551="Gider",$E2551,IF($L2551&lt;&gt;"",$L2551,$H2551)))</f>
        <v/>
      </c>
      <c r="N2551" s="74" t="str">
        <f>IF($C2551="","",IF($D2551="Gider",$H2551,$E2551))</f>
        <v/>
      </c>
      <c r="O2551" s="73" t="str">
        <f>IF($C2551="","",DATE(YEAR($C2551),MONTH($C2551),1))</f>
        <v/>
      </c>
      <c r="P2551" s="65" t="str">
        <f ca="1">IF($C2551="","",IF(AND($D2551="Gelir",$L2551&lt;&gt;"",$T2551=""),"TANIMSIZ BORÇLU",IF($T2551&lt;&gt;"",IF(OR($E2551="",$G2551&lt;=0),"EKSİK",IF($I2551="Evet","TAHAKKUK NAKİT OLAMAZ",IF($C2551&gt;TODAY(),"İLERİ TARİH","TAHAKKUK"))),IF(AND($D2551&lt;&gt;"",$E2551&lt;&gt;"",$G2551&gt;0,$H2551&lt;&gt;"",$I2551&lt;&gt;""),IF($C2551&gt;TODAY(),"İLERİ TARİH",IF(COUNTIF($W$7:$W$3001,$W2551)&gt;1,"MÜKERRER?",IF($AD2551&gt;0,"KAPALI DÖNEM",IF($I2551="Hayır","ÖDENECEK","UYGUN")))),"EKSİK"))))</f>
        <v/>
      </c>
      <c r="Q2551" s="2"/>
      <c r="R2551" s="2"/>
      <c r="S2551" s="1" t="str">
        <f t="shared" si="119"/>
        <v/>
      </c>
      <c r="T2551" s="1" t="str">
        <f>IF(OR($C2551="",$D2551&lt;&gt;"Gelir",$L2551=""),"",IFERROR(INDEX(MUSTERILER!$B$7:$B$156,MATCH($S2551,MUSTERILER!$T$7:$T$156,0)),""))</f>
        <v/>
      </c>
      <c r="U2551" s="1" t="str">
        <f>IF($T2551="","",$T2551&amp;"|"&amp;COUNTIFS($T$7:$T2551,$T2551))</f>
        <v/>
      </c>
      <c r="V2551" s="1">
        <f t="shared" si="120"/>
        <v>0</v>
      </c>
      <c r="W2551" s="1" t="str">
        <f t="shared" si="121"/>
        <v/>
      </c>
      <c r="X2551" s="1"/>
      <c r="Y2551" s="1"/>
      <c r="Z2551" s="1"/>
      <c r="AA2551" s="1"/>
      <c r="AB2551" s="1"/>
      <c r="AC2551" s="1"/>
      <c r="AD2551" s="1">
        <f>IF($C2551="",0,SUMPRODUCT((AY_SONU!$O$7:$O$42="Evet")*(AY_SONU!$B$7:$B$42=DATE(YEAR($C2551),MONTH($C2551),1))))</f>
        <v>0</v>
      </c>
      <c r="AE2551" s="1" t="str">
        <f>IF($E2551="","",$E2551&amp;"|"&amp;COUNTIFS($E$7:$E2551,$E2551))</f>
        <v/>
      </c>
    </row>
    <row r="2552" spans="1:31" ht="18" customHeight="1" x14ac:dyDescent="0.3">
      <c r="A2552" s="2"/>
      <c r="B2552" s="65" t="str">
        <f>IF($C2552="","","GG"&amp;TEXT(ROW()-6,"00000"))</f>
        <v/>
      </c>
      <c r="C2552" s="66"/>
      <c r="D2552" s="60"/>
      <c r="E2552" s="61"/>
      <c r="F2552" s="61"/>
      <c r="G2552" s="67"/>
      <c r="H2552" s="60"/>
      <c r="I2552" s="60"/>
      <c r="J2552" s="61"/>
      <c r="K2552" s="61"/>
      <c r="L2552" s="60"/>
      <c r="M2552" s="74" t="str">
        <f>IF($C2552="","",IF($D2552="Gider",$E2552,IF($L2552&lt;&gt;"",$L2552,$H2552)))</f>
        <v/>
      </c>
      <c r="N2552" s="74" t="str">
        <f>IF($C2552="","",IF($D2552="Gider",$H2552,$E2552))</f>
        <v/>
      </c>
      <c r="O2552" s="73" t="str">
        <f>IF($C2552="","",DATE(YEAR($C2552),MONTH($C2552),1))</f>
        <v/>
      </c>
      <c r="P2552" s="65" t="str">
        <f ca="1">IF($C2552="","",IF(AND($D2552="Gelir",$L2552&lt;&gt;"",$T2552=""),"TANIMSIZ BORÇLU",IF($T2552&lt;&gt;"",IF(OR($E2552="",$G2552&lt;=0),"EKSİK",IF($I2552="Evet","TAHAKKUK NAKİT OLAMAZ",IF($C2552&gt;TODAY(),"İLERİ TARİH","TAHAKKUK"))),IF(AND($D2552&lt;&gt;"",$E2552&lt;&gt;"",$G2552&gt;0,$H2552&lt;&gt;"",$I2552&lt;&gt;""),IF($C2552&gt;TODAY(),"İLERİ TARİH",IF(COUNTIF($W$7:$W$3001,$W2552)&gt;1,"MÜKERRER?",IF($AD2552&gt;0,"KAPALI DÖNEM",IF($I2552="Hayır","ÖDENECEK","UYGUN")))),"EKSİK"))))</f>
        <v/>
      </c>
      <c r="Q2552" s="2"/>
      <c r="R2552" s="2"/>
      <c r="S2552" s="1" t="str">
        <f t="shared" si="119"/>
        <v/>
      </c>
      <c r="T2552" s="1" t="str">
        <f>IF(OR($C2552="",$D2552&lt;&gt;"Gelir",$L2552=""),"",IFERROR(INDEX(MUSTERILER!$B$7:$B$156,MATCH($S2552,MUSTERILER!$T$7:$T$156,0)),""))</f>
        <v/>
      </c>
      <c r="U2552" s="1" t="str">
        <f>IF($T2552="","",$T2552&amp;"|"&amp;COUNTIFS($T$7:$T2552,$T2552))</f>
        <v/>
      </c>
      <c r="V2552" s="1">
        <f t="shared" si="120"/>
        <v>0</v>
      </c>
      <c r="W2552" s="1" t="str">
        <f t="shared" si="121"/>
        <v/>
      </c>
      <c r="X2552" s="1"/>
      <c r="Y2552" s="1"/>
      <c r="Z2552" s="1"/>
      <c r="AA2552" s="1"/>
      <c r="AB2552" s="1"/>
      <c r="AC2552" s="1"/>
      <c r="AD2552" s="1">
        <f>IF($C2552="",0,SUMPRODUCT((AY_SONU!$O$7:$O$42="Evet")*(AY_SONU!$B$7:$B$42=DATE(YEAR($C2552),MONTH($C2552),1))))</f>
        <v>0</v>
      </c>
      <c r="AE2552" s="1" t="str">
        <f>IF($E2552="","",$E2552&amp;"|"&amp;COUNTIFS($E$7:$E2552,$E2552))</f>
        <v/>
      </c>
    </row>
    <row r="2553" spans="1:31" ht="18" customHeight="1" x14ac:dyDescent="0.3">
      <c r="A2553" s="2"/>
      <c r="B2553" s="65" t="str">
        <f>IF($C2553="","","GG"&amp;TEXT(ROW()-6,"00000"))</f>
        <v/>
      </c>
      <c r="C2553" s="66"/>
      <c r="D2553" s="60"/>
      <c r="E2553" s="61"/>
      <c r="F2553" s="61"/>
      <c r="G2553" s="67"/>
      <c r="H2553" s="60"/>
      <c r="I2553" s="60"/>
      <c r="J2553" s="61"/>
      <c r="K2553" s="61"/>
      <c r="L2553" s="60"/>
      <c r="M2553" s="74" t="str">
        <f>IF($C2553="","",IF($D2553="Gider",$E2553,IF($L2553&lt;&gt;"",$L2553,$H2553)))</f>
        <v/>
      </c>
      <c r="N2553" s="74" t="str">
        <f>IF($C2553="","",IF($D2553="Gider",$H2553,$E2553))</f>
        <v/>
      </c>
      <c r="O2553" s="73" t="str">
        <f>IF($C2553="","",DATE(YEAR($C2553),MONTH($C2553),1))</f>
        <v/>
      </c>
      <c r="P2553" s="65" t="str">
        <f ca="1">IF($C2553="","",IF(AND($D2553="Gelir",$L2553&lt;&gt;"",$T2553=""),"TANIMSIZ BORÇLU",IF($T2553&lt;&gt;"",IF(OR($E2553="",$G2553&lt;=0),"EKSİK",IF($I2553="Evet","TAHAKKUK NAKİT OLAMAZ",IF($C2553&gt;TODAY(),"İLERİ TARİH","TAHAKKUK"))),IF(AND($D2553&lt;&gt;"",$E2553&lt;&gt;"",$G2553&gt;0,$H2553&lt;&gt;"",$I2553&lt;&gt;""),IF($C2553&gt;TODAY(),"İLERİ TARİH",IF(COUNTIF($W$7:$W$3001,$W2553)&gt;1,"MÜKERRER?",IF($AD2553&gt;0,"KAPALI DÖNEM",IF($I2553="Hayır","ÖDENECEK","UYGUN")))),"EKSİK"))))</f>
        <v/>
      </c>
      <c r="Q2553" s="2"/>
      <c r="R2553" s="2"/>
      <c r="S2553" s="1" t="str">
        <f t="shared" si="119"/>
        <v/>
      </c>
      <c r="T2553" s="1" t="str">
        <f>IF(OR($C2553="",$D2553&lt;&gt;"Gelir",$L2553=""),"",IFERROR(INDEX(MUSTERILER!$B$7:$B$156,MATCH($S2553,MUSTERILER!$T$7:$T$156,0)),""))</f>
        <v/>
      </c>
      <c r="U2553" s="1" t="str">
        <f>IF($T2553="","",$T2553&amp;"|"&amp;COUNTIFS($T$7:$T2553,$T2553))</f>
        <v/>
      </c>
      <c r="V2553" s="1">
        <f t="shared" si="120"/>
        <v>0</v>
      </c>
      <c r="W2553" s="1" t="str">
        <f t="shared" si="121"/>
        <v/>
      </c>
      <c r="X2553" s="1"/>
      <c r="Y2553" s="1"/>
      <c r="Z2553" s="1"/>
      <c r="AA2553" s="1"/>
      <c r="AB2553" s="1"/>
      <c r="AC2553" s="1"/>
      <c r="AD2553" s="1">
        <f>IF($C2553="",0,SUMPRODUCT((AY_SONU!$O$7:$O$42="Evet")*(AY_SONU!$B$7:$B$42=DATE(YEAR($C2553),MONTH($C2553),1))))</f>
        <v>0</v>
      </c>
      <c r="AE2553" s="1" t="str">
        <f>IF($E2553="","",$E2553&amp;"|"&amp;COUNTIFS($E$7:$E2553,$E2553))</f>
        <v/>
      </c>
    </row>
    <row r="2554" spans="1:31" ht="18" customHeight="1" x14ac:dyDescent="0.3">
      <c r="A2554" s="2"/>
      <c r="B2554" s="65" t="str">
        <f>IF($C2554="","","GG"&amp;TEXT(ROW()-6,"00000"))</f>
        <v/>
      </c>
      <c r="C2554" s="66"/>
      <c r="D2554" s="60"/>
      <c r="E2554" s="61"/>
      <c r="F2554" s="61"/>
      <c r="G2554" s="67"/>
      <c r="H2554" s="60"/>
      <c r="I2554" s="60"/>
      <c r="J2554" s="61"/>
      <c r="K2554" s="61"/>
      <c r="L2554" s="60"/>
      <c r="M2554" s="74" t="str">
        <f>IF($C2554="","",IF($D2554="Gider",$E2554,IF($L2554&lt;&gt;"",$L2554,$H2554)))</f>
        <v/>
      </c>
      <c r="N2554" s="74" t="str">
        <f>IF($C2554="","",IF($D2554="Gider",$H2554,$E2554))</f>
        <v/>
      </c>
      <c r="O2554" s="73" t="str">
        <f>IF($C2554="","",DATE(YEAR($C2554),MONTH($C2554),1))</f>
        <v/>
      </c>
      <c r="P2554" s="65" t="str">
        <f ca="1">IF($C2554="","",IF(AND($D2554="Gelir",$L2554&lt;&gt;"",$T2554=""),"TANIMSIZ BORÇLU",IF($T2554&lt;&gt;"",IF(OR($E2554="",$G2554&lt;=0),"EKSİK",IF($I2554="Evet","TAHAKKUK NAKİT OLAMAZ",IF($C2554&gt;TODAY(),"İLERİ TARİH","TAHAKKUK"))),IF(AND($D2554&lt;&gt;"",$E2554&lt;&gt;"",$G2554&gt;0,$H2554&lt;&gt;"",$I2554&lt;&gt;""),IF($C2554&gt;TODAY(),"İLERİ TARİH",IF(COUNTIF($W$7:$W$3001,$W2554)&gt;1,"MÜKERRER?",IF($AD2554&gt;0,"KAPALI DÖNEM",IF($I2554="Hayır","ÖDENECEK","UYGUN")))),"EKSİK"))))</f>
        <v/>
      </c>
      <c r="Q2554" s="2"/>
      <c r="R2554" s="2"/>
      <c r="S2554" s="1" t="str">
        <f t="shared" si="119"/>
        <v/>
      </c>
      <c r="T2554" s="1" t="str">
        <f>IF(OR($C2554="",$D2554&lt;&gt;"Gelir",$L2554=""),"",IFERROR(INDEX(MUSTERILER!$B$7:$B$156,MATCH($S2554,MUSTERILER!$T$7:$T$156,0)),""))</f>
        <v/>
      </c>
      <c r="U2554" s="1" t="str">
        <f>IF($T2554="","",$T2554&amp;"|"&amp;COUNTIFS($T$7:$T2554,$T2554))</f>
        <v/>
      </c>
      <c r="V2554" s="1">
        <f t="shared" si="120"/>
        <v>0</v>
      </c>
      <c r="W2554" s="1" t="str">
        <f t="shared" si="121"/>
        <v/>
      </c>
      <c r="X2554" s="1"/>
      <c r="Y2554" s="1"/>
      <c r="Z2554" s="1"/>
      <c r="AA2554" s="1"/>
      <c r="AB2554" s="1"/>
      <c r="AC2554" s="1"/>
      <c r="AD2554" s="1">
        <f>IF($C2554="",0,SUMPRODUCT((AY_SONU!$O$7:$O$42="Evet")*(AY_SONU!$B$7:$B$42=DATE(YEAR($C2554),MONTH($C2554),1))))</f>
        <v>0</v>
      </c>
      <c r="AE2554" s="1" t="str">
        <f>IF($E2554="","",$E2554&amp;"|"&amp;COUNTIFS($E$7:$E2554,$E2554))</f>
        <v/>
      </c>
    </row>
    <row r="2555" spans="1:31" ht="18" customHeight="1" x14ac:dyDescent="0.3">
      <c r="A2555" s="2"/>
      <c r="B2555" s="65" t="str">
        <f>IF($C2555="","","GG"&amp;TEXT(ROW()-6,"00000"))</f>
        <v/>
      </c>
      <c r="C2555" s="66"/>
      <c r="D2555" s="60"/>
      <c r="E2555" s="61"/>
      <c r="F2555" s="61"/>
      <c r="G2555" s="67"/>
      <c r="H2555" s="60"/>
      <c r="I2555" s="60"/>
      <c r="J2555" s="61"/>
      <c r="K2555" s="61"/>
      <c r="L2555" s="60"/>
      <c r="M2555" s="74" t="str">
        <f>IF($C2555="","",IF($D2555="Gider",$E2555,IF($L2555&lt;&gt;"",$L2555,$H2555)))</f>
        <v/>
      </c>
      <c r="N2555" s="74" t="str">
        <f>IF($C2555="","",IF($D2555="Gider",$H2555,$E2555))</f>
        <v/>
      </c>
      <c r="O2555" s="73" t="str">
        <f>IF($C2555="","",DATE(YEAR($C2555),MONTH($C2555),1))</f>
        <v/>
      </c>
      <c r="P2555" s="65" t="str">
        <f ca="1">IF($C2555="","",IF(AND($D2555="Gelir",$L2555&lt;&gt;"",$T2555=""),"TANIMSIZ BORÇLU",IF($T2555&lt;&gt;"",IF(OR($E2555="",$G2555&lt;=0),"EKSİK",IF($I2555="Evet","TAHAKKUK NAKİT OLAMAZ",IF($C2555&gt;TODAY(),"İLERİ TARİH","TAHAKKUK"))),IF(AND($D2555&lt;&gt;"",$E2555&lt;&gt;"",$G2555&gt;0,$H2555&lt;&gt;"",$I2555&lt;&gt;""),IF($C2555&gt;TODAY(),"İLERİ TARİH",IF(COUNTIF($W$7:$W$3001,$W2555)&gt;1,"MÜKERRER?",IF($AD2555&gt;0,"KAPALI DÖNEM",IF($I2555="Hayır","ÖDENECEK","UYGUN")))),"EKSİK"))))</f>
        <v/>
      </c>
      <c r="Q2555" s="2"/>
      <c r="R2555" s="2"/>
      <c r="S2555" s="1" t="str">
        <f t="shared" si="119"/>
        <v/>
      </c>
      <c r="T2555" s="1" t="str">
        <f>IF(OR($C2555="",$D2555&lt;&gt;"Gelir",$L2555=""),"",IFERROR(INDEX(MUSTERILER!$B$7:$B$156,MATCH($S2555,MUSTERILER!$T$7:$T$156,0)),""))</f>
        <v/>
      </c>
      <c r="U2555" s="1" t="str">
        <f>IF($T2555="","",$T2555&amp;"|"&amp;COUNTIFS($T$7:$T2555,$T2555))</f>
        <v/>
      </c>
      <c r="V2555" s="1">
        <f t="shared" si="120"/>
        <v>0</v>
      </c>
      <c r="W2555" s="1" t="str">
        <f t="shared" si="121"/>
        <v/>
      </c>
      <c r="X2555" s="1"/>
      <c r="Y2555" s="1"/>
      <c r="Z2555" s="1"/>
      <c r="AA2555" s="1"/>
      <c r="AB2555" s="1"/>
      <c r="AC2555" s="1"/>
      <c r="AD2555" s="1">
        <f>IF($C2555="",0,SUMPRODUCT((AY_SONU!$O$7:$O$42="Evet")*(AY_SONU!$B$7:$B$42=DATE(YEAR($C2555),MONTH($C2555),1))))</f>
        <v>0</v>
      </c>
      <c r="AE2555" s="1" t="str">
        <f>IF($E2555="","",$E2555&amp;"|"&amp;COUNTIFS($E$7:$E2555,$E2555))</f>
        <v/>
      </c>
    </row>
    <row r="2556" spans="1:31" ht="18" customHeight="1" x14ac:dyDescent="0.3">
      <c r="A2556" s="2"/>
      <c r="B2556" s="65" t="str">
        <f>IF($C2556="","","GG"&amp;TEXT(ROW()-6,"00000"))</f>
        <v/>
      </c>
      <c r="C2556" s="66"/>
      <c r="D2556" s="60"/>
      <c r="E2556" s="61"/>
      <c r="F2556" s="61"/>
      <c r="G2556" s="67"/>
      <c r="H2556" s="60"/>
      <c r="I2556" s="60"/>
      <c r="J2556" s="61"/>
      <c r="K2556" s="61"/>
      <c r="L2556" s="60"/>
      <c r="M2556" s="74" t="str">
        <f>IF($C2556="","",IF($D2556="Gider",$E2556,IF($L2556&lt;&gt;"",$L2556,$H2556)))</f>
        <v/>
      </c>
      <c r="N2556" s="74" t="str">
        <f>IF($C2556="","",IF($D2556="Gider",$H2556,$E2556))</f>
        <v/>
      </c>
      <c r="O2556" s="73" t="str">
        <f>IF($C2556="","",DATE(YEAR($C2556),MONTH($C2556),1))</f>
        <v/>
      </c>
      <c r="P2556" s="65" t="str">
        <f ca="1">IF($C2556="","",IF(AND($D2556="Gelir",$L2556&lt;&gt;"",$T2556=""),"TANIMSIZ BORÇLU",IF($T2556&lt;&gt;"",IF(OR($E2556="",$G2556&lt;=0),"EKSİK",IF($I2556="Evet","TAHAKKUK NAKİT OLAMAZ",IF($C2556&gt;TODAY(),"İLERİ TARİH","TAHAKKUK"))),IF(AND($D2556&lt;&gt;"",$E2556&lt;&gt;"",$G2556&gt;0,$H2556&lt;&gt;"",$I2556&lt;&gt;""),IF($C2556&gt;TODAY(),"İLERİ TARİH",IF(COUNTIF($W$7:$W$3001,$W2556)&gt;1,"MÜKERRER?",IF($AD2556&gt;0,"KAPALI DÖNEM",IF($I2556="Hayır","ÖDENECEK","UYGUN")))),"EKSİK"))))</f>
        <v/>
      </c>
      <c r="Q2556" s="2"/>
      <c r="R2556" s="2"/>
      <c r="S2556" s="1" t="str">
        <f t="shared" si="119"/>
        <v/>
      </c>
      <c r="T2556" s="1" t="str">
        <f>IF(OR($C2556="",$D2556&lt;&gt;"Gelir",$L2556=""),"",IFERROR(INDEX(MUSTERILER!$B$7:$B$156,MATCH($S2556,MUSTERILER!$T$7:$T$156,0)),""))</f>
        <v/>
      </c>
      <c r="U2556" s="1" t="str">
        <f>IF($T2556="","",$T2556&amp;"|"&amp;COUNTIFS($T$7:$T2556,$T2556))</f>
        <v/>
      </c>
      <c r="V2556" s="1">
        <f t="shared" si="120"/>
        <v>0</v>
      </c>
      <c r="W2556" s="1" t="str">
        <f t="shared" si="121"/>
        <v/>
      </c>
      <c r="X2556" s="1"/>
      <c r="Y2556" s="1"/>
      <c r="Z2556" s="1"/>
      <c r="AA2556" s="1"/>
      <c r="AB2556" s="1"/>
      <c r="AC2556" s="1"/>
      <c r="AD2556" s="1">
        <f>IF($C2556="",0,SUMPRODUCT((AY_SONU!$O$7:$O$42="Evet")*(AY_SONU!$B$7:$B$42=DATE(YEAR($C2556),MONTH($C2556),1))))</f>
        <v>0</v>
      </c>
      <c r="AE2556" s="1" t="str">
        <f>IF($E2556="","",$E2556&amp;"|"&amp;COUNTIFS($E$7:$E2556,$E2556))</f>
        <v/>
      </c>
    </row>
    <row r="2557" spans="1:31" ht="18" customHeight="1" x14ac:dyDescent="0.3">
      <c r="A2557" s="2"/>
      <c r="B2557" s="65" t="str">
        <f>IF($C2557="","","GG"&amp;TEXT(ROW()-6,"00000"))</f>
        <v/>
      </c>
      <c r="C2557" s="66"/>
      <c r="D2557" s="60"/>
      <c r="E2557" s="61"/>
      <c r="F2557" s="61"/>
      <c r="G2557" s="67"/>
      <c r="H2557" s="60"/>
      <c r="I2557" s="60"/>
      <c r="J2557" s="61"/>
      <c r="K2557" s="61"/>
      <c r="L2557" s="60"/>
      <c r="M2557" s="74" t="str">
        <f>IF($C2557="","",IF($D2557="Gider",$E2557,IF($L2557&lt;&gt;"",$L2557,$H2557)))</f>
        <v/>
      </c>
      <c r="N2557" s="74" t="str">
        <f>IF($C2557="","",IF($D2557="Gider",$H2557,$E2557))</f>
        <v/>
      </c>
      <c r="O2557" s="73" t="str">
        <f>IF($C2557="","",DATE(YEAR($C2557),MONTH($C2557),1))</f>
        <v/>
      </c>
      <c r="P2557" s="65" t="str">
        <f ca="1">IF($C2557="","",IF(AND($D2557="Gelir",$L2557&lt;&gt;"",$T2557=""),"TANIMSIZ BORÇLU",IF($T2557&lt;&gt;"",IF(OR($E2557="",$G2557&lt;=0),"EKSİK",IF($I2557="Evet","TAHAKKUK NAKİT OLAMAZ",IF($C2557&gt;TODAY(),"İLERİ TARİH","TAHAKKUK"))),IF(AND($D2557&lt;&gt;"",$E2557&lt;&gt;"",$G2557&gt;0,$H2557&lt;&gt;"",$I2557&lt;&gt;""),IF($C2557&gt;TODAY(),"İLERİ TARİH",IF(COUNTIF($W$7:$W$3001,$W2557)&gt;1,"MÜKERRER?",IF($AD2557&gt;0,"KAPALI DÖNEM",IF($I2557="Hayır","ÖDENECEK","UYGUN")))),"EKSİK"))))</f>
        <v/>
      </c>
      <c r="Q2557" s="2"/>
      <c r="R2557" s="2"/>
      <c r="S2557" s="1" t="str">
        <f t="shared" si="119"/>
        <v/>
      </c>
      <c r="T2557" s="1" t="str">
        <f>IF(OR($C2557="",$D2557&lt;&gt;"Gelir",$L2557=""),"",IFERROR(INDEX(MUSTERILER!$B$7:$B$156,MATCH($S2557,MUSTERILER!$T$7:$T$156,0)),""))</f>
        <v/>
      </c>
      <c r="U2557" s="1" t="str">
        <f>IF($T2557="","",$T2557&amp;"|"&amp;COUNTIFS($T$7:$T2557,$T2557))</f>
        <v/>
      </c>
      <c r="V2557" s="1">
        <f t="shared" si="120"/>
        <v>0</v>
      </c>
      <c r="W2557" s="1" t="str">
        <f t="shared" si="121"/>
        <v/>
      </c>
      <c r="X2557" s="1"/>
      <c r="Y2557" s="1"/>
      <c r="Z2557" s="1"/>
      <c r="AA2557" s="1"/>
      <c r="AB2557" s="1"/>
      <c r="AC2557" s="1"/>
      <c r="AD2557" s="1">
        <f>IF($C2557="",0,SUMPRODUCT((AY_SONU!$O$7:$O$42="Evet")*(AY_SONU!$B$7:$B$42=DATE(YEAR($C2557),MONTH($C2557),1))))</f>
        <v>0</v>
      </c>
      <c r="AE2557" s="1" t="str">
        <f>IF($E2557="","",$E2557&amp;"|"&amp;COUNTIFS($E$7:$E2557,$E2557))</f>
        <v/>
      </c>
    </row>
    <row r="2558" spans="1:31" ht="18" customHeight="1" x14ac:dyDescent="0.3">
      <c r="A2558" s="2"/>
      <c r="B2558" s="65" t="str">
        <f>IF($C2558="","","GG"&amp;TEXT(ROW()-6,"00000"))</f>
        <v/>
      </c>
      <c r="C2558" s="66"/>
      <c r="D2558" s="60"/>
      <c r="E2558" s="61"/>
      <c r="F2558" s="61"/>
      <c r="G2558" s="67"/>
      <c r="H2558" s="60"/>
      <c r="I2558" s="60"/>
      <c r="J2558" s="61"/>
      <c r="K2558" s="61"/>
      <c r="L2558" s="60"/>
      <c r="M2558" s="74" t="str">
        <f>IF($C2558="","",IF($D2558="Gider",$E2558,IF($L2558&lt;&gt;"",$L2558,$H2558)))</f>
        <v/>
      </c>
      <c r="N2558" s="74" t="str">
        <f>IF($C2558="","",IF($D2558="Gider",$H2558,$E2558))</f>
        <v/>
      </c>
      <c r="O2558" s="73" t="str">
        <f>IF($C2558="","",DATE(YEAR($C2558),MONTH($C2558),1))</f>
        <v/>
      </c>
      <c r="P2558" s="65" t="str">
        <f ca="1">IF($C2558="","",IF(AND($D2558="Gelir",$L2558&lt;&gt;"",$T2558=""),"TANIMSIZ BORÇLU",IF($T2558&lt;&gt;"",IF(OR($E2558="",$G2558&lt;=0),"EKSİK",IF($I2558="Evet","TAHAKKUK NAKİT OLAMAZ",IF($C2558&gt;TODAY(),"İLERİ TARİH","TAHAKKUK"))),IF(AND($D2558&lt;&gt;"",$E2558&lt;&gt;"",$G2558&gt;0,$H2558&lt;&gt;"",$I2558&lt;&gt;""),IF($C2558&gt;TODAY(),"İLERİ TARİH",IF(COUNTIF($W$7:$W$3001,$W2558)&gt;1,"MÜKERRER?",IF($AD2558&gt;0,"KAPALI DÖNEM",IF($I2558="Hayır","ÖDENECEK","UYGUN")))),"EKSİK"))))</f>
        <v/>
      </c>
      <c r="Q2558" s="2"/>
      <c r="R2558" s="2"/>
      <c r="S2558" s="1" t="str">
        <f t="shared" si="119"/>
        <v/>
      </c>
      <c r="T2558" s="1" t="str">
        <f>IF(OR($C2558="",$D2558&lt;&gt;"Gelir",$L2558=""),"",IFERROR(INDEX(MUSTERILER!$B$7:$B$156,MATCH($S2558,MUSTERILER!$T$7:$T$156,0)),""))</f>
        <v/>
      </c>
      <c r="U2558" s="1" t="str">
        <f>IF($T2558="","",$T2558&amp;"|"&amp;COUNTIFS($T$7:$T2558,$T2558))</f>
        <v/>
      </c>
      <c r="V2558" s="1">
        <f t="shared" si="120"/>
        <v>0</v>
      </c>
      <c r="W2558" s="1" t="str">
        <f t="shared" si="121"/>
        <v/>
      </c>
      <c r="X2558" s="1"/>
      <c r="Y2558" s="1"/>
      <c r="Z2558" s="1"/>
      <c r="AA2558" s="1"/>
      <c r="AB2558" s="1"/>
      <c r="AC2558" s="1"/>
      <c r="AD2558" s="1">
        <f>IF($C2558="",0,SUMPRODUCT((AY_SONU!$O$7:$O$42="Evet")*(AY_SONU!$B$7:$B$42=DATE(YEAR($C2558),MONTH($C2558),1))))</f>
        <v>0</v>
      </c>
      <c r="AE2558" s="1" t="str">
        <f>IF($E2558="","",$E2558&amp;"|"&amp;COUNTIFS($E$7:$E2558,$E2558))</f>
        <v/>
      </c>
    </row>
    <row r="2559" spans="1:31" ht="18" customHeight="1" x14ac:dyDescent="0.3">
      <c r="A2559" s="2"/>
      <c r="B2559" s="65" t="str">
        <f>IF($C2559="","","GG"&amp;TEXT(ROW()-6,"00000"))</f>
        <v/>
      </c>
      <c r="C2559" s="66"/>
      <c r="D2559" s="60"/>
      <c r="E2559" s="61"/>
      <c r="F2559" s="61"/>
      <c r="G2559" s="67"/>
      <c r="H2559" s="60"/>
      <c r="I2559" s="60"/>
      <c r="J2559" s="61"/>
      <c r="K2559" s="61"/>
      <c r="L2559" s="60"/>
      <c r="M2559" s="74" t="str">
        <f>IF($C2559="","",IF($D2559="Gider",$E2559,IF($L2559&lt;&gt;"",$L2559,$H2559)))</f>
        <v/>
      </c>
      <c r="N2559" s="74" t="str">
        <f>IF($C2559="","",IF($D2559="Gider",$H2559,$E2559))</f>
        <v/>
      </c>
      <c r="O2559" s="73" t="str">
        <f>IF($C2559="","",DATE(YEAR($C2559),MONTH($C2559),1))</f>
        <v/>
      </c>
      <c r="P2559" s="65" t="str">
        <f ca="1">IF($C2559="","",IF(AND($D2559="Gelir",$L2559&lt;&gt;"",$T2559=""),"TANIMSIZ BORÇLU",IF($T2559&lt;&gt;"",IF(OR($E2559="",$G2559&lt;=0),"EKSİK",IF($I2559="Evet","TAHAKKUK NAKİT OLAMAZ",IF($C2559&gt;TODAY(),"İLERİ TARİH","TAHAKKUK"))),IF(AND($D2559&lt;&gt;"",$E2559&lt;&gt;"",$G2559&gt;0,$H2559&lt;&gt;"",$I2559&lt;&gt;""),IF($C2559&gt;TODAY(),"İLERİ TARİH",IF(COUNTIF($W$7:$W$3001,$W2559)&gt;1,"MÜKERRER?",IF($AD2559&gt;0,"KAPALI DÖNEM",IF($I2559="Hayır","ÖDENECEK","UYGUN")))),"EKSİK"))))</f>
        <v/>
      </c>
      <c r="Q2559" s="2"/>
      <c r="R2559" s="2"/>
      <c r="S2559" s="1" t="str">
        <f t="shared" si="119"/>
        <v/>
      </c>
      <c r="T2559" s="1" t="str">
        <f>IF(OR($C2559="",$D2559&lt;&gt;"Gelir",$L2559=""),"",IFERROR(INDEX(MUSTERILER!$B$7:$B$156,MATCH($S2559,MUSTERILER!$T$7:$T$156,0)),""))</f>
        <v/>
      </c>
      <c r="U2559" s="1" t="str">
        <f>IF($T2559="","",$T2559&amp;"|"&amp;COUNTIFS($T$7:$T2559,$T2559))</f>
        <v/>
      </c>
      <c r="V2559" s="1">
        <f t="shared" si="120"/>
        <v>0</v>
      </c>
      <c r="W2559" s="1" t="str">
        <f t="shared" si="121"/>
        <v/>
      </c>
      <c r="X2559" s="1"/>
      <c r="Y2559" s="1"/>
      <c r="Z2559" s="1"/>
      <c r="AA2559" s="1"/>
      <c r="AB2559" s="1"/>
      <c r="AC2559" s="1"/>
      <c r="AD2559" s="1">
        <f>IF($C2559="",0,SUMPRODUCT((AY_SONU!$O$7:$O$42="Evet")*(AY_SONU!$B$7:$B$42=DATE(YEAR($C2559),MONTH($C2559),1))))</f>
        <v>0</v>
      </c>
      <c r="AE2559" s="1" t="str">
        <f>IF($E2559="","",$E2559&amp;"|"&amp;COUNTIFS($E$7:$E2559,$E2559))</f>
        <v/>
      </c>
    </row>
    <row r="2560" spans="1:31" ht="18" customHeight="1" x14ac:dyDescent="0.3">
      <c r="A2560" s="2"/>
      <c r="B2560" s="65" t="str">
        <f>IF($C2560="","","GG"&amp;TEXT(ROW()-6,"00000"))</f>
        <v/>
      </c>
      <c r="C2560" s="66"/>
      <c r="D2560" s="60"/>
      <c r="E2560" s="61"/>
      <c r="F2560" s="61"/>
      <c r="G2560" s="67"/>
      <c r="H2560" s="60"/>
      <c r="I2560" s="60"/>
      <c r="J2560" s="61"/>
      <c r="K2560" s="61"/>
      <c r="L2560" s="60"/>
      <c r="M2560" s="74" t="str">
        <f>IF($C2560="","",IF($D2560="Gider",$E2560,IF($L2560&lt;&gt;"",$L2560,$H2560)))</f>
        <v/>
      </c>
      <c r="N2560" s="74" t="str">
        <f>IF($C2560="","",IF($D2560="Gider",$H2560,$E2560))</f>
        <v/>
      </c>
      <c r="O2560" s="73" t="str">
        <f>IF($C2560="","",DATE(YEAR($C2560),MONTH($C2560),1))</f>
        <v/>
      </c>
      <c r="P2560" s="65" t="str">
        <f ca="1">IF($C2560="","",IF(AND($D2560="Gelir",$L2560&lt;&gt;"",$T2560=""),"TANIMSIZ BORÇLU",IF($T2560&lt;&gt;"",IF(OR($E2560="",$G2560&lt;=0),"EKSİK",IF($I2560="Evet","TAHAKKUK NAKİT OLAMAZ",IF($C2560&gt;TODAY(),"İLERİ TARİH","TAHAKKUK"))),IF(AND($D2560&lt;&gt;"",$E2560&lt;&gt;"",$G2560&gt;0,$H2560&lt;&gt;"",$I2560&lt;&gt;""),IF($C2560&gt;TODAY(),"İLERİ TARİH",IF(COUNTIF($W$7:$W$3001,$W2560)&gt;1,"MÜKERRER?",IF($AD2560&gt;0,"KAPALI DÖNEM",IF($I2560="Hayır","ÖDENECEK","UYGUN")))),"EKSİK"))))</f>
        <v/>
      </c>
      <c r="Q2560" s="2"/>
      <c r="R2560" s="2"/>
      <c r="S2560" s="1" t="str">
        <f t="shared" si="119"/>
        <v/>
      </c>
      <c r="T2560" s="1" t="str">
        <f>IF(OR($C2560="",$D2560&lt;&gt;"Gelir",$L2560=""),"",IFERROR(INDEX(MUSTERILER!$B$7:$B$156,MATCH($S2560,MUSTERILER!$T$7:$T$156,0)),""))</f>
        <v/>
      </c>
      <c r="U2560" s="1" t="str">
        <f>IF($T2560="","",$T2560&amp;"|"&amp;COUNTIFS($T$7:$T2560,$T2560))</f>
        <v/>
      </c>
      <c r="V2560" s="1">
        <f t="shared" si="120"/>
        <v>0</v>
      </c>
      <c r="W2560" s="1" t="str">
        <f t="shared" si="121"/>
        <v/>
      </c>
      <c r="X2560" s="1"/>
      <c r="Y2560" s="1"/>
      <c r="Z2560" s="1"/>
      <c r="AA2560" s="1"/>
      <c r="AB2560" s="1"/>
      <c r="AC2560" s="1"/>
      <c r="AD2560" s="1">
        <f>IF($C2560="",0,SUMPRODUCT((AY_SONU!$O$7:$O$42="Evet")*(AY_SONU!$B$7:$B$42=DATE(YEAR($C2560),MONTH($C2560),1))))</f>
        <v>0</v>
      </c>
      <c r="AE2560" s="1" t="str">
        <f>IF($E2560="","",$E2560&amp;"|"&amp;COUNTIFS($E$7:$E2560,$E2560))</f>
        <v/>
      </c>
    </row>
    <row r="2561" spans="1:31" ht="18" customHeight="1" x14ac:dyDescent="0.3">
      <c r="A2561" s="2"/>
      <c r="B2561" s="65" t="str">
        <f>IF($C2561="","","GG"&amp;TEXT(ROW()-6,"00000"))</f>
        <v/>
      </c>
      <c r="C2561" s="66"/>
      <c r="D2561" s="60"/>
      <c r="E2561" s="61"/>
      <c r="F2561" s="61"/>
      <c r="G2561" s="67"/>
      <c r="H2561" s="60"/>
      <c r="I2561" s="60"/>
      <c r="J2561" s="61"/>
      <c r="K2561" s="61"/>
      <c r="L2561" s="60"/>
      <c r="M2561" s="74" t="str">
        <f>IF($C2561="","",IF($D2561="Gider",$E2561,IF($L2561&lt;&gt;"",$L2561,$H2561)))</f>
        <v/>
      </c>
      <c r="N2561" s="74" t="str">
        <f>IF($C2561="","",IF($D2561="Gider",$H2561,$E2561))</f>
        <v/>
      </c>
      <c r="O2561" s="73" t="str">
        <f>IF($C2561="","",DATE(YEAR($C2561),MONTH($C2561),1))</f>
        <v/>
      </c>
      <c r="P2561" s="65" t="str">
        <f ca="1">IF($C2561="","",IF(AND($D2561="Gelir",$L2561&lt;&gt;"",$T2561=""),"TANIMSIZ BORÇLU",IF($T2561&lt;&gt;"",IF(OR($E2561="",$G2561&lt;=0),"EKSİK",IF($I2561="Evet","TAHAKKUK NAKİT OLAMAZ",IF($C2561&gt;TODAY(),"İLERİ TARİH","TAHAKKUK"))),IF(AND($D2561&lt;&gt;"",$E2561&lt;&gt;"",$G2561&gt;0,$H2561&lt;&gt;"",$I2561&lt;&gt;""),IF($C2561&gt;TODAY(),"İLERİ TARİH",IF(COUNTIF($W$7:$W$3001,$W2561)&gt;1,"MÜKERRER?",IF($AD2561&gt;0,"KAPALI DÖNEM",IF($I2561="Hayır","ÖDENECEK","UYGUN")))),"EKSİK"))))</f>
        <v/>
      </c>
      <c r="Q2561" s="2"/>
      <c r="R2561" s="2"/>
      <c r="S2561" s="1" t="str">
        <f t="shared" si="119"/>
        <v/>
      </c>
      <c r="T2561" s="1" t="str">
        <f>IF(OR($C2561="",$D2561&lt;&gt;"Gelir",$L2561=""),"",IFERROR(INDEX(MUSTERILER!$B$7:$B$156,MATCH($S2561,MUSTERILER!$T$7:$T$156,0)),""))</f>
        <v/>
      </c>
      <c r="U2561" s="1" t="str">
        <f>IF($T2561="","",$T2561&amp;"|"&amp;COUNTIFS($T$7:$T2561,$T2561))</f>
        <v/>
      </c>
      <c r="V2561" s="1">
        <f t="shared" si="120"/>
        <v>0</v>
      </c>
      <c r="W2561" s="1" t="str">
        <f t="shared" si="121"/>
        <v/>
      </c>
      <c r="X2561" s="1"/>
      <c r="Y2561" s="1"/>
      <c r="Z2561" s="1"/>
      <c r="AA2561" s="1"/>
      <c r="AB2561" s="1"/>
      <c r="AC2561" s="1"/>
      <c r="AD2561" s="1">
        <f>IF($C2561="",0,SUMPRODUCT((AY_SONU!$O$7:$O$42="Evet")*(AY_SONU!$B$7:$B$42=DATE(YEAR($C2561),MONTH($C2561),1))))</f>
        <v>0</v>
      </c>
      <c r="AE2561" s="1" t="str">
        <f>IF($E2561="","",$E2561&amp;"|"&amp;COUNTIFS($E$7:$E2561,$E2561))</f>
        <v/>
      </c>
    </row>
    <row r="2562" spans="1:31" ht="18" customHeight="1" x14ac:dyDescent="0.3">
      <c r="A2562" s="2"/>
      <c r="B2562" s="65" t="str">
        <f>IF($C2562="","","GG"&amp;TEXT(ROW()-6,"00000"))</f>
        <v/>
      </c>
      <c r="C2562" s="66"/>
      <c r="D2562" s="60"/>
      <c r="E2562" s="61"/>
      <c r="F2562" s="61"/>
      <c r="G2562" s="67"/>
      <c r="H2562" s="60"/>
      <c r="I2562" s="60"/>
      <c r="J2562" s="61"/>
      <c r="K2562" s="61"/>
      <c r="L2562" s="60"/>
      <c r="M2562" s="74" t="str">
        <f>IF($C2562="","",IF($D2562="Gider",$E2562,IF($L2562&lt;&gt;"",$L2562,$H2562)))</f>
        <v/>
      </c>
      <c r="N2562" s="74" t="str">
        <f>IF($C2562="","",IF($D2562="Gider",$H2562,$E2562))</f>
        <v/>
      </c>
      <c r="O2562" s="73" t="str">
        <f>IF($C2562="","",DATE(YEAR($C2562),MONTH($C2562),1))</f>
        <v/>
      </c>
      <c r="P2562" s="65" t="str">
        <f ca="1">IF($C2562="","",IF(AND($D2562="Gelir",$L2562&lt;&gt;"",$T2562=""),"TANIMSIZ BORÇLU",IF($T2562&lt;&gt;"",IF(OR($E2562="",$G2562&lt;=0),"EKSİK",IF($I2562="Evet","TAHAKKUK NAKİT OLAMAZ",IF($C2562&gt;TODAY(),"İLERİ TARİH","TAHAKKUK"))),IF(AND($D2562&lt;&gt;"",$E2562&lt;&gt;"",$G2562&gt;0,$H2562&lt;&gt;"",$I2562&lt;&gt;""),IF($C2562&gt;TODAY(),"İLERİ TARİH",IF(COUNTIF($W$7:$W$3001,$W2562)&gt;1,"MÜKERRER?",IF($AD2562&gt;0,"KAPALI DÖNEM",IF($I2562="Hayır","ÖDENECEK","UYGUN")))),"EKSİK"))))</f>
        <v/>
      </c>
      <c r="Q2562" s="2"/>
      <c r="R2562" s="2"/>
      <c r="S2562" s="1" t="str">
        <f t="shared" si="119"/>
        <v/>
      </c>
      <c r="T2562" s="1" t="str">
        <f>IF(OR($C2562="",$D2562&lt;&gt;"Gelir",$L2562=""),"",IFERROR(INDEX(MUSTERILER!$B$7:$B$156,MATCH($S2562,MUSTERILER!$T$7:$T$156,0)),""))</f>
        <v/>
      </c>
      <c r="U2562" s="1" t="str">
        <f>IF($T2562="","",$T2562&amp;"|"&amp;COUNTIFS($T$7:$T2562,$T2562))</f>
        <v/>
      </c>
      <c r="V2562" s="1">
        <f t="shared" si="120"/>
        <v>0</v>
      </c>
      <c r="W2562" s="1" t="str">
        <f t="shared" si="121"/>
        <v/>
      </c>
      <c r="X2562" s="1"/>
      <c r="Y2562" s="1"/>
      <c r="Z2562" s="1"/>
      <c r="AA2562" s="1"/>
      <c r="AB2562" s="1"/>
      <c r="AC2562" s="1"/>
      <c r="AD2562" s="1">
        <f>IF($C2562="",0,SUMPRODUCT((AY_SONU!$O$7:$O$42="Evet")*(AY_SONU!$B$7:$B$42=DATE(YEAR($C2562),MONTH($C2562),1))))</f>
        <v>0</v>
      </c>
      <c r="AE2562" s="1" t="str">
        <f>IF($E2562="","",$E2562&amp;"|"&amp;COUNTIFS($E$7:$E2562,$E2562))</f>
        <v/>
      </c>
    </row>
    <row r="2563" spans="1:31" ht="18" customHeight="1" x14ac:dyDescent="0.3">
      <c r="A2563" s="2"/>
      <c r="B2563" s="65" t="str">
        <f>IF($C2563="","","GG"&amp;TEXT(ROW()-6,"00000"))</f>
        <v/>
      </c>
      <c r="C2563" s="66"/>
      <c r="D2563" s="60"/>
      <c r="E2563" s="61"/>
      <c r="F2563" s="61"/>
      <c r="G2563" s="67"/>
      <c r="H2563" s="60"/>
      <c r="I2563" s="60"/>
      <c r="J2563" s="61"/>
      <c r="K2563" s="61"/>
      <c r="L2563" s="60"/>
      <c r="M2563" s="74" t="str">
        <f>IF($C2563="","",IF($D2563="Gider",$E2563,IF($L2563&lt;&gt;"",$L2563,$H2563)))</f>
        <v/>
      </c>
      <c r="N2563" s="74" t="str">
        <f>IF($C2563="","",IF($D2563="Gider",$H2563,$E2563))</f>
        <v/>
      </c>
      <c r="O2563" s="73" t="str">
        <f>IF($C2563="","",DATE(YEAR($C2563),MONTH($C2563),1))</f>
        <v/>
      </c>
      <c r="P2563" s="65" t="str">
        <f ca="1">IF($C2563="","",IF(AND($D2563="Gelir",$L2563&lt;&gt;"",$T2563=""),"TANIMSIZ BORÇLU",IF($T2563&lt;&gt;"",IF(OR($E2563="",$G2563&lt;=0),"EKSİK",IF($I2563="Evet","TAHAKKUK NAKİT OLAMAZ",IF($C2563&gt;TODAY(),"İLERİ TARİH","TAHAKKUK"))),IF(AND($D2563&lt;&gt;"",$E2563&lt;&gt;"",$G2563&gt;0,$H2563&lt;&gt;"",$I2563&lt;&gt;""),IF($C2563&gt;TODAY(),"İLERİ TARİH",IF(COUNTIF($W$7:$W$3001,$W2563)&gt;1,"MÜKERRER?",IF($AD2563&gt;0,"KAPALI DÖNEM",IF($I2563="Hayır","ÖDENECEK","UYGUN")))),"EKSİK"))))</f>
        <v/>
      </c>
      <c r="Q2563" s="2"/>
      <c r="R2563" s="2"/>
      <c r="S2563" s="1" t="str">
        <f t="shared" si="119"/>
        <v/>
      </c>
      <c r="T2563" s="1" t="str">
        <f>IF(OR($C2563="",$D2563&lt;&gt;"Gelir",$L2563=""),"",IFERROR(INDEX(MUSTERILER!$B$7:$B$156,MATCH($S2563,MUSTERILER!$T$7:$T$156,0)),""))</f>
        <v/>
      </c>
      <c r="U2563" s="1" t="str">
        <f>IF($T2563="","",$T2563&amp;"|"&amp;COUNTIFS($T$7:$T2563,$T2563))</f>
        <v/>
      </c>
      <c r="V2563" s="1">
        <f t="shared" si="120"/>
        <v>0</v>
      </c>
      <c r="W2563" s="1" t="str">
        <f t="shared" si="121"/>
        <v/>
      </c>
      <c r="X2563" s="1"/>
      <c r="Y2563" s="1"/>
      <c r="Z2563" s="1"/>
      <c r="AA2563" s="1"/>
      <c r="AB2563" s="1"/>
      <c r="AC2563" s="1"/>
      <c r="AD2563" s="1">
        <f>IF($C2563="",0,SUMPRODUCT((AY_SONU!$O$7:$O$42="Evet")*(AY_SONU!$B$7:$B$42=DATE(YEAR($C2563),MONTH($C2563),1))))</f>
        <v>0</v>
      </c>
      <c r="AE2563" s="1" t="str">
        <f>IF($E2563="","",$E2563&amp;"|"&amp;COUNTIFS($E$7:$E2563,$E2563))</f>
        <v/>
      </c>
    </row>
    <row r="2564" spans="1:31" ht="18" customHeight="1" x14ac:dyDescent="0.3">
      <c r="A2564" s="2"/>
      <c r="B2564" s="65" t="str">
        <f>IF($C2564="","","GG"&amp;TEXT(ROW()-6,"00000"))</f>
        <v/>
      </c>
      <c r="C2564" s="66"/>
      <c r="D2564" s="60"/>
      <c r="E2564" s="61"/>
      <c r="F2564" s="61"/>
      <c r="G2564" s="67"/>
      <c r="H2564" s="60"/>
      <c r="I2564" s="60"/>
      <c r="J2564" s="61"/>
      <c r="K2564" s="61"/>
      <c r="L2564" s="60"/>
      <c r="M2564" s="74" t="str">
        <f>IF($C2564="","",IF($D2564="Gider",$E2564,IF($L2564&lt;&gt;"",$L2564,$H2564)))</f>
        <v/>
      </c>
      <c r="N2564" s="74" t="str">
        <f>IF($C2564="","",IF($D2564="Gider",$H2564,$E2564))</f>
        <v/>
      </c>
      <c r="O2564" s="73" t="str">
        <f>IF($C2564="","",DATE(YEAR($C2564),MONTH($C2564),1))</f>
        <v/>
      </c>
      <c r="P2564" s="65" t="str">
        <f ca="1">IF($C2564="","",IF(AND($D2564="Gelir",$L2564&lt;&gt;"",$T2564=""),"TANIMSIZ BORÇLU",IF($T2564&lt;&gt;"",IF(OR($E2564="",$G2564&lt;=0),"EKSİK",IF($I2564="Evet","TAHAKKUK NAKİT OLAMAZ",IF($C2564&gt;TODAY(),"İLERİ TARİH","TAHAKKUK"))),IF(AND($D2564&lt;&gt;"",$E2564&lt;&gt;"",$G2564&gt;0,$H2564&lt;&gt;"",$I2564&lt;&gt;""),IF($C2564&gt;TODAY(),"İLERİ TARİH",IF(COUNTIF($W$7:$W$3001,$W2564)&gt;1,"MÜKERRER?",IF($AD2564&gt;0,"KAPALI DÖNEM",IF($I2564="Hayır","ÖDENECEK","UYGUN")))),"EKSİK"))))</f>
        <v/>
      </c>
      <c r="Q2564" s="2"/>
      <c r="R2564" s="2"/>
      <c r="S2564" s="1" t="str">
        <f t="shared" si="119"/>
        <v/>
      </c>
      <c r="T2564" s="1" t="str">
        <f>IF(OR($C2564="",$D2564&lt;&gt;"Gelir",$L2564=""),"",IFERROR(INDEX(MUSTERILER!$B$7:$B$156,MATCH($S2564,MUSTERILER!$T$7:$T$156,0)),""))</f>
        <v/>
      </c>
      <c r="U2564" s="1" t="str">
        <f>IF($T2564="","",$T2564&amp;"|"&amp;COUNTIFS($T$7:$T2564,$T2564))</f>
        <v/>
      </c>
      <c r="V2564" s="1">
        <f t="shared" si="120"/>
        <v>0</v>
      </c>
      <c r="W2564" s="1" t="str">
        <f t="shared" si="121"/>
        <v/>
      </c>
      <c r="X2564" s="1"/>
      <c r="Y2564" s="1"/>
      <c r="Z2564" s="1"/>
      <c r="AA2564" s="1"/>
      <c r="AB2564" s="1"/>
      <c r="AC2564" s="1"/>
      <c r="AD2564" s="1">
        <f>IF($C2564="",0,SUMPRODUCT((AY_SONU!$O$7:$O$42="Evet")*(AY_SONU!$B$7:$B$42=DATE(YEAR($C2564),MONTH($C2564),1))))</f>
        <v>0</v>
      </c>
      <c r="AE2564" s="1" t="str">
        <f>IF($E2564="","",$E2564&amp;"|"&amp;COUNTIFS($E$7:$E2564,$E2564))</f>
        <v/>
      </c>
    </row>
    <row r="2565" spans="1:31" ht="18" customHeight="1" x14ac:dyDescent="0.3">
      <c r="A2565" s="2"/>
      <c r="B2565" s="65" t="str">
        <f>IF($C2565="","","GG"&amp;TEXT(ROW()-6,"00000"))</f>
        <v/>
      </c>
      <c r="C2565" s="66"/>
      <c r="D2565" s="60"/>
      <c r="E2565" s="61"/>
      <c r="F2565" s="61"/>
      <c r="G2565" s="67"/>
      <c r="H2565" s="60"/>
      <c r="I2565" s="60"/>
      <c r="J2565" s="61"/>
      <c r="K2565" s="61"/>
      <c r="L2565" s="60"/>
      <c r="M2565" s="74" t="str">
        <f>IF($C2565="","",IF($D2565="Gider",$E2565,IF($L2565&lt;&gt;"",$L2565,$H2565)))</f>
        <v/>
      </c>
      <c r="N2565" s="74" t="str">
        <f>IF($C2565="","",IF($D2565="Gider",$H2565,$E2565))</f>
        <v/>
      </c>
      <c r="O2565" s="73" t="str">
        <f>IF($C2565="","",DATE(YEAR($C2565),MONTH($C2565),1))</f>
        <v/>
      </c>
      <c r="P2565" s="65" t="str">
        <f ca="1">IF($C2565="","",IF(AND($D2565="Gelir",$L2565&lt;&gt;"",$T2565=""),"TANIMSIZ BORÇLU",IF($T2565&lt;&gt;"",IF(OR($E2565="",$G2565&lt;=0),"EKSİK",IF($I2565="Evet","TAHAKKUK NAKİT OLAMAZ",IF($C2565&gt;TODAY(),"İLERİ TARİH","TAHAKKUK"))),IF(AND($D2565&lt;&gt;"",$E2565&lt;&gt;"",$G2565&gt;0,$H2565&lt;&gt;"",$I2565&lt;&gt;""),IF($C2565&gt;TODAY(),"İLERİ TARİH",IF(COUNTIF($W$7:$W$3001,$W2565)&gt;1,"MÜKERRER?",IF($AD2565&gt;0,"KAPALI DÖNEM",IF($I2565="Hayır","ÖDENECEK","UYGUN")))),"EKSİK"))))</f>
        <v/>
      </c>
      <c r="Q2565" s="2"/>
      <c r="R2565" s="2"/>
      <c r="S2565" s="1" t="str">
        <f t="shared" ref="S2565:S2628" si="122">IF($L2565="","",UPPER(SUBSTITUTE(SUBSTITUTE(SUBSTITUTE(SUBSTITUTE(SUBSTITUTE(SUBSTITUTE(SUBSTITUTE(SUBSTITUTE(SUBSTITUTE(SUBSTITUTE(SUBSTITUTE(SUBSTITUTE(SUBSTITUTE(SUBSTITUTE(SUBSTITUTE(SUBSTITUTE(SUBSTITUTE(SUBSTITUTE(TRIM($L2565),"'",""),"İ","I"),"ı","I"),"i","I"),"Ş","S"),"ş","S"),"Ğ","G"),"ğ","G"),"Ü","U"),"ü","U"),"Ö","O"),"ö","O"),"Ç","C"),"ç","C"),".",""),",","")," ",""),"-","")))</f>
        <v/>
      </c>
      <c r="T2565" s="1" t="str">
        <f>IF(OR($C2565="",$D2565&lt;&gt;"Gelir",$L2565=""),"",IFERROR(INDEX(MUSTERILER!$B$7:$B$156,MATCH($S2565,MUSTERILER!$T$7:$T$156,0)),""))</f>
        <v/>
      </c>
      <c r="U2565" s="1" t="str">
        <f>IF($T2565="","",$T2565&amp;"|"&amp;COUNTIFS($T$7:$T2565,$T2565))</f>
        <v/>
      </c>
      <c r="V2565" s="1">
        <f t="shared" ref="V2565:V2628" si="123">IF($T2565="",0,1)</f>
        <v>0</v>
      </c>
      <c r="W2565" s="1" t="str">
        <f t="shared" ref="W2565:W2628" si="124">IF($C2565="","",$D2565&amp;"|"&amp;$E2565&amp;"|"&amp;TEXT($C2565,"0")&amp;"|"&amp;TEXT($G2565,"0")&amp;"|"&amp;$F2565&amp;"|"&amp;$J2565)</f>
        <v/>
      </c>
      <c r="X2565" s="1"/>
      <c r="Y2565" s="1"/>
      <c r="Z2565" s="1"/>
      <c r="AA2565" s="1"/>
      <c r="AB2565" s="1"/>
      <c r="AC2565" s="1"/>
      <c r="AD2565" s="1">
        <f>IF($C2565="",0,SUMPRODUCT((AY_SONU!$O$7:$O$42="Evet")*(AY_SONU!$B$7:$B$42=DATE(YEAR($C2565),MONTH($C2565),1))))</f>
        <v>0</v>
      </c>
      <c r="AE2565" s="1" t="str">
        <f>IF($E2565="","",$E2565&amp;"|"&amp;COUNTIFS($E$7:$E2565,$E2565))</f>
        <v/>
      </c>
    </row>
    <row r="2566" spans="1:31" ht="18" customHeight="1" x14ac:dyDescent="0.3">
      <c r="A2566" s="2"/>
      <c r="B2566" s="65" t="str">
        <f>IF($C2566="","","GG"&amp;TEXT(ROW()-6,"00000"))</f>
        <v/>
      </c>
      <c r="C2566" s="66"/>
      <c r="D2566" s="60"/>
      <c r="E2566" s="61"/>
      <c r="F2566" s="61"/>
      <c r="G2566" s="67"/>
      <c r="H2566" s="60"/>
      <c r="I2566" s="60"/>
      <c r="J2566" s="61"/>
      <c r="K2566" s="61"/>
      <c r="L2566" s="60"/>
      <c r="M2566" s="74" t="str">
        <f>IF($C2566="","",IF($D2566="Gider",$E2566,IF($L2566&lt;&gt;"",$L2566,$H2566)))</f>
        <v/>
      </c>
      <c r="N2566" s="74" t="str">
        <f>IF($C2566="","",IF($D2566="Gider",$H2566,$E2566))</f>
        <v/>
      </c>
      <c r="O2566" s="73" t="str">
        <f>IF($C2566="","",DATE(YEAR($C2566),MONTH($C2566),1))</f>
        <v/>
      </c>
      <c r="P2566" s="65" t="str">
        <f ca="1">IF($C2566="","",IF(AND($D2566="Gelir",$L2566&lt;&gt;"",$T2566=""),"TANIMSIZ BORÇLU",IF($T2566&lt;&gt;"",IF(OR($E2566="",$G2566&lt;=0),"EKSİK",IF($I2566="Evet","TAHAKKUK NAKİT OLAMAZ",IF($C2566&gt;TODAY(),"İLERİ TARİH","TAHAKKUK"))),IF(AND($D2566&lt;&gt;"",$E2566&lt;&gt;"",$G2566&gt;0,$H2566&lt;&gt;"",$I2566&lt;&gt;""),IF($C2566&gt;TODAY(),"İLERİ TARİH",IF(COUNTIF($W$7:$W$3001,$W2566)&gt;1,"MÜKERRER?",IF($AD2566&gt;0,"KAPALI DÖNEM",IF($I2566="Hayır","ÖDENECEK","UYGUN")))),"EKSİK"))))</f>
        <v/>
      </c>
      <c r="Q2566" s="2"/>
      <c r="R2566" s="2"/>
      <c r="S2566" s="1" t="str">
        <f t="shared" si="122"/>
        <v/>
      </c>
      <c r="T2566" s="1" t="str">
        <f>IF(OR($C2566="",$D2566&lt;&gt;"Gelir",$L2566=""),"",IFERROR(INDEX(MUSTERILER!$B$7:$B$156,MATCH($S2566,MUSTERILER!$T$7:$T$156,0)),""))</f>
        <v/>
      </c>
      <c r="U2566" s="1" t="str">
        <f>IF($T2566="","",$T2566&amp;"|"&amp;COUNTIFS($T$7:$T2566,$T2566))</f>
        <v/>
      </c>
      <c r="V2566" s="1">
        <f t="shared" si="123"/>
        <v>0</v>
      </c>
      <c r="W2566" s="1" t="str">
        <f t="shared" si="124"/>
        <v/>
      </c>
      <c r="X2566" s="1"/>
      <c r="Y2566" s="1"/>
      <c r="Z2566" s="1"/>
      <c r="AA2566" s="1"/>
      <c r="AB2566" s="1"/>
      <c r="AC2566" s="1"/>
      <c r="AD2566" s="1">
        <f>IF($C2566="",0,SUMPRODUCT((AY_SONU!$O$7:$O$42="Evet")*(AY_SONU!$B$7:$B$42=DATE(YEAR($C2566),MONTH($C2566),1))))</f>
        <v>0</v>
      </c>
      <c r="AE2566" s="1" t="str">
        <f>IF($E2566="","",$E2566&amp;"|"&amp;COUNTIFS($E$7:$E2566,$E2566))</f>
        <v/>
      </c>
    </row>
    <row r="2567" spans="1:31" ht="18" customHeight="1" x14ac:dyDescent="0.3">
      <c r="A2567" s="2"/>
      <c r="B2567" s="65" t="str">
        <f>IF($C2567="","","GG"&amp;TEXT(ROW()-6,"00000"))</f>
        <v/>
      </c>
      <c r="C2567" s="66"/>
      <c r="D2567" s="60"/>
      <c r="E2567" s="61"/>
      <c r="F2567" s="61"/>
      <c r="G2567" s="67"/>
      <c r="H2567" s="60"/>
      <c r="I2567" s="60"/>
      <c r="J2567" s="61"/>
      <c r="K2567" s="61"/>
      <c r="L2567" s="60"/>
      <c r="M2567" s="74" t="str">
        <f>IF($C2567="","",IF($D2567="Gider",$E2567,IF($L2567&lt;&gt;"",$L2567,$H2567)))</f>
        <v/>
      </c>
      <c r="N2567" s="74" t="str">
        <f>IF($C2567="","",IF($D2567="Gider",$H2567,$E2567))</f>
        <v/>
      </c>
      <c r="O2567" s="73" t="str">
        <f>IF($C2567="","",DATE(YEAR($C2567),MONTH($C2567),1))</f>
        <v/>
      </c>
      <c r="P2567" s="65" t="str">
        <f ca="1"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TARİH",IF(COUNTIF($W$7:$W$3001,$W2567)&gt;1,"MÜKERRER?",IF($AD2567&gt;0,"KAPALI DÖNEM",IF($I2567="Hayır","ÖDENECEK","UYGUN")))),"EKSİK"))))</f>
        <v/>
      </c>
      <c r="Q2567" s="2"/>
      <c r="R2567" s="2"/>
      <c r="S2567" s="1" t="str">
        <f t="shared" si="122"/>
        <v/>
      </c>
      <c r="T2567" s="1" t="str">
        <f>IF(OR($C2567="",$D2567&lt;&gt;"Gelir",$L2567=""),"",IFERROR(INDEX(MUSTERILER!$B$7:$B$156,MATCH($S2567,MUSTERILER!$T$7:$T$156,0)),""))</f>
        <v/>
      </c>
      <c r="U2567" s="1" t="str">
        <f>IF($T2567="","",$T2567&amp;"|"&amp;COUNTIFS($T$7:$T2567,$T2567))</f>
        <v/>
      </c>
      <c r="V2567" s="1">
        <f t="shared" si="123"/>
        <v>0</v>
      </c>
      <c r="W2567" s="1" t="str">
        <f t="shared" si="124"/>
        <v/>
      </c>
      <c r="X2567" s="1"/>
      <c r="Y2567" s="1"/>
      <c r="Z2567" s="1"/>
      <c r="AA2567" s="1"/>
      <c r="AB2567" s="1"/>
      <c r="AC2567" s="1"/>
      <c r="AD2567" s="1">
        <f>IF($C2567="",0,SUMPRODUCT((AY_SONU!$O$7:$O$42="Evet")*(AY_SONU!$B$7:$B$42=DATE(YEAR($C2567),MONTH($C2567),1))))</f>
        <v>0</v>
      </c>
      <c r="AE2567" s="1" t="str">
        <f>IF($E2567="","",$E2567&amp;"|"&amp;COUNTIFS($E$7:$E2567,$E2567))</f>
        <v/>
      </c>
    </row>
    <row r="2568" spans="1:31" ht="18" customHeight="1" x14ac:dyDescent="0.3">
      <c r="A2568" s="2"/>
      <c r="B2568" s="65" t="str">
        <f>IF($C2568="","","GG"&amp;TEXT(ROW()-6,"00000"))</f>
        <v/>
      </c>
      <c r="C2568" s="66"/>
      <c r="D2568" s="60"/>
      <c r="E2568" s="61"/>
      <c r="F2568" s="61"/>
      <c r="G2568" s="67"/>
      <c r="H2568" s="60"/>
      <c r="I2568" s="60"/>
      <c r="J2568" s="61"/>
      <c r="K2568" s="61"/>
      <c r="L2568" s="60"/>
      <c r="M2568" s="74" t="str">
        <f>IF($C2568="","",IF($D2568="Gider",$E2568,IF($L2568&lt;&gt;"",$L2568,$H2568)))</f>
        <v/>
      </c>
      <c r="N2568" s="74" t="str">
        <f>IF($C2568="","",IF($D2568="Gider",$H2568,$E2568))</f>
        <v/>
      </c>
      <c r="O2568" s="73" t="str">
        <f>IF($C2568="","",DATE(YEAR($C2568),MONTH($C2568),1))</f>
        <v/>
      </c>
      <c r="P2568" s="65" t="str">
        <f ca="1">IF($C2568="","",IF(AND($D2568="Gelir",$L2568&lt;&gt;"",$T2568=""),"TANIMSIZ BORÇLU",IF($T2568&lt;&gt;"",IF(OR($E2568="",$G2568&lt;=0),"EKSİK",IF($I2568="Evet","TAHAKKUK NAKİT OLAMAZ",IF($C2568&gt;TODAY(),"İLERİ TARİH","TAHAKKUK"))),IF(AND($D2568&lt;&gt;"",$E2568&lt;&gt;"",$G2568&gt;0,$H2568&lt;&gt;"",$I2568&lt;&gt;""),IF($C2568&gt;TODAY(),"İLERİ TARİH",IF(COUNTIF($W$7:$W$3001,$W2568)&gt;1,"MÜKERRER?",IF($AD2568&gt;0,"KAPALI DÖNEM",IF($I2568="Hayır","ÖDENECEK","UYGUN")))),"EKSİK"))))</f>
        <v/>
      </c>
      <c r="Q2568" s="2"/>
      <c r="R2568" s="2"/>
      <c r="S2568" s="1" t="str">
        <f t="shared" si="122"/>
        <v/>
      </c>
      <c r="T2568" s="1" t="str">
        <f>IF(OR($C2568="",$D2568&lt;&gt;"Gelir",$L2568=""),"",IFERROR(INDEX(MUSTERILER!$B$7:$B$156,MATCH($S2568,MUSTERILER!$T$7:$T$156,0)),""))</f>
        <v/>
      </c>
      <c r="U2568" s="1" t="str">
        <f>IF($T2568="","",$T2568&amp;"|"&amp;COUNTIFS($T$7:$T2568,$T2568))</f>
        <v/>
      </c>
      <c r="V2568" s="1">
        <f t="shared" si="123"/>
        <v>0</v>
      </c>
      <c r="W2568" s="1" t="str">
        <f t="shared" si="124"/>
        <v/>
      </c>
      <c r="X2568" s="1"/>
      <c r="Y2568" s="1"/>
      <c r="Z2568" s="1"/>
      <c r="AA2568" s="1"/>
      <c r="AB2568" s="1"/>
      <c r="AC2568" s="1"/>
      <c r="AD2568" s="1">
        <f>IF($C2568="",0,SUMPRODUCT((AY_SONU!$O$7:$O$42="Evet")*(AY_SONU!$B$7:$B$42=DATE(YEAR($C2568),MONTH($C2568),1))))</f>
        <v>0</v>
      </c>
      <c r="AE2568" s="1" t="str">
        <f>IF($E2568="","",$E2568&amp;"|"&amp;COUNTIFS($E$7:$E2568,$E2568))</f>
        <v/>
      </c>
    </row>
    <row r="2569" spans="1:31" ht="18" customHeight="1" x14ac:dyDescent="0.3">
      <c r="A2569" s="2"/>
      <c r="B2569" s="65" t="str">
        <f>IF($C2569="","","GG"&amp;TEXT(ROW()-6,"00000"))</f>
        <v/>
      </c>
      <c r="C2569" s="66"/>
      <c r="D2569" s="60"/>
      <c r="E2569" s="61"/>
      <c r="F2569" s="61"/>
      <c r="G2569" s="67"/>
      <c r="H2569" s="60"/>
      <c r="I2569" s="60"/>
      <c r="J2569" s="61"/>
      <c r="K2569" s="61"/>
      <c r="L2569" s="60"/>
      <c r="M2569" s="74" t="str">
        <f>IF($C2569="","",IF($D2569="Gider",$E2569,IF($L2569&lt;&gt;"",$L2569,$H2569)))</f>
        <v/>
      </c>
      <c r="N2569" s="74" t="str">
        <f>IF($C2569="","",IF($D2569="Gider",$H2569,$E2569))</f>
        <v/>
      </c>
      <c r="O2569" s="73" t="str">
        <f>IF($C2569="","",DATE(YEAR($C2569),MONTH($C2569),1))</f>
        <v/>
      </c>
      <c r="P2569" s="65" t="str">
        <f ca="1">IF($C2569="","",IF(AND($D2569="Gelir",$L2569&lt;&gt;"",$T2569=""),"TANIMSIZ BORÇLU",IF($T2569&lt;&gt;"",IF(OR($E2569="",$G2569&lt;=0),"EKSİK",IF($I2569="Evet","TAHAKKUK NAKİT OLAMAZ",IF($C2569&gt;TODAY(),"İLERİ TARİH","TAHAKKUK"))),IF(AND($D2569&lt;&gt;"",$E2569&lt;&gt;"",$G2569&gt;0,$H2569&lt;&gt;"",$I2569&lt;&gt;""),IF($C2569&gt;TODAY(),"İLERİ TARİH",IF(COUNTIF($W$7:$W$3001,$W2569)&gt;1,"MÜKERRER?",IF($AD2569&gt;0,"KAPALI DÖNEM",IF($I2569="Hayır","ÖDENECEK","UYGUN")))),"EKSİK"))))</f>
        <v/>
      </c>
      <c r="Q2569" s="2"/>
      <c r="R2569" s="2"/>
      <c r="S2569" s="1" t="str">
        <f t="shared" si="122"/>
        <v/>
      </c>
      <c r="T2569" s="1" t="str">
        <f>IF(OR($C2569="",$D2569&lt;&gt;"Gelir",$L2569=""),"",IFERROR(INDEX(MUSTERILER!$B$7:$B$156,MATCH($S2569,MUSTERILER!$T$7:$T$156,0)),""))</f>
        <v/>
      </c>
      <c r="U2569" s="1" t="str">
        <f>IF($T2569="","",$T2569&amp;"|"&amp;COUNTIFS($T$7:$T2569,$T2569))</f>
        <v/>
      </c>
      <c r="V2569" s="1">
        <f t="shared" si="123"/>
        <v>0</v>
      </c>
      <c r="W2569" s="1" t="str">
        <f t="shared" si="124"/>
        <v/>
      </c>
      <c r="X2569" s="1"/>
      <c r="Y2569" s="1"/>
      <c r="Z2569" s="1"/>
      <c r="AA2569" s="1"/>
      <c r="AB2569" s="1"/>
      <c r="AC2569" s="1"/>
      <c r="AD2569" s="1">
        <f>IF($C2569="",0,SUMPRODUCT((AY_SONU!$O$7:$O$42="Evet")*(AY_SONU!$B$7:$B$42=DATE(YEAR($C2569),MONTH($C2569),1))))</f>
        <v>0</v>
      </c>
      <c r="AE2569" s="1" t="str">
        <f>IF($E2569="","",$E2569&amp;"|"&amp;COUNTIFS($E$7:$E2569,$E2569))</f>
        <v/>
      </c>
    </row>
    <row r="2570" spans="1:31" ht="18" customHeight="1" x14ac:dyDescent="0.3">
      <c r="A2570" s="2"/>
      <c r="B2570" s="65" t="str">
        <f>IF($C2570="","","GG"&amp;TEXT(ROW()-6,"00000"))</f>
        <v/>
      </c>
      <c r="C2570" s="66"/>
      <c r="D2570" s="60"/>
      <c r="E2570" s="61"/>
      <c r="F2570" s="61"/>
      <c r="G2570" s="67"/>
      <c r="H2570" s="60"/>
      <c r="I2570" s="60"/>
      <c r="J2570" s="61"/>
      <c r="K2570" s="61"/>
      <c r="L2570" s="60"/>
      <c r="M2570" s="74" t="str">
        <f>IF($C2570="","",IF($D2570="Gider",$E2570,IF($L2570&lt;&gt;"",$L2570,$H2570)))</f>
        <v/>
      </c>
      <c r="N2570" s="74" t="str">
        <f>IF($C2570="","",IF($D2570="Gider",$H2570,$E2570))</f>
        <v/>
      </c>
      <c r="O2570" s="73" t="str">
        <f>IF($C2570="","",DATE(YEAR($C2570),MONTH($C2570),1))</f>
        <v/>
      </c>
      <c r="P2570" s="65" t="str">
        <f ca="1">IF($C2570="","",IF(AND($D2570="Gelir",$L2570&lt;&gt;"",$T2570=""),"TANIMSIZ BORÇLU",IF($T2570&lt;&gt;"",IF(OR($E2570="",$G2570&lt;=0),"EKSİK",IF($I2570="Evet","TAHAKKUK NAKİT OLAMAZ",IF($C2570&gt;TODAY(),"İLERİ TARİH","TAHAKKUK"))),IF(AND($D2570&lt;&gt;"",$E2570&lt;&gt;"",$G2570&gt;0,$H2570&lt;&gt;"",$I2570&lt;&gt;""),IF($C2570&gt;TODAY(),"İLERİ TARİH",IF(COUNTIF($W$7:$W$3001,$W2570)&gt;1,"MÜKERRER?",IF($AD2570&gt;0,"KAPALI DÖNEM",IF($I2570="Hayır","ÖDENECEK","UYGUN")))),"EKSİK"))))</f>
        <v/>
      </c>
      <c r="Q2570" s="2"/>
      <c r="R2570" s="2"/>
      <c r="S2570" s="1" t="str">
        <f t="shared" si="122"/>
        <v/>
      </c>
      <c r="T2570" s="1" t="str">
        <f>IF(OR($C2570="",$D2570&lt;&gt;"Gelir",$L2570=""),"",IFERROR(INDEX(MUSTERILER!$B$7:$B$156,MATCH($S2570,MUSTERILER!$T$7:$T$156,0)),""))</f>
        <v/>
      </c>
      <c r="U2570" s="1" t="str">
        <f>IF($T2570="","",$T2570&amp;"|"&amp;COUNTIFS($T$7:$T2570,$T2570))</f>
        <v/>
      </c>
      <c r="V2570" s="1">
        <f t="shared" si="123"/>
        <v>0</v>
      </c>
      <c r="W2570" s="1" t="str">
        <f t="shared" si="124"/>
        <v/>
      </c>
      <c r="X2570" s="1"/>
      <c r="Y2570" s="1"/>
      <c r="Z2570" s="1"/>
      <c r="AA2570" s="1"/>
      <c r="AB2570" s="1"/>
      <c r="AC2570" s="1"/>
      <c r="AD2570" s="1">
        <f>IF($C2570="",0,SUMPRODUCT((AY_SONU!$O$7:$O$42="Evet")*(AY_SONU!$B$7:$B$42=DATE(YEAR($C2570),MONTH($C2570),1))))</f>
        <v>0</v>
      </c>
      <c r="AE2570" s="1" t="str">
        <f>IF($E2570="","",$E2570&amp;"|"&amp;COUNTIFS($E$7:$E2570,$E2570))</f>
        <v/>
      </c>
    </row>
    <row r="2571" spans="1:31" ht="18" customHeight="1" x14ac:dyDescent="0.3">
      <c r="A2571" s="2"/>
      <c r="B2571" s="65" t="str">
        <f>IF($C2571="","","GG"&amp;TEXT(ROW()-6,"00000"))</f>
        <v/>
      </c>
      <c r="C2571" s="66"/>
      <c r="D2571" s="60"/>
      <c r="E2571" s="61"/>
      <c r="F2571" s="61"/>
      <c r="G2571" s="67"/>
      <c r="H2571" s="60"/>
      <c r="I2571" s="60"/>
      <c r="J2571" s="61"/>
      <c r="K2571" s="61"/>
      <c r="L2571" s="60"/>
      <c r="M2571" s="74" t="str">
        <f>IF($C2571="","",IF($D2571="Gider",$E2571,IF($L2571&lt;&gt;"",$L2571,$H2571)))</f>
        <v/>
      </c>
      <c r="N2571" s="74" t="str">
        <f>IF($C2571="","",IF($D2571="Gider",$H2571,$E2571))</f>
        <v/>
      </c>
      <c r="O2571" s="73" t="str">
        <f>IF($C2571="","",DATE(YEAR($C2571),MONTH($C2571),1))</f>
        <v/>
      </c>
      <c r="P2571" s="65" t="str">
        <f ca="1">IF($C2571="","",IF(AND($D2571="Gelir",$L2571&lt;&gt;"",$T2571=""),"TANIMSIZ BORÇLU",IF($T2571&lt;&gt;"",IF(OR($E2571="",$G2571&lt;=0),"EKSİK",IF($I2571="Evet","TAHAKKUK NAKİT OLAMAZ",IF($C2571&gt;TODAY(),"İLERİ TARİH","TAHAKKUK"))),IF(AND($D2571&lt;&gt;"",$E2571&lt;&gt;"",$G2571&gt;0,$H2571&lt;&gt;"",$I2571&lt;&gt;""),IF($C2571&gt;TODAY(),"İLERİ TARİH",IF(COUNTIF($W$7:$W$3001,$W2571)&gt;1,"MÜKERRER?",IF($AD2571&gt;0,"KAPALI DÖNEM",IF($I2571="Hayır","ÖDENECEK","UYGUN")))),"EKSİK"))))</f>
        <v/>
      </c>
      <c r="Q2571" s="2"/>
      <c r="R2571" s="2"/>
      <c r="S2571" s="1" t="str">
        <f t="shared" si="122"/>
        <v/>
      </c>
      <c r="T2571" s="1" t="str">
        <f>IF(OR($C2571="",$D2571&lt;&gt;"Gelir",$L2571=""),"",IFERROR(INDEX(MUSTERILER!$B$7:$B$156,MATCH($S2571,MUSTERILER!$T$7:$T$156,0)),""))</f>
        <v/>
      </c>
      <c r="U2571" s="1" t="str">
        <f>IF($T2571="","",$T2571&amp;"|"&amp;COUNTIFS($T$7:$T2571,$T2571))</f>
        <v/>
      </c>
      <c r="V2571" s="1">
        <f t="shared" si="123"/>
        <v>0</v>
      </c>
      <c r="W2571" s="1" t="str">
        <f t="shared" si="124"/>
        <v/>
      </c>
      <c r="X2571" s="1"/>
      <c r="Y2571" s="1"/>
      <c r="Z2571" s="1"/>
      <c r="AA2571" s="1"/>
      <c r="AB2571" s="1"/>
      <c r="AC2571" s="1"/>
      <c r="AD2571" s="1">
        <f>IF($C2571="",0,SUMPRODUCT((AY_SONU!$O$7:$O$42="Evet")*(AY_SONU!$B$7:$B$42=DATE(YEAR($C2571),MONTH($C2571),1))))</f>
        <v>0</v>
      </c>
      <c r="AE2571" s="1" t="str">
        <f>IF($E2571="","",$E2571&amp;"|"&amp;COUNTIFS($E$7:$E2571,$E2571))</f>
        <v/>
      </c>
    </row>
    <row r="2572" spans="1:31" ht="18" customHeight="1" x14ac:dyDescent="0.3">
      <c r="A2572" s="2"/>
      <c r="B2572" s="65" t="str">
        <f>IF($C2572="","","GG"&amp;TEXT(ROW()-6,"00000"))</f>
        <v/>
      </c>
      <c r="C2572" s="66"/>
      <c r="D2572" s="60"/>
      <c r="E2572" s="61"/>
      <c r="F2572" s="61"/>
      <c r="G2572" s="67"/>
      <c r="H2572" s="60"/>
      <c r="I2572" s="60"/>
      <c r="J2572" s="61"/>
      <c r="K2572" s="61"/>
      <c r="L2572" s="60"/>
      <c r="M2572" s="74" t="str">
        <f>IF($C2572="","",IF($D2572="Gider",$E2572,IF($L2572&lt;&gt;"",$L2572,$H2572)))</f>
        <v/>
      </c>
      <c r="N2572" s="74" t="str">
        <f>IF($C2572="","",IF($D2572="Gider",$H2572,$E2572))</f>
        <v/>
      </c>
      <c r="O2572" s="73" t="str">
        <f>IF($C2572="","",DATE(YEAR($C2572),MONTH($C2572),1))</f>
        <v/>
      </c>
      <c r="P2572" s="65" t="str">
        <f ca="1">IF($C2572="","",IF(AND($D2572="Gelir",$L2572&lt;&gt;"",$T2572=""),"TANIMSIZ BORÇLU",IF($T2572&lt;&gt;"",IF(OR($E2572="",$G2572&lt;=0),"EKSİK",IF($I2572="Evet","TAHAKKUK NAKİT OLAMAZ",IF($C2572&gt;TODAY(),"İLERİ TARİH","TAHAKKUK"))),IF(AND($D2572&lt;&gt;"",$E2572&lt;&gt;"",$G2572&gt;0,$H2572&lt;&gt;"",$I2572&lt;&gt;""),IF($C2572&gt;TODAY(),"İLERİ TARİH",IF(COUNTIF($W$7:$W$3001,$W2572)&gt;1,"MÜKERRER?",IF($AD2572&gt;0,"KAPALI DÖNEM",IF($I2572="Hayır","ÖDENECEK","UYGUN")))),"EKSİK"))))</f>
        <v/>
      </c>
      <c r="Q2572" s="2"/>
      <c r="R2572" s="2"/>
      <c r="S2572" s="1" t="str">
        <f t="shared" si="122"/>
        <v/>
      </c>
      <c r="T2572" s="1" t="str">
        <f>IF(OR($C2572="",$D2572&lt;&gt;"Gelir",$L2572=""),"",IFERROR(INDEX(MUSTERILER!$B$7:$B$156,MATCH($S2572,MUSTERILER!$T$7:$T$156,0)),""))</f>
        <v/>
      </c>
      <c r="U2572" s="1" t="str">
        <f>IF($T2572="","",$T2572&amp;"|"&amp;COUNTIFS($T$7:$T2572,$T2572))</f>
        <v/>
      </c>
      <c r="V2572" s="1">
        <f t="shared" si="123"/>
        <v>0</v>
      </c>
      <c r="W2572" s="1" t="str">
        <f t="shared" si="124"/>
        <v/>
      </c>
      <c r="X2572" s="1"/>
      <c r="Y2572" s="1"/>
      <c r="Z2572" s="1"/>
      <c r="AA2572" s="1"/>
      <c r="AB2572" s="1"/>
      <c r="AC2572" s="1"/>
      <c r="AD2572" s="1">
        <f>IF($C2572="",0,SUMPRODUCT((AY_SONU!$O$7:$O$42="Evet")*(AY_SONU!$B$7:$B$42=DATE(YEAR($C2572),MONTH($C2572),1))))</f>
        <v>0</v>
      </c>
      <c r="AE2572" s="1" t="str">
        <f>IF($E2572="","",$E2572&amp;"|"&amp;COUNTIFS($E$7:$E2572,$E2572))</f>
        <v/>
      </c>
    </row>
    <row r="2573" spans="1:31" ht="18" customHeight="1" x14ac:dyDescent="0.3">
      <c r="A2573" s="2"/>
      <c r="B2573" s="65" t="str">
        <f>IF($C2573="","","GG"&amp;TEXT(ROW()-6,"00000"))</f>
        <v/>
      </c>
      <c r="C2573" s="66"/>
      <c r="D2573" s="60"/>
      <c r="E2573" s="61"/>
      <c r="F2573" s="61"/>
      <c r="G2573" s="67"/>
      <c r="H2573" s="60"/>
      <c r="I2573" s="60"/>
      <c r="J2573" s="61"/>
      <c r="K2573" s="61"/>
      <c r="L2573" s="60"/>
      <c r="M2573" s="74" t="str">
        <f>IF($C2573="","",IF($D2573="Gider",$E2573,IF($L2573&lt;&gt;"",$L2573,$H2573)))</f>
        <v/>
      </c>
      <c r="N2573" s="74" t="str">
        <f>IF($C2573="","",IF($D2573="Gider",$H2573,$E2573))</f>
        <v/>
      </c>
      <c r="O2573" s="73" t="str">
        <f>IF($C2573="","",DATE(YEAR($C2573),MONTH($C2573),1))</f>
        <v/>
      </c>
      <c r="P2573" s="65" t="str">
        <f ca="1">IF($C2573="","",IF(AND($D2573="Gelir",$L2573&lt;&gt;"",$T2573=""),"TANIMSIZ BORÇLU",IF($T2573&lt;&gt;"",IF(OR($E2573="",$G2573&lt;=0),"EKSİK",IF($I2573="Evet","TAHAKKUK NAKİT OLAMAZ",IF($C2573&gt;TODAY(),"İLERİ TARİH","TAHAKKUK"))),IF(AND($D2573&lt;&gt;"",$E2573&lt;&gt;"",$G2573&gt;0,$H2573&lt;&gt;"",$I2573&lt;&gt;""),IF($C2573&gt;TODAY(),"İLERİ TARİH",IF(COUNTIF($W$7:$W$3001,$W2573)&gt;1,"MÜKERRER?",IF($AD2573&gt;0,"KAPALI DÖNEM",IF($I2573="Hayır","ÖDENECEK","UYGUN")))),"EKSİK"))))</f>
        <v/>
      </c>
      <c r="Q2573" s="2"/>
      <c r="R2573" s="2"/>
      <c r="S2573" s="1" t="str">
        <f t="shared" si="122"/>
        <v/>
      </c>
      <c r="T2573" s="1" t="str">
        <f>IF(OR($C2573="",$D2573&lt;&gt;"Gelir",$L2573=""),"",IFERROR(INDEX(MUSTERILER!$B$7:$B$156,MATCH($S2573,MUSTERILER!$T$7:$T$156,0)),""))</f>
        <v/>
      </c>
      <c r="U2573" s="1" t="str">
        <f>IF($T2573="","",$T2573&amp;"|"&amp;COUNTIFS($T$7:$T2573,$T2573))</f>
        <v/>
      </c>
      <c r="V2573" s="1">
        <f t="shared" si="123"/>
        <v>0</v>
      </c>
      <c r="W2573" s="1" t="str">
        <f t="shared" si="124"/>
        <v/>
      </c>
      <c r="X2573" s="1"/>
      <c r="Y2573" s="1"/>
      <c r="Z2573" s="1"/>
      <c r="AA2573" s="1"/>
      <c r="AB2573" s="1"/>
      <c r="AC2573" s="1"/>
      <c r="AD2573" s="1">
        <f>IF($C2573="",0,SUMPRODUCT((AY_SONU!$O$7:$O$42="Evet")*(AY_SONU!$B$7:$B$42=DATE(YEAR($C2573),MONTH($C2573),1))))</f>
        <v>0</v>
      </c>
      <c r="AE2573" s="1" t="str">
        <f>IF($E2573="","",$E2573&amp;"|"&amp;COUNTIFS($E$7:$E2573,$E2573))</f>
        <v/>
      </c>
    </row>
    <row r="2574" spans="1:31" ht="18" customHeight="1" x14ac:dyDescent="0.3">
      <c r="A2574" s="2"/>
      <c r="B2574" s="65" t="str">
        <f>IF($C2574="","","GG"&amp;TEXT(ROW()-6,"00000"))</f>
        <v/>
      </c>
      <c r="C2574" s="66"/>
      <c r="D2574" s="60"/>
      <c r="E2574" s="61"/>
      <c r="F2574" s="61"/>
      <c r="G2574" s="67"/>
      <c r="H2574" s="60"/>
      <c r="I2574" s="60"/>
      <c r="J2574" s="61"/>
      <c r="K2574" s="61"/>
      <c r="L2574" s="60"/>
      <c r="M2574" s="74" t="str">
        <f>IF($C2574="","",IF($D2574="Gider",$E2574,IF($L2574&lt;&gt;"",$L2574,$H2574)))</f>
        <v/>
      </c>
      <c r="N2574" s="74" t="str">
        <f>IF($C2574="","",IF($D2574="Gider",$H2574,$E2574))</f>
        <v/>
      </c>
      <c r="O2574" s="73" t="str">
        <f>IF($C2574="","",DATE(YEAR($C2574),MONTH($C2574),1))</f>
        <v/>
      </c>
      <c r="P2574" s="65" t="str">
        <f ca="1">IF($C2574="","",IF(AND($D2574="Gelir",$L2574&lt;&gt;"",$T2574=""),"TANIMSIZ BORÇLU",IF($T2574&lt;&gt;"",IF(OR($E2574="",$G2574&lt;=0),"EKSİK",IF($I2574="Evet","TAHAKKUK NAKİT OLAMAZ",IF($C2574&gt;TODAY(),"İLERİ TARİH","TAHAKKUK"))),IF(AND($D2574&lt;&gt;"",$E2574&lt;&gt;"",$G2574&gt;0,$H2574&lt;&gt;"",$I2574&lt;&gt;""),IF($C2574&gt;TODAY(),"İLERİ TARİH",IF(COUNTIF($W$7:$W$3001,$W2574)&gt;1,"MÜKERRER?",IF($AD2574&gt;0,"KAPALI DÖNEM",IF($I2574="Hayır","ÖDENECEK","UYGUN")))),"EKSİK"))))</f>
        <v/>
      </c>
      <c r="Q2574" s="2"/>
      <c r="R2574" s="2"/>
      <c r="S2574" s="1" t="str">
        <f t="shared" si="122"/>
        <v/>
      </c>
      <c r="T2574" s="1" t="str">
        <f>IF(OR($C2574="",$D2574&lt;&gt;"Gelir",$L2574=""),"",IFERROR(INDEX(MUSTERILER!$B$7:$B$156,MATCH($S2574,MUSTERILER!$T$7:$T$156,0)),""))</f>
        <v/>
      </c>
      <c r="U2574" s="1" t="str">
        <f>IF($T2574="","",$T2574&amp;"|"&amp;COUNTIFS($T$7:$T2574,$T2574))</f>
        <v/>
      </c>
      <c r="V2574" s="1">
        <f t="shared" si="123"/>
        <v>0</v>
      </c>
      <c r="W2574" s="1" t="str">
        <f t="shared" si="124"/>
        <v/>
      </c>
      <c r="X2574" s="1"/>
      <c r="Y2574" s="1"/>
      <c r="Z2574" s="1"/>
      <c r="AA2574" s="1"/>
      <c r="AB2574" s="1"/>
      <c r="AC2574" s="1"/>
      <c r="AD2574" s="1">
        <f>IF($C2574="",0,SUMPRODUCT((AY_SONU!$O$7:$O$42="Evet")*(AY_SONU!$B$7:$B$42=DATE(YEAR($C2574),MONTH($C2574),1))))</f>
        <v>0</v>
      </c>
      <c r="AE2574" s="1" t="str">
        <f>IF($E2574="","",$E2574&amp;"|"&amp;COUNTIFS($E$7:$E2574,$E2574))</f>
        <v/>
      </c>
    </row>
    <row r="2575" spans="1:31" ht="18" customHeight="1" x14ac:dyDescent="0.3">
      <c r="A2575" s="2"/>
      <c r="B2575" s="65" t="str">
        <f>IF($C2575="","","GG"&amp;TEXT(ROW()-6,"00000"))</f>
        <v/>
      </c>
      <c r="C2575" s="66"/>
      <c r="D2575" s="60"/>
      <c r="E2575" s="61"/>
      <c r="F2575" s="61"/>
      <c r="G2575" s="67"/>
      <c r="H2575" s="60"/>
      <c r="I2575" s="60"/>
      <c r="J2575" s="61"/>
      <c r="K2575" s="61"/>
      <c r="L2575" s="60"/>
      <c r="M2575" s="74" t="str">
        <f>IF($C2575="","",IF($D2575="Gider",$E2575,IF($L2575&lt;&gt;"",$L2575,$H2575)))</f>
        <v/>
      </c>
      <c r="N2575" s="74" t="str">
        <f>IF($C2575="","",IF($D2575="Gider",$H2575,$E2575))</f>
        <v/>
      </c>
      <c r="O2575" s="73" t="str">
        <f>IF($C2575="","",DATE(YEAR($C2575),MONTH($C2575),1))</f>
        <v/>
      </c>
      <c r="P2575" s="65" t="str">
        <f ca="1">IF($C2575="","",IF(AND($D2575="Gelir",$L2575&lt;&gt;"",$T2575=""),"TANIMSIZ BORÇLU",IF($T2575&lt;&gt;"",IF(OR($E2575="",$G2575&lt;=0),"EKSİK",IF($I2575="Evet","TAHAKKUK NAKİT OLAMAZ",IF($C2575&gt;TODAY(),"İLERİ TARİH","TAHAKKUK"))),IF(AND($D2575&lt;&gt;"",$E2575&lt;&gt;"",$G2575&gt;0,$H2575&lt;&gt;"",$I2575&lt;&gt;""),IF($C2575&gt;TODAY(),"İLERİ TARİH",IF(COUNTIF($W$7:$W$3001,$W2575)&gt;1,"MÜKERRER?",IF($AD2575&gt;0,"KAPALI DÖNEM",IF($I2575="Hayır","ÖDENECEK","UYGUN")))),"EKSİK"))))</f>
        <v/>
      </c>
      <c r="Q2575" s="2"/>
      <c r="R2575" s="2"/>
      <c r="S2575" s="1" t="str">
        <f t="shared" si="122"/>
        <v/>
      </c>
      <c r="T2575" s="1" t="str">
        <f>IF(OR($C2575="",$D2575&lt;&gt;"Gelir",$L2575=""),"",IFERROR(INDEX(MUSTERILER!$B$7:$B$156,MATCH($S2575,MUSTERILER!$T$7:$T$156,0)),""))</f>
        <v/>
      </c>
      <c r="U2575" s="1" t="str">
        <f>IF($T2575="","",$T2575&amp;"|"&amp;COUNTIFS($T$7:$T2575,$T2575))</f>
        <v/>
      </c>
      <c r="V2575" s="1">
        <f t="shared" si="123"/>
        <v>0</v>
      </c>
      <c r="W2575" s="1" t="str">
        <f t="shared" si="124"/>
        <v/>
      </c>
      <c r="X2575" s="1"/>
      <c r="Y2575" s="1"/>
      <c r="Z2575" s="1"/>
      <c r="AA2575" s="1"/>
      <c r="AB2575" s="1"/>
      <c r="AC2575" s="1"/>
      <c r="AD2575" s="1">
        <f>IF($C2575="",0,SUMPRODUCT((AY_SONU!$O$7:$O$42="Evet")*(AY_SONU!$B$7:$B$42=DATE(YEAR($C2575),MONTH($C2575),1))))</f>
        <v>0</v>
      </c>
      <c r="AE2575" s="1" t="str">
        <f>IF($E2575="","",$E2575&amp;"|"&amp;COUNTIFS($E$7:$E2575,$E2575))</f>
        <v/>
      </c>
    </row>
    <row r="2576" spans="1:31" ht="18" customHeight="1" x14ac:dyDescent="0.3">
      <c r="A2576" s="2"/>
      <c r="B2576" s="65" t="str">
        <f>IF($C2576="","","GG"&amp;TEXT(ROW()-6,"00000"))</f>
        <v/>
      </c>
      <c r="C2576" s="66"/>
      <c r="D2576" s="60"/>
      <c r="E2576" s="61"/>
      <c r="F2576" s="61"/>
      <c r="G2576" s="67"/>
      <c r="H2576" s="60"/>
      <c r="I2576" s="60"/>
      <c r="J2576" s="61"/>
      <c r="K2576" s="61"/>
      <c r="L2576" s="60"/>
      <c r="M2576" s="74" t="str">
        <f>IF($C2576="","",IF($D2576="Gider",$E2576,IF($L2576&lt;&gt;"",$L2576,$H2576)))</f>
        <v/>
      </c>
      <c r="N2576" s="74" t="str">
        <f>IF($C2576="","",IF($D2576="Gider",$H2576,$E2576))</f>
        <v/>
      </c>
      <c r="O2576" s="73" t="str">
        <f>IF($C2576="","",DATE(YEAR($C2576),MONTH($C2576),1))</f>
        <v/>
      </c>
      <c r="P2576" s="65" t="str">
        <f ca="1">IF($C2576="","",IF(AND($D2576="Gelir",$L2576&lt;&gt;"",$T2576=""),"TANIMSIZ BORÇLU",IF($T2576&lt;&gt;"",IF(OR($E2576="",$G2576&lt;=0),"EKSİK",IF($I2576="Evet","TAHAKKUK NAKİT OLAMAZ",IF($C2576&gt;TODAY(),"İLERİ TARİH","TAHAKKUK"))),IF(AND($D2576&lt;&gt;"",$E2576&lt;&gt;"",$G2576&gt;0,$H2576&lt;&gt;"",$I2576&lt;&gt;""),IF($C2576&gt;TODAY(),"İLERİ TARİH",IF(COUNTIF($W$7:$W$3001,$W2576)&gt;1,"MÜKERRER?",IF($AD2576&gt;0,"KAPALI DÖNEM",IF($I2576="Hayır","ÖDENECEK","UYGUN")))),"EKSİK"))))</f>
        <v/>
      </c>
      <c r="Q2576" s="2"/>
      <c r="R2576" s="2"/>
      <c r="S2576" s="1" t="str">
        <f t="shared" si="122"/>
        <v/>
      </c>
      <c r="T2576" s="1" t="str">
        <f>IF(OR($C2576="",$D2576&lt;&gt;"Gelir",$L2576=""),"",IFERROR(INDEX(MUSTERILER!$B$7:$B$156,MATCH($S2576,MUSTERILER!$T$7:$T$156,0)),""))</f>
        <v/>
      </c>
      <c r="U2576" s="1" t="str">
        <f>IF($T2576="","",$T2576&amp;"|"&amp;COUNTIFS($T$7:$T2576,$T2576))</f>
        <v/>
      </c>
      <c r="V2576" s="1">
        <f t="shared" si="123"/>
        <v>0</v>
      </c>
      <c r="W2576" s="1" t="str">
        <f t="shared" si="124"/>
        <v/>
      </c>
      <c r="X2576" s="1"/>
      <c r="Y2576" s="1"/>
      <c r="Z2576" s="1"/>
      <c r="AA2576" s="1"/>
      <c r="AB2576" s="1"/>
      <c r="AC2576" s="1"/>
      <c r="AD2576" s="1">
        <f>IF($C2576="",0,SUMPRODUCT((AY_SONU!$O$7:$O$42="Evet")*(AY_SONU!$B$7:$B$42=DATE(YEAR($C2576),MONTH($C2576),1))))</f>
        <v>0</v>
      </c>
      <c r="AE2576" s="1" t="str">
        <f>IF($E2576="","",$E2576&amp;"|"&amp;COUNTIFS($E$7:$E2576,$E2576))</f>
        <v/>
      </c>
    </row>
    <row r="2577" spans="1:31" ht="18" customHeight="1" x14ac:dyDescent="0.3">
      <c r="A2577" s="2"/>
      <c r="B2577" s="65" t="str">
        <f>IF($C2577="","","GG"&amp;TEXT(ROW()-6,"00000"))</f>
        <v/>
      </c>
      <c r="C2577" s="66"/>
      <c r="D2577" s="60"/>
      <c r="E2577" s="61"/>
      <c r="F2577" s="61"/>
      <c r="G2577" s="67"/>
      <c r="H2577" s="60"/>
      <c r="I2577" s="60"/>
      <c r="J2577" s="61"/>
      <c r="K2577" s="61"/>
      <c r="L2577" s="60"/>
      <c r="M2577" s="74" t="str">
        <f>IF($C2577="","",IF($D2577="Gider",$E2577,IF($L2577&lt;&gt;"",$L2577,$H2577)))</f>
        <v/>
      </c>
      <c r="N2577" s="74" t="str">
        <f>IF($C2577="","",IF($D2577="Gider",$H2577,$E2577))</f>
        <v/>
      </c>
      <c r="O2577" s="73" t="str">
        <f>IF($C2577="","",DATE(YEAR($C2577),MONTH($C2577),1))</f>
        <v/>
      </c>
      <c r="P2577" s="65" t="str">
        <f ca="1">IF($C2577="","",IF(AND($D2577="Gelir",$L2577&lt;&gt;"",$T2577=""),"TANIMSIZ BORÇLU",IF($T2577&lt;&gt;"",IF(OR($E2577="",$G2577&lt;=0),"EKSİK",IF($I2577="Evet","TAHAKKUK NAKİT OLAMAZ",IF($C2577&gt;TODAY(),"İLERİ TARİH","TAHAKKUK"))),IF(AND($D2577&lt;&gt;"",$E2577&lt;&gt;"",$G2577&gt;0,$H2577&lt;&gt;"",$I2577&lt;&gt;""),IF($C2577&gt;TODAY(),"İLERİ TARİH",IF(COUNTIF($W$7:$W$3001,$W2577)&gt;1,"MÜKERRER?",IF($AD2577&gt;0,"KAPALI DÖNEM",IF($I2577="Hayır","ÖDENECEK","UYGUN")))),"EKSİK"))))</f>
        <v/>
      </c>
      <c r="Q2577" s="2"/>
      <c r="R2577" s="2"/>
      <c r="S2577" s="1" t="str">
        <f t="shared" si="122"/>
        <v/>
      </c>
      <c r="T2577" s="1" t="str">
        <f>IF(OR($C2577="",$D2577&lt;&gt;"Gelir",$L2577=""),"",IFERROR(INDEX(MUSTERILER!$B$7:$B$156,MATCH($S2577,MUSTERILER!$T$7:$T$156,0)),""))</f>
        <v/>
      </c>
      <c r="U2577" s="1" t="str">
        <f>IF($T2577="","",$T2577&amp;"|"&amp;COUNTIFS($T$7:$T2577,$T2577))</f>
        <v/>
      </c>
      <c r="V2577" s="1">
        <f t="shared" si="123"/>
        <v>0</v>
      </c>
      <c r="W2577" s="1" t="str">
        <f t="shared" si="124"/>
        <v/>
      </c>
      <c r="X2577" s="1"/>
      <c r="Y2577" s="1"/>
      <c r="Z2577" s="1"/>
      <c r="AA2577" s="1"/>
      <c r="AB2577" s="1"/>
      <c r="AC2577" s="1"/>
      <c r="AD2577" s="1">
        <f>IF($C2577="",0,SUMPRODUCT((AY_SONU!$O$7:$O$42="Evet")*(AY_SONU!$B$7:$B$42=DATE(YEAR($C2577),MONTH($C2577),1))))</f>
        <v>0</v>
      </c>
      <c r="AE2577" s="1" t="str">
        <f>IF($E2577="","",$E2577&amp;"|"&amp;COUNTIFS($E$7:$E2577,$E2577))</f>
        <v/>
      </c>
    </row>
    <row r="2578" spans="1:31" ht="18" customHeight="1" x14ac:dyDescent="0.3">
      <c r="A2578" s="2"/>
      <c r="B2578" s="65" t="str">
        <f>IF($C2578="","","GG"&amp;TEXT(ROW()-6,"00000"))</f>
        <v/>
      </c>
      <c r="C2578" s="66"/>
      <c r="D2578" s="60"/>
      <c r="E2578" s="61"/>
      <c r="F2578" s="61"/>
      <c r="G2578" s="67"/>
      <c r="H2578" s="60"/>
      <c r="I2578" s="60"/>
      <c r="J2578" s="61"/>
      <c r="K2578" s="61"/>
      <c r="L2578" s="60"/>
      <c r="M2578" s="74" t="str">
        <f>IF($C2578="","",IF($D2578="Gider",$E2578,IF($L2578&lt;&gt;"",$L2578,$H2578)))</f>
        <v/>
      </c>
      <c r="N2578" s="74" t="str">
        <f>IF($C2578="","",IF($D2578="Gider",$H2578,$E2578))</f>
        <v/>
      </c>
      <c r="O2578" s="73" t="str">
        <f>IF($C2578="","",DATE(YEAR($C2578),MONTH($C2578),1))</f>
        <v/>
      </c>
      <c r="P2578" s="65" t="str">
        <f ca="1">IF($C2578="","",IF(AND($D2578="Gelir",$L2578&lt;&gt;"",$T2578=""),"TANIMSIZ BORÇLU",IF($T2578&lt;&gt;"",IF(OR($E2578="",$G2578&lt;=0),"EKSİK",IF($I2578="Evet","TAHAKKUK NAKİT OLAMAZ",IF($C2578&gt;TODAY(),"İLERİ TARİH","TAHAKKUK"))),IF(AND($D2578&lt;&gt;"",$E2578&lt;&gt;"",$G2578&gt;0,$H2578&lt;&gt;"",$I2578&lt;&gt;""),IF($C2578&gt;TODAY(),"İLERİ TARİH",IF(COUNTIF($W$7:$W$3001,$W2578)&gt;1,"MÜKERRER?",IF($AD2578&gt;0,"KAPALI DÖNEM",IF($I2578="Hayır","ÖDENECEK","UYGUN")))),"EKSİK"))))</f>
        <v/>
      </c>
      <c r="Q2578" s="2"/>
      <c r="R2578" s="2"/>
      <c r="S2578" s="1" t="str">
        <f t="shared" si="122"/>
        <v/>
      </c>
      <c r="T2578" s="1" t="str">
        <f>IF(OR($C2578="",$D2578&lt;&gt;"Gelir",$L2578=""),"",IFERROR(INDEX(MUSTERILER!$B$7:$B$156,MATCH($S2578,MUSTERILER!$T$7:$T$156,0)),""))</f>
        <v/>
      </c>
      <c r="U2578" s="1" t="str">
        <f>IF($T2578="","",$T2578&amp;"|"&amp;COUNTIFS($T$7:$T2578,$T2578))</f>
        <v/>
      </c>
      <c r="V2578" s="1">
        <f t="shared" si="123"/>
        <v>0</v>
      </c>
      <c r="W2578" s="1" t="str">
        <f t="shared" si="124"/>
        <v/>
      </c>
      <c r="X2578" s="1"/>
      <c r="Y2578" s="1"/>
      <c r="Z2578" s="1"/>
      <c r="AA2578" s="1"/>
      <c r="AB2578" s="1"/>
      <c r="AC2578" s="1"/>
      <c r="AD2578" s="1">
        <f>IF($C2578="",0,SUMPRODUCT((AY_SONU!$O$7:$O$42="Evet")*(AY_SONU!$B$7:$B$42=DATE(YEAR($C2578),MONTH($C2578),1))))</f>
        <v>0</v>
      </c>
      <c r="AE2578" s="1" t="str">
        <f>IF($E2578="","",$E2578&amp;"|"&amp;COUNTIFS($E$7:$E2578,$E2578))</f>
        <v/>
      </c>
    </row>
    <row r="2579" spans="1:31" ht="18" customHeight="1" x14ac:dyDescent="0.3">
      <c r="A2579" s="2"/>
      <c r="B2579" s="65" t="str">
        <f>IF($C2579="","","GG"&amp;TEXT(ROW()-6,"00000"))</f>
        <v/>
      </c>
      <c r="C2579" s="66"/>
      <c r="D2579" s="60"/>
      <c r="E2579" s="61"/>
      <c r="F2579" s="61"/>
      <c r="G2579" s="67"/>
      <c r="H2579" s="60"/>
      <c r="I2579" s="60"/>
      <c r="J2579" s="61"/>
      <c r="K2579" s="61"/>
      <c r="L2579" s="60"/>
      <c r="M2579" s="74" t="str">
        <f>IF($C2579="","",IF($D2579="Gider",$E2579,IF($L2579&lt;&gt;"",$L2579,$H2579)))</f>
        <v/>
      </c>
      <c r="N2579" s="74" t="str">
        <f>IF($C2579="","",IF($D2579="Gider",$H2579,$E2579))</f>
        <v/>
      </c>
      <c r="O2579" s="73" t="str">
        <f>IF($C2579="","",DATE(YEAR($C2579),MONTH($C2579),1))</f>
        <v/>
      </c>
      <c r="P2579" s="65" t="str">
        <f ca="1">IF($C2579="","",IF(AND($D2579="Gelir",$L2579&lt;&gt;"",$T2579=""),"TANIMSIZ BORÇLU",IF($T2579&lt;&gt;"",IF(OR($E2579="",$G2579&lt;=0),"EKSİK",IF($I2579="Evet","TAHAKKUK NAKİT OLAMAZ",IF($C2579&gt;TODAY(),"İLERİ TARİH","TAHAKKUK"))),IF(AND($D2579&lt;&gt;"",$E2579&lt;&gt;"",$G2579&gt;0,$H2579&lt;&gt;"",$I2579&lt;&gt;""),IF($C2579&gt;TODAY(),"İLERİ TARİH",IF(COUNTIF($W$7:$W$3001,$W2579)&gt;1,"MÜKERRER?",IF($AD2579&gt;0,"KAPALI DÖNEM",IF($I2579="Hayır","ÖDENECEK","UYGUN")))),"EKSİK"))))</f>
        <v/>
      </c>
      <c r="Q2579" s="2"/>
      <c r="R2579" s="2"/>
      <c r="S2579" s="1" t="str">
        <f t="shared" si="122"/>
        <v/>
      </c>
      <c r="T2579" s="1" t="str">
        <f>IF(OR($C2579="",$D2579&lt;&gt;"Gelir",$L2579=""),"",IFERROR(INDEX(MUSTERILER!$B$7:$B$156,MATCH($S2579,MUSTERILER!$T$7:$T$156,0)),""))</f>
        <v/>
      </c>
      <c r="U2579" s="1" t="str">
        <f>IF($T2579="","",$T2579&amp;"|"&amp;COUNTIFS($T$7:$T2579,$T2579))</f>
        <v/>
      </c>
      <c r="V2579" s="1">
        <f t="shared" si="123"/>
        <v>0</v>
      </c>
      <c r="W2579" s="1" t="str">
        <f t="shared" si="124"/>
        <v/>
      </c>
      <c r="X2579" s="1"/>
      <c r="Y2579" s="1"/>
      <c r="Z2579" s="1"/>
      <c r="AA2579" s="1"/>
      <c r="AB2579" s="1"/>
      <c r="AC2579" s="1"/>
      <c r="AD2579" s="1">
        <f>IF($C2579="",0,SUMPRODUCT((AY_SONU!$O$7:$O$42="Evet")*(AY_SONU!$B$7:$B$42=DATE(YEAR($C2579),MONTH($C2579),1))))</f>
        <v>0</v>
      </c>
      <c r="AE2579" s="1" t="str">
        <f>IF($E2579="","",$E2579&amp;"|"&amp;COUNTIFS($E$7:$E2579,$E2579))</f>
        <v/>
      </c>
    </row>
    <row r="2580" spans="1:31" ht="18" customHeight="1" x14ac:dyDescent="0.3">
      <c r="A2580" s="2"/>
      <c r="B2580" s="65" t="str">
        <f>IF($C2580="","","GG"&amp;TEXT(ROW()-6,"00000"))</f>
        <v/>
      </c>
      <c r="C2580" s="66"/>
      <c r="D2580" s="60"/>
      <c r="E2580" s="61"/>
      <c r="F2580" s="61"/>
      <c r="G2580" s="67"/>
      <c r="H2580" s="60"/>
      <c r="I2580" s="60"/>
      <c r="J2580" s="61"/>
      <c r="K2580" s="61"/>
      <c r="L2580" s="60"/>
      <c r="M2580" s="74" t="str">
        <f>IF($C2580="","",IF($D2580="Gider",$E2580,IF($L2580&lt;&gt;"",$L2580,$H2580)))</f>
        <v/>
      </c>
      <c r="N2580" s="74" t="str">
        <f>IF($C2580="","",IF($D2580="Gider",$H2580,$E2580))</f>
        <v/>
      </c>
      <c r="O2580" s="73" t="str">
        <f>IF($C2580="","",DATE(YEAR($C2580),MONTH($C2580),1))</f>
        <v/>
      </c>
      <c r="P2580" s="65" t="str">
        <f ca="1">IF($C2580="","",IF(AND($D2580="Gelir",$L2580&lt;&gt;"",$T2580=""),"TANIMSIZ BORÇLU",IF($T2580&lt;&gt;"",IF(OR($E2580="",$G2580&lt;=0),"EKSİK",IF($I2580="Evet","TAHAKKUK NAKİT OLAMAZ",IF($C2580&gt;TODAY(),"İLERİ TARİH","TAHAKKUK"))),IF(AND($D2580&lt;&gt;"",$E2580&lt;&gt;"",$G2580&gt;0,$H2580&lt;&gt;"",$I2580&lt;&gt;""),IF($C2580&gt;TODAY(),"İLERİ TARİH",IF(COUNTIF($W$7:$W$3001,$W2580)&gt;1,"MÜKERRER?",IF($AD2580&gt;0,"KAPALI DÖNEM",IF($I2580="Hayır","ÖDENECEK","UYGUN")))),"EKSİK"))))</f>
        <v/>
      </c>
      <c r="Q2580" s="2"/>
      <c r="R2580" s="2"/>
      <c r="S2580" s="1" t="str">
        <f t="shared" si="122"/>
        <v/>
      </c>
      <c r="T2580" s="1" t="str">
        <f>IF(OR($C2580="",$D2580&lt;&gt;"Gelir",$L2580=""),"",IFERROR(INDEX(MUSTERILER!$B$7:$B$156,MATCH($S2580,MUSTERILER!$T$7:$T$156,0)),""))</f>
        <v/>
      </c>
      <c r="U2580" s="1" t="str">
        <f>IF($T2580="","",$T2580&amp;"|"&amp;COUNTIFS($T$7:$T2580,$T2580))</f>
        <v/>
      </c>
      <c r="V2580" s="1">
        <f t="shared" si="123"/>
        <v>0</v>
      </c>
      <c r="W2580" s="1" t="str">
        <f t="shared" si="124"/>
        <v/>
      </c>
      <c r="X2580" s="1"/>
      <c r="Y2580" s="1"/>
      <c r="Z2580" s="1"/>
      <c r="AA2580" s="1"/>
      <c r="AB2580" s="1"/>
      <c r="AC2580" s="1"/>
      <c r="AD2580" s="1">
        <f>IF($C2580="",0,SUMPRODUCT((AY_SONU!$O$7:$O$42="Evet")*(AY_SONU!$B$7:$B$42=DATE(YEAR($C2580),MONTH($C2580),1))))</f>
        <v>0</v>
      </c>
      <c r="AE2580" s="1" t="str">
        <f>IF($E2580="","",$E2580&amp;"|"&amp;COUNTIFS($E$7:$E2580,$E2580))</f>
        <v/>
      </c>
    </row>
    <row r="2581" spans="1:31" ht="18" customHeight="1" x14ac:dyDescent="0.3">
      <c r="A2581" s="2"/>
      <c r="B2581" s="65" t="str">
        <f>IF($C2581="","","GG"&amp;TEXT(ROW()-6,"00000"))</f>
        <v/>
      </c>
      <c r="C2581" s="66"/>
      <c r="D2581" s="60"/>
      <c r="E2581" s="61"/>
      <c r="F2581" s="61"/>
      <c r="G2581" s="67"/>
      <c r="H2581" s="60"/>
      <c r="I2581" s="60"/>
      <c r="J2581" s="61"/>
      <c r="K2581" s="61"/>
      <c r="L2581" s="60"/>
      <c r="M2581" s="74" t="str">
        <f>IF($C2581="","",IF($D2581="Gider",$E2581,IF($L2581&lt;&gt;"",$L2581,$H2581)))</f>
        <v/>
      </c>
      <c r="N2581" s="74" t="str">
        <f>IF($C2581="","",IF($D2581="Gider",$H2581,$E2581))</f>
        <v/>
      </c>
      <c r="O2581" s="73" t="str">
        <f>IF($C2581="","",DATE(YEAR($C2581),MONTH($C2581),1))</f>
        <v/>
      </c>
      <c r="P2581" s="65" t="str">
        <f ca="1">IF($C2581="","",IF(AND($D2581="Gelir",$L2581&lt;&gt;"",$T2581=""),"TANIMSIZ BORÇLU",IF($T2581&lt;&gt;"",IF(OR($E2581="",$G2581&lt;=0),"EKSİK",IF($I2581="Evet","TAHAKKUK NAKİT OLAMAZ",IF($C2581&gt;TODAY(),"İLERİ TARİH","TAHAKKUK"))),IF(AND($D2581&lt;&gt;"",$E2581&lt;&gt;"",$G2581&gt;0,$H2581&lt;&gt;"",$I2581&lt;&gt;""),IF($C2581&gt;TODAY(),"İLERİ TARİH",IF(COUNTIF($W$7:$W$3001,$W2581)&gt;1,"MÜKERRER?",IF($AD2581&gt;0,"KAPALI DÖNEM",IF($I2581="Hayır","ÖDENECEK","UYGUN")))),"EKSİK"))))</f>
        <v/>
      </c>
      <c r="Q2581" s="2"/>
      <c r="R2581" s="2"/>
      <c r="S2581" s="1" t="str">
        <f t="shared" si="122"/>
        <v/>
      </c>
      <c r="T2581" s="1" t="str">
        <f>IF(OR($C2581="",$D2581&lt;&gt;"Gelir",$L2581=""),"",IFERROR(INDEX(MUSTERILER!$B$7:$B$156,MATCH($S2581,MUSTERILER!$T$7:$T$156,0)),""))</f>
        <v/>
      </c>
      <c r="U2581" s="1" t="str">
        <f>IF($T2581="","",$T2581&amp;"|"&amp;COUNTIFS($T$7:$T2581,$T2581))</f>
        <v/>
      </c>
      <c r="V2581" s="1">
        <f t="shared" si="123"/>
        <v>0</v>
      </c>
      <c r="W2581" s="1" t="str">
        <f t="shared" si="124"/>
        <v/>
      </c>
      <c r="X2581" s="1"/>
      <c r="Y2581" s="1"/>
      <c r="Z2581" s="1"/>
      <c r="AA2581" s="1"/>
      <c r="AB2581" s="1"/>
      <c r="AC2581" s="1"/>
      <c r="AD2581" s="1">
        <f>IF($C2581="",0,SUMPRODUCT((AY_SONU!$O$7:$O$42="Evet")*(AY_SONU!$B$7:$B$42=DATE(YEAR($C2581),MONTH($C2581),1))))</f>
        <v>0</v>
      </c>
      <c r="AE2581" s="1" t="str">
        <f>IF($E2581="","",$E2581&amp;"|"&amp;COUNTIFS($E$7:$E2581,$E2581))</f>
        <v/>
      </c>
    </row>
    <row r="2582" spans="1:31" ht="18" customHeight="1" x14ac:dyDescent="0.3">
      <c r="A2582" s="2"/>
      <c r="B2582" s="65" t="str">
        <f>IF($C2582="","","GG"&amp;TEXT(ROW()-6,"00000"))</f>
        <v/>
      </c>
      <c r="C2582" s="66"/>
      <c r="D2582" s="60"/>
      <c r="E2582" s="61"/>
      <c r="F2582" s="61"/>
      <c r="G2582" s="67"/>
      <c r="H2582" s="60"/>
      <c r="I2582" s="60"/>
      <c r="J2582" s="61"/>
      <c r="K2582" s="61"/>
      <c r="L2582" s="60"/>
      <c r="M2582" s="74" t="str">
        <f>IF($C2582="","",IF($D2582="Gider",$E2582,IF($L2582&lt;&gt;"",$L2582,$H2582)))</f>
        <v/>
      </c>
      <c r="N2582" s="74" t="str">
        <f>IF($C2582="","",IF($D2582="Gider",$H2582,$E2582))</f>
        <v/>
      </c>
      <c r="O2582" s="73" t="str">
        <f>IF($C2582="","",DATE(YEAR($C2582),MONTH($C2582),1))</f>
        <v/>
      </c>
      <c r="P2582" s="65" t="str">
        <f ca="1">IF($C2582="","",IF(AND($D2582="Gelir",$L2582&lt;&gt;"",$T2582=""),"TANIMSIZ BORÇLU",IF($T2582&lt;&gt;"",IF(OR($E2582="",$G2582&lt;=0),"EKSİK",IF($I2582="Evet","TAHAKKUK NAKİT OLAMAZ",IF($C2582&gt;TODAY(),"İLERİ TARİH","TAHAKKUK"))),IF(AND($D2582&lt;&gt;"",$E2582&lt;&gt;"",$G2582&gt;0,$H2582&lt;&gt;"",$I2582&lt;&gt;""),IF($C2582&gt;TODAY(),"İLERİ TARİH",IF(COUNTIF($W$7:$W$3001,$W2582)&gt;1,"MÜKERRER?",IF($AD2582&gt;0,"KAPALI DÖNEM",IF($I2582="Hayır","ÖDENECEK","UYGUN")))),"EKSİK"))))</f>
        <v/>
      </c>
      <c r="Q2582" s="2"/>
      <c r="R2582" s="2"/>
      <c r="S2582" s="1" t="str">
        <f t="shared" si="122"/>
        <v/>
      </c>
      <c r="T2582" s="1" t="str">
        <f>IF(OR($C2582="",$D2582&lt;&gt;"Gelir",$L2582=""),"",IFERROR(INDEX(MUSTERILER!$B$7:$B$156,MATCH($S2582,MUSTERILER!$T$7:$T$156,0)),""))</f>
        <v/>
      </c>
      <c r="U2582" s="1" t="str">
        <f>IF($T2582="","",$T2582&amp;"|"&amp;COUNTIFS($T$7:$T2582,$T2582))</f>
        <v/>
      </c>
      <c r="V2582" s="1">
        <f t="shared" si="123"/>
        <v>0</v>
      </c>
      <c r="W2582" s="1" t="str">
        <f t="shared" si="124"/>
        <v/>
      </c>
      <c r="X2582" s="1"/>
      <c r="Y2582" s="1"/>
      <c r="Z2582" s="1"/>
      <c r="AA2582" s="1"/>
      <c r="AB2582" s="1"/>
      <c r="AC2582" s="1"/>
      <c r="AD2582" s="1">
        <f>IF($C2582="",0,SUMPRODUCT((AY_SONU!$O$7:$O$42="Evet")*(AY_SONU!$B$7:$B$42=DATE(YEAR($C2582),MONTH($C2582),1))))</f>
        <v>0</v>
      </c>
      <c r="AE2582" s="1" t="str">
        <f>IF($E2582="","",$E2582&amp;"|"&amp;COUNTIFS($E$7:$E2582,$E2582))</f>
        <v/>
      </c>
    </row>
    <row r="2583" spans="1:31" ht="18" customHeight="1" x14ac:dyDescent="0.3">
      <c r="A2583" s="2"/>
      <c r="B2583" s="65" t="str">
        <f>IF($C2583="","","GG"&amp;TEXT(ROW()-6,"00000"))</f>
        <v/>
      </c>
      <c r="C2583" s="66"/>
      <c r="D2583" s="60"/>
      <c r="E2583" s="61"/>
      <c r="F2583" s="61"/>
      <c r="G2583" s="67"/>
      <c r="H2583" s="60"/>
      <c r="I2583" s="60"/>
      <c r="J2583" s="61"/>
      <c r="K2583" s="61"/>
      <c r="L2583" s="60"/>
      <c r="M2583" s="74" t="str">
        <f>IF($C2583="","",IF($D2583="Gider",$E2583,IF($L2583&lt;&gt;"",$L2583,$H2583)))</f>
        <v/>
      </c>
      <c r="N2583" s="74" t="str">
        <f>IF($C2583="","",IF($D2583="Gider",$H2583,$E2583))</f>
        <v/>
      </c>
      <c r="O2583" s="73" t="str">
        <f>IF($C2583="","",DATE(YEAR($C2583),MONTH($C2583),1))</f>
        <v/>
      </c>
      <c r="P2583" s="65" t="str">
        <f ca="1">IF($C2583="","",IF(AND($D2583="Gelir",$L2583&lt;&gt;"",$T2583=""),"TANIMSIZ BORÇLU",IF($T2583&lt;&gt;"",IF(OR($E2583="",$G2583&lt;=0),"EKSİK",IF($I2583="Evet","TAHAKKUK NAKİT OLAMAZ",IF($C2583&gt;TODAY(),"İLERİ TARİH","TAHAKKUK"))),IF(AND($D2583&lt;&gt;"",$E2583&lt;&gt;"",$G2583&gt;0,$H2583&lt;&gt;"",$I2583&lt;&gt;""),IF($C2583&gt;TODAY(),"İLERİ TARİH",IF(COUNTIF($W$7:$W$3001,$W2583)&gt;1,"MÜKERRER?",IF($AD2583&gt;0,"KAPALI DÖNEM",IF($I2583="Hayır","ÖDENECEK","UYGUN")))),"EKSİK"))))</f>
        <v/>
      </c>
      <c r="Q2583" s="2"/>
      <c r="R2583" s="2"/>
      <c r="S2583" s="1" t="str">
        <f t="shared" si="122"/>
        <v/>
      </c>
      <c r="T2583" s="1" t="str">
        <f>IF(OR($C2583="",$D2583&lt;&gt;"Gelir",$L2583=""),"",IFERROR(INDEX(MUSTERILER!$B$7:$B$156,MATCH($S2583,MUSTERILER!$T$7:$T$156,0)),""))</f>
        <v/>
      </c>
      <c r="U2583" s="1" t="str">
        <f>IF($T2583="","",$T2583&amp;"|"&amp;COUNTIFS($T$7:$T2583,$T2583))</f>
        <v/>
      </c>
      <c r="V2583" s="1">
        <f t="shared" si="123"/>
        <v>0</v>
      </c>
      <c r="W2583" s="1" t="str">
        <f t="shared" si="124"/>
        <v/>
      </c>
      <c r="X2583" s="1"/>
      <c r="Y2583" s="1"/>
      <c r="Z2583" s="1"/>
      <c r="AA2583" s="1"/>
      <c r="AB2583" s="1"/>
      <c r="AC2583" s="1"/>
      <c r="AD2583" s="1">
        <f>IF($C2583="",0,SUMPRODUCT((AY_SONU!$O$7:$O$42="Evet")*(AY_SONU!$B$7:$B$42=DATE(YEAR($C2583),MONTH($C2583),1))))</f>
        <v>0</v>
      </c>
      <c r="AE2583" s="1" t="str">
        <f>IF($E2583="","",$E2583&amp;"|"&amp;COUNTIFS($E$7:$E2583,$E2583))</f>
        <v/>
      </c>
    </row>
    <row r="2584" spans="1:31" ht="18" customHeight="1" x14ac:dyDescent="0.3">
      <c r="A2584" s="2"/>
      <c r="B2584" s="65" t="str">
        <f>IF($C2584="","","GG"&amp;TEXT(ROW()-6,"00000"))</f>
        <v/>
      </c>
      <c r="C2584" s="66"/>
      <c r="D2584" s="60"/>
      <c r="E2584" s="61"/>
      <c r="F2584" s="61"/>
      <c r="G2584" s="67"/>
      <c r="H2584" s="60"/>
      <c r="I2584" s="60"/>
      <c r="J2584" s="61"/>
      <c r="K2584" s="61"/>
      <c r="L2584" s="60"/>
      <c r="M2584" s="74" t="str">
        <f>IF($C2584="","",IF($D2584="Gider",$E2584,IF($L2584&lt;&gt;"",$L2584,$H2584)))</f>
        <v/>
      </c>
      <c r="N2584" s="74" t="str">
        <f>IF($C2584="","",IF($D2584="Gider",$H2584,$E2584))</f>
        <v/>
      </c>
      <c r="O2584" s="73" t="str">
        <f>IF($C2584="","",DATE(YEAR($C2584),MONTH($C2584),1))</f>
        <v/>
      </c>
      <c r="P2584" s="65" t="str">
        <f ca="1">IF($C2584="","",IF(AND($D2584="Gelir",$L2584&lt;&gt;"",$T2584=""),"TANIMSIZ BORÇLU",IF($T2584&lt;&gt;"",IF(OR($E2584="",$G2584&lt;=0),"EKSİK",IF($I2584="Evet","TAHAKKUK NAKİT OLAMAZ",IF($C2584&gt;TODAY(),"İLERİ TARİH","TAHAKKUK"))),IF(AND($D2584&lt;&gt;"",$E2584&lt;&gt;"",$G2584&gt;0,$H2584&lt;&gt;"",$I2584&lt;&gt;""),IF($C2584&gt;TODAY(),"İLERİ TARİH",IF(COUNTIF($W$7:$W$3001,$W2584)&gt;1,"MÜKERRER?",IF($AD2584&gt;0,"KAPALI DÖNEM",IF($I2584="Hayır","ÖDENECEK","UYGUN")))),"EKSİK"))))</f>
        <v/>
      </c>
      <c r="Q2584" s="2"/>
      <c r="R2584" s="2"/>
      <c r="S2584" s="1" t="str">
        <f t="shared" si="122"/>
        <v/>
      </c>
      <c r="T2584" s="1" t="str">
        <f>IF(OR($C2584="",$D2584&lt;&gt;"Gelir",$L2584=""),"",IFERROR(INDEX(MUSTERILER!$B$7:$B$156,MATCH($S2584,MUSTERILER!$T$7:$T$156,0)),""))</f>
        <v/>
      </c>
      <c r="U2584" s="1" t="str">
        <f>IF($T2584="","",$T2584&amp;"|"&amp;COUNTIFS($T$7:$T2584,$T2584))</f>
        <v/>
      </c>
      <c r="V2584" s="1">
        <f t="shared" si="123"/>
        <v>0</v>
      </c>
      <c r="W2584" s="1" t="str">
        <f t="shared" si="124"/>
        <v/>
      </c>
      <c r="X2584" s="1"/>
      <c r="Y2584" s="1"/>
      <c r="Z2584" s="1"/>
      <c r="AA2584" s="1"/>
      <c r="AB2584" s="1"/>
      <c r="AC2584" s="1"/>
      <c r="AD2584" s="1">
        <f>IF($C2584="",0,SUMPRODUCT((AY_SONU!$O$7:$O$42="Evet")*(AY_SONU!$B$7:$B$42=DATE(YEAR($C2584),MONTH($C2584),1))))</f>
        <v>0</v>
      </c>
      <c r="AE2584" s="1" t="str">
        <f>IF($E2584="","",$E2584&amp;"|"&amp;COUNTIFS($E$7:$E2584,$E2584))</f>
        <v/>
      </c>
    </row>
    <row r="2585" spans="1:31" ht="18" customHeight="1" x14ac:dyDescent="0.3">
      <c r="A2585" s="2"/>
      <c r="B2585" s="65" t="str">
        <f>IF($C2585="","","GG"&amp;TEXT(ROW()-6,"00000"))</f>
        <v/>
      </c>
      <c r="C2585" s="66"/>
      <c r="D2585" s="60"/>
      <c r="E2585" s="61"/>
      <c r="F2585" s="61"/>
      <c r="G2585" s="67"/>
      <c r="H2585" s="60"/>
      <c r="I2585" s="60"/>
      <c r="J2585" s="61"/>
      <c r="K2585" s="61"/>
      <c r="L2585" s="60"/>
      <c r="M2585" s="74" t="str">
        <f>IF($C2585="","",IF($D2585="Gider",$E2585,IF($L2585&lt;&gt;"",$L2585,$H2585)))</f>
        <v/>
      </c>
      <c r="N2585" s="74" t="str">
        <f>IF($C2585="","",IF($D2585="Gider",$H2585,$E2585))</f>
        <v/>
      </c>
      <c r="O2585" s="73" t="str">
        <f>IF($C2585="","",DATE(YEAR($C2585),MONTH($C2585),1))</f>
        <v/>
      </c>
      <c r="P2585" s="65" t="str">
        <f ca="1">IF($C2585="","",IF(AND($D2585="Gelir",$L2585&lt;&gt;"",$T2585=""),"TANIMSIZ BORÇLU",IF($T2585&lt;&gt;"",IF(OR($E2585="",$G2585&lt;=0),"EKSİK",IF($I2585="Evet","TAHAKKUK NAKİT OLAMAZ",IF($C2585&gt;TODAY(),"İLERİ TARİH","TAHAKKUK"))),IF(AND($D2585&lt;&gt;"",$E2585&lt;&gt;"",$G2585&gt;0,$H2585&lt;&gt;"",$I2585&lt;&gt;""),IF($C2585&gt;TODAY(),"İLERİ TARİH",IF(COUNTIF($W$7:$W$3001,$W2585)&gt;1,"MÜKERRER?",IF($AD2585&gt;0,"KAPALI DÖNEM",IF($I2585="Hayır","ÖDENECEK","UYGUN")))),"EKSİK"))))</f>
        <v/>
      </c>
      <c r="Q2585" s="2"/>
      <c r="R2585" s="2"/>
      <c r="S2585" s="1" t="str">
        <f t="shared" si="122"/>
        <v/>
      </c>
      <c r="T2585" s="1" t="str">
        <f>IF(OR($C2585="",$D2585&lt;&gt;"Gelir",$L2585=""),"",IFERROR(INDEX(MUSTERILER!$B$7:$B$156,MATCH($S2585,MUSTERILER!$T$7:$T$156,0)),""))</f>
        <v/>
      </c>
      <c r="U2585" s="1" t="str">
        <f>IF($T2585="","",$T2585&amp;"|"&amp;COUNTIFS($T$7:$T2585,$T2585))</f>
        <v/>
      </c>
      <c r="V2585" s="1">
        <f t="shared" si="123"/>
        <v>0</v>
      </c>
      <c r="W2585" s="1" t="str">
        <f t="shared" si="124"/>
        <v/>
      </c>
      <c r="X2585" s="1"/>
      <c r="Y2585" s="1"/>
      <c r="Z2585" s="1"/>
      <c r="AA2585" s="1"/>
      <c r="AB2585" s="1"/>
      <c r="AC2585" s="1"/>
      <c r="AD2585" s="1">
        <f>IF($C2585="",0,SUMPRODUCT((AY_SONU!$O$7:$O$42="Evet")*(AY_SONU!$B$7:$B$42=DATE(YEAR($C2585),MONTH($C2585),1))))</f>
        <v>0</v>
      </c>
      <c r="AE2585" s="1" t="str">
        <f>IF($E2585="","",$E2585&amp;"|"&amp;COUNTIFS($E$7:$E2585,$E2585))</f>
        <v/>
      </c>
    </row>
    <row r="2586" spans="1:31" ht="18" customHeight="1" x14ac:dyDescent="0.3">
      <c r="A2586" s="2"/>
      <c r="B2586" s="65" t="str">
        <f>IF($C2586="","","GG"&amp;TEXT(ROW()-6,"00000"))</f>
        <v/>
      </c>
      <c r="C2586" s="66"/>
      <c r="D2586" s="60"/>
      <c r="E2586" s="61"/>
      <c r="F2586" s="61"/>
      <c r="G2586" s="67"/>
      <c r="H2586" s="60"/>
      <c r="I2586" s="60"/>
      <c r="J2586" s="61"/>
      <c r="K2586" s="61"/>
      <c r="L2586" s="60"/>
      <c r="M2586" s="74" t="str">
        <f>IF($C2586="","",IF($D2586="Gider",$E2586,IF($L2586&lt;&gt;"",$L2586,$H2586)))</f>
        <v/>
      </c>
      <c r="N2586" s="74" t="str">
        <f>IF($C2586="","",IF($D2586="Gider",$H2586,$E2586))</f>
        <v/>
      </c>
      <c r="O2586" s="73" t="str">
        <f>IF($C2586="","",DATE(YEAR($C2586),MONTH($C2586),1))</f>
        <v/>
      </c>
      <c r="P2586" s="65" t="str">
        <f ca="1">IF($C2586="","",IF(AND($D2586="Gelir",$L2586&lt;&gt;"",$T2586=""),"TANIMSIZ BORÇLU",IF($T2586&lt;&gt;"",IF(OR($E2586="",$G2586&lt;=0),"EKSİK",IF($I2586="Evet","TAHAKKUK NAKİT OLAMAZ",IF($C2586&gt;TODAY(),"İLERİ TARİH","TAHAKKUK"))),IF(AND($D2586&lt;&gt;"",$E2586&lt;&gt;"",$G2586&gt;0,$H2586&lt;&gt;"",$I2586&lt;&gt;""),IF($C2586&gt;TODAY(),"İLERİ TARİH",IF(COUNTIF($W$7:$W$3001,$W2586)&gt;1,"MÜKERRER?",IF($AD2586&gt;0,"KAPALI DÖNEM",IF($I2586="Hayır","ÖDENECEK","UYGUN")))),"EKSİK"))))</f>
        <v/>
      </c>
      <c r="Q2586" s="2"/>
      <c r="R2586" s="2"/>
      <c r="S2586" s="1" t="str">
        <f t="shared" si="122"/>
        <v/>
      </c>
      <c r="T2586" s="1" t="str">
        <f>IF(OR($C2586="",$D2586&lt;&gt;"Gelir",$L2586=""),"",IFERROR(INDEX(MUSTERILER!$B$7:$B$156,MATCH($S2586,MUSTERILER!$T$7:$T$156,0)),""))</f>
        <v/>
      </c>
      <c r="U2586" s="1" t="str">
        <f>IF($T2586="","",$T2586&amp;"|"&amp;COUNTIFS($T$7:$T2586,$T2586))</f>
        <v/>
      </c>
      <c r="V2586" s="1">
        <f t="shared" si="123"/>
        <v>0</v>
      </c>
      <c r="W2586" s="1" t="str">
        <f t="shared" si="124"/>
        <v/>
      </c>
      <c r="X2586" s="1"/>
      <c r="Y2586" s="1"/>
      <c r="Z2586" s="1"/>
      <c r="AA2586" s="1"/>
      <c r="AB2586" s="1"/>
      <c r="AC2586" s="1"/>
      <c r="AD2586" s="1">
        <f>IF($C2586="",0,SUMPRODUCT((AY_SONU!$O$7:$O$42="Evet")*(AY_SONU!$B$7:$B$42=DATE(YEAR($C2586),MONTH($C2586),1))))</f>
        <v>0</v>
      </c>
      <c r="AE2586" s="1" t="str">
        <f>IF($E2586="","",$E2586&amp;"|"&amp;COUNTIFS($E$7:$E2586,$E2586))</f>
        <v/>
      </c>
    </row>
    <row r="2587" spans="1:31" ht="18" customHeight="1" x14ac:dyDescent="0.3">
      <c r="A2587" s="2"/>
      <c r="B2587" s="65" t="str">
        <f>IF($C2587="","","GG"&amp;TEXT(ROW()-6,"00000"))</f>
        <v/>
      </c>
      <c r="C2587" s="66"/>
      <c r="D2587" s="60"/>
      <c r="E2587" s="61"/>
      <c r="F2587" s="61"/>
      <c r="G2587" s="67"/>
      <c r="H2587" s="60"/>
      <c r="I2587" s="60"/>
      <c r="J2587" s="61"/>
      <c r="K2587" s="61"/>
      <c r="L2587" s="60"/>
      <c r="M2587" s="74" t="str">
        <f>IF($C2587="","",IF($D2587="Gider",$E2587,IF($L2587&lt;&gt;"",$L2587,$H2587)))</f>
        <v/>
      </c>
      <c r="N2587" s="74" t="str">
        <f>IF($C2587="","",IF($D2587="Gider",$H2587,$E2587))</f>
        <v/>
      </c>
      <c r="O2587" s="73" t="str">
        <f>IF($C2587="","",DATE(YEAR($C2587),MONTH($C2587),1))</f>
        <v/>
      </c>
      <c r="P2587" s="65" t="str">
        <f ca="1">IF($C2587="","",IF(AND($D2587="Gelir",$L2587&lt;&gt;"",$T2587=""),"TANIMSIZ BORÇLU",IF($T2587&lt;&gt;"",IF(OR($E2587="",$G2587&lt;=0),"EKSİK",IF($I2587="Evet","TAHAKKUK NAKİT OLAMAZ",IF($C2587&gt;TODAY(),"İLERİ TARİH","TAHAKKUK"))),IF(AND($D2587&lt;&gt;"",$E2587&lt;&gt;"",$G2587&gt;0,$H2587&lt;&gt;"",$I2587&lt;&gt;""),IF($C2587&gt;TODAY(),"İLERİ TARİH",IF(COUNTIF($W$7:$W$3001,$W2587)&gt;1,"MÜKERRER?",IF($AD2587&gt;0,"KAPALI DÖNEM",IF($I2587="Hayır","ÖDENECEK","UYGUN")))),"EKSİK"))))</f>
        <v/>
      </c>
      <c r="Q2587" s="2"/>
      <c r="R2587" s="2"/>
      <c r="S2587" s="1" t="str">
        <f t="shared" si="122"/>
        <v/>
      </c>
      <c r="T2587" s="1" t="str">
        <f>IF(OR($C2587="",$D2587&lt;&gt;"Gelir",$L2587=""),"",IFERROR(INDEX(MUSTERILER!$B$7:$B$156,MATCH($S2587,MUSTERILER!$T$7:$T$156,0)),""))</f>
        <v/>
      </c>
      <c r="U2587" s="1" t="str">
        <f>IF($T2587="","",$T2587&amp;"|"&amp;COUNTIFS($T$7:$T2587,$T2587))</f>
        <v/>
      </c>
      <c r="V2587" s="1">
        <f t="shared" si="123"/>
        <v>0</v>
      </c>
      <c r="W2587" s="1" t="str">
        <f t="shared" si="124"/>
        <v/>
      </c>
      <c r="X2587" s="1"/>
      <c r="Y2587" s="1"/>
      <c r="Z2587" s="1"/>
      <c r="AA2587" s="1"/>
      <c r="AB2587" s="1"/>
      <c r="AC2587" s="1"/>
      <c r="AD2587" s="1">
        <f>IF($C2587="",0,SUMPRODUCT((AY_SONU!$O$7:$O$42="Evet")*(AY_SONU!$B$7:$B$42=DATE(YEAR($C2587),MONTH($C2587),1))))</f>
        <v>0</v>
      </c>
      <c r="AE2587" s="1" t="str">
        <f>IF($E2587="","",$E2587&amp;"|"&amp;COUNTIFS($E$7:$E2587,$E2587))</f>
        <v/>
      </c>
    </row>
    <row r="2588" spans="1:31" ht="18" customHeight="1" x14ac:dyDescent="0.3">
      <c r="A2588" s="2"/>
      <c r="B2588" s="65" t="str">
        <f>IF($C2588="","","GG"&amp;TEXT(ROW()-6,"00000"))</f>
        <v/>
      </c>
      <c r="C2588" s="66"/>
      <c r="D2588" s="60"/>
      <c r="E2588" s="61"/>
      <c r="F2588" s="61"/>
      <c r="G2588" s="67"/>
      <c r="H2588" s="60"/>
      <c r="I2588" s="60"/>
      <c r="J2588" s="61"/>
      <c r="K2588" s="61"/>
      <c r="L2588" s="60"/>
      <c r="M2588" s="74" t="str">
        <f>IF($C2588="","",IF($D2588="Gider",$E2588,IF($L2588&lt;&gt;"",$L2588,$H2588)))</f>
        <v/>
      </c>
      <c r="N2588" s="74" t="str">
        <f>IF($C2588="","",IF($D2588="Gider",$H2588,$E2588))</f>
        <v/>
      </c>
      <c r="O2588" s="73" t="str">
        <f>IF($C2588="","",DATE(YEAR($C2588),MONTH($C2588),1))</f>
        <v/>
      </c>
      <c r="P2588" s="65" t="str">
        <f ca="1">IF($C2588="","",IF(AND($D2588="Gelir",$L2588&lt;&gt;"",$T2588=""),"TANIMSIZ BORÇLU",IF($T2588&lt;&gt;"",IF(OR($E2588="",$G2588&lt;=0),"EKSİK",IF($I2588="Evet","TAHAKKUK NAKİT OLAMAZ",IF($C2588&gt;TODAY(),"İLERİ TARİH","TAHAKKUK"))),IF(AND($D2588&lt;&gt;"",$E2588&lt;&gt;"",$G2588&gt;0,$H2588&lt;&gt;"",$I2588&lt;&gt;""),IF($C2588&gt;TODAY(),"İLERİ TARİH",IF(COUNTIF($W$7:$W$3001,$W2588)&gt;1,"MÜKERRER?",IF($AD2588&gt;0,"KAPALI DÖNEM",IF($I2588="Hayır","ÖDENECEK","UYGUN")))),"EKSİK"))))</f>
        <v/>
      </c>
      <c r="Q2588" s="2"/>
      <c r="R2588" s="2"/>
      <c r="S2588" s="1" t="str">
        <f t="shared" si="122"/>
        <v/>
      </c>
      <c r="T2588" s="1" t="str">
        <f>IF(OR($C2588="",$D2588&lt;&gt;"Gelir",$L2588=""),"",IFERROR(INDEX(MUSTERILER!$B$7:$B$156,MATCH($S2588,MUSTERILER!$T$7:$T$156,0)),""))</f>
        <v/>
      </c>
      <c r="U2588" s="1" t="str">
        <f>IF($T2588="","",$T2588&amp;"|"&amp;COUNTIFS($T$7:$T2588,$T2588))</f>
        <v/>
      </c>
      <c r="V2588" s="1">
        <f t="shared" si="123"/>
        <v>0</v>
      </c>
      <c r="W2588" s="1" t="str">
        <f t="shared" si="124"/>
        <v/>
      </c>
      <c r="X2588" s="1"/>
      <c r="Y2588" s="1"/>
      <c r="Z2588" s="1"/>
      <c r="AA2588" s="1"/>
      <c r="AB2588" s="1"/>
      <c r="AC2588" s="1"/>
      <c r="AD2588" s="1">
        <f>IF($C2588="",0,SUMPRODUCT((AY_SONU!$O$7:$O$42="Evet")*(AY_SONU!$B$7:$B$42=DATE(YEAR($C2588),MONTH($C2588),1))))</f>
        <v>0</v>
      </c>
      <c r="AE2588" s="1" t="str">
        <f>IF($E2588="","",$E2588&amp;"|"&amp;COUNTIFS($E$7:$E2588,$E2588))</f>
        <v/>
      </c>
    </row>
    <row r="2589" spans="1:31" ht="18" customHeight="1" x14ac:dyDescent="0.3">
      <c r="A2589" s="2"/>
      <c r="B2589" s="65" t="str">
        <f>IF($C2589="","","GG"&amp;TEXT(ROW()-6,"00000"))</f>
        <v/>
      </c>
      <c r="C2589" s="66"/>
      <c r="D2589" s="60"/>
      <c r="E2589" s="61"/>
      <c r="F2589" s="61"/>
      <c r="G2589" s="67"/>
      <c r="H2589" s="60"/>
      <c r="I2589" s="60"/>
      <c r="J2589" s="61"/>
      <c r="K2589" s="61"/>
      <c r="L2589" s="60"/>
      <c r="M2589" s="74" t="str">
        <f>IF($C2589="","",IF($D2589="Gider",$E2589,IF($L2589&lt;&gt;"",$L2589,$H2589)))</f>
        <v/>
      </c>
      <c r="N2589" s="74" t="str">
        <f>IF($C2589="","",IF($D2589="Gider",$H2589,$E2589))</f>
        <v/>
      </c>
      <c r="O2589" s="73" t="str">
        <f>IF($C2589="","",DATE(YEAR($C2589),MONTH($C2589),1))</f>
        <v/>
      </c>
      <c r="P2589" s="65" t="str">
        <f ca="1">IF($C2589="","",IF(AND($D2589="Gelir",$L2589&lt;&gt;"",$T2589=""),"TANIMSIZ BORÇLU",IF($T2589&lt;&gt;"",IF(OR($E2589="",$G2589&lt;=0),"EKSİK",IF($I2589="Evet","TAHAKKUK NAKİT OLAMAZ",IF($C2589&gt;TODAY(),"İLERİ TARİH","TAHAKKUK"))),IF(AND($D2589&lt;&gt;"",$E2589&lt;&gt;"",$G2589&gt;0,$H2589&lt;&gt;"",$I2589&lt;&gt;""),IF($C2589&gt;TODAY(),"İLERİ TARİH",IF(COUNTIF($W$7:$W$3001,$W2589)&gt;1,"MÜKERRER?",IF($AD2589&gt;0,"KAPALI DÖNEM",IF($I2589="Hayır","ÖDENECEK","UYGUN")))),"EKSİK"))))</f>
        <v/>
      </c>
      <c r="Q2589" s="2"/>
      <c r="R2589" s="2"/>
      <c r="S2589" s="1" t="str">
        <f t="shared" si="122"/>
        <v/>
      </c>
      <c r="T2589" s="1" t="str">
        <f>IF(OR($C2589="",$D2589&lt;&gt;"Gelir",$L2589=""),"",IFERROR(INDEX(MUSTERILER!$B$7:$B$156,MATCH($S2589,MUSTERILER!$T$7:$T$156,0)),""))</f>
        <v/>
      </c>
      <c r="U2589" s="1" t="str">
        <f>IF($T2589="","",$T2589&amp;"|"&amp;COUNTIFS($T$7:$T2589,$T2589))</f>
        <v/>
      </c>
      <c r="V2589" s="1">
        <f t="shared" si="123"/>
        <v>0</v>
      </c>
      <c r="W2589" s="1" t="str">
        <f t="shared" si="124"/>
        <v/>
      </c>
      <c r="X2589" s="1"/>
      <c r="Y2589" s="1"/>
      <c r="Z2589" s="1"/>
      <c r="AA2589" s="1"/>
      <c r="AB2589" s="1"/>
      <c r="AC2589" s="1"/>
      <c r="AD2589" s="1">
        <f>IF($C2589="",0,SUMPRODUCT((AY_SONU!$O$7:$O$42="Evet")*(AY_SONU!$B$7:$B$42=DATE(YEAR($C2589),MONTH($C2589),1))))</f>
        <v>0</v>
      </c>
      <c r="AE2589" s="1" t="str">
        <f>IF($E2589="","",$E2589&amp;"|"&amp;COUNTIFS($E$7:$E2589,$E2589))</f>
        <v/>
      </c>
    </row>
    <row r="2590" spans="1:31" ht="18" customHeight="1" x14ac:dyDescent="0.3">
      <c r="A2590" s="2"/>
      <c r="B2590" s="65" t="str">
        <f>IF($C2590="","","GG"&amp;TEXT(ROW()-6,"00000"))</f>
        <v/>
      </c>
      <c r="C2590" s="66"/>
      <c r="D2590" s="60"/>
      <c r="E2590" s="61"/>
      <c r="F2590" s="61"/>
      <c r="G2590" s="67"/>
      <c r="H2590" s="60"/>
      <c r="I2590" s="60"/>
      <c r="J2590" s="61"/>
      <c r="K2590" s="61"/>
      <c r="L2590" s="60"/>
      <c r="M2590" s="74" t="str">
        <f>IF($C2590="","",IF($D2590="Gider",$E2590,IF($L2590&lt;&gt;"",$L2590,$H2590)))</f>
        <v/>
      </c>
      <c r="N2590" s="74" t="str">
        <f>IF($C2590="","",IF($D2590="Gider",$H2590,$E2590))</f>
        <v/>
      </c>
      <c r="O2590" s="73" t="str">
        <f>IF($C2590="","",DATE(YEAR($C2590),MONTH($C2590),1))</f>
        <v/>
      </c>
      <c r="P2590" s="65" t="str">
        <f ca="1">IF($C2590="","",IF(AND($D2590="Gelir",$L2590&lt;&gt;"",$T2590=""),"TANIMSIZ BORÇLU",IF($T2590&lt;&gt;"",IF(OR($E2590="",$G2590&lt;=0),"EKSİK",IF($I2590="Evet","TAHAKKUK NAKİT OLAMAZ",IF($C2590&gt;TODAY(),"İLERİ TARİH","TAHAKKUK"))),IF(AND($D2590&lt;&gt;"",$E2590&lt;&gt;"",$G2590&gt;0,$H2590&lt;&gt;"",$I2590&lt;&gt;""),IF($C2590&gt;TODAY(),"İLERİ TARİH",IF(COUNTIF($W$7:$W$3001,$W2590)&gt;1,"MÜKERRER?",IF($AD2590&gt;0,"KAPALI DÖNEM",IF($I2590="Hayır","ÖDENECEK","UYGUN")))),"EKSİK"))))</f>
        <v/>
      </c>
      <c r="Q2590" s="2"/>
      <c r="R2590" s="2"/>
      <c r="S2590" s="1" t="str">
        <f t="shared" si="122"/>
        <v/>
      </c>
      <c r="T2590" s="1" t="str">
        <f>IF(OR($C2590="",$D2590&lt;&gt;"Gelir",$L2590=""),"",IFERROR(INDEX(MUSTERILER!$B$7:$B$156,MATCH($S2590,MUSTERILER!$T$7:$T$156,0)),""))</f>
        <v/>
      </c>
      <c r="U2590" s="1" t="str">
        <f>IF($T2590="","",$T2590&amp;"|"&amp;COUNTIFS($T$7:$T2590,$T2590))</f>
        <v/>
      </c>
      <c r="V2590" s="1">
        <f t="shared" si="123"/>
        <v>0</v>
      </c>
      <c r="W2590" s="1" t="str">
        <f t="shared" si="124"/>
        <v/>
      </c>
      <c r="X2590" s="1"/>
      <c r="Y2590" s="1"/>
      <c r="Z2590" s="1"/>
      <c r="AA2590" s="1"/>
      <c r="AB2590" s="1"/>
      <c r="AC2590" s="1"/>
      <c r="AD2590" s="1">
        <f>IF($C2590="",0,SUMPRODUCT((AY_SONU!$O$7:$O$42="Evet")*(AY_SONU!$B$7:$B$42=DATE(YEAR($C2590),MONTH($C2590),1))))</f>
        <v>0</v>
      </c>
      <c r="AE2590" s="1" t="str">
        <f>IF($E2590="","",$E2590&amp;"|"&amp;COUNTIFS($E$7:$E2590,$E2590))</f>
        <v/>
      </c>
    </row>
    <row r="2591" spans="1:31" ht="18" customHeight="1" x14ac:dyDescent="0.3">
      <c r="A2591" s="2"/>
      <c r="B2591" s="65" t="str">
        <f>IF($C2591="","","GG"&amp;TEXT(ROW()-6,"00000"))</f>
        <v/>
      </c>
      <c r="C2591" s="66"/>
      <c r="D2591" s="60"/>
      <c r="E2591" s="61"/>
      <c r="F2591" s="61"/>
      <c r="G2591" s="67"/>
      <c r="H2591" s="60"/>
      <c r="I2591" s="60"/>
      <c r="J2591" s="61"/>
      <c r="K2591" s="61"/>
      <c r="L2591" s="60"/>
      <c r="M2591" s="74" t="str">
        <f>IF($C2591="","",IF($D2591="Gider",$E2591,IF($L2591&lt;&gt;"",$L2591,$H2591)))</f>
        <v/>
      </c>
      <c r="N2591" s="74" t="str">
        <f>IF($C2591="","",IF($D2591="Gider",$H2591,$E2591))</f>
        <v/>
      </c>
      <c r="O2591" s="73" t="str">
        <f>IF($C2591="","",DATE(YEAR($C2591),MONTH($C2591),1))</f>
        <v/>
      </c>
      <c r="P2591" s="65" t="str">
        <f ca="1">IF($C2591="","",IF(AND($D2591="Gelir",$L2591&lt;&gt;"",$T2591=""),"TANIMSIZ BORÇLU",IF($T2591&lt;&gt;"",IF(OR($E2591="",$G2591&lt;=0),"EKSİK",IF($I2591="Evet","TAHAKKUK NAKİT OLAMAZ",IF($C2591&gt;TODAY(),"İLERİ TARİH","TAHAKKUK"))),IF(AND($D2591&lt;&gt;"",$E2591&lt;&gt;"",$G2591&gt;0,$H2591&lt;&gt;"",$I2591&lt;&gt;""),IF($C2591&gt;TODAY(),"İLERİ TARİH",IF(COUNTIF($W$7:$W$3001,$W2591)&gt;1,"MÜKERRER?",IF($AD2591&gt;0,"KAPALI DÖNEM",IF($I2591="Hayır","ÖDENECEK","UYGUN")))),"EKSİK"))))</f>
        <v/>
      </c>
      <c r="Q2591" s="2"/>
      <c r="R2591" s="2"/>
      <c r="S2591" s="1" t="str">
        <f t="shared" si="122"/>
        <v/>
      </c>
      <c r="T2591" s="1" t="str">
        <f>IF(OR($C2591="",$D2591&lt;&gt;"Gelir",$L2591=""),"",IFERROR(INDEX(MUSTERILER!$B$7:$B$156,MATCH($S2591,MUSTERILER!$T$7:$T$156,0)),""))</f>
        <v/>
      </c>
      <c r="U2591" s="1" t="str">
        <f>IF($T2591="","",$T2591&amp;"|"&amp;COUNTIFS($T$7:$T2591,$T2591))</f>
        <v/>
      </c>
      <c r="V2591" s="1">
        <f t="shared" si="123"/>
        <v>0</v>
      </c>
      <c r="W2591" s="1" t="str">
        <f t="shared" si="124"/>
        <v/>
      </c>
      <c r="X2591" s="1"/>
      <c r="Y2591" s="1"/>
      <c r="Z2591" s="1"/>
      <c r="AA2591" s="1"/>
      <c r="AB2591" s="1"/>
      <c r="AC2591" s="1"/>
      <c r="AD2591" s="1">
        <f>IF($C2591="",0,SUMPRODUCT((AY_SONU!$O$7:$O$42="Evet")*(AY_SONU!$B$7:$B$42=DATE(YEAR($C2591),MONTH($C2591),1))))</f>
        <v>0</v>
      </c>
      <c r="AE2591" s="1" t="str">
        <f>IF($E2591="","",$E2591&amp;"|"&amp;COUNTIFS($E$7:$E2591,$E2591))</f>
        <v/>
      </c>
    </row>
    <row r="2592" spans="1:31" ht="18" customHeight="1" x14ac:dyDescent="0.3">
      <c r="A2592" s="2"/>
      <c r="B2592" s="65" t="str">
        <f>IF($C2592="","","GG"&amp;TEXT(ROW()-6,"00000"))</f>
        <v/>
      </c>
      <c r="C2592" s="66"/>
      <c r="D2592" s="60"/>
      <c r="E2592" s="61"/>
      <c r="F2592" s="61"/>
      <c r="G2592" s="67"/>
      <c r="H2592" s="60"/>
      <c r="I2592" s="60"/>
      <c r="J2592" s="61"/>
      <c r="K2592" s="61"/>
      <c r="L2592" s="60"/>
      <c r="M2592" s="74" t="str">
        <f>IF($C2592="","",IF($D2592="Gider",$E2592,IF($L2592&lt;&gt;"",$L2592,$H2592)))</f>
        <v/>
      </c>
      <c r="N2592" s="74" t="str">
        <f>IF($C2592="","",IF($D2592="Gider",$H2592,$E2592))</f>
        <v/>
      </c>
      <c r="O2592" s="73" t="str">
        <f>IF($C2592="","",DATE(YEAR($C2592),MONTH($C2592),1))</f>
        <v/>
      </c>
      <c r="P2592" s="65" t="str">
        <f ca="1">IF($C2592="","",IF(AND($D2592="Gelir",$L2592&lt;&gt;"",$T2592=""),"TANIMSIZ BORÇLU",IF($T2592&lt;&gt;"",IF(OR($E2592="",$G2592&lt;=0),"EKSİK",IF($I2592="Evet","TAHAKKUK NAKİT OLAMAZ",IF($C2592&gt;TODAY(),"İLERİ TARİH","TAHAKKUK"))),IF(AND($D2592&lt;&gt;"",$E2592&lt;&gt;"",$G2592&gt;0,$H2592&lt;&gt;"",$I2592&lt;&gt;""),IF($C2592&gt;TODAY(),"İLERİ TARİH",IF(COUNTIF($W$7:$W$3001,$W2592)&gt;1,"MÜKERRER?",IF($AD2592&gt;0,"KAPALI DÖNEM",IF($I2592="Hayır","ÖDENECEK","UYGUN")))),"EKSİK"))))</f>
        <v/>
      </c>
      <c r="Q2592" s="2"/>
      <c r="R2592" s="2"/>
      <c r="S2592" s="1" t="str">
        <f t="shared" si="122"/>
        <v/>
      </c>
      <c r="T2592" s="1" t="str">
        <f>IF(OR($C2592="",$D2592&lt;&gt;"Gelir",$L2592=""),"",IFERROR(INDEX(MUSTERILER!$B$7:$B$156,MATCH($S2592,MUSTERILER!$T$7:$T$156,0)),""))</f>
        <v/>
      </c>
      <c r="U2592" s="1" t="str">
        <f>IF($T2592="","",$T2592&amp;"|"&amp;COUNTIFS($T$7:$T2592,$T2592))</f>
        <v/>
      </c>
      <c r="V2592" s="1">
        <f t="shared" si="123"/>
        <v>0</v>
      </c>
      <c r="W2592" s="1" t="str">
        <f t="shared" si="124"/>
        <v/>
      </c>
      <c r="X2592" s="1"/>
      <c r="Y2592" s="1"/>
      <c r="Z2592" s="1"/>
      <c r="AA2592" s="1"/>
      <c r="AB2592" s="1"/>
      <c r="AC2592" s="1"/>
      <c r="AD2592" s="1">
        <f>IF($C2592="",0,SUMPRODUCT((AY_SONU!$O$7:$O$42="Evet")*(AY_SONU!$B$7:$B$42=DATE(YEAR($C2592),MONTH($C2592),1))))</f>
        <v>0</v>
      </c>
      <c r="AE2592" s="1" t="str">
        <f>IF($E2592="","",$E2592&amp;"|"&amp;COUNTIFS($E$7:$E2592,$E2592))</f>
        <v/>
      </c>
    </row>
    <row r="2593" spans="1:31" ht="18" customHeight="1" x14ac:dyDescent="0.3">
      <c r="A2593" s="2"/>
      <c r="B2593" s="65" t="str">
        <f>IF($C2593="","","GG"&amp;TEXT(ROW()-6,"00000"))</f>
        <v/>
      </c>
      <c r="C2593" s="66"/>
      <c r="D2593" s="60"/>
      <c r="E2593" s="61"/>
      <c r="F2593" s="61"/>
      <c r="G2593" s="67"/>
      <c r="H2593" s="60"/>
      <c r="I2593" s="60"/>
      <c r="J2593" s="61"/>
      <c r="K2593" s="61"/>
      <c r="L2593" s="60"/>
      <c r="M2593" s="74" t="str">
        <f>IF($C2593="","",IF($D2593="Gider",$E2593,IF($L2593&lt;&gt;"",$L2593,$H2593)))</f>
        <v/>
      </c>
      <c r="N2593" s="74" t="str">
        <f>IF($C2593="","",IF($D2593="Gider",$H2593,$E2593))</f>
        <v/>
      </c>
      <c r="O2593" s="73" t="str">
        <f>IF($C2593="","",DATE(YEAR($C2593),MONTH($C2593),1))</f>
        <v/>
      </c>
      <c r="P2593" s="65" t="str">
        <f ca="1">IF($C2593="","",IF(AND($D2593="Gelir",$L2593&lt;&gt;"",$T2593=""),"TANIMSIZ BORÇLU",IF($T2593&lt;&gt;"",IF(OR($E2593="",$G2593&lt;=0),"EKSİK",IF($I2593="Evet","TAHAKKUK NAKİT OLAMAZ",IF($C2593&gt;TODAY(),"İLERİ TARİH","TAHAKKUK"))),IF(AND($D2593&lt;&gt;"",$E2593&lt;&gt;"",$G2593&gt;0,$H2593&lt;&gt;"",$I2593&lt;&gt;""),IF($C2593&gt;TODAY(),"İLERİ TARİH",IF(COUNTIF($W$7:$W$3001,$W2593)&gt;1,"MÜKERRER?",IF($AD2593&gt;0,"KAPALI DÖNEM",IF($I2593="Hayır","ÖDENECEK","UYGUN")))),"EKSİK"))))</f>
        <v/>
      </c>
      <c r="Q2593" s="2"/>
      <c r="R2593" s="2"/>
      <c r="S2593" s="1" t="str">
        <f t="shared" si="122"/>
        <v/>
      </c>
      <c r="T2593" s="1" t="str">
        <f>IF(OR($C2593="",$D2593&lt;&gt;"Gelir",$L2593=""),"",IFERROR(INDEX(MUSTERILER!$B$7:$B$156,MATCH($S2593,MUSTERILER!$T$7:$T$156,0)),""))</f>
        <v/>
      </c>
      <c r="U2593" s="1" t="str">
        <f>IF($T2593="","",$T2593&amp;"|"&amp;COUNTIFS($T$7:$T2593,$T2593))</f>
        <v/>
      </c>
      <c r="V2593" s="1">
        <f t="shared" si="123"/>
        <v>0</v>
      </c>
      <c r="W2593" s="1" t="str">
        <f t="shared" si="124"/>
        <v/>
      </c>
      <c r="X2593" s="1"/>
      <c r="Y2593" s="1"/>
      <c r="Z2593" s="1"/>
      <c r="AA2593" s="1"/>
      <c r="AB2593" s="1"/>
      <c r="AC2593" s="1"/>
      <c r="AD2593" s="1">
        <f>IF($C2593="",0,SUMPRODUCT((AY_SONU!$O$7:$O$42="Evet")*(AY_SONU!$B$7:$B$42=DATE(YEAR($C2593),MONTH($C2593),1))))</f>
        <v>0</v>
      </c>
      <c r="AE2593" s="1" t="str">
        <f>IF($E2593="","",$E2593&amp;"|"&amp;COUNTIFS($E$7:$E2593,$E2593))</f>
        <v/>
      </c>
    </row>
    <row r="2594" spans="1:31" ht="18" customHeight="1" x14ac:dyDescent="0.3">
      <c r="A2594" s="2"/>
      <c r="B2594" s="65" t="str">
        <f>IF($C2594="","","GG"&amp;TEXT(ROW()-6,"00000"))</f>
        <v/>
      </c>
      <c r="C2594" s="66"/>
      <c r="D2594" s="60"/>
      <c r="E2594" s="61"/>
      <c r="F2594" s="61"/>
      <c r="G2594" s="67"/>
      <c r="H2594" s="60"/>
      <c r="I2594" s="60"/>
      <c r="J2594" s="61"/>
      <c r="K2594" s="61"/>
      <c r="L2594" s="60"/>
      <c r="M2594" s="74" t="str">
        <f>IF($C2594="","",IF($D2594="Gider",$E2594,IF($L2594&lt;&gt;"",$L2594,$H2594)))</f>
        <v/>
      </c>
      <c r="N2594" s="74" t="str">
        <f>IF($C2594="","",IF($D2594="Gider",$H2594,$E2594))</f>
        <v/>
      </c>
      <c r="O2594" s="73" t="str">
        <f>IF($C2594="","",DATE(YEAR($C2594),MONTH($C2594),1))</f>
        <v/>
      </c>
      <c r="P2594" s="65" t="str">
        <f ca="1">IF($C2594="","",IF(AND($D2594="Gelir",$L2594&lt;&gt;"",$T2594=""),"TANIMSIZ BORÇLU",IF($T2594&lt;&gt;"",IF(OR($E2594="",$G2594&lt;=0),"EKSİK",IF($I2594="Evet","TAHAKKUK NAKİT OLAMAZ",IF($C2594&gt;TODAY(),"İLERİ TARİH","TAHAKKUK"))),IF(AND($D2594&lt;&gt;"",$E2594&lt;&gt;"",$G2594&gt;0,$H2594&lt;&gt;"",$I2594&lt;&gt;""),IF($C2594&gt;TODAY(),"İLERİ TARİH",IF(COUNTIF($W$7:$W$3001,$W2594)&gt;1,"MÜKERRER?",IF($AD2594&gt;0,"KAPALI DÖNEM",IF($I2594="Hayır","ÖDENECEK","UYGUN")))),"EKSİK"))))</f>
        <v/>
      </c>
      <c r="Q2594" s="2"/>
      <c r="R2594" s="2"/>
      <c r="S2594" s="1" t="str">
        <f t="shared" si="122"/>
        <v/>
      </c>
      <c r="T2594" s="1" t="str">
        <f>IF(OR($C2594="",$D2594&lt;&gt;"Gelir",$L2594=""),"",IFERROR(INDEX(MUSTERILER!$B$7:$B$156,MATCH($S2594,MUSTERILER!$T$7:$T$156,0)),""))</f>
        <v/>
      </c>
      <c r="U2594" s="1" t="str">
        <f>IF($T2594="","",$T2594&amp;"|"&amp;COUNTIFS($T$7:$T2594,$T2594))</f>
        <v/>
      </c>
      <c r="V2594" s="1">
        <f t="shared" si="123"/>
        <v>0</v>
      </c>
      <c r="W2594" s="1" t="str">
        <f t="shared" si="124"/>
        <v/>
      </c>
      <c r="X2594" s="1"/>
      <c r="Y2594" s="1"/>
      <c r="Z2594" s="1"/>
      <c r="AA2594" s="1"/>
      <c r="AB2594" s="1"/>
      <c r="AC2594" s="1"/>
      <c r="AD2594" s="1">
        <f>IF($C2594="",0,SUMPRODUCT((AY_SONU!$O$7:$O$42="Evet")*(AY_SONU!$B$7:$B$42=DATE(YEAR($C2594),MONTH($C2594),1))))</f>
        <v>0</v>
      </c>
      <c r="AE2594" s="1" t="str">
        <f>IF($E2594="","",$E2594&amp;"|"&amp;COUNTIFS($E$7:$E2594,$E2594))</f>
        <v/>
      </c>
    </row>
    <row r="2595" spans="1:31" ht="18" customHeight="1" x14ac:dyDescent="0.3">
      <c r="A2595" s="2"/>
      <c r="B2595" s="65" t="str">
        <f>IF($C2595="","","GG"&amp;TEXT(ROW()-6,"00000"))</f>
        <v/>
      </c>
      <c r="C2595" s="66"/>
      <c r="D2595" s="60"/>
      <c r="E2595" s="61"/>
      <c r="F2595" s="61"/>
      <c r="G2595" s="67"/>
      <c r="H2595" s="60"/>
      <c r="I2595" s="60"/>
      <c r="J2595" s="61"/>
      <c r="K2595" s="61"/>
      <c r="L2595" s="60"/>
      <c r="M2595" s="74" t="str">
        <f>IF($C2595="","",IF($D2595="Gider",$E2595,IF($L2595&lt;&gt;"",$L2595,$H2595)))</f>
        <v/>
      </c>
      <c r="N2595" s="74" t="str">
        <f>IF($C2595="","",IF($D2595="Gider",$H2595,$E2595))</f>
        <v/>
      </c>
      <c r="O2595" s="73" t="str">
        <f>IF($C2595="","",DATE(YEAR($C2595),MONTH($C2595),1))</f>
        <v/>
      </c>
      <c r="P2595" s="65" t="str">
        <f ca="1">IF($C2595="","",IF(AND($D2595="Gelir",$L2595&lt;&gt;"",$T2595=""),"TANIMSIZ BORÇLU",IF($T2595&lt;&gt;"",IF(OR($E2595="",$G2595&lt;=0),"EKSİK",IF($I2595="Evet","TAHAKKUK NAKİT OLAMAZ",IF($C2595&gt;TODAY(),"İLERİ TARİH","TAHAKKUK"))),IF(AND($D2595&lt;&gt;"",$E2595&lt;&gt;"",$G2595&gt;0,$H2595&lt;&gt;"",$I2595&lt;&gt;""),IF($C2595&gt;TODAY(),"İLERİ TARİH",IF(COUNTIF($W$7:$W$3001,$W2595)&gt;1,"MÜKERRER?",IF($AD2595&gt;0,"KAPALI DÖNEM",IF($I2595="Hayır","ÖDENECEK","UYGUN")))),"EKSİK"))))</f>
        <v/>
      </c>
      <c r="Q2595" s="2"/>
      <c r="R2595" s="2"/>
      <c r="S2595" s="1" t="str">
        <f t="shared" si="122"/>
        <v/>
      </c>
      <c r="T2595" s="1" t="str">
        <f>IF(OR($C2595="",$D2595&lt;&gt;"Gelir",$L2595=""),"",IFERROR(INDEX(MUSTERILER!$B$7:$B$156,MATCH($S2595,MUSTERILER!$T$7:$T$156,0)),""))</f>
        <v/>
      </c>
      <c r="U2595" s="1" t="str">
        <f>IF($T2595="","",$T2595&amp;"|"&amp;COUNTIFS($T$7:$T2595,$T2595))</f>
        <v/>
      </c>
      <c r="V2595" s="1">
        <f t="shared" si="123"/>
        <v>0</v>
      </c>
      <c r="W2595" s="1" t="str">
        <f t="shared" si="124"/>
        <v/>
      </c>
      <c r="X2595" s="1"/>
      <c r="Y2595" s="1"/>
      <c r="Z2595" s="1"/>
      <c r="AA2595" s="1"/>
      <c r="AB2595" s="1"/>
      <c r="AC2595" s="1"/>
      <c r="AD2595" s="1">
        <f>IF($C2595="",0,SUMPRODUCT((AY_SONU!$O$7:$O$42="Evet")*(AY_SONU!$B$7:$B$42=DATE(YEAR($C2595),MONTH($C2595),1))))</f>
        <v>0</v>
      </c>
      <c r="AE2595" s="1" t="str">
        <f>IF($E2595="","",$E2595&amp;"|"&amp;COUNTIFS($E$7:$E2595,$E2595))</f>
        <v/>
      </c>
    </row>
    <row r="2596" spans="1:31" ht="18" customHeight="1" x14ac:dyDescent="0.3">
      <c r="A2596" s="2"/>
      <c r="B2596" s="65" t="str">
        <f>IF($C2596="","","GG"&amp;TEXT(ROW()-6,"00000"))</f>
        <v/>
      </c>
      <c r="C2596" s="66"/>
      <c r="D2596" s="60"/>
      <c r="E2596" s="61"/>
      <c r="F2596" s="61"/>
      <c r="G2596" s="67"/>
      <c r="H2596" s="60"/>
      <c r="I2596" s="60"/>
      <c r="J2596" s="61"/>
      <c r="K2596" s="61"/>
      <c r="L2596" s="60"/>
      <c r="M2596" s="74" t="str">
        <f>IF($C2596="","",IF($D2596="Gider",$E2596,IF($L2596&lt;&gt;"",$L2596,$H2596)))</f>
        <v/>
      </c>
      <c r="N2596" s="74" t="str">
        <f>IF($C2596="","",IF($D2596="Gider",$H2596,$E2596))</f>
        <v/>
      </c>
      <c r="O2596" s="73" t="str">
        <f>IF($C2596="","",DATE(YEAR($C2596),MONTH($C2596),1))</f>
        <v/>
      </c>
      <c r="P2596" s="65" t="str">
        <f ca="1">IF($C2596="","",IF(AND($D2596="Gelir",$L2596&lt;&gt;"",$T2596=""),"TANIMSIZ BORÇLU",IF($T2596&lt;&gt;"",IF(OR($E2596="",$G2596&lt;=0),"EKSİK",IF($I2596="Evet","TAHAKKUK NAKİT OLAMAZ",IF($C2596&gt;TODAY(),"İLERİ TARİH","TAHAKKUK"))),IF(AND($D2596&lt;&gt;"",$E2596&lt;&gt;"",$G2596&gt;0,$H2596&lt;&gt;"",$I2596&lt;&gt;""),IF($C2596&gt;TODAY(),"İLERİ TARİH",IF(COUNTIF($W$7:$W$3001,$W2596)&gt;1,"MÜKERRER?",IF($AD2596&gt;0,"KAPALI DÖNEM",IF($I2596="Hayır","ÖDENECEK","UYGUN")))),"EKSİK"))))</f>
        <v/>
      </c>
      <c r="Q2596" s="2"/>
      <c r="R2596" s="2"/>
      <c r="S2596" s="1" t="str">
        <f t="shared" si="122"/>
        <v/>
      </c>
      <c r="T2596" s="1" t="str">
        <f>IF(OR($C2596="",$D2596&lt;&gt;"Gelir",$L2596=""),"",IFERROR(INDEX(MUSTERILER!$B$7:$B$156,MATCH($S2596,MUSTERILER!$T$7:$T$156,0)),""))</f>
        <v/>
      </c>
      <c r="U2596" s="1" t="str">
        <f>IF($T2596="","",$T2596&amp;"|"&amp;COUNTIFS($T$7:$T2596,$T2596))</f>
        <v/>
      </c>
      <c r="V2596" s="1">
        <f t="shared" si="123"/>
        <v>0</v>
      </c>
      <c r="W2596" s="1" t="str">
        <f t="shared" si="124"/>
        <v/>
      </c>
      <c r="X2596" s="1"/>
      <c r="Y2596" s="1"/>
      <c r="Z2596" s="1"/>
      <c r="AA2596" s="1"/>
      <c r="AB2596" s="1"/>
      <c r="AC2596" s="1"/>
      <c r="AD2596" s="1">
        <f>IF($C2596="",0,SUMPRODUCT((AY_SONU!$O$7:$O$42="Evet")*(AY_SONU!$B$7:$B$42=DATE(YEAR($C2596),MONTH($C2596),1))))</f>
        <v>0</v>
      </c>
      <c r="AE2596" s="1" t="str">
        <f>IF($E2596="","",$E2596&amp;"|"&amp;COUNTIFS($E$7:$E2596,$E2596))</f>
        <v/>
      </c>
    </row>
    <row r="2597" spans="1:31" ht="18" customHeight="1" x14ac:dyDescent="0.3">
      <c r="A2597" s="2"/>
      <c r="B2597" s="65" t="str">
        <f>IF($C2597="","","GG"&amp;TEXT(ROW()-6,"00000"))</f>
        <v/>
      </c>
      <c r="C2597" s="66"/>
      <c r="D2597" s="60"/>
      <c r="E2597" s="61"/>
      <c r="F2597" s="61"/>
      <c r="G2597" s="67"/>
      <c r="H2597" s="60"/>
      <c r="I2597" s="60"/>
      <c r="J2597" s="61"/>
      <c r="K2597" s="61"/>
      <c r="L2597" s="60"/>
      <c r="M2597" s="74" t="str">
        <f>IF($C2597="","",IF($D2597="Gider",$E2597,IF($L2597&lt;&gt;"",$L2597,$H2597)))</f>
        <v/>
      </c>
      <c r="N2597" s="74" t="str">
        <f>IF($C2597="","",IF($D2597="Gider",$H2597,$E2597))</f>
        <v/>
      </c>
      <c r="O2597" s="73" t="str">
        <f>IF($C2597="","",DATE(YEAR($C2597),MONTH($C2597),1))</f>
        <v/>
      </c>
      <c r="P2597" s="65" t="str">
        <f ca="1">IF($C2597="","",IF(AND($D2597="Gelir",$L2597&lt;&gt;"",$T2597=""),"TANIMSIZ BORÇLU",IF($T2597&lt;&gt;"",IF(OR($E2597="",$G2597&lt;=0),"EKSİK",IF($I2597="Evet","TAHAKKUK NAKİT OLAMAZ",IF($C2597&gt;TODAY(),"İLERİ TARİH","TAHAKKUK"))),IF(AND($D2597&lt;&gt;"",$E2597&lt;&gt;"",$G2597&gt;0,$H2597&lt;&gt;"",$I2597&lt;&gt;""),IF($C2597&gt;TODAY(),"İLERİ TARİH",IF(COUNTIF($W$7:$W$3001,$W2597)&gt;1,"MÜKERRER?",IF($AD2597&gt;0,"KAPALI DÖNEM",IF($I2597="Hayır","ÖDENECEK","UYGUN")))),"EKSİK"))))</f>
        <v/>
      </c>
      <c r="Q2597" s="2"/>
      <c r="R2597" s="2"/>
      <c r="S2597" s="1" t="str">
        <f t="shared" si="122"/>
        <v/>
      </c>
      <c r="T2597" s="1" t="str">
        <f>IF(OR($C2597="",$D2597&lt;&gt;"Gelir",$L2597=""),"",IFERROR(INDEX(MUSTERILER!$B$7:$B$156,MATCH($S2597,MUSTERILER!$T$7:$T$156,0)),""))</f>
        <v/>
      </c>
      <c r="U2597" s="1" t="str">
        <f>IF($T2597="","",$T2597&amp;"|"&amp;COUNTIFS($T$7:$T2597,$T2597))</f>
        <v/>
      </c>
      <c r="V2597" s="1">
        <f t="shared" si="123"/>
        <v>0</v>
      </c>
      <c r="W2597" s="1" t="str">
        <f t="shared" si="124"/>
        <v/>
      </c>
      <c r="X2597" s="1"/>
      <c r="Y2597" s="1"/>
      <c r="Z2597" s="1"/>
      <c r="AA2597" s="1"/>
      <c r="AB2597" s="1"/>
      <c r="AC2597" s="1"/>
      <c r="AD2597" s="1">
        <f>IF($C2597="",0,SUMPRODUCT((AY_SONU!$O$7:$O$42="Evet")*(AY_SONU!$B$7:$B$42=DATE(YEAR($C2597),MONTH($C2597),1))))</f>
        <v>0</v>
      </c>
      <c r="AE2597" s="1" t="str">
        <f>IF($E2597="","",$E2597&amp;"|"&amp;COUNTIFS($E$7:$E2597,$E2597))</f>
        <v/>
      </c>
    </row>
    <row r="2598" spans="1:31" ht="18" customHeight="1" x14ac:dyDescent="0.3">
      <c r="A2598" s="2"/>
      <c r="B2598" s="65" t="str">
        <f>IF($C2598="","","GG"&amp;TEXT(ROW()-6,"00000"))</f>
        <v/>
      </c>
      <c r="C2598" s="66"/>
      <c r="D2598" s="60"/>
      <c r="E2598" s="61"/>
      <c r="F2598" s="61"/>
      <c r="G2598" s="67"/>
      <c r="H2598" s="60"/>
      <c r="I2598" s="60"/>
      <c r="J2598" s="61"/>
      <c r="K2598" s="61"/>
      <c r="L2598" s="60"/>
      <c r="M2598" s="74" t="str">
        <f>IF($C2598="","",IF($D2598="Gider",$E2598,IF($L2598&lt;&gt;"",$L2598,$H2598)))</f>
        <v/>
      </c>
      <c r="N2598" s="74" t="str">
        <f>IF($C2598="","",IF($D2598="Gider",$H2598,$E2598))</f>
        <v/>
      </c>
      <c r="O2598" s="73" t="str">
        <f>IF($C2598="","",DATE(YEAR($C2598),MONTH($C2598),1))</f>
        <v/>
      </c>
      <c r="P2598" s="65" t="str">
        <f ca="1">IF($C2598="","",IF(AND($D2598="Gelir",$L2598&lt;&gt;"",$T2598=""),"TANIMSIZ BORÇLU",IF($T2598&lt;&gt;"",IF(OR($E2598="",$G2598&lt;=0),"EKSİK",IF($I2598="Evet","TAHAKKUK NAKİT OLAMAZ",IF($C2598&gt;TODAY(),"İLERİ TARİH","TAHAKKUK"))),IF(AND($D2598&lt;&gt;"",$E2598&lt;&gt;"",$G2598&gt;0,$H2598&lt;&gt;"",$I2598&lt;&gt;""),IF($C2598&gt;TODAY(),"İLERİ TARİH",IF(COUNTIF($W$7:$W$3001,$W2598)&gt;1,"MÜKERRER?",IF($AD2598&gt;0,"KAPALI DÖNEM",IF($I2598="Hayır","ÖDENECEK","UYGUN")))),"EKSİK"))))</f>
        <v/>
      </c>
      <c r="Q2598" s="2"/>
      <c r="R2598" s="2"/>
      <c r="S2598" s="1" t="str">
        <f t="shared" si="122"/>
        <v/>
      </c>
      <c r="T2598" s="1" t="str">
        <f>IF(OR($C2598="",$D2598&lt;&gt;"Gelir",$L2598=""),"",IFERROR(INDEX(MUSTERILER!$B$7:$B$156,MATCH($S2598,MUSTERILER!$T$7:$T$156,0)),""))</f>
        <v/>
      </c>
      <c r="U2598" s="1" t="str">
        <f>IF($T2598="","",$T2598&amp;"|"&amp;COUNTIFS($T$7:$T2598,$T2598))</f>
        <v/>
      </c>
      <c r="V2598" s="1">
        <f t="shared" si="123"/>
        <v>0</v>
      </c>
      <c r="W2598" s="1" t="str">
        <f t="shared" si="124"/>
        <v/>
      </c>
      <c r="X2598" s="1"/>
      <c r="Y2598" s="1"/>
      <c r="Z2598" s="1"/>
      <c r="AA2598" s="1"/>
      <c r="AB2598" s="1"/>
      <c r="AC2598" s="1"/>
      <c r="AD2598" s="1">
        <f>IF($C2598="",0,SUMPRODUCT((AY_SONU!$O$7:$O$42="Evet")*(AY_SONU!$B$7:$B$42=DATE(YEAR($C2598),MONTH($C2598),1))))</f>
        <v>0</v>
      </c>
      <c r="AE2598" s="1" t="str">
        <f>IF($E2598="","",$E2598&amp;"|"&amp;COUNTIFS($E$7:$E2598,$E2598))</f>
        <v/>
      </c>
    </row>
    <row r="2599" spans="1:31" ht="18" customHeight="1" x14ac:dyDescent="0.3">
      <c r="A2599" s="2"/>
      <c r="B2599" s="65" t="str">
        <f>IF($C2599="","","GG"&amp;TEXT(ROW()-6,"00000"))</f>
        <v/>
      </c>
      <c r="C2599" s="66"/>
      <c r="D2599" s="60"/>
      <c r="E2599" s="61"/>
      <c r="F2599" s="61"/>
      <c r="G2599" s="67"/>
      <c r="H2599" s="60"/>
      <c r="I2599" s="60"/>
      <c r="J2599" s="61"/>
      <c r="K2599" s="61"/>
      <c r="L2599" s="60"/>
      <c r="M2599" s="74" t="str">
        <f>IF($C2599="","",IF($D2599="Gider",$E2599,IF($L2599&lt;&gt;"",$L2599,$H2599)))</f>
        <v/>
      </c>
      <c r="N2599" s="74" t="str">
        <f>IF($C2599="","",IF($D2599="Gider",$H2599,$E2599))</f>
        <v/>
      </c>
      <c r="O2599" s="73" t="str">
        <f>IF($C2599="","",DATE(YEAR($C2599),MONTH($C2599),1))</f>
        <v/>
      </c>
      <c r="P2599" s="65" t="str">
        <f ca="1">IF($C2599="","",IF(AND($D2599="Gelir",$L2599&lt;&gt;"",$T2599=""),"TANIMSIZ BORÇLU",IF($T2599&lt;&gt;"",IF(OR($E2599="",$G2599&lt;=0),"EKSİK",IF($I2599="Evet","TAHAKKUK NAKİT OLAMAZ",IF($C2599&gt;TODAY(),"İLERİ TARİH","TAHAKKUK"))),IF(AND($D2599&lt;&gt;"",$E2599&lt;&gt;"",$G2599&gt;0,$H2599&lt;&gt;"",$I2599&lt;&gt;""),IF($C2599&gt;TODAY(),"İLERİ TARİH",IF(COUNTIF($W$7:$W$3001,$W2599)&gt;1,"MÜKERRER?",IF($AD2599&gt;0,"KAPALI DÖNEM",IF($I2599="Hayır","ÖDENECEK","UYGUN")))),"EKSİK"))))</f>
        <v/>
      </c>
      <c r="Q2599" s="2"/>
      <c r="R2599" s="2"/>
      <c r="S2599" s="1" t="str">
        <f t="shared" si="122"/>
        <v/>
      </c>
      <c r="T2599" s="1" t="str">
        <f>IF(OR($C2599="",$D2599&lt;&gt;"Gelir",$L2599=""),"",IFERROR(INDEX(MUSTERILER!$B$7:$B$156,MATCH($S2599,MUSTERILER!$T$7:$T$156,0)),""))</f>
        <v/>
      </c>
      <c r="U2599" s="1" t="str">
        <f>IF($T2599="","",$T2599&amp;"|"&amp;COUNTIFS($T$7:$T2599,$T2599))</f>
        <v/>
      </c>
      <c r="V2599" s="1">
        <f t="shared" si="123"/>
        <v>0</v>
      </c>
      <c r="W2599" s="1" t="str">
        <f t="shared" si="124"/>
        <v/>
      </c>
      <c r="X2599" s="1"/>
      <c r="Y2599" s="1"/>
      <c r="Z2599" s="1"/>
      <c r="AA2599" s="1"/>
      <c r="AB2599" s="1"/>
      <c r="AC2599" s="1"/>
      <c r="AD2599" s="1">
        <f>IF($C2599="",0,SUMPRODUCT((AY_SONU!$O$7:$O$42="Evet")*(AY_SONU!$B$7:$B$42=DATE(YEAR($C2599),MONTH($C2599),1))))</f>
        <v>0</v>
      </c>
      <c r="AE2599" s="1" t="str">
        <f>IF($E2599="","",$E2599&amp;"|"&amp;COUNTIFS($E$7:$E2599,$E2599))</f>
        <v/>
      </c>
    </row>
    <row r="2600" spans="1:31" ht="18" customHeight="1" x14ac:dyDescent="0.3">
      <c r="A2600" s="2"/>
      <c r="B2600" s="65" t="str">
        <f>IF($C2600="","","GG"&amp;TEXT(ROW()-6,"00000"))</f>
        <v/>
      </c>
      <c r="C2600" s="66"/>
      <c r="D2600" s="60"/>
      <c r="E2600" s="61"/>
      <c r="F2600" s="61"/>
      <c r="G2600" s="67"/>
      <c r="H2600" s="60"/>
      <c r="I2600" s="60"/>
      <c r="J2600" s="61"/>
      <c r="K2600" s="61"/>
      <c r="L2600" s="60"/>
      <c r="M2600" s="74" t="str">
        <f>IF($C2600="","",IF($D2600="Gider",$E2600,IF($L2600&lt;&gt;"",$L2600,$H2600)))</f>
        <v/>
      </c>
      <c r="N2600" s="74" t="str">
        <f>IF($C2600="","",IF($D2600="Gider",$H2600,$E2600))</f>
        <v/>
      </c>
      <c r="O2600" s="73" t="str">
        <f>IF($C2600="","",DATE(YEAR($C2600),MONTH($C2600),1))</f>
        <v/>
      </c>
      <c r="P2600" s="65" t="str">
        <f ca="1">IF($C2600="","",IF(AND($D2600="Gelir",$L2600&lt;&gt;"",$T2600=""),"TANIMSIZ BORÇLU",IF($T2600&lt;&gt;"",IF(OR($E2600="",$G2600&lt;=0),"EKSİK",IF($I2600="Evet","TAHAKKUK NAKİT OLAMAZ",IF($C2600&gt;TODAY(),"İLERİ TARİH","TAHAKKUK"))),IF(AND($D2600&lt;&gt;"",$E2600&lt;&gt;"",$G2600&gt;0,$H2600&lt;&gt;"",$I2600&lt;&gt;""),IF($C2600&gt;TODAY(),"İLERİ TARİH",IF(COUNTIF($W$7:$W$3001,$W2600)&gt;1,"MÜKERRER?",IF($AD2600&gt;0,"KAPALI DÖNEM",IF($I2600="Hayır","ÖDENECEK","UYGUN")))),"EKSİK"))))</f>
        <v/>
      </c>
      <c r="Q2600" s="2"/>
      <c r="R2600" s="2"/>
      <c r="S2600" s="1" t="str">
        <f t="shared" si="122"/>
        <v/>
      </c>
      <c r="T2600" s="1" t="str">
        <f>IF(OR($C2600="",$D2600&lt;&gt;"Gelir",$L2600=""),"",IFERROR(INDEX(MUSTERILER!$B$7:$B$156,MATCH($S2600,MUSTERILER!$T$7:$T$156,0)),""))</f>
        <v/>
      </c>
      <c r="U2600" s="1" t="str">
        <f>IF($T2600="","",$T2600&amp;"|"&amp;COUNTIFS($T$7:$T2600,$T2600))</f>
        <v/>
      </c>
      <c r="V2600" s="1">
        <f t="shared" si="123"/>
        <v>0</v>
      </c>
      <c r="W2600" s="1" t="str">
        <f t="shared" si="124"/>
        <v/>
      </c>
      <c r="X2600" s="1"/>
      <c r="Y2600" s="1"/>
      <c r="Z2600" s="1"/>
      <c r="AA2600" s="1"/>
      <c r="AB2600" s="1"/>
      <c r="AC2600" s="1"/>
      <c r="AD2600" s="1">
        <f>IF($C2600="",0,SUMPRODUCT((AY_SONU!$O$7:$O$42="Evet")*(AY_SONU!$B$7:$B$42=DATE(YEAR($C2600),MONTH($C2600),1))))</f>
        <v>0</v>
      </c>
      <c r="AE2600" s="1" t="str">
        <f>IF($E2600="","",$E2600&amp;"|"&amp;COUNTIFS($E$7:$E2600,$E2600))</f>
        <v/>
      </c>
    </row>
    <row r="2601" spans="1:31" ht="18" customHeight="1" x14ac:dyDescent="0.3">
      <c r="A2601" s="2"/>
      <c r="B2601" s="65" t="str">
        <f>IF($C2601="","","GG"&amp;TEXT(ROW()-6,"00000"))</f>
        <v/>
      </c>
      <c r="C2601" s="66"/>
      <c r="D2601" s="60"/>
      <c r="E2601" s="61"/>
      <c r="F2601" s="61"/>
      <c r="G2601" s="67"/>
      <c r="H2601" s="60"/>
      <c r="I2601" s="60"/>
      <c r="J2601" s="61"/>
      <c r="K2601" s="61"/>
      <c r="L2601" s="60"/>
      <c r="M2601" s="74" t="str">
        <f>IF($C2601="","",IF($D2601="Gider",$E2601,IF($L2601&lt;&gt;"",$L2601,$H2601)))</f>
        <v/>
      </c>
      <c r="N2601" s="74" t="str">
        <f>IF($C2601="","",IF($D2601="Gider",$H2601,$E2601))</f>
        <v/>
      </c>
      <c r="O2601" s="73" t="str">
        <f>IF($C2601="","",DATE(YEAR($C2601),MONTH($C2601),1))</f>
        <v/>
      </c>
      <c r="P2601" s="65" t="str">
        <f ca="1">IF($C2601="","",IF(AND($D2601="Gelir",$L2601&lt;&gt;"",$T2601=""),"TANIMSIZ BORÇLU",IF($T2601&lt;&gt;"",IF(OR($E2601="",$G2601&lt;=0),"EKSİK",IF($I2601="Evet","TAHAKKUK NAKİT OLAMAZ",IF($C2601&gt;TODAY(),"İLERİ TARİH","TAHAKKUK"))),IF(AND($D2601&lt;&gt;"",$E2601&lt;&gt;"",$G2601&gt;0,$H2601&lt;&gt;"",$I2601&lt;&gt;""),IF($C2601&gt;TODAY(),"İLERİ TARİH",IF(COUNTIF($W$7:$W$3001,$W2601)&gt;1,"MÜKERRER?",IF($AD2601&gt;0,"KAPALI DÖNEM",IF($I2601="Hayır","ÖDENECEK","UYGUN")))),"EKSİK"))))</f>
        <v/>
      </c>
      <c r="Q2601" s="2"/>
      <c r="R2601" s="2"/>
      <c r="S2601" s="1" t="str">
        <f t="shared" si="122"/>
        <v/>
      </c>
      <c r="T2601" s="1" t="str">
        <f>IF(OR($C2601="",$D2601&lt;&gt;"Gelir",$L2601=""),"",IFERROR(INDEX(MUSTERILER!$B$7:$B$156,MATCH($S2601,MUSTERILER!$T$7:$T$156,0)),""))</f>
        <v/>
      </c>
      <c r="U2601" s="1" t="str">
        <f>IF($T2601="","",$T2601&amp;"|"&amp;COUNTIFS($T$7:$T2601,$T2601))</f>
        <v/>
      </c>
      <c r="V2601" s="1">
        <f t="shared" si="123"/>
        <v>0</v>
      </c>
      <c r="W2601" s="1" t="str">
        <f t="shared" si="124"/>
        <v/>
      </c>
      <c r="X2601" s="1"/>
      <c r="Y2601" s="1"/>
      <c r="Z2601" s="1"/>
      <c r="AA2601" s="1"/>
      <c r="AB2601" s="1"/>
      <c r="AC2601" s="1"/>
      <c r="AD2601" s="1">
        <f>IF($C2601="",0,SUMPRODUCT((AY_SONU!$O$7:$O$42="Evet")*(AY_SONU!$B$7:$B$42=DATE(YEAR($C2601),MONTH($C2601),1))))</f>
        <v>0</v>
      </c>
      <c r="AE2601" s="1" t="str">
        <f>IF($E2601="","",$E2601&amp;"|"&amp;COUNTIFS($E$7:$E2601,$E2601))</f>
        <v/>
      </c>
    </row>
    <row r="2602" spans="1:31" ht="18" customHeight="1" x14ac:dyDescent="0.3">
      <c r="A2602" s="2"/>
      <c r="B2602" s="65" t="str">
        <f>IF($C2602="","","GG"&amp;TEXT(ROW()-6,"00000"))</f>
        <v/>
      </c>
      <c r="C2602" s="66"/>
      <c r="D2602" s="60"/>
      <c r="E2602" s="61"/>
      <c r="F2602" s="61"/>
      <c r="G2602" s="67"/>
      <c r="H2602" s="60"/>
      <c r="I2602" s="60"/>
      <c r="J2602" s="61"/>
      <c r="K2602" s="61"/>
      <c r="L2602" s="60"/>
      <c r="M2602" s="74" t="str">
        <f>IF($C2602="","",IF($D2602="Gider",$E2602,IF($L2602&lt;&gt;"",$L2602,$H2602)))</f>
        <v/>
      </c>
      <c r="N2602" s="74" t="str">
        <f>IF($C2602="","",IF($D2602="Gider",$H2602,$E2602))</f>
        <v/>
      </c>
      <c r="O2602" s="73" t="str">
        <f>IF($C2602="","",DATE(YEAR($C2602),MONTH($C2602),1))</f>
        <v/>
      </c>
      <c r="P2602" s="65" t="str">
        <f ca="1">IF($C2602="","",IF(AND($D2602="Gelir",$L2602&lt;&gt;"",$T2602=""),"TANIMSIZ BORÇLU",IF($T2602&lt;&gt;"",IF(OR($E2602="",$G2602&lt;=0),"EKSİK",IF($I2602="Evet","TAHAKKUK NAKİT OLAMAZ",IF($C2602&gt;TODAY(),"İLERİ TARİH","TAHAKKUK"))),IF(AND($D2602&lt;&gt;"",$E2602&lt;&gt;"",$G2602&gt;0,$H2602&lt;&gt;"",$I2602&lt;&gt;""),IF($C2602&gt;TODAY(),"İLERİ TARİH",IF(COUNTIF($W$7:$W$3001,$W2602)&gt;1,"MÜKERRER?",IF($AD2602&gt;0,"KAPALI DÖNEM",IF($I2602="Hayır","ÖDENECEK","UYGUN")))),"EKSİK"))))</f>
        <v/>
      </c>
      <c r="Q2602" s="2"/>
      <c r="R2602" s="2"/>
      <c r="S2602" s="1" t="str">
        <f t="shared" si="122"/>
        <v/>
      </c>
      <c r="T2602" s="1" t="str">
        <f>IF(OR($C2602="",$D2602&lt;&gt;"Gelir",$L2602=""),"",IFERROR(INDEX(MUSTERILER!$B$7:$B$156,MATCH($S2602,MUSTERILER!$T$7:$T$156,0)),""))</f>
        <v/>
      </c>
      <c r="U2602" s="1" t="str">
        <f>IF($T2602="","",$T2602&amp;"|"&amp;COUNTIFS($T$7:$T2602,$T2602))</f>
        <v/>
      </c>
      <c r="V2602" s="1">
        <f t="shared" si="123"/>
        <v>0</v>
      </c>
      <c r="W2602" s="1" t="str">
        <f t="shared" si="124"/>
        <v/>
      </c>
      <c r="X2602" s="1"/>
      <c r="Y2602" s="1"/>
      <c r="Z2602" s="1"/>
      <c r="AA2602" s="1"/>
      <c r="AB2602" s="1"/>
      <c r="AC2602" s="1"/>
      <c r="AD2602" s="1">
        <f>IF($C2602="",0,SUMPRODUCT((AY_SONU!$O$7:$O$42="Evet")*(AY_SONU!$B$7:$B$42=DATE(YEAR($C2602),MONTH($C2602),1))))</f>
        <v>0</v>
      </c>
      <c r="AE2602" s="1" t="str">
        <f>IF($E2602="","",$E2602&amp;"|"&amp;COUNTIFS($E$7:$E2602,$E2602))</f>
        <v/>
      </c>
    </row>
    <row r="2603" spans="1:31" ht="18" customHeight="1" x14ac:dyDescent="0.3">
      <c r="A2603" s="2"/>
      <c r="B2603" s="65" t="str">
        <f>IF($C2603="","","GG"&amp;TEXT(ROW()-6,"00000"))</f>
        <v/>
      </c>
      <c r="C2603" s="66"/>
      <c r="D2603" s="60"/>
      <c r="E2603" s="61"/>
      <c r="F2603" s="61"/>
      <c r="G2603" s="67"/>
      <c r="H2603" s="60"/>
      <c r="I2603" s="60"/>
      <c r="J2603" s="61"/>
      <c r="K2603" s="61"/>
      <c r="L2603" s="60"/>
      <c r="M2603" s="74" t="str">
        <f>IF($C2603="","",IF($D2603="Gider",$E2603,IF($L2603&lt;&gt;"",$L2603,$H2603)))</f>
        <v/>
      </c>
      <c r="N2603" s="74" t="str">
        <f>IF($C2603="","",IF($D2603="Gider",$H2603,$E2603))</f>
        <v/>
      </c>
      <c r="O2603" s="73" t="str">
        <f>IF($C2603="","",DATE(YEAR($C2603),MONTH($C2603),1))</f>
        <v/>
      </c>
      <c r="P2603" s="65" t="str">
        <f ca="1">IF($C2603="","",IF(AND($D2603="Gelir",$L2603&lt;&gt;"",$T2603=""),"TANIMSIZ BORÇLU",IF($T2603&lt;&gt;"",IF(OR($E2603="",$G2603&lt;=0),"EKSİK",IF($I2603="Evet","TAHAKKUK NAKİT OLAMAZ",IF($C2603&gt;TODAY(),"İLERİ TARİH","TAHAKKUK"))),IF(AND($D2603&lt;&gt;"",$E2603&lt;&gt;"",$G2603&gt;0,$H2603&lt;&gt;"",$I2603&lt;&gt;""),IF($C2603&gt;TODAY(),"İLERİ TARİH",IF(COUNTIF($W$7:$W$3001,$W2603)&gt;1,"MÜKERRER?",IF($AD2603&gt;0,"KAPALI DÖNEM",IF($I2603="Hayır","ÖDENECEK","UYGUN")))),"EKSİK"))))</f>
        <v/>
      </c>
      <c r="Q2603" s="2"/>
      <c r="R2603" s="2"/>
      <c r="S2603" s="1" t="str">
        <f t="shared" si="122"/>
        <v/>
      </c>
      <c r="T2603" s="1" t="str">
        <f>IF(OR($C2603="",$D2603&lt;&gt;"Gelir",$L2603=""),"",IFERROR(INDEX(MUSTERILER!$B$7:$B$156,MATCH($S2603,MUSTERILER!$T$7:$T$156,0)),""))</f>
        <v/>
      </c>
      <c r="U2603" s="1" t="str">
        <f>IF($T2603="","",$T2603&amp;"|"&amp;COUNTIFS($T$7:$T2603,$T2603))</f>
        <v/>
      </c>
      <c r="V2603" s="1">
        <f t="shared" si="123"/>
        <v>0</v>
      </c>
      <c r="W2603" s="1" t="str">
        <f t="shared" si="124"/>
        <v/>
      </c>
      <c r="X2603" s="1"/>
      <c r="Y2603" s="1"/>
      <c r="Z2603" s="1"/>
      <c r="AA2603" s="1"/>
      <c r="AB2603" s="1"/>
      <c r="AC2603" s="1"/>
      <c r="AD2603" s="1">
        <f>IF($C2603="",0,SUMPRODUCT((AY_SONU!$O$7:$O$42="Evet")*(AY_SONU!$B$7:$B$42=DATE(YEAR($C2603),MONTH($C2603),1))))</f>
        <v>0</v>
      </c>
      <c r="AE2603" s="1" t="str">
        <f>IF($E2603="","",$E2603&amp;"|"&amp;COUNTIFS($E$7:$E2603,$E2603))</f>
        <v/>
      </c>
    </row>
    <row r="2604" spans="1:31" ht="18" customHeight="1" x14ac:dyDescent="0.3">
      <c r="A2604" s="2"/>
      <c r="B2604" s="65" t="str">
        <f>IF($C2604="","","GG"&amp;TEXT(ROW()-6,"00000"))</f>
        <v/>
      </c>
      <c r="C2604" s="66"/>
      <c r="D2604" s="60"/>
      <c r="E2604" s="61"/>
      <c r="F2604" s="61"/>
      <c r="G2604" s="67"/>
      <c r="H2604" s="60"/>
      <c r="I2604" s="60"/>
      <c r="J2604" s="61"/>
      <c r="K2604" s="61"/>
      <c r="L2604" s="60"/>
      <c r="M2604" s="74" t="str">
        <f>IF($C2604="","",IF($D2604="Gider",$E2604,IF($L2604&lt;&gt;"",$L2604,$H2604)))</f>
        <v/>
      </c>
      <c r="N2604" s="74" t="str">
        <f>IF($C2604="","",IF($D2604="Gider",$H2604,$E2604))</f>
        <v/>
      </c>
      <c r="O2604" s="73" t="str">
        <f>IF($C2604="","",DATE(YEAR($C2604),MONTH($C2604),1))</f>
        <v/>
      </c>
      <c r="P2604" s="65" t="str">
        <f ca="1">IF($C2604="","",IF(AND($D2604="Gelir",$L2604&lt;&gt;"",$T2604=""),"TANIMSIZ BORÇLU",IF($T2604&lt;&gt;"",IF(OR($E2604="",$G2604&lt;=0),"EKSİK",IF($I2604="Evet","TAHAKKUK NAKİT OLAMAZ",IF($C2604&gt;TODAY(),"İLERİ TARİH","TAHAKKUK"))),IF(AND($D2604&lt;&gt;"",$E2604&lt;&gt;"",$G2604&gt;0,$H2604&lt;&gt;"",$I2604&lt;&gt;""),IF($C2604&gt;TODAY(),"İLERİ TARİH",IF(COUNTIF($W$7:$W$3001,$W2604)&gt;1,"MÜKERRER?",IF($AD2604&gt;0,"KAPALI DÖNEM",IF($I2604="Hayır","ÖDENECEK","UYGUN")))),"EKSİK"))))</f>
        <v/>
      </c>
      <c r="Q2604" s="2"/>
      <c r="R2604" s="2"/>
      <c r="S2604" s="1" t="str">
        <f t="shared" si="122"/>
        <v/>
      </c>
      <c r="T2604" s="1" t="str">
        <f>IF(OR($C2604="",$D2604&lt;&gt;"Gelir",$L2604=""),"",IFERROR(INDEX(MUSTERILER!$B$7:$B$156,MATCH($S2604,MUSTERILER!$T$7:$T$156,0)),""))</f>
        <v/>
      </c>
      <c r="U2604" s="1" t="str">
        <f>IF($T2604="","",$T2604&amp;"|"&amp;COUNTIFS($T$7:$T2604,$T2604))</f>
        <v/>
      </c>
      <c r="V2604" s="1">
        <f t="shared" si="123"/>
        <v>0</v>
      </c>
      <c r="W2604" s="1" t="str">
        <f t="shared" si="124"/>
        <v/>
      </c>
      <c r="X2604" s="1"/>
      <c r="Y2604" s="1"/>
      <c r="Z2604" s="1"/>
      <c r="AA2604" s="1"/>
      <c r="AB2604" s="1"/>
      <c r="AC2604" s="1"/>
      <c r="AD2604" s="1">
        <f>IF($C2604="",0,SUMPRODUCT((AY_SONU!$O$7:$O$42="Evet")*(AY_SONU!$B$7:$B$42=DATE(YEAR($C2604),MONTH($C2604),1))))</f>
        <v>0</v>
      </c>
      <c r="AE2604" s="1" t="str">
        <f>IF($E2604="","",$E2604&amp;"|"&amp;COUNTIFS($E$7:$E2604,$E2604))</f>
        <v/>
      </c>
    </row>
    <row r="2605" spans="1:31" ht="18" customHeight="1" x14ac:dyDescent="0.3">
      <c r="A2605" s="2"/>
      <c r="B2605" s="65" t="str">
        <f>IF($C2605="","","GG"&amp;TEXT(ROW()-6,"00000"))</f>
        <v/>
      </c>
      <c r="C2605" s="66"/>
      <c r="D2605" s="60"/>
      <c r="E2605" s="61"/>
      <c r="F2605" s="61"/>
      <c r="G2605" s="67"/>
      <c r="H2605" s="60"/>
      <c r="I2605" s="60"/>
      <c r="J2605" s="61"/>
      <c r="K2605" s="61"/>
      <c r="L2605" s="60"/>
      <c r="M2605" s="74" t="str">
        <f>IF($C2605="","",IF($D2605="Gider",$E2605,IF($L2605&lt;&gt;"",$L2605,$H2605)))</f>
        <v/>
      </c>
      <c r="N2605" s="74" t="str">
        <f>IF($C2605="","",IF($D2605="Gider",$H2605,$E2605))</f>
        <v/>
      </c>
      <c r="O2605" s="73" t="str">
        <f>IF($C2605="","",DATE(YEAR($C2605),MONTH($C2605),1))</f>
        <v/>
      </c>
      <c r="P2605" s="65" t="str">
        <f ca="1">IF($C2605="","",IF(AND($D2605="Gelir",$L2605&lt;&gt;"",$T2605=""),"TANIMSIZ BORÇLU",IF($T2605&lt;&gt;"",IF(OR($E2605="",$G2605&lt;=0),"EKSİK",IF($I2605="Evet","TAHAKKUK NAKİT OLAMAZ",IF($C2605&gt;TODAY(),"İLERİ TARİH","TAHAKKUK"))),IF(AND($D2605&lt;&gt;"",$E2605&lt;&gt;"",$G2605&gt;0,$H2605&lt;&gt;"",$I2605&lt;&gt;""),IF($C2605&gt;TODAY(),"İLERİ TARİH",IF(COUNTIF($W$7:$W$3001,$W2605)&gt;1,"MÜKERRER?",IF($AD2605&gt;0,"KAPALI DÖNEM",IF($I2605="Hayır","ÖDENECEK","UYGUN")))),"EKSİK"))))</f>
        <v/>
      </c>
      <c r="Q2605" s="2"/>
      <c r="R2605" s="2"/>
      <c r="S2605" s="1" t="str">
        <f t="shared" si="122"/>
        <v/>
      </c>
      <c r="T2605" s="1" t="str">
        <f>IF(OR($C2605="",$D2605&lt;&gt;"Gelir",$L2605=""),"",IFERROR(INDEX(MUSTERILER!$B$7:$B$156,MATCH($S2605,MUSTERILER!$T$7:$T$156,0)),""))</f>
        <v/>
      </c>
      <c r="U2605" s="1" t="str">
        <f>IF($T2605="","",$T2605&amp;"|"&amp;COUNTIFS($T$7:$T2605,$T2605))</f>
        <v/>
      </c>
      <c r="V2605" s="1">
        <f t="shared" si="123"/>
        <v>0</v>
      </c>
      <c r="W2605" s="1" t="str">
        <f t="shared" si="124"/>
        <v/>
      </c>
      <c r="X2605" s="1"/>
      <c r="Y2605" s="1"/>
      <c r="Z2605" s="1"/>
      <c r="AA2605" s="1"/>
      <c r="AB2605" s="1"/>
      <c r="AC2605" s="1"/>
      <c r="AD2605" s="1">
        <f>IF($C2605="",0,SUMPRODUCT((AY_SONU!$O$7:$O$42="Evet")*(AY_SONU!$B$7:$B$42=DATE(YEAR($C2605),MONTH($C2605),1))))</f>
        <v>0</v>
      </c>
      <c r="AE2605" s="1" t="str">
        <f>IF($E2605="","",$E2605&amp;"|"&amp;COUNTIFS($E$7:$E2605,$E2605))</f>
        <v/>
      </c>
    </row>
    <row r="2606" spans="1:31" ht="18" customHeight="1" x14ac:dyDescent="0.3">
      <c r="A2606" s="2"/>
      <c r="B2606" s="65" t="str">
        <f>IF($C2606="","","GG"&amp;TEXT(ROW()-6,"00000"))</f>
        <v/>
      </c>
      <c r="C2606" s="66"/>
      <c r="D2606" s="60"/>
      <c r="E2606" s="61"/>
      <c r="F2606" s="61"/>
      <c r="G2606" s="67"/>
      <c r="H2606" s="60"/>
      <c r="I2606" s="60"/>
      <c r="J2606" s="61"/>
      <c r="K2606" s="61"/>
      <c r="L2606" s="60"/>
      <c r="M2606" s="74" t="str">
        <f>IF($C2606="","",IF($D2606="Gider",$E2606,IF($L2606&lt;&gt;"",$L2606,$H2606)))</f>
        <v/>
      </c>
      <c r="N2606" s="74" t="str">
        <f>IF($C2606="","",IF($D2606="Gider",$H2606,$E2606))</f>
        <v/>
      </c>
      <c r="O2606" s="73" t="str">
        <f>IF($C2606="","",DATE(YEAR($C2606),MONTH($C2606),1))</f>
        <v/>
      </c>
      <c r="P2606" s="65" t="str">
        <f ca="1">IF($C2606="","",IF(AND($D2606="Gelir",$L2606&lt;&gt;"",$T2606=""),"TANIMSIZ BORÇLU",IF($T2606&lt;&gt;"",IF(OR($E2606="",$G2606&lt;=0),"EKSİK",IF($I2606="Evet","TAHAKKUK NAKİT OLAMAZ",IF($C2606&gt;TODAY(),"İLERİ TARİH","TAHAKKUK"))),IF(AND($D2606&lt;&gt;"",$E2606&lt;&gt;"",$G2606&gt;0,$H2606&lt;&gt;"",$I2606&lt;&gt;""),IF($C2606&gt;TODAY(),"İLERİ TARİH",IF(COUNTIF($W$7:$W$3001,$W2606)&gt;1,"MÜKERRER?",IF($AD2606&gt;0,"KAPALI DÖNEM",IF($I2606="Hayır","ÖDENECEK","UYGUN")))),"EKSİK"))))</f>
        <v/>
      </c>
      <c r="Q2606" s="2"/>
      <c r="R2606" s="2"/>
      <c r="S2606" s="1" t="str">
        <f t="shared" si="122"/>
        <v/>
      </c>
      <c r="T2606" s="1" t="str">
        <f>IF(OR($C2606="",$D2606&lt;&gt;"Gelir",$L2606=""),"",IFERROR(INDEX(MUSTERILER!$B$7:$B$156,MATCH($S2606,MUSTERILER!$T$7:$T$156,0)),""))</f>
        <v/>
      </c>
      <c r="U2606" s="1" t="str">
        <f>IF($T2606="","",$T2606&amp;"|"&amp;COUNTIFS($T$7:$T2606,$T2606))</f>
        <v/>
      </c>
      <c r="V2606" s="1">
        <f t="shared" si="123"/>
        <v>0</v>
      </c>
      <c r="W2606" s="1" t="str">
        <f t="shared" si="124"/>
        <v/>
      </c>
      <c r="X2606" s="1"/>
      <c r="Y2606" s="1"/>
      <c r="Z2606" s="1"/>
      <c r="AA2606" s="1"/>
      <c r="AB2606" s="1"/>
      <c r="AC2606" s="1"/>
      <c r="AD2606" s="1">
        <f>IF($C2606="",0,SUMPRODUCT((AY_SONU!$O$7:$O$42="Evet")*(AY_SONU!$B$7:$B$42=DATE(YEAR($C2606),MONTH($C2606),1))))</f>
        <v>0</v>
      </c>
      <c r="AE2606" s="1" t="str">
        <f>IF($E2606="","",$E2606&amp;"|"&amp;COUNTIFS($E$7:$E2606,$E2606))</f>
        <v/>
      </c>
    </row>
    <row r="2607" spans="1:31" ht="18" customHeight="1" x14ac:dyDescent="0.3">
      <c r="A2607" s="2"/>
      <c r="B2607" s="65" t="str">
        <f>IF($C2607="","","GG"&amp;TEXT(ROW()-6,"00000"))</f>
        <v/>
      </c>
      <c r="C2607" s="66"/>
      <c r="D2607" s="60"/>
      <c r="E2607" s="61"/>
      <c r="F2607" s="61"/>
      <c r="G2607" s="67"/>
      <c r="H2607" s="60"/>
      <c r="I2607" s="60"/>
      <c r="J2607" s="61"/>
      <c r="K2607" s="61"/>
      <c r="L2607" s="60"/>
      <c r="M2607" s="74" t="str">
        <f>IF($C2607="","",IF($D2607="Gider",$E2607,IF($L2607&lt;&gt;"",$L2607,$H2607)))</f>
        <v/>
      </c>
      <c r="N2607" s="74" t="str">
        <f>IF($C2607="","",IF($D2607="Gider",$H2607,$E2607))</f>
        <v/>
      </c>
      <c r="O2607" s="73" t="str">
        <f>IF($C2607="","",DATE(YEAR($C2607),MONTH($C2607),1))</f>
        <v/>
      </c>
      <c r="P2607" s="65" t="str">
        <f ca="1">IF($C2607="","",IF(AND($D2607="Gelir",$L2607&lt;&gt;"",$T2607=""),"TANIMSIZ BORÇLU",IF($T2607&lt;&gt;"",IF(OR($E2607="",$G2607&lt;=0),"EKSİK",IF($I2607="Evet","TAHAKKUK NAKİT OLAMAZ",IF($C2607&gt;TODAY(),"İLERİ TARİH","TAHAKKUK"))),IF(AND($D2607&lt;&gt;"",$E2607&lt;&gt;"",$G2607&gt;0,$H2607&lt;&gt;"",$I2607&lt;&gt;""),IF($C2607&gt;TODAY(),"İLERİ TARİH",IF(COUNTIF($W$7:$W$3001,$W2607)&gt;1,"MÜKERRER?",IF($AD2607&gt;0,"KAPALI DÖNEM",IF($I2607="Hayır","ÖDENECEK","UYGUN")))),"EKSİK"))))</f>
        <v/>
      </c>
      <c r="Q2607" s="2"/>
      <c r="R2607" s="2"/>
      <c r="S2607" s="1" t="str">
        <f t="shared" si="122"/>
        <v/>
      </c>
      <c r="T2607" s="1" t="str">
        <f>IF(OR($C2607="",$D2607&lt;&gt;"Gelir",$L2607=""),"",IFERROR(INDEX(MUSTERILER!$B$7:$B$156,MATCH($S2607,MUSTERILER!$T$7:$T$156,0)),""))</f>
        <v/>
      </c>
      <c r="U2607" s="1" t="str">
        <f>IF($T2607="","",$T2607&amp;"|"&amp;COUNTIFS($T$7:$T2607,$T2607))</f>
        <v/>
      </c>
      <c r="V2607" s="1">
        <f t="shared" si="123"/>
        <v>0</v>
      </c>
      <c r="W2607" s="1" t="str">
        <f t="shared" si="124"/>
        <v/>
      </c>
      <c r="X2607" s="1"/>
      <c r="Y2607" s="1"/>
      <c r="Z2607" s="1"/>
      <c r="AA2607" s="1"/>
      <c r="AB2607" s="1"/>
      <c r="AC2607" s="1"/>
      <c r="AD2607" s="1">
        <f>IF($C2607="",0,SUMPRODUCT((AY_SONU!$O$7:$O$42="Evet")*(AY_SONU!$B$7:$B$42=DATE(YEAR($C2607),MONTH($C2607),1))))</f>
        <v>0</v>
      </c>
      <c r="AE2607" s="1" t="str">
        <f>IF($E2607="","",$E2607&amp;"|"&amp;COUNTIFS($E$7:$E2607,$E2607))</f>
        <v/>
      </c>
    </row>
    <row r="2608" spans="1:31" ht="18" customHeight="1" x14ac:dyDescent="0.3">
      <c r="A2608" s="2"/>
      <c r="B2608" s="65" t="str">
        <f>IF($C2608="","","GG"&amp;TEXT(ROW()-6,"00000"))</f>
        <v/>
      </c>
      <c r="C2608" s="66"/>
      <c r="D2608" s="60"/>
      <c r="E2608" s="61"/>
      <c r="F2608" s="61"/>
      <c r="G2608" s="67"/>
      <c r="H2608" s="60"/>
      <c r="I2608" s="60"/>
      <c r="J2608" s="61"/>
      <c r="K2608" s="61"/>
      <c r="L2608" s="60"/>
      <c r="M2608" s="74" t="str">
        <f>IF($C2608="","",IF($D2608="Gider",$E2608,IF($L2608&lt;&gt;"",$L2608,$H2608)))</f>
        <v/>
      </c>
      <c r="N2608" s="74" t="str">
        <f>IF($C2608="","",IF($D2608="Gider",$H2608,$E2608))</f>
        <v/>
      </c>
      <c r="O2608" s="73" t="str">
        <f>IF($C2608="","",DATE(YEAR($C2608),MONTH($C2608),1))</f>
        <v/>
      </c>
      <c r="P2608" s="65" t="str">
        <f ca="1">IF($C2608="","",IF(AND($D2608="Gelir",$L2608&lt;&gt;"",$T2608=""),"TANIMSIZ BORÇLU",IF($T2608&lt;&gt;"",IF(OR($E2608="",$G2608&lt;=0),"EKSİK",IF($I2608="Evet","TAHAKKUK NAKİT OLAMAZ",IF($C2608&gt;TODAY(),"İLERİ TARİH","TAHAKKUK"))),IF(AND($D2608&lt;&gt;"",$E2608&lt;&gt;"",$G2608&gt;0,$H2608&lt;&gt;"",$I2608&lt;&gt;""),IF($C2608&gt;TODAY(),"İLERİ TARİH",IF(COUNTIF($W$7:$W$3001,$W2608)&gt;1,"MÜKERRER?",IF($AD2608&gt;0,"KAPALI DÖNEM",IF($I2608="Hayır","ÖDENECEK","UYGUN")))),"EKSİK"))))</f>
        <v/>
      </c>
      <c r="Q2608" s="2"/>
      <c r="R2608" s="2"/>
      <c r="S2608" s="1" t="str">
        <f t="shared" si="122"/>
        <v/>
      </c>
      <c r="T2608" s="1" t="str">
        <f>IF(OR($C2608="",$D2608&lt;&gt;"Gelir",$L2608=""),"",IFERROR(INDEX(MUSTERILER!$B$7:$B$156,MATCH($S2608,MUSTERILER!$T$7:$T$156,0)),""))</f>
        <v/>
      </c>
      <c r="U2608" s="1" t="str">
        <f>IF($T2608="","",$T2608&amp;"|"&amp;COUNTIFS($T$7:$T2608,$T2608))</f>
        <v/>
      </c>
      <c r="V2608" s="1">
        <f t="shared" si="123"/>
        <v>0</v>
      </c>
      <c r="W2608" s="1" t="str">
        <f t="shared" si="124"/>
        <v/>
      </c>
      <c r="X2608" s="1"/>
      <c r="Y2608" s="1"/>
      <c r="Z2608" s="1"/>
      <c r="AA2608" s="1"/>
      <c r="AB2608" s="1"/>
      <c r="AC2608" s="1"/>
      <c r="AD2608" s="1">
        <f>IF($C2608="",0,SUMPRODUCT((AY_SONU!$O$7:$O$42="Evet")*(AY_SONU!$B$7:$B$42=DATE(YEAR($C2608),MONTH($C2608),1))))</f>
        <v>0</v>
      </c>
      <c r="AE2608" s="1" t="str">
        <f>IF($E2608="","",$E2608&amp;"|"&amp;COUNTIFS($E$7:$E2608,$E2608))</f>
        <v/>
      </c>
    </row>
    <row r="2609" spans="1:31" ht="18" customHeight="1" x14ac:dyDescent="0.3">
      <c r="A2609" s="2"/>
      <c r="B2609" s="65" t="str">
        <f>IF($C2609="","","GG"&amp;TEXT(ROW()-6,"00000"))</f>
        <v/>
      </c>
      <c r="C2609" s="66"/>
      <c r="D2609" s="60"/>
      <c r="E2609" s="61"/>
      <c r="F2609" s="61"/>
      <c r="G2609" s="67"/>
      <c r="H2609" s="60"/>
      <c r="I2609" s="60"/>
      <c r="J2609" s="61"/>
      <c r="K2609" s="61"/>
      <c r="L2609" s="60"/>
      <c r="M2609" s="74" t="str">
        <f>IF($C2609="","",IF($D2609="Gider",$E2609,IF($L2609&lt;&gt;"",$L2609,$H2609)))</f>
        <v/>
      </c>
      <c r="N2609" s="74" t="str">
        <f>IF($C2609="","",IF($D2609="Gider",$H2609,$E2609))</f>
        <v/>
      </c>
      <c r="O2609" s="73" t="str">
        <f>IF($C2609="","",DATE(YEAR($C2609),MONTH($C2609),1))</f>
        <v/>
      </c>
      <c r="P2609" s="65" t="str">
        <f ca="1">IF($C2609="","",IF(AND($D2609="Gelir",$L2609&lt;&gt;"",$T2609=""),"TANIMSIZ BORÇLU",IF($T2609&lt;&gt;"",IF(OR($E2609="",$G2609&lt;=0),"EKSİK",IF($I2609="Evet","TAHAKKUK NAKİT OLAMAZ",IF($C2609&gt;TODAY(),"İLERİ TARİH","TAHAKKUK"))),IF(AND($D2609&lt;&gt;"",$E2609&lt;&gt;"",$G2609&gt;0,$H2609&lt;&gt;"",$I2609&lt;&gt;""),IF($C2609&gt;TODAY(),"İLERİ TARİH",IF(COUNTIF($W$7:$W$3001,$W2609)&gt;1,"MÜKERRER?",IF($AD2609&gt;0,"KAPALI DÖNEM",IF($I2609="Hayır","ÖDENECEK","UYGUN")))),"EKSİK"))))</f>
        <v/>
      </c>
      <c r="Q2609" s="2"/>
      <c r="R2609" s="2"/>
      <c r="S2609" s="1" t="str">
        <f t="shared" si="122"/>
        <v/>
      </c>
      <c r="T2609" s="1" t="str">
        <f>IF(OR($C2609="",$D2609&lt;&gt;"Gelir",$L2609=""),"",IFERROR(INDEX(MUSTERILER!$B$7:$B$156,MATCH($S2609,MUSTERILER!$T$7:$T$156,0)),""))</f>
        <v/>
      </c>
      <c r="U2609" s="1" t="str">
        <f>IF($T2609="","",$T2609&amp;"|"&amp;COUNTIFS($T$7:$T2609,$T2609))</f>
        <v/>
      </c>
      <c r="V2609" s="1">
        <f t="shared" si="123"/>
        <v>0</v>
      </c>
      <c r="W2609" s="1" t="str">
        <f t="shared" si="124"/>
        <v/>
      </c>
      <c r="X2609" s="1"/>
      <c r="Y2609" s="1"/>
      <c r="Z2609" s="1"/>
      <c r="AA2609" s="1"/>
      <c r="AB2609" s="1"/>
      <c r="AC2609" s="1"/>
      <c r="AD2609" s="1">
        <f>IF($C2609="",0,SUMPRODUCT((AY_SONU!$O$7:$O$42="Evet")*(AY_SONU!$B$7:$B$42=DATE(YEAR($C2609),MONTH($C2609),1))))</f>
        <v>0</v>
      </c>
      <c r="AE2609" s="1" t="str">
        <f>IF($E2609="","",$E2609&amp;"|"&amp;COUNTIFS($E$7:$E2609,$E2609))</f>
        <v/>
      </c>
    </row>
    <row r="2610" spans="1:31" ht="18" customHeight="1" x14ac:dyDescent="0.3">
      <c r="A2610" s="2"/>
      <c r="B2610" s="65" t="str">
        <f>IF($C2610="","","GG"&amp;TEXT(ROW()-6,"00000"))</f>
        <v/>
      </c>
      <c r="C2610" s="66"/>
      <c r="D2610" s="60"/>
      <c r="E2610" s="61"/>
      <c r="F2610" s="61"/>
      <c r="G2610" s="67"/>
      <c r="H2610" s="60"/>
      <c r="I2610" s="60"/>
      <c r="J2610" s="61"/>
      <c r="K2610" s="61"/>
      <c r="L2610" s="60"/>
      <c r="M2610" s="74" t="str">
        <f>IF($C2610="","",IF($D2610="Gider",$E2610,IF($L2610&lt;&gt;"",$L2610,$H2610)))</f>
        <v/>
      </c>
      <c r="N2610" s="74" t="str">
        <f>IF($C2610="","",IF($D2610="Gider",$H2610,$E2610))</f>
        <v/>
      </c>
      <c r="O2610" s="73" t="str">
        <f>IF($C2610="","",DATE(YEAR($C2610),MONTH($C2610),1))</f>
        <v/>
      </c>
      <c r="P2610" s="65" t="str">
        <f ca="1">IF($C2610="","",IF(AND($D2610="Gelir",$L2610&lt;&gt;"",$T2610=""),"TANIMSIZ BORÇLU",IF($T2610&lt;&gt;"",IF(OR($E2610="",$G2610&lt;=0),"EKSİK",IF($I2610="Evet","TAHAKKUK NAKİT OLAMAZ",IF($C2610&gt;TODAY(),"İLERİ TARİH","TAHAKKUK"))),IF(AND($D2610&lt;&gt;"",$E2610&lt;&gt;"",$G2610&gt;0,$H2610&lt;&gt;"",$I2610&lt;&gt;""),IF($C2610&gt;TODAY(),"İLERİ TARİH",IF(COUNTIF($W$7:$W$3001,$W2610)&gt;1,"MÜKERRER?",IF($AD2610&gt;0,"KAPALI DÖNEM",IF($I2610="Hayır","ÖDENECEK","UYGUN")))),"EKSİK"))))</f>
        <v/>
      </c>
      <c r="Q2610" s="2"/>
      <c r="R2610" s="2"/>
      <c r="S2610" s="1" t="str">
        <f t="shared" si="122"/>
        <v/>
      </c>
      <c r="T2610" s="1" t="str">
        <f>IF(OR($C2610="",$D2610&lt;&gt;"Gelir",$L2610=""),"",IFERROR(INDEX(MUSTERILER!$B$7:$B$156,MATCH($S2610,MUSTERILER!$T$7:$T$156,0)),""))</f>
        <v/>
      </c>
      <c r="U2610" s="1" t="str">
        <f>IF($T2610="","",$T2610&amp;"|"&amp;COUNTIFS($T$7:$T2610,$T2610))</f>
        <v/>
      </c>
      <c r="V2610" s="1">
        <f t="shared" si="123"/>
        <v>0</v>
      </c>
      <c r="W2610" s="1" t="str">
        <f t="shared" si="124"/>
        <v/>
      </c>
      <c r="X2610" s="1"/>
      <c r="Y2610" s="1"/>
      <c r="Z2610" s="1"/>
      <c r="AA2610" s="1"/>
      <c r="AB2610" s="1"/>
      <c r="AC2610" s="1"/>
      <c r="AD2610" s="1">
        <f>IF($C2610="",0,SUMPRODUCT((AY_SONU!$O$7:$O$42="Evet")*(AY_SONU!$B$7:$B$42=DATE(YEAR($C2610),MONTH($C2610),1))))</f>
        <v>0</v>
      </c>
      <c r="AE2610" s="1" t="str">
        <f>IF($E2610="","",$E2610&amp;"|"&amp;COUNTIFS($E$7:$E2610,$E2610))</f>
        <v/>
      </c>
    </row>
    <row r="2611" spans="1:31" ht="18" customHeight="1" x14ac:dyDescent="0.3">
      <c r="A2611" s="2"/>
      <c r="B2611" s="65" t="str">
        <f>IF($C2611="","","GG"&amp;TEXT(ROW()-6,"00000"))</f>
        <v/>
      </c>
      <c r="C2611" s="66"/>
      <c r="D2611" s="60"/>
      <c r="E2611" s="61"/>
      <c r="F2611" s="61"/>
      <c r="G2611" s="67"/>
      <c r="H2611" s="60"/>
      <c r="I2611" s="60"/>
      <c r="J2611" s="61"/>
      <c r="K2611" s="61"/>
      <c r="L2611" s="60"/>
      <c r="M2611" s="74" t="str">
        <f>IF($C2611="","",IF($D2611="Gider",$E2611,IF($L2611&lt;&gt;"",$L2611,$H2611)))</f>
        <v/>
      </c>
      <c r="N2611" s="74" t="str">
        <f>IF($C2611="","",IF($D2611="Gider",$H2611,$E2611))</f>
        <v/>
      </c>
      <c r="O2611" s="73" t="str">
        <f>IF($C2611="","",DATE(YEAR($C2611),MONTH($C2611),1))</f>
        <v/>
      </c>
      <c r="P2611" s="65" t="str">
        <f ca="1">IF($C2611="","",IF(AND($D2611="Gelir",$L2611&lt;&gt;"",$T2611=""),"TANIMSIZ BORÇLU",IF($T2611&lt;&gt;"",IF(OR($E2611="",$G2611&lt;=0),"EKSİK",IF($I2611="Evet","TAHAKKUK NAKİT OLAMAZ",IF($C2611&gt;TODAY(),"İLERİ TARİH","TAHAKKUK"))),IF(AND($D2611&lt;&gt;"",$E2611&lt;&gt;"",$G2611&gt;0,$H2611&lt;&gt;"",$I2611&lt;&gt;""),IF($C2611&gt;TODAY(),"İLERİ TARİH",IF(COUNTIF($W$7:$W$3001,$W2611)&gt;1,"MÜKERRER?",IF($AD2611&gt;0,"KAPALI DÖNEM",IF($I2611="Hayır","ÖDENECEK","UYGUN")))),"EKSİK"))))</f>
        <v/>
      </c>
      <c r="Q2611" s="2"/>
      <c r="R2611" s="2"/>
      <c r="S2611" s="1" t="str">
        <f t="shared" si="122"/>
        <v/>
      </c>
      <c r="T2611" s="1" t="str">
        <f>IF(OR($C2611="",$D2611&lt;&gt;"Gelir",$L2611=""),"",IFERROR(INDEX(MUSTERILER!$B$7:$B$156,MATCH($S2611,MUSTERILER!$T$7:$T$156,0)),""))</f>
        <v/>
      </c>
      <c r="U2611" s="1" t="str">
        <f>IF($T2611="","",$T2611&amp;"|"&amp;COUNTIFS($T$7:$T2611,$T2611))</f>
        <v/>
      </c>
      <c r="V2611" s="1">
        <f t="shared" si="123"/>
        <v>0</v>
      </c>
      <c r="W2611" s="1" t="str">
        <f t="shared" si="124"/>
        <v/>
      </c>
      <c r="X2611" s="1"/>
      <c r="Y2611" s="1"/>
      <c r="Z2611" s="1"/>
      <c r="AA2611" s="1"/>
      <c r="AB2611" s="1"/>
      <c r="AC2611" s="1"/>
      <c r="AD2611" s="1">
        <f>IF($C2611="",0,SUMPRODUCT((AY_SONU!$O$7:$O$42="Evet")*(AY_SONU!$B$7:$B$42=DATE(YEAR($C2611),MONTH($C2611),1))))</f>
        <v>0</v>
      </c>
      <c r="AE2611" s="1" t="str">
        <f>IF($E2611="","",$E2611&amp;"|"&amp;COUNTIFS($E$7:$E2611,$E2611))</f>
        <v/>
      </c>
    </row>
    <row r="2612" spans="1:31" ht="18" customHeight="1" x14ac:dyDescent="0.3">
      <c r="A2612" s="2"/>
      <c r="B2612" s="65" t="str">
        <f>IF($C2612="","","GG"&amp;TEXT(ROW()-6,"00000"))</f>
        <v/>
      </c>
      <c r="C2612" s="66"/>
      <c r="D2612" s="60"/>
      <c r="E2612" s="61"/>
      <c r="F2612" s="61"/>
      <c r="G2612" s="67"/>
      <c r="H2612" s="60"/>
      <c r="I2612" s="60"/>
      <c r="J2612" s="61"/>
      <c r="K2612" s="61"/>
      <c r="L2612" s="60"/>
      <c r="M2612" s="74" t="str">
        <f>IF($C2612="","",IF($D2612="Gider",$E2612,IF($L2612&lt;&gt;"",$L2612,$H2612)))</f>
        <v/>
      </c>
      <c r="N2612" s="74" t="str">
        <f>IF($C2612="","",IF($D2612="Gider",$H2612,$E2612))</f>
        <v/>
      </c>
      <c r="O2612" s="73" t="str">
        <f>IF($C2612="","",DATE(YEAR($C2612),MONTH($C2612),1))</f>
        <v/>
      </c>
      <c r="P2612" s="65" t="str">
        <f ca="1">IF($C2612="","",IF(AND($D2612="Gelir",$L2612&lt;&gt;"",$T2612=""),"TANIMSIZ BORÇLU",IF($T2612&lt;&gt;"",IF(OR($E2612="",$G2612&lt;=0),"EKSİK",IF($I2612="Evet","TAHAKKUK NAKİT OLAMAZ",IF($C2612&gt;TODAY(),"İLERİ TARİH","TAHAKKUK"))),IF(AND($D2612&lt;&gt;"",$E2612&lt;&gt;"",$G2612&gt;0,$H2612&lt;&gt;"",$I2612&lt;&gt;""),IF($C2612&gt;TODAY(),"İLERİ TARİH",IF(COUNTIF($W$7:$W$3001,$W2612)&gt;1,"MÜKERRER?",IF($AD2612&gt;0,"KAPALI DÖNEM",IF($I2612="Hayır","ÖDENECEK","UYGUN")))),"EKSİK"))))</f>
        <v/>
      </c>
      <c r="Q2612" s="2"/>
      <c r="R2612" s="2"/>
      <c r="S2612" s="1" t="str">
        <f t="shared" si="122"/>
        <v/>
      </c>
      <c r="T2612" s="1" t="str">
        <f>IF(OR($C2612="",$D2612&lt;&gt;"Gelir",$L2612=""),"",IFERROR(INDEX(MUSTERILER!$B$7:$B$156,MATCH($S2612,MUSTERILER!$T$7:$T$156,0)),""))</f>
        <v/>
      </c>
      <c r="U2612" s="1" t="str">
        <f>IF($T2612="","",$T2612&amp;"|"&amp;COUNTIFS($T$7:$T2612,$T2612))</f>
        <v/>
      </c>
      <c r="V2612" s="1">
        <f t="shared" si="123"/>
        <v>0</v>
      </c>
      <c r="W2612" s="1" t="str">
        <f t="shared" si="124"/>
        <v/>
      </c>
      <c r="X2612" s="1"/>
      <c r="Y2612" s="1"/>
      <c r="Z2612" s="1"/>
      <c r="AA2612" s="1"/>
      <c r="AB2612" s="1"/>
      <c r="AC2612" s="1"/>
      <c r="AD2612" s="1">
        <f>IF($C2612="",0,SUMPRODUCT((AY_SONU!$O$7:$O$42="Evet")*(AY_SONU!$B$7:$B$42=DATE(YEAR($C2612),MONTH($C2612),1))))</f>
        <v>0</v>
      </c>
      <c r="AE2612" s="1" t="str">
        <f>IF($E2612="","",$E2612&amp;"|"&amp;COUNTIFS($E$7:$E2612,$E2612))</f>
        <v/>
      </c>
    </row>
    <row r="2613" spans="1:31" ht="18" customHeight="1" x14ac:dyDescent="0.3">
      <c r="A2613" s="2"/>
      <c r="B2613" s="65" t="str">
        <f>IF($C2613="","","GG"&amp;TEXT(ROW()-6,"00000"))</f>
        <v/>
      </c>
      <c r="C2613" s="66"/>
      <c r="D2613" s="60"/>
      <c r="E2613" s="61"/>
      <c r="F2613" s="61"/>
      <c r="G2613" s="67"/>
      <c r="H2613" s="60"/>
      <c r="I2613" s="60"/>
      <c r="J2613" s="61"/>
      <c r="K2613" s="61"/>
      <c r="L2613" s="60"/>
      <c r="M2613" s="74" t="str">
        <f>IF($C2613="","",IF($D2613="Gider",$E2613,IF($L2613&lt;&gt;"",$L2613,$H2613)))</f>
        <v/>
      </c>
      <c r="N2613" s="74" t="str">
        <f>IF($C2613="","",IF($D2613="Gider",$H2613,$E2613))</f>
        <v/>
      </c>
      <c r="O2613" s="73" t="str">
        <f>IF($C2613="","",DATE(YEAR($C2613),MONTH($C2613),1))</f>
        <v/>
      </c>
      <c r="P2613" s="65" t="str">
        <f ca="1">IF($C2613="","",IF(AND($D2613="Gelir",$L2613&lt;&gt;"",$T2613=""),"TANIMSIZ BORÇLU",IF($T2613&lt;&gt;"",IF(OR($E2613="",$G2613&lt;=0),"EKSİK",IF($I2613="Evet","TAHAKKUK NAKİT OLAMAZ",IF($C2613&gt;TODAY(),"İLERİ TARİH","TAHAKKUK"))),IF(AND($D2613&lt;&gt;"",$E2613&lt;&gt;"",$G2613&gt;0,$H2613&lt;&gt;"",$I2613&lt;&gt;""),IF($C2613&gt;TODAY(),"İLERİ TARİH",IF(COUNTIF($W$7:$W$3001,$W2613)&gt;1,"MÜKERRER?",IF($AD2613&gt;0,"KAPALI DÖNEM",IF($I2613="Hayır","ÖDENECEK","UYGUN")))),"EKSİK"))))</f>
        <v/>
      </c>
      <c r="Q2613" s="2"/>
      <c r="R2613" s="2"/>
      <c r="S2613" s="1" t="str">
        <f t="shared" si="122"/>
        <v/>
      </c>
      <c r="T2613" s="1" t="str">
        <f>IF(OR($C2613="",$D2613&lt;&gt;"Gelir",$L2613=""),"",IFERROR(INDEX(MUSTERILER!$B$7:$B$156,MATCH($S2613,MUSTERILER!$T$7:$T$156,0)),""))</f>
        <v/>
      </c>
      <c r="U2613" s="1" t="str">
        <f>IF($T2613="","",$T2613&amp;"|"&amp;COUNTIFS($T$7:$T2613,$T2613))</f>
        <v/>
      </c>
      <c r="V2613" s="1">
        <f t="shared" si="123"/>
        <v>0</v>
      </c>
      <c r="W2613" s="1" t="str">
        <f t="shared" si="124"/>
        <v/>
      </c>
      <c r="X2613" s="1"/>
      <c r="Y2613" s="1"/>
      <c r="Z2613" s="1"/>
      <c r="AA2613" s="1"/>
      <c r="AB2613" s="1"/>
      <c r="AC2613" s="1"/>
      <c r="AD2613" s="1">
        <f>IF($C2613="",0,SUMPRODUCT((AY_SONU!$O$7:$O$42="Evet")*(AY_SONU!$B$7:$B$42=DATE(YEAR($C2613),MONTH($C2613),1))))</f>
        <v>0</v>
      </c>
      <c r="AE2613" s="1" t="str">
        <f>IF($E2613="","",$E2613&amp;"|"&amp;COUNTIFS($E$7:$E2613,$E2613))</f>
        <v/>
      </c>
    </row>
    <row r="2614" spans="1:31" ht="18" customHeight="1" x14ac:dyDescent="0.3">
      <c r="A2614" s="2"/>
      <c r="B2614" s="65" t="str">
        <f>IF($C2614="","","GG"&amp;TEXT(ROW()-6,"00000"))</f>
        <v/>
      </c>
      <c r="C2614" s="66"/>
      <c r="D2614" s="60"/>
      <c r="E2614" s="61"/>
      <c r="F2614" s="61"/>
      <c r="G2614" s="67"/>
      <c r="H2614" s="60"/>
      <c r="I2614" s="60"/>
      <c r="J2614" s="61"/>
      <c r="K2614" s="61"/>
      <c r="L2614" s="60"/>
      <c r="M2614" s="74" t="str">
        <f>IF($C2614="","",IF($D2614="Gider",$E2614,IF($L2614&lt;&gt;"",$L2614,$H2614)))</f>
        <v/>
      </c>
      <c r="N2614" s="74" t="str">
        <f>IF($C2614="","",IF($D2614="Gider",$H2614,$E2614))</f>
        <v/>
      </c>
      <c r="O2614" s="73" t="str">
        <f>IF($C2614="","",DATE(YEAR($C2614),MONTH($C2614),1))</f>
        <v/>
      </c>
      <c r="P2614" s="65" t="str">
        <f ca="1">IF($C2614="","",IF(AND($D2614="Gelir",$L2614&lt;&gt;"",$T2614=""),"TANIMSIZ BORÇLU",IF($T2614&lt;&gt;"",IF(OR($E2614="",$G2614&lt;=0),"EKSİK",IF($I2614="Evet","TAHAKKUK NAKİT OLAMAZ",IF($C2614&gt;TODAY(),"İLERİ TARİH","TAHAKKUK"))),IF(AND($D2614&lt;&gt;"",$E2614&lt;&gt;"",$G2614&gt;0,$H2614&lt;&gt;"",$I2614&lt;&gt;""),IF($C2614&gt;TODAY(),"İLERİ TARİH",IF(COUNTIF($W$7:$W$3001,$W2614)&gt;1,"MÜKERRER?",IF($AD2614&gt;0,"KAPALI DÖNEM",IF($I2614="Hayır","ÖDENECEK","UYGUN")))),"EKSİK"))))</f>
        <v/>
      </c>
      <c r="Q2614" s="2"/>
      <c r="R2614" s="2"/>
      <c r="S2614" s="1" t="str">
        <f t="shared" si="122"/>
        <v/>
      </c>
      <c r="T2614" s="1" t="str">
        <f>IF(OR($C2614="",$D2614&lt;&gt;"Gelir",$L2614=""),"",IFERROR(INDEX(MUSTERILER!$B$7:$B$156,MATCH($S2614,MUSTERILER!$T$7:$T$156,0)),""))</f>
        <v/>
      </c>
      <c r="U2614" s="1" t="str">
        <f>IF($T2614="","",$T2614&amp;"|"&amp;COUNTIFS($T$7:$T2614,$T2614))</f>
        <v/>
      </c>
      <c r="V2614" s="1">
        <f t="shared" si="123"/>
        <v>0</v>
      </c>
      <c r="W2614" s="1" t="str">
        <f t="shared" si="124"/>
        <v/>
      </c>
      <c r="X2614" s="1"/>
      <c r="Y2614" s="1"/>
      <c r="Z2614" s="1"/>
      <c r="AA2614" s="1"/>
      <c r="AB2614" s="1"/>
      <c r="AC2614" s="1"/>
      <c r="AD2614" s="1">
        <f>IF($C2614="",0,SUMPRODUCT((AY_SONU!$O$7:$O$42="Evet")*(AY_SONU!$B$7:$B$42=DATE(YEAR($C2614),MONTH($C2614),1))))</f>
        <v>0</v>
      </c>
      <c r="AE2614" s="1" t="str">
        <f>IF($E2614="","",$E2614&amp;"|"&amp;COUNTIFS($E$7:$E2614,$E2614))</f>
        <v/>
      </c>
    </row>
    <row r="2615" spans="1:31" ht="18" customHeight="1" x14ac:dyDescent="0.3">
      <c r="A2615" s="2"/>
      <c r="B2615" s="65" t="str">
        <f>IF($C2615="","","GG"&amp;TEXT(ROW()-6,"00000"))</f>
        <v/>
      </c>
      <c r="C2615" s="66"/>
      <c r="D2615" s="60"/>
      <c r="E2615" s="61"/>
      <c r="F2615" s="61"/>
      <c r="G2615" s="67"/>
      <c r="H2615" s="60"/>
      <c r="I2615" s="60"/>
      <c r="J2615" s="61"/>
      <c r="K2615" s="61"/>
      <c r="L2615" s="60"/>
      <c r="M2615" s="74" t="str">
        <f>IF($C2615="","",IF($D2615="Gider",$E2615,IF($L2615&lt;&gt;"",$L2615,$H2615)))</f>
        <v/>
      </c>
      <c r="N2615" s="74" t="str">
        <f>IF($C2615="","",IF($D2615="Gider",$H2615,$E2615))</f>
        <v/>
      </c>
      <c r="O2615" s="73" t="str">
        <f>IF($C2615="","",DATE(YEAR($C2615),MONTH($C2615),1))</f>
        <v/>
      </c>
      <c r="P2615" s="65" t="str">
        <f ca="1">IF($C2615="","",IF(AND($D2615="Gelir",$L2615&lt;&gt;"",$T2615=""),"TANIMSIZ BORÇLU",IF($T2615&lt;&gt;"",IF(OR($E2615="",$G2615&lt;=0),"EKSİK",IF($I2615="Evet","TAHAKKUK NAKİT OLAMAZ",IF($C2615&gt;TODAY(),"İLERİ TARİH","TAHAKKUK"))),IF(AND($D2615&lt;&gt;"",$E2615&lt;&gt;"",$G2615&gt;0,$H2615&lt;&gt;"",$I2615&lt;&gt;""),IF($C2615&gt;TODAY(),"İLERİ TARİH",IF(COUNTIF($W$7:$W$3001,$W2615)&gt;1,"MÜKERRER?",IF($AD2615&gt;0,"KAPALI DÖNEM",IF($I2615="Hayır","ÖDENECEK","UYGUN")))),"EKSİK"))))</f>
        <v/>
      </c>
      <c r="Q2615" s="2"/>
      <c r="R2615" s="2"/>
      <c r="S2615" s="1" t="str">
        <f t="shared" si="122"/>
        <v/>
      </c>
      <c r="T2615" s="1" t="str">
        <f>IF(OR($C2615="",$D2615&lt;&gt;"Gelir",$L2615=""),"",IFERROR(INDEX(MUSTERILER!$B$7:$B$156,MATCH($S2615,MUSTERILER!$T$7:$T$156,0)),""))</f>
        <v/>
      </c>
      <c r="U2615" s="1" t="str">
        <f>IF($T2615="","",$T2615&amp;"|"&amp;COUNTIFS($T$7:$T2615,$T2615))</f>
        <v/>
      </c>
      <c r="V2615" s="1">
        <f t="shared" si="123"/>
        <v>0</v>
      </c>
      <c r="W2615" s="1" t="str">
        <f t="shared" si="124"/>
        <v/>
      </c>
      <c r="X2615" s="1"/>
      <c r="Y2615" s="1"/>
      <c r="Z2615" s="1"/>
      <c r="AA2615" s="1"/>
      <c r="AB2615" s="1"/>
      <c r="AC2615" s="1"/>
      <c r="AD2615" s="1">
        <f>IF($C2615="",0,SUMPRODUCT((AY_SONU!$O$7:$O$42="Evet")*(AY_SONU!$B$7:$B$42=DATE(YEAR($C2615),MONTH($C2615),1))))</f>
        <v>0</v>
      </c>
      <c r="AE2615" s="1" t="str">
        <f>IF($E2615="","",$E2615&amp;"|"&amp;COUNTIFS($E$7:$E2615,$E2615))</f>
        <v/>
      </c>
    </row>
    <row r="2616" spans="1:31" ht="18" customHeight="1" x14ac:dyDescent="0.3">
      <c r="A2616" s="2"/>
      <c r="B2616" s="65" t="str">
        <f>IF($C2616="","","GG"&amp;TEXT(ROW()-6,"00000"))</f>
        <v/>
      </c>
      <c r="C2616" s="66"/>
      <c r="D2616" s="60"/>
      <c r="E2616" s="61"/>
      <c r="F2616" s="61"/>
      <c r="G2616" s="67"/>
      <c r="H2616" s="60"/>
      <c r="I2616" s="60"/>
      <c r="J2616" s="61"/>
      <c r="K2616" s="61"/>
      <c r="L2616" s="60"/>
      <c r="M2616" s="74" t="str">
        <f>IF($C2616="","",IF($D2616="Gider",$E2616,IF($L2616&lt;&gt;"",$L2616,$H2616)))</f>
        <v/>
      </c>
      <c r="N2616" s="74" t="str">
        <f>IF($C2616="","",IF($D2616="Gider",$H2616,$E2616))</f>
        <v/>
      </c>
      <c r="O2616" s="73" t="str">
        <f>IF($C2616="","",DATE(YEAR($C2616),MONTH($C2616),1))</f>
        <v/>
      </c>
      <c r="P2616" s="65" t="str">
        <f ca="1">IF($C2616="","",IF(AND($D2616="Gelir",$L2616&lt;&gt;"",$T2616=""),"TANIMSIZ BORÇLU",IF($T2616&lt;&gt;"",IF(OR($E2616="",$G2616&lt;=0),"EKSİK",IF($I2616="Evet","TAHAKKUK NAKİT OLAMAZ",IF($C2616&gt;TODAY(),"İLERİ TARİH","TAHAKKUK"))),IF(AND($D2616&lt;&gt;"",$E2616&lt;&gt;"",$G2616&gt;0,$H2616&lt;&gt;"",$I2616&lt;&gt;""),IF($C2616&gt;TODAY(),"İLERİ TARİH",IF(COUNTIF($W$7:$W$3001,$W2616)&gt;1,"MÜKERRER?",IF($AD2616&gt;0,"KAPALI DÖNEM",IF($I2616="Hayır","ÖDENECEK","UYGUN")))),"EKSİK"))))</f>
        <v/>
      </c>
      <c r="Q2616" s="2"/>
      <c r="R2616" s="2"/>
      <c r="S2616" s="1" t="str">
        <f t="shared" si="122"/>
        <v/>
      </c>
      <c r="T2616" s="1" t="str">
        <f>IF(OR($C2616="",$D2616&lt;&gt;"Gelir",$L2616=""),"",IFERROR(INDEX(MUSTERILER!$B$7:$B$156,MATCH($S2616,MUSTERILER!$T$7:$T$156,0)),""))</f>
        <v/>
      </c>
      <c r="U2616" s="1" t="str">
        <f>IF($T2616="","",$T2616&amp;"|"&amp;COUNTIFS($T$7:$T2616,$T2616))</f>
        <v/>
      </c>
      <c r="V2616" s="1">
        <f t="shared" si="123"/>
        <v>0</v>
      </c>
      <c r="W2616" s="1" t="str">
        <f t="shared" si="124"/>
        <v/>
      </c>
      <c r="X2616" s="1"/>
      <c r="Y2616" s="1"/>
      <c r="Z2616" s="1"/>
      <c r="AA2616" s="1"/>
      <c r="AB2616" s="1"/>
      <c r="AC2616" s="1"/>
      <c r="AD2616" s="1">
        <f>IF($C2616="",0,SUMPRODUCT((AY_SONU!$O$7:$O$42="Evet")*(AY_SONU!$B$7:$B$42=DATE(YEAR($C2616),MONTH($C2616),1))))</f>
        <v>0</v>
      </c>
      <c r="AE2616" s="1" t="str">
        <f>IF($E2616="","",$E2616&amp;"|"&amp;COUNTIFS($E$7:$E2616,$E2616))</f>
        <v/>
      </c>
    </row>
    <row r="2617" spans="1:31" ht="18" customHeight="1" x14ac:dyDescent="0.3">
      <c r="A2617" s="2"/>
      <c r="B2617" s="65" t="str">
        <f>IF($C2617="","","GG"&amp;TEXT(ROW()-6,"00000"))</f>
        <v/>
      </c>
      <c r="C2617" s="66"/>
      <c r="D2617" s="60"/>
      <c r="E2617" s="61"/>
      <c r="F2617" s="61"/>
      <c r="G2617" s="67"/>
      <c r="H2617" s="60"/>
      <c r="I2617" s="60"/>
      <c r="J2617" s="61"/>
      <c r="K2617" s="61"/>
      <c r="L2617" s="60"/>
      <c r="M2617" s="74" t="str">
        <f>IF($C2617="","",IF($D2617="Gider",$E2617,IF($L2617&lt;&gt;"",$L2617,$H2617)))</f>
        <v/>
      </c>
      <c r="N2617" s="74" t="str">
        <f>IF($C2617="","",IF($D2617="Gider",$H2617,$E2617))</f>
        <v/>
      </c>
      <c r="O2617" s="73" t="str">
        <f>IF($C2617="","",DATE(YEAR($C2617),MONTH($C2617),1))</f>
        <v/>
      </c>
      <c r="P2617" s="65" t="str">
        <f ca="1">IF($C2617="","",IF(AND($D2617="Gelir",$L2617&lt;&gt;"",$T2617=""),"TANIMSIZ BORÇLU",IF($T2617&lt;&gt;"",IF(OR($E2617="",$G2617&lt;=0),"EKSİK",IF($I2617="Evet","TAHAKKUK NAKİT OLAMAZ",IF($C2617&gt;TODAY(),"İLERİ TARİH","TAHAKKUK"))),IF(AND($D2617&lt;&gt;"",$E2617&lt;&gt;"",$G2617&gt;0,$H2617&lt;&gt;"",$I2617&lt;&gt;""),IF($C2617&gt;TODAY(),"İLERİ TARİH",IF(COUNTIF($W$7:$W$3001,$W2617)&gt;1,"MÜKERRER?",IF($AD2617&gt;0,"KAPALI DÖNEM",IF($I2617="Hayır","ÖDENECEK","UYGUN")))),"EKSİK"))))</f>
        <v/>
      </c>
      <c r="Q2617" s="2"/>
      <c r="R2617" s="2"/>
      <c r="S2617" s="1" t="str">
        <f t="shared" si="122"/>
        <v/>
      </c>
      <c r="T2617" s="1" t="str">
        <f>IF(OR($C2617="",$D2617&lt;&gt;"Gelir",$L2617=""),"",IFERROR(INDEX(MUSTERILER!$B$7:$B$156,MATCH($S2617,MUSTERILER!$T$7:$T$156,0)),""))</f>
        <v/>
      </c>
      <c r="U2617" s="1" t="str">
        <f>IF($T2617="","",$T2617&amp;"|"&amp;COUNTIFS($T$7:$T2617,$T2617))</f>
        <v/>
      </c>
      <c r="V2617" s="1">
        <f t="shared" si="123"/>
        <v>0</v>
      </c>
      <c r="W2617" s="1" t="str">
        <f t="shared" si="124"/>
        <v/>
      </c>
      <c r="X2617" s="1"/>
      <c r="Y2617" s="1"/>
      <c r="Z2617" s="1"/>
      <c r="AA2617" s="1"/>
      <c r="AB2617" s="1"/>
      <c r="AC2617" s="1"/>
      <c r="AD2617" s="1">
        <f>IF($C2617="",0,SUMPRODUCT((AY_SONU!$O$7:$O$42="Evet")*(AY_SONU!$B$7:$B$42=DATE(YEAR($C2617),MONTH($C2617),1))))</f>
        <v>0</v>
      </c>
      <c r="AE2617" s="1" t="str">
        <f>IF($E2617="","",$E2617&amp;"|"&amp;COUNTIFS($E$7:$E2617,$E2617))</f>
        <v/>
      </c>
    </row>
    <row r="2618" spans="1:31" ht="18" customHeight="1" x14ac:dyDescent="0.3">
      <c r="A2618" s="2"/>
      <c r="B2618" s="65" t="str">
        <f>IF($C2618="","","GG"&amp;TEXT(ROW()-6,"00000"))</f>
        <v/>
      </c>
      <c r="C2618" s="66"/>
      <c r="D2618" s="60"/>
      <c r="E2618" s="61"/>
      <c r="F2618" s="61"/>
      <c r="G2618" s="67"/>
      <c r="H2618" s="60"/>
      <c r="I2618" s="60"/>
      <c r="J2618" s="61"/>
      <c r="K2618" s="61"/>
      <c r="L2618" s="60"/>
      <c r="M2618" s="74" t="str">
        <f>IF($C2618="","",IF($D2618="Gider",$E2618,IF($L2618&lt;&gt;"",$L2618,$H2618)))</f>
        <v/>
      </c>
      <c r="N2618" s="74" t="str">
        <f>IF($C2618="","",IF($D2618="Gider",$H2618,$E2618))</f>
        <v/>
      </c>
      <c r="O2618" s="73" t="str">
        <f>IF($C2618="","",DATE(YEAR($C2618),MONTH($C2618),1))</f>
        <v/>
      </c>
      <c r="P2618" s="65" t="str">
        <f ca="1">IF($C2618="","",IF(AND($D2618="Gelir",$L2618&lt;&gt;"",$T2618=""),"TANIMSIZ BORÇLU",IF($T2618&lt;&gt;"",IF(OR($E2618="",$G2618&lt;=0),"EKSİK",IF($I2618="Evet","TAHAKKUK NAKİT OLAMAZ",IF($C2618&gt;TODAY(),"İLERİ TARİH","TAHAKKUK"))),IF(AND($D2618&lt;&gt;"",$E2618&lt;&gt;"",$G2618&gt;0,$H2618&lt;&gt;"",$I2618&lt;&gt;""),IF($C2618&gt;TODAY(),"İLERİ TARİH",IF(COUNTIF($W$7:$W$3001,$W2618)&gt;1,"MÜKERRER?",IF($AD2618&gt;0,"KAPALI DÖNEM",IF($I2618="Hayır","ÖDENECEK","UYGUN")))),"EKSİK"))))</f>
        <v/>
      </c>
      <c r="Q2618" s="2"/>
      <c r="R2618" s="2"/>
      <c r="S2618" s="1" t="str">
        <f t="shared" si="122"/>
        <v/>
      </c>
      <c r="T2618" s="1" t="str">
        <f>IF(OR($C2618="",$D2618&lt;&gt;"Gelir",$L2618=""),"",IFERROR(INDEX(MUSTERILER!$B$7:$B$156,MATCH($S2618,MUSTERILER!$T$7:$T$156,0)),""))</f>
        <v/>
      </c>
      <c r="U2618" s="1" t="str">
        <f>IF($T2618="","",$T2618&amp;"|"&amp;COUNTIFS($T$7:$T2618,$T2618))</f>
        <v/>
      </c>
      <c r="V2618" s="1">
        <f t="shared" si="123"/>
        <v>0</v>
      </c>
      <c r="W2618" s="1" t="str">
        <f t="shared" si="124"/>
        <v/>
      </c>
      <c r="X2618" s="1"/>
      <c r="Y2618" s="1"/>
      <c r="Z2618" s="1"/>
      <c r="AA2618" s="1"/>
      <c r="AB2618" s="1"/>
      <c r="AC2618" s="1"/>
      <c r="AD2618" s="1">
        <f>IF($C2618="",0,SUMPRODUCT((AY_SONU!$O$7:$O$42="Evet")*(AY_SONU!$B$7:$B$42=DATE(YEAR($C2618),MONTH($C2618),1))))</f>
        <v>0</v>
      </c>
      <c r="AE2618" s="1" t="str">
        <f>IF($E2618="","",$E2618&amp;"|"&amp;COUNTIFS($E$7:$E2618,$E2618))</f>
        <v/>
      </c>
    </row>
    <row r="2619" spans="1:31" ht="18" customHeight="1" x14ac:dyDescent="0.3">
      <c r="A2619" s="2"/>
      <c r="B2619" s="65" t="str">
        <f>IF($C2619="","","GG"&amp;TEXT(ROW()-6,"00000"))</f>
        <v/>
      </c>
      <c r="C2619" s="66"/>
      <c r="D2619" s="60"/>
      <c r="E2619" s="61"/>
      <c r="F2619" s="61"/>
      <c r="G2619" s="67"/>
      <c r="H2619" s="60"/>
      <c r="I2619" s="60"/>
      <c r="J2619" s="61"/>
      <c r="K2619" s="61"/>
      <c r="L2619" s="60"/>
      <c r="M2619" s="74" t="str">
        <f>IF($C2619="","",IF($D2619="Gider",$E2619,IF($L2619&lt;&gt;"",$L2619,$H2619)))</f>
        <v/>
      </c>
      <c r="N2619" s="74" t="str">
        <f>IF($C2619="","",IF($D2619="Gider",$H2619,$E2619))</f>
        <v/>
      </c>
      <c r="O2619" s="73" t="str">
        <f>IF($C2619="","",DATE(YEAR($C2619),MONTH($C2619),1))</f>
        <v/>
      </c>
      <c r="P2619" s="65" t="str">
        <f ca="1">IF($C2619="","",IF(AND($D2619="Gelir",$L2619&lt;&gt;"",$T2619=""),"TANIMSIZ BORÇLU",IF($T2619&lt;&gt;"",IF(OR($E2619="",$G2619&lt;=0),"EKSİK",IF($I2619="Evet","TAHAKKUK NAKİT OLAMAZ",IF($C2619&gt;TODAY(),"İLERİ TARİH","TAHAKKUK"))),IF(AND($D2619&lt;&gt;"",$E2619&lt;&gt;"",$G2619&gt;0,$H2619&lt;&gt;"",$I2619&lt;&gt;""),IF($C2619&gt;TODAY(),"İLERİ TARİH",IF(COUNTIF($W$7:$W$3001,$W2619)&gt;1,"MÜKERRER?",IF($AD2619&gt;0,"KAPALI DÖNEM",IF($I2619="Hayır","ÖDENECEK","UYGUN")))),"EKSİK"))))</f>
        <v/>
      </c>
      <c r="Q2619" s="2"/>
      <c r="R2619" s="2"/>
      <c r="S2619" s="1" t="str">
        <f t="shared" si="122"/>
        <v/>
      </c>
      <c r="T2619" s="1" t="str">
        <f>IF(OR($C2619="",$D2619&lt;&gt;"Gelir",$L2619=""),"",IFERROR(INDEX(MUSTERILER!$B$7:$B$156,MATCH($S2619,MUSTERILER!$T$7:$T$156,0)),""))</f>
        <v/>
      </c>
      <c r="U2619" s="1" t="str">
        <f>IF($T2619="","",$T2619&amp;"|"&amp;COUNTIFS($T$7:$T2619,$T2619))</f>
        <v/>
      </c>
      <c r="V2619" s="1">
        <f t="shared" si="123"/>
        <v>0</v>
      </c>
      <c r="W2619" s="1" t="str">
        <f t="shared" si="124"/>
        <v/>
      </c>
      <c r="X2619" s="1"/>
      <c r="Y2619" s="1"/>
      <c r="Z2619" s="1"/>
      <c r="AA2619" s="1"/>
      <c r="AB2619" s="1"/>
      <c r="AC2619" s="1"/>
      <c r="AD2619" s="1">
        <f>IF($C2619="",0,SUMPRODUCT((AY_SONU!$O$7:$O$42="Evet")*(AY_SONU!$B$7:$B$42=DATE(YEAR($C2619),MONTH($C2619),1))))</f>
        <v>0</v>
      </c>
      <c r="AE2619" s="1" t="str">
        <f>IF($E2619="","",$E2619&amp;"|"&amp;COUNTIFS($E$7:$E2619,$E2619))</f>
        <v/>
      </c>
    </row>
    <row r="2620" spans="1:31" ht="18" customHeight="1" x14ac:dyDescent="0.3">
      <c r="A2620" s="2"/>
      <c r="B2620" s="65" t="str">
        <f>IF($C2620="","","GG"&amp;TEXT(ROW()-6,"00000"))</f>
        <v/>
      </c>
      <c r="C2620" s="66"/>
      <c r="D2620" s="60"/>
      <c r="E2620" s="61"/>
      <c r="F2620" s="61"/>
      <c r="G2620" s="67"/>
      <c r="H2620" s="60"/>
      <c r="I2620" s="60"/>
      <c r="J2620" s="61"/>
      <c r="K2620" s="61"/>
      <c r="L2620" s="60"/>
      <c r="M2620" s="74" t="str">
        <f>IF($C2620="","",IF($D2620="Gider",$E2620,IF($L2620&lt;&gt;"",$L2620,$H2620)))</f>
        <v/>
      </c>
      <c r="N2620" s="74" t="str">
        <f>IF($C2620="","",IF($D2620="Gider",$H2620,$E2620))</f>
        <v/>
      </c>
      <c r="O2620" s="73" t="str">
        <f>IF($C2620="","",DATE(YEAR($C2620),MONTH($C2620),1))</f>
        <v/>
      </c>
      <c r="P2620" s="65" t="str">
        <f ca="1">IF($C2620="","",IF(AND($D2620="Gelir",$L2620&lt;&gt;"",$T2620=""),"TANIMSIZ BORÇLU",IF($T2620&lt;&gt;"",IF(OR($E2620="",$G2620&lt;=0),"EKSİK",IF($I2620="Evet","TAHAKKUK NAKİT OLAMAZ",IF($C2620&gt;TODAY(),"İLERİ TARİH","TAHAKKUK"))),IF(AND($D2620&lt;&gt;"",$E2620&lt;&gt;"",$G2620&gt;0,$H2620&lt;&gt;"",$I2620&lt;&gt;""),IF($C2620&gt;TODAY(),"İLERİ TARİH",IF(COUNTIF($W$7:$W$3001,$W2620)&gt;1,"MÜKERRER?",IF($AD2620&gt;0,"KAPALI DÖNEM",IF($I2620="Hayır","ÖDENECEK","UYGUN")))),"EKSİK"))))</f>
        <v/>
      </c>
      <c r="Q2620" s="2"/>
      <c r="R2620" s="2"/>
      <c r="S2620" s="1" t="str">
        <f t="shared" si="122"/>
        <v/>
      </c>
      <c r="T2620" s="1" t="str">
        <f>IF(OR($C2620="",$D2620&lt;&gt;"Gelir",$L2620=""),"",IFERROR(INDEX(MUSTERILER!$B$7:$B$156,MATCH($S2620,MUSTERILER!$T$7:$T$156,0)),""))</f>
        <v/>
      </c>
      <c r="U2620" s="1" t="str">
        <f>IF($T2620="","",$T2620&amp;"|"&amp;COUNTIFS($T$7:$T2620,$T2620))</f>
        <v/>
      </c>
      <c r="V2620" s="1">
        <f t="shared" si="123"/>
        <v>0</v>
      </c>
      <c r="W2620" s="1" t="str">
        <f t="shared" si="124"/>
        <v/>
      </c>
      <c r="X2620" s="1"/>
      <c r="Y2620" s="1"/>
      <c r="Z2620" s="1"/>
      <c r="AA2620" s="1"/>
      <c r="AB2620" s="1"/>
      <c r="AC2620" s="1"/>
      <c r="AD2620" s="1">
        <f>IF($C2620="",0,SUMPRODUCT((AY_SONU!$O$7:$O$42="Evet")*(AY_SONU!$B$7:$B$42=DATE(YEAR($C2620),MONTH($C2620),1))))</f>
        <v>0</v>
      </c>
      <c r="AE2620" s="1" t="str">
        <f>IF($E2620="","",$E2620&amp;"|"&amp;COUNTIFS($E$7:$E2620,$E2620))</f>
        <v/>
      </c>
    </row>
    <row r="2621" spans="1:31" ht="18" customHeight="1" x14ac:dyDescent="0.3">
      <c r="A2621" s="2"/>
      <c r="B2621" s="65" t="str">
        <f>IF($C2621="","","GG"&amp;TEXT(ROW()-6,"00000"))</f>
        <v/>
      </c>
      <c r="C2621" s="66"/>
      <c r="D2621" s="60"/>
      <c r="E2621" s="61"/>
      <c r="F2621" s="61"/>
      <c r="G2621" s="67"/>
      <c r="H2621" s="60"/>
      <c r="I2621" s="60"/>
      <c r="J2621" s="61"/>
      <c r="K2621" s="61"/>
      <c r="L2621" s="60"/>
      <c r="M2621" s="74" t="str">
        <f>IF($C2621="","",IF($D2621="Gider",$E2621,IF($L2621&lt;&gt;"",$L2621,$H2621)))</f>
        <v/>
      </c>
      <c r="N2621" s="74" t="str">
        <f>IF($C2621="","",IF($D2621="Gider",$H2621,$E2621))</f>
        <v/>
      </c>
      <c r="O2621" s="73" t="str">
        <f>IF($C2621="","",DATE(YEAR($C2621),MONTH($C2621),1))</f>
        <v/>
      </c>
      <c r="P2621" s="65" t="str">
        <f ca="1">IF($C2621="","",IF(AND($D2621="Gelir",$L2621&lt;&gt;"",$T2621=""),"TANIMSIZ BORÇLU",IF($T2621&lt;&gt;"",IF(OR($E2621="",$G2621&lt;=0),"EKSİK",IF($I2621="Evet","TAHAKKUK NAKİT OLAMAZ",IF($C2621&gt;TODAY(),"İLERİ TARİH","TAHAKKUK"))),IF(AND($D2621&lt;&gt;"",$E2621&lt;&gt;"",$G2621&gt;0,$H2621&lt;&gt;"",$I2621&lt;&gt;""),IF($C2621&gt;TODAY(),"İLERİ TARİH",IF(COUNTIF($W$7:$W$3001,$W2621)&gt;1,"MÜKERRER?",IF($AD2621&gt;0,"KAPALI DÖNEM",IF($I2621="Hayır","ÖDENECEK","UYGUN")))),"EKSİK"))))</f>
        <v/>
      </c>
      <c r="Q2621" s="2"/>
      <c r="R2621" s="2"/>
      <c r="S2621" s="1" t="str">
        <f t="shared" si="122"/>
        <v/>
      </c>
      <c r="T2621" s="1" t="str">
        <f>IF(OR($C2621="",$D2621&lt;&gt;"Gelir",$L2621=""),"",IFERROR(INDEX(MUSTERILER!$B$7:$B$156,MATCH($S2621,MUSTERILER!$T$7:$T$156,0)),""))</f>
        <v/>
      </c>
      <c r="U2621" s="1" t="str">
        <f>IF($T2621="","",$T2621&amp;"|"&amp;COUNTIFS($T$7:$T2621,$T2621))</f>
        <v/>
      </c>
      <c r="V2621" s="1">
        <f t="shared" si="123"/>
        <v>0</v>
      </c>
      <c r="W2621" s="1" t="str">
        <f t="shared" si="124"/>
        <v/>
      </c>
      <c r="X2621" s="1"/>
      <c r="Y2621" s="1"/>
      <c r="Z2621" s="1"/>
      <c r="AA2621" s="1"/>
      <c r="AB2621" s="1"/>
      <c r="AC2621" s="1"/>
      <c r="AD2621" s="1">
        <f>IF($C2621="",0,SUMPRODUCT((AY_SONU!$O$7:$O$42="Evet")*(AY_SONU!$B$7:$B$42=DATE(YEAR($C2621),MONTH($C2621),1))))</f>
        <v>0</v>
      </c>
      <c r="AE2621" s="1" t="str">
        <f>IF($E2621="","",$E2621&amp;"|"&amp;COUNTIFS($E$7:$E2621,$E2621))</f>
        <v/>
      </c>
    </row>
    <row r="2622" spans="1:31" ht="18" customHeight="1" x14ac:dyDescent="0.3">
      <c r="A2622" s="2"/>
      <c r="B2622" s="65" t="str">
        <f>IF($C2622="","","GG"&amp;TEXT(ROW()-6,"00000"))</f>
        <v/>
      </c>
      <c r="C2622" s="66"/>
      <c r="D2622" s="60"/>
      <c r="E2622" s="61"/>
      <c r="F2622" s="61"/>
      <c r="G2622" s="67"/>
      <c r="H2622" s="60"/>
      <c r="I2622" s="60"/>
      <c r="J2622" s="61"/>
      <c r="K2622" s="61"/>
      <c r="L2622" s="60"/>
      <c r="M2622" s="74" t="str">
        <f>IF($C2622="","",IF($D2622="Gider",$E2622,IF($L2622&lt;&gt;"",$L2622,$H2622)))</f>
        <v/>
      </c>
      <c r="N2622" s="74" t="str">
        <f>IF($C2622="","",IF($D2622="Gider",$H2622,$E2622))</f>
        <v/>
      </c>
      <c r="O2622" s="73" t="str">
        <f>IF($C2622="","",DATE(YEAR($C2622),MONTH($C2622),1))</f>
        <v/>
      </c>
      <c r="P2622" s="65" t="str">
        <f ca="1">IF($C2622="","",IF(AND($D2622="Gelir",$L2622&lt;&gt;"",$T2622=""),"TANIMSIZ BORÇLU",IF($T2622&lt;&gt;"",IF(OR($E2622="",$G2622&lt;=0),"EKSİK",IF($I2622="Evet","TAHAKKUK NAKİT OLAMAZ",IF($C2622&gt;TODAY(),"İLERİ TARİH","TAHAKKUK"))),IF(AND($D2622&lt;&gt;"",$E2622&lt;&gt;"",$G2622&gt;0,$H2622&lt;&gt;"",$I2622&lt;&gt;""),IF($C2622&gt;TODAY(),"İLERİ TARİH",IF(COUNTIF($W$7:$W$3001,$W2622)&gt;1,"MÜKERRER?",IF($AD2622&gt;0,"KAPALI DÖNEM",IF($I2622="Hayır","ÖDENECEK","UYGUN")))),"EKSİK"))))</f>
        <v/>
      </c>
      <c r="Q2622" s="2"/>
      <c r="R2622" s="2"/>
      <c r="S2622" s="1" t="str">
        <f t="shared" si="122"/>
        <v/>
      </c>
      <c r="T2622" s="1" t="str">
        <f>IF(OR($C2622="",$D2622&lt;&gt;"Gelir",$L2622=""),"",IFERROR(INDEX(MUSTERILER!$B$7:$B$156,MATCH($S2622,MUSTERILER!$T$7:$T$156,0)),""))</f>
        <v/>
      </c>
      <c r="U2622" s="1" t="str">
        <f>IF($T2622="","",$T2622&amp;"|"&amp;COUNTIFS($T$7:$T2622,$T2622))</f>
        <v/>
      </c>
      <c r="V2622" s="1">
        <f t="shared" si="123"/>
        <v>0</v>
      </c>
      <c r="W2622" s="1" t="str">
        <f t="shared" si="124"/>
        <v/>
      </c>
      <c r="X2622" s="1"/>
      <c r="Y2622" s="1"/>
      <c r="Z2622" s="1"/>
      <c r="AA2622" s="1"/>
      <c r="AB2622" s="1"/>
      <c r="AC2622" s="1"/>
      <c r="AD2622" s="1">
        <f>IF($C2622="",0,SUMPRODUCT((AY_SONU!$O$7:$O$42="Evet")*(AY_SONU!$B$7:$B$42=DATE(YEAR($C2622),MONTH($C2622),1))))</f>
        <v>0</v>
      </c>
      <c r="AE2622" s="1" t="str">
        <f>IF($E2622="","",$E2622&amp;"|"&amp;COUNTIFS($E$7:$E2622,$E2622))</f>
        <v/>
      </c>
    </row>
    <row r="2623" spans="1:31" ht="18" customHeight="1" x14ac:dyDescent="0.3">
      <c r="A2623" s="2"/>
      <c r="B2623" s="65" t="str">
        <f>IF($C2623="","","GG"&amp;TEXT(ROW()-6,"00000"))</f>
        <v/>
      </c>
      <c r="C2623" s="66"/>
      <c r="D2623" s="60"/>
      <c r="E2623" s="61"/>
      <c r="F2623" s="61"/>
      <c r="G2623" s="67"/>
      <c r="H2623" s="60"/>
      <c r="I2623" s="60"/>
      <c r="J2623" s="61"/>
      <c r="K2623" s="61"/>
      <c r="L2623" s="60"/>
      <c r="M2623" s="74" t="str">
        <f>IF($C2623="","",IF($D2623="Gider",$E2623,IF($L2623&lt;&gt;"",$L2623,$H2623)))</f>
        <v/>
      </c>
      <c r="N2623" s="74" t="str">
        <f>IF($C2623="","",IF($D2623="Gider",$H2623,$E2623))</f>
        <v/>
      </c>
      <c r="O2623" s="73" t="str">
        <f>IF($C2623="","",DATE(YEAR($C2623),MONTH($C2623),1))</f>
        <v/>
      </c>
      <c r="P2623" s="65" t="str">
        <f ca="1">IF($C2623="","",IF(AND($D2623="Gelir",$L2623&lt;&gt;"",$T2623=""),"TANIMSIZ BORÇLU",IF($T2623&lt;&gt;"",IF(OR($E2623="",$G2623&lt;=0),"EKSİK",IF($I2623="Evet","TAHAKKUK NAKİT OLAMAZ",IF($C2623&gt;TODAY(),"İLERİ TARİH","TAHAKKUK"))),IF(AND($D2623&lt;&gt;"",$E2623&lt;&gt;"",$G2623&gt;0,$H2623&lt;&gt;"",$I2623&lt;&gt;""),IF($C2623&gt;TODAY(),"İLERİ TARİH",IF(COUNTIF($W$7:$W$3001,$W2623)&gt;1,"MÜKERRER?",IF($AD2623&gt;0,"KAPALI DÖNEM",IF($I2623="Hayır","ÖDENECEK","UYGUN")))),"EKSİK"))))</f>
        <v/>
      </c>
      <c r="Q2623" s="2"/>
      <c r="R2623" s="2"/>
      <c r="S2623" s="1" t="str">
        <f t="shared" si="122"/>
        <v/>
      </c>
      <c r="T2623" s="1" t="str">
        <f>IF(OR($C2623="",$D2623&lt;&gt;"Gelir",$L2623=""),"",IFERROR(INDEX(MUSTERILER!$B$7:$B$156,MATCH($S2623,MUSTERILER!$T$7:$T$156,0)),""))</f>
        <v/>
      </c>
      <c r="U2623" s="1" t="str">
        <f>IF($T2623="","",$T2623&amp;"|"&amp;COUNTIFS($T$7:$T2623,$T2623))</f>
        <v/>
      </c>
      <c r="V2623" s="1">
        <f t="shared" si="123"/>
        <v>0</v>
      </c>
      <c r="W2623" s="1" t="str">
        <f t="shared" si="124"/>
        <v/>
      </c>
      <c r="X2623" s="1"/>
      <c r="Y2623" s="1"/>
      <c r="Z2623" s="1"/>
      <c r="AA2623" s="1"/>
      <c r="AB2623" s="1"/>
      <c r="AC2623" s="1"/>
      <c r="AD2623" s="1">
        <f>IF($C2623="",0,SUMPRODUCT((AY_SONU!$O$7:$O$42="Evet")*(AY_SONU!$B$7:$B$42=DATE(YEAR($C2623),MONTH($C2623),1))))</f>
        <v>0</v>
      </c>
      <c r="AE2623" s="1" t="str">
        <f>IF($E2623="","",$E2623&amp;"|"&amp;COUNTIFS($E$7:$E2623,$E2623))</f>
        <v/>
      </c>
    </row>
    <row r="2624" spans="1:31" ht="18" customHeight="1" x14ac:dyDescent="0.3">
      <c r="A2624" s="2"/>
      <c r="B2624" s="65" t="str">
        <f>IF($C2624="","","GG"&amp;TEXT(ROW()-6,"00000"))</f>
        <v/>
      </c>
      <c r="C2624" s="66"/>
      <c r="D2624" s="60"/>
      <c r="E2624" s="61"/>
      <c r="F2624" s="61"/>
      <c r="G2624" s="67"/>
      <c r="H2624" s="60"/>
      <c r="I2624" s="60"/>
      <c r="J2624" s="61"/>
      <c r="K2624" s="61"/>
      <c r="L2624" s="60"/>
      <c r="M2624" s="74" t="str">
        <f>IF($C2624="","",IF($D2624="Gider",$E2624,IF($L2624&lt;&gt;"",$L2624,$H2624)))</f>
        <v/>
      </c>
      <c r="N2624" s="74" t="str">
        <f>IF($C2624="","",IF($D2624="Gider",$H2624,$E2624))</f>
        <v/>
      </c>
      <c r="O2624" s="73" t="str">
        <f>IF($C2624="","",DATE(YEAR($C2624),MONTH($C2624),1))</f>
        <v/>
      </c>
      <c r="P2624" s="65" t="str">
        <f ca="1">IF($C2624="","",IF(AND($D2624="Gelir",$L2624&lt;&gt;"",$T2624=""),"TANIMSIZ BORÇLU",IF($T2624&lt;&gt;"",IF(OR($E2624="",$G2624&lt;=0),"EKSİK",IF($I2624="Evet","TAHAKKUK NAKİT OLAMAZ",IF($C2624&gt;TODAY(),"İLERİ TARİH","TAHAKKUK"))),IF(AND($D2624&lt;&gt;"",$E2624&lt;&gt;"",$G2624&gt;0,$H2624&lt;&gt;"",$I2624&lt;&gt;""),IF($C2624&gt;TODAY(),"İLERİ TARİH",IF(COUNTIF($W$7:$W$3001,$W2624)&gt;1,"MÜKERRER?",IF($AD2624&gt;0,"KAPALI DÖNEM",IF($I2624="Hayır","ÖDENECEK","UYGUN")))),"EKSİK"))))</f>
        <v/>
      </c>
      <c r="Q2624" s="2"/>
      <c r="R2624" s="2"/>
      <c r="S2624" s="1" t="str">
        <f t="shared" si="122"/>
        <v/>
      </c>
      <c r="T2624" s="1" t="str">
        <f>IF(OR($C2624="",$D2624&lt;&gt;"Gelir",$L2624=""),"",IFERROR(INDEX(MUSTERILER!$B$7:$B$156,MATCH($S2624,MUSTERILER!$T$7:$T$156,0)),""))</f>
        <v/>
      </c>
      <c r="U2624" s="1" t="str">
        <f>IF($T2624="","",$T2624&amp;"|"&amp;COUNTIFS($T$7:$T2624,$T2624))</f>
        <v/>
      </c>
      <c r="V2624" s="1">
        <f t="shared" si="123"/>
        <v>0</v>
      </c>
      <c r="W2624" s="1" t="str">
        <f t="shared" si="124"/>
        <v/>
      </c>
      <c r="X2624" s="1"/>
      <c r="Y2624" s="1"/>
      <c r="Z2624" s="1"/>
      <c r="AA2624" s="1"/>
      <c r="AB2624" s="1"/>
      <c r="AC2624" s="1"/>
      <c r="AD2624" s="1">
        <f>IF($C2624="",0,SUMPRODUCT((AY_SONU!$O$7:$O$42="Evet")*(AY_SONU!$B$7:$B$42=DATE(YEAR($C2624),MONTH($C2624),1))))</f>
        <v>0</v>
      </c>
      <c r="AE2624" s="1" t="str">
        <f>IF($E2624="","",$E2624&amp;"|"&amp;COUNTIFS($E$7:$E2624,$E2624))</f>
        <v/>
      </c>
    </row>
    <row r="2625" spans="1:31" ht="18" customHeight="1" x14ac:dyDescent="0.3">
      <c r="A2625" s="2"/>
      <c r="B2625" s="65" t="str">
        <f>IF($C2625="","","GG"&amp;TEXT(ROW()-6,"00000"))</f>
        <v/>
      </c>
      <c r="C2625" s="66"/>
      <c r="D2625" s="60"/>
      <c r="E2625" s="61"/>
      <c r="F2625" s="61"/>
      <c r="G2625" s="67"/>
      <c r="H2625" s="60"/>
      <c r="I2625" s="60"/>
      <c r="J2625" s="61"/>
      <c r="K2625" s="61"/>
      <c r="L2625" s="60"/>
      <c r="M2625" s="74" t="str">
        <f>IF($C2625="","",IF($D2625="Gider",$E2625,IF($L2625&lt;&gt;"",$L2625,$H2625)))</f>
        <v/>
      </c>
      <c r="N2625" s="74" t="str">
        <f>IF($C2625="","",IF($D2625="Gider",$H2625,$E2625))</f>
        <v/>
      </c>
      <c r="O2625" s="73" t="str">
        <f>IF($C2625="","",DATE(YEAR($C2625),MONTH($C2625),1))</f>
        <v/>
      </c>
      <c r="P2625" s="65" t="str">
        <f ca="1">IF($C2625="","",IF(AND($D2625="Gelir",$L2625&lt;&gt;"",$T2625=""),"TANIMSIZ BORÇLU",IF($T2625&lt;&gt;"",IF(OR($E2625="",$G2625&lt;=0),"EKSİK",IF($I2625="Evet","TAHAKKUK NAKİT OLAMAZ",IF($C2625&gt;TODAY(),"İLERİ TARİH","TAHAKKUK"))),IF(AND($D2625&lt;&gt;"",$E2625&lt;&gt;"",$G2625&gt;0,$H2625&lt;&gt;"",$I2625&lt;&gt;""),IF($C2625&gt;TODAY(),"İLERİ TARİH",IF(COUNTIF($W$7:$W$3001,$W2625)&gt;1,"MÜKERRER?",IF($AD2625&gt;0,"KAPALI DÖNEM",IF($I2625="Hayır","ÖDENECEK","UYGUN")))),"EKSİK"))))</f>
        <v/>
      </c>
      <c r="Q2625" s="2"/>
      <c r="R2625" s="2"/>
      <c r="S2625" s="1" t="str">
        <f t="shared" si="122"/>
        <v/>
      </c>
      <c r="T2625" s="1" t="str">
        <f>IF(OR($C2625="",$D2625&lt;&gt;"Gelir",$L2625=""),"",IFERROR(INDEX(MUSTERILER!$B$7:$B$156,MATCH($S2625,MUSTERILER!$T$7:$T$156,0)),""))</f>
        <v/>
      </c>
      <c r="U2625" s="1" t="str">
        <f>IF($T2625="","",$T2625&amp;"|"&amp;COUNTIFS($T$7:$T2625,$T2625))</f>
        <v/>
      </c>
      <c r="V2625" s="1">
        <f t="shared" si="123"/>
        <v>0</v>
      </c>
      <c r="W2625" s="1" t="str">
        <f t="shared" si="124"/>
        <v/>
      </c>
      <c r="X2625" s="1"/>
      <c r="Y2625" s="1"/>
      <c r="Z2625" s="1"/>
      <c r="AA2625" s="1"/>
      <c r="AB2625" s="1"/>
      <c r="AC2625" s="1"/>
      <c r="AD2625" s="1">
        <f>IF($C2625="",0,SUMPRODUCT((AY_SONU!$O$7:$O$42="Evet")*(AY_SONU!$B$7:$B$42=DATE(YEAR($C2625),MONTH($C2625),1))))</f>
        <v>0</v>
      </c>
      <c r="AE2625" s="1" t="str">
        <f>IF($E2625="","",$E2625&amp;"|"&amp;COUNTIFS($E$7:$E2625,$E2625))</f>
        <v/>
      </c>
    </row>
    <row r="2626" spans="1:31" ht="18" customHeight="1" x14ac:dyDescent="0.3">
      <c r="A2626" s="2"/>
      <c r="B2626" s="65" t="str">
        <f>IF($C2626="","","GG"&amp;TEXT(ROW()-6,"00000"))</f>
        <v/>
      </c>
      <c r="C2626" s="66"/>
      <c r="D2626" s="60"/>
      <c r="E2626" s="61"/>
      <c r="F2626" s="61"/>
      <c r="G2626" s="67"/>
      <c r="H2626" s="60"/>
      <c r="I2626" s="60"/>
      <c r="J2626" s="61"/>
      <c r="K2626" s="61"/>
      <c r="L2626" s="60"/>
      <c r="M2626" s="74" t="str">
        <f>IF($C2626="","",IF($D2626="Gider",$E2626,IF($L2626&lt;&gt;"",$L2626,$H2626)))</f>
        <v/>
      </c>
      <c r="N2626" s="74" t="str">
        <f>IF($C2626="","",IF($D2626="Gider",$H2626,$E2626))</f>
        <v/>
      </c>
      <c r="O2626" s="73" t="str">
        <f>IF($C2626="","",DATE(YEAR($C2626),MONTH($C2626),1))</f>
        <v/>
      </c>
      <c r="P2626" s="65" t="str">
        <f ca="1">IF($C2626="","",IF(AND($D2626="Gelir",$L2626&lt;&gt;"",$T2626=""),"TANIMSIZ BORÇLU",IF($T2626&lt;&gt;"",IF(OR($E2626="",$G2626&lt;=0),"EKSİK",IF($I2626="Evet","TAHAKKUK NAKİT OLAMAZ",IF($C2626&gt;TODAY(),"İLERİ TARİH","TAHAKKUK"))),IF(AND($D2626&lt;&gt;"",$E2626&lt;&gt;"",$G2626&gt;0,$H2626&lt;&gt;"",$I2626&lt;&gt;""),IF($C2626&gt;TODAY(),"İLERİ TARİH",IF(COUNTIF($W$7:$W$3001,$W2626)&gt;1,"MÜKERRER?",IF($AD2626&gt;0,"KAPALI DÖNEM",IF($I2626="Hayır","ÖDENECEK","UYGUN")))),"EKSİK"))))</f>
        <v/>
      </c>
      <c r="Q2626" s="2"/>
      <c r="R2626" s="2"/>
      <c r="S2626" s="1" t="str">
        <f t="shared" si="122"/>
        <v/>
      </c>
      <c r="T2626" s="1" t="str">
        <f>IF(OR($C2626="",$D2626&lt;&gt;"Gelir",$L2626=""),"",IFERROR(INDEX(MUSTERILER!$B$7:$B$156,MATCH($S2626,MUSTERILER!$T$7:$T$156,0)),""))</f>
        <v/>
      </c>
      <c r="U2626" s="1" t="str">
        <f>IF($T2626="","",$T2626&amp;"|"&amp;COUNTIFS($T$7:$T2626,$T2626))</f>
        <v/>
      </c>
      <c r="V2626" s="1">
        <f t="shared" si="123"/>
        <v>0</v>
      </c>
      <c r="W2626" s="1" t="str">
        <f t="shared" si="124"/>
        <v/>
      </c>
      <c r="X2626" s="1"/>
      <c r="Y2626" s="1"/>
      <c r="Z2626" s="1"/>
      <c r="AA2626" s="1"/>
      <c r="AB2626" s="1"/>
      <c r="AC2626" s="1"/>
      <c r="AD2626" s="1">
        <f>IF($C2626="",0,SUMPRODUCT((AY_SONU!$O$7:$O$42="Evet")*(AY_SONU!$B$7:$B$42=DATE(YEAR($C2626),MONTH($C2626),1))))</f>
        <v>0</v>
      </c>
      <c r="AE2626" s="1" t="str">
        <f>IF($E2626="","",$E2626&amp;"|"&amp;COUNTIFS($E$7:$E2626,$E2626))</f>
        <v/>
      </c>
    </row>
    <row r="2627" spans="1:31" ht="18" customHeight="1" x14ac:dyDescent="0.3">
      <c r="A2627" s="2"/>
      <c r="B2627" s="65" t="str">
        <f>IF($C2627="","","GG"&amp;TEXT(ROW()-6,"00000"))</f>
        <v/>
      </c>
      <c r="C2627" s="66"/>
      <c r="D2627" s="60"/>
      <c r="E2627" s="61"/>
      <c r="F2627" s="61"/>
      <c r="G2627" s="67"/>
      <c r="H2627" s="60"/>
      <c r="I2627" s="60"/>
      <c r="J2627" s="61"/>
      <c r="K2627" s="61"/>
      <c r="L2627" s="60"/>
      <c r="M2627" s="74" t="str">
        <f>IF($C2627="","",IF($D2627="Gider",$E2627,IF($L2627&lt;&gt;"",$L2627,$H2627)))</f>
        <v/>
      </c>
      <c r="N2627" s="74" t="str">
        <f>IF($C2627="","",IF($D2627="Gider",$H2627,$E2627))</f>
        <v/>
      </c>
      <c r="O2627" s="73" t="str">
        <f>IF($C2627="","",DATE(YEAR($C2627),MONTH($C2627),1))</f>
        <v/>
      </c>
      <c r="P2627" s="65" t="str">
        <f ca="1">IF($C2627="","",IF(AND($D2627="Gelir",$L2627&lt;&gt;"",$T2627=""),"TANIMSIZ BORÇLU",IF($T2627&lt;&gt;"",IF(OR($E2627="",$G2627&lt;=0),"EKSİK",IF($I2627="Evet","TAHAKKUK NAKİT OLAMAZ",IF($C2627&gt;TODAY(),"İLERİ TARİH","TAHAKKUK"))),IF(AND($D2627&lt;&gt;"",$E2627&lt;&gt;"",$G2627&gt;0,$H2627&lt;&gt;"",$I2627&lt;&gt;""),IF($C2627&gt;TODAY(),"İLERİ TARİH",IF(COUNTIF($W$7:$W$3001,$W2627)&gt;1,"MÜKERRER?",IF($AD2627&gt;0,"KAPALI DÖNEM",IF($I2627="Hayır","ÖDENECEK","UYGUN")))),"EKSİK"))))</f>
        <v/>
      </c>
      <c r="Q2627" s="2"/>
      <c r="R2627" s="2"/>
      <c r="S2627" s="1" t="str">
        <f t="shared" si="122"/>
        <v/>
      </c>
      <c r="T2627" s="1" t="str">
        <f>IF(OR($C2627="",$D2627&lt;&gt;"Gelir",$L2627=""),"",IFERROR(INDEX(MUSTERILER!$B$7:$B$156,MATCH($S2627,MUSTERILER!$T$7:$T$156,0)),""))</f>
        <v/>
      </c>
      <c r="U2627" s="1" t="str">
        <f>IF($T2627="","",$T2627&amp;"|"&amp;COUNTIFS($T$7:$T2627,$T2627))</f>
        <v/>
      </c>
      <c r="V2627" s="1">
        <f t="shared" si="123"/>
        <v>0</v>
      </c>
      <c r="W2627" s="1" t="str">
        <f t="shared" si="124"/>
        <v/>
      </c>
      <c r="X2627" s="1"/>
      <c r="Y2627" s="1"/>
      <c r="Z2627" s="1"/>
      <c r="AA2627" s="1"/>
      <c r="AB2627" s="1"/>
      <c r="AC2627" s="1"/>
      <c r="AD2627" s="1">
        <f>IF($C2627="",0,SUMPRODUCT((AY_SONU!$O$7:$O$42="Evet")*(AY_SONU!$B$7:$B$42=DATE(YEAR($C2627),MONTH($C2627),1))))</f>
        <v>0</v>
      </c>
      <c r="AE2627" s="1" t="str">
        <f>IF($E2627="","",$E2627&amp;"|"&amp;COUNTIFS($E$7:$E2627,$E2627))</f>
        <v/>
      </c>
    </row>
    <row r="2628" spans="1:31" ht="18" customHeight="1" x14ac:dyDescent="0.3">
      <c r="A2628" s="2"/>
      <c r="B2628" s="65" t="str">
        <f>IF($C2628="","","GG"&amp;TEXT(ROW()-6,"00000"))</f>
        <v/>
      </c>
      <c r="C2628" s="66"/>
      <c r="D2628" s="60"/>
      <c r="E2628" s="61"/>
      <c r="F2628" s="61"/>
      <c r="G2628" s="67"/>
      <c r="H2628" s="60"/>
      <c r="I2628" s="60"/>
      <c r="J2628" s="61"/>
      <c r="K2628" s="61"/>
      <c r="L2628" s="60"/>
      <c r="M2628" s="74" t="str">
        <f>IF($C2628="","",IF($D2628="Gider",$E2628,IF($L2628&lt;&gt;"",$L2628,$H2628)))</f>
        <v/>
      </c>
      <c r="N2628" s="74" t="str">
        <f>IF($C2628="","",IF($D2628="Gider",$H2628,$E2628))</f>
        <v/>
      </c>
      <c r="O2628" s="73" t="str">
        <f>IF($C2628="","",DATE(YEAR($C2628),MONTH($C2628),1))</f>
        <v/>
      </c>
      <c r="P2628" s="65" t="str">
        <f ca="1">IF($C2628="","",IF(AND($D2628="Gelir",$L2628&lt;&gt;"",$T2628=""),"TANIMSIZ BORÇLU",IF($T2628&lt;&gt;"",IF(OR($E2628="",$G2628&lt;=0),"EKSİK",IF($I2628="Evet","TAHAKKUK NAKİT OLAMAZ",IF($C2628&gt;TODAY(),"İLERİ TARİH","TAHAKKUK"))),IF(AND($D2628&lt;&gt;"",$E2628&lt;&gt;"",$G2628&gt;0,$H2628&lt;&gt;"",$I2628&lt;&gt;""),IF($C2628&gt;TODAY(),"İLERİ TARİH",IF(COUNTIF($W$7:$W$3001,$W2628)&gt;1,"MÜKERRER?",IF($AD2628&gt;0,"KAPALI DÖNEM",IF($I2628="Hayır","ÖDENECEK","UYGUN")))),"EKSİK"))))</f>
        <v/>
      </c>
      <c r="Q2628" s="2"/>
      <c r="R2628" s="2"/>
      <c r="S2628" s="1" t="str">
        <f t="shared" si="122"/>
        <v/>
      </c>
      <c r="T2628" s="1" t="str">
        <f>IF(OR($C2628="",$D2628&lt;&gt;"Gelir",$L2628=""),"",IFERROR(INDEX(MUSTERILER!$B$7:$B$156,MATCH($S2628,MUSTERILER!$T$7:$T$156,0)),""))</f>
        <v/>
      </c>
      <c r="U2628" s="1" t="str">
        <f>IF($T2628="","",$T2628&amp;"|"&amp;COUNTIFS($T$7:$T2628,$T2628))</f>
        <v/>
      </c>
      <c r="V2628" s="1">
        <f t="shared" si="123"/>
        <v>0</v>
      </c>
      <c r="W2628" s="1" t="str">
        <f t="shared" si="124"/>
        <v/>
      </c>
      <c r="X2628" s="1"/>
      <c r="Y2628" s="1"/>
      <c r="Z2628" s="1"/>
      <c r="AA2628" s="1"/>
      <c r="AB2628" s="1"/>
      <c r="AC2628" s="1"/>
      <c r="AD2628" s="1">
        <f>IF($C2628="",0,SUMPRODUCT((AY_SONU!$O$7:$O$42="Evet")*(AY_SONU!$B$7:$B$42=DATE(YEAR($C2628),MONTH($C2628),1))))</f>
        <v>0</v>
      </c>
      <c r="AE2628" s="1" t="str">
        <f>IF($E2628="","",$E2628&amp;"|"&amp;COUNTIFS($E$7:$E2628,$E2628))</f>
        <v/>
      </c>
    </row>
    <row r="2629" spans="1:31" ht="18" customHeight="1" x14ac:dyDescent="0.3">
      <c r="A2629" s="2"/>
      <c r="B2629" s="65" t="str">
        <f>IF($C2629="","","GG"&amp;TEXT(ROW()-6,"00000"))</f>
        <v/>
      </c>
      <c r="C2629" s="66"/>
      <c r="D2629" s="60"/>
      <c r="E2629" s="61"/>
      <c r="F2629" s="61"/>
      <c r="G2629" s="67"/>
      <c r="H2629" s="60"/>
      <c r="I2629" s="60"/>
      <c r="J2629" s="61"/>
      <c r="K2629" s="61"/>
      <c r="L2629" s="60"/>
      <c r="M2629" s="74" t="str">
        <f>IF($C2629="","",IF($D2629="Gider",$E2629,IF($L2629&lt;&gt;"",$L2629,$H2629)))</f>
        <v/>
      </c>
      <c r="N2629" s="74" t="str">
        <f>IF($C2629="","",IF($D2629="Gider",$H2629,$E2629))</f>
        <v/>
      </c>
      <c r="O2629" s="73" t="str">
        <f>IF($C2629="","",DATE(YEAR($C2629),MONTH($C2629),1))</f>
        <v/>
      </c>
      <c r="P2629" s="65" t="str">
        <f ca="1">IF($C2629="","",IF(AND($D2629="Gelir",$L2629&lt;&gt;"",$T2629=""),"TANIMSIZ BORÇLU",IF($T2629&lt;&gt;"",IF(OR($E2629="",$G2629&lt;=0),"EKSİK",IF($I2629="Evet","TAHAKKUK NAKİT OLAMAZ",IF($C2629&gt;TODAY(),"İLERİ TARİH","TAHAKKUK"))),IF(AND($D2629&lt;&gt;"",$E2629&lt;&gt;"",$G2629&gt;0,$H2629&lt;&gt;"",$I2629&lt;&gt;""),IF($C2629&gt;TODAY(),"İLERİ TARİH",IF(COUNTIF($W$7:$W$3001,$W2629)&gt;1,"MÜKERRER?",IF($AD2629&gt;0,"KAPALI DÖNEM",IF($I2629="Hayır","ÖDENECEK","UYGUN")))),"EKSİK"))))</f>
        <v/>
      </c>
      <c r="Q2629" s="2"/>
      <c r="R2629" s="2"/>
      <c r="S2629" s="1" t="str">
        <f t="shared" ref="S2629:S2692" si="125">IF($L2629="","",UPPER(SUBSTITUTE(SUBSTITUTE(SUBSTITUTE(SUBSTITUTE(SUBSTITUTE(SUBSTITUTE(SUBSTITUTE(SUBSTITUTE(SUBSTITUTE(SUBSTITUTE(SUBSTITUTE(SUBSTITUTE(SUBSTITUTE(SUBSTITUTE(SUBSTITUTE(SUBSTITUTE(SUBSTITUTE(SUBSTITUTE(TRIM($L2629),"'",""),"İ","I"),"ı","I"),"i","I"),"Ş","S"),"ş","S"),"Ğ","G"),"ğ","G"),"Ü","U"),"ü","U"),"Ö","O"),"ö","O"),"Ç","C"),"ç","C"),".",""),",","")," ",""),"-","")))</f>
        <v/>
      </c>
      <c r="T2629" s="1" t="str">
        <f>IF(OR($C2629="",$D2629&lt;&gt;"Gelir",$L2629=""),"",IFERROR(INDEX(MUSTERILER!$B$7:$B$156,MATCH($S2629,MUSTERILER!$T$7:$T$156,0)),""))</f>
        <v/>
      </c>
      <c r="U2629" s="1" t="str">
        <f>IF($T2629="","",$T2629&amp;"|"&amp;COUNTIFS($T$7:$T2629,$T2629))</f>
        <v/>
      </c>
      <c r="V2629" s="1">
        <f t="shared" ref="V2629:V2692" si="126">IF($T2629="",0,1)</f>
        <v>0</v>
      </c>
      <c r="W2629" s="1" t="str">
        <f t="shared" ref="W2629:W2692" si="127">IF($C2629="","",$D2629&amp;"|"&amp;$E2629&amp;"|"&amp;TEXT($C2629,"0")&amp;"|"&amp;TEXT($G2629,"0")&amp;"|"&amp;$F2629&amp;"|"&amp;$J2629)</f>
        <v/>
      </c>
      <c r="X2629" s="1"/>
      <c r="Y2629" s="1"/>
      <c r="Z2629" s="1"/>
      <c r="AA2629" s="1"/>
      <c r="AB2629" s="1"/>
      <c r="AC2629" s="1"/>
      <c r="AD2629" s="1">
        <f>IF($C2629="",0,SUMPRODUCT((AY_SONU!$O$7:$O$42="Evet")*(AY_SONU!$B$7:$B$42=DATE(YEAR($C2629),MONTH($C2629),1))))</f>
        <v>0</v>
      </c>
      <c r="AE2629" s="1" t="str">
        <f>IF($E2629="","",$E2629&amp;"|"&amp;COUNTIFS($E$7:$E2629,$E2629))</f>
        <v/>
      </c>
    </row>
    <row r="2630" spans="1:31" ht="18" customHeight="1" x14ac:dyDescent="0.3">
      <c r="A2630" s="2"/>
      <c r="B2630" s="65" t="str">
        <f>IF($C2630="","","GG"&amp;TEXT(ROW()-6,"00000"))</f>
        <v/>
      </c>
      <c r="C2630" s="66"/>
      <c r="D2630" s="60"/>
      <c r="E2630" s="61"/>
      <c r="F2630" s="61"/>
      <c r="G2630" s="67"/>
      <c r="H2630" s="60"/>
      <c r="I2630" s="60"/>
      <c r="J2630" s="61"/>
      <c r="K2630" s="61"/>
      <c r="L2630" s="60"/>
      <c r="M2630" s="74" t="str">
        <f>IF($C2630="","",IF($D2630="Gider",$E2630,IF($L2630&lt;&gt;"",$L2630,$H2630)))</f>
        <v/>
      </c>
      <c r="N2630" s="74" t="str">
        <f>IF($C2630="","",IF($D2630="Gider",$H2630,$E2630))</f>
        <v/>
      </c>
      <c r="O2630" s="73" t="str">
        <f>IF($C2630="","",DATE(YEAR($C2630),MONTH($C2630),1))</f>
        <v/>
      </c>
      <c r="P2630" s="65" t="str">
        <f ca="1">IF($C2630="","",IF(AND($D2630="Gelir",$L2630&lt;&gt;"",$T2630=""),"TANIMSIZ BORÇLU",IF($T2630&lt;&gt;"",IF(OR($E2630="",$G2630&lt;=0),"EKSİK",IF($I2630="Evet","TAHAKKUK NAKİT OLAMAZ",IF($C2630&gt;TODAY(),"İLERİ TARİH","TAHAKKUK"))),IF(AND($D2630&lt;&gt;"",$E2630&lt;&gt;"",$G2630&gt;0,$H2630&lt;&gt;"",$I2630&lt;&gt;""),IF($C2630&gt;TODAY(),"İLERİ TARİH",IF(COUNTIF($W$7:$W$3001,$W2630)&gt;1,"MÜKERRER?",IF($AD2630&gt;0,"KAPALI DÖNEM",IF($I2630="Hayır","ÖDENECEK","UYGUN")))),"EKSİK"))))</f>
        <v/>
      </c>
      <c r="Q2630" s="2"/>
      <c r="R2630" s="2"/>
      <c r="S2630" s="1" t="str">
        <f t="shared" si="125"/>
        <v/>
      </c>
      <c r="T2630" s="1" t="str">
        <f>IF(OR($C2630="",$D2630&lt;&gt;"Gelir",$L2630=""),"",IFERROR(INDEX(MUSTERILER!$B$7:$B$156,MATCH($S2630,MUSTERILER!$T$7:$T$156,0)),""))</f>
        <v/>
      </c>
      <c r="U2630" s="1" t="str">
        <f>IF($T2630="","",$T2630&amp;"|"&amp;COUNTIFS($T$7:$T2630,$T2630))</f>
        <v/>
      </c>
      <c r="V2630" s="1">
        <f t="shared" si="126"/>
        <v>0</v>
      </c>
      <c r="W2630" s="1" t="str">
        <f t="shared" si="127"/>
        <v/>
      </c>
      <c r="X2630" s="1"/>
      <c r="Y2630" s="1"/>
      <c r="Z2630" s="1"/>
      <c r="AA2630" s="1"/>
      <c r="AB2630" s="1"/>
      <c r="AC2630" s="1"/>
      <c r="AD2630" s="1">
        <f>IF($C2630="",0,SUMPRODUCT((AY_SONU!$O$7:$O$42="Evet")*(AY_SONU!$B$7:$B$42=DATE(YEAR($C2630),MONTH($C2630),1))))</f>
        <v>0</v>
      </c>
      <c r="AE2630" s="1" t="str">
        <f>IF($E2630="","",$E2630&amp;"|"&amp;COUNTIFS($E$7:$E2630,$E2630))</f>
        <v/>
      </c>
    </row>
    <row r="2631" spans="1:31" ht="18" customHeight="1" x14ac:dyDescent="0.3">
      <c r="A2631" s="2"/>
      <c r="B2631" s="65" t="str">
        <f>IF($C2631="","","GG"&amp;TEXT(ROW()-6,"00000"))</f>
        <v/>
      </c>
      <c r="C2631" s="66"/>
      <c r="D2631" s="60"/>
      <c r="E2631" s="61"/>
      <c r="F2631" s="61"/>
      <c r="G2631" s="67"/>
      <c r="H2631" s="60"/>
      <c r="I2631" s="60"/>
      <c r="J2631" s="61"/>
      <c r="K2631" s="61"/>
      <c r="L2631" s="60"/>
      <c r="M2631" s="74" t="str">
        <f>IF($C2631="","",IF($D2631="Gider",$E2631,IF($L2631&lt;&gt;"",$L2631,$H2631)))</f>
        <v/>
      </c>
      <c r="N2631" s="74" t="str">
        <f>IF($C2631="","",IF($D2631="Gider",$H2631,$E2631))</f>
        <v/>
      </c>
      <c r="O2631" s="73" t="str">
        <f>IF($C2631="","",DATE(YEAR($C2631),MONTH($C2631),1))</f>
        <v/>
      </c>
      <c r="P2631" s="65" t="str">
        <f ca="1"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TARİH",IF(COUNTIF($W$7:$W$3001,$W2631)&gt;1,"MÜKERRER?",IF($AD2631&gt;0,"KAPALI DÖNEM",IF($I2631="Hayır","ÖDENECEK","UYGUN")))),"EKSİK"))))</f>
        <v/>
      </c>
      <c r="Q2631" s="2"/>
      <c r="R2631" s="2"/>
      <c r="S2631" s="1" t="str">
        <f t="shared" si="125"/>
        <v/>
      </c>
      <c r="T2631" s="1" t="str">
        <f>IF(OR($C2631="",$D2631&lt;&gt;"Gelir",$L2631=""),"",IFERROR(INDEX(MUSTERILER!$B$7:$B$156,MATCH($S2631,MUSTERILER!$T$7:$T$156,0)),""))</f>
        <v/>
      </c>
      <c r="U2631" s="1" t="str">
        <f>IF($T2631="","",$T2631&amp;"|"&amp;COUNTIFS($T$7:$T2631,$T2631))</f>
        <v/>
      </c>
      <c r="V2631" s="1">
        <f t="shared" si="126"/>
        <v>0</v>
      </c>
      <c r="W2631" s="1" t="str">
        <f t="shared" si="127"/>
        <v/>
      </c>
      <c r="X2631" s="1"/>
      <c r="Y2631" s="1"/>
      <c r="Z2631" s="1"/>
      <c r="AA2631" s="1"/>
      <c r="AB2631" s="1"/>
      <c r="AC2631" s="1"/>
      <c r="AD2631" s="1">
        <f>IF($C2631="",0,SUMPRODUCT((AY_SONU!$O$7:$O$42="Evet")*(AY_SONU!$B$7:$B$42=DATE(YEAR($C2631),MONTH($C2631),1))))</f>
        <v>0</v>
      </c>
      <c r="AE2631" s="1" t="str">
        <f>IF($E2631="","",$E2631&amp;"|"&amp;COUNTIFS($E$7:$E2631,$E2631))</f>
        <v/>
      </c>
    </row>
    <row r="2632" spans="1:31" ht="18" customHeight="1" x14ac:dyDescent="0.3">
      <c r="A2632" s="2"/>
      <c r="B2632" s="65" t="str">
        <f>IF($C2632="","","GG"&amp;TEXT(ROW()-6,"00000"))</f>
        <v/>
      </c>
      <c r="C2632" s="66"/>
      <c r="D2632" s="60"/>
      <c r="E2632" s="61"/>
      <c r="F2632" s="61"/>
      <c r="G2632" s="67"/>
      <c r="H2632" s="60"/>
      <c r="I2632" s="60"/>
      <c r="J2632" s="61"/>
      <c r="K2632" s="61"/>
      <c r="L2632" s="60"/>
      <c r="M2632" s="74" t="str">
        <f>IF($C2632="","",IF($D2632="Gider",$E2632,IF($L2632&lt;&gt;"",$L2632,$H2632)))</f>
        <v/>
      </c>
      <c r="N2632" s="74" t="str">
        <f>IF($C2632="","",IF($D2632="Gider",$H2632,$E2632))</f>
        <v/>
      </c>
      <c r="O2632" s="73" t="str">
        <f>IF($C2632="","",DATE(YEAR($C2632),MONTH($C2632),1))</f>
        <v/>
      </c>
      <c r="P2632" s="65" t="str">
        <f ca="1">IF($C2632="","",IF(AND($D2632="Gelir",$L2632&lt;&gt;"",$T2632=""),"TANIMSIZ BORÇLU",IF($T2632&lt;&gt;"",IF(OR($E2632="",$G2632&lt;=0),"EKSİK",IF($I2632="Evet","TAHAKKUK NAKİT OLAMAZ",IF($C2632&gt;TODAY(),"İLERİ TARİH","TAHAKKUK"))),IF(AND($D2632&lt;&gt;"",$E2632&lt;&gt;"",$G2632&gt;0,$H2632&lt;&gt;"",$I2632&lt;&gt;""),IF($C2632&gt;TODAY(),"İLERİ TARİH",IF(COUNTIF($W$7:$W$3001,$W2632)&gt;1,"MÜKERRER?",IF($AD2632&gt;0,"KAPALI DÖNEM",IF($I2632="Hayır","ÖDENECEK","UYGUN")))),"EKSİK"))))</f>
        <v/>
      </c>
      <c r="Q2632" s="2"/>
      <c r="R2632" s="2"/>
      <c r="S2632" s="1" t="str">
        <f t="shared" si="125"/>
        <v/>
      </c>
      <c r="T2632" s="1" t="str">
        <f>IF(OR($C2632="",$D2632&lt;&gt;"Gelir",$L2632=""),"",IFERROR(INDEX(MUSTERILER!$B$7:$B$156,MATCH($S2632,MUSTERILER!$T$7:$T$156,0)),""))</f>
        <v/>
      </c>
      <c r="U2632" s="1" t="str">
        <f>IF($T2632="","",$T2632&amp;"|"&amp;COUNTIFS($T$7:$T2632,$T2632))</f>
        <v/>
      </c>
      <c r="V2632" s="1">
        <f t="shared" si="126"/>
        <v>0</v>
      </c>
      <c r="W2632" s="1" t="str">
        <f t="shared" si="127"/>
        <v/>
      </c>
      <c r="X2632" s="1"/>
      <c r="Y2632" s="1"/>
      <c r="Z2632" s="1"/>
      <c r="AA2632" s="1"/>
      <c r="AB2632" s="1"/>
      <c r="AC2632" s="1"/>
      <c r="AD2632" s="1">
        <f>IF($C2632="",0,SUMPRODUCT((AY_SONU!$O$7:$O$42="Evet")*(AY_SONU!$B$7:$B$42=DATE(YEAR($C2632),MONTH($C2632),1))))</f>
        <v>0</v>
      </c>
      <c r="AE2632" s="1" t="str">
        <f>IF($E2632="","",$E2632&amp;"|"&amp;COUNTIFS($E$7:$E2632,$E2632))</f>
        <v/>
      </c>
    </row>
    <row r="2633" spans="1:31" ht="18" customHeight="1" x14ac:dyDescent="0.3">
      <c r="A2633" s="2"/>
      <c r="B2633" s="65" t="str">
        <f>IF($C2633="","","GG"&amp;TEXT(ROW()-6,"00000"))</f>
        <v/>
      </c>
      <c r="C2633" s="66"/>
      <c r="D2633" s="60"/>
      <c r="E2633" s="61"/>
      <c r="F2633" s="61"/>
      <c r="G2633" s="67"/>
      <c r="H2633" s="60"/>
      <c r="I2633" s="60"/>
      <c r="J2633" s="61"/>
      <c r="K2633" s="61"/>
      <c r="L2633" s="60"/>
      <c r="M2633" s="74" t="str">
        <f>IF($C2633="","",IF($D2633="Gider",$E2633,IF($L2633&lt;&gt;"",$L2633,$H2633)))</f>
        <v/>
      </c>
      <c r="N2633" s="74" t="str">
        <f>IF($C2633="","",IF($D2633="Gider",$H2633,$E2633))</f>
        <v/>
      </c>
      <c r="O2633" s="73" t="str">
        <f>IF($C2633="","",DATE(YEAR($C2633),MONTH($C2633),1))</f>
        <v/>
      </c>
      <c r="P2633" s="65" t="str">
        <f ca="1">IF($C2633="","",IF(AND($D2633="Gelir",$L2633&lt;&gt;"",$T2633=""),"TANIMSIZ BORÇLU",IF($T2633&lt;&gt;"",IF(OR($E2633="",$G2633&lt;=0),"EKSİK",IF($I2633="Evet","TAHAKKUK NAKİT OLAMAZ",IF($C2633&gt;TODAY(),"İLERİ TARİH","TAHAKKUK"))),IF(AND($D2633&lt;&gt;"",$E2633&lt;&gt;"",$G2633&gt;0,$H2633&lt;&gt;"",$I2633&lt;&gt;""),IF($C2633&gt;TODAY(),"İLERİ TARİH",IF(COUNTIF($W$7:$W$3001,$W2633)&gt;1,"MÜKERRER?",IF($AD2633&gt;0,"KAPALI DÖNEM",IF($I2633="Hayır","ÖDENECEK","UYGUN")))),"EKSİK"))))</f>
        <v/>
      </c>
      <c r="Q2633" s="2"/>
      <c r="R2633" s="2"/>
      <c r="S2633" s="1" t="str">
        <f t="shared" si="125"/>
        <v/>
      </c>
      <c r="T2633" s="1" t="str">
        <f>IF(OR($C2633="",$D2633&lt;&gt;"Gelir",$L2633=""),"",IFERROR(INDEX(MUSTERILER!$B$7:$B$156,MATCH($S2633,MUSTERILER!$T$7:$T$156,0)),""))</f>
        <v/>
      </c>
      <c r="U2633" s="1" t="str">
        <f>IF($T2633="","",$T2633&amp;"|"&amp;COUNTIFS($T$7:$T2633,$T2633))</f>
        <v/>
      </c>
      <c r="V2633" s="1">
        <f t="shared" si="126"/>
        <v>0</v>
      </c>
      <c r="W2633" s="1" t="str">
        <f t="shared" si="127"/>
        <v/>
      </c>
      <c r="X2633" s="1"/>
      <c r="Y2633" s="1"/>
      <c r="Z2633" s="1"/>
      <c r="AA2633" s="1"/>
      <c r="AB2633" s="1"/>
      <c r="AC2633" s="1"/>
      <c r="AD2633" s="1">
        <f>IF($C2633="",0,SUMPRODUCT((AY_SONU!$O$7:$O$42="Evet")*(AY_SONU!$B$7:$B$42=DATE(YEAR($C2633),MONTH($C2633),1))))</f>
        <v>0</v>
      </c>
      <c r="AE2633" s="1" t="str">
        <f>IF($E2633="","",$E2633&amp;"|"&amp;COUNTIFS($E$7:$E2633,$E2633))</f>
        <v/>
      </c>
    </row>
    <row r="2634" spans="1:31" ht="18" customHeight="1" x14ac:dyDescent="0.3">
      <c r="A2634" s="2"/>
      <c r="B2634" s="65" t="str">
        <f>IF($C2634="","","GG"&amp;TEXT(ROW()-6,"00000"))</f>
        <v/>
      </c>
      <c r="C2634" s="66"/>
      <c r="D2634" s="60"/>
      <c r="E2634" s="61"/>
      <c r="F2634" s="61"/>
      <c r="G2634" s="67"/>
      <c r="H2634" s="60"/>
      <c r="I2634" s="60"/>
      <c r="J2634" s="61"/>
      <c r="K2634" s="61"/>
      <c r="L2634" s="60"/>
      <c r="M2634" s="74" t="str">
        <f>IF($C2634="","",IF($D2634="Gider",$E2634,IF($L2634&lt;&gt;"",$L2634,$H2634)))</f>
        <v/>
      </c>
      <c r="N2634" s="74" t="str">
        <f>IF($C2634="","",IF($D2634="Gider",$H2634,$E2634))</f>
        <v/>
      </c>
      <c r="O2634" s="73" t="str">
        <f>IF($C2634="","",DATE(YEAR($C2634),MONTH($C2634),1))</f>
        <v/>
      </c>
      <c r="P2634" s="65" t="str">
        <f ca="1">IF($C2634="","",IF(AND($D2634="Gelir",$L2634&lt;&gt;"",$T2634=""),"TANIMSIZ BORÇLU",IF($T2634&lt;&gt;"",IF(OR($E2634="",$G2634&lt;=0),"EKSİK",IF($I2634="Evet","TAHAKKUK NAKİT OLAMAZ",IF($C2634&gt;TODAY(),"İLERİ TARİH","TAHAKKUK"))),IF(AND($D2634&lt;&gt;"",$E2634&lt;&gt;"",$G2634&gt;0,$H2634&lt;&gt;"",$I2634&lt;&gt;""),IF($C2634&gt;TODAY(),"İLERİ TARİH",IF(COUNTIF($W$7:$W$3001,$W2634)&gt;1,"MÜKERRER?",IF($AD2634&gt;0,"KAPALI DÖNEM",IF($I2634="Hayır","ÖDENECEK","UYGUN")))),"EKSİK"))))</f>
        <v/>
      </c>
      <c r="Q2634" s="2"/>
      <c r="R2634" s="2"/>
      <c r="S2634" s="1" t="str">
        <f t="shared" si="125"/>
        <v/>
      </c>
      <c r="T2634" s="1" t="str">
        <f>IF(OR($C2634="",$D2634&lt;&gt;"Gelir",$L2634=""),"",IFERROR(INDEX(MUSTERILER!$B$7:$B$156,MATCH($S2634,MUSTERILER!$T$7:$T$156,0)),""))</f>
        <v/>
      </c>
      <c r="U2634" s="1" t="str">
        <f>IF($T2634="","",$T2634&amp;"|"&amp;COUNTIFS($T$7:$T2634,$T2634))</f>
        <v/>
      </c>
      <c r="V2634" s="1">
        <f t="shared" si="126"/>
        <v>0</v>
      </c>
      <c r="W2634" s="1" t="str">
        <f t="shared" si="127"/>
        <v/>
      </c>
      <c r="X2634" s="1"/>
      <c r="Y2634" s="1"/>
      <c r="Z2634" s="1"/>
      <c r="AA2634" s="1"/>
      <c r="AB2634" s="1"/>
      <c r="AC2634" s="1"/>
      <c r="AD2634" s="1">
        <f>IF($C2634="",0,SUMPRODUCT((AY_SONU!$O$7:$O$42="Evet")*(AY_SONU!$B$7:$B$42=DATE(YEAR($C2634),MONTH($C2634),1))))</f>
        <v>0</v>
      </c>
      <c r="AE2634" s="1" t="str">
        <f>IF($E2634="","",$E2634&amp;"|"&amp;COUNTIFS($E$7:$E2634,$E2634))</f>
        <v/>
      </c>
    </row>
    <row r="2635" spans="1:31" ht="18" customHeight="1" x14ac:dyDescent="0.3">
      <c r="A2635" s="2"/>
      <c r="B2635" s="65" t="str">
        <f>IF($C2635="","","GG"&amp;TEXT(ROW()-6,"00000"))</f>
        <v/>
      </c>
      <c r="C2635" s="66"/>
      <c r="D2635" s="60"/>
      <c r="E2635" s="61"/>
      <c r="F2635" s="61"/>
      <c r="G2635" s="67"/>
      <c r="H2635" s="60"/>
      <c r="I2635" s="60"/>
      <c r="J2635" s="61"/>
      <c r="K2635" s="61"/>
      <c r="L2635" s="60"/>
      <c r="M2635" s="74" t="str">
        <f>IF($C2635="","",IF($D2635="Gider",$E2635,IF($L2635&lt;&gt;"",$L2635,$H2635)))</f>
        <v/>
      </c>
      <c r="N2635" s="74" t="str">
        <f>IF($C2635="","",IF($D2635="Gider",$H2635,$E2635))</f>
        <v/>
      </c>
      <c r="O2635" s="73" t="str">
        <f>IF($C2635="","",DATE(YEAR($C2635),MONTH($C2635),1))</f>
        <v/>
      </c>
      <c r="P2635" s="65" t="str">
        <f ca="1">IF($C2635="","",IF(AND($D2635="Gelir",$L2635&lt;&gt;"",$T2635=""),"TANIMSIZ BORÇLU",IF($T2635&lt;&gt;"",IF(OR($E2635="",$G2635&lt;=0),"EKSİK",IF($I2635="Evet","TAHAKKUK NAKİT OLAMAZ",IF($C2635&gt;TODAY(),"İLERİ TARİH","TAHAKKUK"))),IF(AND($D2635&lt;&gt;"",$E2635&lt;&gt;"",$G2635&gt;0,$H2635&lt;&gt;"",$I2635&lt;&gt;""),IF($C2635&gt;TODAY(),"İLERİ TARİH",IF(COUNTIF($W$7:$W$3001,$W2635)&gt;1,"MÜKERRER?",IF($AD2635&gt;0,"KAPALI DÖNEM",IF($I2635="Hayır","ÖDENECEK","UYGUN")))),"EKSİK"))))</f>
        <v/>
      </c>
      <c r="Q2635" s="2"/>
      <c r="R2635" s="2"/>
      <c r="S2635" s="1" t="str">
        <f t="shared" si="125"/>
        <v/>
      </c>
      <c r="T2635" s="1" t="str">
        <f>IF(OR($C2635="",$D2635&lt;&gt;"Gelir",$L2635=""),"",IFERROR(INDEX(MUSTERILER!$B$7:$B$156,MATCH($S2635,MUSTERILER!$T$7:$T$156,0)),""))</f>
        <v/>
      </c>
      <c r="U2635" s="1" t="str">
        <f>IF($T2635="","",$T2635&amp;"|"&amp;COUNTIFS($T$7:$T2635,$T2635))</f>
        <v/>
      </c>
      <c r="V2635" s="1">
        <f t="shared" si="126"/>
        <v>0</v>
      </c>
      <c r="W2635" s="1" t="str">
        <f t="shared" si="127"/>
        <v/>
      </c>
      <c r="X2635" s="1"/>
      <c r="Y2635" s="1"/>
      <c r="Z2635" s="1"/>
      <c r="AA2635" s="1"/>
      <c r="AB2635" s="1"/>
      <c r="AC2635" s="1"/>
      <c r="AD2635" s="1">
        <f>IF($C2635="",0,SUMPRODUCT((AY_SONU!$O$7:$O$42="Evet")*(AY_SONU!$B$7:$B$42=DATE(YEAR($C2635),MONTH($C2635),1))))</f>
        <v>0</v>
      </c>
      <c r="AE2635" s="1" t="str">
        <f>IF($E2635="","",$E2635&amp;"|"&amp;COUNTIFS($E$7:$E2635,$E2635))</f>
        <v/>
      </c>
    </row>
    <row r="2636" spans="1:31" ht="18" customHeight="1" x14ac:dyDescent="0.3">
      <c r="A2636" s="2"/>
      <c r="B2636" s="65" t="str">
        <f>IF($C2636="","","GG"&amp;TEXT(ROW()-6,"00000"))</f>
        <v/>
      </c>
      <c r="C2636" s="66"/>
      <c r="D2636" s="60"/>
      <c r="E2636" s="61"/>
      <c r="F2636" s="61"/>
      <c r="G2636" s="67"/>
      <c r="H2636" s="60"/>
      <c r="I2636" s="60"/>
      <c r="J2636" s="61"/>
      <c r="K2636" s="61"/>
      <c r="L2636" s="60"/>
      <c r="M2636" s="74" t="str">
        <f>IF($C2636="","",IF($D2636="Gider",$E2636,IF($L2636&lt;&gt;"",$L2636,$H2636)))</f>
        <v/>
      </c>
      <c r="N2636" s="74" t="str">
        <f>IF($C2636="","",IF($D2636="Gider",$H2636,$E2636))</f>
        <v/>
      </c>
      <c r="O2636" s="73" t="str">
        <f>IF($C2636="","",DATE(YEAR($C2636),MONTH($C2636),1))</f>
        <v/>
      </c>
      <c r="P2636" s="65" t="str">
        <f ca="1">IF($C2636="","",IF(AND($D2636="Gelir",$L2636&lt;&gt;"",$T2636=""),"TANIMSIZ BORÇLU",IF($T2636&lt;&gt;"",IF(OR($E2636="",$G2636&lt;=0),"EKSİK",IF($I2636="Evet","TAHAKKUK NAKİT OLAMAZ",IF($C2636&gt;TODAY(),"İLERİ TARİH","TAHAKKUK"))),IF(AND($D2636&lt;&gt;"",$E2636&lt;&gt;"",$G2636&gt;0,$H2636&lt;&gt;"",$I2636&lt;&gt;""),IF($C2636&gt;TODAY(),"İLERİ TARİH",IF(COUNTIF($W$7:$W$3001,$W2636)&gt;1,"MÜKERRER?",IF($AD2636&gt;0,"KAPALI DÖNEM",IF($I2636="Hayır","ÖDENECEK","UYGUN")))),"EKSİK"))))</f>
        <v/>
      </c>
      <c r="Q2636" s="2"/>
      <c r="R2636" s="2"/>
      <c r="S2636" s="1" t="str">
        <f t="shared" si="125"/>
        <v/>
      </c>
      <c r="T2636" s="1" t="str">
        <f>IF(OR($C2636="",$D2636&lt;&gt;"Gelir",$L2636=""),"",IFERROR(INDEX(MUSTERILER!$B$7:$B$156,MATCH($S2636,MUSTERILER!$T$7:$T$156,0)),""))</f>
        <v/>
      </c>
      <c r="U2636" s="1" t="str">
        <f>IF($T2636="","",$T2636&amp;"|"&amp;COUNTIFS($T$7:$T2636,$T2636))</f>
        <v/>
      </c>
      <c r="V2636" s="1">
        <f t="shared" si="126"/>
        <v>0</v>
      </c>
      <c r="W2636" s="1" t="str">
        <f t="shared" si="127"/>
        <v/>
      </c>
      <c r="X2636" s="1"/>
      <c r="Y2636" s="1"/>
      <c r="Z2636" s="1"/>
      <c r="AA2636" s="1"/>
      <c r="AB2636" s="1"/>
      <c r="AC2636" s="1"/>
      <c r="AD2636" s="1">
        <f>IF($C2636="",0,SUMPRODUCT((AY_SONU!$O$7:$O$42="Evet")*(AY_SONU!$B$7:$B$42=DATE(YEAR($C2636),MONTH($C2636),1))))</f>
        <v>0</v>
      </c>
      <c r="AE2636" s="1" t="str">
        <f>IF($E2636="","",$E2636&amp;"|"&amp;COUNTIFS($E$7:$E2636,$E2636))</f>
        <v/>
      </c>
    </row>
    <row r="2637" spans="1:31" ht="18" customHeight="1" x14ac:dyDescent="0.3">
      <c r="A2637" s="2"/>
      <c r="B2637" s="65" t="str">
        <f>IF($C2637="","","GG"&amp;TEXT(ROW()-6,"00000"))</f>
        <v/>
      </c>
      <c r="C2637" s="66"/>
      <c r="D2637" s="60"/>
      <c r="E2637" s="61"/>
      <c r="F2637" s="61"/>
      <c r="G2637" s="67"/>
      <c r="H2637" s="60"/>
      <c r="I2637" s="60"/>
      <c r="J2637" s="61"/>
      <c r="K2637" s="61"/>
      <c r="L2637" s="60"/>
      <c r="M2637" s="74" t="str">
        <f>IF($C2637="","",IF($D2637="Gider",$E2637,IF($L2637&lt;&gt;"",$L2637,$H2637)))</f>
        <v/>
      </c>
      <c r="N2637" s="74" t="str">
        <f>IF($C2637="","",IF($D2637="Gider",$H2637,$E2637))</f>
        <v/>
      </c>
      <c r="O2637" s="73" t="str">
        <f>IF($C2637="","",DATE(YEAR($C2637),MONTH($C2637),1))</f>
        <v/>
      </c>
      <c r="P2637" s="65" t="str">
        <f ca="1">IF($C2637="","",IF(AND($D2637="Gelir",$L2637&lt;&gt;"",$T2637=""),"TANIMSIZ BORÇLU",IF($T2637&lt;&gt;"",IF(OR($E2637="",$G2637&lt;=0),"EKSİK",IF($I2637="Evet","TAHAKKUK NAKİT OLAMAZ",IF($C2637&gt;TODAY(),"İLERİ TARİH","TAHAKKUK"))),IF(AND($D2637&lt;&gt;"",$E2637&lt;&gt;"",$G2637&gt;0,$H2637&lt;&gt;"",$I2637&lt;&gt;""),IF($C2637&gt;TODAY(),"İLERİ TARİH",IF(COUNTIF($W$7:$W$3001,$W2637)&gt;1,"MÜKERRER?",IF($AD2637&gt;0,"KAPALI DÖNEM",IF($I2637="Hayır","ÖDENECEK","UYGUN")))),"EKSİK"))))</f>
        <v/>
      </c>
      <c r="Q2637" s="2"/>
      <c r="R2637" s="2"/>
      <c r="S2637" s="1" t="str">
        <f t="shared" si="125"/>
        <v/>
      </c>
      <c r="T2637" s="1" t="str">
        <f>IF(OR($C2637="",$D2637&lt;&gt;"Gelir",$L2637=""),"",IFERROR(INDEX(MUSTERILER!$B$7:$B$156,MATCH($S2637,MUSTERILER!$T$7:$T$156,0)),""))</f>
        <v/>
      </c>
      <c r="U2637" s="1" t="str">
        <f>IF($T2637="","",$T2637&amp;"|"&amp;COUNTIFS($T$7:$T2637,$T2637))</f>
        <v/>
      </c>
      <c r="V2637" s="1">
        <f t="shared" si="126"/>
        <v>0</v>
      </c>
      <c r="W2637" s="1" t="str">
        <f t="shared" si="127"/>
        <v/>
      </c>
      <c r="X2637" s="1"/>
      <c r="Y2637" s="1"/>
      <c r="Z2637" s="1"/>
      <c r="AA2637" s="1"/>
      <c r="AB2637" s="1"/>
      <c r="AC2637" s="1"/>
      <c r="AD2637" s="1">
        <f>IF($C2637="",0,SUMPRODUCT((AY_SONU!$O$7:$O$42="Evet")*(AY_SONU!$B$7:$B$42=DATE(YEAR($C2637),MONTH($C2637),1))))</f>
        <v>0</v>
      </c>
      <c r="AE2637" s="1" t="str">
        <f>IF($E2637="","",$E2637&amp;"|"&amp;COUNTIFS($E$7:$E2637,$E2637))</f>
        <v/>
      </c>
    </row>
    <row r="2638" spans="1:31" ht="18" customHeight="1" x14ac:dyDescent="0.3">
      <c r="A2638" s="2"/>
      <c r="B2638" s="65" t="str">
        <f>IF($C2638="","","GG"&amp;TEXT(ROW()-6,"00000"))</f>
        <v/>
      </c>
      <c r="C2638" s="66"/>
      <c r="D2638" s="60"/>
      <c r="E2638" s="61"/>
      <c r="F2638" s="61"/>
      <c r="G2638" s="67"/>
      <c r="H2638" s="60"/>
      <c r="I2638" s="60"/>
      <c r="J2638" s="61"/>
      <c r="K2638" s="61"/>
      <c r="L2638" s="60"/>
      <c r="M2638" s="74" t="str">
        <f>IF($C2638="","",IF($D2638="Gider",$E2638,IF($L2638&lt;&gt;"",$L2638,$H2638)))</f>
        <v/>
      </c>
      <c r="N2638" s="74" t="str">
        <f>IF($C2638="","",IF($D2638="Gider",$H2638,$E2638))</f>
        <v/>
      </c>
      <c r="O2638" s="73" t="str">
        <f>IF($C2638="","",DATE(YEAR($C2638),MONTH($C2638),1))</f>
        <v/>
      </c>
      <c r="P2638" s="65" t="str">
        <f ca="1">IF($C2638="","",IF(AND($D2638="Gelir",$L2638&lt;&gt;"",$T2638=""),"TANIMSIZ BORÇLU",IF($T2638&lt;&gt;"",IF(OR($E2638="",$G2638&lt;=0),"EKSİK",IF($I2638="Evet","TAHAKKUK NAKİT OLAMAZ",IF($C2638&gt;TODAY(),"İLERİ TARİH","TAHAKKUK"))),IF(AND($D2638&lt;&gt;"",$E2638&lt;&gt;"",$G2638&gt;0,$H2638&lt;&gt;"",$I2638&lt;&gt;""),IF($C2638&gt;TODAY(),"İLERİ TARİH",IF(COUNTIF($W$7:$W$3001,$W2638)&gt;1,"MÜKERRER?",IF($AD2638&gt;0,"KAPALI DÖNEM",IF($I2638="Hayır","ÖDENECEK","UYGUN")))),"EKSİK"))))</f>
        <v/>
      </c>
      <c r="Q2638" s="2"/>
      <c r="R2638" s="2"/>
      <c r="S2638" s="1" t="str">
        <f t="shared" si="125"/>
        <v/>
      </c>
      <c r="T2638" s="1" t="str">
        <f>IF(OR($C2638="",$D2638&lt;&gt;"Gelir",$L2638=""),"",IFERROR(INDEX(MUSTERILER!$B$7:$B$156,MATCH($S2638,MUSTERILER!$T$7:$T$156,0)),""))</f>
        <v/>
      </c>
      <c r="U2638" s="1" t="str">
        <f>IF($T2638="","",$T2638&amp;"|"&amp;COUNTIFS($T$7:$T2638,$T2638))</f>
        <v/>
      </c>
      <c r="V2638" s="1">
        <f t="shared" si="126"/>
        <v>0</v>
      </c>
      <c r="W2638" s="1" t="str">
        <f t="shared" si="127"/>
        <v/>
      </c>
      <c r="X2638" s="1"/>
      <c r="Y2638" s="1"/>
      <c r="Z2638" s="1"/>
      <c r="AA2638" s="1"/>
      <c r="AB2638" s="1"/>
      <c r="AC2638" s="1"/>
      <c r="AD2638" s="1">
        <f>IF($C2638="",0,SUMPRODUCT((AY_SONU!$O$7:$O$42="Evet")*(AY_SONU!$B$7:$B$42=DATE(YEAR($C2638),MONTH($C2638),1))))</f>
        <v>0</v>
      </c>
      <c r="AE2638" s="1" t="str">
        <f>IF($E2638="","",$E2638&amp;"|"&amp;COUNTIFS($E$7:$E2638,$E2638))</f>
        <v/>
      </c>
    </row>
    <row r="2639" spans="1:31" ht="18" customHeight="1" x14ac:dyDescent="0.3">
      <c r="A2639" s="2"/>
      <c r="B2639" s="65" t="str">
        <f>IF($C2639="","","GG"&amp;TEXT(ROW()-6,"00000"))</f>
        <v/>
      </c>
      <c r="C2639" s="66"/>
      <c r="D2639" s="60"/>
      <c r="E2639" s="61"/>
      <c r="F2639" s="61"/>
      <c r="G2639" s="67"/>
      <c r="H2639" s="60"/>
      <c r="I2639" s="60"/>
      <c r="J2639" s="61"/>
      <c r="K2639" s="61"/>
      <c r="L2639" s="60"/>
      <c r="M2639" s="74" t="str">
        <f>IF($C2639="","",IF($D2639="Gider",$E2639,IF($L2639&lt;&gt;"",$L2639,$H2639)))</f>
        <v/>
      </c>
      <c r="N2639" s="74" t="str">
        <f>IF($C2639="","",IF($D2639="Gider",$H2639,$E2639))</f>
        <v/>
      </c>
      <c r="O2639" s="73" t="str">
        <f>IF($C2639="","",DATE(YEAR($C2639),MONTH($C2639),1))</f>
        <v/>
      </c>
      <c r="P2639" s="65" t="str">
        <f ca="1">IF($C2639="","",IF(AND($D2639="Gelir",$L2639&lt;&gt;"",$T2639=""),"TANIMSIZ BORÇLU",IF($T2639&lt;&gt;"",IF(OR($E2639="",$G2639&lt;=0),"EKSİK",IF($I2639="Evet","TAHAKKUK NAKİT OLAMAZ",IF($C2639&gt;TODAY(),"İLERİ TARİH","TAHAKKUK"))),IF(AND($D2639&lt;&gt;"",$E2639&lt;&gt;"",$G2639&gt;0,$H2639&lt;&gt;"",$I2639&lt;&gt;""),IF($C2639&gt;TODAY(),"İLERİ TARİH",IF(COUNTIF($W$7:$W$3001,$W2639)&gt;1,"MÜKERRER?",IF($AD2639&gt;0,"KAPALI DÖNEM",IF($I2639="Hayır","ÖDENECEK","UYGUN")))),"EKSİK"))))</f>
        <v/>
      </c>
      <c r="Q2639" s="2"/>
      <c r="R2639" s="2"/>
      <c r="S2639" s="1" t="str">
        <f t="shared" si="125"/>
        <v/>
      </c>
      <c r="T2639" s="1" t="str">
        <f>IF(OR($C2639="",$D2639&lt;&gt;"Gelir",$L2639=""),"",IFERROR(INDEX(MUSTERILER!$B$7:$B$156,MATCH($S2639,MUSTERILER!$T$7:$T$156,0)),""))</f>
        <v/>
      </c>
      <c r="U2639" s="1" t="str">
        <f>IF($T2639="","",$T2639&amp;"|"&amp;COUNTIFS($T$7:$T2639,$T2639))</f>
        <v/>
      </c>
      <c r="V2639" s="1">
        <f t="shared" si="126"/>
        <v>0</v>
      </c>
      <c r="W2639" s="1" t="str">
        <f t="shared" si="127"/>
        <v/>
      </c>
      <c r="X2639" s="1"/>
      <c r="Y2639" s="1"/>
      <c r="Z2639" s="1"/>
      <c r="AA2639" s="1"/>
      <c r="AB2639" s="1"/>
      <c r="AC2639" s="1"/>
      <c r="AD2639" s="1">
        <f>IF($C2639="",0,SUMPRODUCT((AY_SONU!$O$7:$O$42="Evet")*(AY_SONU!$B$7:$B$42=DATE(YEAR($C2639),MONTH($C2639),1))))</f>
        <v>0</v>
      </c>
      <c r="AE2639" s="1" t="str">
        <f>IF($E2639="","",$E2639&amp;"|"&amp;COUNTIFS($E$7:$E2639,$E2639))</f>
        <v/>
      </c>
    </row>
    <row r="2640" spans="1:31" ht="18" customHeight="1" x14ac:dyDescent="0.3">
      <c r="A2640" s="2"/>
      <c r="B2640" s="65" t="str">
        <f>IF($C2640="","","GG"&amp;TEXT(ROW()-6,"00000"))</f>
        <v/>
      </c>
      <c r="C2640" s="66"/>
      <c r="D2640" s="60"/>
      <c r="E2640" s="61"/>
      <c r="F2640" s="61"/>
      <c r="G2640" s="67"/>
      <c r="H2640" s="60"/>
      <c r="I2640" s="60"/>
      <c r="J2640" s="61"/>
      <c r="K2640" s="61"/>
      <c r="L2640" s="60"/>
      <c r="M2640" s="74" t="str">
        <f>IF($C2640="","",IF($D2640="Gider",$E2640,IF($L2640&lt;&gt;"",$L2640,$H2640)))</f>
        <v/>
      </c>
      <c r="N2640" s="74" t="str">
        <f>IF($C2640="","",IF($D2640="Gider",$H2640,$E2640))</f>
        <v/>
      </c>
      <c r="O2640" s="73" t="str">
        <f>IF($C2640="","",DATE(YEAR($C2640),MONTH($C2640),1))</f>
        <v/>
      </c>
      <c r="P2640" s="65" t="str">
        <f ca="1">IF($C2640="","",IF(AND($D2640="Gelir",$L2640&lt;&gt;"",$T2640=""),"TANIMSIZ BORÇLU",IF($T2640&lt;&gt;"",IF(OR($E2640="",$G2640&lt;=0),"EKSİK",IF($I2640="Evet","TAHAKKUK NAKİT OLAMAZ",IF($C2640&gt;TODAY(),"İLERİ TARİH","TAHAKKUK"))),IF(AND($D2640&lt;&gt;"",$E2640&lt;&gt;"",$G2640&gt;0,$H2640&lt;&gt;"",$I2640&lt;&gt;""),IF($C2640&gt;TODAY(),"İLERİ TARİH",IF(COUNTIF($W$7:$W$3001,$W2640)&gt;1,"MÜKERRER?",IF($AD2640&gt;0,"KAPALI DÖNEM",IF($I2640="Hayır","ÖDENECEK","UYGUN")))),"EKSİK"))))</f>
        <v/>
      </c>
      <c r="Q2640" s="2"/>
      <c r="R2640" s="2"/>
      <c r="S2640" s="1" t="str">
        <f t="shared" si="125"/>
        <v/>
      </c>
      <c r="T2640" s="1" t="str">
        <f>IF(OR($C2640="",$D2640&lt;&gt;"Gelir",$L2640=""),"",IFERROR(INDEX(MUSTERILER!$B$7:$B$156,MATCH($S2640,MUSTERILER!$T$7:$T$156,0)),""))</f>
        <v/>
      </c>
      <c r="U2640" s="1" t="str">
        <f>IF($T2640="","",$T2640&amp;"|"&amp;COUNTIFS($T$7:$T2640,$T2640))</f>
        <v/>
      </c>
      <c r="V2640" s="1">
        <f t="shared" si="126"/>
        <v>0</v>
      </c>
      <c r="W2640" s="1" t="str">
        <f t="shared" si="127"/>
        <v/>
      </c>
      <c r="X2640" s="1"/>
      <c r="Y2640" s="1"/>
      <c r="Z2640" s="1"/>
      <c r="AA2640" s="1"/>
      <c r="AB2640" s="1"/>
      <c r="AC2640" s="1"/>
      <c r="AD2640" s="1">
        <f>IF($C2640="",0,SUMPRODUCT((AY_SONU!$O$7:$O$42="Evet")*(AY_SONU!$B$7:$B$42=DATE(YEAR($C2640),MONTH($C2640),1))))</f>
        <v>0</v>
      </c>
      <c r="AE2640" s="1" t="str">
        <f>IF($E2640="","",$E2640&amp;"|"&amp;COUNTIFS($E$7:$E2640,$E2640))</f>
        <v/>
      </c>
    </row>
    <row r="2641" spans="1:31" ht="18" customHeight="1" x14ac:dyDescent="0.3">
      <c r="A2641" s="2"/>
      <c r="B2641" s="65" t="str">
        <f>IF($C2641="","","GG"&amp;TEXT(ROW()-6,"00000"))</f>
        <v/>
      </c>
      <c r="C2641" s="66"/>
      <c r="D2641" s="60"/>
      <c r="E2641" s="61"/>
      <c r="F2641" s="61"/>
      <c r="G2641" s="67"/>
      <c r="H2641" s="60"/>
      <c r="I2641" s="60"/>
      <c r="J2641" s="61"/>
      <c r="K2641" s="61"/>
      <c r="L2641" s="60"/>
      <c r="M2641" s="74" t="str">
        <f>IF($C2641="","",IF($D2641="Gider",$E2641,IF($L2641&lt;&gt;"",$L2641,$H2641)))</f>
        <v/>
      </c>
      <c r="N2641" s="74" t="str">
        <f>IF($C2641="","",IF($D2641="Gider",$H2641,$E2641))</f>
        <v/>
      </c>
      <c r="O2641" s="73" t="str">
        <f>IF($C2641="","",DATE(YEAR($C2641),MONTH($C2641),1))</f>
        <v/>
      </c>
      <c r="P2641" s="65" t="str">
        <f ca="1">IF($C2641="","",IF(AND($D2641="Gelir",$L2641&lt;&gt;"",$T2641=""),"TANIMSIZ BORÇLU",IF($T2641&lt;&gt;"",IF(OR($E2641="",$G2641&lt;=0),"EKSİK",IF($I2641="Evet","TAHAKKUK NAKİT OLAMAZ",IF($C2641&gt;TODAY(),"İLERİ TARİH","TAHAKKUK"))),IF(AND($D2641&lt;&gt;"",$E2641&lt;&gt;"",$G2641&gt;0,$H2641&lt;&gt;"",$I2641&lt;&gt;""),IF($C2641&gt;TODAY(),"İLERİ TARİH",IF(COUNTIF($W$7:$W$3001,$W2641)&gt;1,"MÜKERRER?",IF($AD2641&gt;0,"KAPALI DÖNEM",IF($I2641="Hayır","ÖDENECEK","UYGUN")))),"EKSİK"))))</f>
        <v/>
      </c>
      <c r="Q2641" s="2"/>
      <c r="R2641" s="2"/>
      <c r="S2641" s="1" t="str">
        <f t="shared" si="125"/>
        <v/>
      </c>
      <c r="T2641" s="1" t="str">
        <f>IF(OR($C2641="",$D2641&lt;&gt;"Gelir",$L2641=""),"",IFERROR(INDEX(MUSTERILER!$B$7:$B$156,MATCH($S2641,MUSTERILER!$T$7:$T$156,0)),""))</f>
        <v/>
      </c>
      <c r="U2641" s="1" t="str">
        <f>IF($T2641="","",$T2641&amp;"|"&amp;COUNTIFS($T$7:$T2641,$T2641))</f>
        <v/>
      </c>
      <c r="V2641" s="1">
        <f t="shared" si="126"/>
        <v>0</v>
      </c>
      <c r="W2641" s="1" t="str">
        <f t="shared" si="127"/>
        <v/>
      </c>
      <c r="X2641" s="1"/>
      <c r="Y2641" s="1"/>
      <c r="Z2641" s="1"/>
      <c r="AA2641" s="1"/>
      <c r="AB2641" s="1"/>
      <c r="AC2641" s="1"/>
      <c r="AD2641" s="1">
        <f>IF($C2641="",0,SUMPRODUCT((AY_SONU!$O$7:$O$42="Evet")*(AY_SONU!$B$7:$B$42=DATE(YEAR($C2641),MONTH($C2641),1))))</f>
        <v>0</v>
      </c>
      <c r="AE2641" s="1" t="str">
        <f>IF($E2641="","",$E2641&amp;"|"&amp;COUNTIFS($E$7:$E2641,$E2641))</f>
        <v/>
      </c>
    </row>
    <row r="2642" spans="1:31" ht="18" customHeight="1" x14ac:dyDescent="0.3">
      <c r="A2642" s="2"/>
      <c r="B2642" s="65" t="str">
        <f>IF($C2642="","","GG"&amp;TEXT(ROW()-6,"00000"))</f>
        <v/>
      </c>
      <c r="C2642" s="66"/>
      <c r="D2642" s="60"/>
      <c r="E2642" s="61"/>
      <c r="F2642" s="61"/>
      <c r="G2642" s="67"/>
      <c r="H2642" s="60"/>
      <c r="I2642" s="60"/>
      <c r="J2642" s="61"/>
      <c r="K2642" s="61"/>
      <c r="L2642" s="60"/>
      <c r="M2642" s="74" t="str">
        <f>IF($C2642="","",IF($D2642="Gider",$E2642,IF($L2642&lt;&gt;"",$L2642,$H2642)))</f>
        <v/>
      </c>
      <c r="N2642" s="74" t="str">
        <f>IF($C2642="","",IF($D2642="Gider",$H2642,$E2642))</f>
        <v/>
      </c>
      <c r="O2642" s="73" t="str">
        <f>IF($C2642="","",DATE(YEAR($C2642),MONTH($C2642),1))</f>
        <v/>
      </c>
      <c r="P2642" s="65" t="str">
        <f ca="1">IF($C2642="","",IF(AND($D2642="Gelir",$L2642&lt;&gt;"",$T2642=""),"TANIMSIZ BORÇLU",IF($T2642&lt;&gt;"",IF(OR($E2642="",$G2642&lt;=0),"EKSİK",IF($I2642="Evet","TAHAKKUK NAKİT OLAMAZ",IF($C2642&gt;TODAY(),"İLERİ TARİH","TAHAKKUK"))),IF(AND($D2642&lt;&gt;"",$E2642&lt;&gt;"",$G2642&gt;0,$H2642&lt;&gt;"",$I2642&lt;&gt;""),IF($C2642&gt;TODAY(),"İLERİ TARİH",IF(COUNTIF($W$7:$W$3001,$W2642)&gt;1,"MÜKERRER?",IF($AD2642&gt;0,"KAPALI DÖNEM",IF($I2642="Hayır","ÖDENECEK","UYGUN")))),"EKSİK"))))</f>
        <v/>
      </c>
      <c r="Q2642" s="2"/>
      <c r="R2642" s="2"/>
      <c r="S2642" s="1" t="str">
        <f t="shared" si="125"/>
        <v/>
      </c>
      <c r="T2642" s="1" t="str">
        <f>IF(OR($C2642="",$D2642&lt;&gt;"Gelir",$L2642=""),"",IFERROR(INDEX(MUSTERILER!$B$7:$B$156,MATCH($S2642,MUSTERILER!$T$7:$T$156,0)),""))</f>
        <v/>
      </c>
      <c r="U2642" s="1" t="str">
        <f>IF($T2642="","",$T2642&amp;"|"&amp;COUNTIFS($T$7:$T2642,$T2642))</f>
        <v/>
      </c>
      <c r="V2642" s="1">
        <f t="shared" si="126"/>
        <v>0</v>
      </c>
      <c r="W2642" s="1" t="str">
        <f t="shared" si="127"/>
        <v/>
      </c>
      <c r="X2642" s="1"/>
      <c r="Y2642" s="1"/>
      <c r="Z2642" s="1"/>
      <c r="AA2642" s="1"/>
      <c r="AB2642" s="1"/>
      <c r="AC2642" s="1"/>
      <c r="AD2642" s="1">
        <f>IF($C2642="",0,SUMPRODUCT((AY_SONU!$O$7:$O$42="Evet")*(AY_SONU!$B$7:$B$42=DATE(YEAR($C2642),MONTH($C2642),1))))</f>
        <v>0</v>
      </c>
      <c r="AE2642" s="1" t="str">
        <f>IF($E2642="","",$E2642&amp;"|"&amp;COUNTIFS($E$7:$E2642,$E2642))</f>
        <v/>
      </c>
    </row>
    <row r="2643" spans="1:31" ht="18" customHeight="1" x14ac:dyDescent="0.3">
      <c r="A2643" s="2"/>
      <c r="B2643" s="65" t="str">
        <f>IF($C2643="","","GG"&amp;TEXT(ROW()-6,"00000"))</f>
        <v/>
      </c>
      <c r="C2643" s="66"/>
      <c r="D2643" s="60"/>
      <c r="E2643" s="61"/>
      <c r="F2643" s="61"/>
      <c r="G2643" s="67"/>
      <c r="H2643" s="60"/>
      <c r="I2643" s="60"/>
      <c r="J2643" s="61"/>
      <c r="K2643" s="61"/>
      <c r="L2643" s="60"/>
      <c r="M2643" s="74" t="str">
        <f>IF($C2643="","",IF($D2643="Gider",$E2643,IF($L2643&lt;&gt;"",$L2643,$H2643)))</f>
        <v/>
      </c>
      <c r="N2643" s="74" t="str">
        <f>IF($C2643="","",IF($D2643="Gider",$H2643,$E2643))</f>
        <v/>
      </c>
      <c r="O2643" s="73" t="str">
        <f>IF($C2643="","",DATE(YEAR($C2643),MONTH($C2643),1))</f>
        <v/>
      </c>
      <c r="P2643" s="65" t="str">
        <f ca="1">IF($C2643="","",IF(AND($D2643="Gelir",$L2643&lt;&gt;"",$T2643=""),"TANIMSIZ BORÇLU",IF($T2643&lt;&gt;"",IF(OR($E2643="",$G2643&lt;=0),"EKSİK",IF($I2643="Evet","TAHAKKUK NAKİT OLAMAZ",IF($C2643&gt;TODAY(),"İLERİ TARİH","TAHAKKUK"))),IF(AND($D2643&lt;&gt;"",$E2643&lt;&gt;"",$G2643&gt;0,$H2643&lt;&gt;"",$I2643&lt;&gt;""),IF($C2643&gt;TODAY(),"İLERİ TARİH",IF(COUNTIF($W$7:$W$3001,$W2643)&gt;1,"MÜKERRER?",IF($AD2643&gt;0,"KAPALI DÖNEM",IF($I2643="Hayır","ÖDENECEK","UYGUN")))),"EKSİK"))))</f>
        <v/>
      </c>
      <c r="Q2643" s="2"/>
      <c r="R2643" s="2"/>
      <c r="S2643" s="1" t="str">
        <f t="shared" si="125"/>
        <v/>
      </c>
      <c r="T2643" s="1" t="str">
        <f>IF(OR($C2643="",$D2643&lt;&gt;"Gelir",$L2643=""),"",IFERROR(INDEX(MUSTERILER!$B$7:$B$156,MATCH($S2643,MUSTERILER!$T$7:$T$156,0)),""))</f>
        <v/>
      </c>
      <c r="U2643" s="1" t="str">
        <f>IF($T2643="","",$T2643&amp;"|"&amp;COUNTIFS($T$7:$T2643,$T2643))</f>
        <v/>
      </c>
      <c r="V2643" s="1">
        <f t="shared" si="126"/>
        <v>0</v>
      </c>
      <c r="W2643" s="1" t="str">
        <f t="shared" si="127"/>
        <v/>
      </c>
      <c r="X2643" s="1"/>
      <c r="Y2643" s="1"/>
      <c r="Z2643" s="1"/>
      <c r="AA2643" s="1"/>
      <c r="AB2643" s="1"/>
      <c r="AC2643" s="1"/>
      <c r="AD2643" s="1">
        <f>IF($C2643="",0,SUMPRODUCT((AY_SONU!$O$7:$O$42="Evet")*(AY_SONU!$B$7:$B$42=DATE(YEAR($C2643),MONTH($C2643),1))))</f>
        <v>0</v>
      </c>
      <c r="AE2643" s="1" t="str">
        <f>IF($E2643="","",$E2643&amp;"|"&amp;COUNTIFS($E$7:$E2643,$E2643))</f>
        <v/>
      </c>
    </row>
    <row r="2644" spans="1:31" ht="18" customHeight="1" x14ac:dyDescent="0.3">
      <c r="A2644" s="2"/>
      <c r="B2644" s="65" t="str">
        <f>IF($C2644="","","GG"&amp;TEXT(ROW()-6,"00000"))</f>
        <v/>
      </c>
      <c r="C2644" s="66"/>
      <c r="D2644" s="60"/>
      <c r="E2644" s="61"/>
      <c r="F2644" s="61"/>
      <c r="G2644" s="67"/>
      <c r="H2644" s="60"/>
      <c r="I2644" s="60"/>
      <c r="J2644" s="61"/>
      <c r="K2644" s="61"/>
      <c r="L2644" s="60"/>
      <c r="M2644" s="74" t="str">
        <f>IF($C2644="","",IF($D2644="Gider",$E2644,IF($L2644&lt;&gt;"",$L2644,$H2644)))</f>
        <v/>
      </c>
      <c r="N2644" s="74" t="str">
        <f>IF($C2644="","",IF($D2644="Gider",$H2644,$E2644))</f>
        <v/>
      </c>
      <c r="O2644" s="73" t="str">
        <f>IF($C2644="","",DATE(YEAR($C2644),MONTH($C2644),1))</f>
        <v/>
      </c>
      <c r="P2644" s="65" t="str">
        <f ca="1">IF($C2644="","",IF(AND($D2644="Gelir",$L2644&lt;&gt;"",$T2644=""),"TANIMSIZ BORÇLU",IF($T2644&lt;&gt;"",IF(OR($E2644="",$G2644&lt;=0),"EKSİK",IF($I2644="Evet","TAHAKKUK NAKİT OLAMAZ",IF($C2644&gt;TODAY(),"İLERİ TARİH","TAHAKKUK"))),IF(AND($D2644&lt;&gt;"",$E2644&lt;&gt;"",$G2644&gt;0,$H2644&lt;&gt;"",$I2644&lt;&gt;""),IF($C2644&gt;TODAY(),"İLERİ TARİH",IF(COUNTIF($W$7:$W$3001,$W2644)&gt;1,"MÜKERRER?",IF($AD2644&gt;0,"KAPALI DÖNEM",IF($I2644="Hayır","ÖDENECEK","UYGUN")))),"EKSİK"))))</f>
        <v/>
      </c>
      <c r="Q2644" s="2"/>
      <c r="R2644" s="2"/>
      <c r="S2644" s="1" t="str">
        <f t="shared" si="125"/>
        <v/>
      </c>
      <c r="T2644" s="1" t="str">
        <f>IF(OR($C2644="",$D2644&lt;&gt;"Gelir",$L2644=""),"",IFERROR(INDEX(MUSTERILER!$B$7:$B$156,MATCH($S2644,MUSTERILER!$T$7:$T$156,0)),""))</f>
        <v/>
      </c>
      <c r="U2644" s="1" t="str">
        <f>IF($T2644="","",$T2644&amp;"|"&amp;COUNTIFS($T$7:$T2644,$T2644))</f>
        <v/>
      </c>
      <c r="V2644" s="1">
        <f t="shared" si="126"/>
        <v>0</v>
      </c>
      <c r="W2644" s="1" t="str">
        <f t="shared" si="127"/>
        <v/>
      </c>
      <c r="X2644" s="1"/>
      <c r="Y2644" s="1"/>
      <c r="Z2644" s="1"/>
      <c r="AA2644" s="1"/>
      <c r="AB2644" s="1"/>
      <c r="AC2644" s="1"/>
      <c r="AD2644" s="1">
        <f>IF($C2644="",0,SUMPRODUCT((AY_SONU!$O$7:$O$42="Evet")*(AY_SONU!$B$7:$B$42=DATE(YEAR($C2644),MONTH($C2644),1))))</f>
        <v>0</v>
      </c>
      <c r="AE2644" s="1" t="str">
        <f>IF($E2644="","",$E2644&amp;"|"&amp;COUNTIFS($E$7:$E2644,$E2644))</f>
        <v/>
      </c>
    </row>
    <row r="2645" spans="1:31" ht="18" customHeight="1" x14ac:dyDescent="0.3">
      <c r="A2645" s="2"/>
      <c r="B2645" s="65" t="str">
        <f>IF($C2645="","","GG"&amp;TEXT(ROW()-6,"00000"))</f>
        <v/>
      </c>
      <c r="C2645" s="66"/>
      <c r="D2645" s="60"/>
      <c r="E2645" s="61"/>
      <c r="F2645" s="61"/>
      <c r="G2645" s="67"/>
      <c r="H2645" s="60"/>
      <c r="I2645" s="60"/>
      <c r="J2645" s="61"/>
      <c r="K2645" s="61"/>
      <c r="L2645" s="60"/>
      <c r="M2645" s="74" t="str">
        <f>IF($C2645="","",IF($D2645="Gider",$E2645,IF($L2645&lt;&gt;"",$L2645,$H2645)))</f>
        <v/>
      </c>
      <c r="N2645" s="74" t="str">
        <f>IF($C2645="","",IF($D2645="Gider",$H2645,$E2645))</f>
        <v/>
      </c>
      <c r="O2645" s="73" t="str">
        <f>IF($C2645="","",DATE(YEAR($C2645),MONTH($C2645),1))</f>
        <v/>
      </c>
      <c r="P2645" s="65" t="str">
        <f ca="1">IF($C2645="","",IF(AND($D2645="Gelir",$L2645&lt;&gt;"",$T2645=""),"TANIMSIZ BORÇLU",IF($T2645&lt;&gt;"",IF(OR($E2645="",$G2645&lt;=0),"EKSİK",IF($I2645="Evet","TAHAKKUK NAKİT OLAMAZ",IF($C2645&gt;TODAY(),"İLERİ TARİH","TAHAKKUK"))),IF(AND($D2645&lt;&gt;"",$E2645&lt;&gt;"",$G2645&gt;0,$H2645&lt;&gt;"",$I2645&lt;&gt;""),IF($C2645&gt;TODAY(),"İLERİ TARİH",IF(COUNTIF($W$7:$W$3001,$W2645)&gt;1,"MÜKERRER?",IF($AD2645&gt;0,"KAPALI DÖNEM",IF($I2645="Hayır","ÖDENECEK","UYGUN")))),"EKSİK"))))</f>
        <v/>
      </c>
      <c r="Q2645" s="2"/>
      <c r="R2645" s="2"/>
      <c r="S2645" s="1" t="str">
        <f t="shared" si="125"/>
        <v/>
      </c>
      <c r="T2645" s="1" t="str">
        <f>IF(OR($C2645="",$D2645&lt;&gt;"Gelir",$L2645=""),"",IFERROR(INDEX(MUSTERILER!$B$7:$B$156,MATCH($S2645,MUSTERILER!$T$7:$T$156,0)),""))</f>
        <v/>
      </c>
      <c r="U2645" s="1" t="str">
        <f>IF($T2645="","",$T2645&amp;"|"&amp;COUNTIFS($T$7:$T2645,$T2645))</f>
        <v/>
      </c>
      <c r="V2645" s="1">
        <f t="shared" si="126"/>
        <v>0</v>
      </c>
      <c r="W2645" s="1" t="str">
        <f t="shared" si="127"/>
        <v/>
      </c>
      <c r="X2645" s="1"/>
      <c r="Y2645" s="1"/>
      <c r="Z2645" s="1"/>
      <c r="AA2645" s="1"/>
      <c r="AB2645" s="1"/>
      <c r="AC2645" s="1"/>
      <c r="AD2645" s="1">
        <f>IF($C2645="",0,SUMPRODUCT((AY_SONU!$O$7:$O$42="Evet")*(AY_SONU!$B$7:$B$42=DATE(YEAR($C2645),MONTH($C2645),1))))</f>
        <v>0</v>
      </c>
      <c r="AE2645" s="1" t="str">
        <f>IF($E2645="","",$E2645&amp;"|"&amp;COUNTIFS($E$7:$E2645,$E2645))</f>
        <v/>
      </c>
    </row>
    <row r="2646" spans="1:31" ht="18" customHeight="1" x14ac:dyDescent="0.3">
      <c r="A2646" s="2"/>
      <c r="B2646" s="65" t="str">
        <f>IF($C2646="","","GG"&amp;TEXT(ROW()-6,"00000"))</f>
        <v/>
      </c>
      <c r="C2646" s="66"/>
      <c r="D2646" s="60"/>
      <c r="E2646" s="61"/>
      <c r="F2646" s="61"/>
      <c r="G2646" s="67"/>
      <c r="H2646" s="60"/>
      <c r="I2646" s="60"/>
      <c r="J2646" s="61"/>
      <c r="K2646" s="61"/>
      <c r="L2646" s="60"/>
      <c r="M2646" s="74" t="str">
        <f>IF($C2646="","",IF($D2646="Gider",$E2646,IF($L2646&lt;&gt;"",$L2646,$H2646)))</f>
        <v/>
      </c>
      <c r="N2646" s="74" t="str">
        <f>IF($C2646="","",IF($D2646="Gider",$H2646,$E2646))</f>
        <v/>
      </c>
      <c r="O2646" s="73" t="str">
        <f>IF($C2646="","",DATE(YEAR($C2646),MONTH($C2646),1))</f>
        <v/>
      </c>
      <c r="P2646" s="65" t="str">
        <f ca="1">IF($C2646="","",IF(AND($D2646="Gelir",$L2646&lt;&gt;"",$T2646=""),"TANIMSIZ BORÇLU",IF($T2646&lt;&gt;"",IF(OR($E2646="",$G2646&lt;=0),"EKSİK",IF($I2646="Evet","TAHAKKUK NAKİT OLAMAZ",IF($C2646&gt;TODAY(),"İLERİ TARİH","TAHAKKUK"))),IF(AND($D2646&lt;&gt;"",$E2646&lt;&gt;"",$G2646&gt;0,$H2646&lt;&gt;"",$I2646&lt;&gt;""),IF($C2646&gt;TODAY(),"İLERİ TARİH",IF(COUNTIF($W$7:$W$3001,$W2646)&gt;1,"MÜKERRER?",IF($AD2646&gt;0,"KAPALI DÖNEM",IF($I2646="Hayır","ÖDENECEK","UYGUN")))),"EKSİK"))))</f>
        <v/>
      </c>
      <c r="Q2646" s="2"/>
      <c r="R2646" s="2"/>
      <c r="S2646" s="1" t="str">
        <f t="shared" si="125"/>
        <v/>
      </c>
      <c r="T2646" s="1" t="str">
        <f>IF(OR($C2646="",$D2646&lt;&gt;"Gelir",$L2646=""),"",IFERROR(INDEX(MUSTERILER!$B$7:$B$156,MATCH($S2646,MUSTERILER!$T$7:$T$156,0)),""))</f>
        <v/>
      </c>
      <c r="U2646" s="1" t="str">
        <f>IF($T2646="","",$T2646&amp;"|"&amp;COUNTIFS($T$7:$T2646,$T2646))</f>
        <v/>
      </c>
      <c r="V2646" s="1">
        <f t="shared" si="126"/>
        <v>0</v>
      </c>
      <c r="W2646" s="1" t="str">
        <f t="shared" si="127"/>
        <v/>
      </c>
      <c r="X2646" s="1"/>
      <c r="Y2646" s="1"/>
      <c r="Z2646" s="1"/>
      <c r="AA2646" s="1"/>
      <c r="AB2646" s="1"/>
      <c r="AC2646" s="1"/>
      <c r="AD2646" s="1">
        <f>IF($C2646="",0,SUMPRODUCT((AY_SONU!$O$7:$O$42="Evet")*(AY_SONU!$B$7:$B$42=DATE(YEAR($C2646),MONTH($C2646),1))))</f>
        <v>0</v>
      </c>
      <c r="AE2646" s="1" t="str">
        <f>IF($E2646="","",$E2646&amp;"|"&amp;COUNTIFS($E$7:$E2646,$E2646))</f>
        <v/>
      </c>
    </row>
    <row r="2647" spans="1:31" ht="18" customHeight="1" x14ac:dyDescent="0.3">
      <c r="A2647" s="2"/>
      <c r="B2647" s="65" t="str">
        <f>IF($C2647="","","GG"&amp;TEXT(ROW()-6,"00000"))</f>
        <v/>
      </c>
      <c r="C2647" s="66"/>
      <c r="D2647" s="60"/>
      <c r="E2647" s="61"/>
      <c r="F2647" s="61"/>
      <c r="G2647" s="67"/>
      <c r="H2647" s="60"/>
      <c r="I2647" s="60"/>
      <c r="J2647" s="61"/>
      <c r="K2647" s="61"/>
      <c r="L2647" s="60"/>
      <c r="M2647" s="74" t="str">
        <f>IF($C2647="","",IF($D2647="Gider",$E2647,IF($L2647&lt;&gt;"",$L2647,$H2647)))</f>
        <v/>
      </c>
      <c r="N2647" s="74" t="str">
        <f>IF($C2647="","",IF($D2647="Gider",$H2647,$E2647))</f>
        <v/>
      </c>
      <c r="O2647" s="73" t="str">
        <f>IF($C2647="","",DATE(YEAR($C2647),MONTH($C2647),1))</f>
        <v/>
      </c>
      <c r="P2647" s="65" t="str">
        <f ca="1">IF($C2647="","",IF(AND($D2647="Gelir",$L2647&lt;&gt;"",$T2647=""),"TANIMSIZ BORÇLU",IF($T2647&lt;&gt;"",IF(OR($E2647="",$G2647&lt;=0),"EKSİK",IF($I2647="Evet","TAHAKKUK NAKİT OLAMAZ",IF($C2647&gt;TODAY(),"İLERİ TARİH","TAHAKKUK"))),IF(AND($D2647&lt;&gt;"",$E2647&lt;&gt;"",$G2647&gt;0,$H2647&lt;&gt;"",$I2647&lt;&gt;""),IF($C2647&gt;TODAY(),"İLERİ TARİH",IF(COUNTIF($W$7:$W$3001,$W2647)&gt;1,"MÜKERRER?",IF($AD2647&gt;0,"KAPALI DÖNEM",IF($I2647="Hayır","ÖDENECEK","UYGUN")))),"EKSİK"))))</f>
        <v/>
      </c>
      <c r="Q2647" s="2"/>
      <c r="R2647" s="2"/>
      <c r="S2647" s="1" t="str">
        <f t="shared" si="125"/>
        <v/>
      </c>
      <c r="T2647" s="1" t="str">
        <f>IF(OR($C2647="",$D2647&lt;&gt;"Gelir",$L2647=""),"",IFERROR(INDEX(MUSTERILER!$B$7:$B$156,MATCH($S2647,MUSTERILER!$T$7:$T$156,0)),""))</f>
        <v/>
      </c>
      <c r="U2647" s="1" t="str">
        <f>IF($T2647="","",$T2647&amp;"|"&amp;COUNTIFS($T$7:$T2647,$T2647))</f>
        <v/>
      </c>
      <c r="V2647" s="1">
        <f t="shared" si="126"/>
        <v>0</v>
      </c>
      <c r="W2647" s="1" t="str">
        <f t="shared" si="127"/>
        <v/>
      </c>
      <c r="X2647" s="1"/>
      <c r="Y2647" s="1"/>
      <c r="Z2647" s="1"/>
      <c r="AA2647" s="1"/>
      <c r="AB2647" s="1"/>
      <c r="AC2647" s="1"/>
      <c r="AD2647" s="1">
        <f>IF($C2647="",0,SUMPRODUCT((AY_SONU!$O$7:$O$42="Evet")*(AY_SONU!$B$7:$B$42=DATE(YEAR($C2647),MONTH($C2647),1))))</f>
        <v>0</v>
      </c>
      <c r="AE2647" s="1" t="str">
        <f>IF($E2647="","",$E2647&amp;"|"&amp;COUNTIFS($E$7:$E2647,$E2647))</f>
        <v/>
      </c>
    </row>
    <row r="2648" spans="1:31" ht="18" customHeight="1" x14ac:dyDescent="0.3">
      <c r="A2648" s="2"/>
      <c r="B2648" s="65" t="str">
        <f>IF($C2648="","","GG"&amp;TEXT(ROW()-6,"00000"))</f>
        <v/>
      </c>
      <c r="C2648" s="66"/>
      <c r="D2648" s="60"/>
      <c r="E2648" s="61"/>
      <c r="F2648" s="61"/>
      <c r="G2648" s="67"/>
      <c r="H2648" s="60"/>
      <c r="I2648" s="60"/>
      <c r="J2648" s="61"/>
      <c r="K2648" s="61"/>
      <c r="L2648" s="60"/>
      <c r="M2648" s="74" t="str">
        <f>IF($C2648="","",IF($D2648="Gider",$E2648,IF($L2648&lt;&gt;"",$L2648,$H2648)))</f>
        <v/>
      </c>
      <c r="N2648" s="74" t="str">
        <f>IF($C2648="","",IF($D2648="Gider",$H2648,$E2648))</f>
        <v/>
      </c>
      <c r="O2648" s="73" t="str">
        <f>IF($C2648="","",DATE(YEAR($C2648),MONTH($C2648),1))</f>
        <v/>
      </c>
      <c r="P2648" s="65" t="str">
        <f ca="1">IF($C2648="","",IF(AND($D2648="Gelir",$L2648&lt;&gt;"",$T2648=""),"TANIMSIZ BORÇLU",IF($T2648&lt;&gt;"",IF(OR($E2648="",$G2648&lt;=0),"EKSİK",IF($I2648="Evet","TAHAKKUK NAKİT OLAMAZ",IF($C2648&gt;TODAY(),"İLERİ TARİH","TAHAKKUK"))),IF(AND($D2648&lt;&gt;"",$E2648&lt;&gt;"",$G2648&gt;0,$H2648&lt;&gt;"",$I2648&lt;&gt;""),IF($C2648&gt;TODAY(),"İLERİ TARİH",IF(COUNTIF($W$7:$W$3001,$W2648)&gt;1,"MÜKERRER?",IF($AD2648&gt;0,"KAPALI DÖNEM",IF($I2648="Hayır","ÖDENECEK","UYGUN")))),"EKSİK"))))</f>
        <v/>
      </c>
      <c r="Q2648" s="2"/>
      <c r="R2648" s="2"/>
      <c r="S2648" s="1" t="str">
        <f t="shared" si="125"/>
        <v/>
      </c>
      <c r="T2648" s="1" t="str">
        <f>IF(OR($C2648="",$D2648&lt;&gt;"Gelir",$L2648=""),"",IFERROR(INDEX(MUSTERILER!$B$7:$B$156,MATCH($S2648,MUSTERILER!$T$7:$T$156,0)),""))</f>
        <v/>
      </c>
      <c r="U2648" s="1" t="str">
        <f>IF($T2648="","",$T2648&amp;"|"&amp;COUNTIFS($T$7:$T2648,$T2648))</f>
        <v/>
      </c>
      <c r="V2648" s="1">
        <f t="shared" si="126"/>
        <v>0</v>
      </c>
      <c r="W2648" s="1" t="str">
        <f t="shared" si="127"/>
        <v/>
      </c>
      <c r="X2648" s="1"/>
      <c r="Y2648" s="1"/>
      <c r="Z2648" s="1"/>
      <c r="AA2648" s="1"/>
      <c r="AB2648" s="1"/>
      <c r="AC2648" s="1"/>
      <c r="AD2648" s="1">
        <f>IF($C2648="",0,SUMPRODUCT((AY_SONU!$O$7:$O$42="Evet")*(AY_SONU!$B$7:$B$42=DATE(YEAR($C2648),MONTH($C2648),1))))</f>
        <v>0</v>
      </c>
      <c r="AE2648" s="1" t="str">
        <f>IF($E2648="","",$E2648&amp;"|"&amp;COUNTIFS($E$7:$E2648,$E2648))</f>
        <v/>
      </c>
    </row>
    <row r="2649" spans="1:31" ht="18" customHeight="1" x14ac:dyDescent="0.3">
      <c r="A2649" s="2"/>
      <c r="B2649" s="65" t="str">
        <f>IF($C2649="","","GG"&amp;TEXT(ROW()-6,"00000"))</f>
        <v/>
      </c>
      <c r="C2649" s="66"/>
      <c r="D2649" s="60"/>
      <c r="E2649" s="61"/>
      <c r="F2649" s="61"/>
      <c r="G2649" s="67"/>
      <c r="H2649" s="60"/>
      <c r="I2649" s="60"/>
      <c r="J2649" s="61"/>
      <c r="K2649" s="61"/>
      <c r="L2649" s="60"/>
      <c r="M2649" s="74" t="str">
        <f>IF($C2649="","",IF($D2649="Gider",$E2649,IF($L2649&lt;&gt;"",$L2649,$H2649)))</f>
        <v/>
      </c>
      <c r="N2649" s="74" t="str">
        <f>IF($C2649="","",IF($D2649="Gider",$H2649,$E2649))</f>
        <v/>
      </c>
      <c r="O2649" s="73" t="str">
        <f>IF($C2649="","",DATE(YEAR($C2649),MONTH($C2649),1))</f>
        <v/>
      </c>
      <c r="P2649" s="65" t="str">
        <f ca="1">IF($C2649="","",IF(AND($D2649="Gelir",$L2649&lt;&gt;"",$T2649=""),"TANIMSIZ BORÇLU",IF($T2649&lt;&gt;"",IF(OR($E2649="",$G2649&lt;=0),"EKSİK",IF($I2649="Evet","TAHAKKUK NAKİT OLAMAZ",IF($C2649&gt;TODAY(),"İLERİ TARİH","TAHAKKUK"))),IF(AND($D2649&lt;&gt;"",$E2649&lt;&gt;"",$G2649&gt;0,$H2649&lt;&gt;"",$I2649&lt;&gt;""),IF($C2649&gt;TODAY(),"İLERİ TARİH",IF(COUNTIF($W$7:$W$3001,$W2649)&gt;1,"MÜKERRER?",IF($AD2649&gt;0,"KAPALI DÖNEM",IF($I2649="Hayır","ÖDENECEK","UYGUN")))),"EKSİK"))))</f>
        <v/>
      </c>
      <c r="Q2649" s="2"/>
      <c r="R2649" s="2"/>
      <c r="S2649" s="1" t="str">
        <f t="shared" si="125"/>
        <v/>
      </c>
      <c r="T2649" s="1" t="str">
        <f>IF(OR($C2649="",$D2649&lt;&gt;"Gelir",$L2649=""),"",IFERROR(INDEX(MUSTERILER!$B$7:$B$156,MATCH($S2649,MUSTERILER!$T$7:$T$156,0)),""))</f>
        <v/>
      </c>
      <c r="U2649" s="1" t="str">
        <f>IF($T2649="","",$T2649&amp;"|"&amp;COUNTIFS($T$7:$T2649,$T2649))</f>
        <v/>
      </c>
      <c r="V2649" s="1">
        <f t="shared" si="126"/>
        <v>0</v>
      </c>
      <c r="W2649" s="1" t="str">
        <f t="shared" si="127"/>
        <v/>
      </c>
      <c r="X2649" s="1"/>
      <c r="Y2649" s="1"/>
      <c r="Z2649" s="1"/>
      <c r="AA2649" s="1"/>
      <c r="AB2649" s="1"/>
      <c r="AC2649" s="1"/>
      <c r="AD2649" s="1">
        <f>IF($C2649="",0,SUMPRODUCT((AY_SONU!$O$7:$O$42="Evet")*(AY_SONU!$B$7:$B$42=DATE(YEAR($C2649),MONTH($C2649),1))))</f>
        <v>0</v>
      </c>
      <c r="AE2649" s="1" t="str">
        <f>IF($E2649="","",$E2649&amp;"|"&amp;COUNTIFS($E$7:$E2649,$E2649))</f>
        <v/>
      </c>
    </row>
    <row r="2650" spans="1:31" ht="18" customHeight="1" x14ac:dyDescent="0.3">
      <c r="A2650" s="2"/>
      <c r="B2650" s="65" t="str">
        <f>IF($C2650="","","GG"&amp;TEXT(ROW()-6,"00000"))</f>
        <v/>
      </c>
      <c r="C2650" s="66"/>
      <c r="D2650" s="60"/>
      <c r="E2650" s="61"/>
      <c r="F2650" s="61"/>
      <c r="G2650" s="67"/>
      <c r="H2650" s="60"/>
      <c r="I2650" s="60"/>
      <c r="J2650" s="61"/>
      <c r="K2650" s="61"/>
      <c r="L2650" s="60"/>
      <c r="M2650" s="74" t="str">
        <f>IF($C2650="","",IF($D2650="Gider",$E2650,IF($L2650&lt;&gt;"",$L2650,$H2650)))</f>
        <v/>
      </c>
      <c r="N2650" s="74" t="str">
        <f>IF($C2650="","",IF($D2650="Gider",$H2650,$E2650))</f>
        <v/>
      </c>
      <c r="O2650" s="73" t="str">
        <f>IF($C2650="","",DATE(YEAR($C2650),MONTH($C2650),1))</f>
        <v/>
      </c>
      <c r="P2650" s="65" t="str">
        <f ca="1">IF($C2650="","",IF(AND($D2650="Gelir",$L2650&lt;&gt;"",$T2650=""),"TANIMSIZ BORÇLU",IF($T2650&lt;&gt;"",IF(OR($E2650="",$G2650&lt;=0),"EKSİK",IF($I2650="Evet","TAHAKKUK NAKİT OLAMAZ",IF($C2650&gt;TODAY(),"İLERİ TARİH","TAHAKKUK"))),IF(AND($D2650&lt;&gt;"",$E2650&lt;&gt;"",$G2650&gt;0,$H2650&lt;&gt;"",$I2650&lt;&gt;""),IF($C2650&gt;TODAY(),"İLERİ TARİH",IF(COUNTIF($W$7:$W$3001,$W2650)&gt;1,"MÜKERRER?",IF($AD2650&gt;0,"KAPALI DÖNEM",IF($I2650="Hayır","ÖDENECEK","UYGUN")))),"EKSİK"))))</f>
        <v/>
      </c>
      <c r="Q2650" s="2"/>
      <c r="R2650" s="2"/>
      <c r="S2650" s="1" t="str">
        <f t="shared" si="125"/>
        <v/>
      </c>
      <c r="T2650" s="1" t="str">
        <f>IF(OR($C2650="",$D2650&lt;&gt;"Gelir",$L2650=""),"",IFERROR(INDEX(MUSTERILER!$B$7:$B$156,MATCH($S2650,MUSTERILER!$T$7:$T$156,0)),""))</f>
        <v/>
      </c>
      <c r="U2650" s="1" t="str">
        <f>IF($T2650="","",$T2650&amp;"|"&amp;COUNTIFS($T$7:$T2650,$T2650))</f>
        <v/>
      </c>
      <c r="V2650" s="1">
        <f t="shared" si="126"/>
        <v>0</v>
      </c>
      <c r="W2650" s="1" t="str">
        <f t="shared" si="127"/>
        <v/>
      </c>
      <c r="X2650" s="1"/>
      <c r="Y2650" s="1"/>
      <c r="Z2650" s="1"/>
      <c r="AA2650" s="1"/>
      <c r="AB2650" s="1"/>
      <c r="AC2650" s="1"/>
      <c r="AD2650" s="1">
        <f>IF($C2650="",0,SUMPRODUCT((AY_SONU!$O$7:$O$42="Evet")*(AY_SONU!$B$7:$B$42=DATE(YEAR($C2650),MONTH($C2650),1))))</f>
        <v>0</v>
      </c>
      <c r="AE2650" s="1" t="str">
        <f>IF($E2650="","",$E2650&amp;"|"&amp;COUNTIFS($E$7:$E2650,$E2650))</f>
        <v/>
      </c>
    </row>
    <row r="2651" spans="1:31" ht="18" customHeight="1" x14ac:dyDescent="0.3">
      <c r="A2651" s="2"/>
      <c r="B2651" s="65" t="str">
        <f>IF($C2651="","","GG"&amp;TEXT(ROW()-6,"00000"))</f>
        <v/>
      </c>
      <c r="C2651" s="66"/>
      <c r="D2651" s="60"/>
      <c r="E2651" s="61"/>
      <c r="F2651" s="61"/>
      <c r="G2651" s="67"/>
      <c r="H2651" s="60"/>
      <c r="I2651" s="60"/>
      <c r="J2651" s="61"/>
      <c r="K2651" s="61"/>
      <c r="L2651" s="60"/>
      <c r="M2651" s="74" t="str">
        <f>IF($C2651="","",IF($D2651="Gider",$E2651,IF($L2651&lt;&gt;"",$L2651,$H2651)))</f>
        <v/>
      </c>
      <c r="N2651" s="74" t="str">
        <f>IF($C2651="","",IF($D2651="Gider",$H2651,$E2651))</f>
        <v/>
      </c>
      <c r="O2651" s="73" t="str">
        <f>IF($C2651="","",DATE(YEAR($C2651),MONTH($C2651),1))</f>
        <v/>
      </c>
      <c r="P2651" s="65" t="str">
        <f ca="1">IF($C2651="","",IF(AND($D2651="Gelir",$L2651&lt;&gt;"",$T2651=""),"TANIMSIZ BORÇLU",IF($T2651&lt;&gt;"",IF(OR($E2651="",$G2651&lt;=0),"EKSİK",IF($I2651="Evet","TAHAKKUK NAKİT OLAMAZ",IF($C2651&gt;TODAY(),"İLERİ TARİH","TAHAKKUK"))),IF(AND($D2651&lt;&gt;"",$E2651&lt;&gt;"",$G2651&gt;0,$H2651&lt;&gt;"",$I2651&lt;&gt;""),IF($C2651&gt;TODAY(),"İLERİ TARİH",IF(COUNTIF($W$7:$W$3001,$W2651)&gt;1,"MÜKERRER?",IF($AD2651&gt;0,"KAPALI DÖNEM",IF($I2651="Hayır","ÖDENECEK","UYGUN")))),"EKSİK"))))</f>
        <v/>
      </c>
      <c r="Q2651" s="2"/>
      <c r="R2651" s="2"/>
      <c r="S2651" s="1" t="str">
        <f t="shared" si="125"/>
        <v/>
      </c>
      <c r="T2651" s="1" t="str">
        <f>IF(OR($C2651="",$D2651&lt;&gt;"Gelir",$L2651=""),"",IFERROR(INDEX(MUSTERILER!$B$7:$B$156,MATCH($S2651,MUSTERILER!$T$7:$T$156,0)),""))</f>
        <v/>
      </c>
      <c r="U2651" s="1" t="str">
        <f>IF($T2651="","",$T2651&amp;"|"&amp;COUNTIFS($T$7:$T2651,$T2651))</f>
        <v/>
      </c>
      <c r="V2651" s="1">
        <f t="shared" si="126"/>
        <v>0</v>
      </c>
      <c r="W2651" s="1" t="str">
        <f t="shared" si="127"/>
        <v/>
      </c>
      <c r="X2651" s="1"/>
      <c r="Y2651" s="1"/>
      <c r="Z2651" s="1"/>
      <c r="AA2651" s="1"/>
      <c r="AB2651" s="1"/>
      <c r="AC2651" s="1"/>
      <c r="AD2651" s="1">
        <f>IF($C2651="",0,SUMPRODUCT((AY_SONU!$O$7:$O$42="Evet")*(AY_SONU!$B$7:$B$42=DATE(YEAR($C2651),MONTH($C2651),1))))</f>
        <v>0</v>
      </c>
      <c r="AE2651" s="1" t="str">
        <f>IF($E2651="","",$E2651&amp;"|"&amp;COUNTIFS($E$7:$E2651,$E2651))</f>
        <v/>
      </c>
    </row>
    <row r="2652" spans="1:31" ht="18" customHeight="1" x14ac:dyDescent="0.3">
      <c r="A2652" s="2"/>
      <c r="B2652" s="65" t="str">
        <f>IF($C2652="","","GG"&amp;TEXT(ROW()-6,"00000"))</f>
        <v/>
      </c>
      <c r="C2652" s="66"/>
      <c r="D2652" s="60"/>
      <c r="E2652" s="61"/>
      <c r="F2652" s="61"/>
      <c r="G2652" s="67"/>
      <c r="H2652" s="60"/>
      <c r="I2652" s="60"/>
      <c r="J2652" s="61"/>
      <c r="K2652" s="61"/>
      <c r="L2652" s="60"/>
      <c r="M2652" s="74" t="str">
        <f>IF($C2652="","",IF($D2652="Gider",$E2652,IF($L2652&lt;&gt;"",$L2652,$H2652)))</f>
        <v/>
      </c>
      <c r="N2652" s="74" t="str">
        <f>IF($C2652="","",IF($D2652="Gider",$H2652,$E2652))</f>
        <v/>
      </c>
      <c r="O2652" s="73" t="str">
        <f>IF($C2652="","",DATE(YEAR($C2652),MONTH($C2652),1))</f>
        <v/>
      </c>
      <c r="P2652" s="65" t="str">
        <f ca="1">IF($C2652="","",IF(AND($D2652="Gelir",$L2652&lt;&gt;"",$T2652=""),"TANIMSIZ BORÇLU",IF($T2652&lt;&gt;"",IF(OR($E2652="",$G2652&lt;=0),"EKSİK",IF($I2652="Evet","TAHAKKUK NAKİT OLAMAZ",IF($C2652&gt;TODAY(),"İLERİ TARİH","TAHAKKUK"))),IF(AND($D2652&lt;&gt;"",$E2652&lt;&gt;"",$G2652&gt;0,$H2652&lt;&gt;"",$I2652&lt;&gt;""),IF($C2652&gt;TODAY(),"İLERİ TARİH",IF(COUNTIF($W$7:$W$3001,$W2652)&gt;1,"MÜKERRER?",IF($AD2652&gt;0,"KAPALI DÖNEM",IF($I2652="Hayır","ÖDENECEK","UYGUN")))),"EKSİK"))))</f>
        <v/>
      </c>
      <c r="Q2652" s="2"/>
      <c r="R2652" s="2"/>
      <c r="S2652" s="1" t="str">
        <f t="shared" si="125"/>
        <v/>
      </c>
      <c r="T2652" s="1" t="str">
        <f>IF(OR($C2652="",$D2652&lt;&gt;"Gelir",$L2652=""),"",IFERROR(INDEX(MUSTERILER!$B$7:$B$156,MATCH($S2652,MUSTERILER!$T$7:$T$156,0)),""))</f>
        <v/>
      </c>
      <c r="U2652" s="1" t="str">
        <f>IF($T2652="","",$T2652&amp;"|"&amp;COUNTIFS($T$7:$T2652,$T2652))</f>
        <v/>
      </c>
      <c r="V2652" s="1">
        <f t="shared" si="126"/>
        <v>0</v>
      </c>
      <c r="W2652" s="1" t="str">
        <f t="shared" si="127"/>
        <v/>
      </c>
      <c r="X2652" s="1"/>
      <c r="Y2652" s="1"/>
      <c r="Z2652" s="1"/>
      <c r="AA2652" s="1"/>
      <c r="AB2652" s="1"/>
      <c r="AC2652" s="1"/>
      <c r="AD2652" s="1">
        <f>IF($C2652="",0,SUMPRODUCT((AY_SONU!$O$7:$O$42="Evet")*(AY_SONU!$B$7:$B$42=DATE(YEAR($C2652),MONTH($C2652),1))))</f>
        <v>0</v>
      </c>
      <c r="AE2652" s="1" t="str">
        <f>IF($E2652="","",$E2652&amp;"|"&amp;COUNTIFS($E$7:$E2652,$E2652))</f>
        <v/>
      </c>
    </row>
    <row r="2653" spans="1:31" ht="18" customHeight="1" x14ac:dyDescent="0.3">
      <c r="A2653" s="2"/>
      <c r="B2653" s="65" t="str">
        <f>IF($C2653="","","GG"&amp;TEXT(ROW()-6,"00000"))</f>
        <v/>
      </c>
      <c r="C2653" s="66"/>
      <c r="D2653" s="60"/>
      <c r="E2653" s="61"/>
      <c r="F2653" s="61"/>
      <c r="G2653" s="67"/>
      <c r="H2653" s="60"/>
      <c r="I2653" s="60"/>
      <c r="J2653" s="61"/>
      <c r="K2653" s="61"/>
      <c r="L2653" s="60"/>
      <c r="M2653" s="74" t="str">
        <f>IF($C2653="","",IF($D2653="Gider",$E2653,IF($L2653&lt;&gt;"",$L2653,$H2653)))</f>
        <v/>
      </c>
      <c r="N2653" s="74" t="str">
        <f>IF($C2653="","",IF($D2653="Gider",$H2653,$E2653))</f>
        <v/>
      </c>
      <c r="O2653" s="73" t="str">
        <f>IF($C2653="","",DATE(YEAR($C2653),MONTH($C2653),1))</f>
        <v/>
      </c>
      <c r="P2653" s="65" t="str">
        <f ca="1">IF($C2653="","",IF(AND($D2653="Gelir",$L2653&lt;&gt;"",$T2653=""),"TANIMSIZ BORÇLU",IF($T2653&lt;&gt;"",IF(OR($E2653="",$G2653&lt;=0),"EKSİK",IF($I2653="Evet","TAHAKKUK NAKİT OLAMAZ",IF($C2653&gt;TODAY(),"İLERİ TARİH","TAHAKKUK"))),IF(AND($D2653&lt;&gt;"",$E2653&lt;&gt;"",$G2653&gt;0,$H2653&lt;&gt;"",$I2653&lt;&gt;""),IF($C2653&gt;TODAY(),"İLERİ TARİH",IF(COUNTIF($W$7:$W$3001,$W2653)&gt;1,"MÜKERRER?",IF($AD2653&gt;0,"KAPALI DÖNEM",IF($I2653="Hayır","ÖDENECEK","UYGUN")))),"EKSİK"))))</f>
        <v/>
      </c>
      <c r="Q2653" s="2"/>
      <c r="R2653" s="2"/>
      <c r="S2653" s="1" t="str">
        <f t="shared" si="125"/>
        <v/>
      </c>
      <c r="T2653" s="1" t="str">
        <f>IF(OR($C2653="",$D2653&lt;&gt;"Gelir",$L2653=""),"",IFERROR(INDEX(MUSTERILER!$B$7:$B$156,MATCH($S2653,MUSTERILER!$T$7:$T$156,0)),""))</f>
        <v/>
      </c>
      <c r="U2653" s="1" t="str">
        <f>IF($T2653="","",$T2653&amp;"|"&amp;COUNTIFS($T$7:$T2653,$T2653))</f>
        <v/>
      </c>
      <c r="V2653" s="1">
        <f t="shared" si="126"/>
        <v>0</v>
      </c>
      <c r="W2653" s="1" t="str">
        <f t="shared" si="127"/>
        <v/>
      </c>
      <c r="X2653" s="1"/>
      <c r="Y2653" s="1"/>
      <c r="Z2653" s="1"/>
      <c r="AA2653" s="1"/>
      <c r="AB2653" s="1"/>
      <c r="AC2653" s="1"/>
      <c r="AD2653" s="1">
        <f>IF($C2653="",0,SUMPRODUCT((AY_SONU!$O$7:$O$42="Evet")*(AY_SONU!$B$7:$B$42=DATE(YEAR($C2653),MONTH($C2653),1))))</f>
        <v>0</v>
      </c>
      <c r="AE2653" s="1" t="str">
        <f>IF($E2653="","",$E2653&amp;"|"&amp;COUNTIFS($E$7:$E2653,$E2653))</f>
        <v/>
      </c>
    </row>
    <row r="2654" spans="1:31" ht="18" customHeight="1" x14ac:dyDescent="0.3">
      <c r="A2654" s="2"/>
      <c r="B2654" s="65" t="str">
        <f>IF($C2654="","","GG"&amp;TEXT(ROW()-6,"00000"))</f>
        <v/>
      </c>
      <c r="C2654" s="66"/>
      <c r="D2654" s="60"/>
      <c r="E2654" s="61"/>
      <c r="F2654" s="61"/>
      <c r="G2654" s="67"/>
      <c r="H2654" s="60"/>
      <c r="I2654" s="60"/>
      <c r="J2654" s="61"/>
      <c r="K2654" s="61"/>
      <c r="L2654" s="60"/>
      <c r="M2654" s="74" t="str">
        <f>IF($C2654="","",IF($D2654="Gider",$E2654,IF($L2654&lt;&gt;"",$L2654,$H2654)))</f>
        <v/>
      </c>
      <c r="N2654" s="74" t="str">
        <f>IF($C2654="","",IF($D2654="Gider",$H2654,$E2654))</f>
        <v/>
      </c>
      <c r="O2654" s="73" t="str">
        <f>IF($C2654="","",DATE(YEAR($C2654),MONTH($C2654),1))</f>
        <v/>
      </c>
      <c r="P2654" s="65" t="str">
        <f ca="1">IF($C2654="","",IF(AND($D2654="Gelir",$L2654&lt;&gt;"",$T2654=""),"TANIMSIZ BORÇLU",IF($T2654&lt;&gt;"",IF(OR($E2654="",$G2654&lt;=0),"EKSİK",IF($I2654="Evet","TAHAKKUK NAKİT OLAMAZ",IF($C2654&gt;TODAY(),"İLERİ TARİH","TAHAKKUK"))),IF(AND($D2654&lt;&gt;"",$E2654&lt;&gt;"",$G2654&gt;0,$H2654&lt;&gt;"",$I2654&lt;&gt;""),IF($C2654&gt;TODAY(),"İLERİ TARİH",IF(COUNTIF($W$7:$W$3001,$W2654)&gt;1,"MÜKERRER?",IF($AD2654&gt;0,"KAPALI DÖNEM",IF($I2654="Hayır","ÖDENECEK","UYGUN")))),"EKSİK"))))</f>
        <v/>
      </c>
      <c r="Q2654" s="2"/>
      <c r="R2654" s="2"/>
      <c r="S2654" s="1" t="str">
        <f t="shared" si="125"/>
        <v/>
      </c>
      <c r="T2654" s="1" t="str">
        <f>IF(OR($C2654="",$D2654&lt;&gt;"Gelir",$L2654=""),"",IFERROR(INDEX(MUSTERILER!$B$7:$B$156,MATCH($S2654,MUSTERILER!$T$7:$T$156,0)),""))</f>
        <v/>
      </c>
      <c r="U2654" s="1" t="str">
        <f>IF($T2654="","",$T2654&amp;"|"&amp;COUNTIFS($T$7:$T2654,$T2654))</f>
        <v/>
      </c>
      <c r="V2654" s="1">
        <f t="shared" si="126"/>
        <v>0</v>
      </c>
      <c r="W2654" s="1" t="str">
        <f t="shared" si="127"/>
        <v/>
      </c>
      <c r="X2654" s="1"/>
      <c r="Y2654" s="1"/>
      <c r="Z2654" s="1"/>
      <c r="AA2654" s="1"/>
      <c r="AB2654" s="1"/>
      <c r="AC2654" s="1"/>
      <c r="AD2654" s="1">
        <f>IF($C2654="",0,SUMPRODUCT((AY_SONU!$O$7:$O$42="Evet")*(AY_SONU!$B$7:$B$42=DATE(YEAR($C2654),MONTH($C2654),1))))</f>
        <v>0</v>
      </c>
      <c r="AE2654" s="1" t="str">
        <f>IF($E2654="","",$E2654&amp;"|"&amp;COUNTIFS($E$7:$E2654,$E2654))</f>
        <v/>
      </c>
    </row>
    <row r="2655" spans="1:31" ht="18" customHeight="1" x14ac:dyDescent="0.3">
      <c r="A2655" s="2"/>
      <c r="B2655" s="65" t="str">
        <f>IF($C2655="","","GG"&amp;TEXT(ROW()-6,"00000"))</f>
        <v/>
      </c>
      <c r="C2655" s="66"/>
      <c r="D2655" s="60"/>
      <c r="E2655" s="61"/>
      <c r="F2655" s="61"/>
      <c r="G2655" s="67"/>
      <c r="H2655" s="60"/>
      <c r="I2655" s="60"/>
      <c r="J2655" s="61"/>
      <c r="K2655" s="61"/>
      <c r="L2655" s="60"/>
      <c r="M2655" s="74" t="str">
        <f>IF($C2655="","",IF($D2655="Gider",$E2655,IF($L2655&lt;&gt;"",$L2655,$H2655)))</f>
        <v/>
      </c>
      <c r="N2655" s="74" t="str">
        <f>IF($C2655="","",IF($D2655="Gider",$H2655,$E2655))</f>
        <v/>
      </c>
      <c r="O2655" s="73" t="str">
        <f>IF($C2655="","",DATE(YEAR($C2655),MONTH($C2655),1))</f>
        <v/>
      </c>
      <c r="P2655" s="65" t="str">
        <f ca="1">IF($C2655="","",IF(AND($D2655="Gelir",$L2655&lt;&gt;"",$T2655=""),"TANIMSIZ BORÇLU",IF($T2655&lt;&gt;"",IF(OR($E2655="",$G2655&lt;=0),"EKSİK",IF($I2655="Evet","TAHAKKUK NAKİT OLAMAZ",IF($C2655&gt;TODAY(),"İLERİ TARİH","TAHAKKUK"))),IF(AND($D2655&lt;&gt;"",$E2655&lt;&gt;"",$G2655&gt;0,$H2655&lt;&gt;"",$I2655&lt;&gt;""),IF($C2655&gt;TODAY(),"İLERİ TARİH",IF(COUNTIF($W$7:$W$3001,$W2655)&gt;1,"MÜKERRER?",IF($AD2655&gt;0,"KAPALI DÖNEM",IF($I2655="Hayır","ÖDENECEK","UYGUN")))),"EKSİK"))))</f>
        <v/>
      </c>
      <c r="Q2655" s="2"/>
      <c r="R2655" s="2"/>
      <c r="S2655" s="1" t="str">
        <f t="shared" si="125"/>
        <v/>
      </c>
      <c r="T2655" s="1" t="str">
        <f>IF(OR($C2655="",$D2655&lt;&gt;"Gelir",$L2655=""),"",IFERROR(INDEX(MUSTERILER!$B$7:$B$156,MATCH($S2655,MUSTERILER!$T$7:$T$156,0)),""))</f>
        <v/>
      </c>
      <c r="U2655" s="1" t="str">
        <f>IF($T2655="","",$T2655&amp;"|"&amp;COUNTIFS($T$7:$T2655,$T2655))</f>
        <v/>
      </c>
      <c r="V2655" s="1">
        <f t="shared" si="126"/>
        <v>0</v>
      </c>
      <c r="W2655" s="1" t="str">
        <f t="shared" si="127"/>
        <v/>
      </c>
      <c r="X2655" s="1"/>
      <c r="Y2655" s="1"/>
      <c r="Z2655" s="1"/>
      <c r="AA2655" s="1"/>
      <c r="AB2655" s="1"/>
      <c r="AC2655" s="1"/>
      <c r="AD2655" s="1">
        <f>IF($C2655="",0,SUMPRODUCT((AY_SONU!$O$7:$O$42="Evet")*(AY_SONU!$B$7:$B$42=DATE(YEAR($C2655),MONTH($C2655),1))))</f>
        <v>0</v>
      </c>
      <c r="AE2655" s="1" t="str">
        <f>IF($E2655="","",$E2655&amp;"|"&amp;COUNTIFS($E$7:$E2655,$E2655))</f>
        <v/>
      </c>
    </row>
    <row r="2656" spans="1:31" ht="18" customHeight="1" x14ac:dyDescent="0.3">
      <c r="A2656" s="2"/>
      <c r="B2656" s="65" t="str">
        <f>IF($C2656="","","GG"&amp;TEXT(ROW()-6,"00000"))</f>
        <v/>
      </c>
      <c r="C2656" s="66"/>
      <c r="D2656" s="60"/>
      <c r="E2656" s="61"/>
      <c r="F2656" s="61"/>
      <c r="G2656" s="67"/>
      <c r="H2656" s="60"/>
      <c r="I2656" s="60"/>
      <c r="J2656" s="61"/>
      <c r="K2656" s="61"/>
      <c r="L2656" s="60"/>
      <c r="M2656" s="74" t="str">
        <f>IF($C2656="","",IF($D2656="Gider",$E2656,IF($L2656&lt;&gt;"",$L2656,$H2656)))</f>
        <v/>
      </c>
      <c r="N2656" s="74" t="str">
        <f>IF($C2656="","",IF($D2656="Gider",$H2656,$E2656))</f>
        <v/>
      </c>
      <c r="O2656" s="73" t="str">
        <f>IF($C2656="","",DATE(YEAR($C2656),MONTH($C2656),1))</f>
        <v/>
      </c>
      <c r="P2656" s="65" t="str">
        <f ca="1">IF($C2656="","",IF(AND($D2656="Gelir",$L2656&lt;&gt;"",$T2656=""),"TANIMSIZ BORÇLU",IF($T2656&lt;&gt;"",IF(OR($E2656="",$G2656&lt;=0),"EKSİK",IF($I2656="Evet","TAHAKKUK NAKİT OLAMAZ",IF($C2656&gt;TODAY(),"İLERİ TARİH","TAHAKKUK"))),IF(AND($D2656&lt;&gt;"",$E2656&lt;&gt;"",$G2656&gt;0,$H2656&lt;&gt;"",$I2656&lt;&gt;""),IF($C2656&gt;TODAY(),"İLERİ TARİH",IF(COUNTIF($W$7:$W$3001,$W2656)&gt;1,"MÜKERRER?",IF($AD2656&gt;0,"KAPALI DÖNEM",IF($I2656="Hayır","ÖDENECEK","UYGUN")))),"EKSİK"))))</f>
        <v/>
      </c>
      <c r="Q2656" s="2"/>
      <c r="R2656" s="2"/>
      <c r="S2656" s="1" t="str">
        <f t="shared" si="125"/>
        <v/>
      </c>
      <c r="T2656" s="1" t="str">
        <f>IF(OR($C2656="",$D2656&lt;&gt;"Gelir",$L2656=""),"",IFERROR(INDEX(MUSTERILER!$B$7:$B$156,MATCH($S2656,MUSTERILER!$T$7:$T$156,0)),""))</f>
        <v/>
      </c>
      <c r="U2656" s="1" t="str">
        <f>IF($T2656="","",$T2656&amp;"|"&amp;COUNTIFS($T$7:$T2656,$T2656))</f>
        <v/>
      </c>
      <c r="V2656" s="1">
        <f t="shared" si="126"/>
        <v>0</v>
      </c>
      <c r="W2656" s="1" t="str">
        <f t="shared" si="127"/>
        <v/>
      </c>
      <c r="X2656" s="1"/>
      <c r="Y2656" s="1"/>
      <c r="Z2656" s="1"/>
      <c r="AA2656" s="1"/>
      <c r="AB2656" s="1"/>
      <c r="AC2656" s="1"/>
      <c r="AD2656" s="1">
        <f>IF($C2656="",0,SUMPRODUCT((AY_SONU!$O$7:$O$42="Evet")*(AY_SONU!$B$7:$B$42=DATE(YEAR($C2656),MONTH($C2656),1))))</f>
        <v>0</v>
      </c>
      <c r="AE2656" s="1" t="str">
        <f>IF($E2656="","",$E2656&amp;"|"&amp;COUNTIFS($E$7:$E2656,$E2656))</f>
        <v/>
      </c>
    </row>
    <row r="2657" spans="1:31" ht="18" customHeight="1" x14ac:dyDescent="0.3">
      <c r="A2657" s="2"/>
      <c r="B2657" s="65" t="str">
        <f>IF($C2657="","","GG"&amp;TEXT(ROW()-6,"00000"))</f>
        <v/>
      </c>
      <c r="C2657" s="66"/>
      <c r="D2657" s="60"/>
      <c r="E2657" s="61"/>
      <c r="F2657" s="61"/>
      <c r="G2657" s="67"/>
      <c r="H2657" s="60"/>
      <c r="I2657" s="60"/>
      <c r="J2657" s="61"/>
      <c r="K2657" s="61"/>
      <c r="L2657" s="60"/>
      <c r="M2657" s="74" t="str">
        <f>IF($C2657="","",IF($D2657="Gider",$E2657,IF($L2657&lt;&gt;"",$L2657,$H2657)))</f>
        <v/>
      </c>
      <c r="N2657" s="74" t="str">
        <f>IF($C2657="","",IF($D2657="Gider",$H2657,$E2657))</f>
        <v/>
      </c>
      <c r="O2657" s="73" t="str">
        <f>IF($C2657="","",DATE(YEAR($C2657),MONTH($C2657),1))</f>
        <v/>
      </c>
      <c r="P2657" s="65" t="str">
        <f ca="1">IF($C2657="","",IF(AND($D2657="Gelir",$L2657&lt;&gt;"",$T2657=""),"TANIMSIZ BORÇLU",IF($T2657&lt;&gt;"",IF(OR($E2657="",$G2657&lt;=0),"EKSİK",IF($I2657="Evet","TAHAKKUK NAKİT OLAMAZ",IF($C2657&gt;TODAY(),"İLERİ TARİH","TAHAKKUK"))),IF(AND($D2657&lt;&gt;"",$E2657&lt;&gt;"",$G2657&gt;0,$H2657&lt;&gt;"",$I2657&lt;&gt;""),IF($C2657&gt;TODAY(),"İLERİ TARİH",IF(COUNTIF($W$7:$W$3001,$W2657)&gt;1,"MÜKERRER?",IF($AD2657&gt;0,"KAPALI DÖNEM",IF($I2657="Hayır","ÖDENECEK","UYGUN")))),"EKSİK"))))</f>
        <v/>
      </c>
      <c r="Q2657" s="2"/>
      <c r="R2657" s="2"/>
      <c r="S2657" s="1" t="str">
        <f t="shared" si="125"/>
        <v/>
      </c>
      <c r="T2657" s="1" t="str">
        <f>IF(OR($C2657="",$D2657&lt;&gt;"Gelir",$L2657=""),"",IFERROR(INDEX(MUSTERILER!$B$7:$B$156,MATCH($S2657,MUSTERILER!$T$7:$T$156,0)),""))</f>
        <v/>
      </c>
      <c r="U2657" s="1" t="str">
        <f>IF($T2657="","",$T2657&amp;"|"&amp;COUNTIFS($T$7:$T2657,$T2657))</f>
        <v/>
      </c>
      <c r="V2657" s="1">
        <f t="shared" si="126"/>
        <v>0</v>
      </c>
      <c r="W2657" s="1" t="str">
        <f t="shared" si="127"/>
        <v/>
      </c>
      <c r="X2657" s="1"/>
      <c r="Y2657" s="1"/>
      <c r="Z2657" s="1"/>
      <c r="AA2657" s="1"/>
      <c r="AB2657" s="1"/>
      <c r="AC2657" s="1"/>
      <c r="AD2657" s="1">
        <f>IF($C2657="",0,SUMPRODUCT((AY_SONU!$O$7:$O$42="Evet")*(AY_SONU!$B$7:$B$42=DATE(YEAR($C2657),MONTH($C2657),1))))</f>
        <v>0</v>
      </c>
      <c r="AE2657" s="1" t="str">
        <f>IF($E2657="","",$E2657&amp;"|"&amp;COUNTIFS($E$7:$E2657,$E2657))</f>
        <v/>
      </c>
    </row>
    <row r="2658" spans="1:31" ht="18" customHeight="1" x14ac:dyDescent="0.3">
      <c r="A2658" s="2"/>
      <c r="B2658" s="65" t="str">
        <f>IF($C2658="","","GG"&amp;TEXT(ROW()-6,"00000"))</f>
        <v/>
      </c>
      <c r="C2658" s="66"/>
      <c r="D2658" s="60"/>
      <c r="E2658" s="61"/>
      <c r="F2658" s="61"/>
      <c r="G2658" s="67"/>
      <c r="H2658" s="60"/>
      <c r="I2658" s="60"/>
      <c r="J2658" s="61"/>
      <c r="K2658" s="61"/>
      <c r="L2658" s="60"/>
      <c r="M2658" s="74" t="str">
        <f>IF($C2658="","",IF($D2658="Gider",$E2658,IF($L2658&lt;&gt;"",$L2658,$H2658)))</f>
        <v/>
      </c>
      <c r="N2658" s="74" t="str">
        <f>IF($C2658="","",IF($D2658="Gider",$H2658,$E2658))</f>
        <v/>
      </c>
      <c r="O2658" s="73" t="str">
        <f>IF($C2658="","",DATE(YEAR($C2658),MONTH($C2658),1))</f>
        <v/>
      </c>
      <c r="P2658" s="65" t="str">
        <f ca="1">IF($C2658="","",IF(AND($D2658="Gelir",$L2658&lt;&gt;"",$T2658=""),"TANIMSIZ BORÇLU",IF($T2658&lt;&gt;"",IF(OR($E2658="",$G2658&lt;=0),"EKSİK",IF($I2658="Evet","TAHAKKUK NAKİT OLAMAZ",IF($C2658&gt;TODAY(),"İLERİ TARİH","TAHAKKUK"))),IF(AND($D2658&lt;&gt;"",$E2658&lt;&gt;"",$G2658&gt;0,$H2658&lt;&gt;"",$I2658&lt;&gt;""),IF($C2658&gt;TODAY(),"İLERİ TARİH",IF(COUNTIF($W$7:$W$3001,$W2658)&gt;1,"MÜKERRER?",IF($AD2658&gt;0,"KAPALI DÖNEM",IF($I2658="Hayır","ÖDENECEK","UYGUN")))),"EKSİK"))))</f>
        <v/>
      </c>
      <c r="Q2658" s="2"/>
      <c r="R2658" s="2"/>
      <c r="S2658" s="1" t="str">
        <f t="shared" si="125"/>
        <v/>
      </c>
      <c r="T2658" s="1" t="str">
        <f>IF(OR($C2658="",$D2658&lt;&gt;"Gelir",$L2658=""),"",IFERROR(INDEX(MUSTERILER!$B$7:$B$156,MATCH($S2658,MUSTERILER!$T$7:$T$156,0)),""))</f>
        <v/>
      </c>
      <c r="U2658" s="1" t="str">
        <f>IF($T2658="","",$T2658&amp;"|"&amp;COUNTIFS($T$7:$T2658,$T2658))</f>
        <v/>
      </c>
      <c r="V2658" s="1">
        <f t="shared" si="126"/>
        <v>0</v>
      </c>
      <c r="W2658" s="1" t="str">
        <f t="shared" si="127"/>
        <v/>
      </c>
      <c r="X2658" s="1"/>
      <c r="Y2658" s="1"/>
      <c r="Z2658" s="1"/>
      <c r="AA2658" s="1"/>
      <c r="AB2658" s="1"/>
      <c r="AC2658" s="1"/>
      <c r="AD2658" s="1">
        <f>IF($C2658="",0,SUMPRODUCT((AY_SONU!$O$7:$O$42="Evet")*(AY_SONU!$B$7:$B$42=DATE(YEAR($C2658),MONTH($C2658),1))))</f>
        <v>0</v>
      </c>
      <c r="AE2658" s="1" t="str">
        <f>IF($E2658="","",$E2658&amp;"|"&amp;COUNTIFS($E$7:$E2658,$E2658))</f>
        <v/>
      </c>
    </row>
    <row r="2659" spans="1:31" ht="18" customHeight="1" x14ac:dyDescent="0.3">
      <c r="A2659" s="2"/>
      <c r="B2659" s="65" t="str">
        <f>IF($C2659="","","GG"&amp;TEXT(ROW()-6,"00000"))</f>
        <v/>
      </c>
      <c r="C2659" s="66"/>
      <c r="D2659" s="60"/>
      <c r="E2659" s="61"/>
      <c r="F2659" s="61"/>
      <c r="G2659" s="67"/>
      <c r="H2659" s="60"/>
      <c r="I2659" s="60"/>
      <c r="J2659" s="61"/>
      <c r="K2659" s="61"/>
      <c r="L2659" s="60"/>
      <c r="M2659" s="74" t="str">
        <f>IF($C2659="","",IF($D2659="Gider",$E2659,IF($L2659&lt;&gt;"",$L2659,$H2659)))</f>
        <v/>
      </c>
      <c r="N2659" s="74" t="str">
        <f>IF($C2659="","",IF($D2659="Gider",$H2659,$E2659))</f>
        <v/>
      </c>
      <c r="O2659" s="73" t="str">
        <f>IF($C2659="","",DATE(YEAR($C2659),MONTH($C2659),1))</f>
        <v/>
      </c>
      <c r="P2659" s="65" t="str">
        <f ca="1">IF($C2659="","",IF(AND($D2659="Gelir",$L2659&lt;&gt;"",$T2659=""),"TANIMSIZ BORÇLU",IF($T2659&lt;&gt;"",IF(OR($E2659="",$G2659&lt;=0),"EKSİK",IF($I2659="Evet","TAHAKKUK NAKİT OLAMAZ",IF($C2659&gt;TODAY(),"İLERİ TARİH","TAHAKKUK"))),IF(AND($D2659&lt;&gt;"",$E2659&lt;&gt;"",$G2659&gt;0,$H2659&lt;&gt;"",$I2659&lt;&gt;""),IF($C2659&gt;TODAY(),"İLERİ TARİH",IF(COUNTIF($W$7:$W$3001,$W2659)&gt;1,"MÜKERRER?",IF($AD2659&gt;0,"KAPALI DÖNEM",IF($I2659="Hayır","ÖDENECEK","UYGUN")))),"EKSİK"))))</f>
        <v/>
      </c>
      <c r="Q2659" s="2"/>
      <c r="R2659" s="2"/>
      <c r="S2659" s="1" t="str">
        <f t="shared" si="125"/>
        <v/>
      </c>
      <c r="T2659" s="1" t="str">
        <f>IF(OR($C2659="",$D2659&lt;&gt;"Gelir",$L2659=""),"",IFERROR(INDEX(MUSTERILER!$B$7:$B$156,MATCH($S2659,MUSTERILER!$T$7:$T$156,0)),""))</f>
        <v/>
      </c>
      <c r="U2659" s="1" t="str">
        <f>IF($T2659="","",$T2659&amp;"|"&amp;COUNTIFS($T$7:$T2659,$T2659))</f>
        <v/>
      </c>
      <c r="V2659" s="1">
        <f t="shared" si="126"/>
        <v>0</v>
      </c>
      <c r="W2659" s="1" t="str">
        <f t="shared" si="127"/>
        <v/>
      </c>
      <c r="X2659" s="1"/>
      <c r="Y2659" s="1"/>
      <c r="Z2659" s="1"/>
      <c r="AA2659" s="1"/>
      <c r="AB2659" s="1"/>
      <c r="AC2659" s="1"/>
      <c r="AD2659" s="1">
        <f>IF($C2659="",0,SUMPRODUCT((AY_SONU!$O$7:$O$42="Evet")*(AY_SONU!$B$7:$B$42=DATE(YEAR($C2659),MONTH($C2659),1))))</f>
        <v>0</v>
      </c>
      <c r="AE2659" s="1" t="str">
        <f>IF($E2659="","",$E2659&amp;"|"&amp;COUNTIFS($E$7:$E2659,$E2659))</f>
        <v/>
      </c>
    </row>
    <row r="2660" spans="1:31" ht="18" customHeight="1" x14ac:dyDescent="0.3">
      <c r="A2660" s="2"/>
      <c r="B2660" s="65" t="str">
        <f>IF($C2660="","","GG"&amp;TEXT(ROW()-6,"00000"))</f>
        <v/>
      </c>
      <c r="C2660" s="66"/>
      <c r="D2660" s="60"/>
      <c r="E2660" s="61"/>
      <c r="F2660" s="61"/>
      <c r="G2660" s="67"/>
      <c r="H2660" s="60"/>
      <c r="I2660" s="60"/>
      <c r="J2660" s="61"/>
      <c r="K2660" s="61"/>
      <c r="L2660" s="60"/>
      <c r="M2660" s="74" t="str">
        <f>IF($C2660="","",IF($D2660="Gider",$E2660,IF($L2660&lt;&gt;"",$L2660,$H2660)))</f>
        <v/>
      </c>
      <c r="N2660" s="74" t="str">
        <f>IF($C2660="","",IF($D2660="Gider",$H2660,$E2660))</f>
        <v/>
      </c>
      <c r="O2660" s="73" t="str">
        <f>IF($C2660="","",DATE(YEAR($C2660),MONTH($C2660),1))</f>
        <v/>
      </c>
      <c r="P2660" s="65" t="str">
        <f ca="1">IF($C2660="","",IF(AND($D2660="Gelir",$L2660&lt;&gt;"",$T2660=""),"TANIMSIZ BORÇLU",IF($T2660&lt;&gt;"",IF(OR($E2660="",$G2660&lt;=0),"EKSİK",IF($I2660="Evet","TAHAKKUK NAKİT OLAMAZ",IF($C2660&gt;TODAY(),"İLERİ TARİH","TAHAKKUK"))),IF(AND($D2660&lt;&gt;"",$E2660&lt;&gt;"",$G2660&gt;0,$H2660&lt;&gt;"",$I2660&lt;&gt;""),IF($C2660&gt;TODAY(),"İLERİ TARİH",IF(COUNTIF($W$7:$W$3001,$W2660)&gt;1,"MÜKERRER?",IF($AD2660&gt;0,"KAPALI DÖNEM",IF($I2660="Hayır","ÖDENECEK","UYGUN")))),"EKSİK"))))</f>
        <v/>
      </c>
      <c r="Q2660" s="2"/>
      <c r="R2660" s="2"/>
      <c r="S2660" s="1" t="str">
        <f t="shared" si="125"/>
        <v/>
      </c>
      <c r="T2660" s="1" t="str">
        <f>IF(OR($C2660="",$D2660&lt;&gt;"Gelir",$L2660=""),"",IFERROR(INDEX(MUSTERILER!$B$7:$B$156,MATCH($S2660,MUSTERILER!$T$7:$T$156,0)),""))</f>
        <v/>
      </c>
      <c r="U2660" s="1" t="str">
        <f>IF($T2660="","",$T2660&amp;"|"&amp;COUNTIFS($T$7:$T2660,$T2660))</f>
        <v/>
      </c>
      <c r="V2660" s="1">
        <f t="shared" si="126"/>
        <v>0</v>
      </c>
      <c r="W2660" s="1" t="str">
        <f t="shared" si="127"/>
        <v/>
      </c>
      <c r="X2660" s="1"/>
      <c r="Y2660" s="1"/>
      <c r="Z2660" s="1"/>
      <c r="AA2660" s="1"/>
      <c r="AB2660" s="1"/>
      <c r="AC2660" s="1"/>
      <c r="AD2660" s="1">
        <f>IF($C2660="",0,SUMPRODUCT((AY_SONU!$O$7:$O$42="Evet")*(AY_SONU!$B$7:$B$42=DATE(YEAR($C2660),MONTH($C2660),1))))</f>
        <v>0</v>
      </c>
      <c r="AE2660" s="1" t="str">
        <f>IF($E2660="","",$E2660&amp;"|"&amp;COUNTIFS($E$7:$E2660,$E2660))</f>
        <v/>
      </c>
    </row>
    <row r="2661" spans="1:31" ht="18" customHeight="1" x14ac:dyDescent="0.3">
      <c r="A2661" s="2"/>
      <c r="B2661" s="65" t="str">
        <f>IF($C2661="","","GG"&amp;TEXT(ROW()-6,"00000"))</f>
        <v/>
      </c>
      <c r="C2661" s="66"/>
      <c r="D2661" s="60"/>
      <c r="E2661" s="61"/>
      <c r="F2661" s="61"/>
      <c r="G2661" s="67"/>
      <c r="H2661" s="60"/>
      <c r="I2661" s="60"/>
      <c r="J2661" s="61"/>
      <c r="K2661" s="61"/>
      <c r="L2661" s="60"/>
      <c r="M2661" s="74" t="str">
        <f>IF($C2661="","",IF($D2661="Gider",$E2661,IF($L2661&lt;&gt;"",$L2661,$H2661)))</f>
        <v/>
      </c>
      <c r="N2661" s="74" t="str">
        <f>IF($C2661="","",IF($D2661="Gider",$H2661,$E2661))</f>
        <v/>
      </c>
      <c r="O2661" s="73" t="str">
        <f>IF($C2661="","",DATE(YEAR($C2661),MONTH($C2661),1))</f>
        <v/>
      </c>
      <c r="P2661" s="65" t="str">
        <f ca="1">IF($C2661="","",IF(AND($D2661="Gelir",$L2661&lt;&gt;"",$T2661=""),"TANIMSIZ BORÇLU",IF($T2661&lt;&gt;"",IF(OR($E2661="",$G2661&lt;=0),"EKSİK",IF($I2661="Evet","TAHAKKUK NAKİT OLAMAZ",IF($C2661&gt;TODAY(),"İLERİ TARİH","TAHAKKUK"))),IF(AND($D2661&lt;&gt;"",$E2661&lt;&gt;"",$G2661&gt;0,$H2661&lt;&gt;"",$I2661&lt;&gt;""),IF($C2661&gt;TODAY(),"İLERİ TARİH",IF(COUNTIF($W$7:$W$3001,$W2661)&gt;1,"MÜKERRER?",IF($AD2661&gt;0,"KAPALI DÖNEM",IF($I2661="Hayır","ÖDENECEK","UYGUN")))),"EKSİK"))))</f>
        <v/>
      </c>
      <c r="Q2661" s="2"/>
      <c r="R2661" s="2"/>
      <c r="S2661" s="1" t="str">
        <f t="shared" si="125"/>
        <v/>
      </c>
      <c r="T2661" s="1" t="str">
        <f>IF(OR($C2661="",$D2661&lt;&gt;"Gelir",$L2661=""),"",IFERROR(INDEX(MUSTERILER!$B$7:$B$156,MATCH($S2661,MUSTERILER!$T$7:$T$156,0)),""))</f>
        <v/>
      </c>
      <c r="U2661" s="1" t="str">
        <f>IF($T2661="","",$T2661&amp;"|"&amp;COUNTIFS($T$7:$T2661,$T2661))</f>
        <v/>
      </c>
      <c r="V2661" s="1">
        <f t="shared" si="126"/>
        <v>0</v>
      </c>
      <c r="W2661" s="1" t="str">
        <f t="shared" si="127"/>
        <v/>
      </c>
      <c r="X2661" s="1"/>
      <c r="Y2661" s="1"/>
      <c r="Z2661" s="1"/>
      <c r="AA2661" s="1"/>
      <c r="AB2661" s="1"/>
      <c r="AC2661" s="1"/>
      <c r="AD2661" s="1">
        <f>IF($C2661="",0,SUMPRODUCT((AY_SONU!$O$7:$O$42="Evet")*(AY_SONU!$B$7:$B$42=DATE(YEAR($C2661),MONTH($C2661),1))))</f>
        <v>0</v>
      </c>
      <c r="AE2661" s="1" t="str">
        <f>IF($E2661="","",$E2661&amp;"|"&amp;COUNTIFS($E$7:$E2661,$E2661))</f>
        <v/>
      </c>
    </row>
    <row r="2662" spans="1:31" ht="18" customHeight="1" x14ac:dyDescent="0.3">
      <c r="A2662" s="2"/>
      <c r="B2662" s="65" t="str">
        <f>IF($C2662="","","GG"&amp;TEXT(ROW()-6,"00000"))</f>
        <v/>
      </c>
      <c r="C2662" s="66"/>
      <c r="D2662" s="60"/>
      <c r="E2662" s="61"/>
      <c r="F2662" s="61"/>
      <c r="G2662" s="67"/>
      <c r="H2662" s="60"/>
      <c r="I2662" s="60"/>
      <c r="J2662" s="61"/>
      <c r="K2662" s="61"/>
      <c r="L2662" s="60"/>
      <c r="M2662" s="74" t="str">
        <f>IF($C2662="","",IF($D2662="Gider",$E2662,IF($L2662&lt;&gt;"",$L2662,$H2662)))</f>
        <v/>
      </c>
      <c r="N2662" s="74" t="str">
        <f>IF($C2662="","",IF($D2662="Gider",$H2662,$E2662))</f>
        <v/>
      </c>
      <c r="O2662" s="73" t="str">
        <f>IF($C2662="","",DATE(YEAR($C2662),MONTH($C2662),1))</f>
        <v/>
      </c>
      <c r="P2662" s="65" t="str">
        <f ca="1">IF($C2662="","",IF(AND($D2662="Gelir",$L2662&lt;&gt;"",$T2662=""),"TANIMSIZ BORÇLU",IF($T2662&lt;&gt;"",IF(OR($E2662="",$G2662&lt;=0),"EKSİK",IF($I2662="Evet","TAHAKKUK NAKİT OLAMAZ",IF($C2662&gt;TODAY(),"İLERİ TARİH","TAHAKKUK"))),IF(AND($D2662&lt;&gt;"",$E2662&lt;&gt;"",$G2662&gt;0,$H2662&lt;&gt;"",$I2662&lt;&gt;""),IF($C2662&gt;TODAY(),"İLERİ TARİH",IF(COUNTIF($W$7:$W$3001,$W2662)&gt;1,"MÜKERRER?",IF($AD2662&gt;0,"KAPALI DÖNEM",IF($I2662="Hayır","ÖDENECEK","UYGUN")))),"EKSİK"))))</f>
        <v/>
      </c>
      <c r="Q2662" s="2"/>
      <c r="R2662" s="2"/>
      <c r="S2662" s="1" t="str">
        <f t="shared" si="125"/>
        <v/>
      </c>
      <c r="T2662" s="1" t="str">
        <f>IF(OR($C2662="",$D2662&lt;&gt;"Gelir",$L2662=""),"",IFERROR(INDEX(MUSTERILER!$B$7:$B$156,MATCH($S2662,MUSTERILER!$T$7:$T$156,0)),""))</f>
        <v/>
      </c>
      <c r="U2662" s="1" t="str">
        <f>IF($T2662="","",$T2662&amp;"|"&amp;COUNTIFS($T$7:$T2662,$T2662))</f>
        <v/>
      </c>
      <c r="V2662" s="1">
        <f t="shared" si="126"/>
        <v>0</v>
      </c>
      <c r="W2662" s="1" t="str">
        <f t="shared" si="127"/>
        <v/>
      </c>
      <c r="X2662" s="1"/>
      <c r="Y2662" s="1"/>
      <c r="Z2662" s="1"/>
      <c r="AA2662" s="1"/>
      <c r="AB2662" s="1"/>
      <c r="AC2662" s="1"/>
      <c r="AD2662" s="1">
        <f>IF($C2662="",0,SUMPRODUCT((AY_SONU!$O$7:$O$42="Evet")*(AY_SONU!$B$7:$B$42=DATE(YEAR($C2662),MONTH($C2662),1))))</f>
        <v>0</v>
      </c>
      <c r="AE2662" s="1" t="str">
        <f>IF($E2662="","",$E2662&amp;"|"&amp;COUNTIFS($E$7:$E2662,$E2662))</f>
        <v/>
      </c>
    </row>
    <row r="2663" spans="1:31" ht="18" customHeight="1" x14ac:dyDescent="0.3">
      <c r="A2663" s="2"/>
      <c r="B2663" s="65" t="str">
        <f>IF($C2663="","","GG"&amp;TEXT(ROW()-6,"00000"))</f>
        <v/>
      </c>
      <c r="C2663" s="66"/>
      <c r="D2663" s="60"/>
      <c r="E2663" s="61"/>
      <c r="F2663" s="61"/>
      <c r="G2663" s="67"/>
      <c r="H2663" s="60"/>
      <c r="I2663" s="60"/>
      <c r="J2663" s="61"/>
      <c r="K2663" s="61"/>
      <c r="L2663" s="60"/>
      <c r="M2663" s="74" t="str">
        <f>IF($C2663="","",IF($D2663="Gider",$E2663,IF($L2663&lt;&gt;"",$L2663,$H2663)))</f>
        <v/>
      </c>
      <c r="N2663" s="74" t="str">
        <f>IF($C2663="","",IF($D2663="Gider",$H2663,$E2663))</f>
        <v/>
      </c>
      <c r="O2663" s="73" t="str">
        <f>IF($C2663="","",DATE(YEAR($C2663),MONTH($C2663),1))</f>
        <v/>
      </c>
      <c r="P2663" s="65" t="str">
        <f ca="1">IF($C2663="","",IF(AND($D2663="Gelir",$L2663&lt;&gt;"",$T2663=""),"TANIMSIZ BORÇLU",IF($T2663&lt;&gt;"",IF(OR($E2663="",$G2663&lt;=0),"EKSİK",IF($I2663="Evet","TAHAKKUK NAKİT OLAMAZ",IF($C2663&gt;TODAY(),"İLERİ TARİH","TAHAKKUK"))),IF(AND($D2663&lt;&gt;"",$E2663&lt;&gt;"",$G2663&gt;0,$H2663&lt;&gt;"",$I2663&lt;&gt;""),IF($C2663&gt;TODAY(),"İLERİ TARİH",IF(COUNTIF($W$7:$W$3001,$W2663)&gt;1,"MÜKERRER?",IF($AD2663&gt;0,"KAPALI DÖNEM",IF($I2663="Hayır","ÖDENECEK","UYGUN")))),"EKSİK"))))</f>
        <v/>
      </c>
      <c r="Q2663" s="2"/>
      <c r="R2663" s="2"/>
      <c r="S2663" s="1" t="str">
        <f t="shared" si="125"/>
        <v/>
      </c>
      <c r="T2663" s="1" t="str">
        <f>IF(OR($C2663="",$D2663&lt;&gt;"Gelir",$L2663=""),"",IFERROR(INDEX(MUSTERILER!$B$7:$B$156,MATCH($S2663,MUSTERILER!$T$7:$T$156,0)),""))</f>
        <v/>
      </c>
      <c r="U2663" s="1" t="str">
        <f>IF($T2663="","",$T2663&amp;"|"&amp;COUNTIFS($T$7:$T2663,$T2663))</f>
        <v/>
      </c>
      <c r="V2663" s="1">
        <f t="shared" si="126"/>
        <v>0</v>
      </c>
      <c r="W2663" s="1" t="str">
        <f t="shared" si="127"/>
        <v/>
      </c>
      <c r="X2663" s="1"/>
      <c r="Y2663" s="1"/>
      <c r="Z2663" s="1"/>
      <c r="AA2663" s="1"/>
      <c r="AB2663" s="1"/>
      <c r="AC2663" s="1"/>
      <c r="AD2663" s="1">
        <f>IF($C2663="",0,SUMPRODUCT((AY_SONU!$O$7:$O$42="Evet")*(AY_SONU!$B$7:$B$42=DATE(YEAR($C2663),MONTH($C2663),1))))</f>
        <v>0</v>
      </c>
      <c r="AE2663" s="1" t="str">
        <f>IF($E2663="","",$E2663&amp;"|"&amp;COUNTIFS($E$7:$E2663,$E2663))</f>
        <v/>
      </c>
    </row>
    <row r="2664" spans="1:31" ht="18" customHeight="1" x14ac:dyDescent="0.3">
      <c r="A2664" s="2"/>
      <c r="B2664" s="65" t="str">
        <f>IF($C2664="","","GG"&amp;TEXT(ROW()-6,"00000"))</f>
        <v/>
      </c>
      <c r="C2664" s="66"/>
      <c r="D2664" s="60"/>
      <c r="E2664" s="61"/>
      <c r="F2664" s="61"/>
      <c r="G2664" s="67"/>
      <c r="H2664" s="60"/>
      <c r="I2664" s="60"/>
      <c r="J2664" s="61"/>
      <c r="K2664" s="61"/>
      <c r="L2664" s="60"/>
      <c r="M2664" s="74" t="str">
        <f>IF($C2664="","",IF($D2664="Gider",$E2664,IF($L2664&lt;&gt;"",$L2664,$H2664)))</f>
        <v/>
      </c>
      <c r="N2664" s="74" t="str">
        <f>IF($C2664="","",IF($D2664="Gider",$H2664,$E2664))</f>
        <v/>
      </c>
      <c r="O2664" s="73" t="str">
        <f>IF($C2664="","",DATE(YEAR($C2664),MONTH($C2664),1))</f>
        <v/>
      </c>
      <c r="P2664" s="65" t="str">
        <f ca="1">IF($C2664="","",IF(AND($D2664="Gelir",$L2664&lt;&gt;"",$T2664=""),"TANIMSIZ BORÇLU",IF($T2664&lt;&gt;"",IF(OR($E2664="",$G2664&lt;=0),"EKSİK",IF($I2664="Evet","TAHAKKUK NAKİT OLAMAZ",IF($C2664&gt;TODAY(),"İLERİ TARİH","TAHAKKUK"))),IF(AND($D2664&lt;&gt;"",$E2664&lt;&gt;"",$G2664&gt;0,$H2664&lt;&gt;"",$I2664&lt;&gt;""),IF($C2664&gt;TODAY(),"İLERİ TARİH",IF(COUNTIF($W$7:$W$3001,$W2664)&gt;1,"MÜKERRER?",IF($AD2664&gt;0,"KAPALI DÖNEM",IF($I2664="Hayır","ÖDENECEK","UYGUN")))),"EKSİK"))))</f>
        <v/>
      </c>
      <c r="Q2664" s="2"/>
      <c r="R2664" s="2"/>
      <c r="S2664" s="1" t="str">
        <f t="shared" si="125"/>
        <v/>
      </c>
      <c r="T2664" s="1" t="str">
        <f>IF(OR($C2664="",$D2664&lt;&gt;"Gelir",$L2664=""),"",IFERROR(INDEX(MUSTERILER!$B$7:$B$156,MATCH($S2664,MUSTERILER!$T$7:$T$156,0)),""))</f>
        <v/>
      </c>
      <c r="U2664" s="1" t="str">
        <f>IF($T2664="","",$T2664&amp;"|"&amp;COUNTIFS($T$7:$T2664,$T2664))</f>
        <v/>
      </c>
      <c r="V2664" s="1">
        <f t="shared" si="126"/>
        <v>0</v>
      </c>
      <c r="W2664" s="1" t="str">
        <f t="shared" si="127"/>
        <v/>
      </c>
      <c r="X2664" s="1"/>
      <c r="Y2664" s="1"/>
      <c r="Z2664" s="1"/>
      <c r="AA2664" s="1"/>
      <c r="AB2664" s="1"/>
      <c r="AC2664" s="1"/>
      <c r="AD2664" s="1">
        <f>IF($C2664="",0,SUMPRODUCT((AY_SONU!$O$7:$O$42="Evet")*(AY_SONU!$B$7:$B$42=DATE(YEAR($C2664),MONTH($C2664),1))))</f>
        <v>0</v>
      </c>
      <c r="AE2664" s="1" t="str">
        <f>IF($E2664="","",$E2664&amp;"|"&amp;COUNTIFS($E$7:$E2664,$E2664))</f>
        <v/>
      </c>
    </row>
    <row r="2665" spans="1:31" ht="18" customHeight="1" x14ac:dyDescent="0.3">
      <c r="A2665" s="2"/>
      <c r="B2665" s="65" t="str">
        <f>IF($C2665="","","GG"&amp;TEXT(ROW()-6,"00000"))</f>
        <v/>
      </c>
      <c r="C2665" s="66"/>
      <c r="D2665" s="60"/>
      <c r="E2665" s="61"/>
      <c r="F2665" s="61"/>
      <c r="G2665" s="67"/>
      <c r="H2665" s="60"/>
      <c r="I2665" s="60"/>
      <c r="J2665" s="61"/>
      <c r="K2665" s="61"/>
      <c r="L2665" s="60"/>
      <c r="M2665" s="74" t="str">
        <f>IF($C2665="","",IF($D2665="Gider",$E2665,IF($L2665&lt;&gt;"",$L2665,$H2665)))</f>
        <v/>
      </c>
      <c r="N2665" s="74" t="str">
        <f>IF($C2665="","",IF($D2665="Gider",$H2665,$E2665))</f>
        <v/>
      </c>
      <c r="O2665" s="73" t="str">
        <f>IF($C2665="","",DATE(YEAR($C2665),MONTH($C2665),1))</f>
        <v/>
      </c>
      <c r="P2665" s="65" t="str">
        <f ca="1">IF($C2665="","",IF(AND($D2665="Gelir",$L2665&lt;&gt;"",$T2665=""),"TANIMSIZ BORÇLU",IF($T2665&lt;&gt;"",IF(OR($E2665="",$G2665&lt;=0),"EKSİK",IF($I2665="Evet","TAHAKKUK NAKİT OLAMAZ",IF($C2665&gt;TODAY(),"İLERİ TARİH","TAHAKKUK"))),IF(AND($D2665&lt;&gt;"",$E2665&lt;&gt;"",$G2665&gt;0,$H2665&lt;&gt;"",$I2665&lt;&gt;""),IF($C2665&gt;TODAY(),"İLERİ TARİH",IF(COUNTIF($W$7:$W$3001,$W2665)&gt;1,"MÜKERRER?",IF($AD2665&gt;0,"KAPALI DÖNEM",IF($I2665="Hayır","ÖDENECEK","UYGUN")))),"EKSİK"))))</f>
        <v/>
      </c>
      <c r="Q2665" s="2"/>
      <c r="R2665" s="2"/>
      <c r="S2665" s="1" t="str">
        <f t="shared" si="125"/>
        <v/>
      </c>
      <c r="T2665" s="1" t="str">
        <f>IF(OR($C2665="",$D2665&lt;&gt;"Gelir",$L2665=""),"",IFERROR(INDEX(MUSTERILER!$B$7:$B$156,MATCH($S2665,MUSTERILER!$T$7:$T$156,0)),""))</f>
        <v/>
      </c>
      <c r="U2665" s="1" t="str">
        <f>IF($T2665="","",$T2665&amp;"|"&amp;COUNTIFS($T$7:$T2665,$T2665))</f>
        <v/>
      </c>
      <c r="V2665" s="1">
        <f t="shared" si="126"/>
        <v>0</v>
      </c>
      <c r="W2665" s="1" t="str">
        <f t="shared" si="127"/>
        <v/>
      </c>
      <c r="X2665" s="1"/>
      <c r="Y2665" s="1"/>
      <c r="Z2665" s="1"/>
      <c r="AA2665" s="1"/>
      <c r="AB2665" s="1"/>
      <c r="AC2665" s="1"/>
      <c r="AD2665" s="1">
        <f>IF($C2665="",0,SUMPRODUCT((AY_SONU!$O$7:$O$42="Evet")*(AY_SONU!$B$7:$B$42=DATE(YEAR($C2665),MONTH($C2665),1))))</f>
        <v>0</v>
      </c>
      <c r="AE2665" s="1" t="str">
        <f>IF($E2665="","",$E2665&amp;"|"&amp;COUNTIFS($E$7:$E2665,$E2665))</f>
        <v/>
      </c>
    </row>
    <row r="2666" spans="1:31" ht="18" customHeight="1" x14ac:dyDescent="0.3">
      <c r="A2666" s="2"/>
      <c r="B2666" s="65" t="str">
        <f>IF($C2666="","","GG"&amp;TEXT(ROW()-6,"00000"))</f>
        <v/>
      </c>
      <c r="C2666" s="66"/>
      <c r="D2666" s="60"/>
      <c r="E2666" s="61"/>
      <c r="F2666" s="61"/>
      <c r="G2666" s="67"/>
      <c r="H2666" s="60"/>
      <c r="I2666" s="60"/>
      <c r="J2666" s="61"/>
      <c r="K2666" s="61"/>
      <c r="L2666" s="60"/>
      <c r="M2666" s="74" t="str">
        <f>IF($C2666="","",IF($D2666="Gider",$E2666,IF($L2666&lt;&gt;"",$L2666,$H2666)))</f>
        <v/>
      </c>
      <c r="N2666" s="74" t="str">
        <f>IF($C2666="","",IF($D2666="Gider",$H2666,$E2666))</f>
        <v/>
      </c>
      <c r="O2666" s="73" t="str">
        <f>IF($C2666="","",DATE(YEAR($C2666),MONTH($C2666),1))</f>
        <v/>
      </c>
      <c r="P2666" s="65" t="str">
        <f ca="1">IF($C2666="","",IF(AND($D2666="Gelir",$L2666&lt;&gt;"",$T2666=""),"TANIMSIZ BORÇLU",IF($T2666&lt;&gt;"",IF(OR($E2666="",$G2666&lt;=0),"EKSİK",IF($I2666="Evet","TAHAKKUK NAKİT OLAMAZ",IF($C2666&gt;TODAY(),"İLERİ TARİH","TAHAKKUK"))),IF(AND($D2666&lt;&gt;"",$E2666&lt;&gt;"",$G2666&gt;0,$H2666&lt;&gt;"",$I2666&lt;&gt;""),IF($C2666&gt;TODAY(),"İLERİ TARİH",IF(COUNTIF($W$7:$W$3001,$W2666)&gt;1,"MÜKERRER?",IF($AD2666&gt;0,"KAPALI DÖNEM",IF($I2666="Hayır","ÖDENECEK","UYGUN")))),"EKSİK"))))</f>
        <v/>
      </c>
      <c r="Q2666" s="2"/>
      <c r="R2666" s="2"/>
      <c r="S2666" s="1" t="str">
        <f t="shared" si="125"/>
        <v/>
      </c>
      <c r="T2666" s="1" t="str">
        <f>IF(OR($C2666="",$D2666&lt;&gt;"Gelir",$L2666=""),"",IFERROR(INDEX(MUSTERILER!$B$7:$B$156,MATCH($S2666,MUSTERILER!$T$7:$T$156,0)),""))</f>
        <v/>
      </c>
      <c r="U2666" s="1" t="str">
        <f>IF($T2666="","",$T2666&amp;"|"&amp;COUNTIFS($T$7:$T2666,$T2666))</f>
        <v/>
      </c>
      <c r="V2666" s="1">
        <f t="shared" si="126"/>
        <v>0</v>
      </c>
      <c r="W2666" s="1" t="str">
        <f t="shared" si="127"/>
        <v/>
      </c>
      <c r="X2666" s="1"/>
      <c r="Y2666" s="1"/>
      <c r="Z2666" s="1"/>
      <c r="AA2666" s="1"/>
      <c r="AB2666" s="1"/>
      <c r="AC2666" s="1"/>
      <c r="AD2666" s="1">
        <f>IF($C2666="",0,SUMPRODUCT((AY_SONU!$O$7:$O$42="Evet")*(AY_SONU!$B$7:$B$42=DATE(YEAR($C2666),MONTH($C2666),1))))</f>
        <v>0</v>
      </c>
      <c r="AE2666" s="1" t="str">
        <f>IF($E2666="","",$E2666&amp;"|"&amp;COUNTIFS($E$7:$E2666,$E2666))</f>
        <v/>
      </c>
    </row>
    <row r="2667" spans="1:31" ht="18" customHeight="1" x14ac:dyDescent="0.3">
      <c r="A2667" s="2"/>
      <c r="B2667" s="65" t="str">
        <f>IF($C2667="","","GG"&amp;TEXT(ROW()-6,"00000"))</f>
        <v/>
      </c>
      <c r="C2667" s="66"/>
      <c r="D2667" s="60"/>
      <c r="E2667" s="61"/>
      <c r="F2667" s="61"/>
      <c r="G2667" s="67"/>
      <c r="H2667" s="60"/>
      <c r="I2667" s="60"/>
      <c r="J2667" s="61"/>
      <c r="K2667" s="61"/>
      <c r="L2667" s="60"/>
      <c r="M2667" s="74" t="str">
        <f>IF($C2667="","",IF($D2667="Gider",$E2667,IF($L2667&lt;&gt;"",$L2667,$H2667)))</f>
        <v/>
      </c>
      <c r="N2667" s="74" t="str">
        <f>IF($C2667="","",IF($D2667="Gider",$H2667,$E2667))</f>
        <v/>
      </c>
      <c r="O2667" s="73" t="str">
        <f>IF($C2667="","",DATE(YEAR($C2667),MONTH($C2667),1))</f>
        <v/>
      </c>
      <c r="P2667" s="65" t="str">
        <f ca="1">IF($C2667="","",IF(AND($D2667="Gelir",$L2667&lt;&gt;"",$T2667=""),"TANIMSIZ BORÇLU",IF($T2667&lt;&gt;"",IF(OR($E2667="",$G2667&lt;=0),"EKSİK",IF($I2667="Evet","TAHAKKUK NAKİT OLAMAZ",IF($C2667&gt;TODAY(),"İLERİ TARİH","TAHAKKUK"))),IF(AND($D2667&lt;&gt;"",$E2667&lt;&gt;"",$G2667&gt;0,$H2667&lt;&gt;"",$I2667&lt;&gt;""),IF($C2667&gt;TODAY(),"İLERİ TARİH",IF(COUNTIF($W$7:$W$3001,$W2667)&gt;1,"MÜKERRER?",IF($AD2667&gt;0,"KAPALI DÖNEM",IF($I2667="Hayır","ÖDENECEK","UYGUN")))),"EKSİK"))))</f>
        <v/>
      </c>
      <c r="Q2667" s="2"/>
      <c r="R2667" s="2"/>
      <c r="S2667" s="1" t="str">
        <f t="shared" si="125"/>
        <v/>
      </c>
      <c r="T2667" s="1" t="str">
        <f>IF(OR($C2667="",$D2667&lt;&gt;"Gelir",$L2667=""),"",IFERROR(INDEX(MUSTERILER!$B$7:$B$156,MATCH($S2667,MUSTERILER!$T$7:$T$156,0)),""))</f>
        <v/>
      </c>
      <c r="U2667" s="1" t="str">
        <f>IF($T2667="","",$T2667&amp;"|"&amp;COUNTIFS($T$7:$T2667,$T2667))</f>
        <v/>
      </c>
      <c r="V2667" s="1">
        <f t="shared" si="126"/>
        <v>0</v>
      </c>
      <c r="W2667" s="1" t="str">
        <f t="shared" si="127"/>
        <v/>
      </c>
      <c r="X2667" s="1"/>
      <c r="Y2667" s="1"/>
      <c r="Z2667" s="1"/>
      <c r="AA2667" s="1"/>
      <c r="AB2667" s="1"/>
      <c r="AC2667" s="1"/>
      <c r="AD2667" s="1">
        <f>IF($C2667="",0,SUMPRODUCT((AY_SONU!$O$7:$O$42="Evet")*(AY_SONU!$B$7:$B$42=DATE(YEAR($C2667),MONTH($C2667),1))))</f>
        <v>0</v>
      </c>
      <c r="AE2667" s="1" t="str">
        <f>IF($E2667="","",$E2667&amp;"|"&amp;COUNTIFS($E$7:$E2667,$E2667))</f>
        <v/>
      </c>
    </row>
    <row r="2668" spans="1:31" ht="18" customHeight="1" x14ac:dyDescent="0.3">
      <c r="A2668" s="2"/>
      <c r="B2668" s="65" t="str">
        <f>IF($C2668="","","GG"&amp;TEXT(ROW()-6,"00000"))</f>
        <v/>
      </c>
      <c r="C2668" s="66"/>
      <c r="D2668" s="60"/>
      <c r="E2668" s="61"/>
      <c r="F2668" s="61"/>
      <c r="G2668" s="67"/>
      <c r="H2668" s="60"/>
      <c r="I2668" s="60"/>
      <c r="J2668" s="61"/>
      <c r="K2668" s="61"/>
      <c r="L2668" s="60"/>
      <c r="M2668" s="74" t="str">
        <f>IF($C2668="","",IF($D2668="Gider",$E2668,IF($L2668&lt;&gt;"",$L2668,$H2668)))</f>
        <v/>
      </c>
      <c r="N2668" s="74" t="str">
        <f>IF($C2668="","",IF($D2668="Gider",$H2668,$E2668))</f>
        <v/>
      </c>
      <c r="O2668" s="73" t="str">
        <f>IF($C2668="","",DATE(YEAR($C2668),MONTH($C2668),1))</f>
        <v/>
      </c>
      <c r="P2668" s="65" t="str">
        <f ca="1">IF($C2668="","",IF(AND($D2668="Gelir",$L2668&lt;&gt;"",$T2668=""),"TANIMSIZ BORÇLU",IF($T2668&lt;&gt;"",IF(OR($E2668="",$G2668&lt;=0),"EKSİK",IF($I2668="Evet","TAHAKKUK NAKİT OLAMAZ",IF($C2668&gt;TODAY(),"İLERİ TARİH","TAHAKKUK"))),IF(AND($D2668&lt;&gt;"",$E2668&lt;&gt;"",$G2668&gt;0,$H2668&lt;&gt;"",$I2668&lt;&gt;""),IF($C2668&gt;TODAY(),"İLERİ TARİH",IF(COUNTIF($W$7:$W$3001,$W2668)&gt;1,"MÜKERRER?",IF($AD2668&gt;0,"KAPALI DÖNEM",IF($I2668="Hayır","ÖDENECEK","UYGUN")))),"EKSİK"))))</f>
        <v/>
      </c>
      <c r="Q2668" s="2"/>
      <c r="R2668" s="2"/>
      <c r="S2668" s="1" t="str">
        <f t="shared" si="125"/>
        <v/>
      </c>
      <c r="T2668" s="1" t="str">
        <f>IF(OR($C2668="",$D2668&lt;&gt;"Gelir",$L2668=""),"",IFERROR(INDEX(MUSTERILER!$B$7:$B$156,MATCH($S2668,MUSTERILER!$T$7:$T$156,0)),""))</f>
        <v/>
      </c>
      <c r="U2668" s="1" t="str">
        <f>IF($T2668="","",$T2668&amp;"|"&amp;COUNTIFS($T$7:$T2668,$T2668))</f>
        <v/>
      </c>
      <c r="V2668" s="1">
        <f t="shared" si="126"/>
        <v>0</v>
      </c>
      <c r="W2668" s="1" t="str">
        <f t="shared" si="127"/>
        <v/>
      </c>
      <c r="X2668" s="1"/>
      <c r="Y2668" s="1"/>
      <c r="Z2668" s="1"/>
      <c r="AA2668" s="1"/>
      <c r="AB2668" s="1"/>
      <c r="AC2668" s="1"/>
      <c r="AD2668" s="1">
        <f>IF($C2668="",0,SUMPRODUCT((AY_SONU!$O$7:$O$42="Evet")*(AY_SONU!$B$7:$B$42=DATE(YEAR($C2668),MONTH($C2668),1))))</f>
        <v>0</v>
      </c>
      <c r="AE2668" s="1" t="str">
        <f>IF($E2668="","",$E2668&amp;"|"&amp;COUNTIFS($E$7:$E2668,$E2668))</f>
        <v/>
      </c>
    </row>
    <row r="2669" spans="1:31" ht="18" customHeight="1" x14ac:dyDescent="0.3">
      <c r="A2669" s="2"/>
      <c r="B2669" s="65" t="str">
        <f>IF($C2669="","","GG"&amp;TEXT(ROW()-6,"00000"))</f>
        <v/>
      </c>
      <c r="C2669" s="66"/>
      <c r="D2669" s="60"/>
      <c r="E2669" s="61"/>
      <c r="F2669" s="61"/>
      <c r="G2669" s="67"/>
      <c r="H2669" s="60"/>
      <c r="I2669" s="60"/>
      <c r="J2669" s="61"/>
      <c r="K2669" s="61"/>
      <c r="L2669" s="60"/>
      <c r="M2669" s="74" t="str">
        <f>IF($C2669="","",IF($D2669="Gider",$E2669,IF($L2669&lt;&gt;"",$L2669,$H2669)))</f>
        <v/>
      </c>
      <c r="N2669" s="74" t="str">
        <f>IF($C2669="","",IF($D2669="Gider",$H2669,$E2669))</f>
        <v/>
      </c>
      <c r="O2669" s="73" t="str">
        <f>IF($C2669="","",DATE(YEAR($C2669),MONTH($C2669),1))</f>
        <v/>
      </c>
      <c r="P2669" s="65" t="str">
        <f ca="1">IF($C2669="","",IF(AND($D2669="Gelir",$L2669&lt;&gt;"",$T2669=""),"TANIMSIZ BORÇLU",IF($T2669&lt;&gt;"",IF(OR($E2669="",$G2669&lt;=0),"EKSİK",IF($I2669="Evet","TAHAKKUK NAKİT OLAMAZ",IF($C2669&gt;TODAY(),"İLERİ TARİH","TAHAKKUK"))),IF(AND($D2669&lt;&gt;"",$E2669&lt;&gt;"",$G2669&gt;0,$H2669&lt;&gt;"",$I2669&lt;&gt;""),IF($C2669&gt;TODAY(),"İLERİ TARİH",IF(COUNTIF($W$7:$W$3001,$W2669)&gt;1,"MÜKERRER?",IF($AD2669&gt;0,"KAPALI DÖNEM",IF($I2669="Hayır","ÖDENECEK","UYGUN")))),"EKSİK"))))</f>
        <v/>
      </c>
      <c r="Q2669" s="2"/>
      <c r="R2669" s="2"/>
      <c r="S2669" s="1" t="str">
        <f t="shared" si="125"/>
        <v/>
      </c>
      <c r="T2669" s="1" t="str">
        <f>IF(OR($C2669="",$D2669&lt;&gt;"Gelir",$L2669=""),"",IFERROR(INDEX(MUSTERILER!$B$7:$B$156,MATCH($S2669,MUSTERILER!$T$7:$T$156,0)),""))</f>
        <v/>
      </c>
      <c r="U2669" s="1" t="str">
        <f>IF($T2669="","",$T2669&amp;"|"&amp;COUNTIFS($T$7:$T2669,$T2669))</f>
        <v/>
      </c>
      <c r="V2669" s="1">
        <f t="shared" si="126"/>
        <v>0</v>
      </c>
      <c r="W2669" s="1" t="str">
        <f t="shared" si="127"/>
        <v/>
      </c>
      <c r="X2669" s="1"/>
      <c r="Y2669" s="1"/>
      <c r="Z2669" s="1"/>
      <c r="AA2669" s="1"/>
      <c r="AB2669" s="1"/>
      <c r="AC2669" s="1"/>
      <c r="AD2669" s="1">
        <f>IF($C2669="",0,SUMPRODUCT((AY_SONU!$O$7:$O$42="Evet")*(AY_SONU!$B$7:$B$42=DATE(YEAR($C2669),MONTH($C2669),1))))</f>
        <v>0</v>
      </c>
      <c r="AE2669" s="1" t="str">
        <f>IF($E2669="","",$E2669&amp;"|"&amp;COUNTIFS($E$7:$E2669,$E2669))</f>
        <v/>
      </c>
    </row>
    <row r="2670" spans="1:31" ht="18" customHeight="1" x14ac:dyDescent="0.3">
      <c r="A2670" s="2"/>
      <c r="B2670" s="65" t="str">
        <f>IF($C2670="","","GG"&amp;TEXT(ROW()-6,"00000"))</f>
        <v/>
      </c>
      <c r="C2670" s="66"/>
      <c r="D2670" s="60"/>
      <c r="E2670" s="61"/>
      <c r="F2670" s="61"/>
      <c r="G2670" s="67"/>
      <c r="H2670" s="60"/>
      <c r="I2670" s="60"/>
      <c r="J2670" s="61"/>
      <c r="K2670" s="61"/>
      <c r="L2670" s="60"/>
      <c r="M2670" s="74" t="str">
        <f>IF($C2670="","",IF($D2670="Gider",$E2670,IF($L2670&lt;&gt;"",$L2670,$H2670)))</f>
        <v/>
      </c>
      <c r="N2670" s="74" t="str">
        <f>IF($C2670="","",IF($D2670="Gider",$H2670,$E2670))</f>
        <v/>
      </c>
      <c r="O2670" s="73" t="str">
        <f>IF($C2670="","",DATE(YEAR($C2670),MONTH($C2670),1))</f>
        <v/>
      </c>
      <c r="P2670" s="65" t="str">
        <f ca="1">IF($C2670="","",IF(AND($D2670="Gelir",$L2670&lt;&gt;"",$T2670=""),"TANIMSIZ BORÇLU",IF($T2670&lt;&gt;"",IF(OR($E2670="",$G2670&lt;=0),"EKSİK",IF($I2670="Evet","TAHAKKUK NAKİT OLAMAZ",IF($C2670&gt;TODAY(),"İLERİ TARİH","TAHAKKUK"))),IF(AND($D2670&lt;&gt;"",$E2670&lt;&gt;"",$G2670&gt;0,$H2670&lt;&gt;"",$I2670&lt;&gt;""),IF($C2670&gt;TODAY(),"İLERİ TARİH",IF(COUNTIF($W$7:$W$3001,$W2670)&gt;1,"MÜKERRER?",IF($AD2670&gt;0,"KAPALI DÖNEM",IF($I2670="Hayır","ÖDENECEK","UYGUN")))),"EKSİK"))))</f>
        <v/>
      </c>
      <c r="Q2670" s="2"/>
      <c r="R2670" s="2"/>
      <c r="S2670" s="1" t="str">
        <f t="shared" si="125"/>
        <v/>
      </c>
      <c r="T2670" s="1" t="str">
        <f>IF(OR($C2670="",$D2670&lt;&gt;"Gelir",$L2670=""),"",IFERROR(INDEX(MUSTERILER!$B$7:$B$156,MATCH($S2670,MUSTERILER!$T$7:$T$156,0)),""))</f>
        <v/>
      </c>
      <c r="U2670" s="1" t="str">
        <f>IF($T2670="","",$T2670&amp;"|"&amp;COUNTIFS($T$7:$T2670,$T2670))</f>
        <v/>
      </c>
      <c r="V2670" s="1">
        <f t="shared" si="126"/>
        <v>0</v>
      </c>
      <c r="W2670" s="1" t="str">
        <f t="shared" si="127"/>
        <v/>
      </c>
      <c r="X2670" s="1"/>
      <c r="Y2670" s="1"/>
      <c r="Z2670" s="1"/>
      <c r="AA2670" s="1"/>
      <c r="AB2670" s="1"/>
      <c r="AC2670" s="1"/>
      <c r="AD2670" s="1">
        <f>IF($C2670="",0,SUMPRODUCT((AY_SONU!$O$7:$O$42="Evet")*(AY_SONU!$B$7:$B$42=DATE(YEAR($C2670),MONTH($C2670),1))))</f>
        <v>0</v>
      </c>
      <c r="AE2670" s="1" t="str">
        <f>IF($E2670="","",$E2670&amp;"|"&amp;COUNTIFS($E$7:$E2670,$E2670))</f>
        <v/>
      </c>
    </row>
    <row r="2671" spans="1:31" ht="18" customHeight="1" x14ac:dyDescent="0.3">
      <c r="A2671" s="2"/>
      <c r="B2671" s="65" t="str">
        <f>IF($C2671="","","GG"&amp;TEXT(ROW()-6,"00000"))</f>
        <v/>
      </c>
      <c r="C2671" s="66"/>
      <c r="D2671" s="60"/>
      <c r="E2671" s="61"/>
      <c r="F2671" s="61"/>
      <c r="G2671" s="67"/>
      <c r="H2671" s="60"/>
      <c r="I2671" s="60"/>
      <c r="J2671" s="61"/>
      <c r="K2671" s="61"/>
      <c r="L2671" s="60"/>
      <c r="M2671" s="74" t="str">
        <f>IF($C2671="","",IF($D2671="Gider",$E2671,IF($L2671&lt;&gt;"",$L2671,$H2671)))</f>
        <v/>
      </c>
      <c r="N2671" s="74" t="str">
        <f>IF($C2671="","",IF($D2671="Gider",$H2671,$E2671))</f>
        <v/>
      </c>
      <c r="O2671" s="73" t="str">
        <f>IF($C2671="","",DATE(YEAR($C2671),MONTH($C2671),1))</f>
        <v/>
      </c>
      <c r="P2671" s="65" t="str">
        <f ca="1">IF($C2671="","",IF(AND($D2671="Gelir",$L2671&lt;&gt;"",$T2671=""),"TANIMSIZ BORÇLU",IF($T2671&lt;&gt;"",IF(OR($E2671="",$G2671&lt;=0),"EKSİK",IF($I2671="Evet","TAHAKKUK NAKİT OLAMAZ",IF($C2671&gt;TODAY(),"İLERİ TARİH","TAHAKKUK"))),IF(AND($D2671&lt;&gt;"",$E2671&lt;&gt;"",$G2671&gt;0,$H2671&lt;&gt;"",$I2671&lt;&gt;""),IF($C2671&gt;TODAY(),"İLERİ TARİH",IF(COUNTIF($W$7:$W$3001,$W2671)&gt;1,"MÜKERRER?",IF($AD2671&gt;0,"KAPALI DÖNEM",IF($I2671="Hayır","ÖDENECEK","UYGUN")))),"EKSİK"))))</f>
        <v/>
      </c>
      <c r="Q2671" s="2"/>
      <c r="R2671" s="2"/>
      <c r="S2671" s="1" t="str">
        <f t="shared" si="125"/>
        <v/>
      </c>
      <c r="T2671" s="1" t="str">
        <f>IF(OR($C2671="",$D2671&lt;&gt;"Gelir",$L2671=""),"",IFERROR(INDEX(MUSTERILER!$B$7:$B$156,MATCH($S2671,MUSTERILER!$T$7:$T$156,0)),""))</f>
        <v/>
      </c>
      <c r="U2671" s="1" t="str">
        <f>IF($T2671="","",$T2671&amp;"|"&amp;COUNTIFS($T$7:$T2671,$T2671))</f>
        <v/>
      </c>
      <c r="V2671" s="1">
        <f t="shared" si="126"/>
        <v>0</v>
      </c>
      <c r="W2671" s="1" t="str">
        <f t="shared" si="127"/>
        <v/>
      </c>
      <c r="X2671" s="1"/>
      <c r="Y2671" s="1"/>
      <c r="Z2671" s="1"/>
      <c r="AA2671" s="1"/>
      <c r="AB2671" s="1"/>
      <c r="AC2671" s="1"/>
      <c r="AD2671" s="1">
        <f>IF($C2671="",0,SUMPRODUCT((AY_SONU!$O$7:$O$42="Evet")*(AY_SONU!$B$7:$B$42=DATE(YEAR($C2671),MONTH($C2671),1))))</f>
        <v>0</v>
      </c>
      <c r="AE2671" s="1" t="str">
        <f>IF($E2671="","",$E2671&amp;"|"&amp;COUNTIFS($E$7:$E2671,$E2671))</f>
        <v/>
      </c>
    </row>
    <row r="2672" spans="1:31" ht="18" customHeight="1" x14ac:dyDescent="0.3">
      <c r="A2672" s="2"/>
      <c r="B2672" s="65" t="str">
        <f>IF($C2672="","","GG"&amp;TEXT(ROW()-6,"00000"))</f>
        <v/>
      </c>
      <c r="C2672" s="66"/>
      <c r="D2672" s="60"/>
      <c r="E2672" s="61"/>
      <c r="F2672" s="61"/>
      <c r="G2672" s="67"/>
      <c r="H2672" s="60"/>
      <c r="I2672" s="60"/>
      <c r="J2672" s="61"/>
      <c r="K2672" s="61"/>
      <c r="L2672" s="60"/>
      <c r="M2672" s="74" t="str">
        <f>IF($C2672="","",IF($D2672="Gider",$E2672,IF($L2672&lt;&gt;"",$L2672,$H2672)))</f>
        <v/>
      </c>
      <c r="N2672" s="74" t="str">
        <f>IF($C2672="","",IF($D2672="Gider",$H2672,$E2672))</f>
        <v/>
      </c>
      <c r="O2672" s="73" t="str">
        <f>IF($C2672="","",DATE(YEAR($C2672),MONTH($C2672),1))</f>
        <v/>
      </c>
      <c r="P2672" s="65" t="str">
        <f ca="1">IF($C2672="","",IF(AND($D2672="Gelir",$L2672&lt;&gt;"",$T2672=""),"TANIMSIZ BORÇLU",IF($T2672&lt;&gt;"",IF(OR($E2672="",$G2672&lt;=0),"EKSİK",IF($I2672="Evet","TAHAKKUK NAKİT OLAMAZ",IF($C2672&gt;TODAY(),"İLERİ TARİH","TAHAKKUK"))),IF(AND($D2672&lt;&gt;"",$E2672&lt;&gt;"",$G2672&gt;0,$H2672&lt;&gt;"",$I2672&lt;&gt;""),IF($C2672&gt;TODAY(),"İLERİ TARİH",IF(COUNTIF($W$7:$W$3001,$W2672)&gt;1,"MÜKERRER?",IF($AD2672&gt;0,"KAPALI DÖNEM",IF($I2672="Hayır","ÖDENECEK","UYGUN")))),"EKSİK"))))</f>
        <v/>
      </c>
      <c r="Q2672" s="2"/>
      <c r="R2672" s="2"/>
      <c r="S2672" s="1" t="str">
        <f t="shared" si="125"/>
        <v/>
      </c>
      <c r="T2672" s="1" t="str">
        <f>IF(OR($C2672="",$D2672&lt;&gt;"Gelir",$L2672=""),"",IFERROR(INDEX(MUSTERILER!$B$7:$B$156,MATCH($S2672,MUSTERILER!$T$7:$T$156,0)),""))</f>
        <v/>
      </c>
      <c r="U2672" s="1" t="str">
        <f>IF($T2672="","",$T2672&amp;"|"&amp;COUNTIFS($T$7:$T2672,$T2672))</f>
        <v/>
      </c>
      <c r="V2672" s="1">
        <f t="shared" si="126"/>
        <v>0</v>
      </c>
      <c r="W2672" s="1" t="str">
        <f t="shared" si="127"/>
        <v/>
      </c>
      <c r="X2672" s="1"/>
      <c r="Y2672" s="1"/>
      <c r="Z2672" s="1"/>
      <c r="AA2672" s="1"/>
      <c r="AB2672" s="1"/>
      <c r="AC2672" s="1"/>
      <c r="AD2672" s="1">
        <f>IF($C2672="",0,SUMPRODUCT((AY_SONU!$O$7:$O$42="Evet")*(AY_SONU!$B$7:$B$42=DATE(YEAR($C2672),MONTH($C2672),1))))</f>
        <v>0</v>
      </c>
      <c r="AE2672" s="1" t="str">
        <f>IF($E2672="","",$E2672&amp;"|"&amp;COUNTIFS($E$7:$E2672,$E2672))</f>
        <v/>
      </c>
    </row>
    <row r="2673" spans="1:31" ht="18" customHeight="1" x14ac:dyDescent="0.3">
      <c r="A2673" s="2"/>
      <c r="B2673" s="65" t="str">
        <f>IF($C2673="","","GG"&amp;TEXT(ROW()-6,"00000"))</f>
        <v/>
      </c>
      <c r="C2673" s="66"/>
      <c r="D2673" s="60"/>
      <c r="E2673" s="61"/>
      <c r="F2673" s="61"/>
      <c r="G2673" s="67"/>
      <c r="H2673" s="60"/>
      <c r="I2673" s="60"/>
      <c r="J2673" s="61"/>
      <c r="K2673" s="61"/>
      <c r="L2673" s="60"/>
      <c r="M2673" s="74" t="str">
        <f>IF($C2673="","",IF($D2673="Gider",$E2673,IF($L2673&lt;&gt;"",$L2673,$H2673)))</f>
        <v/>
      </c>
      <c r="N2673" s="74" t="str">
        <f>IF($C2673="","",IF($D2673="Gider",$H2673,$E2673))</f>
        <v/>
      </c>
      <c r="O2673" s="73" t="str">
        <f>IF($C2673="","",DATE(YEAR($C2673),MONTH($C2673),1))</f>
        <v/>
      </c>
      <c r="P2673" s="65" t="str">
        <f ca="1">IF($C2673="","",IF(AND($D2673="Gelir",$L2673&lt;&gt;"",$T2673=""),"TANIMSIZ BORÇLU",IF($T2673&lt;&gt;"",IF(OR($E2673="",$G2673&lt;=0),"EKSİK",IF($I2673="Evet","TAHAKKUK NAKİT OLAMAZ",IF($C2673&gt;TODAY(),"İLERİ TARİH","TAHAKKUK"))),IF(AND($D2673&lt;&gt;"",$E2673&lt;&gt;"",$G2673&gt;0,$H2673&lt;&gt;"",$I2673&lt;&gt;""),IF($C2673&gt;TODAY(),"İLERİ TARİH",IF(COUNTIF($W$7:$W$3001,$W2673)&gt;1,"MÜKERRER?",IF($AD2673&gt;0,"KAPALI DÖNEM",IF($I2673="Hayır","ÖDENECEK","UYGUN")))),"EKSİK"))))</f>
        <v/>
      </c>
      <c r="Q2673" s="2"/>
      <c r="R2673" s="2"/>
      <c r="S2673" s="1" t="str">
        <f t="shared" si="125"/>
        <v/>
      </c>
      <c r="T2673" s="1" t="str">
        <f>IF(OR($C2673="",$D2673&lt;&gt;"Gelir",$L2673=""),"",IFERROR(INDEX(MUSTERILER!$B$7:$B$156,MATCH($S2673,MUSTERILER!$T$7:$T$156,0)),""))</f>
        <v/>
      </c>
      <c r="U2673" s="1" t="str">
        <f>IF($T2673="","",$T2673&amp;"|"&amp;COUNTIFS($T$7:$T2673,$T2673))</f>
        <v/>
      </c>
      <c r="V2673" s="1">
        <f t="shared" si="126"/>
        <v>0</v>
      </c>
      <c r="W2673" s="1" t="str">
        <f t="shared" si="127"/>
        <v/>
      </c>
      <c r="X2673" s="1"/>
      <c r="Y2673" s="1"/>
      <c r="Z2673" s="1"/>
      <c r="AA2673" s="1"/>
      <c r="AB2673" s="1"/>
      <c r="AC2673" s="1"/>
      <c r="AD2673" s="1">
        <f>IF($C2673="",0,SUMPRODUCT((AY_SONU!$O$7:$O$42="Evet")*(AY_SONU!$B$7:$B$42=DATE(YEAR($C2673),MONTH($C2673),1))))</f>
        <v>0</v>
      </c>
      <c r="AE2673" s="1" t="str">
        <f>IF($E2673="","",$E2673&amp;"|"&amp;COUNTIFS($E$7:$E2673,$E2673))</f>
        <v/>
      </c>
    </row>
    <row r="2674" spans="1:31" ht="18" customHeight="1" x14ac:dyDescent="0.3">
      <c r="A2674" s="2"/>
      <c r="B2674" s="65" t="str">
        <f>IF($C2674="","","GG"&amp;TEXT(ROW()-6,"00000"))</f>
        <v/>
      </c>
      <c r="C2674" s="66"/>
      <c r="D2674" s="60"/>
      <c r="E2674" s="61"/>
      <c r="F2674" s="61"/>
      <c r="G2674" s="67"/>
      <c r="H2674" s="60"/>
      <c r="I2674" s="60"/>
      <c r="J2674" s="61"/>
      <c r="K2674" s="61"/>
      <c r="L2674" s="60"/>
      <c r="M2674" s="74" t="str">
        <f>IF($C2674="","",IF($D2674="Gider",$E2674,IF($L2674&lt;&gt;"",$L2674,$H2674)))</f>
        <v/>
      </c>
      <c r="N2674" s="74" t="str">
        <f>IF($C2674="","",IF($D2674="Gider",$H2674,$E2674))</f>
        <v/>
      </c>
      <c r="O2674" s="73" t="str">
        <f>IF($C2674="","",DATE(YEAR($C2674),MONTH($C2674),1))</f>
        <v/>
      </c>
      <c r="P2674" s="65" t="str">
        <f ca="1">IF($C2674="","",IF(AND($D2674="Gelir",$L2674&lt;&gt;"",$T2674=""),"TANIMSIZ BORÇLU",IF($T2674&lt;&gt;"",IF(OR($E2674="",$G2674&lt;=0),"EKSİK",IF($I2674="Evet","TAHAKKUK NAKİT OLAMAZ",IF($C2674&gt;TODAY(),"İLERİ TARİH","TAHAKKUK"))),IF(AND($D2674&lt;&gt;"",$E2674&lt;&gt;"",$G2674&gt;0,$H2674&lt;&gt;"",$I2674&lt;&gt;""),IF($C2674&gt;TODAY(),"İLERİ TARİH",IF(COUNTIF($W$7:$W$3001,$W2674)&gt;1,"MÜKERRER?",IF($AD2674&gt;0,"KAPALI DÖNEM",IF($I2674="Hayır","ÖDENECEK","UYGUN")))),"EKSİK"))))</f>
        <v/>
      </c>
      <c r="Q2674" s="2"/>
      <c r="R2674" s="2"/>
      <c r="S2674" s="1" t="str">
        <f t="shared" si="125"/>
        <v/>
      </c>
      <c r="T2674" s="1" t="str">
        <f>IF(OR($C2674="",$D2674&lt;&gt;"Gelir",$L2674=""),"",IFERROR(INDEX(MUSTERILER!$B$7:$B$156,MATCH($S2674,MUSTERILER!$T$7:$T$156,0)),""))</f>
        <v/>
      </c>
      <c r="U2674" s="1" t="str">
        <f>IF($T2674="","",$T2674&amp;"|"&amp;COUNTIFS($T$7:$T2674,$T2674))</f>
        <v/>
      </c>
      <c r="V2674" s="1">
        <f t="shared" si="126"/>
        <v>0</v>
      </c>
      <c r="W2674" s="1" t="str">
        <f t="shared" si="127"/>
        <v/>
      </c>
      <c r="X2674" s="1"/>
      <c r="Y2674" s="1"/>
      <c r="Z2674" s="1"/>
      <c r="AA2674" s="1"/>
      <c r="AB2674" s="1"/>
      <c r="AC2674" s="1"/>
      <c r="AD2674" s="1">
        <f>IF($C2674="",0,SUMPRODUCT((AY_SONU!$O$7:$O$42="Evet")*(AY_SONU!$B$7:$B$42=DATE(YEAR($C2674),MONTH($C2674),1))))</f>
        <v>0</v>
      </c>
      <c r="AE2674" s="1" t="str">
        <f>IF($E2674="","",$E2674&amp;"|"&amp;COUNTIFS($E$7:$E2674,$E2674))</f>
        <v/>
      </c>
    </row>
    <row r="2675" spans="1:31" ht="18" customHeight="1" x14ac:dyDescent="0.3">
      <c r="A2675" s="2"/>
      <c r="B2675" s="65" t="str">
        <f>IF($C2675="","","GG"&amp;TEXT(ROW()-6,"00000"))</f>
        <v/>
      </c>
      <c r="C2675" s="66"/>
      <c r="D2675" s="60"/>
      <c r="E2675" s="61"/>
      <c r="F2675" s="61"/>
      <c r="G2675" s="67"/>
      <c r="H2675" s="60"/>
      <c r="I2675" s="60"/>
      <c r="J2675" s="61"/>
      <c r="K2675" s="61"/>
      <c r="L2675" s="60"/>
      <c r="M2675" s="74" t="str">
        <f>IF($C2675="","",IF($D2675="Gider",$E2675,IF($L2675&lt;&gt;"",$L2675,$H2675)))</f>
        <v/>
      </c>
      <c r="N2675" s="74" t="str">
        <f>IF($C2675="","",IF($D2675="Gider",$H2675,$E2675))</f>
        <v/>
      </c>
      <c r="O2675" s="73" t="str">
        <f>IF($C2675="","",DATE(YEAR($C2675),MONTH($C2675),1))</f>
        <v/>
      </c>
      <c r="P2675" s="65" t="str">
        <f ca="1">IF($C2675="","",IF(AND($D2675="Gelir",$L2675&lt;&gt;"",$T2675=""),"TANIMSIZ BORÇLU",IF($T2675&lt;&gt;"",IF(OR($E2675="",$G2675&lt;=0),"EKSİK",IF($I2675="Evet","TAHAKKUK NAKİT OLAMAZ",IF($C2675&gt;TODAY(),"İLERİ TARİH","TAHAKKUK"))),IF(AND($D2675&lt;&gt;"",$E2675&lt;&gt;"",$G2675&gt;0,$H2675&lt;&gt;"",$I2675&lt;&gt;""),IF($C2675&gt;TODAY(),"İLERİ TARİH",IF(COUNTIF($W$7:$W$3001,$W2675)&gt;1,"MÜKERRER?",IF($AD2675&gt;0,"KAPALI DÖNEM",IF($I2675="Hayır","ÖDENECEK","UYGUN")))),"EKSİK"))))</f>
        <v/>
      </c>
      <c r="Q2675" s="2"/>
      <c r="R2675" s="2"/>
      <c r="S2675" s="1" t="str">
        <f t="shared" si="125"/>
        <v/>
      </c>
      <c r="T2675" s="1" t="str">
        <f>IF(OR($C2675="",$D2675&lt;&gt;"Gelir",$L2675=""),"",IFERROR(INDEX(MUSTERILER!$B$7:$B$156,MATCH($S2675,MUSTERILER!$T$7:$T$156,0)),""))</f>
        <v/>
      </c>
      <c r="U2675" s="1" t="str">
        <f>IF($T2675="","",$T2675&amp;"|"&amp;COUNTIFS($T$7:$T2675,$T2675))</f>
        <v/>
      </c>
      <c r="V2675" s="1">
        <f t="shared" si="126"/>
        <v>0</v>
      </c>
      <c r="W2675" s="1" t="str">
        <f t="shared" si="127"/>
        <v/>
      </c>
      <c r="X2675" s="1"/>
      <c r="Y2675" s="1"/>
      <c r="Z2675" s="1"/>
      <c r="AA2675" s="1"/>
      <c r="AB2675" s="1"/>
      <c r="AC2675" s="1"/>
      <c r="AD2675" s="1">
        <f>IF($C2675="",0,SUMPRODUCT((AY_SONU!$O$7:$O$42="Evet")*(AY_SONU!$B$7:$B$42=DATE(YEAR($C2675),MONTH($C2675),1))))</f>
        <v>0</v>
      </c>
      <c r="AE2675" s="1" t="str">
        <f>IF($E2675="","",$E2675&amp;"|"&amp;COUNTIFS($E$7:$E2675,$E2675))</f>
        <v/>
      </c>
    </row>
    <row r="2676" spans="1:31" ht="18" customHeight="1" x14ac:dyDescent="0.3">
      <c r="A2676" s="2"/>
      <c r="B2676" s="65" t="str">
        <f>IF($C2676="","","GG"&amp;TEXT(ROW()-6,"00000"))</f>
        <v/>
      </c>
      <c r="C2676" s="66"/>
      <c r="D2676" s="60"/>
      <c r="E2676" s="61"/>
      <c r="F2676" s="61"/>
      <c r="G2676" s="67"/>
      <c r="H2676" s="60"/>
      <c r="I2676" s="60"/>
      <c r="J2676" s="61"/>
      <c r="K2676" s="61"/>
      <c r="L2676" s="60"/>
      <c r="M2676" s="74" t="str">
        <f>IF($C2676="","",IF($D2676="Gider",$E2676,IF($L2676&lt;&gt;"",$L2676,$H2676)))</f>
        <v/>
      </c>
      <c r="N2676" s="74" t="str">
        <f>IF($C2676="","",IF($D2676="Gider",$H2676,$E2676))</f>
        <v/>
      </c>
      <c r="O2676" s="73" t="str">
        <f>IF($C2676="","",DATE(YEAR($C2676),MONTH($C2676),1))</f>
        <v/>
      </c>
      <c r="P2676" s="65" t="str">
        <f ca="1">IF($C2676="","",IF(AND($D2676="Gelir",$L2676&lt;&gt;"",$T2676=""),"TANIMSIZ BORÇLU",IF($T2676&lt;&gt;"",IF(OR($E2676="",$G2676&lt;=0),"EKSİK",IF($I2676="Evet","TAHAKKUK NAKİT OLAMAZ",IF($C2676&gt;TODAY(),"İLERİ TARİH","TAHAKKUK"))),IF(AND($D2676&lt;&gt;"",$E2676&lt;&gt;"",$G2676&gt;0,$H2676&lt;&gt;"",$I2676&lt;&gt;""),IF($C2676&gt;TODAY(),"İLERİ TARİH",IF(COUNTIF($W$7:$W$3001,$W2676)&gt;1,"MÜKERRER?",IF($AD2676&gt;0,"KAPALI DÖNEM",IF($I2676="Hayır","ÖDENECEK","UYGUN")))),"EKSİK"))))</f>
        <v/>
      </c>
      <c r="Q2676" s="2"/>
      <c r="R2676" s="2"/>
      <c r="S2676" s="1" t="str">
        <f t="shared" si="125"/>
        <v/>
      </c>
      <c r="T2676" s="1" t="str">
        <f>IF(OR($C2676="",$D2676&lt;&gt;"Gelir",$L2676=""),"",IFERROR(INDEX(MUSTERILER!$B$7:$B$156,MATCH($S2676,MUSTERILER!$T$7:$T$156,0)),""))</f>
        <v/>
      </c>
      <c r="U2676" s="1" t="str">
        <f>IF($T2676="","",$T2676&amp;"|"&amp;COUNTIFS($T$7:$T2676,$T2676))</f>
        <v/>
      </c>
      <c r="V2676" s="1">
        <f t="shared" si="126"/>
        <v>0</v>
      </c>
      <c r="W2676" s="1" t="str">
        <f t="shared" si="127"/>
        <v/>
      </c>
      <c r="X2676" s="1"/>
      <c r="Y2676" s="1"/>
      <c r="Z2676" s="1"/>
      <c r="AA2676" s="1"/>
      <c r="AB2676" s="1"/>
      <c r="AC2676" s="1"/>
      <c r="AD2676" s="1">
        <f>IF($C2676="",0,SUMPRODUCT((AY_SONU!$O$7:$O$42="Evet")*(AY_SONU!$B$7:$B$42=DATE(YEAR($C2676),MONTH($C2676),1))))</f>
        <v>0</v>
      </c>
      <c r="AE2676" s="1" t="str">
        <f>IF($E2676="","",$E2676&amp;"|"&amp;COUNTIFS($E$7:$E2676,$E2676))</f>
        <v/>
      </c>
    </row>
    <row r="2677" spans="1:31" ht="18" customHeight="1" x14ac:dyDescent="0.3">
      <c r="A2677" s="2"/>
      <c r="B2677" s="65" t="str">
        <f>IF($C2677="","","GG"&amp;TEXT(ROW()-6,"00000"))</f>
        <v/>
      </c>
      <c r="C2677" s="66"/>
      <c r="D2677" s="60"/>
      <c r="E2677" s="61"/>
      <c r="F2677" s="61"/>
      <c r="G2677" s="67"/>
      <c r="H2677" s="60"/>
      <c r="I2677" s="60"/>
      <c r="J2677" s="61"/>
      <c r="K2677" s="61"/>
      <c r="L2677" s="60"/>
      <c r="M2677" s="74" t="str">
        <f>IF($C2677="","",IF($D2677="Gider",$E2677,IF($L2677&lt;&gt;"",$L2677,$H2677)))</f>
        <v/>
      </c>
      <c r="N2677" s="74" t="str">
        <f>IF($C2677="","",IF($D2677="Gider",$H2677,$E2677))</f>
        <v/>
      </c>
      <c r="O2677" s="73" t="str">
        <f>IF($C2677="","",DATE(YEAR($C2677),MONTH($C2677),1))</f>
        <v/>
      </c>
      <c r="P2677" s="65" t="str">
        <f ca="1">IF($C2677="","",IF(AND($D2677="Gelir",$L2677&lt;&gt;"",$T2677=""),"TANIMSIZ BORÇLU",IF($T2677&lt;&gt;"",IF(OR($E2677="",$G2677&lt;=0),"EKSİK",IF($I2677="Evet","TAHAKKUK NAKİT OLAMAZ",IF($C2677&gt;TODAY(),"İLERİ TARİH","TAHAKKUK"))),IF(AND($D2677&lt;&gt;"",$E2677&lt;&gt;"",$G2677&gt;0,$H2677&lt;&gt;"",$I2677&lt;&gt;""),IF($C2677&gt;TODAY(),"İLERİ TARİH",IF(COUNTIF($W$7:$W$3001,$W2677)&gt;1,"MÜKERRER?",IF($AD2677&gt;0,"KAPALI DÖNEM",IF($I2677="Hayır","ÖDENECEK","UYGUN")))),"EKSİK"))))</f>
        <v/>
      </c>
      <c r="Q2677" s="2"/>
      <c r="R2677" s="2"/>
      <c r="S2677" s="1" t="str">
        <f t="shared" si="125"/>
        <v/>
      </c>
      <c r="T2677" s="1" t="str">
        <f>IF(OR($C2677="",$D2677&lt;&gt;"Gelir",$L2677=""),"",IFERROR(INDEX(MUSTERILER!$B$7:$B$156,MATCH($S2677,MUSTERILER!$T$7:$T$156,0)),""))</f>
        <v/>
      </c>
      <c r="U2677" s="1" t="str">
        <f>IF($T2677="","",$T2677&amp;"|"&amp;COUNTIFS($T$7:$T2677,$T2677))</f>
        <v/>
      </c>
      <c r="V2677" s="1">
        <f t="shared" si="126"/>
        <v>0</v>
      </c>
      <c r="W2677" s="1" t="str">
        <f t="shared" si="127"/>
        <v/>
      </c>
      <c r="X2677" s="1"/>
      <c r="Y2677" s="1"/>
      <c r="Z2677" s="1"/>
      <c r="AA2677" s="1"/>
      <c r="AB2677" s="1"/>
      <c r="AC2677" s="1"/>
      <c r="AD2677" s="1">
        <f>IF($C2677="",0,SUMPRODUCT((AY_SONU!$O$7:$O$42="Evet")*(AY_SONU!$B$7:$B$42=DATE(YEAR($C2677),MONTH($C2677),1))))</f>
        <v>0</v>
      </c>
      <c r="AE2677" s="1" t="str">
        <f>IF($E2677="","",$E2677&amp;"|"&amp;COUNTIFS($E$7:$E2677,$E2677))</f>
        <v/>
      </c>
    </row>
    <row r="2678" spans="1:31" ht="18" customHeight="1" x14ac:dyDescent="0.3">
      <c r="A2678" s="2"/>
      <c r="B2678" s="65" t="str">
        <f>IF($C2678="","","GG"&amp;TEXT(ROW()-6,"00000"))</f>
        <v/>
      </c>
      <c r="C2678" s="66"/>
      <c r="D2678" s="60"/>
      <c r="E2678" s="61"/>
      <c r="F2678" s="61"/>
      <c r="G2678" s="67"/>
      <c r="H2678" s="60"/>
      <c r="I2678" s="60"/>
      <c r="J2678" s="61"/>
      <c r="K2678" s="61"/>
      <c r="L2678" s="60"/>
      <c r="M2678" s="74" t="str">
        <f>IF($C2678="","",IF($D2678="Gider",$E2678,IF($L2678&lt;&gt;"",$L2678,$H2678)))</f>
        <v/>
      </c>
      <c r="N2678" s="74" t="str">
        <f>IF($C2678="","",IF($D2678="Gider",$H2678,$E2678))</f>
        <v/>
      </c>
      <c r="O2678" s="73" t="str">
        <f>IF($C2678="","",DATE(YEAR($C2678),MONTH($C2678),1))</f>
        <v/>
      </c>
      <c r="P2678" s="65" t="str">
        <f ca="1">IF($C2678="","",IF(AND($D2678="Gelir",$L2678&lt;&gt;"",$T2678=""),"TANIMSIZ BORÇLU",IF($T2678&lt;&gt;"",IF(OR($E2678="",$G2678&lt;=0),"EKSİK",IF($I2678="Evet","TAHAKKUK NAKİT OLAMAZ",IF($C2678&gt;TODAY(),"İLERİ TARİH","TAHAKKUK"))),IF(AND($D2678&lt;&gt;"",$E2678&lt;&gt;"",$G2678&gt;0,$H2678&lt;&gt;"",$I2678&lt;&gt;""),IF($C2678&gt;TODAY(),"İLERİ TARİH",IF(COUNTIF($W$7:$W$3001,$W2678)&gt;1,"MÜKERRER?",IF($AD2678&gt;0,"KAPALI DÖNEM",IF($I2678="Hayır","ÖDENECEK","UYGUN")))),"EKSİK"))))</f>
        <v/>
      </c>
      <c r="Q2678" s="2"/>
      <c r="R2678" s="2"/>
      <c r="S2678" s="1" t="str">
        <f t="shared" si="125"/>
        <v/>
      </c>
      <c r="T2678" s="1" t="str">
        <f>IF(OR($C2678="",$D2678&lt;&gt;"Gelir",$L2678=""),"",IFERROR(INDEX(MUSTERILER!$B$7:$B$156,MATCH($S2678,MUSTERILER!$T$7:$T$156,0)),""))</f>
        <v/>
      </c>
      <c r="U2678" s="1" t="str">
        <f>IF($T2678="","",$T2678&amp;"|"&amp;COUNTIFS($T$7:$T2678,$T2678))</f>
        <v/>
      </c>
      <c r="V2678" s="1">
        <f t="shared" si="126"/>
        <v>0</v>
      </c>
      <c r="W2678" s="1" t="str">
        <f t="shared" si="127"/>
        <v/>
      </c>
      <c r="X2678" s="1"/>
      <c r="Y2678" s="1"/>
      <c r="Z2678" s="1"/>
      <c r="AA2678" s="1"/>
      <c r="AB2678" s="1"/>
      <c r="AC2678" s="1"/>
      <c r="AD2678" s="1">
        <f>IF($C2678="",0,SUMPRODUCT((AY_SONU!$O$7:$O$42="Evet")*(AY_SONU!$B$7:$B$42=DATE(YEAR($C2678),MONTH($C2678),1))))</f>
        <v>0</v>
      </c>
      <c r="AE2678" s="1" t="str">
        <f>IF($E2678="","",$E2678&amp;"|"&amp;COUNTIFS($E$7:$E2678,$E2678))</f>
        <v/>
      </c>
    </row>
    <row r="2679" spans="1:31" ht="18" customHeight="1" x14ac:dyDescent="0.3">
      <c r="A2679" s="2"/>
      <c r="B2679" s="65" t="str">
        <f>IF($C2679="","","GG"&amp;TEXT(ROW()-6,"00000"))</f>
        <v/>
      </c>
      <c r="C2679" s="66"/>
      <c r="D2679" s="60"/>
      <c r="E2679" s="61"/>
      <c r="F2679" s="61"/>
      <c r="G2679" s="67"/>
      <c r="H2679" s="60"/>
      <c r="I2679" s="60"/>
      <c r="J2679" s="61"/>
      <c r="K2679" s="61"/>
      <c r="L2679" s="60"/>
      <c r="M2679" s="74" t="str">
        <f>IF($C2679="","",IF($D2679="Gider",$E2679,IF($L2679&lt;&gt;"",$L2679,$H2679)))</f>
        <v/>
      </c>
      <c r="N2679" s="74" t="str">
        <f>IF($C2679="","",IF($D2679="Gider",$H2679,$E2679))</f>
        <v/>
      </c>
      <c r="O2679" s="73" t="str">
        <f>IF($C2679="","",DATE(YEAR($C2679),MONTH($C2679),1))</f>
        <v/>
      </c>
      <c r="P2679" s="65" t="str">
        <f ca="1">IF($C2679="","",IF(AND($D2679="Gelir",$L2679&lt;&gt;"",$T2679=""),"TANIMSIZ BORÇLU",IF($T2679&lt;&gt;"",IF(OR($E2679="",$G2679&lt;=0),"EKSİK",IF($I2679="Evet","TAHAKKUK NAKİT OLAMAZ",IF($C2679&gt;TODAY(),"İLERİ TARİH","TAHAKKUK"))),IF(AND($D2679&lt;&gt;"",$E2679&lt;&gt;"",$G2679&gt;0,$H2679&lt;&gt;"",$I2679&lt;&gt;""),IF($C2679&gt;TODAY(),"İLERİ TARİH",IF(COUNTIF($W$7:$W$3001,$W2679)&gt;1,"MÜKERRER?",IF($AD2679&gt;0,"KAPALI DÖNEM",IF($I2679="Hayır","ÖDENECEK","UYGUN")))),"EKSİK"))))</f>
        <v/>
      </c>
      <c r="Q2679" s="2"/>
      <c r="R2679" s="2"/>
      <c r="S2679" s="1" t="str">
        <f t="shared" si="125"/>
        <v/>
      </c>
      <c r="T2679" s="1" t="str">
        <f>IF(OR($C2679="",$D2679&lt;&gt;"Gelir",$L2679=""),"",IFERROR(INDEX(MUSTERILER!$B$7:$B$156,MATCH($S2679,MUSTERILER!$T$7:$T$156,0)),""))</f>
        <v/>
      </c>
      <c r="U2679" s="1" t="str">
        <f>IF($T2679="","",$T2679&amp;"|"&amp;COUNTIFS($T$7:$T2679,$T2679))</f>
        <v/>
      </c>
      <c r="V2679" s="1">
        <f t="shared" si="126"/>
        <v>0</v>
      </c>
      <c r="W2679" s="1" t="str">
        <f t="shared" si="127"/>
        <v/>
      </c>
      <c r="X2679" s="1"/>
      <c r="Y2679" s="1"/>
      <c r="Z2679" s="1"/>
      <c r="AA2679" s="1"/>
      <c r="AB2679" s="1"/>
      <c r="AC2679" s="1"/>
      <c r="AD2679" s="1">
        <f>IF($C2679="",0,SUMPRODUCT((AY_SONU!$O$7:$O$42="Evet")*(AY_SONU!$B$7:$B$42=DATE(YEAR($C2679),MONTH($C2679),1))))</f>
        <v>0</v>
      </c>
      <c r="AE2679" s="1" t="str">
        <f>IF($E2679="","",$E2679&amp;"|"&amp;COUNTIFS($E$7:$E2679,$E2679))</f>
        <v/>
      </c>
    </row>
    <row r="2680" spans="1:31" ht="18" customHeight="1" x14ac:dyDescent="0.3">
      <c r="A2680" s="2"/>
      <c r="B2680" s="65" t="str">
        <f>IF($C2680="","","GG"&amp;TEXT(ROW()-6,"00000"))</f>
        <v/>
      </c>
      <c r="C2680" s="66"/>
      <c r="D2680" s="60"/>
      <c r="E2680" s="61"/>
      <c r="F2680" s="61"/>
      <c r="G2680" s="67"/>
      <c r="H2680" s="60"/>
      <c r="I2680" s="60"/>
      <c r="J2680" s="61"/>
      <c r="K2680" s="61"/>
      <c r="L2680" s="60"/>
      <c r="M2680" s="74" t="str">
        <f>IF($C2680="","",IF($D2680="Gider",$E2680,IF($L2680&lt;&gt;"",$L2680,$H2680)))</f>
        <v/>
      </c>
      <c r="N2680" s="74" t="str">
        <f>IF($C2680="","",IF($D2680="Gider",$H2680,$E2680))</f>
        <v/>
      </c>
      <c r="O2680" s="73" t="str">
        <f>IF($C2680="","",DATE(YEAR($C2680),MONTH($C2680),1))</f>
        <v/>
      </c>
      <c r="P2680" s="65" t="str">
        <f ca="1">IF($C2680="","",IF(AND($D2680="Gelir",$L2680&lt;&gt;"",$T2680=""),"TANIMSIZ BORÇLU",IF($T2680&lt;&gt;"",IF(OR($E2680="",$G2680&lt;=0),"EKSİK",IF($I2680="Evet","TAHAKKUK NAKİT OLAMAZ",IF($C2680&gt;TODAY(),"İLERİ TARİH","TAHAKKUK"))),IF(AND($D2680&lt;&gt;"",$E2680&lt;&gt;"",$G2680&gt;0,$H2680&lt;&gt;"",$I2680&lt;&gt;""),IF($C2680&gt;TODAY(),"İLERİ TARİH",IF(COUNTIF($W$7:$W$3001,$W2680)&gt;1,"MÜKERRER?",IF($AD2680&gt;0,"KAPALI DÖNEM",IF($I2680="Hayır","ÖDENECEK","UYGUN")))),"EKSİK"))))</f>
        <v/>
      </c>
      <c r="Q2680" s="2"/>
      <c r="R2680" s="2"/>
      <c r="S2680" s="1" t="str">
        <f t="shared" si="125"/>
        <v/>
      </c>
      <c r="T2680" s="1" t="str">
        <f>IF(OR($C2680="",$D2680&lt;&gt;"Gelir",$L2680=""),"",IFERROR(INDEX(MUSTERILER!$B$7:$B$156,MATCH($S2680,MUSTERILER!$T$7:$T$156,0)),""))</f>
        <v/>
      </c>
      <c r="U2680" s="1" t="str">
        <f>IF($T2680="","",$T2680&amp;"|"&amp;COUNTIFS($T$7:$T2680,$T2680))</f>
        <v/>
      </c>
      <c r="V2680" s="1">
        <f t="shared" si="126"/>
        <v>0</v>
      </c>
      <c r="W2680" s="1" t="str">
        <f t="shared" si="127"/>
        <v/>
      </c>
      <c r="X2680" s="1"/>
      <c r="Y2680" s="1"/>
      <c r="Z2680" s="1"/>
      <c r="AA2680" s="1"/>
      <c r="AB2680" s="1"/>
      <c r="AC2680" s="1"/>
      <c r="AD2680" s="1">
        <f>IF($C2680="",0,SUMPRODUCT((AY_SONU!$O$7:$O$42="Evet")*(AY_SONU!$B$7:$B$42=DATE(YEAR($C2680),MONTH($C2680),1))))</f>
        <v>0</v>
      </c>
      <c r="AE2680" s="1" t="str">
        <f>IF($E2680="","",$E2680&amp;"|"&amp;COUNTIFS($E$7:$E2680,$E2680))</f>
        <v/>
      </c>
    </row>
    <row r="2681" spans="1:31" ht="18" customHeight="1" x14ac:dyDescent="0.3">
      <c r="A2681" s="2"/>
      <c r="B2681" s="65" t="str">
        <f>IF($C2681="","","GG"&amp;TEXT(ROW()-6,"00000"))</f>
        <v/>
      </c>
      <c r="C2681" s="66"/>
      <c r="D2681" s="60"/>
      <c r="E2681" s="61"/>
      <c r="F2681" s="61"/>
      <c r="G2681" s="67"/>
      <c r="H2681" s="60"/>
      <c r="I2681" s="60"/>
      <c r="J2681" s="61"/>
      <c r="K2681" s="61"/>
      <c r="L2681" s="60"/>
      <c r="M2681" s="74" t="str">
        <f>IF($C2681="","",IF($D2681="Gider",$E2681,IF($L2681&lt;&gt;"",$L2681,$H2681)))</f>
        <v/>
      </c>
      <c r="N2681" s="74" t="str">
        <f>IF($C2681="","",IF($D2681="Gider",$H2681,$E2681))</f>
        <v/>
      </c>
      <c r="O2681" s="73" t="str">
        <f>IF($C2681="","",DATE(YEAR($C2681),MONTH($C2681),1))</f>
        <v/>
      </c>
      <c r="P2681" s="65" t="str">
        <f ca="1">IF($C2681="","",IF(AND($D2681="Gelir",$L2681&lt;&gt;"",$T2681=""),"TANIMSIZ BORÇLU",IF($T2681&lt;&gt;"",IF(OR($E2681="",$G2681&lt;=0),"EKSİK",IF($I2681="Evet","TAHAKKUK NAKİT OLAMAZ",IF($C2681&gt;TODAY(),"İLERİ TARİH","TAHAKKUK"))),IF(AND($D2681&lt;&gt;"",$E2681&lt;&gt;"",$G2681&gt;0,$H2681&lt;&gt;"",$I2681&lt;&gt;""),IF($C2681&gt;TODAY(),"İLERİ TARİH",IF(COUNTIF($W$7:$W$3001,$W2681)&gt;1,"MÜKERRER?",IF($AD2681&gt;0,"KAPALI DÖNEM",IF($I2681="Hayır","ÖDENECEK","UYGUN")))),"EKSİK"))))</f>
        <v/>
      </c>
      <c r="Q2681" s="2"/>
      <c r="R2681" s="2"/>
      <c r="S2681" s="1" t="str">
        <f t="shared" si="125"/>
        <v/>
      </c>
      <c r="T2681" s="1" t="str">
        <f>IF(OR($C2681="",$D2681&lt;&gt;"Gelir",$L2681=""),"",IFERROR(INDEX(MUSTERILER!$B$7:$B$156,MATCH($S2681,MUSTERILER!$T$7:$T$156,0)),""))</f>
        <v/>
      </c>
      <c r="U2681" s="1" t="str">
        <f>IF($T2681="","",$T2681&amp;"|"&amp;COUNTIFS($T$7:$T2681,$T2681))</f>
        <v/>
      </c>
      <c r="V2681" s="1">
        <f t="shared" si="126"/>
        <v>0</v>
      </c>
      <c r="W2681" s="1" t="str">
        <f t="shared" si="127"/>
        <v/>
      </c>
      <c r="X2681" s="1"/>
      <c r="Y2681" s="1"/>
      <c r="Z2681" s="1"/>
      <c r="AA2681" s="1"/>
      <c r="AB2681" s="1"/>
      <c r="AC2681" s="1"/>
      <c r="AD2681" s="1">
        <f>IF($C2681="",0,SUMPRODUCT((AY_SONU!$O$7:$O$42="Evet")*(AY_SONU!$B$7:$B$42=DATE(YEAR($C2681),MONTH($C2681),1))))</f>
        <v>0</v>
      </c>
      <c r="AE2681" s="1" t="str">
        <f>IF($E2681="","",$E2681&amp;"|"&amp;COUNTIFS($E$7:$E2681,$E2681))</f>
        <v/>
      </c>
    </row>
    <row r="2682" spans="1:31" ht="18" customHeight="1" x14ac:dyDescent="0.3">
      <c r="A2682" s="2"/>
      <c r="B2682" s="65" t="str">
        <f>IF($C2682="","","GG"&amp;TEXT(ROW()-6,"00000"))</f>
        <v/>
      </c>
      <c r="C2682" s="66"/>
      <c r="D2682" s="60"/>
      <c r="E2682" s="61"/>
      <c r="F2682" s="61"/>
      <c r="G2682" s="67"/>
      <c r="H2682" s="60"/>
      <c r="I2682" s="60"/>
      <c r="J2682" s="61"/>
      <c r="K2682" s="61"/>
      <c r="L2682" s="60"/>
      <c r="M2682" s="74" t="str">
        <f>IF($C2682="","",IF($D2682="Gider",$E2682,IF($L2682&lt;&gt;"",$L2682,$H2682)))</f>
        <v/>
      </c>
      <c r="N2682" s="74" t="str">
        <f>IF($C2682="","",IF($D2682="Gider",$H2682,$E2682))</f>
        <v/>
      </c>
      <c r="O2682" s="73" t="str">
        <f>IF($C2682="","",DATE(YEAR($C2682),MONTH($C2682),1))</f>
        <v/>
      </c>
      <c r="P2682" s="65" t="str">
        <f ca="1">IF($C2682="","",IF(AND($D2682="Gelir",$L2682&lt;&gt;"",$T2682=""),"TANIMSIZ BORÇLU",IF($T2682&lt;&gt;"",IF(OR($E2682="",$G2682&lt;=0),"EKSİK",IF($I2682="Evet","TAHAKKUK NAKİT OLAMAZ",IF($C2682&gt;TODAY(),"İLERİ TARİH","TAHAKKUK"))),IF(AND($D2682&lt;&gt;"",$E2682&lt;&gt;"",$G2682&gt;0,$H2682&lt;&gt;"",$I2682&lt;&gt;""),IF($C2682&gt;TODAY(),"İLERİ TARİH",IF(COUNTIF($W$7:$W$3001,$W2682)&gt;1,"MÜKERRER?",IF($AD2682&gt;0,"KAPALI DÖNEM",IF($I2682="Hayır","ÖDENECEK","UYGUN")))),"EKSİK"))))</f>
        <v/>
      </c>
      <c r="Q2682" s="2"/>
      <c r="R2682" s="2"/>
      <c r="S2682" s="1" t="str">
        <f t="shared" si="125"/>
        <v/>
      </c>
      <c r="T2682" s="1" t="str">
        <f>IF(OR($C2682="",$D2682&lt;&gt;"Gelir",$L2682=""),"",IFERROR(INDEX(MUSTERILER!$B$7:$B$156,MATCH($S2682,MUSTERILER!$T$7:$T$156,0)),""))</f>
        <v/>
      </c>
      <c r="U2682" s="1" t="str">
        <f>IF($T2682="","",$T2682&amp;"|"&amp;COUNTIFS($T$7:$T2682,$T2682))</f>
        <v/>
      </c>
      <c r="V2682" s="1">
        <f t="shared" si="126"/>
        <v>0</v>
      </c>
      <c r="W2682" s="1" t="str">
        <f t="shared" si="127"/>
        <v/>
      </c>
      <c r="X2682" s="1"/>
      <c r="Y2682" s="1"/>
      <c r="Z2682" s="1"/>
      <c r="AA2682" s="1"/>
      <c r="AB2682" s="1"/>
      <c r="AC2682" s="1"/>
      <c r="AD2682" s="1">
        <f>IF($C2682="",0,SUMPRODUCT((AY_SONU!$O$7:$O$42="Evet")*(AY_SONU!$B$7:$B$42=DATE(YEAR($C2682),MONTH($C2682),1))))</f>
        <v>0</v>
      </c>
      <c r="AE2682" s="1" t="str">
        <f>IF($E2682="","",$E2682&amp;"|"&amp;COUNTIFS($E$7:$E2682,$E2682))</f>
        <v/>
      </c>
    </row>
    <row r="2683" spans="1:31" ht="18" customHeight="1" x14ac:dyDescent="0.3">
      <c r="A2683" s="2"/>
      <c r="B2683" s="65" t="str">
        <f>IF($C2683="","","GG"&amp;TEXT(ROW()-6,"00000"))</f>
        <v/>
      </c>
      <c r="C2683" s="66"/>
      <c r="D2683" s="60"/>
      <c r="E2683" s="61"/>
      <c r="F2683" s="61"/>
      <c r="G2683" s="67"/>
      <c r="H2683" s="60"/>
      <c r="I2683" s="60"/>
      <c r="J2683" s="61"/>
      <c r="K2683" s="61"/>
      <c r="L2683" s="60"/>
      <c r="M2683" s="74" t="str">
        <f>IF($C2683="","",IF($D2683="Gider",$E2683,IF($L2683&lt;&gt;"",$L2683,$H2683)))</f>
        <v/>
      </c>
      <c r="N2683" s="74" t="str">
        <f>IF($C2683="","",IF($D2683="Gider",$H2683,$E2683))</f>
        <v/>
      </c>
      <c r="O2683" s="73" t="str">
        <f>IF($C2683="","",DATE(YEAR($C2683),MONTH($C2683),1))</f>
        <v/>
      </c>
      <c r="P2683" s="65" t="str">
        <f ca="1">IF($C2683="","",IF(AND($D2683="Gelir",$L2683&lt;&gt;"",$T2683=""),"TANIMSIZ BORÇLU",IF($T2683&lt;&gt;"",IF(OR($E2683="",$G2683&lt;=0),"EKSİK",IF($I2683="Evet","TAHAKKUK NAKİT OLAMAZ",IF($C2683&gt;TODAY(),"İLERİ TARİH","TAHAKKUK"))),IF(AND($D2683&lt;&gt;"",$E2683&lt;&gt;"",$G2683&gt;0,$H2683&lt;&gt;"",$I2683&lt;&gt;""),IF($C2683&gt;TODAY(),"İLERİ TARİH",IF(COUNTIF($W$7:$W$3001,$W2683)&gt;1,"MÜKERRER?",IF($AD2683&gt;0,"KAPALI DÖNEM",IF($I2683="Hayır","ÖDENECEK","UYGUN")))),"EKSİK"))))</f>
        <v/>
      </c>
      <c r="Q2683" s="2"/>
      <c r="R2683" s="2"/>
      <c r="S2683" s="1" t="str">
        <f t="shared" si="125"/>
        <v/>
      </c>
      <c r="T2683" s="1" t="str">
        <f>IF(OR($C2683="",$D2683&lt;&gt;"Gelir",$L2683=""),"",IFERROR(INDEX(MUSTERILER!$B$7:$B$156,MATCH($S2683,MUSTERILER!$T$7:$T$156,0)),""))</f>
        <v/>
      </c>
      <c r="U2683" s="1" t="str">
        <f>IF($T2683="","",$T2683&amp;"|"&amp;COUNTIFS($T$7:$T2683,$T2683))</f>
        <v/>
      </c>
      <c r="V2683" s="1">
        <f t="shared" si="126"/>
        <v>0</v>
      </c>
      <c r="W2683" s="1" t="str">
        <f t="shared" si="127"/>
        <v/>
      </c>
      <c r="X2683" s="1"/>
      <c r="Y2683" s="1"/>
      <c r="Z2683" s="1"/>
      <c r="AA2683" s="1"/>
      <c r="AB2683" s="1"/>
      <c r="AC2683" s="1"/>
      <c r="AD2683" s="1">
        <f>IF($C2683="",0,SUMPRODUCT((AY_SONU!$O$7:$O$42="Evet")*(AY_SONU!$B$7:$B$42=DATE(YEAR($C2683),MONTH($C2683),1))))</f>
        <v>0</v>
      </c>
      <c r="AE2683" s="1" t="str">
        <f>IF($E2683="","",$E2683&amp;"|"&amp;COUNTIFS($E$7:$E2683,$E2683))</f>
        <v/>
      </c>
    </row>
    <row r="2684" spans="1:31" ht="18" customHeight="1" x14ac:dyDescent="0.3">
      <c r="A2684" s="2"/>
      <c r="B2684" s="65" t="str">
        <f>IF($C2684="","","GG"&amp;TEXT(ROW()-6,"00000"))</f>
        <v/>
      </c>
      <c r="C2684" s="66"/>
      <c r="D2684" s="60"/>
      <c r="E2684" s="61"/>
      <c r="F2684" s="61"/>
      <c r="G2684" s="67"/>
      <c r="H2684" s="60"/>
      <c r="I2684" s="60"/>
      <c r="J2684" s="61"/>
      <c r="K2684" s="61"/>
      <c r="L2684" s="60"/>
      <c r="M2684" s="74" t="str">
        <f>IF($C2684="","",IF($D2684="Gider",$E2684,IF($L2684&lt;&gt;"",$L2684,$H2684)))</f>
        <v/>
      </c>
      <c r="N2684" s="74" t="str">
        <f>IF($C2684="","",IF($D2684="Gider",$H2684,$E2684))</f>
        <v/>
      </c>
      <c r="O2684" s="73" t="str">
        <f>IF($C2684="","",DATE(YEAR($C2684),MONTH($C2684),1))</f>
        <v/>
      </c>
      <c r="P2684" s="65" t="str">
        <f ca="1">IF($C2684="","",IF(AND($D2684="Gelir",$L2684&lt;&gt;"",$T2684=""),"TANIMSIZ BORÇLU",IF($T2684&lt;&gt;"",IF(OR($E2684="",$G2684&lt;=0),"EKSİK",IF($I2684="Evet","TAHAKKUK NAKİT OLAMAZ",IF($C2684&gt;TODAY(),"İLERİ TARİH","TAHAKKUK"))),IF(AND($D2684&lt;&gt;"",$E2684&lt;&gt;"",$G2684&gt;0,$H2684&lt;&gt;"",$I2684&lt;&gt;""),IF($C2684&gt;TODAY(),"İLERİ TARİH",IF(COUNTIF($W$7:$W$3001,$W2684)&gt;1,"MÜKERRER?",IF($AD2684&gt;0,"KAPALI DÖNEM",IF($I2684="Hayır","ÖDENECEK","UYGUN")))),"EKSİK"))))</f>
        <v/>
      </c>
      <c r="Q2684" s="2"/>
      <c r="R2684" s="2"/>
      <c r="S2684" s="1" t="str">
        <f t="shared" si="125"/>
        <v/>
      </c>
      <c r="T2684" s="1" t="str">
        <f>IF(OR($C2684="",$D2684&lt;&gt;"Gelir",$L2684=""),"",IFERROR(INDEX(MUSTERILER!$B$7:$B$156,MATCH($S2684,MUSTERILER!$T$7:$T$156,0)),""))</f>
        <v/>
      </c>
      <c r="U2684" s="1" t="str">
        <f>IF($T2684="","",$T2684&amp;"|"&amp;COUNTIFS($T$7:$T2684,$T2684))</f>
        <v/>
      </c>
      <c r="V2684" s="1">
        <f t="shared" si="126"/>
        <v>0</v>
      </c>
      <c r="W2684" s="1" t="str">
        <f t="shared" si="127"/>
        <v/>
      </c>
      <c r="X2684" s="1"/>
      <c r="Y2684" s="1"/>
      <c r="Z2684" s="1"/>
      <c r="AA2684" s="1"/>
      <c r="AB2684" s="1"/>
      <c r="AC2684" s="1"/>
      <c r="AD2684" s="1">
        <f>IF($C2684="",0,SUMPRODUCT((AY_SONU!$O$7:$O$42="Evet")*(AY_SONU!$B$7:$B$42=DATE(YEAR($C2684),MONTH($C2684),1))))</f>
        <v>0</v>
      </c>
      <c r="AE2684" s="1" t="str">
        <f>IF($E2684="","",$E2684&amp;"|"&amp;COUNTIFS($E$7:$E2684,$E2684))</f>
        <v/>
      </c>
    </row>
    <row r="2685" spans="1:31" ht="18" customHeight="1" x14ac:dyDescent="0.3">
      <c r="A2685" s="2"/>
      <c r="B2685" s="65" t="str">
        <f>IF($C2685="","","GG"&amp;TEXT(ROW()-6,"00000"))</f>
        <v/>
      </c>
      <c r="C2685" s="66"/>
      <c r="D2685" s="60"/>
      <c r="E2685" s="61"/>
      <c r="F2685" s="61"/>
      <c r="G2685" s="67"/>
      <c r="H2685" s="60"/>
      <c r="I2685" s="60"/>
      <c r="J2685" s="61"/>
      <c r="K2685" s="61"/>
      <c r="L2685" s="60"/>
      <c r="M2685" s="74" t="str">
        <f>IF($C2685="","",IF($D2685="Gider",$E2685,IF($L2685&lt;&gt;"",$L2685,$H2685)))</f>
        <v/>
      </c>
      <c r="N2685" s="74" t="str">
        <f>IF($C2685="","",IF($D2685="Gider",$H2685,$E2685))</f>
        <v/>
      </c>
      <c r="O2685" s="73" t="str">
        <f>IF($C2685="","",DATE(YEAR($C2685),MONTH($C2685),1))</f>
        <v/>
      </c>
      <c r="P2685" s="65" t="str">
        <f ca="1">IF($C2685="","",IF(AND($D2685="Gelir",$L2685&lt;&gt;"",$T2685=""),"TANIMSIZ BORÇLU",IF($T2685&lt;&gt;"",IF(OR($E2685="",$G2685&lt;=0),"EKSİK",IF($I2685="Evet","TAHAKKUK NAKİT OLAMAZ",IF($C2685&gt;TODAY(),"İLERİ TARİH","TAHAKKUK"))),IF(AND($D2685&lt;&gt;"",$E2685&lt;&gt;"",$G2685&gt;0,$H2685&lt;&gt;"",$I2685&lt;&gt;""),IF($C2685&gt;TODAY(),"İLERİ TARİH",IF(COUNTIF($W$7:$W$3001,$W2685)&gt;1,"MÜKERRER?",IF($AD2685&gt;0,"KAPALI DÖNEM",IF($I2685="Hayır","ÖDENECEK","UYGUN")))),"EKSİK"))))</f>
        <v/>
      </c>
      <c r="Q2685" s="2"/>
      <c r="R2685" s="2"/>
      <c r="S2685" s="1" t="str">
        <f t="shared" si="125"/>
        <v/>
      </c>
      <c r="T2685" s="1" t="str">
        <f>IF(OR($C2685="",$D2685&lt;&gt;"Gelir",$L2685=""),"",IFERROR(INDEX(MUSTERILER!$B$7:$B$156,MATCH($S2685,MUSTERILER!$T$7:$T$156,0)),""))</f>
        <v/>
      </c>
      <c r="U2685" s="1" t="str">
        <f>IF($T2685="","",$T2685&amp;"|"&amp;COUNTIFS($T$7:$T2685,$T2685))</f>
        <v/>
      </c>
      <c r="V2685" s="1">
        <f t="shared" si="126"/>
        <v>0</v>
      </c>
      <c r="W2685" s="1" t="str">
        <f t="shared" si="127"/>
        <v/>
      </c>
      <c r="X2685" s="1"/>
      <c r="Y2685" s="1"/>
      <c r="Z2685" s="1"/>
      <c r="AA2685" s="1"/>
      <c r="AB2685" s="1"/>
      <c r="AC2685" s="1"/>
      <c r="AD2685" s="1">
        <f>IF($C2685="",0,SUMPRODUCT((AY_SONU!$O$7:$O$42="Evet")*(AY_SONU!$B$7:$B$42=DATE(YEAR($C2685),MONTH($C2685),1))))</f>
        <v>0</v>
      </c>
      <c r="AE2685" s="1" t="str">
        <f>IF($E2685="","",$E2685&amp;"|"&amp;COUNTIFS($E$7:$E2685,$E2685))</f>
        <v/>
      </c>
    </row>
    <row r="2686" spans="1:31" ht="18" customHeight="1" x14ac:dyDescent="0.3">
      <c r="A2686" s="2"/>
      <c r="B2686" s="65" t="str">
        <f>IF($C2686="","","GG"&amp;TEXT(ROW()-6,"00000"))</f>
        <v/>
      </c>
      <c r="C2686" s="66"/>
      <c r="D2686" s="60"/>
      <c r="E2686" s="61"/>
      <c r="F2686" s="61"/>
      <c r="G2686" s="67"/>
      <c r="H2686" s="60"/>
      <c r="I2686" s="60"/>
      <c r="J2686" s="61"/>
      <c r="K2686" s="61"/>
      <c r="L2686" s="60"/>
      <c r="M2686" s="74" t="str">
        <f>IF($C2686="","",IF($D2686="Gider",$E2686,IF($L2686&lt;&gt;"",$L2686,$H2686)))</f>
        <v/>
      </c>
      <c r="N2686" s="74" t="str">
        <f>IF($C2686="","",IF($D2686="Gider",$H2686,$E2686))</f>
        <v/>
      </c>
      <c r="O2686" s="73" t="str">
        <f>IF($C2686="","",DATE(YEAR($C2686),MONTH($C2686),1))</f>
        <v/>
      </c>
      <c r="P2686" s="65" t="str">
        <f ca="1">IF($C2686="","",IF(AND($D2686="Gelir",$L2686&lt;&gt;"",$T2686=""),"TANIMSIZ BORÇLU",IF($T2686&lt;&gt;"",IF(OR($E2686="",$G2686&lt;=0),"EKSİK",IF($I2686="Evet","TAHAKKUK NAKİT OLAMAZ",IF($C2686&gt;TODAY(),"İLERİ TARİH","TAHAKKUK"))),IF(AND($D2686&lt;&gt;"",$E2686&lt;&gt;"",$G2686&gt;0,$H2686&lt;&gt;"",$I2686&lt;&gt;""),IF($C2686&gt;TODAY(),"İLERİ TARİH",IF(COUNTIF($W$7:$W$3001,$W2686)&gt;1,"MÜKERRER?",IF($AD2686&gt;0,"KAPALI DÖNEM",IF($I2686="Hayır","ÖDENECEK","UYGUN")))),"EKSİK"))))</f>
        <v/>
      </c>
      <c r="Q2686" s="2"/>
      <c r="R2686" s="2"/>
      <c r="S2686" s="1" t="str">
        <f t="shared" si="125"/>
        <v/>
      </c>
      <c r="T2686" s="1" t="str">
        <f>IF(OR($C2686="",$D2686&lt;&gt;"Gelir",$L2686=""),"",IFERROR(INDEX(MUSTERILER!$B$7:$B$156,MATCH($S2686,MUSTERILER!$T$7:$T$156,0)),""))</f>
        <v/>
      </c>
      <c r="U2686" s="1" t="str">
        <f>IF($T2686="","",$T2686&amp;"|"&amp;COUNTIFS($T$7:$T2686,$T2686))</f>
        <v/>
      </c>
      <c r="V2686" s="1">
        <f t="shared" si="126"/>
        <v>0</v>
      </c>
      <c r="W2686" s="1" t="str">
        <f t="shared" si="127"/>
        <v/>
      </c>
      <c r="X2686" s="1"/>
      <c r="Y2686" s="1"/>
      <c r="Z2686" s="1"/>
      <c r="AA2686" s="1"/>
      <c r="AB2686" s="1"/>
      <c r="AC2686" s="1"/>
      <c r="AD2686" s="1">
        <f>IF($C2686="",0,SUMPRODUCT((AY_SONU!$O$7:$O$42="Evet")*(AY_SONU!$B$7:$B$42=DATE(YEAR($C2686),MONTH($C2686),1))))</f>
        <v>0</v>
      </c>
      <c r="AE2686" s="1" t="str">
        <f>IF($E2686="","",$E2686&amp;"|"&amp;COUNTIFS($E$7:$E2686,$E2686))</f>
        <v/>
      </c>
    </row>
    <row r="2687" spans="1:31" ht="18" customHeight="1" x14ac:dyDescent="0.3">
      <c r="A2687" s="2"/>
      <c r="B2687" s="65" t="str">
        <f>IF($C2687="","","GG"&amp;TEXT(ROW()-6,"00000"))</f>
        <v/>
      </c>
      <c r="C2687" s="66"/>
      <c r="D2687" s="60"/>
      <c r="E2687" s="61"/>
      <c r="F2687" s="61"/>
      <c r="G2687" s="67"/>
      <c r="H2687" s="60"/>
      <c r="I2687" s="60"/>
      <c r="J2687" s="61"/>
      <c r="K2687" s="61"/>
      <c r="L2687" s="60"/>
      <c r="M2687" s="74" t="str">
        <f>IF($C2687="","",IF($D2687="Gider",$E2687,IF($L2687&lt;&gt;"",$L2687,$H2687)))</f>
        <v/>
      </c>
      <c r="N2687" s="74" t="str">
        <f>IF($C2687="","",IF($D2687="Gider",$H2687,$E2687))</f>
        <v/>
      </c>
      <c r="O2687" s="73" t="str">
        <f>IF($C2687="","",DATE(YEAR($C2687),MONTH($C2687),1))</f>
        <v/>
      </c>
      <c r="P2687" s="65" t="str">
        <f ca="1">IF($C2687="","",IF(AND($D2687="Gelir",$L2687&lt;&gt;"",$T2687=""),"TANIMSIZ BORÇLU",IF($T2687&lt;&gt;"",IF(OR($E2687="",$G2687&lt;=0),"EKSİK",IF($I2687="Evet","TAHAKKUK NAKİT OLAMAZ",IF($C2687&gt;TODAY(),"İLERİ TARİH","TAHAKKUK"))),IF(AND($D2687&lt;&gt;"",$E2687&lt;&gt;"",$G2687&gt;0,$H2687&lt;&gt;"",$I2687&lt;&gt;""),IF($C2687&gt;TODAY(),"İLERİ TARİH",IF(COUNTIF($W$7:$W$3001,$W2687)&gt;1,"MÜKERRER?",IF($AD2687&gt;0,"KAPALI DÖNEM",IF($I2687="Hayır","ÖDENECEK","UYGUN")))),"EKSİK"))))</f>
        <v/>
      </c>
      <c r="Q2687" s="2"/>
      <c r="R2687" s="2"/>
      <c r="S2687" s="1" t="str">
        <f t="shared" si="125"/>
        <v/>
      </c>
      <c r="T2687" s="1" t="str">
        <f>IF(OR($C2687="",$D2687&lt;&gt;"Gelir",$L2687=""),"",IFERROR(INDEX(MUSTERILER!$B$7:$B$156,MATCH($S2687,MUSTERILER!$T$7:$T$156,0)),""))</f>
        <v/>
      </c>
      <c r="U2687" s="1" t="str">
        <f>IF($T2687="","",$T2687&amp;"|"&amp;COUNTIFS($T$7:$T2687,$T2687))</f>
        <v/>
      </c>
      <c r="V2687" s="1">
        <f t="shared" si="126"/>
        <v>0</v>
      </c>
      <c r="W2687" s="1" t="str">
        <f t="shared" si="127"/>
        <v/>
      </c>
      <c r="X2687" s="1"/>
      <c r="Y2687" s="1"/>
      <c r="Z2687" s="1"/>
      <c r="AA2687" s="1"/>
      <c r="AB2687" s="1"/>
      <c r="AC2687" s="1"/>
      <c r="AD2687" s="1">
        <f>IF($C2687="",0,SUMPRODUCT((AY_SONU!$O$7:$O$42="Evet")*(AY_SONU!$B$7:$B$42=DATE(YEAR($C2687),MONTH($C2687),1))))</f>
        <v>0</v>
      </c>
      <c r="AE2687" s="1" t="str">
        <f>IF($E2687="","",$E2687&amp;"|"&amp;COUNTIFS($E$7:$E2687,$E2687))</f>
        <v/>
      </c>
    </row>
    <row r="2688" spans="1:31" ht="18" customHeight="1" x14ac:dyDescent="0.3">
      <c r="A2688" s="2"/>
      <c r="B2688" s="65" t="str">
        <f>IF($C2688="","","GG"&amp;TEXT(ROW()-6,"00000"))</f>
        <v/>
      </c>
      <c r="C2688" s="66"/>
      <c r="D2688" s="60"/>
      <c r="E2688" s="61"/>
      <c r="F2688" s="61"/>
      <c r="G2688" s="67"/>
      <c r="H2688" s="60"/>
      <c r="I2688" s="60"/>
      <c r="J2688" s="61"/>
      <c r="K2688" s="61"/>
      <c r="L2688" s="60"/>
      <c r="M2688" s="74" t="str">
        <f>IF($C2688="","",IF($D2688="Gider",$E2688,IF($L2688&lt;&gt;"",$L2688,$H2688)))</f>
        <v/>
      </c>
      <c r="N2688" s="74" t="str">
        <f>IF($C2688="","",IF($D2688="Gider",$H2688,$E2688))</f>
        <v/>
      </c>
      <c r="O2688" s="73" t="str">
        <f>IF($C2688="","",DATE(YEAR($C2688),MONTH($C2688),1))</f>
        <v/>
      </c>
      <c r="P2688" s="65" t="str">
        <f ca="1">IF($C2688="","",IF(AND($D2688="Gelir",$L2688&lt;&gt;"",$T2688=""),"TANIMSIZ BORÇLU",IF($T2688&lt;&gt;"",IF(OR($E2688="",$G2688&lt;=0),"EKSİK",IF($I2688="Evet","TAHAKKUK NAKİT OLAMAZ",IF($C2688&gt;TODAY(),"İLERİ TARİH","TAHAKKUK"))),IF(AND($D2688&lt;&gt;"",$E2688&lt;&gt;"",$G2688&gt;0,$H2688&lt;&gt;"",$I2688&lt;&gt;""),IF($C2688&gt;TODAY(),"İLERİ TARİH",IF(COUNTIF($W$7:$W$3001,$W2688)&gt;1,"MÜKERRER?",IF($AD2688&gt;0,"KAPALI DÖNEM",IF($I2688="Hayır","ÖDENECEK","UYGUN")))),"EKSİK"))))</f>
        <v/>
      </c>
      <c r="Q2688" s="2"/>
      <c r="R2688" s="2"/>
      <c r="S2688" s="1" t="str">
        <f t="shared" si="125"/>
        <v/>
      </c>
      <c r="T2688" s="1" t="str">
        <f>IF(OR($C2688="",$D2688&lt;&gt;"Gelir",$L2688=""),"",IFERROR(INDEX(MUSTERILER!$B$7:$B$156,MATCH($S2688,MUSTERILER!$T$7:$T$156,0)),""))</f>
        <v/>
      </c>
      <c r="U2688" s="1" t="str">
        <f>IF($T2688="","",$T2688&amp;"|"&amp;COUNTIFS($T$7:$T2688,$T2688))</f>
        <v/>
      </c>
      <c r="V2688" s="1">
        <f t="shared" si="126"/>
        <v>0</v>
      </c>
      <c r="W2688" s="1" t="str">
        <f t="shared" si="127"/>
        <v/>
      </c>
      <c r="X2688" s="1"/>
      <c r="Y2688" s="1"/>
      <c r="Z2688" s="1"/>
      <c r="AA2688" s="1"/>
      <c r="AB2688" s="1"/>
      <c r="AC2688" s="1"/>
      <c r="AD2688" s="1">
        <f>IF($C2688="",0,SUMPRODUCT((AY_SONU!$O$7:$O$42="Evet")*(AY_SONU!$B$7:$B$42=DATE(YEAR($C2688),MONTH($C2688),1))))</f>
        <v>0</v>
      </c>
      <c r="AE2688" s="1" t="str">
        <f>IF($E2688="","",$E2688&amp;"|"&amp;COUNTIFS($E$7:$E2688,$E2688))</f>
        <v/>
      </c>
    </row>
    <row r="2689" spans="1:31" ht="18" customHeight="1" x14ac:dyDescent="0.3">
      <c r="A2689" s="2"/>
      <c r="B2689" s="65" t="str">
        <f>IF($C2689="","","GG"&amp;TEXT(ROW()-6,"00000"))</f>
        <v/>
      </c>
      <c r="C2689" s="66"/>
      <c r="D2689" s="60"/>
      <c r="E2689" s="61"/>
      <c r="F2689" s="61"/>
      <c r="G2689" s="67"/>
      <c r="H2689" s="60"/>
      <c r="I2689" s="60"/>
      <c r="J2689" s="61"/>
      <c r="K2689" s="61"/>
      <c r="L2689" s="60"/>
      <c r="M2689" s="74" t="str">
        <f>IF($C2689="","",IF($D2689="Gider",$E2689,IF($L2689&lt;&gt;"",$L2689,$H2689)))</f>
        <v/>
      </c>
      <c r="N2689" s="74" t="str">
        <f>IF($C2689="","",IF($D2689="Gider",$H2689,$E2689))</f>
        <v/>
      </c>
      <c r="O2689" s="73" t="str">
        <f>IF($C2689="","",DATE(YEAR($C2689),MONTH($C2689),1))</f>
        <v/>
      </c>
      <c r="P2689" s="65" t="str">
        <f ca="1">IF($C2689="","",IF(AND($D2689="Gelir",$L2689&lt;&gt;"",$T2689=""),"TANIMSIZ BORÇLU",IF($T2689&lt;&gt;"",IF(OR($E2689="",$G2689&lt;=0),"EKSİK",IF($I2689="Evet","TAHAKKUK NAKİT OLAMAZ",IF($C2689&gt;TODAY(),"İLERİ TARİH","TAHAKKUK"))),IF(AND($D2689&lt;&gt;"",$E2689&lt;&gt;"",$G2689&gt;0,$H2689&lt;&gt;"",$I2689&lt;&gt;""),IF($C2689&gt;TODAY(),"İLERİ TARİH",IF(COUNTIF($W$7:$W$3001,$W2689)&gt;1,"MÜKERRER?",IF($AD2689&gt;0,"KAPALI DÖNEM",IF($I2689="Hayır","ÖDENECEK","UYGUN")))),"EKSİK"))))</f>
        <v/>
      </c>
      <c r="Q2689" s="2"/>
      <c r="R2689" s="2"/>
      <c r="S2689" s="1" t="str">
        <f t="shared" si="125"/>
        <v/>
      </c>
      <c r="T2689" s="1" t="str">
        <f>IF(OR($C2689="",$D2689&lt;&gt;"Gelir",$L2689=""),"",IFERROR(INDEX(MUSTERILER!$B$7:$B$156,MATCH($S2689,MUSTERILER!$T$7:$T$156,0)),""))</f>
        <v/>
      </c>
      <c r="U2689" s="1" t="str">
        <f>IF($T2689="","",$T2689&amp;"|"&amp;COUNTIFS($T$7:$T2689,$T2689))</f>
        <v/>
      </c>
      <c r="V2689" s="1">
        <f t="shared" si="126"/>
        <v>0</v>
      </c>
      <c r="W2689" s="1" t="str">
        <f t="shared" si="127"/>
        <v/>
      </c>
      <c r="X2689" s="1"/>
      <c r="Y2689" s="1"/>
      <c r="Z2689" s="1"/>
      <c r="AA2689" s="1"/>
      <c r="AB2689" s="1"/>
      <c r="AC2689" s="1"/>
      <c r="AD2689" s="1">
        <f>IF($C2689="",0,SUMPRODUCT((AY_SONU!$O$7:$O$42="Evet")*(AY_SONU!$B$7:$B$42=DATE(YEAR($C2689),MONTH($C2689),1))))</f>
        <v>0</v>
      </c>
      <c r="AE2689" s="1" t="str">
        <f>IF($E2689="","",$E2689&amp;"|"&amp;COUNTIFS($E$7:$E2689,$E2689))</f>
        <v/>
      </c>
    </row>
    <row r="2690" spans="1:31" ht="18" customHeight="1" x14ac:dyDescent="0.3">
      <c r="A2690" s="2"/>
      <c r="B2690" s="65" t="str">
        <f>IF($C2690="","","GG"&amp;TEXT(ROW()-6,"00000"))</f>
        <v/>
      </c>
      <c r="C2690" s="66"/>
      <c r="D2690" s="60"/>
      <c r="E2690" s="61"/>
      <c r="F2690" s="61"/>
      <c r="G2690" s="67"/>
      <c r="H2690" s="60"/>
      <c r="I2690" s="60"/>
      <c r="J2690" s="61"/>
      <c r="K2690" s="61"/>
      <c r="L2690" s="60"/>
      <c r="M2690" s="74" t="str">
        <f>IF($C2690="","",IF($D2690="Gider",$E2690,IF($L2690&lt;&gt;"",$L2690,$H2690)))</f>
        <v/>
      </c>
      <c r="N2690" s="74" t="str">
        <f>IF($C2690="","",IF($D2690="Gider",$H2690,$E2690))</f>
        <v/>
      </c>
      <c r="O2690" s="73" t="str">
        <f>IF($C2690="","",DATE(YEAR($C2690),MONTH($C2690),1))</f>
        <v/>
      </c>
      <c r="P2690" s="65" t="str">
        <f ca="1">IF($C2690="","",IF(AND($D2690="Gelir",$L2690&lt;&gt;"",$T2690=""),"TANIMSIZ BORÇLU",IF($T2690&lt;&gt;"",IF(OR($E2690="",$G2690&lt;=0),"EKSİK",IF($I2690="Evet","TAHAKKUK NAKİT OLAMAZ",IF($C2690&gt;TODAY(),"İLERİ TARİH","TAHAKKUK"))),IF(AND($D2690&lt;&gt;"",$E2690&lt;&gt;"",$G2690&gt;0,$H2690&lt;&gt;"",$I2690&lt;&gt;""),IF($C2690&gt;TODAY(),"İLERİ TARİH",IF(COUNTIF($W$7:$W$3001,$W2690)&gt;1,"MÜKERRER?",IF($AD2690&gt;0,"KAPALI DÖNEM",IF($I2690="Hayır","ÖDENECEK","UYGUN")))),"EKSİK"))))</f>
        <v/>
      </c>
      <c r="Q2690" s="2"/>
      <c r="R2690" s="2"/>
      <c r="S2690" s="1" t="str">
        <f t="shared" si="125"/>
        <v/>
      </c>
      <c r="T2690" s="1" t="str">
        <f>IF(OR($C2690="",$D2690&lt;&gt;"Gelir",$L2690=""),"",IFERROR(INDEX(MUSTERILER!$B$7:$B$156,MATCH($S2690,MUSTERILER!$T$7:$T$156,0)),""))</f>
        <v/>
      </c>
      <c r="U2690" s="1" t="str">
        <f>IF($T2690="","",$T2690&amp;"|"&amp;COUNTIFS($T$7:$T2690,$T2690))</f>
        <v/>
      </c>
      <c r="V2690" s="1">
        <f t="shared" si="126"/>
        <v>0</v>
      </c>
      <c r="W2690" s="1" t="str">
        <f t="shared" si="127"/>
        <v/>
      </c>
      <c r="X2690" s="1"/>
      <c r="Y2690" s="1"/>
      <c r="Z2690" s="1"/>
      <c r="AA2690" s="1"/>
      <c r="AB2690" s="1"/>
      <c r="AC2690" s="1"/>
      <c r="AD2690" s="1">
        <f>IF($C2690="",0,SUMPRODUCT((AY_SONU!$O$7:$O$42="Evet")*(AY_SONU!$B$7:$B$42=DATE(YEAR($C2690),MONTH($C2690),1))))</f>
        <v>0</v>
      </c>
      <c r="AE2690" s="1" t="str">
        <f>IF($E2690="","",$E2690&amp;"|"&amp;COUNTIFS($E$7:$E2690,$E2690))</f>
        <v/>
      </c>
    </row>
    <row r="2691" spans="1:31" ht="18" customHeight="1" x14ac:dyDescent="0.3">
      <c r="A2691" s="2"/>
      <c r="B2691" s="65" t="str">
        <f>IF($C2691="","","GG"&amp;TEXT(ROW()-6,"00000"))</f>
        <v/>
      </c>
      <c r="C2691" s="66"/>
      <c r="D2691" s="60"/>
      <c r="E2691" s="61"/>
      <c r="F2691" s="61"/>
      <c r="G2691" s="67"/>
      <c r="H2691" s="60"/>
      <c r="I2691" s="60"/>
      <c r="J2691" s="61"/>
      <c r="K2691" s="61"/>
      <c r="L2691" s="60"/>
      <c r="M2691" s="74" t="str">
        <f>IF($C2691="","",IF($D2691="Gider",$E2691,IF($L2691&lt;&gt;"",$L2691,$H2691)))</f>
        <v/>
      </c>
      <c r="N2691" s="74" t="str">
        <f>IF($C2691="","",IF($D2691="Gider",$H2691,$E2691))</f>
        <v/>
      </c>
      <c r="O2691" s="73" t="str">
        <f>IF($C2691="","",DATE(YEAR($C2691),MONTH($C2691),1))</f>
        <v/>
      </c>
      <c r="P2691" s="65" t="str">
        <f ca="1">IF($C2691="","",IF(AND($D2691="Gelir",$L2691&lt;&gt;"",$T2691=""),"TANIMSIZ BORÇLU",IF($T2691&lt;&gt;"",IF(OR($E2691="",$G2691&lt;=0),"EKSİK",IF($I2691="Evet","TAHAKKUK NAKİT OLAMAZ",IF($C2691&gt;TODAY(),"İLERİ TARİH","TAHAKKUK"))),IF(AND($D2691&lt;&gt;"",$E2691&lt;&gt;"",$G2691&gt;0,$H2691&lt;&gt;"",$I2691&lt;&gt;""),IF($C2691&gt;TODAY(),"İLERİ TARİH",IF(COUNTIF($W$7:$W$3001,$W2691)&gt;1,"MÜKERRER?",IF($AD2691&gt;0,"KAPALI DÖNEM",IF($I2691="Hayır","ÖDENECEK","UYGUN")))),"EKSİK"))))</f>
        <v/>
      </c>
      <c r="Q2691" s="2"/>
      <c r="R2691" s="2"/>
      <c r="S2691" s="1" t="str">
        <f t="shared" si="125"/>
        <v/>
      </c>
      <c r="T2691" s="1" t="str">
        <f>IF(OR($C2691="",$D2691&lt;&gt;"Gelir",$L2691=""),"",IFERROR(INDEX(MUSTERILER!$B$7:$B$156,MATCH($S2691,MUSTERILER!$T$7:$T$156,0)),""))</f>
        <v/>
      </c>
      <c r="U2691" s="1" t="str">
        <f>IF($T2691="","",$T2691&amp;"|"&amp;COUNTIFS($T$7:$T2691,$T2691))</f>
        <v/>
      </c>
      <c r="V2691" s="1">
        <f t="shared" si="126"/>
        <v>0</v>
      </c>
      <c r="W2691" s="1" t="str">
        <f t="shared" si="127"/>
        <v/>
      </c>
      <c r="X2691" s="1"/>
      <c r="Y2691" s="1"/>
      <c r="Z2691" s="1"/>
      <c r="AA2691" s="1"/>
      <c r="AB2691" s="1"/>
      <c r="AC2691" s="1"/>
      <c r="AD2691" s="1">
        <f>IF($C2691="",0,SUMPRODUCT((AY_SONU!$O$7:$O$42="Evet")*(AY_SONU!$B$7:$B$42=DATE(YEAR($C2691),MONTH($C2691),1))))</f>
        <v>0</v>
      </c>
      <c r="AE2691" s="1" t="str">
        <f>IF($E2691="","",$E2691&amp;"|"&amp;COUNTIFS($E$7:$E2691,$E2691))</f>
        <v/>
      </c>
    </row>
    <row r="2692" spans="1:31" ht="18" customHeight="1" x14ac:dyDescent="0.3">
      <c r="A2692" s="2"/>
      <c r="B2692" s="65" t="str">
        <f>IF($C2692="","","GG"&amp;TEXT(ROW()-6,"00000"))</f>
        <v/>
      </c>
      <c r="C2692" s="66"/>
      <c r="D2692" s="60"/>
      <c r="E2692" s="61"/>
      <c r="F2692" s="61"/>
      <c r="G2692" s="67"/>
      <c r="H2692" s="60"/>
      <c r="I2692" s="60"/>
      <c r="J2692" s="61"/>
      <c r="K2692" s="61"/>
      <c r="L2692" s="60"/>
      <c r="M2692" s="74" t="str">
        <f>IF($C2692="","",IF($D2692="Gider",$E2692,IF($L2692&lt;&gt;"",$L2692,$H2692)))</f>
        <v/>
      </c>
      <c r="N2692" s="74" t="str">
        <f>IF($C2692="","",IF($D2692="Gider",$H2692,$E2692))</f>
        <v/>
      </c>
      <c r="O2692" s="73" t="str">
        <f>IF($C2692="","",DATE(YEAR($C2692),MONTH($C2692),1))</f>
        <v/>
      </c>
      <c r="P2692" s="65" t="str">
        <f ca="1">IF($C2692="","",IF(AND($D2692="Gelir",$L2692&lt;&gt;"",$T2692=""),"TANIMSIZ BORÇLU",IF($T2692&lt;&gt;"",IF(OR($E2692="",$G2692&lt;=0),"EKSİK",IF($I2692="Evet","TAHAKKUK NAKİT OLAMAZ",IF($C2692&gt;TODAY(),"İLERİ TARİH","TAHAKKUK"))),IF(AND($D2692&lt;&gt;"",$E2692&lt;&gt;"",$G2692&gt;0,$H2692&lt;&gt;"",$I2692&lt;&gt;""),IF($C2692&gt;TODAY(),"İLERİ TARİH",IF(COUNTIF($W$7:$W$3001,$W2692)&gt;1,"MÜKERRER?",IF($AD2692&gt;0,"KAPALI DÖNEM",IF($I2692="Hayır","ÖDENECEK","UYGUN")))),"EKSİK"))))</f>
        <v/>
      </c>
      <c r="Q2692" s="2"/>
      <c r="R2692" s="2"/>
      <c r="S2692" s="1" t="str">
        <f t="shared" si="125"/>
        <v/>
      </c>
      <c r="T2692" s="1" t="str">
        <f>IF(OR($C2692="",$D2692&lt;&gt;"Gelir",$L2692=""),"",IFERROR(INDEX(MUSTERILER!$B$7:$B$156,MATCH($S2692,MUSTERILER!$T$7:$T$156,0)),""))</f>
        <v/>
      </c>
      <c r="U2692" s="1" t="str">
        <f>IF($T2692="","",$T2692&amp;"|"&amp;COUNTIFS($T$7:$T2692,$T2692))</f>
        <v/>
      </c>
      <c r="V2692" s="1">
        <f t="shared" si="126"/>
        <v>0</v>
      </c>
      <c r="W2692" s="1" t="str">
        <f t="shared" si="127"/>
        <v/>
      </c>
      <c r="X2692" s="1"/>
      <c r="Y2692" s="1"/>
      <c r="Z2692" s="1"/>
      <c r="AA2692" s="1"/>
      <c r="AB2692" s="1"/>
      <c r="AC2692" s="1"/>
      <c r="AD2692" s="1">
        <f>IF($C2692="",0,SUMPRODUCT((AY_SONU!$O$7:$O$42="Evet")*(AY_SONU!$B$7:$B$42=DATE(YEAR($C2692),MONTH($C2692),1))))</f>
        <v>0</v>
      </c>
      <c r="AE2692" s="1" t="str">
        <f>IF($E2692="","",$E2692&amp;"|"&amp;COUNTIFS($E$7:$E2692,$E2692))</f>
        <v/>
      </c>
    </row>
    <row r="2693" spans="1:31" ht="18" customHeight="1" x14ac:dyDescent="0.3">
      <c r="A2693" s="2"/>
      <c r="B2693" s="65" t="str">
        <f>IF($C2693="","","GG"&amp;TEXT(ROW()-6,"00000"))</f>
        <v/>
      </c>
      <c r="C2693" s="66"/>
      <c r="D2693" s="60"/>
      <c r="E2693" s="61"/>
      <c r="F2693" s="61"/>
      <c r="G2693" s="67"/>
      <c r="H2693" s="60"/>
      <c r="I2693" s="60"/>
      <c r="J2693" s="61"/>
      <c r="K2693" s="61"/>
      <c r="L2693" s="60"/>
      <c r="M2693" s="74" t="str">
        <f>IF($C2693="","",IF($D2693="Gider",$E2693,IF($L2693&lt;&gt;"",$L2693,$H2693)))</f>
        <v/>
      </c>
      <c r="N2693" s="74" t="str">
        <f>IF($C2693="","",IF($D2693="Gider",$H2693,$E2693))</f>
        <v/>
      </c>
      <c r="O2693" s="73" t="str">
        <f>IF($C2693="","",DATE(YEAR($C2693),MONTH($C2693),1))</f>
        <v/>
      </c>
      <c r="P2693" s="65" t="str">
        <f ca="1">IF($C2693="","",IF(AND($D2693="Gelir",$L2693&lt;&gt;"",$T2693=""),"TANIMSIZ BORÇLU",IF($T2693&lt;&gt;"",IF(OR($E2693="",$G2693&lt;=0),"EKSİK",IF($I2693="Evet","TAHAKKUK NAKİT OLAMAZ",IF($C2693&gt;TODAY(),"İLERİ TARİH","TAHAKKUK"))),IF(AND($D2693&lt;&gt;"",$E2693&lt;&gt;"",$G2693&gt;0,$H2693&lt;&gt;"",$I2693&lt;&gt;""),IF($C2693&gt;TODAY(),"İLERİ TARİH",IF(COUNTIF($W$7:$W$3001,$W2693)&gt;1,"MÜKERRER?",IF($AD2693&gt;0,"KAPALI DÖNEM",IF($I2693="Hayır","ÖDENECEK","UYGUN")))),"EKSİK"))))</f>
        <v/>
      </c>
      <c r="Q2693" s="2"/>
      <c r="R2693" s="2"/>
      <c r="S2693" s="1" t="str">
        <f t="shared" ref="S2693:S2756" si="128">IF($L2693="","",UPPER(SUBSTITUTE(SUBSTITUTE(SUBSTITUTE(SUBSTITUTE(SUBSTITUTE(SUBSTITUTE(SUBSTITUTE(SUBSTITUTE(SUBSTITUTE(SUBSTITUTE(SUBSTITUTE(SUBSTITUTE(SUBSTITUTE(SUBSTITUTE(SUBSTITUTE(SUBSTITUTE(SUBSTITUTE(SUBSTITUTE(TRIM($L2693),"'",""),"İ","I"),"ı","I"),"i","I"),"Ş","S"),"ş","S"),"Ğ","G"),"ğ","G"),"Ü","U"),"ü","U"),"Ö","O"),"ö","O"),"Ç","C"),"ç","C"),".",""),",","")," ",""),"-","")))</f>
        <v/>
      </c>
      <c r="T2693" s="1" t="str">
        <f>IF(OR($C2693="",$D2693&lt;&gt;"Gelir",$L2693=""),"",IFERROR(INDEX(MUSTERILER!$B$7:$B$156,MATCH($S2693,MUSTERILER!$T$7:$T$156,0)),""))</f>
        <v/>
      </c>
      <c r="U2693" s="1" t="str">
        <f>IF($T2693="","",$T2693&amp;"|"&amp;COUNTIFS($T$7:$T2693,$T2693))</f>
        <v/>
      </c>
      <c r="V2693" s="1">
        <f t="shared" ref="V2693:V2756" si="129">IF($T2693="",0,1)</f>
        <v>0</v>
      </c>
      <c r="W2693" s="1" t="str">
        <f t="shared" ref="W2693:W2756" si="130">IF($C2693="","",$D2693&amp;"|"&amp;$E2693&amp;"|"&amp;TEXT($C2693,"0")&amp;"|"&amp;TEXT($G2693,"0")&amp;"|"&amp;$F2693&amp;"|"&amp;$J2693)</f>
        <v/>
      </c>
      <c r="X2693" s="1"/>
      <c r="Y2693" s="1"/>
      <c r="Z2693" s="1"/>
      <c r="AA2693" s="1"/>
      <c r="AB2693" s="1"/>
      <c r="AC2693" s="1"/>
      <c r="AD2693" s="1">
        <f>IF($C2693="",0,SUMPRODUCT((AY_SONU!$O$7:$O$42="Evet")*(AY_SONU!$B$7:$B$42=DATE(YEAR($C2693),MONTH($C2693),1))))</f>
        <v>0</v>
      </c>
      <c r="AE2693" s="1" t="str">
        <f>IF($E2693="","",$E2693&amp;"|"&amp;COUNTIFS($E$7:$E2693,$E2693))</f>
        <v/>
      </c>
    </row>
    <row r="2694" spans="1:31" ht="18" customHeight="1" x14ac:dyDescent="0.3">
      <c r="A2694" s="2"/>
      <c r="B2694" s="65" t="str">
        <f>IF($C2694="","","GG"&amp;TEXT(ROW()-6,"00000"))</f>
        <v/>
      </c>
      <c r="C2694" s="66"/>
      <c r="D2694" s="60"/>
      <c r="E2694" s="61"/>
      <c r="F2694" s="61"/>
      <c r="G2694" s="67"/>
      <c r="H2694" s="60"/>
      <c r="I2694" s="60"/>
      <c r="J2694" s="61"/>
      <c r="K2694" s="61"/>
      <c r="L2694" s="60"/>
      <c r="M2694" s="74" t="str">
        <f>IF($C2694="","",IF($D2694="Gider",$E2694,IF($L2694&lt;&gt;"",$L2694,$H2694)))</f>
        <v/>
      </c>
      <c r="N2694" s="74" t="str">
        <f>IF($C2694="","",IF($D2694="Gider",$H2694,$E2694))</f>
        <v/>
      </c>
      <c r="O2694" s="73" t="str">
        <f>IF($C2694="","",DATE(YEAR($C2694),MONTH($C2694),1))</f>
        <v/>
      </c>
      <c r="P2694" s="65" t="str">
        <f ca="1">IF($C2694="","",IF(AND($D2694="Gelir",$L2694&lt;&gt;"",$T2694=""),"TANIMSIZ BORÇLU",IF($T2694&lt;&gt;"",IF(OR($E2694="",$G2694&lt;=0),"EKSİK",IF($I2694="Evet","TAHAKKUK NAKİT OLAMAZ",IF($C2694&gt;TODAY(),"İLERİ TARİH","TAHAKKUK"))),IF(AND($D2694&lt;&gt;"",$E2694&lt;&gt;"",$G2694&gt;0,$H2694&lt;&gt;"",$I2694&lt;&gt;""),IF($C2694&gt;TODAY(),"İLERİ TARİH",IF(COUNTIF($W$7:$W$3001,$W2694)&gt;1,"MÜKERRER?",IF($AD2694&gt;0,"KAPALI DÖNEM",IF($I2694="Hayır","ÖDENECEK","UYGUN")))),"EKSİK"))))</f>
        <v/>
      </c>
      <c r="Q2694" s="2"/>
      <c r="R2694" s="2"/>
      <c r="S2694" s="1" t="str">
        <f t="shared" si="128"/>
        <v/>
      </c>
      <c r="T2694" s="1" t="str">
        <f>IF(OR($C2694="",$D2694&lt;&gt;"Gelir",$L2694=""),"",IFERROR(INDEX(MUSTERILER!$B$7:$B$156,MATCH($S2694,MUSTERILER!$T$7:$T$156,0)),""))</f>
        <v/>
      </c>
      <c r="U2694" s="1" t="str">
        <f>IF($T2694="","",$T2694&amp;"|"&amp;COUNTIFS($T$7:$T2694,$T2694))</f>
        <v/>
      </c>
      <c r="V2694" s="1">
        <f t="shared" si="129"/>
        <v>0</v>
      </c>
      <c r="W2694" s="1" t="str">
        <f t="shared" si="130"/>
        <v/>
      </c>
      <c r="X2694" s="1"/>
      <c r="Y2694" s="1"/>
      <c r="Z2694" s="1"/>
      <c r="AA2694" s="1"/>
      <c r="AB2694" s="1"/>
      <c r="AC2694" s="1"/>
      <c r="AD2694" s="1">
        <f>IF($C2694="",0,SUMPRODUCT((AY_SONU!$O$7:$O$42="Evet")*(AY_SONU!$B$7:$B$42=DATE(YEAR($C2694),MONTH($C2694),1))))</f>
        <v>0</v>
      </c>
      <c r="AE2694" s="1" t="str">
        <f>IF($E2694="","",$E2694&amp;"|"&amp;COUNTIFS($E$7:$E2694,$E2694))</f>
        <v/>
      </c>
    </row>
    <row r="2695" spans="1:31" ht="18" customHeight="1" x14ac:dyDescent="0.3">
      <c r="A2695" s="2"/>
      <c r="B2695" s="65" t="str">
        <f>IF($C2695="","","GG"&amp;TEXT(ROW()-6,"00000"))</f>
        <v/>
      </c>
      <c r="C2695" s="66"/>
      <c r="D2695" s="60"/>
      <c r="E2695" s="61"/>
      <c r="F2695" s="61"/>
      <c r="G2695" s="67"/>
      <c r="H2695" s="60"/>
      <c r="I2695" s="60"/>
      <c r="J2695" s="61"/>
      <c r="K2695" s="61"/>
      <c r="L2695" s="60"/>
      <c r="M2695" s="74" t="str">
        <f>IF($C2695="","",IF($D2695="Gider",$E2695,IF($L2695&lt;&gt;"",$L2695,$H2695)))</f>
        <v/>
      </c>
      <c r="N2695" s="74" t="str">
        <f>IF($C2695="","",IF($D2695="Gider",$H2695,$E2695))</f>
        <v/>
      </c>
      <c r="O2695" s="73" t="str">
        <f>IF($C2695="","",DATE(YEAR($C2695),MONTH($C2695),1))</f>
        <v/>
      </c>
      <c r="P2695" s="65" t="str">
        <f ca="1"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TARİH",IF(COUNTIF($W$7:$W$3001,$W2695)&gt;1,"MÜKERRER?",IF($AD2695&gt;0,"KAPALI DÖNEM",IF($I2695="Hayır","ÖDENECEK","UYGUN")))),"EKSİK"))))</f>
        <v/>
      </c>
      <c r="Q2695" s="2"/>
      <c r="R2695" s="2"/>
      <c r="S2695" s="1" t="str">
        <f t="shared" si="128"/>
        <v/>
      </c>
      <c r="T2695" s="1" t="str">
        <f>IF(OR($C2695="",$D2695&lt;&gt;"Gelir",$L2695=""),"",IFERROR(INDEX(MUSTERILER!$B$7:$B$156,MATCH($S2695,MUSTERILER!$T$7:$T$156,0)),""))</f>
        <v/>
      </c>
      <c r="U2695" s="1" t="str">
        <f>IF($T2695="","",$T2695&amp;"|"&amp;COUNTIFS($T$7:$T2695,$T2695))</f>
        <v/>
      </c>
      <c r="V2695" s="1">
        <f t="shared" si="129"/>
        <v>0</v>
      </c>
      <c r="W2695" s="1" t="str">
        <f t="shared" si="130"/>
        <v/>
      </c>
      <c r="X2695" s="1"/>
      <c r="Y2695" s="1"/>
      <c r="Z2695" s="1"/>
      <c r="AA2695" s="1"/>
      <c r="AB2695" s="1"/>
      <c r="AC2695" s="1"/>
      <c r="AD2695" s="1">
        <f>IF($C2695="",0,SUMPRODUCT((AY_SONU!$O$7:$O$42="Evet")*(AY_SONU!$B$7:$B$42=DATE(YEAR($C2695),MONTH($C2695),1))))</f>
        <v>0</v>
      </c>
      <c r="AE2695" s="1" t="str">
        <f>IF($E2695="","",$E2695&amp;"|"&amp;COUNTIFS($E$7:$E2695,$E2695))</f>
        <v/>
      </c>
    </row>
    <row r="2696" spans="1:31" ht="18" customHeight="1" x14ac:dyDescent="0.3">
      <c r="A2696" s="2"/>
      <c r="B2696" s="65" t="str">
        <f>IF($C2696="","","GG"&amp;TEXT(ROW()-6,"00000"))</f>
        <v/>
      </c>
      <c r="C2696" s="66"/>
      <c r="D2696" s="60"/>
      <c r="E2696" s="61"/>
      <c r="F2696" s="61"/>
      <c r="G2696" s="67"/>
      <c r="H2696" s="60"/>
      <c r="I2696" s="60"/>
      <c r="J2696" s="61"/>
      <c r="K2696" s="61"/>
      <c r="L2696" s="60"/>
      <c r="M2696" s="74" t="str">
        <f>IF($C2696="","",IF($D2696="Gider",$E2696,IF($L2696&lt;&gt;"",$L2696,$H2696)))</f>
        <v/>
      </c>
      <c r="N2696" s="74" t="str">
        <f>IF($C2696="","",IF($D2696="Gider",$H2696,$E2696))</f>
        <v/>
      </c>
      <c r="O2696" s="73" t="str">
        <f>IF($C2696="","",DATE(YEAR($C2696),MONTH($C2696),1))</f>
        <v/>
      </c>
      <c r="P2696" s="65" t="str">
        <f ca="1">IF($C2696="","",IF(AND($D2696="Gelir",$L2696&lt;&gt;"",$T2696=""),"TANIMSIZ BORÇLU",IF($T2696&lt;&gt;"",IF(OR($E2696="",$G2696&lt;=0),"EKSİK",IF($I2696="Evet","TAHAKKUK NAKİT OLAMAZ",IF($C2696&gt;TODAY(),"İLERİ TARİH","TAHAKKUK"))),IF(AND($D2696&lt;&gt;"",$E2696&lt;&gt;"",$G2696&gt;0,$H2696&lt;&gt;"",$I2696&lt;&gt;""),IF($C2696&gt;TODAY(),"İLERİ TARİH",IF(COUNTIF($W$7:$W$3001,$W2696)&gt;1,"MÜKERRER?",IF($AD2696&gt;0,"KAPALI DÖNEM",IF($I2696="Hayır","ÖDENECEK","UYGUN")))),"EKSİK"))))</f>
        <v/>
      </c>
      <c r="Q2696" s="2"/>
      <c r="R2696" s="2"/>
      <c r="S2696" s="1" t="str">
        <f t="shared" si="128"/>
        <v/>
      </c>
      <c r="T2696" s="1" t="str">
        <f>IF(OR($C2696="",$D2696&lt;&gt;"Gelir",$L2696=""),"",IFERROR(INDEX(MUSTERILER!$B$7:$B$156,MATCH($S2696,MUSTERILER!$T$7:$T$156,0)),""))</f>
        <v/>
      </c>
      <c r="U2696" s="1" t="str">
        <f>IF($T2696="","",$T2696&amp;"|"&amp;COUNTIFS($T$7:$T2696,$T2696))</f>
        <v/>
      </c>
      <c r="V2696" s="1">
        <f t="shared" si="129"/>
        <v>0</v>
      </c>
      <c r="W2696" s="1" t="str">
        <f t="shared" si="130"/>
        <v/>
      </c>
      <c r="X2696" s="1"/>
      <c r="Y2696" s="1"/>
      <c r="Z2696" s="1"/>
      <c r="AA2696" s="1"/>
      <c r="AB2696" s="1"/>
      <c r="AC2696" s="1"/>
      <c r="AD2696" s="1">
        <f>IF($C2696="",0,SUMPRODUCT((AY_SONU!$O$7:$O$42="Evet")*(AY_SONU!$B$7:$B$42=DATE(YEAR($C2696),MONTH($C2696),1))))</f>
        <v>0</v>
      </c>
      <c r="AE2696" s="1" t="str">
        <f>IF($E2696="","",$E2696&amp;"|"&amp;COUNTIFS($E$7:$E2696,$E2696))</f>
        <v/>
      </c>
    </row>
    <row r="2697" spans="1:31" ht="18" customHeight="1" x14ac:dyDescent="0.3">
      <c r="A2697" s="2"/>
      <c r="B2697" s="65" t="str">
        <f>IF($C2697="","","GG"&amp;TEXT(ROW()-6,"00000"))</f>
        <v/>
      </c>
      <c r="C2697" s="66"/>
      <c r="D2697" s="60"/>
      <c r="E2697" s="61"/>
      <c r="F2697" s="61"/>
      <c r="G2697" s="67"/>
      <c r="H2697" s="60"/>
      <c r="I2697" s="60"/>
      <c r="J2697" s="61"/>
      <c r="K2697" s="61"/>
      <c r="L2697" s="60"/>
      <c r="M2697" s="74" t="str">
        <f>IF($C2697="","",IF($D2697="Gider",$E2697,IF($L2697&lt;&gt;"",$L2697,$H2697)))</f>
        <v/>
      </c>
      <c r="N2697" s="74" t="str">
        <f>IF($C2697="","",IF($D2697="Gider",$H2697,$E2697))</f>
        <v/>
      </c>
      <c r="O2697" s="73" t="str">
        <f>IF($C2697="","",DATE(YEAR($C2697),MONTH($C2697),1))</f>
        <v/>
      </c>
      <c r="P2697" s="65" t="str">
        <f ca="1">IF($C2697="","",IF(AND($D2697="Gelir",$L2697&lt;&gt;"",$T2697=""),"TANIMSIZ BORÇLU",IF($T2697&lt;&gt;"",IF(OR($E2697="",$G2697&lt;=0),"EKSİK",IF($I2697="Evet","TAHAKKUK NAKİT OLAMAZ",IF($C2697&gt;TODAY(),"İLERİ TARİH","TAHAKKUK"))),IF(AND($D2697&lt;&gt;"",$E2697&lt;&gt;"",$G2697&gt;0,$H2697&lt;&gt;"",$I2697&lt;&gt;""),IF($C2697&gt;TODAY(),"İLERİ TARİH",IF(COUNTIF($W$7:$W$3001,$W2697)&gt;1,"MÜKERRER?",IF($AD2697&gt;0,"KAPALI DÖNEM",IF($I2697="Hayır","ÖDENECEK","UYGUN")))),"EKSİK"))))</f>
        <v/>
      </c>
      <c r="Q2697" s="2"/>
      <c r="R2697" s="2"/>
      <c r="S2697" s="1" t="str">
        <f t="shared" si="128"/>
        <v/>
      </c>
      <c r="T2697" s="1" t="str">
        <f>IF(OR($C2697="",$D2697&lt;&gt;"Gelir",$L2697=""),"",IFERROR(INDEX(MUSTERILER!$B$7:$B$156,MATCH($S2697,MUSTERILER!$T$7:$T$156,0)),""))</f>
        <v/>
      </c>
      <c r="U2697" s="1" t="str">
        <f>IF($T2697="","",$T2697&amp;"|"&amp;COUNTIFS($T$7:$T2697,$T2697))</f>
        <v/>
      </c>
      <c r="V2697" s="1">
        <f t="shared" si="129"/>
        <v>0</v>
      </c>
      <c r="W2697" s="1" t="str">
        <f t="shared" si="130"/>
        <v/>
      </c>
      <c r="X2697" s="1"/>
      <c r="Y2697" s="1"/>
      <c r="Z2697" s="1"/>
      <c r="AA2697" s="1"/>
      <c r="AB2697" s="1"/>
      <c r="AC2697" s="1"/>
      <c r="AD2697" s="1">
        <f>IF($C2697="",0,SUMPRODUCT((AY_SONU!$O$7:$O$42="Evet")*(AY_SONU!$B$7:$B$42=DATE(YEAR($C2697),MONTH($C2697),1))))</f>
        <v>0</v>
      </c>
      <c r="AE2697" s="1" t="str">
        <f>IF($E2697="","",$E2697&amp;"|"&amp;COUNTIFS($E$7:$E2697,$E2697))</f>
        <v/>
      </c>
    </row>
    <row r="2698" spans="1:31" ht="18" customHeight="1" x14ac:dyDescent="0.3">
      <c r="A2698" s="2"/>
      <c r="B2698" s="65" t="str">
        <f>IF($C2698="","","GG"&amp;TEXT(ROW()-6,"00000"))</f>
        <v/>
      </c>
      <c r="C2698" s="66"/>
      <c r="D2698" s="60"/>
      <c r="E2698" s="61"/>
      <c r="F2698" s="61"/>
      <c r="G2698" s="67"/>
      <c r="H2698" s="60"/>
      <c r="I2698" s="60"/>
      <c r="J2698" s="61"/>
      <c r="K2698" s="61"/>
      <c r="L2698" s="60"/>
      <c r="M2698" s="74" t="str">
        <f>IF($C2698="","",IF($D2698="Gider",$E2698,IF($L2698&lt;&gt;"",$L2698,$H2698)))</f>
        <v/>
      </c>
      <c r="N2698" s="74" t="str">
        <f>IF($C2698="","",IF($D2698="Gider",$H2698,$E2698))</f>
        <v/>
      </c>
      <c r="O2698" s="73" t="str">
        <f>IF($C2698="","",DATE(YEAR($C2698),MONTH($C2698),1))</f>
        <v/>
      </c>
      <c r="P2698" s="65" t="str">
        <f ca="1">IF($C2698="","",IF(AND($D2698="Gelir",$L2698&lt;&gt;"",$T2698=""),"TANIMSIZ BORÇLU",IF($T2698&lt;&gt;"",IF(OR($E2698="",$G2698&lt;=0),"EKSİK",IF($I2698="Evet","TAHAKKUK NAKİT OLAMAZ",IF($C2698&gt;TODAY(),"İLERİ TARİH","TAHAKKUK"))),IF(AND($D2698&lt;&gt;"",$E2698&lt;&gt;"",$G2698&gt;0,$H2698&lt;&gt;"",$I2698&lt;&gt;""),IF($C2698&gt;TODAY(),"İLERİ TARİH",IF(COUNTIF($W$7:$W$3001,$W2698)&gt;1,"MÜKERRER?",IF($AD2698&gt;0,"KAPALI DÖNEM",IF($I2698="Hayır","ÖDENECEK","UYGUN")))),"EKSİK"))))</f>
        <v/>
      </c>
      <c r="Q2698" s="2"/>
      <c r="R2698" s="2"/>
      <c r="S2698" s="1" t="str">
        <f t="shared" si="128"/>
        <v/>
      </c>
      <c r="T2698" s="1" t="str">
        <f>IF(OR($C2698="",$D2698&lt;&gt;"Gelir",$L2698=""),"",IFERROR(INDEX(MUSTERILER!$B$7:$B$156,MATCH($S2698,MUSTERILER!$T$7:$T$156,0)),""))</f>
        <v/>
      </c>
      <c r="U2698" s="1" t="str">
        <f>IF($T2698="","",$T2698&amp;"|"&amp;COUNTIFS($T$7:$T2698,$T2698))</f>
        <v/>
      </c>
      <c r="V2698" s="1">
        <f t="shared" si="129"/>
        <v>0</v>
      </c>
      <c r="W2698" s="1" t="str">
        <f t="shared" si="130"/>
        <v/>
      </c>
      <c r="X2698" s="1"/>
      <c r="Y2698" s="1"/>
      <c r="Z2698" s="1"/>
      <c r="AA2698" s="1"/>
      <c r="AB2698" s="1"/>
      <c r="AC2698" s="1"/>
      <c r="AD2698" s="1">
        <f>IF($C2698="",0,SUMPRODUCT((AY_SONU!$O$7:$O$42="Evet")*(AY_SONU!$B$7:$B$42=DATE(YEAR($C2698),MONTH($C2698),1))))</f>
        <v>0</v>
      </c>
      <c r="AE2698" s="1" t="str">
        <f>IF($E2698="","",$E2698&amp;"|"&amp;COUNTIFS($E$7:$E2698,$E2698))</f>
        <v/>
      </c>
    </row>
    <row r="2699" spans="1:31" ht="18" customHeight="1" x14ac:dyDescent="0.3">
      <c r="A2699" s="2"/>
      <c r="B2699" s="65" t="str">
        <f>IF($C2699="","","GG"&amp;TEXT(ROW()-6,"00000"))</f>
        <v/>
      </c>
      <c r="C2699" s="66"/>
      <c r="D2699" s="60"/>
      <c r="E2699" s="61"/>
      <c r="F2699" s="61"/>
      <c r="G2699" s="67"/>
      <c r="H2699" s="60"/>
      <c r="I2699" s="60"/>
      <c r="J2699" s="61"/>
      <c r="K2699" s="61"/>
      <c r="L2699" s="60"/>
      <c r="M2699" s="74" t="str">
        <f>IF($C2699="","",IF($D2699="Gider",$E2699,IF($L2699&lt;&gt;"",$L2699,$H2699)))</f>
        <v/>
      </c>
      <c r="N2699" s="74" t="str">
        <f>IF($C2699="","",IF($D2699="Gider",$H2699,$E2699))</f>
        <v/>
      </c>
      <c r="O2699" s="73" t="str">
        <f>IF($C2699="","",DATE(YEAR($C2699),MONTH($C2699),1))</f>
        <v/>
      </c>
      <c r="P2699" s="65" t="str">
        <f ca="1">IF($C2699="","",IF(AND($D2699="Gelir",$L2699&lt;&gt;"",$T2699=""),"TANIMSIZ BORÇLU",IF($T2699&lt;&gt;"",IF(OR($E2699="",$G2699&lt;=0),"EKSİK",IF($I2699="Evet","TAHAKKUK NAKİT OLAMAZ",IF($C2699&gt;TODAY(),"İLERİ TARİH","TAHAKKUK"))),IF(AND($D2699&lt;&gt;"",$E2699&lt;&gt;"",$G2699&gt;0,$H2699&lt;&gt;"",$I2699&lt;&gt;""),IF($C2699&gt;TODAY(),"İLERİ TARİH",IF(COUNTIF($W$7:$W$3001,$W2699)&gt;1,"MÜKERRER?",IF($AD2699&gt;0,"KAPALI DÖNEM",IF($I2699="Hayır","ÖDENECEK","UYGUN")))),"EKSİK"))))</f>
        <v/>
      </c>
      <c r="Q2699" s="2"/>
      <c r="R2699" s="2"/>
      <c r="S2699" s="1" t="str">
        <f t="shared" si="128"/>
        <v/>
      </c>
      <c r="T2699" s="1" t="str">
        <f>IF(OR($C2699="",$D2699&lt;&gt;"Gelir",$L2699=""),"",IFERROR(INDEX(MUSTERILER!$B$7:$B$156,MATCH($S2699,MUSTERILER!$T$7:$T$156,0)),""))</f>
        <v/>
      </c>
      <c r="U2699" s="1" t="str">
        <f>IF($T2699="","",$T2699&amp;"|"&amp;COUNTIFS($T$7:$T2699,$T2699))</f>
        <v/>
      </c>
      <c r="V2699" s="1">
        <f t="shared" si="129"/>
        <v>0</v>
      </c>
      <c r="W2699" s="1" t="str">
        <f t="shared" si="130"/>
        <v/>
      </c>
      <c r="X2699" s="1"/>
      <c r="Y2699" s="1"/>
      <c r="Z2699" s="1"/>
      <c r="AA2699" s="1"/>
      <c r="AB2699" s="1"/>
      <c r="AC2699" s="1"/>
      <c r="AD2699" s="1">
        <f>IF($C2699="",0,SUMPRODUCT((AY_SONU!$O$7:$O$42="Evet")*(AY_SONU!$B$7:$B$42=DATE(YEAR($C2699),MONTH($C2699),1))))</f>
        <v>0</v>
      </c>
      <c r="AE2699" s="1" t="str">
        <f>IF($E2699="","",$E2699&amp;"|"&amp;COUNTIFS($E$7:$E2699,$E2699))</f>
        <v/>
      </c>
    </row>
    <row r="2700" spans="1:31" ht="18" customHeight="1" x14ac:dyDescent="0.3">
      <c r="A2700" s="2"/>
      <c r="B2700" s="65" t="str">
        <f>IF($C2700="","","GG"&amp;TEXT(ROW()-6,"00000"))</f>
        <v/>
      </c>
      <c r="C2700" s="66"/>
      <c r="D2700" s="60"/>
      <c r="E2700" s="61"/>
      <c r="F2700" s="61"/>
      <c r="G2700" s="67"/>
      <c r="H2700" s="60"/>
      <c r="I2700" s="60"/>
      <c r="J2700" s="61"/>
      <c r="K2700" s="61"/>
      <c r="L2700" s="60"/>
      <c r="M2700" s="74" t="str">
        <f>IF($C2700="","",IF($D2700="Gider",$E2700,IF($L2700&lt;&gt;"",$L2700,$H2700)))</f>
        <v/>
      </c>
      <c r="N2700" s="74" t="str">
        <f>IF($C2700="","",IF($D2700="Gider",$H2700,$E2700))</f>
        <v/>
      </c>
      <c r="O2700" s="73" t="str">
        <f>IF($C2700="","",DATE(YEAR($C2700),MONTH($C2700),1))</f>
        <v/>
      </c>
      <c r="P2700" s="65" t="str">
        <f ca="1">IF($C2700="","",IF(AND($D2700="Gelir",$L2700&lt;&gt;"",$T2700=""),"TANIMSIZ BORÇLU",IF($T2700&lt;&gt;"",IF(OR($E2700="",$G2700&lt;=0),"EKSİK",IF($I2700="Evet","TAHAKKUK NAKİT OLAMAZ",IF($C2700&gt;TODAY(),"İLERİ TARİH","TAHAKKUK"))),IF(AND($D2700&lt;&gt;"",$E2700&lt;&gt;"",$G2700&gt;0,$H2700&lt;&gt;"",$I2700&lt;&gt;""),IF($C2700&gt;TODAY(),"İLERİ TARİH",IF(COUNTIF($W$7:$W$3001,$W2700)&gt;1,"MÜKERRER?",IF($AD2700&gt;0,"KAPALI DÖNEM",IF($I2700="Hayır","ÖDENECEK","UYGUN")))),"EKSİK"))))</f>
        <v/>
      </c>
      <c r="Q2700" s="2"/>
      <c r="R2700" s="2"/>
      <c r="S2700" s="1" t="str">
        <f t="shared" si="128"/>
        <v/>
      </c>
      <c r="T2700" s="1" t="str">
        <f>IF(OR($C2700="",$D2700&lt;&gt;"Gelir",$L2700=""),"",IFERROR(INDEX(MUSTERILER!$B$7:$B$156,MATCH($S2700,MUSTERILER!$T$7:$T$156,0)),""))</f>
        <v/>
      </c>
      <c r="U2700" s="1" t="str">
        <f>IF($T2700="","",$T2700&amp;"|"&amp;COUNTIFS($T$7:$T2700,$T2700))</f>
        <v/>
      </c>
      <c r="V2700" s="1">
        <f t="shared" si="129"/>
        <v>0</v>
      </c>
      <c r="W2700" s="1" t="str">
        <f t="shared" si="130"/>
        <v/>
      </c>
      <c r="X2700" s="1"/>
      <c r="Y2700" s="1"/>
      <c r="Z2700" s="1"/>
      <c r="AA2700" s="1"/>
      <c r="AB2700" s="1"/>
      <c r="AC2700" s="1"/>
      <c r="AD2700" s="1">
        <f>IF($C2700="",0,SUMPRODUCT((AY_SONU!$O$7:$O$42="Evet")*(AY_SONU!$B$7:$B$42=DATE(YEAR($C2700),MONTH($C2700),1))))</f>
        <v>0</v>
      </c>
      <c r="AE2700" s="1" t="str">
        <f>IF($E2700="","",$E2700&amp;"|"&amp;COUNTIFS($E$7:$E2700,$E2700))</f>
        <v/>
      </c>
    </row>
    <row r="2701" spans="1:31" ht="18" customHeight="1" x14ac:dyDescent="0.3">
      <c r="A2701" s="2"/>
      <c r="B2701" s="65" t="str">
        <f>IF($C2701="","","GG"&amp;TEXT(ROW()-6,"00000"))</f>
        <v/>
      </c>
      <c r="C2701" s="66"/>
      <c r="D2701" s="60"/>
      <c r="E2701" s="61"/>
      <c r="F2701" s="61"/>
      <c r="G2701" s="67"/>
      <c r="H2701" s="60"/>
      <c r="I2701" s="60"/>
      <c r="J2701" s="61"/>
      <c r="K2701" s="61"/>
      <c r="L2701" s="60"/>
      <c r="M2701" s="74" t="str">
        <f>IF($C2701="","",IF($D2701="Gider",$E2701,IF($L2701&lt;&gt;"",$L2701,$H2701)))</f>
        <v/>
      </c>
      <c r="N2701" s="74" t="str">
        <f>IF($C2701="","",IF($D2701="Gider",$H2701,$E2701))</f>
        <v/>
      </c>
      <c r="O2701" s="73" t="str">
        <f>IF($C2701="","",DATE(YEAR($C2701),MONTH($C2701),1))</f>
        <v/>
      </c>
      <c r="P2701" s="65" t="str">
        <f ca="1">IF($C2701="","",IF(AND($D2701="Gelir",$L2701&lt;&gt;"",$T2701=""),"TANIMSIZ BORÇLU",IF($T2701&lt;&gt;"",IF(OR($E2701="",$G2701&lt;=0),"EKSİK",IF($I2701="Evet","TAHAKKUK NAKİT OLAMAZ",IF($C2701&gt;TODAY(),"İLERİ TARİH","TAHAKKUK"))),IF(AND($D2701&lt;&gt;"",$E2701&lt;&gt;"",$G2701&gt;0,$H2701&lt;&gt;"",$I2701&lt;&gt;""),IF($C2701&gt;TODAY(),"İLERİ TARİH",IF(COUNTIF($W$7:$W$3001,$W2701)&gt;1,"MÜKERRER?",IF($AD2701&gt;0,"KAPALI DÖNEM",IF($I2701="Hayır","ÖDENECEK","UYGUN")))),"EKSİK"))))</f>
        <v/>
      </c>
      <c r="Q2701" s="2"/>
      <c r="R2701" s="2"/>
      <c r="S2701" s="1" t="str">
        <f t="shared" si="128"/>
        <v/>
      </c>
      <c r="T2701" s="1" t="str">
        <f>IF(OR($C2701="",$D2701&lt;&gt;"Gelir",$L2701=""),"",IFERROR(INDEX(MUSTERILER!$B$7:$B$156,MATCH($S2701,MUSTERILER!$T$7:$T$156,0)),""))</f>
        <v/>
      </c>
      <c r="U2701" s="1" t="str">
        <f>IF($T2701="","",$T2701&amp;"|"&amp;COUNTIFS($T$7:$T2701,$T2701))</f>
        <v/>
      </c>
      <c r="V2701" s="1">
        <f t="shared" si="129"/>
        <v>0</v>
      </c>
      <c r="W2701" s="1" t="str">
        <f t="shared" si="130"/>
        <v/>
      </c>
      <c r="X2701" s="1"/>
      <c r="Y2701" s="1"/>
      <c r="Z2701" s="1"/>
      <c r="AA2701" s="1"/>
      <c r="AB2701" s="1"/>
      <c r="AC2701" s="1"/>
      <c r="AD2701" s="1">
        <f>IF($C2701="",0,SUMPRODUCT((AY_SONU!$O$7:$O$42="Evet")*(AY_SONU!$B$7:$B$42=DATE(YEAR($C2701),MONTH($C2701),1))))</f>
        <v>0</v>
      </c>
      <c r="AE2701" s="1" t="str">
        <f>IF($E2701="","",$E2701&amp;"|"&amp;COUNTIFS($E$7:$E2701,$E2701))</f>
        <v/>
      </c>
    </row>
    <row r="2702" spans="1:31" ht="18" customHeight="1" x14ac:dyDescent="0.3">
      <c r="A2702" s="2"/>
      <c r="B2702" s="65" t="str">
        <f>IF($C2702="","","GG"&amp;TEXT(ROW()-6,"00000"))</f>
        <v/>
      </c>
      <c r="C2702" s="66"/>
      <c r="D2702" s="60"/>
      <c r="E2702" s="61"/>
      <c r="F2702" s="61"/>
      <c r="G2702" s="67"/>
      <c r="H2702" s="60"/>
      <c r="I2702" s="60"/>
      <c r="J2702" s="61"/>
      <c r="K2702" s="61"/>
      <c r="L2702" s="60"/>
      <c r="M2702" s="74" t="str">
        <f>IF($C2702="","",IF($D2702="Gider",$E2702,IF($L2702&lt;&gt;"",$L2702,$H2702)))</f>
        <v/>
      </c>
      <c r="N2702" s="74" t="str">
        <f>IF($C2702="","",IF($D2702="Gider",$H2702,$E2702))</f>
        <v/>
      </c>
      <c r="O2702" s="73" t="str">
        <f>IF($C2702="","",DATE(YEAR($C2702),MONTH($C2702),1))</f>
        <v/>
      </c>
      <c r="P2702" s="65" t="str">
        <f ca="1">IF($C2702="","",IF(AND($D2702="Gelir",$L2702&lt;&gt;"",$T2702=""),"TANIMSIZ BORÇLU",IF($T2702&lt;&gt;"",IF(OR($E2702="",$G2702&lt;=0),"EKSİK",IF($I2702="Evet","TAHAKKUK NAKİT OLAMAZ",IF($C2702&gt;TODAY(),"İLERİ TARİH","TAHAKKUK"))),IF(AND($D2702&lt;&gt;"",$E2702&lt;&gt;"",$G2702&gt;0,$H2702&lt;&gt;"",$I2702&lt;&gt;""),IF($C2702&gt;TODAY(),"İLERİ TARİH",IF(COUNTIF($W$7:$W$3001,$W2702)&gt;1,"MÜKERRER?",IF($AD2702&gt;0,"KAPALI DÖNEM",IF($I2702="Hayır","ÖDENECEK","UYGUN")))),"EKSİK"))))</f>
        <v/>
      </c>
      <c r="Q2702" s="2"/>
      <c r="R2702" s="2"/>
      <c r="S2702" s="1" t="str">
        <f t="shared" si="128"/>
        <v/>
      </c>
      <c r="T2702" s="1" t="str">
        <f>IF(OR($C2702="",$D2702&lt;&gt;"Gelir",$L2702=""),"",IFERROR(INDEX(MUSTERILER!$B$7:$B$156,MATCH($S2702,MUSTERILER!$T$7:$T$156,0)),""))</f>
        <v/>
      </c>
      <c r="U2702" s="1" t="str">
        <f>IF($T2702="","",$T2702&amp;"|"&amp;COUNTIFS($T$7:$T2702,$T2702))</f>
        <v/>
      </c>
      <c r="V2702" s="1">
        <f t="shared" si="129"/>
        <v>0</v>
      </c>
      <c r="W2702" s="1" t="str">
        <f t="shared" si="130"/>
        <v/>
      </c>
      <c r="X2702" s="1"/>
      <c r="Y2702" s="1"/>
      <c r="Z2702" s="1"/>
      <c r="AA2702" s="1"/>
      <c r="AB2702" s="1"/>
      <c r="AC2702" s="1"/>
      <c r="AD2702" s="1">
        <f>IF($C2702="",0,SUMPRODUCT((AY_SONU!$O$7:$O$42="Evet")*(AY_SONU!$B$7:$B$42=DATE(YEAR($C2702),MONTH($C2702),1))))</f>
        <v>0</v>
      </c>
      <c r="AE2702" s="1" t="str">
        <f>IF($E2702="","",$E2702&amp;"|"&amp;COUNTIFS($E$7:$E2702,$E2702))</f>
        <v/>
      </c>
    </row>
    <row r="2703" spans="1:31" ht="18" customHeight="1" x14ac:dyDescent="0.3">
      <c r="A2703" s="2"/>
      <c r="B2703" s="65" t="str">
        <f>IF($C2703="","","GG"&amp;TEXT(ROW()-6,"00000"))</f>
        <v/>
      </c>
      <c r="C2703" s="66"/>
      <c r="D2703" s="60"/>
      <c r="E2703" s="61"/>
      <c r="F2703" s="61"/>
      <c r="G2703" s="67"/>
      <c r="H2703" s="60"/>
      <c r="I2703" s="60"/>
      <c r="J2703" s="61"/>
      <c r="K2703" s="61"/>
      <c r="L2703" s="60"/>
      <c r="M2703" s="74" t="str">
        <f>IF($C2703="","",IF($D2703="Gider",$E2703,IF($L2703&lt;&gt;"",$L2703,$H2703)))</f>
        <v/>
      </c>
      <c r="N2703" s="74" t="str">
        <f>IF($C2703="","",IF($D2703="Gider",$H2703,$E2703))</f>
        <v/>
      </c>
      <c r="O2703" s="73" t="str">
        <f>IF($C2703="","",DATE(YEAR($C2703),MONTH($C2703),1))</f>
        <v/>
      </c>
      <c r="P2703" s="65" t="str">
        <f ca="1">IF($C2703="","",IF(AND($D2703="Gelir",$L2703&lt;&gt;"",$T2703=""),"TANIMSIZ BORÇLU",IF($T2703&lt;&gt;"",IF(OR($E2703="",$G2703&lt;=0),"EKSİK",IF($I2703="Evet","TAHAKKUK NAKİT OLAMAZ",IF($C2703&gt;TODAY(),"İLERİ TARİH","TAHAKKUK"))),IF(AND($D2703&lt;&gt;"",$E2703&lt;&gt;"",$G2703&gt;0,$H2703&lt;&gt;"",$I2703&lt;&gt;""),IF($C2703&gt;TODAY(),"İLERİ TARİH",IF(COUNTIF($W$7:$W$3001,$W2703)&gt;1,"MÜKERRER?",IF($AD2703&gt;0,"KAPALI DÖNEM",IF($I2703="Hayır","ÖDENECEK","UYGUN")))),"EKSİK"))))</f>
        <v/>
      </c>
      <c r="Q2703" s="2"/>
      <c r="R2703" s="2"/>
      <c r="S2703" s="1" t="str">
        <f t="shared" si="128"/>
        <v/>
      </c>
      <c r="T2703" s="1" t="str">
        <f>IF(OR($C2703="",$D2703&lt;&gt;"Gelir",$L2703=""),"",IFERROR(INDEX(MUSTERILER!$B$7:$B$156,MATCH($S2703,MUSTERILER!$T$7:$T$156,0)),""))</f>
        <v/>
      </c>
      <c r="U2703" s="1" t="str">
        <f>IF($T2703="","",$T2703&amp;"|"&amp;COUNTIFS($T$7:$T2703,$T2703))</f>
        <v/>
      </c>
      <c r="V2703" s="1">
        <f t="shared" si="129"/>
        <v>0</v>
      </c>
      <c r="W2703" s="1" t="str">
        <f t="shared" si="130"/>
        <v/>
      </c>
      <c r="X2703" s="1"/>
      <c r="Y2703" s="1"/>
      <c r="Z2703" s="1"/>
      <c r="AA2703" s="1"/>
      <c r="AB2703" s="1"/>
      <c r="AC2703" s="1"/>
      <c r="AD2703" s="1">
        <f>IF($C2703="",0,SUMPRODUCT((AY_SONU!$O$7:$O$42="Evet")*(AY_SONU!$B$7:$B$42=DATE(YEAR($C2703),MONTH($C2703),1))))</f>
        <v>0</v>
      </c>
      <c r="AE2703" s="1" t="str">
        <f>IF($E2703="","",$E2703&amp;"|"&amp;COUNTIFS($E$7:$E2703,$E2703))</f>
        <v/>
      </c>
    </row>
    <row r="2704" spans="1:31" ht="18" customHeight="1" x14ac:dyDescent="0.3">
      <c r="A2704" s="2"/>
      <c r="B2704" s="65" t="str">
        <f>IF($C2704="","","GG"&amp;TEXT(ROW()-6,"00000"))</f>
        <v/>
      </c>
      <c r="C2704" s="66"/>
      <c r="D2704" s="60"/>
      <c r="E2704" s="61"/>
      <c r="F2704" s="61"/>
      <c r="G2704" s="67"/>
      <c r="H2704" s="60"/>
      <c r="I2704" s="60"/>
      <c r="J2704" s="61"/>
      <c r="K2704" s="61"/>
      <c r="L2704" s="60"/>
      <c r="M2704" s="74" t="str">
        <f>IF($C2704="","",IF($D2704="Gider",$E2704,IF($L2704&lt;&gt;"",$L2704,$H2704)))</f>
        <v/>
      </c>
      <c r="N2704" s="74" t="str">
        <f>IF($C2704="","",IF($D2704="Gider",$H2704,$E2704))</f>
        <v/>
      </c>
      <c r="O2704" s="73" t="str">
        <f>IF($C2704="","",DATE(YEAR($C2704),MONTH($C2704),1))</f>
        <v/>
      </c>
      <c r="P2704" s="65" t="str">
        <f ca="1">IF($C2704="","",IF(AND($D2704="Gelir",$L2704&lt;&gt;"",$T2704=""),"TANIMSIZ BORÇLU",IF($T2704&lt;&gt;"",IF(OR($E2704="",$G2704&lt;=0),"EKSİK",IF($I2704="Evet","TAHAKKUK NAKİT OLAMAZ",IF($C2704&gt;TODAY(),"İLERİ TARİH","TAHAKKUK"))),IF(AND($D2704&lt;&gt;"",$E2704&lt;&gt;"",$G2704&gt;0,$H2704&lt;&gt;"",$I2704&lt;&gt;""),IF($C2704&gt;TODAY(),"İLERİ TARİH",IF(COUNTIF($W$7:$W$3001,$W2704)&gt;1,"MÜKERRER?",IF($AD2704&gt;0,"KAPALI DÖNEM",IF($I2704="Hayır","ÖDENECEK","UYGUN")))),"EKSİK"))))</f>
        <v/>
      </c>
      <c r="Q2704" s="2"/>
      <c r="R2704" s="2"/>
      <c r="S2704" s="1" t="str">
        <f t="shared" si="128"/>
        <v/>
      </c>
      <c r="T2704" s="1" t="str">
        <f>IF(OR($C2704="",$D2704&lt;&gt;"Gelir",$L2704=""),"",IFERROR(INDEX(MUSTERILER!$B$7:$B$156,MATCH($S2704,MUSTERILER!$T$7:$T$156,0)),""))</f>
        <v/>
      </c>
      <c r="U2704" s="1" t="str">
        <f>IF($T2704="","",$T2704&amp;"|"&amp;COUNTIFS($T$7:$T2704,$T2704))</f>
        <v/>
      </c>
      <c r="V2704" s="1">
        <f t="shared" si="129"/>
        <v>0</v>
      </c>
      <c r="W2704" s="1" t="str">
        <f t="shared" si="130"/>
        <v/>
      </c>
      <c r="X2704" s="1"/>
      <c r="Y2704" s="1"/>
      <c r="Z2704" s="1"/>
      <c r="AA2704" s="1"/>
      <c r="AB2704" s="1"/>
      <c r="AC2704" s="1"/>
      <c r="AD2704" s="1">
        <f>IF($C2704="",0,SUMPRODUCT((AY_SONU!$O$7:$O$42="Evet")*(AY_SONU!$B$7:$B$42=DATE(YEAR($C2704),MONTH($C2704),1))))</f>
        <v>0</v>
      </c>
      <c r="AE2704" s="1" t="str">
        <f>IF($E2704="","",$E2704&amp;"|"&amp;COUNTIFS($E$7:$E2704,$E2704))</f>
        <v/>
      </c>
    </row>
    <row r="2705" spans="1:31" ht="18" customHeight="1" x14ac:dyDescent="0.3">
      <c r="A2705" s="2"/>
      <c r="B2705" s="65" t="str">
        <f>IF($C2705="","","GG"&amp;TEXT(ROW()-6,"00000"))</f>
        <v/>
      </c>
      <c r="C2705" s="66"/>
      <c r="D2705" s="60"/>
      <c r="E2705" s="61"/>
      <c r="F2705" s="61"/>
      <c r="G2705" s="67"/>
      <c r="H2705" s="60"/>
      <c r="I2705" s="60"/>
      <c r="J2705" s="61"/>
      <c r="K2705" s="61"/>
      <c r="L2705" s="60"/>
      <c r="M2705" s="74" t="str">
        <f>IF($C2705="","",IF($D2705="Gider",$E2705,IF($L2705&lt;&gt;"",$L2705,$H2705)))</f>
        <v/>
      </c>
      <c r="N2705" s="74" t="str">
        <f>IF($C2705="","",IF($D2705="Gider",$H2705,$E2705))</f>
        <v/>
      </c>
      <c r="O2705" s="73" t="str">
        <f>IF($C2705="","",DATE(YEAR($C2705),MONTH($C2705),1))</f>
        <v/>
      </c>
      <c r="P2705" s="65" t="str">
        <f ca="1">IF($C2705="","",IF(AND($D2705="Gelir",$L2705&lt;&gt;"",$T2705=""),"TANIMSIZ BORÇLU",IF($T2705&lt;&gt;"",IF(OR($E2705="",$G2705&lt;=0),"EKSİK",IF($I2705="Evet","TAHAKKUK NAKİT OLAMAZ",IF($C2705&gt;TODAY(),"İLERİ TARİH","TAHAKKUK"))),IF(AND($D2705&lt;&gt;"",$E2705&lt;&gt;"",$G2705&gt;0,$H2705&lt;&gt;"",$I2705&lt;&gt;""),IF($C2705&gt;TODAY(),"İLERİ TARİH",IF(COUNTIF($W$7:$W$3001,$W2705)&gt;1,"MÜKERRER?",IF($AD2705&gt;0,"KAPALI DÖNEM",IF($I2705="Hayır","ÖDENECEK","UYGUN")))),"EKSİK"))))</f>
        <v/>
      </c>
      <c r="Q2705" s="2"/>
      <c r="R2705" s="2"/>
      <c r="S2705" s="1" t="str">
        <f t="shared" si="128"/>
        <v/>
      </c>
      <c r="T2705" s="1" t="str">
        <f>IF(OR($C2705="",$D2705&lt;&gt;"Gelir",$L2705=""),"",IFERROR(INDEX(MUSTERILER!$B$7:$B$156,MATCH($S2705,MUSTERILER!$T$7:$T$156,0)),""))</f>
        <v/>
      </c>
      <c r="U2705" s="1" t="str">
        <f>IF($T2705="","",$T2705&amp;"|"&amp;COUNTIFS($T$7:$T2705,$T2705))</f>
        <v/>
      </c>
      <c r="V2705" s="1">
        <f t="shared" si="129"/>
        <v>0</v>
      </c>
      <c r="W2705" s="1" t="str">
        <f t="shared" si="130"/>
        <v/>
      </c>
      <c r="X2705" s="1"/>
      <c r="Y2705" s="1"/>
      <c r="Z2705" s="1"/>
      <c r="AA2705" s="1"/>
      <c r="AB2705" s="1"/>
      <c r="AC2705" s="1"/>
      <c r="AD2705" s="1">
        <f>IF($C2705="",0,SUMPRODUCT((AY_SONU!$O$7:$O$42="Evet")*(AY_SONU!$B$7:$B$42=DATE(YEAR($C2705),MONTH($C2705),1))))</f>
        <v>0</v>
      </c>
      <c r="AE2705" s="1" t="str">
        <f>IF($E2705="","",$E2705&amp;"|"&amp;COUNTIFS($E$7:$E2705,$E2705))</f>
        <v/>
      </c>
    </row>
    <row r="2706" spans="1:31" ht="18" customHeight="1" x14ac:dyDescent="0.3">
      <c r="A2706" s="2"/>
      <c r="B2706" s="65" t="str">
        <f>IF($C2706="","","GG"&amp;TEXT(ROW()-6,"00000"))</f>
        <v/>
      </c>
      <c r="C2706" s="66"/>
      <c r="D2706" s="60"/>
      <c r="E2706" s="61"/>
      <c r="F2706" s="61"/>
      <c r="G2706" s="67"/>
      <c r="H2706" s="60"/>
      <c r="I2706" s="60"/>
      <c r="J2706" s="61"/>
      <c r="K2706" s="61"/>
      <c r="L2706" s="60"/>
      <c r="M2706" s="74" t="str">
        <f>IF($C2706="","",IF($D2706="Gider",$E2706,IF($L2706&lt;&gt;"",$L2706,$H2706)))</f>
        <v/>
      </c>
      <c r="N2706" s="74" t="str">
        <f>IF($C2706="","",IF($D2706="Gider",$H2706,$E2706))</f>
        <v/>
      </c>
      <c r="O2706" s="73" t="str">
        <f>IF($C2706="","",DATE(YEAR($C2706),MONTH($C2706),1))</f>
        <v/>
      </c>
      <c r="P2706" s="65" t="str">
        <f ca="1">IF($C2706="","",IF(AND($D2706="Gelir",$L2706&lt;&gt;"",$T2706=""),"TANIMSIZ BORÇLU",IF($T2706&lt;&gt;"",IF(OR($E2706="",$G2706&lt;=0),"EKSİK",IF($I2706="Evet","TAHAKKUK NAKİT OLAMAZ",IF($C2706&gt;TODAY(),"İLERİ TARİH","TAHAKKUK"))),IF(AND($D2706&lt;&gt;"",$E2706&lt;&gt;"",$G2706&gt;0,$H2706&lt;&gt;"",$I2706&lt;&gt;""),IF($C2706&gt;TODAY(),"İLERİ TARİH",IF(COUNTIF($W$7:$W$3001,$W2706)&gt;1,"MÜKERRER?",IF($AD2706&gt;0,"KAPALI DÖNEM",IF($I2706="Hayır","ÖDENECEK","UYGUN")))),"EKSİK"))))</f>
        <v/>
      </c>
      <c r="Q2706" s="2"/>
      <c r="R2706" s="2"/>
      <c r="S2706" s="1" t="str">
        <f t="shared" si="128"/>
        <v/>
      </c>
      <c r="T2706" s="1" t="str">
        <f>IF(OR($C2706="",$D2706&lt;&gt;"Gelir",$L2706=""),"",IFERROR(INDEX(MUSTERILER!$B$7:$B$156,MATCH($S2706,MUSTERILER!$T$7:$T$156,0)),""))</f>
        <v/>
      </c>
      <c r="U2706" s="1" t="str">
        <f>IF($T2706="","",$T2706&amp;"|"&amp;COUNTIFS($T$7:$T2706,$T2706))</f>
        <v/>
      </c>
      <c r="V2706" s="1">
        <f t="shared" si="129"/>
        <v>0</v>
      </c>
      <c r="W2706" s="1" t="str">
        <f t="shared" si="130"/>
        <v/>
      </c>
      <c r="X2706" s="1"/>
      <c r="Y2706" s="1"/>
      <c r="Z2706" s="1"/>
      <c r="AA2706" s="1"/>
      <c r="AB2706" s="1"/>
      <c r="AC2706" s="1"/>
      <c r="AD2706" s="1">
        <f>IF($C2706="",0,SUMPRODUCT((AY_SONU!$O$7:$O$42="Evet")*(AY_SONU!$B$7:$B$42=DATE(YEAR($C2706),MONTH($C2706),1))))</f>
        <v>0</v>
      </c>
      <c r="AE2706" s="1" t="str">
        <f>IF($E2706="","",$E2706&amp;"|"&amp;COUNTIFS($E$7:$E2706,$E2706))</f>
        <v/>
      </c>
    </row>
    <row r="2707" spans="1:31" ht="18" customHeight="1" x14ac:dyDescent="0.3">
      <c r="A2707" s="2"/>
      <c r="B2707" s="65" t="str">
        <f>IF($C2707="","","GG"&amp;TEXT(ROW()-6,"00000"))</f>
        <v/>
      </c>
      <c r="C2707" s="66"/>
      <c r="D2707" s="60"/>
      <c r="E2707" s="61"/>
      <c r="F2707" s="61"/>
      <c r="G2707" s="67"/>
      <c r="H2707" s="60"/>
      <c r="I2707" s="60"/>
      <c r="J2707" s="61"/>
      <c r="K2707" s="61"/>
      <c r="L2707" s="60"/>
      <c r="M2707" s="74" t="str">
        <f>IF($C2707="","",IF($D2707="Gider",$E2707,IF($L2707&lt;&gt;"",$L2707,$H2707)))</f>
        <v/>
      </c>
      <c r="N2707" s="74" t="str">
        <f>IF($C2707="","",IF($D2707="Gider",$H2707,$E2707))</f>
        <v/>
      </c>
      <c r="O2707" s="73" t="str">
        <f>IF($C2707="","",DATE(YEAR($C2707),MONTH($C2707),1))</f>
        <v/>
      </c>
      <c r="P2707" s="65" t="str">
        <f ca="1">IF($C2707="","",IF(AND($D2707="Gelir",$L2707&lt;&gt;"",$T2707=""),"TANIMSIZ BORÇLU",IF($T2707&lt;&gt;"",IF(OR($E2707="",$G2707&lt;=0),"EKSİK",IF($I2707="Evet","TAHAKKUK NAKİT OLAMAZ",IF($C2707&gt;TODAY(),"İLERİ TARİH","TAHAKKUK"))),IF(AND($D2707&lt;&gt;"",$E2707&lt;&gt;"",$G2707&gt;0,$H2707&lt;&gt;"",$I2707&lt;&gt;""),IF($C2707&gt;TODAY(),"İLERİ TARİH",IF(COUNTIF($W$7:$W$3001,$W2707)&gt;1,"MÜKERRER?",IF($AD2707&gt;0,"KAPALI DÖNEM",IF($I2707="Hayır","ÖDENECEK","UYGUN")))),"EKSİK"))))</f>
        <v/>
      </c>
      <c r="Q2707" s="2"/>
      <c r="R2707" s="2"/>
      <c r="S2707" s="1" t="str">
        <f t="shared" si="128"/>
        <v/>
      </c>
      <c r="T2707" s="1" t="str">
        <f>IF(OR($C2707="",$D2707&lt;&gt;"Gelir",$L2707=""),"",IFERROR(INDEX(MUSTERILER!$B$7:$B$156,MATCH($S2707,MUSTERILER!$T$7:$T$156,0)),""))</f>
        <v/>
      </c>
      <c r="U2707" s="1" t="str">
        <f>IF($T2707="","",$T2707&amp;"|"&amp;COUNTIFS($T$7:$T2707,$T2707))</f>
        <v/>
      </c>
      <c r="V2707" s="1">
        <f t="shared" si="129"/>
        <v>0</v>
      </c>
      <c r="W2707" s="1" t="str">
        <f t="shared" si="130"/>
        <v/>
      </c>
      <c r="X2707" s="1"/>
      <c r="Y2707" s="1"/>
      <c r="Z2707" s="1"/>
      <c r="AA2707" s="1"/>
      <c r="AB2707" s="1"/>
      <c r="AC2707" s="1"/>
      <c r="AD2707" s="1">
        <f>IF($C2707="",0,SUMPRODUCT((AY_SONU!$O$7:$O$42="Evet")*(AY_SONU!$B$7:$B$42=DATE(YEAR($C2707),MONTH($C2707),1))))</f>
        <v>0</v>
      </c>
      <c r="AE2707" s="1" t="str">
        <f>IF($E2707="","",$E2707&amp;"|"&amp;COUNTIFS($E$7:$E2707,$E2707))</f>
        <v/>
      </c>
    </row>
    <row r="2708" spans="1:31" ht="18" customHeight="1" x14ac:dyDescent="0.3">
      <c r="A2708" s="2"/>
      <c r="B2708" s="65" t="str">
        <f>IF($C2708="","","GG"&amp;TEXT(ROW()-6,"00000"))</f>
        <v/>
      </c>
      <c r="C2708" s="66"/>
      <c r="D2708" s="60"/>
      <c r="E2708" s="61"/>
      <c r="F2708" s="61"/>
      <c r="G2708" s="67"/>
      <c r="H2708" s="60"/>
      <c r="I2708" s="60"/>
      <c r="J2708" s="61"/>
      <c r="K2708" s="61"/>
      <c r="L2708" s="60"/>
      <c r="M2708" s="74" t="str">
        <f>IF($C2708="","",IF($D2708="Gider",$E2708,IF($L2708&lt;&gt;"",$L2708,$H2708)))</f>
        <v/>
      </c>
      <c r="N2708" s="74" t="str">
        <f>IF($C2708="","",IF($D2708="Gider",$H2708,$E2708))</f>
        <v/>
      </c>
      <c r="O2708" s="73" t="str">
        <f>IF($C2708="","",DATE(YEAR($C2708),MONTH($C2708),1))</f>
        <v/>
      </c>
      <c r="P2708" s="65" t="str">
        <f ca="1">IF($C2708="","",IF(AND($D2708="Gelir",$L2708&lt;&gt;"",$T2708=""),"TANIMSIZ BORÇLU",IF($T2708&lt;&gt;"",IF(OR($E2708="",$G2708&lt;=0),"EKSİK",IF($I2708="Evet","TAHAKKUK NAKİT OLAMAZ",IF($C2708&gt;TODAY(),"İLERİ TARİH","TAHAKKUK"))),IF(AND($D2708&lt;&gt;"",$E2708&lt;&gt;"",$G2708&gt;0,$H2708&lt;&gt;"",$I2708&lt;&gt;""),IF($C2708&gt;TODAY(),"İLERİ TARİH",IF(COUNTIF($W$7:$W$3001,$W2708)&gt;1,"MÜKERRER?",IF($AD2708&gt;0,"KAPALI DÖNEM",IF($I2708="Hayır","ÖDENECEK","UYGUN")))),"EKSİK"))))</f>
        <v/>
      </c>
      <c r="Q2708" s="2"/>
      <c r="R2708" s="2"/>
      <c r="S2708" s="1" t="str">
        <f t="shared" si="128"/>
        <v/>
      </c>
      <c r="T2708" s="1" t="str">
        <f>IF(OR($C2708="",$D2708&lt;&gt;"Gelir",$L2708=""),"",IFERROR(INDEX(MUSTERILER!$B$7:$B$156,MATCH($S2708,MUSTERILER!$T$7:$T$156,0)),""))</f>
        <v/>
      </c>
      <c r="U2708" s="1" t="str">
        <f>IF($T2708="","",$T2708&amp;"|"&amp;COUNTIFS($T$7:$T2708,$T2708))</f>
        <v/>
      </c>
      <c r="V2708" s="1">
        <f t="shared" si="129"/>
        <v>0</v>
      </c>
      <c r="W2708" s="1" t="str">
        <f t="shared" si="130"/>
        <v/>
      </c>
      <c r="X2708" s="1"/>
      <c r="Y2708" s="1"/>
      <c r="Z2708" s="1"/>
      <c r="AA2708" s="1"/>
      <c r="AB2708" s="1"/>
      <c r="AC2708" s="1"/>
      <c r="AD2708" s="1">
        <f>IF($C2708="",0,SUMPRODUCT((AY_SONU!$O$7:$O$42="Evet")*(AY_SONU!$B$7:$B$42=DATE(YEAR($C2708),MONTH($C2708),1))))</f>
        <v>0</v>
      </c>
      <c r="AE2708" s="1" t="str">
        <f>IF($E2708="","",$E2708&amp;"|"&amp;COUNTIFS($E$7:$E2708,$E2708))</f>
        <v/>
      </c>
    </row>
    <row r="2709" spans="1:31" ht="18" customHeight="1" x14ac:dyDescent="0.3">
      <c r="A2709" s="2"/>
      <c r="B2709" s="65" t="str">
        <f>IF($C2709="","","GG"&amp;TEXT(ROW()-6,"00000"))</f>
        <v/>
      </c>
      <c r="C2709" s="66"/>
      <c r="D2709" s="60"/>
      <c r="E2709" s="61"/>
      <c r="F2709" s="61"/>
      <c r="G2709" s="67"/>
      <c r="H2709" s="60"/>
      <c r="I2709" s="60"/>
      <c r="J2709" s="61"/>
      <c r="K2709" s="61"/>
      <c r="L2709" s="60"/>
      <c r="M2709" s="74" t="str">
        <f>IF($C2709="","",IF($D2709="Gider",$E2709,IF($L2709&lt;&gt;"",$L2709,$H2709)))</f>
        <v/>
      </c>
      <c r="N2709" s="74" t="str">
        <f>IF($C2709="","",IF($D2709="Gider",$H2709,$E2709))</f>
        <v/>
      </c>
      <c r="O2709" s="73" t="str">
        <f>IF($C2709="","",DATE(YEAR($C2709),MONTH($C2709),1))</f>
        <v/>
      </c>
      <c r="P2709" s="65" t="str">
        <f ca="1">IF($C2709="","",IF(AND($D2709="Gelir",$L2709&lt;&gt;"",$T2709=""),"TANIMSIZ BORÇLU",IF($T2709&lt;&gt;"",IF(OR($E2709="",$G2709&lt;=0),"EKSİK",IF($I2709="Evet","TAHAKKUK NAKİT OLAMAZ",IF($C2709&gt;TODAY(),"İLERİ TARİH","TAHAKKUK"))),IF(AND($D2709&lt;&gt;"",$E2709&lt;&gt;"",$G2709&gt;0,$H2709&lt;&gt;"",$I2709&lt;&gt;""),IF($C2709&gt;TODAY(),"İLERİ TARİH",IF(COUNTIF($W$7:$W$3001,$W2709)&gt;1,"MÜKERRER?",IF($AD2709&gt;0,"KAPALI DÖNEM",IF($I2709="Hayır","ÖDENECEK","UYGUN")))),"EKSİK"))))</f>
        <v/>
      </c>
      <c r="Q2709" s="2"/>
      <c r="R2709" s="2"/>
      <c r="S2709" s="1" t="str">
        <f t="shared" si="128"/>
        <v/>
      </c>
      <c r="T2709" s="1" t="str">
        <f>IF(OR($C2709="",$D2709&lt;&gt;"Gelir",$L2709=""),"",IFERROR(INDEX(MUSTERILER!$B$7:$B$156,MATCH($S2709,MUSTERILER!$T$7:$T$156,0)),""))</f>
        <v/>
      </c>
      <c r="U2709" s="1" t="str">
        <f>IF($T2709="","",$T2709&amp;"|"&amp;COUNTIFS($T$7:$T2709,$T2709))</f>
        <v/>
      </c>
      <c r="V2709" s="1">
        <f t="shared" si="129"/>
        <v>0</v>
      </c>
      <c r="W2709" s="1" t="str">
        <f t="shared" si="130"/>
        <v/>
      </c>
      <c r="X2709" s="1"/>
      <c r="Y2709" s="1"/>
      <c r="Z2709" s="1"/>
      <c r="AA2709" s="1"/>
      <c r="AB2709" s="1"/>
      <c r="AC2709" s="1"/>
      <c r="AD2709" s="1">
        <f>IF($C2709="",0,SUMPRODUCT((AY_SONU!$O$7:$O$42="Evet")*(AY_SONU!$B$7:$B$42=DATE(YEAR($C2709),MONTH($C2709),1))))</f>
        <v>0</v>
      </c>
      <c r="AE2709" s="1" t="str">
        <f>IF($E2709="","",$E2709&amp;"|"&amp;COUNTIFS($E$7:$E2709,$E2709))</f>
        <v/>
      </c>
    </row>
    <row r="2710" spans="1:31" ht="18" customHeight="1" x14ac:dyDescent="0.3">
      <c r="A2710" s="2"/>
      <c r="B2710" s="65" t="str">
        <f>IF($C2710="","","GG"&amp;TEXT(ROW()-6,"00000"))</f>
        <v/>
      </c>
      <c r="C2710" s="66"/>
      <c r="D2710" s="60"/>
      <c r="E2710" s="61"/>
      <c r="F2710" s="61"/>
      <c r="G2710" s="67"/>
      <c r="H2710" s="60"/>
      <c r="I2710" s="60"/>
      <c r="J2710" s="61"/>
      <c r="K2710" s="61"/>
      <c r="L2710" s="60"/>
      <c r="M2710" s="74" t="str">
        <f>IF($C2710="","",IF($D2710="Gider",$E2710,IF($L2710&lt;&gt;"",$L2710,$H2710)))</f>
        <v/>
      </c>
      <c r="N2710" s="74" t="str">
        <f>IF($C2710="","",IF($D2710="Gider",$H2710,$E2710))</f>
        <v/>
      </c>
      <c r="O2710" s="73" t="str">
        <f>IF($C2710="","",DATE(YEAR($C2710),MONTH($C2710),1))</f>
        <v/>
      </c>
      <c r="P2710" s="65" t="str">
        <f ca="1">IF($C2710="","",IF(AND($D2710="Gelir",$L2710&lt;&gt;"",$T2710=""),"TANIMSIZ BORÇLU",IF($T2710&lt;&gt;"",IF(OR($E2710="",$G2710&lt;=0),"EKSİK",IF($I2710="Evet","TAHAKKUK NAKİT OLAMAZ",IF($C2710&gt;TODAY(),"İLERİ TARİH","TAHAKKUK"))),IF(AND($D2710&lt;&gt;"",$E2710&lt;&gt;"",$G2710&gt;0,$H2710&lt;&gt;"",$I2710&lt;&gt;""),IF($C2710&gt;TODAY(),"İLERİ TARİH",IF(COUNTIF($W$7:$W$3001,$W2710)&gt;1,"MÜKERRER?",IF($AD2710&gt;0,"KAPALI DÖNEM",IF($I2710="Hayır","ÖDENECEK","UYGUN")))),"EKSİK"))))</f>
        <v/>
      </c>
      <c r="Q2710" s="2"/>
      <c r="R2710" s="2"/>
      <c r="S2710" s="1" t="str">
        <f t="shared" si="128"/>
        <v/>
      </c>
      <c r="T2710" s="1" t="str">
        <f>IF(OR($C2710="",$D2710&lt;&gt;"Gelir",$L2710=""),"",IFERROR(INDEX(MUSTERILER!$B$7:$B$156,MATCH($S2710,MUSTERILER!$T$7:$T$156,0)),""))</f>
        <v/>
      </c>
      <c r="U2710" s="1" t="str">
        <f>IF($T2710="","",$T2710&amp;"|"&amp;COUNTIFS($T$7:$T2710,$T2710))</f>
        <v/>
      </c>
      <c r="V2710" s="1">
        <f t="shared" si="129"/>
        <v>0</v>
      </c>
      <c r="W2710" s="1" t="str">
        <f t="shared" si="130"/>
        <v/>
      </c>
      <c r="X2710" s="1"/>
      <c r="Y2710" s="1"/>
      <c r="Z2710" s="1"/>
      <c r="AA2710" s="1"/>
      <c r="AB2710" s="1"/>
      <c r="AC2710" s="1"/>
      <c r="AD2710" s="1">
        <f>IF($C2710="",0,SUMPRODUCT((AY_SONU!$O$7:$O$42="Evet")*(AY_SONU!$B$7:$B$42=DATE(YEAR($C2710),MONTH($C2710),1))))</f>
        <v>0</v>
      </c>
      <c r="AE2710" s="1" t="str">
        <f>IF($E2710="","",$E2710&amp;"|"&amp;COUNTIFS($E$7:$E2710,$E2710))</f>
        <v/>
      </c>
    </row>
    <row r="2711" spans="1:31" ht="18" customHeight="1" x14ac:dyDescent="0.3">
      <c r="A2711" s="2"/>
      <c r="B2711" s="65" t="str">
        <f>IF($C2711="","","GG"&amp;TEXT(ROW()-6,"00000"))</f>
        <v/>
      </c>
      <c r="C2711" s="66"/>
      <c r="D2711" s="60"/>
      <c r="E2711" s="61"/>
      <c r="F2711" s="61"/>
      <c r="G2711" s="67"/>
      <c r="H2711" s="60"/>
      <c r="I2711" s="60"/>
      <c r="J2711" s="61"/>
      <c r="K2711" s="61"/>
      <c r="L2711" s="60"/>
      <c r="M2711" s="74" t="str">
        <f>IF($C2711="","",IF($D2711="Gider",$E2711,IF($L2711&lt;&gt;"",$L2711,$H2711)))</f>
        <v/>
      </c>
      <c r="N2711" s="74" t="str">
        <f>IF($C2711="","",IF($D2711="Gider",$H2711,$E2711))</f>
        <v/>
      </c>
      <c r="O2711" s="73" t="str">
        <f>IF($C2711="","",DATE(YEAR($C2711),MONTH($C2711),1))</f>
        <v/>
      </c>
      <c r="P2711" s="65" t="str">
        <f ca="1">IF($C2711="","",IF(AND($D2711="Gelir",$L2711&lt;&gt;"",$T2711=""),"TANIMSIZ BORÇLU",IF($T2711&lt;&gt;"",IF(OR($E2711="",$G2711&lt;=0),"EKSİK",IF($I2711="Evet","TAHAKKUK NAKİT OLAMAZ",IF($C2711&gt;TODAY(),"İLERİ TARİH","TAHAKKUK"))),IF(AND($D2711&lt;&gt;"",$E2711&lt;&gt;"",$G2711&gt;0,$H2711&lt;&gt;"",$I2711&lt;&gt;""),IF($C2711&gt;TODAY(),"İLERİ TARİH",IF(COUNTIF($W$7:$W$3001,$W2711)&gt;1,"MÜKERRER?",IF($AD2711&gt;0,"KAPALI DÖNEM",IF($I2711="Hayır","ÖDENECEK","UYGUN")))),"EKSİK"))))</f>
        <v/>
      </c>
      <c r="Q2711" s="2"/>
      <c r="R2711" s="2"/>
      <c r="S2711" s="1" t="str">
        <f t="shared" si="128"/>
        <v/>
      </c>
      <c r="T2711" s="1" t="str">
        <f>IF(OR($C2711="",$D2711&lt;&gt;"Gelir",$L2711=""),"",IFERROR(INDEX(MUSTERILER!$B$7:$B$156,MATCH($S2711,MUSTERILER!$T$7:$T$156,0)),""))</f>
        <v/>
      </c>
      <c r="U2711" s="1" t="str">
        <f>IF($T2711="","",$T2711&amp;"|"&amp;COUNTIFS($T$7:$T2711,$T2711))</f>
        <v/>
      </c>
      <c r="V2711" s="1">
        <f t="shared" si="129"/>
        <v>0</v>
      </c>
      <c r="W2711" s="1" t="str">
        <f t="shared" si="130"/>
        <v/>
      </c>
      <c r="X2711" s="1"/>
      <c r="Y2711" s="1"/>
      <c r="Z2711" s="1"/>
      <c r="AA2711" s="1"/>
      <c r="AB2711" s="1"/>
      <c r="AC2711" s="1"/>
      <c r="AD2711" s="1">
        <f>IF($C2711="",0,SUMPRODUCT((AY_SONU!$O$7:$O$42="Evet")*(AY_SONU!$B$7:$B$42=DATE(YEAR($C2711),MONTH($C2711),1))))</f>
        <v>0</v>
      </c>
      <c r="AE2711" s="1" t="str">
        <f>IF($E2711="","",$E2711&amp;"|"&amp;COUNTIFS($E$7:$E2711,$E2711))</f>
        <v/>
      </c>
    </row>
    <row r="2712" spans="1:31" ht="18" customHeight="1" x14ac:dyDescent="0.3">
      <c r="A2712" s="2"/>
      <c r="B2712" s="65" t="str">
        <f>IF($C2712="","","GG"&amp;TEXT(ROW()-6,"00000"))</f>
        <v/>
      </c>
      <c r="C2712" s="66"/>
      <c r="D2712" s="60"/>
      <c r="E2712" s="61"/>
      <c r="F2712" s="61"/>
      <c r="G2712" s="67"/>
      <c r="H2712" s="60"/>
      <c r="I2712" s="60"/>
      <c r="J2712" s="61"/>
      <c r="K2712" s="61"/>
      <c r="L2712" s="60"/>
      <c r="M2712" s="74" t="str">
        <f>IF($C2712="","",IF($D2712="Gider",$E2712,IF($L2712&lt;&gt;"",$L2712,$H2712)))</f>
        <v/>
      </c>
      <c r="N2712" s="74" t="str">
        <f>IF($C2712="","",IF($D2712="Gider",$H2712,$E2712))</f>
        <v/>
      </c>
      <c r="O2712" s="73" t="str">
        <f>IF($C2712="","",DATE(YEAR($C2712),MONTH($C2712),1))</f>
        <v/>
      </c>
      <c r="P2712" s="65" t="str">
        <f ca="1">IF($C2712="","",IF(AND($D2712="Gelir",$L2712&lt;&gt;"",$T2712=""),"TANIMSIZ BORÇLU",IF($T2712&lt;&gt;"",IF(OR($E2712="",$G2712&lt;=0),"EKSİK",IF($I2712="Evet","TAHAKKUK NAKİT OLAMAZ",IF($C2712&gt;TODAY(),"İLERİ TARİH","TAHAKKUK"))),IF(AND($D2712&lt;&gt;"",$E2712&lt;&gt;"",$G2712&gt;0,$H2712&lt;&gt;"",$I2712&lt;&gt;""),IF($C2712&gt;TODAY(),"İLERİ TARİH",IF(COUNTIF($W$7:$W$3001,$W2712)&gt;1,"MÜKERRER?",IF($AD2712&gt;0,"KAPALI DÖNEM",IF($I2712="Hayır","ÖDENECEK","UYGUN")))),"EKSİK"))))</f>
        <v/>
      </c>
      <c r="Q2712" s="2"/>
      <c r="R2712" s="2"/>
      <c r="S2712" s="1" t="str">
        <f t="shared" si="128"/>
        <v/>
      </c>
      <c r="T2712" s="1" t="str">
        <f>IF(OR($C2712="",$D2712&lt;&gt;"Gelir",$L2712=""),"",IFERROR(INDEX(MUSTERILER!$B$7:$B$156,MATCH($S2712,MUSTERILER!$T$7:$T$156,0)),""))</f>
        <v/>
      </c>
      <c r="U2712" s="1" t="str">
        <f>IF($T2712="","",$T2712&amp;"|"&amp;COUNTIFS($T$7:$T2712,$T2712))</f>
        <v/>
      </c>
      <c r="V2712" s="1">
        <f t="shared" si="129"/>
        <v>0</v>
      </c>
      <c r="W2712" s="1" t="str">
        <f t="shared" si="130"/>
        <v/>
      </c>
      <c r="X2712" s="1"/>
      <c r="Y2712" s="1"/>
      <c r="Z2712" s="1"/>
      <c r="AA2712" s="1"/>
      <c r="AB2712" s="1"/>
      <c r="AC2712" s="1"/>
      <c r="AD2712" s="1">
        <f>IF($C2712="",0,SUMPRODUCT((AY_SONU!$O$7:$O$42="Evet")*(AY_SONU!$B$7:$B$42=DATE(YEAR($C2712),MONTH($C2712),1))))</f>
        <v>0</v>
      </c>
      <c r="AE2712" s="1" t="str">
        <f>IF($E2712="","",$E2712&amp;"|"&amp;COUNTIFS($E$7:$E2712,$E2712))</f>
        <v/>
      </c>
    </row>
    <row r="2713" spans="1:31" ht="18" customHeight="1" x14ac:dyDescent="0.3">
      <c r="A2713" s="2"/>
      <c r="B2713" s="65" t="str">
        <f>IF($C2713="","","GG"&amp;TEXT(ROW()-6,"00000"))</f>
        <v/>
      </c>
      <c r="C2713" s="66"/>
      <c r="D2713" s="60"/>
      <c r="E2713" s="61"/>
      <c r="F2713" s="61"/>
      <c r="G2713" s="67"/>
      <c r="H2713" s="60"/>
      <c r="I2713" s="60"/>
      <c r="J2713" s="61"/>
      <c r="K2713" s="61"/>
      <c r="L2713" s="60"/>
      <c r="M2713" s="74" t="str">
        <f>IF($C2713="","",IF($D2713="Gider",$E2713,IF($L2713&lt;&gt;"",$L2713,$H2713)))</f>
        <v/>
      </c>
      <c r="N2713" s="74" t="str">
        <f>IF($C2713="","",IF($D2713="Gider",$H2713,$E2713))</f>
        <v/>
      </c>
      <c r="O2713" s="73" t="str">
        <f>IF($C2713="","",DATE(YEAR($C2713),MONTH($C2713),1))</f>
        <v/>
      </c>
      <c r="P2713" s="65" t="str">
        <f ca="1">IF($C2713="","",IF(AND($D2713="Gelir",$L2713&lt;&gt;"",$T2713=""),"TANIMSIZ BORÇLU",IF($T2713&lt;&gt;"",IF(OR($E2713="",$G2713&lt;=0),"EKSİK",IF($I2713="Evet","TAHAKKUK NAKİT OLAMAZ",IF($C2713&gt;TODAY(),"İLERİ TARİH","TAHAKKUK"))),IF(AND($D2713&lt;&gt;"",$E2713&lt;&gt;"",$G2713&gt;0,$H2713&lt;&gt;"",$I2713&lt;&gt;""),IF($C2713&gt;TODAY(),"İLERİ TARİH",IF(COUNTIF($W$7:$W$3001,$W2713)&gt;1,"MÜKERRER?",IF($AD2713&gt;0,"KAPALI DÖNEM",IF($I2713="Hayır","ÖDENECEK","UYGUN")))),"EKSİK"))))</f>
        <v/>
      </c>
      <c r="Q2713" s="2"/>
      <c r="R2713" s="2"/>
      <c r="S2713" s="1" t="str">
        <f t="shared" si="128"/>
        <v/>
      </c>
      <c r="T2713" s="1" t="str">
        <f>IF(OR($C2713="",$D2713&lt;&gt;"Gelir",$L2713=""),"",IFERROR(INDEX(MUSTERILER!$B$7:$B$156,MATCH($S2713,MUSTERILER!$T$7:$T$156,0)),""))</f>
        <v/>
      </c>
      <c r="U2713" s="1" t="str">
        <f>IF($T2713="","",$T2713&amp;"|"&amp;COUNTIFS($T$7:$T2713,$T2713))</f>
        <v/>
      </c>
      <c r="V2713" s="1">
        <f t="shared" si="129"/>
        <v>0</v>
      </c>
      <c r="W2713" s="1" t="str">
        <f t="shared" si="130"/>
        <v/>
      </c>
      <c r="X2713" s="1"/>
      <c r="Y2713" s="1"/>
      <c r="Z2713" s="1"/>
      <c r="AA2713" s="1"/>
      <c r="AB2713" s="1"/>
      <c r="AC2713" s="1"/>
      <c r="AD2713" s="1">
        <f>IF($C2713="",0,SUMPRODUCT((AY_SONU!$O$7:$O$42="Evet")*(AY_SONU!$B$7:$B$42=DATE(YEAR($C2713),MONTH($C2713),1))))</f>
        <v>0</v>
      </c>
      <c r="AE2713" s="1" t="str">
        <f>IF($E2713="","",$E2713&amp;"|"&amp;COUNTIFS($E$7:$E2713,$E2713))</f>
        <v/>
      </c>
    </row>
    <row r="2714" spans="1:31" ht="18" customHeight="1" x14ac:dyDescent="0.3">
      <c r="A2714" s="2"/>
      <c r="B2714" s="65" t="str">
        <f>IF($C2714="","","GG"&amp;TEXT(ROW()-6,"00000"))</f>
        <v/>
      </c>
      <c r="C2714" s="66"/>
      <c r="D2714" s="60"/>
      <c r="E2714" s="61"/>
      <c r="F2714" s="61"/>
      <c r="G2714" s="67"/>
      <c r="H2714" s="60"/>
      <c r="I2714" s="60"/>
      <c r="J2714" s="61"/>
      <c r="K2714" s="61"/>
      <c r="L2714" s="60"/>
      <c r="M2714" s="74" t="str">
        <f>IF($C2714="","",IF($D2714="Gider",$E2714,IF($L2714&lt;&gt;"",$L2714,$H2714)))</f>
        <v/>
      </c>
      <c r="N2714" s="74" t="str">
        <f>IF($C2714="","",IF($D2714="Gider",$H2714,$E2714))</f>
        <v/>
      </c>
      <c r="O2714" s="73" t="str">
        <f>IF($C2714="","",DATE(YEAR($C2714),MONTH($C2714),1))</f>
        <v/>
      </c>
      <c r="P2714" s="65" t="str">
        <f ca="1">IF($C2714="","",IF(AND($D2714="Gelir",$L2714&lt;&gt;"",$T2714=""),"TANIMSIZ BORÇLU",IF($T2714&lt;&gt;"",IF(OR($E2714="",$G2714&lt;=0),"EKSİK",IF($I2714="Evet","TAHAKKUK NAKİT OLAMAZ",IF($C2714&gt;TODAY(),"İLERİ TARİH","TAHAKKUK"))),IF(AND($D2714&lt;&gt;"",$E2714&lt;&gt;"",$G2714&gt;0,$H2714&lt;&gt;"",$I2714&lt;&gt;""),IF($C2714&gt;TODAY(),"İLERİ TARİH",IF(COUNTIF($W$7:$W$3001,$W2714)&gt;1,"MÜKERRER?",IF($AD2714&gt;0,"KAPALI DÖNEM",IF($I2714="Hayır","ÖDENECEK","UYGUN")))),"EKSİK"))))</f>
        <v/>
      </c>
      <c r="Q2714" s="2"/>
      <c r="R2714" s="2"/>
      <c r="S2714" s="1" t="str">
        <f t="shared" si="128"/>
        <v/>
      </c>
      <c r="T2714" s="1" t="str">
        <f>IF(OR($C2714="",$D2714&lt;&gt;"Gelir",$L2714=""),"",IFERROR(INDEX(MUSTERILER!$B$7:$B$156,MATCH($S2714,MUSTERILER!$T$7:$T$156,0)),""))</f>
        <v/>
      </c>
      <c r="U2714" s="1" t="str">
        <f>IF($T2714="","",$T2714&amp;"|"&amp;COUNTIFS($T$7:$T2714,$T2714))</f>
        <v/>
      </c>
      <c r="V2714" s="1">
        <f t="shared" si="129"/>
        <v>0</v>
      </c>
      <c r="W2714" s="1" t="str">
        <f t="shared" si="130"/>
        <v/>
      </c>
      <c r="X2714" s="1"/>
      <c r="Y2714" s="1"/>
      <c r="Z2714" s="1"/>
      <c r="AA2714" s="1"/>
      <c r="AB2714" s="1"/>
      <c r="AC2714" s="1"/>
      <c r="AD2714" s="1">
        <f>IF($C2714="",0,SUMPRODUCT((AY_SONU!$O$7:$O$42="Evet")*(AY_SONU!$B$7:$B$42=DATE(YEAR($C2714),MONTH($C2714),1))))</f>
        <v>0</v>
      </c>
      <c r="AE2714" s="1" t="str">
        <f>IF($E2714="","",$E2714&amp;"|"&amp;COUNTIFS($E$7:$E2714,$E2714))</f>
        <v/>
      </c>
    </row>
    <row r="2715" spans="1:31" ht="18" customHeight="1" x14ac:dyDescent="0.3">
      <c r="A2715" s="2"/>
      <c r="B2715" s="65" t="str">
        <f>IF($C2715="","","GG"&amp;TEXT(ROW()-6,"00000"))</f>
        <v/>
      </c>
      <c r="C2715" s="66"/>
      <c r="D2715" s="60"/>
      <c r="E2715" s="61"/>
      <c r="F2715" s="61"/>
      <c r="G2715" s="67"/>
      <c r="H2715" s="60"/>
      <c r="I2715" s="60"/>
      <c r="J2715" s="61"/>
      <c r="K2715" s="61"/>
      <c r="L2715" s="60"/>
      <c r="M2715" s="74" t="str">
        <f>IF($C2715="","",IF($D2715="Gider",$E2715,IF($L2715&lt;&gt;"",$L2715,$H2715)))</f>
        <v/>
      </c>
      <c r="N2715" s="74" t="str">
        <f>IF($C2715="","",IF($D2715="Gider",$H2715,$E2715))</f>
        <v/>
      </c>
      <c r="O2715" s="73" t="str">
        <f>IF($C2715="","",DATE(YEAR($C2715),MONTH($C2715),1))</f>
        <v/>
      </c>
      <c r="P2715" s="65" t="str">
        <f ca="1">IF($C2715="","",IF(AND($D2715="Gelir",$L2715&lt;&gt;"",$T2715=""),"TANIMSIZ BORÇLU",IF($T2715&lt;&gt;"",IF(OR($E2715="",$G2715&lt;=0),"EKSİK",IF($I2715="Evet","TAHAKKUK NAKİT OLAMAZ",IF($C2715&gt;TODAY(),"İLERİ TARİH","TAHAKKUK"))),IF(AND($D2715&lt;&gt;"",$E2715&lt;&gt;"",$G2715&gt;0,$H2715&lt;&gt;"",$I2715&lt;&gt;""),IF($C2715&gt;TODAY(),"İLERİ TARİH",IF(COUNTIF($W$7:$W$3001,$W2715)&gt;1,"MÜKERRER?",IF($AD2715&gt;0,"KAPALI DÖNEM",IF($I2715="Hayır","ÖDENECEK","UYGUN")))),"EKSİK"))))</f>
        <v/>
      </c>
      <c r="Q2715" s="2"/>
      <c r="R2715" s="2"/>
      <c r="S2715" s="1" t="str">
        <f t="shared" si="128"/>
        <v/>
      </c>
      <c r="T2715" s="1" t="str">
        <f>IF(OR($C2715="",$D2715&lt;&gt;"Gelir",$L2715=""),"",IFERROR(INDEX(MUSTERILER!$B$7:$B$156,MATCH($S2715,MUSTERILER!$T$7:$T$156,0)),""))</f>
        <v/>
      </c>
      <c r="U2715" s="1" t="str">
        <f>IF($T2715="","",$T2715&amp;"|"&amp;COUNTIFS($T$7:$T2715,$T2715))</f>
        <v/>
      </c>
      <c r="V2715" s="1">
        <f t="shared" si="129"/>
        <v>0</v>
      </c>
      <c r="W2715" s="1" t="str">
        <f t="shared" si="130"/>
        <v/>
      </c>
      <c r="X2715" s="1"/>
      <c r="Y2715" s="1"/>
      <c r="Z2715" s="1"/>
      <c r="AA2715" s="1"/>
      <c r="AB2715" s="1"/>
      <c r="AC2715" s="1"/>
      <c r="AD2715" s="1">
        <f>IF($C2715="",0,SUMPRODUCT((AY_SONU!$O$7:$O$42="Evet")*(AY_SONU!$B$7:$B$42=DATE(YEAR($C2715),MONTH($C2715),1))))</f>
        <v>0</v>
      </c>
      <c r="AE2715" s="1" t="str">
        <f>IF($E2715="","",$E2715&amp;"|"&amp;COUNTIFS($E$7:$E2715,$E2715))</f>
        <v/>
      </c>
    </row>
    <row r="2716" spans="1:31" ht="18" customHeight="1" x14ac:dyDescent="0.3">
      <c r="A2716" s="2"/>
      <c r="B2716" s="65" t="str">
        <f>IF($C2716="","","GG"&amp;TEXT(ROW()-6,"00000"))</f>
        <v/>
      </c>
      <c r="C2716" s="66"/>
      <c r="D2716" s="60"/>
      <c r="E2716" s="61"/>
      <c r="F2716" s="61"/>
      <c r="G2716" s="67"/>
      <c r="H2716" s="60"/>
      <c r="I2716" s="60"/>
      <c r="J2716" s="61"/>
      <c r="K2716" s="61"/>
      <c r="L2716" s="60"/>
      <c r="M2716" s="74" t="str">
        <f>IF($C2716="","",IF($D2716="Gider",$E2716,IF($L2716&lt;&gt;"",$L2716,$H2716)))</f>
        <v/>
      </c>
      <c r="N2716" s="74" t="str">
        <f>IF($C2716="","",IF($D2716="Gider",$H2716,$E2716))</f>
        <v/>
      </c>
      <c r="O2716" s="73" t="str">
        <f>IF($C2716="","",DATE(YEAR($C2716),MONTH($C2716),1))</f>
        <v/>
      </c>
      <c r="P2716" s="65" t="str">
        <f ca="1">IF($C2716="","",IF(AND($D2716="Gelir",$L2716&lt;&gt;"",$T2716=""),"TANIMSIZ BORÇLU",IF($T2716&lt;&gt;"",IF(OR($E2716="",$G2716&lt;=0),"EKSİK",IF($I2716="Evet","TAHAKKUK NAKİT OLAMAZ",IF($C2716&gt;TODAY(),"İLERİ TARİH","TAHAKKUK"))),IF(AND($D2716&lt;&gt;"",$E2716&lt;&gt;"",$G2716&gt;0,$H2716&lt;&gt;"",$I2716&lt;&gt;""),IF($C2716&gt;TODAY(),"İLERİ TARİH",IF(COUNTIF($W$7:$W$3001,$W2716)&gt;1,"MÜKERRER?",IF($AD2716&gt;0,"KAPALI DÖNEM",IF($I2716="Hayır","ÖDENECEK","UYGUN")))),"EKSİK"))))</f>
        <v/>
      </c>
      <c r="Q2716" s="2"/>
      <c r="R2716" s="2"/>
      <c r="S2716" s="1" t="str">
        <f t="shared" si="128"/>
        <v/>
      </c>
      <c r="T2716" s="1" t="str">
        <f>IF(OR($C2716="",$D2716&lt;&gt;"Gelir",$L2716=""),"",IFERROR(INDEX(MUSTERILER!$B$7:$B$156,MATCH($S2716,MUSTERILER!$T$7:$T$156,0)),""))</f>
        <v/>
      </c>
      <c r="U2716" s="1" t="str">
        <f>IF($T2716="","",$T2716&amp;"|"&amp;COUNTIFS($T$7:$T2716,$T2716))</f>
        <v/>
      </c>
      <c r="V2716" s="1">
        <f t="shared" si="129"/>
        <v>0</v>
      </c>
      <c r="W2716" s="1" t="str">
        <f t="shared" si="130"/>
        <v/>
      </c>
      <c r="X2716" s="1"/>
      <c r="Y2716" s="1"/>
      <c r="Z2716" s="1"/>
      <c r="AA2716" s="1"/>
      <c r="AB2716" s="1"/>
      <c r="AC2716" s="1"/>
      <c r="AD2716" s="1">
        <f>IF($C2716="",0,SUMPRODUCT((AY_SONU!$O$7:$O$42="Evet")*(AY_SONU!$B$7:$B$42=DATE(YEAR($C2716),MONTH($C2716),1))))</f>
        <v>0</v>
      </c>
      <c r="AE2716" s="1" t="str">
        <f>IF($E2716="","",$E2716&amp;"|"&amp;COUNTIFS($E$7:$E2716,$E2716))</f>
        <v/>
      </c>
    </row>
    <row r="2717" spans="1:31" ht="18" customHeight="1" x14ac:dyDescent="0.3">
      <c r="A2717" s="2"/>
      <c r="B2717" s="65" t="str">
        <f>IF($C2717="","","GG"&amp;TEXT(ROW()-6,"00000"))</f>
        <v/>
      </c>
      <c r="C2717" s="66"/>
      <c r="D2717" s="60"/>
      <c r="E2717" s="61"/>
      <c r="F2717" s="61"/>
      <c r="G2717" s="67"/>
      <c r="H2717" s="60"/>
      <c r="I2717" s="60"/>
      <c r="J2717" s="61"/>
      <c r="K2717" s="61"/>
      <c r="L2717" s="60"/>
      <c r="M2717" s="74" t="str">
        <f>IF($C2717="","",IF($D2717="Gider",$E2717,IF($L2717&lt;&gt;"",$L2717,$H2717)))</f>
        <v/>
      </c>
      <c r="N2717" s="74" t="str">
        <f>IF($C2717="","",IF($D2717="Gider",$H2717,$E2717))</f>
        <v/>
      </c>
      <c r="O2717" s="73" t="str">
        <f>IF($C2717="","",DATE(YEAR($C2717),MONTH($C2717),1))</f>
        <v/>
      </c>
      <c r="P2717" s="65" t="str">
        <f ca="1">IF($C2717="","",IF(AND($D2717="Gelir",$L2717&lt;&gt;"",$T2717=""),"TANIMSIZ BORÇLU",IF($T2717&lt;&gt;"",IF(OR($E2717="",$G2717&lt;=0),"EKSİK",IF($I2717="Evet","TAHAKKUK NAKİT OLAMAZ",IF($C2717&gt;TODAY(),"İLERİ TARİH","TAHAKKUK"))),IF(AND($D2717&lt;&gt;"",$E2717&lt;&gt;"",$G2717&gt;0,$H2717&lt;&gt;"",$I2717&lt;&gt;""),IF($C2717&gt;TODAY(),"İLERİ TARİH",IF(COUNTIF($W$7:$W$3001,$W2717)&gt;1,"MÜKERRER?",IF($AD2717&gt;0,"KAPALI DÖNEM",IF($I2717="Hayır","ÖDENECEK","UYGUN")))),"EKSİK"))))</f>
        <v/>
      </c>
      <c r="Q2717" s="2"/>
      <c r="R2717" s="2"/>
      <c r="S2717" s="1" t="str">
        <f t="shared" si="128"/>
        <v/>
      </c>
      <c r="T2717" s="1" t="str">
        <f>IF(OR($C2717="",$D2717&lt;&gt;"Gelir",$L2717=""),"",IFERROR(INDEX(MUSTERILER!$B$7:$B$156,MATCH($S2717,MUSTERILER!$T$7:$T$156,0)),""))</f>
        <v/>
      </c>
      <c r="U2717" s="1" t="str">
        <f>IF($T2717="","",$T2717&amp;"|"&amp;COUNTIFS($T$7:$T2717,$T2717))</f>
        <v/>
      </c>
      <c r="V2717" s="1">
        <f t="shared" si="129"/>
        <v>0</v>
      </c>
      <c r="W2717" s="1" t="str">
        <f t="shared" si="130"/>
        <v/>
      </c>
      <c r="X2717" s="1"/>
      <c r="Y2717" s="1"/>
      <c r="Z2717" s="1"/>
      <c r="AA2717" s="1"/>
      <c r="AB2717" s="1"/>
      <c r="AC2717" s="1"/>
      <c r="AD2717" s="1">
        <f>IF($C2717="",0,SUMPRODUCT((AY_SONU!$O$7:$O$42="Evet")*(AY_SONU!$B$7:$B$42=DATE(YEAR($C2717),MONTH($C2717),1))))</f>
        <v>0</v>
      </c>
      <c r="AE2717" s="1" t="str">
        <f>IF($E2717="","",$E2717&amp;"|"&amp;COUNTIFS($E$7:$E2717,$E2717))</f>
        <v/>
      </c>
    </row>
    <row r="2718" spans="1:31" ht="18" customHeight="1" x14ac:dyDescent="0.3">
      <c r="A2718" s="2"/>
      <c r="B2718" s="65" t="str">
        <f>IF($C2718="","","GG"&amp;TEXT(ROW()-6,"00000"))</f>
        <v/>
      </c>
      <c r="C2718" s="66"/>
      <c r="D2718" s="60"/>
      <c r="E2718" s="61"/>
      <c r="F2718" s="61"/>
      <c r="G2718" s="67"/>
      <c r="H2718" s="60"/>
      <c r="I2718" s="60"/>
      <c r="J2718" s="61"/>
      <c r="K2718" s="61"/>
      <c r="L2718" s="60"/>
      <c r="M2718" s="74" t="str">
        <f>IF($C2718="","",IF($D2718="Gider",$E2718,IF($L2718&lt;&gt;"",$L2718,$H2718)))</f>
        <v/>
      </c>
      <c r="N2718" s="74" t="str">
        <f>IF($C2718="","",IF($D2718="Gider",$H2718,$E2718))</f>
        <v/>
      </c>
      <c r="O2718" s="73" t="str">
        <f>IF($C2718="","",DATE(YEAR($C2718),MONTH($C2718),1))</f>
        <v/>
      </c>
      <c r="P2718" s="65" t="str">
        <f ca="1">IF($C2718="","",IF(AND($D2718="Gelir",$L2718&lt;&gt;"",$T2718=""),"TANIMSIZ BORÇLU",IF($T2718&lt;&gt;"",IF(OR($E2718="",$G2718&lt;=0),"EKSİK",IF($I2718="Evet","TAHAKKUK NAKİT OLAMAZ",IF($C2718&gt;TODAY(),"İLERİ TARİH","TAHAKKUK"))),IF(AND($D2718&lt;&gt;"",$E2718&lt;&gt;"",$G2718&gt;0,$H2718&lt;&gt;"",$I2718&lt;&gt;""),IF($C2718&gt;TODAY(),"İLERİ TARİH",IF(COUNTIF($W$7:$W$3001,$W2718)&gt;1,"MÜKERRER?",IF($AD2718&gt;0,"KAPALI DÖNEM",IF($I2718="Hayır","ÖDENECEK","UYGUN")))),"EKSİK"))))</f>
        <v/>
      </c>
      <c r="Q2718" s="2"/>
      <c r="R2718" s="2"/>
      <c r="S2718" s="1" t="str">
        <f t="shared" si="128"/>
        <v/>
      </c>
      <c r="T2718" s="1" t="str">
        <f>IF(OR($C2718="",$D2718&lt;&gt;"Gelir",$L2718=""),"",IFERROR(INDEX(MUSTERILER!$B$7:$B$156,MATCH($S2718,MUSTERILER!$T$7:$T$156,0)),""))</f>
        <v/>
      </c>
      <c r="U2718" s="1" t="str">
        <f>IF($T2718="","",$T2718&amp;"|"&amp;COUNTIFS($T$7:$T2718,$T2718))</f>
        <v/>
      </c>
      <c r="V2718" s="1">
        <f t="shared" si="129"/>
        <v>0</v>
      </c>
      <c r="W2718" s="1" t="str">
        <f t="shared" si="130"/>
        <v/>
      </c>
      <c r="X2718" s="1"/>
      <c r="Y2718" s="1"/>
      <c r="Z2718" s="1"/>
      <c r="AA2718" s="1"/>
      <c r="AB2718" s="1"/>
      <c r="AC2718" s="1"/>
      <c r="AD2718" s="1">
        <f>IF($C2718="",0,SUMPRODUCT((AY_SONU!$O$7:$O$42="Evet")*(AY_SONU!$B$7:$B$42=DATE(YEAR($C2718),MONTH($C2718),1))))</f>
        <v>0</v>
      </c>
      <c r="AE2718" s="1" t="str">
        <f>IF($E2718="","",$E2718&amp;"|"&amp;COUNTIFS($E$7:$E2718,$E2718))</f>
        <v/>
      </c>
    </row>
    <row r="2719" spans="1:31" ht="18" customHeight="1" x14ac:dyDescent="0.3">
      <c r="A2719" s="2"/>
      <c r="B2719" s="65" t="str">
        <f>IF($C2719="","","GG"&amp;TEXT(ROW()-6,"00000"))</f>
        <v/>
      </c>
      <c r="C2719" s="66"/>
      <c r="D2719" s="60"/>
      <c r="E2719" s="61"/>
      <c r="F2719" s="61"/>
      <c r="G2719" s="67"/>
      <c r="H2719" s="60"/>
      <c r="I2719" s="60"/>
      <c r="J2719" s="61"/>
      <c r="K2719" s="61"/>
      <c r="L2719" s="60"/>
      <c r="M2719" s="74" t="str">
        <f>IF($C2719="","",IF($D2719="Gider",$E2719,IF($L2719&lt;&gt;"",$L2719,$H2719)))</f>
        <v/>
      </c>
      <c r="N2719" s="74" t="str">
        <f>IF($C2719="","",IF($D2719="Gider",$H2719,$E2719))</f>
        <v/>
      </c>
      <c r="O2719" s="73" t="str">
        <f>IF($C2719="","",DATE(YEAR($C2719),MONTH($C2719),1))</f>
        <v/>
      </c>
      <c r="P2719" s="65" t="str">
        <f ca="1">IF($C2719="","",IF(AND($D2719="Gelir",$L2719&lt;&gt;"",$T2719=""),"TANIMSIZ BORÇLU",IF($T2719&lt;&gt;"",IF(OR($E2719="",$G2719&lt;=0),"EKSİK",IF($I2719="Evet","TAHAKKUK NAKİT OLAMAZ",IF($C2719&gt;TODAY(),"İLERİ TARİH","TAHAKKUK"))),IF(AND($D2719&lt;&gt;"",$E2719&lt;&gt;"",$G2719&gt;0,$H2719&lt;&gt;"",$I2719&lt;&gt;""),IF($C2719&gt;TODAY(),"İLERİ TARİH",IF(COUNTIF($W$7:$W$3001,$W2719)&gt;1,"MÜKERRER?",IF($AD2719&gt;0,"KAPALI DÖNEM",IF($I2719="Hayır","ÖDENECEK","UYGUN")))),"EKSİK"))))</f>
        <v/>
      </c>
      <c r="Q2719" s="2"/>
      <c r="R2719" s="2"/>
      <c r="S2719" s="1" t="str">
        <f t="shared" si="128"/>
        <v/>
      </c>
      <c r="T2719" s="1" t="str">
        <f>IF(OR($C2719="",$D2719&lt;&gt;"Gelir",$L2719=""),"",IFERROR(INDEX(MUSTERILER!$B$7:$B$156,MATCH($S2719,MUSTERILER!$T$7:$T$156,0)),""))</f>
        <v/>
      </c>
      <c r="U2719" s="1" t="str">
        <f>IF($T2719="","",$T2719&amp;"|"&amp;COUNTIFS($T$7:$T2719,$T2719))</f>
        <v/>
      </c>
      <c r="V2719" s="1">
        <f t="shared" si="129"/>
        <v>0</v>
      </c>
      <c r="W2719" s="1" t="str">
        <f t="shared" si="130"/>
        <v/>
      </c>
      <c r="X2719" s="1"/>
      <c r="Y2719" s="1"/>
      <c r="Z2719" s="1"/>
      <c r="AA2719" s="1"/>
      <c r="AB2719" s="1"/>
      <c r="AC2719" s="1"/>
      <c r="AD2719" s="1">
        <f>IF($C2719="",0,SUMPRODUCT((AY_SONU!$O$7:$O$42="Evet")*(AY_SONU!$B$7:$B$42=DATE(YEAR($C2719),MONTH($C2719),1))))</f>
        <v>0</v>
      </c>
      <c r="AE2719" s="1" t="str">
        <f>IF($E2719="","",$E2719&amp;"|"&amp;COUNTIFS($E$7:$E2719,$E2719))</f>
        <v/>
      </c>
    </row>
    <row r="2720" spans="1:31" ht="18" customHeight="1" x14ac:dyDescent="0.3">
      <c r="A2720" s="2"/>
      <c r="B2720" s="65" t="str">
        <f>IF($C2720="","","GG"&amp;TEXT(ROW()-6,"00000"))</f>
        <v/>
      </c>
      <c r="C2720" s="66"/>
      <c r="D2720" s="60"/>
      <c r="E2720" s="61"/>
      <c r="F2720" s="61"/>
      <c r="G2720" s="67"/>
      <c r="H2720" s="60"/>
      <c r="I2720" s="60"/>
      <c r="J2720" s="61"/>
      <c r="K2720" s="61"/>
      <c r="L2720" s="60"/>
      <c r="M2720" s="74" t="str">
        <f>IF($C2720="","",IF($D2720="Gider",$E2720,IF($L2720&lt;&gt;"",$L2720,$H2720)))</f>
        <v/>
      </c>
      <c r="N2720" s="74" t="str">
        <f>IF($C2720="","",IF($D2720="Gider",$H2720,$E2720))</f>
        <v/>
      </c>
      <c r="O2720" s="73" t="str">
        <f>IF($C2720="","",DATE(YEAR($C2720),MONTH($C2720),1))</f>
        <v/>
      </c>
      <c r="P2720" s="65" t="str">
        <f ca="1">IF($C2720="","",IF(AND($D2720="Gelir",$L2720&lt;&gt;"",$T2720=""),"TANIMSIZ BORÇLU",IF($T2720&lt;&gt;"",IF(OR($E2720="",$G2720&lt;=0),"EKSİK",IF($I2720="Evet","TAHAKKUK NAKİT OLAMAZ",IF($C2720&gt;TODAY(),"İLERİ TARİH","TAHAKKUK"))),IF(AND($D2720&lt;&gt;"",$E2720&lt;&gt;"",$G2720&gt;0,$H2720&lt;&gt;"",$I2720&lt;&gt;""),IF($C2720&gt;TODAY(),"İLERİ TARİH",IF(COUNTIF($W$7:$W$3001,$W2720)&gt;1,"MÜKERRER?",IF($AD2720&gt;0,"KAPALI DÖNEM",IF($I2720="Hayır","ÖDENECEK","UYGUN")))),"EKSİK"))))</f>
        <v/>
      </c>
      <c r="Q2720" s="2"/>
      <c r="R2720" s="2"/>
      <c r="S2720" s="1" t="str">
        <f t="shared" si="128"/>
        <v/>
      </c>
      <c r="T2720" s="1" t="str">
        <f>IF(OR($C2720="",$D2720&lt;&gt;"Gelir",$L2720=""),"",IFERROR(INDEX(MUSTERILER!$B$7:$B$156,MATCH($S2720,MUSTERILER!$T$7:$T$156,0)),""))</f>
        <v/>
      </c>
      <c r="U2720" s="1" t="str">
        <f>IF($T2720="","",$T2720&amp;"|"&amp;COUNTIFS($T$7:$T2720,$T2720))</f>
        <v/>
      </c>
      <c r="V2720" s="1">
        <f t="shared" si="129"/>
        <v>0</v>
      </c>
      <c r="W2720" s="1" t="str">
        <f t="shared" si="130"/>
        <v/>
      </c>
      <c r="X2720" s="1"/>
      <c r="Y2720" s="1"/>
      <c r="Z2720" s="1"/>
      <c r="AA2720" s="1"/>
      <c r="AB2720" s="1"/>
      <c r="AC2720" s="1"/>
      <c r="AD2720" s="1">
        <f>IF($C2720="",0,SUMPRODUCT((AY_SONU!$O$7:$O$42="Evet")*(AY_SONU!$B$7:$B$42=DATE(YEAR($C2720),MONTH($C2720),1))))</f>
        <v>0</v>
      </c>
      <c r="AE2720" s="1" t="str">
        <f>IF($E2720="","",$E2720&amp;"|"&amp;COUNTIFS($E$7:$E2720,$E2720))</f>
        <v/>
      </c>
    </row>
    <row r="2721" spans="1:31" ht="18" customHeight="1" x14ac:dyDescent="0.3">
      <c r="A2721" s="2"/>
      <c r="B2721" s="65" t="str">
        <f>IF($C2721="","","GG"&amp;TEXT(ROW()-6,"00000"))</f>
        <v/>
      </c>
      <c r="C2721" s="66"/>
      <c r="D2721" s="60"/>
      <c r="E2721" s="61"/>
      <c r="F2721" s="61"/>
      <c r="G2721" s="67"/>
      <c r="H2721" s="60"/>
      <c r="I2721" s="60"/>
      <c r="J2721" s="61"/>
      <c r="K2721" s="61"/>
      <c r="L2721" s="60"/>
      <c r="M2721" s="74" t="str">
        <f>IF($C2721="","",IF($D2721="Gider",$E2721,IF($L2721&lt;&gt;"",$L2721,$H2721)))</f>
        <v/>
      </c>
      <c r="N2721" s="74" t="str">
        <f>IF($C2721="","",IF($D2721="Gider",$H2721,$E2721))</f>
        <v/>
      </c>
      <c r="O2721" s="73" t="str">
        <f>IF($C2721="","",DATE(YEAR($C2721),MONTH($C2721),1))</f>
        <v/>
      </c>
      <c r="P2721" s="65" t="str">
        <f ca="1">IF($C2721="","",IF(AND($D2721="Gelir",$L2721&lt;&gt;"",$T2721=""),"TANIMSIZ BORÇLU",IF($T2721&lt;&gt;"",IF(OR($E2721="",$G2721&lt;=0),"EKSİK",IF($I2721="Evet","TAHAKKUK NAKİT OLAMAZ",IF($C2721&gt;TODAY(),"İLERİ TARİH","TAHAKKUK"))),IF(AND($D2721&lt;&gt;"",$E2721&lt;&gt;"",$G2721&gt;0,$H2721&lt;&gt;"",$I2721&lt;&gt;""),IF($C2721&gt;TODAY(),"İLERİ TARİH",IF(COUNTIF($W$7:$W$3001,$W2721)&gt;1,"MÜKERRER?",IF($AD2721&gt;0,"KAPALI DÖNEM",IF($I2721="Hayır","ÖDENECEK","UYGUN")))),"EKSİK"))))</f>
        <v/>
      </c>
      <c r="Q2721" s="2"/>
      <c r="R2721" s="2"/>
      <c r="S2721" s="1" t="str">
        <f t="shared" si="128"/>
        <v/>
      </c>
      <c r="T2721" s="1" t="str">
        <f>IF(OR($C2721="",$D2721&lt;&gt;"Gelir",$L2721=""),"",IFERROR(INDEX(MUSTERILER!$B$7:$B$156,MATCH($S2721,MUSTERILER!$T$7:$T$156,0)),""))</f>
        <v/>
      </c>
      <c r="U2721" s="1" t="str">
        <f>IF($T2721="","",$T2721&amp;"|"&amp;COUNTIFS($T$7:$T2721,$T2721))</f>
        <v/>
      </c>
      <c r="V2721" s="1">
        <f t="shared" si="129"/>
        <v>0</v>
      </c>
      <c r="W2721" s="1" t="str">
        <f t="shared" si="130"/>
        <v/>
      </c>
      <c r="X2721" s="1"/>
      <c r="Y2721" s="1"/>
      <c r="Z2721" s="1"/>
      <c r="AA2721" s="1"/>
      <c r="AB2721" s="1"/>
      <c r="AC2721" s="1"/>
      <c r="AD2721" s="1">
        <f>IF($C2721="",0,SUMPRODUCT((AY_SONU!$O$7:$O$42="Evet")*(AY_SONU!$B$7:$B$42=DATE(YEAR($C2721),MONTH($C2721),1))))</f>
        <v>0</v>
      </c>
      <c r="AE2721" s="1" t="str">
        <f>IF($E2721="","",$E2721&amp;"|"&amp;COUNTIFS($E$7:$E2721,$E2721))</f>
        <v/>
      </c>
    </row>
    <row r="2722" spans="1:31" ht="18" customHeight="1" x14ac:dyDescent="0.3">
      <c r="A2722" s="2"/>
      <c r="B2722" s="65" t="str">
        <f>IF($C2722="","","GG"&amp;TEXT(ROW()-6,"00000"))</f>
        <v/>
      </c>
      <c r="C2722" s="66"/>
      <c r="D2722" s="60"/>
      <c r="E2722" s="61"/>
      <c r="F2722" s="61"/>
      <c r="G2722" s="67"/>
      <c r="H2722" s="60"/>
      <c r="I2722" s="60"/>
      <c r="J2722" s="61"/>
      <c r="K2722" s="61"/>
      <c r="L2722" s="60"/>
      <c r="M2722" s="74" t="str">
        <f>IF($C2722="","",IF($D2722="Gider",$E2722,IF($L2722&lt;&gt;"",$L2722,$H2722)))</f>
        <v/>
      </c>
      <c r="N2722" s="74" t="str">
        <f>IF($C2722="","",IF($D2722="Gider",$H2722,$E2722))</f>
        <v/>
      </c>
      <c r="O2722" s="73" t="str">
        <f>IF($C2722="","",DATE(YEAR($C2722),MONTH($C2722),1))</f>
        <v/>
      </c>
      <c r="P2722" s="65" t="str">
        <f ca="1">IF($C2722="","",IF(AND($D2722="Gelir",$L2722&lt;&gt;"",$T2722=""),"TANIMSIZ BORÇLU",IF($T2722&lt;&gt;"",IF(OR($E2722="",$G2722&lt;=0),"EKSİK",IF($I2722="Evet","TAHAKKUK NAKİT OLAMAZ",IF($C2722&gt;TODAY(),"İLERİ TARİH","TAHAKKUK"))),IF(AND($D2722&lt;&gt;"",$E2722&lt;&gt;"",$G2722&gt;0,$H2722&lt;&gt;"",$I2722&lt;&gt;""),IF($C2722&gt;TODAY(),"İLERİ TARİH",IF(COUNTIF($W$7:$W$3001,$W2722)&gt;1,"MÜKERRER?",IF($AD2722&gt;0,"KAPALI DÖNEM",IF($I2722="Hayır","ÖDENECEK","UYGUN")))),"EKSİK"))))</f>
        <v/>
      </c>
      <c r="Q2722" s="2"/>
      <c r="R2722" s="2"/>
      <c r="S2722" s="1" t="str">
        <f t="shared" si="128"/>
        <v/>
      </c>
      <c r="T2722" s="1" t="str">
        <f>IF(OR($C2722="",$D2722&lt;&gt;"Gelir",$L2722=""),"",IFERROR(INDEX(MUSTERILER!$B$7:$B$156,MATCH($S2722,MUSTERILER!$T$7:$T$156,0)),""))</f>
        <v/>
      </c>
      <c r="U2722" s="1" t="str">
        <f>IF($T2722="","",$T2722&amp;"|"&amp;COUNTIFS($T$7:$T2722,$T2722))</f>
        <v/>
      </c>
      <c r="V2722" s="1">
        <f t="shared" si="129"/>
        <v>0</v>
      </c>
      <c r="W2722" s="1" t="str">
        <f t="shared" si="130"/>
        <v/>
      </c>
      <c r="X2722" s="1"/>
      <c r="Y2722" s="1"/>
      <c r="Z2722" s="1"/>
      <c r="AA2722" s="1"/>
      <c r="AB2722" s="1"/>
      <c r="AC2722" s="1"/>
      <c r="AD2722" s="1">
        <f>IF($C2722="",0,SUMPRODUCT((AY_SONU!$O$7:$O$42="Evet")*(AY_SONU!$B$7:$B$42=DATE(YEAR($C2722),MONTH($C2722),1))))</f>
        <v>0</v>
      </c>
      <c r="AE2722" s="1" t="str">
        <f>IF($E2722="","",$E2722&amp;"|"&amp;COUNTIFS($E$7:$E2722,$E2722))</f>
        <v/>
      </c>
    </row>
    <row r="2723" spans="1:31" ht="18" customHeight="1" x14ac:dyDescent="0.3">
      <c r="A2723" s="2"/>
      <c r="B2723" s="65" t="str">
        <f>IF($C2723="","","GG"&amp;TEXT(ROW()-6,"00000"))</f>
        <v/>
      </c>
      <c r="C2723" s="66"/>
      <c r="D2723" s="60"/>
      <c r="E2723" s="61"/>
      <c r="F2723" s="61"/>
      <c r="G2723" s="67"/>
      <c r="H2723" s="60"/>
      <c r="I2723" s="60"/>
      <c r="J2723" s="61"/>
      <c r="K2723" s="61"/>
      <c r="L2723" s="60"/>
      <c r="M2723" s="74" t="str">
        <f>IF($C2723="","",IF($D2723="Gider",$E2723,IF($L2723&lt;&gt;"",$L2723,$H2723)))</f>
        <v/>
      </c>
      <c r="N2723" s="74" t="str">
        <f>IF($C2723="","",IF($D2723="Gider",$H2723,$E2723))</f>
        <v/>
      </c>
      <c r="O2723" s="73" t="str">
        <f>IF($C2723="","",DATE(YEAR($C2723),MONTH($C2723),1))</f>
        <v/>
      </c>
      <c r="P2723" s="65" t="str">
        <f ca="1">IF($C2723="","",IF(AND($D2723="Gelir",$L2723&lt;&gt;"",$T2723=""),"TANIMSIZ BORÇLU",IF($T2723&lt;&gt;"",IF(OR($E2723="",$G2723&lt;=0),"EKSİK",IF($I2723="Evet","TAHAKKUK NAKİT OLAMAZ",IF($C2723&gt;TODAY(),"İLERİ TARİH","TAHAKKUK"))),IF(AND($D2723&lt;&gt;"",$E2723&lt;&gt;"",$G2723&gt;0,$H2723&lt;&gt;"",$I2723&lt;&gt;""),IF($C2723&gt;TODAY(),"İLERİ TARİH",IF(COUNTIF($W$7:$W$3001,$W2723)&gt;1,"MÜKERRER?",IF($AD2723&gt;0,"KAPALI DÖNEM",IF($I2723="Hayır","ÖDENECEK","UYGUN")))),"EKSİK"))))</f>
        <v/>
      </c>
      <c r="Q2723" s="2"/>
      <c r="R2723" s="2"/>
      <c r="S2723" s="1" t="str">
        <f t="shared" si="128"/>
        <v/>
      </c>
      <c r="T2723" s="1" t="str">
        <f>IF(OR($C2723="",$D2723&lt;&gt;"Gelir",$L2723=""),"",IFERROR(INDEX(MUSTERILER!$B$7:$B$156,MATCH($S2723,MUSTERILER!$T$7:$T$156,0)),""))</f>
        <v/>
      </c>
      <c r="U2723" s="1" t="str">
        <f>IF($T2723="","",$T2723&amp;"|"&amp;COUNTIFS($T$7:$T2723,$T2723))</f>
        <v/>
      </c>
      <c r="V2723" s="1">
        <f t="shared" si="129"/>
        <v>0</v>
      </c>
      <c r="W2723" s="1" t="str">
        <f t="shared" si="130"/>
        <v/>
      </c>
      <c r="X2723" s="1"/>
      <c r="Y2723" s="1"/>
      <c r="Z2723" s="1"/>
      <c r="AA2723" s="1"/>
      <c r="AB2723" s="1"/>
      <c r="AC2723" s="1"/>
      <c r="AD2723" s="1">
        <f>IF($C2723="",0,SUMPRODUCT((AY_SONU!$O$7:$O$42="Evet")*(AY_SONU!$B$7:$B$42=DATE(YEAR($C2723),MONTH($C2723),1))))</f>
        <v>0</v>
      </c>
      <c r="AE2723" s="1" t="str">
        <f>IF($E2723="","",$E2723&amp;"|"&amp;COUNTIFS($E$7:$E2723,$E2723))</f>
        <v/>
      </c>
    </row>
    <row r="2724" spans="1:31" ht="18" customHeight="1" x14ac:dyDescent="0.3">
      <c r="A2724" s="2"/>
      <c r="B2724" s="65" t="str">
        <f>IF($C2724="","","GG"&amp;TEXT(ROW()-6,"00000"))</f>
        <v/>
      </c>
      <c r="C2724" s="66"/>
      <c r="D2724" s="60"/>
      <c r="E2724" s="61"/>
      <c r="F2724" s="61"/>
      <c r="G2724" s="67"/>
      <c r="H2724" s="60"/>
      <c r="I2724" s="60"/>
      <c r="J2724" s="61"/>
      <c r="K2724" s="61"/>
      <c r="L2724" s="60"/>
      <c r="M2724" s="74" t="str">
        <f>IF($C2724="","",IF($D2724="Gider",$E2724,IF($L2724&lt;&gt;"",$L2724,$H2724)))</f>
        <v/>
      </c>
      <c r="N2724" s="74" t="str">
        <f>IF($C2724="","",IF($D2724="Gider",$H2724,$E2724))</f>
        <v/>
      </c>
      <c r="O2724" s="73" t="str">
        <f>IF($C2724="","",DATE(YEAR($C2724),MONTH($C2724),1))</f>
        <v/>
      </c>
      <c r="P2724" s="65" t="str">
        <f ca="1">IF($C2724="","",IF(AND($D2724="Gelir",$L2724&lt;&gt;"",$T2724=""),"TANIMSIZ BORÇLU",IF($T2724&lt;&gt;"",IF(OR($E2724="",$G2724&lt;=0),"EKSİK",IF($I2724="Evet","TAHAKKUK NAKİT OLAMAZ",IF($C2724&gt;TODAY(),"İLERİ TARİH","TAHAKKUK"))),IF(AND($D2724&lt;&gt;"",$E2724&lt;&gt;"",$G2724&gt;0,$H2724&lt;&gt;"",$I2724&lt;&gt;""),IF($C2724&gt;TODAY(),"İLERİ TARİH",IF(COUNTIF($W$7:$W$3001,$W2724)&gt;1,"MÜKERRER?",IF($AD2724&gt;0,"KAPALI DÖNEM",IF($I2724="Hayır","ÖDENECEK","UYGUN")))),"EKSİK"))))</f>
        <v/>
      </c>
      <c r="Q2724" s="2"/>
      <c r="R2724" s="2"/>
      <c r="S2724" s="1" t="str">
        <f t="shared" si="128"/>
        <v/>
      </c>
      <c r="T2724" s="1" t="str">
        <f>IF(OR($C2724="",$D2724&lt;&gt;"Gelir",$L2724=""),"",IFERROR(INDEX(MUSTERILER!$B$7:$B$156,MATCH($S2724,MUSTERILER!$T$7:$T$156,0)),""))</f>
        <v/>
      </c>
      <c r="U2724" s="1" t="str">
        <f>IF($T2724="","",$T2724&amp;"|"&amp;COUNTIFS($T$7:$T2724,$T2724))</f>
        <v/>
      </c>
      <c r="V2724" s="1">
        <f t="shared" si="129"/>
        <v>0</v>
      </c>
      <c r="W2724" s="1" t="str">
        <f t="shared" si="130"/>
        <v/>
      </c>
      <c r="X2724" s="1"/>
      <c r="Y2724" s="1"/>
      <c r="Z2724" s="1"/>
      <c r="AA2724" s="1"/>
      <c r="AB2724" s="1"/>
      <c r="AC2724" s="1"/>
      <c r="AD2724" s="1">
        <f>IF($C2724="",0,SUMPRODUCT((AY_SONU!$O$7:$O$42="Evet")*(AY_SONU!$B$7:$B$42=DATE(YEAR($C2724),MONTH($C2724),1))))</f>
        <v>0</v>
      </c>
      <c r="AE2724" s="1" t="str">
        <f>IF($E2724="","",$E2724&amp;"|"&amp;COUNTIFS($E$7:$E2724,$E2724))</f>
        <v/>
      </c>
    </row>
    <row r="2725" spans="1:31" ht="18" customHeight="1" x14ac:dyDescent="0.3">
      <c r="A2725" s="2"/>
      <c r="B2725" s="65" t="str">
        <f>IF($C2725="","","GG"&amp;TEXT(ROW()-6,"00000"))</f>
        <v/>
      </c>
      <c r="C2725" s="66"/>
      <c r="D2725" s="60"/>
      <c r="E2725" s="61"/>
      <c r="F2725" s="61"/>
      <c r="G2725" s="67"/>
      <c r="H2725" s="60"/>
      <c r="I2725" s="60"/>
      <c r="J2725" s="61"/>
      <c r="K2725" s="61"/>
      <c r="L2725" s="60"/>
      <c r="M2725" s="74" t="str">
        <f>IF($C2725="","",IF($D2725="Gider",$E2725,IF($L2725&lt;&gt;"",$L2725,$H2725)))</f>
        <v/>
      </c>
      <c r="N2725" s="74" t="str">
        <f>IF($C2725="","",IF($D2725="Gider",$H2725,$E2725))</f>
        <v/>
      </c>
      <c r="O2725" s="73" t="str">
        <f>IF($C2725="","",DATE(YEAR($C2725),MONTH($C2725),1))</f>
        <v/>
      </c>
      <c r="P2725" s="65" t="str">
        <f ca="1">IF($C2725="","",IF(AND($D2725="Gelir",$L2725&lt;&gt;"",$T2725=""),"TANIMSIZ BORÇLU",IF($T2725&lt;&gt;"",IF(OR($E2725="",$G2725&lt;=0),"EKSİK",IF($I2725="Evet","TAHAKKUK NAKİT OLAMAZ",IF($C2725&gt;TODAY(),"İLERİ TARİH","TAHAKKUK"))),IF(AND($D2725&lt;&gt;"",$E2725&lt;&gt;"",$G2725&gt;0,$H2725&lt;&gt;"",$I2725&lt;&gt;""),IF($C2725&gt;TODAY(),"İLERİ TARİH",IF(COUNTIF($W$7:$W$3001,$W2725)&gt;1,"MÜKERRER?",IF($AD2725&gt;0,"KAPALI DÖNEM",IF($I2725="Hayır","ÖDENECEK","UYGUN")))),"EKSİK"))))</f>
        <v/>
      </c>
      <c r="Q2725" s="2"/>
      <c r="R2725" s="2"/>
      <c r="S2725" s="1" t="str">
        <f t="shared" si="128"/>
        <v/>
      </c>
      <c r="T2725" s="1" t="str">
        <f>IF(OR($C2725="",$D2725&lt;&gt;"Gelir",$L2725=""),"",IFERROR(INDEX(MUSTERILER!$B$7:$B$156,MATCH($S2725,MUSTERILER!$T$7:$T$156,0)),""))</f>
        <v/>
      </c>
      <c r="U2725" s="1" t="str">
        <f>IF($T2725="","",$T2725&amp;"|"&amp;COUNTIFS($T$7:$T2725,$T2725))</f>
        <v/>
      </c>
      <c r="V2725" s="1">
        <f t="shared" si="129"/>
        <v>0</v>
      </c>
      <c r="W2725" s="1" t="str">
        <f t="shared" si="130"/>
        <v/>
      </c>
      <c r="X2725" s="1"/>
      <c r="Y2725" s="1"/>
      <c r="Z2725" s="1"/>
      <c r="AA2725" s="1"/>
      <c r="AB2725" s="1"/>
      <c r="AC2725" s="1"/>
      <c r="AD2725" s="1">
        <f>IF($C2725="",0,SUMPRODUCT((AY_SONU!$O$7:$O$42="Evet")*(AY_SONU!$B$7:$B$42=DATE(YEAR($C2725),MONTH($C2725),1))))</f>
        <v>0</v>
      </c>
      <c r="AE2725" s="1" t="str">
        <f>IF($E2725="","",$E2725&amp;"|"&amp;COUNTIFS($E$7:$E2725,$E2725))</f>
        <v/>
      </c>
    </row>
    <row r="2726" spans="1:31" ht="18" customHeight="1" x14ac:dyDescent="0.3">
      <c r="A2726" s="2"/>
      <c r="B2726" s="65" t="str">
        <f>IF($C2726="","","GG"&amp;TEXT(ROW()-6,"00000"))</f>
        <v/>
      </c>
      <c r="C2726" s="66"/>
      <c r="D2726" s="60"/>
      <c r="E2726" s="61"/>
      <c r="F2726" s="61"/>
      <c r="G2726" s="67"/>
      <c r="H2726" s="60"/>
      <c r="I2726" s="60"/>
      <c r="J2726" s="61"/>
      <c r="K2726" s="61"/>
      <c r="L2726" s="60"/>
      <c r="M2726" s="74" t="str">
        <f>IF($C2726="","",IF($D2726="Gider",$E2726,IF($L2726&lt;&gt;"",$L2726,$H2726)))</f>
        <v/>
      </c>
      <c r="N2726" s="74" t="str">
        <f>IF($C2726="","",IF($D2726="Gider",$H2726,$E2726))</f>
        <v/>
      </c>
      <c r="O2726" s="73" t="str">
        <f>IF($C2726="","",DATE(YEAR($C2726),MONTH($C2726),1))</f>
        <v/>
      </c>
      <c r="P2726" s="65" t="str">
        <f ca="1">IF($C2726="","",IF(AND($D2726="Gelir",$L2726&lt;&gt;"",$T2726=""),"TANIMSIZ BORÇLU",IF($T2726&lt;&gt;"",IF(OR($E2726="",$G2726&lt;=0),"EKSİK",IF($I2726="Evet","TAHAKKUK NAKİT OLAMAZ",IF($C2726&gt;TODAY(),"İLERİ TARİH","TAHAKKUK"))),IF(AND($D2726&lt;&gt;"",$E2726&lt;&gt;"",$G2726&gt;0,$H2726&lt;&gt;"",$I2726&lt;&gt;""),IF($C2726&gt;TODAY(),"İLERİ TARİH",IF(COUNTIF($W$7:$W$3001,$W2726)&gt;1,"MÜKERRER?",IF($AD2726&gt;0,"KAPALI DÖNEM",IF($I2726="Hayır","ÖDENECEK","UYGUN")))),"EKSİK"))))</f>
        <v/>
      </c>
      <c r="Q2726" s="2"/>
      <c r="R2726" s="2"/>
      <c r="S2726" s="1" t="str">
        <f t="shared" si="128"/>
        <v/>
      </c>
      <c r="T2726" s="1" t="str">
        <f>IF(OR($C2726="",$D2726&lt;&gt;"Gelir",$L2726=""),"",IFERROR(INDEX(MUSTERILER!$B$7:$B$156,MATCH($S2726,MUSTERILER!$T$7:$T$156,0)),""))</f>
        <v/>
      </c>
      <c r="U2726" s="1" t="str">
        <f>IF($T2726="","",$T2726&amp;"|"&amp;COUNTIFS($T$7:$T2726,$T2726))</f>
        <v/>
      </c>
      <c r="V2726" s="1">
        <f t="shared" si="129"/>
        <v>0</v>
      </c>
      <c r="W2726" s="1" t="str">
        <f t="shared" si="130"/>
        <v/>
      </c>
      <c r="X2726" s="1"/>
      <c r="Y2726" s="1"/>
      <c r="Z2726" s="1"/>
      <c r="AA2726" s="1"/>
      <c r="AB2726" s="1"/>
      <c r="AC2726" s="1"/>
      <c r="AD2726" s="1">
        <f>IF($C2726="",0,SUMPRODUCT((AY_SONU!$O$7:$O$42="Evet")*(AY_SONU!$B$7:$B$42=DATE(YEAR($C2726),MONTH($C2726),1))))</f>
        <v>0</v>
      </c>
      <c r="AE2726" s="1" t="str">
        <f>IF($E2726="","",$E2726&amp;"|"&amp;COUNTIFS($E$7:$E2726,$E2726))</f>
        <v/>
      </c>
    </row>
    <row r="2727" spans="1:31" ht="18" customHeight="1" x14ac:dyDescent="0.3">
      <c r="A2727" s="2"/>
      <c r="B2727" s="65" t="str">
        <f>IF($C2727="","","GG"&amp;TEXT(ROW()-6,"00000"))</f>
        <v/>
      </c>
      <c r="C2727" s="66"/>
      <c r="D2727" s="60"/>
      <c r="E2727" s="61"/>
      <c r="F2727" s="61"/>
      <c r="G2727" s="67"/>
      <c r="H2727" s="60"/>
      <c r="I2727" s="60"/>
      <c r="J2727" s="61"/>
      <c r="K2727" s="61"/>
      <c r="L2727" s="60"/>
      <c r="M2727" s="74" t="str">
        <f>IF($C2727="","",IF($D2727="Gider",$E2727,IF($L2727&lt;&gt;"",$L2727,$H2727)))</f>
        <v/>
      </c>
      <c r="N2727" s="74" t="str">
        <f>IF($C2727="","",IF($D2727="Gider",$H2727,$E2727))</f>
        <v/>
      </c>
      <c r="O2727" s="73" t="str">
        <f>IF($C2727="","",DATE(YEAR($C2727),MONTH($C2727),1))</f>
        <v/>
      </c>
      <c r="P2727" s="65" t="str">
        <f ca="1">IF($C2727="","",IF(AND($D2727="Gelir",$L2727&lt;&gt;"",$T2727=""),"TANIMSIZ BORÇLU",IF($T2727&lt;&gt;"",IF(OR($E2727="",$G2727&lt;=0),"EKSİK",IF($I2727="Evet","TAHAKKUK NAKİT OLAMAZ",IF($C2727&gt;TODAY(),"İLERİ TARİH","TAHAKKUK"))),IF(AND($D2727&lt;&gt;"",$E2727&lt;&gt;"",$G2727&gt;0,$H2727&lt;&gt;"",$I2727&lt;&gt;""),IF($C2727&gt;TODAY(),"İLERİ TARİH",IF(COUNTIF($W$7:$W$3001,$W2727)&gt;1,"MÜKERRER?",IF($AD2727&gt;0,"KAPALI DÖNEM",IF($I2727="Hayır","ÖDENECEK","UYGUN")))),"EKSİK"))))</f>
        <v/>
      </c>
      <c r="Q2727" s="2"/>
      <c r="R2727" s="2"/>
      <c r="S2727" s="1" t="str">
        <f t="shared" si="128"/>
        <v/>
      </c>
      <c r="T2727" s="1" t="str">
        <f>IF(OR($C2727="",$D2727&lt;&gt;"Gelir",$L2727=""),"",IFERROR(INDEX(MUSTERILER!$B$7:$B$156,MATCH($S2727,MUSTERILER!$T$7:$T$156,0)),""))</f>
        <v/>
      </c>
      <c r="U2727" s="1" t="str">
        <f>IF($T2727="","",$T2727&amp;"|"&amp;COUNTIFS($T$7:$T2727,$T2727))</f>
        <v/>
      </c>
      <c r="V2727" s="1">
        <f t="shared" si="129"/>
        <v>0</v>
      </c>
      <c r="W2727" s="1" t="str">
        <f t="shared" si="130"/>
        <v/>
      </c>
      <c r="X2727" s="1"/>
      <c r="Y2727" s="1"/>
      <c r="Z2727" s="1"/>
      <c r="AA2727" s="1"/>
      <c r="AB2727" s="1"/>
      <c r="AC2727" s="1"/>
      <c r="AD2727" s="1">
        <f>IF($C2727="",0,SUMPRODUCT((AY_SONU!$O$7:$O$42="Evet")*(AY_SONU!$B$7:$B$42=DATE(YEAR($C2727),MONTH($C2727),1))))</f>
        <v>0</v>
      </c>
      <c r="AE2727" s="1" t="str">
        <f>IF($E2727="","",$E2727&amp;"|"&amp;COUNTIFS($E$7:$E2727,$E2727))</f>
        <v/>
      </c>
    </row>
    <row r="2728" spans="1:31" ht="18" customHeight="1" x14ac:dyDescent="0.3">
      <c r="A2728" s="2"/>
      <c r="B2728" s="65" t="str">
        <f>IF($C2728="","","GG"&amp;TEXT(ROW()-6,"00000"))</f>
        <v/>
      </c>
      <c r="C2728" s="66"/>
      <c r="D2728" s="60"/>
      <c r="E2728" s="61"/>
      <c r="F2728" s="61"/>
      <c r="G2728" s="67"/>
      <c r="H2728" s="60"/>
      <c r="I2728" s="60"/>
      <c r="J2728" s="61"/>
      <c r="K2728" s="61"/>
      <c r="L2728" s="60"/>
      <c r="M2728" s="74" t="str">
        <f>IF($C2728="","",IF($D2728="Gider",$E2728,IF($L2728&lt;&gt;"",$L2728,$H2728)))</f>
        <v/>
      </c>
      <c r="N2728" s="74" t="str">
        <f>IF($C2728="","",IF($D2728="Gider",$H2728,$E2728))</f>
        <v/>
      </c>
      <c r="O2728" s="73" t="str">
        <f>IF($C2728="","",DATE(YEAR($C2728),MONTH($C2728),1))</f>
        <v/>
      </c>
      <c r="P2728" s="65" t="str">
        <f ca="1">IF($C2728="","",IF(AND($D2728="Gelir",$L2728&lt;&gt;"",$T2728=""),"TANIMSIZ BORÇLU",IF($T2728&lt;&gt;"",IF(OR($E2728="",$G2728&lt;=0),"EKSİK",IF($I2728="Evet","TAHAKKUK NAKİT OLAMAZ",IF($C2728&gt;TODAY(),"İLERİ TARİH","TAHAKKUK"))),IF(AND($D2728&lt;&gt;"",$E2728&lt;&gt;"",$G2728&gt;0,$H2728&lt;&gt;"",$I2728&lt;&gt;""),IF($C2728&gt;TODAY(),"İLERİ TARİH",IF(COUNTIF($W$7:$W$3001,$W2728)&gt;1,"MÜKERRER?",IF($AD2728&gt;0,"KAPALI DÖNEM",IF($I2728="Hayır","ÖDENECEK","UYGUN")))),"EKSİK"))))</f>
        <v/>
      </c>
      <c r="Q2728" s="2"/>
      <c r="R2728" s="2"/>
      <c r="S2728" s="1" t="str">
        <f t="shared" si="128"/>
        <v/>
      </c>
      <c r="T2728" s="1" t="str">
        <f>IF(OR($C2728="",$D2728&lt;&gt;"Gelir",$L2728=""),"",IFERROR(INDEX(MUSTERILER!$B$7:$B$156,MATCH($S2728,MUSTERILER!$T$7:$T$156,0)),""))</f>
        <v/>
      </c>
      <c r="U2728" s="1" t="str">
        <f>IF($T2728="","",$T2728&amp;"|"&amp;COUNTIFS($T$7:$T2728,$T2728))</f>
        <v/>
      </c>
      <c r="V2728" s="1">
        <f t="shared" si="129"/>
        <v>0</v>
      </c>
      <c r="W2728" s="1" t="str">
        <f t="shared" si="130"/>
        <v/>
      </c>
      <c r="X2728" s="1"/>
      <c r="Y2728" s="1"/>
      <c r="Z2728" s="1"/>
      <c r="AA2728" s="1"/>
      <c r="AB2728" s="1"/>
      <c r="AC2728" s="1"/>
      <c r="AD2728" s="1">
        <f>IF($C2728="",0,SUMPRODUCT((AY_SONU!$O$7:$O$42="Evet")*(AY_SONU!$B$7:$B$42=DATE(YEAR($C2728),MONTH($C2728),1))))</f>
        <v>0</v>
      </c>
      <c r="AE2728" s="1" t="str">
        <f>IF($E2728="","",$E2728&amp;"|"&amp;COUNTIFS($E$7:$E2728,$E2728))</f>
        <v/>
      </c>
    </row>
    <row r="2729" spans="1:31" ht="18" customHeight="1" x14ac:dyDescent="0.3">
      <c r="A2729" s="2"/>
      <c r="B2729" s="65" t="str">
        <f>IF($C2729="","","GG"&amp;TEXT(ROW()-6,"00000"))</f>
        <v/>
      </c>
      <c r="C2729" s="66"/>
      <c r="D2729" s="60"/>
      <c r="E2729" s="61"/>
      <c r="F2729" s="61"/>
      <c r="G2729" s="67"/>
      <c r="H2729" s="60"/>
      <c r="I2729" s="60"/>
      <c r="J2729" s="61"/>
      <c r="K2729" s="61"/>
      <c r="L2729" s="60"/>
      <c r="M2729" s="74" t="str">
        <f>IF($C2729="","",IF($D2729="Gider",$E2729,IF($L2729&lt;&gt;"",$L2729,$H2729)))</f>
        <v/>
      </c>
      <c r="N2729" s="74" t="str">
        <f>IF($C2729="","",IF($D2729="Gider",$H2729,$E2729))</f>
        <v/>
      </c>
      <c r="O2729" s="73" t="str">
        <f>IF($C2729="","",DATE(YEAR($C2729),MONTH($C2729),1))</f>
        <v/>
      </c>
      <c r="P2729" s="65" t="str">
        <f ca="1">IF($C2729="","",IF(AND($D2729="Gelir",$L2729&lt;&gt;"",$T2729=""),"TANIMSIZ BORÇLU",IF($T2729&lt;&gt;"",IF(OR($E2729="",$G2729&lt;=0),"EKSİK",IF($I2729="Evet","TAHAKKUK NAKİT OLAMAZ",IF($C2729&gt;TODAY(),"İLERİ TARİH","TAHAKKUK"))),IF(AND($D2729&lt;&gt;"",$E2729&lt;&gt;"",$G2729&gt;0,$H2729&lt;&gt;"",$I2729&lt;&gt;""),IF($C2729&gt;TODAY(),"İLERİ TARİH",IF(COUNTIF($W$7:$W$3001,$W2729)&gt;1,"MÜKERRER?",IF($AD2729&gt;0,"KAPALI DÖNEM",IF($I2729="Hayır","ÖDENECEK","UYGUN")))),"EKSİK"))))</f>
        <v/>
      </c>
      <c r="Q2729" s="2"/>
      <c r="R2729" s="2"/>
      <c r="S2729" s="1" t="str">
        <f t="shared" si="128"/>
        <v/>
      </c>
      <c r="T2729" s="1" t="str">
        <f>IF(OR($C2729="",$D2729&lt;&gt;"Gelir",$L2729=""),"",IFERROR(INDEX(MUSTERILER!$B$7:$B$156,MATCH($S2729,MUSTERILER!$T$7:$T$156,0)),""))</f>
        <v/>
      </c>
      <c r="U2729" s="1" t="str">
        <f>IF($T2729="","",$T2729&amp;"|"&amp;COUNTIFS($T$7:$T2729,$T2729))</f>
        <v/>
      </c>
      <c r="V2729" s="1">
        <f t="shared" si="129"/>
        <v>0</v>
      </c>
      <c r="W2729" s="1" t="str">
        <f t="shared" si="130"/>
        <v/>
      </c>
      <c r="X2729" s="1"/>
      <c r="Y2729" s="1"/>
      <c r="Z2729" s="1"/>
      <c r="AA2729" s="1"/>
      <c r="AB2729" s="1"/>
      <c r="AC2729" s="1"/>
      <c r="AD2729" s="1">
        <f>IF($C2729="",0,SUMPRODUCT((AY_SONU!$O$7:$O$42="Evet")*(AY_SONU!$B$7:$B$42=DATE(YEAR($C2729),MONTH($C2729),1))))</f>
        <v>0</v>
      </c>
      <c r="AE2729" s="1" t="str">
        <f>IF($E2729="","",$E2729&amp;"|"&amp;COUNTIFS($E$7:$E2729,$E2729))</f>
        <v/>
      </c>
    </row>
    <row r="2730" spans="1:31" ht="18" customHeight="1" x14ac:dyDescent="0.3">
      <c r="A2730" s="2"/>
      <c r="B2730" s="65" t="str">
        <f>IF($C2730="","","GG"&amp;TEXT(ROW()-6,"00000"))</f>
        <v/>
      </c>
      <c r="C2730" s="66"/>
      <c r="D2730" s="60"/>
      <c r="E2730" s="61"/>
      <c r="F2730" s="61"/>
      <c r="G2730" s="67"/>
      <c r="H2730" s="60"/>
      <c r="I2730" s="60"/>
      <c r="J2730" s="61"/>
      <c r="K2730" s="61"/>
      <c r="L2730" s="60"/>
      <c r="M2730" s="74" t="str">
        <f>IF($C2730="","",IF($D2730="Gider",$E2730,IF($L2730&lt;&gt;"",$L2730,$H2730)))</f>
        <v/>
      </c>
      <c r="N2730" s="74" t="str">
        <f>IF($C2730="","",IF($D2730="Gider",$H2730,$E2730))</f>
        <v/>
      </c>
      <c r="O2730" s="73" t="str">
        <f>IF($C2730="","",DATE(YEAR($C2730),MONTH($C2730),1))</f>
        <v/>
      </c>
      <c r="P2730" s="65" t="str">
        <f ca="1">IF($C2730="","",IF(AND($D2730="Gelir",$L2730&lt;&gt;"",$T2730=""),"TANIMSIZ BORÇLU",IF($T2730&lt;&gt;"",IF(OR($E2730="",$G2730&lt;=0),"EKSİK",IF($I2730="Evet","TAHAKKUK NAKİT OLAMAZ",IF($C2730&gt;TODAY(),"İLERİ TARİH","TAHAKKUK"))),IF(AND($D2730&lt;&gt;"",$E2730&lt;&gt;"",$G2730&gt;0,$H2730&lt;&gt;"",$I2730&lt;&gt;""),IF($C2730&gt;TODAY(),"İLERİ TARİH",IF(COUNTIF($W$7:$W$3001,$W2730)&gt;1,"MÜKERRER?",IF($AD2730&gt;0,"KAPALI DÖNEM",IF($I2730="Hayır","ÖDENECEK","UYGUN")))),"EKSİK"))))</f>
        <v/>
      </c>
      <c r="Q2730" s="2"/>
      <c r="R2730" s="2"/>
      <c r="S2730" s="1" t="str">
        <f t="shared" si="128"/>
        <v/>
      </c>
      <c r="T2730" s="1" t="str">
        <f>IF(OR($C2730="",$D2730&lt;&gt;"Gelir",$L2730=""),"",IFERROR(INDEX(MUSTERILER!$B$7:$B$156,MATCH($S2730,MUSTERILER!$T$7:$T$156,0)),""))</f>
        <v/>
      </c>
      <c r="U2730" s="1" t="str">
        <f>IF($T2730="","",$T2730&amp;"|"&amp;COUNTIFS($T$7:$T2730,$T2730))</f>
        <v/>
      </c>
      <c r="V2730" s="1">
        <f t="shared" si="129"/>
        <v>0</v>
      </c>
      <c r="W2730" s="1" t="str">
        <f t="shared" si="130"/>
        <v/>
      </c>
      <c r="X2730" s="1"/>
      <c r="Y2730" s="1"/>
      <c r="Z2730" s="1"/>
      <c r="AA2730" s="1"/>
      <c r="AB2730" s="1"/>
      <c r="AC2730" s="1"/>
      <c r="AD2730" s="1">
        <f>IF($C2730="",0,SUMPRODUCT((AY_SONU!$O$7:$O$42="Evet")*(AY_SONU!$B$7:$B$42=DATE(YEAR($C2730),MONTH($C2730),1))))</f>
        <v>0</v>
      </c>
      <c r="AE2730" s="1" t="str">
        <f>IF($E2730="","",$E2730&amp;"|"&amp;COUNTIFS($E$7:$E2730,$E2730))</f>
        <v/>
      </c>
    </row>
    <row r="2731" spans="1:31" ht="18" customHeight="1" x14ac:dyDescent="0.3">
      <c r="A2731" s="2"/>
      <c r="B2731" s="65" t="str">
        <f>IF($C2731="","","GG"&amp;TEXT(ROW()-6,"00000"))</f>
        <v/>
      </c>
      <c r="C2731" s="66"/>
      <c r="D2731" s="60"/>
      <c r="E2731" s="61"/>
      <c r="F2731" s="61"/>
      <c r="G2731" s="67"/>
      <c r="H2731" s="60"/>
      <c r="I2731" s="60"/>
      <c r="J2731" s="61"/>
      <c r="K2731" s="61"/>
      <c r="L2731" s="60"/>
      <c r="M2731" s="74" t="str">
        <f>IF($C2731="","",IF($D2731="Gider",$E2731,IF($L2731&lt;&gt;"",$L2731,$H2731)))</f>
        <v/>
      </c>
      <c r="N2731" s="74" t="str">
        <f>IF($C2731="","",IF($D2731="Gider",$H2731,$E2731))</f>
        <v/>
      </c>
      <c r="O2731" s="73" t="str">
        <f>IF($C2731="","",DATE(YEAR($C2731),MONTH($C2731),1))</f>
        <v/>
      </c>
      <c r="P2731" s="65" t="str">
        <f ca="1">IF($C2731="","",IF(AND($D2731="Gelir",$L2731&lt;&gt;"",$T2731=""),"TANIMSIZ BORÇLU",IF($T2731&lt;&gt;"",IF(OR($E2731="",$G2731&lt;=0),"EKSİK",IF($I2731="Evet","TAHAKKUK NAKİT OLAMAZ",IF($C2731&gt;TODAY(),"İLERİ TARİH","TAHAKKUK"))),IF(AND($D2731&lt;&gt;"",$E2731&lt;&gt;"",$G2731&gt;0,$H2731&lt;&gt;"",$I2731&lt;&gt;""),IF($C2731&gt;TODAY(),"İLERİ TARİH",IF(COUNTIF($W$7:$W$3001,$W2731)&gt;1,"MÜKERRER?",IF($AD2731&gt;0,"KAPALI DÖNEM",IF($I2731="Hayır","ÖDENECEK","UYGUN")))),"EKSİK"))))</f>
        <v/>
      </c>
      <c r="Q2731" s="2"/>
      <c r="R2731" s="2"/>
      <c r="S2731" s="1" t="str">
        <f t="shared" si="128"/>
        <v/>
      </c>
      <c r="T2731" s="1" t="str">
        <f>IF(OR($C2731="",$D2731&lt;&gt;"Gelir",$L2731=""),"",IFERROR(INDEX(MUSTERILER!$B$7:$B$156,MATCH($S2731,MUSTERILER!$T$7:$T$156,0)),""))</f>
        <v/>
      </c>
      <c r="U2731" s="1" t="str">
        <f>IF($T2731="","",$T2731&amp;"|"&amp;COUNTIFS($T$7:$T2731,$T2731))</f>
        <v/>
      </c>
      <c r="V2731" s="1">
        <f t="shared" si="129"/>
        <v>0</v>
      </c>
      <c r="W2731" s="1" t="str">
        <f t="shared" si="130"/>
        <v/>
      </c>
      <c r="X2731" s="1"/>
      <c r="Y2731" s="1"/>
      <c r="Z2731" s="1"/>
      <c r="AA2731" s="1"/>
      <c r="AB2731" s="1"/>
      <c r="AC2731" s="1"/>
      <c r="AD2731" s="1">
        <f>IF($C2731="",0,SUMPRODUCT((AY_SONU!$O$7:$O$42="Evet")*(AY_SONU!$B$7:$B$42=DATE(YEAR($C2731),MONTH($C2731),1))))</f>
        <v>0</v>
      </c>
      <c r="AE2731" s="1" t="str">
        <f>IF($E2731="","",$E2731&amp;"|"&amp;COUNTIFS($E$7:$E2731,$E2731))</f>
        <v/>
      </c>
    </row>
    <row r="2732" spans="1:31" ht="18" customHeight="1" x14ac:dyDescent="0.3">
      <c r="A2732" s="2"/>
      <c r="B2732" s="65" t="str">
        <f>IF($C2732="","","GG"&amp;TEXT(ROW()-6,"00000"))</f>
        <v/>
      </c>
      <c r="C2732" s="66"/>
      <c r="D2732" s="60"/>
      <c r="E2732" s="61"/>
      <c r="F2732" s="61"/>
      <c r="G2732" s="67"/>
      <c r="H2732" s="60"/>
      <c r="I2732" s="60"/>
      <c r="J2732" s="61"/>
      <c r="K2732" s="61"/>
      <c r="L2732" s="60"/>
      <c r="M2732" s="74" t="str">
        <f>IF($C2732="","",IF($D2732="Gider",$E2732,IF($L2732&lt;&gt;"",$L2732,$H2732)))</f>
        <v/>
      </c>
      <c r="N2732" s="74" t="str">
        <f>IF($C2732="","",IF($D2732="Gider",$H2732,$E2732))</f>
        <v/>
      </c>
      <c r="O2732" s="73" t="str">
        <f>IF($C2732="","",DATE(YEAR($C2732),MONTH($C2732),1))</f>
        <v/>
      </c>
      <c r="P2732" s="65" t="str">
        <f ca="1">IF($C2732="","",IF(AND($D2732="Gelir",$L2732&lt;&gt;"",$T2732=""),"TANIMSIZ BORÇLU",IF($T2732&lt;&gt;"",IF(OR($E2732="",$G2732&lt;=0),"EKSİK",IF($I2732="Evet","TAHAKKUK NAKİT OLAMAZ",IF($C2732&gt;TODAY(),"İLERİ TARİH","TAHAKKUK"))),IF(AND($D2732&lt;&gt;"",$E2732&lt;&gt;"",$G2732&gt;0,$H2732&lt;&gt;"",$I2732&lt;&gt;""),IF($C2732&gt;TODAY(),"İLERİ TARİH",IF(COUNTIF($W$7:$W$3001,$W2732)&gt;1,"MÜKERRER?",IF($AD2732&gt;0,"KAPALI DÖNEM",IF($I2732="Hayır","ÖDENECEK","UYGUN")))),"EKSİK"))))</f>
        <v/>
      </c>
      <c r="Q2732" s="2"/>
      <c r="R2732" s="2"/>
      <c r="S2732" s="1" t="str">
        <f t="shared" si="128"/>
        <v/>
      </c>
      <c r="T2732" s="1" t="str">
        <f>IF(OR($C2732="",$D2732&lt;&gt;"Gelir",$L2732=""),"",IFERROR(INDEX(MUSTERILER!$B$7:$B$156,MATCH($S2732,MUSTERILER!$T$7:$T$156,0)),""))</f>
        <v/>
      </c>
      <c r="U2732" s="1" t="str">
        <f>IF($T2732="","",$T2732&amp;"|"&amp;COUNTIFS($T$7:$T2732,$T2732))</f>
        <v/>
      </c>
      <c r="V2732" s="1">
        <f t="shared" si="129"/>
        <v>0</v>
      </c>
      <c r="W2732" s="1" t="str">
        <f t="shared" si="130"/>
        <v/>
      </c>
      <c r="X2732" s="1"/>
      <c r="Y2732" s="1"/>
      <c r="Z2732" s="1"/>
      <c r="AA2732" s="1"/>
      <c r="AB2732" s="1"/>
      <c r="AC2732" s="1"/>
      <c r="AD2732" s="1">
        <f>IF($C2732="",0,SUMPRODUCT((AY_SONU!$O$7:$O$42="Evet")*(AY_SONU!$B$7:$B$42=DATE(YEAR($C2732),MONTH($C2732),1))))</f>
        <v>0</v>
      </c>
      <c r="AE2732" s="1" t="str">
        <f>IF($E2732="","",$E2732&amp;"|"&amp;COUNTIFS($E$7:$E2732,$E2732))</f>
        <v/>
      </c>
    </row>
    <row r="2733" spans="1:31" ht="18" customHeight="1" x14ac:dyDescent="0.3">
      <c r="A2733" s="2"/>
      <c r="B2733" s="65" t="str">
        <f>IF($C2733="","","GG"&amp;TEXT(ROW()-6,"00000"))</f>
        <v/>
      </c>
      <c r="C2733" s="66"/>
      <c r="D2733" s="60"/>
      <c r="E2733" s="61"/>
      <c r="F2733" s="61"/>
      <c r="G2733" s="67"/>
      <c r="H2733" s="60"/>
      <c r="I2733" s="60"/>
      <c r="J2733" s="61"/>
      <c r="K2733" s="61"/>
      <c r="L2733" s="60"/>
      <c r="M2733" s="74" t="str">
        <f>IF($C2733="","",IF($D2733="Gider",$E2733,IF($L2733&lt;&gt;"",$L2733,$H2733)))</f>
        <v/>
      </c>
      <c r="N2733" s="74" t="str">
        <f>IF($C2733="","",IF($D2733="Gider",$H2733,$E2733))</f>
        <v/>
      </c>
      <c r="O2733" s="73" t="str">
        <f>IF($C2733="","",DATE(YEAR($C2733),MONTH($C2733),1))</f>
        <v/>
      </c>
      <c r="P2733" s="65" t="str">
        <f ca="1">IF($C2733="","",IF(AND($D2733="Gelir",$L2733&lt;&gt;"",$T2733=""),"TANIMSIZ BORÇLU",IF($T2733&lt;&gt;"",IF(OR($E2733="",$G2733&lt;=0),"EKSİK",IF($I2733="Evet","TAHAKKUK NAKİT OLAMAZ",IF($C2733&gt;TODAY(),"İLERİ TARİH","TAHAKKUK"))),IF(AND($D2733&lt;&gt;"",$E2733&lt;&gt;"",$G2733&gt;0,$H2733&lt;&gt;"",$I2733&lt;&gt;""),IF($C2733&gt;TODAY(),"İLERİ TARİH",IF(COUNTIF($W$7:$W$3001,$W2733)&gt;1,"MÜKERRER?",IF($AD2733&gt;0,"KAPALI DÖNEM",IF($I2733="Hayır","ÖDENECEK","UYGUN")))),"EKSİK"))))</f>
        <v/>
      </c>
      <c r="Q2733" s="2"/>
      <c r="R2733" s="2"/>
      <c r="S2733" s="1" t="str">
        <f t="shared" si="128"/>
        <v/>
      </c>
      <c r="T2733" s="1" t="str">
        <f>IF(OR($C2733="",$D2733&lt;&gt;"Gelir",$L2733=""),"",IFERROR(INDEX(MUSTERILER!$B$7:$B$156,MATCH($S2733,MUSTERILER!$T$7:$T$156,0)),""))</f>
        <v/>
      </c>
      <c r="U2733" s="1" t="str">
        <f>IF($T2733="","",$T2733&amp;"|"&amp;COUNTIFS($T$7:$T2733,$T2733))</f>
        <v/>
      </c>
      <c r="V2733" s="1">
        <f t="shared" si="129"/>
        <v>0</v>
      </c>
      <c r="W2733" s="1" t="str">
        <f t="shared" si="130"/>
        <v/>
      </c>
      <c r="X2733" s="1"/>
      <c r="Y2733" s="1"/>
      <c r="Z2733" s="1"/>
      <c r="AA2733" s="1"/>
      <c r="AB2733" s="1"/>
      <c r="AC2733" s="1"/>
      <c r="AD2733" s="1">
        <f>IF($C2733="",0,SUMPRODUCT((AY_SONU!$O$7:$O$42="Evet")*(AY_SONU!$B$7:$B$42=DATE(YEAR($C2733),MONTH($C2733),1))))</f>
        <v>0</v>
      </c>
      <c r="AE2733" s="1" t="str">
        <f>IF($E2733="","",$E2733&amp;"|"&amp;COUNTIFS($E$7:$E2733,$E2733))</f>
        <v/>
      </c>
    </row>
    <row r="2734" spans="1:31" ht="18" customHeight="1" x14ac:dyDescent="0.3">
      <c r="A2734" s="2"/>
      <c r="B2734" s="65" t="str">
        <f>IF($C2734="","","GG"&amp;TEXT(ROW()-6,"00000"))</f>
        <v/>
      </c>
      <c r="C2734" s="66"/>
      <c r="D2734" s="60"/>
      <c r="E2734" s="61"/>
      <c r="F2734" s="61"/>
      <c r="G2734" s="67"/>
      <c r="H2734" s="60"/>
      <c r="I2734" s="60"/>
      <c r="J2734" s="61"/>
      <c r="K2734" s="61"/>
      <c r="L2734" s="60"/>
      <c r="M2734" s="74" t="str">
        <f>IF($C2734="","",IF($D2734="Gider",$E2734,IF($L2734&lt;&gt;"",$L2734,$H2734)))</f>
        <v/>
      </c>
      <c r="N2734" s="74" t="str">
        <f>IF($C2734="","",IF($D2734="Gider",$H2734,$E2734))</f>
        <v/>
      </c>
      <c r="O2734" s="73" t="str">
        <f>IF($C2734="","",DATE(YEAR($C2734),MONTH($C2734),1))</f>
        <v/>
      </c>
      <c r="P2734" s="65" t="str">
        <f ca="1">IF($C2734="","",IF(AND($D2734="Gelir",$L2734&lt;&gt;"",$T2734=""),"TANIMSIZ BORÇLU",IF($T2734&lt;&gt;"",IF(OR($E2734="",$G2734&lt;=0),"EKSİK",IF($I2734="Evet","TAHAKKUK NAKİT OLAMAZ",IF($C2734&gt;TODAY(),"İLERİ TARİH","TAHAKKUK"))),IF(AND($D2734&lt;&gt;"",$E2734&lt;&gt;"",$G2734&gt;0,$H2734&lt;&gt;"",$I2734&lt;&gt;""),IF($C2734&gt;TODAY(),"İLERİ TARİH",IF(COUNTIF($W$7:$W$3001,$W2734)&gt;1,"MÜKERRER?",IF($AD2734&gt;0,"KAPALI DÖNEM",IF($I2734="Hayır","ÖDENECEK","UYGUN")))),"EKSİK"))))</f>
        <v/>
      </c>
      <c r="Q2734" s="2"/>
      <c r="R2734" s="2"/>
      <c r="S2734" s="1" t="str">
        <f t="shared" si="128"/>
        <v/>
      </c>
      <c r="T2734" s="1" t="str">
        <f>IF(OR($C2734="",$D2734&lt;&gt;"Gelir",$L2734=""),"",IFERROR(INDEX(MUSTERILER!$B$7:$B$156,MATCH($S2734,MUSTERILER!$T$7:$T$156,0)),""))</f>
        <v/>
      </c>
      <c r="U2734" s="1" t="str">
        <f>IF($T2734="","",$T2734&amp;"|"&amp;COUNTIFS($T$7:$T2734,$T2734))</f>
        <v/>
      </c>
      <c r="V2734" s="1">
        <f t="shared" si="129"/>
        <v>0</v>
      </c>
      <c r="W2734" s="1" t="str">
        <f t="shared" si="130"/>
        <v/>
      </c>
      <c r="X2734" s="1"/>
      <c r="Y2734" s="1"/>
      <c r="Z2734" s="1"/>
      <c r="AA2734" s="1"/>
      <c r="AB2734" s="1"/>
      <c r="AC2734" s="1"/>
      <c r="AD2734" s="1">
        <f>IF($C2734="",0,SUMPRODUCT((AY_SONU!$O$7:$O$42="Evet")*(AY_SONU!$B$7:$B$42=DATE(YEAR($C2734),MONTH($C2734),1))))</f>
        <v>0</v>
      </c>
      <c r="AE2734" s="1" t="str">
        <f>IF($E2734="","",$E2734&amp;"|"&amp;COUNTIFS($E$7:$E2734,$E2734))</f>
        <v/>
      </c>
    </row>
    <row r="2735" spans="1:31" ht="18" customHeight="1" x14ac:dyDescent="0.3">
      <c r="A2735" s="2"/>
      <c r="B2735" s="65" t="str">
        <f>IF($C2735="","","GG"&amp;TEXT(ROW()-6,"00000"))</f>
        <v/>
      </c>
      <c r="C2735" s="66"/>
      <c r="D2735" s="60"/>
      <c r="E2735" s="61"/>
      <c r="F2735" s="61"/>
      <c r="G2735" s="67"/>
      <c r="H2735" s="60"/>
      <c r="I2735" s="60"/>
      <c r="J2735" s="61"/>
      <c r="K2735" s="61"/>
      <c r="L2735" s="60"/>
      <c r="M2735" s="74" t="str">
        <f>IF($C2735="","",IF($D2735="Gider",$E2735,IF($L2735&lt;&gt;"",$L2735,$H2735)))</f>
        <v/>
      </c>
      <c r="N2735" s="74" t="str">
        <f>IF($C2735="","",IF($D2735="Gider",$H2735,$E2735))</f>
        <v/>
      </c>
      <c r="O2735" s="73" t="str">
        <f>IF($C2735="","",DATE(YEAR($C2735),MONTH($C2735),1))</f>
        <v/>
      </c>
      <c r="P2735" s="65" t="str">
        <f ca="1">IF($C2735="","",IF(AND($D2735="Gelir",$L2735&lt;&gt;"",$T2735=""),"TANIMSIZ BORÇLU",IF($T2735&lt;&gt;"",IF(OR($E2735="",$G2735&lt;=0),"EKSİK",IF($I2735="Evet","TAHAKKUK NAKİT OLAMAZ",IF($C2735&gt;TODAY(),"İLERİ TARİH","TAHAKKUK"))),IF(AND($D2735&lt;&gt;"",$E2735&lt;&gt;"",$G2735&gt;0,$H2735&lt;&gt;"",$I2735&lt;&gt;""),IF($C2735&gt;TODAY(),"İLERİ TARİH",IF(COUNTIF($W$7:$W$3001,$W2735)&gt;1,"MÜKERRER?",IF($AD2735&gt;0,"KAPALI DÖNEM",IF($I2735="Hayır","ÖDENECEK","UYGUN")))),"EKSİK"))))</f>
        <v/>
      </c>
      <c r="Q2735" s="2"/>
      <c r="R2735" s="2"/>
      <c r="S2735" s="1" t="str">
        <f t="shared" si="128"/>
        <v/>
      </c>
      <c r="T2735" s="1" t="str">
        <f>IF(OR($C2735="",$D2735&lt;&gt;"Gelir",$L2735=""),"",IFERROR(INDEX(MUSTERILER!$B$7:$B$156,MATCH($S2735,MUSTERILER!$T$7:$T$156,0)),""))</f>
        <v/>
      </c>
      <c r="U2735" s="1" t="str">
        <f>IF($T2735="","",$T2735&amp;"|"&amp;COUNTIFS($T$7:$T2735,$T2735))</f>
        <v/>
      </c>
      <c r="V2735" s="1">
        <f t="shared" si="129"/>
        <v>0</v>
      </c>
      <c r="W2735" s="1" t="str">
        <f t="shared" si="130"/>
        <v/>
      </c>
      <c r="X2735" s="1"/>
      <c r="Y2735" s="1"/>
      <c r="Z2735" s="1"/>
      <c r="AA2735" s="1"/>
      <c r="AB2735" s="1"/>
      <c r="AC2735" s="1"/>
      <c r="AD2735" s="1">
        <f>IF($C2735="",0,SUMPRODUCT((AY_SONU!$O$7:$O$42="Evet")*(AY_SONU!$B$7:$B$42=DATE(YEAR($C2735),MONTH($C2735),1))))</f>
        <v>0</v>
      </c>
      <c r="AE2735" s="1" t="str">
        <f>IF($E2735="","",$E2735&amp;"|"&amp;COUNTIFS($E$7:$E2735,$E2735))</f>
        <v/>
      </c>
    </row>
    <row r="2736" spans="1:31" ht="18" customHeight="1" x14ac:dyDescent="0.3">
      <c r="A2736" s="2"/>
      <c r="B2736" s="65" t="str">
        <f>IF($C2736="","","GG"&amp;TEXT(ROW()-6,"00000"))</f>
        <v/>
      </c>
      <c r="C2736" s="66"/>
      <c r="D2736" s="60"/>
      <c r="E2736" s="61"/>
      <c r="F2736" s="61"/>
      <c r="G2736" s="67"/>
      <c r="H2736" s="60"/>
      <c r="I2736" s="60"/>
      <c r="J2736" s="61"/>
      <c r="K2736" s="61"/>
      <c r="L2736" s="60"/>
      <c r="M2736" s="74" t="str">
        <f>IF($C2736="","",IF($D2736="Gider",$E2736,IF($L2736&lt;&gt;"",$L2736,$H2736)))</f>
        <v/>
      </c>
      <c r="N2736" s="74" t="str">
        <f>IF($C2736="","",IF($D2736="Gider",$H2736,$E2736))</f>
        <v/>
      </c>
      <c r="O2736" s="73" t="str">
        <f>IF($C2736="","",DATE(YEAR($C2736),MONTH($C2736),1))</f>
        <v/>
      </c>
      <c r="P2736" s="65" t="str">
        <f ca="1">IF($C2736="","",IF(AND($D2736="Gelir",$L2736&lt;&gt;"",$T2736=""),"TANIMSIZ BORÇLU",IF($T2736&lt;&gt;"",IF(OR($E2736="",$G2736&lt;=0),"EKSİK",IF($I2736="Evet","TAHAKKUK NAKİT OLAMAZ",IF($C2736&gt;TODAY(),"İLERİ TARİH","TAHAKKUK"))),IF(AND($D2736&lt;&gt;"",$E2736&lt;&gt;"",$G2736&gt;0,$H2736&lt;&gt;"",$I2736&lt;&gt;""),IF($C2736&gt;TODAY(),"İLERİ TARİH",IF(COUNTIF($W$7:$W$3001,$W2736)&gt;1,"MÜKERRER?",IF($AD2736&gt;0,"KAPALI DÖNEM",IF($I2736="Hayır","ÖDENECEK","UYGUN")))),"EKSİK"))))</f>
        <v/>
      </c>
      <c r="Q2736" s="2"/>
      <c r="R2736" s="2"/>
      <c r="S2736" s="1" t="str">
        <f t="shared" si="128"/>
        <v/>
      </c>
      <c r="T2736" s="1" t="str">
        <f>IF(OR($C2736="",$D2736&lt;&gt;"Gelir",$L2736=""),"",IFERROR(INDEX(MUSTERILER!$B$7:$B$156,MATCH($S2736,MUSTERILER!$T$7:$T$156,0)),""))</f>
        <v/>
      </c>
      <c r="U2736" s="1" t="str">
        <f>IF($T2736="","",$T2736&amp;"|"&amp;COUNTIFS($T$7:$T2736,$T2736))</f>
        <v/>
      </c>
      <c r="V2736" s="1">
        <f t="shared" si="129"/>
        <v>0</v>
      </c>
      <c r="W2736" s="1" t="str">
        <f t="shared" si="130"/>
        <v/>
      </c>
      <c r="X2736" s="1"/>
      <c r="Y2736" s="1"/>
      <c r="Z2736" s="1"/>
      <c r="AA2736" s="1"/>
      <c r="AB2736" s="1"/>
      <c r="AC2736" s="1"/>
      <c r="AD2736" s="1">
        <f>IF($C2736="",0,SUMPRODUCT((AY_SONU!$O$7:$O$42="Evet")*(AY_SONU!$B$7:$B$42=DATE(YEAR($C2736),MONTH($C2736),1))))</f>
        <v>0</v>
      </c>
      <c r="AE2736" s="1" t="str">
        <f>IF($E2736="","",$E2736&amp;"|"&amp;COUNTIFS($E$7:$E2736,$E2736))</f>
        <v/>
      </c>
    </row>
    <row r="2737" spans="1:31" ht="18" customHeight="1" x14ac:dyDescent="0.3">
      <c r="A2737" s="2"/>
      <c r="B2737" s="65" t="str">
        <f>IF($C2737="","","GG"&amp;TEXT(ROW()-6,"00000"))</f>
        <v/>
      </c>
      <c r="C2737" s="66"/>
      <c r="D2737" s="60"/>
      <c r="E2737" s="61"/>
      <c r="F2737" s="61"/>
      <c r="G2737" s="67"/>
      <c r="H2737" s="60"/>
      <c r="I2737" s="60"/>
      <c r="J2737" s="61"/>
      <c r="K2737" s="61"/>
      <c r="L2737" s="60"/>
      <c r="M2737" s="74" t="str">
        <f>IF($C2737="","",IF($D2737="Gider",$E2737,IF($L2737&lt;&gt;"",$L2737,$H2737)))</f>
        <v/>
      </c>
      <c r="N2737" s="74" t="str">
        <f>IF($C2737="","",IF($D2737="Gider",$H2737,$E2737))</f>
        <v/>
      </c>
      <c r="O2737" s="73" t="str">
        <f>IF($C2737="","",DATE(YEAR($C2737),MONTH($C2737),1))</f>
        <v/>
      </c>
      <c r="P2737" s="65" t="str">
        <f ca="1">IF($C2737="","",IF(AND($D2737="Gelir",$L2737&lt;&gt;"",$T2737=""),"TANIMSIZ BORÇLU",IF($T2737&lt;&gt;"",IF(OR($E2737="",$G2737&lt;=0),"EKSİK",IF($I2737="Evet","TAHAKKUK NAKİT OLAMAZ",IF($C2737&gt;TODAY(),"İLERİ TARİH","TAHAKKUK"))),IF(AND($D2737&lt;&gt;"",$E2737&lt;&gt;"",$G2737&gt;0,$H2737&lt;&gt;"",$I2737&lt;&gt;""),IF($C2737&gt;TODAY(),"İLERİ TARİH",IF(COUNTIF($W$7:$W$3001,$W2737)&gt;1,"MÜKERRER?",IF($AD2737&gt;0,"KAPALI DÖNEM",IF($I2737="Hayır","ÖDENECEK","UYGUN")))),"EKSİK"))))</f>
        <v/>
      </c>
      <c r="Q2737" s="2"/>
      <c r="R2737" s="2"/>
      <c r="S2737" s="1" t="str">
        <f t="shared" si="128"/>
        <v/>
      </c>
      <c r="T2737" s="1" t="str">
        <f>IF(OR($C2737="",$D2737&lt;&gt;"Gelir",$L2737=""),"",IFERROR(INDEX(MUSTERILER!$B$7:$B$156,MATCH($S2737,MUSTERILER!$T$7:$T$156,0)),""))</f>
        <v/>
      </c>
      <c r="U2737" s="1" t="str">
        <f>IF($T2737="","",$T2737&amp;"|"&amp;COUNTIFS($T$7:$T2737,$T2737))</f>
        <v/>
      </c>
      <c r="V2737" s="1">
        <f t="shared" si="129"/>
        <v>0</v>
      </c>
      <c r="W2737" s="1" t="str">
        <f t="shared" si="130"/>
        <v/>
      </c>
      <c r="X2737" s="1"/>
      <c r="Y2737" s="1"/>
      <c r="Z2737" s="1"/>
      <c r="AA2737" s="1"/>
      <c r="AB2737" s="1"/>
      <c r="AC2737" s="1"/>
      <c r="AD2737" s="1">
        <f>IF($C2737="",0,SUMPRODUCT((AY_SONU!$O$7:$O$42="Evet")*(AY_SONU!$B$7:$B$42=DATE(YEAR($C2737),MONTH($C2737),1))))</f>
        <v>0</v>
      </c>
      <c r="AE2737" s="1" t="str">
        <f>IF($E2737="","",$E2737&amp;"|"&amp;COUNTIFS($E$7:$E2737,$E2737))</f>
        <v/>
      </c>
    </row>
    <row r="2738" spans="1:31" ht="18" customHeight="1" x14ac:dyDescent="0.3">
      <c r="A2738" s="2"/>
      <c r="B2738" s="65" t="str">
        <f>IF($C2738="","","GG"&amp;TEXT(ROW()-6,"00000"))</f>
        <v/>
      </c>
      <c r="C2738" s="66"/>
      <c r="D2738" s="60"/>
      <c r="E2738" s="61"/>
      <c r="F2738" s="61"/>
      <c r="G2738" s="67"/>
      <c r="H2738" s="60"/>
      <c r="I2738" s="60"/>
      <c r="J2738" s="61"/>
      <c r="K2738" s="61"/>
      <c r="L2738" s="60"/>
      <c r="M2738" s="74" t="str">
        <f>IF($C2738="","",IF($D2738="Gider",$E2738,IF($L2738&lt;&gt;"",$L2738,$H2738)))</f>
        <v/>
      </c>
      <c r="N2738" s="74" t="str">
        <f>IF($C2738="","",IF($D2738="Gider",$H2738,$E2738))</f>
        <v/>
      </c>
      <c r="O2738" s="73" t="str">
        <f>IF($C2738="","",DATE(YEAR($C2738),MONTH($C2738),1))</f>
        <v/>
      </c>
      <c r="P2738" s="65" t="str">
        <f ca="1">IF($C2738="","",IF(AND($D2738="Gelir",$L2738&lt;&gt;"",$T2738=""),"TANIMSIZ BORÇLU",IF($T2738&lt;&gt;"",IF(OR($E2738="",$G2738&lt;=0),"EKSİK",IF($I2738="Evet","TAHAKKUK NAKİT OLAMAZ",IF($C2738&gt;TODAY(),"İLERİ TARİH","TAHAKKUK"))),IF(AND($D2738&lt;&gt;"",$E2738&lt;&gt;"",$G2738&gt;0,$H2738&lt;&gt;"",$I2738&lt;&gt;""),IF($C2738&gt;TODAY(),"İLERİ TARİH",IF(COUNTIF($W$7:$W$3001,$W2738)&gt;1,"MÜKERRER?",IF($AD2738&gt;0,"KAPALI DÖNEM",IF($I2738="Hayır","ÖDENECEK","UYGUN")))),"EKSİK"))))</f>
        <v/>
      </c>
      <c r="Q2738" s="2"/>
      <c r="R2738" s="2"/>
      <c r="S2738" s="1" t="str">
        <f t="shared" si="128"/>
        <v/>
      </c>
      <c r="T2738" s="1" t="str">
        <f>IF(OR($C2738="",$D2738&lt;&gt;"Gelir",$L2738=""),"",IFERROR(INDEX(MUSTERILER!$B$7:$B$156,MATCH($S2738,MUSTERILER!$T$7:$T$156,0)),""))</f>
        <v/>
      </c>
      <c r="U2738" s="1" t="str">
        <f>IF($T2738="","",$T2738&amp;"|"&amp;COUNTIFS($T$7:$T2738,$T2738))</f>
        <v/>
      </c>
      <c r="V2738" s="1">
        <f t="shared" si="129"/>
        <v>0</v>
      </c>
      <c r="W2738" s="1" t="str">
        <f t="shared" si="130"/>
        <v/>
      </c>
      <c r="X2738" s="1"/>
      <c r="Y2738" s="1"/>
      <c r="Z2738" s="1"/>
      <c r="AA2738" s="1"/>
      <c r="AB2738" s="1"/>
      <c r="AC2738" s="1"/>
      <c r="AD2738" s="1">
        <f>IF($C2738="",0,SUMPRODUCT((AY_SONU!$O$7:$O$42="Evet")*(AY_SONU!$B$7:$B$42=DATE(YEAR($C2738),MONTH($C2738),1))))</f>
        <v>0</v>
      </c>
      <c r="AE2738" s="1" t="str">
        <f>IF($E2738="","",$E2738&amp;"|"&amp;COUNTIFS($E$7:$E2738,$E2738))</f>
        <v/>
      </c>
    </row>
    <row r="2739" spans="1:31" ht="18" customHeight="1" x14ac:dyDescent="0.3">
      <c r="A2739" s="2"/>
      <c r="B2739" s="65" t="str">
        <f>IF($C2739="","","GG"&amp;TEXT(ROW()-6,"00000"))</f>
        <v/>
      </c>
      <c r="C2739" s="66"/>
      <c r="D2739" s="60"/>
      <c r="E2739" s="61"/>
      <c r="F2739" s="61"/>
      <c r="G2739" s="67"/>
      <c r="H2739" s="60"/>
      <c r="I2739" s="60"/>
      <c r="J2739" s="61"/>
      <c r="K2739" s="61"/>
      <c r="L2739" s="60"/>
      <c r="M2739" s="74" t="str">
        <f>IF($C2739="","",IF($D2739="Gider",$E2739,IF($L2739&lt;&gt;"",$L2739,$H2739)))</f>
        <v/>
      </c>
      <c r="N2739" s="74" t="str">
        <f>IF($C2739="","",IF($D2739="Gider",$H2739,$E2739))</f>
        <v/>
      </c>
      <c r="O2739" s="73" t="str">
        <f>IF($C2739="","",DATE(YEAR($C2739),MONTH($C2739),1))</f>
        <v/>
      </c>
      <c r="P2739" s="65" t="str">
        <f ca="1">IF($C2739="","",IF(AND($D2739="Gelir",$L2739&lt;&gt;"",$T2739=""),"TANIMSIZ BORÇLU",IF($T2739&lt;&gt;"",IF(OR($E2739="",$G2739&lt;=0),"EKSİK",IF($I2739="Evet","TAHAKKUK NAKİT OLAMAZ",IF($C2739&gt;TODAY(),"İLERİ TARİH","TAHAKKUK"))),IF(AND($D2739&lt;&gt;"",$E2739&lt;&gt;"",$G2739&gt;0,$H2739&lt;&gt;"",$I2739&lt;&gt;""),IF($C2739&gt;TODAY(),"İLERİ TARİH",IF(COUNTIF($W$7:$W$3001,$W2739)&gt;1,"MÜKERRER?",IF($AD2739&gt;0,"KAPALI DÖNEM",IF($I2739="Hayır","ÖDENECEK","UYGUN")))),"EKSİK"))))</f>
        <v/>
      </c>
      <c r="Q2739" s="2"/>
      <c r="R2739" s="2"/>
      <c r="S2739" s="1" t="str">
        <f t="shared" si="128"/>
        <v/>
      </c>
      <c r="T2739" s="1" t="str">
        <f>IF(OR($C2739="",$D2739&lt;&gt;"Gelir",$L2739=""),"",IFERROR(INDEX(MUSTERILER!$B$7:$B$156,MATCH($S2739,MUSTERILER!$T$7:$T$156,0)),""))</f>
        <v/>
      </c>
      <c r="U2739" s="1" t="str">
        <f>IF($T2739="","",$T2739&amp;"|"&amp;COUNTIFS($T$7:$T2739,$T2739))</f>
        <v/>
      </c>
      <c r="V2739" s="1">
        <f t="shared" si="129"/>
        <v>0</v>
      </c>
      <c r="W2739" s="1" t="str">
        <f t="shared" si="130"/>
        <v/>
      </c>
      <c r="X2739" s="1"/>
      <c r="Y2739" s="1"/>
      <c r="Z2739" s="1"/>
      <c r="AA2739" s="1"/>
      <c r="AB2739" s="1"/>
      <c r="AC2739" s="1"/>
      <c r="AD2739" s="1">
        <f>IF($C2739="",0,SUMPRODUCT((AY_SONU!$O$7:$O$42="Evet")*(AY_SONU!$B$7:$B$42=DATE(YEAR($C2739),MONTH($C2739),1))))</f>
        <v>0</v>
      </c>
      <c r="AE2739" s="1" t="str">
        <f>IF($E2739="","",$E2739&amp;"|"&amp;COUNTIFS($E$7:$E2739,$E2739))</f>
        <v/>
      </c>
    </row>
    <row r="2740" spans="1:31" ht="18" customHeight="1" x14ac:dyDescent="0.3">
      <c r="A2740" s="2"/>
      <c r="B2740" s="65" t="str">
        <f>IF($C2740="","","GG"&amp;TEXT(ROW()-6,"00000"))</f>
        <v/>
      </c>
      <c r="C2740" s="66"/>
      <c r="D2740" s="60"/>
      <c r="E2740" s="61"/>
      <c r="F2740" s="61"/>
      <c r="G2740" s="67"/>
      <c r="H2740" s="60"/>
      <c r="I2740" s="60"/>
      <c r="J2740" s="61"/>
      <c r="K2740" s="61"/>
      <c r="L2740" s="60"/>
      <c r="M2740" s="74" t="str">
        <f>IF($C2740="","",IF($D2740="Gider",$E2740,IF($L2740&lt;&gt;"",$L2740,$H2740)))</f>
        <v/>
      </c>
      <c r="N2740" s="74" t="str">
        <f>IF($C2740="","",IF($D2740="Gider",$H2740,$E2740))</f>
        <v/>
      </c>
      <c r="O2740" s="73" t="str">
        <f>IF($C2740="","",DATE(YEAR($C2740),MONTH($C2740),1))</f>
        <v/>
      </c>
      <c r="P2740" s="65" t="str">
        <f ca="1">IF($C2740="","",IF(AND($D2740="Gelir",$L2740&lt;&gt;"",$T2740=""),"TANIMSIZ BORÇLU",IF($T2740&lt;&gt;"",IF(OR($E2740="",$G2740&lt;=0),"EKSİK",IF($I2740="Evet","TAHAKKUK NAKİT OLAMAZ",IF($C2740&gt;TODAY(),"İLERİ TARİH","TAHAKKUK"))),IF(AND($D2740&lt;&gt;"",$E2740&lt;&gt;"",$G2740&gt;0,$H2740&lt;&gt;"",$I2740&lt;&gt;""),IF($C2740&gt;TODAY(),"İLERİ TARİH",IF(COUNTIF($W$7:$W$3001,$W2740)&gt;1,"MÜKERRER?",IF($AD2740&gt;0,"KAPALI DÖNEM",IF($I2740="Hayır","ÖDENECEK","UYGUN")))),"EKSİK"))))</f>
        <v/>
      </c>
      <c r="Q2740" s="2"/>
      <c r="R2740" s="2"/>
      <c r="S2740" s="1" t="str">
        <f t="shared" si="128"/>
        <v/>
      </c>
      <c r="T2740" s="1" t="str">
        <f>IF(OR($C2740="",$D2740&lt;&gt;"Gelir",$L2740=""),"",IFERROR(INDEX(MUSTERILER!$B$7:$B$156,MATCH($S2740,MUSTERILER!$T$7:$T$156,0)),""))</f>
        <v/>
      </c>
      <c r="U2740" s="1" t="str">
        <f>IF($T2740="","",$T2740&amp;"|"&amp;COUNTIFS($T$7:$T2740,$T2740))</f>
        <v/>
      </c>
      <c r="V2740" s="1">
        <f t="shared" si="129"/>
        <v>0</v>
      </c>
      <c r="W2740" s="1" t="str">
        <f t="shared" si="130"/>
        <v/>
      </c>
      <c r="X2740" s="1"/>
      <c r="Y2740" s="1"/>
      <c r="Z2740" s="1"/>
      <c r="AA2740" s="1"/>
      <c r="AB2740" s="1"/>
      <c r="AC2740" s="1"/>
      <c r="AD2740" s="1">
        <f>IF($C2740="",0,SUMPRODUCT((AY_SONU!$O$7:$O$42="Evet")*(AY_SONU!$B$7:$B$42=DATE(YEAR($C2740),MONTH($C2740),1))))</f>
        <v>0</v>
      </c>
      <c r="AE2740" s="1" t="str">
        <f>IF($E2740="","",$E2740&amp;"|"&amp;COUNTIFS($E$7:$E2740,$E2740))</f>
        <v/>
      </c>
    </row>
    <row r="2741" spans="1:31" ht="18" customHeight="1" x14ac:dyDescent="0.3">
      <c r="A2741" s="2"/>
      <c r="B2741" s="65" t="str">
        <f>IF($C2741="","","GG"&amp;TEXT(ROW()-6,"00000"))</f>
        <v/>
      </c>
      <c r="C2741" s="66"/>
      <c r="D2741" s="60"/>
      <c r="E2741" s="61"/>
      <c r="F2741" s="61"/>
      <c r="G2741" s="67"/>
      <c r="H2741" s="60"/>
      <c r="I2741" s="60"/>
      <c r="J2741" s="61"/>
      <c r="K2741" s="61"/>
      <c r="L2741" s="60"/>
      <c r="M2741" s="74" t="str">
        <f>IF($C2741="","",IF($D2741="Gider",$E2741,IF($L2741&lt;&gt;"",$L2741,$H2741)))</f>
        <v/>
      </c>
      <c r="N2741" s="74" t="str">
        <f>IF($C2741="","",IF($D2741="Gider",$H2741,$E2741))</f>
        <v/>
      </c>
      <c r="O2741" s="73" t="str">
        <f>IF($C2741="","",DATE(YEAR($C2741),MONTH($C2741),1))</f>
        <v/>
      </c>
      <c r="P2741" s="65" t="str">
        <f ca="1">IF($C2741="","",IF(AND($D2741="Gelir",$L2741&lt;&gt;"",$T2741=""),"TANIMSIZ BORÇLU",IF($T2741&lt;&gt;"",IF(OR($E2741="",$G2741&lt;=0),"EKSİK",IF($I2741="Evet","TAHAKKUK NAKİT OLAMAZ",IF($C2741&gt;TODAY(),"İLERİ TARİH","TAHAKKUK"))),IF(AND($D2741&lt;&gt;"",$E2741&lt;&gt;"",$G2741&gt;0,$H2741&lt;&gt;"",$I2741&lt;&gt;""),IF($C2741&gt;TODAY(),"İLERİ TARİH",IF(COUNTIF($W$7:$W$3001,$W2741)&gt;1,"MÜKERRER?",IF($AD2741&gt;0,"KAPALI DÖNEM",IF($I2741="Hayır","ÖDENECEK","UYGUN")))),"EKSİK"))))</f>
        <v/>
      </c>
      <c r="Q2741" s="2"/>
      <c r="R2741" s="2"/>
      <c r="S2741" s="1" t="str">
        <f t="shared" si="128"/>
        <v/>
      </c>
      <c r="T2741" s="1" t="str">
        <f>IF(OR($C2741="",$D2741&lt;&gt;"Gelir",$L2741=""),"",IFERROR(INDEX(MUSTERILER!$B$7:$B$156,MATCH($S2741,MUSTERILER!$T$7:$T$156,0)),""))</f>
        <v/>
      </c>
      <c r="U2741" s="1" t="str">
        <f>IF($T2741="","",$T2741&amp;"|"&amp;COUNTIFS($T$7:$T2741,$T2741))</f>
        <v/>
      </c>
      <c r="V2741" s="1">
        <f t="shared" si="129"/>
        <v>0</v>
      </c>
      <c r="W2741" s="1" t="str">
        <f t="shared" si="130"/>
        <v/>
      </c>
      <c r="X2741" s="1"/>
      <c r="Y2741" s="1"/>
      <c r="Z2741" s="1"/>
      <c r="AA2741" s="1"/>
      <c r="AB2741" s="1"/>
      <c r="AC2741" s="1"/>
      <c r="AD2741" s="1">
        <f>IF($C2741="",0,SUMPRODUCT((AY_SONU!$O$7:$O$42="Evet")*(AY_SONU!$B$7:$B$42=DATE(YEAR($C2741),MONTH($C2741),1))))</f>
        <v>0</v>
      </c>
      <c r="AE2741" s="1" t="str">
        <f>IF($E2741="","",$E2741&amp;"|"&amp;COUNTIFS($E$7:$E2741,$E2741))</f>
        <v/>
      </c>
    </row>
    <row r="2742" spans="1:31" ht="18" customHeight="1" x14ac:dyDescent="0.3">
      <c r="A2742" s="2"/>
      <c r="B2742" s="65" t="str">
        <f>IF($C2742="","","GG"&amp;TEXT(ROW()-6,"00000"))</f>
        <v/>
      </c>
      <c r="C2742" s="66"/>
      <c r="D2742" s="60"/>
      <c r="E2742" s="61"/>
      <c r="F2742" s="61"/>
      <c r="G2742" s="67"/>
      <c r="H2742" s="60"/>
      <c r="I2742" s="60"/>
      <c r="J2742" s="61"/>
      <c r="K2742" s="61"/>
      <c r="L2742" s="60"/>
      <c r="M2742" s="74" t="str">
        <f>IF($C2742="","",IF($D2742="Gider",$E2742,IF($L2742&lt;&gt;"",$L2742,$H2742)))</f>
        <v/>
      </c>
      <c r="N2742" s="74" t="str">
        <f>IF($C2742="","",IF($D2742="Gider",$H2742,$E2742))</f>
        <v/>
      </c>
      <c r="O2742" s="73" t="str">
        <f>IF($C2742="","",DATE(YEAR($C2742),MONTH($C2742),1))</f>
        <v/>
      </c>
      <c r="P2742" s="65" t="str">
        <f ca="1">IF($C2742="","",IF(AND($D2742="Gelir",$L2742&lt;&gt;"",$T2742=""),"TANIMSIZ BORÇLU",IF($T2742&lt;&gt;"",IF(OR($E2742="",$G2742&lt;=0),"EKSİK",IF($I2742="Evet","TAHAKKUK NAKİT OLAMAZ",IF($C2742&gt;TODAY(),"İLERİ TARİH","TAHAKKUK"))),IF(AND($D2742&lt;&gt;"",$E2742&lt;&gt;"",$G2742&gt;0,$H2742&lt;&gt;"",$I2742&lt;&gt;""),IF($C2742&gt;TODAY(),"İLERİ TARİH",IF(COUNTIF($W$7:$W$3001,$W2742)&gt;1,"MÜKERRER?",IF($AD2742&gt;0,"KAPALI DÖNEM",IF($I2742="Hayır","ÖDENECEK","UYGUN")))),"EKSİK"))))</f>
        <v/>
      </c>
      <c r="Q2742" s="2"/>
      <c r="R2742" s="2"/>
      <c r="S2742" s="1" t="str">
        <f t="shared" si="128"/>
        <v/>
      </c>
      <c r="T2742" s="1" t="str">
        <f>IF(OR($C2742="",$D2742&lt;&gt;"Gelir",$L2742=""),"",IFERROR(INDEX(MUSTERILER!$B$7:$B$156,MATCH($S2742,MUSTERILER!$T$7:$T$156,0)),""))</f>
        <v/>
      </c>
      <c r="U2742" s="1" t="str">
        <f>IF($T2742="","",$T2742&amp;"|"&amp;COUNTIFS($T$7:$T2742,$T2742))</f>
        <v/>
      </c>
      <c r="V2742" s="1">
        <f t="shared" si="129"/>
        <v>0</v>
      </c>
      <c r="W2742" s="1" t="str">
        <f t="shared" si="130"/>
        <v/>
      </c>
      <c r="X2742" s="1"/>
      <c r="Y2742" s="1"/>
      <c r="Z2742" s="1"/>
      <c r="AA2742" s="1"/>
      <c r="AB2742" s="1"/>
      <c r="AC2742" s="1"/>
      <c r="AD2742" s="1">
        <f>IF($C2742="",0,SUMPRODUCT((AY_SONU!$O$7:$O$42="Evet")*(AY_SONU!$B$7:$B$42=DATE(YEAR($C2742),MONTH($C2742),1))))</f>
        <v>0</v>
      </c>
      <c r="AE2742" s="1" t="str">
        <f>IF($E2742="","",$E2742&amp;"|"&amp;COUNTIFS($E$7:$E2742,$E2742))</f>
        <v/>
      </c>
    </row>
    <row r="2743" spans="1:31" ht="18" customHeight="1" x14ac:dyDescent="0.3">
      <c r="A2743" s="2"/>
      <c r="B2743" s="65" t="str">
        <f>IF($C2743="","","GG"&amp;TEXT(ROW()-6,"00000"))</f>
        <v/>
      </c>
      <c r="C2743" s="66"/>
      <c r="D2743" s="60"/>
      <c r="E2743" s="61"/>
      <c r="F2743" s="61"/>
      <c r="G2743" s="67"/>
      <c r="H2743" s="60"/>
      <c r="I2743" s="60"/>
      <c r="J2743" s="61"/>
      <c r="K2743" s="61"/>
      <c r="L2743" s="60"/>
      <c r="M2743" s="74" t="str">
        <f>IF($C2743="","",IF($D2743="Gider",$E2743,IF($L2743&lt;&gt;"",$L2743,$H2743)))</f>
        <v/>
      </c>
      <c r="N2743" s="74" t="str">
        <f>IF($C2743="","",IF($D2743="Gider",$H2743,$E2743))</f>
        <v/>
      </c>
      <c r="O2743" s="73" t="str">
        <f>IF($C2743="","",DATE(YEAR($C2743),MONTH($C2743),1))</f>
        <v/>
      </c>
      <c r="P2743" s="65" t="str">
        <f ca="1">IF($C2743="","",IF(AND($D2743="Gelir",$L2743&lt;&gt;"",$T2743=""),"TANIMSIZ BORÇLU",IF($T2743&lt;&gt;"",IF(OR($E2743="",$G2743&lt;=0),"EKSİK",IF($I2743="Evet","TAHAKKUK NAKİT OLAMAZ",IF($C2743&gt;TODAY(),"İLERİ TARİH","TAHAKKUK"))),IF(AND($D2743&lt;&gt;"",$E2743&lt;&gt;"",$G2743&gt;0,$H2743&lt;&gt;"",$I2743&lt;&gt;""),IF($C2743&gt;TODAY(),"İLERİ TARİH",IF(COUNTIF($W$7:$W$3001,$W2743)&gt;1,"MÜKERRER?",IF($AD2743&gt;0,"KAPALI DÖNEM",IF($I2743="Hayır","ÖDENECEK","UYGUN")))),"EKSİK"))))</f>
        <v/>
      </c>
      <c r="Q2743" s="2"/>
      <c r="R2743" s="2"/>
      <c r="S2743" s="1" t="str">
        <f t="shared" si="128"/>
        <v/>
      </c>
      <c r="T2743" s="1" t="str">
        <f>IF(OR($C2743="",$D2743&lt;&gt;"Gelir",$L2743=""),"",IFERROR(INDEX(MUSTERILER!$B$7:$B$156,MATCH($S2743,MUSTERILER!$T$7:$T$156,0)),""))</f>
        <v/>
      </c>
      <c r="U2743" s="1" t="str">
        <f>IF($T2743="","",$T2743&amp;"|"&amp;COUNTIFS($T$7:$T2743,$T2743))</f>
        <v/>
      </c>
      <c r="V2743" s="1">
        <f t="shared" si="129"/>
        <v>0</v>
      </c>
      <c r="W2743" s="1" t="str">
        <f t="shared" si="130"/>
        <v/>
      </c>
      <c r="X2743" s="1"/>
      <c r="Y2743" s="1"/>
      <c r="Z2743" s="1"/>
      <c r="AA2743" s="1"/>
      <c r="AB2743" s="1"/>
      <c r="AC2743" s="1"/>
      <c r="AD2743" s="1">
        <f>IF($C2743="",0,SUMPRODUCT((AY_SONU!$O$7:$O$42="Evet")*(AY_SONU!$B$7:$B$42=DATE(YEAR($C2743),MONTH($C2743),1))))</f>
        <v>0</v>
      </c>
      <c r="AE2743" s="1" t="str">
        <f>IF($E2743="","",$E2743&amp;"|"&amp;COUNTIFS($E$7:$E2743,$E2743))</f>
        <v/>
      </c>
    </row>
    <row r="2744" spans="1:31" ht="18" customHeight="1" x14ac:dyDescent="0.3">
      <c r="A2744" s="2"/>
      <c r="B2744" s="65" t="str">
        <f>IF($C2744="","","GG"&amp;TEXT(ROW()-6,"00000"))</f>
        <v/>
      </c>
      <c r="C2744" s="66"/>
      <c r="D2744" s="60"/>
      <c r="E2744" s="61"/>
      <c r="F2744" s="61"/>
      <c r="G2744" s="67"/>
      <c r="H2744" s="60"/>
      <c r="I2744" s="60"/>
      <c r="J2744" s="61"/>
      <c r="K2744" s="61"/>
      <c r="L2744" s="60"/>
      <c r="M2744" s="74" t="str">
        <f>IF($C2744="","",IF($D2744="Gider",$E2744,IF($L2744&lt;&gt;"",$L2744,$H2744)))</f>
        <v/>
      </c>
      <c r="N2744" s="74" t="str">
        <f>IF($C2744="","",IF($D2744="Gider",$H2744,$E2744))</f>
        <v/>
      </c>
      <c r="O2744" s="73" t="str">
        <f>IF($C2744="","",DATE(YEAR($C2744),MONTH($C2744),1))</f>
        <v/>
      </c>
      <c r="P2744" s="65" t="str">
        <f ca="1">IF($C2744="","",IF(AND($D2744="Gelir",$L2744&lt;&gt;"",$T2744=""),"TANIMSIZ BORÇLU",IF($T2744&lt;&gt;"",IF(OR($E2744="",$G2744&lt;=0),"EKSİK",IF($I2744="Evet","TAHAKKUK NAKİT OLAMAZ",IF($C2744&gt;TODAY(),"İLERİ TARİH","TAHAKKUK"))),IF(AND($D2744&lt;&gt;"",$E2744&lt;&gt;"",$G2744&gt;0,$H2744&lt;&gt;"",$I2744&lt;&gt;""),IF($C2744&gt;TODAY(),"İLERİ TARİH",IF(COUNTIF($W$7:$W$3001,$W2744)&gt;1,"MÜKERRER?",IF($AD2744&gt;0,"KAPALI DÖNEM",IF($I2744="Hayır","ÖDENECEK","UYGUN")))),"EKSİK"))))</f>
        <v/>
      </c>
      <c r="Q2744" s="2"/>
      <c r="R2744" s="2"/>
      <c r="S2744" s="1" t="str">
        <f t="shared" si="128"/>
        <v/>
      </c>
      <c r="T2744" s="1" t="str">
        <f>IF(OR($C2744="",$D2744&lt;&gt;"Gelir",$L2744=""),"",IFERROR(INDEX(MUSTERILER!$B$7:$B$156,MATCH($S2744,MUSTERILER!$T$7:$T$156,0)),""))</f>
        <v/>
      </c>
      <c r="U2744" s="1" t="str">
        <f>IF($T2744="","",$T2744&amp;"|"&amp;COUNTIFS($T$7:$T2744,$T2744))</f>
        <v/>
      </c>
      <c r="V2744" s="1">
        <f t="shared" si="129"/>
        <v>0</v>
      </c>
      <c r="W2744" s="1" t="str">
        <f t="shared" si="130"/>
        <v/>
      </c>
      <c r="X2744" s="1"/>
      <c r="Y2744" s="1"/>
      <c r="Z2744" s="1"/>
      <c r="AA2744" s="1"/>
      <c r="AB2744" s="1"/>
      <c r="AC2744" s="1"/>
      <c r="AD2744" s="1">
        <f>IF($C2744="",0,SUMPRODUCT((AY_SONU!$O$7:$O$42="Evet")*(AY_SONU!$B$7:$B$42=DATE(YEAR($C2744),MONTH($C2744),1))))</f>
        <v>0</v>
      </c>
      <c r="AE2744" s="1" t="str">
        <f>IF($E2744="","",$E2744&amp;"|"&amp;COUNTIFS($E$7:$E2744,$E2744))</f>
        <v/>
      </c>
    </row>
    <row r="2745" spans="1:31" ht="18" customHeight="1" x14ac:dyDescent="0.3">
      <c r="A2745" s="2"/>
      <c r="B2745" s="65" t="str">
        <f>IF($C2745="","","GG"&amp;TEXT(ROW()-6,"00000"))</f>
        <v/>
      </c>
      <c r="C2745" s="66"/>
      <c r="D2745" s="60"/>
      <c r="E2745" s="61"/>
      <c r="F2745" s="61"/>
      <c r="G2745" s="67"/>
      <c r="H2745" s="60"/>
      <c r="I2745" s="60"/>
      <c r="J2745" s="61"/>
      <c r="K2745" s="61"/>
      <c r="L2745" s="60"/>
      <c r="M2745" s="74" t="str">
        <f>IF($C2745="","",IF($D2745="Gider",$E2745,IF($L2745&lt;&gt;"",$L2745,$H2745)))</f>
        <v/>
      </c>
      <c r="N2745" s="74" t="str">
        <f>IF($C2745="","",IF($D2745="Gider",$H2745,$E2745))</f>
        <v/>
      </c>
      <c r="O2745" s="73" t="str">
        <f>IF($C2745="","",DATE(YEAR($C2745),MONTH($C2745),1))</f>
        <v/>
      </c>
      <c r="P2745" s="65" t="str">
        <f ca="1">IF($C2745="","",IF(AND($D2745="Gelir",$L2745&lt;&gt;"",$T2745=""),"TANIMSIZ BORÇLU",IF($T2745&lt;&gt;"",IF(OR($E2745="",$G2745&lt;=0),"EKSİK",IF($I2745="Evet","TAHAKKUK NAKİT OLAMAZ",IF($C2745&gt;TODAY(),"İLERİ TARİH","TAHAKKUK"))),IF(AND($D2745&lt;&gt;"",$E2745&lt;&gt;"",$G2745&gt;0,$H2745&lt;&gt;"",$I2745&lt;&gt;""),IF($C2745&gt;TODAY(),"İLERİ TARİH",IF(COUNTIF($W$7:$W$3001,$W2745)&gt;1,"MÜKERRER?",IF($AD2745&gt;0,"KAPALI DÖNEM",IF($I2745="Hayır","ÖDENECEK","UYGUN")))),"EKSİK"))))</f>
        <v/>
      </c>
      <c r="Q2745" s="2"/>
      <c r="R2745" s="2"/>
      <c r="S2745" s="1" t="str">
        <f t="shared" si="128"/>
        <v/>
      </c>
      <c r="T2745" s="1" t="str">
        <f>IF(OR($C2745="",$D2745&lt;&gt;"Gelir",$L2745=""),"",IFERROR(INDEX(MUSTERILER!$B$7:$B$156,MATCH($S2745,MUSTERILER!$T$7:$T$156,0)),""))</f>
        <v/>
      </c>
      <c r="U2745" s="1" t="str">
        <f>IF($T2745="","",$T2745&amp;"|"&amp;COUNTIFS($T$7:$T2745,$T2745))</f>
        <v/>
      </c>
      <c r="V2745" s="1">
        <f t="shared" si="129"/>
        <v>0</v>
      </c>
      <c r="W2745" s="1" t="str">
        <f t="shared" si="130"/>
        <v/>
      </c>
      <c r="X2745" s="1"/>
      <c r="Y2745" s="1"/>
      <c r="Z2745" s="1"/>
      <c r="AA2745" s="1"/>
      <c r="AB2745" s="1"/>
      <c r="AC2745" s="1"/>
      <c r="AD2745" s="1">
        <f>IF($C2745="",0,SUMPRODUCT((AY_SONU!$O$7:$O$42="Evet")*(AY_SONU!$B$7:$B$42=DATE(YEAR($C2745),MONTH($C2745),1))))</f>
        <v>0</v>
      </c>
      <c r="AE2745" s="1" t="str">
        <f>IF($E2745="","",$E2745&amp;"|"&amp;COUNTIFS($E$7:$E2745,$E2745))</f>
        <v/>
      </c>
    </row>
    <row r="2746" spans="1:31" ht="18" customHeight="1" x14ac:dyDescent="0.3">
      <c r="A2746" s="2"/>
      <c r="B2746" s="65" t="str">
        <f>IF($C2746="","","GG"&amp;TEXT(ROW()-6,"00000"))</f>
        <v/>
      </c>
      <c r="C2746" s="66"/>
      <c r="D2746" s="60"/>
      <c r="E2746" s="61"/>
      <c r="F2746" s="61"/>
      <c r="G2746" s="67"/>
      <c r="H2746" s="60"/>
      <c r="I2746" s="60"/>
      <c r="J2746" s="61"/>
      <c r="K2746" s="61"/>
      <c r="L2746" s="60"/>
      <c r="M2746" s="74" t="str">
        <f>IF($C2746="","",IF($D2746="Gider",$E2746,IF($L2746&lt;&gt;"",$L2746,$H2746)))</f>
        <v/>
      </c>
      <c r="N2746" s="74" t="str">
        <f>IF($C2746="","",IF($D2746="Gider",$H2746,$E2746))</f>
        <v/>
      </c>
      <c r="O2746" s="73" t="str">
        <f>IF($C2746="","",DATE(YEAR($C2746),MONTH($C2746),1))</f>
        <v/>
      </c>
      <c r="P2746" s="65" t="str">
        <f ca="1">IF($C2746="","",IF(AND($D2746="Gelir",$L2746&lt;&gt;"",$T2746=""),"TANIMSIZ BORÇLU",IF($T2746&lt;&gt;"",IF(OR($E2746="",$G2746&lt;=0),"EKSİK",IF($I2746="Evet","TAHAKKUK NAKİT OLAMAZ",IF($C2746&gt;TODAY(),"İLERİ TARİH","TAHAKKUK"))),IF(AND($D2746&lt;&gt;"",$E2746&lt;&gt;"",$G2746&gt;0,$H2746&lt;&gt;"",$I2746&lt;&gt;""),IF($C2746&gt;TODAY(),"İLERİ TARİH",IF(COUNTIF($W$7:$W$3001,$W2746)&gt;1,"MÜKERRER?",IF($AD2746&gt;0,"KAPALI DÖNEM",IF($I2746="Hayır","ÖDENECEK","UYGUN")))),"EKSİK"))))</f>
        <v/>
      </c>
      <c r="Q2746" s="2"/>
      <c r="R2746" s="2"/>
      <c r="S2746" s="1" t="str">
        <f t="shared" si="128"/>
        <v/>
      </c>
      <c r="T2746" s="1" t="str">
        <f>IF(OR($C2746="",$D2746&lt;&gt;"Gelir",$L2746=""),"",IFERROR(INDEX(MUSTERILER!$B$7:$B$156,MATCH($S2746,MUSTERILER!$T$7:$T$156,0)),""))</f>
        <v/>
      </c>
      <c r="U2746" s="1" t="str">
        <f>IF($T2746="","",$T2746&amp;"|"&amp;COUNTIFS($T$7:$T2746,$T2746))</f>
        <v/>
      </c>
      <c r="V2746" s="1">
        <f t="shared" si="129"/>
        <v>0</v>
      </c>
      <c r="W2746" s="1" t="str">
        <f t="shared" si="130"/>
        <v/>
      </c>
      <c r="X2746" s="1"/>
      <c r="Y2746" s="1"/>
      <c r="Z2746" s="1"/>
      <c r="AA2746" s="1"/>
      <c r="AB2746" s="1"/>
      <c r="AC2746" s="1"/>
      <c r="AD2746" s="1">
        <f>IF($C2746="",0,SUMPRODUCT((AY_SONU!$O$7:$O$42="Evet")*(AY_SONU!$B$7:$B$42=DATE(YEAR($C2746),MONTH($C2746),1))))</f>
        <v>0</v>
      </c>
      <c r="AE2746" s="1" t="str">
        <f>IF($E2746="","",$E2746&amp;"|"&amp;COUNTIFS($E$7:$E2746,$E2746))</f>
        <v/>
      </c>
    </row>
    <row r="2747" spans="1:31" ht="18" customHeight="1" x14ac:dyDescent="0.3">
      <c r="A2747" s="2"/>
      <c r="B2747" s="65" t="str">
        <f>IF($C2747="","","GG"&amp;TEXT(ROW()-6,"00000"))</f>
        <v/>
      </c>
      <c r="C2747" s="66"/>
      <c r="D2747" s="60"/>
      <c r="E2747" s="61"/>
      <c r="F2747" s="61"/>
      <c r="G2747" s="67"/>
      <c r="H2747" s="60"/>
      <c r="I2747" s="60"/>
      <c r="J2747" s="61"/>
      <c r="K2747" s="61"/>
      <c r="L2747" s="60"/>
      <c r="M2747" s="74" t="str">
        <f>IF($C2747="","",IF($D2747="Gider",$E2747,IF($L2747&lt;&gt;"",$L2747,$H2747)))</f>
        <v/>
      </c>
      <c r="N2747" s="74" t="str">
        <f>IF($C2747="","",IF($D2747="Gider",$H2747,$E2747))</f>
        <v/>
      </c>
      <c r="O2747" s="73" t="str">
        <f>IF($C2747="","",DATE(YEAR($C2747),MONTH($C2747),1))</f>
        <v/>
      </c>
      <c r="P2747" s="65" t="str">
        <f ca="1">IF($C2747="","",IF(AND($D2747="Gelir",$L2747&lt;&gt;"",$T2747=""),"TANIMSIZ BORÇLU",IF($T2747&lt;&gt;"",IF(OR($E2747="",$G2747&lt;=0),"EKSİK",IF($I2747="Evet","TAHAKKUK NAKİT OLAMAZ",IF($C2747&gt;TODAY(),"İLERİ TARİH","TAHAKKUK"))),IF(AND($D2747&lt;&gt;"",$E2747&lt;&gt;"",$G2747&gt;0,$H2747&lt;&gt;"",$I2747&lt;&gt;""),IF($C2747&gt;TODAY(),"İLERİ TARİH",IF(COUNTIF($W$7:$W$3001,$W2747)&gt;1,"MÜKERRER?",IF($AD2747&gt;0,"KAPALI DÖNEM",IF($I2747="Hayır","ÖDENECEK","UYGUN")))),"EKSİK"))))</f>
        <v/>
      </c>
      <c r="Q2747" s="2"/>
      <c r="R2747" s="2"/>
      <c r="S2747" s="1" t="str">
        <f t="shared" si="128"/>
        <v/>
      </c>
      <c r="T2747" s="1" t="str">
        <f>IF(OR($C2747="",$D2747&lt;&gt;"Gelir",$L2747=""),"",IFERROR(INDEX(MUSTERILER!$B$7:$B$156,MATCH($S2747,MUSTERILER!$T$7:$T$156,0)),""))</f>
        <v/>
      </c>
      <c r="U2747" s="1" t="str">
        <f>IF($T2747="","",$T2747&amp;"|"&amp;COUNTIFS($T$7:$T2747,$T2747))</f>
        <v/>
      </c>
      <c r="V2747" s="1">
        <f t="shared" si="129"/>
        <v>0</v>
      </c>
      <c r="W2747" s="1" t="str">
        <f t="shared" si="130"/>
        <v/>
      </c>
      <c r="X2747" s="1"/>
      <c r="Y2747" s="1"/>
      <c r="Z2747" s="1"/>
      <c r="AA2747" s="1"/>
      <c r="AB2747" s="1"/>
      <c r="AC2747" s="1"/>
      <c r="AD2747" s="1">
        <f>IF($C2747="",0,SUMPRODUCT((AY_SONU!$O$7:$O$42="Evet")*(AY_SONU!$B$7:$B$42=DATE(YEAR($C2747),MONTH($C2747),1))))</f>
        <v>0</v>
      </c>
      <c r="AE2747" s="1" t="str">
        <f>IF($E2747="","",$E2747&amp;"|"&amp;COUNTIFS($E$7:$E2747,$E2747))</f>
        <v/>
      </c>
    </row>
    <row r="2748" spans="1:31" ht="18" customHeight="1" x14ac:dyDescent="0.3">
      <c r="A2748" s="2"/>
      <c r="B2748" s="65" t="str">
        <f>IF($C2748="","","GG"&amp;TEXT(ROW()-6,"00000"))</f>
        <v/>
      </c>
      <c r="C2748" s="66"/>
      <c r="D2748" s="60"/>
      <c r="E2748" s="61"/>
      <c r="F2748" s="61"/>
      <c r="G2748" s="67"/>
      <c r="H2748" s="60"/>
      <c r="I2748" s="60"/>
      <c r="J2748" s="61"/>
      <c r="K2748" s="61"/>
      <c r="L2748" s="60"/>
      <c r="M2748" s="74" t="str">
        <f>IF($C2748="","",IF($D2748="Gider",$E2748,IF($L2748&lt;&gt;"",$L2748,$H2748)))</f>
        <v/>
      </c>
      <c r="N2748" s="74" t="str">
        <f>IF($C2748="","",IF($D2748="Gider",$H2748,$E2748))</f>
        <v/>
      </c>
      <c r="O2748" s="73" t="str">
        <f>IF($C2748="","",DATE(YEAR($C2748),MONTH($C2748),1))</f>
        <v/>
      </c>
      <c r="P2748" s="65" t="str">
        <f ca="1">IF($C2748="","",IF(AND($D2748="Gelir",$L2748&lt;&gt;"",$T2748=""),"TANIMSIZ BORÇLU",IF($T2748&lt;&gt;"",IF(OR($E2748="",$G2748&lt;=0),"EKSİK",IF($I2748="Evet","TAHAKKUK NAKİT OLAMAZ",IF($C2748&gt;TODAY(),"İLERİ TARİH","TAHAKKUK"))),IF(AND($D2748&lt;&gt;"",$E2748&lt;&gt;"",$G2748&gt;0,$H2748&lt;&gt;"",$I2748&lt;&gt;""),IF($C2748&gt;TODAY(),"İLERİ TARİH",IF(COUNTIF($W$7:$W$3001,$W2748)&gt;1,"MÜKERRER?",IF($AD2748&gt;0,"KAPALI DÖNEM",IF($I2748="Hayır","ÖDENECEK","UYGUN")))),"EKSİK"))))</f>
        <v/>
      </c>
      <c r="Q2748" s="2"/>
      <c r="R2748" s="2"/>
      <c r="S2748" s="1" t="str">
        <f t="shared" si="128"/>
        <v/>
      </c>
      <c r="T2748" s="1" t="str">
        <f>IF(OR($C2748="",$D2748&lt;&gt;"Gelir",$L2748=""),"",IFERROR(INDEX(MUSTERILER!$B$7:$B$156,MATCH($S2748,MUSTERILER!$T$7:$T$156,0)),""))</f>
        <v/>
      </c>
      <c r="U2748" s="1" t="str">
        <f>IF($T2748="","",$T2748&amp;"|"&amp;COUNTIFS($T$7:$T2748,$T2748))</f>
        <v/>
      </c>
      <c r="V2748" s="1">
        <f t="shared" si="129"/>
        <v>0</v>
      </c>
      <c r="W2748" s="1" t="str">
        <f t="shared" si="130"/>
        <v/>
      </c>
      <c r="X2748" s="1"/>
      <c r="Y2748" s="1"/>
      <c r="Z2748" s="1"/>
      <c r="AA2748" s="1"/>
      <c r="AB2748" s="1"/>
      <c r="AC2748" s="1"/>
      <c r="AD2748" s="1">
        <f>IF($C2748="",0,SUMPRODUCT((AY_SONU!$O$7:$O$42="Evet")*(AY_SONU!$B$7:$B$42=DATE(YEAR($C2748),MONTH($C2748),1))))</f>
        <v>0</v>
      </c>
      <c r="AE2748" s="1" t="str">
        <f>IF($E2748="","",$E2748&amp;"|"&amp;COUNTIFS($E$7:$E2748,$E2748))</f>
        <v/>
      </c>
    </row>
    <row r="2749" spans="1:31" ht="18" customHeight="1" x14ac:dyDescent="0.3">
      <c r="A2749" s="2"/>
      <c r="B2749" s="65" t="str">
        <f>IF($C2749="","","GG"&amp;TEXT(ROW()-6,"00000"))</f>
        <v/>
      </c>
      <c r="C2749" s="66"/>
      <c r="D2749" s="60"/>
      <c r="E2749" s="61"/>
      <c r="F2749" s="61"/>
      <c r="G2749" s="67"/>
      <c r="H2749" s="60"/>
      <c r="I2749" s="60"/>
      <c r="J2749" s="61"/>
      <c r="K2749" s="61"/>
      <c r="L2749" s="60"/>
      <c r="M2749" s="74" t="str">
        <f>IF($C2749="","",IF($D2749="Gider",$E2749,IF($L2749&lt;&gt;"",$L2749,$H2749)))</f>
        <v/>
      </c>
      <c r="N2749" s="74" t="str">
        <f>IF($C2749="","",IF($D2749="Gider",$H2749,$E2749))</f>
        <v/>
      </c>
      <c r="O2749" s="73" t="str">
        <f>IF($C2749="","",DATE(YEAR($C2749),MONTH($C2749),1))</f>
        <v/>
      </c>
      <c r="P2749" s="65" t="str">
        <f ca="1">IF($C2749="","",IF(AND($D2749="Gelir",$L2749&lt;&gt;"",$T2749=""),"TANIMSIZ BORÇLU",IF($T2749&lt;&gt;"",IF(OR($E2749="",$G2749&lt;=0),"EKSİK",IF($I2749="Evet","TAHAKKUK NAKİT OLAMAZ",IF($C2749&gt;TODAY(),"İLERİ TARİH","TAHAKKUK"))),IF(AND($D2749&lt;&gt;"",$E2749&lt;&gt;"",$G2749&gt;0,$H2749&lt;&gt;"",$I2749&lt;&gt;""),IF($C2749&gt;TODAY(),"İLERİ TARİH",IF(COUNTIF($W$7:$W$3001,$W2749)&gt;1,"MÜKERRER?",IF($AD2749&gt;0,"KAPALI DÖNEM",IF($I2749="Hayır","ÖDENECEK","UYGUN")))),"EKSİK"))))</f>
        <v/>
      </c>
      <c r="Q2749" s="2"/>
      <c r="R2749" s="2"/>
      <c r="S2749" s="1" t="str">
        <f t="shared" si="128"/>
        <v/>
      </c>
      <c r="T2749" s="1" t="str">
        <f>IF(OR($C2749="",$D2749&lt;&gt;"Gelir",$L2749=""),"",IFERROR(INDEX(MUSTERILER!$B$7:$B$156,MATCH($S2749,MUSTERILER!$T$7:$T$156,0)),""))</f>
        <v/>
      </c>
      <c r="U2749" s="1" t="str">
        <f>IF($T2749="","",$T2749&amp;"|"&amp;COUNTIFS($T$7:$T2749,$T2749))</f>
        <v/>
      </c>
      <c r="V2749" s="1">
        <f t="shared" si="129"/>
        <v>0</v>
      </c>
      <c r="W2749" s="1" t="str">
        <f t="shared" si="130"/>
        <v/>
      </c>
      <c r="X2749" s="1"/>
      <c r="Y2749" s="1"/>
      <c r="Z2749" s="1"/>
      <c r="AA2749" s="1"/>
      <c r="AB2749" s="1"/>
      <c r="AC2749" s="1"/>
      <c r="AD2749" s="1">
        <f>IF($C2749="",0,SUMPRODUCT((AY_SONU!$O$7:$O$42="Evet")*(AY_SONU!$B$7:$B$42=DATE(YEAR($C2749),MONTH($C2749),1))))</f>
        <v>0</v>
      </c>
      <c r="AE2749" s="1" t="str">
        <f>IF($E2749="","",$E2749&amp;"|"&amp;COUNTIFS($E$7:$E2749,$E2749))</f>
        <v/>
      </c>
    </row>
    <row r="2750" spans="1:31" ht="18" customHeight="1" x14ac:dyDescent="0.3">
      <c r="A2750" s="2"/>
      <c r="B2750" s="65" t="str">
        <f>IF($C2750="","","GG"&amp;TEXT(ROW()-6,"00000"))</f>
        <v/>
      </c>
      <c r="C2750" s="66"/>
      <c r="D2750" s="60"/>
      <c r="E2750" s="61"/>
      <c r="F2750" s="61"/>
      <c r="G2750" s="67"/>
      <c r="H2750" s="60"/>
      <c r="I2750" s="60"/>
      <c r="J2750" s="61"/>
      <c r="K2750" s="61"/>
      <c r="L2750" s="60"/>
      <c r="M2750" s="74" t="str">
        <f>IF($C2750="","",IF($D2750="Gider",$E2750,IF($L2750&lt;&gt;"",$L2750,$H2750)))</f>
        <v/>
      </c>
      <c r="N2750" s="74" t="str">
        <f>IF($C2750="","",IF($D2750="Gider",$H2750,$E2750))</f>
        <v/>
      </c>
      <c r="O2750" s="73" t="str">
        <f>IF($C2750="","",DATE(YEAR($C2750),MONTH($C2750),1))</f>
        <v/>
      </c>
      <c r="P2750" s="65" t="str">
        <f ca="1">IF($C2750="","",IF(AND($D2750="Gelir",$L2750&lt;&gt;"",$T2750=""),"TANIMSIZ BORÇLU",IF($T2750&lt;&gt;"",IF(OR($E2750="",$G2750&lt;=0),"EKSİK",IF($I2750="Evet","TAHAKKUK NAKİT OLAMAZ",IF($C2750&gt;TODAY(),"İLERİ TARİH","TAHAKKUK"))),IF(AND($D2750&lt;&gt;"",$E2750&lt;&gt;"",$G2750&gt;0,$H2750&lt;&gt;"",$I2750&lt;&gt;""),IF($C2750&gt;TODAY(),"İLERİ TARİH",IF(COUNTIF($W$7:$W$3001,$W2750)&gt;1,"MÜKERRER?",IF($AD2750&gt;0,"KAPALI DÖNEM",IF($I2750="Hayır","ÖDENECEK","UYGUN")))),"EKSİK"))))</f>
        <v/>
      </c>
      <c r="Q2750" s="2"/>
      <c r="R2750" s="2"/>
      <c r="S2750" s="1" t="str">
        <f t="shared" si="128"/>
        <v/>
      </c>
      <c r="T2750" s="1" t="str">
        <f>IF(OR($C2750="",$D2750&lt;&gt;"Gelir",$L2750=""),"",IFERROR(INDEX(MUSTERILER!$B$7:$B$156,MATCH($S2750,MUSTERILER!$T$7:$T$156,0)),""))</f>
        <v/>
      </c>
      <c r="U2750" s="1" t="str">
        <f>IF($T2750="","",$T2750&amp;"|"&amp;COUNTIFS($T$7:$T2750,$T2750))</f>
        <v/>
      </c>
      <c r="V2750" s="1">
        <f t="shared" si="129"/>
        <v>0</v>
      </c>
      <c r="W2750" s="1" t="str">
        <f t="shared" si="130"/>
        <v/>
      </c>
      <c r="X2750" s="1"/>
      <c r="Y2750" s="1"/>
      <c r="Z2750" s="1"/>
      <c r="AA2750" s="1"/>
      <c r="AB2750" s="1"/>
      <c r="AC2750" s="1"/>
      <c r="AD2750" s="1">
        <f>IF($C2750="",0,SUMPRODUCT((AY_SONU!$O$7:$O$42="Evet")*(AY_SONU!$B$7:$B$42=DATE(YEAR($C2750),MONTH($C2750),1))))</f>
        <v>0</v>
      </c>
      <c r="AE2750" s="1" t="str">
        <f>IF($E2750="","",$E2750&amp;"|"&amp;COUNTIFS($E$7:$E2750,$E2750))</f>
        <v/>
      </c>
    </row>
    <row r="2751" spans="1:31" ht="18" customHeight="1" x14ac:dyDescent="0.3">
      <c r="A2751" s="2"/>
      <c r="B2751" s="65" t="str">
        <f>IF($C2751="","","GG"&amp;TEXT(ROW()-6,"00000"))</f>
        <v/>
      </c>
      <c r="C2751" s="66"/>
      <c r="D2751" s="60"/>
      <c r="E2751" s="61"/>
      <c r="F2751" s="61"/>
      <c r="G2751" s="67"/>
      <c r="H2751" s="60"/>
      <c r="I2751" s="60"/>
      <c r="J2751" s="61"/>
      <c r="K2751" s="61"/>
      <c r="L2751" s="60"/>
      <c r="M2751" s="74" t="str">
        <f>IF($C2751="","",IF($D2751="Gider",$E2751,IF($L2751&lt;&gt;"",$L2751,$H2751)))</f>
        <v/>
      </c>
      <c r="N2751" s="74" t="str">
        <f>IF($C2751="","",IF($D2751="Gider",$H2751,$E2751))</f>
        <v/>
      </c>
      <c r="O2751" s="73" t="str">
        <f>IF($C2751="","",DATE(YEAR($C2751),MONTH($C2751),1))</f>
        <v/>
      </c>
      <c r="P2751" s="65" t="str">
        <f ca="1">IF($C2751="","",IF(AND($D2751="Gelir",$L2751&lt;&gt;"",$T2751=""),"TANIMSIZ BORÇLU",IF($T2751&lt;&gt;"",IF(OR($E2751="",$G2751&lt;=0),"EKSİK",IF($I2751="Evet","TAHAKKUK NAKİT OLAMAZ",IF($C2751&gt;TODAY(),"İLERİ TARİH","TAHAKKUK"))),IF(AND($D2751&lt;&gt;"",$E2751&lt;&gt;"",$G2751&gt;0,$H2751&lt;&gt;"",$I2751&lt;&gt;""),IF($C2751&gt;TODAY(),"İLERİ TARİH",IF(COUNTIF($W$7:$W$3001,$W2751)&gt;1,"MÜKERRER?",IF($AD2751&gt;0,"KAPALI DÖNEM",IF($I2751="Hayır","ÖDENECEK","UYGUN")))),"EKSİK"))))</f>
        <v/>
      </c>
      <c r="Q2751" s="2"/>
      <c r="R2751" s="2"/>
      <c r="S2751" s="1" t="str">
        <f t="shared" si="128"/>
        <v/>
      </c>
      <c r="T2751" s="1" t="str">
        <f>IF(OR($C2751="",$D2751&lt;&gt;"Gelir",$L2751=""),"",IFERROR(INDEX(MUSTERILER!$B$7:$B$156,MATCH($S2751,MUSTERILER!$T$7:$T$156,0)),""))</f>
        <v/>
      </c>
      <c r="U2751" s="1" t="str">
        <f>IF($T2751="","",$T2751&amp;"|"&amp;COUNTIFS($T$7:$T2751,$T2751))</f>
        <v/>
      </c>
      <c r="V2751" s="1">
        <f t="shared" si="129"/>
        <v>0</v>
      </c>
      <c r="W2751" s="1" t="str">
        <f t="shared" si="130"/>
        <v/>
      </c>
      <c r="X2751" s="1"/>
      <c r="Y2751" s="1"/>
      <c r="Z2751" s="1"/>
      <c r="AA2751" s="1"/>
      <c r="AB2751" s="1"/>
      <c r="AC2751" s="1"/>
      <c r="AD2751" s="1">
        <f>IF($C2751="",0,SUMPRODUCT((AY_SONU!$O$7:$O$42="Evet")*(AY_SONU!$B$7:$B$42=DATE(YEAR($C2751),MONTH($C2751),1))))</f>
        <v>0</v>
      </c>
      <c r="AE2751" s="1" t="str">
        <f>IF($E2751="","",$E2751&amp;"|"&amp;COUNTIFS($E$7:$E2751,$E2751))</f>
        <v/>
      </c>
    </row>
    <row r="2752" spans="1:31" ht="18" customHeight="1" x14ac:dyDescent="0.3">
      <c r="A2752" s="2"/>
      <c r="B2752" s="65" t="str">
        <f>IF($C2752="","","GG"&amp;TEXT(ROW()-6,"00000"))</f>
        <v/>
      </c>
      <c r="C2752" s="66"/>
      <c r="D2752" s="60"/>
      <c r="E2752" s="61"/>
      <c r="F2752" s="61"/>
      <c r="G2752" s="67"/>
      <c r="H2752" s="60"/>
      <c r="I2752" s="60"/>
      <c r="J2752" s="61"/>
      <c r="K2752" s="61"/>
      <c r="L2752" s="60"/>
      <c r="M2752" s="74" t="str">
        <f>IF($C2752="","",IF($D2752="Gider",$E2752,IF($L2752&lt;&gt;"",$L2752,$H2752)))</f>
        <v/>
      </c>
      <c r="N2752" s="74" t="str">
        <f>IF($C2752="","",IF($D2752="Gider",$H2752,$E2752))</f>
        <v/>
      </c>
      <c r="O2752" s="73" t="str">
        <f>IF($C2752="","",DATE(YEAR($C2752),MONTH($C2752),1))</f>
        <v/>
      </c>
      <c r="P2752" s="65" t="str">
        <f ca="1">IF($C2752="","",IF(AND($D2752="Gelir",$L2752&lt;&gt;"",$T2752=""),"TANIMSIZ BORÇLU",IF($T2752&lt;&gt;"",IF(OR($E2752="",$G2752&lt;=0),"EKSİK",IF($I2752="Evet","TAHAKKUK NAKİT OLAMAZ",IF($C2752&gt;TODAY(),"İLERİ TARİH","TAHAKKUK"))),IF(AND($D2752&lt;&gt;"",$E2752&lt;&gt;"",$G2752&gt;0,$H2752&lt;&gt;"",$I2752&lt;&gt;""),IF($C2752&gt;TODAY(),"İLERİ TARİH",IF(COUNTIF($W$7:$W$3001,$W2752)&gt;1,"MÜKERRER?",IF($AD2752&gt;0,"KAPALI DÖNEM",IF($I2752="Hayır","ÖDENECEK","UYGUN")))),"EKSİK"))))</f>
        <v/>
      </c>
      <c r="Q2752" s="2"/>
      <c r="R2752" s="2"/>
      <c r="S2752" s="1" t="str">
        <f t="shared" si="128"/>
        <v/>
      </c>
      <c r="T2752" s="1" t="str">
        <f>IF(OR($C2752="",$D2752&lt;&gt;"Gelir",$L2752=""),"",IFERROR(INDEX(MUSTERILER!$B$7:$B$156,MATCH($S2752,MUSTERILER!$T$7:$T$156,0)),""))</f>
        <v/>
      </c>
      <c r="U2752" s="1" t="str">
        <f>IF($T2752="","",$T2752&amp;"|"&amp;COUNTIFS($T$7:$T2752,$T2752))</f>
        <v/>
      </c>
      <c r="V2752" s="1">
        <f t="shared" si="129"/>
        <v>0</v>
      </c>
      <c r="W2752" s="1" t="str">
        <f t="shared" si="130"/>
        <v/>
      </c>
      <c r="X2752" s="1"/>
      <c r="Y2752" s="1"/>
      <c r="Z2752" s="1"/>
      <c r="AA2752" s="1"/>
      <c r="AB2752" s="1"/>
      <c r="AC2752" s="1"/>
      <c r="AD2752" s="1">
        <f>IF($C2752="",0,SUMPRODUCT((AY_SONU!$O$7:$O$42="Evet")*(AY_SONU!$B$7:$B$42=DATE(YEAR($C2752),MONTH($C2752),1))))</f>
        <v>0</v>
      </c>
      <c r="AE2752" s="1" t="str">
        <f>IF($E2752="","",$E2752&amp;"|"&amp;COUNTIFS($E$7:$E2752,$E2752))</f>
        <v/>
      </c>
    </row>
    <row r="2753" spans="1:31" ht="18" customHeight="1" x14ac:dyDescent="0.3">
      <c r="A2753" s="2"/>
      <c r="B2753" s="65" t="str">
        <f>IF($C2753="","","GG"&amp;TEXT(ROW()-6,"00000"))</f>
        <v/>
      </c>
      <c r="C2753" s="66"/>
      <c r="D2753" s="60"/>
      <c r="E2753" s="61"/>
      <c r="F2753" s="61"/>
      <c r="G2753" s="67"/>
      <c r="H2753" s="60"/>
      <c r="I2753" s="60"/>
      <c r="J2753" s="61"/>
      <c r="K2753" s="61"/>
      <c r="L2753" s="60"/>
      <c r="M2753" s="74" t="str">
        <f>IF($C2753="","",IF($D2753="Gider",$E2753,IF($L2753&lt;&gt;"",$L2753,$H2753)))</f>
        <v/>
      </c>
      <c r="N2753" s="74" t="str">
        <f>IF($C2753="","",IF($D2753="Gider",$H2753,$E2753))</f>
        <v/>
      </c>
      <c r="O2753" s="73" t="str">
        <f>IF($C2753="","",DATE(YEAR($C2753),MONTH($C2753),1))</f>
        <v/>
      </c>
      <c r="P2753" s="65" t="str">
        <f ca="1">IF($C2753="","",IF(AND($D2753="Gelir",$L2753&lt;&gt;"",$T2753=""),"TANIMSIZ BORÇLU",IF($T2753&lt;&gt;"",IF(OR($E2753="",$G2753&lt;=0),"EKSİK",IF($I2753="Evet","TAHAKKUK NAKİT OLAMAZ",IF($C2753&gt;TODAY(),"İLERİ TARİH","TAHAKKUK"))),IF(AND($D2753&lt;&gt;"",$E2753&lt;&gt;"",$G2753&gt;0,$H2753&lt;&gt;"",$I2753&lt;&gt;""),IF($C2753&gt;TODAY(),"İLERİ TARİH",IF(COUNTIF($W$7:$W$3001,$W2753)&gt;1,"MÜKERRER?",IF($AD2753&gt;0,"KAPALI DÖNEM",IF($I2753="Hayır","ÖDENECEK","UYGUN")))),"EKSİK"))))</f>
        <v/>
      </c>
      <c r="Q2753" s="2"/>
      <c r="R2753" s="2"/>
      <c r="S2753" s="1" t="str">
        <f t="shared" si="128"/>
        <v/>
      </c>
      <c r="T2753" s="1" t="str">
        <f>IF(OR($C2753="",$D2753&lt;&gt;"Gelir",$L2753=""),"",IFERROR(INDEX(MUSTERILER!$B$7:$B$156,MATCH($S2753,MUSTERILER!$T$7:$T$156,0)),""))</f>
        <v/>
      </c>
      <c r="U2753" s="1" t="str">
        <f>IF($T2753="","",$T2753&amp;"|"&amp;COUNTIFS($T$7:$T2753,$T2753))</f>
        <v/>
      </c>
      <c r="V2753" s="1">
        <f t="shared" si="129"/>
        <v>0</v>
      </c>
      <c r="W2753" s="1" t="str">
        <f t="shared" si="130"/>
        <v/>
      </c>
      <c r="X2753" s="1"/>
      <c r="Y2753" s="1"/>
      <c r="Z2753" s="1"/>
      <c r="AA2753" s="1"/>
      <c r="AB2753" s="1"/>
      <c r="AC2753" s="1"/>
      <c r="AD2753" s="1">
        <f>IF($C2753="",0,SUMPRODUCT((AY_SONU!$O$7:$O$42="Evet")*(AY_SONU!$B$7:$B$42=DATE(YEAR($C2753),MONTH($C2753),1))))</f>
        <v>0</v>
      </c>
      <c r="AE2753" s="1" t="str">
        <f>IF($E2753="","",$E2753&amp;"|"&amp;COUNTIFS($E$7:$E2753,$E2753))</f>
        <v/>
      </c>
    </row>
    <row r="2754" spans="1:31" ht="18" customHeight="1" x14ac:dyDescent="0.3">
      <c r="A2754" s="2"/>
      <c r="B2754" s="65" t="str">
        <f>IF($C2754="","","GG"&amp;TEXT(ROW()-6,"00000"))</f>
        <v/>
      </c>
      <c r="C2754" s="66"/>
      <c r="D2754" s="60"/>
      <c r="E2754" s="61"/>
      <c r="F2754" s="61"/>
      <c r="G2754" s="67"/>
      <c r="H2754" s="60"/>
      <c r="I2754" s="60"/>
      <c r="J2754" s="61"/>
      <c r="K2754" s="61"/>
      <c r="L2754" s="60"/>
      <c r="M2754" s="74" t="str">
        <f>IF($C2754="","",IF($D2754="Gider",$E2754,IF($L2754&lt;&gt;"",$L2754,$H2754)))</f>
        <v/>
      </c>
      <c r="N2754" s="74" t="str">
        <f>IF($C2754="","",IF($D2754="Gider",$H2754,$E2754))</f>
        <v/>
      </c>
      <c r="O2754" s="73" t="str">
        <f>IF($C2754="","",DATE(YEAR($C2754),MONTH($C2754),1))</f>
        <v/>
      </c>
      <c r="P2754" s="65" t="str">
        <f ca="1">IF($C2754="","",IF(AND($D2754="Gelir",$L2754&lt;&gt;"",$T2754=""),"TANIMSIZ BORÇLU",IF($T2754&lt;&gt;"",IF(OR($E2754="",$G2754&lt;=0),"EKSİK",IF($I2754="Evet","TAHAKKUK NAKİT OLAMAZ",IF($C2754&gt;TODAY(),"İLERİ TARİH","TAHAKKUK"))),IF(AND($D2754&lt;&gt;"",$E2754&lt;&gt;"",$G2754&gt;0,$H2754&lt;&gt;"",$I2754&lt;&gt;""),IF($C2754&gt;TODAY(),"İLERİ TARİH",IF(COUNTIF($W$7:$W$3001,$W2754)&gt;1,"MÜKERRER?",IF($AD2754&gt;0,"KAPALI DÖNEM",IF($I2754="Hayır","ÖDENECEK","UYGUN")))),"EKSİK"))))</f>
        <v/>
      </c>
      <c r="Q2754" s="2"/>
      <c r="R2754" s="2"/>
      <c r="S2754" s="1" t="str">
        <f t="shared" si="128"/>
        <v/>
      </c>
      <c r="T2754" s="1" t="str">
        <f>IF(OR($C2754="",$D2754&lt;&gt;"Gelir",$L2754=""),"",IFERROR(INDEX(MUSTERILER!$B$7:$B$156,MATCH($S2754,MUSTERILER!$T$7:$T$156,0)),""))</f>
        <v/>
      </c>
      <c r="U2754" s="1" t="str">
        <f>IF($T2754="","",$T2754&amp;"|"&amp;COUNTIFS($T$7:$T2754,$T2754))</f>
        <v/>
      </c>
      <c r="V2754" s="1">
        <f t="shared" si="129"/>
        <v>0</v>
      </c>
      <c r="W2754" s="1" t="str">
        <f t="shared" si="130"/>
        <v/>
      </c>
      <c r="X2754" s="1"/>
      <c r="Y2754" s="1"/>
      <c r="Z2754" s="1"/>
      <c r="AA2754" s="1"/>
      <c r="AB2754" s="1"/>
      <c r="AC2754" s="1"/>
      <c r="AD2754" s="1">
        <f>IF($C2754="",0,SUMPRODUCT((AY_SONU!$O$7:$O$42="Evet")*(AY_SONU!$B$7:$B$42=DATE(YEAR($C2754),MONTH($C2754),1))))</f>
        <v>0</v>
      </c>
      <c r="AE2754" s="1" t="str">
        <f>IF($E2754="","",$E2754&amp;"|"&amp;COUNTIFS($E$7:$E2754,$E2754))</f>
        <v/>
      </c>
    </row>
    <row r="2755" spans="1:31" ht="18" customHeight="1" x14ac:dyDescent="0.3">
      <c r="A2755" s="2"/>
      <c r="B2755" s="65" t="str">
        <f>IF($C2755="","","GG"&amp;TEXT(ROW()-6,"00000"))</f>
        <v/>
      </c>
      <c r="C2755" s="66"/>
      <c r="D2755" s="60"/>
      <c r="E2755" s="61"/>
      <c r="F2755" s="61"/>
      <c r="G2755" s="67"/>
      <c r="H2755" s="60"/>
      <c r="I2755" s="60"/>
      <c r="J2755" s="61"/>
      <c r="K2755" s="61"/>
      <c r="L2755" s="60"/>
      <c r="M2755" s="74" t="str">
        <f>IF($C2755="","",IF($D2755="Gider",$E2755,IF($L2755&lt;&gt;"",$L2755,$H2755)))</f>
        <v/>
      </c>
      <c r="N2755" s="74" t="str">
        <f>IF($C2755="","",IF($D2755="Gider",$H2755,$E2755))</f>
        <v/>
      </c>
      <c r="O2755" s="73" t="str">
        <f>IF($C2755="","",DATE(YEAR($C2755),MONTH($C2755),1))</f>
        <v/>
      </c>
      <c r="P2755" s="65" t="str">
        <f ca="1">IF($C2755="","",IF(AND($D2755="Gelir",$L2755&lt;&gt;"",$T2755=""),"TANIMSIZ BORÇLU",IF($T2755&lt;&gt;"",IF(OR($E2755="",$G2755&lt;=0),"EKSİK",IF($I2755="Evet","TAHAKKUK NAKİT OLAMAZ",IF($C2755&gt;TODAY(),"İLERİ TARİH","TAHAKKUK"))),IF(AND($D2755&lt;&gt;"",$E2755&lt;&gt;"",$G2755&gt;0,$H2755&lt;&gt;"",$I2755&lt;&gt;""),IF($C2755&gt;TODAY(),"İLERİ TARİH",IF(COUNTIF($W$7:$W$3001,$W2755)&gt;1,"MÜKERRER?",IF($AD2755&gt;0,"KAPALI DÖNEM",IF($I2755="Hayır","ÖDENECEK","UYGUN")))),"EKSİK"))))</f>
        <v/>
      </c>
      <c r="Q2755" s="2"/>
      <c r="R2755" s="2"/>
      <c r="S2755" s="1" t="str">
        <f t="shared" si="128"/>
        <v/>
      </c>
      <c r="T2755" s="1" t="str">
        <f>IF(OR($C2755="",$D2755&lt;&gt;"Gelir",$L2755=""),"",IFERROR(INDEX(MUSTERILER!$B$7:$B$156,MATCH($S2755,MUSTERILER!$T$7:$T$156,0)),""))</f>
        <v/>
      </c>
      <c r="U2755" s="1" t="str">
        <f>IF($T2755="","",$T2755&amp;"|"&amp;COUNTIFS($T$7:$T2755,$T2755))</f>
        <v/>
      </c>
      <c r="V2755" s="1">
        <f t="shared" si="129"/>
        <v>0</v>
      </c>
      <c r="W2755" s="1" t="str">
        <f t="shared" si="130"/>
        <v/>
      </c>
      <c r="X2755" s="1"/>
      <c r="Y2755" s="1"/>
      <c r="Z2755" s="1"/>
      <c r="AA2755" s="1"/>
      <c r="AB2755" s="1"/>
      <c r="AC2755" s="1"/>
      <c r="AD2755" s="1">
        <f>IF($C2755="",0,SUMPRODUCT((AY_SONU!$O$7:$O$42="Evet")*(AY_SONU!$B$7:$B$42=DATE(YEAR($C2755),MONTH($C2755),1))))</f>
        <v>0</v>
      </c>
      <c r="AE2755" s="1" t="str">
        <f>IF($E2755="","",$E2755&amp;"|"&amp;COUNTIFS($E$7:$E2755,$E2755))</f>
        <v/>
      </c>
    </row>
    <row r="2756" spans="1:31" ht="18" customHeight="1" x14ac:dyDescent="0.3">
      <c r="A2756" s="2"/>
      <c r="B2756" s="65" t="str">
        <f>IF($C2756="","","GG"&amp;TEXT(ROW()-6,"00000"))</f>
        <v/>
      </c>
      <c r="C2756" s="66"/>
      <c r="D2756" s="60"/>
      <c r="E2756" s="61"/>
      <c r="F2756" s="61"/>
      <c r="G2756" s="67"/>
      <c r="H2756" s="60"/>
      <c r="I2756" s="60"/>
      <c r="J2756" s="61"/>
      <c r="K2756" s="61"/>
      <c r="L2756" s="60"/>
      <c r="M2756" s="74" t="str">
        <f>IF($C2756="","",IF($D2756="Gider",$E2756,IF($L2756&lt;&gt;"",$L2756,$H2756)))</f>
        <v/>
      </c>
      <c r="N2756" s="74" t="str">
        <f>IF($C2756="","",IF($D2756="Gider",$H2756,$E2756))</f>
        <v/>
      </c>
      <c r="O2756" s="73" t="str">
        <f>IF($C2756="","",DATE(YEAR($C2756),MONTH($C2756),1))</f>
        <v/>
      </c>
      <c r="P2756" s="65" t="str">
        <f ca="1">IF($C2756="","",IF(AND($D2756="Gelir",$L2756&lt;&gt;"",$T2756=""),"TANIMSIZ BORÇLU",IF($T2756&lt;&gt;"",IF(OR($E2756="",$G2756&lt;=0),"EKSİK",IF($I2756="Evet","TAHAKKUK NAKİT OLAMAZ",IF($C2756&gt;TODAY(),"İLERİ TARİH","TAHAKKUK"))),IF(AND($D2756&lt;&gt;"",$E2756&lt;&gt;"",$G2756&gt;0,$H2756&lt;&gt;"",$I2756&lt;&gt;""),IF($C2756&gt;TODAY(),"İLERİ TARİH",IF(COUNTIF($W$7:$W$3001,$W2756)&gt;1,"MÜKERRER?",IF($AD2756&gt;0,"KAPALI DÖNEM",IF($I2756="Hayır","ÖDENECEK","UYGUN")))),"EKSİK"))))</f>
        <v/>
      </c>
      <c r="Q2756" s="2"/>
      <c r="R2756" s="2"/>
      <c r="S2756" s="1" t="str">
        <f t="shared" si="128"/>
        <v/>
      </c>
      <c r="T2756" s="1" t="str">
        <f>IF(OR($C2756="",$D2756&lt;&gt;"Gelir",$L2756=""),"",IFERROR(INDEX(MUSTERILER!$B$7:$B$156,MATCH($S2756,MUSTERILER!$T$7:$T$156,0)),""))</f>
        <v/>
      </c>
      <c r="U2756" s="1" t="str">
        <f>IF($T2756="","",$T2756&amp;"|"&amp;COUNTIFS($T$7:$T2756,$T2756))</f>
        <v/>
      </c>
      <c r="V2756" s="1">
        <f t="shared" si="129"/>
        <v>0</v>
      </c>
      <c r="W2756" s="1" t="str">
        <f t="shared" si="130"/>
        <v/>
      </c>
      <c r="X2756" s="1"/>
      <c r="Y2756" s="1"/>
      <c r="Z2756" s="1"/>
      <c r="AA2756" s="1"/>
      <c r="AB2756" s="1"/>
      <c r="AC2756" s="1"/>
      <c r="AD2756" s="1">
        <f>IF($C2756="",0,SUMPRODUCT((AY_SONU!$O$7:$O$42="Evet")*(AY_SONU!$B$7:$B$42=DATE(YEAR($C2756),MONTH($C2756),1))))</f>
        <v>0</v>
      </c>
      <c r="AE2756" s="1" t="str">
        <f>IF($E2756="","",$E2756&amp;"|"&amp;COUNTIFS($E$7:$E2756,$E2756))</f>
        <v/>
      </c>
    </row>
    <row r="2757" spans="1:31" ht="18" customHeight="1" x14ac:dyDescent="0.3">
      <c r="A2757" s="2"/>
      <c r="B2757" s="65" t="str">
        <f>IF($C2757="","","GG"&amp;TEXT(ROW()-6,"00000"))</f>
        <v/>
      </c>
      <c r="C2757" s="66"/>
      <c r="D2757" s="60"/>
      <c r="E2757" s="61"/>
      <c r="F2757" s="61"/>
      <c r="G2757" s="67"/>
      <c r="H2757" s="60"/>
      <c r="I2757" s="60"/>
      <c r="J2757" s="61"/>
      <c r="K2757" s="61"/>
      <c r="L2757" s="60"/>
      <c r="M2757" s="74" t="str">
        <f>IF($C2757="","",IF($D2757="Gider",$E2757,IF($L2757&lt;&gt;"",$L2757,$H2757)))</f>
        <v/>
      </c>
      <c r="N2757" s="74" t="str">
        <f>IF($C2757="","",IF($D2757="Gider",$H2757,$E2757))</f>
        <v/>
      </c>
      <c r="O2757" s="73" t="str">
        <f>IF($C2757="","",DATE(YEAR($C2757),MONTH($C2757),1))</f>
        <v/>
      </c>
      <c r="P2757" s="65" t="str">
        <f ca="1">IF($C2757="","",IF(AND($D2757="Gelir",$L2757&lt;&gt;"",$T2757=""),"TANIMSIZ BORÇLU",IF($T2757&lt;&gt;"",IF(OR($E2757="",$G2757&lt;=0),"EKSİK",IF($I2757="Evet","TAHAKKUK NAKİT OLAMAZ",IF($C2757&gt;TODAY(),"İLERİ TARİH","TAHAKKUK"))),IF(AND($D2757&lt;&gt;"",$E2757&lt;&gt;"",$G2757&gt;0,$H2757&lt;&gt;"",$I2757&lt;&gt;""),IF($C2757&gt;TODAY(),"İLERİ TARİH",IF(COUNTIF($W$7:$W$3001,$W2757)&gt;1,"MÜKERRER?",IF($AD2757&gt;0,"KAPALI DÖNEM",IF($I2757="Hayır","ÖDENECEK","UYGUN")))),"EKSİK"))))</f>
        <v/>
      </c>
      <c r="Q2757" s="2"/>
      <c r="R2757" s="2"/>
      <c r="S2757" s="1" t="str">
        <f t="shared" ref="S2757:S2820" si="131">IF($L2757="","",UPPER(SUBSTITUTE(SUBSTITUTE(SUBSTITUTE(SUBSTITUTE(SUBSTITUTE(SUBSTITUTE(SUBSTITUTE(SUBSTITUTE(SUBSTITUTE(SUBSTITUTE(SUBSTITUTE(SUBSTITUTE(SUBSTITUTE(SUBSTITUTE(SUBSTITUTE(SUBSTITUTE(SUBSTITUTE(SUBSTITUTE(TRIM($L2757),"'",""),"İ","I"),"ı","I"),"i","I"),"Ş","S"),"ş","S"),"Ğ","G"),"ğ","G"),"Ü","U"),"ü","U"),"Ö","O"),"ö","O"),"Ç","C"),"ç","C"),".",""),",","")," ",""),"-","")))</f>
        <v/>
      </c>
      <c r="T2757" s="1" t="str">
        <f>IF(OR($C2757="",$D2757&lt;&gt;"Gelir",$L2757=""),"",IFERROR(INDEX(MUSTERILER!$B$7:$B$156,MATCH($S2757,MUSTERILER!$T$7:$T$156,0)),""))</f>
        <v/>
      </c>
      <c r="U2757" s="1" t="str">
        <f>IF($T2757="","",$T2757&amp;"|"&amp;COUNTIFS($T$7:$T2757,$T2757))</f>
        <v/>
      </c>
      <c r="V2757" s="1">
        <f t="shared" ref="V2757:V2820" si="132">IF($T2757="",0,1)</f>
        <v>0</v>
      </c>
      <c r="W2757" s="1" t="str">
        <f t="shared" ref="W2757:W2820" si="133">IF($C2757="","",$D2757&amp;"|"&amp;$E2757&amp;"|"&amp;TEXT($C2757,"0")&amp;"|"&amp;TEXT($G2757,"0")&amp;"|"&amp;$F2757&amp;"|"&amp;$J2757)</f>
        <v/>
      </c>
      <c r="X2757" s="1"/>
      <c r="Y2757" s="1"/>
      <c r="Z2757" s="1"/>
      <c r="AA2757" s="1"/>
      <c r="AB2757" s="1"/>
      <c r="AC2757" s="1"/>
      <c r="AD2757" s="1">
        <f>IF($C2757="",0,SUMPRODUCT((AY_SONU!$O$7:$O$42="Evet")*(AY_SONU!$B$7:$B$42=DATE(YEAR($C2757),MONTH($C2757),1))))</f>
        <v>0</v>
      </c>
      <c r="AE2757" s="1" t="str">
        <f>IF($E2757="","",$E2757&amp;"|"&amp;COUNTIFS($E$7:$E2757,$E2757))</f>
        <v/>
      </c>
    </row>
    <row r="2758" spans="1:31" ht="18" customHeight="1" x14ac:dyDescent="0.3">
      <c r="A2758" s="2"/>
      <c r="B2758" s="65" t="str">
        <f>IF($C2758="","","GG"&amp;TEXT(ROW()-6,"00000"))</f>
        <v/>
      </c>
      <c r="C2758" s="66"/>
      <c r="D2758" s="60"/>
      <c r="E2758" s="61"/>
      <c r="F2758" s="61"/>
      <c r="G2758" s="67"/>
      <c r="H2758" s="60"/>
      <c r="I2758" s="60"/>
      <c r="J2758" s="61"/>
      <c r="K2758" s="61"/>
      <c r="L2758" s="60"/>
      <c r="M2758" s="74" t="str">
        <f>IF($C2758="","",IF($D2758="Gider",$E2758,IF($L2758&lt;&gt;"",$L2758,$H2758)))</f>
        <v/>
      </c>
      <c r="N2758" s="74" t="str">
        <f>IF($C2758="","",IF($D2758="Gider",$H2758,$E2758))</f>
        <v/>
      </c>
      <c r="O2758" s="73" t="str">
        <f>IF($C2758="","",DATE(YEAR($C2758),MONTH($C2758),1))</f>
        <v/>
      </c>
      <c r="P2758" s="65" t="str">
        <f ca="1">IF($C2758="","",IF(AND($D2758="Gelir",$L2758&lt;&gt;"",$T2758=""),"TANIMSIZ BORÇLU",IF($T2758&lt;&gt;"",IF(OR($E2758="",$G2758&lt;=0),"EKSİK",IF($I2758="Evet","TAHAKKUK NAKİT OLAMAZ",IF($C2758&gt;TODAY(),"İLERİ TARİH","TAHAKKUK"))),IF(AND($D2758&lt;&gt;"",$E2758&lt;&gt;"",$G2758&gt;0,$H2758&lt;&gt;"",$I2758&lt;&gt;""),IF($C2758&gt;TODAY(),"İLERİ TARİH",IF(COUNTIF($W$7:$W$3001,$W2758)&gt;1,"MÜKERRER?",IF($AD2758&gt;0,"KAPALI DÖNEM",IF($I2758="Hayır","ÖDENECEK","UYGUN")))),"EKSİK"))))</f>
        <v/>
      </c>
      <c r="Q2758" s="2"/>
      <c r="R2758" s="2"/>
      <c r="S2758" s="1" t="str">
        <f t="shared" si="131"/>
        <v/>
      </c>
      <c r="T2758" s="1" t="str">
        <f>IF(OR($C2758="",$D2758&lt;&gt;"Gelir",$L2758=""),"",IFERROR(INDEX(MUSTERILER!$B$7:$B$156,MATCH($S2758,MUSTERILER!$T$7:$T$156,0)),""))</f>
        <v/>
      </c>
      <c r="U2758" s="1" t="str">
        <f>IF($T2758="","",$T2758&amp;"|"&amp;COUNTIFS($T$7:$T2758,$T2758))</f>
        <v/>
      </c>
      <c r="V2758" s="1">
        <f t="shared" si="132"/>
        <v>0</v>
      </c>
      <c r="W2758" s="1" t="str">
        <f t="shared" si="133"/>
        <v/>
      </c>
      <c r="X2758" s="1"/>
      <c r="Y2758" s="1"/>
      <c r="Z2758" s="1"/>
      <c r="AA2758" s="1"/>
      <c r="AB2758" s="1"/>
      <c r="AC2758" s="1"/>
      <c r="AD2758" s="1">
        <f>IF($C2758="",0,SUMPRODUCT((AY_SONU!$O$7:$O$42="Evet")*(AY_SONU!$B$7:$B$42=DATE(YEAR($C2758),MONTH($C2758),1))))</f>
        <v>0</v>
      </c>
      <c r="AE2758" s="1" t="str">
        <f>IF($E2758="","",$E2758&amp;"|"&amp;COUNTIFS($E$7:$E2758,$E2758))</f>
        <v/>
      </c>
    </row>
    <row r="2759" spans="1:31" ht="18" customHeight="1" x14ac:dyDescent="0.3">
      <c r="A2759" s="2"/>
      <c r="B2759" s="65" t="str">
        <f>IF($C2759="","","GG"&amp;TEXT(ROW()-6,"00000"))</f>
        <v/>
      </c>
      <c r="C2759" s="66"/>
      <c r="D2759" s="60"/>
      <c r="E2759" s="61"/>
      <c r="F2759" s="61"/>
      <c r="G2759" s="67"/>
      <c r="H2759" s="60"/>
      <c r="I2759" s="60"/>
      <c r="J2759" s="61"/>
      <c r="K2759" s="61"/>
      <c r="L2759" s="60"/>
      <c r="M2759" s="74" t="str">
        <f>IF($C2759="","",IF($D2759="Gider",$E2759,IF($L2759&lt;&gt;"",$L2759,$H2759)))</f>
        <v/>
      </c>
      <c r="N2759" s="74" t="str">
        <f>IF($C2759="","",IF($D2759="Gider",$H2759,$E2759))</f>
        <v/>
      </c>
      <c r="O2759" s="73" t="str">
        <f>IF($C2759="","",DATE(YEAR($C2759),MONTH($C2759),1))</f>
        <v/>
      </c>
      <c r="P2759" s="65" t="str">
        <f ca="1"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TARİH",IF(COUNTIF($W$7:$W$3001,$W2759)&gt;1,"MÜKERRER?",IF($AD2759&gt;0,"KAPALI DÖNEM",IF($I2759="Hayır","ÖDENECEK","UYGUN")))),"EKSİK"))))</f>
        <v/>
      </c>
      <c r="Q2759" s="2"/>
      <c r="R2759" s="2"/>
      <c r="S2759" s="1" t="str">
        <f t="shared" si="131"/>
        <v/>
      </c>
      <c r="T2759" s="1" t="str">
        <f>IF(OR($C2759="",$D2759&lt;&gt;"Gelir",$L2759=""),"",IFERROR(INDEX(MUSTERILER!$B$7:$B$156,MATCH($S2759,MUSTERILER!$T$7:$T$156,0)),""))</f>
        <v/>
      </c>
      <c r="U2759" s="1" t="str">
        <f>IF($T2759="","",$T2759&amp;"|"&amp;COUNTIFS($T$7:$T2759,$T2759))</f>
        <v/>
      </c>
      <c r="V2759" s="1">
        <f t="shared" si="132"/>
        <v>0</v>
      </c>
      <c r="W2759" s="1" t="str">
        <f t="shared" si="133"/>
        <v/>
      </c>
      <c r="X2759" s="1"/>
      <c r="Y2759" s="1"/>
      <c r="Z2759" s="1"/>
      <c r="AA2759" s="1"/>
      <c r="AB2759" s="1"/>
      <c r="AC2759" s="1"/>
      <c r="AD2759" s="1">
        <f>IF($C2759="",0,SUMPRODUCT((AY_SONU!$O$7:$O$42="Evet")*(AY_SONU!$B$7:$B$42=DATE(YEAR($C2759),MONTH($C2759),1))))</f>
        <v>0</v>
      </c>
      <c r="AE2759" s="1" t="str">
        <f>IF($E2759="","",$E2759&amp;"|"&amp;COUNTIFS($E$7:$E2759,$E2759))</f>
        <v/>
      </c>
    </row>
    <row r="2760" spans="1:31" ht="18" customHeight="1" x14ac:dyDescent="0.3">
      <c r="A2760" s="2"/>
      <c r="B2760" s="65" t="str">
        <f>IF($C2760="","","GG"&amp;TEXT(ROW()-6,"00000"))</f>
        <v/>
      </c>
      <c r="C2760" s="66"/>
      <c r="D2760" s="60"/>
      <c r="E2760" s="61"/>
      <c r="F2760" s="61"/>
      <c r="G2760" s="67"/>
      <c r="H2760" s="60"/>
      <c r="I2760" s="60"/>
      <c r="J2760" s="61"/>
      <c r="K2760" s="61"/>
      <c r="L2760" s="60"/>
      <c r="M2760" s="74" t="str">
        <f>IF($C2760="","",IF($D2760="Gider",$E2760,IF($L2760&lt;&gt;"",$L2760,$H2760)))</f>
        <v/>
      </c>
      <c r="N2760" s="74" t="str">
        <f>IF($C2760="","",IF($D2760="Gider",$H2760,$E2760))</f>
        <v/>
      </c>
      <c r="O2760" s="73" t="str">
        <f>IF($C2760="","",DATE(YEAR($C2760),MONTH($C2760),1))</f>
        <v/>
      </c>
      <c r="P2760" s="65" t="str">
        <f ca="1">IF($C2760="","",IF(AND($D2760="Gelir",$L2760&lt;&gt;"",$T2760=""),"TANIMSIZ BORÇLU",IF($T2760&lt;&gt;"",IF(OR($E2760="",$G2760&lt;=0),"EKSİK",IF($I2760="Evet","TAHAKKUK NAKİT OLAMAZ",IF($C2760&gt;TODAY(),"İLERİ TARİH","TAHAKKUK"))),IF(AND($D2760&lt;&gt;"",$E2760&lt;&gt;"",$G2760&gt;0,$H2760&lt;&gt;"",$I2760&lt;&gt;""),IF($C2760&gt;TODAY(),"İLERİ TARİH",IF(COUNTIF($W$7:$W$3001,$W2760)&gt;1,"MÜKERRER?",IF($AD2760&gt;0,"KAPALI DÖNEM",IF($I2760="Hayır","ÖDENECEK","UYGUN")))),"EKSİK"))))</f>
        <v/>
      </c>
      <c r="Q2760" s="2"/>
      <c r="R2760" s="2"/>
      <c r="S2760" s="1" t="str">
        <f t="shared" si="131"/>
        <v/>
      </c>
      <c r="T2760" s="1" t="str">
        <f>IF(OR($C2760="",$D2760&lt;&gt;"Gelir",$L2760=""),"",IFERROR(INDEX(MUSTERILER!$B$7:$B$156,MATCH($S2760,MUSTERILER!$T$7:$T$156,0)),""))</f>
        <v/>
      </c>
      <c r="U2760" s="1" t="str">
        <f>IF($T2760="","",$T2760&amp;"|"&amp;COUNTIFS($T$7:$T2760,$T2760))</f>
        <v/>
      </c>
      <c r="V2760" s="1">
        <f t="shared" si="132"/>
        <v>0</v>
      </c>
      <c r="W2760" s="1" t="str">
        <f t="shared" si="133"/>
        <v/>
      </c>
      <c r="X2760" s="1"/>
      <c r="Y2760" s="1"/>
      <c r="Z2760" s="1"/>
      <c r="AA2760" s="1"/>
      <c r="AB2760" s="1"/>
      <c r="AC2760" s="1"/>
      <c r="AD2760" s="1">
        <f>IF($C2760="",0,SUMPRODUCT((AY_SONU!$O$7:$O$42="Evet")*(AY_SONU!$B$7:$B$42=DATE(YEAR($C2760),MONTH($C2760),1))))</f>
        <v>0</v>
      </c>
      <c r="AE2760" s="1" t="str">
        <f>IF($E2760="","",$E2760&amp;"|"&amp;COUNTIFS($E$7:$E2760,$E2760))</f>
        <v/>
      </c>
    </row>
    <row r="2761" spans="1:31" ht="18" customHeight="1" x14ac:dyDescent="0.3">
      <c r="A2761" s="2"/>
      <c r="B2761" s="65" t="str">
        <f>IF($C2761="","","GG"&amp;TEXT(ROW()-6,"00000"))</f>
        <v/>
      </c>
      <c r="C2761" s="66"/>
      <c r="D2761" s="60"/>
      <c r="E2761" s="61"/>
      <c r="F2761" s="61"/>
      <c r="G2761" s="67"/>
      <c r="H2761" s="60"/>
      <c r="I2761" s="60"/>
      <c r="J2761" s="61"/>
      <c r="K2761" s="61"/>
      <c r="L2761" s="60"/>
      <c r="M2761" s="74" t="str">
        <f>IF($C2761="","",IF($D2761="Gider",$E2761,IF($L2761&lt;&gt;"",$L2761,$H2761)))</f>
        <v/>
      </c>
      <c r="N2761" s="74" t="str">
        <f>IF($C2761="","",IF($D2761="Gider",$H2761,$E2761))</f>
        <v/>
      </c>
      <c r="O2761" s="73" t="str">
        <f>IF($C2761="","",DATE(YEAR($C2761),MONTH($C2761),1))</f>
        <v/>
      </c>
      <c r="P2761" s="65" t="str">
        <f ca="1">IF($C2761="","",IF(AND($D2761="Gelir",$L2761&lt;&gt;"",$T2761=""),"TANIMSIZ BORÇLU",IF($T2761&lt;&gt;"",IF(OR($E2761="",$G2761&lt;=0),"EKSİK",IF($I2761="Evet","TAHAKKUK NAKİT OLAMAZ",IF($C2761&gt;TODAY(),"İLERİ TARİH","TAHAKKUK"))),IF(AND($D2761&lt;&gt;"",$E2761&lt;&gt;"",$G2761&gt;0,$H2761&lt;&gt;"",$I2761&lt;&gt;""),IF($C2761&gt;TODAY(),"İLERİ TARİH",IF(COUNTIF($W$7:$W$3001,$W2761)&gt;1,"MÜKERRER?",IF($AD2761&gt;0,"KAPALI DÖNEM",IF($I2761="Hayır","ÖDENECEK","UYGUN")))),"EKSİK"))))</f>
        <v/>
      </c>
      <c r="Q2761" s="2"/>
      <c r="R2761" s="2"/>
      <c r="S2761" s="1" t="str">
        <f t="shared" si="131"/>
        <v/>
      </c>
      <c r="T2761" s="1" t="str">
        <f>IF(OR($C2761="",$D2761&lt;&gt;"Gelir",$L2761=""),"",IFERROR(INDEX(MUSTERILER!$B$7:$B$156,MATCH($S2761,MUSTERILER!$T$7:$T$156,0)),""))</f>
        <v/>
      </c>
      <c r="U2761" s="1" t="str">
        <f>IF($T2761="","",$T2761&amp;"|"&amp;COUNTIFS($T$7:$T2761,$T2761))</f>
        <v/>
      </c>
      <c r="V2761" s="1">
        <f t="shared" si="132"/>
        <v>0</v>
      </c>
      <c r="W2761" s="1" t="str">
        <f t="shared" si="133"/>
        <v/>
      </c>
      <c r="X2761" s="1"/>
      <c r="Y2761" s="1"/>
      <c r="Z2761" s="1"/>
      <c r="AA2761" s="1"/>
      <c r="AB2761" s="1"/>
      <c r="AC2761" s="1"/>
      <c r="AD2761" s="1">
        <f>IF($C2761="",0,SUMPRODUCT((AY_SONU!$O$7:$O$42="Evet")*(AY_SONU!$B$7:$B$42=DATE(YEAR($C2761),MONTH($C2761),1))))</f>
        <v>0</v>
      </c>
      <c r="AE2761" s="1" t="str">
        <f>IF($E2761="","",$E2761&amp;"|"&amp;COUNTIFS($E$7:$E2761,$E2761))</f>
        <v/>
      </c>
    </row>
    <row r="2762" spans="1:31" ht="18" customHeight="1" x14ac:dyDescent="0.3">
      <c r="A2762" s="2"/>
      <c r="B2762" s="65" t="str">
        <f>IF($C2762="","","GG"&amp;TEXT(ROW()-6,"00000"))</f>
        <v/>
      </c>
      <c r="C2762" s="66"/>
      <c r="D2762" s="60"/>
      <c r="E2762" s="61"/>
      <c r="F2762" s="61"/>
      <c r="G2762" s="67"/>
      <c r="H2762" s="60"/>
      <c r="I2762" s="60"/>
      <c r="J2762" s="61"/>
      <c r="K2762" s="61"/>
      <c r="L2762" s="60"/>
      <c r="M2762" s="74" t="str">
        <f>IF($C2762="","",IF($D2762="Gider",$E2762,IF($L2762&lt;&gt;"",$L2762,$H2762)))</f>
        <v/>
      </c>
      <c r="N2762" s="74" t="str">
        <f>IF($C2762="","",IF($D2762="Gider",$H2762,$E2762))</f>
        <v/>
      </c>
      <c r="O2762" s="73" t="str">
        <f>IF($C2762="","",DATE(YEAR($C2762),MONTH($C2762),1))</f>
        <v/>
      </c>
      <c r="P2762" s="65" t="str">
        <f ca="1">IF($C2762="","",IF(AND($D2762="Gelir",$L2762&lt;&gt;"",$T2762=""),"TANIMSIZ BORÇLU",IF($T2762&lt;&gt;"",IF(OR($E2762="",$G2762&lt;=0),"EKSİK",IF($I2762="Evet","TAHAKKUK NAKİT OLAMAZ",IF($C2762&gt;TODAY(),"İLERİ TARİH","TAHAKKUK"))),IF(AND($D2762&lt;&gt;"",$E2762&lt;&gt;"",$G2762&gt;0,$H2762&lt;&gt;"",$I2762&lt;&gt;""),IF($C2762&gt;TODAY(),"İLERİ TARİH",IF(COUNTIF($W$7:$W$3001,$W2762)&gt;1,"MÜKERRER?",IF($AD2762&gt;0,"KAPALI DÖNEM",IF($I2762="Hayır","ÖDENECEK","UYGUN")))),"EKSİK"))))</f>
        <v/>
      </c>
      <c r="Q2762" s="2"/>
      <c r="R2762" s="2"/>
      <c r="S2762" s="1" t="str">
        <f t="shared" si="131"/>
        <v/>
      </c>
      <c r="T2762" s="1" t="str">
        <f>IF(OR($C2762="",$D2762&lt;&gt;"Gelir",$L2762=""),"",IFERROR(INDEX(MUSTERILER!$B$7:$B$156,MATCH($S2762,MUSTERILER!$T$7:$T$156,0)),""))</f>
        <v/>
      </c>
      <c r="U2762" s="1" t="str">
        <f>IF($T2762="","",$T2762&amp;"|"&amp;COUNTIFS($T$7:$T2762,$T2762))</f>
        <v/>
      </c>
      <c r="V2762" s="1">
        <f t="shared" si="132"/>
        <v>0</v>
      </c>
      <c r="W2762" s="1" t="str">
        <f t="shared" si="133"/>
        <v/>
      </c>
      <c r="X2762" s="1"/>
      <c r="Y2762" s="1"/>
      <c r="Z2762" s="1"/>
      <c r="AA2762" s="1"/>
      <c r="AB2762" s="1"/>
      <c r="AC2762" s="1"/>
      <c r="AD2762" s="1">
        <f>IF($C2762="",0,SUMPRODUCT((AY_SONU!$O$7:$O$42="Evet")*(AY_SONU!$B$7:$B$42=DATE(YEAR($C2762),MONTH($C2762),1))))</f>
        <v>0</v>
      </c>
      <c r="AE2762" s="1" t="str">
        <f>IF($E2762="","",$E2762&amp;"|"&amp;COUNTIFS($E$7:$E2762,$E2762))</f>
        <v/>
      </c>
    </row>
    <row r="2763" spans="1:31" ht="18" customHeight="1" x14ac:dyDescent="0.3">
      <c r="A2763" s="2"/>
      <c r="B2763" s="65" t="str">
        <f>IF($C2763="","","GG"&amp;TEXT(ROW()-6,"00000"))</f>
        <v/>
      </c>
      <c r="C2763" s="66"/>
      <c r="D2763" s="60"/>
      <c r="E2763" s="61"/>
      <c r="F2763" s="61"/>
      <c r="G2763" s="67"/>
      <c r="H2763" s="60"/>
      <c r="I2763" s="60"/>
      <c r="J2763" s="61"/>
      <c r="K2763" s="61"/>
      <c r="L2763" s="60"/>
      <c r="M2763" s="74" t="str">
        <f>IF($C2763="","",IF($D2763="Gider",$E2763,IF($L2763&lt;&gt;"",$L2763,$H2763)))</f>
        <v/>
      </c>
      <c r="N2763" s="74" t="str">
        <f>IF($C2763="","",IF($D2763="Gider",$H2763,$E2763))</f>
        <v/>
      </c>
      <c r="O2763" s="73" t="str">
        <f>IF($C2763="","",DATE(YEAR($C2763),MONTH($C2763),1))</f>
        <v/>
      </c>
      <c r="P2763" s="65" t="str">
        <f ca="1">IF($C2763="","",IF(AND($D2763="Gelir",$L2763&lt;&gt;"",$T2763=""),"TANIMSIZ BORÇLU",IF($T2763&lt;&gt;"",IF(OR($E2763="",$G2763&lt;=0),"EKSİK",IF($I2763="Evet","TAHAKKUK NAKİT OLAMAZ",IF($C2763&gt;TODAY(),"İLERİ TARİH","TAHAKKUK"))),IF(AND($D2763&lt;&gt;"",$E2763&lt;&gt;"",$G2763&gt;0,$H2763&lt;&gt;"",$I2763&lt;&gt;""),IF($C2763&gt;TODAY(),"İLERİ TARİH",IF(COUNTIF($W$7:$W$3001,$W2763)&gt;1,"MÜKERRER?",IF($AD2763&gt;0,"KAPALI DÖNEM",IF($I2763="Hayır","ÖDENECEK","UYGUN")))),"EKSİK"))))</f>
        <v/>
      </c>
      <c r="Q2763" s="2"/>
      <c r="R2763" s="2"/>
      <c r="S2763" s="1" t="str">
        <f t="shared" si="131"/>
        <v/>
      </c>
      <c r="T2763" s="1" t="str">
        <f>IF(OR($C2763="",$D2763&lt;&gt;"Gelir",$L2763=""),"",IFERROR(INDEX(MUSTERILER!$B$7:$B$156,MATCH($S2763,MUSTERILER!$T$7:$T$156,0)),""))</f>
        <v/>
      </c>
      <c r="U2763" s="1" t="str">
        <f>IF($T2763="","",$T2763&amp;"|"&amp;COUNTIFS($T$7:$T2763,$T2763))</f>
        <v/>
      </c>
      <c r="V2763" s="1">
        <f t="shared" si="132"/>
        <v>0</v>
      </c>
      <c r="W2763" s="1" t="str">
        <f t="shared" si="133"/>
        <v/>
      </c>
      <c r="X2763" s="1"/>
      <c r="Y2763" s="1"/>
      <c r="Z2763" s="1"/>
      <c r="AA2763" s="1"/>
      <c r="AB2763" s="1"/>
      <c r="AC2763" s="1"/>
      <c r="AD2763" s="1">
        <f>IF($C2763="",0,SUMPRODUCT((AY_SONU!$O$7:$O$42="Evet")*(AY_SONU!$B$7:$B$42=DATE(YEAR($C2763),MONTH($C2763),1))))</f>
        <v>0</v>
      </c>
      <c r="AE2763" s="1" t="str">
        <f>IF($E2763="","",$E2763&amp;"|"&amp;COUNTIFS($E$7:$E2763,$E2763))</f>
        <v/>
      </c>
    </row>
    <row r="2764" spans="1:31" ht="18" customHeight="1" x14ac:dyDescent="0.3">
      <c r="A2764" s="2"/>
      <c r="B2764" s="65" t="str">
        <f>IF($C2764="","","GG"&amp;TEXT(ROW()-6,"00000"))</f>
        <v/>
      </c>
      <c r="C2764" s="66"/>
      <c r="D2764" s="60"/>
      <c r="E2764" s="61"/>
      <c r="F2764" s="61"/>
      <c r="G2764" s="67"/>
      <c r="H2764" s="60"/>
      <c r="I2764" s="60"/>
      <c r="J2764" s="61"/>
      <c r="K2764" s="61"/>
      <c r="L2764" s="60"/>
      <c r="M2764" s="74" t="str">
        <f>IF($C2764="","",IF($D2764="Gider",$E2764,IF($L2764&lt;&gt;"",$L2764,$H2764)))</f>
        <v/>
      </c>
      <c r="N2764" s="74" t="str">
        <f>IF($C2764="","",IF($D2764="Gider",$H2764,$E2764))</f>
        <v/>
      </c>
      <c r="O2764" s="73" t="str">
        <f>IF($C2764="","",DATE(YEAR($C2764),MONTH($C2764),1))</f>
        <v/>
      </c>
      <c r="P2764" s="65" t="str">
        <f ca="1">IF($C2764="","",IF(AND($D2764="Gelir",$L2764&lt;&gt;"",$T2764=""),"TANIMSIZ BORÇLU",IF($T2764&lt;&gt;"",IF(OR($E2764="",$G2764&lt;=0),"EKSİK",IF($I2764="Evet","TAHAKKUK NAKİT OLAMAZ",IF($C2764&gt;TODAY(),"İLERİ TARİH","TAHAKKUK"))),IF(AND($D2764&lt;&gt;"",$E2764&lt;&gt;"",$G2764&gt;0,$H2764&lt;&gt;"",$I2764&lt;&gt;""),IF($C2764&gt;TODAY(),"İLERİ TARİH",IF(COUNTIF($W$7:$W$3001,$W2764)&gt;1,"MÜKERRER?",IF($AD2764&gt;0,"KAPALI DÖNEM",IF($I2764="Hayır","ÖDENECEK","UYGUN")))),"EKSİK"))))</f>
        <v/>
      </c>
      <c r="Q2764" s="2"/>
      <c r="R2764" s="2"/>
      <c r="S2764" s="1" t="str">
        <f t="shared" si="131"/>
        <v/>
      </c>
      <c r="T2764" s="1" t="str">
        <f>IF(OR($C2764="",$D2764&lt;&gt;"Gelir",$L2764=""),"",IFERROR(INDEX(MUSTERILER!$B$7:$B$156,MATCH($S2764,MUSTERILER!$T$7:$T$156,0)),""))</f>
        <v/>
      </c>
      <c r="U2764" s="1" t="str">
        <f>IF($T2764="","",$T2764&amp;"|"&amp;COUNTIFS($T$7:$T2764,$T2764))</f>
        <v/>
      </c>
      <c r="V2764" s="1">
        <f t="shared" si="132"/>
        <v>0</v>
      </c>
      <c r="W2764" s="1" t="str">
        <f t="shared" si="133"/>
        <v/>
      </c>
      <c r="X2764" s="1"/>
      <c r="Y2764" s="1"/>
      <c r="Z2764" s="1"/>
      <c r="AA2764" s="1"/>
      <c r="AB2764" s="1"/>
      <c r="AC2764" s="1"/>
      <c r="AD2764" s="1">
        <f>IF($C2764="",0,SUMPRODUCT((AY_SONU!$O$7:$O$42="Evet")*(AY_SONU!$B$7:$B$42=DATE(YEAR($C2764),MONTH($C2764),1))))</f>
        <v>0</v>
      </c>
      <c r="AE2764" s="1" t="str">
        <f>IF($E2764="","",$E2764&amp;"|"&amp;COUNTIFS($E$7:$E2764,$E2764))</f>
        <v/>
      </c>
    </row>
    <row r="2765" spans="1:31" ht="18" customHeight="1" x14ac:dyDescent="0.3">
      <c r="A2765" s="2"/>
      <c r="B2765" s="65" t="str">
        <f>IF($C2765="","","GG"&amp;TEXT(ROW()-6,"00000"))</f>
        <v/>
      </c>
      <c r="C2765" s="66"/>
      <c r="D2765" s="60"/>
      <c r="E2765" s="61"/>
      <c r="F2765" s="61"/>
      <c r="G2765" s="67"/>
      <c r="H2765" s="60"/>
      <c r="I2765" s="60"/>
      <c r="J2765" s="61"/>
      <c r="K2765" s="61"/>
      <c r="L2765" s="60"/>
      <c r="M2765" s="74" t="str">
        <f>IF($C2765="","",IF($D2765="Gider",$E2765,IF($L2765&lt;&gt;"",$L2765,$H2765)))</f>
        <v/>
      </c>
      <c r="N2765" s="74" t="str">
        <f>IF($C2765="","",IF($D2765="Gider",$H2765,$E2765))</f>
        <v/>
      </c>
      <c r="O2765" s="73" t="str">
        <f>IF($C2765="","",DATE(YEAR($C2765),MONTH($C2765),1))</f>
        <v/>
      </c>
      <c r="P2765" s="65" t="str">
        <f ca="1">IF($C2765="","",IF(AND($D2765="Gelir",$L2765&lt;&gt;"",$T2765=""),"TANIMSIZ BORÇLU",IF($T2765&lt;&gt;"",IF(OR($E2765="",$G2765&lt;=0),"EKSİK",IF($I2765="Evet","TAHAKKUK NAKİT OLAMAZ",IF($C2765&gt;TODAY(),"İLERİ TARİH","TAHAKKUK"))),IF(AND($D2765&lt;&gt;"",$E2765&lt;&gt;"",$G2765&gt;0,$H2765&lt;&gt;"",$I2765&lt;&gt;""),IF($C2765&gt;TODAY(),"İLERİ TARİH",IF(COUNTIF($W$7:$W$3001,$W2765)&gt;1,"MÜKERRER?",IF($AD2765&gt;0,"KAPALI DÖNEM",IF($I2765="Hayır","ÖDENECEK","UYGUN")))),"EKSİK"))))</f>
        <v/>
      </c>
      <c r="Q2765" s="2"/>
      <c r="R2765" s="2"/>
      <c r="S2765" s="1" t="str">
        <f t="shared" si="131"/>
        <v/>
      </c>
      <c r="T2765" s="1" t="str">
        <f>IF(OR($C2765="",$D2765&lt;&gt;"Gelir",$L2765=""),"",IFERROR(INDEX(MUSTERILER!$B$7:$B$156,MATCH($S2765,MUSTERILER!$T$7:$T$156,0)),""))</f>
        <v/>
      </c>
      <c r="U2765" s="1" t="str">
        <f>IF($T2765="","",$T2765&amp;"|"&amp;COUNTIFS($T$7:$T2765,$T2765))</f>
        <v/>
      </c>
      <c r="V2765" s="1">
        <f t="shared" si="132"/>
        <v>0</v>
      </c>
      <c r="W2765" s="1" t="str">
        <f t="shared" si="133"/>
        <v/>
      </c>
      <c r="X2765" s="1"/>
      <c r="Y2765" s="1"/>
      <c r="Z2765" s="1"/>
      <c r="AA2765" s="1"/>
      <c r="AB2765" s="1"/>
      <c r="AC2765" s="1"/>
      <c r="AD2765" s="1">
        <f>IF($C2765="",0,SUMPRODUCT((AY_SONU!$O$7:$O$42="Evet")*(AY_SONU!$B$7:$B$42=DATE(YEAR($C2765),MONTH($C2765),1))))</f>
        <v>0</v>
      </c>
      <c r="AE2765" s="1" t="str">
        <f>IF($E2765="","",$E2765&amp;"|"&amp;COUNTIFS($E$7:$E2765,$E2765))</f>
        <v/>
      </c>
    </row>
    <row r="2766" spans="1:31" ht="18" customHeight="1" x14ac:dyDescent="0.3">
      <c r="A2766" s="2"/>
      <c r="B2766" s="65" t="str">
        <f>IF($C2766="","","GG"&amp;TEXT(ROW()-6,"00000"))</f>
        <v/>
      </c>
      <c r="C2766" s="66"/>
      <c r="D2766" s="60"/>
      <c r="E2766" s="61"/>
      <c r="F2766" s="61"/>
      <c r="G2766" s="67"/>
      <c r="H2766" s="60"/>
      <c r="I2766" s="60"/>
      <c r="J2766" s="61"/>
      <c r="K2766" s="61"/>
      <c r="L2766" s="60"/>
      <c r="M2766" s="74" t="str">
        <f>IF($C2766="","",IF($D2766="Gider",$E2766,IF($L2766&lt;&gt;"",$L2766,$H2766)))</f>
        <v/>
      </c>
      <c r="N2766" s="74" t="str">
        <f>IF($C2766="","",IF($D2766="Gider",$H2766,$E2766))</f>
        <v/>
      </c>
      <c r="O2766" s="73" t="str">
        <f>IF($C2766="","",DATE(YEAR($C2766),MONTH($C2766),1))</f>
        <v/>
      </c>
      <c r="P2766" s="65" t="str">
        <f ca="1">IF($C2766="","",IF(AND($D2766="Gelir",$L2766&lt;&gt;"",$T2766=""),"TANIMSIZ BORÇLU",IF($T2766&lt;&gt;"",IF(OR($E2766="",$G2766&lt;=0),"EKSİK",IF($I2766="Evet","TAHAKKUK NAKİT OLAMAZ",IF($C2766&gt;TODAY(),"İLERİ TARİH","TAHAKKUK"))),IF(AND($D2766&lt;&gt;"",$E2766&lt;&gt;"",$G2766&gt;0,$H2766&lt;&gt;"",$I2766&lt;&gt;""),IF($C2766&gt;TODAY(),"İLERİ TARİH",IF(COUNTIF($W$7:$W$3001,$W2766)&gt;1,"MÜKERRER?",IF($AD2766&gt;0,"KAPALI DÖNEM",IF($I2766="Hayır","ÖDENECEK","UYGUN")))),"EKSİK"))))</f>
        <v/>
      </c>
      <c r="Q2766" s="2"/>
      <c r="R2766" s="2"/>
      <c r="S2766" s="1" t="str">
        <f t="shared" si="131"/>
        <v/>
      </c>
      <c r="T2766" s="1" t="str">
        <f>IF(OR($C2766="",$D2766&lt;&gt;"Gelir",$L2766=""),"",IFERROR(INDEX(MUSTERILER!$B$7:$B$156,MATCH($S2766,MUSTERILER!$T$7:$T$156,0)),""))</f>
        <v/>
      </c>
      <c r="U2766" s="1" t="str">
        <f>IF($T2766="","",$T2766&amp;"|"&amp;COUNTIFS($T$7:$T2766,$T2766))</f>
        <v/>
      </c>
      <c r="V2766" s="1">
        <f t="shared" si="132"/>
        <v>0</v>
      </c>
      <c r="W2766" s="1" t="str">
        <f t="shared" si="133"/>
        <v/>
      </c>
      <c r="X2766" s="1"/>
      <c r="Y2766" s="1"/>
      <c r="Z2766" s="1"/>
      <c r="AA2766" s="1"/>
      <c r="AB2766" s="1"/>
      <c r="AC2766" s="1"/>
      <c r="AD2766" s="1">
        <f>IF($C2766="",0,SUMPRODUCT((AY_SONU!$O$7:$O$42="Evet")*(AY_SONU!$B$7:$B$42=DATE(YEAR($C2766),MONTH($C2766),1))))</f>
        <v>0</v>
      </c>
      <c r="AE2766" s="1" t="str">
        <f>IF($E2766="","",$E2766&amp;"|"&amp;COUNTIFS($E$7:$E2766,$E2766))</f>
        <v/>
      </c>
    </row>
    <row r="2767" spans="1:31" ht="18" customHeight="1" x14ac:dyDescent="0.3">
      <c r="A2767" s="2"/>
      <c r="B2767" s="65" t="str">
        <f>IF($C2767="","","GG"&amp;TEXT(ROW()-6,"00000"))</f>
        <v/>
      </c>
      <c r="C2767" s="66"/>
      <c r="D2767" s="60"/>
      <c r="E2767" s="61"/>
      <c r="F2767" s="61"/>
      <c r="G2767" s="67"/>
      <c r="H2767" s="60"/>
      <c r="I2767" s="60"/>
      <c r="J2767" s="61"/>
      <c r="K2767" s="61"/>
      <c r="L2767" s="60"/>
      <c r="M2767" s="74" t="str">
        <f>IF($C2767="","",IF($D2767="Gider",$E2767,IF($L2767&lt;&gt;"",$L2767,$H2767)))</f>
        <v/>
      </c>
      <c r="N2767" s="74" t="str">
        <f>IF($C2767="","",IF($D2767="Gider",$H2767,$E2767))</f>
        <v/>
      </c>
      <c r="O2767" s="73" t="str">
        <f>IF($C2767="","",DATE(YEAR($C2767),MONTH($C2767),1))</f>
        <v/>
      </c>
      <c r="P2767" s="65" t="str">
        <f ca="1">IF($C2767="","",IF(AND($D2767="Gelir",$L2767&lt;&gt;"",$T2767=""),"TANIMSIZ BORÇLU",IF($T2767&lt;&gt;"",IF(OR($E2767="",$G2767&lt;=0),"EKSİK",IF($I2767="Evet","TAHAKKUK NAKİT OLAMAZ",IF($C2767&gt;TODAY(),"İLERİ TARİH","TAHAKKUK"))),IF(AND($D2767&lt;&gt;"",$E2767&lt;&gt;"",$G2767&gt;0,$H2767&lt;&gt;"",$I2767&lt;&gt;""),IF($C2767&gt;TODAY(),"İLERİ TARİH",IF(COUNTIF($W$7:$W$3001,$W2767)&gt;1,"MÜKERRER?",IF($AD2767&gt;0,"KAPALI DÖNEM",IF($I2767="Hayır","ÖDENECEK","UYGUN")))),"EKSİK"))))</f>
        <v/>
      </c>
      <c r="Q2767" s="2"/>
      <c r="R2767" s="2"/>
      <c r="S2767" s="1" t="str">
        <f t="shared" si="131"/>
        <v/>
      </c>
      <c r="T2767" s="1" t="str">
        <f>IF(OR($C2767="",$D2767&lt;&gt;"Gelir",$L2767=""),"",IFERROR(INDEX(MUSTERILER!$B$7:$B$156,MATCH($S2767,MUSTERILER!$T$7:$T$156,0)),""))</f>
        <v/>
      </c>
      <c r="U2767" s="1" t="str">
        <f>IF($T2767="","",$T2767&amp;"|"&amp;COUNTIFS($T$7:$T2767,$T2767))</f>
        <v/>
      </c>
      <c r="V2767" s="1">
        <f t="shared" si="132"/>
        <v>0</v>
      </c>
      <c r="W2767" s="1" t="str">
        <f t="shared" si="133"/>
        <v/>
      </c>
      <c r="X2767" s="1"/>
      <c r="Y2767" s="1"/>
      <c r="Z2767" s="1"/>
      <c r="AA2767" s="1"/>
      <c r="AB2767" s="1"/>
      <c r="AC2767" s="1"/>
      <c r="AD2767" s="1">
        <f>IF($C2767="",0,SUMPRODUCT((AY_SONU!$O$7:$O$42="Evet")*(AY_SONU!$B$7:$B$42=DATE(YEAR($C2767),MONTH($C2767),1))))</f>
        <v>0</v>
      </c>
      <c r="AE2767" s="1" t="str">
        <f>IF($E2767="","",$E2767&amp;"|"&amp;COUNTIFS($E$7:$E2767,$E2767))</f>
        <v/>
      </c>
    </row>
    <row r="2768" spans="1:31" ht="18" customHeight="1" x14ac:dyDescent="0.3">
      <c r="A2768" s="2"/>
      <c r="B2768" s="65" t="str">
        <f>IF($C2768="","","GG"&amp;TEXT(ROW()-6,"00000"))</f>
        <v/>
      </c>
      <c r="C2768" s="66"/>
      <c r="D2768" s="60"/>
      <c r="E2768" s="61"/>
      <c r="F2768" s="61"/>
      <c r="G2768" s="67"/>
      <c r="H2768" s="60"/>
      <c r="I2768" s="60"/>
      <c r="J2768" s="61"/>
      <c r="K2768" s="61"/>
      <c r="L2768" s="60"/>
      <c r="M2768" s="74" t="str">
        <f>IF($C2768="","",IF($D2768="Gider",$E2768,IF($L2768&lt;&gt;"",$L2768,$H2768)))</f>
        <v/>
      </c>
      <c r="N2768" s="74" t="str">
        <f>IF($C2768="","",IF($D2768="Gider",$H2768,$E2768))</f>
        <v/>
      </c>
      <c r="O2768" s="73" t="str">
        <f>IF($C2768="","",DATE(YEAR($C2768),MONTH($C2768),1))</f>
        <v/>
      </c>
      <c r="P2768" s="65" t="str">
        <f ca="1">IF($C2768="","",IF(AND($D2768="Gelir",$L2768&lt;&gt;"",$T2768=""),"TANIMSIZ BORÇLU",IF($T2768&lt;&gt;"",IF(OR($E2768="",$G2768&lt;=0),"EKSİK",IF($I2768="Evet","TAHAKKUK NAKİT OLAMAZ",IF($C2768&gt;TODAY(),"İLERİ TARİH","TAHAKKUK"))),IF(AND($D2768&lt;&gt;"",$E2768&lt;&gt;"",$G2768&gt;0,$H2768&lt;&gt;"",$I2768&lt;&gt;""),IF($C2768&gt;TODAY(),"İLERİ TARİH",IF(COUNTIF($W$7:$W$3001,$W2768)&gt;1,"MÜKERRER?",IF($AD2768&gt;0,"KAPALI DÖNEM",IF($I2768="Hayır","ÖDENECEK","UYGUN")))),"EKSİK"))))</f>
        <v/>
      </c>
      <c r="Q2768" s="2"/>
      <c r="R2768" s="2"/>
      <c r="S2768" s="1" t="str">
        <f t="shared" si="131"/>
        <v/>
      </c>
      <c r="T2768" s="1" t="str">
        <f>IF(OR($C2768="",$D2768&lt;&gt;"Gelir",$L2768=""),"",IFERROR(INDEX(MUSTERILER!$B$7:$B$156,MATCH($S2768,MUSTERILER!$T$7:$T$156,0)),""))</f>
        <v/>
      </c>
      <c r="U2768" s="1" t="str">
        <f>IF($T2768="","",$T2768&amp;"|"&amp;COUNTIFS($T$7:$T2768,$T2768))</f>
        <v/>
      </c>
      <c r="V2768" s="1">
        <f t="shared" si="132"/>
        <v>0</v>
      </c>
      <c r="W2768" s="1" t="str">
        <f t="shared" si="133"/>
        <v/>
      </c>
      <c r="X2768" s="1"/>
      <c r="Y2768" s="1"/>
      <c r="Z2768" s="1"/>
      <c r="AA2768" s="1"/>
      <c r="AB2768" s="1"/>
      <c r="AC2768" s="1"/>
      <c r="AD2768" s="1">
        <f>IF($C2768="",0,SUMPRODUCT((AY_SONU!$O$7:$O$42="Evet")*(AY_SONU!$B$7:$B$42=DATE(YEAR($C2768),MONTH($C2768),1))))</f>
        <v>0</v>
      </c>
      <c r="AE2768" s="1" t="str">
        <f>IF($E2768="","",$E2768&amp;"|"&amp;COUNTIFS($E$7:$E2768,$E2768))</f>
        <v/>
      </c>
    </row>
    <row r="2769" spans="1:31" ht="18" customHeight="1" x14ac:dyDescent="0.3">
      <c r="A2769" s="2"/>
      <c r="B2769" s="65" t="str">
        <f>IF($C2769="","","GG"&amp;TEXT(ROW()-6,"00000"))</f>
        <v/>
      </c>
      <c r="C2769" s="66"/>
      <c r="D2769" s="60"/>
      <c r="E2769" s="61"/>
      <c r="F2769" s="61"/>
      <c r="G2769" s="67"/>
      <c r="H2769" s="60"/>
      <c r="I2769" s="60"/>
      <c r="J2769" s="61"/>
      <c r="K2769" s="61"/>
      <c r="L2769" s="60"/>
      <c r="M2769" s="74" t="str">
        <f>IF($C2769="","",IF($D2769="Gider",$E2769,IF($L2769&lt;&gt;"",$L2769,$H2769)))</f>
        <v/>
      </c>
      <c r="N2769" s="74" t="str">
        <f>IF($C2769="","",IF($D2769="Gider",$H2769,$E2769))</f>
        <v/>
      </c>
      <c r="O2769" s="73" t="str">
        <f>IF($C2769="","",DATE(YEAR($C2769),MONTH($C2769),1))</f>
        <v/>
      </c>
      <c r="P2769" s="65" t="str">
        <f ca="1">IF($C2769="","",IF(AND($D2769="Gelir",$L2769&lt;&gt;"",$T2769=""),"TANIMSIZ BORÇLU",IF($T2769&lt;&gt;"",IF(OR($E2769="",$G2769&lt;=0),"EKSİK",IF($I2769="Evet","TAHAKKUK NAKİT OLAMAZ",IF($C2769&gt;TODAY(),"İLERİ TARİH","TAHAKKUK"))),IF(AND($D2769&lt;&gt;"",$E2769&lt;&gt;"",$G2769&gt;0,$H2769&lt;&gt;"",$I2769&lt;&gt;""),IF($C2769&gt;TODAY(),"İLERİ TARİH",IF(COUNTIF($W$7:$W$3001,$W2769)&gt;1,"MÜKERRER?",IF($AD2769&gt;0,"KAPALI DÖNEM",IF($I2769="Hayır","ÖDENECEK","UYGUN")))),"EKSİK"))))</f>
        <v/>
      </c>
      <c r="Q2769" s="2"/>
      <c r="R2769" s="2"/>
      <c r="S2769" s="1" t="str">
        <f t="shared" si="131"/>
        <v/>
      </c>
      <c r="T2769" s="1" t="str">
        <f>IF(OR($C2769="",$D2769&lt;&gt;"Gelir",$L2769=""),"",IFERROR(INDEX(MUSTERILER!$B$7:$B$156,MATCH($S2769,MUSTERILER!$T$7:$T$156,0)),""))</f>
        <v/>
      </c>
      <c r="U2769" s="1" t="str">
        <f>IF($T2769="","",$T2769&amp;"|"&amp;COUNTIFS($T$7:$T2769,$T2769))</f>
        <v/>
      </c>
      <c r="V2769" s="1">
        <f t="shared" si="132"/>
        <v>0</v>
      </c>
      <c r="W2769" s="1" t="str">
        <f t="shared" si="133"/>
        <v/>
      </c>
      <c r="X2769" s="1"/>
      <c r="Y2769" s="1"/>
      <c r="Z2769" s="1"/>
      <c r="AA2769" s="1"/>
      <c r="AB2769" s="1"/>
      <c r="AC2769" s="1"/>
      <c r="AD2769" s="1">
        <f>IF($C2769="",0,SUMPRODUCT((AY_SONU!$O$7:$O$42="Evet")*(AY_SONU!$B$7:$B$42=DATE(YEAR($C2769),MONTH($C2769),1))))</f>
        <v>0</v>
      </c>
      <c r="AE2769" s="1" t="str">
        <f>IF($E2769="","",$E2769&amp;"|"&amp;COUNTIFS($E$7:$E2769,$E2769))</f>
        <v/>
      </c>
    </row>
    <row r="2770" spans="1:31" ht="18" customHeight="1" x14ac:dyDescent="0.3">
      <c r="A2770" s="2"/>
      <c r="B2770" s="65" t="str">
        <f>IF($C2770="","","GG"&amp;TEXT(ROW()-6,"00000"))</f>
        <v/>
      </c>
      <c r="C2770" s="66"/>
      <c r="D2770" s="60"/>
      <c r="E2770" s="61"/>
      <c r="F2770" s="61"/>
      <c r="G2770" s="67"/>
      <c r="H2770" s="60"/>
      <c r="I2770" s="60"/>
      <c r="J2770" s="61"/>
      <c r="K2770" s="61"/>
      <c r="L2770" s="60"/>
      <c r="M2770" s="74" t="str">
        <f>IF($C2770="","",IF($D2770="Gider",$E2770,IF($L2770&lt;&gt;"",$L2770,$H2770)))</f>
        <v/>
      </c>
      <c r="N2770" s="74" t="str">
        <f>IF($C2770="","",IF($D2770="Gider",$H2770,$E2770))</f>
        <v/>
      </c>
      <c r="O2770" s="73" t="str">
        <f>IF($C2770="","",DATE(YEAR($C2770),MONTH($C2770),1))</f>
        <v/>
      </c>
      <c r="P2770" s="65" t="str">
        <f ca="1">IF($C2770="","",IF(AND($D2770="Gelir",$L2770&lt;&gt;"",$T2770=""),"TANIMSIZ BORÇLU",IF($T2770&lt;&gt;"",IF(OR($E2770="",$G2770&lt;=0),"EKSİK",IF($I2770="Evet","TAHAKKUK NAKİT OLAMAZ",IF($C2770&gt;TODAY(),"İLERİ TARİH","TAHAKKUK"))),IF(AND($D2770&lt;&gt;"",$E2770&lt;&gt;"",$G2770&gt;0,$H2770&lt;&gt;"",$I2770&lt;&gt;""),IF($C2770&gt;TODAY(),"İLERİ TARİH",IF(COUNTIF($W$7:$W$3001,$W2770)&gt;1,"MÜKERRER?",IF($AD2770&gt;0,"KAPALI DÖNEM",IF($I2770="Hayır","ÖDENECEK","UYGUN")))),"EKSİK"))))</f>
        <v/>
      </c>
      <c r="Q2770" s="2"/>
      <c r="R2770" s="2"/>
      <c r="S2770" s="1" t="str">
        <f t="shared" si="131"/>
        <v/>
      </c>
      <c r="T2770" s="1" t="str">
        <f>IF(OR($C2770="",$D2770&lt;&gt;"Gelir",$L2770=""),"",IFERROR(INDEX(MUSTERILER!$B$7:$B$156,MATCH($S2770,MUSTERILER!$T$7:$T$156,0)),""))</f>
        <v/>
      </c>
      <c r="U2770" s="1" t="str">
        <f>IF($T2770="","",$T2770&amp;"|"&amp;COUNTIFS($T$7:$T2770,$T2770))</f>
        <v/>
      </c>
      <c r="V2770" s="1">
        <f t="shared" si="132"/>
        <v>0</v>
      </c>
      <c r="W2770" s="1" t="str">
        <f t="shared" si="133"/>
        <v/>
      </c>
      <c r="X2770" s="1"/>
      <c r="Y2770" s="1"/>
      <c r="Z2770" s="1"/>
      <c r="AA2770" s="1"/>
      <c r="AB2770" s="1"/>
      <c r="AC2770" s="1"/>
      <c r="AD2770" s="1">
        <f>IF($C2770="",0,SUMPRODUCT((AY_SONU!$O$7:$O$42="Evet")*(AY_SONU!$B$7:$B$42=DATE(YEAR($C2770),MONTH($C2770),1))))</f>
        <v>0</v>
      </c>
      <c r="AE2770" s="1" t="str">
        <f>IF($E2770="","",$E2770&amp;"|"&amp;COUNTIFS($E$7:$E2770,$E2770))</f>
        <v/>
      </c>
    </row>
    <row r="2771" spans="1:31" ht="18" customHeight="1" x14ac:dyDescent="0.3">
      <c r="A2771" s="2"/>
      <c r="B2771" s="65" t="str">
        <f>IF($C2771="","","GG"&amp;TEXT(ROW()-6,"00000"))</f>
        <v/>
      </c>
      <c r="C2771" s="66"/>
      <c r="D2771" s="60"/>
      <c r="E2771" s="61"/>
      <c r="F2771" s="61"/>
      <c r="G2771" s="67"/>
      <c r="H2771" s="60"/>
      <c r="I2771" s="60"/>
      <c r="J2771" s="61"/>
      <c r="K2771" s="61"/>
      <c r="L2771" s="60"/>
      <c r="M2771" s="74" t="str">
        <f>IF($C2771="","",IF($D2771="Gider",$E2771,IF($L2771&lt;&gt;"",$L2771,$H2771)))</f>
        <v/>
      </c>
      <c r="N2771" s="74" t="str">
        <f>IF($C2771="","",IF($D2771="Gider",$H2771,$E2771))</f>
        <v/>
      </c>
      <c r="O2771" s="73" t="str">
        <f>IF($C2771="","",DATE(YEAR($C2771),MONTH($C2771),1))</f>
        <v/>
      </c>
      <c r="P2771" s="65" t="str">
        <f ca="1">IF($C2771="","",IF(AND($D2771="Gelir",$L2771&lt;&gt;"",$T2771=""),"TANIMSIZ BORÇLU",IF($T2771&lt;&gt;"",IF(OR($E2771="",$G2771&lt;=0),"EKSİK",IF($I2771="Evet","TAHAKKUK NAKİT OLAMAZ",IF($C2771&gt;TODAY(),"İLERİ TARİH","TAHAKKUK"))),IF(AND($D2771&lt;&gt;"",$E2771&lt;&gt;"",$G2771&gt;0,$H2771&lt;&gt;"",$I2771&lt;&gt;""),IF($C2771&gt;TODAY(),"İLERİ TARİH",IF(COUNTIF($W$7:$W$3001,$W2771)&gt;1,"MÜKERRER?",IF($AD2771&gt;0,"KAPALI DÖNEM",IF($I2771="Hayır","ÖDENECEK","UYGUN")))),"EKSİK"))))</f>
        <v/>
      </c>
      <c r="Q2771" s="2"/>
      <c r="R2771" s="2"/>
      <c r="S2771" s="1" t="str">
        <f t="shared" si="131"/>
        <v/>
      </c>
      <c r="T2771" s="1" t="str">
        <f>IF(OR($C2771="",$D2771&lt;&gt;"Gelir",$L2771=""),"",IFERROR(INDEX(MUSTERILER!$B$7:$B$156,MATCH($S2771,MUSTERILER!$T$7:$T$156,0)),""))</f>
        <v/>
      </c>
      <c r="U2771" s="1" t="str">
        <f>IF($T2771="","",$T2771&amp;"|"&amp;COUNTIFS($T$7:$T2771,$T2771))</f>
        <v/>
      </c>
      <c r="V2771" s="1">
        <f t="shared" si="132"/>
        <v>0</v>
      </c>
      <c r="W2771" s="1" t="str">
        <f t="shared" si="133"/>
        <v/>
      </c>
      <c r="X2771" s="1"/>
      <c r="Y2771" s="1"/>
      <c r="Z2771" s="1"/>
      <c r="AA2771" s="1"/>
      <c r="AB2771" s="1"/>
      <c r="AC2771" s="1"/>
      <c r="AD2771" s="1">
        <f>IF($C2771="",0,SUMPRODUCT((AY_SONU!$O$7:$O$42="Evet")*(AY_SONU!$B$7:$B$42=DATE(YEAR($C2771),MONTH($C2771),1))))</f>
        <v>0</v>
      </c>
      <c r="AE2771" s="1" t="str">
        <f>IF($E2771="","",$E2771&amp;"|"&amp;COUNTIFS($E$7:$E2771,$E2771))</f>
        <v/>
      </c>
    </row>
    <row r="2772" spans="1:31" ht="18" customHeight="1" x14ac:dyDescent="0.3">
      <c r="A2772" s="2"/>
      <c r="B2772" s="65" t="str">
        <f>IF($C2772="","","GG"&amp;TEXT(ROW()-6,"00000"))</f>
        <v/>
      </c>
      <c r="C2772" s="66"/>
      <c r="D2772" s="60"/>
      <c r="E2772" s="61"/>
      <c r="F2772" s="61"/>
      <c r="G2772" s="67"/>
      <c r="H2772" s="60"/>
      <c r="I2772" s="60"/>
      <c r="J2772" s="61"/>
      <c r="K2772" s="61"/>
      <c r="L2772" s="60"/>
      <c r="M2772" s="74" t="str">
        <f>IF($C2772="","",IF($D2772="Gider",$E2772,IF($L2772&lt;&gt;"",$L2772,$H2772)))</f>
        <v/>
      </c>
      <c r="N2772" s="74" t="str">
        <f>IF($C2772="","",IF($D2772="Gider",$H2772,$E2772))</f>
        <v/>
      </c>
      <c r="O2772" s="73" t="str">
        <f>IF($C2772="","",DATE(YEAR($C2772),MONTH($C2772),1))</f>
        <v/>
      </c>
      <c r="P2772" s="65" t="str">
        <f ca="1">IF($C2772="","",IF(AND($D2772="Gelir",$L2772&lt;&gt;"",$T2772=""),"TANIMSIZ BORÇLU",IF($T2772&lt;&gt;"",IF(OR($E2772="",$G2772&lt;=0),"EKSİK",IF($I2772="Evet","TAHAKKUK NAKİT OLAMAZ",IF($C2772&gt;TODAY(),"İLERİ TARİH","TAHAKKUK"))),IF(AND($D2772&lt;&gt;"",$E2772&lt;&gt;"",$G2772&gt;0,$H2772&lt;&gt;"",$I2772&lt;&gt;""),IF($C2772&gt;TODAY(),"İLERİ TARİH",IF(COUNTIF($W$7:$W$3001,$W2772)&gt;1,"MÜKERRER?",IF($AD2772&gt;0,"KAPALI DÖNEM",IF($I2772="Hayır","ÖDENECEK","UYGUN")))),"EKSİK"))))</f>
        <v/>
      </c>
      <c r="Q2772" s="2"/>
      <c r="R2772" s="2"/>
      <c r="S2772" s="1" t="str">
        <f t="shared" si="131"/>
        <v/>
      </c>
      <c r="T2772" s="1" t="str">
        <f>IF(OR($C2772="",$D2772&lt;&gt;"Gelir",$L2772=""),"",IFERROR(INDEX(MUSTERILER!$B$7:$B$156,MATCH($S2772,MUSTERILER!$T$7:$T$156,0)),""))</f>
        <v/>
      </c>
      <c r="U2772" s="1" t="str">
        <f>IF($T2772="","",$T2772&amp;"|"&amp;COUNTIFS($T$7:$T2772,$T2772))</f>
        <v/>
      </c>
      <c r="V2772" s="1">
        <f t="shared" si="132"/>
        <v>0</v>
      </c>
      <c r="W2772" s="1" t="str">
        <f t="shared" si="133"/>
        <v/>
      </c>
      <c r="X2772" s="1"/>
      <c r="Y2772" s="1"/>
      <c r="Z2772" s="1"/>
      <c r="AA2772" s="1"/>
      <c r="AB2772" s="1"/>
      <c r="AC2772" s="1"/>
      <c r="AD2772" s="1">
        <f>IF($C2772="",0,SUMPRODUCT((AY_SONU!$O$7:$O$42="Evet")*(AY_SONU!$B$7:$B$42=DATE(YEAR($C2772),MONTH($C2772),1))))</f>
        <v>0</v>
      </c>
      <c r="AE2772" s="1" t="str">
        <f>IF($E2772="","",$E2772&amp;"|"&amp;COUNTIFS($E$7:$E2772,$E2772))</f>
        <v/>
      </c>
    </row>
    <row r="2773" spans="1:31" ht="18" customHeight="1" x14ac:dyDescent="0.3">
      <c r="A2773" s="2"/>
      <c r="B2773" s="65" t="str">
        <f>IF($C2773="","","GG"&amp;TEXT(ROW()-6,"00000"))</f>
        <v/>
      </c>
      <c r="C2773" s="66"/>
      <c r="D2773" s="60"/>
      <c r="E2773" s="61"/>
      <c r="F2773" s="61"/>
      <c r="G2773" s="67"/>
      <c r="H2773" s="60"/>
      <c r="I2773" s="60"/>
      <c r="J2773" s="61"/>
      <c r="K2773" s="61"/>
      <c r="L2773" s="60"/>
      <c r="M2773" s="74" t="str">
        <f>IF($C2773="","",IF($D2773="Gider",$E2773,IF($L2773&lt;&gt;"",$L2773,$H2773)))</f>
        <v/>
      </c>
      <c r="N2773" s="74" t="str">
        <f>IF($C2773="","",IF($D2773="Gider",$H2773,$E2773))</f>
        <v/>
      </c>
      <c r="O2773" s="73" t="str">
        <f>IF($C2773="","",DATE(YEAR($C2773),MONTH($C2773),1))</f>
        <v/>
      </c>
      <c r="P2773" s="65" t="str">
        <f ca="1">IF($C2773="","",IF(AND($D2773="Gelir",$L2773&lt;&gt;"",$T2773=""),"TANIMSIZ BORÇLU",IF($T2773&lt;&gt;"",IF(OR($E2773="",$G2773&lt;=0),"EKSİK",IF($I2773="Evet","TAHAKKUK NAKİT OLAMAZ",IF($C2773&gt;TODAY(),"İLERİ TARİH","TAHAKKUK"))),IF(AND($D2773&lt;&gt;"",$E2773&lt;&gt;"",$G2773&gt;0,$H2773&lt;&gt;"",$I2773&lt;&gt;""),IF($C2773&gt;TODAY(),"İLERİ TARİH",IF(COUNTIF($W$7:$W$3001,$W2773)&gt;1,"MÜKERRER?",IF($AD2773&gt;0,"KAPALI DÖNEM",IF($I2773="Hayır","ÖDENECEK","UYGUN")))),"EKSİK"))))</f>
        <v/>
      </c>
      <c r="Q2773" s="2"/>
      <c r="R2773" s="2"/>
      <c r="S2773" s="1" t="str">
        <f t="shared" si="131"/>
        <v/>
      </c>
      <c r="T2773" s="1" t="str">
        <f>IF(OR($C2773="",$D2773&lt;&gt;"Gelir",$L2773=""),"",IFERROR(INDEX(MUSTERILER!$B$7:$B$156,MATCH($S2773,MUSTERILER!$T$7:$T$156,0)),""))</f>
        <v/>
      </c>
      <c r="U2773" s="1" t="str">
        <f>IF($T2773="","",$T2773&amp;"|"&amp;COUNTIFS($T$7:$T2773,$T2773))</f>
        <v/>
      </c>
      <c r="V2773" s="1">
        <f t="shared" si="132"/>
        <v>0</v>
      </c>
      <c r="W2773" s="1" t="str">
        <f t="shared" si="133"/>
        <v/>
      </c>
      <c r="X2773" s="1"/>
      <c r="Y2773" s="1"/>
      <c r="Z2773" s="1"/>
      <c r="AA2773" s="1"/>
      <c r="AB2773" s="1"/>
      <c r="AC2773" s="1"/>
      <c r="AD2773" s="1">
        <f>IF($C2773="",0,SUMPRODUCT((AY_SONU!$O$7:$O$42="Evet")*(AY_SONU!$B$7:$B$42=DATE(YEAR($C2773),MONTH($C2773),1))))</f>
        <v>0</v>
      </c>
      <c r="AE2773" s="1" t="str">
        <f>IF($E2773="","",$E2773&amp;"|"&amp;COUNTIFS($E$7:$E2773,$E2773))</f>
        <v/>
      </c>
    </row>
    <row r="2774" spans="1:31" ht="18" customHeight="1" x14ac:dyDescent="0.3">
      <c r="A2774" s="2"/>
      <c r="B2774" s="65" t="str">
        <f>IF($C2774="","","GG"&amp;TEXT(ROW()-6,"00000"))</f>
        <v/>
      </c>
      <c r="C2774" s="66"/>
      <c r="D2774" s="60"/>
      <c r="E2774" s="61"/>
      <c r="F2774" s="61"/>
      <c r="G2774" s="67"/>
      <c r="H2774" s="60"/>
      <c r="I2774" s="60"/>
      <c r="J2774" s="61"/>
      <c r="K2774" s="61"/>
      <c r="L2774" s="60"/>
      <c r="M2774" s="74" t="str">
        <f>IF($C2774="","",IF($D2774="Gider",$E2774,IF($L2774&lt;&gt;"",$L2774,$H2774)))</f>
        <v/>
      </c>
      <c r="N2774" s="74" t="str">
        <f>IF($C2774="","",IF($D2774="Gider",$H2774,$E2774))</f>
        <v/>
      </c>
      <c r="O2774" s="73" t="str">
        <f>IF($C2774="","",DATE(YEAR($C2774),MONTH($C2774),1))</f>
        <v/>
      </c>
      <c r="P2774" s="65" t="str">
        <f ca="1">IF($C2774="","",IF(AND($D2774="Gelir",$L2774&lt;&gt;"",$T2774=""),"TANIMSIZ BORÇLU",IF($T2774&lt;&gt;"",IF(OR($E2774="",$G2774&lt;=0),"EKSİK",IF($I2774="Evet","TAHAKKUK NAKİT OLAMAZ",IF($C2774&gt;TODAY(),"İLERİ TARİH","TAHAKKUK"))),IF(AND($D2774&lt;&gt;"",$E2774&lt;&gt;"",$G2774&gt;0,$H2774&lt;&gt;"",$I2774&lt;&gt;""),IF($C2774&gt;TODAY(),"İLERİ TARİH",IF(COUNTIF($W$7:$W$3001,$W2774)&gt;1,"MÜKERRER?",IF($AD2774&gt;0,"KAPALI DÖNEM",IF($I2774="Hayır","ÖDENECEK","UYGUN")))),"EKSİK"))))</f>
        <v/>
      </c>
      <c r="Q2774" s="2"/>
      <c r="R2774" s="2"/>
      <c r="S2774" s="1" t="str">
        <f t="shared" si="131"/>
        <v/>
      </c>
      <c r="T2774" s="1" t="str">
        <f>IF(OR($C2774="",$D2774&lt;&gt;"Gelir",$L2774=""),"",IFERROR(INDEX(MUSTERILER!$B$7:$B$156,MATCH($S2774,MUSTERILER!$T$7:$T$156,0)),""))</f>
        <v/>
      </c>
      <c r="U2774" s="1" t="str">
        <f>IF($T2774="","",$T2774&amp;"|"&amp;COUNTIFS($T$7:$T2774,$T2774))</f>
        <v/>
      </c>
      <c r="V2774" s="1">
        <f t="shared" si="132"/>
        <v>0</v>
      </c>
      <c r="W2774" s="1" t="str">
        <f t="shared" si="133"/>
        <v/>
      </c>
      <c r="X2774" s="1"/>
      <c r="Y2774" s="1"/>
      <c r="Z2774" s="1"/>
      <c r="AA2774" s="1"/>
      <c r="AB2774" s="1"/>
      <c r="AC2774" s="1"/>
      <c r="AD2774" s="1">
        <f>IF($C2774="",0,SUMPRODUCT((AY_SONU!$O$7:$O$42="Evet")*(AY_SONU!$B$7:$B$42=DATE(YEAR($C2774),MONTH($C2774),1))))</f>
        <v>0</v>
      </c>
      <c r="AE2774" s="1" t="str">
        <f>IF($E2774="","",$E2774&amp;"|"&amp;COUNTIFS($E$7:$E2774,$E2774))</f>
        <v/>
      </c>
    </row>
    <row r="2775" spans="1:31" ht="18" customHeight="1" x14ac:dyDescent="0.3">
      <c r="A2775" s="2"/>
      <c r="B2775" s="65" t="str">
        <f>IF($C2775="","","GG"&amp;TEXT(ROW()-6,"00000"))</f>
        <v/>
      </c>
      <c r="C2775" s="66"/>
      <c r="D2775" s="60"/>
      <c r="E2775" s="61"/>
      <c r="F2775" s="61"/>
      <c r="G2775" s="67"/>
      <c r="H2775" s="60"/>
      <c r="I2775" s="60"/>
      <c r="J2775" s="61"/>
      <c r="K2775" s="61"/>
      <c r="L2775" s="60"/>
      <c r="M2775" s="74" t="str">
        <f>IF($C2775="","",IF($D2775="Gider",$E2775,IF($L2775&lt;&gt;"",$L2775,$H2775)))</f>
        <v/>
      </c>
      <c r="N2775" s="74" t="str">
        <f>IF($C2775="","",IF($D2775="Gider",$H2775,$E2775))</f>
        <v/>
      </c>
      <c r="O2775" s="73" t="str">
        <f>IF($C2775="","",DATE(YEAR($C2775),MONTH($C2775),1))</f>
        <v/>
      </c>
      <c r="P2775" s="65" t="str">
        <f ca="1">IF($C2775="","",IF(AND($D2775="Gelir",$L2775&lt;&gt;"",$T2775=""),"TANIMSIZ BORÇLU",IF($T2775&lt;&gt;"",IF(OR($E2775="",$G2775&lt;=0),"EKSİK",IF($I2775="Evet","TAHAKKUK NAKİT OLAMAZ",IF($C2775&gt;TODAY(),"İLERİ TARİH","TAHAKKUK"))),IF(AND($D2775&lt;&gt;"",$E2775&lt;&gt;"",$G2775&gt;0,$H2775&lt;&gt;"",$I2775&lt;&gt;""),IF($C2775&gt;TODAY(),"İLERİ TARİH",IF(COUNTIF($W$7:$W$3001,$W2775)&gt;1,"MÜKERRER?",IF($AD2775&gt;0,"KAPALI DÖNEM",IF($I2775="Hayır","ÖDENECEK","UYGUN")))),"EKSİK"))))</f>
        <v/>
      </c>
      <c r="Q2775" s="2"/>
      <c r="R2775" s="2"/>
      <c r="S2775" s="1" t="str">
        <f t="shared" si="131"/>
        <v/>
      </c>
      <c r="T2775" s="1" t="str">
        <f>IF(OR($C2775="",$D2775&lt;&gt;"Gelir",$L2775=""),"",IFERROR(INDEX(MUSTERILER!$B$7:$B$156,MATCH($S2775,MUSTERILER!$T$7:$T$156,0)),""))</f>
        <v/>
      </c>
      <c r="U2775" s="1" t="str">
        <f>IF($T2775="","",$T2775&amp;"|"&amp;COUNTIFS($T$7:$T2775,$T2775))</f>
        <v/>
      </c>
      <c r="V2775" s="1">
        <f t="shared" si="132"/>
        <v>0</v>
      </c>
      <c r="W2775" s="1" t="str">
        <f t="shared" si="133"/>
        <v/>
      </c>
      <c r="X2775" s="1"/>
      <c r="Y2775" s="1"/>
      <c r="Z2775" s="1"/>
      <c r="AA2775" s="1"/>
      <c r="AB2775" s="1"/>
      <c r="AC2775" s="1"/>
      <c r="AD2775" s="1">
        <f>IF($C2775="",0,SUMPRODUCT((AY_SONU!$O$7:$O$42="Evet")*(AY_SONU!$B$7:$B$42=DATE(YEAR($C2775),MONTH($C2775),1))))</f>
        <v>0</v>
      </c>
      <c r="AE2775" s="1" t="str">
        <f>IF($E2775="","",$E2775&amp;"|"&amp;COUNTIFS($E$7:$E2775,$E2775))</f>
        <v/>
      </c>
    </row>
    <row r="2776" spans="1:31" ht="18" customHeight="1" x14ac:dyDescent="0.3">
      <c r="A2776" s="2"/>
      <c r="B2776" s="65" t="str">
        <f>IF($C2776="","","GG"&amp;TEXT(ROW()-6,"00000"))</f>
        <v/>
      </c>
      <c r="C2776" s="66"/>
      <c r="D2776" s="60"/>
      <c r="E2776" s="61"/>
      <c r="F2776" s="61"/>
      <c r="G2776" s="67"/>
      <c r="H2776" s="60"/>
      <c r="I2776" s="60"/>
      <c r="J2776" s="61"/>
      <c r="K2776" s="61"/>
      <c r="L2776" s="60"/>
      <c r="M2776" s="74" t="str">
        <f>IF($C2776="","",IF($D2776="Gider",$E2776,IF($L2776&lt;&gt;"",$L2776,$H2776)))</f>
        <v/>
      </c>
      <c r="N2776" s="74" t="str">
        <f>IF($C2776="","",IF($D2776="Gider",$H2776,$E2776))</f>
        <v/>
      </c>
      <c r="O2776" s="73" t="str">
        <f>IF($C2776="","",DATE(YEAR($C2776),MONTH($C2776),1))</f>
        <v/>
      </c>
      <c r="P2776" s="65" t="str">
        <f ca="1">IF($C2776="","",IF(AND($D2776="Gelir",$L2776&lt;&gt;"",$T2776=""),"TANIMSIZ BORÇLU",IF($T2776&lt;&gt;"",IF(OR($E2776="",$G2776&lt;=0),"EKSİK",IF($I2776="Evet","TAHAKKUK NAKİT OLAMAZ",IF($C2776&gt;TODAY(),"İLERİ TARİH","TAHAKKUK"))),IF(AND($D2776&lt;&gt;"",$E2776&lt;&gt;"",$G2776&gt;0,$H2776&lt;&gt;"",$I2776&lt;&gt;""),IF($C2776&gt;TODAY(),"İLERİ TARİH",IF(COUNTIF($W$7:$W$3001,$W2776)&gt;1,"MÜKERRER?",IF($AD2776&gt;0,"KAPALI DÖNEM",IF($I2776="Hayır","ÖDENECEK","UYGUN")))),"EKSİK"))))</f>
        <v/>
      </c>
      <c r="Q2776" s="2"/>
      <c r="R2776" s="2"/>
      <c r="S2776" s="1" t="str">
        <f t="shared" si="131"/>
        <v/>
      </c>
      <c r="T2776" s="1" t="str">
        <f>IF(OR($C2776="",$D2776&lt;&gt;"Gelir",$L2776=""),"",IFERROR(INDEX(MUSTERILER!$B$7:$B$156,MATCH($S2776,MUSTERILER!$T$7:$T$156,0)),""))</f>
        <v/>
      </c>
      <c r="U2776" s="1" t="str">
        <f>IF($T2776="","",$T2776&amp;"|"&amp;COUNTIFS($T$7:$T2776,$T2776))</f>
        <v/>
      </c>
      <c r="V2776" s="1">
        <f t="shared" si="132"/>
        <v>0</v>
      </c>
      <c r="W2776" s="1" t="str">
        <f t="shared" si="133"/>
        <v/>
      </c>
      <c r="X2776" s="1"/>
      <c r="Y2776" s="1"/>
      <c r="Z2776" s="1"/>
      <c r="AA2776" s="1"/>
      <c r="AB2776" s="1"/>
      <c r="AC2776" s="1"/>
      <c r="AD2776" s="1">
        <f>IF($C2776="",0,SUMPRODUCT((AY_SONU!$O$7:$O$42="Evet")*(AY_SONU!$B$7:$B$42=DATE(YEAR($C2776),MONTH($C2776),1))))</f>
        <v>0</v>
      </c>
      <c r="AE2776" s="1" t="str">
        <f>IF($E2776="","",$E2776&amp;"|"&amp;COUNTIFS($E$7:$E2776,$E2776))</f>
        <v/>
      </c>
    </row>
    <row r="2777" spans="1:31" ht="18" customHeight="1" x14ac:dyDescent="0.3">
      <c r="A2777" s="2"/>
      <c r="B2777" s="65" t="str">
        <f>IF($C2777="","","GG"&amp;TEXT(ROW()-6,"00000"))</f>
        <v/>
      </c>
      <c r="C2777" s="66"/>
      <c r="D2777" s="60"/>
      <c r="E2777" s="61"/>
      <c r="F2777" s="61"/>
      <c r="G2777" s="67"/>
      <c r="H2777" s="60"/>
      <c r="I2777" s="60"/>
      <c r="J2777" s="61"/>
      <c r="K2777" s="61"/>
      <c r="L2777" s="60"/>
      <c r="M2777" s="74" t="str">
        <f>IF($C2777="","",IF($D2777="Gider",$E2777,IF($L2777&lt;&gt;"",$L2777,$H2777)))</f>
        <v/>
      </c>
      <c r="N2777" s="74" t="str">
        <f>IF($C2777="","",IF($D2777="Gider",$H2777,$E2777))</f>
        <v/>
      </c>
      <c r="O2777" s="73" t="str">
        <f>IF($C2777="","",DATE(YEAR($C2777),MONTH($C2777),1))</f>
        <v/>
      </c>
      <c r="P2777" s="65" t="str">
        <f ca="1">IF($C2777="","",IF(AND($D2777="Gelir",$L2777&lt;&gt;"",$T2777=""),"TANIMSIZ BORÇLU",IF($T2777&lt;&gt;"",IF(OR($E2777="",$G2777&lt;=0),"EKSİK",IF($I2777="Evet","TAHAKKUK NAKİT OLAMAZ",IF($C2777&gt;TODAY(),"İLERİ TARİH","TAHAKKUK"))),IF(AND($D2777&lt;&gt;"",$E2777&lt;&gt;"",$G2777&gt;0,$H2777&lt;&gt;"",$I2777&lt;&gt;""),IF($C2777&gt;TODAY(),"İLERİ TARİH",IF(COUNTIF($W$7:$W$3001,$W2777)&gt;1,"MÜKERRER?",IF($AD2777&gt;0,"KAPALI DÖNEM",IF($I2777="Hayır","ÖDENECEK","UYGUN")))),"EKSİK"))))</f>
        <v/>
      </c>
      <c r="Q2777" s="2"/>
      <c r="R2777" s="2"/>
      <c r="S2777" s="1" t="str">
        <f t="shared" si="131"/>
        <v/>
      </c>
      <c r="T2777" s="1" t="str">
        <f>IF(OR($C2777="",$D2777&lt;&gt;"Gelir",$L2777=""),"",IFERROR(INDEX(MUSTERILER!$B$7:$B$156,MATCH($S2777,MUSTERILER!$T$7:$T$156,0)),""))</f>
        <v/>
      </c>
      <c r="U2777" s="1" t="str">
        <f>IF($T2777="","",$T2777&amp;"|"&amp;COUNTIFS($T$7:$T2777,$T2777))</f>
        <v/>
      </c>
      <c r="V2777" s="1">
        <f t="shared" si="132"/>
        <v>0</v>
      </c>
      <c r="W2777" s="1" t="str">
        <f t="shared" si="133"/>
        <v/>
      </c>
      <c r="X2777" s="1"/>
      <c r="Y2777" s="1"/>
      <c r="Z2777" s="1"/>
      <c r="AA2777" s="1"/>
      <c r="AB2777" s="1"/>
      <c r="AC2777" s="1"/>
      <c r="AD2777" s="1">
        <f>IF($C2777="",0,SUMPRODUCT((AY_SONU!$O$7:$O$42="Evet")*(AY_SONU!$B$7:$B$42=DATE(YEAR($C2777),MONTH($C2777),1))))</f>
        <v>0</v>
      </c>
      <c r="AE2777" s="1" t="str">
        <f>IF($E2777="","",$E2777&amp;"|"&amp;COUNTIFS($E$7:$E2777,$E2777))</f>
        <v/>
      </c>
    </row>
    <row r="2778" spans="1:31" ht="18" customHeight="1" x14ac:dyDescent="0.3">
      <c r="A2778" s="2"/>
      <c r="B2778" s="65" t="str">
        <f>IF($C2778="","","GG"&amp;TEXT(ROW()-6,"00000"))</f>
        <v/>
      </c>
      <c r="C2778" s="66"/>
      <c r="D2778" s="60"/>
      <c r="E2778" s="61"/>
      <c r="F2778" s="61"/>
      <c r="G2778" s="67"/>
      <c r="H2778" s="60"/>
      <c r="I2778" s="60"/>
      <c r="J2778" s="61"/>
      <c r="K2778" s="61"/>
      <c r="L2778" s="60"/>
      <c r="M2778" s="74" t="str">
        <f>IF($C2778="","",IF($D2778="Gider",$E2778,IF($L2778&lt;&gt;"",$L2778,$H2778)))</f>
        <v/>
      </c>
      <c r="N2778" s="74" t="str">
        <f>IF($C2778="","",IF($D2778="Gider",$H2778,$E2778))</f>
        <v/>
      </c>
      <c r="O2778" s="73" t="str">
        <f>IF($C2778="","",DATE(YEAR($C2778),MONTH($C2778),1))</f>
        <v/>
      </c>
      <c r="P2778" s="65" t="str">
        <f ca="1">IF($C2778="","",IF(AND($D2778="Gelir",$L2778&lt;&gt;"",$T2778=""),"TANIMSIZ BORÇLU",IF($T2778&lt;&gt;"",IF(OR($E2778="",$G2778&lt;=0),"EKSİK",IF($I2778="Evet","TAHAKKUK NAKİT OLAMAZ",IF($C2778&gt;TODAY(),"İLERİ TARİH","TAHAKKUK"))),IF(AND($D2778&lt;&gt;"",$E2778&lt;&gt;"",$G2778&gt;0,$H2778&lt;&gt;"",$I2778&lt;&gt;""),IF($C2778&gt;TODAY(),"İLERİ TARİH",IF(COUNTIF($W$7:$W$3001,$W2778)&gt;1,"MÜKERRER?",IF($AD2778&gt;0,"KAPALI DÖNEM",IF($I2778="Hayır","ÖDENECEK","UYGUN")))),"EKSİK"))))</f>
        <v/>
      </c>
      <c r="Q2778" s="2"/>
      <c r="R2778" s="2"/>
      <c r="S2778" s="1" t="str">
        <f t="shared" si="131"/>
        <v/>
      </c>
      <c r="T2778" s="1" t="str">
        <f>IF(OR($C2778="",$D2778&lt;&gt;"Gelir",$L2778=""),"",IFERROR(INDEX(MUSTERILER!$B$7:$B$156,MATCH($S2778,MUSTERILER!$T$7:$T$156,0)),""))</f>
        <v/>
      </c>
      <c r="U2778" s="1" t="str">
        <f>IF($T2778="","",$T2778&amp;"|"&amp;COUNTIFS($T$7:$T2778,$T2778))</f>
        <v/>
      </c>
      <c r="V2778" s="1">
        <f t="shared" si="132"/>
        <v>0</v>
      </c>
      <c r="W2778" s="1" t="str">
        <f t="shared" si="133"/>
        <v/>
      </c>
      <c r="X2778" s="1"/>
      <c r="Y2778" s="1"/>
      <c r="Z2778" s="1"/>
      <c r="AA2778" s="1"/>
      <c r="AB2778" s="1"/>
      <c r="AC2778" s="1"/>
      <c r="AD2778" s="1">
        <f>IF($C2778="",0,SUMPRODUCT((AY_SONU!$O$7:$O$42="Evet")*(AY_SONU!$B$7:$B$42=DATE(YEAR($C2778),MONTH($C2778),1))))</f>
        <v>0</v>
      </c>
      <c r="AE2778" s="1" t="str">
        <f>IF($E2778="","",$E2778&amp;"|"&amp;COUNTIFS($E$7:$E2778,$E2778))</f>
        <v/>
      </c>
    </row>
    <row r="2779" spans="1:31" ht="18" customHeight="1" x14ac:dyDescent="0.3">
      <c r="A2779" s="2"/>
      <c r="B2779" s="65" t="str">
        <f>IF($C2779="","","GG"&amp;TEXT(ROW()-6,"00000"))</f>
        <v/>
      </c>
      <c r="C2779" s="66"/>
      <c r="D2779" s="60"/>
      <c r="E2779" s="61"/>
      <c r="F2779" s="61"/>
      <c r="G2779" s="67"/>
      <c r="H2779" s="60"/>
      <c r="I2779" s="60"/>
      <c r="J2779" s="61"/>
      <c r="K2779" s="61"/>
      <c r="L2779" s="60"/>
      <c r="M2779" s="74" t="str">
        <f>IF($C2779="","",IF($D2779="Gider",$E2779,IF($L2779&lt;&gt;"",$L2779,$H2779)))</f>
        <v/>
      </c>
      <c r="N2779" s="74" t="str">
        <f>IF($C2779="","",IF($D2779="Gider",$H2779,$E2779))</f>
        <v/>
      </c>
      <c r="O2779" s="73" t="str">
        <f>IF($C2779="","",DATE(YEAR($C2779),MONTH($C2779),1))</f>
        <v/>
      </c>
      <c r="P2779" s="65" t="str">
        <f ca="1">IF($C2779="","",IF(AND($D2779="Gelir",$L2779&lt;&gt;"",$T2779=""),"TANIMSIZ BORÇLU",IF($T2779&lt;&gt;"",IF(OR($E2779="",$G2779&lt;=0),"EKSİK",IF($I2779="Evet","TAHAKKUK NAKİT OLAMAZ",IF($C2779&gt;TODAY(),"İLERİ TARİH","TAHAKKUK"))),IF(AND($D2779&lt;&gt;"",$E2779&lt;&gt;"",$G2779&gt;0,$H2779&lt;&gt;"",$I2779&lt;&gt;""),IF($C2779&gt;TODAY(),"İLERİ TARİH",IF(COUNTIF($W$7:$W$3001,$W2779)&gt;1,"MÜKERRER?",IF($AD2779&gt;0,"KAPALI DÖNEM",IF($I2779="Hayır","ÖDENECEK","UYGUN")))),"EKSİK"))))</f>
        <v/>
      </c>
      <c r="Q2779" s="2"/>
      <c r="R2779" s="2"/>
      <c r="S2779" s="1" t="str">
        <f t="shared" si="131"/>
        <v/>
      </c>
      <c r="T2779" s="1" t="str">
        <f>IF(OR($C2779="",$D2779&lt;&gt;"Gelir",$L2779=""),"",IFERROR(INDEX(MUSTERILER!$B$7:$B$156,MATCH($S2779,MUSTERILER!$T$7:$T$156,0)),""))</f>
        <v/>
      </c>
      <c r="U2779" s="1" t="str">
        <f>IF($T2779="","",$T2779&amp;"|"&amp;COUNTIFS($T$7:$T2779,$T2779))</f>
        <v/>
      </c>
      <c r="V2779" s="1">
        <f t="shared" si="132"/>
        <v>0</v>
      </c>
      <c r="W2779" s="1" t="str">
        <f t="shared" si="133"/>
        <v/>
      </c>
      <c r="X2779" s="1"/>
      <c r="Y2779" s="1"/>
      <c r="Z2779" s="1"/>
      <c r="AA2779" s="1"/>
      <c r="AB2779" s="1"/>
      <c r="AC2779" s="1"/>
      <c r="AD2779" s="1">
        <f>IF($C2779="",0,SUMPRODUCT((AY_SONU!$O$7:$O$42="Evet")*(AY_SONU!$B$7:$B$42=DATE(YEAR($C2779),MONTH($C2779),1))))</f>
        <v>0</v>
      </c>
      <c r="AE2779" s="1" t="str">
        <f>IF($E2779="","",$E2779&amp;"|"&amp;COUNTIFS($E$7:$E2779,$E2779))</f>
        <v/>
      </c>
    </row>
    <row r="2780" spans="1:31" ht="18" customHeight="1" x14ac:dyDescent="0.3">
      <c r="A2780" s="2"/>
      <c r="B2780" s="65" t="str">
        <f>IF($C2780="","","GG"&amp;TEXT(ROW()-6,"00000"))</f>
        <v/>
      </c>
      <c r="C2780" s="66"/>
      <c r="D2780" s="60"/>
      <c r="E2780" s="61"/>
      <c r="F2780" s="61"/>
      <c r="G2780" s="67"/>
      <c r="H2780" s="60"/>
      <c r="I2780" s="60"/>
      <c r="J2780" s="61"/>
      <c r="K2780" s="61"/>
      <c r="L2780" s="60"/>
      <c r="M2780" s="74" t="str">
        <f>IF($C2780="","",IF($D2780="Gider",$E2780,IF($L2780&lt;&gt;"",$L2780,$H2780)))</f>
        <v/>
      </c>
      <c r="N2780" s="74" t="str">
        <f>IF($C2780="","",IF($D2780="Gider",$H2780,$E2780))</f>
        <v/>
      </c>
      <c r="O2780" s="73" t="str">
        <f>IF($C2780="","",DATE(YEAR($C2780),MONTH($C2780),1))</f>
        <v/>
      </c>
      <c r="P2780" s="65" t="str">
        <f ca="1">IF($C2780="","",IF(AND($D2780="Gelir",$L2780&lt;&gt;"",$T2780=""),"TANIMSIZ BORÇLU",IF($T2780&lt;&gt;"",IF(OR($E2780="",$G2780&lt;=0),"EKSİK",IF($I2780="Evet","TAHAKKUK NAKİT OLAMAZ",IF($C2780&gt;TODAY(),"İLERİ TARİH","TAHAKKUK"))),IF(AND($D2780&lt;&gt;"",$E2780&lt;&gt;"",$G2780&gt;0,$H2780&lt;&gt;"",$I2780&lt;&gt;""),IF($C2780&gt;TODAY(),"İLERİ TARİH",IF(COUNTIF($W$7:$W$3001,$W2780)&gt;1,"MÜKERRER?",IF($AD2780&gt;0,"KAPALI DÖNEM",IF($I2780="Hayır","ÖDENECEK","UYGUN")))),"EKSİK"))))</f>
        <v/>
      </c>
      <c r="Q2780" s="2"/>
      <c r="R2780" s="2"/>
      <c r="S2780" s="1" t="str">
        <f t="shared" si="131"/>
        <v/>
      </c>
      <c r="T2780" s="1" t="str">
        <f>IF(OR($C2780="",$D2780&lt;&gt;"Gelir",$L2780=""),"",IFERROR(INDEX(MUSTERILER!$B$7:$B$156,MATCH($S2780,MUSTERILER!$T$7:$T$156,0)),""))</f>
        <v/>
      </c>
      <c r="U2780" s="1" t="str">
        <f>IF($T2780="","",$T2780&amp;"|"&amp;COUNTIFS($T$7:$T2780,$T2780))</f>
        <v/>
      </c>
      <c r="V2780" s="1">
        <f t="shared" si="132"/>
        <v>0</v>
      </c>
      <c r="W2780" s="1" t="str">
        <f t="shared" si="133"/>
        <v/>
      </c>
      <c r="X2780" s="1"/>
      <c r="Y2780" s="1"/>
      <c r="Z2780" s="1"/>
      <c r="AA2780" s="1"/>
      <c r="AB2780" s="1"/>
      <c r="AC2780" s="1"/>
      <c r="AD2780" s="1">
        <f>IF($C2780="",0,SUMPRODUCT((AY_SONU!$O$7:$O$42="Evet")*(AY_SONU!$B$7:$B$42=DATE(YEAR($C2780),MONTH($C2780),1))))</f>
        <v>0</v>
      </c>
      <c r="AE2780" s="1" t="str">
        <f>IF($E2780="","",$E2780&amp;"|"&amp;COUNTIFS($E$7:$E2780,$E2780))</f>
        <v/>
      </c>
    </row>
    <row r="2781" spans="1:31" ht="18" customHeight="1" x14ac:dyDescent="0.3">
      <c r="A2781" s="2"/>
      <c r="B2781" s="65" t="str">
        <f>IF($C2781="","","GG"&amp;TEXT(ROW()-6,"00000"))</f>
        <v/>
      </c>
      <c r="C2781" s="66"/>
      <c r="D2781" s="60"/>
      <c r="E2781" s="61"/>
      <c r="F2781" s="61"/>
      <c r="G2781" s="67"/>
      <c r="H2781" s="60"/>
      <c r="I2781" s="60"/>
      <c r="J2781" s="61"/>
      <c r="K2781" s="61"/>
      <c r="L2781" s="60"/>
      <c r="M2781" s="74" t="str">
        <f>IF($C2781="","",IF($D2781="Gider",$E2781,IF($L2781&lt;&gt;"",$L2781,$H2781)))</f>
        <v/>
      </c>
      <c r="N2781" s="74" t="str">
        <f>IF($C2781="","",IF($D2781="Gider",$H2781,$E2781))</f>
        <v/>
      </c>
      <c r="O2781" s="73" t="str">
        <f>IF($C2781="","",DATE(YEAR($C2781),MONTH($C2781),1))</f>
        <v/>
      </c>
      <c r="P2781" s="65" t="str">
        <f ca="1">IF($C2781="","",IF(AND($D2781="Gelir",$L2781&lt;&gt;"",$T2781=""),"TANIMSIZ BORÇLU",IF($T2781&lt;&gt;"",IF(OR($E2781="",$G2781&lt;=0),"EKSİK",IF($I2781="Evet","TAHAKKUK NAKİT OLAMAZ",IF($C2781&gt;TODAY(),"İLERİ TARİH","TAHAKKUK"))),IF(AND($D2781&lt;&gt;"",$E2781&lt;&gt;"",$G2781&gt;0,$H2781&lt;&gt;"",$I2781&lt;&gt;""),IF($C2781&gt;TODAY(),"İLERİ TARİH",IF(COUNTIF($W$7:$W$3001,$W2781)&gt;1,"MÜKERRER?",IF($AD2781&gt;0,"KAPALI DÖNEM",IF($I2781="Hayır","ÖDENECEK","UYGUN")))),"EKSİK"))))</f>
        <v/>
      </c>
      <c r="Q2781" s="2"/>
      <c r="R2781" s="2"/>
      <c r="S2781" s="1" t="str">
        <f t="shared" si="131"/>
        <v/>
      </c>
      <c r="T2781" s="1" t="str">
        <f>IF(OR($C2781="",$D2781&lt;&gt;"Gelir",$L2781=""),"",IFERROR(INDEX(MUSTERILER!$B$7:$B$156,MATCH($S2781,MUSTERILER!$T$7:$T$156,0)),""))</f>
        <v/>
      </c>
      <c r="U2781" s="1" t="str">
        <f>IF($T2781="","",$T2781&amp;"|"&amp;COUNTIFS($T$7:$T2781,$T2781))</f>
        <v/>
      </c>
      <c r="V2781" s="1">
        <f t="shared" si="132"/>
        <v>0</v>
      </c>
      <c r="W2781" s="1" t="str">
        <f t="shared" si="133"/>
        <v/>
      </c>
      <c r="X2781" s="1"/>
      <c r="Y2781" s="1"/>
      <c r="Z2781" s="1"/>
      <c r="AA2781" s="1"/>
      <c r="AB2781" s="1"/>
      <c r="AC2781" s="1"/>
      <c r="AD2781" s="1">
        <f>IF($C2781="",0,SUMPRODUCT((AY_SONU!$O$7:$O$42="Evet")*(AY_SONU!$B$7:$B$42=DATE(YEAR($C2781),MONTH($C2781),1))))</f>
        <v>0</v>
      </c>
      <c r="AE2781" s="1" t="str">
        <f>IF($E2781="","",$E2781&amp;"|"&amp;COUNTIFS($E$7:$E2781,$E2781))</f>
        <v/>
      </c>
    </row>
    <row r="2782" spans="1:31" ht="18" customHeight="1" x14ac:dyDescent="0.3">
      <c r="A2782" s="2"/>
      <c r="B2782" s="65" t="str">
        <f>IF($C2782="","","GG"&amp;TEXT(ROW()-6,"00000"))</f>
        <v/>
      </c>
      <c r="C2782" s="66"/>
      <c r="D2782" s="60"/>
      <c r="E2782" s="61"/>
      <c r="F2782" s="61"/>
      <c r="G2782" s="67"/>
      <c r="H2782" s="60"/>
      <c r="I2782" s="60"/>
      <c r="J2782" s="61"/>
      <c r="K2782" s="61"/>
      <c r="L2782" s="60"/>
      <c r="M2782" s="74" t="str">
        <f>IF($C2782="","",IF($D2782="Gider",$E2782,IF($L2782&lt;&gt;"",$L2782,$H2782)))</f>
        <v/>
      </c>
      <c r="N2782" s="74" t="str">
        <f>IF($C2782="","",IF($D2782="Gider",$H2782,$E2782))</f>
        <v/>
      </c>
      <c r="O2782" s="73" t="str">
        <f>IF($C2782="","",DATE(YEAR($C2782),MONTH($C2782),1))</f>
        <v/>
      </c>
      <c r="P2782" s="65" t="str">
        <f ca="1">IF($C2782="","",IF(AND($D2782="Gelir",$L2782&lt;&gt;"",$T2782=""),"TANIMSIZ BORÇLU",IF($T2782&lt;&gt;"",IF(OR($E2782="",$G2782&lt;=0),"EKSİK",IF($I2782="Evet","TAHAKKUK NAKİT OLAMAZ",IF($C2782&gt;TODAY(),"İLERİ TARİH","TAHAKKUK"))),IF(AND($D2782&lt;&gt;"",$E2782&lt;&gt;"",$G2782&gt;0,$H2782&lt;&gt;"",$I2782&lt;&gt;""),IF($C2782&gt;TODAY(),"İLERİ TARİH",IF(COUNTIF($W$7:$W$3001,$W2782)&gt;1,"MÜKERRER?",IF($AD2782&gt;0,"KAPALI DÖNEM",IF($I2782="Hayır","ÖDENECEK","UYGUN")))),"EKSİK"))))</f>
        <v/>
      </c>
      <c r="Q2782" s="2"/>
      <c r="R2782" s="2"/>
      <c r="S2782" s="1" t="str">
        <f t="shared" si="131"/>
        <v/>
      </c>
      <c r="T2782" s="1" t="str">
        <f>IF(OR($C2782="",$D2782&lt;&gt;"Gelir",$L2782=""),"",IFERROR(INDEX(MUSTERILER!$B$7:$B$156,MATCH($S2782,MUSTERILER!$T$7:$T$156,0)),""))</f>
        <v/>
      </c>
      <c r="U2782" s="1" t="str">
        <f>IF($T2782="","",$T2782&amp;"|"&amp;COUNTIFS($T$7:$T2782,$T2782))</f>
        <v/>
      </c>
      <c r="V2782" s="1">
        <f t="shared" si="132"/>
        <v>0</v>
      </c>
      <c r="W2782" s="1" t="str">
        <f t="shared" si="133"/>
        <v/>
      </c>
      <c r="X2782" s="1"/>
      <c r="Y2782" s="1"/>
      <c r="Z2782" s="1"/>
      <c r="AA2782" s="1"/>
      <c r="AB2782" s="1"/>
      <c r="AC2782" s="1"/>
      <c r="AD2782" s="1">
        <f>IF($C2782="",0,SUMPRODUCT((AY_SONU!$O$7:$O$42="Evet")*(AY_SONU!$B$7:$B$42=DATE(YEAR($C2782),MONTH($C2782),1))))</f>
        <v>0</v>
      </c>
      <c r="AE2782" s="1" t="str">
        <f>IF($E2782="","",$E2782&amp;"|"&amp;COUNTIFS($E$7:$E2782,$E2782))</f>
        <v/>
      </c>
    </row>
    <row r="2783" spans="1:31" ht="18" customHeight="1" x14ac:dyDescent="0.3">
      <c r="A2783" s="2"/>
      <c r="B2783" s="65" t="str">
        <f>IF($C2783="","","GG"&amp;TEXT(ROW()-6,"00000"))</f>
        <v/>
      </c>
      <c r="C2783" s="66"/>
      <c r="D2783" s="60"/>
      <c r="E2783" s="61"/>
      <c r="F2783" s="61"/>
      <c r="G2783" s="67"/>
      <c r="H2783" s="60"/>
      <c r="I2783" s="60"/>
      <c r="J2783" s="61"/>
      <c r="K2783" s="61"/>
      <c r="L2783" s="60"/>
      <c r="M2783" s="74" t="str">
        <f>IF($C2783="","",IF($D2783="Gider",$E2783,IF($L2783&lt;&gt;"",$L2783,$H2783)))</f>
        <v/>
      </c>
      <c r="N2783" s="74" t="str">
        <f>IF($C2783="","",IF($D2783="Gider",$H2783,$E2783))</f>
        <v/>
      </c>
      <c r="O2783" s="73" t="str">
        <f>IF($C2783="","",DATE(YEAR($C2783),MONTH($C2783),1))</f>
        <v/>
      </c>
      <c r="P2783" s="65" t="str">
        <f ca="1">IF($C2783="","",IF(AND($D2783="Gelir",$L2783&lt;&gt;"",$T2783=""),"TANIMSIZ BORÇLU",IF($T2783&lt;&gt;"",IF(OR($E2783="",$G2783&lt;=0),"EKSİK",IF($I2783="Evet","TAHAKKUK NAKİT OLAMAZ",IF($C2783&gt;TODAY(),"İLERİ TARİH","TAHAKKUK"))),IF(AND($D2783&lt;&gt;"",$E2783&lt;&gt;"",$G2783&gt;0,$H2783&lt;&gt;"",$I2783&lt;&gt;""),IF($C2783&gt;TODAY(),"İLERİ TARİH",IF(COUNTIF($W$7:$W$3001,$W2783)&gt;1,"MÜKERRER?",IF($AD2783&gt;0,"KAPALI DÖNEM",IF($I2783="Hayır","ÖDENECEK","UYGUN")))),"EKSİK"))))</f>
        <v/>
      </c>
      <c r="Q2783" s="2"/>
      <c r="R2783" s="2"/>
      <c r="S2783" s="1" t="str">
        <f t="shared" si="131"/>
        <v/>
      </c>
      <c r="T2783" s="1" t="str">
        <f>IF(OR($C2783="",$D2783&lt;&gt;"Gelir",$L2783=""),"",IFERROR(INDEX(MUSTERILER!$B$7:$B$156,MATCH($S2783,MUSTERILER!$T$7:$T$156,0)),""))</f>
        <v/>
      </c>
      <c r="U2783" s="1" t="str">
        <f>IF($T2783="","",$T2783&amp;"|"&amp;COUNTIFS($T$7:$T2783,$T2783))</f>
        <v/>
      </c>
      <c r="V2783" s="1">
        <f t="shared" si="132"/>
        <v>0</v>
      </c>
      <c r="W2783" s="1" t="str">
        <f t="shared" si="133"/>
        <v/>
      </c>
      <c r="X2783" s="1"/>
      <c r="Y2783" s="1"/>
      <c r="Z2783" s="1"/>
      <c r="AA2783" s="1"/>
      <c r="AB2783" s="1"/>
      <c r="AC2783" s="1"/>
      <c r="AD2783" s="1">
        <f>IF($C2783="",0,SUMPRODUCT((AY_SONU!$O$7:$O$42="Evet")*(AY_SONU!$B$7:$B$42=DATE(YEAR($C2783),MONTH($C2783),1))))</f>
        <v>0</v>
      </c>
      <c r="AE2783" s="1" t="str">
        <f>IF($E2783="","",$E2783&amp;"|"&amp;COUNTIFS($E$7:$E2783,$E2783))</f>
        <v/>
      </c>
    </row>
    <row r="2784" spans="1:31" ht="18" customHeight="1" x14ac:dyDescent="0.3">
      <c r="A2784" s="2"/>
      <c r="B2784" s="65" t="str">
        <f>IF($C2784="","","GG"&amp;TEXT(ROW()-6,"00000"))</f>
        <v/>
      </c>
      <c r="C2784" s="66"/>
      <c r="D2784" s="60"/>
      <c r="E2784" s="61"/>
      <c r="F2784" s="61"/>
      <c r="G2784" s="67"/>
      <c r="H2784" s="60"/>
      <c r="I2784" s="60"/>
      <c r="J2784" s="61"/>
      <c r="K2784" s="61"/>
      <c r="L2784" s="60"/>
      <c r="M2784" s="74" t="str">
        <f>IF($C2784="","",IF($D2784="Gider",$E2784,IF($L2784&lt;&gt;"",$L2784,$H2784)))</f>
        <v/>
      </c>
      <c r="N2784" s="74" t="str">
        <f>IF($C2784="","",IF($D2784="Gider",$H2784,$E2784))</f>
        <v/>
      </c>
      <c r="O2784" s="73" t="str">
        <f>IF($C2784="","",DATE(YEAR($C2784),MONTH($C2784),1))</f>
        <v/>
      </c>
      <c r="P2784" s="65" t="str">
        <f ca="1">IF($C2784="","",IF(AND($D2784="Gelir",$L2784&lt;&gt;"",$T2784=""),"TANIMSIZ BORÇLU",IF($T2784&lt;&gt;"",IF(OR($E2784="",$G2784&lt;=0),"EKSİK",IF($I2784="Evet","TAHAKKUK NAKİT OLAMAZ",IF($C2784&gt;TODAY(),"İLERİ TARİH","TAHAKKUK"))),IF(AND($D2784&lt;&gt;"",$E2784&lt;&gt;"",$G2784&gt;0,$H2784&lt;&gt;"",$I2784&lt;&gt;""),IF($C2784&gt;TODAY(),"İLERİ TARİH",IF(COUNTIF($W$7:$W$3001,$W2784)&gt;1,"MÜKERRER?",IF($AD2784&gt;0,"KAPALI DÖNEM",IF($I2784="Hayır","ÖDENECEK","UYGUN")))),"EKSİK"))))</f>
        <v/>
      </c>
      <c r="Q2784" s="2"/>
      <c r="R2784" s="2"/>
      <c r="S2784" s="1" t="str">
        <f t="shared" si="131"/>
        <v/>
      </c>
      <c r="T2784" s="1" t="str">
        <f>IF(OR($C2784="",$D2784&lt;&gt;"Gelir",$L2784=""),"",IFERROR(INDEX(MUSTERILER!$B$7:$B$156,MATCH($S2784,MUSTERILER!$T$7:$T$156,0)),""))</f>
        <v/>
      </c>
      <c r="U2784" s="1" t="str">
        <f>IF($T2784="","",$T2784&amp;"|"&amp;COUNTIFS($T$7:$T2784,$T2784))</f>
        <v/>
      </c>
      <c r="V2784" s="1">
        <f t="shared" si="132"/>
        <v>0</v>
      </c>
      <c r="W2784" s="1" t="str">
        <f t="shared" si="133"/>
        <v/>
      </c>
      <c r="X2784" s="1"/>
      <c r="Y2784" s="1"/>
      <c r="Z2784" s="1"/>
      <c r="AA2784" s="1"/>
      <c r="AB2784" s="1"/>
      <c r="AC2784" s="1"/>
      <c r="AD2784" s="1">
        <f>IF($C2784="",0,SUMPRODUCT((AY_SONU!$O$7:$O$42="Evet")*(AY_SONU!$B$7:$B$42=DATE(YEAR($C2784),MONTH($C2784),1))))</f>
        <v>0</v>
      </c>
      <c r="AE2784" s="1" t="str">
        <f>IF($E2784="","",$E2784&amp;"|"&amp;COUNTIFS($E$7:$E2784,$E2784))</f>
        <v/>
      </c>
    </row>
    <row r="2785" spans="1:31" ht="18" customHeight="1" x14ac:dyDescent="0.3">
      <c r="A2785" s="2"/>
      <c r="B2785" s="65" t="str">
        <f>IF($C2785="","","GG"&amp;TEXT(ROW()-6,"00000"))</f>
        <v/>
      </c>
      <c r="C2785" s="66"/>
      <c r="D2785" s="60"/>
      <c r="E2785" s="61"/>
      <c r="F2785" s="61"/>
      <c r="G2785" s="67"/>
      <c r="H2785" s="60"/>
      <c r="I2785" s="60"/>
      <c r="J2785" s="61"/>
      <c r="K2785" s="61"/>
      <c r="L2785" s="60"/>
      <c r="M2785" s="74" t="str">
        <f>IF($C2785="","",IF($D2785="Gider",$E2785,IF($L2785&lt;&gt;"",$L2785,$H2785)))</f>
        <v/>
      </c>
      <c r="N2785" s="74" t="str">
        <f>IF($C2785="","",IF($D2785="Gider",$H2785,$E2785))</f>
        <v/>
      </c>
      <c r="O2785" s="73" t="str">
        <f>IF($C2785="","",DATE(YEAR($C2785),MONTH($C2785),1))</f>
        <v/>
      </c>
      <c r="P2785" s="65" t="str">
        <f ca="1">IF($C2785="","",IF(AND($D2785="Gelir",$L2785&lt;&gt;"",$T2785=""),"TANIMSIZ BORÇLU",IF($T2785&lt;&gt;"",IF(OR($E2785="",$G2785&lt;=0),"EKSİK",IF($I2785="Evet","TAHAKKUK NAKİT OLAMAZ",IF($C2785&gt;TODAY(),"İLERİ TARİH","TAHAKKUK"))),IF(AND($D2785&lt;&gt;"",$E2785&lt;&gt;"",$G2785&gt;0,$H2785&lt;&gt;"",$I2785&lt;&gt;""),IF($C2785&gt;TODAY(),"İLERİ TARİH",IF(COUNTIF($W$7:$W$3001,$W2785)&gt;1,"MÜKERRER?",IF($AD2785&gt;0,"KAPALI DÖNEM",IF($I2785="Hayır","ÖDENECEK","UYGUN")))),"EKSİK"))))</f>
        <v/>
      </c>
      <c r="Q2785" s="2"/>
      <c r="R2785" s="2"/>
      <c r="S2785" s="1" t="str">
        <f t="shared" si="131"/>
        <v/>
      </c>
      <c r="T2785" s="1" t="str">
        <f>IF(OR($C2785="",$D2785&lt;&gt;"Gelir",$L2785=""),"",IFERROR(INDEX(MUSTERILER!$B$7:$B$156,MATCH($S2785,MUSTERILER!$T$7:$T$156,0)),""))</f>
        <v/>
      </c>
      <c r="U2785" s="1" t="str">
        <f>IF($T2785="","",$T2785&amp;"|"&amp;COUNTIFS($T$7:$T2785,$T2785))</f>
        <v/>
      </c>
      <c r="V2785" s="1">
        <f t="shared" si="132"/>
        <v>0</v>
      </c>
      <c r="W2785" s="1" t="str">
        <f t="shared" si="133"/>
        <v/>
      </c>
      <c r="X2785" s="1"/>
      <c r="Y2785" s="1"/>
      <c r="Z2785" s="1"/>
      <c r="AA2785" s="1"/>
      <c r="AB2785" s="1"/>
      <c r="AC2785" s="1"/>
      <c r="AD2785" s="1">
        <f>IF($C2785="",0,SUMPRODUCT((AY_SONU!$O$7:$O$42="Evet")*(AY_SONU!$B$7:$B$42=DATE(YEAR($C2785),MONTH($C2785),1))))</f>
        <v>0</v>
      </c>
      <c r="AE2785" s="1" t="str">
        <f>IF($E2785="","",$E2785&amp;"|"&amp;COUNTIFS($E$7:$E2785,$E2785))</f>
        <v/>
      </c>
    </row>
    <row r="2786" spans="1:31" ht="18" customHeight="1" x14ac:dyDescent="0.3">
      <c r="A2786" s="2"/>
      <c r="B2786" s="65" t="str">
        <f>IF($C2786="","","GG"&amp;TEXT(ROW()-6,"00000"))</f>
        <v/>
      </c>
      <c r="C2786" s="66"/>
      <c r="D2786" s="60"/>
      <c r="E2786" s="61"/>
      <c r="F2786" s="61"/>
      <c r="G2786" s="67"/>
      <c r="H2786" s="60"/>
      <c r="I2786" s="60"/>
      <c r="J2786" s="61"/>
      <c r="K2786" s="61"/>
      <c r="L2786" s="60"/>
      <c r="M2786" s="74" t="str">
        <f>IF($C2786="","",IF($D2786="Gider",$E2786,IF($L2786&lt;&gt;"",$L2786,$H2786)))</f>
        <v/>
      </c>
      <c r="N2786" s="74" t="str">
        <f>IF($C2786="","",IF($D2786="Gider",$H2786,$E2786))</f>
        <v/>
      </c>
      <c r="O2786" s="73" t="str">
        <f>IF($C2786="","",DATE(YEAR($C2786),MONTH($C2786),1))</f>
        <v/>
      </c>
      <c r="P2786" s="65" t="str">
        <f ca="1">IF($C2786="","",IF(AND($D2786="Gelir",$L2786&lt;&gt;"",$T2786=""),"TANIMSIZ BORÇLU",IF($T2786&lt;&gt;"",IF(OR($E2786="",$G2786&lt;=0),"EKSİK",IF($I2786="Evet","TAHAKKUK NAKİT OLAMAZ",IF($C2786&gt;TODAY(),"İLERİ TARİH","TAHAKKUK"))),IF(AND($D2786&lt;&gt;"",$E2786&lt;&gt;"",$G2786&gt;0,$H2786&lt;&gt;"",$I2786&lt;&gt;""),IF($C2786&gt;TODAY(),"İLERİ TARİH",IF(COUNTIF($W$7:$W$3001,$W2786)&gt;1,"MÜKERRER?",IF($AD2786&gt;0,"KAPALI DÖNEM",IF($I2786="Hayır","ÖDENECEK","UYGUN")))),"EKSİK"))))</f>
        <v/>
      </c>
      <c r="Q2786" s="2"/>
      <c r="R2786" s="2"/>
      <c r="S2786" s="1" t="str">
        <f t="shared" si="131"/>
        <v/>
      </c>
      <c r="T2786" s="1" t="str">
        <f>IF(OR($C2786="",$D2786&lt;&gt;"Gelir",$L2786=""),"",IFERROR(INDEX(MUSTERILER!$B$7:$B$156,MATCH($S2786,MUSTERILER!$T$7:$T$156,0)),""))</f>
        <v/>
      </c>
      <c r="U2786" s="1" t="str">
        <f>IF($T2786="","",$T2786&amp;"|"&amp;COUNTIFS($T$7:$T2786,$T2786))</f>
        <v/>
      </c>
      <c r="V2786" s="1">
        <f t="shared" si="132"/>
        <v>0</v>
      </c>
      <c r="W2786" s="1" t="str">
        <f t="shared" si="133"/>
        <v/>
      </c>
      <c r="X2786" s="1"/>
      <c r="Y2786" s="1"/>
      <c r="Z2786" s="1"/>
      <c r="AA2786" s="1"/>
      <c r="AB2786" s="1"/>
      <c r="AC2786" s="1"/>
      <c r="AD2786" s="1">
        <f>IF($C2786="",0,SUMPRODUCT((AY_SONU!$O$7:$O$42="Evet")*(AY_SONU!$B$7:$B$42=DATE(YEAR($C2786),MONTH($C2786),1))))</f>
        <v>0</v>
      </c>
      <c r="AE2786" s="1" t="str">
        <f>IF($E2786="","",$E2786&amp;"|"&amp;COUNTIFS($E$7:$E2786,$E2786))</f>
        <v/>
      </c>
    </row>
    <row r="2787" spans="1:31" ht="18" customHeight="1" x14ac:dyDescent="0.3">
      <c r="A2787" s="2"/>
      <c r="B2787" s="65" t="str">
        <f>IF($C2787="","","GG"&amp;TEXT(ROW()-6,"00000"))</f>
        <v/>
      </c>
      <c r="C2787" s="66"/>
      <c r="D2787" s="60"/>
      <c r="E2787" s="61"/>
      <c r="F2787" s="61"/>
      <c r="G2787" s="67"/>
      <c r="H2787" s="60"/>
      <c r="I2787" s="60"/>
      <c r="J2787" s="61"/>
      <c r="K2787" s="61"/>
      <c r="L2787" s="60"/>
      <c r="M2787" s="74" t="str">
        <f>IF($C2787="","",IF($D2787="Gider",$E2787,IF($L2787&lt;&gt;"",$L2787,$H2787)))</f>
        <v/>
      </c>
      <c r="N2787" s="74" t="str">
        <f>IF($C2787="","",IF($D2787="Gider",$H2787,$E2787))</f>
        <v/>
      </c>
      <c r="O2787" s="73" t="str">
        <f>IF($C2787="","",DATE(YEAR($C2787),MONTH($C2787),1))</f>
        <v/>
      </c>
      <c r="P2787" s="65" t="str">
        <f ca="1">IF($C2787="","",IF(AND($D2787="Gelir",$L2787&lt;&gt;"",$T2787=""),"TANIMSIZ BORÇLU",IF($T2787&lt;&gt;"",IF(OR($E2787="",$G2787&lt;=0),"EKSİK",IF($I2787="Evet","TAHAKKUK NAKİT OLAMAZ",IF($C2787&gt;TODAY(),"İLERİ TARİH","TAHAKKUK"))),IF(AND($D2787&lt;&gt;"",$E2787&lt;&gt;"",$G2787&gt;0,$H2787&lt;&gt;"",$I2787&lt;&gt;""),IF($C2787&gt;TODAY(),"İLERİ TARİH",IF(COUNTIF($W$7:$W$3001,$W2787)&gt;1,"MÜKERRER?",IF($AD2787&gt;0,"KAPALI DÖNEM",IF($I2787="Hayır","ÖDENECEK","UYGUN")))),"EKSİK"))))</f>
        <v/>
      </c>
      <c r="Q2787" s="2"/>
      <c r="R2787" s="2"/>
      <c r="S2787" s="1" t="str">
        <f t="shared" si="131"/>
        <v/>
      </c>
      <c r="T2787" s="1" t="str">
        <f>IF(OR($C2787="",$D2787&lt;&gt;"Gelir",$L2787=""),"",IFERROR(INDEX(MUSTERILER!$B$7:$B$156,MATCH($S2787,MUSTERILER!$T$7:$T$156,0)),""))</f>
        <v/>
      </c>
      <c r="U2787" s="1" t="str">
        <f>IF($T2787="","",$T2787&amp;"|"&amp;COUNTIFS($T$7:$T2787,$T2787))</f>
        <v/>
      </c>
      <c r="V2787" s="1">
        <f t="shared" si="132"/>
        <v>0</v>
      </c>
      <c r="W2787" s="1" t="str">
        <f t="shared" si="133"/>
        <v/>
      </c>
      <c r="X2787" s="1"/>
      <c r="Y2787" s="1"/>
      <c r="Z2787" s="1"/>
      <c r="AA2787" s="1"/>
      <c r="AB2787" s="1"/>
      <c r="AC2787" s="1"/>
      <c r="AD2787" s="1">
        <f>IF($C2787="",0,SUMPRODUCT((AY_SONU!$O$7:$O$42="Evet")*(AY_SONU!$B$7:$B$42=DATE(YEAR($C2787),MONTH($C2787),1))))</f>
        <v>0</v>
      </c>
      <c r="AE2787" s="1" t="str">
        <f>IF($E2787="","",$E2787&amp;"|"&amp;COUNTIFS($E$7:$E2787,$E2787))</f>
        <v/>
      </c>
    </row>
    <row r="2788" spans="1:31" ht="18" customHeight="1" x14ac:dyDescent="0.3">
      <c r="A2788" s="2"/>
      <c r="B2788" s="65" t="str">
        <f>IF($C2788="","","GG"&amp;TEXT(ROW()-6,"00000"))</f>
        <v/>
      </c>
      <c r="C2788" s="66"/>
      <c r="D2788" s="60"/>
      <c r="E2788" s="61"/>
      <c r="F2788" s="61"/>
      <c r="G2788" s="67"/>
      <c r="H2788" s="60"/>
      <c r="I2788" s="60"/>
      <c r="J2788" s="61"/>
      <c r="K2788" s="61"/>
      <c r="L2788" s="60"/>
      <c r="M2788" s="74" t="str">
        <f>IF($C2788="","",IF($D2788="Gider",$E2788,IF($L2788&lt;&gt;"",$L2788,$H2788)))</f>
        <v/>
      </c>
      <c r="N2788" s="74" t="str">
        <f>IF($C2788="","",IF($D2788="Gider",$H2788,$E2788))</f>
        <v/>
      </c>
      <c r="O2788" s="73" t="str">
        <f>IF($C2788="","",DATE(YEAR($C2788),MONTH($C2788),1))</f>
        <v/>
      </c>
      <c r="P2788" s="65" t="str">
        <f ca="1">IF($C2788="","",IF(AND($D2788="Gelir",$L2788&lt;&gt;"",$T2788=""),"TANIMSIZ BORÇLU",IF($T2788&lt;&gt;"",IF(OR($E2788="",$G2788&lt;=0),"EKSİK",IF($I2788="Evet","TAHAKKUK NAKİT OLAMAZ",IF($C2788&gt;TODAY(),"İLERİ TARİH","TAHAKKUK"))),IF(AND($D2788&lt;&gt;"",$E2788&lt;&gt;"",$G2788&gt;0,$H2788&lt;&gt;"",$I2788&lt;&gt;""),IF($C2788&gt;TODAY(),"İLERİ TARİH",IF(COUNTIF($W$7:$W$3001,$W2788)&gt;1,"MÜKERRER?",IF($AD2788&gt;0,"KAPALI DÖNEM",IF($I2788="Hayır","ÖDENECEK","UYGUN")))),"EKSİK"))))</f>
        <v/>
      </c>
      <c r="Q2788" s="2"/>
      <c r="R2788" s="2"/>
      <c r="S2788" s="1" t="str">
        <f t="shared" si="131"/>
        <v/>
      </c>
      <c r="T2788" s="1" t="str">
        <f>IF(OR($C2788="",$D2788&lt;&gt;"Gelir",$L2788=""),"",IFERROR(INDEX(MUSTERILER!$B$7:$B$156,MATCH($S2788,MUSTERILER!$T$7:$T$156,0)),""))</f>
        <v/>
      </c>
      <c r="U2788" s="1" t="str">
        <f>IF($T2788="","",$T2788&amp;"|"&amp;COUNTIFS($T$7:$T2788,$T2788))</f>
        <v/>
      </c>
      <c r="V2788" s="1">
        <f t="shared" si="132"/>
        <v>0</v>
      </c>
      <c r="W2788" s="1" t="str">
        <f t="shared" si="133"/>
        <v/>
      </c>
      <c r="X2788" s="1"/>
      <c r="Y2788" s="1"/>
      <c r="Z2788" s="1"/>
      <c r="AA2788" s="1"/>
      <c r="AB2788" s="1"/>
      <c r="AC2788" s="1"/>
      <c r="AD2788" s="1">
        <f>IF($C2788="",0,SUMPRODUCT((AY_SONU!$O$7:$O$42="Evet")*(AY_SONU!$B$7:$B$42=DATE(YEAR($C2788),MONTH($C2788),1))))</f>
        <v>0</v>
      </c>
      <c r="AE2788" s="1" t="str">
        <f>IF($E2788="","",$E2788&amp;"|"&amp;COUNTIFS($E$7:$E2788,$E2788))</f>
        <v/>
      </c>
    </row>
    <row r="2789" spans="1:31" ht="18" customHeight="1" x14ac:dyDescent="0.3">
      <c r="A2789" s="2"/>
      <c r="B2789" s="65" t="str">
        <f>IF($C2789="","","GG"&amp;TEXT(ROW()-6,"00000"))</f>
        <v/>
      </c>
      <c r="C2789" s="66"/>
      <c r="D2789" s="60"/>
      <c r="E2789" s="61"/>
      <c r="F2789" s="61"/>
      <c r="G2789" s="67"/>
      <c r="H2789" s="60"/>
      <c r="I2789" s="60"/>
      <c r="J2789" s="61"/>
      <c r="K2789" s="61"/>
      <c r="L2789" s="60"/>
      <c r="M2789" s="74" t="str">
        <f>IF($C2789="","",IF($D2789="Gider",$E2789,IF($L2789&lt;&gt;"",$L2789,$H2789)))</f>
        <v/>
      </c>
      <c r="N2789" s="74" t="str">
        <f>IF($C2789="","",IF($D2789="Gider",$H2789,$E2789))</f>
        <v/>
      </c>
      <c r="O2789" s="73" t="str">
        <f>IF($C2789="","",DATE(YEAR($C2789),MONTH($C2789),1))</f>
        <v/>
      </c>
      <c r="P2789" s="65" t="str">
        <f ca="1">IF($C2789="","",IF(AND($D2789="Gelir",$L2789&lt;&gt;"",$T2789=""),"TANIMSIZ BORÇLU",IF($T2789&lt;&gt;"",IF(OR($E2789="",$G2789&lt;=0),"EKSİK",IF($I2789="Evet","TAHAKKUK NAKİT OLAMAZ",IF($C2789&gt;TODAY(),"İLERİ TARİH","TAHAKKUK"))),IF(AND($D2789&lt;&gt;"",$E2789&lt;&gt;"",$G2789&gt;0,$H2789&lt;&gt;"",$I2789&lt;&gt;""),IF($C2789&gt;TODAY(),"İLERİ TARİH",IF(COUNTIF($W$7:$W$3001,$W2789)&gt;1,"MÜKERRER?",IF($AD2789&gt;0,"KAPALI DÖNEM",IF($I2789="Hayır","ÖDENECEK","UYGUN")))),"EKSİK"))))</f>
        <v/>
      </c>
      <c r="Q2789" s="2"/>
      <c r="R2789" s="2"/>
      <c r="S2789" s="1" t="str">
        <f t="shared" si="131"/>
        <v/>
      </c>
      <c r="T2789" s="1" t="str">
        <f>IF(OR($C2789="",$D2789&lt;&gt;"Gelir",$L2789=""),"",IFERROR(INDEX(MUSTERILER!$B$7:$B$156,MATCH($S2789,MUSTERILER!$T$7:$T$156,0)),""))</f>
        <v/>
      </c>
      <c r="U2789" s="1" t="str">
        <f>IF($T2789="","",$T2789&amp;"|"&amp;COUNTIFS($T$7:$T2789,$T2789))</f>
        <v/>
      </c>
      <c r="V2789" s="1">
        <f t="shared" si="132"/>
        <v>0</v>
      </c>
      <c r="W2789" s="1" t="str">
        <f t="shared" si="133"/>
        <v/>
      </c>
      <c r="X2789" s="1"/>
      <c r="Y2789" s="1"/>
      <c r="Z2789" s="1"/>
      <c r="AA2789" s="1"/>
      <c r="AB2789" s="1"/>
      <c r="AC2789" s="1"/>
      <c r="AD2789" s="1">
        <f>IF($C2789="",0,SUMPRODUCT((AY_SONU!$O$7:$O$42="Evet")*(AY_SONU!$B$7:$B$42=DATE(YEAR($C2789),MONTH($C2789),1))))</f>
        <v>0</v>
      </c>
      <c r="AE2789" s="1" t="str">
        <f>IF($E2789="","",$E2789&amp;"|"&amp;COUNTIFS($E$7:$E2789,$E2789))</f>
        <v/>
      </c>
    </row>
    <row r="2790" spans="1:31" ht="18" customHeight="1" x14ac:dyDescent="0.3">
      <c r="A2790" s="2"/>
      <c r="B2790" s="65" t="str">
        <f>IF($C2790="","","GG"&amp;TEXT(ROW()-6,"00000"))</f>
        <v/>
      </c>
      <c r="C2790" s="66"/>
      <c r="D2790" s="60"/>
      <c r="E2790" s="61"/>
      <c r="F2790" s="61"/>
      <c r="G2790" s="67"/>
      <c r="H2790" s="60"/>
      <c r="I2790" s="60"/>
      <c r="J2790" s="61"/>
      <c r="K2790" s="61"/>
      <c r="L2790" s="60"/>
      <c r="M2790" s="74" t="str">
        <f>IF($C2790="","",IF($D2790="Gider",$E2790,IF($L2790&lt;&gt;"",$L2790,$H2790)))</f>
        <v/>
      </c>
      <c r="N2790" s="74" t="str">
        <f>IF($C2790="","",IF($D2790="Gider",$H2790,$E2790))</f>
        <v/>
      </c>
      <c r="O2790" s="73" t="str">
        <f>IF($C2790="","",DATE(YEAR($C2790),MONTH($C2790),1))</f>
        <v/>
      </c>
      <c r="P2790" s="65" t="str">
        <f ca="1">IF($C2790="","",IF(AND($D2790="Gelir",$L2790&lt;&gt;"",$T2790=""),"TANIMSIZ BORÇLU",IF($T2790&lt;&gt;"",IF(OR($E2790="",$G2790&lt;=0),"EKSİK",IF($I2790="Evet","TAHAKKUK NAKİT OLAMAZ",IF($C2790&gt;TODAY(),"İLERİ TARİH","TAHAKKUK"))),IF(AND($D2790&lt;&gt;"",$E2790&lt;&gt;"",$G2790&gt;0,$H2790&lt;&gt;"",$I2790&lt;&gt;""),IF($C2790&gt;TODAY(),"İLERİ TARİH",IF(COUNTIF($W$7:$W$3001,$W2790)&gt;1,"MÜKERRER?",IF($AD2790&gt;0,"KAPALI DÖNEM",IF($I2790="Hayır","ÖDENECEK","UYGUN")))),"EKSİK"))))</f>
        <v/>
      </c>
      <c r="Q2790" s="2"/>
      <c r="R2790" s="2"/>
      <c r="S2790" s="1" t="str">
        <f t="shared" si="131"/>
        <v/>
      </c>
      <c r="T2790" s="1" t="str">
        <f>IF(OR($C2790="",$D2790&lt;&gt;"Gelir",$L2790=""),"",IFERROR(INDEX(MUSTERILER!$B$7:$B$156,MATCH($S2790,MUSTERILER!$T$7:$T$156,0)),""))</f>
        <v/>
      </c>
      <c r="U2790" s="1" t="str">
        <f>IF($T2790="","",$T2790&amp;"|"&amp;COUNTIFS($T$7:$T2790,$T2790))</f>
        <v/>
      </c>
      <c r="V2790" s="1">
        <f t="shared" si="132"/>
        <v>0</v>
      </c>
      <c r="W2790" s="1" t="str">
        <f t="shared" si="133"/>
        <v/>
      </c>
      <c r="X2790" s="1"/>
      <c r="Y2790" s="1"/>
      <c r="Z2790" s="1"/>
      <c r="AA2790" s="1"/>
      <c r="AB2790" s="1"/>
      <c r="AC2790" s="1"/>
      <c r="AD2790" s="1">
        <f>IF($C2790="",0,SUMPRODUCT((AY_SONU!$O$7:$O$42="Evet")*(AY_SONU!$B$7:$B$42=DATE(YEAR($C2790),MONTH($C2790),1))))</f>
        <v>0</v>
      </c>
      <c r="AE2790" s="1" t="str">
        <f>IF($E2790="","",$E2790&amp;"|"&amp;COUNTIFS($E$7:$E2790,$E2790))</f>
        <v/>
      </c>
    </row>
    <row r="2791" spans="1:31" ht="18" customHeight="1" x14ac:dyDescent="0.3">
      <c r="A2791" s="2"/>
      <c r="B2791" s="65" t="str">
        <f>IF($C2791="","","GG"&amp;TEXT(ROW()-6,"00000"))</f>
        <v/>
      </c>
      <c r="C2791" s="66"/>
      <c r="D2791" s="60"/>
      <c r="E2791" s="61"/>
      <c r="F2791" s="61"/>
      <c r="G2791" s="67"/>
      <c r="H2791" s="60"/>
      <c r="I2791" s="60"/>
      <c r="J2791" s="61"/>
      <c r="K2791" s="61"/>
      <c r="L2791" s="60"/>
      <c r="M2791" s="74" t="str">
        <f>IF($C2791="","",IF($D2791="Gider",$E2791,IF($L2791&lt;&gt;"",$L2791,$H2791)))</f>
        <v/>
      </c>
      <c r="N2791" s="74" t="str">
        <f>IF($C2791="","",IF($D2791="Gider",$H2791,$E2791))</f>
        <v/>
      </c>
      <c r="O2791" s="73" t="str">
        <f>IF($C2791="","",DATE(YEAR($C2791),MONTH($C2791),1))</f>
        <v/>
      </c>
      <c r="P2791" s="65" t="str">
        <f ca="1">IF($C2791="","",IF(AND($D2791="Gelir",$L2791&lt;&gt;"",$T2791=""),"TANIMSIZ BORÇLU",IF($T2791&lt;&gt;"",IF(OR($E2791="",$G2791&lt;=0),"EKSİK",IF($I2791="Evet","TAHAKKUK NAKİT OLAMAZ",IF($C2791&gt;TODAY(),"İLERİ TARİH","TAHAKKUK"))),IF(AND($D2791&lt;&gt;"",$E2791&lt;&gt;"",$G2791&gt;0,$H2791&lt;&gt;"",$I2791&lt;&gt;""),IF($C2791&gt;TODAY(),"İLERİ TARİH",IF(COUNTIF($W$7:$W$3001,$W2791)&gt;1,"MÜKERRER?",IF($AD2791&gt;0,"KAPALI DÖNEM",IF($I2791="Hayır","ÖDENECEK","UYGUN")))),"EKSİK"))))</f>
        <v/>
      </c>
      <c r="Q2791" s="2"/>
      <c r="R2791" s="2"/>
      <c r="S2791" s="1" t="str">
        <f t="shared" si="131"/>
        <v/>
      </c>
      <c r="T2791" s="1" t="str">
        <f>IF(OR($C2791="",$D2791&lt;&gt;"Gelir",$L2791=""),"",IFERROR(INDEX(MUSTERILER!$B$7:$B$156,MATCH($S2791,MUSTERILER!$T$7:$T$156,0)),""))</f>
        <v/>
      </c>
      <c r="U2791" s="1" t="str">
        <f>IF($T2791="","",$T2791&amp;"|"&amp;COUNTIFS($T$7:$T2791,$T2791))</f>
        <v/>
      </c>
      <c r="V2791" s="1">
        <f t="shared" si="132"/>
        <v>0</v>
      </c>
      <c r="W2791" s="1" t="str">
        <f t="shared" si="133"/>
        <v/>
      </c>
      <c r="X2791" s="1"/>
      <c r="Y2791" s="1"/>
      <c r="Z2791" s="1"/>
      <c r="AA2791" s="1"/>
      <c r="AB2791" s="1"/>
      <c r="AC2791" s="1"/>
      <c r="AD2791" s="1">
        <f>IF($C2791="",0,SUMPRODUCT((AY_SONU!$O$7:$O$42="Evet")*(AY_SONU!$B$7:$B$42=DATE(YEAR($C2791),MONTH($C2791),1))))</f>
        <v>0</v>
      </c>
      <c r="AE2791" s="1" t="str">
        <f>IF($E2791="","",$E2791&amp;"|"&amp;COUNTIFS($E$7:$E2791,$E2791))</f>
        <v/>
      </c>
    </row>
    <row r="2792" spans="1:31" ht="18" customHeight="1" x14ac:dyDescent="0.3">
      <c r="A2792" s="2"/>
      <c r="B2792" s="65" t="str">
        <f>IF($C2792="","","GG"&amp;TEXT(ROW()-6,"00000"))</f>
        <v/>
      </c>
      <c r="C2792" s="66"/>
      <c r="D2792" s="60"/>
      <c r="E2792" s="61"/>
      <c r="F2792" s="61"/>
      <c r="G2792" s="67"/>
      <c r="H2792" s="60"/>
      <c r="I2792" s="60"/>
      <c r="J2792" s="61"/>
      <c r="K2792" s="61"/>
      <c r="L2792" s="60"/>
      <c r="M2792" s="74" t="str">
        <f>IF($C2792="","",IF($D2792="Gider",$E2792,IF($L2792&lt;&gt;"",$L2792,$H2792)))</f>
        <v/>
      </c>
      <c r="N2792" s="74" t="str">
        <f>IF($C2792="","",IF($D2792="Gider",$H2792,$E2792))</f>
        <v/>
      </c>
      <c r="O2792" s="73" t="str">
        <f>IF($C2792="","",DATE(YEAR($C2792),MONTH($C2792),1))</f>
        <v/>
      </c>
      <c r="P2792" s="65" t="str">
        <f ca="1">IF($C2792="","",IF(AND($D2792="Gelir",$L2792&lt;&gt;"",$T2792=""),"TANIMSIZ BORÇLU",IF($T2792&lt;&gt;"",IF(OR($E2792="",$G2792&lt;=0),"EKSİK",IF($I2792="Evet","TAHAKKUK NAKİT OLAMAZ",IF($C2792&gt;TODAY(),"İLERİ TARİH","TAHAKKUK"))),IF(AND($D2792&lt;&gt;"",$E2792&lt;&gt;"",$G2792&gt;0,$H2792&lt;&gt;"",$I2792&lt;&gt;""),IF($C2792&gt;TODAY(),"İLERİ TARİH",IF(COUNTIF($W$7:$W$3001,$W2792)&gt;1,"MÜKERRER?",IF($AD2792&gt;0,"KAPALI DÖNEM",IF($I2792="Hayır","ÖDENECEK","UYGUN")))),"EKSİK"))))</f>
        <v/>
      </c>
      <c r="Q2792" s="2"/>
      <c r="R2792" s="2"/>
      <c r="S2792" s="1" t="str">
        <f t="shared" si="131"/>
        <v/>
      </c>
      <c r="T2792" s="1" t="str">
        <f>IF(OR($C2792="",$D2792&lt;&gt;"Gelir",$L2792=""),"",IFERROR(INDEX(MUSTERILER!$B$7:$B$156,MATCH($S2792,MUSTERILER!$T$7:$T$156,0)),""))</f>
        <v/>
      </c>
      <c r="U2792" s="1" t="str">
        <f>IF($T2792="","",$T2792&amp;"|"&amp;COUNTIFS($T$7:$T2792,$T2792))</f>
        <v/>
      </c>
      <c r="V2792" s="1">
        <f t="shared" si="132"/>
        <v>0</v>
      </c>
      <c r="W2792" s="1" t="str">
        <f t="shared" si="133"/>
        <v/>
      </c>
      <c r="X2792" s="1"/>
      <c r="Y2792" s="1"/>
      <c r="Z2792" s="1"/>
      <c r="AA2792" s="1"/>
      <c r="AB2792" s="1"/>
      <c r="AC2792" s="1"/>
      <c r="AD2792" s="1">
        <f>IF($C2792="",0,SUMPRODUCT((AY_SONU!$O$7:$O$42="Evet")*(AY_SONU!$B$7:$B$42=DATE(YEAR($C2792),MONTH($C2792),1))))</f>
        <v>0</v>
      </c>
      <c r="AE2792" s="1" t="str">
        <f>IF($E2792="","",$E2792&amp;"|"&amp;COUNTIFS($E$7:$E2792,$E2792))</f>
        <v/>
      </c>
    </row>
    <row r="2793" spans="1:31" ht="18" customHeight="1" x14ac:dyDescent="0.3">
      <c r="A2793" s="2"/>
      <c r="B2793" s="65" t="str">
        <f>IF($C2793="","","GG"&amp;TEXT(ROW()-6,"00000"))</f>
        <v/>
      </c>
      <c r="C2793" s="66"/>
      <c r="D2793" s="60"/>
      <c r="E2793" s="61"/>
      <c r="F2793" s="61"/>
      <c r="G2793" s="67"/>
      <c r="H2793" s="60"/>
      <c r="I2793" s="60"/>
      <c r="J2793" s="61"/>
      <c r="K2793" s="61"/>
      <c r="L2793" s="60"/>
      <c r="M2793" s="74" t="str">
        <f>IF($C2793="","",IF($D2793="Gider",$E2793,IF($L2793&lt;&gt;"",$L2793,$H2793)))</f>
        <v/>
      </c>
      <c r="N2793" s="74" t="str">
        <f>IF($C2793="","",IF($D2793="Gider",$H2793,$E2793))</f>
        <v/>
      </c>
      <c r="O2793" s="73" t="str">
        <f>IF($C2793="","",DATE(YEAR($C2793),MONTH($C2793),1))</f>
        <v/>
      </c>
      <c r="P2793" s="65" t="str">
        <f ca="1">IF($C2793="","",IF(AND($D2793="Gelir",$L2793&lt;&gt;"",$T2793=""),"TANIMSIZ BORÇLU",IF($T2793&lt;&gt;"",IF(OR($E2793="",$G2793&lt;=0),"EKSİK",IF($I2793="Evet","TAHAKKUK NAKİT OLAMAZ",IF($C2793&gt;TODAY(),"İLERİ TARİH","TAHAKKUK"))),IF(AND($D2793&lt;&gt;"",$E2793&lt;&gt;"",$G2793&gt;0,$H2793&lt;&gt;"",$I2793&lt;&gt;""),IF($C2793&gt;TODAY(),"İLERİ TARİH",IF(COUNTIF($W$7:$W$3001,$W2793)&gt;1,"MÜKERRER?",IF($AD2793&gt;0,"KAPALI DÖNEM",IF($I2793="Hayır","ÖDENECEK","UYGUN")))),"EKSİK"))))</f>
        <v/>
      </c>
      <c r="Q2793" s="2"/>
      <c r="R2793" s="2"/>
      <c r="S2793" s="1" t="str">
        <f t="shared" si="131"/>
        <v/>
      </c>
      <c r="T2793" s="1" t="str">
        <f>IF(OR($C2793="",$D2793&lt;&gt;"Gelir",$L2793=""),"",IFERROR(INDEX(MUSTERILER!$B$7:$B$156,MATCH($S2793,MUSTERILER!$T$7:$T$156,0)),""))</f>
        <v/>
      </c>
      <c r="U2793" s="1" t="str">
        <f>IF($T2793="","",$T2793&amp;"|"&amp;COUNTIFS($T$7:$T2793,$T2793))</f>
        <v/>
      </c>
      <c r="V2793" s="1">
        <f t="shared" si="132"/>
        <v>0</v>
      </c>
      <c r="W2793" s="1" t="str">
        <f t="shared" si="133"/>
        <v/>
      </c>
      <c r="X2793" s="1"/>
      <c r="Y2793" s="1"/>
      <c r="Z2793" s="1"/>
      <c r="AA2793" s="1"/>
      <c r="AB2793" s="1"/>
      <c r="AC2793" s="1"/>
      <c r="AD2793" s="1">
        <f>IF($C2793="",0,SUMPRODUCT((AY_SONU!$O$7:$O$42="Evet")*(AY_SONU!$B$7:$B$42=DATE(YEAR($C2793),MONTH($C2793),1))))</f>
        <v>0</v>
      </c>
      <c r="AE2793" s="1" t="str">
        <f>IF($E2793="","",$E2793&amp;"|"&amp;COUNTIFS($E$7:$E2793,$E2793))</f>
        <v/>
      </c>
    </row>
    <row r="2794" spans="1:31" ht="18" customHeight="1" x14ac:dyDescent="0.3">
      <c r="A2794" s="2"/>
      <c r="B2794" s="65" t="str">
        <f>IF($C2794="","","GG"&amp;TEXT(ROW()-6,"00000"))</f>
        <v/>
      </c>
      <c r="C2794" s="66"/>
      <c r="D2794" s="60"/>
      <c r="E2794" s="61"/>
      <c r="F2794" s="61"/>
      <c r="G2794" s="67"/>
      <c r="H2794" s="60"/>
      <c r="I2794" s="60"/>
      <c r="J2794" s="61"/>
      <c r="K2794" s="61"/>
      <c r="L2794" s="60"/>
      <c r="M2794" s="74" t="str">
        <f>IF($C2794="","",IF($D2794="Gider",$E2794,IF($L2794&lt;&gt;"",$L2794,$H2794)))</f>
        <v/>
      </c>
      <c r="N2794" s="74" t="str">
        <f>IF($C2794="","",IF($D2794="Gider",$H2794,$E2794))</f>
        <v/>
      </c>
      <c r="O2794" s="73" t="str">
        <f>IF($C2794="","",DATE(YEAR($C2794),MONTH($C2794),1))</f>
        <v/>
      </c>
      <c r="P2794" s="65" t="str">
        <f ca="1">IF($C2794="","",IF(AND($D2794="Gelir",$L2794&lt;&gt;"",$T2794=""),"TANIMSIZ BORÇLU",IF($T2794&lt;&gt;"",IF(OR($E2794="",$G2794&lt;=0),"EKSİK",IF($I2794="Evet","TAHAKKUK NAKİT OLAMAZ",IF($C2794&gt;TODAY(),"İLERİ TARİH","TAHAKKUK"))),IF(AND($D2794&lt;&gt;"",$E2794&lt;&gt;"",$G2794&gt;0,$H2794&lt;&gt;"",$I2794&lt;&gt;""),IF($C2794&gt;TODAY(),"İLERİ TARİH",IF(COUNTIF($W$7:$W$3001,$W2794)&gt;1,"MÜKERRER?",IF($AD2794&gt;0,"KAPALI DÖNEM",IF($I2794="Hayır","ÖDENECEK","UYGUN")))),"EKSİK"))))</f>
        <v/>
      </c>
      <c r="Q2794" s="2"/>
      <c r="R2794" s="2"/>
      <c r="S2794" s="1" t="str">
        <f t="shared" si="131"/>
        <v/>
      </c>
      <c r="T2794" s="1" t="str">
        <f>IF(OR($C2794="",$D2794&lt;&gt;"Gelir",$L2794=""),"",IFERROR(INDEX(MUSTERILER!$B$7:$B$156,MATCH($S2794,MUSTERILER!$T$7:$T$156,0)),""))</f>
        <v/>
      </c>
      <c r="U2794" s="1" t="str">
        <f>IF($T2794="","",$T2794&amp;"|"&amp;COUNTIFS($T$7:$T2794,$T2794))</f>
        <v/>
      </c>
      <c r="V2794" s="1">
        <f t="shared" si="132"/>
        <v>0</v>
      </c>
      <c r="W2794" s="1" t="str">
        <f t="shared" si="133"/>
        <v/>
      </c>
      <c r="X2794" s="1"/>
      <c r="Y2794" s="1"/>
      <c r="Z2794" s="1"/>
      <c r="AA2794" s="1"/>
      <c r="AB2794" s="1"/>
      <c r="AC2794" s="1"/>
      <c r="AD2794" s="1">
        <f>IF($C2794="",0,SUMPRODUCT((AY_SONU!$O$7:$O$42="Evet")*(AY_SONU!$B$7:$B$42=DATE(YEAR($C2794),MONTH($C2794),1))))</f>
        <v>0</v>
      </c>
      <c r="AE2794" s="1" t="str">
        <f>IF($E2794="","",$E2794&amp;"|"&amp;COUNTIFS($E$7:$E2794,$E2794))</f>
        <v/>
      </c>
    </row>
    <row r="2795" spans="1:31" ht="18" customHeight="1" x14ac:dyDescent="0.3">
      <c r="A2795" s="2"/>
      <c r="B2795" s="65" t="str">
        <f>IF($C2795="","","GG"&amp;TEXT(ROW()-6,"00000"))</f>
        <v/>
      </c>
      <c r="C2795" s="66"/>
      <c r="D2795" s="60"/>
      <c r="E2795" s="61"/>
      <c r="F2795" s="61"/>
      <c r="G2795" s="67"/>
      <c r="H2795" s="60"/>
      <c r="I2795" s="60"/>
      <c r="J2795" s="61"/>
      <c r="K2795" s="61"/>
      <c r="L2795" s="60"/>
      <c r="M2795" s="74" t="str">
        <f>IF($C2795="","",IF($D2795="Gider",$E2795,IF($L2795&lt;&gt;"",$L2795,$H2795)))</f>
        <v/>
      </c>
      <c r="N2795" s="74" t="str">
        <f>IF($C2795="","",IF($D2795="Gider",$H2795,$E2795))</f>
        <v/>
      </c>
      <c r="O2795" s="73" t="str">
        <f>IF($C2795="","",DATE(YEAR($C2795),MONTH($C2795),1))</f>
        <v/>
      </c>
      <c r="P2795" s="65" t="str">
        <f ca="1">IF($C2795="","",IF(AND($D2795="Gelir",$L2795&lt;&gt;"",$T2795=""),"TANIMSIZ BORÇLU",IF($T2795&lt;&gt;"",IF(OR($E2795="",$G2795&lt;=0),"EKSİK",IF($I2795="Evet","TAHAKKUK NAKİT OLAMAZ",IF($C2795&gt;TODAY(),"İLERİ TARİH","TAHAKKUK"))),IF(AND($D2795&lt;&gt;"",$E2795&lt;&gt;"",$G2795&gt;0,$H2795&lt;&gt;"",$I2795&lt;&gt;""),IF($C2795&gt;TODAY(),"İLERİ TARİH",IF(COUNTIF($W$7:$W$3001,$W2795)&gt;1,"MÜKERRER?",IF($AD2795&gt;0,"KAPALI DÖNEM",IF($I2795="Hayır","ÖDENECEK","UYGUN")))),"EKSİK"))))</f>
        <v/>
      </c>
      <c r="Q2795" s="2"/>
      <c r="R2795" s="2"/>
      <c r="S2795" s="1" t="str">
        <f t="shared" si="131"/>
        <v/>
      </c>
      <c r="T2795" s="1" t="str">
        <f>IF(OR($C2795="",$D2795&lt;&gt;"Gelir",$L2795=""),"",IFERROR(INDEX(MUSTERILER!$B$7:$B$156,MATCH($S2795,MUSTERILER!$T$7:$T$156,0)),""))</f>
        <v/>
      </c>
      <c r="U2795" s="1" t="str">
        <f>IF($T2795="","",$T2795&amp;"|"&amp;COUNTIFS($T$7:$T2795,$T2795))</f>
        <v/>
      </c>
      <c r="V2795" s="1">
        <f t="shared" si="132"/>
        <v>0</v>
      </c>
      <c r="W2795" s="1" t="str">
        <f t="shared" si="133"/>
        <v/>
      </c>
      <c r="X2795" s="1"/>
      <c r="Y2795" s="1"/>
      <c r="Z2795" s="1"/>
      <c r="AA2795" s="1"/>
      <c r="AB2795" s="1"/>
      <c r="AC2795" s="1"/>
      <c r="AD2795" s="1">
        <f>IF($C2795="",0,SUMPRODUCT((AY_SONU!$O$7:$O$42="Evet")*(AY_SONU!$B$7:$B$42=DATE(YEAR($C2795),MONTH($C2795),1))))</f>
        <v>0</v>
      </c>
      <c r="AE2795" s="1" t="str">
        <f>IF($E2795="","",$E2795&amp;"|"&amp;COUNTIFS($E$7:$E2795,$E2795))</f>
        <v/>
      </c>
    </row>
    <row r="2796" spans="1:31" ht="18" customHeight="1" x14ac:dyDescent="0.3">
      <c r="A2796" s="2"/>
      <c r="B2796" s="65" t="str">
        <f>IF($C2796="","","GG"&amp;TEXT(ROW()-6,"00000"))</f>
        <v/>
      </c>
      <c r="C2796" s="66"/>
      <c r="D2796" s="60"/>
      <c r="E2796" s="61"/>
      <c r="F2796" s="61"/>
      <c r="G2796" s="67"/>
      <c r="H2796" s="60"/>
      <c r="I2796" s="60"/>
      <c r="J2796" s="61"/>
      <c r="K2796" s="61"/>
      <c r="L2796" s="60"/>
      <c r="M2796" s="74" t="str">
        <f>IF($C2796="","",IF($D2796="Gider",$E2796,IF($L2796&lt;&gt;"",$L2796,$H2796)))</f>
        <v/>
      </c>
      <c r="N2796" s="74" t="str">
        <f>IF($C2796="","",IF($D2796="Gider",$H2796,$E2796))</f>
        <v/>
      </c>
      <c r="O2796" s="73" t="str">
        <f>IF($C2796="","",DATE(YEAR($C2796),MONTH($C2796),1))</f>
        <v/>
      </c>
      <c r="P2796" s="65" t="str">
        <f ca="1">IF($C2796="","",IF(AND($D2796="Gelir",$L2796&lt;&gt;"",$T2796=""),"TANIMSIZ BORÇLU",IF($T2796&lt;&gt;"",IF(OR($E2796="",$G2796&lt;=0),"EKSİK",IF($I2796="Evet","TAHAKKUK NAKİT OLAMAZ",IF($C2796&gt;TODAY(),"İLERİ TARİH","TAHAKKUK"))),IF(AND($D2796&lt;&gt;"",$E2796&lt;&gt;"",$G2796&gt;0,$H2796&lt;&gt;"",$I2796&lt;&gt;""),IF($C2796&gt;TODAY(),"İLERİ TARİH",IF(COUNTIF($W$7:$W$3001,$W2796)&gt;1,"MÜKERRER?",IF($AD2796&gt;0,"KAPALI DÖNEM",IF($I2796="Hayır","ÖDENECEK","UYGUN")))),"EKSİK"))))</f>
        <v/>
      </c>
      <c r="Q2796" s="2"/>
      <c r="R2796" s="2"/>
      <c r="S2796" s="1" t="str">
        <f t="shared" si="131"/>
        <v/>
      </c>
      <c r="T2796" s="1" t="str">
        <f>IF(OR($C2796="",$D2796&lt;&gt;"Gelir",$L2796=""),"",IFERROR(INDEX(MUSTERILER!$B$7:$B$156,MATCH($S2796,MUSTERILER!$T$7:$T$156,0)),""))</f>
        <v/>
      </c>
      <c r="U2796" s="1" t="str">
        <f>IF($T2796="","",$T2796&amp;"|"&amp;COUNTIFS($T$7:$T2796,$T2796))</f>
        <v/>
      </c>
      <c r="V2796" s="1">
        <f t="shared" si="132"/>
        <v>0</v>
      </c>
      <c r="W2796" s="1" t="str">
        <f t="shared" si="133"/>
        <v/>
      </c>
      <c r="X2796" s="1"/>
      <c r="Y2796" s="1"/>
      <c r="Z2796" s="1"/>
      <c r="AA2796" s="1"/>
      <c r="AB2796" s="1"/>
      <c r="AC2796" s="1"/>
      <c r="AD2796" s="1">
        <f>IF($C2796="",0,SUMPRODUCT((AY_SONU!$O$7:$O$42="Evet")*(AY_SONU!$B$7:$B$42=DATE(YEAR($C2796),MONTH($C2796),1))))</f>
        <v>0</v>
      </c>
      <c r="AE2796" s="1" t="str">
        <f>IF($E2796="","",$E2796&amp;"|"&amp;COUNTIFS($E$7:$E2796,$E2796))</f>
        <v/>
      </c>
    </row>
    <row r="2797" spans="1:31" ht="18" customHeight="1" x14ac:dyDescent="0.3">
      <c r="A2797" s="2"/>
      <c r="B2797" s="65" t="str">
        <f>IF($C2797="","","GG"&amp;TEXT(ROW()-6,"00000"))</f>
        <v/>
      </c>
      <c r="C2797" s="66"/>
      <c r="D2797" s="60"/>
      <c r="E2797" s="61"/>
      <c r="F2797" s="61"/>
      <c r="G2797" s="67"/>
      <c r="H2797" s="60"/>
      <c r="I2797" s="60"/>
      <c r="J2797" s="61"/>
      <c r="K2797" s="61"/>
      <c r="L2797" s="60"/>
      <c r="M2797" s="74" t="str">
        <f>IF($C2797="","",IF($D2797="Gider",$E2797,IF($L2797&lt;&gt;"",$L2797,$H2797)))</f>
        <v/>
      </c>
      <c r="N2797" s="74" t="str">
        <f>IF($C2797="","",IF($D2797="Gider",$H2797,$E2797))</f>
        <v/>
      </c>
      <c r="O2797" s="73" t="str">
        <f>IF($C2797="","",DATE(YEAR($C2797),MONTH($C2797),1))</f>
        <v/>
      </c>
      <c r="P2797" s="65" t="str">
        <f ca="1">IF($C2797="","",IF(AND($D2797="Gelir",$L2797&lt;&gt;"",$T2797=""),"TANIMSIZ BORÇLU",IF($T2797&lt;&gt;"",IF(OR($E2797="",$G2797&lt;=0),"EKSİK",IF($I2797="Evet","TAHAKKUK NAKİT OLAMAZ",IF($C2797&gt;TODAY(),"İLERİ TARİH","TAHAKKUK"))),IF(AND($D2797&lt;&gt;"",$E2797&lt;&gt;"",$G2797&gt;0,$H2797&lt;&gt;"",$I2797&lt;&gt;""),IF($C2797&gt;TODAY(),"İLERİ TARİH",IF(COUNTIF($W$7:$W$3001,$W2797)&gt;1,"MÜKERRER?",IF($AD2797&gt;0,"KAPALI DÖNEM",IF($I2797="Hayır","ÖDENECEK","UYGUN")))),"EKSİK"))))</f>
        <v/>
      </c>
      <c r="Q2797" s="2"/>
      <c r="R2797" s="2"/>
      <c r="S2797" s="1" t="str">
        <f t="shared" si="131"/>
        <v/>
      </c>
      <c r="T2797" s="1" t="str">
        <f>IF(OR($C2797="",$D2797&lt;&gt;"Gelir",$L2797=""),"",IFERROR(INDEX(MUSTERILER!$B$7:$B$156,MATCH($S2797,MUSTERILER!$T$7:$T$156,0)),""))</f>
        <v/>
      </c>
      <c r="U2797" s="1" t="str">
        <f>IF($T2797="","",$T2797&amp;"|"&amp;COUNTIFS($T$7:$T2797,$T2797))</f>
        <v/>
      </c>
      <c r="V2797" s="1">
        <f t="shared" si="132"/>
        <v>0</v>
      </c>
      <c r="W2797" s="1" t="str">
        <f t="shared" si="133"/>
        <v/>
      </c>
      <c r="X2797" s="1"/>
      <c r="Y2797" s="1"/>
      <c r="Z2797" s="1"/>
      <c r="AA2797" s="1"/>
      <c r="AB2797" s="1"/>
      <c r="AC2797" s="1"/>
      <c r="AD2797" s="1">
        <f>IF($C2797="",0,SUMPRODUCT((AY_SONU!$O$7:$O$42="Evet")*(AY_SONU!$B$7:$B$42=DATE(YEAR($C2797),MONTH($C2797),1))))</f>
        <v>0</v>
      </c>
      <c r="AE2797" s="1" t="str">
        <f>IF($E2797="","",$E2797&amp;"|"&amp;COUNTIFS($E$7:$E2797,$E2797))</f>
        <v/>
      </c>
    </row>
    <row r="2798" spans="1:31" ht="18" customHeight="1" x14ac:dyDescent="0.3">
      <c r="A2798" s="2"/>
      <c r="B2798" s="65" t="str">
        <f>IF($C2798="","","GG"&amp;TEXT(ROW()-6,"00000"))</f>
        <v/>
      </c>
      <c r="C2798" s="66"/>
      <c r="D2798" s="60"/>
      <c r="E2798" s="61"/>
      <c r="F2798" s="61"/>
      <c r="G2798" s="67"/>
      <c r="H2798" s="60"/>
      <c r="I2798" s="60"/>
      <c r="J2798" s="61"/>
      <c r="K2798" s="61"/>
      <c r="L2798" s="60"/>
      <c r="M2798" s="74" t="str">
        <f>IF($C2798="","",IF($D2798="Gider",$E2798,IF($L2798&lt;&gt;"",$L2798,$H2798)))</f>
        <v/>
      </c>
      <c r="N2798" s="74" t="str">
        <f>IF($C2798="","",IF($D2798="Gider",$H2798,$E2798))</f>
        <v/>
      </c>
      <c r="O2798" s="73" t="str">
        <f>IF($C2798="","",DATE(YEAR($C2798),MONTH($C2798),1))</f>
        <v/>
      </c>
      <c r="P2798" s="65" t="str">
        <f ca="1">IF($C2798="","",IF(AND($D2798="Gelir",$L2798&lt;&gt;"",$T2798=""),"TANIMSIZ BORÇLU",IF($T2798&lt;&gt;"",IF(OR($E2798="",$G2798&lt;=0),"EKSİK",IF($I2798="Evet","TAHAKKUK NAKİT OLAMAZ",IF($C2798&gt;TODAY(),"İLERİ TARİH","TAHAKKUK"))),IF(AND($D2798&lt;&gt;"",$E2798&lt;&gt;"",$G2798&gt;0,$H2798&lt;&gt;"",$I2798&lt;&gt;""),IF($C2798&gt;TODAY(),"İLERİ TARİH",IF(COUNTIF($W$7:$W$3001,$W2798)&gt;1,"MÜKERRER?",IF($AD2798&gt;0,"KAPALI DÖNEM",IF($I2798="Hayır","ÖDENECEK","UYGUN")))),"EKSİK"))))</f>
        <v/>
      </c>
      <c r="Q2798" s="2"/>
      <c r="R2798" s="2"/>
      <c r="S2798" s="1" t="str">
        <f t="shared" si="131"/>
        <v/>
      </c>
      <c r="T2798" s="1" t="str">
        <f>IF(OR($C2798="",$D2798&lt;&gt;"Gelir",$L2798=""),"",IFERROR(INDEX(MUSTERILER!$B$7:$B$156,MATCH($S2798,MUSTERILER!$T$7:$T$156,0)),""))</f>
        <v/>
      </c>
      <c r="U2798" s="1" t="str">
        <f>IF($T2798="","",$T2798&amp;"|"&amp;COUNTIFS($T$7:$T2798,$T2798))</f>
        <v/>
      </c>
      <c r="V2798" s="1">
        <f t="shared" si="132"/>
        <v>0</v>
      </c>
      <c r="W2798" s="1" t="str">
        <f t="shared" si="133"/>
        <v/>
      </c>
      <c r="X2798" s="1"/>
      <c r="Y2798" s="1"/>
      <c r="Z2798" s="1"/>
      <c r="AA2798" s="1"/>
      <c r="AB2798" s="1"/>
      <c r="AC2798" s="1"/>
      <c r="AD2798" s="1">
        <f>IF($C2798="",0,SUMPRODUCT((AY_SONU!$O$7:$O$42="Evet")*(AY_SONU!$B$7:$B$42=DATE(YEAR($C2798),MONTH($C2798),1))))</f>
        <v>0</v>
      </c>
      <c r="AE2798" s="1" t="str">
        <f>IF($E2798="","",$E2798&amp;"|"&amp;COUNTIFS($E$7:$E2798,$E2798))</f>
        <v/>
      </c>
    </row>
    <row r="2799" spans="1:31" ht="18" customHeight="1" x14ac:dyDescent="0.3">
      <c r="A2799" s="2"/>
      <c r="B2799" s="65" t="str">
        <f>IF($C2799="","","GG"&amp;TEXT(ROW()-6,"00000"))</f>
        <v/>
      </c>
      <c r="C2799" s="66"/>
      <c r="D2799" s="60"/>
      <c r="E2799" s="61"/>
      <c r="F2799" s="61"/>
      <c r="G2799" s="67"/>
      <c r="H2799" s="60"/>
      <c r="I2799" s="60"/>
      <c r="J2799" s="61"/>
      <c r="K2799" s="61"/>
      <c r="L2799" s="60"/>
      <c r="M2799" s="74" t="str">
        <f>IF($C2799="","",IF($D2799="Gider",$E2799,IF($L2799&lt;&gt;"",$L2799,$H2799)))</f>
        <v/>
      </c>
      <c r="N2799" s="74" t="str">
        <f>IF($C2799="","",IF($D2799="Gider",$H2799,$E2799))</f>
        <v/>
      </c>
      <c r="O2799" s="73" t="str">
        <f>IF($C2799="","",DATE(YEAR($C2799),MONTH($C2799),1))</f>
        <v/>
      </c>
      <c r="P2799" s="65" t="str">
        <f ca="1">IF($C2799="","",IF(AND($D2799="Gelir",$L2799&lt;&gt;"",$T2799=""),"TANIMSIZ BORÇLU",IF($T2799&lt;&gt;"",IF(OR($E2799="",$G2799&lt;=0),"EKSİK",IF($I2799="Evet","TAHAKKUK NAKİT OLAMAZ",IF($C2799&gt;TODAY(),"İLERİ TARİH","TAHAKKUK"))),IF(AND($D2799&lt;&gt;"",$E2799&lt;&gt;"",$G2799&gt;0,$H2799&lt;&gt;"",$I2799&lt;&gt;""),IF($C2799&gt;TODAY(),"İLERİ TARİH",IF(COUNTIF($W$7:$W$3001,$W2799)&gt;1,"MÜKERRER?",IF($AD2799&gt;0,"KAPALI DÖNEM",IF($I2799="Hayır","ÖDENECEK","UYGUN")))),"EKSİK"))))</f>
        <v/>
      </c>
      <c r="Q2799" s="2"/>
      <c r="R2799" s="2"/>
      <c r="S2799" s="1" t="str">
        <f t="shared" si="131"/>
        <v/>
      </c>
      <c r="T2799" s="1" t="str">
        <f>IF(OR($C2799="",$D2799&lt;&gt;"Gelir",$L2799=""),"",IFERROR(INDEX(MUSTERILER!$B$7:$B$156,MATCH($S2799,MUSTERILER!$T$7:$T$156,0)),""))</f>
        <v/>
      </c>
      <c r="U2799" s="1" t="str">
        <f>IF($T2799="","",$T2799&amp;"|"&amp;COUNTIFS($T$7:$T2799,$T2799))</f>
        <v/>
      </c>
      <c r="V2799" s="1">
        <f t="shared" si="132"/>
        <v>0</v>
      </c>
      <c r="W2799" s="1" t="str">
        <f t="shared" si="133"/>
        <v/>
      </c>
      <c r="X2799" s="1"/>
      <c r="Y2799" s="1"/>
      <c r="Z2799" s="1"/>
      <c r="AA2799" s="1"/>
      <c r="AB2799" s="1"/>
      <c r="AC2799" s="1"/>
      <c r="AD2799" s="1">
        <f>IF($C2799="",0,SUMPRODUCT((AY_SONU!$O$7:$O$42="Evet")*(AY_SONU!$B$7:$B$42=DATE(YEAR($C2799),MONTH($C2799),1))))</f>
        <v>0</v>
      </c>
      <c r="AE2799" s="1" t="str">
        <f>IF($E2799="","",$E2799&amp;"|"&amp;COUNTIFS($E$7:$E2799,$E2799))</f>
        <v/>
      </c>
    </row>
    <row r="2800" spans="1:31" ht="18" customHeight="1" x14ac:dyDescent="0.3">
      <c r="A2800" s="2"/>
      <c r="B2800" s="65" t="str">
        <f>IF($C2800="","","GG"&amp;TEXT(ROW()-6,"00000"))</f>
        <v/>
      </c>
      <c r="C2800" s="66"/>
      <c r="D2800" s="60"/>
      <c r="E2800" s="61"/>
      <c r="F2800" s="61"/>
      <c r="G2800" s="67"/>
      <c r="H2800" s="60"/>
      <c r="I2800" s="60"/>
      <c r="J2800" s="61"/>
      <c r="K2800" s="61"/>
      <c r="L2800" s="60"/>
      <c r="M2800" s="74" t="str">
        <f>IF($C2800="","",IF($D2800="Gider",$E2800,IF($L2800&lt;&gt;"",$L2800,$H2800)))</f>
        <v/>
      </c>
      <c r="N2800" s="74" t="str">
        <f>IF($C2800="","",IF($D2800="Gider",$H2800,$E2800))</f>
        <v/>
      </c>
      <c r="O2800" s="73" t="str">
        <f>IF($C2800="","",DATE(YEAR($C2800),MONTH($C2800),1))</f>
        <v/>
      </c>
      <c r="P2800" s="65" t="str">
        <f ca="1">IF($C2800="","",IF(AND($D2800="Gelir",$L2800&lt;&gt;"",$T2800=""),"TANIMSIZ BORÇLU",IF($T2800&lt;&gt;"",IF(OR($E2800="",$G2800&lt;=0),"EKSİK",IF($I2800="Evet","TAHAKKUK NAKİT OLAMAZ",IF($C2800&gt;TODAY(),"İLERİ TARİH","TAHAKKUK"))),IF(AND($D2800&lt;&gt;"",$E2800&lt;&gt;"",$G2800&gt;0,$H2800&lt;&gt;"",$I2800&lt;&gt;""),IF($C2800&gt;TODAY(),"İLERİ TARİH",IF(COUNTIF($W$7:$W$3001,$W2800)&gt;1,"MÜKERRER?",IF($AD2800&gt;0,"KAPALI DÖNEM",IF($I2800="Hayır","ÖDENECEK","UYGUN")))),"EKSİK"))))</f>
        <v/>
      </c>
      <c r="Q2800" s="2"/>
      <c r="R2800" s="2"/>
      <c r="S2800" s="1" t="str">
        <f t="shared" si="131"/>
        <v/>
      </c>
      <c r="T2800" s="1" t="str">
        <f>IF(OR($C2800="",$D2800&lt;&gt;"Gelir",$L2800=""),"",IFERROR(INDEX(MUSTERILER!$B$7:$B$156,MATCH($S2800,MUSTERILER!$T$7:$T$156,0)),""))</f>
        <v/>
      </c>
      <c r="U2800" s="1" t="str">
        <f>IF($T2800="","",$T2800&amp;"|"&amp;COUNTIFS($T$7:$T2800,$T2800))</f>
        <v/>
      </c>
      <c r="V2800" s="1">
        <f t="shared" si="132"/>
        <v>0</v>
      </c>
      <c r="W2800" s="1" t="str">
        <f t="shared" si="133"/>
        <v/>
      </c>
      <c r="X2800" s="1"/>
      <c r="Y2800" s="1"/>
      <c r="Z2800" s="1"/>
      <c r="AA2800" s="1"/>
      <c r="AB2800" s="1"/>
      <c r="AC2800" s="1"/>
      <c r="AD2800" s="1">
        <f>IF($C2800="",0,SUMPRODUCT((AY_SONU!$O$7:$O$42="Evet")*(AY_SONU!$B$7:$B$42=DATE(YEAR($C2800),MONTH($C2800),1))))</f>
        <v>0</v>
      </c>
      <c r="AE2800" s="1" t="str">
        <f>IF($E2800="","",$E2800&amp;"|"&amp;COUNTIFS($E$7:$E2800,$E2800))</f>
        <v/>
      </c>
    </row>
    <row r="2801" spans="1:31" ht="18" customHeight="1" x14ac:dyDescent="0.3">
      <c r="A2801" s="2"/>
      <c r="B2801" s="65" t="str">
        <f>IF($C2801="","","GG"&amp;TEXT(ROW()-6,"00000"))</f>
        <v/>
      </c>
      <c r="C2801" s="66"/>
      <c r="D2801" s="60"/>
      <c r="E2801" s="61"/>
      <c r="F2801" s="61"/>
      <c r="G2801" s="67"/>
      <c r="H2801" s="60"/>
      <c r="I2801" s="60"/>
      <c r="J2801" s="61"/>
      <c r="K2801" s="61"/>
      <c r="L2801" s="60"/>
      <c r="M2801" s="74" t="str">
        <f>IF($C2801="","",IF($D2801="Gider",$E2801,IF($L2801&lt;&gt;"",$L2801,$H2801)))</f>
        <v/>
      </c>
      <c r="N2801" s="74" t="str">
        <f>IF($C2801="","",IF($D2801="Gider",$H2801,$E2801))</f>
        <v/>
      </c>
      <c r="O2801" s="73" t="str">
        <f>IF($C2801="","",DATE(YEAR($C2801),MONTH($C2801),1))</f>
        <v/>
      </c>
      <c r="P2801" s="65" t="str">
        <f ca="1">IF($C2801="","",IF(AND($D2801="Gelir",$L2801&lt;&gt;"",$T2801=""),"TANIMSIZ BORÇLU",IF($T2801&lt;&gt;"",IF(OR($E2801="",$G2801&lt;=0),"EKSİK",IF($I2801="Evet","TAHAKKUK NAKİT OLAMAZ",IF($C2801&gt;TODAY(),"İLERİ TARİH","TAHAKKUK"))),IF(AND($D2801&lt;&gt;"",$E2801&lt;&gt;"",$G2801&gt;0,$H2801&lt;&gt;"",$I2801&lt;&gt;""),IF($C2801&gt;TODAY(),"İLERİ TARİH",IF(COUNTIF($W$7:$W$3001,$W2801)&gt;1,"MÜKERRER?",IF($AD2801&gt;0,"KAPALI DÖNEM",IF($I2801="Hayır","ÖDENECEK","UYGUN")))),"EKSİK"))))</f>
        <v/>
      </c>
      <c r="Q2801" s="2"/>
      <c r="R2801" s="2"/>
      <c r="S2801" s="1" t="str">
        <f t="shared" si="131"/>
        <v/>
      </c>
      <c r="T2801" s="1" t="str">
        <f>IF(OR($C2801="",$D2801&lt;&gt;"Gelir",$L2801=""),"",IFERROR(INDEX(MUSTERILER!$B$7:$B$156,MATCH($S2801,MUSTERILER!$T$7:$T$156,0)),""))</f>
        <v/>
      </c>
      <c r="U2801" s="1" t="str">
        <f>IF($T2801="","",$T2801&amp;"|"&amp;COUNTIFS($T$7:$T2801,$T2801))</f>
        <v/>
      </c>
      <c r="V2801" s="1">
        <f t="shared" si="132"/>
        <v>0</v>
      </c>
      <c r="W2801" s="1" t="str">
        <f t="shared" si="133"/>
        <v/>
      </c>
      <c r="X2801" s="1"/>
      <c r="Y2801" s="1"/>
      <c r="Z2801" s="1"/>
      <c r="AA2801" s="1"/>
      <c r="AB2801" s="1"/>
      <c r="AC2801" s="1"/>
      <c r="AD2801" s="1">
        <f>IF($C2801="",0,SUMPRODUCT((AY_SONU!$O$7:$O$42="Evet")*(AY_SONU!$B$7:$B$42=DATE(YEAR($C2801),MONTH($C2801),1))))</f>
        <v>0</v>
      </c>
      <c r="AE2801" s="1" t="str">
        <f>IF($E2801="","",$E2801&amp;"|"&amp;COUNTIFS($E$7:$E2801,$E2801))</f>
        <v/>
      </c>
    </row>
    <row r="2802" spans="1:31" ht="18" customHeight="1" x14ac:dyDescent="0.3">
      <c r="A2802" s="2"/>
      <c r="B2802" s="65" t="str">
        <f>IF($C2802="","","GG"&amp;TEXT(ROW()-6,"00000"))</f>
        <v/>
      </c>
      <c r="C2802" s="66"/>
      <c r="D2802" s="60"/>
      <c r="E2802" s="61"/>
      <c r="F2802" s="61"/>
      <c r="G2802" s="67"/>
      <c r="H2802" s="60"/>
      <c r="I2802" s="60"/>
      <c r="J2802" s="61"/>
      <c r="K2802" s="61"/>
      <c r="L2802" s="60"/>
      <c r="M2802" s="74" t="str">
        <f>IF($C2802="","",IF($D2802="Gider",$E2802,IF($L2802&lt;&gt;"",$L2802,$H2802)))</f>
        <v/>
      </c>
      <c r="N2802" s="74" t="str">
        <f>IF($C2802="","",IF($D2802="Gider",$H2802,$E2802))</f>
        <v/>
      </c>
      <c r="O2802" s="73" t="str">
        <f>IF($C2802="","",DATE(YEAR($C2802),MONTH($C2802),1))</f>
        <v/>
      </c>
      <c r="P2802" s="65" t="str">
        <f ca="1">IF($C2802="","",IF(AND($D2802="Gelir",$L2802&lt;&gt;"",$T2802=""),"TANIMSIZ BORÇLU",IF($T2802&lt;&gt;"",IF(OR($E2802="",$G2802&lt;=0),"EKSİK",IF($I2802="Evet","TAHAKKUK NAKİT OLAMAZ",IF($C2802&gt;TODAY(),"İLERİ TARİH","TAHAKKUK"))),IF(AND($D2802&lt;&gt;"",$E2802&lt;&gt;"",$G2802&gt;0,$H2802&lt;&gt;"",$I2802&lt;&gt;""),IF($C2802&gt;TODAY(),"İLERİ TARİH",IF(COUNTIF($W$7:$W$3001,$W2802)&gt;1,"MÜKERRER?",IF($AD2802&gt;0,"KAPALI DÖNEM",IF($I2802="Hayır","ÖDENECEK","UYGUN")))),"EKSİK"))))</f>
        <v/>
      </c>
      <c r="Q2802" s="2"/>
      <c r="R2802" s="2"/>
      <c r="S2802" s="1" t="str">
        <f t="shared" si="131"/>
        <v/>
      </c>
      <c r="T2802" s="1" t="str">
        <f>IF(OR($C2802="",$D2802&lt;&gt;"Gelir",$L2802=""),"",IFERROR(INDEX(MUSTERILER!$B$7:$B$156,MATCH($S2802,MUSTERILER!$T$7:$T$156,0)),""))</f>
        <v/>
      </c>
      <c r="U2802" s="1" t="str">
        <f>IF($T2802="","",$T2802&amp;"|"&amp;COUNTIFS($T$7:$T2802,$T2802))</f>
        <v/>
      </c>
      <c r="V2802" s="1">
        <f t="shared" si="132"/>
        <v>0</v>
      </c>
      <c r="W2802" s="1" t="str">
        <f t="shared" si="133"/>
        <v/>
      </c>
      <c r="X2802" s="1"/>
      <c r="Y2802" s="1"/>
      <c r="Z2802" s="1"/>
      <c r="AA2802" s="1"/>
      <c r="AB2802" s="1"/>
      <c r="AC2802" s="1"/>
      <c r="AD2802" s="1">
        <f>IF($C2802="",0,SUMPRODUCT((AY_SONU!$O$7:$O$42="Evet")*(AY_SONU!$B$7:$B$42=DATE(YEAR($C2802),MONTH($C2802),1))))</f>
        <v>0</v>
      </c>
      <c r="AE2802" s="1" t="str">
        <f>IF($E2802="","",$E2802&amp;"|"&amp;COUNTIFS($E$7:$E2802,$E2802))</f>
        <v/>
      </c>
    </row>
    <row r="2803" spans="1:31" ht="18" customHeight="1" x14ac:dyDescent="0.3">
      <c r="A2803" s="2"/>
      <c r="B2803" s="65" t="str">
        <f>IF($C2803="","","GG"&amp;TEXT(ROW()-6,"00000"))</f>
        <v/>
      </c>
      <c r="C2803" s="66"/>
      <c r="D2803" s="60"/>
      <c r="E2803" s="61"/>
      <c r="F2803" s="61"/>
      <c r="G2803" s="67"/>
      <c r="H2803" s="60"/>
      <c r="I2803" s="60"/>
      <c r="J2803" s="61"/>
      <c r="K2803" s="61"/>
      <c r="L2803" s="60"/>
      <c r="M2803" s="74" t="str">
        <f>IF($C2803="","",IF($D2803="Gider",$E2803,IF($L2803&lt;&gt;"",$L2803,$H2803)))</f>
        <v/>
      </c>
      <c r="N2803" s="74" t="str">
        <f>IF($C2803="","",IF($D2803="Gider",$H2803,$E2803))</f>
        <v/>
      </c>
      <c r="O2803" s="73" t="str">
        <f>IF($C2803="","",DATE(YEAR($C2803),MONTH($C2803),1))</f>
        <v/>
      </c>
      <c r="P2803" s="65" t="str">
        <f ca="1">IF($C2803="","",IF(AND($D2803="Gelir",$L2803&lt;&gt;"",$T2803=""),"TANIMSIZ BORÇLU",IF($T2803&lt;&gt;"",IF(OR($E2803="",$G2803&lt;=0),"EKSİK",IF($I2803="Evet","TAHAKKUK NAKİT OLAMAZ",IF($C2803&gt;TODAY(),"İLERİ TARİH","TAHAKKUK"))),IF(AND($D2803&lt;&gt;"",$E2803&lt;&gt;"",$G2803&gt;0,$H2803&lt;&gt;"",$I2803&lt;&gt;""),IF($C2803&gt;TODAY(),"İLERİ TARİH",IF(COUNTIF($W$7:$W$3001,$W2803)&gt;1,"MÜKERRER?",IF($AD2803&gt;0,"KAPALI DÖNEM",IF($I2803="Hayır","ÖDENECEK","UYGUN")))),"EKSİK"))))</f>
        <v/>
      </c>
      <c r="Q2803" s="2"/>
      <c r="R2803" s="2"/>
      <c r="S2803" s="1" t="str">
        <f t="shared" si="131"/>
        <v/>
      </c>
      <c r="T2803" s="1" t="str">
        <f>IF(OR($C2803="",$D2803&lt;&gt;"Gelir",$L2803=""),"",IFERROR(INDEX(MUSTERILER!$B$7:$B$156,MATCH($S2803,MUSTERILER!$T$7:$T$156,0)),""))</f>
        <v/>
      </c>
      <c r="U2803" s="1" t="str">
        <f>IF($T2803="","",$T2803&amp;"|"&amp;COUNTIFS($T$7:$T2803,$T2803))</f>
        <v/>
      </c>
      <c r="V2803" s="1">
        <f t="shared" si="132"/>
        <v>0</v>
      </c>
      <c r="W2803" s="1" t="str">
        <f t="shared" si="133"/>
        <v/>
      </c>
      <c r="X2803" s="1"/>
      <c r="Y2803" s="1"/>
      <c r="Z2803" s="1"/>
      <c r="AA2803" s="1"/>
      <c r="AB2803" s="1"/>
      <c r="AC2803" s="1"/>
      <c r="AD2803" s="1">
        <f>IF($C2803="",0,SUMPRODUCT((AY_SONU!$O$7:$O$42="Evet")*(AY_SONU!$B$7:$B$42=DATE(YEAR($C2803),MONTH($C2803),1))))</f>
        <v>0</v>
      </c>
      <c r="AE2803" s="1" t="str">
        <f>IF($E2803="","",$E2803&amp;"|"&amp;COUNTIFS($E$7:$E2803,$E2803))</f>
        <v/>
      </c>
    </row>
    <row r="2804" spans="1:31" ht="18" customHeight="1" x14ac:dyDescent="0.3">
      <c r="A2804" s="2"/>
      <c r="B2804" s="65" t="str">
        <f>IF($C2804="","","GG"&amp;TEXT(ROW()-6,"00000"))</f>
        <v/>
      </c>
      <c r="C2804" s="66"/>
      <c r="D2804" s="60"/>
      <c r="E2804" s="61"/>
      <c r="F2804" s="61"/>
      <c r="G2804" s="67"/>
      <c r="H2804" s="60"/>
      <c r="I2804" s="60"/>
      <c r="J2804" s="61"/>
      <c r="K2804" s="61"/>
      <c r="L2804" s="60"/>
      <c r="M2804" s="74" t="str">
        <f>IF($C2804="","",IF($D2804="Gider",$E2804,IF($L2804&lt;&gt;"",$L2804,$H2804)))</f>
        <v/>
      </c>
      <c r="N2804" s="74" t="str">
        <f>IF($C2804="","",IF($D2804="Gider",$H2804,$E2804))</f>
        <v/>
      </c>
      <c r="O2804" s="73" t="str">
        <f>IF($C2804="","",DATE(YEAR($C2804),MONTH($C2804),1))</f>
        <v/>
      </c>
      <c r="P2804" s="65" t="str">
        <f ca="1">IF($C2804="","",IF(AND($D2804="Gelir",$L2804&lt;&gt;"",$T2804=""),"TANIMSIZ BORÇLU",IF($T2804&lt;&gt;"",IF(OR($E2804="",$G2804&lt;=0),"EKSİK",IF($I2804="Evet","TAHAKKUK NAKİT OLAMAZ",IF($C2804&gt;TODAY(),"İLERİ TARİH","TAHAKKUK"))),IF(AND($D2804&lt;&gt;"",$E2804&lt;&gt;"",$G2804&gt;0,$H2804&lt;&gt;"",$I2804&lt;&gt;""),IF($C2804&gt;TODAY(),"İLERİ TARİH",IF(COUNTIF($W$7:$W$3001,$W2804)&gt;1,"MÜKERRER?",IF($AD2804&gt;0,"KAPALI DÖNEM",IF($I2804="Hayır","ÖDENECEK","UYGUN")))),"EKSİK"))))</f>
        <v/>
      </c>
      <c r="Q2804" s="2"/>
      <c r="R2804" s="2"/>
      <c r="S2804" s="1" t="str">
        <f t="shared" si="131"/>
        <v/>
      </c>
      <c r="T2804" s="1" t="str">
        <f>IF(OR($C2804="",$D2804&lt;&gt;"Gelir",$L2804=""),"",IFERROR(INDEX(MUSTERILER!$B$7:$B$156,MATCH($S2804,MUSTERILER!$T$7:$T$156,0)),""))</f>
        <v/>
      </c>
      <c r="U2804" s="1" t="str">
        <f>IF($T2804="","",$T2804&amp;"|"&amp;COUNTIFS($T$7:$T2804,$T2804))</f>
        <v/>
      </c>
      <c r="V2804" s="1">
        <f t="shared" si="132"/>
        <v>0</v>
      </c>
      <c r="W2804" s="1" t="str">
        <f t="shared" si="133"/>
        <v/>
      </c>
      <c r="X2804" s="1"/>
      <c r="Y2804" s="1"/>
      <c r="Z2804" s="1"/>
      <c r="AA2804" s="1"/>
      <c r="AB2804" s="1"/>
      <c r="AC2804" s="1"/>
      <c r="AD2804" s="1">
        <f>IF($C2804="",0,SUMPRODUCT((AY_SONU!$O$7:$O$42="Evet")*(AY_SONU!$B$7:$B$42=DATE(YEAR($C2804),MONTH($C2804),1))))</f>
        <v>0</v>
      </c>
      <c r="AE2804" s="1" t="str">
        <f>IF($E2804="","",$E2804&amp;"|"&amp;COUNTIFS($E$7:$E2804,$E2804))</f>
        <v/>
      </c>
    </row>
    <row r="2805" spans="1:31" ht="18" customHeight="1" x14ac:dyDescent="0.3">
      <c r="A2805" s="2"/>
      <c r="B2805" s="65" t="str">
        <f>IF($C2805="","","GG"&amp;TEXT(ROW()-6,"00000"))</f>
        <v/>
      </c>
      <c r="C2805" s="66"/>
      <c r="D2805" s="60"/>
      <c r="E2805" s="61"/>
      <c r="F2805" s="61"/>
      <c r="G2805" s="67"/>
      <c r="H2805" s="60"/>
      <c r="I2805" s="60"/>
      <c r="J2805" s="61"/>
      <c r="K2805" s="61"/>
      <c r="L2805" s="60"/>
      <c r="M2805" s="74" t="str">
        <f>IF($C2805="","",IF($D2805="Gider",$E2805,IF($L2805&lt;&gt;"",$L2805,$H2805)))</f>
        <v/>
      </c>
      <c r="N2805" s="74" t="str">
        <f>IF($C2805="","",IF($D2805="Gider",$H2805,$E2805))</f>
        <v/>
      </c>
      <c r="O2805" s="73" t="str">
        <f>IF($C2805="","",DATE(YEAR($C2805),MONTH($C2805),1))</f>
        <v/>
      </c>
      <c r="P2805" s="65" t="str">
        <f ca="1">IF($C2805="","",IF(AND($D2805="Gelir",$L2805&lt;&gt;"",$T2805=""),"TANIMSIZ BORÇLU",IF($T2805&lt;&gt;"",IF(OR($E2805="",$G2805&lt;=0),"EKSİK",IF($I2805="Evet","TAHAKKUK NAKİT OLAMAZ",IF($C2805&gt;TODAY(),"İLERİ TARİH","TAHAKKUK"))),IF(AND($D2805&lt;&gt;"",$E2805&lt;&gt;"",$G2805&gt;0,$H2805&lt;&gt;"",$I2805&lt;&gt;""),IF($C2805&gt;TODAY(),"İLERİ TARİH",IF(COUNTIF($W$7:$W$3001,$W2805)&gt;1,"MÜKERRER?",IF($AD2805&gt;0,"KAPALI DÖNEM",IF($I2805="Hayır","ÖDENECEK","UYGUN")))),"EKSİK"))))</f>
        <v/>
      </c>
      <c r="Q2805" s="2"/>
      <c r="R2805" s="2"/>
      <c r="S2805" s="1" t="str">
        <f t="shared" si="131"/>
        <v/>
      </c>
      <c r="T2805" s="1" t="str">
        <f>IF(OR($C2805="",$D2805&lt;&gt;"Gelir",$L2805=""),"",IFERROR(INDEX(MUSTERILER!$B$7:$B$156,MATCH($S2805,MUSTERILER!$T$7:$T$156,0)),""))</f>
        <v/>
      </c>
      <c r="U2805" s="1" t="str">
        <f>IF($T2805="","",$T2805&amp;"|"&amp;COUNTIFS($T$7:$T2805,$T2805))</f>
        <v/>
      </c>
      <c r="V2805" s="1">
        <f t="shared" si="132"/>
        <v>0</v>
      </c>
      <c r="W2805" s="1" t="str">
        <f t="shared" si="133"/>
        <v/>
      </c>
      <c r="X2805" s="1"/>
      <c r="Y2805" s="1"/>
      <c r="Z2805" s="1"/>
      <c r="AA2805" s="1"/>
      <c r="AB2805" s="1"/>
      <c r="AC2805" s="1"/>
      <c r="AD2805" s="1">
        <f>IF($C2805="",0,SUMPRODUCT((AY_SONU!$O$7:$O$42="Evet")*(AY_SONU!$B$7:$B$42=DATE(YEAR($C2805),MONTH($C2805),1))))</f>
        <v>0</v>
      </c>
      <c r="AE2805" s="1" t="str">
        <f>IF($E2805="","",$E2805&amp;"|"&amp;COUNTIFS($E$7:$E2805,$E2805))</f>
        <v/>
      </c>
    </row>
    <row r="2806" spans="1:31" ht="18" customHeight="1" x14ac:dyDescent="0.3">
      <c r="A2806" s="2"/>
      <c r="B2806" s="65" t="str">
        <f>IF($C2806="","","GG"&amp;TEXT(ROW()-6,"00000"))</f>
        <v/>
      </c>
      <c r="C2806" s="66"/>
      <c r="D2806" s="60"/>
      <c r="E2806" s="61"/>
      <c r="F2806" s="61"/>
      <c r="G2806" s="67"/>
      <c r="H2806" s="60"/>
      <c r="I2806" s="60"/>
      <c r="J2806" s="61"/>
      <c r="K2806" s="61"/>
      <c r="L2806" s="60"/>
      <c r="M2806" s="74" t="str">
        <f>IF($C2806="","",IF($D2806="Gider",$E2806,IF($L2806&lt;&gt;"",$L2806,$H2806)))</f>
        <v/>
      </c>
      <c r="N2806" s="74" t="str">
        <f>IF($C2806="","",IF($D2806="Gider",$H2806,$E2806))</f>
        <v/>
      </c>
      <c r="O2806" s="73" t="str">
        <f>IF($C2806="","",DATE(YEAR($C2806),MONTH($C2806),1))</f>
        <v/>
      </c>
      <c r="P2806" s="65" t="str">
        <f ca="1">IF($C2806="","",IF(AND($D2806="Gelir",$L2806&lt;&gt;"",$T2806=""),"TANIMSIZ BORÇLU",IF($T2806&lt;&gt;"",IF(OR($E2806="",$G2806&lt;=0),"EKSİK",IF($I2806="Evet","TAHAKKUK NAKİT OLAMAZ",IF($C2806&gt;TODAY(),"İLERİ TARİH","TAHAKKUK"))),IF(AND($D2806&lt;&gt;"",$E2806&lt;&gt;"",$G2806&gt;0,$H2806&lt;&gt;"",$I2806&lt;&gt;""),IF($C2806&gt;TODAY(),"İLERİ TARİH",IF(COUNTIF($W$7:$W$3001,$W2806)&gt;1,"MÜKERRER?",IF($AD2806&gt;0,"KAPALI DÖNEM",IF($I2806="Hayır","ÖDENECEK","UYGUN")))),"EKSİK"))))</f>
        <v/>
      </c>
      <c r="Q2806" s="2"/>
      <c r="R2806" s="2"/>
      <c r="S2806" s="1" t="str">
        <f t="shared" si="131"/>
        <v/>
      </c>
      <c r="T2806" s="1" t="str">
        <f>IF(OR($C2806="",$D2806&lt;&gt;"Gelir",$L2806=""),"",IFERROR(INDEX(MUSTERILER!$B$7:$B$156,MATCH($S2806,MUSTERILER!$T$7:$T$156,0)),""))</f>
        <v/>
      </c>
      <c r="U2806" s="1" t="str">
        <f>IF($T2806="","",$T2806&amp;"|"&amp;COUNTIFS($T$7:$T2806,$T2806))</f>
        <v/>
      </c>
      <c r="V2806" s="1">
        <f t="shared" si="132"/>
        <v>0</v>
      </c>
      <c r="W2806" s="1" t="str">
        <f t="shared" si="133"/>
        <v/>
      </c>
      <c r="X2806" s="1"/>
      <c r="Y2806" s="1"/>
      <c r="Z2806" s="1"/>
      <c r="AA2806" s="1"/>
      <c r="AB2806" s="1"/>
      <c r="AC2806" s="1"/>
      <c r="AD2806" s="1">
        <f>IF($C2806="",0,SUMPRODUCT((AY_SONU!$O$7:$O$42="Evet")*(AY_SONU!$B$7:$B$42=DATE(YEAR($C2806),MONTH($C2806),1))))</f>
        <v>0</v>
      </c>
      <c r="AE2806" s="1" t="str">
        <f>IF($E2806="","",$E2806&amp;"|"&amp;COUNTIFS($E$7:$E2806,$E2806))</f>
        <v/>
      </c>
    </row>
    <row r="2807" spans="1:31" ht="18" customHeight="1" x14ac:dyDescent="0.3">
      <c r="A2807" s="2"/>
      <c r="B2807" s="65" t="str">
        <f>IF($C2807="","","GG"&amp;TEXT(ROW()-6,"00000"))</f>
        <v/>
      </c>
      <c r="C2807" s="66"/>
      <c r="D2807" s="60"/>
      <c r="E2807" s="61"/>
      <c r="F2807" s="61"/>
      <c r="G2807" s="67"/>
      <c r="H2807" s="60"/>
      <c r="I2807" s="60"/>
      <c r="J2807" s="61"/>
      <c r="K2807" s="61"/>
      <c r="L2807" s="60"/>
      <c r="M2807" s="74" t="str">
        <f>IF($C2807="","",IF($D2807="Gider",$E2807,IF($L2807&lt;&gt;"",$L2807,$H2807)))</f>
        <v/>
      </c>
      <c r="N2807" s="74" t="str">
        <f>IF($C2807="","",IF($D2807="Gider",$H2807,$E2807))</f>
        <v/>
      </c>
      <c r="O2807" s="73" t="str">
        <f>IF($C2807="","",DATE(YEAR($C2807),MONTH($C2807),1))</f>
        <v/>
      </c>
      <c r="P2807" s="65" t="str">
        <f ca="1">IF($C2807="","",IF(AND($D2807="Gelir",$L2807&lt;&gt;"",$T2807=""),"TANIMSIZ BORÇLU",IF($T2807&lt;&gt;"",IF(OR($E2807="",$G2807&lt;=0),"EKSİK",IF($I2807="Evet","TAHAKKUK NAKİT OLAMAZ",IF($C2807&gt;TODAY(),"İLERİ TARİH","TAHAKKUK"))),IF(AND($D2807&lt;&gt;"",$E2807&lt;&gt;"",$G2807&gt;0,$H2807&lt;&gt;"",$I2807&lt;&gt;""),IF($C2807&gt;TODAY(),"İLERİ TARİH",IF(COUNTIF($W$7:$W$3001,$W2807)&gt;1,"MÜKERRER?",IF($AD2807&gt;0,"KAPALI DÖNEM",IF($I2807="Hayır","ÖDENECEK","UYGUN")))),"EKSİK"))))</f>
        <v/>
      </c>
      <c r="Q2807" s="2"/>
      <c r="R2807" s="2"/>
      <c r="S2807" s="1" t="str">
        <f t="shared" si="131"/>
        <v/>
      </c>
      <c r="T2807" s="1" t="str">
        <f>IF(OR($C2807="",$D2807&lt;&gt;"Gelir",$L2807=""),"",IFERROR(INDEX(MUSTERILER!$B$7:$B$156,MATCH($S2807,MUSTERILER!$T$7:$T$156,0)),""))</f>
        <v/>
      </c>
      <c r="U2807" s="1" t="str">
        <f>IF($T2807="","",$T2807&amp;"|"&amp;COUNTIFS($T$7:$T2807,$T2807))</f>
        <v/>
      </c>
      <c r="V2807" s="1">
        <f t="shared" si="132"/>
        <v>0</v>
      </c>
      <c r="W2807" s="1" t="str">
        <f t="shared" si="133"/>
        <v/>
      </c>
      <c r="X2807" s="1"/>
      <c r="Y2807" s="1"/>
      <c r="Z2807" s="1"/>
      <c r="AA2807" s="1"/>
      <c r="AB2807" s="1"/>
      <c r="AC2807" s="1"/>
      <c r="AD2807" s="1">
        <f>IF($C2807="",0,SUMPRODUCT((AY_SONU!$O$7:$O$42="Evet")*(AY_SONU!$B$7:$B$42=DATE(YEAR($C2807),MONTH($C2807),1))))</f>
        <v>0</v>
      </c>
      <c r="AE2807" s="1" t="str">
        <f>IF($E2807="","",$E2807&amp;"|"&amp;COUNTIFS($E$7:$E2807,$E2807))</f>
        <v/>
      </c>
    </row>
    <row r="2808" spans="1:31" ht="18" customHeight="1" x14ac:dyDescent="0.3">
      <c r="A2808" s="2"/>
      <c r="B2808" s="65" t="str">
        <f>IF($C2808="","","GG"&amp;TEXT(ROW()-6,"00000"))</f>
        <v/>
      </c>
      <c r="C2808" s="66"/>
      <c r="D2808" s="60"/>
      <c r="E2808" s="61"/>
      <c r="F2808" s="61"/>
      <c r="G2808" s="67"/>
      <c r="H2808" s="60"/>
      <c r="I2808" s="60"/>
      <c r="J2808" s="61"/>
      <c r="K2808" s="61"/>
      <c r="L2808" s="60"/>
      <c r="M2808" s="74" t="str">
        <f>IF($C2808="","",IF($D2808="Gider",$E2808,IF($L2808&lt;&gt;"",$L2808,$H2808)))</f>
        <v/>
      </c>
      <c r="N2808" s="74" t="str">
        <f>IF($C2808="","",IF($D2808="Gider",$H2808,$E2808))</f>
        <v/>
      </c>
      <c r="O2808" s="73" t="str">
        <f>IF($C2808="","",DATE(YEAR($C2808),MONTH($C2808),1))</f>
        <v/>
      </c>
      <c r="P2808" s="65" t="str">
        <f ca="1">IF($C2808="","",IF(AND($D2808="Gelir",$L2808&lt;&gt;"",$T2808=""),"TANIMSIZ BORÇLU",IF($T2808&lt;&gt;"",IF(OR($E2808="",$G2808&lt;=0),"EKSİK",IF($I2808="Evet","TAHAKKUK NAKİT OLAMAZ",IF($C2808&gt;TODAY(),"İLERİ TARİH","TAHAKKUK"))),IF(AND($D2808&lt;&gt;"",$E2808&lt;&gt;"",$G2808&gt;0,$H2808&lt;&gt;"",$I2808&lt;&gt;""),IF($C2808&gt;TODAY(),"İLERİ TARİH",IF(COUNTIF($W$7:$W$3001,$W2808)&gt;1,"MÜKERRER?",IF($AD2808&gt;0,"KAPALI DÖNEM",IF($I2808="Hayır","ÖDENECEK","UYGUN")))),"EKSİK"))))</f>
        <v/>
      </c>
      <c r="Q2808" s="2"/>
      <c r="R2808" s="2"/>
      <c r="S2808" s="1" t="str">
        <f t="shared" si="131"/>
        <v/>
      </c>
      <c r="T2808" s="1" t="str">
        <f>IF(OR($C2808="",$D2808&lt;&gt;"Gelir",$L2808=""),"",IFERROR(INDEX(MUSTERILER!$B$7:$B$156,MATCH($S2808,MUSTERILER!$T$7:$T$156,0)),""))</f>
        <v/>
      </c>
      <c r="U2808" s="1" t="str">
        <f>IF($T2808="","",$T2808&amp;"|"&amp;COUNTIFS($T$7:$T2808,$T2808))</f>
        <v/>
      </c>
      <c r="V2808" s="1">
        <f t="shared" si="132"/>
        <v>0</v>
      </c>
      <c r="W2808" s="1" t="str">
        <f t="shared" si="133"/>
        <v/>
      </c>
      <c r="X2808" s="1"/>
      <c r="Y2808" s="1"/>
      <c r="Z2808" s="1"/>
      <c r="AA2808" s="1"/>
      <c r="AB2808" s="1"/>
      <c r="AC2808" s="1"/>
      <c r="AD2808" s="1">
        <f>IF($C2808="",0,SUMPRODUCT((AY_SONU!$O$7:$O$42="Evet")*(AY_SONU!$B$7:$B$42=DATE(YEAR($C2808),MONTH($C2808),1))))</f>
        <v>0</v>
      </c>
      <c r="AE2808" s="1" t="str">
        <f>IF($E2808="","",$E2808&amp;"|"&amp;COUNTIFS($E$7:$E2808,$E2808))</f>
        <v/>
      </c>
    </row>
    <row r="2809" spans="1:31" ht="18" customHeight="1" x14ac:dyDescent="0.3">
      <c r="A2809" s="2"/>
      <c r="B2809" s="65" t="str">
        <f>IF($C2809="","","GG"&amp;TEXT(ROW()-6,"00000"))</f>
        <v/>
      </c>
      <c r="C2809" s="66"/>
      <c r="D2809" s="60"/>
      <c r="E2809" s="61"/>
      <c r="F2809" s="61"/>
      <c r="G2809" s="67"/>
      <c r="H2809" s="60"/>
      <c r="I2809" s="60"/>
      <c r="J2809" s="61"/>
      <c r="K2809" s="61"/>
      <c r="L2809" s="60"/>
      <c r="M2809" s="74" t="str">
        <f>IF($C2809="","",IF($D2809="Gider",$E2809,IF($L2809&lt;&gt;"",$L2809,$H2809)))</f>
        <v/>
      </c>
      <c r="N2809" s="74" t="str">
        <f>IF($C2809="","",IF($D2809="Gider",$H2809,$E2809))</f>
        <v/>
      </c>
      <c r="O2809" s="73" t="str">
        <f>IF($C2809="","",DATE(YEAR($C2809),MONTH($C2809),1))</f>
        <v/>
      </c>
      <c r="P2809" s="65" t="str">
        <f ca="1">IF($C2809="","",IF(AND($D2809="Gelir",$L2809&lt;&gt;"",$T2809=""),"TANIMSIZ BORÇLU",IF($T2809&lt;&gt;"",IF(OR($E2809="",$G2809&lt;=0),"EKSİK",IF($I2809="Evet","TAHAKKUK NAKİT OLAMAZ",IF($C2809&gt;TODAY(),"İLERİ TARİH","TAHAKKUK"))),IF(AND($D2809&lt;&gt;"",$E2809&lt;&gt;"",$G2809&gt;0,$H2809&lt;&gt;"",$I2809&lt;&gt;""),IF($C2809&gt;TODAY(),"İLERİ TARİH",IF(COUNTIF($W$7:$W$3001,$W2809)&gt;1,"MÜKERRER?",IF($AD2809&gt;0,"KAPALI DÖNEM",IF($I2809="Hayır","ÖDENECEK","UYGUN")))),"EKSİK"))))</f>
        <v/>
      </c>
      <c r="Q2809" s="2"/>
      <c r="R2809" s="2"/>
      <c r="S2809" s="1" t="str">
        <f t="shared" si="131"/>
        <v/>
      </c>
      <c r="T2809" s="1" t="str">
        <f>IF(OR($C2809="",$D2809&lt;&gt;"Gelir",$L2809=""),"",IFERROR(INDEX(MUSTERILER!$B$7:$B$156,MATCH($S2809,MUSTERILER!$T$7:$T$156,0)),""))</f>
        <v/>
      </c>
      <c r="U2809" s="1" t="str">
        <f>IF($T2809="","",$T2809&amp;"|"&amp;COUNTIFS($T$7:$T2809,$T2809))</f>
        <v/>
      </c>
      <c r="V2809" s="1">
        <f t="shared" si="132"/>
        <v>0</v>
      </c>
      <c r="W2809" s="1" t="str">
        <f t="shared" si="133"/>
        <v/>
      </c>
      <c r="X2809" s="1"/>
      <c r="Y2809" s="1"/>
      <c r="Z2809" s="1"/>
      <c r="AA2809" s="1"/>
      <c r="AB2809" s="1"/>
      <c r="AC2809" s="1"/>
      <c r="AD2809" s="1">
        <f>IF($C2809="",0,SUMPRODUCT((AY_SONU!$O$7:$O$42="Evet")*(AY_SONU!$B$7:$B$42=DATE(YEAR($C2809),MONTH($C2809),1))))</f>
        <v>0</v>
      </c>
      <c r="AE2809" s="1" t="str">
        <f>IF($E2809="","",$E2809&amp;"|"&amp;COUNTIFS($E$7:$E2809,$E2809))</f>
        <v/>
      </c>
    </row>
    <row r="2810" spans="1:31" ht="18" customHeight="1" x14ac:dyDescent="0.3">
      <c r="A2810" s="2"/>
      <c r="B2810" s="65" t="str">
        <f>IF($C2810="","","GG"&amp;TEXT(ROW()-6,"00000"))</f>
        <v/>
      </c>
      <c r="C2810" s="66"/>
      <c r="D2810" s="60"/>
      <c r="E2810" s="61"/>
      <c r="F2810" s="61"/>
      <c r="G2810" s="67"/>
      <c r="H2810" s="60"/>
      <c r="I2810" s="60"/>
      <c r="J2810" s="61"/>
      <c r="K2810" s="61"/>
      <c r="L2810" s="60"/>
      <c r="M2810" s="74" t="str">
        <f>IF($C2810="","",IF($D2810="Gider",$E2810,IF($L2810&lt;&gt;"",$L2810,$H2810)))</f>
        <v/>
      </c>
      <c r="N2810" s="74" t="str">
        <f>IF($C2810="","",IF($D2810="Gider",$H2810,$E2810))</f>
        <v/>
      </c>
      <c r="O2810" s="73" t="str">
        <f>IF($C2810="","",DATE(YEAR($C2810),MONTH($C2810),1))</f>
        <v/>
      </c>
      <c r="P2810" s="65" t="str">
        <f ca="1">IF($C2810="","",IF(AND($D2810="Gelir",$L2810&lt;&gt;"",$T2810=""),"TANIMSIZ BORÇLU",IF($T2810&lt;&gt;"",IF(OR($E2810="",$G2810&lt;=0),"EKSİK",IF($I2810="Evet","TAHAKKUK NAKİT OLAMAZ",IF($C2810&gt;TODAY(),"İLERİ TARİH","TAHAKKUK"))),IF(AND($D2810&lt;&gt;"",$E2810&lt;&gt;"",$G2810&gt;0,$H2810&lt;&gt;"",$I2810&lt;&gt;""),IF($C2810&gt;TODAY(),"İLERİ TARİH",IF(COUNTIF($W$7:$W$3001,$W2810)&gt;1,"MÜKERRER?",IF($AD2810&gt;0,"KAPALI DÖNEM",IF($I2810="Hayır","ÖDENECEK","UYGUN")))),"EKSİK"))))</f>
        <v/>
      </c>
      <c r="Q2810" s="2"/>
      <c r="R2810" s="2"/>
      <c r="S2810" s="1" t="str">
        <f t="shared" si="131"/>
        <v/>
      </c>
      <c r="T2810" s="1" t="str">
        <f>IF(OR($C2810="",$D2810&lt;&gt;"Gelir",$L2810=""),"",IFERROR(INDEX(MUSTERILER!$B$7:$B$156,MATCH($S2810,MUSTERILER!$T$7:$T$156,0)),""))</f>
        <v/>
      </c>
      <c r="U2810" s="1" t="str">
        <f>IF($T2810="","",$T2810&amp;"|"&amp;COUNTIFS($T$7:$T2810,$T2810))</f>
        <v/>
      </c>
      <c r="V2810" s="1">
        <f t="shared" si="132"/>
        <v>0</v>
      </c>
      <c r="W2810" s="1" t="str">
        <f t="shared" si="133"/>
        <v/>
      </c>
      <c r="X2810" s="1"/>
      <c r="Y2810" s="1"/>
      <c r="Z2810" s="1"/>
      <c r="AA2810" s="1"/>
      <c r="AB2810" s="1"/>
      <c r="AC2810" s="1"/>
      <c r="AD2810" s="1">
        <f>IF($C2810="",0,SUMPRODUCT((AY_SONU!$O$7:$O$42="Evet")*(AY_SONU!$B$7:$B$42=DATE(YEAR($C2810),MONTH($C2810),1))))</f>
        <v>0</v>
      </c>
      <c r="AE2810" s="1" t="str">
        <f>IF($E2810="","",$E2810&amp;"|"&amp;COUNTIFS($E$7:$E2810,$E2810))</f>
        <v/>
      </c>
    </row>
    <row r="2811" spans="1:31" ht="18" customHeight="1" x14ac:dyDescent="0.3">
      <c r="A2811" s="2"/>
      <c r="B2811" s="65" t="str">
        <f>IF($C2811="","","GG"&amp;TEXT(ROW()-6,"00000"))</f>
        <v/>
      </c>
      <c r="C2811" s="66"/>
      <c r="D2811" s="60"/>
      <c r="E2811" s="61"/>
      <c r="F2811" s="61"/>
      <c r="G2811" s="67"/>
      <c r="H2811" s="60"/>
      <c r="I2811" s="60"/>
      <c r="J2811" s="61"/>
      <c r="K2811" s="61"/>
      <c r="L2811" s="60"/>
      <c r="M2811" s="74" t="str">
        <f>IF($C2811="","",IF($D2811="Gider",$E2811,IF($L2811&lt;&gt;"",$L2811,$H2811)))</f>
        <v/>
      </c>
      <c r="N2811" s="74" t="str">
        <f>IF($C2811="","",IF($D2811="Gider",$H2811,$E2811))</f>
        <v/>
      </c>
      <c r="O2811" s="73" t="str">
        <f>IF($C2811="","",DATE(YEAR($C2811),MONTH($C2811),1))</f>
        <v/>
      </c>
      <c r="P2811" s="65" t="str">
        <f ca="1">IF($C2811="","",IF(AND($D2811="Gelir",$L2811&lt;&gt;"",$T2811=""),"TANIMSIZ BORÇLU",IF($T2811&lt;&gt;"",IF(OR($E2811="",$G2811&lt;=0),"EKSİK",IF($I2811="Evet","TAHAKKUK NAKİT OLAMAZ",IF($C2811&gt;TODAY(),"İLERİ TARİH","TAHAKKUK"))),IF(AND($D2811&lt;&gt;"",$E2811&lt;&gt;"",$G2811&gt;0,$H2811&lt;&gt;"",$I2811&lt;&gt;""),IF($C2811&gt;TODAY(),"İLERİ TARİH",IF(COUNTIF($W$7:$W$3001,$W2811)&gt;1,"MÜKERRER?",IF($AD2811&gt;0,"KAPALI DÖNEM",IF($I2811="Hayır","ÖDENECEK","UYGUN")))),"EKSİK"))))</f>
        <v/>
      </c>
      <c r="Q2811" s="2"/>
      <c r="R2811" s="2"/>
      <c r="S2811" s="1" t="str">
        <f t="shared" si="131"/>
        <v/>
      </c>
      <c r="T2811" s="1" t="str">
        <f>IF(OR($C2811="",$D2811&lt;&gt;"Gelir",$L2811=""),"",IFERROR(INDEX(MUSTERILER!$B$7:$B$156,MATCH($S2811,MUSTERILER!$T$7:$T$156,0)),""))</f>
        <v/>
      </c>
      <c r="U2811" s="1" t="str">
        <f>IF($T2811="","",$T2811&amp;"|"&amp;COUNTIFS($T$7:$T2811,$T2811))</f>
        <v/>
      </c>
      <c r="V2811" s="1">
        <f t="shared" si="132"/>
        <v>0</v>
      </c>
      <c r="W2811" s="1" t="str">
        <f t="shared" si="133"/>
        <v/>
      </c>
      <c r="X2811" s="1"/>
      <c r="Y2811" s="1"/>
      <c r="Z2811" s="1"/>
      <c r="AA2811" s="1"/>
      <c r="AB2811" s="1"/>
      <c r="AC2811" s="1"/>
      <c r="AD2811" s="1">
        <f>IF($C2811="",0,SUMPRODUCT((AY_SONU!$O$7:$O$42="Evet")*(AY_SONU!$B$7:$B$42=DATE(YEAR($C2811),MONTH($C2811),1))))</f>
        <v>0</v>
      </c>
      <c r="AE2811" s="1" t="str">
        <f>IF($E2811="","",$E2811&amp;"|"&amp;COUNTIFS($E$7:$E2811,$E2811))</f>
        <v/>
      </c>
    </row>
    <row r="2812" spans="1:31" ht="18" customHeight="1" x14ac:dyDescent="0.3">
      <c r="A2812" s="2"/>
      <c r="B2812" s="65" t="str">
        <f>IF($C2812="","","GG"&amp;TEXT(ROW()-6,"00000"))</f>
        <v/>
      </c>
      <c r="C2812" s="66"/>
      <c r="D2812" s="60"/>
      <c r="E2812" s="61"/>
      <c r="F2812" s="61"/>
      <c r="G2812" s="67"/>
      <c r="H2812" s="60"/>
      <c r="I2812" s="60"/>
      <c r="J2812" s="61"/>
      <c r="K2812" s="61"/>
      <c r="L2812" s="60"/>
      <c r="M2812" s="74" t="str">
        <f>IF($C2812="","",IF($D2812="Gider",$E2812,IF($L2812&lt;&gt;"",$L2812,$H2812)))</f>
        <v/>
      </c>
      <c r="N2812" s="74" t="str">
        <f>IF($C2812="","",IF($D2812="Gider",$H2812,$E2812))</f>
        <v/>
      </c>
      <c r="O2812" s="73" t="str">
        <f>IF($C2812="","",DATE(YEAR($C2812),MONTH($C2812),1))</f>
        <v/>
      </c>
      <c r="P2812" s="65" t="str">
        <f ca="1">IF($C2812="","",IF(AND($D2812="Gelir",$L2812&lt;&gt;"",$T2812=""),"TANIMSIZ BORÇLU",IF($T2812&lt;&gt;"",IF(OR($E2812="",$G2812&lt;=0),"EKSİK",IF($I2812="Evet","TAHAKKUK NAKİT OLAMAZ",IF($C2812&gt;TODAY(),"İLERİ TARİH","TAHAKKUK"))),IF(AND($D2812&lt;&gt;"",$E2812&lt;&gt;"",$G2812&gt;0,$H2812&lt;&gt;"",$I2812&lt;&gt;""),IF($C2812&gt;TODAY(),"İLERİ TARİH",IF(COUNTIF($W$7:$W$3001,$W2812)&gt;1,"MÜKERRER?",IF($AD2812&gt;0,"KAPALI DÖNEM",IF($I2812="Hayır","ÖDENECEK","UYGUN")))),"EKSİK"))))</f>
        <v/>
      </c>
      <c r="Q2812" s="2"/>
      <c r="R2812" s="2"/>
      <c r="S2812" s="1" t="str">
        <f t="shared" si="131"/>
        <v/>
      </c>
      <c r="T2812" s="1" t="str">
        <f>IF(OR($C2812="",$D2812&lt;&gt;"Gelir",$L2812=""),"",IFERROR(INDEX(MUSTERILER!$B$7:$B$156,MATCH($S2812,MUSTERILER!$T$7:$T$156,0)),""))</f>
        <v/>
      </c>
      <c r="U2812" s="1" t="str">
        <f>IF($T2812="","",$T2812&amp;"|"&amp;COUNTIFS($T$7:$T2812,$T2812))</f>
        <v/>
      </c>
      <c r="V2812" s="1">
        <f t="shared" si="132"/>
        <v>0</v>
      </c>
      <c r="W2812" s="1" t="str">
        <f t="shared" si="133"/>
        <v/>
      </c>
      <c r="X2812" s="1"/>
      <c r="Y2812" s="1"/>
      <c r="Z2812" s="1"/>
      <c r="AA2812" s="1"/>
      <c r="AB2812" s="1"/>
      <c r="AC2812" s="1"/>
      <c r="AD2812" s="1">
        <f>IF($C2812="",0,SUMPRODUCT((AY_SONU!$O$7:$O$42="Evet")*(AY_SONU!$B$7:$B$42=DATE(YEAR($C2812),MONTH($C2812),1))))</f>
        <v>0</v>
      </c>
      <c r="AE2812" s="1" t="str">
        <f>IF($E2812="","",$E2812&amp;"|"&amp;COUNTIFS($E$7:$E2812,$E2812))</f>
        <v/>
      </c>
    </row>
    <row r="2813" spans="1:31" ht="18" customHeight="1" x14ac:dyDescent="0.3">
      <c r="A2813" s="2"/>
      <c r="B2813" s="65" t="str">
        <f>IF($C2813="","","GG"&amp;TEXT(ROW()-6,"00000"))</f>
        <v/>
      </c>
      <c r="C2813" s="66"/>
      <c r="D2813" s="60"/>
      <c r="E2813" s="61"/>
      <c r="F2813" s="61"/>
      <c r="G2813" s="67"/>
      <c r="H2813" s="60"/>
      <c r="I2813" s="60"/>
      <c r="J2813" s="61"/>
      <c r="K2813" s="61"/>
      <c r="L2813" s="60"/>
      <c r="M2813" s="74" t="str">
        <f>IF($C2813="","",IF($D2813="Gider",$E2813,IF($L2813&lt;&gt;"",$L2813,$H2813)))</f>
        <v/>
      </c>
      <c r="N2813" s="74" t="str">
        <f>IF($C2813="","",IF($D2813="Gider",$H2813,$E2813))</f>
        <v/>
      </c>
      <c r="O2813" s="73" t="str">
        <f>IF($C2813="","",DATE(YEAR($C2813),MONTH($C2813),1))</f>
        <v/>
      </c>
      <c r="P2813" s="65" t="str">
        <f ca="1">IF($C2813="","",IF(AND($D2813="Gelir",$L2813&lt;&gt;"",$T2813=""),"TANIMSIZ BORÇLU",IF($T2813&lt;&gt;"",IF(OR($E2813="",$G2813&lt;=0),"EKSİK",IF($I2813="Evet","TAHAKKUK NAKİT OLAMAZ",IF($C2813&gt;TODAY(),"İLERİ TARİH","TAHAKKUK"))),IF(AND($D2813&lt;&gt;"",$E2813&lt;&gt;"",$G2813&gt;0,$H2813&lt;&gt;"",$I2813&lt;&gt;""),IF($C2813&gt;TODAY(),"İLERİ TARİH",IF(COUNTIF($W$7:$W$3001,$W2813)&gt;1,"MÜKERRER?",IF($AD2813&gt;0,"KAPALI DÖNEM",IF($I2813="Hayır","ÖDENECEK","UYGUN")))),"EKSİK"))))</f>
        <v/>
      </c>
      <c r="Q2813" s="2"/>
      <c r="R2813" s="2"/>
      <c r="S2813" s="1" t="str">
        <f t="shared" si="131"/>
        <v/>
      </c>
      <c r="T2813" s="1" t="str">
        <f>IF(OR($C2813="",$D2813&lt;&gt;"Gelir",$L2813=""),"",IFERROR(INDEX(MUSTERILER!$B$7:$B$156,MATCH($S2813,MUSTERILER!$T$7:$T$156,0)),""))</f>
        <v/>
      </c>
      <c r="U2813" s="1" t="str">
        <f>IF($T2813="","",$T2813&amp;"|"&amp;COUNTIFS($T$7:$T2813,$T2813))</f>
        <v/>
      </c>
      <c r="V2813" s="1">
        <f t="shared" si="132"/>
        <v>0</v>
      </c>
      <c r="W2813" s="1" t="str">
        <f t="shared" si="133"/>
        <v/>
      </c>
      <c r="X2813" s="1"/>
      <c r="Y2813" s="1"/>
      <c r="Z2813" s="1"/>
      <c r="AA2813" s="1"/>
      <c r="AB2813" s="1"/>
      <c r="AC2813" s="1"/>
      <c r="AD2813" s="1">
        <f>IF($C2813="",0,SUMPRODUCT((AY_SONU!$O$7:$O$42="Evet")*(AY_SONU!$B$7:$B$42=DATE(YEAR($C2813),MONTH($C2813),1))))</f>
        <v>0</v>
      </c>
      <c r="AE2813" s="1" t="str">
        <f>IF($E2813="","",$E2813&amp;"|"&amp;COUNTIFS($E$7:$E2813,$E2813))</f>
        <v/>
      </c>
    </row>
    <row r="2814" spans="1:31" ht="18" customHeight="1" x14ac:dyDescent="0.3">
      <c r="A2814" s="2"/>
      <c r="B2814" s="65" t="str">
        <f>IF($C2814="","","GG"&amp;TEXT(ROW()-6,"00000"))</f>
        <v/>
      </c>
      <c r="C2814" s="66"/>
      <c r="D2814" s="60"/>
      <c r="E2814" s="61"/>
      <c r="F2814" s="61"/>
      <c r="G2814" s="67"/>
      <c r="H2814" s="60"/>
      <c r="I2814" s="60"/>
      <c r="J2814" s="61"/>
      <c r="K2814" s="61"/>
      <c r="L2814" s="60"/>
      <c r="M2814" s="74" t="str">
        <f>IF($C2814="","",IF($D2814="Gider",$E2814,IF($L2814&lt;&gt;"",$L2814,$H2814)))</f>
        <v/>
      </c>
      <c r="N2814" s="74" t="str">
        <f>IF($C2814="","",IF($D2814="Gider",$H2814,$E2814))</f>
        <v/>
      </c>
      <c r="O2814" s="73" t="str">
        <f>IF($C2814="","",DATE(YEAR($C2814),MONTH($C2814),1))</f>
        <v/>
      </c>
      <c r="P2814" s="65" t="str">
        <f ca="1">IF($C2814="","",IF(AND($D2814="Gelir",$L2814&lt;&gt;"",$T2814=""),"TANIMSIZ BORÇLU",IF($T2814&lt;&gt;"",IF(OR($E2814="",$G2814&lt;=0),"EKSİK",IF($I2814="Evet","TAHAKKUK NAKİT OLAMAZ",IF($C2814&gt;TODAY(),"İLERİ TARİH","TAHAKKUK"))),IF(AND($D2814&lt;&gt;"",$E2814&lt;&gt;"",$G2814&gt;0,$H2814&lt;&gt;"",$I2814&lt;&gt;""),IF($C2814&gt;TODAY(),"İLERİ TARİH",IF(COUNTIF($W$7:$W$3001,$W2814)&gt;1,"MÜKERRER?",IF($AD2814&gt;0,"KAPALI DÖNEM",IF($I2814="Hayır","ÖDENECEK","UYGUN")))),"EKSİK"))))</f>
        <v/>
      </c>
      <c r="Q2814" s="2"/>
      <c r="R2814" s="2"/>
      <c r="S2814" s="1" t="str">
        <f t="shared" si="131"/>
        <v/>
      </c>
      <c r="T2814" s="1" t="str">
        <f>IF(OR($C2814="",$D2814&lt;&gt;"Gelir",$L2814=""),"",IFERROR(INDEX(MUSTERILER!$B$7:$B$156,MATCH($S2814,MUSTERILER!$T$7:$T$156,0)),""))</f>
        <v/>
      </c>
      <c r="U2814" s="1" t="str">
        <f>IF($T2814="","",$T2814&amp;"|"&amp;COUNTIFS($T$7:$T2814,$T2814))</f>
        <v/>
      </c>
      <c r="V2814" s="1">
        <f t="shared" si="132"/>
        <v>0</v>
      </c>
      <c r="W2814" s="1" t="str">
        <f t="shared" si="133"/>
        <v/>
      </c>
      <c r="X2814" s="1"/>
      <c r="Y2814" s="1"/>
      <c r="Z2814" s="1"/>
      <c r="AA2814" s="1"/>
      <c r="AB2814" s="1"/>
      <c r="AC2814" s="1"/>
      <c r="AD2814" s="1">
        <f>IF($C2814="",0,SUMPRODUCT((AY_SONU!$O$7:$O$42="Evet")*(AY_SONU!$B$7:$B$42=DATE(YEAR($C2814),MONTH($C2814),1))))</f>
        <v>0</v>
      </c>
      <c r="AE2814" s="1" t="str">
        <f>IF($E2814="","",$E2814&amp;"|"&amp;COUNTIFS($E$7:$E2814,$E2814))</f>
        <v/>
      </c>
    </row>
    <row r="2815" spans="1:31" ht="18" customHeight="1" x14ac:dyDescent="0.3">
      <c r="A2815" s="2"/>
      <c r="B2815" s="65" t="str">
        <f>IF($C2815="","","GG"&amp;TEXT(ROW()-6,"00000"))</f>
        <v/>
      </c>
      <c r="C2815" s="66"/>
      <c r="D2815" s="60"/>
      <c r="E2815" s="61"/>
      <c r="F2815" s="61"/>
      <c r="G2815" s="67"/>
      <c r="H2815" s="60"/>
      <c r="I2815" s="60"/>
      <c r="J2815" s="61"/>
      <c r="K2815" s="61"/>
      <c r="L2815" s="60"/>
      <c r="M2815" s="74" t="str">
        <f>IF($C2815="","",IF($D2815="Gider",$E2815,IF($L2815&lt;&gt;"",$L2815,$H2815)))</f>
        <v/>
      </c>
      <c r="N2815" s="74" t="str">
        <f>IF($C2815="","",IF($D2815="Gider",$H2815,$E2815))</f>
        <v/>
      </c>
      <c r="O2815" s="73" t="str">
        <f>IF($C2815="","",DATE(YEAR($C2815),MONTH($C2815),1))</f>
        <v/>
      </c>
      <c r="P2815" s="65" t="str">
        <f ca="1">IF($C2815="","",IF(AND($D2815="Gelir",$L2815&lt;&gt;"",$T2815=""),"TANIMSIZ BORÇLU",IF($T2815&lt;&gt;"",IF(OR($E2815="",$G2815&lt;=0),"EKSİK",IF($I2815="Evet","TAHAKKUK NAKİT OLAMAZ",IF($C2815&gt;TODAY(),"İLERİ TARİH","TAHAKKUK"))),IF(AND($D2815&lt;&gt;"",$E2815&lt;&gt;"",$G2815&gt;0,$H2815&lt;&gt;"",$I2815&lt;&gt;""),IF($C2815&gt;TODAY(),"İLERİ TARİH",IF(COUNTIF($W$7:$W$3001,$W2815)&gt;1,"MÜKERRER?",IF($AD2815&gt;0,"KAPALI DÖNEM",IF($I2815="Hayır","ÖDENECEK","UYGUN")))),"EKSİK"))))</f>
        <v/>
      </c>
      <c r="Q2815" s="2"/>
      <c r="R2815" s="2"/>
      <c r="S2815" s="1" t="str">
        <f t="shared" si="131"/>
        <v/>
      </c>
      <c r="T2815" s="1" t="str">
        <f>IF(OR($C2815="",$D2815&lt;&gt;"Gelir",$L2815=""),"",IFERROR(INDEX(MUSTERILER!$B$7:$B$156,MATCH($S2815,MUSTERILER!$T$7:$T$156,0)),""))</f>
        <v/>
      </c>
      <c r="U2815" s="1" t="str">
        <f>IF($T2815="","",$T2815&amp;"|"&amp;COUNTIFS($T$7:$T2815,$T2815))</f>
        <v/>
      </c>
      <c r="V2815" s="1">
        <f t="shared" si="132"/>
        <v>0</v>
      </c>
      <c r="W2815" s="1" t="str">
        <f t="shared" si="133"/>
        <v/>
      </c>
      <c r="X2815" s="1"/>
      <c r="Y2815" s="1"/>
      <c r="Z2815" s="1"/>
      <c r="AA2815" s="1"/>
      <c r="AB2815" s="1"/>
      <c r="AC2815" s="1"/>
      <c r="AD2815" s="1">
        <f>IF($C2815="",0,SUMPRODUCT((AY_SONU!$O$7:$O$42="Evet")*(AY_SONU!$B$7:$B$42=DATE(YEAR($C2815),MONTH($C2815),1))))</f>
        <v>0</v>
      </c>
      <c r="AE2815" s="1" t="str">
        <f>IF($E2815="","",$E2815&amp;"|"&amp;COUNTIFS($E$7:$E2815,$E2815))</f>
        <v/>
      </c>
    </row>
    <row r="2816" spans="1:31" ht="18" customHeight="1" x14ac:dyDescent="0.3">
      <c r="A2816" s="2"/>
      <c r="B2816" s="65" t="str">
        <f>IF($C2816="","","GG"&amp;TEXT(ROW()-6,"00000"))</f>
        <v/>
      </c>
      <c r="C2816" s="66"/>
      <c r="D2816" s="60"/>
      <c r="E2816" s="61"/>
      <c r="F2816" s="61"/>
      <c r="G2816" s="67"/>
      <c r="H2816" s="60"/>
      <c r="I2816" s="60"/>
      <c r="J2816" s="61"/>
      <c r="K2816" s="61"/>
      <c r="L2816" s="60"/>
      <c r="M2816" s="74" t="str">
        <f>IF($C2816="","",IF($D2816="Gider",$E2816,IF($L2816&lt;&gt;"",$L2816,$H2816)))</f>
        <v/>
      </c>
      <c r="N2816" s="74" t="str">
        <f>IF($C2816="","",IF($D2816="Gider",$H2816,$E2816))</f>
        <v/>
      </c>
      <c r="O2816" s="73" t="str">
        <f>IF($C2816="","",DATE(YEAR($C2816),MONTH($C2816),1))</f>
        <v/>
      </c>
      <c r="P2816" s="65" t="str">
        <f ca="1">IF($C2816="","",IF(AND($D2816="Gelir",$L2816&lt;&gt;"",$T2816=""),"TANIMSIZ BORÇLU",IF($T2816&lt;&gt;"",IF(OR($E2816="",$G2816&lt;=0),"EKSİK",IF($I2816="Evet","TAHAKKUK NAKİT OLAMAZ",IF($C2816&gt;TODAY(),"İLERİ TARİH","TAHAKKUK"))),IF(AND($D2816&lt;&gt;"",$E2816&lt;&gt;"",$G2816&gt;0,$H2816&lt;&gt;"",$I2816&lt;&gt;""),IF($C2816&gt;TODAY(),"İLERİ TARİH",IF(COUNTIF($W$7:$W$3001,$W2816)&gt;1,"MÜKERRER?",IF($AD2816&gt;0,"KAPALI DÖNEM",IF($I2816="Hayır","ÖDENECEK","UYGUN")))),"EKSİK"))))</f>
        <v/>
      </c>
      <c r="Q2816" s="2"/>
      <c r="R2816" s="2"/>
      <c r="S2816" s="1" t="str">
        <f t="shared" si="131"/>
        <v/>
      </c>
      <c r="T2816" s="1" t="str">
        <f>IF(OR($C2816="",$D2816&lt;&gt;"Gelir",$L2816=""),"",IFERROR(INDEX(MUSTERILER!$B$7:$B$156,MATCH($S2816,MUSTERILER!$T$7:$T$156,0)),""))</f>
        <v/>
      </c>
      <c r="U2816" s="1" t="str">
        <f>IF($T2816="","",$T2816&amp;"|"&amp;COUNTIFS($T$7:$T2816,$T2816))</f>
        <v/>
      </c>
      <c r="V2816" s="1">
        <f t="shared" si="132"/>
        <v>0</v>
      </c>
      <c r="W2816" s="1" t="str">
        <f t="shared" si="133"/>
        <v/>
      </c>
      <c r="X2816" s="1"/>
      <c r="Y2816" s="1"/>
      <c r="Z2816" s="1"/>
      <c r="AA2816" s="1"/>
      <c r="AB2816" s="1"/>
      <c r="AC2816" s="1"/>
      <c r="AD2816" s="1">
        <f>IF($C2816="",0,SUMPRODUCT((AY_SONU!$O$7:$O$42="Evet")*(AY_SONU!$B$7:$B$42=DATE(YEAR($C2816),MONTH($C2816),1))))</f>
        <v>0</v>
      </c>
      <c r="AE2816" s="1" t="str">
        <f>IF($E2816="","",$E2816&amp;"|"&amp;COUNTIFS($E$7:$E2816,$E2816))</f>
        <v/>
      </c>
    </row>
    <row r="2817" spans="1:31" ht="18" customHeight="1" x14ac:dyDescent="0.3">
      <c r="A2817" s="2"/>
      <c r="B2817" s="65" t="str">
        <f>IF($C2817="","","GG"&amp;TEXT(ROW()-6,"00000"))</f>
        <v/>
      </c>
      <c r="C2817" s="66"/>
      <c r="D2817" s="60"/>
      <c r="E2817" s="61"/>
      <c r="F2817" s="61"/>
      <c r="G2817" s="67"/>
      <c r="H2817" s="60"/>
      <c r="I2817" s="60"/>
      <c r="J2817" s="61"/>
      <c r="K2817" s="61"/>
      <c r="L2817" s="60"/>
      <c r="M2817" s="74" t="str">
        <f>IF($C2817="","",IF($D2817="Gider",$E2817,IF($L2817&lt;&gt;"",$L2817,$H2817)))</f>
        <v/>
      </c>
      <c r="N2817" s="74" t="str">
        <f>IF($C2817="","",IF($D2817="Gider",$H2817,$E2817))</f>
        <v/>
      </c>
      <c r="O2817" s="73" t="str">
        <f>IF($C2817="","",DATE(YEAR($C2817),MONTH($C2817),1))</f>
        <v/>
      </c>
      <c r="P2817" s="65" t="str">
        <f ca="1">IF($C2817="","",IF(AND($D2817="Gelir",$L2817&lt;&gt;"",$T2817=""),"TANIMSIZ BORÇLU",IF($T2817&lt;&gt;"",IF(OR($E2817="",$G2817&lt;=0),"EKSİK",IF($I2817="Evet","TAHAKKUK NAKİT OLAMAZ",IF($C2817&gt;TODAY(),"İLERİ TARİH","TAHAKKUK"))),IF(AND($D2817&lt;&gt;"",$E2817&lt;&gt;"",$G2817&gt;0,$H2817&lt;&gt;"",$I2817&lt;&gt;""),IF($C2817&gt;TODAY(),"İLERİ TARİH",IF(COUNTIF($W$7:$W$3001,$W2817)&gt;1,"MÜKERRER?",IF($AD2817&gt;0,"KAPALI DÖNEM",IF($I2817="Hayır","ÖDENECEK","UYGUN")))),"EKSİK"))))</f>
        <v/>
      </c>
      <c r="Q2817" s="2"/>
      <c r="R2817" s="2"/>
      <c r="S2817" s="1" t="str">
        <f t="shared" si="131"/>
        <v/>
      </c>
      <c r="T2817" s="1" t="str">
        <f>IF(OR($C2817="",$D2817&lt;&gt;"Gelir",$L2817=""),"",IFERROR(INDEX(MUSTERILER!$B$7:$B$156,MATCH($S2817,MUSTERILER!$T$7:$T$156,0)),""))</f>
        <v/>
      </c>
      <c r="U2817" s="1" t="str">
        <f>IF($T2817="","",$T2817&amp;"|"&amp;COUNTIFS($T$7:$T2817,$T2817))</f>
        <v/>
      </c>
      <c r="V2817" s="1">
        <f t="shared" si="132"/>
        <v>0</v>
      </c>
      <c r="W2817" s="1" t="str">
        <f t="shared" si="133"/>
        <v/>
      </c>
      <c r="X2817" s="1"/>
      <c r="Y2817" s="1"/>
      <c r="Z2817" s="1"/>
      <c r="AA2817" s="1"/>
      <c r="AB2817" s="1"/>
      <c r="AC2817" s="1"/>
      <c r="AD2817" s="1">
        <f>IF($C2817="",0,SUMPRODUCT((AY_SONU!$O$7:$O$42="Evet")*(AY_SONU!$B$7:$B$42=DATE(YEAR($C2817),MONTH($C2817),1))))</f>
        <v>0</v>
      </c>
      <c r="AE2817" s="1" t="str">
        <f>IF($E2817="","",$E2817&amp;"|"&amp;COUNTIFS($E$7:$E2817,$E2817))</f>
        <v/>
      </c>
    </row>
    <row r="2818" spans="1:31" ht="18" customHeight="1" x14ac:dyDescent="0.3">
      <c r="A2818" s="2"/>
      <c r="B2818" s="65" t="str">
        <f>IF($C2818="","","GG"&amp;TEXT(ROW()-6,"00000"))</f>
        <v/>
      </c>
      <c r="C2818" s="66"/>
      <c r="D2818" s="60"/>
      <c r="E2818" s="61"/>
      <c r="F2818" s="61"/>
      <c r="G2818" s="67"/>
      <c r="H2818" s="60"/>
      <c r="I2818" s="60"/>
      <c r="J2818" s="61"/>
      <c r="K2818" s="61"/>
      <c r="L2818" s="60"/>
      <c r="M2818" s="74" t="str">
        <f>IF($C2818="","",IF($D2818="Gider",$E2818,IF($L2818&lt;&gt;"",$L2818,$H2818)))</f>
        <v/>
      </c>
      <c r="N2818" s="74" t="str">
        <f>IF($C2818="","",IF($D2818="Gider",$H2818,$E2818))</f>
        <v/>
      </c>
      <c r="O2818" s="73" t="str">
        <f>IF($C2818="","",DATE(YEAR($C2818),MONTH($C2818),1))</f>
        <v/>
      </c>
      <c r="P2818" s="65" t="str">
        <f ca="1">IF($C2818="","",IF(AND($D2818="Gelir",$L2818&lt;&gt;"",$T2818=""),"TANIMSIZ BORÇLU",IF($T2818&lt;&gt;"",IF(OR($E2818="",$G2818&lt;=0),"EKSİK",IF($I2818="Evet","TAHAKKUK NAKİT OLAMAZ",IF($C2818&gt;TODAY(),"İLERİ TARİH","TAHAKKUK"))),IF(AND($D2818&lt;&gt;"",$E2818&lt;&gt;"",$G2818&gt;0,$H2818&lt;&gt;"",$I2818&lt;&gt;""),IF($C2818&gt;TODAY(),"İLERİ TARİH",IF(COUNTIF($W$7:$W$3001,$W2818)&gt;1,"MÜKERRER?",IF($AD2818&gt;0,"KAPALI DÖNEM",IF($I2818="Hayır","ÖDENECEK","UYGUN")))),"EKSİK"))))</f>
        <v/>
      </c>
      <c r="Q2818" s="2"/>
      <c r="R2818" s="2"/>
      <c r="S2818" s="1" t="str">
        <f t="shared" si="131"/>
        <v/>
      </c>
      <c r="T2818" s="1" t="str">
        <f>IF(OR($C2818="",$D2818&lt;&gt;"Gelir",$L2818=""),"",IFERROR(INDEX(MUSTERILER!$B$7:$B$156,MATCH($S2818,MUSTERILER!$T$7:$T$156,0)),""))</f>
        <v/>
      </c>
      <c r="U2818" s="1" t="str">
        <f>IF($T2818="","",$T2818&amp;"|"&amp;COUNTIFS($T$7:$T2818,$T2818))</f>
        <v/>
      </c>
      <c r="V2818" s="1">
        <f t="shared" si="132"/>
        <v>0</v>
      </c>
      <c r="W2818" s="1" t="str">
        <f t="shared" si="133"/>
        <v/>
      </c>
      <c r="X2818" s="1"/>
      <c r="Y2818" s="1"/>
      <c r="Z2818" s="1"/>
      <c r="AA2818" s="1"/>
      <c r="AB2818" s="1"/>
      <c r="AC2818" s="1"/>
      <c r="AD2818" s="1">
        <f>IF($C2818="",0,SUMPRODUCT((AY_SONU!$O$7:$O$42="Evet")*(AY_SONU!$B$7:$B$42=DATE(YEAR($C2818),MONTH($C2818),1))))</f>
        <v>0</v>
      </c>
      <c r="AE2818" s="1" t="str">
        <f>IF($E2818="","",$E2818&amp;"|"&amp;COUNTIFS($E$7:$E2818,$E2818))</f>
        <v/>
      </c>
    </row>
    <row r="2819" spans="1:31" ht="18" customHeight="1" x14ac:dyDescent="0.3">
      <c r="A2819" s="2"/>
      <c r="B2819" s="65" t="str">
        <f>IF($C2819="","","GG"&amp;TEXT(ROW()-6,"00000"))</f>
        <v/>
      </c>
      <c r="C2819" s="66"/>
      <c r="D2819" s="60"/>
      <c r="E2819" s="61"/>
      <c r="F2819" s="61"/>
      <c r="G2819" s="67"/>
      <c r="H2819" s="60"/>
      <c r="I2819" s="60"/>
      <c r="J2819" s="61"/>
      <c r="K2819" s="61"/>
      <c r="L2819" s="60"/>
      <c r="M2819" s="74" t="str">
        <f>IF($C2819="","",IF($D2819="Gider",$E2819,IF($L2819&lt;&gt;"",$L2819,$H2819)))</f>
        <v/>
      </c>
      <c r="N2819" s="74" t="str">
        <f>IF($C2819="","",IF($D2819="Gider",$H2819,$E2819))</f>
        <v/>
      </c>
      <c r="O2819" s="73" t="str">
        <f>IF($C2819="","",DATE(YEAR($C2819),MONTH($C2819),1))</f>
        <v/>
      </c>
      <c r="P2819" s="65" t="str">
        <f ca="1">IF($C2819="","",IF(AND($D2819="Gelir",$L2819&lt;&gt;"",$T2819=""),"TANIMSIZ BORÇLU",IF($T2819&lt;&gt;"",IF(OR($E2819="",$G2819&lt;=0),"EKSİK",IF($I2819="Evet","TAHAKKUK NAKİT OLAMAZ",IF($C2819&gt;TODAY(),"İLERİ TARİH","TAHAKKUK"))),IF(AND($D2819&lt;&gt;"",$E2819&lt;&gt;"",$G2819&gt;0,$H2819&lt;&gt;"",$I2819&lt;&gt;""),IF($C2819&gt;TODAY(),"İLERİ TARİH",IF(COUNTIF($W$7:$W$3001,$W2819)&gt;1,"MÜKERRER?",IF($AD2819&gt;0,"KAPALI DÖNEM",IF($I2819="Hayır","ÖDENECEK","UYGUN")))),"EKSİK"))))</f>
        <v/>
      </c>
      <c r="Q2819" s="2"/>
      <c r="R2819" s="2"/>
      <c r="S2819" s="1" t="str">
        <f t="shared" si="131"/>
        <v/>
      </c>
      <c r="T2819" s="1" t="str">
        <f>IF(OR($C2819="",$D2819&lt;&gt;"Gelir",$L2819=""),"",IFERROR(INDEX(MUSTERILER!$B$7:$B$156,MATCH($S2819,MUSTERILER!$T$7:$T$156,0)),""))</f>
        <v/>
      </c>
      <c r="U2819" s="1" t="str">
        <f>IF($T2819="","",$T2819&amp;"|"&amp;COUNTIFS($T$7:$T2819,$T2819))</f>
        <v/>
      </c>
      <c r="V2819" s="1">
        <f t="shared" si="132"/>
        <v>0</v>
      </c>
      <c r="W2819" s="1" t="str">
        <f t="shared" si="133"/>
        <v/>
      </c>
      <c r="X2819" s="1"/>
      <c r="Y2819" s="1"/>
      <c r="Z2819" s="1"/>
      <c r="AA2819" s="1"/>
      <c r="AB2819" s="1"/>
      <c r="AC2819" s="1"/>
      <c r="AD2819" s="1">
        <f>IF($C2819="",0,SUMPRODUCT((AY_SONU!$O$7:$O$42="Evet")*(AY_SONU!$B$7:$B$42=DATE(YEAR($C2819),MONTH($C2819),1))))</f>
        <v>0</v>
      </c>
      <c r="AE2819" s="1" t="str">
        <f>IF($E2819="","",$E2819&amp;"|"&amp;COUNTIFS($E$7:$E2819,$E2819))</f>
        <v/>
      </c>
    </row>
    <row r="2820" spans="1:31" ht="18" customHeight="1" x14ac:dyDescent="0.3">
      <c r="A2820" s="2"/>
      <c r="B2820" s="65" t="str">
        <f>IF($C2820="","","GG"&amp;TEXT(ROW()-6,"00000"))</f>
        <v/>
      </c>
      <c r="C2820" s="66"/>
      <c r="D2820" s="60"/>
      <c r="E2820" s="61"/>
      <c r="F2820" s="61"/>
      <c r="G2820" s="67"/>
      <c r="H2820" s="60"/>
      <c r="I2820" s="60"/>
      <c r="J2820" s="61"/>
      <c r="K2820" s="61"/>
      <c r="L2820" s="60"/>
      <c r="M2820" s="74" t="str">
        <f>IF($C2820="","",IF($D2820="Gider",$E2820,IF($L2820&lt;&gt;"",$L2820,$H2820)))</f>
        <v/>
      </c>
      <c r="N2820" s="74" t="str">
        <f>IF($C2820="","",IF($D2820="Gider",$H2820,$E2820))</f>
        <v/>
      </c>
      <c r="O2820" s="73" t="str">
        <f>IF($C2820="","",DATE(YEAR($C2820),MONTH($C2820),1))</f>
        <v/>
      </c>
      <c r="P2820" s="65" t="str">
        <f ca="1">IF($C2820="","",IF(AND($D2820="Gelir",$L2820&lt;&gt;"",$T2820=""),"TANIMSIZ BORÇLU",IF($T2820&lt;&gt;"",IF(OR($E2820="",$G2820&lt;=0),"EKSİK",IF($I2820="Evet","TAHAKKUK NAKİT OLAMAZ",IF($C2820&gt;TODAY(),"İLERİ TARİH","TAHAKKUK"))),IF(AND($D2820&lt;&gt;"",$E2820&lt;&gt;"",$G2820&gt;0,$H2820&lt;&gt;"",$I2820&lt;&gt;""),IF($C2820&gt;TODAY(),"İLERİ TARİH",IF(COUNTIF($W$7:$W$3001,$W2820)&gt;1,"MÜKERRER?",IF($AD2820&gt;0,"KAPALI DÖNEM",IF($I2820="Hayır","ÖDENECEK","UYGUN")))),"EKSİK"))))</f>
        <v/>
      </c>
      <c r="Q2820" s="2"/>
      <c r="R2820" s="2"/>
      <c r="S2820" s="1" t="str">
        <f t="shared" si="131"/>
        <v/>
      </c>
      <c r="T2820" s="1" t="str">
        <f>IF(OR($C2820="",$D2820&lt;&gt;"Gelir",$L2820=""),"",IFERROR(INDEX(MUSTERILER!$B$7:$B$156,MATCH($S2820,MUSTERILER!$T$7:$T$156,0)),""))</f>
        <v/>
      </c>
      <c r="U2820" s="1" t="str">
        <f>IF($T2820="","",$T2820&amp;"|"&amp;COUNTIFS($T$7:$T2820,$T2820))</f>
        <v/>
      </c>
      <c r="V2820" s="1">
        <f t="shared" si="132"/>
        <v>0</v>
      </c>
      <c r="W2820" s="1" t="str">
        <f t="shared" si="133"/>
        <v/>
      </c>
      <c r="X2820" s="1"/>
      <c r="Y2820" s="1"/>
      <c r="Z2820" s="1"/>
      <c r="AA2820" s="1"/>
      <c r="AB2820" s="1"/>
      <c r="AC2820" s="1"/>
      <c r="AD2820" s="1">
        <f>IF($C2820="",0,SUMPRODUCT((AY_SONU!$O$7:$O$42="Evet")*(AY_SONU!$B$7:$B$42=DATE(YEAR($C2820),MONTH($C2820),1))))</f>
        <v>0</v>
      </c>
      <c r="AE2820" s="1" t="str">
        <f>IF($E2820="","",$E2820&amp;"|"&amp;COUNTIFS($E$7:$E2820,$E2820))</f>
        <v/>
      </c>
    </row>
    <row r="2821" spans="1:31" ht="18" customHeight="1" x14ac:dyDescent="0.3">
      <c r="A2821" s="2"/>
      <c r="B2821" s="65" t="str">
        <f>IF($C2821="","","GG"&amp;TEXT(ROW()-6,"00000"))</f>
        <v/>
      </c>
      <c r="C2821" s="66"/>
      <c r="D2821" s="60"/>
      <c r="E2821" s="61"/>
      <c r="F2821" s="61"/>
      <c r="G2821" s="67"/>
      <c r="H2821" s="60"/>
      <c r="I2821" s="60"/>
      <c r="J2821" s="61"/>
      <c r="K2821" s="61"/>
      <c r="L2821" s="60"/>
      <c r="M2821" s="74" t="str">
        <f>IF($C2821="","",IF($D2821="Gider",$E2821,IF($L2821&lt;&gt;"",$L2821,$H2821)))</f>
        <v/>
      </c>
      <c r="N2821" s="74" t="str">
        <f>IF($C2821="","",IF($D2821="Gider",$H2821,$E2821))</f>
        <v/>
      </c>
      <c r="O2821" s="73" t="str">
        <f>IF($C2821="","",DATE(YEAR($C2821),MONTH($C2821),1))</f>
        <v/>
      </c>
      <c r="P2821" s="65" t="str">
        <f ca="1">IF($C2821="","",IF(AND($D2821="Gelir",$L2821&lt;&gt;"",$T2821=""),"TANIMSIZ BORÇLU",IF($T2821&lt;&gt;"",IF(OR($E2821="",$G2821&lt;=0),"EKSİK",IF($I2821="Evet","TAHAKKUK NAKİT OLAMAZ",IF($C2821&gt;TODAY(),"İLERİ TARİH","TAHAKKUK"))),IF(AND($D2821&lt;&gt;"",$E2821&lt;&gt;"",$G2821&gt;0,$H2821&lt;&gt;"",$I2821&lt;&gt;""),IF($C2821&gt;TODAY(),"İLERİ TARİH",IF(COUNTIF($W$7:$W$3001,$W2821)&gt;1,"MÜKERRER?",IF($AD2821&gt;0,"KAPALI DÖNEM",IF($I2821="Hayır","ÖDENECEK","UYGUN")))),"EKSİK"))))</f>
        <v/>
      </c>
      <c r="Q2821" s="2"/>
      <c r="R2821" s="2"/>
      <c r="S2821" s="1" t="str">
        <f t="shared" ref="S2821:S2884" si="134">IF($L2821="","",UPPER(SUBSTITUTE(SUBSTITUTE(SUBSTITUTE(SUBSTITUTE(SUBSTITUTE(SUBSTITUTE(SUBSTITUTE(SUBSTITUTE(SUBSTITUTE(SUBSTITUTE(SUBSTITUTE(SUBSTITUTE(SUBSTITUTE(SUBSTITUTE(SUBSTITUTE(SUBSTITUTE(SUBSTITUTE(SUBSTITUTE(TRIM($L2821),"'",""),"İ","I"),"ı","I"),"i","I"),"Ş","S"),"ş","S"),"Ğ","G"),"ğ","G"),"Ü","U"),"ü","U"),"Ö","O"),"ö","O"),"Ç","C"),"ç","C"),".",""),",","")," ",""),"-","")))</f>
        <v/>
      </c>
      <c r="T2821" s="1" t="str">
        <f>IF(OR($C2821="",$D2821&lt;&gt;"Gelir",$L2821=""),"",IFERROR(INDEX(MUSTERILER!$B$7:$B$156,MATCH($S2821,MUSTERILER!$T$7:$T$156,0)),""))</f>
        <v/>
      </c>
      <c r="U2821" s="1" t="str">
        <f>IF($T2821="","",$T2821&amp;"|"&amp;COUNTIFS($T$7:$T2821,$T2821))</f>
        <v/>
      </c>
      <c r="V2821" s="1">
        <f t="shared" ref="V2821:V2884" si="135">IF($T2821="",0,1)</f>
        <v>0</v>
      </c>
      <c r="W2821" s="1" t="str">
        <f t="shared" ref="W2821:W2884" si="136">IF($C2821="","",$D2821&amp;"|"&amp;$E2821&amp;"|"&amp;TEXT($C2821,"0")&amp;"|"&amp;TEXT($G2821,"0")&amp;"|"&amp;$F2821&amp;"|"&amp;$J2821)</f>
        <v/>
      </c>
      <c r="X2821" s="1"/>
      <c r="Y2821" s="1"/>
      <c r="Z2821" s="1"/>
      <c r="AA2821" s="1"/>
      <c r="AB2821" s="1"/>
      <c r="AC2821" s="1"/>
      <c r="AD2821" s="1">
        <f>IF($C2821="",0,SUMPRODUCT((AY_SONU!$O$7:$O$42="Evet")*(AY_SONU!$B$7:$B$42=DATE(YEAR($C2821),MONTH($C2821),1))))</f>
        <v>0</v>
      </c>
      <c r="AE2821" s="1" t="str">
        <f>IF($E2821="","",$E2821&amp;"|"&amp;COUNTIFS($E$7:$E2821,$E2821))</f>
        <v/>
      </c>
    </row>
    <row r="2822" spans="1:31" ht="18" customHeight="1" x14ac:dyDescent="0.3">
      <c r="A2822" s="2"/>
      <c r="B2822" s="65" t="str">
        <f>IF($C2822="","","GG"&amp;TEXT(ROW()-6,"00000"))</f>
        <v/>
      </c>
      <c r="C2822" s="66"/>
      <c r="D2822" s="60"/>
      <c r="E2822" s="61"/>
      <c r="F2822" s="61"/>
      <c r="G2822" s="67"/>
      <c r="H2822" s="60"/>
      <c r="I2822" s="60"/>
      <c r="J2822" s="61"/>
      <c r="K2822" s="61"/>
      <c r="L2822" s="60"/>
      <c r="M2822" s="74" t="str">
        <f>IF($C2822="","",IF($D2822="Gider",$E2822,IF($L2822&lt;&gt;"",$L2822,$H2822)))</f>
        <v/>
      </c>
      <c r="N2822" s="74" t="str">
        <f>IF($C2822="","",IF($D2822="Gider",$H2822,$E2822))</f>
        <v/>
      </c>
      <c r="O2822" s="73" t="str">
        <f>IF($C2822="","",DATE(YEAR($C2822),MONTH($C2822),1))</f>
        <v/>
      </c>
      <c r="P2822" s="65" t="str">
        <f ca="1">IF($C2822="","",IF(AND($D2822="Gelir",$L2822&lt;&gt;"",$T2822=""),"TANIMSIZ BORÇLU",IF($T2822&lt;&gt;"",IF(OR($E2822="",$G2822&lt;=0),"EKSİK",IF($I2822="Evet","TAHAKKUK NAKİT OLAMAZ",IF($C2822&gt;TODAY(),"İLERİ TARİH","TAHAKKUK"))),IF(AND($D2822&lt;&gt;"",$E2822&lt;&gt;"",$G2822&gt;0,$H2822&lt;&gt;"",$I2822&lt;&gt;""),IF($C2822&gt;TODAY(),"İLERİ TARİH",IF(COUNTIF($W$7:$W$3001,$W2822)&gt;1,"MÜKERRER?",IF($AD2822&gt;0,"KAPALI DÖNEM",IF($I2822="Hayır","ÖDENECEK","UYGUN")))),"EKSİK"))))</f>
        <v/>
      </c>
      <c r="Q2822" s="2"/>
      <c r="R2822" s="2"/>
      <c r="S2822" s="1" t="str">
        <f t="shared" si="134"/>
        <v/>
      </c>
      <c r="T2822" s="1" t="str">
        <f>IF(OR($C2822="",$D2822&lt;&gt;"Gelir",$L2822=""),"",IFERROR(INDEX(MUSTERILER!$B$7:$B$156,MATCH($S2822,MUSTERILER!$T$7:$T$156,0)),""))</f>
        <v/>
      </c>
      <c r="U2822" s="1" t="str">
        <f>IF($T2822="","",$T2822&amp;"|"&amp;COUNTIFS($T$7:$T2822,$T2822))</f>
        <v/>
      </c>
      <c r="V2822" s="1">
        <f t="shared" si="135"/>
        <v>0</v>
      </c>
      <c r="W2822" s="1" t="str">
        <f t="shared" si="136"/>
        <v/>
      </c>
      <c r="X2822" s="1"/>
      <c r="Y2822" s="1"/>
      <c r="Z2822" s="1"/>
      <c r="AA2822" s="1"/>
      <c r="AB2822" s="1"/>
      <c r="AC2822" s="1"/>
      <c r="AD2822" s="1">
        <f>IF($C2822="",0,SUMPRODUCT((AY_SONU!$O$7:$O$42="Evet")*(AY_SONU!$B$7:$B$42=DATE(YEAR($C2822),MONTH($C2822),1))))</f>
        <v>0</v>
      </c>
      <c r="AE2822" s="1" t="str">
        <f>IF($E2822="","",$E2822&amp;"|"&amp;COUNTIFS($E$7:$E2822,$E2822))</f>
        <v/>
      </c>
    </row>
    <row r="2823" spans="1:31" ht="18" customHeight="1" x14ac:dyDescent="0.3">
      <c r="A2823" s="2"/>
      <c r="B2823" s="65" t="str">
        <f>IF($C2823="","","GG"&amp;TEXT(ROW()-6,"00000"))</f>
        <v/>
      </c>
      <c r="C2823" s="66"/>
      <c r="D2823" s="60"/>
      <c r="E2823" s="61"/>
      <c r="F2823" s="61"/>
      <c r="G2823" s="67"/>
      <c r="H2823" s="60"/>
      <c r="I2823" s="60"/>
      <c r="J2823" s="61"/>
      <c r="K2823" s="61"/>
      <c r="L2823" s="60"/>
      <c r="M2823" s="74" t="str">
        <f>IF($C2823="","",IF($D2823="Gider",$E2823,IF($L2823&lt;&gt;"",$L2823,$H2823)))</f>
        <v/>
      </c>
      <c r="N2823" s="74" t="str">
        <f>IF($C2823="","",IF($D2823="Gider",$H2823,$E2823))</f>
        <v/>
      </c>
      <c r="O2823" s="73" t="str">
        <f>IF($C2823="","",DATE(YEAR($C2823),MONTH($C2823),1))</f>
        <v/>
      </c>
      <c r="P2823" s="65" t="str">
        <f ca="1"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TARİH",IF(COUNTIF($W$7:$W$3001,$W2823)&gt;1,"MÜKERRER?",IF($AD2823&gt;0,"KAPALI DÖNEM",IF($I2823="Hayır","ÖDENECEK","UYGUN")))),"EKSİK"))))</f>
        <v/>
      </c>
      <c r="Q2823" s="2"/>
      <c r="R2823" s="2"/>
      <c r="S2823" s="1" t="str">
        <f t="shared" si="134"/>
        <v/>
      </c>
      <c r="T2823" s="1" t="str">
        <f>IF(OR($C2823="",$D2823&lt;&gt;"Gelir",$L2823=""),"",IFERROR(INDEX(MUSTERILER!$B$7:$B$156,MATCH($S2823,MUSTERILER!$T$7:$T$156,0)),""))</f>
        <v/>
      </c>
      <c r="U2823" s="1" t="str">
        <f>IF($T2823="","",$T2823&amp;"|"&amp;COUNTIFS($T$7:$T2823,$T2823))</f>
        <v/>
      </c>
      <c r="V2823" s="1">
        <f t="shared" si="135"/>
        <v>0</v>
      </c>
      <c r="W2823" s="1" t="str">
        <f t="shared" si="136"/>
        <v/>
      </c>
      <c r="X2823" s="1"/>
      <c r="Y2823" s="1"/>
      <c r="Z2823" s="1"/>
      <c r="AA2823" s="1"/>
      <c r="AB2823" s="1"/>
      <c r="AC2823" s="1"/>
      <c r="AD2823" s="1">
        <f>IF($C2823="",0,SUMPRODUCT((AY_SONU!$O$7:$O$42="Evet")*(AY_SONU!$B$7:$B$42=DATE(YEAR($C2823),MONTH($C2823),1))))</f>
        <v>0</v>
      </c>
      <c r="AE2823" s="1" t="str">
        <f>IF($E2823="","",$E2823&amp;"|"&amp;COUNTIFS($E$7:$E2823,$E2823))</f>
        <v/>
      </c>
    </row>
    <row r="2824" spans="1:31" ht="18" customHeight="1" x14ac:dyDescent="0.3">
      <c r="A2824" s="2"/>
      <c r="B2824" s="65" t="str">
        <f>IF($C2824="","","GG"&amp;TEXT(ROW()-6,"00000"))</f>
        <v/>
      </c>
      <c r="C2824" s="66"/>
      <c r="D2824" s="60"/>
      <c r="E2824" s="61"/>
      <c r="F2824" s="61"/>
      <c r="G2824" s="67"/>
      <c r="H2824" s="60"/>
      <c r="I2824" s="60"/>
      <c r="J2824" s="61"/>
      <c r="K2824" s="61"/>
      <c r="L2824" s="60"/>
      <c r="M2824" s="74" t="str">
        <f>IF($C2824="","",IF($D2824="Gider",$E2824,IF($L2824&lt;&gt;"",$L2824,$H2824)))</f>
        <v/>
      </c>
      <c r="N2824" s="74" t="str">
        <f>IF($C2824="","",IF($D2824="Gider",$H2824,$E2824))</f>
        <v/>
      </c>
      <c r="O2824" s="73" t="str">
        <f>IF($C2824="","",DATE(YEAR($C2824),MONTH($C2824),1))</f>
        <v/>
      </c>
      <c r="P2824" s="65" t="str">
        <f ca="1">IF($C2824="","",IF(AND($D2824="Gelir",$L2824&lt;&gt;"",$T2824=""),"TANIMSIZ BORÇLU",IF($T2824&lt;&gt;"",IF(OR($E2824="",$G2824&lt;=0),"EKSİK",IF($I2824="Evet","TAHAKKUK NAKİT OLAMAZ",IF($C2824&gt;TODAY(),"İLERİ TARİH","TAHAKKUK"))),IF(AND($D2824&lt;&gt;"",$E2824&lt;&gt;"",$G2824&gt;0,$H2824&lt;&gt;"",$I2824&lt;&gt;""),IF($C2824&gt;TODAY(),"İLERİ TARİH",IF(COUNTIF($W$7:$W$3001,$W2824)&gt;1,"MÜKERRER?",IF($AD2824&gt;0,"KAPALI DÖNEM",IF($I2824="Hayır","ÖDENECEK","UYGUN")))),"EKSİK"))))</f>
        <v/>
      </c>
      <c r="Q2824" s="2"/>
      <c r="R2824" s="2"/>
      <c r="S2824" s="1" t="str">
        <f t="shared" si="134"/>
        <v/>
      </c>
      <c r="T2824" s="1" t="str">
        <f>IF(OR($C2824="",$D2824&lt;&gt;"Gelir",$L2824=""),"",IFERROR(INDEX(MUSTERILER!$B$7:$B$156,MATCH($S2824,MUSTERILER!$T$7:$T$156,0)),""))</f>
        <v/>
      </c>
      <c r="U2824" s="1" t="str">
        <f>IF($T2824="","",$T2824&amp;"|"&amp;COUNTIFS($T$7:$T2824,$T2824))</f>
        <v/>
      </c>
      <c r="V2824" s="1">
        <f t="shared" si="135"/>
        <v>0</v>
      </c>
      <c r="W2824" s="1" t="str">
        <f t="shared" si="136"/>
        <v/>
      </c>
      <c r="X2824" s="1"/>
      <c r="Y2824" s="1"/>
      <c r="Z2824" s="1"/>
      <c r="AA2824" s="1"/>
      <c r="AB2824" s="1"/>
      <c r="AC2824" s="1"/>
      <c r="AD2824" s="1">
        <f>IF($C2824="",0,SUMPRODUCT((AY_SONU!$O$7:$O$42="Evet")*(AY_SONU!$B$7:$B$42=DATE(YEAR($C2824),MONTH($C2824),1))))</f>
        <v>0</v>
      </c>
      <c r="AE2824" s="1" t="str">
        <f>IF($E2824="","",$E2824&amp;"|"&amp;COUNTIFS($E$7:$E2824,$E2824))</f>
        <v/>
      </c>
    </row>
    <row r="2825" spans="1:31" ht="18" customHeight="1" x14ac:dyDescent="0.3">
      <c r="A2825" s="2"/>
      <c r="B2825" s="65" t="str">
        <f>IF($C2825="","","GG"&amp;TEXT(ROW()-6,"00000"))</f>
        <v/>
      </c>
      <c r="C2825" s="66"/>
      <c r="D2825" s="60"/>
      <c r="E2825" s="61"/>
      <c r="F2825" s="61"/>
      <c r="G2825" s="67"/>
      <c r="H2825" s="60"/>
      <c r="I2825" s="60"/>
      <c r="J2825" s="61"/>
      <c r="K2825" s="61"/>
      <c r="L2825" s="60"/>
      <c r="M2825" s="74" t="str">
        <f>IF($C2825="","",IF($D2825="Gider",$E2825,IF($L2825&lt;&gt;"",$L2825,$H2825)))</f>
        <v/>
      </c>
      <c r="N2825" s="74" t="str">
        <f>IF($C2825="","",IF($D2825="Gider",$H2825,$E2825))</f>
        <v/>
      </c>
      <c r="O2825" s="73" t="str">
        <f>IF($C2825="","",DATE(YEAR($C2825),MONTH($C2825),1))</f>
        <v/>
      </c>
      <c r="P2825" s="65" t="str">
        <f ca="1">IF($C2825="","",IF(AND($D2825="Gelir",$L2825&lt;&gt;"",$T2825=""),"TANIMSIZ BORÇLU",IF($T2825&lt;&gt;"",IF(OR($E2825="",$G2825&lt;=0),"EKSİK",IF($I2825="Evet","TAHAKKUK NAKİT OLAMAZ",IF($C2825&gt;TODAY(),"İLERİ TARİH","TAHAKKUK"))),IF(AND($D2825&lt;&gt;"",$E2825&lt;&gt;"",$G2825&gt;0,$H2825&lt;&gt;"",$I2825&lt;&gt;""),IF($C2825&gt;TODAY(),"İLERİ TARİH",IF(COUNTIF($W$7:$W$3001,$W2825)&gt;1,"MÜKERRER?",IF($AD2825&gt;0,"KAPALI DÖNEM",IF($I2825="Hayır","ÖDENECEK","UYGUN")))),"EKSİK"))))</f>
        <v/>
      </c>
      <c r="Q2825" s="2"/>
      <c r="R2825" s="2"/>
      <c r="S2825" s="1" t="str">
        <f t="shared" si="134"/>
        <v/>
      </c>
      <c r="T2825" s="1" t="str">
        <f>IF(OR($C2825="",$D2825&lt;&gt;"Gelir",$L2825=""),"",IFERROR(INDEX(MUSTERILER!$B$7:$B$156,MATCH($S2825,MUSTERILER!$T$7:$T$156,0)),""))</f>
        <v/>
      </c>
      <c r="U2825" s="1" t="str">
        <f>IF($T2825="","",$T2825&amp;"|"&amp;COUNTIFS($T$7:$T2825,$T2825))</f>
        <v/>
      </c>
      <c r="V2825" s="1">
        <f t="shared" si="135"/>
        <v>0</v>
      </c>
      <c r="W2825" s="1" t="str">
        <f t="shared" si="136"/>
        <v/>
      </c>
      <c r="X2825" s="1"/>
      <c r="Y2825" s="1"/>
      <c r="Z2825" s="1"/>
      <c r="AA2825" s="1"/>
      <c r="AB2825" s="1"/>
      <c r="AC2825" s="1"/>
      <c r="AD2825" s="1">
        <f>IF($C2825="",0,SUMPRODUCT((AY_SONU!$O$7:$O$42="Evet")*(AY_SONU!$B$7:$B$42=DATE(YEAR($C2825),MONTH($C2825),1))))</f>
        <v>0</v>
      </c>
      <c r="AE2825" s="1" t="str">
        <f>IF($E2825="","",$E2825&amp;"|"&amp;COUNTIFS($E$7:$E2825,$E2825))</f>
        <v/>
      </c>
    </row>
    <row r="2826" spans="1:31" ht="18" customHeight="1" x14ac:dyDescent="0.3">
      <c r="A2826" s="2"/>
      <c r="B2826" s="65" t="str">
        <f>IF($C2826="","","GG"&amp;TEXT(ROW()-6,"00000"))</f>
        <v/>
      </c>
      <c r="C2826" s="66"/>
      <c r="D2826" s="60"/>
      <c r="E2826" s="61"/>
      <c r="F2826" s="61"/>
      <c r="G2826" s="67"/>
      <c r="H2826" s="60"/>
      <c r="I2826" s="60"/>
      <c r="J2826" s="61"/>
      <c r="K2826" s="61"/>
      <c r="L2826" s="60"/>
      <c r="M2826" s="74" t="str">
        <f>IF($C2826="","",IF($D2826="Gider",$E2826,IF($L2826&lt;&gt;"",$L2826,$H2826)))</f>
        <v/>
      </c>
      <c r="N2826" s="74" t="str">
        <f>IF($C2826="","",IF($D2826="Gider",$H2826,$E2826))</f>
        <v/>
      </c>
      <c r="O2826" s="73" t="str">
        <f>IF($C2826="","",DATE(YEAR($C2826),MONTH($C2826),1))</f>
        <v/>
      </c>
      <c r="P2826" s="65" t="str">
        <f ca="1">IF($C2826="","",IF(AND($D2826="Gelir",$L2826&lt;&gt;"",$T2826=""),"TANIMSIZ BORÇLU",IF($T2826&lt;&gt;"",IF(OR($E2826="",$G2826&lt;=0),"EKSİK",IF($I2826="Evet","TAHAKKUK NAKİT OLAMAZ",IF($C2826&gt;TODAY(),"İLERİ TARİH","TAHAKKUK"))),IF(AND($D2826&lt;&gt;"",$E2826&lt;&gt;"",$G2826&gt;0,$H2826&lt;&gt;"",$I2826&lt;&gt;""),IF($C2826&gt;TODAY(),"İLERİ TARİH",IF(COUNTIF($W$7:$W$3001,$W2826)&gt;1,"MÜKERRER?",IF($AD2826&gt;0,"KAPALI DÖNEM",IF($I2826="Hayır","ÖDENECEK","UYGUN")))),"EKSİK"))))</f>
        <v/>
      </c>
      <c r="Q2826" s="2"/>
      <c r="R2826" s="2"/>
      <c r="S2826" s="1" t="str">
        <f t="shared" si="134"/>
        <v/>
      </c>
      <c r="T2826" s="1" t="str">
        <f>IF(OR($C2826="",$D2826&lt;&gt;"Gelir",$L2826=""),"",IFERROR(INDEX(MUSTERILER!$B$7:$B$156,MATCH($S2826,MUSTERILER!$T$7:$T$156,0)),""))</f>
        <v/>
      </c>
      <c r="U2826" s="1" t="str">
        <f>IF($T2826="","",$T2826&amp;"|"&amp;COUNTIFS($T$7:$T2826,$T2826))</f>
        <v/>
      </c>
      <c r="V2826" s="1">
        <f t="shared" si="135"/>
        <v>0</v>
      </c>
      <c r="W2826" s="1" t="str">
        <f t="shared" si="136"/>
        <v/>
      </c>
      <c r="X2826" s="1"/>
      <c r="Y2826" s="1"/>
      <c r="Z2826" s="1"/>
      <c r="AA2826" s="1"/>
      <c r="AB2826" s="1"/>
      <c r="AC2826" s="1"/>
      <c r="AD2826" s="1">
        <f>IF($C2826="",0,SUMPRODUCT((AY_SONU!$O$7:$O$42="Evet")*(AY_SONU!$B$7:$B$42=DATE(YEAR($C2826),MONTH($C2826),1))))</f>
        <v>0</v>
      </c>
      <c r="AE2826" s="1" t="str">
        <f>IF($E2826="","",$E2826&amp;"|"&amp;COUNTIFS($E$7:$E2826,$E2826))</f>
        <v/>
      </c>
    </row>
    <row r="2827" spans="1:31" ht="18" customHeight="1" x14ac:dyDescent="0.3">
      <c r="A2827" s="2"/>
      <c r="B2827" s="65" t="str">
        <f>IF($C2827="","","GG"&amp;TEXT(ROW()-6,"00000"))</f>
        <v/>
      </c>
      <c r="C2827" s="66"/>
      <c r="D2827" s="60"/>
      <c r="E2827" s="61"/>
      <c r="F2827" s="61"/>
      <c r="G2827" s="67"/>
      <c r="H2827" s="60"/>
      <c r="I2827" s="60"/>
      <c r="J2827" s="61"/>
      <c r="K2827" s="61"/>
      <c r="L2827" s="60"/>
      <c r="M2827" s="74" t="str">
        <f>IF($C2827="","",IF($D2827="Gider",$E2827,IF($L2827&lt;&gt;"",$L2827,$H2827)))</f>
        <v/>
      </c>
      <c r="N2827" s="74" t="str">
        <f>IF($C2827="","",IF($D2827="Gider",$H2827,$E2827))</f>
        <v/>
      </c>
      <c r="O2827" s="73" t="str">
        <f>IF($C2827="","",DATE(YEAR($C2827),MONTH($C2827),1))</f>
        <v/>
      </c>
      <c r="P2827" s="65" t="str">
        <f ca="1">IF($C2827="","",IF(AND($D2827="Gelir",$L2827&lt;&gt;"",$T2827=""),"TANIMSIZ BORÇLU",IF($T2827&lt;&gt;"",IF(OR($E2827="",$G2827&lt;=0),"EKSİK",IF($I2827="Evet","TAHAKKUK NAKİT OLAMAZ",IF($C2827&gt;TODAY(),"İLERİ TARİH","TAHAKKUK"))),IF(AND($D2827&lt;&gt;"",$E2827&lt;&gt;"",$G2827&gt;0,$H2827&lt;&gt;"",$I2827&lt;&gt;""),IF($C2827&gt;TODAY(),"İLERİ TARİH",IF(COUNTIF($W$7:$W$3001,$W2827)&gt;1,"MÜKERRER?",IF($AD2827&gt;0,"KAPALI DÖNEM",IF($I2827="Hayır","ÖDENECEK","UYGUN")))),"EKSİK"))))</f>
        <v/>
      </c>
      <c r="Q2827" s="2"/>
      <c r="R2827" s="2"/>
      <c r="S2827" s="1" t="str">
        <f t="shared" si="134"/>
        <v/>
      </c>
      <c r="T2827" s="1" t="str">
        <f>IF(OR($C2827="",$D2827&lt;&gt;"Gelir",$L2827=""),"",IFERROR(INDEX(MUSTERILER!$B$7:$B$156,MATCH($S2827,MUSTERILER!$T$7:$T$156,0)),""))</f>
        <v/>
      </c>
      <c r="U2827" s="1" t="str">
        <f>IF($T2827="","",$T2827&amp;"|"&amp;COUNTIFS($T$7:$T2827,$T2827))</f>
        <v/>
      </c>
      <c r="V2827" s="1">
        <f t="shared" si="135"/>
        <v>0</v>
      </c>
      <c r="W2827" s="1" t="str">
        <f t="shared" si="136"/>
        <v/>
      </c>
      <c r="X2827" s="1"/>
      <c r="Y2827" s="1"/>
      <c r="Z2827" s="1"/>
      <c r="AA2827" s="1"/>
      <c r="AB2827" s="1"/>
      <c r="AC2827" s="1"/>
      <c r="AD2827" s="1">
        <f>IF($C2827="",0,SUMPRODUCT((AY_SONU!$O$7:$O$42="Evet")*(AY_SONU!$B$7:$B$42=DATE(YEAR($C2827),MONTH($C2827),1))))</f>
        <v>0</v>
      </c>
      <c r="AE2827" s="1" t="str">
        <f>IF($E2827="","",$E2827&amp;"|"&amp;COUNTIFS($E$7:$E2827,$E2827))</f>
        <v/>
      </c>
    </row>
    <row r="2828" spans="1:31" ht="18" customHeight="1" x14ac:dyDescent="0.3">
      <c r="A2828" s="2"/>
      <c r="B2828" s="65" t="str">
        <f>IF($C2828="","","GG"&amp;TEXT(ROW()-6,"00000"))</f>
        <v/>
      </c>
      <c r="C2828" s="66"/>
      <c r="D2828" s="60"/>
      <c r="E2828" s="61"/>
      <c r="F2828" s="61"/>
      <c r="G2828" s="67"/>
      <c r="H2828" s="60"/>
      <c r="I2828" s="60"/>
      <c r="J2828" s="61"/>
      <c r="K2828" s="61"/>
      <c r="L2828" s="60"/>
      <c r="M2828" s="74" t="str">
        <f>IF($C2828="","",IF($D2828="Gider",$E2828,IF($L2828&lt;&gt;"",$L2828,$H2828)))</f>
        <v/>
      </c>
      <c r="N2828" s="74" t="str">
        <f>IF($C2828="","",IF($D2828="Gider",$H2828,$E2828))</f>
        <v/>
      </c>
      <c r="O2828" s="73" t="str">
        <f>IF($C2828="","",DATE(YEAR($C2828),MONTH($C2828),1))</f>
        <v/>
      </c>
      <c r="P2828" s="65" t="str">
        <f ca="1">IF($C2828="","",IF(AND($D2828="Gelir",$L2828&lt;&gt;"",$T2828=""),"TANIMSIZ BORÇLU",IF($T2828&lt;&gt;"",IF(OR($E2828="",$G2828&lt;=0),"EKSİK",IF($I2828="Evet","TAHAKKUK NAKİT OLAMAZ",IF($C2828&gt;TODAY(),"İLERİ TARİH","TAHAKKUK"))),IF(AND($D2828&lt;&gt;"",$E2828&lt;&gt;"",$G2828&gt;0,$H2828&lt;&gt;"",$I2828&lt;&gt;""),IF($C2828&gt;TODAY(),"İLERİ TARİH",IF(COUNTIF($W$7:$W$3001,$W2828)&gt;1,"MÜKERRER?",IF($AD2828&gt;0,"KAPALI DÖNEM",IF($I2828="Hayır","ÖDENECEK","UYGUN")))),"EKSİK"))))</f>
        <v/>
      </c>
      <c r="Q2828" s="2"/>
      <c r="R2828" s="2"/>
      <c r="S2828" s="1" t="str">
        <f t="shared" si="134"/>
        <v/>
      </c>
      <c r="T2828" s="1" t="str">
        <f>IF(OR($C2828="",$D2828&lt;&gt;"Gelir",$L2828=""),"",IFERROR(INDEX(MUSTERILER!$B$7:$B$156,MATCH($S2828,MUSTERILER!$T$7:$T$156,0)),""))</f>
        <v/>
      </c>
      <c r="U2828" s="1" t="str">
        <f>IF($T2828="","",$T2828&amp;"|"&amp;COUNTIFS($T$7:$T2828,$T2828))</f>
        <v/>
      </c>
      <c r="V2828" s="1">
        <f t="shared" si="135"/>
        <v>0</v>
      </c>
      <c r="W2828" s="1" t="str">
        <f t="shared" si="136"/>
        <v/>
      </c>
      <c r="X2828" s="1"/>
      <c r="Y2828" s="1"/>
      <c r="Z2828" s="1"/>
      <c r="AA2828" s="1"/>
      <c r="AB2828" s="1"/>
      <c r="AC2828" s="1"/>
      <c r="AD2828" s="1">
        <f>IF($C2828="",0,SUMPRODUCT((AY_SONU!$O$7:$O$42="Evet")*(AY_SONU!$B$7:$B$42=DATE(YEAR($C2828),MONTH($C2828),1))))</f>
        <v>0</v>
      </c>
      <c r="AE2828" s="1" t="str">
        <f>IF($E2828="","",$E2828&amp;"|"&amp;COUNTIFS($E$7:$E2828,$E2828))</f>
        <v/>
      </c>
    </row>
    <row r="2829" spans="1:31" ht="18" customHeight="1" x14ac:dyDescent="0.3">
      <c r="A2829" s="2"/>
      <c r="B2829" s="65" t="str">
        <f>IF($C2829="","","GG"&amp;TEXT(ROW()-6,"00000"))</f>
        <v/>
      </c>
      <c r="C2829" s="66"/>
      <c r="D2829" s="60"/>
      <c r="E2829" s="61"/>
      <c r="F2829" s="61"/>
      <c r="G2829" s="67"/>
      <c r="H2829" s="60"/>
      <c r="I2829" s="60"/>
      <c r="J2829" s="61"/>
      <c r="K2829" s="61"/>
      <c r="L2829" s="60"/>
      <c r="M2829" s="74" t="str">
        <f>IF($C2829="","",IF($D2829="Gider",$E2829,IF($L2829&lt;&gt;"",$L2829,$H2829)))</f>
        <v/>
      </c>
      <c r="N2829" s="74" t="str">
        <f>IF($C2829="","",IF($D2829="Gider",$H2829,$E2829))</f>
        <v/>
      </c>
      <c r="O2829" s="73" t="str">
        <f>IF($C2829="","",DATE(YEAR($C2829),MONTH($C2829),1))</f>
        <v/>
      </c>
      <c r="P2829" s="65" t="str">
        <f ca="1">IF($C2829="","",IF(AND($D2829="Gelir",$L2829&lt;&gt;"",$T2829=""),"TANIMSIZ BORÇLU",IF($T2829&lt;&gt;"",IF(OR($E2829="",$G2829&lt;=0),"EKSİK",IF($I2829="Evet","TAHAKKUK NAKİT OLAMAZ",IF($C2829&gt;TODAY(),"İLERİ TARİH","TAHAKKUK"))),IF(AND($D2829&lt;&gt;"",$E2829&lt;&gt;"",$G2829&gt;0,$H2829&lt;&gt;"",$I2829&lt;&gt;""),IF($C2829&gt;TODAY(),"İLERİ TARİH",IF(COUNTIF($W$7:$W$3001,$W2829)&gt;1,"MÜKERRER?",IF($AD2829&gt;0,"KAPALI DÖNEM",IF($I2829="Hayır","ÖDENECEK","UYGUN")))),"EKSİK"))))</f>
        <v/>
      </c>
      <c r="Q2829" s="2"/>
      <c r="R2829" s="2"/>
      <c r="S2829" s="1" t="str">
        <f t="shared" si="134"/>
        <v/>
      </c>
      <c r="T2829" s="1" t="str">
        <f>IF(OR($C2829="",$D2829&lt;&gt;"Gelir",$L2829=""),"",IFERROR(INDEX(MUSTERILER!$B$7:$B$156,MATCH($S2829,MUSTERILER!$T$7:$T$156,0)),""))</f>
        <v/>
      </c>
      <c r="U2829" s="1" t="str">
        <f>IF($T2829="","",$T2829&amp;"|"&amp;COUNTIFS($T$7:$T2829,$T2829))</f>
        <v/>
      </c>
      <c r="V2829" s="1">
        <f t="shared" si="135"/>
        <v>0</v>
      </c>
      <c r="W2829" s="1" t="str">
        <f t="shared" si="136"/>
        <v/>
      </c>
      <c r="X2829" s="1"/>
      <c r="Y2829" s="1"/>
      <c r="Z2829" s="1"/>
      <c r="AA2829" s="1"/>
      <c r="AB2829" s="1"/>
      <c r="AC2829" s="1"/>
      <c r="AD2829" s="1">
        <f>IF($C2829="",0,SUMPRODUCT((AY_SONU!$O$7:$O$42="Evet")*(AY_SONU!$B$7:$B$42=DATE(YEAR($C2829),MONTH($C2829),1))))</f>
        <v>0</v>
      </c>
      <c r="AE2829" s="1" t="str">
        <f>IF($E2829="","",$E2829&amp;"|"&amp;COUNTIFS($E$7:$E2829,$E2829))</f>
        <v/>
      </c>
    </row>
    <row r="2830" spans="1:31" ht="18" customHeight="1" x14ac:dyDescent="0.3">
      <c r="A2830" s="2"/>
      <c r="B2830" s="65" t="str">
        <f>IF($C2830="","","GG"&amp;TEXT(ROW()-6,"00000"))</f>
        <v/>
      </c>
      <c r="C2830" s="66"/>
      <c r="D2830" s="60"/>
      <c r="E2830" s="61"/>
      <c r="F2830" s="61"/>
      <c r="G2830" s="67"/>
      <c r="H2830" s="60"/>
      <c r="I2830" s="60"/>
      <c r="J2830" s="61"/>
      <c r="K2830" s="61"/>
      <c r="L2830" s="60"/>
      <c r="M2830" s="74" t="str">
        <f>IF($C2830="","",IF($D2830="Gider",$E2830,IF($L2830&lt;&gt;"",$L2830,$H2830)))</f>
        <v/>
      </c>
      <c r="N2830" s="74" t="str">
        <f>IF($C2830="","",IF($D2830="Gider",$H2830,$E2830))</f>
        <v/>
      </c>
      <c r="O2830" s="73" t="str">
        <f>IF($C2830="","",DATE(YEAR($C2830),MONTH($C2830),1))</f>
        <v/>
      </c>
      <c r="P2830" s="65" t="str">
        <f ca="1">IF($C2830="","",IF(AND($D2830="Gelir",$L2830&lt;&gt;"",$T2830=""),"TANIMSIZ BORÇLU",IF($T2830&lt;&gt;"",IF(OR($E2830="",$G2830&lt;=0),"EKSİK",IF($I2830="Evet","TAHAKKUK NAKİT OLAMAZ",IF($C2830&gt;TODAY(),"İLERİ TARİH","TAHAKKUK"))),IF(AND($D2830&lt;&gt;"",$E2830&lt;&gt;"",$G2830&gt;0,$H2830&lt;&gt;"",$I2830&lt;&gt;""),IF($C2830&gt;TODAY(),"İLERİ TARİH",IF(COUNTIF($W$7:$W$3001,$W2830)&gt;1,"MÜKERRER?",IF($AD2830&gt;0,"KAPALI DÖNEM",IF($I2830="Hayır","ÖDENECEK","UYGUN")))),"EKSİK"))))</f>
        <v/>
      </c>
      <c r="Q2830" s="2"/>
      <c r="R2830" s="2"/>
      <c r="S2830" s="1" t="str">
        <f t="shared" si="134"/>
        <v/>
      </c>
      <c r="T2830" s="1" t="str">
        <f>IF(OR($C2830="",$D2830&lt;&gt;"Gelir",$L2830=""),"",IFERROR(INDEX(MUSTERILER!$B$7:$B$156,MATCH($S2830,MUSTERILER!$T$7:$T$156,0)),""))</f>
        <v/>
      </c>
      <c r="U2830" s="1" t="str">
        <f>IF($T2830="","",$T2830&amp;"|"&amp;COUNTIFS($T$7:$T2830,$T2830))</f>
        <v/>
      </c>
      <c r="V2830" s="1">
        <f t="shared" si="135"/>
        <v>0</v>
      </c>
      <c r="W2830" s="1" t="str">
        <f t="shared" si="136"/>
        <v/>
      </c>
      <c r="X2830" s="1"/>
      <c r="Y2830" s="1"/>
      <c r="Z2830" s="1"/>
      <c r="AA2830" s="1"/>
      <c r="AB2830" s="1"/>
      <c r="AC2830" s="1"/>
      <c r="AD2830" s="1">
        <f>IF($C2830="",0,SUMPRODUCT((AY_SONU!$O$7:$O$42="Evet")*(AY_SONU!$B$7:$B$42=DATE(YEAR($C2830),MONTH($C2830),1))))</f>
        <v>0</v>
      </c>
      <c r="AE2830" s="1" t="str">
        <f>IF($E2830="","",$E2830&amp;"|"&amp;COUNTIFS($E$7:$E2830,$E2830))</f>
        <v/>
      </c>
    </row>
    <row r="2831" spans="1:31" ht="18" customHeight="1" x14ac:dyDescent="0.3">
      <c r="A2831" s="2"/>
      <c r="B2831" s="65" t="str">
        <f>IF($C2831="","","GG"&amp;TEXT(ROW()-6,"00000"))</f>
        <v/>
      </c>
      <c r="C2831" s="66"/>
      <c r="D2831" s="60"/>
      <c r="E2831" s="61"/>
      <c r="F2831" s="61"/>
      <c r="G2831" s="67"/>
      <c r="H2831" s="60"/>
      <c r="I2831" s="60"/>
      <c r="J2831" s="61"/>
      <c r="K2831" s="61"/>
      <c r="L2831" s="60"/>
      <c r="M2831" s="74" t="str">
        <f>IF($C2831="","",IF($D2831="Gider",$E2831,IF($L2831&lt;&gt;"",$L2831,$H2831)))</f>
        <v/>
      </c>
      <c r="N2831" s="74" t="str">
        <f>IF($C2831="","",IF($D2831="Gider",$H2831,$E2831))</f>
        <v/>
      </c>
      <c r="O2831" s="73" t="str">
        <f>IF($C2831="","",DATE(YEAR($C2831),MONTH($C2831),1))</f>
        <v/>
      </c>
      <c r="P2831" s="65" t="str">
        <f ca="1">IF($C2831="","",IF(AND($D2831="Gelir",$L2831&lt;&gt;"",$T2831=""),"TANIMSIZ BORÇLU",IF($T2831&lt;&gt;"",IF(OR($E2831="",$G2831&lt;=0),"EKSİK",IF($I2831="Evet","TAHAKKUK NAKİT OLAMAZ",IF($C2831&gt;TODAY(),"İLERİ TARİH","TAHAKKUK"))),IF(AND($D2831&lt;&gt;"",$E2831&lt;&gt;"",$G2831&gt;0,$H2831&lt;&gt;"",$I2831&lt;&gt;""),IF($C2831&gt;TODAY(),"İLERİ TARİH",IF(COUNTIF($W$7:$W$3001,$W2831)&gt;1,"MÜKERRER?",IF($AD2831&gt;0,"KAPALI DÖNEM",IF($I2831="Hayır","ÖDENECEK","UYGUN")))),"EKSİK"))))</f>
        <v/>
      </c>
      <c r="Q2831" s="2"/>
      <c r="R2831" s="2"/>
      <c r="S2831" s="1" t="str">
        <f t="shared" si="134"/>
        <v/>
      </c>
      <c r="T2831" s="1" t="str">
        <f>IF(OR($C2831="",$D2831&lt;&gt;"Gelir",$L2831=""),"",IFERROR(INDEX(MUSTERILER!$B$7:$B$156,MATCH($S2831,MUSTERILER!$T$7:$T$156,0)),""))</f>
        <v/>
      </c>
      <c r="U2831" s="1" t="str">
        <f>IF($T2831="","",$T2831&amp;"|"&amp;COUNTIFS($T$7:$T2831,$T2831))</f>
        <v/>
      </c>
      <c r="V2831" s="1">
        <f t="shared" si="135"/>
        <v>0</v>
      </c>
      <c r="W2831" s="1" t="str">
        <f t="shared" si="136"/>
        <v/>
      </c>
      <c r="X2831" s="1"/>
      <c r="Y2831" s="1"/>
      <c r="Z2831" s="1"/>
      <c r="AA2831" s="1"/>
      <c r="AB2831" s="1"/>
      <c r="AC2831" s="1"/>
      <c r="AD2831" s="1">
        <f>IF($C2831="",0,SUMPRODUCT((AY_SONU!$O$7:$O$42="Evet")*(AY_SONU!$B$7:$B$42=DATE(YEAR($C2831),MONTH($C2831),1))))</f>
        <v>0</v>
      </c>
      <c r="AE2831" s="1" t="str">
        <f>IF($E2831="","",$E2831&amp;"|"&amp;COUNTIFS($E$7:$E2831,$E2831))</f>
        <v/>
      </c>
    </row>
    <row r="2832" spans="1:31" ht="18" customHeight="1" x14ac:dyDescent="0.3">
      <c r="A2832" s="2"/>
      <c r="B2832" s="65" t="str">
        <f>IF($C2832="","","GG"&amp;TEXT(ROW()-6,"00000"))</f>
        <v/>
      </c>
      <c r="C2832" s="66"/>
      <c r="D2832" s="60"/>
      <c r="E2832" s="61"/>
      <c r="F2832" s="61"/>
      <c r="G2832" s="67"/>
      <c r="H2832" s="60"/>
      <c r="I2832" s="60"/>
      <c r="J2832" s="61"/>
      <c r="K2832" s="61"/>
      <c r="L2832" s="60"/>
      <c r="M2832" s="74" t="str">
        <f>IF($C2832="","",IF($D2832="Gider",$E2832,IF($L2832&lt;&gt;"",$L2832,$H2832)))</f>
        <v/>
      </c>
      <c r="N2832" s="74" t="str">
        <f>IF($C2832="","",IF($D2832="Gider",$H2832,$E2832))</f>
        <v/>
      </c>
      <c r="O2832" s="73" t="str">
        <f>IF($C2832="","",DATE(YEAR($C2832),MONTH($C2832),1))</f>
        <v/>
      </c>
      <c r="P2832" s="65" t="str">
        <f ca="1">IF($C2832="","",IF(AND($D2832="Gelir",$L2832&lt;&gt;"",$T2832=""),"TANIMSIZ BORÇLU",IF($T2832&lt;&gt;"",IF(OR($E2832="",$G2832&lt;=0),"EKSİK",IF($I2832="Evet","TAHAKKUK NAKİT OLAMAZ",IF($C2832&gt;TODAY(),"İLERİ TARİH","TAHAKKUK"))),IF(AND($D2832&lt;&gt;"",$E2832&lt;&gt;"",$G2832&gt;0,$H2832&lt;&gt;"",$I2832&lt;&gt;""),IF($C2832&gt;TODAY(),"İLERİ TARİH",IF(COUNTIF($W$7:$W$3001,$W2832)&gt;1,"MÜKERRER?",IF($AD2832&gt;0,"KAPALI DÖNEM",IF($I2832="Hayır","ÖDENECEK","UYGUN")))),"EKSİK"))))</f>
        <v/>
      </c>
      <c r="Q2832" s="2"/>
      <c r="R2832" s="2"/>
      <c r="S2832" s="1" t="str">
        <f t="shared" si="134"/>
        <v/>
      </c>
      <c r="T2832" s="1" t="str">
        <f>IF(OR($C2832="",$D2832&lt;&gt;"Gelir",$L2832=""),"",IFERROR(INDEX(MUSTERILER!$B$7:$B$156,MATCH($S2832,MUSTERILER!$T$7:$T$156,0)),""))</f>
        <v/>
      </c>
      <c r="U2832" s="1" t="str">
        <f>IF($T2832="","",$T2832&amp;"|"&amp;COUNTIFS($T$7:$T2832,$T2832))</f>
        <v/>
      </c>
      <c r="V2832" s="1">
        <f t="shared" si="135"/>
        <v>0</v>
      </c>
      <c r="W2832" s="1" t="str">
        <f t="shared" si="136"/>
        <v/>
      </c>
      <c r="X2832" s="1"/>
      <c r="Y2832" s="1"/>
      <c r="Z2832" s="1"/>
      <c r="AA2832" s="1"/>
      <c r="AB2832" s="1"/>
      <c r="AC2832" s="1"/>
      <c r="AD2832" s="1">
        <f>IF($C2832="",0,SUMPRODUCT((AY_SONU!$O$7:$O$42="Evet")*(AY_SONU!$B$7:$B$42=DATE(YEAR($C2832),MONTH($C2832),1))))</f>
        <v>0</v>
      </c>
      <c r="AE2832" s="1" t="str">
        <f>IF($E2832="","",$E2832&amp;"|"&amp;COUNTIFS($E$7:$E2832,$E2832))</f>
        <v/>
      </c>
    </row>
    <row r="2833" spans="1:31" ht="18" customHeight="1" x14ac:dyDescent="0.3">
      <c r="A2833" s="2"/>
      <c r="B2833" s="65" t="str">
        <f>IF($C2833="","","GG"&amp;TEXT(ROW()-6,"00000"))</f>
        <v/>
      </c>
      <c r="C2833" s="66"/>
      <c r="D2833" s="60"/>
      <c r="E2833" s="61"/>
      <c r="F2833" s="61"/>
      <c r="G2833" s="67"/>
      <c r="H2833" s="60"/>
      <c r="I2833" s="60"/>
      <c r="J2833" s="61"/>
      <c r="K2833" s="61"/>
      <c r="L2833" s="60"/>
      <c r="M2833" s="74" t="str">
        <f>IF($C2833="","",IF($D2833="Gider",$E2833,IF($L2833&lt;&gt;"",$L2833,$H2833)))</f>
        <v/>
      </c>
      <c r="N2833" s="74" t="str">
        <f>IF($C2833="","",IF($D2833="Gider",$H2833,$E2833))</f>
        <v/>
      </c>
      <c r="O2833" s="73" t="str">
        <f>IF($C2833="","",DATE(YEAR($C2833),MONTH($C2833),1))</f>
        <v/>
      </c>
      <c r="P2833" s="65" t="str">
        <f ca="1">IF($C2833="","",IF(AND($D2833="Gelir",$L2833&lt;&gt;"",$T2833=""),"TANIMSIZ BORÇLU",IF($T2833&lt;&gt;"",IF(OR($E2833="",$G2833&lt;=0),"EKSİK",IF($I2833="Evet","TAHAKKUK NAKİT OLAMAZ",IF($C2833&gt;TODAY(),"İLERİ TARİH","TAHAKKUK"))),IF(AND($D2833&lt;&gt;"",$E2833&lt;&gt;"",$G2833&gt;0,$H2833&lt;&gt;"",$I2833&lt;&gt;""),IF($C2833&gt;TODAY(),"İLERİ TARİH",IF(COUNTIF($W$7:$W$3001,$W2833)&gt;1,"MÜKERRER?",IF($AD2833&gt;0,"KAPALI DÖNEM",IF($I2833="Hayır","ÖDENECEK","UYGUN")))),"EKSİK"))))</f>
        <v/>
      </c>
      <c r="Q2833" s="2"/>
      <c r="R2833" s="2"/>
      <c r="S2833" s="1" t="str">
        <f t="shared" si="134"/>
        <v/>
      </c>
      <c r="T2833" s="1" t="str">
        <f>IF(OR($C2833="",$D2833&lt;&gt;"Gelir",$L2833=""),"",IFERROR(INDEX(MUSTERILER!$B$7:$B$156,MATCH($S2833,MUSTERILER!$T$7:$T$156,0)),""))</f>
        <v/>
      </c>
      <c r="U2833" s="1" t="str">
        <f>IF($T2833="","",$T2833&amp;"|"&amp;COUNTIFS($T$7:$T2833,$T2833))</f>
        <v/>
      </c>
      <c r="V2833" s="1">
        <f t="shared" si="135"/>
        <v>0</v>
      </c>
      <c r="W2833" s="1" t="str">
        <f t="shared" si="136"/>
        <v/>
      </c>
      <c r="X2833" s="1"/>
      <c r="Y2833" s="1"/>
      <c r="Z2833" s="1"/>
      <c r="AA2833" s="1"/>
      <c r="AB2833" s="1"/>
      <c r="AC2833" s="1"/>
      <c r="AD2833" s="1">
        <f>IF($C2833="",0,SUMPRODUCT((AY_SONU!$O$7:$O$42="Evet")*(AY_SONU!$B$7:$B$42=DATE(YEAR($C2833),MONTH($C2833),1))))</f>
        <v>0</v>
      </c>
      <c r="AE2833" s="1" t="str">
        <f>IF($E2833="","",$E2833&amp;"|"&amp;COUNTIFS($E$7:$E2833,$E2833))</f>
        <v/>
      </c>
    </row>
    <row r="2834" spans="1:31" ht="18" customHeight="1" x14ac:dyDescent="0.3">
      <c r="A2834" s="2"/>
      <c r="B2834" s="65" t="str">
        <f>IF($C2834="","","GG"&amp;TEXT(ROW()-6,"00000"))</f>
        <v/>
      </c>
      <c r="C2834" s="66"/>
      <c r="D2834" s="60"/>
      <c r="E2834" s="61"/>
      <c r="F2834" s="61"/>
      <c r="G2834" s="67"/>
      <c r="H2834" s="60"/>
      <c r="I2834" s="60"/>
      <c r="J2834" s="61"/>
      <c r="K2834" s="61"/>
      <c r="L2834" s="60"/>
      <c r="M2834" s="74" t="str">
        <f>IF($C2834="","",IF($D2834="Gider",$E2834,IF($L2834&lt;&gt;"",$L2834,$H2834)))</f>
        <v/>
      </c>
      <c r="N2834" s="74" t="str">
        <f>IF($C2834="","",IF($D2834="Gider",$H2834,$E2834))</f>
        <v/>
      </c>
      <c r="O2834" s="73" t="str">
        <f>IF($C2834="","",DATE(YEAR($C2834),MONTH($C2834),1))</f>
        <v/>
      </c>
      <c r="P2834" s="65" t="str">
        <f ca="1">IF($C2834="","",IF(AND($D2834="Gelir",$L2834&lt;&gt;"",$T2834=""),"TANIMSIZ BORÇLU",IF($T2834&lt;&gt;"",IF(OR($E2834="",$G2834&lt;=0),"EKSİK",IF($I2834="Evet","TAHAKKUK NAKİT OLAMAZ",IF($C2834&gt;TODAY(),"İLERİ TARİH","TAHAKKUK"))),IF(AND($D2834&lt;&gt;"",$E2834&lt;&gt;"",$G2834&gt;0,$H2834&lt;&gt;"",$I2834&lt;&gt;""),IF($C2834&gt;TODAY(),"İLERİ TARİH",IF(COUNTIF($W$7:$W$3001,$W2834)&gt;1,"MÜKERRER?",IF($AD2834&gt;0,"KAPALI DÖNEM",IF($I2834="Hayır","ÖDENECEK","UYGUN")))),"EKSİK"))))</f>
        <v/>
      </c>
      <c r="Q2834" s="2"/>
      <c r="R2834" s="2"/>
      <c r="S2834" s="1" t="str">
        <f t="shared" si="134"/>
        <v/>
      </c>
      <c r="T2834" s="1" t="str">
        <f>IF(OR($C2834="",$D2834&lt;&gt;"Gelir",$L2834=""),"",IFERROR(INDEX(MUSTERILER!$B$7:$B$156,MATCH($S2834,MUSTERILER!$T$7:$T$156,0)),""))</f>
        <v/>
      </c>
      <c r="U2834" s="1" t="str">
        <f>IF($T2834="","",$T2834&amp;"|"&amp;COUNTIFS($T$7:$T2834,$T2834))</f>
        <v/>
      </c>
      <c r="V2834" s="1">
        <f t="shared" si="135"/>
        <v>0</v>
      </c>
      <c r="W2834" s="1" t="str">
        <f t="shared" si="136"/>
        <v/>
      </c>
      <c r="X2834" s="1"/>
      <c r="Y2834" s="1"/>
      <c r="Z2834" s="1"/>
      <c r="AA2834" s="1"/>
      <c r="AB2834" s="1"/>
      <c r="AC2834" s="1"/>
      <c r="AD2834" s="1">
        <f>IF($C2834="",0,SUMPRODUCT((AY_SONU!$O$7:$O$42="Evet")*(AY_SONU!$B$7:$B$42=DATE(YEAR($C2834),MONTH($C2834),1))))</f>
        <v>0</v>
      </c>
      <c r="AE2834" s="1" t="str">
        <f>IF($E2834="","",$E2834&amp;"|"&amp;COUNTIFS($E$7:$E2834,$E2834))</f>
        <v/>
      </c>
    </row>
    <row r="2835" spans="1:31" ht="18" customHeight="1" x14ac:dyDescent="0.3">
      <c r="A2835" s="2"/>
      <c r="B2835" s="65" t="str">
        <f>IF($C2835="","","GG"&amp;TEXT(ROW()-6,"00000"))</f>
        <v/>
      </c>
      <c r="C2835" s="66"/>
      <c r="D2835" s="60"/>
      <c r="E2835" s="61"/>
      <c r="F2835" s="61"/>
      <c r="G2835" s="67"/>
      <c r="H2835" s="60"/>
      <c r="I2835" s="60"/>
      <c r="J2835" s="61"/>
      <c r="K2835" s="61"/>
      <c r="L2835" s="60"/>
      <c r="M2835" s="74" t="str">
        <f>IF($C2835="","",IF($D2835="Gider",$E2835,IF($L2835&lt;&gt;"",$L2835,$H2835)))</f>
        <v/>
      </c>
      <c r="N2835" s="74" t="str">
        <f>IF($C2835="","",IF($D2835="Gider",$H2835,$E2835))</f>
        <v/>
      </c>
      <c r="O2835" s="73" t="str">
        <f>IF($C2835="","",DATE(YEAR($C2835),MONTH($C2835),1))</f>
        <v/>
      </c>
      <c r="P2835" s="65" t="str">
        <f ca="1">IF($C2835="","",IF(AND($D2835="Gelir",$L2835&lt;&gt;"",$T2835=""),"TANIMSIZ BORÇLU",IF($T2835&lt;&gt;"",IF(OR($E2835="",$G2835&lt;=0),"EKSİK",IF($I2835="Evet","TAHAKKUK NAKİT OLAMAZ",IF($C2835&gt;TODAY(),"İLERİ TARİH","TAHAKKUK"))),IF(AND($D2835&lt;&gt;"",$E2835&lt;&gt;"",$G2835&gt;0,$H2835&lt;&gt;"",$I2835&lt;&gt;""),IF($C2835&gt;TODAY(),"İLERİ TARİH",IF(COUNTIF($W$7:$W$3001,$W2835)&gt;1,"MÜKERRER?",IF($AD2835&gt;0,"KAPALI DÖNEM",IF($I2835="Hayır","ÖDENECEK","UYGUN")))),"EKSİK"))))</f>
        <v/>
      </c>
      <c r="Q2835" s="2"/>
      <c r="R2835" s="2"/>
      <c r="S2835" s="1" t="str">
        <f t="shared" si="134"/>
        <v/>
      </c>
      <c r="T2835" s="1" t="str">
        <f>IF(OR($C2835="",$D2835&lt;&gt;"Gelir",$L2835=""),"",IFERROR(INDEX(MUSTERILER!$B$7:$B$156,MATCH($S2835,MUSTERILER!$T$7:$T$156,0)),""))</f>
        <v/>
      </c>
      <c r="U2835" s="1" t="str">
        <f>IF($T2835="","",$T2835&amp;"|"&amp;COUNTIFS($T$7:$T2835,$T2835))</f>
        <v/>
      </c>
      <c r="V2835" s="1">
        <f t="shared" si="135"/>
        <v>0</v>
      </c>
      <c r="W2835" s="1" t="str">
        <f t="shared" si="136"/>
        <v/>
      </c>
      <c r="X2835" s="1"/>
      <c r="Y2835" s="1"/>
      <c r="Z2835" s="1"/>
      <c r="AA2835" s="1"/>
      <c r="AB2835" s="1"/>
      <c r="AC2835" s="1"/>
      <c r="AD2835" s="1">
        <f>IF($C2835="",0,SUMPRODUCT((AY_SONU!$O$7:$O$42="Evet")*(AY_SONU!$B$7:$B$42=DATE(YEAR($C2835),MONTH($C2835),1))))</f>
        <v>0</v>
      </c>
      <c r="AE2835" s="1" t="str">
        <f>IF($E2835="","",$E2835&amp;"|"&amp;COUNTIFS($E$7:$E2835,$E2835))</f>
        <v/>
      </c>
    </row>
    <row r="2836" spans="1:31" ht="18" customHeight="1" x14ac:dyDescent="0.3">
      <c r="A2836" s="2"/>
      <c r="B2836" s="65" t="str">
        <f>IF($C2836="","","GG"&amp;TEXT(ROW()-6,"00000"))</f>
        <v/>
      </c>
      <c r="C2836" s="66"/>
      <c r="D2836" s="60"/>
      <c r="E2836" s="61"/>
      <c r="F2836" s="61"/>
      <c r="G2836" s="67"/>
      <c r="H2836" s="60"/>
      <c r="I2836" s="60"/>
      <c r="J2836" s="61"/>
      <c r="K2836" s="61"/>
      <c r="L2836" s="60"/>
      <c r="M2836" s="74" t="str">
        <f>IF($C2836="","",IF($D2836="Gider",$E2836,IF($L2836&lt;&gt;"",$L2836,$H2836)))</f>
        <v/>
      </c>
      <c r="N2836" s="74" t="str">
        <f>IF($C2836="","",IF($D2836="Gider",$H2836,$E2836))</f>
        <v/>
      </c>
      <c r="O2836" s="73" t="str">
        <f>IF($C2836="","",DATE(YEAR($C2836),MONTH($C2836),1))</f>
        <v/>
      </c>
      <c r="P2836" s="65" t="str">
        <f ca="1">IF($C2836="","",IF(AND($D2836="Gelir",$L2836&lt;&gt;"",$T2836=""),"TANIMSIZ BORÇLU",IF($T2836&lt;&gt;"",IF(OR($E2836="",$G2836&lt;=0),"EKSİK",IF($I2836="Evet","TAHAKKUK NAKİT OLAMAZ",IF($C2836&gt;TODAY(),"İLERİ TARİH","TAHAKKUK"))),IF(AND($D2836&lt;&gt;"",$E2836&lt;&gt;"",$G2836&gt;0,$H2836&lt;&gt;"",$I2836&lt;&gt;""),IF($C2836&gt;TODAY(),"İLERİ TARİH",IF(COUNTIF($W$7:$W$3001,$W2836)&gt;1,"MÜKERRER?",IF($AD2836&gt;0,"KAPALI DÖNEM",IF($I2836="Hayır","ÖDENECEK","UYGUN")))),"EKSİK"))))</f>
        <v/>
      </c>
      <c r="Q2836" s="2"/>
      <c r="R2836" s="2"/>
      <c r="S2836" s="1" t="str">
        <f t="shared" si="134"/>
        <v/>
      </c>
      <c r="T2836" s="1" t="str">
        <f>IF(OR($C2836="",$D2836&lt;&gt;"Gelir",$L2836=""),"",IFERROR(INDEX(MUSTERILER!$B$7:$B$156,MATCH($S2836,MUSTERILER!$T$7:$T$156,0)),""))</f>
        <v/>
      </c>
      <c r="U2836" s="1" t="str">
        <f>IF($T2836="","",$T2836&amp;"|"&amp;COUNTIFS($T$7:$T2836,$T2836))</f>
        <v/>
      </c>
      <c r="V2836" s="1">
        <f t="shared" si="135"/>
        <v>0</v>
      </c>
      <c r="W2836" s="1" t="str">
        <f t="shared" si="136"/>
        <v/>
      </c>
      <c r="X2836" s="1"/>
      <c r="Y2836" s="1"/>
      <c r="Z2836" s="1"/>
      <c r="AA2836" s="1"/>
      <c r="AB2836" s="1"/>
      <c r="AC2836" s="1"/>
      <c r="AD2836" s="1">
        <f>IF($C2836="",0,SUMPRODUCT((AY_SONU!$O$7:$O$42="Evet")*(AY_SONU!$B$7:$B$42=DATE(YEAR($C2836),MONTH($C2836),1))))</f>
        <v>0</v>
      </c>
      <c r="AE2836" s="1" t="str">
        <f>IF($E2836="","",$E2836&amp;"|"&amp;COUNTIFS($E$7:$E2836,$E2836))</f>
        <v/>
      </c>
    </row>
    <row r="2837" spans="1:31" ht="18" customHeight="1" x14ac:dyDescent="0.3">
      <c r="A2837" s="2"/>
      <c r="B2837" s="65" t="str">
        <f>IF($C2837="","","GG"&amp;TEXT(ROW()-6,"00000"))</f>
        <v/>
      </c>
      <c r="C2837" s="66"/>
      <c r="D2837" s="60"/>
      <c r="E2837" s="61"/>
      <c r="F2837" s="61"/>
      <c r="G2837" s="67"/>
      <c r="H2837" s="60"/>
      <c r="I2837" s="60"/>
      <c r="J2837" s="61"/>
      <c r="K2837" s="61"/>
      <c r="L2837" s="60"/>
      <c r="M2837" s="74" t="str">
        <f>IF($C2837="","",IF($D2837="Gider",$E2837,IF($L2837&lt;&gt;"",$L2837,$H2837)))</f>
        <v/>
      </c>
      <c r="N2837" s="74" t="str">
        <f>IF($C2837="","",IF($D2837="Gider",$H2837,$E2837))</f>
        <v/>
      </c>
      <c r="O2837" s="73" t="str">
        <f>IF($C2837="","",DATE(YEAR($C2837),MONTH($C2837),1))</f>
        <v/>
      </c>
      <c r="P2837" s="65" t="str">
        <f ca="1">IF($C2837="","",IF(AND($D2837="Gelir",$L2837&lt;&gt;"",$T2837=""),"TANIMSIZ BORÇLU",IF($T2837&lt;&gt;"",IF(OR($E2837="",$G2837&lt;=0),"EKSİK",IF($I2837="Evet","TAHAKKUK NAKİT OLAMAZ",IF($C2837&gt;TODAY(),"İLERİ TARİH","TAHAKKUK"))),IF(AND($D2837&lt;&gt;"",$E2837&lt;&gt;"",$G2837&gt;0,$H2837&lt;&gt;"",$I2837&lt;&gt;""),IF($C2837&gt;TODAY(),"İLERİ TARİH",IF(COUNTIF($W$7:$W$3001,$W2837)&gt;1,"MÜKERRER?",IF($AD2837&gt;0,"KAPALI DÖNEM",IF($I2837="Hayır","ÖDENECEK","UYGUN")))),"EKSİK"))))</f>
        <v/>
      </c>
      <c r="Q2837" s="2"/>
      <c r="R2837" s="2"/>
      <c r="S2837" s="1" t="str">
        <f t="shared" si="134"/>
        <v/>
      </c>
      <c r="T2837" s="1" t="str">
        <f>IF(OR($C2837="",$D2837&lt;&gt;"Gelir",$L2837=""),"",IFERROR(INDEX(MUSTERILER!$B$7:$B$156,MATCH($S2837,MUSTERILER!$T$7:$T$156,0)),""))</f>
        <v/>
      </c>
      <c r="U2837" s="1" t="str">
        <f>IF($T2837="","",$T2837&amp;"|"&amp;COUNTIFS($T$7:$T2837,$T2837))</f>
        <v/>
      </c>
      <c r="V2837" s="1">
        <f t="shared" si="135"/>
        <v>0</v>
      </c>
      <c r="W2837" s="1" t="str">
        <f t="shared" si="136"/>
        <v/>
      </c>
      <c r="X2837" s="1"/>
      <c r="Y2837" s="1"/>
      <c r="Z2837" s="1"/>
      <c r="AA2837" s="1"/>
      <c r="AB2837" s="1"/>
      <c r="AC2837" s="1"/>
      <c r="AD2837" s="1">
        <f>IF($C2837="",0,SUMPRODUCT((AY_SONU!$O$7:$O$42="Evet")*(AY_SONU!$B$7:$B$42=DATE(YEAR($C2837),MONTH($C2837),1))))</f>
        <v>0</v>
      </c>
      <c r="AE2837" s="1" t="str">
        <f>IF($E2837="","",$E2837&amp;"|"&amp;COUNTIFS($E$7:$E2837,$E2837))</f>
        <v/>
      </c>
    </row>
    <row r="2838" spans="1:31" ht="18" customHeight="1" x14ac:dyDescent="0.3">
      <c r="A2838" s="2"/>
      <c r="B2838" s="65" t="str">
        <f>IF($C2838="","","GG"&amp;TEXT(ROW()-6,"00000"))</f>
        <v/>
      </c>
      <c r="C2838" s="66"/>
      <c r="D2838" s="60"/>
      <c r="E2838" s="61"/>
      <c r="F2838" s="61"/>
      <c r="G2838" s="67"/>
      <c r="H2838" s="60"/>
      <c r="I2838" s="60"/>
      <c r="J2838" s="61"/>
      <c r="K2838" s="61"/>
      <c r="L2838" s="60"/>
      <c r="M2838" s="74" t="str">
        <f>IF($C2838="","",IF($D2838="Gider",$E2838,IF($L2838&lt;&gt;"",$L2838,$H2838)))</f>
        <v/>
      </c>
      <c r="N2838" s="74" t="str">
        <f>IF($C2838="","",IF($D2838="Gider",$H2838,$E2838))</f>
        <v/>
      </c>
      <c r="O2838" s="73" t="str">
        <f>IF($C2838="","",DATE(YEAR($C2838),MONTH($C2838),1))</f>
        <v/>
      </c>
      <c r="P2838" s="65" t="str">
        <f ca="1">IF($C2838="","",IF(AND($D2838="Gelir",$L2838&lt;&gt;"",$T2838=""),"TANIMSIZ BORÇLU",IF($T2838&lt;&gt;"",IF(OR($E2838="",$G2838&lt;=0),"EKSİK",IF($I2838="Evet","TAHAKKUK NAKİT OLAMAZ",IF($C2838&gt;TODAY(),"İLERİ TARİH","TAHAKKUK"))),IF(AND($D2838&lt;&gt;"",$E2838&lt;&gt;"",$G2838&gt;0,$H2838&lt;&gt;"",$I2838&lt;&gt;""),IF($C2838&gt;TODAY(),"İLERİ TARİH",IF(COUNTIF($W$7:$W$3001,$W2838)&gt;1,"MÜKERRER?",IF($AD2838&gt;0,"KAPALI DÖNEM",IF($I2838="Hayır","ÖDENECEK","UYGUN")))),"EKSİK"))))</f>
        <v/>
      </c>
      <c r="Q2838" s="2"/>
      <c r="R2838" s="2"/>
      <c r="S2838" s="1" t="str">
        <f t="shared" si="134"/>
        <v/>
      </c>
      <c r="T2838" s="1" t="str">
        <f>IF(OR($C2838="",$D2838&lt;&gt;"Gelir",$L2838=""),"",IFERROR(INDEX(MUSTERILER!$B$7:$B$156,MATCH($S2838,MUSTERILER!$T$7:$T$156,0)),""))</f>
        <v/>
      </c>
      <c r="U2838" s="1" t="str">
        <f>IF($T2838="","",$T2838&amp;"|"&amp;COUNTIFS($T$7:$T2838,$T2838))</f>
        <v/>
      </c>
      <c r="V2838" s="1">
        <f t="shared" si="135"/>
        <v>0</v>
      </c>
      <c r="W2838" s="1" t="str">
        <f t="shared" si="136"/>
        <v/>
      </c>
      <c r="X2838" s="1"/>
      <c r="Y2838" s="1"/>
      <c r="Z2838" s="1"/>
      <c r="AA2838" s="1"/>
      <c r="AB2838" s="1"/>
      <c r="AC2838" s="1"/>
      <c r="AD2838" s="1">
        <f>IF($C2838="",0,SUMPRODUCT((AY_SONU!$O$7:$O$42="Evet")*(AY_SONU!$B$7:$B$42=DATE(YEAR($C2838),MONTH($C2838),1))))</f>
        <v>0</v>
      </c>
      <c r="AE2838" s="1" t="str">
        <f>IF($E2838="","",$E2838&amp;"|"&amp;COUNTIFS($E$7:$E2838,$E2838))</f>
        <v/>
      </c>
    </row>
    <row r="2839" spans="1:31" ht="18" customHeight="1" x14ac:dyDescent="0.3">
      <c r="A2839" s="2"/>
      <c r="B2839" s="65" t="str">
        <f>IF($C2839="","","GG"&amp;TEXT(ROW()-6,"00000"))</f>
        <v/>
      </c>
      <c r="C2839" s="66"/>
      <c r="D2839" s="60"/>
      <c r="E2839" s="61"/>
      <c r="F2839" s="61"/>
      <c r="G2839" s="67"/>
      <c r="H2839" s="60"/>
      <c r="I2839" s="60"/>
      <c r="J2839" s="61"/>
      <c r="K2839" s="61"/>
      <c r="L2839" s="60"/>
      <c r="M2839" s="74" t="str">
        <f>IF($C2839="","",IF($D2839="Gider",$E2839,IF($L2839&lt;&gt;"",$L2839,$H2839)))</f>
        <v/>
      </c>
      <c r="N2839" s="74" t="str">
        <f>IF($C2839="","",IF($D2839="Gider",$H2839,$E2839))</f>
        <v/>
      </c>
      <c r="O2839" s="73" t="str">
        <f>IF($C2839="","",DATE(YEAR($C2839),MONTH($C2839),1))</f>
        <v/>
      </c>
      <c r="P2839" s="65" t="str">
        <f ca="1">IF($C2839="","",IF(AND($D2839="Gelir",$L2839&lt;&gt;"",$T2839=""),"TANIMSIZ BORÇLU",IF($T2839&lt;&gt;"",IF(OR($E2839="",$G2839&lt;=0),"EKSİK",IF($I2839="Evet","TAHAKKUK NAKİT OLAMAZ",IF($C2839&gt;TODAY(),"İLERİ TARİH","TAHAKKUK"))),IF(AND($D2839&lt;&gt;"",$E2839&lt;&gt;"",$G2839&gt;0,$H2839&lt;&gt;"",$I2839&lt;&gt;""),IF($C2839&gt;TODAY(),"İLERİ TARİH",IF(COUNTIF($W$7:$W$3001,$W2839)&gt;1,"MÜKERRER?",IF($AD2839&gt;0,"KAPALI DÖNEM",IF($I2839="Hayır","ÖDENECEK","UYGUN")))),"EKSİK"))))</f>
        <v/>
      </c>
      <c r="Q2839" s="2"/>
      <c r="R2839" s="2"/>
      <c r="S2839" s="1" t="str">
        <f t="shared" si="134"/>
        <v/>
      </c>
      <c r="T2839" s="1" t="str">
        <f>IF(OR($C2839="",$D2839&lt;&gt;"Gelir",$L2839=""),"",IFERROR(INDEX(MUSTERILER!$B$7:$B$156,MATCH($S2839,MUSTERILER!$T$7:$T$156,0)),""))</f>
        <v/>
      </c>
      <c r="U2839" s="1" t="str">
        <f>IF($T2839="","",$T2839&amp;"|"&amp;COUNTIFS($T$7:$T2839,$T2839))</f>
        <v/>
      </c>
      <c r="V2839" s="1">
        <f t="shared" si="135"/>
        <v>0</v>
      </c>
      <c r="W2839" s="1" t="str">
        <f t="shared" si="136"/>
        <v/>
      </c>
      <c r="X2839" s="1"/>
      <c r="Y2839" s="1"/>
      <c r="Z2839" s="1"/>
      <c r="AA2839" s="1"/>
      <c r="AB2839" s="1"/>
      <c r="AC2839" s="1"/>
      <c r="AD2839" s="1">
        <f>IF($C2839="",0,SUMPRODUCT((AY_SONU!$O$7:$O$42="Evet")*(AY_SONU!$B$7:$B$42=DATE(YEAR($C2839),MONTH($C2839),1))))</f>
        <v>0</v>
      </c>
      <c r="AE2839" s="1" t="str">
        <f>IF($E2839="","",$E2839&amp;"|"&amp;COUNTIFS($E$7:$E2839,$E2839))</f>
        <v/>
      </c>
    </row>
    <row r="2840" spans="1:31" ht="18" customHeight="1" x14ac:dyDescent="0.3">
      <c r="A2840" s="2"/>
      <c r="B2840" s="65" t="str">
        <f>IF($C2840="","","GG"&amp;TEXT(ROW()-6,"00000"))</f>
        <v/>
      </c>
      <c r="C2840" s="66"/>
      <c r="D2840" s="60"/>
      <c r="E2840" s="61"/>
      <c r="F2840" s="61"/>
      <c r="G2840" s="67"/>
      <c r="H2840" s="60"/>
      <c r="I2840" s="60"/>
      <c r="J2840" s="61"/>
      <c r="K2840" s="61"/>
      <c r="L2840" s="60"/>
      <c r="M2840" s="74" t="str">
        <f>IF($C2840="","",IF($D2840="Gider",$E2840,IF($L2840&lt;&gt;"",$L2840,$H2840)))</f>
        <v/>
      </c>
      <c r="N2840" s="74" t="str">
        <f>IF($C2840="","",IF($D2840="Gider",$H2840,$E2840))</f>
        <v/>
      </c>
      <c r="O2840" s="73" t="str">
        <f>IF($C2840="","",DATE(YEAR($C2840),MONTH($C2840),1))</f>
        <v/>
      </c>
      <c r="P2840" s="65" t="str">
        <f ca="1">IF($C2840="","",IF(AND($D2840="Gelir",$L2840&lt;&gt;"",$T2840=""),"TANIMSIZ BORÇLU",IF($T2840&lt;&gt;"",IF(OR($E2840="",$G2840&lt;=0),"EKSİK",IF($I2840="Evet","TAHAKKUK NAKİT OLAMAZ",IF($C2840&gt;TODAY(),"İLERİ TARİH","TAHAKKUK"))),IF(AND($D2840&lt;&gt;"",$E2840&lt;&gt;"",$G2840&gt;0,$H2840&lt;&gt;"",$I2840&lt;&gt;""),IF($C2840&gt;TODAY(),"İLERİ TARİH",IF(COUNTIF($W$7:$W$3001,$W2840)&gt;1,"MÜKERRER?",IF($AD2840&gt;0,"KAPALI DÖNEM",IF($I2840="Hayır","ÖDENECEK","UYGUN")))),"EKSİK"))))</f>
        <v/>
      </c>
      <c r="Q2840" s="2"/>
      <c r="R2840" s="2"/>
      <c r="S2840" s="1" t="str">
        <f t="shared" si="134"/>
        <v/>
      </c>
      <c r="T2840" s="1" t="str">
        <f>IF(OR($C2840="",$D2840&lt;&gt;"Gelir",$L2840=""),"",IFERROR(INDEX(MUSTERILER!$B$7:$B$156,MATCH($S2840,MUSTERILER!$T$7:$T$156,0)),""))</f>
        <v/>
      </c>
      <c r="U2840" s="1" t="str">
        <f>IF($T2840="","",$T2840&amp;"|"&amp;COUNTIFS($T$7:$T2840,$T2840))</f>
        <v/>
      </c>
      <c r="V2840" s="1">
        <f t="shared" si="135"/>
        <v>0</v>
      </c>
      <c r="W2840" s="1" t="str">
        <f t="shared" si="136"/>
        <v/>
      </c>
      <c r="X2840" s="1"/>
      <c r="Y2840" s="1"/>
      <c r="Z2840" s="1"/>
      <c r="AA2840" s="1"/>
      <c r="AB2840" s="1"/>
      <c r="AC2840" s="1"/>
      <c r="AD2840" s="1">
        <f>IF($C2840="",0,SUMPRODUCT((AY_SONU!$O$7:$O$42="Evet")*(AY_SONU!$B$7:$B$42=DATE(YEAR($C2840),MONTH($C2840),1))))</f>
        <v>0</v>
      </c>
      <c r="AE2840" s="1" t="str">
        <f>IF($E2840="","",$E2840&amp;"|"&amp;COUNTIFS($E$7:$E2840,$E2840))</f>
        <v/>
      </c>
    </row>
    <row r="2841" spans="1:31" ht="18" customHeight="1" x14ac:dyDescent="0.3">
      <c r="A2841" s="2"/>
      <c r="B2841" s="65" t="str">
        <f>IF($C2841="","","GG"&amp;TEXT(ROW()-6,"00000"))</f>
        <v/>
      </c>
      <c r="C2841" s="66"/>
      <c r="D2841" s="60"/>
      <c r="E2841" s="61"/>
      <c r="F2841" s="61"/>
      <c r="G2841" s="67"/>
      <c r="H2841" s="60"/>
      <c r="I2841" s="60"/>
      <c r="J2841" s="61"/>
      <c r="K2841" s="61"/>
      <c r="L2841" s="60"/>
      <c r="M2841" s="74" t="str">
        <f>IF($C2841="","",IF($D2841="Gider",$E2841,IF($L2841&lt;&gt;"",$L2841,$H2841)))</f>
        <v/>
      </c>
      <c r="N2841" s="74" t="str">
        <f>IF($C2841="","",IF($D2841="Gider",$H2841,$E2841))</f>
        <v/>
      </c>
      <c r="O2841" s="73" t="str">
        <f>IF($C2841="","",DATE(YEAR($C2841),MONTH($C2841),1))</f>
        <v/>
      </c>
      <c r="P2841" s="65" t="str">
        <f ca="1">IF($C2841="","",IF(AND($D2841="Gelir",$L2841&lt;&gt;"",$T2841=""),"TANIMSIZ BORÇLU",IF($T2841&lt;&gt;"",IF(OR($E2841="",$G2841&lt;=0),"EKSİK",IF($I2841="Evet","TAHAKKUK NAKİT OLAMAZ",IF($C2841&gt;TODAY(),"İLERİ TARİH","TAHAKKUK"))),IF(AND($D2841&lt;&gt;"",$E2841&lt;&gt;"",$G2841&gt;0,$H2841&lt;&gt;"",$I2841&lt;&gt;""),IF($C2841&gt;TODAY(),"İLERİ TARİH",IF(COUNTIF($W$7:$W$3001,$W2841)&gt;1,"MÜKERRER?",IF($AD2841&gt;0,"KAPALI DÖNEM",IF($I2841="Hayır","ÖDENECEK","UYGUN")))),"EKSİK"))))</f>
        <v/>
      </c>
      <c r="Q2841" s="2"/>
      <c r="R2841" s="2"/>
      <c r="S2841" s="1" t="str">
        <f t="shared" si="134"/>
        <v/>
      </c>
      <c r="T2841" s="1" t="str">
        <f>IF(OR($C2841="",$D2841&lt;&gt;"Gelir",$L2841=""),"",IFERROR(INDEX(MUSTERILER!$B$7:$B$156,MATCH($S2841,MUSTERILER!$T$7:$T$156,0)),""))</f>
        <v/>
      </c>
      <c r="U2841" s="1" t="str">
        <f>IF($T2841="","",$T2841&amp;"|"&amp;COUNTIFS($T$7:$T2841,$T2841))</f>
        <v/>
      </c>
      <c r="V2841" s="1">
        <f t="shared" si="135"/>
        <v>0</v>
      </c>
      <c r="W2841" s="1" t="str">
        <f t="shared" si="136"/>
        <v/>
      </c>
      <c r="X2841" s="1"/>
      <c r="Y2841" s="1"/>
      <c r="Z2841" s="1"/>
      <c r="AA2841" s="1"/>
      <c r="AB2841" s="1"/>
      <c r="AC2841" s="1"/>
      <c r="AD2841" s="1">
        <f>IF($C2841="",0,SUMPRODUCT((AY_SONU!$O$7:$O$42="Evet")*(AY_SONU!$B$7:$B$42=DATE(YEAR($C2841),MONTH($C2841),1))))</f>
        <v>0</v>
      </c>
      <c r="AE2841" s="1" t="str">
        <f>IF($E2841="","",$E2841&amp;"|"&amp;COUNTIFS($E$7:$E2841,$E2841))</f>
        <v/>
      </c>
    </row>
    <row r="2842" spans="1:31" ht="18" customHeight="1" x14ac:dyDescent="0.3">
      <c r="A2842" s="2"/>
      <c r="B2842" s="65" t="str">
        <f>IF($C2842="","","GG"&amp;TEXT(ROW()-6,"00000"))</f>
        <v/>
      </c>
      <c r="C2842" s="66"/>
      <c r="D2842" s="60"/>
      <c r="E2842" s="61"/>
      <c r="F2842" s="61"/>
      <c r="G2842" s="67"/>
      <c r="H2842" s="60"/>
      <c r="I2842" s="60"/>
      <c r="J2842" s="61"/>
      <c r="K2842" s="61"/>
      <c r="L2842" s="60"/>
      <c r="M2842" s="74" t="str">
        <f>IF($C2842="","",IF($D2842="Gider",$E2842,IF($L2842&lt;&gt;"",$L2842,$H2842)))</f>
        <v/>
      </c>
      <c r="N2842" s="74" t="str">
        <f>IF($C2842="","",IF($D2842="Gider",$H2842,$E2842))</f>
        <v/>
      </c>
      <c r="O2842" s="73" t="str">
        <f>IF($C2842="","",DATE(YEAR($C2842),MONTH($C2842),1))</f>
        <v/>
      </c>
      <c r="P2842" s="65" t="str">
        <f ca="1">IF($C2842="","",IF(AND($D2842="Gelir",$L2842&lt;&gt;"",$T2842=""),"TANIMSIZ BORÇLU",IF($T2842&lt;&gt;"",IF(OR($E2842="",$G2842&lt;=0),"EKSİK",IF($I2842="Evet","TAHAKKUK NAKİT OLAMAZ",IF($C2842&gt;TODAY(),"İLERİ TARİH","TAHAKKUK"))),IF(AND($D2842&lt;&gt;"",$E2842&lt;&gt;"",$G2842&gt;0,$H2842&lt;&gt;"",$I2842&lt;&gt;""),IF($C2842&gt;TODAY(),"İLERİ TARİH",IF(COUNTIF($W$7:$W$3001,$W2842)&gt;1,"MÜKERRER?",IF($AD2842&gt;0,"KAPALI DÖNEM",IF($I2842="Hayır","ÖDENECEK","UYGUN")))),"EKSİK"))))</f>
        <v/>
      </c>
      <c r="Q2842" s="2"/>
      <c r="R2842" s="2"/>
      <c r="S2842" s="1" t="str">
        <f t="shared" si="134"/>
        <v/>
      </c>
      <c r="T2842" s="1" t="str">
        <f>IF(OR($C2842="",$D2842&lt;&gt;"Gelir",$L2842=""),"",IFERROR(INDEX(MUSTERILER!$B$7:$B$156,MATCH($S2842,MUSTERILER!$T$7:$T$156,0)),""))</f>
        <v/>
      </c>
      <c r="U2842" s="1" t="str">
        <f>IF($T2842="","",$T2842&amp;"|"&amp;COUNTIFS($T$7:$T2842,$T2842))</f>
        <v/>
      </c>
      <c r="V2842" s="1">
        <f t="shared" si="135"/>
        <v>0</v>
      </c>
      <c r="W2842" s="1" t="str">
        <f t="shared" si="136"/>
        <v/>
      </c>
      <c r="X2842" s="1"/>
      <c r="Y2842" s="1"/>
      <c r="Z2842" s="1"/>
      <c r="AA2842" s="1"/>
      <c r="AB2842" s="1"/>
      <c r="AC2842" s="1"/>
      <c r="AD2842" s="1">
        <f>IF($C2842="",0,SUMPRODUCT((AY_SONU!$O$7:$O$42="Evet")*(AY_SONU!$B$7:$B$42=DATE(YEAR($C2842),MONTH($C2842),1))))</f>
        <v>0</v>
      </c>
      <c r="AE2842" s="1" t="str">
        <f>IF($E2842="","",$E2842&amp;"|"&amp;COUNTIFS($E$7:$E2842,$E2842))</f>
        <v/>
      </c>
    </row>
    <row r="2843" spans="1:31" ht="18" customHeight="1" x14ac:dyDescent="0.3">
      <c r="A2843" s="2"/>
      <c r="B2843" s="65" t="str">
        <f>IF($C2843="","","GG"&amp;TEXT(ROW()-6,"00000"))</f>
        <v/>
      </c>
      <c r="C2843" s="66"/>
      <c r="D2843" s="60"/>
      <c r="E2843" s="61"/>
      <c r="F2843" s="61"/>
      <c r="G2843" s="67"/>
      <c r="H2843" s="60"/>
      <c r="I2843" s="60"/>
      <c r="J2843" s="61"/>
      <c r="K2843" s="61"/>
      <c r="L2843" s="60"/>
      <c r="M2843" s="74" t="str">
        <f>IF($C2843="","",IF($D2843="Gider",$E2843,IF($L2843&lt;&gt;"",$L2843,$H2843)))</f>
        <v/>
      </c>
      <c r="N2843" s="74" t="str">
        <f>IF($C2843="","",IF($D2843="Gider",$H2843,$E2843))</f>
        <v/>
      </c>
      <c r="O2843" s="73" t="str">
        <f>IF($C2843="","",DATE(YEAR($C2843),MONTH($C2843),1))</f>
        <v/>
      </c>
      <c r="P2843" s="65" t="str">
        <f ca="1">IF($C2843="","",IF(AND($D2843="Gelir",$L2843&lt;&gt;"",$T2843=""),"TANIMSIZ BORÇLU",IF($T2843&lt;&gt;"",IF(OR($E2843="",$G2843&lt;=0),"EKSİK",IF($I2843="Evet","TAHAKKUK NAKİT OLAMAZ",IF($C2843&gt;TODAY(),"İLERİ TARİH","TAHAKKUK"))),IF(AND($D2843&lt;&gt;"",$E2843&lt;&gt;"",$G2843&gt;0,$H2843&lt;&gt;"",$I2843&lt;&gt;""),IF($C2843&gt;TODAY(),"İLERİ TARİH",IF(COUNTIF($W$7:$W$3001,$W2843)&gt;1,"MÜKERRER?",IF($AD2843&gt;0,"KAPALI DÖNEM",IF($I2843="Hayır","ÖDENECEK","UYGUN")))),"EKSİK"))))</f>
        <v/>
      </c>
      <c r="Q2843" s="2"/>
      <c r="R2843" s="2"/>
      <c r="S2843" s="1" t="str">
        <f t="shared" si="134"/>
        <v/>
      </c>
      <c r="T2843" s="1" t="str">
        <f>IF(OR($C2843="",$D2843&lt;&gt;"Gelir",$L2843=""),"",IFERROR(INDEX(MUSTERILER!$B$7:$B$156,MATCH($S2843,MUSTERILER!$T$7:$T$156,0)),""))</f>
        <v/>
      </c>
      <c r="U2843" s="1" t="str">
        <f>IF($T2843="","",$T2843&amp;"|"&amp;COUNTIFS($T$7:$T2843,$T2843))</f>
        <v/>
      </c>
      <c r="V2843" s="1">
        <f t="shared" si="135"/>
        <v>0</v>
      </c>
      <c r="W2843" s="1" t="str">
        <f t="shared" si="136"/>
        <v/>
      </c>
      <c r="X2843" s="1"/>
      <c r="Y2843" s="1"/>
      <c r="Z2843" s="1"/>
      <c r="AA2843" s="1"/>
      <c r="AB2843" s="1"/>
      <c r="AC2843" s="1"/>
      <c r="AD2843" s="1">
        <f>IF($C2843="",0,SUMPRODUCT((AY_SONU!$O$7:$O$42="Evet")*(AY_SONU!$B$7:$B$42=DATE(YEAR($C2843),MONTH($C2843),1))))</f>
        <v>0</v>
      </c>
      <c r="AE2843" s="1" t="str">
        <f>IF($E2843="","",$E2843&amp;"|"&amp;COUNTIFS($E$7:$E2843,$E2843))</f>
        <v/>
      </c>
    </row>
    <row r="2844" spans="1:31" ht="18" customHeight="1" x14ac:dyDescent="0.3">
      <c r="A2844" s="2"/>
      <c r="B2844" s="65" t="str">
        <f>IF($C2844="","","GG"&amp;TEXT(ROW()-6,"00000"))</f>
        <v/>
      </c>
      <c r="C2844" s="66"/>
      <c r="D2844" s="60"/>
      <c r="E2844" s="61"/>
      <c r="F2844" s="61"/>
      <c r="G2844" s="67"/>
      <c r="H2844" s="60"/>
      <c r="I2844" s="60"/>
      <c r="J2844" s="61"/>
      <c r="K2844" s="61"/>
      <c r="L2844" s="60"/>
      <c r="M2844" s="74" t="str">
        <f>IF($C2844="","",IF($D2844="Gider",$E2844,IF($L2844&lt;&gt;"",$L2844,$H2844)))</f>
        <v/>
      </c>
      <c r="N2844" s="74" t="str">
        <f>IF($C2844="","",IF($D2844="Gider",$H2844,$E2844))</f>
        <v/>
      </c>
      <c r="O2844" s="73" t="str">
        <f>IF($C2844="","",DATE(YEAR($C2844),MONTH($C2844),1))</f>
        <v/>
      </c>
      <c r="P2844" s="65" t="str">
        <f ca="1">IF($C2844="","",IF(AND($D2844="Gelir",$L2844&lt;&gt;"",$T2844=""),"TANIMSIZ BORÇLU",IF($T2844&lt;&gt;"",IF(OR($E2844="",$G2844&lt;=0),"EKSİK",IF($I2844="Evet","TAHAKKUK NAKİT OLAMAZ",IF($C2844&gt;TODAY(),"İLERİ TARİH","TAHAKKUK"))),IF(AND($D2844&lt;&gt;"",$E2844&lt;&gt;"",$G2844&gt;0,$H2844&lt;&gt;"",$I2844&lt;&gt;""),IF($C2844&gt;TODAY(),"İLERİ TARİH",IF(COUNTIF($W$7:$W$3001,$W2844)&gt;1,"MÜKERRER?",IF($AD2844&gt;0,"KAPALI DÖNEM",IF($I2844="Hayır","ÖDENECEK","UYGUN")))),"EKSİK"))))</f>
        <v/>
      </c>
      <c r="Q2844" s="2"/>
      <c r="R2844" s="2"/>
      <c r="S2844" s="1" t="str">
        <f t="shared" si="134"/>
        <v/>
      </c>
      <c r="T2844" s="1" t="str">
        <f>IF(OR($C2844="",$D2844&lt;&gt;"Gelir",$L2844=""),"",IFERROR(INDEX(MUSTERILER!$B$7:$B$156,MATCH($S2844,MUSTERILER!$T$7:$T$156,0)),""))</f>
        <v/>
      </c>
      <c r="U2844" s="1" t="str">
        <f>IF($T2844="","",$T2844&amp;"|"&amp;COUNTIFS($T$7:$T2844,$T2844))</f>
        <v/>
      </c>
      <c r="V2844" s="1">
        <f t="shared" si="135"/>
        <v>0</v>
      </c>
      <c r="W2844" s="1" t="str">
        <f t="shared" si="136"/>
        <v/>
      </c>
      <c r="X2844" s="1"/>
      <c r="Y2844" s="1"/>
      <c r="Z2844" s="1"/>
      <c r="AA2844" s="1"/>
      <c r="AB2844" s="1"/>
      <c r="AC2844" s="1"/>
      <c r="AD2844" s="1">
        <f>IF($C2844="",0,SUMPRODUCT((AY_SONU!$O$7:$O$42="Evet")*(AY_SONU!$B$7:$B$42=DATE(YEAR($C2844),MONTH($C2844),1))))</f>
        <v>0</v>
      </c>
      <c r="AE2844" s="1" t="str">
        <f>IF($E2844="","",$E2844&amp;"|"&amp;COUNTIFS($E$7:$E2844,$E2844))</f>
        <v/>
      </c>
    </row>
    <row r="2845" spans="1:31" ht="18" customHeight="1" x14ac:dyDescent="0.3">
      <c r="A2845" s="2"/>
      <c r="B2845" s="65" t="str">
        <f>IF($C2845="","","GG"&amp;TEXT(ROW()-6,"00000"))</f>
        <v/>
      </c>
      <c r="C2845" s="66"/>
      <c r="D2845" s="60"/>
      <c r="E2845" s="61"/>
      <c r="F2845" s="61"/>
      <c r="G2845" s="67"/>
      <c r="H2845" s="60"/>
      <c r="I2845" s="60"/>
      <c r="J2845" s="61"/>
      <c r="K2845" s="61"/>
      <c r="L2845" s="60"/>
      <c r="M2845" s="74" t="str">
        <f>IF($C2845="","",IF($D2845="Gider",$E2845,IF($L2845&lt;&gt;"",$L2845,$H2845)))</f>
        <v/>
      </c>
      <c r="N2845" s="74" t="str">
        <f>IF($C2845="","",IF($D2845="Gider",$H2845,$E2845))</f>
        <v/>
      </c>
      <c r="O2845" s="73" t="str">
        <f>IF($C2845="","",DATE(YEAR($C2845),MONTH($C2845),1))</f>
        <v/>
      </c>
      <c r="P2845" s="65" t="str">
        <f ca="1">IF($C2845="","",IF(AND($D2845="Gelir",$L2845&lt;&gt;"",$T2845=""),"TANIMSIZ BORÇLU",IF($T2845&lt;&gt;"",IF(OR($E2845="",$G2845&lt;=0),"EKSİK",IF($I2845="Evet","TAHAKKUK NAKİT OLAMAZ",IF($C2845&gt;TODAY(),"İLERİ TARİH","TAHAKKUK"))),IF(AND($D2845&lt;&gt;"",$E2845&lt;&gt;"",$G2845&gt;0,$H2845&lt;&gt;"",$I2845&lt;&gt;""),IF($C2845&gt;TODAY(),"İLERİ TARİH",IF(COUNTIF($W$7:$W$3001,$W2845)&gt;1,"MÜKERRER?",IF($AD2845&gt;0,"KAPALI DÖNEM",IF($I2845="Hayır","ÖDENECEK","UYGUN")))),"EKSİK"))))</f>
        <v/>
      </c>
      <c r="Q2845" s="2"/>
      <c r="R2845" s="2"/>
      <c r="S2845" s="1" t="str">
        <f t="shared" si="134"/>
        <v/>
      </c>
      <c r="T2845" s="1" t="str">
        <f>IF(OR($C2845="",$D2845&lt;&gt;"Gelir",$L2845=""),"",IFERROR(INDEX(MUSTERILER!$B$7:$B$156,MATCH($S2845,MUSTERILER!$T$7:$T$156,0)),""))</f>
        <v/>
      </c>
      <c r="U2845" s="1" t="str">
        <f>IF($T2845="","",$T2845&amp;"|"&amp;COUNTIFS($T$7:$T2845,$T2845))</f>
        <v/>
      </c>
      <c r="V2845" s="1">
        <f t="shared" si="135"/>
        <v>0</v>
      </c>
      <c r="W2845" s="1" t="str">
        <f t="shared" si="136"/>
        <v/>
      </c>
      <c r="X2845" s="1"/>
      <c r="Y2845" s="1"/>
      <c r="Z2845" s="1"/>
      <c r="AA2845" s="1"/>
      <c r="AB2845" s="1"/>
      <c r="AC2845" s="1"/>
      <c r="AD2845" s="1">
        <f>IF($C2845="",0,SUMPRODUCT((AY_SONU!$O$7:$O$42="Evet")*(AY_SONU!$B$7:$B$42=DATE(YEAR($C2845),MONTH($C2845),1))))</f>
        <v>0</v>
      </c>
      <c r="AE2845" s="1" t="str">
        <f>IF($E2845="","",$E2845&amp;"|"&amp;COUNTIFS($E$7:$E2845,$E2845))</f>
        <v/>
      </c>
    </row>
    <row r="2846" spans="1:31" ht="18" customHeight="1" x14ac:dyDescent="0.3">
      <c r="A2846" s="2"/>
      <c r="B2846" s="65" t="str">
        <f>IF($C2846="","","GG"&amp;TEXT(ROW()-6,"00000"))</f>
        <v/>
      </c>
      <c r="C2846" s="66"/>
      <c r="D2846" s="60"/>
      <c r="E2846" s="61"/>
      <c r="F2846" s="61"/>
      <c r="G2846" s="67"/>
      <c r="H2846" s="60"/>
      <c r="I2846" s="60"/>
      <c r="J2846" s="61"/>
      <c r="K2846" s="61"/>
      <c r="L2846" s="60"/>
      <c r="M2846" s="74" t="str">
        <f>IF($C2846="","",IF($D2846="Gider",$E2846,IF($L2846&lt;&gt;"",$L2846,$H2846)))</f>
        <v/>
      </c>
      <c r="N2846" s="74" t="str">
        <f>IF($C2846="","",IF($D2846="Gider",$H2846,$E2846))</f>
        <v/>
      </c>
      <c r="O2846" s="73" t="str">
        <f>IF($C2846="","",DATE(YEAR($C2846),MONTH($C2846),1))</f>
        <v/>
      </c>
      <c r="P2846" s="65" t="str">
        <f ca="1">IF($C2846="","",IF(AND($D2846="Gelir",$L2846&lt;&gt;"",$T2846=""),"TANIMSIZ BORÇLU",IF($T2846&lt;&gt;"",IF(OR($E2846="",$G2846&lt;=0),"EKSİK",IF($I2846="Evet","TAHAKKUK NAKİT OLAMAZ",IF($C2846&gt;TODAY(),"İLERİ TARİH","TAHAKKUK"))),IF(AND($D2846&lt;&gt;"",$E2846&lt;&gt;"",$G2846&gt;0,$H2846&lt;&gt;"",$I2846&lt;&gt;""),IF($C2846&gt;TODAY(),"İLERİ TARİH",IF(COUNTIF($W$7:$W$3001,$W2846)&gt;1,"MÜKERRER?",IF($AD2846&gt;0,"KAPALI DÖNEM",IF($I2846="Hayır","ÖDENECEK","UYGUN")))),"EKSİK"))))</f>
        <v/>
      </c>
      <c r="Q2846" s="2"/>
      <c r="R2846" s="2"/>
      <c r="S2846" s="1" t="str">
        <f t="shared" si="134"/>
        <v/>
      </c>
      <c r="T2846" s="1" t="str">
        <f>IF(OR($C2846="",$D2846&lt;&gt;"Gelir",$L2846=""),"",IFERROR(INDEX(MUSTERILER!$B$7:$B$156,MATCH($S2846,MUSTERILER!$T$7:$T$156,0)),""))</f>
        <v/>
      </c>
      <c r="U2846" s="1" t="str">
        <f>IF($T2846="","",$T2846&amp;"|"&amp;COUNTIFS($T$7:$T2846,$T2846))</f>
        <v/>
      </c>
      <c r="V2846" s="1">
        <f t="shared" si="135"/>
        <v>0</v>
      </c>
      <c r="W2846" s="1" t="str">
        <f t="shared" si="136"/>
        <v/>
      </c>
      <c r="X2846" s="1"/>
      <c r="Y2846" s="1"/>
      <c r="Z2846" s="1"/>
      <c r="AA2846" s="1"/>
      <c r="AB2846" s="1"/>
      <c r="AC2846" s="1"/>
      <c r="AD2846" s="1">
        <f>IF($C2846="",0,SUMPRODUCT((AY_SONU!$O$7:$O$42="Evet")*(AY_SONU!$B$7:$B$42=DATE(YEAR($C2846),MONTH($C2846),1))))</f>
        <v>0</v>
      </c>
      <c r="AE2846" s="1" t="str">
        <f>IF($E2846="","",$E2846&amp;"|"&amp;COUNTIFS($E$7:$E2846,$E2846))</f>
        <v/>
      </c>
    </row>
    <row r="2847" spans="1:31" ht="18" customHeight="1" x14ac:dyDescent="0.3">
      <c r="A2847" s="2"/>
      <c r="B2847" s="65" t="str">
        <f>IF($C2847="","","GG"&amp;TEXT(ROW()-6,"00000"))</f>
        <v/>
      </c>
      <c r="C2847" s="66"/>
      <c r="D2847" s="60"/>
      <c r="E2847" s="61"/>
      <c r="F2847" s="61"/>
      <c r="G2847" s="67"/>
      <c r="H2847" s="60"/>
      <c r="I2847" s="60"/>
      <c r="J2847" s="61"/>
      <c r="K2847" s="61"/>
      <c r="L2847" s="60"/>
      <c r="M2847" s="74" t="str">
        <f>IF($C2847="","",IF($D2847="Gider",$E2847,IF($L2847&lt;&gt;"",$L2847,$H2847)))</f>
        <v/>
      </c>
      <c r="N2847" s="74" t="str">
        <f>IF($C2847="","",IF($D2847="Gider",$H2847,$E2847))</f>
        <v/>
      </c>
      <c r="O2847" s="73" t="str">
        <f>IF($C2847="","",DATE(YEAR($C2847),MONTH($C2847),1))</f>
        <v/>
      </c>
      <c r="P2847" s="65" t="str">
        <f ca="1">IF($C2847="","",IF(AND($D2847="Gelir",$L2847&lt;&gt;"",$T2847=""),"TANIMSIZ BORÇLU",IF($T2847&lt;&gt;"",IF(OR($E2847="",$G2847&lt;=0),"EKSİK",IF($I2847="Evet","TAHAKKUK NAKİT OLAMAZ",IF($C2847&gt;TODAY(),"İLERİ TARİH","TAHAKKUK"))),IF(AND($D2847&lt;&gt;"",$E2847&lt;&gt;"",$G2847&gt;0,$H2847&lt;&gt;"",$I2847&lt;&gt;""),IF($C2847&gt;TODAY(),"İLERİ TARİH",IF(COUNTIF($W$7:$W$3001,$W2847)&gt;1,"MÜKERRER?",IF($AD2847&gt;0,"KAPALI DÖNEM",IF($I2847="Hayır","ÖDENECEK","UYGUN")))),"EKSİK"))))</f>
        <v/>
      </c>
      <c r="Q2847" s="2"/>
      <c r="R2847" s="2"/>
      <c r="S2847" s="1" t="str">
        <f t="shared" si="134"/>
        <v/>
      </c>
      <c r="T2847" s="1" t="str">
        <f>IF(OR($C2847="",$D2847&lt;&gt;"Gelir",$L2847=""),"",IFERROR(INDEX(MUSTERILER!$B$7:$B$156,MATCH($S2847,MUSTERILER!$T$7:$T$156,0)),""))</f>
        <v/>
      </c>
      <c r="U2847" s="1" t="str">
        <f>IF($T2847="","",$T2847&amp;"|"&amp;COUNTIFS($T$7:$T2847,$T2847))</f>
        <v/>
      </c>
      <c r="V2847" s="1">
        <f t="shared" si="135"/>
        <v>0</v>
      </c>
      <c r="W2847" s="1" t="str">
        <f t="shared" si="136"/>
        <v/>
      </c>
      <c r="X2847" s="1"/>
      <c r="Y2847" s="1"/>
      <c r="Z2847" s="1"/>
      <c r="AA2847" s="1"/>
      <c r="AB2847" s="1"/>
      <c r="AC2847" s="1"/>
      <c r="AD2847" s="1">
        <f>IF($C2847="",0,SUMPRODUCT((AY_SONU!$O$7:$O$42="Evet")*(AY_SONU!$B$7:$B$42=DATE(YEAR($C2847),MONTH($C2847),1))))</f>
        <v>0</v>
      </c>
      <c r="AE2847" s="1" t="str">
        <f>IF($E2847="","",$E2847&amp;"|"&amp;COUNTIFS($E$7:$E2847,$E2847))</f>
        <v/>
      </c>
    </row>
    <row r="2848" spans="1:31" ht="18" customHeight="1" x14ac:dyDescent="0.3">
      <c r="A2848" s="2"/>
      <c r="B2848" s="65" t="str">
        <f>IF($C2848="","","GG"&amp;TEXT(ROW()-6,"00000"))</f>
        <v/>
      </c>
      <c r="C2848" s="66"/>
      <c r="D2848" s="60"/>
      <c r="E2848" s="61"/>
      <c r="F2848" s="61"/>
      <c r="G2848" s="67"/>
      <c r="H2848" s="60"/>
      <c r="I2848" s="60"/>
      <c r="J2848" s="61"/>
      <c r="K2848" s="61"/>
      <c r="L2848" s="60"/>
      <c r="M2848" s="74" t="str">
        <f>IF($C2848="","",IF($D2848="Gider",$E2848,IF($L2848&lt;&gt;"",$L2848,$H2848)))</f>
        <v/>
      </c>
      <c r="N2848" s="74" t="str">
        <f>IF($C2848="","",IF($D2848="Gider",$H2848,$E2848))</f>
        <v/>
      </c>
      <c r="O2848" s="73" t="str">
        <f>IF($C2848="","",DATE(YEAR($C2848),MONTH($C2848),1))</f>
        <v/>
      </c>
      <c r="P2848" s="65" t="str">
        <f ca="1">IF($C2848="","",IF(AND($D2848="Gelir",$L2848&lt;&gt;"",$T2848=""),"TANIMSIZ BORÇLU",IF($T2848&lt;&gt;"",IF(OR($E2848="",$G2848&lt;=0),"EKSİK",IF($I2848="Evet","TAHAKKUK NAKİT OLAMAZ",IF($C2848&gt;TODAY(),"İLERİ TARİH","TAHAKKUK"))),IF(AND($D2848&lt;&gt;"",$E2848&lt;&gt;"",$G2848&gt;0,$H2848&lt;&gt;"",$I2848&lt;&gt;""),IF($C2848&gt;TODAY(),"İLERİ TARİH",IF(COUNTIF($W$7:$W$3001,$W2848)&gt;1,"MÜKERRER?",IF($AD2848&gt;0,"KAPALI DÖNEM",IF($I2848="Hayır","ÖDENECEK","UYGUN")))),"EKSİK"))))</f>
        <v/>
      </c>
      <c r="Q2848" s="2"/>
      <c r="R2848" s="2"/>
      <c r="S2848" s="1" t="str">
        <f t="shared" si="134"/>
        <v/>
      </c>
      <c r="T2848" s="1" t="str">
        <f>IF(OR($C2848="",$D2848&lt;&gt;"Gelir",$L2848=""),"",IFERROR(INDEX(MUSTERILER!$B$7:$B$156,MATCH($S2848,MUSTERILER!$T$7:$T$156,0)),""))</f>
        <v/>
      </c>
      <c r="U2848" s="1" t="str">
        <f>IF($T2848="","",$T2848&amp;"|"&amp;COUNTIFS($T$7:$T2848,$T2848))</f>
        <v/>
      </c>
      <c r="V2848" s="1">
        <f t="shared" si="135"/>
        <v>0</v>
      </c>
      <c r="W2848" s="1" t="str">
        <f t="shared" si="136"/>
        <v/>
      </c>
      <c r="X2848" s="1"/>
      <c r="Y2848" s="1"/>
      <c r="Z2848" s="1"/>
      <c r="AA2848" s="1"/>
      <c r="AB2848" s="1"/>
      <c r="AC2848" s="1"/>
      <c r="AD2848" s="1">
        <f>IF($C2848="",0,SUMPRODUCT((AY_SONU!$O$7:$O$42="Evet")*(AY_SONU!$B$7:$B$42=DATE(YEAR($C2848),MONTH($C2848),1))))</f>
        <v>0</v>
      </c>
      <c r="AE2848" s="1" t="str">
        <f>IF($E2848="","",$E2848&amp;"|"&amp;COUNTIFS($E$7:$E2848,$E2848))</f>
        <v/>
      </c>
    </row>
    <row r="2849" spans="1:31" ht="18" customHeight="1" x14ac:dyDescent="0.3">
      <c r="A2849" s="2"/>
      <c r="B2849" s="65" t="str">
        <f>IF($C2849="","","GG"&amp;TEXT(ROW()-6,"00000"))</f>
        <v/>
      </c>
      <c r="C2849" s="66"/>
      <c r="D2849" s="60"/>
      <c r="E2849" s="61"/>
      <c r="F2849" s="61"/>
      <c r="G2849" s="67"/>
      <c r="H2849" s="60"/>
      <c r="I2849" s="60"/>
      <c r="J2849" s="61"/>
      <c r="K2849" s="61"/>
      <c r="L2849" s="60"/>
      <c r="M2849" s="74" t="str">
        <f>IF($C2849="","",IF($D2849="Gider",$E2849,IF($L2849&lt;&gt;"",$L2849,$H2849)))</f>
        <v/>
      </c>
      <c r="N2849" s="74" t="str">
        <f>IF($C2849="","",IF($D2849="Gider",$H2849,$E2849))</f>
        <v/>
      </c>
      <c r="O2849" s="73" t="str">
        <f>IF($C2849="","",DATE(YEAR($C2849),MONTH($C2849),1))</f>
        <v/>
      </c>
      <c r="P2849" s="65" t="str">
        <f ca="1">IF($C2849="","",IF(AND($D2849="Gelir",$L2849&lt;&gt;"",$T2849=""),"TANIMSIZ BORÇLU",IF($T2849&lt;&gt;"",IF(OR($E2849="",$G2849&lt;=0),"EKSİK",IF($I2849="Evet","TAHAKKUK NAKİT OLAMAZ",IF($C2849&gt;TODAY(),"İLERİ TARİH","TAHAKKUK"))),IF(AND($D2849&lt;&gt;"",$E2849&lt;&gt;"",$G2849&gt;0,$H2849&lt;&gt;"",$I2849&lt;&gt;""),IF($C2849&gt;TODAY(),"İLERİ TARİH",IF(COUNTIF($W$7:$W$3001,$W2849)&gt;1,"MÜKERRER?",IF($AD2849&gt;0,"KAPALI DÖNEM",IF($I2849="Hayır","ÖDENECEK","UYGUN")))),"EKSİK"))))</f>
        <v/>
      </c>
      <c r="Q2849" s="2"/>
      <c r="R2849" s="2"/>
      <c r="S2849" s="1" t="str">
        <f t="shared" si="134"/>
        <v/>
      </c>
      <c r="T2849" s="1" t="str">
        <f>IF(OR($C2849="",$D2849&lt;&gt;"Gelir",$L2849=""),"",IFERROR(INDEX(MUSTERILER!$B$7:$B$156,MATCH($S2849,MUSTERILER!$T$7:$T$156,0)),""))</f>
        <v/>
      </c>
      <c r="U2849" s="1" t="str">
        <f>IF($T2849="","",$T2849&amp;"|"&amp;COUNTIFS($T$7:$T2849,$T2849))</f>
        <v/>
      </c>
      <c r="V2849" s="1">
        <f t="shared" si="135"/>
        <v>0</v>
      </c>
      <c r="W2849" s="1" t="str">
        <f t="shared" si="136"/>
        <v/>
      </c>
      <c r="X2849" s="1"/>
      <c r="Y2849" s="1"/>
      <c r="Z2849" s="1"/>
      <c r="AA2849" s="1"/>
      <c r="AB2849" s="1"/>
      <c r="AC2849" s="1"/>
      <c r="AD2849" s="1">
        <f>IF($C2849="",0,SUMPRODUCT((AY_SONU!$O$7:$O$42="Evet")*(AY_SONU!$B$7:$B$42=DATE(YEAR($C2849),MONTH($C2849),1))))</f>
        <v>0</v>
      </c>
      <c r="AE2849" s="1" t="str">
        <f>IF($E2849="","",$E2849&amp;"|"&amp;COUNTIFS($E$7:$E2849,$E2849))</f>
        <v/>
      </c>
    </row>
    <row r="2850" spans="1:31" ht="18" customHeight="1" x14ac:dyDescent="0.3">
      <c r="A2850" s="2"/>
      <c r="B2850" s="65" t="str">
        <f>IF($C2850="","","GG"&amp;TEXT(ROW()-6,"00000"))</f>
        <v/>
      </c>
      <c r="C2850" s="66"/>
      <c r="D2850" s="60"/>
      <c r="E2850" s="61"/>
      <c r="F2850" s="61"/>
      <c r="G2850" s="67"/>
      <c r="H2850" s="60"/>
      <c r="I2850" s="60"/>
      <c r="J2850" s="61"/>
      <c r="K2850" s="61"/>
      <c r="L2850" s="60"/>
      <c r="M2850" s="74" t="str">
        <f>IF($C2850="","",IF($D2850="Gider",$E2850,IF($L2850&lt;&gt;"",$L2850,$H2850)))</f>
        <v/>
      </c>
      <c r="N2850" s="74" t="str">
        <f>IF($C2850="","",IF($D2850="Gider",$H2850,$E2850))</f>
        <v/>
      </c>
      <c r="O2850" s="73" t="str">
        <f>IF($C2850="","",DATE(YEAR($C2850),MONTH($C2850),1))</f>
        <v/>
      </c>
      <c r="P2850" s="65" t="str">
        <f ca="1">IF($C2850="","",IF(AND($D2850="Gelir",$L2850&lt;&gt;"",$T2850=""),"TANIMSIZ BORÇLU",IF($T2850&lt;&gt;"",IF(OR($E2850="",$G2850&lt;=0),"EKSİK",IF($I2850="Evet","TAHAKKUK NAKİT OLAMAZ",IF($C2850&gt;TODAY(),"İLERİ TARİH","TAHAKKUK"))),IF(AND($D2850&lt;&gt;"",$E2850&lt;&gt;"",$G2850&gt;0,$H2850&lt;&gt;"",$I2850&lt;&gt;""),IF($C2850&gt;TODAY(),"İLERİ TARİH",IF(COUNTIF($W$7:$W$3001,$W2850)&gt;1,"MÜKERRER?",IF($AD2850&gt;0,"KAPALI DÖNEM",IF($I2850="Hayır","ÖDENECEK","UYGUN")))),"EKSİK"))))</f>
        <v/>
      </c>
      <c r="Q2850" s="2"/>
      <c r="R2850" s="2"/>
      <c r="S2850" s="1" t="str">
        <f t="shared" si="134"/>
        <v/>
      </c>
      <c r="T2850" s="1" t="str">
        <f>IF(OR($C2850="",$D2850&lt;&gt;"Gelir",$L2850=""),"",IFERROR(INDEX(MUSTERILER!$B$7:$B$156,MATCH($S2850,MUSTERILER!$T$7:$T$156,0)),""))</f>
        <v/>
      </c>
      <c r="U2850" s="1" t="str">
        <f>IF($T2850="","",$T2850&amp;"|"&amp;COUNTIFS($T$7:$T2850,$T2850))</f>
        <v/>
      </c>
      <c r="V2850" s="1">
        <f t="shared" si="135"/>
        <v>0</v>
      </c>
      <c r="W2850" s="1" t="str">
        <f t="shared" si="136"/>
        <v/>
      </c>
      <c r="X2850" s="1"/>
      <c r="Y2850" s="1"/>
      <c r="Z2850" s="1"/>
      <c r="AA2850" s="1"/>
      <c r="AB2850" s="1"/>
      <c r="AC2850" s="1"/>
      <c r="AD2850" s="1">
        <f>IF($C2850="",0,SUMPRODUCT((AY_SONU!$O$7:$O$42="Evet")*(AY_SONU!$B$7:$B$42=DATE(YEAR($C2850),MONTH($C2850),1))))</f>
        <v>0</v>
      </c>
      <c r="AE2850" s="1" t="str">
        <f>IF($E2850="","",$E2850&amp;"|"&amp;COUNTIFS($E$7:$E2850,$E2850))</f>
        <v/>
      </c>
    </row>
    <row r="2851" spans="1:31" ht="18" customHeight="1" x14ac:dyDescent="0.3">
      <c r="A2851" s="2"/>
      <c r="B2851" s="65" t="str">
        <f>IF($C2851="","","GG"&amp;TEXT(ROW()-6,"00000"))</f>
        <v/>
      </c>
      <c r="C2851" s="66"/>
      <c r="D2851" s="60"/>
      <c r="E2851" s="61"/>
      <c r="F2851" s="61"/>
      <c r="G2851" s="67"/>
      <c r="H2851" s="60"/>
      <c r="I2851" s="60"/>
      <c r="J2851" s="61"/>
      <c r="K2851" s="61"/>
      <c r="L2851" s="60"/>
      <c r="M2851" s="74" t="str">
        <f>IF($C2851="","",IF($D2851="Gider",$E2851,IF($L2851&lt;&gt;"",$L2851,$H2851)))</f>
        <v/>
      </c>
      <c r="N2851" s="74" t="str">
        <f>IF($C2851="","",IF($D2851="Gider",$H2851,$E2851))</f>
        <v/>
      </c>
      <c r="O2851" s="73" t="str">
        <f>IF($C2851="","",DATE(YEAR($C2851),MONTH($C2851),1))</f>
        <v/>
      </c>
      <c r="P2851" s="65" t="str">
        <f ca="1">IF($C2851="","",IF(AND($D2851="Gelir",$L2851&lt;&gt;"",$T2851=""),"TANIMSIZ BORÇLU",IF($T2851&lt;&gt;"",IF(OR($E2851="",$G2851&lt;=0),"EKSİK",IF($I2851="Evet","TAHAKKUK NAKİT OLAMAZ",IF($C2851&gt;TODAY(),"İLERİ TARİH","TAHAKKUK"))),IF(AND($D2851&lt;&gt;"",$E2851&lt;&gt;"",$G2851&gt;0,$H2851&lt;&gt;"",$I2851&lt;&gt;""),IF($C2851&gt;TODAY(),"İLERİ TARİH",IF(COUNTIF($W$7:$W$3001,$W2851)&gt;1,"MÜKERRER?",IF($AD2851&gt;0,"KAPALI DÖNEM",IF($I2851="Hayır","ÖDENECEK","UYGUN")))),"EKSİK"))))</f>
        <v/>
      </c>
      <c r="Q2851" s="2"/>
      <c r="R2851" s="2"/>
      <c r="S2851" s="1" t="str">
        <f t="shared" si="134"/>
        <v/>
      </c>
      <c r="T2851" s="1" t="str">
        <f>IF(OR($C2851="",$D2851&lt;&gt;"Gelir",$L2851=""),"",IFERROR(INDEX(MUSTERILER!$B$7:$B$156,MATCH($S2851,MUSTERILER!$T$7:$T$156,0)),""))</f>
        <v/>
      </c>
      <c r="U2851" s="1" t="str">
        <f>IF($T2851="","",$T2851&amp;"|"&amp;COUNTIFS($T$7:$T2851,$T2851))</f>
        <v/>
      </c>
      <c r="V2851" s="1">
        <f t="shared" si="135"/>
        <v>0</v>
      </c>
      <c r="W2851" s="1" t="str">
        <f t="shared" si="136"/>
        <v/>
      </c>
      <c r="X2851" s="1"/>
      <c r="Y2851" s="1"/>
      <c r="Z2851" s="1"/>
      <c r="AA2851" s="1"/>
      <c r="AB2851" s="1"/>
      <c r="AC2851" s="1"/>
      <c r="AD2851" s="1">
        <f>IF($C2851="",0,SUMPRODUCT((AY_SONU!$O$7:$O$42="Evet")*(AY_SONU!$B$7:$B$42=DATE(YEAR($C2851),MONTH($C2851),1))))</f>
        <v>0</v>
      </c>
      <c r="AE2851" s="1" t="str">
        <f>IF($E2851="","",$E2851&amp;"|"&amp;COUNTIFS($E$7:$E2851,$E2851))</f>
        <v/>
      </c>
    </row>
    <row r="2852" spans="1:31" ht="18" customHeight="1" x14ac:dyDescent="0.3">
      <c r="A2852" s="2"/>
      <c r="B2852" s="65" t="str">
        <f>IF($C2852="","","GG"&amp;TEXT(ROW()-6,"00000"))</f>
        <v/>
      </c>
      <c r="C2852" s="66"/>
      <c r="D2852" s="60"/>
      <c r="E2852" s="61"/>
      <c r="F2852" s="61"/>
      <c r="G2852" s="67"/>
      <c r="H2852" s="60"/>
      <c r="I2852" s="60"/>
      <c r="J2852" s="61"/>
      <c r="K2852" s="61"/>
      <c r="L2852" s="60"/>
      <c r="M2852" s="74" t="str">
        <f>IF($C2852="","",IF($D2852="Gider",$E2852,IF($L2852&lt;&gt;"",$L2852,$H2852)))</f>
        <v/>
      </c>
      <c r="N2852" s="74" t="str">
        <f>IF($C2852="","",IF($D2852="Gider",$H2852,$E2852))</f>
        <v/>
      </c>
      <c r="O2852" s="73" t="str">
        <f>IF($C2852="","",DATE(YEAR($C2852),MONTH($C2852),1))</f>
        <v/>
      </c>
      <c r="P2852" s="65" t="str">
        <f ca="1">IF($C2852="","",IF(AND($D2852="Gelir",$L2852&lt;&gt;"",$T2852=""),"TANIMSIZ BORÇLU",IF($T2852&lt;&gt;"",IF(OR($E2852="",$G2852&lt;=0),"EKSİK",IF($I2852="Evet","TAHAKKUK NAKİT OLAMAZ",IF($C2852&gt;TODAY(),"İLERİ TARİH","TAHAKKUK"))),IF(AND($D2852&lt;&gt;"",$E2852&lt;&gt;"",$G2852&gt;0,$H2852&lt;&gt;"",$I2852&lt;&gt;""),IF($C2852&gt;TODAY(),"İLERİ TARİH",IF(COUNTIF($W$7:$W$3001,$W2852)&gt;1,"MÜKERRER?",IF($AD2852&gt;0,"KAPALI DÖNEM",IF($I2852="Hayır","ÖDENECEK","UYGUN")))),"EKSİK"))))</f>
        <v/>
      </c>
      <c r="Q2852" s="2"/>
      <c r="R2852" s="2"/>
      <c r="S2852" s="1" t="str">
        <f t="shared" si="134"/>
        <v/>
      </c>
      <c r="T2852" s="1" t="str">
        <f>IF(OR($C2852="",$D2852&lt;&gt;"Gelir",$L2852=""),"",IFERROR(INDEX(MUSTERILER!$B$7:$B$156,MATCH($S2852,MUSTERILER!$T$7:$T$156,0)),""))</f>
        <v/>
      </c>
      <c r="U2852" s="1" t="str">
        <f>IF($T2852="","",$T2852&amp;"|"&amp;COUNTIFS($T$7:$T2852,$T2852))</f>
        <v/>
      </c>
      <c r="V2852" s="1">
        <f t="shared" si="135"/>
        <v>0</v>
      </c>
      <c r="W2852" s="1" t="str">
        <f t="shared" si="136"/>
        <v/>
      </c>
      <c r="X2852" s="1"/>
      <c r="Y2852" s="1"/>
      <c r="Z2852" s="1"/>
      <c r="AA2852" s="1"/>
      <c r="AB2852" s="1"/>
      <c r="AC2852" s="1"/>
      <c r="AD2852" s="1">
        <f>IF($C2852="",0,SUMPRODUCT((AY_SONU!$O$7:$O$42="Evet")*(AY_SONU!$B$7:$B$42=DATE(YEAR($C2852),MONTH($C2852),1))))</f>
        <v>0</v>
      </c>
      <c r="AE2852" s="1" t="str">
        <f>IF($E2852="","",$E2852&amp;"|"&amp;COUNTIFS($E$7:$E2852,$E2852))</f>
        <v/>
      </c>
    </row>
    <row r="2853" spans="1:31" ht="18" customHeight="1" x14ac:dyDescent="0.3">
      <c r="A2853" s="2"/>
      <c r="B2853" s="65" t="str">
        <f>IF($C2853="","","GG"&amp;TEXT(ROW()-6,"00000"))</f>
        <v/>
      </c>
      <c r="C2853" s="66"/>
      <c r="D2853" s="60"/>
      <c r="E2853" s="61"/>
      <c r="F2853" s="61"/>
      <c r="G2853" s="67"/>
      <c r="H2853" s="60"/>
      <c r="I2853" s="60"/>
      <c r="J2853" s="61"/>
      <c r="K2853" s="61"/>
      <c r="L2853" s="60"/>
      <c r="M2853" s="74" t="str">
        <f>IF($C2853="","",IF($D2853="Gider",$E2853,IF($L2853&lt;&gt;"",$L2853,$H2853)))</f>
        <v/>
      </c>
      <c r="N2853" s="74" t="str">
        <f>IF($C2853="","",IF($D2853="Gider",$H2853,$E2853))</f>
        <v/>
      </c>
      <c r="O2853" s="73" t="str">
        <f>IF($C2853="","",DATE(YEAR($C2853),MONTH($C2853),1))</f>
        <v/>
      </c>
      <c r="P2853" s="65" t="str">
        <f ca="1">IF($C2853="","",IF(AND($D2853="Gelir",$L2853&lt;&gt;"",$T2853=""),"TANIMSIZ BORÇLU",IF($T2853&lt;&gt;"",IF(OR($E2853="",$G2853&lt;=0),"EKSİK",IF($I2853="Evet","TAHAKKUK NAKİT OLAMAZ",IF($C2853&gt;TODAY(),"İLERİ TARİH","TAHAKKUK"))),IF(AND($D2853&lt;&gt;"",$E2853&lt;&gt;"",$G2853&gt;0,$H2853&lt;&gt;"",$I2853&lt;&gt;""),IF($C2853&gt;TODAY(),"İLERİ TARİH",IF(COUNTIF($W$7:$W$3001,$W2853)&gt;1,"MÜKERRER?",IF($AD2853&gt;0,"KAPALI DÖNEM",IF($I2853="Hayır","ÖDENECEK","UYGUN")))),"EKSİK"))))</f>
        <v/>
      </c>
      <c r="Q2853" s="2"/>
      <c r="R2853" s="2"/>
      <c r="S2853" s="1" t="str">
        <f t="shared" si="134"/>
        <v/>
      </c>
      <c r="T2853" s="1" t="str">
        <f>IF(OR($C2853="",$D2853&lt;&gt;"Gelir",$L2853=""),"",IFERROR(INDEX(MUSTERILER!$B$7:$B$156,MATCH($S2853,MUSTERILER!$T$7:$T$156,0)),""))</f>
        <v/>
      </c>
      <c r="U2853" s="1" t="str">
        <f>IF($T2853="","",$T2853&amp;"|"&amp;COUNTIFS($T$7:$T2853,$T2853))</f>
        <v/>
      </c>
      <c r="V2853" s="1">
        <f t="shared" si="135"/>
        <v>0</v>
      </c>
      <c r="W2853" s="1" t="str">
        <f t="shared" si="136"/>
        <v/>
      </c>
      <c r="X2853" s="1"/>
      <c r="Y2853" s="1"/>
      <c r="Z2853" s="1"/>
      <c r="AA2853" s="1"/>
      <c r="AB2853" s="1"/>
      <c r="AC2853" s="1"/>
      <c r="AD2853" s="1">
        <f>IF($C2853="",0,SUMPRODUCT((AY_SONU!$O$7:$O$42="Evet")*(AY_SONU!$B$7:$B$42=DATE(YEAR($C2853),MONTH($C2853),1))))</f>
        <v>0</v>
      </c>
      <c r="AE2853" s="1" t="str">
        <f>IF($E2853="","",$E2853&amp;"|"&amp;COUNTIFS($E$7:$E2853,$E2853))</f>
        <v/>
      </c>
    </row>
    <row r="2854" spans="1:31" ht="18" customHeight="1" x14ac:dyDescent="0.3">
      <c r="A2854" s="2"/>
      <c r="B2854" s="65" t="str">
        <f>IF($C2854="","","GG"&amp;TEXT(ROW()-6,"00000"))</f>
        <v/>
      </c>
      <c r="C2854" s="66"/>
      <c r="D2854" s="60"/>
      <c r="E2854" s="61"/>
      <c r="F2854" s="61"/>
      <c r="G2854" s="67"/>
      <c r="H2854" s="60"/>
      <c r="I2854" s="60"/>
      <c r="J2854" s="61"/>
      <c r="K2854" s="61"/>
      <c r="L2854" s="60"/>
      <c r="M2854" s="74" t="str">
        <f>IF($C2854="","",IF($D2854="Gider",$E2854,IF($L2854&lt;&gt;"",$L2854,$H2854)))</f>
        <v/>
      </c>
      <c r="N2854" s="74" t="str">
        <f>IF($C2854="","",IF($D2854="Gider",$H2854,$E2854))</f>
        <v/>
      </c>
      <c r="O2854" s="73" t="str">
        <f>IF($C2854="","",DATE(YEAR($C2854),MONTH($C2854),1))</f>
        <v/>
      </c>
      <c r="P2854" s="65" t="str">
        <f ca="1">IF($C2854="","",IF(AND($D2854="Gelir",$L2854&lt;&gt;"",$T2854=""),"TANIMSIZ BORÇLU",IF($T2854&lt;&gt;"",IF(OR($E2854="",$G2854&lt;=0),"EKSİK",IF($I2854="Evet","TAHAKKUK NAKİT OLAMAZ",IF($C2854&gt;TODAY(),"İLERİ TARİH","TAHAKKUK"))),IF(AND($D2854&lt;&gt;"",$E2854&lt;&gt;"",$G2854&gt;0,$H2854&lt;&gt;"",$I2854&lt;&gt;""),IF($C2854&gt;TODAY(),"İLERİ TARİH",IF(COUNTIF($W$7:$W$3001,$W2854)&gt;1,"MÜKERRER?",IF($AD2854&gt;0,"KAPALI DÖNEM",IF($I2854="Hayır","ÖDENECEK","UYGUN")))),"EKSİK"))))</f>
        <v/>
      </c>
      <c r="Q2854" s="2"/>
      <c r="R2854" s="2"/>
      <c r="S2854" s="1" t="str">
        <f t="shared" si="134"/>
        <v/>
      </c>
      <c r="T2854" s="1" t="str">
        <f>IF(OR($C2854="",$D2854&lt;&gt;"Gelir",$L2854=""),"",IFERROR(INDEX(MUSTERILER!$B$7:$B$156,MATCH($S2854,MUSTERILER!$T$7:$T$156,0)),""))</f>
        <v/>
      </c>
      <c r="U2854" s="1" t="str">
        <f>IF($T2854="","",$T2854&amp;"|"&amp;COUNTIFS($T$7:$T2854,$T2854))</f>
        <v/>
      </c>
      <c r="V2854" s="1">
        <f t="shared" si="135"/>
        <v>0</v>
      </c>
      <c r="W2854" s="1" t="str">
        <f t="shared" si="136"/>
        <v/>
      </c>
      <c r="X2854" s="1"/>
      <c r="Y2854" s="1"/>
      <c r="Z2854" s="1"/>
      <c r="AA2854" s="1"/>
      <c r="AB2854" s="1"/>
      <c r="AC2854" s="1"/>
      <c r="AD2854" s="1">
        <f>IF($C2854="",0,SUMPRODUCT((AY_SONU!$O$7:$O$42="Evet")*(AY_SONU!$B$7:$B$42=DATE(YEAR($C2854),MONTH($C2854),1))))</f>
        <v>0</v>
      </c>
      <c r="AE2854" s="1" t="str">
        <f>IF($E2854="","",$E2854&amp;"|"&amp;COUNTIFS($E$7:$E2854,$E2854))</f>
        <v/>
      </c>
    </row>
    <row r="2855" spans="1:31" ht="18" customHeight="1" x14ac:dyDescent="0.3">
      <c r="A2855" s="2"/>
      <c r="B2855" s="65" t="str">
        <f>IF($C2855="","","GG"&amp;TEXT(ROW()-6,"00000"))</f>
        <v/>
      </c>
      <c r="C2855" s="66"/>
      <c r="D2855" s="60"/>
      <c r="E2855" s="61"/>
      <c r="F2855" s="61"/>
      <c r="G2855" s="67"/>
      <c r="H2855" s="60"/>
      <c r="I2855" s="60"/>
      <c r="J2855" s="61"/>
      <c r="K2855" s="61"/>
      <c r="L2855" s="60"/>
      <c r="M2855" s="74" t="str">
        <f>IF($C2855="","",IF($D2855="Gider",$E2855,IF($L2855&lt;&gt;"",$L2855,$H2855)))</f>
        <v/>
      </c>
      <c r="N2855" s="74" t="str">
        <f>IF($C2855="","",IF($D2855="Gider",$H2855,$E2855))</f>
        <v/>
      </c>
      <c r="O2855" s="73" t="str">
        <f>IF($C2855="","",DATE(YEAR($C2855),MONTH($C2855),1))</f>
        <v/>
      </c>
      <c r="P2855" s="65" t="str">
        <f ca="1">IF($C2855="","",IF(AND($D2855="Gelir",$L2855&lt;&gt;"",$T2855=""),"TANIMSIZ BORÇLU",IF($T2855&lt;&gt;"",IF(OR($E2855="",$G2855&lt;=0),"EKSİK",IF($I2855="Evet","TAHAKKUK NAKİT OLAMAZ",IF($C2855&gt;TODAY(),"İLERİ TARİH","TAHAKKUK"))),IF(AND($D2855&lt;&gt;"",$E2855&lt;&gt;"",$G2855&gt;0,$H2855&lt;&gt;"",$I2855&lt;&gt;""),IF($C2855&gt;TODAY(),"İLERİ TARİH",IF(COUNTIF($W$7:$W$3001,$W2855)&gt;1,"MÜKERRER?",IF($AD2855&gt;0,"KAPALI DÖNEM",IF($I2855="Hayır","ÖDENECEK","UYGUN")))),"EKSİK"))))</f>
        <v/>
      </c>
      <c r="Q2855" s="2"/>
      <c r="R2855" s="2"/>
      <c r="S2855" s="1" t="str">
        <f t="shared" si="134"/>
        <v/>
      </c>
      <c r="T2855" s="1" t="str">
        <f>IF(OR($C2855="",$D2855&lt;&gt;"Gelir",$L2855=""),"",IFERROR(INDEX(MUSTERILER!$B$7:$B$156,MATCH($S2855,MUSTERILER!$T$7:$T$156,0)),""))</f>
        <v/>
      </c>
      <c r="U2855" s="1" t="str">
        <f>IF($T2855="","",$T2855&amp;"|"&amp;COUNTIFS($T$7:$T2855,$T2855))</f>
        <v/>
      </c>
      <c r="V2855" s="1">
        <f t="shared" si="135"/>
        <v>0</v>
      </c>
      <c r="W2855" s="1" t="str">
        <f t="shared" si="136"/>
        <v/>
      </c>
      <c r="X2855" s="1"/>
      <c r="Y2855" s="1"/>
      <c r="Z2855" s="1"/>
      <c r="AA2855" s="1"/>
      <c r="AB2855" s="1"/>
      <c r="AC2855" s="1"/>
      <c r="AD2855" s="1">
        <f>IF($C2855="",0,SUMPRODUCT((AY_SONU!$O$7:$O$42="Evet")*(AY_SONU!$B$7:$B$42=DATE(YEAR($C2855),MONTH($C2855),1))))</f>
        <v>0</v>
      </c>
      <c r="AE2855" s="1" t="str">
        <f>IF($E2855="","",$E2855&amp;"|"&amp;COUNTIFS($E$7:$E2855,$E2855))</f>
        <v/>
      </c>
    </row>
    <row r="2856" spans="1:31" ht="18" customHeight="1" x14ac:dyDescent="0.3">
      <c r="A2856" s="2"/>
      <c r="B2856" s="65" t="str">
        <f>IF($C2856="","","GG"&amp;TEXT(ROW()-6,"00000"))</f>
        <v/>
      </c>
      <c r="C2856" s="66"/>
      <c r="D2856" s="60"/>
      <c r="E2856" s="61"/>
      <c r="F2856" s="61"/>
      <c r="G2856" s="67"/>
      <c r="H2856" s="60"/>
      <c r="I2856" s="60"/>
      <c r="J2856" s="61"/>
      <c r="K2856" s="61"/>
      <c r="L2856" s="60"/>
      <c r="M2856" s="74" t="str">
        <f>IF($C2856="","",IF($D2856="Gider",$E2856,IF($L2856&lt;&gt;"",$L2856,$H2856)))</f>
        <v/>
      </c>
      <c r="N2856" s="74" t="str">
        <f>IF($C2856="","",IF($D2856="Gider",$H2856,$E2856))</f>
        <v/>
      </c>
      <c r="O2856" s="73" t="str">
        <f>IF($C2856="","",DATE(YEAR($C2856),MONTH($C2856),1))</f>
        <v/>
      </c>
      <c r="P2856" s="65" t="str">
        <f ca="1">IF($C2856="","",IF(AND($D2856="Gelir",$L2856&lt;&gt;"",$T2856=""),"TANIMSIZ BORÇLU",IF($T2856&lt;&gt;"",IF(OR($E2856="",$G2856&lt;=0),"EKSİK",IF($I2856="Evet","TAHAKKUK NAKİT OLAMAZ",IF($C2856&gt;TODAY(),"İLERİ TARİH","TAHAKKUK"))),IF(AND($D2856&lt;&gt;"",$E2856&lt;&gt;"",$G2856&gt;0,$H2856&lt;&gt;"",$I2856&lt;&gt;""),IF($C2856&gt;TODAY(),"İLERİ TARİH",IF(COUNTIF($W$7:$W$3001,$W2856)&gt;1,"MÜKERRER?",IF($AD2856&gt;0,"KAPALI DÖNEM",IF($I2856="Hayır","ÖDENECEK","UYGUN")))),"EKSİK"))))</f>
        <v/>
      </c>
      <c r="Q2856" s="2"/>
      <c r="R2856" s="2"/>
      <c r="S2856" s="1" t="str">
        <f t="shared" si="134"/>
        <v/>
      </c>
      <c r="T2856" s="1" t="str">
        <f>IF(OR($C2856="",$D2856&lt;&gt;"Gelir",$L2856=""),"",IFERROR(INDEX(MUSTERILER!$B$7:$B$156,MATCH($S2856,MUSTERILER!$T$7:$T$156,0)),""))</f>
        <v/>
      </c>
      <c r="U2856" s="1" t="str">
        <f>IF($T2856="","",$T2856&amp;"|"&amp;COUNTIFS($T$7:$T2856,$T2856))</f>
        <v/>
      </c>
      <c r="V2856" s="1">
        <f t="shared" si="135"/>
        <v>0</v>
      </c>
      <c r="W2856" s="1" t="str">
        <f t="shared" si="136"/>
        <v/>
      </c>
      <c r="X2856" s="1"/>
      <c r="Y2856" s="1"/>
      <c r="Z2856" s="1"/>
      <c r="AA2856" s="1"/>
      <c r="AB2856" s="1"/>
      <c r="AC2856" s="1"/>
      <c r="AD2856" s="1">
        <f>IF($C2856="",0,SUMPRODUCT((AY_SONU!$O$7:$O$42="Evet")*(AY_SONU!$B$7:$B$42=DATE(YEAR($C2856),MONTH($C2856),1))))</f>
        <v>0</v>
      </c>
      <c r="AE2856" s="1" t="str">
        <f>IF($E2856="","",$E2856&amp;"|"&amp;COUNTIFS($E$7:$E2856,$E2856))</f>
        <v/>
      </c>
    </row>
    <row r="2857" spans="1:31" ht="18" customHeight="1" x14ac:dyDescent="0.3">
      <c r="A2857" s="2"/>
      <c r="B2857" s="65" t="str">
        <f>IF($C2857="","","GG"&amp;TEXT(ROW()-6,"00000"))</f>
        <v/>
      </c>
      <c r="C2857" s="66"/>
      <c r="D2857" s="60"/>
      <c r="E2857" s="61"/>
      <c r="F2857" s="61"/>
      <c r="G2857" s="67"/>
      <c r="H2857" s="60"/>
      <c r="I2857" s="60"/>
      <c r="J2857" s="61"/>
      <c r="K2857" s="61"/>
      <c r="L2857" s="60"/>
      <c r="M2857" s="74" t="str">
        <f>IF($C2857="","",IF($D2857="Gider",$E2857,IF($L2857&lt;&gt;"",$L2857,$H2857)))</f>
        <v/>
      </c>
      <c r="N2857" s="74" t="str">
        <f>IF($C2857="","",IF($D2857="Gider",$H2857,$E2857))</f>
        <v/>
      </c>
      <c r="O2857" s="73" t="str">
        <f>IF($C2857="","",DATE(YEAR($C2857),MONTH($C2857),1))</f>
        <v/>
      </c>
      <c r="P2857" s="65" t="str">
        <f ca="1">IF($C2857="","",IF(AND($D2857="Gelir",$L2857&lt;&gt;"",$T2857=""),"TANIMSIZ BORÇLU",IF($T2857&lt;&gt;"",IF(OR($E2857="",$G2857&lt;=0),"EKSİK",IF($I2857="Evet","TAHAKKUK NAKİT OLAMAZ",IF($C2857&gt;TODAY(),"İLERİ TARİH","TAHAKKUK"))),IF(AND($D2857&lt;&gt;"",$E2857&lt;&gt;"",$G2857&gt;0,$H2857&lt;&gt;"",$I2857&lt;&gt;""),IF($C2857&gt;TODAY(),"İLERİ TARİH",IF(COUNTIF($W$7:$W$3001,$W2857)&gt;1,"MÜKERRER?",IF($AD2857&gt;0,"KAPALI DÖNEM",IF($I2857="Hayır","ÖDENECEK","UYGUN")))),"EKSİK"))))</f>
        <v/>
      </c>
      <c r="Q2857" s="2"/>
      <c r="R2857" s="2"/>
      <c r="S2857" s="1" t="str">
        <f t="shared" si="134"/>
        <v/>
      </c>
      <c r="T2857" s="1" t="str">
        <f>IF(OR($C2857="",$D2857&lt;&gt;"Gelir",$L2857=""),"",IFERROR(INDEX(MUSTERILER!$B$7:$B$156,MATCH($S2857,MUSTERILER!$T$7:$T$156,0)),""))</f>
        <v/>
      </c>
      <c r="U2857" s="1" t="str">
        <f>IF($T2857="","",$T2857&amp;"|"&amp;COUNTIFS($T$7:$T2857,$T2857))</f>
        <v/>
      </c>
      <c r="V2857" s="1">
        <f t="shared" si="135"/>
        <v>0</v>
      </c>
      <c r="W2857" s="1" t="str">
        <f t="shared" si="136"/>
        <v/>
      </c>
      <c r="X2857" s="1"/>
      <c r="Y2857" s="1"/>
      <c r="Z2857" s="1"/>
      <c r="AA2857" s="1"/>
      <c r="AB2857" s="1"/>
      <c r="AC2857" s="1"/>
      <c r="AD2857" s="1">
        <f>IF($C2857="",0,SUMPRODUCT((AY_SONU!$O$7:$O$42="Evet")*(AY_SONU!$B$7:$B$42=DATE(YEAR($C2857),MONTH($C2857),1))))</f>
        <v>0</v>
      </c>
      <c r="AE2857" s="1" t="str">
        <f>IF($E2857="","",$E2857&amp;"|"&amp;COUNTIFS($E$7:$E2857,$E2857))</f>
        <v/>
      </c>
    </row>
    <row r="2858" spans="1:31" ht="18" customHeight="1" x14ac:dyDescent="0.3">
      <c r="A2858" s="2"/>
      <c r="B2858" s="65" t="str">
        <f>IF($C2858="","","GG"&amp;TEXT(ROW()-6,"00000"))</f>
        <v/>
      </c>
      <c r="C2858" s="66"/>
      <c r="D2858" s="60"/>
      <c r="E2858" s="61"/>
      <c r="F2858" s="61"/>
      <c r="G2858" s="67"/>
      <c r="H2858" s="60"/>
      <c r="I2858" s="60"/>
      <c r="J2858" s="61"/>
      <c r="K2858" s="61"/>
      <c r="L2858" s="60"/>
      <c r="M2858" s="74" t="str">
        <f>IF($C2858="","",IF($D2858="Gider",$E2858,IF($L2858&lt;&gt;"",$L2858,$H2858)))</f>
        <v/>
      </c>
      <c r="N2858" s="74" t="str">
        <f>IF($C2858="","",IF($D2858="Gider",$H2858,$E2858))</f>
        <v/>
      </c>
      <c r="O2858" s="73" t="str">
        <f>IF($C2858="","",DATE(YEAR($C2858),MONTH($C2858),1))</f>
        <v/>
      </c>
      <c r="P2858" s="65" t="str">
        <f ca="1">IF($C2858="","",IF(AND($D2858="Gelir",$L2858&lt;&gt;"",$T2858=""),"TANIMSIZ BORÇLU",IF($T2858&lt;&gt;"",IF(OR($E2858="",$G2858&lt;=0),"EKSİK",IF($I2858="Evet","TAHAKKUK NAKİT OLAMAZ",IF($C2858&gt;TODAY(),"İLERİ TARİH","TAHAKKUK"))),IF(AND($D2858&lt;&gt;"",$E2858&lt;&gt;"",$G2858&gt;0,$H2858&lt;&gt;"",$I2858&lt;&gt;""),IF($C2858&gt;TODAY(),"İLERİ TARİH",IF(COUNTIF($W$7:$W$3001,$W2858)&gt;1,"MÜKERRER?",IF($AD2858&gt;0,"KAPALI DÖNEM",IF($I2858="Hayır","ÖDENECEK","UYGUN")))),"EKSİK"))))</f>
        <v/>
      </c>
      <c r="Q2858" s="2"/>
      <c r="R2858" s="2"/>
      <c r="S2858" s="1" t="str">
        <f t="shared" si="134"/>
        <v/>
      </c>
      <c r="T2858" s="1" t="str">
        <f>IF(OR($C2858="",$D2858&lt;&gt;"Gelir",$L2858=""),"",IFERROR(INDEX(MUSTERILER!$B$7:$B$156,MATCH($S2858,MUSTERILER!$T$7:$T$156,0)),""))</f>
        <v/>
      </c>
      <c r="U2858" s="1" t="str">
        <f>IF($T2858="","",$T2858&amp;"|"&amp;COUNTIFS($T$7:$T2858,$T2858))</f>
        <v/>
      </c>
      <c r="V2858" s="1">
        <f t="shared" si="135"/>
        <v>0</v>
      </c>
      <c r="W2858" s="1" t="str">
        <f t="shared" si="136"/>
        <v/>
      </c>
      <c r="X2858" s="1"/>
      <c r="Y2858" s="1"/>
      <c r="Z2858" s="1"/>
      <c r="AA2858" s="1"/>
      <c r="AB2858" s="1"/>
      <c r="AC2858" s="1"/>
      <c r="AD2858" s="1">
        <f>IF($C2858="",0,SUMPRODUCT((AY_SONU!$O$7:$O$42="Evet")*(AY_SONU!$B$7:$B$42=DATE(YEAR($C2858),MONTH($C2858),1))))</f>
        <v>0</v>
      </c>
      <c r="AE2858" s="1" t="str">
        <f>IF($E2858="","",$E2858&amp;"|"&amp;COUNTIFS($E$7:$E2858,$E2858))</f>
        <v/>
      </c>
    </row>
    <row r="2859" spans="1:31" ht="18" customHeight="1" x14ac:dyDescent="0.3">
      <c r="A2859" s="2"/>
      <c r="B2859" s="65" t="str">
        <f>IF($C2859="","","GG"&amp;TEXT(ROW()-6,"00000"))</f>
        <v/>
      </c>
      <c r="C2859" s="66"/>
      <c r="D2859" s="60"/>
      <c r="E2859" s="61"/>
      <c r="F2859" s="61"/>
      <c r="G2859" s="67"/>
      <c r="H2859" s="60"/>
      <c r="I2859" s="60"/>
      <c r="J2859" s="61"/>
      <c r="K2859" s="61"/>
      <c r="L2859" s="60"/>
      <c r="M2859" s="74" t="str">
        <f>IF($C2859="","",IF($D2859="Gider",$E2859,IF($L2859&lt;&gt;"",$L2859,$H2859)))</f>
        <v/>
      </c>
      <c r="N2859" s="74" t="str">
        <f>IF($C2859="","",IF($D2859="Gider",$H2859,$E2859))</f>
        <v/>
      </c>
      <c r="O2859" s="73" t="str">
        <f>IF($C2859="","",DATE(YEAR($C2859),MONTH($C2859),1))</f>
        <v/>
      </c>
      <c r="P2859" s="65" t="str">
        <f ca="1">IF($C2859="","",IF(AND($D2859="Gelir",$L2859&lt;&gt;"",$T2859=""),"TANIMSIZ BORÇLU",IF($T2859&lt;&gt;"",IF(OR($E2859="",$G2859&lt;=0),"EKSİK",IF($I2859="Evet","TAHAKKUK NAKİT OLAMAZ",IF($C2859&gt;TODAY(),"İLERİ TARİH","TAHAKKUK"))),IF(AND($D2859&lt;&gt;"",$E2859&lt;&gt;"",$G2859&gt;0,$H2859&lt;&gt;"",$I2859&lt;&gt;""),IF($C2859&gt;TODAY(),"İLERİ TARİH",IF(COUNTIF($W$7:$W$3001,$W2859)&gt;1,"MÜKERRER?",IF($AD2859&gt;0,"KAPALI DÖNEM",IF($I2859="Hayır","ÖDENECEK","UYGUN")))),"EKSİK"))))</f>
        <v/>
      </c>
      <c r="Q2859" s="2"/>
      <c r="R2859" s="2"/>
      <c r="S2859" s="1" t="str">
        <f t="shared" si="134"/>
        <v/>
      </c>
      <c r="T2859" s="1" t="str">
        <f>IF(OR($C2859="",$D2859&lt;&gt;"Gelir",$L2859=""),"",IFERROR(INDEX(MUSTERILER!$B$7:$B$156,MATCH($S2859,MUSTERILER!$T$7:$T$156,0)),""))</f>
        <v/>
      </c>
      <c r="U2859" s="1" t="str">
        <f>IF($T2859="","",$T2859&amp;"|"&amp;COUNTIFS($T$7:$T2859,$T2859))</f>
        <v/>
      </c>
      <c r="V2859" s="1">
        <f t="shared" si="135"/>
        <v>0</v>
      </c>
      <c r="W2859" s="1" t="str">
        <f t="shared" si="136"/>
        <v/>
      </c>
      <c r="X2859" s="1"/>
      <c r="Y2859" s="1"/>
      <c r="Z2859" s="1"/>
      <c r="AA2859" s="1"/>
      <c r="AB2859" s="1"/>
      <c r="AC2859" s="1"/>
      <c r="AD2859" s="1">
        <f>IF($C2859="",0,SUMPRODUCT((AY_SONU!$O$7:$O$42="Evet")*(AY_SONU!$B$7:$B$42=DATE(YEAR($C2859),MONTH($C2859),1))))</f>
        <v>0</v>
      </c>
      <c r="AE2859" s="1" t="str">
        <f>IF($E2859="","",$E2859&amp;"|"&amp;COUNTIFS($E$7:$E2859,$E2859))</f>
        <v/>
      </c>
    </row>
    <row r="2860" spans="1:31" ht="18" customHeight="1" x14ac:dyDescent="0.3">
      <c r="A2860" s="2"/>
      <c r="B2860" s="65" t="str">
        <f>IF($C2860="","","GG"&amp;TEXT(ROW()-6,"00000"))</f>
        <v/>
      </c>
      <c r="C2860" s="66"/>
      <c r="D2860" s="60"/>
      <c r="E2860" s="61"/>
      <c r="F2860" s="61"/>
      <c r="G2860" s="67"/>
      <c r="H2860" s="60"/>
      <c r="I2860" s="60"/>
      <c r="J2860" s="61"/>
      <c r="K2860" s="61"/>
      <c r="L2860" s="60"/>
      <c r="M2860" s="74" t="str">
        <f>IF($C2860="","",IF($D2860="Gider",$E2860,IF($L2860&lt;&gt;"",$L2860,$H2860)))</f>
        <v/>
      </c>
      <c r="N2860" s="74" t="str">
        <f>IF($C2860="","",IF($D2860="Gider",$H2860,$E2860))</f>
        <v/>
      </c>
      <c r="O2860" s="73" t="str">
        <f>IF($C2860="","",DATE(YEAR($C2860),MONTH($C2860),1))</f>
        <v/>
      </c>
      <c r="P2860" s="65" t="str">
        <f ca="1">IF($C2860="","",IF(AND($D2860="Gelir",$L2860&lt;&gt;"",$T2860=""),"TANIMSIZ BORÇLU",IF($T2860&lt;&gt;"",IF(OR($E2860="",$G2860&lt;=0),"EKSİK",IF($I2860="Evet","TAHAKKUK NAKİT OLAMAZ",IF($C2860&gt;TODAY(),"İLERİ TARİH","TAHAKKUK"))),IF(AND($D2860&lt;&gt;"",$E2860&lt;&gt;"",$G2860&gt;0,$H2860&lt;&gt;"",$I2860&lt;&gt;""),IF($C2860&gt;TODAY(),"İLERİ TARİH",IF(COUNTIF($W$7:$W$3001,$W2860)&gt;1,"MÜKERRER?",IF($AD2860&gt;0,"KAPALI DÖNEM",IF($I2860="Hayır","ÖDENECEK","UYGUN")))),"EKSİK"))))</f>
        <v/>
      </c>
      <c r="Q2860" s="2"/>
      <c r="R2860" s="2"/>
      <c r="S2860" s="1" t="str">
        <f t="shared" si="134"/>
        <v/>
      </c>
      <c r="T2860" s="1" t="str">
        <f>IF(OR($C2860="",$D2860&lt;&gt;"Gelir",$L2860=""),"",IFERROR(INDEX(MUSTERILER!$B$7:$B$156,MATCH($S2860,MUSTERILER!$T$7:$T$156,0)),""))</f>
        <v/>
      </c>
      <c r="U2860" s="1" t="str">
        <f>IF($T2860="","",$T2860&amp;"|"&amp;COUNTIFS($T$7:$T2860,$T2860))</f>
        <v/>
      </c>
      <c r="V2860" s="1">
        <f t="shared" si="135"/>
        <v>0</v>
      </c>
      <c r="W2860" s="1" t="str">
        <f t="shared" si="136"/>
        <v/>
      </c>
      <c r="X2860" s="1"/>
      <c r="Y2860" s="1"/>
      <c r="Z2860" s="1"/>
      <c r="AA2860" s="1"/>
      <c r="AB2860" s="1"/>
      <c r="AC2860" s="1"/>
      <c r="AD2860" s="1">
        <f>IF($C2860="",0,SUMPRODUCT((AY_SONU!$O$7:$O$42="Evet")*(AY_SONU!$B$7:$B$42=DATE(YEAR($C2860),MONTH($C2860),1))))</f>
        <v>0</v>
      </c>
      <c r="AE2860" s="1" t="str">
        <f>IF($E2860="","",$E2860&amp;"|"&amp;COUNTIFS($E$7:$E2860,$E2860))</f>
        <v/>
      </c>
    </row>
    <row r="2861" spans="1:31" ht="18" customHeight="1" x14ac:dyDescent="0.3">
      <c r="A2861" s="2"/>
      <c r="B2861" s="65" t="str">
        <f>IF($C2861="","","GG"&amp;TEXT(ROW()-6,"00000"))</f>
        <v/>
      </c>
      <c r="C2861" s="66"/>
      <c r="D2861" s="60"/>
      <c r="E2861" s="61"/>
      <c r="F2861" s="61"/>
      <c r="G2861" s="67"/>
      <c r="H2861" s="60"/>
      <c r="I2861" s="60"/>
      <c r="J2861" s="61"/>
      <c r="K2861" s="61"/>
      <c r="L2861" s="60"/>
      <c r="M2861" s="74" t="str">
        <f>IF($C2861="","",IF($D2861="Gider",$E2861,IF($L2861&lt;&gt;"",$L2861,$H2861)))</f>
        <v/>
      </c>
      <c r="N2861" s="74" t="str">
        <f>IF($C2861="","",IF($D2861="Gider",$H2861,$E2861))</f>
        <v/>
      </c>
      <c r="O2861" s="73" t="str">
        <f>IF($C2861="","",DATE(YEAR($C2861),MONTH($C2861),1))</f>
        <v/>
      </c>
      <c r="P2861" s="65" t="str">
        <f ca="1">IF($C2861="","",IF(AND($D2861="Gelir",$L2861&lt;&gt;"",$T2861=""),"TANIMSIZ BORÇLU",IF($T2861&lt;&gt;"",IF(OR($E2861="",$G2861&lt;=0),"EKSİK",IF($I2861="Evet","TAHAKKUK NAKİT OLAMAZ",IF($C2861&gt;TODAY(),"İLERİ TARİH","TAHAKKUK"))),IF(AND($D2861&lt;&gt;"",$E2861&lt;&gt;"",$G2861&gt;0,$H2861&lt;&gt;"",$I2861&lt;&gt;""),IF($C2861&gt;TODAY(),"İLERİ TARİH",IF(COUNTIF($W$7:$W$3001,$W2861)&gt;1,"MÜKERRER?",IF($AD2861&gt;0,"KAPALI DÖNEM",IF($I2861="Hayır","ÖDENECEK","UYGUN")))),"EKSİK"))))</f>
        <v/>
      </c>
      <c r="Q2861" s="2"/>
      <c r="R2861" s="2"/>
      <c r="S2861" s="1" t="str">
        <f t="shared" si="134"/>
        <v/>
      </c>
      <c r="T2861" s="1" t="str">
        <f>IF(OR($C2861="",$D2861&lt;&gt;"Gelir",$L2861=""),"",IFERROR(INDEX(MUSTERILER!$B$7:$B$156,MATCH($S2861,MUSTERILER!$T$7:$T$156,0)),""))</f>
        <v/>
      </c>
      <c r="U2861" s="1" t="str">
        <f>IF($T2861="","",$T2861&amp;"|"&amp;COUNTIFS($T$7:$T2861,$T2861))</f>
        <v/>
      </c>
      <c r="V2861" s="1">
        <f t="shared" si="135"/>
        <v>0</v>
      </c>
      <c r="W2861" s="1" t="str">
        <f t="shared" si="136"/>
        <v/>
      </c>
      <c r="X2861" s="1"/>
      <c r="Y2861" s="1"/>
      <c r="Z2861" s="1"/>
      <c r="AA2861" s="1"/>
      <c r="AB2861" s="1"/>
      <c r="AC2861" s="1"/>
      <c r="AD2861" s="1">
        <f>IF($C2861="",0,SUMPRODUCT((AY_SONU!$O$7:$O$42="Evet")*(AY_SONU!$B$7:$B$42=DATE(YEAR($C2861),MONTH($C2861),1))))</f>
        <v>0</v>
      </c>
      <c r="AE2861" s="1" t="str">
        <f>IF($E2861="","",$E2861&amp;"|"&amp;COUNTIFS($E$7:$E2861,$E2861))</f>
        <v/>
      </c>
    </row>
    <row r="2862" spans="1:31" ht="18" customHeight="1" x14ac:dyDescent="0.3">
      <c r="A2862" s="2"/>
      <c r="B2862" s="65" t="str">
        <f>IF($C2862="","","GG"&amp;TEXT(ROW()-6,"00000"))</f>
        <v/>
      </c>
      <c r="C2862" s="66"/>
      <c r="D2862" s="60"/>
      <c r="E2862" s="61"/>
      <c r="F2862" s="61"/>
      <c r="G2862" s="67"/>
      <c r="H2862" s="60"/>
      <c r="I2862" s="60"/>
      <c r="J2862" s="61"/>
      <c r="K2862" s="61"/>
      <c r="L2862" s="60"/>
      <c r="M2862" s="74" t="str">
        <f>IF($C2862="","",IF($D2862="Gider",$E2862,IF($L2862&lt;&gt;"",$L2862,$H2862)))</f>
        <v/>
      </c>
      <c r="N2862" s="74" t="str">
        <f>IF($C2862="","",IF($D2862="Gider",$H2862,$E2862))</f>
        <v/>
      </c>
      <c r="O2862" s="73" t="str">
        <f>IF($C2862="","",DATE(YEAR($C2862),MONTH($C2862),1))</f>
        <v/>
      </c>
      <c r="P2862" s="65" t="str">
        <f ca="1">IF($C2862="","",IF(AND($D2862="Gelir",$L2862&lt;&gt;"",$T2862=""),"TANIMSIZ BORÇLU",IF($T2862&lt;&gt;"",IF(OR($E2862="",$G2862&lt;=0),"EKSİK",IF($I2862="Evet","TAHAKKUK NAKİT OLAMAZ",IF($C2862&gt;TODAY(),"İLERİ TARİH","TAHAKKUK"))),IF(AND($D2862&lt;&gt;"",$E2862&lt;&gt;"",$G2862&gt;0,$H2862&lt;&gt;"",$I2862&lt;&gt;""),IF($C2862&gt;TODAY(),"İLERİ TARİH",IF(COUNTIF($W$7:$W$3001,$W2862)&gt;1,"MÜKERRER?",IF($AD2862&gt;0,"KAPALI DÖNEM",IF($I2862="Hayır","ÖDENECEK","UYGUN")))),"EKSİK"))))</f>
        <v/>
      </c>
      <c r="Q2862" s="2"/>
      <c r="R2862" s="2"/>
      <c r="S2862" s="1" t="str">
        <f t="shared" si="134"/>
        <v/>
      </c>
      <c r="T2862" s="1" t="str">
        <f>IF(OR($C2862="",$D2862&lt;&gt;"Gelir",$L2862=""),"",IFERROR(INDEX(MUSTERILER!$B$7:$B$156,MATCH($S2862,MUSTERILER!$T$7:$T$156,0)),""))</f>
        <v/>
      </c>
      <c r="U2862" s="1" t="str">
        <f>IF($T2862="","",$T2862&amp;"|"&amp;COUNTIFS($T$7:$T2862,$T2862))</f>
        <v/>
      </c>
      <c r="V2862" s="1">
        <f t="shared" si="135"/>
        <v>0</v>
      </c>
      <c r="W2862" s="1" t="str">
        <f t="shared" si="136"/>
        <v/>
      </c>
      <c r="X2862" s="1"/>
      <c r="Y2862" s="1"/>
      <c r="Z2862" s="1"/>
      <c r="AA2862" s="1"/>
      <c r="AB2862" s="1"/>
      <c r="AC2862" s="1"/>
      <c r="AD2862" s="1">
        <f>IF($C2862="",0,SUMPRODUCT((AY_SONU!$O$7:$O$42="Evet")*(AY_SONU!$B$7:$B$42=DATE(YEAR($C2862),MONTH($C2862),1))))</f>
        <v>0</v>
      </c>
      <c r="AE2862" s="1" t="str">
        <f>IF($E2862="","",$E2862&amp;"|"&amp;COUNTIFS($E$7:$E2862,$E2862))</f>
        <v/>
      </c>
    </row>
    <row r="2863" spans="1:31" ht="18" customHeight="1" x14ac:dyDescent="0.3">
      <c r="A2863" s="2"/>
      <c r="B2863" s="65" t="str">
        <f>IF($C2863="","","GG"&amp;TEXT(ROW()-6,"00000"))</f>
        <v/>
      </c>
      <c r="C2863" s="66"/>
      <c r="D2863" s="60"/>
      <c r="E2863" s="61"/>
      <c r="F2863" s="61"/>
      <c r="G2863" s="67"/>
      <c r="H2863" s="60"/>
      <c r="I2863" s="60"/>
      <c r="J2863" s="61"/>
      <c r="K2863" s="61"/>
      <c r="L2863" s="60"/>
      <c r="M2863" s="74" t="str">
        <f>IF($C2863="","",IF($D2863="Gider",$E2863,IF($L2863&lt;&gt;"",$L2863,$H2863)))</f>
        <v/>
      </c>
      <c r="N2863" s="74" t="str">
        <f>IF($C2863="","",IF($D2863="Gider",$H2863,$E2863))</f>
        <v/>
      </c>
      <c r="O2863" s="73" t="str">
        <f>IF($C2863="","",DATE(YEAR($C2863),MONTH($C2863),1))</f>
        <v/>
      </c>
      <c r="P2863" s="65" t="str">
        <f ca="1">IF($C2863="","",IF(AND($D2863="Gelir",$L2863&lt;&gt;"",$T2863=""),"TANIMSIZ BORÇLU",IF($T2863&lt;&gt;"",IF(OR($E2863="",$G2863&lt;=0),"EKSİK",IF($I2863="Evet","TAHAKKUK NAKİT OLAMAZ",IF($C2863&gt;TODAY(),"İLERİ TARİH","TAHAKKUK"))),IF(AND($D2863&lt;&gt;"",$E2863&lt;&gt;"",$G2863&gt;0,$H2863&lt;&gt;"",$I2863&lt;&gt;""),IF($C2863&gt;TODAY(),"İLERİ TARİH",IF(COUNTIF($W$7:$W$3001,$W2863)&gt;1,"MÜKERRER?",IF($AD2863&gt;0,"KAPALI DÖNEM",IF($I2863="Hayır","ÖDENECEK","UYGUN")))),"EKSİK"))))</f>
        <v/>
      </c>
      <c r="Q2863" s="2"/>
      <c r="R2863" s="2"/>
      <c r="S2863" s="1" t="str">
        <f t="shared" si="134"/>
        <v/>
      </c>
      <c r="T2863" s="1" t="str">
        <f>IF(OR($C2863="",$D2863&lt;&gt;"Gelir",$L2863=""),"",IFERROR(INDEX(MUSTERILER!$B$7:$B$156,MATCH($S2863,MUSTERILER!$T$7:$T$156,0)),""))</f>
        <v/>
      </c>
      <c r="U2863" s="1" t="str">
        <f>IF($T2863="","",$T2863&amp;"|"&amp;COUNTIFS($T$7:$T2863,$T2863))</f>
        <v/>
      </c>
      <c r="V2863" s="1">
        <f t="shared" si="135"/>
        <v>0</v>
      </c>
      <c r="W2863" s="1" t="str">
        <f t="shared" si="136"/>
        <v/>
      </c>
      <c r="X2863" s="1"/>
      <c r="Y2863" s="1"/>
      <c r="Z2863" s="1"/>
      <c r="AA2863" s="1"/>
      <c r="AB2863" s="1"/>
      <c r="AC2863" s="1"/>
      <c r="AD2863" s="1">
        <f>IF($C2863="",0,SUMPRODUCT((AY_SONU!$O$7:$O$42="Evet")*(AY_SONU!$B$7:$B$42=DATE(YEAR($C2863),MONTH($C2863),1))))</f>
        <v>0</v>
      </c>
      <c r="AE2863" s="1" t="str">
        <f>IF($E2863="","",$E2863&amp;"|"&amp;COUNTIFS($E$7:$E2863,$E2863))</f>
        <v/>
      </c>
    </row>
    <row r="2864" spans="1:31" ht="18" customHeight="1" x14ac:dyDescent="0.3">
      <c r="A2864" s="2"/>
      <c r="B2864" s="65" t="str">
        <f>IF($C2864="","","GG"&amp;TEXT(ROW()-6,"00000"))</f>
        <v/>
      </c>
      <c r="C2864" s="66"/>
      <c r="D2864" s="60"/>
      <c r="E2864" s="61"/>
      <c r="F2864" s="61"/>
      <c r="G2864" s="67"/>
      <c r="H2864" s="60"/>
      <c r="I2864" s="60"/>
      <c r="J2864" s="61"/>
      <c r="K2864" s="61"/>
      <c r="L2864" s="60"/>
      <c r="M2864" s="74" t="str">
        <f>IF($C2864="","",IF($D2864="Gider",$E2864,IF($L2864&lt;&gt;"",$L2864,$H2864)))</f>
        <v/>
      </c>
      <c r="N2864" s="74" t="str">
        <f>IF($C2864="","",IF($D2864="Gider",$H2864,$E2864))</f>
        <v/>
      </c>
      <c r="O2864" s="73" t="str">
        <f>IF($C2864="","",DATE(YEAR($C2864),MONTH($C2864),1))</f>
        <v/>
      </c>
      <c r="P2864" s="65" t="str">
        <f ca="1">IF($C2864="","",IF(AND($D2864="Gelir",$L2864&lt;&gt;"",$T2864=""),"TANIMSIZ BORÇLU",IF($T2864&lt;&gt;"",IF(OR($E2864="",$G2864&lt;=0),"EKSİK",IF($I2864="Evet","TAHAKKUK NAKİT OLAMAZ",IF($C2864&gt;TODAY(),"İLERİ TARİH","TAHAKKUK"))),IF(AND($D2864&lt;&gt;"",$E2864&lt;&gt;"",$G2864&gt;0,$H2864&lt;&gt;"",$I2864&lt;&gt;""),IF($C2864&gt;TODAY(),"İLERİ TARİH",IF(COUNTIF($W$7:$W$3001,$W2864)&gt;1,"MÜKERRER?",IF($AD2864&gt;0,"KAPALI DÖNEM",IF($I2864="Hayır","ÖDENECEK","UYGUN")))),"EKSİK"))))</f>
        <v/>
      </c>
      <c r="Q2864" s="2"/>
      <c r="R2864" s="2"/>
      <c r="S2864" s="1" t="str">
        <f t="shared" si="134"/>
        <v/>
      </c>
      <c r="T2864" s="1" t="str">
        <f>IF(OR($C2864="",$D2864&lt;&gt;"Gelir",$L2864=""),"",IFERROR(INDEX(MUSTERILER!$B$7:$B$156,MATCH($S2864,MUSTERILER!$T$7:$T$156,0)),""))</f>
        <v/>
      </c>
      <c r="U2864" s="1" t="str">
        <f>IF($T2864="","",$T2864&amp;"|"&amp;COUNTIFS($T$7:$T2864,$T2864))</f>
        <v/>
      </c>
      <c r="V2864" s="1">
        <f t="shared" si="135"/>
        <v>0</v>
      </c>
      <c r="W2864" s="1" t="str">
        <f t="shared" si="136"/>
        <v/>
      </c>
      <c r="X2864" s="1"/>
      <c r="Y2864" s="1"/>
      <c r="Z2864" s="1"/>
      <c r="AA2864" s="1"/>
      <c r="AB2864" s="1"/>
      <c r="AC2864" s="1"/>
      <c r="AD2864" s="1">
        <f>IF($C2864="",0,SUMPRODUCT((AY_SONU!$O$7:$O$42="Evet")*(AY_SONU!$B$7:$B$42=DATE(YEAR($C2864),MONTH($C2864),1))))</f>
        <v>0</v>
      </c>
      <c r="AE2864" s="1" t="str">
        <f>IF($E2864="","",$E2864&amp;"|"&amp;COUNTIFS($E$7:$E2864,$E2864))</f>
        <v/>
      </c>
    </row>
    <row r="2865" spans="1:31" ht="18" customHeight="1" x14ac:dyDescent="0.3">
      <c r="A2865" s="2"/>
      <c r="B2865" s="65" t="str">
        <f>IF($C2865="","","GG"&amp;TEXT(ROW()-6,"00000"))</f>
        <v/>
      </c>
      <c r="C2865" s="66"/>
      <c r="D2865" s="60"/>
      <c r="E2865" s="61"/>
      <c r="F2865" s="61"/>
      <c r="G2865" s="67"/>
      <c r="H2865" s="60"/>
      <c r="I2865" s="60"/>
      <c r="J2865" s="61"/>
      <c r="K2865" s="61"/>
      <c r="L2865" s="60"/>
      <c r="M2865" s="74" t="str">
        <f>IF($C2865="","",IF($D2865="Gider",$E2865,IF($L2865&lt;&gt;"",$L2865,$H2865)))</f>
        <v/>
      </c>
      <c r="N2865" s="74" t="str">
        <f>IF($C2865="","",IF($D2865="Gider",$H2865,$E2865))</f>
        <v/>
      </c>
      <c r="O2865" s="73" t="str">
        <f>IF($C2865="","",DATE(YEAR($C2865),MONTH($C2865),1))</f>
        <v/>
      </c>
      <c r="P2865" s="65" t="str">
        <f ca="1">IF($C2865="","",IF(AND($D2865="Gelir",$L2865&lt;&gt;"",$T2865=""),"TANIMSIZ BORÇLU",IF($T2865&lt;&gt;"",IF(OR($E2865="",$G2865&lt;=0),"EKSİK",IF($I2865="Evet","TAHAKKUK NAKİT OLAMAZ",IF($C2865&gt;TODAY(),"İLERİ TARİH","TAHAKKUK"))),IF(AND($D2865&lt;&gt;"",$E2865&lt;&gt;"",$G2865&gt;0,$H2865&lt;&gt;"",$I2865&lt;&gt;""),IF($C2865&gt;TODAY(),"İLERİ TARİH",IF(COUNTIF($W$7:$W$3001,$W2865)&gt;1,"MÜKERRER?",IF($AD2865&gt;0,"KAPALI DÖNEM",IF($I2865="Hayır","ÖDENECEK","UYGUN")))),"EKSİK"))))</f>
        <v/>
      </c>
      <c r="Q2865" s="2"/>
      <c r="R2865" s="2"/>
      <c r="S2865" s="1" t="str">
        <f t="shared" si="134"/>
        <v/>
      </c>
      <c r="T2865" s="1" t="str">
        <f>IF(OR($C2865="",$D2865&lt;&gt;"Gelir",$L2865=""),"",IFERROR(INDEX(MUSTERILER!$B$7:$B$156,MATCH($S2865,MUSTERILER!$T$7:$T$156,0)),""))</f>
        <v/>
      </c>
      <c r="U2865" s="1" t="str">
        <f>IF($T2865="","",$T2865&amp;"|"&amp;COUNTIFS($T$7:$T2865,$T2865))</f>
        <v/>
      </c>
      <c r="V2865" s="1">
        <f t="shared" si="135"/>
        <v>0</v>
      </c>
      <c r="W2865" s="1" t="str">
        <f t="shared" si="136"/>
        <v/>
      </c>
      <c r="X2865" s="1"/>
      <c r="Y2865" s="1"/>
      <c r="Z2865" s="1"/>
      <c r="AA2865" s="1"/>
      <c r="AB2865" s="1"/>
      <c r="AC2865" s="1"/>
      <c r="AD2865" s="1">
        <f>IF($C2865="",0,SUMPRODUCT((AY_SONU!$O$7:$O$42="Evet")*(AY_SONU!$B$7:$B$42=DATE(YEAR($C2865),MONTH($C2865),1))))</f>
        <v>0</v>
      </c>
      <c r="AE2865" s="1" t="str">
        <f>IF($E2865="","",$E2865&amp;"|"&amp;COUNTIFS($E$7:$E2865,$E2865))</f>
        <v/>
      </c>
    </row>
    <row r="2866" spans="1:31" ht="18" customHeight="1" x14ac:dyDescent="0.3">
      <c r="A2866" s="2"/>
      <c r="B2866" s="65" t="str">
        <f>IF($C2866="","","GG"&amp;TEXT(ROW()-6,"00000"))</f>
        <v/>
      </c>
      <c r="C2866" s="66"/>
      <c r="D2866" s="60"/>
      <c r="E2866" s="61"/>
      <c r="F2866" s="61"/>
      <c r="G2866" s="67"/>
      <c r="H2866" s="60"/>
      <c r="I2866" s="60"/>
      <c r="J2866" s="61"/>
      <c r="K2866" s="61"/>
      <c r="L2866" s="60"/>
      <c r="M2866" s="74" t="str">
        <f>IF($C2866="","",IF($D2866="Gider",$E2866,IF($L2866&lt;&gt;"",$L2866,$H2866)))</f>
        <v/>
      </c>
      <c r="N2866" s="74" t="str">
        <f>IF($C2866="","",IF($D2866="Gider",$H2866,$E2866))</f>
        <v/>
      </c>
      <c r="O2866" s="73" t="str">
        <f>IF($C2866="","",DATE(YEAR($C2866),MONTH($C2866),1))</f>
        <v/>
      </c>
      <c r="P2866" s="65" t="str">
        <f ca="1">IF($C2866="","",IF(AND($D2866="Gelir",$L2866&lt;&gt;"",$T2866=""),"TANIMSIZ BORÇLU",IF($T2866&lt;&gt;"",IF(OR($E2866="",$G2866&lt;=0),"EKSİK",IF($I2866="Evet","TAHAKKUK NAKİT OLAMAZ",IF($C2866&gt;TODAY(),"İLERİ TARİH","TAHAKKUK"))),IF(AND($D2866&lt;&gt;"",$E2866&lt;&gt;"",$G2866&gt;0,$H2866&lt;&gt;"",$I2866&lt;&gt;""),IF($C2866&gt;TODAY(),"İLERİ TARİH",IF(COUNTIF($W$7:$W$3001,$W2866)&gt;1,"MÜKERRER?",IF($AD2866&gt;0,"KAPALI DÖNEM",IF($I2866="Hayır","ÖDENECEK","UYGUN")))),"EKSİK"))))</f>
        <v/>
      </c>
      <c r="Q2866" s="2"/>
      <c r="R2866" s="2"/>
      <c r="S2866" s="1" t="str">
        <f t="shared" si="134"/>
        <v/>
      </c>
      <c r="T2866" s="1" t="str">
        <f>IF(OR($C2866="",$D2866&lt;&gt;"Gelir",$L2866=""),"",IFERROR(INDEX(MUSTERILER!$B$7:$B$156,MATCH($S2866,MUSTERILER!$T$7:$T$156,0)),""))</f>
        <v/>
      </c>
      <c r="U2866" s="1" t="str">
        <f>IF($T2866="","",$T2866&amp;"|"&amp;COUNTIFS($T$7:$T2866,$T2866))</f>
        <v/>
      </c>
      <c r="V2866" s="1">
        <f t="shared" si="135"/>
        <v>0</v>
      </c>
      <c r="W2866" s="1" t="str">
        <f t="shared" si="136"/>
        <v/>
      </c>
      <c r="X2866" s="1"/>
      <c r="Y2866" s="1"/>
      <c r="Z2866" s="1"/>
      <c r="AA2866" s="1"/>
      <c r="AB2866" s="1"/>
      <c r="AC2866" s="1"/>
      <c r="AD2866" s="1">
        <f>IF($C2866="",0,SUMPRODUCT((AY_SONU!$O$7:$O$42="Evet")*(AY_SONU!$B$7:$B$42=DATE(YEAR($C2866),MONTH($C2866),1))))</f>
        <v>0</v>
      </c>
      <c r="AE2866" s="1" t="str">
        <f>IF($E2866="","",$E2866&amp;"|"&amp;COUNTIFS($E$7:$E2866,$E2866))</f>
        <v/>
      </c>
    </row>
    <row r="2867" spans="1:31" ht="18" customHeight="1" x14ac:dyDescent="0.3">
      <c r="A2867" s="2"/>
      <c r="B2867" s="65" t="str">
        <f>IF($C2867="","","GG"&amp;TEXT(ROW()-6,"00000"))</f>
        <v/>
      </c>
      <c r="C2867" s="66"/>
      <c r="D2867" s="60"/>
      <c r="E2867" s="61"/>
      <c r="F2867" s="61"/>
      <c r="G2867" s="67"/>
      <c r="H2867" s="60"/>
      <c r="I2867" s="60"/>
      <c r="J2867" s="61"/>
      <c r="K2867" s="61"/>
      <c r="L2867" s="60"/>
      <c r="M2867" s="74" t="str">
        <f>IF($C2867="","",IF($D2867="Gider",$E2867,IF($L2867&lt;&gt;"",$L2867,$H2867)))</f>
        <v/>
      </c>
      <c r="N2867" s="74" t="str">
        <f>IF($C2867="","",IF($D2867="Gider",$H2867,$E2867))</f>
        <v/>
      </c>
      <c r="O2867" s="73" t="str">
        <f>IF($C2867="","",DATE(YEAR($C2867),MONTH($C2867),1))</f>
        <v/>
      </c>
      <c r="P2867" s="65" t="str">
        <f ca="1">IF($C2867="","",IF(AND($D2867="Gelir",$L2867&lt;&gt;"",$T2867=""),"TANIMSIZ BORÇLU",IF($T2867&lt;&gt;"",IF(OR($E2867="",$G2867&lt;=0),"EKSİK",IF($I2867="Evet","TAHAKKUK NAKİT OLAMAZ",IF($C2867&gt;TODAY(),"İLERİ TARİH","TAHAKKUK"))),IF(AND($D2867&lt;&gt;"",$E2867&lt;&gt;"",$G2867&gt;0,$H2867&lt;&gt;"",$I2867&lt;&gt;""),IF($C2867&gt;TODAY(),"İLERİ TARİH",IF(COUNTIF($W$7:$W$3001,$W2867)&gt;1,"MÜKERRER?",IF($AD2867&gt;0,"KAPALI DÖNEM",IF($I2867="Hayır","ÖDENECEK","UYGUN")))),"EKSİK"))))</f>
        <v/>
      </c>
      <c r="Q2867" s="2"/>
      <c r="R2867" s="2"/>
      <c r="S2867" s="1" t="str">
        <f t="shared" si="134"/>
        <v/>
      </c>
      <c r="T2867" s="1" t="str">
        <f>IF(OR($C2867="",$D2867&lt;&gt;"Gelir",$L2867=""),"",IFERROR(INDEX(MUSTERILER!$B$7:$B$156,MATCH($S2867,MUSTERILER!$T$7:$T$156,0)),""))</f>
        <v/>
      </c>
      <c r="U2867" s="1" t="str">
        <f>IF($T2867="","",$T2867&amp;"|"&amp;COUNTIFS($T$7:$T2867,$T2867))</f>
        <v/>
      </c>
      <c r="V2867" s="1">
        <f t="shared" si="135"/>
        <v>0</v>
      </c>
      <c r="W2867" s="1" t="str">
        <f t="shared" si="136"/>
        <v/>
      </c>
      <c r="X2867" s="1"/>
      <c r="Y2867" s="1"/>
      <c r="Z2867" s="1"/>
      <c r="AA2867" s="1"/>
      <c r="AB2867" s="1"/>
      <c r="AC2867" s="1"/>
      <c r="AD2867" s="1">
        <f>IF($C2867="",0,SUMPRODUCT((AY_SONU!$O$7:$O$42="Evet")*(AY_SONU!$B$7:$B$42=DATE(YEAR($C2867),MONTH($C2867),1))))</f>
        <v>0</v>
      </c>
      <c r="AE2867" s="1" t="str">
        <f>IF($E2867="","",$E2867&amp;"|"&amp;COUNTIFS($E$7:$E2867,$E2867))</f>
        <v/>
      </c>
    </row>
    <row r="2868" spans="1:31" ht="18" customHeight="1" x14ac:dyDescent="0.3">
      <c r="A2868" s="2"/>
      <c r="B2868" s="65" t="str">
        <f>IF($C2868="","","GG"&amp;TEXT(ROW()-6,"00000"))</f>
        <v/>
      </c>
      <c r="C2868" s="66"/>
      <c r="D2868" s="60"/>
      <c r="E2868" s="61"/>
      <c r="F2868" s="61"/>
      <c r="G2868" s="67"/>
      <c r="H2868" s="60"/>
      <c r="I2868" s="60"/>
      <c r="J2868" s="61"/>
      <c r="K2868" s="61"/>
      <c r="L2868" s="60"/>
      <c r="M2868" s="74" t="str">
        <f>IF($C2868="","",IF($D2868="Gider",$E2868,IF($L2868&lt;&gt;"",$L2868,$H2868)))</f>
        <v/>
      </c>
      <c r="N2868" s="74" t="str">
        <f>IF($C2868="","",IF($D2868="Gider",$H2868,$E2868))</f>
        <v/>
      </c>
      <c r="O2868" s="73" t="str">
        <f>IF($C2868="","",DATE(YEAR($C2868),MONTH($C2868),1))</f>
        <v/>
      </c>
      <c r="P2868" s="65" t="str">
        <f ca="1">IF($C2868="","",IF(AND($D2868="Gelir",$L2868&lt;&gt;"",$T2868=""),"TANIMSIZ BORÇLU",IF($T2868&lt;&gt;"",IF(OR($E2868="",$G2868&lt;=0),"EKSİK",IF($I2868="Evet","TAHAKKUK NAKİT OLAMAZ",IF($C2868&gt;TODAY(),"İLERİ TARİH","TAHAKKUK"))),IF(AND($D2868&lt;&gt;"",$E2868&lt;&gt;"",$G2868&gt;0,$H2868&lt;&gt;"",$I2868&lt;&gt;""),IF($C2868&gt;TODAY(),"İLERİ TARİH",IF(COUNTIF($W$7:$W$3001,$W2868)&gt;1,"MÜKERRER?",IF($AD2868&gt;0,"KAPALI DÖNEM",IF($I2868="Hayır","ÖDENECEK","UYGUN")))),"EKSİK"))))</f>
        <v/>
      </c>
      <c r="Q2868" s="2"/>
      <c r="R2868" s="2"/>
      <c r="S2868" s="1" t="str">
        <f t="shared" si="134"/>
        <v/>
      </c>
      <c r="T2868" s="1" t="str">
        <f>IF(OR($C2868="",$D2868&lt;&gt;"Gelir",$L2868=""),"",IFERROR(INDEX(MUSTERILER!$B$7:$B$156,MATCH($S2868,MUSTERILER!$T$7:$T$156,0)),""))</f>
        <v/>
      </c>
      <c r="U2868" s="1" t="str">
        <f>IF($T2868="","",$T2868&amp;"|"&amp;COUNTIFS($T$7:$T2868,$T2868))</f>
        <v/>
      </c>
      <c r="V2868" s="1">
        <f t="shared" si="135"/>
        <v>0</v>
      </c>
      <c r="W2868" s="1" t="str">
        <f t="shared" si="136"/>
        <v/>
      </c>
      <c r="X2868" s="1"/>
      <c r="Y2868" s="1"/>
      <c r="Z2868" s="1"/>
      <c r="AA2868" s="1"/>
      <c r="AB2868" s="1"/>
      <c r="AC2868" s="1"/>
      <c r="AD2868" s="1">
        <f>IF($C2868="",0,SUMPRODUCT((AY_SONU!$O$7:$O$42="Evet")*(AY_SONU!$B$7:$B$42=DATE(YEAR($C2868),MONTH($C2868),1))))</f>
        <v>0</v>
      </c>
      <c r="AE2868" s="1" t="str">
        <f>IF($E2868="","",$E2868&amp;"|"&amp;COUNTIFS($E$7:$E2868,$E2868))</f>
        <v/>
      </c>
    </row>
    <row r="2869" spans="1:31" ht="18" customHeight="1" x14ac:dyDescent="0.3">
      <c r="A2869" s="2"/>
      <c r="B2869" s="65" t="str">
        <f>IF($C2869="","","GG"&amp;TEXT(ROW()-6,"00000"))</f>
        <v/>
      </c>
      <c r="C2869" s="66"/>
      <c r="D2869" s="60"/>
      <c r="E2869" s="61"/>
      <c r="F2869" s="61"/>
      <c r="G2869" s="67"/>
      <c r="H2869" s="60"/>
      <c r="I2869" s="60"/>
      <c r="J2869" s="61"/>
      <c r="K2869" s="61"/>
      <c r="L2869" s="60"/>
      <c r="M2869" s="74" t="str">
        <f>IF($C2869="","",IF($D2869="Gider",$E2869,IF($L2869&lt;&gt;"",$L2869,$H2869)))</f>
        <v/>
      </c>
      <c r="N2869" s="74" t="str">
        <f>IF($C2869="","",IF($D2869="Gider",$H2869,$E2869))</f>
        <v/>
      </c>
      <c r="O2869" s="73" t="str">
        <f>IF($C2869="","",DATE(YEAR($C2869),MONTH($C2869),1))</f>
        <v/>
      </c>
      <c r="P2869" s="65" t="str">
        <f ca="1">IF($C2869="","",IF(AND($D2869="Gelir",$L2869&lt;&gt;"",$T2869=""),"TANIMSIZ BORÇLU",IF($T2869&lt;&gt;"",IF(OR($E2869="",$G2869&lt;=0),"EKSİK",IF($I2869="Evet","TAHAKKUK NAKİT OLAMAZ",IF($C2869&gt;TODAY(),"İLERİ TARİH","TAHAKKUK"))),IF(AND($D2869&lt;&gt;"",$E2869&lt;&gt;"",$G2869&gt;0,$H2869&lt;&gt;"",$I2869&lt;&gt;""),IF($C2869&gt;TODAY(),"İLERİ TARİH",IF(COUNTIF($W$7:$W$3001,$W2869)&gt;1,"MÜKERRER?",IF($AD2869&gt;0,"KAPALI DÖNEM",IF($I2869="Hayır","ÖDENECEK","UYGUN")))),"EKSİK"))))</f>
        <v/>
      </c>
      <c r="Q2869" s="2"/>
      <c r="R2869" s="2"/>
      <c r="S2869" s="1" t="str">
        <f t="shared" si="134"/>
        <v/>
      </c>
      <c r="T2869" s="1" t="str">
        <f>IF(OR($C2869="",$D2869&lt;&gt;"Gelir",$L2869=""),"",IFERROR(INDEX(MUSTERILER!$B$7:$B$156,MATCH($S2869,MUSTERILER!$T$7:$T$156,0)),""))</f>
        <v/>
      </c>
      <c r="U2869" s="1" t="str">
        <f>IF($T2869="","",$T2869&amp;"|"&amp;COUNTIFS($T$7:$T2869,$T2869))</f>
        <v/>
      </c>
      <c r="V2869" s="1">
        <f t="shared" si="135"/>
        <v>0</v>
      </c>
      <c r="W2869" s="1" t="str">
        <f t="shared" si="136"/>
        <v/>
      </c>
      <c r="X2869" s="1"/>
      <c r="Y2869" s="1"/>
      <c r="Z2869" s="1"/>
      <c r="AA2869" s="1"/>
      <c r="AB2869" s="1"/>
      <c r="AC2869" s="1"/>
      <c r="AD2869" s="1">
        <f>IF($C2869="",0,SUMPRODUCT((AY_SONU!$O$7:$O$42="Evet")*(AY_SONU!$B$7:$B$42=DATE(YEAR($C2869),MONTH($C2869),1))))</f>
        <v>0</v>
      </c>
      <c r="AE2869" s="1" t="str">
        <f>IF($E2869="","",$E2869&amp;"|"&amp;COUNTIFS($E$7:$E2869,$E2869))</f>
        <v/>
      </c>
    </row>
    <row r="2870" spans="1:31" ht="18" customHeight="1" x14ac:dyDescent="0.3">
      <c r="A2870" s="2"/>
      <c r="B2870" s="65" t="str">
        <f>IF($C2870="","","GG"&amp;TEXT(ROW()-6,"00000"))</f>
        <v/>
      </c>
      <c r="C2870" s="66"/>
      <c r="D2870" s="60"/>
      <c r="E2870" s="61"/>
      <c r="F2870" s="61"/>
      <c r="G2870" s="67"/>
      <c r="H2870" s="60"/>
      <c r="I2870" s="60"/>
      <c r="J2870" s="61"/>
      <c r="K2870" s="61"/>
      <c r="L2870" s="60"/>
      <c r="M2870" s="74" t="str">
        <f>IF($C2870="","",IF($D2870="Gider",$E2870,IF($L2870&lt;&gt;"",$L2870,$H2870)))</f>
        <v/>
      </c>
      <c r="N2870" s="74" t="str">
        <f>IF($C2870="","",IF($D2870="Gider",$H2870,$E2870))</f>
        <v/>
      </c>
      <c r="O2870" s="73" t="str">
        <f>IF($C2870="","",DATE(YEAR($C2870),MONTH($C2870),1))</f>
        <v/>
      </c>
      <c r="P2870" s="65" t="str">
        <f ca="1">IF($C2870="","",IF(AND($D2870="Gelir",$L2870&lt;&gt;"",$T2870=""),"TANIMSIZ BORÇLU",IF($T2870&lt;&gt;"",IF(OR($E2870="",$G2870&lt;=0),"EKSİK",IF($I2870="Evet","TAHAKKUK NAKİT OLAMAZ",IF($C2870&gt;TODAY(),"İLERİ TARİH","TAHAKKUK"))),IF(AND($D2870&lt;&gt;"",$E2870&lt;&gt;"",$G2870&gt;0,$H2870&lt;&gt;"",$I2870&lt;&gt;""),IF($C2870&gt;TODAY(),"İLERİ TARİH",IF(COUNTIF($W$7:$W$3001,$W2870)&gt;1,"MÜKERRER?",IF($AD2870&gt;0,"KAPALI DÖNEM",IF($I2870="Hayır","ÖDENECEK","UYGUN")))),"EKSİK"))))</f>
        <v/>
      </c>
      <c r="Q2870" s="2"/>
      <c r="R2870" s="2"/>
      <c r="S2870" s="1" t="str">
        <f t="shared" si="134"/>
        <v/>
      </c>
      <c r="T2870" s="1" t="str">
        <f>IF(OR($C2870="",$D2870&lt;&gt;"Gelir",$L2870=""),"",IFERROR(INDEX(MUSTERILER!$B$7:$B$156,MATCH($S2870,MUSTERILER!$T$7:$T$156,0)),""))</f>
        <v/>
      </c>
      <c r="U2870" s="1" t="str">
        <f>IF($T2870="","",$T2870&amp;"|"&amp;COUNTIFS($T$7:$T2870,$T2870))</f>
        <v/>
      </c>
      <c r="V2870" s="1">
        <f t="shared" si="135"/>
        <v>0</v>
      </c>
      <c r="W2870" s="1" t="str">
        <f t="shared" si="136"/>
        <v/>
      </c>
      <c r="X2870" s="1"/>
      <c r="Y2870" s="1"/>
      <c r="Z2870" s="1"/>
      <c r="AA2870" s="1"/>
      <c r="AB2870" s="1"/>
      <c r="AC2870" s="1"/>
      <c r="AD2870" s="1">
        <f>IF($C2870="",0,SUMPRODUCT((AY_SONU!$O$7:$O$42="Evet")*(AY_SONU!$B$7:$B$42=DATE(YEAR($C2870),MONTH($C2870),1))))</f>
        <v>0</v>
      </c>
      <c r="AE2870" s="1" t="str">
        <f>IF($E2870="","",$E2870&amp;"|"&amp;COUNTIFS($E$7:$E2870,$E2870))</f>
        <v/>
      </c>
    </row>
    <row r="2871" spans="1:31" ht="18" customHeight="1" x14ac:dyDescent="0.3">
      <c r="A2871" s="2"/>
      <c r="B2871" s="65" t="str">
        <f>IF($C2871="","","GG"&amp;TEXT(ROW()-6,"00000"))</f>
        <v/>
      </c>
      <c r="C2871" s="66"/>
      <c r="D2871" s="60"/>
      <c r="E2871" s="61"/>
      <c r="F2871" s="61"/>
      <c r="G2871" s="67"/>
      <c r="H2871" s="60"/>
      <c r="I2871" s="60"/>
      <c r="J2871" s="61"/>
      <c r="K2871" s="61"/>
      <c r="L2871" s="60"/>
      <c r="M2871" s="74" t="str">
        <f>IF($C2871="","",IF($D2871="Gider",$E2871,IF($L2871&lt;&gt;"",$L2871,$H2871)))</f>
        <v/>
      </c>
      <c r="N2871" s="74" t="str">
        <f>IF($C2871="","",IF($D2871="Gider",$H2871,$E2871))</f>
        <v/>
      </c>
      <c r="O2871" s="73" t="str">
        <f>IF($C2871="","",DATE(YEAR($C2871),MONTH($C2871),1))</f>
        <v/>
      </c>
      <c r="P2871" s="65" t="str">
        <f ca="1">IF($C2871="","",IF(AND($D2871="Gelir",$L2871&lt;&gt;"",$T2871=""),"TANIMSIZ BORÇLU",IF($T2871&lt;&gt;"",IF(OR($E2871="",$G2871&lt;=0),"EKSİK",IF($I2871="Evet","TAHAKKUK NAKİT OLAMAZ",IF($C2871&gt;TODAY(),"İLERİ TARİH","TAHAKKUK"))),IF(AND($D2871&lt;&gt;"",$E2871&lt;&gt;"",$G2871&gt;0,$H2871&lt;&gt;"",$I2871&lt;&gt;""),IF($C2871&gt;TODAY(),"İLERİ TARİH",IF(COUNTIF($W$7:$W$3001,$W2871)&gt;1,"MÜKERRER?",IF($AD2871&gt;0,"KAPALI DÖNEM",IF($I2871="Hayır","ÖDENECEK","UYGUN")))),"EKSİK"))))</f>
        <v/>
      </c>
      <c r="Q2871" s="2"/>
      <c r="R2871" s="2"/>
      <c r="S2871" s="1" t="str">
        <f t="shared" si="134"/>
        <v/>
      </c>
      <c r="T2871" s="1" t="str">
        <f>IF(OR($C2871="",$D2871&lt;&gt;"Gelir",$L2871=""),"",IFERROR(INDEX(MUSTERILER!$B$7:$B$156,MATCH($S2871,MUSTERILER!$T$7:$T$156,0)),""))</f>
        <v/>
      </c>
      <c r="U2871" s="1" t="str">
        <f>IF($T2871="","",$T2871&amp;"|"&amp;COUNTIFS($T$7:$T2871,$T2871))</f>
        <v/>
      </c>
      <c r="V2871" s="1">
        <f t="shared" si="135"/>
        <v>0</v>
      </c>
      <c r="W2871" s="1" t="str">
        <f t="shared" si="136"/>
        <v/>
      </c>
      <c r="X2871" s="1"/>
      <c r="Y2871" s="1"/>
      <c r="Z2871" s="1"/>
      <c r="AA2871" s="1"/>
      <c r="AB2871" s="1"/>
      <c r="AC2871" s="1"/>
      <c r="AD2871" s="1">
        <f>IF($C2871="",0,SUMPRODUCT((AY_SONU!$O$7:$O$42="Evet")*(AY_SONU!$B$7:$B$42=DATE(YEAR($C2871),MONTH($C2871),1))))</f>
        <v>0</v>
      </c>
      <c r="AE2871" s="1" t="str">
        <f>IF($E2871="","",$E2871&amp;"|"&amp;COUNTIFS($E$7:$E2871,$E2871))</f>
        <v/>
      </c>
    </row>
    <row r="2872" spans="1:31" ht="18" customHeight="1" x14ac:dyDescent="0.3">
      <c r="A2872" s="2"/>
      <c r="B2872" s="65" t="str">
        <f>IF($C2872="","","GG"&amp;TEXT(ROW()-6,"00000"))</f>
        <v/>
      </c>
      <c r="C2872" s="66"/>
      <c r="D2872" s="60"/>
      <c r="E2872" s="61"/>
      <c r="F2872" s="61"/>
      <c r="G2872" s="67"/>
      <c r="H2872" s="60"/>
      <c r="I2872" s="60"/>
      <c r="J2872" s="61"/>
      <c r="K2872" s="61"/>
      <c r="L2872" s="60"/>
      <c r="M2872" s="74" t="str">
        <f>IF($C2872="","",IF($D2872="Gider",$E2872,IF($L2872&lt;&gt;"",$L2872,$H2872)))</f>
        <v/>
      </c>
      <c r="N2872" s="74" t="str">
        <f>IF($C2872="","",IF($D2872="Gider",$H2872,$E2872))</f>
        <v/>
      </c>
      <c r="O2872" s="73" t="str">
        <f>IF($C2872="","",DATE(YEAR($C2872),MONTH($C2872),1))</f>
        <v/>
      </c>
      <c r="P2872" s="65" t="str">
        <f ca="1">IF($C2872="","",IF(AND($D2872="Gelir",$L2872&lt;&gt;"",$T2872=""),"TANIMSIZ BORÇLU",IF($T2872&lt;&gt;"",IF(OR($E2872="",$G2872&lt;=0),"EKSİK",IF($I2872="Evet","TAHAKKUK NAKİT OLAMAZ",IF($C2872&gt;TODAY(),"İLERİ TARİH","TAHAKKUK"))),IF(AND($D2872&lt;&gt;"",$E2872&lt;&gt;"",$G2872&gt;0,$H2872&lt;&gt;"",$I2872&lt;&gt;""),IF($C2872&gt;TODAY(),"İLERİ TARİH",IF(COUNTIF($W$7:$W$3001,$W2872)&gt;1,"MÜKERRER?",IF($AD2872&gt;0,"KAPALI DÖNEM",IF($I2872="Hayır","ÖDENECEK","UYGUN")))),"EKSİK"))))</f>
        <v/>
      </c>
      <c r="Q2872" s="2"/>
      <c r="R2872" s="2"/>
      <c r="S2872" s="1" t="str">
        <f t="shared" si="134"/>
        <v/>
      </c>
      <c r="T2872" s="1" t="str">
        <f>IF(OR($C2872="",$D2872&lt;&gt;"Gelir",$L2872=""),"",IFERROR(INDEX(MUSTERILER!$B$7:$B$156,MATCH($S2872,MUSTERILER!$T$7:$T$156,0)),""))</f>
        <v/>
      </c>
      <c r="U2872" s="1" t="str">
        <f>IF($T2872="","",$T2872&amp;"|"&amp;COUNTIFS($T$7:$T2872,$T2872))</f>
        <v/>
      </c>
      <c r="V2872" s="1">
        <f t="shared" si="135"/>
        <v>0</v>
      </c>
      <c r="W2872" s="1" t="str">
        <f t="shared" si="136"/>
        <v/>
      </c>
      <c r="X2872" s="1"/>
      <c r="Y2872" s="1"/>
      <c r="Z2872" s="1"/>
      <c r="AA2872" s="1"/>
      <c r="AB2872" s="1"/>
      <c r="AC2872" s="1"/>
      <c r="AD2872" s="1">
        <f>IF($C2872="",0,SUMPRODUCT((AY_SONU!$O$7:$O$42="Evet")*(AY_SONU!$B$7:$B$42=DATE(YEAR($C2872),MONTH($C2872),1))))</f>
        <v>0</v>
      </c>
      <c r="AE2872" s="1" t="str">
        <f>IF($E2872="","",$E2872&amp;"|"&amp;COUNTIFS($E$7:$E2872,$E2872))</f>
        <v/>
      </c>
    </row>
    <row r="2873" spans="1:31" ht="18" customHeight="1" x14ac:dyDescent="0.3">
      <c r="A2873" s="2"/>
      <c r="B2873" s="65" t="str">
        <f>IF($C2873="","","GG"&amp;TEXT(ROW()-6,"00000"))</f>
        <v/>
      </c>
      <c r="C2873" s="66"/>
      <c r="D2873" s="60"/>
      <c r="E2873" s="61"/>
      <c r="F2873" s="61"/>
      <c r="G2873" s="67"/>
      <c r="H2873" s="60"/>
      <c r="I2873" s="60"/>
      <c r="J2873" s="61"/>
      <c r="K2873" s="61"/>
      <c r="L2873" s="60"/>
      <c r="M2873" s="74" t="str">
        <f>IF($C2873="","",IF($D2873="Gider",$E2873,IF($L2873&lt;&gt;"",$L2873,$H2873)))</f>
        <v/>
      </c>
      <c r="N2873" s="74" t="str">
        <f>IF($C2873="","",IF($D2873="Gider",$H2873,$E2873))</f>
        <v/>
      </c>
      <c r="O2873" s="73" t="str">
        <f>IF($C2873="","",DATE(YEAR($C2873),MONTH($C2873),1))</f>
        <v/>
      </c>
      <c r="P2873" s="65" t="str">
        <f ca="1">IF($C2873="","",IF(AND($D2873="Gelir",$L2873&lt;&gt;"",$T2873=""),"TANIMSIZ BORÇLU",IF($T2873&lt;&gt;"",IF(OR($E2873="",$G2873&lt;=0),"EKSİK",IF($I2873="Evet","TAHAKKUK NAKİT OLAMAZ",IF($C2873&gt;TODAY(),"İLERİ TARİH","TAHAKKUK"))),IF(AND($D2873&lt;&gt;"",$E2873&lt;&gt;"",$G2873&gt;0,$H2873&lt;&gt;"",$I2873&lt;&gt;""),IF($C2873&gt;TODAY(),"İLERİ TARİH",IF(COUNTIF($W$7:$W$3001,$W2873)&gt;1,"MÜKERRER?",IF($AD2873&gt;0,"KAPALI DÖNEM",IF($I2873="Hayır","ÖDENECEK","UYGUN")))),"EKSİK"))))</f>
        <v/>
      </c>
      <c r="Q2873" s="2"/>
      <c r="R2873" s="2"/>
      <c r="S2873" s="1" t="str">
        <f t="shared" si="134"/>
        <v/>
      </c>
      <c r="T2873" s="1" t="str">
        <f>IF(OR($C2873="",$D2873&lt;&gt;"Gelir",$L2873=""),"",IFERROR(INDEX(MUSTERILER!$B$7:$B$156,MATCH($S2873,MUSTERILER!$T$7:$T$156,0)),""))</f>
        <v/>
      </c>
      <c r="U2873" s="1" t="str">
        <f>IF($T2873="","",$T2873&amp;"|"&amp;COUNTIFS($T$7:$T2873,$T2873))</f>
        <v/>
      </c>
      <c r="V2873" s="1">
        <f t="shared" si="135"/>
        <v>0</v>
      </c>
      <c r="W2873" s="1" t="str">
        <f t="shared" si="136"/>
        <v/>
      </c>
      <c r="X2873" s="1"/>
      <c r="Y2873" s="1"/>
      <c r="Z2873" s="1"/>
      <c r="AA2873" s="1"/>
      <c r="AB2873" s="1"/>
      <c r="AC2873" s="1"/>
      <c r="AD2873" s="1">
        <f>IF($C2873="",0,SUMPRODUCT((AY_SONU!$O$7:$O$42="Evet")*(AY_SONU!$B$7:$B$42=DATE(YEAR($C2873),MONTH($C2873),1))))</f>
        <v>0</v>
      </c>
      <c r="AE2873" s="1" t="str">
        <f>IF($E2873="","",$E2873&amp;"|"&amp;COUNTIFS($E$7:$E2873,$E2873))</f>
        <v/>
      </c>
    </row>
    <row r="2874" spans="1:31" ht="18" customHeight="1" x14ac:dyDescent="0.3">
      <c r="A2874" s="2"/>
      <c r="B2874" s="65" t="str">
        <f>IF($C2874="","","GG"&amp;TEXT(ROW()-6,"00000"))</f>
        <v/>
      </c>
      <c r="C2874" s="66"/>
      <c r="D2874" s="60"/>
      <c r="E2874" s="61"/>
      <c r="F2874" s="61"/>
      <c r="G2874" s="67"/>
      <c r="H2874" s="60"/>
      <c r="I2874" s="60"/>
      <c r="J2874" s="61"/>
      <c r="K2874" s="61"/>
      <c r="L2874" s="60"/>
      <c r="M2874" s="74" t="str">
        <f>IF($C2874="","",IF($D2874="Gider",$E2874,IF($L2874&lt;&gt;"",$L2874,$H2874)))</f>
        <v/>
      </c>
      <c r="N2874" s="74" t="str">
        <f>IF($C2874="","",IF($D2874="Gider",$H2874,$E2874))</f>
        <v/>
      </c>
      <c r="O2874" s="73" t="str">
        <f>IF($C2874="","",DATE(YEAR($C2874),MONTH($C2874),1))</f>
        <v/>
      </c>
      <c r="P2874" s="65" t="str">
        <f ca="1">IF($C2874="","",IF(AND($D2874="Gelir",$L2874&lt;&gt;"",$T2874=""),"TANIMSIZ BORÇLU",IF($T2874&lt;&gt;"",IF(OR($E2874="",$G2874&lt;=0),"EKSİK",IF($I2874="Evet","TAHAKKUK NAKİT OLAMAZ",IF($C2874&gt;TODAY(),"İLERİ TARİH","TAHAKKUK"))),IF(AND($D2874&lt;&gt;"",$E2874&lt;&gt;"",$G2874&gt;0,$H2874&lt;&gt;"",$I2874&lt;&gt;""),IF($C2874&gt;TODAY(),"İLERİ TARİH",IF(COUNTIF($W$7:$W$3001,$W2874)&gt;1,"MÜKERRER?",IF($AD2874&gt;0,"KAPALI DÖNEM",IF($I2874="Hayır","ÖDENECEK","UYGUN")))),"EKSİK"))))</f>
        <v/>
      </c>
      <c r="Q2874" s="2"/>
      <c r="R2874" s="2"/>
      <c r="S2874" s="1" t="str">
        <f t="shared" si="134"/>
        <v/>
      </c>
      <c r="T2874" s="1" t="str">
        <f>IF(OR($C2874="",$D2874&lt;&gt;"Gelir",$L2874=""),"",IFERROR(INDEX(MUSTERILER!$B$7:$B$156,MATCH($S2874,MUSTERILER!$T$7:$T$156,0)),""))</f>
        <v/>
      </c>
      <c r="U2874" s="1" t="str">
        <f>IF($T2874="","",$T2874&amp;"|"&amp;COUNTIFS($T$7:$T2874,$T2874))</f>
        <v/>
      </c>
      <c r="V2874" s="1">
        <f t="shared" si="135"/>
        <v>0</v>
      </c>
      <c r="W2874" s="1" t="str">
        <f t="shared" si="136"/>
        <v/>
      </c>
      <c r="X2874" s="1"/>
      <c r="Y2874" s="1"/>
      <c r="Z2874" s="1"/>
      <c r="AA2874" s="1"/>
      <c r="AB2874" s="1"/>
      <c r="AC2874" s="1"/>
      <c r="AD2874" s="1">
        <f>IF($C2874="",0,SUMPRODUCT((AY_SONU!$O$7:$O$42="Evet")*(AY_SONU!$B$7:$B$42=DATE(YEAR($C2874),MONTH($C2874),1))))</f>
        <v>0</v>
      </c>
      <c r="AE2874" s="1" t="str">
        <f>IF($E2874="","",$E2874&amp;"|"&amp;COUNTIFS($E$7:$E2874,$E2874))</f>
        <v/>
      </c>
    </row>
    <row r="2875" spans="1:31" ht="18" customHeight="1" x14ac:dyDescent="0.3">
      <c r="A2875" s="2"/>
      <c r="B2875" s="65" t="str">
        <f>IF($C2875="","","GG"&amp;TEXT(ROW()-6,"00000"))</f>
        <v/>
      </c>
      <c r="C2875" s="66"/>
      <c r="D2875" s="60"/>
      <c r="E2875" s="61"/>
      <c r="F2875" s="61"/>
      <c r="G2875" s="67"/>
      <c r="H2875" s="60"/>
      <c r="I2875" s="60"/>
      <c r="J2875" s="61"/>
      <c r="K2875" s="61"/>
      <c r="L2875" s="60"/>
      <c r="M2875" s="74" t="str">
        <f>IF($C2875="","",IF($D2875="Gider",$E2875,IF($L2875&lt;&gt;"",$L2875,$H2875)))</f>
        <v/>
      </c>
      <c r="N2875" s="74" t="str">
        <f>IF($C2875="","",IF($D2875="Gider",$H2875,$E2875))</f>
        <v/>
      </c>
      <c r="O2875" s="73" t="str">
        <f>IF($C2875="","",DATE(YEAR($C2875),MONTH($C2875),1))</f>
        <v/>
      </c>
      <c r="P2875" s="65" t="str">
        <f ca="1">IF($C2875="","",IF(AND($D2875="Gelir",$L2875&lt;&gt;"",$T2875=""),"TANIMSIZ BORÇLU",IF($T2875&lt;&gt;"",IF(OR($E2875="",$G2875&lt;=0),"EKSİK",IF($I2875="Evet","TAHAKKUK NAKİT OLAMAZ",IF($C2875&gt;TODAY(),"İLERİ TARİH","TAHAKKUK"))),IF(AND($D2875&lt;&gt;"",$E2875&lt;&gt;"",$G2875&gt;0,$H2875&lt;&gt;"",$I2875&lt;&gt;""),IF($C2875&gt;TODAY(),"İLERİ TARİH",IF(COUNTIF($W$7:$W$3001,$W2875)&gt;1,"MÜKERRER?",IF($AD2875&gt;0,"KAPALI DÖNEM",IF($I2875="Hayır","ÖDENECEK","UYGUN")))),"EKSİK"))))</f>
        <v/>
      </c>
      <c r="Q2875" s="2"/>
      <c r="R2875" s="2"/>
      <c r="S2875" s="1" t="str">
        <f t="shared" si="134"/>
        <v/>
      </c>
      <c r="T2875" s="1" t="str">
        <f>IF(OR($C2875="",$D2875&lt;&gt;"Gelir",$L2875=""),"",IFERROR(INDEX(MUSTERILER!$B$7:$B$156,MATCH($S2875,MUSTERILER!$T$7:$T$156,0)),""))</f>
        <v/>
      </c>
      <c r="U2875" s="1" t="str">
        <f>IF($T2875="","",$T2875&amp;"|"&amp;COUNTIFS($T$7:$T2875,$T2875))</f>
        <v/>
      </c>
      <c r="V2875" s="1">
        <f t="shared" si="135"/>
        <v>0</v>
      </c>
      <c r="W2875" s="1" t="str">
        <f t="shared" si="136"/>
        <v/>
      </c>
      <c r="X2875" s="1"/>
      <c r="Y2875" s="1"/>
      <c r="Z2875" s="1"/>
      <c r="AA2875" s="1"/>
      <c r="AB2875" s="1"/>
      <c r="AC2875" s="1"/>
      <c r="AD2875" s="1">
        <f>IF($C2875="",0,SUMPRODUCT((AY_SONU!$O$7:$O$42="Evet")*(AY_SONU!$B$7:$B$42=DATE(YEAR($C2875),MONTH($C2875),1))))</f>
        <v>0</v>
      </c>
      <c r="AE2875" s="1" t="str">
        <f>IF($E2875="","",$E2875&amp;"|"&amp;COUNTIFS($E$7:$E2875,$E2875))</f>
        <v/>
      </c>
    </row>
    <row r="2876" spans="1:31" ht="18" customHeight="1" x14ac:dyDescent="0.3">
      <c r="A2876" s="2"/>
      <c r="B2876" s="65" t="str">
        <f>IF($C2876="","","GG"&amp;TEXT(ROW()-6,"00000"))</f>
        <v/>
      </c>
      <c r="C2876" s="66"/>
      <c r="D2876" s="60"/>
      <c r="E2876" s="61"/>
      <c r="F2876" s="61"/>
      <c r="G2876" s="67"/>
      <c r="H2876" s="60"/>
      <c r="I2876" s="60"/>
      <c r="J2876" s="61"/>
      <c r="K2876" s="61"/>
      <c r="L2876" s="60"/>
      <c r="M2876" s="74" t="str">
        <f>IF($C2876="","",IF($D2876="Gider",$E2876,IF($L2876&lt;&gt;"",$L2876,$H2876)))</f>
        <v/>
      </c>
      <c r="N2876" s="74" t="str">
        <f>IF($C2876="","",IF($D2876="Gider",$H2876,$E2876))</f>
        <v/>
      </c>
      <c r="O2876" s="73" t="str">
        <f>IF($C2876="","",DATE(YEAR($C2876),MONTH($C2876),1))</f>
        <v/>
      </c>
      <c r="P2876" s="65" t="str">
        <f ca="1">IF($C2876="","",IF(AND($D2876="Gelir",$L2876&lt;&gt;"",$T2876=""),"TANIMSIZ BORÇLU",IF($T2876&lt;&gt;"",IF(OR($E2876="",$G2876&lt;=0),"EKSİK",IF($I2876="Evet","TAHAKKUK NAKİT OLAMAZ",IF($C2876&gt;TODAY(),"İLERİ TARİH","TAHAKKUK"))),IF(AND($D2876&lt;&gt;"",$E2876&lt;&gt;"",$G2876&gt;0,$H2876&lt;&gt;"",$I2876&lt;&gt;""),IF($C2876&gt;TODAY(),"İLERİ TARİH",IF(COUNTIF($W$7:$W$3001,$W2876)&gt;1,"MÜKERRER?",IF($AD2876&gt;0,"KAPALI DÖNEM",IF($I2876="Hayır","ÖDENECEK","UYGUN")))),"EKSİK"))))</f>
        <v/>
      </c>
      <c r="Q2876" s="2"/>
      <c r="R2876" s="2"/>
      <c r="S2876" s="1" t="str">
        <f t="shared" si="134"/>
        <v/>
      </c>
      <c r="T2876" s="1" t="str">
        <f>IF(OR($C2876="",$D2876&lt;&gt;"Gelir",$L2876=""),"",IFERROR(INDEX(MUSTERILER!$B$7:$B$156,MATCH($S2876,MUSTERILER!$T$7:$T$156,0)),""))</f>
        <v/>
      </c>
      <c r="U2876" s="1" t="str">
        <f>IF($T2876="","",$T2876&amp;"|"&amp;COUNTIFS($T$7:$T2876,$T2876))</f>
        <v/>
      </c>
      <c r="V2876" s="1">
        <f t="shared" si="135"/>
        <v>0</v>
      </c>
      <c r="W2876" s="1" t="str">
        <f t="shared" si="136"/>
        <v/>
      </c>
      <c r="X2876" s="1"/>
      <c r="Y2876" s="1"/>
      <c r="Z2876" s="1"/>
      <c r="AA2876" s="1"/>
      <c r="AB2876" s="1"/>
      <c r="AC2876" s="1"/>
      <c r="AD2876" s="1">
        <f>IF($C2876="",0,SUMPRODUCT((AY_SONU!$O$7:$O$42="Evet")*(AY_SONU!$B$7:$B$42=DATE(YEAR($C2876),MONTH($C2876),1))))</f>
        <v>0</v>
      </c>
      <c r="AE2876" s="1" t="str">
        <f>IF($E2876="","",$E2876&amp;"|"&amp;COUNTIFS($E$7:$E2876,$E2876))</f>
        <v/>
      </c>
    </row>
    <row r="2877" spans="1:31" ht="18" customHeight="1" x14ac:dyDescent="0.3">
      <c r="A2877" s="2"/>
      <c r="B2877" s="65" t="str">
        <f>IF($C2877="","","GG"&amp;TEXT(ROW()-6,"00000"))</f>
        <v/>
      </c>
      <c r="C2877" s="66"/>
      <c r="D2877" s="60"/>
      <c r="E2877" s="61"/>
      <c r="F2877" s="61"/>
      <c r="G2877" s="67"/>
      <c r="H2877" s="60"/>
      <c r="I2877" s="60"/>
      <c r="J2877" s="61"/>
      <c r="K2877" s="61"/>
      <c r="L2877" s="60"/>
      <c r="M2877" s="74" t="str">
        <f>IF($C2877="","",IF($D2877="Gider",$E2877,IF($L2877&lt;&gt;"",$L2877,$H2877)))</f>
        <v/>
      </c>
      <c r="N2877" s="74" t="str">
        <f>IF($C2877="","",IF($D2877="Gider",$H2877,$E2877))</f>
        <v/>
      </c>
      <c r="O2877" s="73" t="str">
        <f>IF($C2877="","",DATE(YEAR($C2877),MONTH($C2877),1))</f>
        <v/>
      </c>
      <c r="P2877" s="65" t="str">
        <f ca="1">IF($C2877="","",IF(AND($D2877="Gelir",$L2877&lt;&gt;"",$T2877=""),"TANIMSIZ BORÇLU",IF($T2877&lt;&gt;"",IF(OR($E2877="",$G2877&lt;=0),"EKSİK",IF($I2877="Evet","TAHAKKUK NAKİT OLAMAZ",IF($C2877&gt;TODAY(),"İLERİ TARİH","TAHAKKUK"))),IF(AND($D2877&lt;&gt;"",$E2877&lt;&gt;"",$G2877&gt;0,$H2877&lt;&gt;"",$I2877&lt;&gt;""),IF($C2877&gt;TODAY(),"İLERİ TARİH",IF(COUNTIF($W$7:$W$3001,$W2877)&gt;1,"MÜKERRER?",IF($AD2877&gt;0,"KAPALI DÖNEM",IF($I2877="Hayır","ÖDENECEK","UYGUN")))),"EKSİK"))))</f>
        <v/>
      </c>
      <c r="Q2877" s="2"/>
      <c r="R2877" s="2"/>
      <c r="S2877" s="1" t="str">
        <f t="shared" si="134"/>
        <v/>
      </c>
      <c r="T2877" s="1" t="str">
        <f>IF(OR($C2877="",$D2877&lt;&gt;"Gelir",$L2877=""),"",IFERROR(INDEX(MUSTERILER!$B$7:$B$156,MATCH($S2877,MUSTERILER!$T$7:$T$156,0)),""))</f>
        <v/>
      </c>
      <c r="U2877" s="1" t="str">
        <f>IF($T2877="","",$T2877&amp;"|"&amp;COUNTIFS($T$7:$T2877,$T2877))</f>
        <v/>
      </c>
      <c r="V2877" s="1">
        <f t="shared" si="135"/>
        <v>0</v>
      </c>
      <c r="W2877" s="1" t="str">
        <f t="shared" si="136"/>
        <v/>
      </c>
      <c r="X2877" s="1"/>
      <c r="Y2877" s="1"/>
      <c r="Z2877" s="1"/>
      <c r="AA2877" s="1"/>
      <c r="AB2877" s="1"/>
      <c r="AC2877" s="1"/>
      <c r="AD2877" s="1">
        <f>IF($C2877="",0,SUMPRODUCT((AY_SONU!$O$7:$O$42="Evet")*(AY_SONU!$B$7:$B$42=DATE(YEAR($C2877),MONTH($C2877),1))))</f>
        <v>0</v>
      </c>
      <c r="AE2877" s="1" t="str">
        <f>IF($E2877="","",$E2877&amp;"|"&amp;COUNTIFS($E$7:$E2877,$E2877))</f>
        <v/>
      </c>
    </row>
    <row r="2878" spans="1:31" ht="18" customHeight="1" x14ac:dyDescent="0.3">
      <c r="A2878" s="2"/>
      <c r="B2878" s="65" t="str">
        <f>IF($C2878="","","GG"&amp;TEXT(ROW()-6,"00000"))</f>
        <v/>
      </c>
      <c r="C2878" s="66"/>
      <c r="D2878" s="60"/>
      <c r="E2878" s="61"/>
      <c r="F2878" s="61"/>
      <c r="G2878" s="67"/>
      <c r="H2878" s="60"/>
      <c r="I2878" s="60"/>
      <c r="J2878" s="61"/>
      <c r="K2878" s="61"/>
      <c r="L2878" s="60"/>
      <c r="M2878" s="74" t="str">
        <f>IF($C2878="","",IF($D2878="Gider",$E2878,IF($L2878&lt;&gt;"",$L2878,$H2878)))</f>
        <v/>
      </c>
      <c r="N2878" s="74" t="str">
        <f>IF($C2878="","",IF($D2878="Gider",$H2878,$E2878))</f>
        <v/>
      </c>
      <c r="O2878" s="73" t="str">
        <f>IF($C2878="","",DATE(YEAR($C2878),MONTH($C2878),1))</f>
        <v/>
      </c>
      <c r="P2878" s="65" t="str">
        <f ca="1">IF($C2878="","",IF(AND($D2878="Gelir",$L2878&lt;&gt;"",$T2878=""),"TANIMSIZ BORÇLU",IF($T2878&lt;&gt;"",IF(OR($E2878="",$G2878&lt;=0),"EKSİK",IF($I2878="Evet","TAHAKKUK NAKİT OLAMAZ",IF($C2878&gt;TODAY(),"İLERİ TARİH","TAHAKKUK"))),IF(AND($D2878&lt;&gt;"",$E2878&lt;&gt;"",$G2878&gt;0,$H2878&lt;&gt;"",$I2878&lt;&gt;""),IF($C2878&gt;TODAY(),"İLERİ TARİH",IF(COUNTIF($W$7:$W$3001,$W2878)&gt;1,"MÜKERRER?",IF($AD2878&gt;0,"KAPALI DÖNEM",IF($I2878="Hayır","ÖDENECEK","UYGUN")))),"EKSİK"))))</f>
        <v/>
      </c>
      <c r="Q2878" s="2"/>
      <c r="R2878" s="2"/>
      <c r="S2878" s="1" t="str">
        <f t="shared" si="134"/>
        <v/>
      </c>
      <c r="T2878" s="1" t="str">
        <f>IF(OR($C2878="",$D2878&lt;&gt;"Gelir",$L2878=""),"",IFERROR(INDEX(MUSTERILER!$B$7:$B$156,MATCH($S2878,MUSTERILER!$T$7:$T$156,0)),""))</f>
        <v/>
      </c>
      <c r="U2878" s="1" t="str">
        <f>IF($T2878="","",$T2878&amp;"|"&amp;COUNTIFS($T$7:$T2878,$T2878))</f>
        <v/>
      </c>
      <c r="V2878" s="1">
        <f t="shared" si="135"/>
        <v>0</v>
      </c>
      <c r="W2878" s="1" t="str">
        <f t="shared" si="136"/>
        <v/>
      </c>
      <c r="X2878" s="1"/>
      <c r="Y2878" s="1"/>
      <c r="Z2878" s="1"/>
      <c r="AA2878" s="1"/>
      <c r="AB2878" s="1"/>
      <c r="AC2878" s="1"/>
      <c r="AD2878" s="1">
        <f>IF($C2878="",0,SUMPRODUCT((AY_SONU!$O$7:$O$42="Evet")*(AY_SONU!$B$7:$B$42=DATE(YEAR($C2878),MONTH($C2878),1))))</f>
        <v>0</v>
      </c>
      <c r="AE2878" s="1" t="str">
        <f>IF($E2878="","",$E2878&amp;"|"&amp;COUNTIFS($E$7:$E2878,$E2878))</f>
        <v/>
      </c>
    </row>
    <row r="2879" spans="1:31" ht="18" customHeight="1" x14ac:dyDescent="0.3">
      <c r="A2879" s="2"/>
      <c r="B2879" s="65" t="str">
        <f>IF($C2879="","","GG"&amp;TEXT(ROW()-6,"00000"))</f>
        <v/>
      </c>
      <c r="C2879" s="66"/>
      <c r="D2879" s="60"/>
      <c r="E2879" s="61"/>
      <c r="F2879" s="61"/>
      <c r="G2879" s="67"/>
      <c r="H2879" s="60"/>
      <c r="I2879" s="60"/>
      <c r="J2879" s="61"/>
      <c r="K2879" s="61"/>
      <c r="L2879" s="60"/>
      <c r="M2879" s="74" t="str">
        <f>IF($C2879="","",IF($D2879="Gider",$E2879,IF($L2879&lt;&gt;"",$L2879,$H2879)))</f>
        <v/>
      </c>
      <c r="N2879" s="74" t="str">
        <f>IF($C2879="","",IF($D2879="Gider",$H2879,$E2879))</f>
        <v/>
      </c>
      <c r="O2879" s="73" t="str">
        <f>IF($C2879="","",DATE(YEAR($C2879),MONTH($C2879),1))</f>
        <v/>
      </c>
      <c r="P2879" s="65" t="str">
        <f ca="1">IF($C2879="","",IF(AND($D2879="Gelir",$L2879&lt;&gt;"",$T2879=""),"TANIMSIZ BORÇLU",IF($T2879&lt;&gt;"",IF(OR($E2879="",$G2879&lt;=0),"EKSİK",IF($I2879="Evet","TAHAKKUK NAKİT OLAMAZ",IF($C2879&gt;TODAY(),"İLERİ TARİH","TAHAKKUK"))),IF(AND($D2879&lt;&gt;"",$E2879&lt;&gt;"",$G2879&gt;0,$H2879&lt;&gt;"",$I2879&lt;&gt;""),IF($C2879&gt;TODAY(),"İLERİ TARİH",IF(COUNTIF($W$7:$W$3001,$W2879)&gt;1,"MÜKERRER?",IF($AD2879&gt;0,"KAPALI DÖNEM",IF($I2879="Hayır","ÖDENECEK","UYGUN")))),"EKSİK"))))</f>
        <v/>
      </c>
      <c r="Q2879" s="2"/>
      <c r="R2879" s="2"/>
      <c r="S2879" s="1" t="str">
        <f t="shared" si="134"/>
        <v/>
      </c>
      <c r="T2879" s="1" t="str">
        <f>IF(OR($C2879="",$D2879&lt;&gt;"Gelir",$L2879=""),"",IFERROR(INDEX(MUSTERILER!$B$7:$B$156,MATCH($S2879,MUSTERILER!$T$7:$T$156,0)),""))</f>
        <v/>
      </c>
      <c r="U2879" s="1" t="str">
        <f>IF($T2879="","",$T2879&amp;"|"&amp;COUNTIFS($T$7:$T2879,$T2879))</f>
        <v/>
      </c>
      <c r="V2879" s="1">
        <f t="shared" si="135"/>
        <v>0</v>
      </c>
      <c r="W2879" s="1" t="str">
        <f t="shared" si="136"/>
        <v/>
      </c>
      <c r="X2879" s="1"/>
      <c r="Y2879" s="1"/>
      <c r="Z2879" s="1"/>
      <c r="AA2879" s="1"/>
      <c r="AB2879" s="1"/>
      <c r="AC2879" s="1"/>
      <c r="AD2879" s="1">
        <f>IF($C2879="",0,SUMPRODUCT((AY_SONU!$O$7:$O$42="Evet")*(AY_SONU!$B$7:$B$42=DATE(YEAR($C2879),MONTH($C2879),1))))</f>
        <v>0</v>
      </c>
      <c r="AE2879" s="1" t="str">
        <f>IF($E2879="","",$E2879&amp;"|"&amp;COUNTIFS($E$7:$E2879,$E2879))</f>
        <v/>
      </c>
    </row>
    <row r="2880" spans="1:31" ht="18" customHeight="1" x14ac:dyDescent="0.3">
      <c r="A2880" s="2"/>
      <c r="B2880" s="65" t="str">
        <f>IF($C2880="","","GG"&amp;TEXT(ROW()-6,"00000"))</f>
        <v/>
      </c>
      <c r="C2880" s="66"/>
      <c r="D2880" s="60"/>
      <c r="E2880" s="61"/>
      <c r="F2880" s="61"/>
      <c r="G2880" s="67"/>
      <c r="H2880" s="60"/>
      <c r="I2880" s="60"/>
      <c r="J2880" s="61"/>
      <c r="K2880" s="61"/>
      <c r="L2880" s="60"/>
      <c r="M2880" s="74" t="str">
        <f>IF($C2880="","",IF($D2880="Gider",$E2880,IF($L2880&lt;&gt;"",$L2880,$H2880)))</f>
        <v/>
      </c>
      <c r="N2880" s="74" t="str">
        <f>IF($C2880="","",IF($D2880="Gider",$H2880,$E2880))</f>
        <v/>
      </c>
      <c r="O2880" s="73" t="str">
        <f>IF($C2880="","",DATE(YEAR($C2880),MONTH($C2880),1))</f>
        <v/>
      </c>
      <c r="P2880" s="65" t="str">
        <f ca="1">IF($C2880="","",IF(AND($D2880="Gelir",$L2880&lt;&gt;"",$T2880=""),"TANIMSIZ BORÇLU",IF($T2880&lt;&gt;"",IF(OR($E2880="",$G2880&lt;=0),"EKSİK",IF($I2880="Evet","TAHAKKUK NAKİT OLAMAZ",IF($C2880&gt;TODAY(),"İLERİ TARİH","TAHAKKUK"))),IF(AND($D2880&lt;&gt;"",$E2880&lt;&gt;"",$G2880&gt;0,$H2880&lt;&gt;"",$I2880&lt;&gt;""),IF($C2880&gt;TODAY(),"İLERİ TARİH",IF(COUNTIF($W$7:$W$3001,$W2880)&gt;1,"MÜKERRER?",IF($AD2880&gt;0,"KAPALI DÖNEM",IF($I2880="Hayır","ÖDENECEK","UYGUN")))),"EKSİK"))))</f>
        <v/>
      </c>
      <c r="Q2880" s="2"/>
      <c r="R2880" s="2"/>
      <c r="S2880" s="1" t="str">
        <f t="shared" si="134"/>
        <v/>
      </c>
      <c r="T2880" s="1" t="str">
        <f>IF(OR($C2880="",$D2880&lt;&gt;"Gelir",$L2880=""),"",IFERROR(INDEX(MUSTERILER!$B$7:$B$156,MATCH($S2880,MUSTERILER!$T$7:$T$156,0)),""))</f>
        <v/>
      </c>
      <c r="U2880" s="1" t="str">
        <f>IF($T2880="","",$T2880&amp;"|"&amp;COUNTIFS($T$7:$T2880,$T2880))</f>
        <v/>
      </c>
      <c r="V2880" s="1">
        <f t="shared" si="135"/>
        <v>0</v>
      </c>
      <c r="W2880" s="1" t="str">
        <f t="shared" si="136"/>
        <v/>
      </c>
      <c r="X2880" s="1"/>
      <c r="Y2880" s="1"/>
      <c r="Z2880" s="1"/>
      <c r="AA2880" s="1"/>
      <c r="AB2880" s="1"/>
      <c r="AC2880" s="1"/>
      <c r="AD2880" s="1">
        <f>IF($C2880="",0,SUMPRODUCT((AY_SONU!$O$7:$O$42="Evet")*(AY_SONU!$B$7:$B$42=DATE(YEAR($C2880),MONTH($C2880),1))))</f>
        <v>0</v>
      </c>
      <c r="AE2880" s="1" t="str">
        <f>IF($E2880="","",$E2880&amp;"|"&amp;COUNTIFS($E$7:$E2880,$E2880))</f>
        <v/>
      </c>
    </row>
    <row r="2881" spans="1:31" ht="18" customHeight="1" x14ac:dyDescent="0.3">
      <c r="A2881" s="2"/>
      <c r="B2881" s="65" t="str">
        <f>IF($C2881="","","GG"&amp;TEXT(ROW()-6,"00000"))</f>
        <v/>
      </c>
      <c r="C2881" s="66"/>
      <c r="D2881" s="60"/>
      <c r="E2881" s="61"/>
      <c r="F2881" s="61"/>
      <c r="G2881" s="67"/>
      <c r="H2881" s="60"/>
      <c r="I2881" s="60"/>
      <c r="J2881" s="61"/>
      <c r="K2881" s="61"/>
      <c r="L2881" s="60"/>
      <c r="M2881" s="74" t="str">
        <f>IF($C2881="","",IF($D2881="Gider",$E2881,IF($L2881&lt;&gt;"",$L2881,$H2881)))</f>
        <v/>
      </c>
      <c r="N2881" s="74" t="str">
        <f>IF($C2881="","",IF($D2881="Gider",$H2881,$E2881))</f>
        <v/>
      </c>
      <c r="O2881" s="73" t="str">
        <f>IF($C2881="","",DATE(YEAR($C2881),MONTH($C2881),1))</f>
        <v/>
      </c>
      <c r="P2881" s="65" t="str">
        <f ca="1">IF($C2881="","",IF(AND($D2881="Gelir",$L2881&lt;&gt;"",$T2881=""),"TANIMSIZ BORÇLU",IF($T2881&lt;&gt;"",IF(OR($E2881="",$G2881&lt;=0),"EKSİK",IF($I2881="Evet","TAHAKKUK NAKİT OLAMAZ",IF($C2881&gt;TODAY(),"İLERİ TARİH","TAHAKKUK"))),IF(AND($D2881&lt;&gt;"",$E2881&lt;&gt;"",$G2881&gt;0,$H2881&lt;&gt;"",$I2881&lt;&gt;""),IF($C2881&gt;TODAY(),"İLERİ TARİH",IF(COUNTIF($W$7:$W$3001,$W2881)&gt;1,"MÜKERRER?",IF($AD2881&gt;0,"KAPALI DÖNEM",IF($I2881="Hayır","ÖDENECEK","UYGUN")))),"EKSİK"))))</f>
        <v/>
      </c>
      <c r="Q2881" s="2"/>
      <c r="R2881" s="2"/>
      <c r="S2881" s="1" t="str">
        <f t="shared" si="134"/>
        <v/>
      </c>
      <c r="T2881" s="1" t="str">
        <f>IF(OR($C2881="",$D2881&lt;&gt;"Gelir",$L2881=""),"",IFERROR(INDEX(MUSTERILER!$B$7:$B$156,MATCH($S2881,MUSTERILER!$T$7:$T$156,0)),""))</f>
        <v/>
      </c>
      <c r="U2881" s="1" t="str">
        <f>IF($T2881="","",$T2881&amp;"|"&amp;COUNTIFS($T$7:$T2881,$T2881))</f>
        <v/>
      </c>
      <c r="V2881" s="1">
        <f t="shared" si="135"/>
        <v>0</v>
      </c>
      <c r="W2881" s="1" t="str">
        <f t="shared" si="136"/>
        <v/>
      </c>
      <c r="X2881" s="1"/>
      <c r="Y2881" s="1"/>
      <c r="Z2881" s="1"/>
      <c r="AA2881" s="1"/>
      <c r="AB2881" s="1"/>
      <c r="AC2881" s="1"/>
      <c r="AD2881" s="1">
        <f>IF($C2881="",0,SUMPRODUCT((AY_SONU!$O$7:$O$42="Evet")*(AY_SONU!$B$7:$B$42=DATE(YEAR($C2881),MONTH($C2881),1))))</f>
        <v>0</v>
      </c>
      <c r="AE2881" s="1" t="str">
        <f>IF($E2881="","",$E2881&amp;"|"&amp;COUNTIFS($E$7:$E2881,$E2881))</f>
        <v/>
      </c>
    </row>
    <row r="2882" spans="1:31" ht="18" customHeight="1" x14ac:dyDescent="0.3">
      <c r="A2882" s="2"/>
      <c r="B2882" s="65" t="str">
        <f>IF($C2882="","","GG"&amp;TEXT(ROW()-6,"00000"))</f>
        <v/>
      </c>
      <c r="C2882" s="66"/>
      <c r="D2882" s="60"/>
      <c r="E2882" s="61"/>
      <c r="F2882" s="61"/>
      <c r="G2882" s="67"/>
      <c r="H2882" s="60"/>
      <c r="I2882" s="60"/>
      <c r="J2882" s="61"/>
      <c r="K2882" s="61"/>
      <c r="L2882" s="60"/>
      <c r="M2882" s="74" t="str">
        <f>IF($C2882="","",IF($D2882="Gider",$E2882,IF($L2882&lt;&gt;"",$L2882,$H2882)))</f>
        <v/>
      </c>
      <c r="N2882" s="74" t="str">
        <f>IF($C2882="","",IF($D2882="Gider",$H2882,$E2882))</f>
        <v/>
      </c>
      <c r="O2882" s="73" t="str">
        <f>IF($C2882="","",DATE(YEAR($C2882),MONTH($C2882),1))</f>
        <v/>
      </c>
      <c r="P2882" s="65" t="str">
        <f ca="1">IF($C2882="","",IF(AND($D2882="Gelir",$L2882&lt;&gt;"",$T2882=""),"TANIMSIZ BORÇLU",IF($T2882&lt;&gt;"",IF(OR($E2882="",$G2882&lt;=0),"EKSİK",IF($I2882="Evet","TAHAKKUK NAKİT OLAMAZ",IF($C2882&gt;TODAY(),"İLERİ TARİH","TAHAKKUK"))),IF(AND($D2882&lt;&gt;"",$E2882&lt;&gt;"",$G2882&gt;0,$H2882&lt;&gt;"",$I2882&lt;&gt;""),IF($C2882&gt;TODAY(),"İLERİ TARİH",IF(COUNTIF($W$7:$W$3001,$W2882)&gt;1,"MÜKERRER?",IF($AD2882&gt;0,"KAPALI DÖNEM",IF($I2882="Hayır","ÖDENECEK","UYGUN")))),"EKSİK"))))</f>
        <v/>
      </c>
      <c r="Q2882" s="2"/>
      <c r="R2882" s="2"/>
      <c r="S2882" s="1" t="str">
        <f t="shared" si="134"/>
        <v/>
      </c>
      <c r="T2882" s="1" t="str">
        <f>IF(OR($C2882="",$D2882&lt;&gt;"Gelir",$L2882=""),"",IFERROR(INDEX(MUSTERILER!$B$7:$B$156,MATCH($S2882,MUSTERILER!$T$7:$T$156,0)),""))</f>
        <v/>
      </c>
      <c r="U2882" s="1" t="str">
        <f>IF($T2882="","",$T2882&amp;"|"&amp;COUNTIFS($T$7:$T2882,$T2882))</f>
        <v/>
      </c>
      <c r="V2882" s="1">
        <f t="shared" si="135"/>
        <v>0</v>
      </c>
      <c r="W2882" s="1" t="str">
        <f t="shared" si="136"/>
        <v/>
      </c>
      <c r="X2882" s="1"/>
      <c r="Y2882" s="1"/>
      <c r="Z2882" s="1"/>
      <c r="AA2882" s="1"/>
      <c r="AB2882" s="1"/>
      <c r="AC2882" s="1"/>
      <c r="AD2882" s="1">
        <f>IF($C2882="",0,SUMPRODUCT((AY_SONU!$O$7:$O$42="Evet")*(AY_SONU!$B$7:$B$42=DATE(YEAR($C2882),MONTH($C2882),1))))</f>
        <v>0</v>
      </c>
      <c r="AE2882" s="1" t="str">
        <f>IF($E2882="","",$E2882&amp;"|"&amp;COUNTIFS($E$7:$E2882,$E2882))</f>
        <v/>
      </c>
    </row>
    <row r="2883" spans="1:31" ht="18" customHeight="1" x14ac:dyDescent="0.3">
      <c r="A2883" s="2"/>
      <c r="B2883" s="65" t="str">
        <f>IF($C2883="","","GG"&amp;TEXT(ROW()-6,"00000"))</f>
        <v/>
      </c>
      <c r="C2883" s="66"/>
      <c r="D2883" s="60"/>
      <c r="E2883" s="61"/>
      <c r="F2883" s="61"/>
      <c r="G2883" s="67"/>
      <c r="H2883" s="60"/>
      <c r="I2883" s="60"/>
      <c r="J2883" s="61"/>
      <c r="K2883" s="61"/>
      <c r="L2883" s="60"/>
      <c r="M2883" s="74" t="str">
        <f>IF($C2883="","",IF($D2883="Gider",$E2883,IF($L2883&lt;&gt;"",$L2883,$H2883)))</f>
        <v/>
      </c>
      <c r="N2883" s="74" t="str">
        <f>IF($C2883="","",IF($D2883="Gider",$H2883,$E2883))</f>
        <v/>
      </c>
      <c r="O2883" s="73" t="str">
        <f>IF($C2883="","",DATE(YEAR($C2883),MONTH($C2883),1))</f>
        <v/>
      </c>
      <c r="P2883" s="65" t="str">
        <f ca="1">IF($C2883="","",IF(AND($D2883="Gelir",$L2883&lt;&gt;"",$T2883=""),"TANIMSIZ BORÇLU",IF($T2883&lt;&gt;"",IF(OR($E2883="",$G2883&lt;=0),"EKSİK",IF($I2883="Evet","TAHAKKUK NAKİT OLAMAZ",IF($C2883&gt;TODAY(),"İLERİ TARİH","TAHAKKUK"))),IF(AND($D2883&lt;&gt;"",$E2883&lt;&gt;"",$G2883&gt;0,$H2883&lt;&gt;"",$I2883&lt;&gt;""),IF($C2883&gt;TODAY(),"İLERİ TARİH",IF(COUNTIF($W$7:$W$3001,$W2883)&gt;1,"MÜKERRER?",IF($AD2883&gt;0,"KAPALI DÖNEM",IF($I2883="Hayır","ÖDENECEK","UYGUN")))),"EKSİK"))))</f>
        <v/>
      </c>
      <c r="Q2883" s="2"/>
      <c r="R2883" s="2"/>
      <c r="S2883" s="1" t="str">
        <f t="shared" si="134"/>
        <v/>
      </c>
      <c r="T2883" s="1" t="str">
        <f>IF(OR($C2883="",$D2883&lt;&gt;"Gelir",$L2883=""),"",IFERROR(INDEX(MUSTERILER!$B$7:$B$156,MATCH($S2883,MUSTERILER!$T$7:$T$156,0)),""))</f>
        <v/>
      </c>
      <c r="U2883" s="1" t="str">
        <f>IF($T2883="","",$T2883&amp;"|"&amp;COUNTIFS($T$7:$T2883,$T2883))</f>
        <v/>
      </c>
      <c r="V2883" s="1">
        <f t="shared" si="135"/>
        <v>0</v>
      </c>
      <c r="W2883" s="1" t="str">
        <f t="shared" si="136"/>
        <v/>
      </c>
      <c r="X2883" s="1"/>
      <c r="Y2883" s="1"/>
      <c r="Z2883" s="1"/>
      <c r="AA2883" s="1"/>
      <c r="AB2883" s="1"/>
      <c r="AC2883" s="1"/>
      <c r="AD2883" s="1">
        <f>IF($C2883="",0,SUMPRODUCT((AY_SONU!$O$7:$O$42="Evet")*(AY_SONU!$B$7:$B$42=DATE(YEAR($C2883),MONTH($C2883),1))))</f>
        <v>0</v>
      </c>
      <c r="AE2883" s="1" t="str">
        <f>IF($E2883="","",$E2883&amp;"|"&amp;COUNTIFS($E$7:$E2883,$E2883))</f>
        <v/>
      </c>
    </row>
    <row r="2884" spans="1:31" ht="18" customHeight="1" x14ac:dyDescent="0.3">
      <c r="A2884" s="2"/>
      <c r="B2884" s="65" t="str">
        <f>IF($C2884="","","GG"&amp;TEXT(ROW()-6,"00000"))</f>
        <v/>
      </c>
      <c r="C2884" s="66"/>
      <c r="D2884" s="60"/>
      <c r="E2884" s="61"/>
      <c r="F2884" s="61"/>
      <c r="G2884" s="67"/>
      <c r="H2884" s="60"/>
      <c r="I2884" s="60"/>
      <c r="J2884" s="61"/>
      <c r="K2884" s="61"/>
      <c r="L2884" s="60"/>
      <c r="M2884" s="74" t="str">
        <f>IF($C2884="","",IF($D2884="Gider",$E2884,IF($L2884&lt;&gt;"",$L2884,$H2884)))</f>
        <v/>
      </c>
      <c r="N2884" s="74" t="str">
        <f>IF($C2884="","",IF($D2884="Gider",$H2884,$E2884))</f>
        <v/>
      </c>
      <c r="O2884" s="73" t="str">
        <f>IF($C2884="","",DATE(YEAR($C2884),MONTH($C2884),1))</f>
        <v/>
      </c>
      <c r="P2884" s="65" t="str">
        <f ca="1">IF($C2884="","",IF(AND($D2884="Gelir",$L2884&lt;&gt;"",$T2884=""),"TANIMSIZ BORÇLU",IF($T2884&lt;&gt;"",IF(OR($E2884="",$G2884&lt;=0),"EKSİK",IF($I2884="Evet","TAHAKKUK NAKİT OLAMAZ",IF($C2884&gt;TODAY(),"İLERİ TARİH","TAHAKKUK"))),IF(AND($D2884&lt;&gt;"",$E2884&lt;&gt;"",$G2884&gt;0,$H2884&lt;&gt;"",$I2884&lt;&gt;""),IF($C2884&gt;TODAY(),"İLERİ TARİH",IF(COUNTIF($W$7:$W$3001,$W2884)&gt;1,"MÜKERRER?",IF($AD2884&gt;0,"KAPALI DÖNEM",IF($I2884="Hayır","ÖDENECEK","UYGUN")))),"EKSİK"))))</f>
        <v/>
      </c>
      <c r="Q2884" s="2"/>
      <c r="R2884" s="2"/>
      <c r="S2884" s="1" t="str">
        <f t="shared" si="134"/>
        <v/>
      </c>
      <c r="T2884" s="1" t="str">
        <f>IF(OR($C2884="",$D2884&lt;&gt;"Gelir",$L2884=""),"",IFERROR(INDEX(MUSTERILER!$B$7:$B$156,MATCH($S2884,MUSTERILER!$T$7:$T$156,0)),""))</f>
        <v/>
      </c>
      <c r="U2884" s="1" t="str">
        <f>IF($T2884="","",$T2884&amp;"|"&amp;COUNTIFS($T$7:$T2884,$T2884))</f>
        <v/>
      </c>
      <c r="V2884" s="1">
        <f t="shared" si="135"/>
        <v>0</v>
      </c>
      <c r="W2884" s="1" t="str">
        <f t="shared" si="136"/>
        <v/>
      </c>
      <c r="X2884" s="1"/>
      <c r="Y2884" s="1"/>
      <c r="Z2884" s="1"/>
      <c r="AA2884" s="1"/>
      <c r="AB2884" s="1"/>
      <c r="AC2884" s="1"/>
      <c r="AD2884" s="1">
        <f>IF($C2884="",0,SUMPRODUCT((AY_SONU!$O$7:$O$42="Evet")*(AY_SONU!$B$7:$B$42=DATE(YEAR($C2884),MONTH($C2884),1))))</f>
        <v>0</v>
      </c>
      <c r="AE2884" s="1" t="str">
        <f>IF($E2884="","",$E2884&amp;"|"&amp;COUNTIFS($E$7:$E2884,$E2884))</f>
        <v/>
      </c>
    </row>
    <row r="2885" spans="1:31" ht="18" customHeight="1" x14ac:dyDescent="0.3">
      <c r="A2885" s="2"/>
      <c r="B2885" s="65" t="str">
        <f>IF($C2885="","","GG"&amp;TEXT(ROW()-6,"00000"))</f>
        <v/>
      </c>
      <c r="C2885" s="66"/>
      <c r="D2885" s="60"/>
      <c r="E2885" s="61"/>
      <c r="F2885" s="61"/>
      <c r="G2885" s="67"/>
      <c r="H2885" s="60"/>
      <c r="I2885" s="60"/>
      <c r="J2885" s="61"/>
      <c r="K2885" s="61"/>
      <c r="L2885" s="60"/>
      <c r="M2885" s="74" t="str">
        <f>IF($C2885="","",IF($D2885="Gider",$E2885,IF($L2885&lt;&gt;"",$L2885,$H2885)))</f>
        <v/>
      </c>
      <c r="N2885" s="74" t="str">
        <f>IF($C2885="","",IF($D2885="Gider",$H2885,$E2885))</f>
        <v/>
      </c>
      <c r="O2885" s="73" t="str">
        <f>IF($C2885="","",DATE(YEAR($C2885),MONTH($C2885),1))</f>
        <v/>
      </c>
      <c r="P2885" s="65" t="str">
        <f ca="1">IF($C2885="","",IF(AND($D2885="Gelir",$L2885&lt;&gt;"",$T2885=""),"TANIMSIZ BORÇLU",IF($T2885&lt;&gt;"",IF(OR($E2885="",$G2885&lt;=0),"EKSİK",IF($I2885="Evet","TAHAKKUK NAKİT OLAMAZ",IF($C2885&gt;TODAY(),"İLERİ TARİH","TAHAKKUK"))),IF(AND($D2885&lt;&gt;"",$E2885&lt;&gt;"",$G2885&gt;0,$H2885&lt;&gt;"",$I2885&lt;&gt;""),IF($C2885&gt;TODAY(),"İLERİ TARİH",IF(COUNTIF($W$7:$W$3001,$W2885)&gt;1,"MÜKERRER?",IF($AD2885&gt;0,"KAPALI DÖNEM",IF($I2885="Hayır","ÖDENECEK","UYGUN")))),"EKSİK"))))</f>
        <v/>
      </c>
      <c r="Q2885" s="2"/>
      <c r="R2885" s="2"/>
      <c r="S2885" s="1" t="str">
        <f t="shared" ref="S2885:S2948" si="137">IF($L2885="","",UPPER(SUBSTITUTE(SUBSTITUTE(SUBSTITUTE(SUBSTITUTE(SUBSTITUTE(SUBSTITUTE(SUBSTITUTE(SUBSTITUTE(SUBSTITUTE(SUBSTITUTE(SUBSTITUTE(SUBSTITUTE(SUBSTITUTE(SUBSTITUTE(SUBSTITUTE(SUBSTITUTE(SUBSTITUTE(SUBSTITUTE(TRIM($L2885),"'",""),"İ","I"),"ı","I"),"i","I"),"Ş","S"),"ş","S"),"Ğ","G"),"ğ","G"),"Ü","U"),"ü","U"),"Ö","O"),"ö","O"),"Ç","C"),"ç","C"),".",""),",","")," ",""),"-","")))</f>
        <v/>
      </c>
      <c r="T2885" s="1" t="str">
        <f>IF(OR($C2885="",$D2885&lt;&gt;"Gelir",$L2885=""),"",IFERROR(INDEX(MUSTERILER!$B$7:$B$156,MATCH($S2885,MUSTERILER!$T$7:$T$156,0)),""))</f>
        <v/>
      </c>
      <c r="U2885" s="1" t="str">
        <f>IF($T2885="","",$T2885&amp;"|"&amp;COUNTIFS($T$7:$T2885,$T2885))</f>
        <v/>
      </c>
      <c r="V2885" s="1">
        <f t="shared" ref="V2885:V2948" si="138">IF($T2885="",0,1)</f>
        <v>0</v>
      </c>
      <c r="W2885" s="1" t="str">
        <f t="shared" ref="W2885:W2948" si="139">IF($C2885="","",$D2885&amp;"|"&amp;$E2885&amp;"|"&amp;TEXT($C2885,"0")&amp;"|"&amp;TEXT($G2885,"0")&amp;"|"&amp;$F2885&amp;"|"&amp;$J2885)</f>
        <v/>
      </c>
      <c r="X2885" s="1"/>
      <c r="Y2885" s="1"/>
      <c r="Z2885" s="1"/>
      <c r="AA2885" s="1"/>
      <c r="AB2885" s="1"/>
      <c r="AC2885" s="1"/>
      <c r="AD2885" s="1">
        <f>IF($C2885="",0,SUMPRODUCT((AY_SONU!$O$7:$O$42="Evet")*(AY_SONU!$B$7:$B$42=DATE(YEAR($C2885),MONTH($C2885),1))))</f>
        <v>0</v>
      </c>
      <c r="AE2885" s="1" t="str">
        <f>IF($E2885="","",$E2885&amp;"|"&amp;COUNTIFS($E$7:$E2885,$E2885))</f>
        <v/>
      </c>
    </row>
    <row r="2886" spans="1:31" ht="18" customHeight="1" x14ac:dyDescent="0.3">
      <c r="A2886" s="2"/>
      <c r="B2886" s="65" t="str">
        <f>IF($C2886="","","GG"&amp;TEXT(ROW()-6,"00000"))</f>
        <v/>
      </c>
      <c r="C2886" s="66"/>
      <c r="D2886" s="60"/>
      <c r="E2886" s="61"/>
      <c r="F2886" s="61"/>
      <c r="G2886" s="67"/>
      <c r="H2886" s="60"/>
      <c r="I2886" s="60"/>
      <c r="J2886" s="61"/>
      <c r="K2886" s="61"/>
      <c r="L2886" s="60"/>
      <c r="M2886" s="74" t="str">
        <f>IF($C2886="","",IF($D2886="Gider",$E2886,IF($L2886&lt;&gt;"",$L2886,$H2886)))</f>
        <v/>
      </c>
      <c r="N2886" s="74" t="str">
        <f>IF($C2886="","",IF($D2886="Gider",$H2886,$E2886))</f>
        <v/>
      </c>
      <c r="O2886" s="73" t="str">
        <f>IF($C2886="","",DATE(YEAR($C2886),MONTH($C2886),1))</f>
        <v/>
      </c>
      <c r="P2886" s="65" t="str">
        <f ca="1">IF($C2886="","",IF(AND($D2886="Gelir",$L2886&lt;&gt;"",$T2886=""),"TANIMSIZ BORÇLU",IF($T2886&lt;&gt;"",IF(OR($E2886="",$G2886&lt;=0),"EKSİK",IF($I2886="Evet","TAHAKKUK NAKİT OLAMAZ",IF($C2886&gt;TODAY(),"İLERİ TARİH","TAHAKKUK"))),IF(AND($D2886&lt;&gt;"",$E2886&lt;&gt;"",$G2886&gt;0,$H2886&lt;&gt;"",$I2886&lt;&gt;""),IF($C2886&gt;TODAY(),"İLERİ TARİH",IF(COUNTIF($W$7:$W$3001,$W2886)&gt;1,"MÜKERRER?",IF($AD2886&gt;0,"KAPALI DÖNEM",IF($I2886="Hayır","ÖDENECEK","UYGUN")))),"EKSİK"))))</f>
        <v/>
      </c>
      <c r="Q2886" s="2"/>
      <c r="R2886" s="2"/>
      <c r="S2886" s="1" t="str">
        <f t="shared" si="137"/>
        <v/>
      </c>
      <c r="T2886" s="1" t="str">
        <f>IF(OR($C2886="",$D2886&lt;&gt;"Gelir",$L2886=""),"",IFERROR(INDEX(MUSTERILER!$B$7:$B$156,MATCH($S2886,MUSTERILER!$T$7:$T$156,0)),""))</f>
        <v/>
      </c>
      <c r="U2886" s="1" t="str">
        <f>IF($T2886="","",$T2886&amp;"|"&amp;COUNTIFS($T$7:$T2886,$T2886))</f>
        <v/>
      </c>
      <c r="V2886" s="1">
        <f t="shared" si="138"/>
        <v>0</v>
      </c>
      <c r="W2886" s="1" t="str">
        <f t="shared" si="139"/>
        <v/>
      </c>
      <c r="X2886" s="1"/>
      <c r="Y2886" s="1"/>
      <c r="Z2886" s="1"/>
      <c r="AA2886" s="1"/>
      <c r="AB2886" s="1"/>
      <c r="AC2886" s="1"/>
      <c r="AD2886" s="1">
        <f>IF($C2886="",0,SUMPRODUCT((AY_SONU!$O$7:$O$42="Evet")*(AY_SONU!$B$7:$B$42=DATE(YEAR($C2886),MONTH($C2886),1))))</f>
        <v>0</v>
      </c>
      <c r="AE2886" s="1" t="str">
        <f>IF($E2886="","",$E2886&amp;"|"&amp;COUNTIFS($E$7:$E2886,$E2886))</f>
        <v/>
      </c>
    </row>
    <row r="2887" spans="1:31" ht="18" customHeight="1" x14ac:dyDescent="0.3">
      <c r="A2887" s="2"/>
      <c r="B2887" s="65" t="str">
        <f>IF($C2887="","","GG"&amp;TEXT(ROW()-6,"00000"))</f>
        <v/>
      </c>
      <c r="C2887" s="66"/>
      <c r="D2887" s="60"/>
      <c r="E2887" s="61"/>
      <c r="F2887" s="61"/>
      <c r="G2887" s="67"/>
      <c r="H2887" s="60"/>
      <c r="I2887" s="60"/>
      <c r="J2887" s="61"/>
      <c r="K2887" s="61"/>
      <c r="L2887" s="60"/>
      <c r="M2887" s="74" t="str">
        <f>IF($C2887="","",IF($D2887="Gider",$E2887,IF($L2887&lt;&gt;"",$L2887,$H2887)))</f>
        <v/>
      </c>
      <c r="N2887" s="74" t="str">
        <f>IF($C2887="","",IF($D2887="Gider",$H2887,$E2887))</f>
        <v/>
      </c>
      <c r="O2887" s="73" t="str">
        <f>IF($C2887="","",DATE(YEAR($C2887),MONTH($C2887),1))</f>
        <v/>
      </c>
      <c r="P2887" s="65" t="str">
        <f ca="1"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TARİH",IF(COUNTIF($W$7:$W$3001,$W2887)&gt;1,"MÜKERRER?",IF($AD2887&gt;0,"KAPALI DÖNEM",IF($I2887="Hayır","ÖDENECEK","UYGUN")))),"EKSİK"))))</f>
        <v/>
      </c>
      <c r="Q2887" s="2"/>
      <c r="R2887" s="2"/>
      <c r="S2887" s="1" t="str">
        <f t="shared" si="137"/>
        <v/>
      </c>
      <c r="T2887" s="1" t="str">
        <f>IF(OR($C2887="",$D2887&lt;&gt;"Gelir",$L2887=""),"",IFERROR(INDEX(MUSTERILER!$B$7:$B$156,MATCH($S2887,MUSTERILER!$T$7:$T$156,0)),""))</f>
        <v/>
      </c>
      <c r="U2887" s="1" t="str">
        <f>IF($T2887="","",$T2887&amp;"|"&amp;COUNTIFS($T$7:$T2887,$T2887))</f>
        <v/>
      </c>
      <c r="V2887" s="1">
        <f t="shared" si="138"/>
        <v>0</v>
      </c>
      <c r="W2887" s="1" t="str">
        <f t="shared" si="139"/>
        <v/>
      </c>
      <c r="X2887" s="1"/>
      <c r="Y2887" s="1"/>
      <c r="Z2887" s="1"/>
      <c r="AA2887" s="1"/>
      <c r="AB2887" s="1"/>
      <c r="AC2887" s="1"/>
      <c r="AD2887" s="1">
        <f>IF($C2887="",0,SUMPRODUCT((AY_SONU!$O$7:$O$42="Evet")*(AY_SONU!$B$7:$B$42=DATE(YEAR($C2887),MONTH($C2887),1))))</f>
        <v>0</v>
      </c>
      <c r="AE2887" s="1" t="str">
        <f>IF($E2887="","",$E2887&amp;"|"&amp;COUNTIFS($E$7:$E2887,$E2887))</f>
        <v/>
      </c>
    </row>
    <row r="2888" spans="1:31" ht="18" customHeight="1" x14ac:dyDescent="0.3">
      <c r="A2888" s="2"/>
      <c r="B2888" s="65" t="str">
        <f>IF($C2888="","","GG"&amp;TEXT(ROW()-6,"00000"))</f>
        <v/>
      </c>
      <c r="C2888" s="66"/>
      <c r="D2888" s="60"/>
      <c r="E2888" s="61"/>
      <c r="F2888" s="61"/>
      <c r="G2888" s="67"/>
      <c r="H2888" s="60"/>
      <c r="I2888" s="60"/>
      <c r="J2888" s="61"/>
      <c r="K2888" s="61"/>
      <c r="L2888" s="60"/>
      <c r="M2888" s="74" t="str">
        <f>IF($C2888="","",IF($D2888="Gider",$E2888,IF($L2888&lt;&gt;"",$L2888,$H2888)))</f>
        <v/>
      </c>
      <c r="N2888" s="74" t="str">
        <f>IF($C2888="","",IF($D2888="Gider",$H2888,$E2888))</f>
        <v/>
      </c>
      <c r="O2888" s="73" t="str">
        <f>IF($C2888="","",DATE(YEAR($C2888),MONTH($C2888),1))</f>
        <v/>
      </c>
      <c r="P2888" s="65" t="str">
        <f ca="1">IF($C2888="","",IF(AND($D2888="Gelir",$L2888&lt;&gt;"",$T2888=""),"TANIMSIZ BORÇLU",IF($T2888&lt;&gt;"",IF(OR($E2888="",$G2888&lt;=0),"EKSİK",IF($I2888="Evet","TAHAKKUK NAKİT OLAMAZ",IF($C2888&gt;TODAY(),"İLERİ TARİH","TAHAKKUK"))),IF(AND($D2888&lt;&gt;"",$E2888&lt;&gt;"",$G2888&gt;0,$H2888&lt;&gt;"",$I2888&lt;&gt;""),IF($C2888&gt;TODAY(),"İLERİ TARİH",IF(COUNTIF($W$7:$W$3001,$W2888)&gt;1,"MÜKERRER?",IF($AD2888&gt;0,"KAPALI DÖNEM",IF($I2888="Hayır","ÖDENECEK","UYGUN")))),"EKSİK"))))</f>
        <v/>
      </c>
      <c r="Q2888" s="2"/>
      <c r="R2888" s="2"/>
      <c r="S2888" s="1" t="str">
        <f t="shared" si="137"/>
        <v/>
      </c>
      <c r="T2888" s="1" t="str">
        <f>IF(OR($C2888="",$D2888&lt;&gt;"Gelir",$L2888=""),"",IFERROR(INDEX(MUSTERILER!$B$7:$B$156,MATCH($S2888,MUSTERILER!$T$7:$T$156,0)),""))</f>
        <v/>
      </c>
      <c r="U2888" s="1" t="str">
        <f>IF($T2888="","",$T2888&amp;"|"&amp;COUNTIFS($T$7:$T2888,$T2888))</f>
        <v/>
      </c>
      <c r="V2888" s="1">
        <f t="shared" si="138"/>
        <v>0</v>
      </c>
      <c r="W2888" s="1" t="str">
        <f t="shared" si="139"/>
        <v/>
      </c>
      <c r="X2888" s="1"/>
      <c r="Y2888" s="1"/>
      <c r="Z2888" s="1"/>
      <c r="AA2888" s="1"/>
      <c r="AB2888" s="1"/>
      <c r="AC2888" s="1"/>
      <c r="AD2888" s="1">
        <f>IF($C2888="",0,SUMPRODUCT((AY_SONU!$O$7:$O$42="Evet")*(AY_SONU!$B$7:$B$42=DATE(YEAR($C2888),MONTH($C2888),1))))</f>
        <v>0</v>
      </c>
      <c r="AE2888" s="1" t="str">
        <f>IF($E2888="","",$E2888&amp;"|"&amp;COUNTIFS($E$7:$E2888,$E2888))</f>
        <v/>
      </c>
    </row>
    <row r="2889" spans="1:31" ht="18" customHeight="1" x14ac:dyDescent="0.3">
      <c r="A2889" s="2"/>
      <c r="B2889" s="65" t="str">
        <f>IF($C2889="","","GG"&amp;TEXT(ROW()-6,"00000"))</f>
        <v/>
      </c>
      <c r="C2889" s="66"/>
      <c r="D2889" s="60"/>
      <c r="E2889" s="61"/>
      <c r="F2889" s="61"/>
      <c r="G2889" s="67"/>
      <c r="H2889" s="60"/>
      <c r="I2889" s="60"/>
      <c r="J2889" s="61"/>
      <c r="K2889" s="61"/>
      <c r="L2889" s="60"/>
      <c r="M2889" s="74" t="str">
        <f>IF($C2889="","",IF($D2889="Gider",$E2889,IF($L2889&lt;&gt;"",$L2889,$H2889)))</f>
        <v/>
      </c>
      <c r="N2889" s="74" t="str">
        <f>IF($C2889="","",IF($D2889="Gider",$H2889,$E2889))</f>
        <v/>
      </c>
      <c r="O2889" s="73" t="str">
        <f>IF($C2889="","",DATE(YEAR($C2889),MONTH($C2889),1))</f>
        <v/>
      </c>
      <c r="P2889" s="65" t="str">
        <f ca="1">IF($C2889="","",IF(AND($D2889="Gelir",$L2889&lt;&gt;"",$T2889=""),"TANIMSIZ BORÇLU",IF($T2889&lt;&gt;"",IF(OR($E2889="",$G2889&lt;=0),"EKSİK",IF($I2889="Evet","TAHAKKUK NAKİT OLAMAZ",IF($C2889&gt;TODAY(),"İLERİ TARİH","TAHAKKUK"))),IF(AND($D2889&lt;&gt;"",$E2889&lt;&gt;"",$G2889&gt;0,$H2889&lt;&gt;"",$I2889&lt;&gt;""),IF($C2889&gt;TODAY(),"İLERİ TARİH",IF(COUNTIF($W$7:$W$3001,$W2889)&gt;1,"MÜKERRER?",IF($AD2889&gt;0,"KAPALI DÖNEM",IF($I2889="Hayır","ÖDENECEK","UYGUN")))),"EKSİK"))))</f>
        <v/>
      </c>
      <c r="Q2889" s="2"/>
      <c r="R2889" s="2"/>
      <c r="S2889" s="1" t="str">
        <f t="shared" si="137"/>
        <v/>
      </c>
      <c r="T2889" s="1" t="str">
        <f>IF(OR($C2889="",$D2889&lt;&gt;"Gelir",$L2889=""),"",IFERROR(INDEX(MUSTERILER!$B$7:$B$156,MATCH($S2889,MUSTERILER!$T$7:$T$156,0)),""))</f>
        <v/>
      </c>
      <c r="U2889" s="1" t="str">
        <f>IF($T2889="","",$T2889&amp;"|"&amp;COUNTIFS($T$7:$T2889,$T2889))</f>
        <v/>
      </c>
      <c r="V2889" s="1">
        <f t="shared" si="138"/>
        <v>0</v>
      </c>
      <c r="W2889" s="1" t="str">
        <f t="shared" si="139"/>
        <v/>
      </c>
      <c r="X2889" s="1"/>
      <c r="Y2889" s="1"/>
      <c r="Z2889" s="1"/>
      <c r="AA2889" s="1"/>
      <c r="AB2889" s="1"/>
      <c r="AC2889" s="1"/>
      <c r="AD2889" s="1">
        <f>IF($C2889="",0,SUMPRODUCT((AY_SONU!$O$7:$O$42="Evet")*(AY_SONU!$B$7:$B$42=DATE(YEAR($C2889),MONTH($C2889),1))))</f>
        <v>0</v>
      </c>
      <c r="AE2889" s="1" t="str">
        <f>IF($E2889="","",$E2889&amp;"|"&amp;COUNTIFS($E$7:$E2889,$E2889))</f>
        <v/>
      </c>
    </row>
    <row r="2890" spans="1:31" ht="18" customHeight="1" x14ac:dyDescent="0.3">
      <c r="A2890" s="2"/>
      <c r="B2890" s="65" t="str">
        <f>IF($C2890="","","GG"&amp;TEXT(ROW()-6,"00000"))</f>
        <v/>
      </c>
      <c r="C2890" s="66"/>
      <c r="D2890" s="60"/>
      <c r="E2890" s="61"/>
      <c r="F2890" s="61"/>
      <c r="G2890" s="67"/>
      <c r="H2890" s="60"/>
      <c r="I2890" s="60"/>
      <c r="J2890" s="61"/>
      <c r="K2890" s="61"/>
      <c r="L2890" s="60"/>
      <c r="M2890" s="74" t="str">
        <f>IF($C2890="","",IF($D2890="Gider",$E2890,IF($L2890&lt;&gt;"",$L2890,$H2890)))</f>
        <v/>
      </c>
      <c r="N2890" s="74" t="str">
        <f>IF($C2890="","",IF($D2890="Gider",$H2890,$E2890))</f>
        <v/>
      </c>
      <c r="O2890" s="73" t="str">
        <f>IF($C2890="","",DATE(YEAR($C2890),MONTH($C2890),1))</f>
        <v/>
      </c>
      <c r="P2890" s="65" t="str">
        <f ca="1">IF($C2890="","",IF(AND($D2890="Gelir",$L2890&lt;&gt;"",$T2890=""),"TANIMSIZ BORÇLU",IF($T2890&lt;&gt;"",IF(OR($E2890="",$G2890&lt;=0),"EKSİK",IF($I2890="Evet","TAHAKKUK NAKİT OLAMAZ",IF($C2890&gt;TODAY(),"İLERİ TARİH","TAHAKKUK"))),IF(AND($D2890&lt;&gt;"",$E2890&lt;&gt;"",$G2890&gt;0,$H2890&lt;&gt;"",$I2890&lt;&gt;""),IF($C2890&gt;TODAY(),"İLERİ TARİH",IF(COUNTIF($W$7:$W$3001,$W2890)&gt;1,"MÜKERRER?",IF($AD2890&gt;0,"KAPALI DÖNEM",IF($I2890="Hayır","ÖDENECEK","UYGUN")))),"EKSİK"))))</f>
        <v/>
      </c>
      <c r="Q2890" s="2"/>
      <c r="R2890" s="2"/>
      <c r="S2890" s="1" t="str">
        <f t="shared" si="137"/>
        <v/>
      </c>
      <c r="T2890" s="1" t="str">
        <f>IF(OR($C2890="",$D2890&lt;&gt;"Gelir",$L2890=""),"",IFERROR(INDEX(MUSTERILER!$B$7:$B$156,MATCH($S2890,MUSTERILER!$T$7:$T$156,0)),""))</f>
        <v/>
      </c>
      <c r="U2890" s="1" t="str">
        <f>IF($T2890="","",$T2890&amp;"|"&amp;COUNTIFS($T$7:$T2890,$T2890))</f>
        <v/>
      </c>
      <c r="V2890" s="1">
        <f t="shared" si="138"/>
        <v>0</v>
      </c>
      <c r="W2890" s="1" t="str">
        <f t="shared" si="139"/>
        <v/>
      </c>
      <c r="X2890" s="1"/>
      <c r="Y2890" s="1"/>
      <c r="Z2890" s="1"/>
      <c r="AA2890" s="1"/>
      <c r="AB2890" s="1"/>
      <c r="AC2890" s="1"/>
      <c r="AD2890" s="1">
        <f>IF($C2890="",0,SUMPRODUCT((AY_SONU!$O$7:$O$42="Evet")*(AY_SONU!$B$7:$B$42=DATE(YEAR($C2890),MONTH($C2890),1))))</f>
        <v>0</v>
      </c>
      <c r="AE2890" s="1" t="str">
        <f>IF($E2890="","",$E2890&amp;"|"&amp;COUNTIFS($E$7:$E2890,$E2890))</f>
        <v/>
      </c>
    </row>
    <row r="2891" spans="1:31" ht="18" customHeight="1" x14ac:dyDescent="0.3">
      <c r="A2891" s="2"/>
      <c r="B2891" s="65" t="str">
        <f>IF($C2891="","","GG"&amp;TEXT(ROW()-6,"00000"))</f>
        <v/>
      </c>
      <c r="C2891" s="66"/>
      <c r="D2891" s="60"/>
      <c r="E2891" s="61"/>
      <c r="F2891" s="61"/>
      <c r="G2891" s="67"/>
      <c r="H2891" s="60"/>
      <c r="I2891" s="60"/>
      <c r="J2891" s="61"/>
      <c r="K2891" s="61"/>
      <c r="L2891" s="60"/>
      <c r="M2891" s="74" t="str">
        <f>IF($C2891="","",IF($D2891="Gider",$E2891,IF($L2891&lt;&gt;"",$L2891,$H2891)))</f>
        <v/>
      </c>
      <c r="N2891" s="74" t="str">
        <f>IF($C2891="","",IF($D2891="Gider",$H2891,$E2891))</f>
        <v/>
      </c>
      <c r="O2891" s="73" t="str">
        <f>IF($C2891="","",DATE(YEAR($C2891),MONTH($C2891),1))</f>
        <v/>
      </c>
      <c r="P2891" s="65" t="str">
        <f ca="1">IF($C2891="","",IF(AND($D2891="Gelir",$L2891&lt;&gt;"",$T2891=""),"TANIMSIZ BORÇLU",IF($T2891&lt;&gt;"",IF(OR($E2891="",$G2891&lt;=0),"EKSİK",IF($I2891="Evet","TAHAKKUK NAKİT OLAMAZ",IF($C2891&gt;TODAY(),"İLERİ TARİH","TAHAKKUK"))),IF(AND($D2891&lt;&gt;"",$E2891&lt;&gt;"",$G2891&gt;0,$H2891&lt;&gt;"",$I2891&lt;&gt;""),IF($C2891&gt;TODAY(),"İLERİ TARİH",IF(COUNTIF($W$7:$W$3001,$W2891)&gt;1,"MÜKERRER?",IF($AD2891&gt;0,"KAPALI DÖNEM",IF($I2891="Hayır","ÖDENECEK","UYGUN")))),"EKSİK"))))</f>
        <v/>
      </c>
      <c r="Q2891" s="2"/>
      <c r="R2891" s="2"/>
      <c r="S2891" s="1" t="str">
        <f t="shared" si="137"/>
        <v/>
      </c>
      <c r="T2891" s="1" t="str">
        <f>IF(OR($C2891="",$D2891&lt;&gt;"Gelir",$L2891=""),"",IFERROR(INDEX(MUSTERILER!$B$7:$B$156,MATCH($S2891,MUSTERILER!$T$7:$T$156,0)),""))</f>
        <v/>
      </c>
      <c r="U2891" s="1" t="str">
        <f>IF($T2891="","",$T2891&amp;"|"&amp;COUNTIFS($T$7:$T2891,$T2891))</f>
        <v/>
      </c>
      <c r="V2891" s="1">
        <f t="shared" si="138"/>
        <v>0</v>
      </c>
      <c r="W2891" s="1" t="str">
        <f t="shared" si="139"/>
        <v/>
      </c>
      <c r="X2891" s="1"/>
      <c r="Y2891" s="1"/>
      <c r="Z2891" s="1"/>
      <c r="AA2891" s="1"/>
      <c r="AB2891" s="1"/>
      <c r="AC2891" s="1"/>
      <c r="AD2891" s="1">
        <f>IF($C2891="",0,SUMPRODUCT((AY_SONU!$O$7:$O$42="Evet")*(AY_SONU!$B$7:$B$42=DATE(YEAR($C2891),MONTH($C2891),1))))</f>
        <v>0</v>
      </c>
      <c r="AE2891" s="1" t="str">
        <f>IF($E2891="","",$E2891&amp;"|"&amp;COUNTIFS($E$7:$E2891,$E2891))</f>
        <v/>
      </c>
    </row>
    <row r="2892" spans="1:31" ht="18" customHeight="1" x14ac:dyDescent="0.3">
      <c r="A2892" s="2"/>
      <c r="B2892" s="65" t="str">
        <f>IF($C2892="","","GG"&amp;TEXT(ROW()-6,"00000"))</f>
        <v/>
      </c>
      <c r="C2892" s="66"/>
      <c r="D2892" s="60"/>
      <c r="E2892" s="61"/>
      <c r="F2892" s="61"/>
      <c r="G2892" s="67"/>
      <c r="H2892" s="60"/>
      <c r="I2892" s="60"/>
      <c r="J2892" s="61"/>
      <c r="K2892" s="61"/>
      <c r="L2892" s="60"/>
      <c r="M2892" s="74" t="str">
        <f>IF($C2892="","",IF($D2892="Gider",$E2892,IF($L2892&lt;&gt;"",$L2892,$H2892)))</f>
        <v/>
      </c>
      <c r="N2892" s="74" t="str">
        <f>IF($C2892="","",IF($D2892="Gider",$H2892,$E2892))</f>
        <v/>
      </c>
      <c r="O2892" s="73" t="str">
        <f>IF($C2892="","",DATE(YEAR($C2892),MONTH($C2892),1))</f>
        <v/>
      </c>
      <c r="P2892" s="65" t="str">
        <f ca="1">IF($C2892="","",IF(AND($D2892="Gelir",$L2892&lt;&gt;"",$T2892=""),"TANIMSIZ BORÇLU",IF($T2892&lt;&gt;"",IF(OR($E2892="",$G2892&lt;=0),"EKSİK",IF($I2892="Evet","TAHAKKUK NAKİT OLAMAZ",IF($C2892&gt;TODAY(),"İLERİ TARİH","TAHAKKUK"))),IF(AND($D2892&lt;&gt;"",$E2892&lt;&gt;"",$G2892&gt;0,$H2892&lt;&gt;"",$I2892&lt;&gt;""),IF($C2892&gt;TODAY(),"İLERİ TARİH",IF(COUNTIF($W$7:$W$3001,$W2892)&gt;1,"MÜKERRER?",IF($AD2892&gt;0,"KAPALI DÖNEM",IF($I2892="Hayır","ÖDENECEK","UYGUN")))),"EKSİK"))))</f>
        <v/>
      </c>
      <c r="Q2892" s="2"/>
      <c r="R2892" s="2"/>
      <c r="S2892" s="1" t="str">
        <f t="shared" si="137"/>
        <v/>
      </c>
      <c r="T2892" s="1" t="str">
        <f>IF(OR($C2892="",$D2892&lt;&gt;"Gelir",$L2892=""),"",IFERROR(INDEX(MUSTERILER!$B$7:$B$156,MATCH($S2892,MUSTERILER!$T$7:$T$156,0)),""))</f>
        <v/>
      </c>
      <c r="U2892" s="1" t="str">
        <f>IF($T2892="","",$T2892&amp;"|"&amp;COUNTIFS($T$7:$T2892,$T2892))</f>
        <v/>
      </c>
      <c r="V2892" s="1">
        <f t="shared" si="138"/>
        <v>0</v>
      </c>
      <c r="W2892" s="1" t="str">
        <f t="shared" si="139"/>
        <v/>
      </c>
      <c r="X2892" s="1"/>
      <c r="Y2892" s="1"/>
      <c r="Z2892" s="1"/>
      <c r="AA2892" s="1"/>
      <c r="AB2892" s="1"/>
      <c r="AC2892" s="1"/>
      <c r="AD2892" s="1">
        <f>IF($C2892="",0,SUMPRODUCT((AY_SONU!$O$7:$O$42="Evet")*(AY_SONU!$B$7:$B$42=DATE(YEAR($C2892),MONTH($C2892),1))))</f>
        <v>0</v>
      </c>
      <c r="AE2892" s="1" t="str">
        <f>IF($E2892="","",$E2892&amp;"|"&amp;COUNTIFS($E$7:$E2892,$E2892))</f>
        <v/>
      </c>
    </row>
    <row r="2893" spans="1:31" ht="18" customHeight="1" x14ac:dyDescent="0.3">
      <c r="A2893" s="2"/>
      <c r="B2893" s="65" t="str">
        <f>IF($C2893="","","GG"&amp;TEXT(ROW()-6,"00000"))</f>
        <v/>
      </c>
      <c r="C2893" s="66"/>
      <c r="D2893" s="60"/>
      <c r="E2893" s="61"/>
      <c r="F2893" s="61"/>
      <c r="G2893" s="67"/>
      <c r="H2893" s="60"/>
      <c r="I2893" s="60"/>
      <c r="J2893" s="61"/>
      <c r="K2893" s="61"/>
      <c r="L2893" s="60"/>
      <c r="M2893" s="74" t="str">
        <f>IF($C2893="","",IF($D2893="Gider",$E2893,IF($L2893&lt;&gt;"",$L2893,$H2893)))</f>
        <v/>
      </c>
      <c r="N2893" s="74" t="str">
        <f>IF($C2893="","",IF($D2893="Gider",$H2893,$E2893))</f>
        <v/>
      </c>
      <c r="O2893" s="73" t="str">
        <f>IF($C2893="","",DATE(YEAR($C2893),MONTH($C2893),1))</f>
        <v/>
      </c>
      <c r="P2893" s="65" t="str">
        <f ca="1">IF($C2893="","",IF(AND($D2893="Gelir",$L2893&lt;&gt;"",$T2893=""),"TANIMSIZ BORÇLU",IF($T2893&lt;&gt;"",IF(OR($E2893="",$G2893&lt;=0),"EKSİK",IF($I2893="Evet","TAHAKKUK NAKİT OLAMAZ",IF($C2893&gt;TODAY(),"İLERİ TARİH","TAHAKKUK"))),IF(AND($D2893&lt;&gt;"",$E2893&lt;&gt;"",$G2893&gt;0,$H2893&lt;&gt;"",$I2893&lt;&gt;""),IF($C2893&gt;TODAY(),"İLERİ TARİH",IF(COUNTIF($W$7:$W$3001,$W2893)&gt;1,"MÜKERRER?",IF($AD2893&gt;0,"KAPALI DÖNEM",IF($I2893="Hayır","ÖDENECEK","UYGUN")))),"EKSİK"))))</f>
        <v/>
      </c>
      <c r="Q2893" s="2"/>
      <c r="R2893" s="2"/>
      <c r="S2893" s="1" t="str">
        <f t="shared" si="137"/>
        <v/>
      </c>
      <c r="T2893" s="1" t="str">
        <f>IF(OR($C2893="",$D2893&lt;&gt;"Gelir",$L2893=""),"",IFERROR(INDEX(MUSTERILER!$B$7:$B$156,MATCH($S2893,MUSTERILER!$T$7:$T$156,0)),""))</f>
        <v/>
      </c>
      <c r="U2893" s="1" t="str">
        <f>IF($T2893="","",$T2893&amp;"|"&amp;COUNTIFS($T$7:$T2893,$T2893))</f>
        <v/>
      </c>
      <c r="V2893" s="1">
        <f t="shared" si="138"/>
        <v>0</v>
      </c>
      <c r="W2893" s="1" t="str">
        <f t="shared" si="139"/>
        <v/>
      </c>
      <c r="X2893" s="1"/>
      <c r="Y2893" s="1"/>
      <c r="Z2893" s="1"/>
      <c r="AA2893" s="1"/>
      <c r="AB2893" s="1"/>
      <c r="AC2893" s="1"/>
      <c r="AD2893" s="1">
        <f>IF($C2893="",0,SUMPRODUCT((AY_SONU!$O$7:$O$42="Evet")*(AY_SONU!$B$7:$B$42=DATE(YEAR($C2893),MONTH($C2893),1))))</f>
        <v>0</v>
      </c>
      <c r="AE2893" s="1" t="str">
        <f>IF($E2893="","",$E2893&amp;"|"&amp;COUNTIFS($E$7:$E2893,$E2893))</f>
        <v/>
      </c>
    </row>
    <row r="2894" spans="1:31" ht="18" customHeight="1" x14ac:dyDescent="0.3">
      <c r="A2894" s="2"/>
      <c r="B2894" s="65" t="str">
        <f>IF($C2894="","","GG"&amp;TEXT(ROW()-6,"00000"))</f>
        <v/>
      </c>
      <c r="C2894" s="66"/>
      <c r="D2894" s="60"/>
      <c r="E2894" s="61"/>
      <c r="F2894" s="61"/>
      <c r="G2894" s="67"/>
      <c r="H2894" s="60"/>
      <c r="I2894" s="60"/>
      <c r="J2894" s="61"/>
      <c r="K2894" s="61"/>
      <c r="L2894" s="60"/>
      <c r="M2894" s="74" t="str">
        <f>IF($C2894="","",IF($D2894="Gider",$E2894,IF($L2894&lt;&gt;"",$L2894,$H2894)))</f>
        <v/>
      </c>
      <c r="N2894" s="74" t="str">
        <f>IF($C2894="","",IF($D2894="Gider",$H2894,$E2894))</f>
        <v/>
      </c>
      <c r="O2894" s="73" t="str">
        <f>IF($C2894="","",DATE(YEAR($C2894),MONTH($C2894),1))</f>
        <v/>
      </c>
      <c r="P2894" s="65" t="str">
        <f ca="1">IF($C2894="","",IF(AND($D2894="Gelir",$L2894&lt;&gt;"",$T2894=""),"TANIMSIZ BORÇLU",IF($T2894&lt;&gt;"",IF(OR($E2894="",$G2894&lt;=0),"EKSİK",IF($I2894="Evet","TAHAKKUK NAKİT OLAMAZ",IF($C2894&gt;TODAY(),"İLERİ TARİH","TAHAKKUK"))),IF(AND($D2894&lt;&gt;"",$E2894&lt;&gt;"",$G2894&gt;0,$H2894&lt;&gt;"",$I2894&lt;&gt;""),IF($C2894&gt;TODAY(),"İLERİ TARİH",IF(COUNTIF($W$7:$W$3001,$W2894)&gt;1,"MÜKERRER?",IF($AD2894&gt;0,"KAPALI DÖNEM",IF($I2894="Hayır","ÖDENECEK","UYGUN")))),"EKSİK"))))</f>
        <v/>
      </c>
      <c r="Q2894" s="2"/>
      <c r="R2894" s="2"/>
      <c r="S2894" s="1" t="str">
        <f t="shared" si="137"/>
        <v/>
      </c>
      <c r="T2894" s="1" t="str">
        <f>IF(OR($C2894="",$D2894&lt;&gt;"Gelir",$L2894=""),"",IFERROR(INDEX(MUSTERILER!$B$7:$B$156,MATCH($S2894,MUSTERILER!$T$7:$T$156,0)),""))</f>
        <v/>
      </c>
      <c r="U2894" s="1" t="str">
        <f>IF($T2894="","",$T2894&amp;"|"&amp;COUNTIFS($T$7:$T2894,$T2894))</f>
        <v/>
      </c>
      <c r="V2894" s="1">
        <f t="shared" si="138"/>
        <v>0</v>
      </c>
      <c r="W2894" s="1" t="str">
        <f t="shared" si="139"/>
        <v/>
      </c>
      <c r="X2894" s="1"/>
      <c r="Y2894" s="1"/>
      <c r="Z2894" s="1"/>
      <c r="AA2894" s="1"/>
      <c r="AB2894" s="1"/>
      <c r="AC2894" s="1"/>
      <c r="AD2894" s="1">
        <f>IF($C2894="",0,SUMPRODUCT((AY_SONU!$O$7:$O$42="Evet")*(AY_SONU!$B$7:$B$42=DATE(YEAR($C2894),MONTH($C2894),1))))</f>
        <v>0</v>
      </c>
      <c r="AE2894" s="1" t="str">
        <f>IF($E2894="","",$E2894&amp;"|"&amp;COUNTIFS($E$7:$E2894,$E2894))</f>
        <v/>
      </c>
    </row>
    <row r="2895" spans="1:31" ht="18" customHeight="1" x14ac:dyDescent="0.3">
      <c r="A2895" s="2"/>
      <c r="B2895" s="65" t="str">
        <f>IF($C2895="","","GG"&amp;TEXT(ROW()-6,"00000"))</f>
        <v/>
      </c>
      <c r="C2895" s="66"/>
      <c r="D2895" s="60"/>
      <c r="E2895" s="61"/>
      <c r="F2895" s="61"/>
      <c r="G2895" s="67"/>
      <c r="H2895" s="60"/>
      <c r="I2895" s="60"/>
      <c r="J2895" s="61"/>
      <c r="K2895" s="61"/>
      <c r="L2895" s="60"/>
      <c r="M2895" s="74" t="str">
        <f>IF($C2895="","",IF($D2895="Gider",$E2895,IF($L2895&lt;&gt;"",$L2895,$H2895)))</f>
        <v/>
      </c>
      <c r="N2895" s="74" t="str">
        <f>IF($C2895="","",IF($D2895="Gider",$H2895,$E2895))</f>
        <v/>
      </c>
      <c r="O2895" s="73" t="str">
        <f>IF($C2895="","",DATE(YEAR($C2895),MONTH($C2895),1))</f>
        <v/>
      </c>
      <c r="P2895" s="65" t="str">
        <f ca="1">IF($C2895="","",IF(AND($D2895="Gelir",$L2895&lt;&gt;"",$T2895=""),"TANIMSIZ BORÇLU",IF($T2895&lt;&gt;"",IF(OR($E2895="",$G2895&lt;=0),"EKSİK",IF($I2895="Evet","TAHAKKUK NAKİT OLAMAZ",IF($C2895&gt;TODAY(),"İLERİ TARİH","TAHAKKUK"))),IF(AND($D2895&lt;&gt;"",$E2895&lt;&gt;"",$G2895&gt;0,$H2895&lt;&gt;"",$I2895&lt;&gt;""),IF($C2895&gt;TODAY(),"İLERİ TARİH",IF(COUNTIF($W$7:$W$3001,$W2895)&gt;1,"MÜKERRER?",IF($AD2895&gt;0,"KAPALI DÖNEM",IF($I2895="Hayır","ÖDENECEK","UYGUN")))),"EKSİK"))))</f>
        <v/>
      </c>
      <c r="Q2895" s="2"/>
      <c r="R2895" s="2"/>
      <c r="S2895" s="1" t="str">
        <f t="shared" si="137"/>
        <v/>
      </c>
      <c r="T2895" s="1" t="str">
        <f>IF(OR($C2895="",$D2895&lt;&gt;"Gelir",$L2895=""),"",IFERROR(INDEX(MUSTERILER!$B$7:$B$156,MATCH($S2895,MUSTERILER!$T$7:$T$156,0)),""))</f>
        <v/>
      </c>
      <c r="U2895" s="1" t="str">
        <f>IF($T2895="","",$T2895&amp;"|"&amp;COUNTIFS($T$7:$T2895,$T2895))</f>
        <v/>
      </c>
      <c r="V2895" s="1">
        <f t="shared" si="138"/>
        <v>0</v>
      </c>
      <c r="W2895" s="1" t="str">
        <f t="shared" si="139"/>
        <v/>
      </c>
      <c r="X2895" s="1"/>
      <c r="Y2895" s="1"/>
      <c r="Z2895" s="1"/>
      <c r="AA2895" s="1"/>
      <c r="AB2895" s="1"/>
      <c r="AC2895" s="1"/>
      <c r="AD2895" s="1">
        <f>IF($C2895="",0,SUMPRODUCT((AY_SONU!$O$7:$O$42="Evet")*(AY_SONU!$B$7:$B$42=DATE(YEAR($C2895),MONTH($C2895),1))))</f>
        <v>0</v>
      </c>
      <c r="AE2895" s="1" t="str">
        <f>IF($E2895="","",$E2895&amp;"|"&amp;COUNTIFS($E$7:$E2895,$E2895))</f>
        <v/>
      </c>
    </row>
    <row r="2896" spans="1:31" ht="18" customHeight="1" x14ac:dyDescent="0.3">
      <c r="A2896" s="2"/>
      <c r="B2896" s="65" t="str">
        <f>IF($C2896="","","GG"&amp;TEXT(ROW()-6,"00000"))</f>
        <v/>
      </c>
      <c r="C2896" s="66"/>
      <c r="D2896" s="60"/>
      <c r="E2896" s="61"/>
      <c r="F2896" s="61"/>
      <c r="G2896" s="67"/>
      <c r="H2896" s="60"/>
      <c r="I2896" s="60"/>
      <c r="J2896" s="61"/>
      <c r="K2896" s="61"/>
      <c r="L2896" s="60"/>
      <c r="M2896" s="74" t="str">
        <f>IF($C2896="","",IF($D2896="Gider",$E2896,IF($L2896&lt;&gt;"",$L2896,$H2896)))</f>
        <v/>
      </c>
      <c r="N2896" s="74" t="str">
        <f>IF($C2896="","",IF($D2896="Gider",$H2896,$E2896))</f>
        <v/>
      </c>
      <c r="O2896" s="73" t="str">
        <f>IF($C2896="","",DATE(YEAR($C2896),MONTH($C2896),1))</f>
        <v/>
      </c>
      <c r="P2896" s="65" t="str">
        <f ca="1">IF($C2896="","",IF(AND($D2896="Gelir",$L2896&lt;&gt;"",$T2896=""),"TANIMSIZ BORÇLU",IF($T2896&lt;&gt;"",IF(OR($E2896="",$G2896&lt;=0),"EKSİK",IF($I2896="Evet","TAHAKKUK NAKİT OLAMAZ",IF($C2896&gt;TODAY(),"İLERİ TARİH","TAHAKKUK"))),IF(AND($D2896&lt;&gt;"",$E2896&lt;&gt;"",$G2896&gt;0,$H2896&lt;&gt;"",$I2896&lt;&gt;""),IF($C2896&gt;TODAY(),"İLERİ TARİH",IF(COUNTIF($W$7:$W$3001,$W2896)&gt;1,"MÜKERRER?",IF($AD2896&gt;0,"KAPALI DÖNEM",IF($I2896="Hayır","ÖDENECEK","UYGUN")))),"EKSİK"))))</f>
        <v/>
      </c>
      <c r="Q2896" s="2"/>
      <c r="R2896" s="2"/>
      <c r="S2896" s="1" t="str">
        <f t="shared" si="137"/>
        <v/>
      </c>
      <c r="T2896" s="1" t="str">
        <f>IF(OR($C2896="",$D2896&lt;&gt;"Gelir",$L2896=""),"",IFERROR(INDEX(MUSTERILER!$B$7:$B$156,MATCH($S2896,MUSTERILER!$T$7:$T$156,0)),""))</f>
        <v/>
      </c>
      <c r="U2896" s="1" t="str">
        <f>IF($T2896="","",$T2896&amp;"|"&amp;COUNTIFS($T$7:$T2896,$T2896))</f>
        <v/>
      </c>
      <c r="V2896" s="1">
        <f t="shared" si="138"/>
        <v>0</v>
      </c>
      <c r="W2896" s="1" t="str">
        <f t="shared" si="139"/>
        <v/>
      </c>
      <c r="X2896" s="1"/>
      <c r="Y2896" s="1"/>
      <c r="Z2896" s="1"/>
      <c r="AA2896" s="1"/>
      <c r="AB2896" s="1"/>
      <c r="AC2896" s="1"/>
      <c r="AD2896" s="1">
        <f>IF($C2896="",0,SUMPRODUCT((AY_SONU!$O$7:$O$42="Evet")*(AY_SONU!$B$7:$B$42=DATE(YEAR($C2896),MONTH($C2896),1))))</f>
        <v>0</v>
      </c>
      <c r="AE2896" s="1" t="str">
        <f>IF($E2896="","",$E2896&amp;"|"&amp;COUNTIFS($E$7:$E2896,$E2896))</f>
        <v/>
      </c>
    </row>
    <row r="2897" spans="1:31" ht="18" customHeight="1" x14ac:dyDescent="0.3">
      <c r="A2897" s="2"/>
      <c r="B2897" s="65" t="str">
        <f>IF($C2897="","","GG"&amp;TEXT(ROW()-6,"00000"))</f>
        <v/>
      </c>
      <c r="C2897" s="66"/>
      <c r="D2897" s="60"/>
      <c r="E2897" s="61"/>
      <c r="F2897" s="61"/>
      <c r="G2897" s="67"/>
      <c r="H2897" s="60"/>
      <c r="I2897" s="60"/>
      <c r="J2897" s="61"/>
      <c r="K2897" s="61"/>
      <c r="L2897" s="60"/>
      <c r="M2897" s="74" t="str">
        <f>IF($C2897="","",IF($D2897="Gider",$E2897,IF($L2897&lt;&gt;"",$L2897,$H2897)))</f>
        <v/>
      </c>
      <c r="N2897" s="74" t="str">
        <f>IF($C2897="","",IF($D2897="Gider",$H2897,$E2897))</f>
        <v/>
      </c>
      <c r="O2897" s="73" t="str">
        <f>IF($C2897="","",DATE(YEAR($C2897),MONTH($C2897),1))</f>
        <v/>
      </c>
      <c r="P2897" s="65" t="str">
        <f ca="1">IF($C2897="","",IF(AND($D2897="Gelir",$L2897&lt;&gt;"",$T2897=""),"TANIMSIZ BORÇLU",IF($T2897&lt;&gt;"",IF(OR($E2897="",$G2897&lt;=0),"EKSİK",IF($I2897="Evet","TAHAKKUK NAKİT OLAMAZ",IF($C2897&gt;TODAY(),"İLERİ TARİH","TAHAKKUK"))),IF(AND($D2897&lt;&gt;"",$E2897&lt;&gt;"",$G2897&gt;0,$H2897&lt;&gt;"",$I2897&lt;&gt;""),IF($C2897&gt;TODAY(),"İLERİ TARİH",IF(COUNTIF($W$7:$W$3001,$W2897)&gt;1,"MÜKERRER?",IF($AD2897&gt;0,"KAPALI DÖNEM",IF($I2897="Hayır","ÖDENECEK","UYGUN")))),"EKSİK"))))</f>
        <v/>
      </c>
      <c r="Q2897" s="2"/>
      <c r="R2897" s="2"/>
      <c r="S2897" s="1" t="str">
        <f t="shared" si="137"/>
        <v/>
      </c>
      <c r="T2897" s="1" t="str">
        <f>IF(OR($C2897="",$D2897&lt;&gt;"Gelir",$L2897=""),"",IFERROR(INDEX(MUSTERILER!$B$7:$B$156,MATCH($S2897,MUSTERILER!$T$7:$T$156,0)),""))</f>
        <v/>
      </c>
      <c r="U2897" s="1" t="str">
        <f>IF($T2897="","",$T2897&amp;"|"&amp;COUNTIFS($T$7:$T2897,$T2897))</f>
        <v/>
      </c>
      <c r="V2897" s="1">
        <f t="shared" si="138"/>
        <v>0</v>
      </c>
      <c r="W2897" s="1" t="str">
        <f t="shared" si="139"/>
        <v/>
      </c>
      <c r="X2897" s="1"/>
      <c r="Y2897" s="1"/>
      <c r="Z2897" s="1"/>
      <c r="AA2897" s="1"/>
      <c r="AB2897" s="1"/>
      <c r="AC2897" s="1"/>
      <c r="AD2897" s="1">
        <f>IF($C2897="",0,SUMPRODUCT((AY_SONU!$O$7:$O$42="Evet")*(AY_SONU!$B$7:$B$42=DATE(YEAR($C2897),MONTH($C2897),1))))</f>
        <v>0</v>
      </c>
      <c r="AE2897" s="1" t="str">
        <f>IF($E2897="","",$E2897&amp;"|"&amp;COUNTIFS($E$7:$E2897,$E2897))</f>
        <v/>
      </c>
    </row>
    <row r="2898" spans="1:31" ht="18" customHeight="1" x14ac:dyDescent="0.3">
      <c r="A2898" s="2"/>
      <c r="B2898" s="65" t="str">
        <f>IF($C2898="","","GG"&amp;TEXT(ROW()-6,"00000"))</f>
        <v/>
      </c>
      <c r="C2898" s="66"/>
      <c r="D2898" s="60"/>
      <c r="E2898" s="61"/>
      <c r="F2898" s="61"/>
      <c r="G2898" s="67"/>
      <c r="H2898" s="60"/>
      <c r="I2898" s="60"/>
      <c r="J2898" s="61"/>
      <c r="K2898" s="61"/>
      <c r="L2898" s="60"/>
      <c r="M2898" s="74" t="str">
        <f>IF($C2898="","",IF($D2898="Gider",$E2898,IF($L2898&lt;&gt;"",$L2898,$H2898)))</f>
        <v/>
      </c>
      <c r="N2898" s="74" t="str">
        <f>IF($C2898="","",IF($D2898="Gider",$H2898,$E2898))</f>
        <v/>
      </c>
      <c r="O2898" s="73" t="str">
        <f>IF($C2898="","",DATE(YEAR($C2898),MONTH($C2898),1))</f>
        <v/>
      </c>
      <c r="P2898" s="65" t="str">
        <f ca="1">IF($C2898="","",IF(AND($D2898="Gelir",$L2898&lt;&gt;"",$T2898=""),"TANIMSIZ BORÇLU",IF($T2898&lt;&gt;"",IF(OR($E2898="",$G2898&lt;=0),"EKSİK",IF($I2898="Evet","TAHAKKUK NAKİT OLAMAZ",IF($C2898&gt;TODAY(),"İLERİ TARİH","TAHAKKUK"))),IF(AND($D2898&lt;&gt;"",$E2898&lt;&gt;"",$G2898&gt;0,$H2898&lt;&gt;"",$I2898&lt;&gt;""),IF($C2898&gt;TODAY(),"İLERİ TARİH",IF(COUNTIF($W$7:$W$3001,$W2898)&gt;1,"MÜKERRER?",IF($AD2898&gt;0,"KAPALI DÖNEM",IF($I2898="Hayır","ÖDENECEK","UYGUN")))),"EKSİK"))))</f>
        <v/>
      </c>
      <c r="Q2898" s="2"/>
      <c r="R2898" s="2"/>
      <c r="S2898" s="1" t="str">
        <f t="shared" si="137"/>
        <v/>
      </c>
      <c r="T2898" s="1" t="str">
        <f>IF(OR($C2898="",$D2898&lt;&gt;"Gelir",$L2898=""),"",IFERROR(INDEX(MUSTERILER!$B$7:$B$156,MATCH($S2898,MUSTERILER!$T$7:$T$156,0)),""))</f>
        <v/>
      </c>
      <c r="U2898" s="1" t="str">
        <f>IF($T2898="","",$T2898&amp;"|"&amp;COUNTIFS($T$7:$T2898,$T2898))</f>
        <v/>
      </c>
      <c r="V2898" s="1">
        <f t="shared" si="138"/>
        <v>0</v>
      </c>
      <c r="W2898" s="1" t="str">
        <f t="shared" si="139"/>
        <v/>
      </c>
      <c r="X2898" s="1"/>
      <c r="Y2898" s="1"/>
      <c r="Z2898" s="1"/>
      <c r="AA2898" s="1"/>
      <c r="AB2898" s="1"/>
      <c r="AC2898" s="1"/>
      <c r="AD2898" s="1">
        <f>IF($C2898="",0,SUMPRODUCT((AY_SONU!$O$7:$O$42="Evet")*(AY_SONU!$B$7:$B$42=DATE(YEAR($C2898),MONTH($C2898),1))))</f>
        <v>0</v>
      </c>
      <c r="AE2898" s="1" t="str">
        <f>IF($E2898="","",$E2898&amp;"|"&amp;COUNTIFS($E$7:$E2898,$E2898))</f>
        <v/>
      </c>
    </row>
    <row r="2899" spans="1:31" ht="18" customHeight="1" x14ac:dyDescent="0.3">
      <c r="A2899" s="2"/>
      <c r="B2899" s="65" t="str">
        <f>IF($C2899="","","GG"&amp;TEXT(ROW()-6,"00000"))</f>
        <v/>
      </c>
      <c r="C2899" s="66"/>
      <c r="D2899" s="60"/>
      <c r="E2899" s="61"/>
      <c r="F2899" s="61"/>
      <c r="G2899" s="67"/>
      <c r="H2899" s="60"/>
      <c r="I2899" s="60"/>
      <c r="J2899" s="61"/>
      <c r="K2899" s="61"/>
      <c r="L2899" s="60"/>
      <c r="M2899" s="74" t="str">
        <f>IF($C2899="","",IF($D2899="Gider",$E2899,IF($L2899&lt;&gt;"",$L2899,$H2899)))</f>
        <v/>
      </c>
      <c r="N2899" s="74" t="str">
        <f>IF($C2899="","",IF($D2899="Gider",$H2899,$E2899))</f>
        <v/>
      </c>
      <c r="O2899" s="73" t="str">
        <f>IF($C2899="","",DATE(YEAR($C2899),MONTH($C2899),1))</f>
        <v/>
      </c>
      <c r="P2899" s="65" t="str">
        <f ca="1">IF($C2899="","",IF(AND($D2899="Gelir",$L2899&lt;&gt;"",$T2899=""),"TANIMSIZ BORÇLU",IF($T2899&lt;&gt;"",IF(OR($E2899="",$G2899&lt;=0),"EKSİK",IF($I2899="Evet","TAHAKKUK NAKİT OLAMAZ",IF($C2899&gt;TODAY(),"İLERİ TARİH","TAHAKKUK"))),IF(AND($D2899&lt;&gt;"",$E2899&lt;&gt;"",$G2899&gt;0,$H2899&lt;&gt;"",$I2899&lt;&gt;""),IF($C2899&gt;TODAY(),"İLERİ TARİH",IF(COUNTIF($W$7:$W$3001,$W2899)&gt;1,"MÜKERRER?",IF($AD2899&gt;0,"KAPALI DÖNEM",IF($I2899="Hayır","ÖDENECEK","UYGUN")))),"EKSİK"))))</f>
        <v/>
      </c>
      <c r="Q2899" s="2"/>
      <c r="R2899" s="2"/>
      <c r="S2899" s="1" t="str">
        <f t="shared" si="137"/>
        <v/>
      </c>
      <c r="T2899" s="1" t="str">
        <f>IF(OR($C2899="",$D2899&lt;&gt;"Gelir",$L2899=""),"",IFERROR(INDEX(MUSTERILER!$B$7:$B$156,MATCH($S2899,MUSTERILER!$T$7:$T$156,0)),""))</f>
        <v/>
      </c>
      <c r="U2899" s="1" t="str">
        <f>IF($T2899="","",$T2899&amp;"|"&amp;COUNTIFS($T$7:$T2899,$T2899))</f>
        <v/>
      </c>
      <c r="V2899" s="1">
        <f t="shared" si="138"/>
        <v>0</v>
      </c>
      <c r="W2899" s="1" t="str">
        <f t="shared" si="139"/>
        <v/>
      </c>
      <c r="X2899" s="1"/>
      <c r="Y2899" s="1"/>
      <c r="Z2899" s="1"/>
      <c r="AA2899" s="1"/>
      <c r="AB2899" s="1"/>
      <c r="AC2899" s="1"/>
      <c r="AD2899" s="1">
        <f>IF($C2899="",0,SUMPRODUCT((AY_SONU!$O$7:$O$42="Evet")*(AY_SONU!$B$7:$B$42=DATE(YEAR($C2899),MONTH($C2899),1))))</f>
        <v>0</v>
      </c>
      <c r="AE2899" s="1" t="str">
        <f>IF($E2899="","",$E2899&amp;"|"&amp;COUNTIFS($E$7:$E2899,$E2899))</f>
        <v/>
      </c>
    </row>
    <row r="2900" spans="1:31" ht="18" customHeight="1" x14ac:dyDescent="0.3">
      <c r="A2900" s="2"/>
      <c r="B2900" s="65" t="str">
        <f>IF($C2900="","","GG"&amp;TEXT(ROW()-6,"00000"))</f>
        <v/>
      </c>
      <c r="C2900" s="66"/>
      <c r="D2900" s="60"/>
      <c r="E2900" s="61"/>
      <c r="F2900" s="61"/>
      <c r="G2900" s="67"/>
      <c r="H2900" s="60"/>
      <c r="I2900" s="60"/>
      <c r="J2900" s="61"/>
      <c r="K2900" s="61"/>
      <c r="L2900" s="60"/>
      <c r="M2900" s="74" t="str">
        <f>IF($C2900="","",IF($D2900="Gider",$E2900,IF($L2900&lt;&gt;"",$L2900,$H2900)))</f>
        <v/>
      </c>
      <c r="N2900" s="74" t="str">
        <f>IF($C2900="","",IF($D2900="Gider",$H2900,$E2900))</f>
        <v/>
      </c>
      <c r="O2900" s="73" t="str">
        <f>IF($C2900="","",DATE(YEAR($C2900),MONTH($C2900),1))</f>
        <v/>
      </c>
      <c r="P2900" s="65" t="str">
        <f ca="1">IF($C2900="","",IF(AND($D2900="Gelir",$L2900&lt;&gt;"",$T2900=""),"TANIMSIZ BORÇLU",IF($T2900&lt;&gt;"",IF(OR($E2900="",$G2900&lt;=0),"EKSİK",IF($I2900="Evet","TAHAKKUK NAKİT OLAMAZ",IF($C2900&gt;TODAY(),"İLERİ TARİH","TAHAKKUK"))),IF(AND($D2900&lt;&gt;"",$E2900&lt;&gt;"",$G2900&gt;0,$H2900&lt;&gt;"",$I2900&lt;&gt;""),IF($C2900&gt;TODAY(),"İLERİ TARİH",IF(COUNTIF($W$7:$W$3001,$W2900)&gt;1,"MÜKERRER?",IF($AD2900&gt;0,"KAPALI DÖNEM",IF($I2900="Hayır","ÖDENECEK","UYGUN")))),"EKSİK"))))</f>
        <v/>
      </c>
      <c r="Q2900" s="2"/>
      <c r="R2900" s="2"/>
      <c r="S2900" s="1" t="str">
        <f t="shared" si="137"/>
        <v/>
      </c>
      <c r="T2900" s="1" t="str">
        <f>IF(OR($C2900="",$D2900&lt;&gt;"Gelir",$L2900=""),"",IFERROR(INDEX(MUSTERILER!$B$7:$B$156,MATCH($S2900,MUSTERILER!$T$7:$T$156,0)),""))</f>
        <v/>
      </c>
      <c r="U2900" s="1" t="str">
        <f>IF($T2900="","",$T2900&amp;"|"&amp;COUNTIFS($T$7:$T2900,$T2900))</f>
        <v/>
      </c>
      <c r="V2900" s="1">
        <f t="shared" si="138"/>
        <v>0</v>
      </c>
      <c r="W2900" s="1" t="str">
        <f t="shared" si="139"/>
        <v/>
      </c>
      <c r="X2900" s="1"/>
      <c r="Y2900" s="1"/>
      <c r="Z2900" s="1"/>
      <c r="AA2900" s="1"/>
      <c r="AB2900" s="1"/>
      <c r="AC2900" s="1"/>
      <c r="AD2900" s="1">
        <f>IF($C2900="",0,SUMPRODUCT((AY_SONU!$O$7:$O$42="Evet")*(AY_SONU!$B$7:$B$42=DATE(YEAR($C2900),MONTH($C2900),1))))</f>
        <v>0</v>
      </c>
      <c r="AE2900" s="1" t="str">
        <f>IF($E2900="","",$E2900&amp;"|"&amp;COUNTIFS($E$7:$E2900,$E2900))</f>
        <v/>
      </c>
    </row>
    <row r="2901" spans="1:31" ht="18" customHeight="1" x14ac:dyDescent="0.3">
      <c r="A2901" s="2"/>
      <c r="B2901" s="65" t="str">
        <f>IF($C2901="","","GG"&amp;TEXT(ROW()-6,"00000"))</f>
        <v/>
      </c>
      <c r="C2901" s="66"/>
      <c r="D2901" s="60"/>
      <c r="E2901" s="61"/>
      <c r="F2901" s="61"/>
      <c r="G2901" s="67"/>
      <c r="H2901" s="60"/>
      <c r="I2901" s="60"/>
      <c r="J2901" s="61"/>
      <c r="K2901" s="61"/>
      <c r="L2901" s="60"/>
      <c r="M2901" s="74" t="str">
        <f>IF($C2901="","",IF($D2901="Gider",$E2901,IF($L2901&lt;&gt;"",$L2901,$H2901)))</f>
        <v/>
      </c>
      <c r="N2901" s="74" t="str">
        <f>IF($C2901="","",IF($D2901="Gider",$H2901,$E2901))</f>
        <v/>
      </c>
      <c r="O2901" s="73" t="str">
        <f>IF($C2901="","",DATE(YEAR($C2901),MONTH($C2901),1))</f>
        <v/>
      </c>
      <c r="P2901" s="65" t="str">
        <f ca="1">IF($C2901="","",IF(AND($D2901="Gelir",$L2901&lt;&gt;"",$T2901=""),"TANIMSIZ BORÇLU",IF($T2901&lt;&gt;"",IF(OR($E2901="",$G2901&lt;=0),"EKSİK",IF($I2901="Evet","TAHAKKUK NAKİT OLAMAZ",IF($C2901&gt;TODAY(),"İLERİ TARİH","TAHAKKUK"))),IF(AND($D2901&lt;&gt;"",$E2901&lt;&gt;"",$G2901&gt;0,$H2901&lt;&gt;"",$I2901&lt;&gt;""),IF($C2901&gt;TODAY(),"İLERİ TARİH",IF(COUNTIF($W$7:$W$3001,$W2901)&gt;1,"MÜKERRER?",IF($AD2901&gt;0,"KAPALI DÖNEM",IF($I2901="Hayır","ÖDENECEK","UYGUN")))),"EKSİK"))))</f>
        <v/>
      </c>
      <c r="Q2901" s="2"/>
      <c r="R2901" s="2"/>
      <c r="S2901" s="1" t="str">
        <f t="shared" si="137"/>
        <v/>
      </c>
      <c r="T2901" s="1" t="str">
        <f>IF(OR($C2901="",$D2901&lt;&gt;"Gelir",$L2901=""),"",IFERROR(INDEX(MUSTERILER!$B$7:$B$156,MATCH($S2901,MUSTERILER!$T$7:$T$156,0)),""))</f>
        <v/>
      </c>
      <c r="U2901" s="1" t="str">
        <f>IF($T2901="","",$T2901&amp;"|"&amp;COUNTIFS($T$7:$T2901,$T2901))</f>
        <v/>
      </c>
      <c r="V2901" s="1">
        <f t="shared" si="138"/>
        <v>0</v>
      </c>
      <c r="W2901" s="1" t="str">
        <f t="shared" si="139"/>
        <v/>
      </c>
      <c r="X2901" s="1"/>
      <c r="Y2901" s="1"/>
      <c r="Z2901" s="1"/>
      <c r="AA2901" s="1"/>
      <c r="AB2901" s="1"/>
      <c r="AC2901" s="1"/>
      <c r="AD2901" s="1">
        <f>IF($C2901="",0,SUMPRODUCT((AY_SONU!$O$7:$O$42="Evet")*(AY_SONU!$B$7:$B$42=DATE(YEAR($C2901),MONTH($C2901),1))))</f>
        <v>0</v>
      </c>
      <c r="AE2901" s="1" t="str">
        <f>IF($E2901="","",$E2901&amp;"|"&amp;COUNTIFS($E$7:$E2901,$E2901))</f>
        <v/>
      </c>
    </row>
    <row r="2902" spans="1:31" ht="18" customHeight="1" x14ac:dyDescent="0.3">
      <c r="A2902" s="2"/>
      <c r="B2902" s="65" t="str">
        <f>IF($C2902="","","GG"&amp;TEXT(ROW()-6,"00000"))</f>
        <v/>
      </c>
      <c r="C2902" s="66"/>
      <c r="D2902" s="60"/>
      <c r="E2902" s="61"/>
      <c r="F2902" s="61"/>
      <c r="G2902" s="67"/>
      <c r="H2902" s="60"/>
      <c r="I2902" s="60"/>
      <c r="J2902" s="61"/>
      <c r="K2902" s="61"/>
      <c r="L2902" s="60"/>
      <c r="M2902" s="74" t="str">
        <f>IF($C2902="","",IF($D2902="Gider",$E2902,IF($L2902&lt;&gt;"",$L2902,$H2902)))</f>
        <v/>
      </c>
      <c r="N2902" s="74" t="str">
        <f>IF($C2902="","",IF($D2902="Gider",$H2902,$E2902))</f>
        <v/>
      </c>
      <c r="O2902" s="73" t="str">
        <f>IF($C2902="","",DATE(YEAR($C2902),MONTH($C2902),1))</f>
        <v/>
      </c>
      <c r="P2902" s="65" t="str">
        <f ca="1">IF($C2902="","",IF(AND($D2902="Gelir",$L2902&lt;&gt;"",$T2902=""),"TANIMSIZ BORÇLU",IF($T2902&lt;&gt;"",IF(OR($E2902="",$G2902&lt;=0),"EKSİK",IF($I2902="Evet","TAHAKKUK NAKİT OLAMAZ",IF($C2902&gt;TODAY(),"İLERİ TARİH","TAHAKKUK"))),IF(AND($D2902&lt;&gt;"",$E2902&lt;&gt;"",$G2902&gt;0,$H2902&lt;&gt;"",$I2902&lt;&gt;""),IF($C2902&gt;TODAY(),"İLERİ TARİH",IF(COUNTIF($W$7:$W$3001,$W2902)&gt;1,"MÜKERRER?",IF($AD2902&gt;0,"KAPALI DÖNEM",IF($I2902="Hayır","ÖDENECEK","UYGUN")))),"EKSİK"))))</f>
        <v/>
      </c>
      <c r="Q2902" s="2"/>
      <c r="R2902" s="2"/>
      <c r="S2902" s="1" t="str">
        <f t="shared" si="137"/>
        <v/>
      </c>
      <c r="T2902" s="1" t="str">
        <f>IF(OR($C2902="",$D2902&lt;&gt;"Gelir",$L2902=""),"",IFERROR(INDEX(MUSTERILER!$B$7:$B$156,MATCH($S2902,MUSTERILER!$T$7:$T$156,0)),""))</f>
        <v/>
      </c>
      <c r="U2902" s="1" t="str">
        <f>IF($T2902="","",$T2902&amp;"|"&amp;COUNTIFS($T$7:$T2902,$T2902))</f>
        <v/>
      </c>
      <c r="V2902" s="1">
        <f t="shared" si="138"/>
        <v>0</v>
      </c>
      <c r="W2902" s="1" t="str">
        <f t="shared" si="139"/>
        <v/>
      </c>
      <c r="X2902" s="1"/>
      <c r="Y2902" s="1"/>
      <c r="Z2902" s="1"/>
      <c r="AA2902" s="1"/>
      <c r="AB2902" s="1"/>
      <c r="AC2902" s="1"/>
      <c r="AD2902" s="1">
        <f>IF($C2902="",0,SUMPRODUCT((AY_SONU!$O$7:$O$42="Evet")*(AY_SONU!$B$7:$B$42=DATE(YEAR($C2902),MONTH($C2902),1))))</f>
        <v>0</v>
      </c>
      <c r="AE2902" s="1" t="str">
        <f>IF($E2902="","",$E2902&amp;"|"&amp;COUNTIFS($E$7:$E2902,$E2902))</f>
        <v/>
      </c>
    </row>
    <row r="2903" spans="1:31" ht="18" customHeight="1" x14ac:dyDescent="0.3">
      <c r="A2903" s="2"/>
      <c r="B2903" s="65" t="str">
        <f>IF($C2903="","","GG"&amp;TEXT(ROW()-6,"00000"))</f>
        <v/>
      </c>
      <c r="C2903" s="66"/>
      <c r="D2903" s="60"/>
      <c r="E2903" s="61"/>
      <c r="F2903" s="61"/>
      <c r="G2903" s="67"/>
      <c r="H2903" s="60"/>
      <c r="I2903" s="60"/>
      <c r="J2903" s="61"/>
      <c r="K2903" s="61"/>
      <c r="L2903" s="60"/>
      <c r="M2903" s="74" t="str">
        <f>IF($C2903="","",IF($D2903="Gider",$E2903,IF($L2903&lt;&gt;"",$L2903,$H2903)))</f>
        <v/>
      </c>
      <c r="N2903" s="74" t="str">
        <f>IF($C2903="","",IF($D2903="Gider",$H2903,$E2903))</f>
        <v/>
      </c>
      <c r="O2903" s="73" t="str">
        <f>IF($C2903="","",DATE(YEAR($C2903),MONTH($C2903),1))</f>
        <v/>
      </c>
      <c r="P2903" s="65" t="str">
        <f ca="1">IF($C2903="","",IF(AND($D2903="Gelir",$L2903&lt;&gt;"",$T2903=""),"TANIMSIZ BORÇLU",IF($T2903&lt;&gt;"",IF(OR($E2903="",$G2903&lt;=0),"EKSİK",IF($I2903="Evet","TAHAKKUK NAKİT OLAMAZ",IF($C2903&gt;TODAY(),"İLERİ TARİH","TAHAKKUK"))),IF(AND($D2903&lt;&gt;"",$E2903&lt;&gt;"",$G2903&gt;0,$H2903&lt;&gt;"",$I2903&lt;&gt;""),IF($C2903&gt;TODAY(),"İLERİ TARİH",IF(COUNTIF($W$7:$W$3001,$W2903)&gt;1,"MÜKERRER?",IF($AD2903&gt;0,"KAPALI DÖNEM",IF($I2903="Hayır","ÖDENECEK","UYGUN")))),"EKSİK"))))</f>
        <v/>
      </c>
      <c r="Q2903" s="2"/>
      <c r="R2903" s="2"/>
      <c r="S2903" s="1" t="str">
        <f t="shared" si="137"/>
        <v/>
      </c>
      <c r="T2903" s="1" t="str">
        <f>IF(OR($C2903="",$D2903&lt;&gt;"Gelir",$L2903=""),"",IFERROR(INDEX(MUSTERILER!$B$7:$B$156,MATCH($S2903,MUSTERILER!$T$7:$T$156,0)),""))</f>
        <v/>
      </c>
      <c r="U2903" s="1" t="str">
        <f>IF($T2903="","",$T2903&amp;"|"&amp;COUNTIFS($T$7:$T2903,$T2903))</f>
        <v/>
      </c>
      <c r="V2903" s="1">
        <f t="shared" si="138"/>
        <v>0</v>
      </c>
      <c r="W2903" s="1" t="str">
        <f t="shared" si="139"/>
        <v/>
      </c>
      <c r="X2903" s="1"/>
      <c r="Y2903" s="1"/>
      <c r="Z2903" s="1"/>
      <c r="AA2903" s="1"/>
      <c r="AB2903" s="1"/>
      <c r="AC2903" s="1"/>
      <c r="AD2903" s="1">
        <f>IF($C2903="",0,SUMPRODUCT((AY_SONU!$O$7:$O$42="Evet")*(AY_SONU!$B$7:$B$42=DATE(YEAR($C2903),MONTH($C2903),1))))</f>
        <v>0</v>
      </c>
      <c r="AE2903" s="1" t="str">
        <f>IF($E2903="","",$E2903&amp;"|"&amp;COUNTIFS($E$7:$E2903,$E2903))</f>
        <v/>
      </c>
    </row>
    <row r="2904" spans="1:31" ht="18" customHeight="1" x14ac:dyDescent="0.3">
      <c r="A2904" s="2"/>
      <c r="B2904" s="65" t="str">
        <f>IF($C2904="","","GG"&amp;TEXT(ROW()-6,"00000"))</f>
        <v/>
      </c>
      <c r="C2904" s="66"/>
      <c r="D2904" s="60"/>
      <c r="E2904" s="61"/>
      <c r="F2904" s="61"/>
      <c r="G2904" s="67"/>
      <c r="H2904" s="60"/>
      <c r="I2904" s="60"/>
      <c r="J2904" s="61"/>
      <c r="K2904" s="61"/>
      <c r="L2904" s="60"/>
      <c r="M2904" s="74" t="str">
        <f>IF($C2904="","",IF($D2904="Gider",$E2904,IF($L2904&lt;&gt;"",$L2904,$H2904)))</f>
        <v/>
      </c>
      <c r="N2904" s="74" t="str">
        <f>IF($C2904="","",IF($D2904="Gider",$H2904,$E2904))</f>
        <v/>
      </c>
      <c r="O2904" s="73" t="str">
        <f>IF($C2904="","",DATE(YEAR($C2904),MONTH($C2904),1))</f>
        <v/>
      </c>
      <c r="P2904" s="65" t="str">
        <f ca="1">IF($C2904="","",IF(AND($D2904="Gelir",$L2904&lt;&gt;"",$T2904=""),"TANIMSIZ BORÇLU",IF($T2904&lt;&gt;"",IF(OR($E2904="",$G2904&lt;=0),"EKSİK",IF($I2904="Evet","TAHAKKUK NAKİT OLAMAZ",IF($C2904&gt;TODAY(),"İLERİ TARİH","TAHAKKUK"))),IF(AND($D2904&lt;&gt;"",$E2904&lt;&gt;"",$G2904&gt;0,$H2904&lt;&gt;"",$I2904&lt;&gt;""),IF($C2904&gt;TODAY(),"İLERİ TARİH",IF(COUNTIF($W$7:$W$3001,$W2904)&gt;1,"MÜKERRER?",IF($AD2904&gt;0,"KAPALI DÖNEM",IF($I2904="Hayır","ÖDENECEK","UYGUN")))),"EKSİK"))))</f>
        <v/>
      </c>
      <c r="Q2904" s="2"/>
      <c r="R2904" s="2"/>
      <c r="S2904" s="1" t="str">
        <f t="shared" si="137"/>
        <v/>
      </c>
      <c r="T2904" s="1" t="str">
        <f>IF(OR($C2904="",$D2904&lt;&gt;"Gelir",$L2904=""),"",IFERROR(INDEX(MUSTERILER!$B$7:$B$156,MATCH($S2904,MUSTERILER!$T$7:$T$156,0)),""))</f>
        <v/>
      </c>
      <c r="U2904" s="1" t="str">
        <f>IF($T2904="","",$T2904&amp;"|"&amp;COUNTIFS($T$7:$T2904,$T2904))</f>
        <v/>
      </c>
      <c r="V2904" s="1">
        <f t="shared" si="138"/>
        <v>0</v>
      </c>
      <c r="W2904" s="1" t="str">
        <f t="shared" si="139"/>
        <v/>
      </c>
      <c r="X2904" s="1"/>
      <c r="Y2904" s="1"/>
      <c r="Z2904" s="1"/>
      <c r="AA2904" s="1"/>
      <c r="AB2904" s="1"/>
      <c r="AC2904" s="1"/>
      <c r="AD2904" s="1">
        <f>IF($C2904="",0,SUMPRODUCT((AY_SONU!$O$7:$O$42="Evet")*(AY_SONU!$B$7:$B$42=DATE(YEAR($C2904),MONTH($C2904),1))))</f>
        <v>0</v>
      </c>
      <c r="AE2904" s="1" t="str">
        <f>IF($E2904="","",$E2904&amp;"|"&amp;COUNTIFS($E$7:$E2904,$E2904))</f>
        <v/>
      </c>
    </row>
    <row r="2905" spans="1:31" ht="18" customHeight="1" x14ac:dyDescent="0.3">
      <c r="A2905" s="2"/>
      <c r="B2905" s="65" t="str">
        <f>IF($C2905="","","GG"&amp;TEXT(ROW()-6,"00000"))</f>
        <v/>
      </c>
      <c r="C2905" s="66"/>
      <c r="D2905" s="60"/>
      <c r="E2905" s="61"/>
      <c r="F2905" s="61"/>
      <c r="G2905" s="67"/>
      <c r="H2905" s="60"/>
      <c r="I2905" s="60"/>
      <c r="J2905" s="61"/>
      <c r="K2905" s="61"/>
      <c r="L2905" s="60"/>
      <c r="M2905" s="74" t="str">
        <f>IF($C2905="","",IF($D2905="Gider",$E2905,IF($L2905&lt;&gt;"",$L2905,$H2905)))</f>
        <v/>
      </c>
      <c r="N2905" s="74" t="str">
        <f>IF($C2905="","",IF($D2905="Gider",$H2905,$E2905))</f>
        <v/>
      </c>
      <c r="O2905" s="73" t="str">
        <f>IF($C2905="","",DATE(YEAR($C2905),MONTH($C2905),1))</f>
        <v/>
      </c>
      <c r="P2905" s="65" t="str">
        <f ca="1">IF($C2905="","",IF(AND($D2905="Gelir",$L2905&lt;&gt;"",$T2905=""),"TANIMSIZ BORÇLU",IF($T2905&lt;&gt;"",IF(OR($E2905="",$G2905&lt;=0),"EKSİK",IF($I2905="Evet","TAHAKKUK NAKİT OLAMAZ",IF($C2905&gt;TODAY(),"İLERİ TARİH","TAHAKKUK"))),IF(AND($D2905&lt;&gt;"",$E2905&lt;&gt;"",$G2905&gt;0,$H2905&lt;&gt;"",$I2905&lt;&gt;""),IF($C2905&gt;TODAY(),"İLERİ TARİH",IF(COUNTIF($W$7:$W$3001,$W2905)&gt;1,"MÜKERRER?",IF($AD2905&gt;0,"KAPALI DÖNEM",IF($I2905="Hayır","ÖDENECEK","UYGUN")))),"EKSİK"))))</f>
        <v/>
      </c>
      <c r="Q2905" s="2"/>
      <c r="R2905" s="2"/>
      <c r="S2905" s="1" t="str">
        <f t="shared" si="137"/>
        <v/>
      </c>
      <c r="T2905" s="1" t="str">
        <f>IF(OR($C2905="",$D2905&lt;&gt;"Gelir",$L2905=""),"",IFERROR(INDEX(MUSTERILER!$B$7:$B$156,MATCH($S2905,MUSTERILER!$T$7:$T$156,0)),""))</f>
        <v/>
      </c>
      <c r="U2905" s="1" t="str">
        <f>IF($T2905="","",$T2905&amp;"|"&amp;COUNTIFS($T$7:$T2905,$T2905))</f>
        <v/>
      </c>
      <c r="V2905" s="1">
        <f t="shared" si="138"/>
        <v>0</v>
      </c>
      <c r="W2905" s="1" t="str">
        <f t="shared" si="139"/>
        <v/>
      </c>
      <c r="X2905" s="1"/>
      <c r="Y2905" s="1"/>
      <c r="Z2905" s="1"/>
      <c r="AA2905" s="1"/>
      <c r="AB2905" s="1"/>
      <c r="AC2905" s="1"/>
      <c r="AD2905" s="1">
        <f>IF($C2905="",0,SUMPRODUCT((AY_SONU!$O$7:$O$42="Evet")*(AY_SONU!$B$7:$B$42=DATE(YEAR($C2905),MONTH($C2905),1))))</f>
        <v>0</v>
      </c>
      <c r="AE2905" s="1" t="str">
        <f>IF($E2905="","",$E2905&amp;"|"&amp;COUNTIFS($E$7:$E2905,$E2905))</f>
        <v/>
      </c>
    </row>
    <row r="2906" spans="1:31" ht="18" customHeight="1" x14ac:dyDescent="0.3">
      <c r="A2906" s="2"/>
      <c r="B2906" s="65" t="str">
        <f>IF($C2906="","","GG"&amp;TEXT(ROW()-6,"00000"))</f>
        <v/>
      </c>
      <c r="C2906" s="66"/>
      <c r="D2906" s="60"/>
      <c r="E2906" s="61"/>
      <c r="F2906" s="61"/>
      <c r="G2906" s="67"/>
      <c r="H2906" s="60"/>
      <c r="I2906" s="60"/>
      <c r="J2906" s="61"/>
      <c r="K2906" s="61"/>
      <c r="L2906" s="60"/>
      <c r="M2906" s="74" t="str">
        <f>IF($C2906="","",IF($D2906="Gider",$E2906,IF($L2906&lt;&gt;"",$L2906,$H2906)))</f>
        <v/>
      </c>
      <c r="N2906" s="74" t="str">
        <f>IF($C2906="","",IF($D2906="Gider",$H2906,$E2906))</f>
        <v/>
      </c>
      <c r="O2906" s="73" t="str">
        <f>IF($C2906="","",DATE(YEAR($C2906),MONTH($C2906),1))</f>
        <v/>
      </c>
      <c r="P2906" s="65" t="str">
        <f ca="1">IF($C2906="","",IF(AND($D2906="Gelir",$L2906&lt;&gt;"",$T2906=""),"TANIMSIZ BORÇLU",IF($T2906&lt;&gt;"",IF(OR($E2906="",$G2906&lt;=0),"EKSİK",IF($I2906="Evet","TAHAKKUK NAKİT OLAMAZ",IF($C2906&gt;TODAY(),"İLERİ TARİH","TAHAKKUK"))),IF(AND($D2906&lt;&gt;"",$E2906&lt;&gt;"",$G2906&gt;0,$H2906&lt;&gt;"",$I2906&lt;&gt;""),IF($C2906&gt;TODAY(),"İLERİ TARİH",IF(COUNTIF($W$7:$W$3001,$W2906)&gt;1,"MÜKERRER?",IF($AD2906&gt;0,"KAPALI DÖNEM",IF($I2906="Hayır","ÖDENECEK","UYGUN")))),"EKSİK"))))</f>
        <v/>
      </c>
      <c r="Q2906" s="2"/>
      <c r="R2906" s="2"/>
      <c r="S2906" s="1" t="str">
        <f t="shared" si="137"/>
        <v/>
      </c>
      <c r="T2906" s="1" t="str">
        <f>IF(OR($C2906="",$D2906&lt;&gt;"Gelir",$L2906=""),"",IFERROR(INDEX(MUSTERILER!$B$7:$B$156,MATCH($S2906,MUSTERILER!$T$7:$T$156,0)),""))</f>
        <v/>
      </c>
      <c r="U2906" s="1" t="str">
        <f>IF($T2906="","",$T2906&amp;"|"&amp;COUNTIFS($T$7:$T2906,$T2906))</f>
        <v/>
      </c>
      <c r="V2906" s="1">
        <f t="shared" si="138"/>
        <v>0</v>
      </c>
      <c r="W2906" s="1" t="str">
        <f t="shared" si="139"/>
        <v/>
      </c>
      <c r="X2906" s="1"/>
      <c r="Y2906" s="1"/>
      <c r="Z2906" s="1"/>
      <c r="AA2906" s="1"/>
      <c r="AB2906" s="1"/>
      <c r="AC2906" s="1"/>
      <c r="AD2906" s="1">
        <f>IF($C2906="",0,SUMPRODUCT((AY_SONU!$O$7:$O$42="Evet")*(AY_SONU!$B$7:$B$42=DATE(YEAR($C2906),MONTH($C2906),1))))</f>
        <v>0</v>
      </c>
      <c r="AE2906" s="1" t="str">
        <f>IF($E2906="","",$E2906&amp;"|"&amp;COUNTIFS($E$7:$E2906,$E2906))</f>
        <v/>
      </c>
    </row>
    <row r="2907" spans="1:31" ht="18" customHeight="1" x14ac:dyDescent="0.3">
      <c r="A2907" s="2"/>
      <c r="B2907" s="65" t="str">
        <f>IF($C2907="","","GG"&amp;TEXT(ROW()-6,"00000"))</f>
        <v/>
      </c>
      <c r="C2907" s="66"/>
      <c r="D2907" s="60"/>
      <c r="E2907" s="61"/>
      <c r="F2907" s="61"/>
      <c r="G2907" s="67"/>
      <c r="H2907" s="60"/>
      <c r="I2907" s="60"/>
      <c r="J2907" s="61"/>
      <c r="K2907" s="61"/>
      <c r="L2907" s="60"/>
      <c r="M2907" s="74" t="str">
        <f>IF($C2907="","",IF($D2907="Gider",$E2907,IF($L2907&lt;&gt;"",$L2907,$H2907)))</f>
        <v/>
      </c>
      <c r="N2907" s="74" t="str">
        <f>IF($C2907="","",IF($D2907="Gider",$H2907,$E2907))</f>
        <v/>
      </c>
      <c r="O2907" s="73" t="str">
        <f>IF($C2907="","",DATE(YEAR($C2907),MONTH($C2907),1))</f>
        <v/>
      </c>
      <c r="P2907" s="65" t="str">
        <f ca="1">IF($C2907="","",IF(AND($D2907="Gelir",$L2907&lt;&gt;"",$T2907=""),"TANIMSIZ BORÇLU",IF($T2907&lt;&gt;"",IF(OR($E2907="",$G2907&lt;=0),"EKSİK",IF($I2907="Evet","TAHAKKUK NAKİT OLAMAZ",IF($C2907&gt;TODAY(),"İLERİ TARİH","TAHAKKUK"))),IF(AND($D2907&lt;&gt;"",$E2907&lt;&gt;"",$G2907&gt;0,$H2907&lt;&gt;"",$I2907&lt;&gt;""),IF($C2907&gt;TODAY(),"İLERİ TARİH",IF(COUNTIF($W$7:$W$3001,$W2907)&gt;1,"MÜKERRER?",IF($AD2907&gt;0,"KAPALI DÖNEM",IF($I2907="Hayır","ÖDENECEK","UYGUN")))),"EKSİK"))))</f>
        <v/>
      </c>
      <c r="Q2907" s="2"/>
      <c r="R2907" s="2"/>
      <c r="S2907" s="1" t="str">
        <f t="shared" si="137"/>
        <v/>
      </c>
      <c r="T2907" s="1" t="str">
        <f>IF(OR($C2907="",$D2907&lt;&gt;"Gelir",$L2907=""),"",IFERROR(INDEX(MUSTERILER!$B$7:$B$156,MATCH($S2907,MUSTERILER!$T$7:$T$156,0)),""))</f>
        <v/>
      </c>
      <c r="U2907" s="1" t="str">
        <f>IF($T2907="","",$T2907&amp;"|"&amp;COUNTIFS($T$7:$T2907,$T2907))</f>
        <v/>
      </c>
      <c r="V2907" s="1">
        <f t="shared" si="138"/>
        <v>0</v>
      </c>
      <c r="W2907" s="1" t="str">
        <f t="shared" si="139"/>
        <v/>
      </c>
      <c r="X2907" s="1"/>
      <c r="Y2907" s="1"/>
      <c r="Z2907" s="1"/>
      <c r="AA2907" s="1"/>
      <c r="AB2907" s="1"/>
      <c r="AC2907" s="1"/>
      <c r="AD2907" s="1">
        <f>IF($C2907="",0,SUMPRODUCT((AY_SONU!$O$7:$O$42="Evet")*(AY_SONU!$B$7:$B$42=DATE(YEAR($C2907),MONTH($C2907),1))))</f>
        <v>0</v>
      </c>
      <c r="AE2907" s="1" t="str">
        <f>IF($E2907="","",$E2907&amp;"|"&amp;COUNTIFS($E$7:$E2907,$E2907))</f>
        <v/>
      </c>
    </row>
    <row r="2908" spans="1:31" ht="18" customHeight="1" x14ac:dyDescent="0.3">
      <c r="A2908" s="2"/>
      <c r="B2908" s="65" t="str">
        <f>IF($C2908="","","GG"&amp;TEXT(ROW()-6,"00000"))</f>
        <v/>
      </c>
      <c r="C2908" s="66"/>
      <c r="D2908" s="60"/>
      <c r="E2908" s="61"/>
      <c r="F2908" s="61"/>
      <c r="G2908" s="67"/>
      <c r="H2908" s="60"/>
      <c r="I2908" s="60"/>
      <c r="J2908" s="61"/>
      <c r="K2908" s="61"/>
      <c r="L2908" s="60"/>
      <c r="M2908" s="74" t="str">
        <f>IF($C2908="","",IF($D2908="Gider",$E2908,IF($L2908&lt;&gt;"",$L2908,$H2908)))</f>
        <v/>
      </c>
      <c r="N2908" s="74" t="str">
        <f>IF($C2908="","",IF($D2908="Gider",$H2908,$E2908))</f>
        <v/>
      </c>
      <c r="O2908" s="73" t="str">
        <f>IF($C2908="","",DATE(YEAR($C2908),MONTH($C2908),1))</f>
        <v/>
      </c>
      <c r="P2908" s="65" t="str">
        <f ca="1">IF($C2908="","",IF(AND($D2908="Gelir",$L2908&lt;&gt;"",$T2908=""),"TANIMSIZ BORÇLU",IF($T2908&lt;&gt;"",IF(OR($E2908="",$G2908&lt;=0),"EKSİK",IF($I2908="Evet","TAHAKKUK NAKİT OLAMAZ",IF($C2908&gt;TODAY(),"İLERİ TARİH","TAHAKKUK"))),IF(AND($D2908&lt;&gt;"",$E2908&lt;&gt;"",$G2908&gt;0,$H2908&lt;&gt;"",$I2908&lt;&gt;""),IF($C2908&gt;TODAY(),"İLERİ TARİH",IF(COUNTIF($W$7:$W$3001,$W2908)&gt;1,"MÜKERRER?",IF($AD2908&gt;0,"KAPALI DÖNEM",IF($I2908="Hayır","ÖDENECEK","UYGUN")))),"EKSİK"))))</f>
        <v/>
      </c>
      <c r="Q2908" s="2"/>
      <c r="R2908" s="2"/>
      <c r="S2908" s="1" t="str">
        <f t="shared" si="137"/>
        <v/>
      </c>
      <c r="T2908" s="1" t="str">
        <f>IF(OR($C2908="",$D2908&lt;&gt;"Gelir",$L2908=""),"",IFERROR(INDEX(MUSTERILER!$B$7:$B$156,MATCH($S2908,MUSTERILER!$T$7:$T$156,0)),""))</f>
        <v/>
      </c>
      <c r="U2908" s="1" t="str">
        <f>IF($T2908="","",$T2908&amp;"|"&amp;COUNTIFS($T$7:$T2908,$T2908))</f>
        <v/>
      </c>
      <c r="V2908" s="1">
        <f t="shared" si="138"/>
        <v>0</v>
      </c>
      <c r="W2908" s="1" t="str">
        <f t="shared" si="139"/>
        <v/>
      </c>
      <c r="X2908" s="1"/>
      <c r="Y2908" s="1"/>
      <c r="Z2908" s="1"/>
      <c r="AA2908" s="1"/>
      <c r="AB2908" s="1"/>
      <c r="AC2908" s="1"/>
      <c r="AD2908" s="1">
        <f>IF($C2908="",0,SUMPRODUCT((AY_SONU!$O$7:$O$42="Evet")*(AY_SONU!$B$7:$B$42=DATE(YEAR($C2908),MONTH($C2908),1))))</f>
        <v>0</v>
      </c>
      <c r="AE2908" s="1" t="str">
        <f>IF($E2908="","",$E2908&amp;"|"&amp;COUNTIFS($E$7:$E2908,$E2908))</f>
        <v/>
      </c>
    </row>
    <row r="2909" spans="1:31" ht="18" customHeight="1" x14ac:dyDescent="0.3">
      <c r="A2909" s="2"/>
      <c r="B2909" s="65" t="str">
        <f>IF($C2909="","","GG"&amp;TEXT(ROW()-6,"00000"))</f>
        <v/>
      </c>
      <c r="C2909" s="66"/>
      <c r="D2909" s="60"/>
      <c r="E2909" s="61"/>
      <c r="F2909" s="61"/>
      <c r="G2909" s="67"/>
      <c r="H2909" s="60"/>
      <c r="I2909" s="60"/>
      <c r="J2909" s="61"/>
      <c r="K2909" s="61"/>
      <c r="L2909" s="60"/>
      <c r="M2909" s="74" t="str">
        <f>IF($C2909="","",IF($D2909="Gider",$E2909,IF($L2909&lt;&gt;"",$L2909,$H2909)))</f>
        <v/>
      </c>
      <c r="N2909" s="74" t="str">
        <f>IF($C2909="","",IF($D2909="Gider",$H2909,$E2909))</f>
        <v/>
      </c>
      <c r="O2909" s="73" t="str">
        <f>IF($C2909="","",DATE(YEAR($C2909),MONTH($C2909),1))</f>
        <v/>
      </c>
      <c r="P2909" s="65" t="str">
        <f ca="1">IF($C2909="","",IF(AND($D2909="Gelir",$L2909&lt;&gt;"",$T2909=""),"TANIMSIZ BORÇLU",IF($T2909&lt;&gt;"",IF(OR($E2909="",$G2909&lt;=0),"EKSİK",IF($I2909="Evet","TAHAKKUK NAKİT OLAMAZ",IF($C2909&gt;TODAY(),"İLERİ TARİH","TAHAKKUK"))),IF(AND($D2909&lt;&gt;"",$E2909&lt;&gt;"",$G2909&gt;0,$H2909&lt;&gt;"",$I2909&lt;&gt;""),IF($C2909&gt;TODAY(),"İLERİ TARİH",IF(COUNTIF($W$7:$W$3001,$W2909)&gt;1,"MÜKERRER?",IF($AD2909&gt;0,"KAPALI DÖNEM",IF($I2909="Hayır","ÖDENECEK","UYGUN")))),"EKSİK"))))</f>
        <v/>
      </c>
      <c r="Q2909" s="2"/>
      <c r="R2909" s="2"/>
      <c r="S2909" s="1" t="str">
        <f t="shared" si="137"/>
        <v/>
      </c>
      <c r="T2909" s="1" t="str">
        <f>IF(OR($C2909="",$D2909&lt;&gt;"Gelir",$L2909=""),"",IFERROR(INDEX(MUSTERILER!$B$7:$B$156,MATCH($S2909,MUSTERILER!$T$7:$T$156,0)),""))</f>
        <v/>
      </c>
      <c r="U2909" s="1" t="str">
        <f>IF($T2909="","",$T2909&amp;"|"&amp;COUNTIFS($T$7:$T2909,$T2909))</f>
        <v/>
      </c>
      <c r="V2909" s="1">
        <f t="shared" si="138"/>
        <v>0</v>
      </c>
      <c r="W2909" s="1" t="str">
        <f t="shared" si="139"/>
        <v/>
      </c>
      <c r="X2909" s="1"/>
      <c r="Y2909" s="1"/>
      <c r="Z2909" s="1"/>
      <c r="AA2909" s="1"/>
      <c r="AB2909" s="1"/>
      <c r="AC2909" s="1"/>
      <c r="AD2909" s="1">
        <f>IF($C2909="",0,SUMPRODUCT((AY_SONU!$O$7:$O$42="Evet")*(AY_SONU!$B$7:$B$42=DATE(YEAR($C2909),MONTH($C2909),1))))</f>
        <v>0</v>
      </c>
      <c r="AE2909" s="1" t="str">
        <f>IF($E2909="","",$E2909&amp;"|"&amp;COUNTIFS($E$7:$E2909,$E2909))</f>
        <v/>
      </c>
    </row>
    <row r="2910" spans="1:31" ht="18" customHeight="1" x14ac:dyDescent="0.3">
      <c r="A2910" s="2"/>
      <c r="B2910" s="65" t="str">
        <f>IF($C2910="","","GG"&amp;TEXT(ROW()-6,"00000"))</f>
        <v/>
      </c>
      <c r="C2910" s="66"/>
      <c r="D2910" s="60"/>
      <c r="E2910" s="61"/>
      <c r="F2910" s="61"/>
      <c r="G2910" s="67"/>
      <c r="H2910" s="60"/>
      <c r="I2910" s="60"/>
      <c r="J2910" s="61"/>
      <c r="K2910" s="61"/>
      <c r="L2910" s="60"/>
      <c r="M2910" s="74" t="str">
        <f>IF($C2910="","",IF($D2910="Gider",$E2910,IF($L2910&lt;&gt;"",$L2910,$H2910)))</f>
        <v/>
      </c>
      <c r="N2910" s="74" t="str">
        <f>IF($C2910="","",IF($D2910="Gider",$H2910,$E2910))</f>
        <v/>
      </c>
      <c r="O2910" s="73" t="str">
        <f>IF($C2910="","",DATE(YEAR($C2910),MONTH($C2910),1))</f>
        <v/>
      </c>
      <c r="P2910" s="65" t="str">
        <f ca="1">IF($C2910="","",IF(AND($D2910="Gelir",$L2910&lt;&gt;"",$T2910=""),"TANIMSIZ BORÇLU",IF($T2910&lt;&gt;"",IF(OR($E2910="",$G2910&lt;=0),"EKSİK",IF($I2910="Evet","TAHAKKUK NAKİT OLAMAZ",IF($C2910&gt;TODAY(),"İLERİ TARİH","TAHAKKUK"))),IF(AND($D2910&lt;&gt;"",$E2910&lt;&gt;"",$G2910&gt;0,$H2910&lt;&gt;"",$I2910&lt;&gt;""),IF($C2910&gt;TODAY(),"İLERİ TARİH",IF(COUNTIF($W$7:$W$3001,$W2910)&gt;1,"MÜKERRER?",IF($AD2910&gt;0,"KAPALI DÖNEM",IF($I2910="Hayır","ÖDENECEK","UYGUN")))),"EKSİK"))))</f>
        <v/>
      </c>
      <c r="Q2910" s="2"/>
      <c r="R2910" s="2"/>
      <c r="S2910" s="1" t="str">
        <f t="shared" si="137"/>
        <v/>
      </c>
      <c r="T2910" s="1" t="str">
        <f>IF(OR($C2910="",$D2910&lt;&gt;"Gelir",$L2910=""),"",IFERROR(INDEX(MUSTERILER!$B$7:$B$156,MATCH($S2910,MUSTERILER!$T$7:$T$156,0)),""))</f>
        <v/>
      </c>
      <c r="U2910" s="1" t="str">
        <f>IF($T2910="","",$T2910&amp;"|"&amp;COUNTIFS($T$7:$T2910,$T2910))</f>
        <v/>
      </c>
      <c r="V2910" s="1">
        <f t="shared" si="138"/>
        <v>0</v>
      </c>
      <c r="W2910" s="1" t="str">
        <f t="shared" si="139"/>
        <v/>
      </c>
      <c r="X2910" s="1"/>
      <c r="Y2910" s="1"/>
      <c r="Z2910" s="1"/>
      <c r="AA2910" s="1"/>
      <c r="AB2910" s="1"/>
      <c r="AC2910" s="1"/>
      <c r="AD2910" s="1">
        <f>IF($C2910="",0,SUMPRODUCT((AY_SONU!$O$7:$O$42="Evet")*(AY_SONU!$B$7:$B$42=DATE(YEAR($C2910),MONTH($C2910),1))))</f>
        <v>0</v>
      </c>
      <c r="AE2910" s="1" t="str">
        <f>IF($E2910="","",$E2910&amp;"|"&amp;COUNTIFS($E$7:$E2910,$E2910))</f>
        <v/>
      </c>
    </row>
    <row r="2911" spans="1:31" ht="18" customHeight="1" x14ac:dyDescent="0.3">
      <c r="A2911" s="2"/>
      <c r="B2911" s="65" t="str">
        <f>IF($C2911="","","GG"&amp;TEXT(ROW()-6,"00000"))</f>
        <v/>
      </c>
      <c r="C2911" s="66"/>
      <c r="D2911" s="60"/>
      <c r="E2911" s="61"/>
      <c r="F2911" s="61"/>
      <c r="G2911" s="67"/>
      <c r="H2911" s="60"/>
      <c r="I2911" s="60"/>
      <c r="J2911" s="61"/>
      <c r="K2911" s="61"/>
      <c r="L2911" s="60"/>
      <c r="M2911" s="74" t="str">
        <f>IF($C2911="","",IF($D2911="Gider",$E2911,IF($L2911&lt;&gt;"",$L2911,$H2911)))</f>
        <v/>
      </c>
      <c r="N2911" s="74" t="str">
        <f>IF($C2911="","",IF($D2911="Gider",$H2911,$E2911))</f>
        <v/>
      </c>
      <c r="O2911" s="73" t="str">
        <f>IF($C2911="","",DATE(YEAR($C2911),MONTH($C2911),1))</f>
        <v/>
      </c>
      <c r="P2911" s="65" t="str">
        <f ca="1">IF($C2911="","",IF(AND($D2911="Gelir",$L2911&lt;&gt;"",$T2911=""),"TANIMSIZ BORÇLU",IF($T2911&lt;&gt;"",IF(OR($E2911="",$G2911&lt;=0),"EKSİK",IF($I2911="Evet","TAHAKKUK NAKİT OLAMAZ",IF($C2911&gt;TODAY(),"İLERİ TARİH","TAHAKKUK"))),IF(AND($D2911&lt;&gt;"",$E2911&lt;&gt;"",$G2911&gt;0,$H2911&lt;&gt;"",$I2911&lt;&gt;""),IF($C2911&gt;TODAY(),"İLERİ TARİH",IF(COUNTIF($W$7:$W$3001,$W2911)&gt;1,"MÜKERRER?",IF($AD2911&gt;0,"KAPALI DÖNEM",IF($I2911="Hayır","ÖDENECEK","UYGUN")))),"EKSİK"))))</f>
        <v/>
      </c>
      <c r="Q2911" s="2"/>
      <c r="R2911" s="2"/>
      <c r="S2911" s="1" t="str">
        <f t="shared" si="137"/>
        <v/>
      </c>
      <c r="T2911" s="1" t="str">
        <f>IF(OR($C2911="",$D2911&lt;&gt;"Gelir",$L2911=""),"",IFERROR(INDEX(MUSTERILER!$B$7:$B$156,MATCH($S2911,MUSTERILER!$T$7:$T$156,0)),""))</f>
        <v/>
      </c>
      <c r="U2911" s="1" t="str">
        <f>IF($T2911="","",$T2911&amp;"|"&amp;COUNTIFS($T$7:$T2911,$T2911))</f>
        <v/>
      </c>
      <c r="V2911" s="1">
        <f t="shared" si="138"/>
        <v>0</v>
      </c>
      <c r="W2911" s="1" t="str">
        <f t="shared" si="139"/>
        <v/>
      </c>
      <c r="X2911" s="1"/>
      <c r="Y2911" s="1"/>
      <c r="Z2911" s="1"/>
      <c r="AA2911" s="1"/>
      <c r="AB2911" s="1"/>
      <c r="AC2911" s="1"/>
      <c r="AD2911" s="1">
        <f>IF($C2911="",0,SUMPRODUCT((AY_SONU!$O$7:$O$42="Evet")*(AY_SONU!$B$7:$B$42=DATE(YEAR($C2911),MONTH($C2911),1))))</f>
        <v>0</v>
      </c>
      <c r="AE2911" s="1" t="str">
        <f>IF($E2911="","",$E2911&amp;"|"&amp;COUNTIFS($E$7:$E2911,$E2911))</f>
        <v/>
      </c>
    </row>
    <row r="2912" spans="1:31" ht="18" customHeight="1" x14ac:dyDescent="0.3">
      <c r="A2912" s="2"/>
      <c r="B2912" s="65" t="str">
        <f>IF($C2912="","","GG"&amp;TEXT(ROW()-6,"00000"))</f>
        <v/>
      </c>
      <c r="C2912" s="66"/>
      <c r="D2912" s="60"/>
      <c r="E2912" s="61"/>
      <c r="F2912" s="61"/>
      <c r="G2912" s="67"/>
      <c r="H2912" s="60"/>
      <c r="I2912" s="60"/>
      <c r="J2912" s="61"/>
      <c r="K2912" s="61"/>
      <c r="L2912" s="60"/>
      <c r="M2912" s="74" t="str">
        <f>IF($C2912="","",IF($D2912="Gider",$E2912,IF($L2912&lt;&gt;"",$L2912,$H2912)))</f>
        <v/>
      </c>
      <c r="N2912" s="74" t="str">
        <f>IF($C2912="","",IF($D2912="Gider",$H2912,$E2912))</f>
        <v/>
      </c>
      <c r="O2912" s="73" t="str">
        <f>IF($C2912="","",DATE(YEAR($C2912),MONTH($C2912),1))</f>
        <v/>
      </c>
      <c r="P2912" s="65" t="str">
        <f ca="1">IF($C2912="","",IF(AND($D2912="Gelir",$L2912&lt;&gt;"",$T2912=""),"TANIMSIZ BORÇLU",IF($T2912&lt;&gt;"",IF(OR($E2912="",$G2912&lt;=0),"EKSİK",IF($I2912="Evet","TAHAKKUK NAKİT OLAMAZ",IF($C2912&gt;TODAY(),"İLERİ TARİH","TAHAKKUK"))),IF(AND($D2912&lt;&gt;"",$E2912&lt;&gt;"",$G2912&gt;0,$H2912&lt;&gt;"",$I2912&lt;&gt;""),IF($C2912&gt;TODAY(),"İLERİ TARİH",IF(COUNTIF($W$7:$W$3001,$W2912)&gt;1,"MÜKERRER?",IF($AD2912&gt;0,"KAPALI DÖNEM",IF($I2912="Hayır","ÖDENECEK","UYGUN")))),"EKSİK"))))</f>
        <v/>
      </c>
      <c r="Q2912" s="2"/>
      <c r="R2912" s="2"/>
      <c r="S2912" s="1" t="str">
        <f t="shared" si="137"/>
        <v/>
      </c>
      <c r="T2912" s="1" t="str">
        <f>IF(OR($C2912="",$D2912&lt;&gt;"Gelir",$L2912=""),"",IFERROR(INDEX(MUSTERILER!$B$7:$B$156,MATCH($S2912,MUSTERILER!$T$7:$T$156,0)),""))</f>
        <v/>
      </c>
      <c r="U2912" s="1" t="str">
        <f>IF($T2912="","",$T2912&amp;"|"&amp;COUNTIFS($T$7:$T2912,$T2912))</f>
        <v/>
      </c>
      <c r="V2912" s="1">
        <f t="shared" si="138"/>
        <v>0</v>
      </c>
      <c r="W2912" s="1" t="str">
        <f t="shared" si="139"/>
        <v/>
      </c>
      <c r="X2912" s="1"/>
      <c r="Y2912" s="1"/>
      <c r="Z2912" s="1"/>
      <c r="AA2912" s="1"/>
      <c r="AB2912" s="1"/>
      <c r="AC2912" s="1"/>
      <c r="AD2912" s="1">
        <f>IF($C2912="",0,SUMPRODUCT((AY_SONU!$O$7:$O$42="Evet")*(AY_SONU!$B$7:$B$42=DATE(YEAR($C2912),MONTH($C2912),1))))</f>
        <v>0</v>
      </c>
      <c r="AE2912" s="1" t="str">
        <f>IF($E2912="","",$E2912&amp;"|"&amp;COUNTIFS($E$7:$E2912,$E2912))</f>
        <v/>
      </c>
    </row>
    <row r="2913" spans="1:31" ht="18" customHeight="1" x14ac:dyDescent="0.3">
      <c r="A2913" s="2"/>
      <c r="B2913" s="65" t="str">
        <f>IF($C2913="","","GG"&amp;TEXT(ROW()-6,"00000"))</f>
        <v/>
      </c>
      <c r="C2913" s="66"/>
      <c r="D2913" s="60"/>
      <c r="E2913" s="61"/>
      <c r="F2913" s="61"/>
      <c r="G2913" s="67"/>
      <c r="H2913" s="60"/>
      <c r="I2913" s="60"/>
      <c r="J2913" s="61"/>
      <c r="K2913" s="61"/>
      <c r="L2913" s="60"/>
      <c r="M2913" s="74" t="str">
        <f>IF($C2913="","",IF($D2913="Gider",$E2913,IF($L2913&lt;&gt;"",$L2913,$H2913)))</f>
        <v/>
      </c>
      <c r="N2913" s="74" t="str">
        <f>IF($C2913="","",IF($D2913="Gider",$H2913,$E2913))</f>
        <v/>
      </c>
      <c r="O2913" s="73" t="str">
        <f>IF($C2913="","",DATE(YEAR($C2913),MONTH($C2913),1))</f>
        <v/>
      </c>
      <c r="P2913" s="65" t="str">
        <f ca="1">IF($C2913="","",IF(AND($D2913="Gelir",$L2913&lt;&gt;"",$T2913=""),"TANIMSIZ BORÇLU",IF($T2913&lt;&gt;"",IF(OR($E2913="",$G2913&lt;=0),"EKSİK",IF($I2913="Evet","TAHAKKUK NAKİT OLAMAZ",IF($C2913&gt;TODAY(),"İLERİ TARİH","TAHAKKUK"))),IF(AND($D2913&lt;&gt;"",$E2913&lt;&gt;"",$G2913&gt;0,$H2913&lt;&gt;"",$I2913&lt;&gt;""),IF($C2913&gt;TODAY(),"İLERİ TARİH",IF(COUNTIF($W$7:$W$3001,$W2913)&gt;1,"MÜKERRER?",IF($AD2913&gt;0,"KAPALI DÖNEM",IF($I2913="Hayır","ÖDENECEK","UYGUN")))),"EKSİK"))))</f>
        <v/>
      </c>
      <c r="Q2913" s="2"/>
      <c r="R2913" s="2"/>
      <c r="S2913" s="1" t="str">
        <f t="shared" si="137"/>
        <v/>
      </c>
      <c r="T2913" s="1" t="str">
        <f>IF(OR($C2913="",$D2913&lt;&gt;"Gelir",$L2913=""),"",IFERROR(INDEX(MUSTERILER!$B$7:$B$156,MATCH($S2913,MUSTERILER!$T$7:$T$156,0)),""))</f>
        <v/>
      </c>
      <c r="U2913" s="1" t="str">
        <f>IF($T2913="","",$T2913&amp;"|"&amp;COUNTIFS($T$7:$T2913,$T2913))</f>
        <v/>
      </c>
      <c r="V2913" s="1">
        <f t="shared" si="138"/>
        <v>0</v>
      </c>
      <c r="W2913" s="1" t="str">
        <f t="shared" si="139"/>
        <v/>
      </c>
      <c r="X2913" s="1"/>
      <c r="Y2913" s="1"/>
      <c r="Z2913" s="1"/>
      <c r="AA2913" s="1"/>
      <c r="AB2913" s="1"/>
      <c r="AC2913" s="1"/>
      <c r="AD2913" s="1">
        <f>IF($C2913="",0,SUMPRODUCT((AY_SONU!$O$7:$O$42="Evet")*(AY_SONU!$B$7:$B$42=DATE(YEAR($C2913),MONTH($C2913),1))))</f>
        <v>0</v>
      </c>
      <c r="AE2913" s="1" t="str">
        <f>IF($E2913="","",$E2913&amp;"|"&amp;COUNTIFS($E$7:$E2913,$E2913))</f>
        <v/>
      </c>
    </row>
    <row r="2914" spans="1:31" ht="18" customHeight="1" x14ac:dyDescent="0.3">
      <c r="A2914" s="2"/>
      <c r="B2914" s="65" t="str">
        <f>IF($C2914="","","GG"&amp;TEXT(ROW()-6,"00000"))</f>
        <v/>
      </c>
      <c r="C2914" s="66"/>
      <c r="D2914" s="60"/>
      <c r="E2914" s="61"/>
      <c r="F2914" s="61"/>
      <c r="G2914" s="67"/>
      <c r="H2914" s="60"/>
      <c r="I2914" s="60"/>
      <c r="J2914" s="61"/>
      <c r="K2914" s="61"/>
      <c r="L2914" s="60"/>
      <c r="M2914" s="74" t="str">
        <f>IF($C2914="","",IF($D2914="Gider",$E2914,IF($L2914&lt;&gt;"",$L2914,$H2914)))</f>
        <v/>
      </c>
      <c r="N2914" s="74" t="str">
        <f>IF($C2914="","",IF($D2914="Gider",$H2914,$E2914))</f>
        <v/>
      </c>
      <c r="O2914" s="73" t="str">
        <f>IF($C2914="","",DATE(YEAR($C2914),MONTH($C2914),1))</f>
        <v/>
      </c>
      <c r="P2914" s="65" t="str">
        <f ca="1">IF($C2914="","",IF(AND($D2914="Gelir",$L2914&lt;&gt;"",$T2914=""),"TANIMSIZ BORÇLU",IF($T2914&lt;&gt;"",IF(OR($E2914="",$G2914&lt;=0),"EKSİK",IF($I2914="Evet","TAHAKKUK NAKİT OLAMAZ",IF($C2914&gt;TODAY(),"İLERİ TARİH","TAHAKKUK"))),IF(AND($D2914&lt;&gt;"",$E2914&lt;&gt;"",$G2914&gt;0,$H2914&lt;&gt;"",$I2914&lt;&gt;""),IF($C2914&gt;TODAY(),"İLERİ TARİH",IF(COUNTIF($W$7:$W$3001,$W2914)&gt;1,"MÜKERRER?",IF($AD2914&gt;0,"KAPALI DÖNEM",IF($I2914="Hayır","ÖDENECEK","UYGUN")))),"EKSİK"))))</f>
        <v/>
      </c>
      <c r="Q2914" s="2"/>
      <c r="R2914" s="2"/>
      <c r="S2914" s="1" t="str">
        <f t="shared" si="137"/>
        <v/>
      </c>
      <c r="T2914" s="1" t="str">
        <f>IF(OR($C2914="",$D2914&lt;&gt;"Gelir",$L2914=""),"",IFERROR(INDEX(MUSTERILER!$B$7:$B$156,MATCH($S2914,MUSTERILER!$T$7:$T$156,0)),""))</f>
        <v/>
      </c>
      <c r="U2914" s="1" t="str">
        <f>IF($T2914="","",$T2914&amp;"|"&amp;COUNTIFS($T$7:$T2914,$T2914))</f>
        <v/>
      </c>
      <c r="V2914" s="1">
        <f t="shared" si="138"/>
        <v>0</v>
      </c>
      <c r="W2914" s="1" t="str">
        <f t="shared" si="139"/>
        <v/>
      </c>
      <c r="X2914" s="1"/>
      <c r="Y2914" s="1"/>
      <c r="Z2914" s="1"/>
      <c r="AA2914" s="1"/>
      <c r="AB2914" s="1"/>
      <c r="AC2914" s="1"/>
      <c r="AD2914" s="1">
        <f>IF($C2914="",0,SUMPRODUCT((AY_SONU!$O$7:$O$42="Evet")*(AY_SONU!$B$7:$B$42=DATE(YEAR($C2914),MONTH($C2914),1))))</f>
        <v>0</v>
      </c>
      <c r="AE2914" s="1" t="str">
        <f>IF($E2914="","",$E2914&amp;"|"&amp;COUNTIFS($E$7:$E2914,$E2914))</f>
        <v/>
      </c>
    </row>
    <row r="2915" spans="1:31" ht="18" customHeight="1" x14ac:dyDescent="0.3">
      <c r="A2915" s="2"/>
      <c r="B2915" s="65" t="str">
        <f>IF($C2915="","","GG"&amp;TEXT(ROW()-6,"00000"))</f>
        <v/>
      </c>
      <c r="C2915" s="66"/>
      <c r="D2915" s="60"/>
      <c r="E2915" s="61"/>
      <c r="F2915" s="61"/>
      <c r="G2915" s="67"/>
      <c r="H2915" s="60"/>
      <c r="I2915" s="60"/>
      <c r="J2915" s="61"/>
      <c r="K2915" s="61"/>
      <c r="L2915" s="60"/>
      <c r="M2915" s="74" t="str">
        <f>IF($C2915="","",IF($D2915="Gider",$E2915,IF($L2915&lt;&gt;"",$L2915,$H2915)))</f>
        <v/>
      </c>
      <c r="N2915" s="74" t="str">
        <f>IF($C2915="","",IF($D2915="Gider",$H2915,$E2915))</f>
        <v/>
      </c>
      <c r="O2915" s="73" t="str">
        <f>IF($C2915="","",DATE(YEAR($C2915),MONTH($C2915),1))</f>
        <v/>
      </c>
      <c r="P2915" s="65" t="str">
        <f ca="1">IF($C2915="","",IF(AND($D2915="Gelir",$L2915&lt;&gt;"",$T2915=""),"TANIMSIZ BORÇLU",IF($T2915&lt;&gt;"",IF(OR($E2915="",$G2915&lt;=0),"EKSİK",IF($I2915="Evet","TAHAKKUK NAKİT OLAMAZ",IF($C2915&gt;TODAY(),"İLERİ TARİH","TAHAKKUK"))),IF(AND($D2915&lt;&gt;"",$E2915&lt;&gt;"",$G2915&gt;0,$H2915&lt;&gt;"",$I2915&lt;&gt;""),IF($C2915&gt;TODAY(),"İLERİ TARİH",IF(COUNTIF($W$7:$W$3001,$W2915)&gt;1,"MÜKERRER?",IF($AD2915&gt;0,"KAPALI DÖNEM",IF($I2915="Hayır","ÖDENECEK","UYGUN")))),"EKSİK"))))</f>
        <v/>
      </c>
      <c r="Q2915" s="2"/>
      <c r="R2915" s="2"/>
      <c r="S2915" s="1" t="str">
        <f t="shared" si="137"/>
        <v/>
      </c>
      <c r="T2915" s="1" t="str">
        <f>IF(OR($C2915="",$D2915&lt;&gt;"Gelir",$L2915=""),"",IFERROR(INDEX(MUSTERILER!$B$7:$B$156,MATCH($S2915,MUSTERILER!$T$7:$T$156,0)),""))</f>
        <v/>
      </c>
      <c r="U2915" s="1" t="str">
        <f>IF($T2915="","",$T2915&amp;"|"&amp;COUNTIFS($T$7:$T2915,$T2915))</f>
        <v/>
      </c>
      <c r="V2915" s="1">
        <f t="shared" si="138"/>
        <v>0</v>
      </c>
      <c r="W2915" s="1" t="str">
        <f t="shared" si="139"/>
        <v/>
      </c>
      <c r="X2915" s="1"/>
      <c r="Y2915" s="1"/>
      <c r="Z2915" s="1"/>
      <c r="AA2915" s="1"/>
      <c r="AB2915" s="1"/>
      <c r="AC2915" s="1"/>
      <c r="AD2915" s="1">
        <f>IF($C2915="",0,SUMPRODUCT((AY_SONU!$O$7:$O$42="Evet")*(AY_SONU!$B$7:$B$42=DATE(YEAR($C2915),MONTH($C2915),1))))</f>
        <v>0</v>
      </c>
      <c r="AE2915" s="1" t="str">
        <f>IF($E2915="","",$E2915&amp;"|"&amp;COUNTIFS($E$7:$E2915,$E2915))</f>
        <v/>
      </c>
    </row>
    <row r="2916" spans="1:31" ht="18" customHeight="1" x14ac:dyDescent="0.3">
      <c r="A2916" s="2"/>
      <c r="B2916" s="65" t="str">
        <f>IF($C2916="","","GG"&amp;TEXT(ROW()-6,"00000"))</f>
        <v/>
      </c>
      <c r="C2916" s="66"/>
      <c r="D2916" s="60"/>
      <c r="E2916" s="61"/>
      <c r="F2916" s="61"/>
      <c r="G2916" s="67"/>
      <c r="H2916" s="60"/>
      <c r="I2916" s="60"/>
      <c r="J2916" s="61"/>
      <c r="K2916" s="61"/>
      <c r="L2916" s="60"/>
      <c r="M2916" s="74" t="str">
        <f>IF($C2916="","",IF($D2916="Gider",$E2916,IF($L2916&lt;&gt;"",$L2916,$H2916)))</f>
        <v/>
      </c>
      <c r="N2916" s="74" t="str">
        <f>IF($C2916="","",IF($D2916="Gider",$H2916,$E2916))</f>
        <v/>
      </c>
      <c r="O2916" s="73" t="str">
        <f>IF($C2916="","",DATE(YEAR($C2916),MONTH($C2916),1))</f>
        <v/>
      </c>
      <c r="P2916" s="65" t="str">
        <f ca="1">IF($C2916="","",IF(AND($D2916="Gelir",$L2916&lt;&gt;"",$T2916=""),"TANIMSIZ BORÇLU",IF($T2916&lt;&gt;"",IF(OR($E2916="",$G2916&lt;=0),"EKSİK",IF($I2916="Evet","TAHAKKUK NAKİT OLAMAZ",IF($C2916&gt;TODAY(),"İLERİ TARİH","TAHAKKUK"))),IF(AND($D2916&lt;&gt;"",$E2916&lt;&gt;"",$G2916&gt;0,$H2916&lt;&gt;"",$I2916&lt;&gt;""),IF($C2916&gt;TODAY(),"İLERİ TARİH",IF(COUNTIF($W$7:$W$3001,$W2916)&gt;1,"MÜKERRER?",IF($AD2916&gt;0,"KAPALI DÖNEM",IF($I2916="Hayır","ÖDENECEK","UYGUN")))),"EKSİK"))))</f>
        <v/>
      </c>
      <c r="Q2916" s="2"/>
      <c r="R2916" s="2"/>
      <c r="S2916" s="1" t="str">
        <f t="shared" si="137"/>
        <v/>
      </c>
      <c r="T2916" s="1" t="str">
        <f>IF(OR($C2916="",$D2916&lt;&gt;"Gelir",$L2916=""),"",IFERROR(INDEX(MUSTERILER!$B$7:$B$156,MATCH($S2916,MUSTERILER!$T$7:$T$156,0)),""))</f>
        <v/>
      </c>
      <c r="U2916" s="1" t="str">
        <f>IF($T2916="","",$T2916&amp;"|"&amp;COUNTIFS($T$7:$T2916,$T2916))</f>
        <v/>
      </c>
      <c r="V2916" s="1">
        <f t="shared" si="138"/>
        <v>0</v>
      </c>
      <c r="W2916" s="1" t="str">
        <f t="shared" si="139"/>
        <v/>
      </c>
      <c r="X2916" s="1"/>
      <c r="Y2916" s="1"/>
      <c r="Z2916" s="1"/>
      <c r="AA2916" s="1"/>
      <c r="AB2916" s="1"/>
      <c r="AC2916" s="1"/>
      <c r="AD2916" s="1">
        <f>IF($C2916="",0,SUMPRODUCT((AY_SONU!$O$7:$O$42="Evet")*(AY_SONU!$B$7:$B$42=DATE(YEAR($C2916),MONTH($C2916),1))))</f>
        <v>0</v>
      </c>
      <c r="AE2916" s="1" t="str">
        <f>IF($E2916="","",$E2916&amp;"|"&amp;COUNTIFS($E$7:$E2916,$E2916))</f>
        <v/>
      </c>
    </row>
    <row r="2917" spans="1:31" ht="18" customHeight="1" x14ac:dyDescent="0.3">
      <c r="A2917" s="2"/>
      <c r="B2917" s="65" t="str">
        <f>IF($C2917="","","GG"&amp;TEXT(ROW()-6,"00000"))</f>
        <v/>
      </c>
      <c r="C2917" s="66"/>
      <c r="D2917" s="60"/>
      <c r="E2917" s="61"/>
      <c r="F2917" s="61"/>
      <c r="G2917" s="67"/>
      <c r="H2917" s="60"/>
      <c r="I2917" s="60"/>
      <c r="J2917" s="61"/>
      <c r="K2917" s="61"/>
      <c r="L2917" s="60"/>
      <c r="M2917" s="74" t="str">
        <f>IF($C2917="","",IF($D2917="Gider",$E2917,IF($L2917&lt;&gt;"",$L2917,$H2917)))</f>
        <v/>
      </c>
      <c r="N2917" s="74" t="str">
        <f>IF($C2917="","",IF($D2917="Gider",$H2917,$E2917))</f>
        <v/>
      </c>
      <c r="O2917" s="73" t="str">
        <f>IF($C2917="","",DATE(YEAR($C2917),MONTH($C2917),1))</f>
        <v/>
      </c>
      <c r="P2917" s="65" t="str">
        <f ca="1">IF($C2917="","",IF(AND($D2917="Gelir",$L2917&lt;&gt;"",$T2917=""),"TANIMSIZ BORÇLU",IF($T2917&lt;&gt;"",IF(OR($E2917="",$G2917&lt;=0),"EKSİK",IF($I2917="Evet","TAHAKKUK NAKİT OLAMAZ",IF($C2917&gt;TODAY(),"İLERİ TARİH","TAHAKKUK"))),IF(AND($D2917&lt;&gt;"",$E2917&lt;&gt;"",$G2917&gt;0,$H2917&lt;&gt;"",$I2917&lt;&gt;""),IF($C2917&gt;TODAY(),"İLERİ TARİH",IF(COUNTIF($W$7:$W$3001,$W2917)&gt;1,"MÜKERRER?",IF($AD2917&gt;0,"KAPALI DÖNEM",IF($I2917="Hayır","ÖDENECEK","UYGUN")))),"EKSİK"))))</f>
        <v/>
      </c>
      <c r="Q2917" s="2"/>
      <c r="R2917" s="2"/>
      <c r="S2917" s="1" t="str">
        <f t="shared" si="137"/>
        <v/>
      </c>
      <c r="T2917" s="1" t="str">
        <f>IF(OR($C2917="",$D2917&lt;&gt;"Gelir",$L2917=""),"",IFERROR(INDEX(MUSTERILER!$B$7:$B$156,MATCH($S2917,MUSTERILER!$T$7:$T$156,0)),""))</f>
        <v/>
      </c>
      <c r="U2917" s="1" t="str">
        <f>IF($T2917="","",$T2917&amp;"|"&amp;COUNTIFS($T$7:$T2917,$T2917))</f>
        <v/>
      </c>
      <c r="V2917" s="1">
        <f t="shared" si="138"/>
        <v>0</v>
      </c>
      <c r="W2917" s="1" t="str">
        <f t="shared" si="139"/>
        <v/>
      </c>
      <c r="X2917" s="1"/>
      <c r="Y2917" s="1"/>
      <c r="Z2917" s="1"/>
      <c r="AA2917" s="1"/>
      <c r="AB2917" s="1"/>
      <c r="AC2917" s="1"/>
      <c r="AD2917" s="1">
        <f>IF($C2917="",0,SUMPRODUCT((AY_SONU!$O$7:$O$42="Evet")*(AY_SONU!$B$7:$B$42=DATE(YEAR($C2917),MONTH($C2917),1))))</f>
        <v>0</v>
      </c>
      <c r="AE2917" s="1" t="str">
        <f>IF($E2917="","",$E2917&amp;"|"&amp;COUNTIFS($E$7:$E2917,$E2917))</f>
        <v/>
      </c>
    </row>
    <row r="2918" spans="1:31" ht="18" customHeight="1" x14ac:dyDescent="0.3">
      <c r="A2918" s="2"/>
      <c r="B2918" s="65" t="str">
        <f>IF($C2918="","","GG"&amp;TEXT(ROW()-6,"00000"))</f>
        <v/>
      </c>
      <c r="C2918" s="66"/>
      <c r="D2918" s="60"/>
      <c r="E2918" s="61"/>
      <c r="F2918" s="61"/>
      <c r="G2918" s="67"/>
      <c r="H2918" s="60"/>
      <c r="I2918" s="60"/>
      <c r="J2918" s="61"/>
      <c r="K2918" s="61"/>
      <c r="L2918" s="60"/>
      <c r="M2918" s="74" t="str">
        <f>IF($C2918="","",IF($D2918="Gider",$E2918,IF($L2918&lt;&gt;"",$L2918,$H2918)))</f>
        <v/>
      </c>
      <c r="N2918" s="74" t="str">
        <f>IF($C2918="","",IF($D2918="Gider",$H2918,$E2918))</f>
        <v/>
      </c>
      <c r="O2918" s="73" t="str">
        <f>IF($C2918="","",DATE(YEAR($C2918),MONTH($C2918),1))</f>
        <v/>
      </c>
      <c r="P2918" s="65" t="str">
        <f ca="1">IF($C2918="","",IF(AND($D2918="Gelir",$L2918&lt;&gt;"",$T2918=""),"TANIMSIZ BORÇLU",IF($T2918&lt;&gt;"",IF(OR($E2918="",$G2918&lt;=0),"EKSİK",IF($I2918="Evet","TAHAKKUK NAKİT OLAMAZ",IF($C2918&gt;TODAY(),"İLERİ TARİH","TAHAKKUK"))),IF(AND($D2918&lt;&gt;"",$E2918&lt;&gt;"",$G2918&gt;0,$H2918&lt;&gt;"",$I2918&lt;&gt;""),IF($C2918&gt;TODAY(),"İLERİ TARİH",IF(COUNTIF($W$7:$W$3001,$W2918)&gt;1,"MÜKERRER?",IF($AD2918&gt;0,"KAPALI DÖNEM",IF($I2918="Hayır","ÖDENECEK","UYGUN")))),"EKSİK"))))</f>
        <v/>
      </c>
      <c r="Q2918" s="2"/>
      <c r="R2918" s="2"/>
      <c r="S2918" s="1" t="str">
        <f t="shared" si="137"/>
        <v/>
      </c>
      <c r="T2918" s="1" t="str">
        <f>IF(OR($C2918="",$D2918&lt;&gt;"Gelir",$L2918=""),"",IFERROR(INDEX(MUSTERILER!$B$7:$B$156,MATCH($S2918,MUSTERILER!$T$7:$T$156,0)),""))</f>
        <v/>
      </c>
      <c r="U2918" s="1" t="str">
        <f>IF($T2918="","",$T2918&amp;"|"&amp;COUNTIFS($T$7:$T2918,$T2918))</f>
        <v/>
      </c>
      <c r="V2918" s="1">
        <f t="shared" si="138"/>
        <v>0</v>
      </c>
      <c r="W2918" s="1" t="str">
        <f t="shared" si="139"/>
        <v/>
      </c>
      <c r="X2918" s="1"/>
      <c r="Y2918" s="1"/>
      <c r="Z2918" s="1"/>
      <c r="AA2918" s="1"/>
      <c r="AB2918" s="1"/>
      <c r="AC2918" s="1"/>
      <c r="AD2918" s="1">
        <f>IF($C2918="",0,SUMPRODUCT((AY_SONU!$O$7:$O$42="Evet")*(AY_SONU!$B$7:$B$42=DATE(YEAR($C2918),MONTH($C2918),1))))</f>
        <v>0</v>
      </c>
      <c r="AE2918" s="1" t="str">
        <f>IF($E2918="","",$E2918&amp;"|"&amp;COUNTIFS($E$7:$E2918,$E2918))</f>
        <v/>
      </c>
    </row>
    <row r="2919" spans="1:31" ht="18" customHeight="1" x14ac:dyDescent="0.3">
      <c r="A2919" s="2"/>
      <c r="B2919" s="65" t="str">
        <f>IF($C2919="","","GG"&amp;TEXT(ROW()-6,"00000"))</f>
        <v/>
      </c>
      <c r="C2919" s="66"/>
      <c r="D2919" s="60"/>
      <c r="E2919" s="61"/>
      <c r="F2919" s="61"/>
      <c r="G2919" s="67"/>
      <c r="H2919" s="60"/>
      <c r="I2919" s="60"/>
      <c r="J2919" s="61"/>
      <c r="K2919" s="61"/>
      <c r="L2919" s="60"/>
      <c r="M2919" s="74" t="str">
        <f>IF($C2919="","",IF($D2919="Gider",$E2919,IF($L2919&lt;&gt;"",$L2919,$H2919)))</f>
        <v/>
      </c>
      <c r="N2919" s="74" t="str">
        <f>IF($C2919="","",IF($D2919="Gider",$H2919,$E2919))</f>
        <v/>
      </c>
      <c r="O2919" s="73" t="str">
        <f>IF($C2919="","",DATE(YEAR($C2919),MONTH($C2919),1))</f>
        <v/>
      </c>
      <c r="P2919" s="65" t="str">
        <f ca="1">IF($C2919="","",IF(AND($D2919="Gelir",$L2919&lt;&gt;"",$T2919=""),"TANIMSIZ BORÇLU",IF($T2919&lt;&gt;"",IF(OR($E2919="",$G2919&lt;=0),"EKSİK",IF($I2919="Evet","TAHAKKUK NAKİT OLAMAZ",IF($C2919&gt;TODAY(),"İLERİ TARİH","TAHAKKUK"))),IF(AND($D2919&lt;&gt;"",$E2919&lt;&gt;"",$G2919&gt;0,$H2919&lt;&gt;"",$I2919&lt;&gt;""),IF($C2919&gt;TODAY(),"İLERİ TARİH",IF(COUNTIF($W$7:$W$3001,$W2919)&gt;1,"MÜKERRER?",IF($AD2919&gt;0,"KAPALI DÖNEM",IF($I2919="Hayır","ÖDENECEK","UYGUN")))),"EKSİK"))))</f>
        <v/>
      </c>
      <c r="Q2919" s="2"/>
      <c r="R2919" s="2"/>
      <c r="S2919" s="1" t="str">
        <f t="shared" si="137"/>
        <v/>
      </c>
      <c r="T2919" s="1" t="str">
        <f>IF(OR($C2919="",$D2919&lt;&gt;"Gelir",$L2919=""),"",IFERROR(INDEX(MUSTERILER!$B$7:$B$156,MATCH($S2919,MUSTERILER!$T$7:$T$156,0)),""))</f>
        <v/>
      </c>
      <c r="U2919" s="1" t="str">
        <f>IF($T2919="","",$T2919&amp;"|"&amp;COUNTIFS($T$7:$T2919,$T2919))</f>
        <v/>
      </c>
      <c r="V2919" s="1">
        <f t="shared" si="138"/>
        <v>0</v>
      </c>
      <c r="W2919" s="1" t="str">
        <f t="shared" si="139"/>
        <v/>
      </c>
      <c r="X2919" s="1"/>
      <c r="Y2919" s="1"/>
      <c r="Z2919" s="1"/>
      <c r="AA2919" s="1"/>
      <c r="AB2919" s="1"/>
      <c r="AC2919" s="1"/>
      <c r="AD2919" s="1">
        <f>IF($C2919="",0,SUMPRODUCT((AY_SONU!$O$7:$O$42="Evet")*(AY_SONU!$B$7:$B$42=DATE(YEAR($C2919),MONTH($C2919),1))))</f>
        <v>0</v>
      </c>
      <c r="AE2919" s="1" t="str">
        <f>IF($E2919="","",$E2919&amp;"|"&amp;COUNTIFS($E$7:$E2919,$E2919))</f>
        <v/>
      </c>
    </row>
    <row r="2920" spans="1:31" ht="18" customHeight="1" x14ac:dyDescent="0.3">
      <c r="A2920" s="2"/>
      <c r="B2920" s="65" t="str">
        <f>IF($C2920="","","GG"&amp;TEXT(ROW()-6,"00000"))</f>
        <v/>
      </c>
      <c r="C2920" s="66"/>
      <c r="D2920" s="60"/>
      <c r="E2920" s="61"/>
      <c r="F2920" s="61"/>
      <c r="G2920" s="67"/>
      <c r="H2920" s="60"/>
      <c r="I2920" s="60"/>
      <c r="J2920" s="61"/>
      <c r="K2920" s="61"/>
      <c r="L2920" s="60"/>
      <c r="M2920" s="74" t="str">
        <f>IF($C2920="","",IF($D2920="Gider",$E2920,IF($L2920&lt;&gt;"",$L2920,$H2920)))</f>
        <v/>
      </c>
      <c r="N2920" s="74" t="str">
        <f>IF($C2920="","",IF($D2920="Gider",$H2920,$E2920))</f>
        <v/>
      </c>
      <c r="O2920" s="73" t="str">
        <f>IF($C2920="","",DATE(YEAR($C2920),MONTH($C2920),1))</f>
        <v/>
      </c>
      <c r="P2920" s="65" t="str">
        <f ca="1">IF($C2920="","",IF(AND($D2920="Gelir",$L2920&lt;&gt;"",$T2920=""),"TANIMSIZ BORÇLU",IF($T2920&lt;&gt;"",IF(OR($E2920="",$G2920&lt;=0),"EKSİK",IF($I2920="Evet","TAHAKKUK NAKİT OLAMAZ",IF($C2920&gt;TODAY(),"İLERİ TARİH","TAHAKKUK"))),IF(AND($D2920&lt;&gt;"",$E2920&lt;&gt;"",$G2920&gt;0,$H2920&lt;&gt;"",$I2920&lt;&gt;""),IF($C2920&gt;TODAY(),"İLERİ TARİH",IF(COUNTIF($W$7:$W$3001,$W2920)&gt;1,"MÜKERRER?",IF($AD2920&gt;0,"KAPALI DÖNEM",IF($I2920="Hayır","ÖDENECEK","UYGUN")))),"EKSİK"))))</f>
        <v/>
      </c>
      <c r="Q2920" s="2"/>
      <c r="R2920" s="2"/>
      <c r="S2920" s="1" t="str">
        <f t="shared" si="137"/>
        <v/>
      </c>
      <c r="T2920" s="1" t="str">
        <f>IF(OR($C2920="",$D2920&lt;&gt;"Gelir",$L2920=""),"",IFERROR(INDEX(MUSTERILER!$B$7:$B$156,MATCH($S2920,MUSTERILER!$T$7:$T$156,0)),""))</f>
        <v/>
      </c>
      <c r="U2920" s="1" t="str">
        <f>IF($T2920="","",$T2920&amp;"|"&amp;COUNTIFS($T$7:$T2920,$T2920))</f>
        <v/>
      </c>
      <c r="V2920" s="1">
        <f t="shared" si="138"/>
        <v>0</v>
      </c>
      <c r="W2920" s="1" t="str">
        <f t="shared" si="139"/>
        <v/>
      </c>
      <c r="X2920" s="1"/>
      <c r="Y2920" s="1"/>
      <c r="Z2920" s="1"/>
      <c r="AA2920" s="1"/>
      <c r="AB2920" s="1"/>
      <c r="AC2920" s="1"/>
      <c r="AD2920" s="1">
        <f>IF($C2920="",0,SUMPRODUCT((AY_SONU!$O$7:$O$42="Evet")*(AY_SONU!$B$7:$B$42=DATE(YEAR($C2920),MONTH($C2920),1))))</f>
        <v>0</v>
      </c>
      <c r="AE2920" s="1" t="str">
        <f>IF($E2920="","",$E2920&amp;"|"&amp;COUNTIFS($E$7:$E2920,$E2920))</f>
        <v/>
      </c>
    </row>
    <row r="2921" spans="1:31" ht="18" customHeight="1" x14ac:dyDescent="0.3">
      <c r="A2921" s="2"/>
      <c r="B2921" s="65" t="str">
        <f>IF($C2921="","","GG"&amp;TEXT(ROW()-6,"00000"))</f>
        <v/>
      </c>
      <c r="C2921" s="66"/>
      <c r="D2921" s="60"/>
      <c r="E2921" s="61"/>
      <c r="F2921" s="61"/>
      <c r="G2921" s="67"/>
      <c r="H2921" s="60"/>
      <c r="I2921" s="60"/>
      <c r="J2921" s="61"/>
      <c r="K2921" s="61"/>
      <c r="L2921" s="60"/>
      <c r="M2921" s="74" t="str">
        <f>IF($C2921="","",IF($D2921="Gider",$E2921,IF($L2921&lt;&gt;"",$L2921,$H2921)))</f>
        <v/>
      </c>
      <c r="N2921" s="74" t="str">
        <f>IF($C2921="","",IF($D2921="Gider",$H2921,$E2921))</f>
        <v/>
      </c>
      <c r="O2921" s="73" t="str">
        <f>IF($C2921="","",DATE(YEAR($C2921),MONTH($C2921),1))</f>
        <v/>
      </c>
      <c r="P2921" s="65" t="str">
        <f ca="1">IF($C2921="","",IF(AND($D2921="Gelir",$L2921&lt;&gt;"",$T2921=""),"TANIMSIZ BORÇLU",IF($T2921&lt;&gt;"",IF(OR($E2921="",$G2921&lt;=0),"EKSİK",IF($I2921="Evet","TAHAKKUK NAKİT OLAMAZ",IF($C2921&gt;TODAY(),"İLERİ TARİH","TAHAKKUK"))),IF(AND($D2921&lt;&gt;"",$E2921&lt;&gt;"",$G2921&gt;0,$H2921&lt;&gt;"",$I2921&lt;&gt;""),IF($C2921&gt;TODAY(),"İLERİ TARİH",IF(COUNTIF($W$7:$W$3001,$W2921)&gt;1,"MÜKERRER?",IF($AD2921&gt;0,"KAPALI DÖNEM",IF($I2921="Hayır","ÖDENECEK","UYGUN")))),"EKSİK"))))</f>
        <v/>
      </c>
      <c r="Q2921" s="2"/>
      <c r="R2921" s="2"/>
      <c r="S2921" s="1" t="str">
        <f t="shared" si="137"/>
        <v/>
      </c>
      <c r="T2921" s="1" t="str">
        <f>IF(OR($C2921="",$D2921&lt;&gt;"Gelir",$L2921=""),"",IFERROR(INDEX(MUSTERILER!$B$7:$B$156,MATCH($S2921,MUSTERILER!$T$7:$T$156,0)),""))</f>
        <v/>
      </c>
      <c r="U2921" s="1" t="str">
        <f>IF($T2921="","",$T2921&amp;"|"&amp;COUNTIFS($T$7:$T2921,$T2921))</f>
        <v/>
      </c>
      <c r="V2921" s="1">
        <f t="shared" si="138"/>
        <v>0</v>
      </c>
      <c r="W2921" s="1" t="str">
        <f t="shared" si="139"/>
        <v/>
      </c>
      <c r="X2921" s="1"/>
      <c r="Y2921" s="1"/>
      <c r="Z2921" s="1"/>
      <c r="AA2921" s="1"/>
      <c r="AB2921" s="1"/>
      <c r="AC2921" s="1"/>
      <c r="AD2921" s="1">
        <f>IF($C2921="",0,SUMPRODUCT((AY_SONU!$O$7:$O$42="Evet")*(AY_SONU!$B$7:$B$42=DATE(YEAR($C2921),MONTH($C2921),1))))</f>
        <v>0</v>
      </c>
      <c r="AE2921" s="1" t="str">
        <f>IF($E2921="","",$E2921&amp;"|"&amp;COUNTIFS($E$7:$E2921,$E2921))</f>
        <v/>
      </c>
    </row>
    <row r="2922" spans="1:31" ht="18" customHeight="1" x14ac:dyDescent="0.3">
      <c r="A2922" s="2"/>
      <c r="B2922" s="65" t="str">
        <f>IF($C2922="","","GG"&amp;TEXT(ROW()-6,"00000"))</f>
        <v/>
      </c>
      <c r="C2922" s="66"/>
      <c r="D2922" s="60"/>
      <c r="E2922" s="61"/>
      <c r="F2922" s="61"/>
      <c r="G2922" s="67"/>
      <c r="H2922" s="60"/>
      <c r="I2922" s="60"/>
      <c r="J2922" s="61"/>
      <c r="K2922" s="61"/>
      <c r="L2922" s="60"/>
      <c r="M2922" s="74" t="str">
        <f>IF($C2922="","",IF($D2922="Gider",$E2922,IF($L2922&lt;&gt;"",$L2922,$H2922)))</f>
        <v/>
      </c>
      <c r="N2922" s="74" t="str">
        <f>IF($C2922="","",IF($D2922="Gider",$H2922,$E2922))</f>
        <v/>
      </c>
      <c r="O2922" s="73" t="str">
        <f>IF($C2922="","",DATE(YEAR($C2922),MONTH($C2922),1))</f>
        <v/>
      </c>
      <c r="P2922" s="65" t="str">
        <f ca="1">IF($C2922="","",IF(AND($D2922="Gelir",$L2922&lt;&gt;"",$T2922=""),"TANIMSIZ BORÇLU",IF($T2922&lt;&gt;"",IF(OR($E2922="",$G2922&lt;=0),"EKSİK",IF($I2922="Evet","TAHAKKUK NAKİT OLAMAZ",IF($C2922&gt;TODAY(),"İLERİ TARİH","TAHAKKUK"))),IF(AND($D2922&lt;&gt;"",$E2922&lt;&gt;"",$G2922&gt;0,$H2922&lt;&gt;"",$I2922&lt;&gt;""),IF($C2922&gt;TODAY(),"İLERİ TARİH",IF(COUNTIF($W$7:$W$3001,$W2922)&gt;1,"MÜKERRER?",IF($AD2922&gt;0,"KAPALI DÖNEM",IF($I2922="Hayır","ÖDENECEK","UYGUN")))),"EKSİK"))))</f>
        <v/>
      </c>
      <c r="Q2922" s="2"/>
      <c r="R2922" s="2"/>
      <c r="S2922" s="1" t="str">
        <f t="shared" si="137"/>
        <v/>
      </c>
      <c r="T2922" s="1" t="str">
        <f>IF(OR($C2922="",$D2922&lt;&gt;"Gelir",$L2922=""),"",IFERROR(INDEX(MUSTERILER!$B$7:$B$156,MATCH($S2922,MUSTERILER!$T$7:$T$156,0)),""))</f>
        <v/>
      </c>
      <c r="U2922" s="1" t="str">
        <f>IF($T2922="","",$T2922&amp;"|"&amp;COUNTIFS($T$7:$T2922,$T2922))</f>
        <v/>
      </c>
      <c r="V2922" s="1">
        <f t="shared" si="138"/>
        <v>0</v>
      </c>
      <c r="W2922" s="1" t="str">
        <f t="shared" si="139"/>
        <v/>
      </c>
      <c r="X2922" s="1"/>
      <c r="Y2922" s="1"/>
      <c r="Z2922" s="1"/>
      <c r="AA2922" s="1"/>
      <c r="AB2922" s="1"/>
      <c r="AC2922" s="1"/>
      <c r="AD2922" s="1">
        <f>IF($C2922="",0,SUMPRODUCT((AY_SONU!$O$7:$O$42="Evet")*(AY_SONU!$B$7:$B$42=DATE(YEAR($C2922),MONTH($C2922),1))))</f>
        <v>0</v>
      </c>
      <c r="AE2922" s="1" t="str">
        <f>IF($E2922="","",$E2922&amp;"|"&amp;COUNTIFS($E$7:$E2922,$E2922))</f>
        <v/>
      </c>
    </row>
    <row r="2923" spans="1:31" ht="18" customHeight="1" x14ac:dyDescent="0.3">
      <c r="A2923" s="2"/>
      <c r="B2923" s="65" t="str">
        <f>IF($C2923="","","GG"&amp;TEXT(ROW()-6,"00000"))</f>
        <v/>
      </c>
      <c r="C2923" s="66"/>
      <c r="D2923" s="60"/>
      <c r="E2923" s="61"/>
      <c r="F2923" s="61"/>
      <c r="G2923" s="67"/>
      <c r="H2923" s="60"/>
      <c r="I2923" s="60"/>
      <c r="J2923" s="61"/>
      <c r="K2923" s="61"/>
      <c r="L2923" s="60"/>
      <c r="M2923" s="74" t="str">
        <f>IF($C2923="","",IF($D2923="Gider",$E2923,IF($L2923&lt;&gt;"",$L2923,$H2923)))</f>
        <v/>
      </c>
      <c r="N2923" s="74" t="str">
        <f>IF($C2923="","",IF($D2923="Gider",$H2923,$E2923))</f>
        <v/>
      </c>
      <c r="O2923" s="73" t="str">
        <f>IF($C2923="","",DATE(YEAR($C2923),MONTH($C2923),1))</f>
        <v/>
      </c>
      <c r="P2923" s="65" t="str">
        <f ca="1">IF($C2923="","",IF(AND($D2923="Gelir",$L2923&lt;&gt;"",$T2923=""),"TANIMSIZ BORÇLU",IF($T2923&lt;&gt;"",IF(OR($E2923="",$G2923&lt;=0),"EKSİK",IF($I2923="Evet","TAHAKKUK NAKİT OLAMAZ",IF($C2923&gt;TODAY(),"İLERİ TARİH","TAHAKKUK"))),IF(AND($D2923&lt;&gt;"",$E2923&lt;&gt;"",$G2923&gt;0,$H2923&lt;&gt;"",$I2923&lt;&gt;""),IF($C2923&gt;TODAY(),"İLERİ TARİH",IF(COUNTIF($W$7:$W$3001,$W2923)&gt;1,"MÜKERRER?",IF($AD2923&gt;0,"KAPALI DÖNEM",IF($I2923="Hayır","ÖDENECEK","UYGUN")))),"EKSİK"))))</f>
        <v/>
      </c>
      <c r="Q2923" s="2"/>
      <c r="R2923" s="2"/>
      <c r="S2923" s="1" t="str">
        <f t="shared" si="137"/>
        <v/>
      </c>
      <c r="T2923" s="1" t="str">
        <f>IF(OR($C2923="",$D2923&lt;&gt;"Gelir",$L2923=""),"",IFERROR(INDEX(MUSTERILER!$B$7:$B$156,MATCH($S2923,MUSTERILER!$T$7:$T$156,0)),""))</f>
        <v/>
      </c>
      <c r="U2923" s="1" t="str">
        <f>IF($T2923="","",$T2923&amp;"|"&amp;COUNTIFS($T$7:$T2923,$T2923))</f>
        <v/>
      </c>
      <c r="V2923" s="1">
        <f t="shared" si="138"/>
        <v>0</v>
      </c>
      <c r="W2923" s="1" t="str">
        <f t="shared" si="139"/>
        <v/>
      </c>
      <c r="X2923" s="1"/>
      <c r="Y2923" s="1"/>
      <c r="Z2923" s="1"/>
      <c r="AA2923" s="1"/>
      <c r="AB2923" s="1"/>
      <c r="AC2923" s="1"/>
      <c r="AD2923" s="1">
        <f>IF($C2923="",0,SUMPRODUCT((AY_SONU!$O$7:$O$42="Evet")*(AY_SONU!$B$7:$B$42=DATE(YEAR($C2923),MONTH($C2923),1))))</f>
        <v>0</v>
      </c>
      <c r="AE2923" s="1" t="str">
        <f>IF($E2923="","",$E2923&amp;"|"&amp;COUNTIFS($E$7:$E2923,$E2923))</f>
        <v/>
      </c>
    </row>
    <row r="2924" spans="1:31" ht="18" customHeight="1" x14ac:dyDescent="0.3">
      <c r="A2924" s="2"/>
      <c r="B2924" s="65" t="str">
        <f>IF($C2924="","","GG"&amp;TEXT(ROW()-6,"00000"))</f>
        <v/>
      </c>
      <c r="C2924" s="66"/>
      <c r="D2924" s="60"/>
      <c r="E2924" s="61"/>
      <c r="F2924" s="61"/>
      <c r="G2924" s="67"/>
      <c r="H2924" s="60"/>
      <c r="I2924" s="60"/>
      <c r="J2924" s="61"/>
      <c r="K2924" s="61"/>
      <c r="L2924" s="60"/>
      <c r="M2924" s="74" t="str">
        <f>IF($C2924="","",IF($D2924="Gider",$E2924,IF($L2924&lt;&gt;"",$L2924,$H2924)))</f>
        <v/>
      </c>
      <c r="N2924" s="74" t="str">
        <f>IF($C2924="","",IF($D2924="Gider",$H2924,$E2924))</f>
        <v/>
      </c>
      <c r="O2924" s="73" t="str">
        <f>IF($C2924="","",DATE(YEAR($C2924),MONTH($C2924),1))</f>
        <v/>
      </c>
      <c r="P2924" s="65" t="str">
        <f ca="1">IF($C2924="","",IF(AND($D2924="Gelir",$L2924&lt;&gt;"",$T2924=""),"TANIMSIZ BORÇLU",IF($T2924&lt;&gt;"",IF(OR($E2924="",$G2924&lt;=0),"EKSİK",IF($I2924="Evet","TAHAKKUK NAKİT OLAMAZ",IF($C2924&gt;TODAY(),"İLERİ TARİH","TAHAKKUK"))),IF(AND($D2924&lt;&gt;"",$E2924&lt;&gt;"",$G2924&gt;0,$H2924&lt;&gt;"",$I2924&lt;&gt;""),IF($C2924&gt;TODAY(),"İLERİ TARİH",IF(COUNTIF($W$7:$W$3001,$W2924)&gt;1,"MÜKERRER?",IF($AD2924&gt;0,"KAPALI DÖNEM",IF($I2924="Hayır","ÖDENECEK","UYGUN")))),"EKSİK"))))</f>
        <v/>
      </c>
      <c r="Q2924" s="2"/>
      <c r="R2924" s="2"/>
      <c r="S2924" s="1" t="str">
        <f t="shared" si="137"/>
        <v/>
      </c>
      <c r="T2924" s="1" t="str">
        <f>IF(OR($C2924="",$D2924&lt;&gt;"Gelir",$L2924=""),"",IFERROR(INDEX(MUSTERILER!$B$7:$B$156,MATCH($S2924,MUSTERILER!$T$7:$T$156,0)),""))</f>
        <v/>
      </c>
      <c r="U2924" s="1" t="str">
        <f>IF($T2924="","",$T2924&amp;"|"&amp;COUNTIFS($T$7:$T2924,$T2924))</f>
        <v/>
      </c>
      <c r="V2924" s="1">
        <f t="shared" si="138"/>
        <v>0</v>
      </c>
      <c r="W2924" s="1" t="str">
        <f t="shared" si="139"/>
        <v/>
      </c>
      <c r="X2924" s="1"/>
      <c r="Y2924" s="1"/>
      <c r="Z2924" s="1"/>
      <c r="AA2924" s="1"/>
      <c r="AB2924" s="1"/>
      <c r="AC2924" s="1"/>
      <c r="AD2924" s="1">
        <f>IF($C2924="",0,SUMPRODUCT((AY_SONU!$O$7:$O$42="Evet")*(AY_SONU!$B$7:$B$42=DATE(YEAR($C2924),MONTH($C2924),1))))</f>
        <v>0</v>
      </c>
      <c r="AE2924" s="1" t="str">
        <f>IF($E2924="","",$E2924&amp;"|"&amp;COUNTIFS($E$7:$E2924,$E2924))</f>
        <v/>
      </c>
    </row>
    <row r="2925" spans="1:31" ht="18" customHeight="1" x14ac:dyDescent="0.3">
      <c r="A2925" s="2"/>
      <c r="B2925" s="65" t="str">
        <f>IF($C2925="","","GG"&amp;TEXT(ROW()-6,"00000"))</f>
        <v/>
      </c>
      <c r="C2925" s="66"/>
      <c r="D2925" s="60"/>
      <c r="E2925" s="61"/>
      <c r="F2925" s="61"/>
      <c r="G2925" s="67"/>
      <c r="H2925" s="60"/>
      <c r="I2925" s="60"/>
      <c r="J2925" s="61"/>
      <c r="K2925" s="61"/>
      <c r="L2925" s="60"/>
      <c r="M2925" s="74" t="str">
        <f>IF($C2925="","",IF($D2925="Gider",$E2925,IF($L2925&lt;&gt;"",$L2925,$H2925)))</f>
        <v/>
      </c>
      <c r="N2925" s="74" t="str">
        <f>IF($C2925="","",IF($D2925="Gider",$H2925,$E2925))</f>
        <v/>
      </c>
      <c r="O2925" s="73" t="str">
        <f>IF($C2925="","",DATE(YEAR($C2925),MONTH($C2925),1))</f>
        <v/>
      </c>
      <c r="P2925" s="65" t="str">
        <f ca="1">IF($C2925="","",IF(AND($D2925="Gelir",$L2925&lt;&gt;"",$T2925=""),"TANIMSIZ BORÇLU",IF($T2925&lt;&gt;"",IF(OR($E2925="",$G2925&lt;=0),"EKSİK",IF($I2925="Evet","TAHAKKUK NAKİT OLAMAZ",IF($C2925&gt;TODAY(),"İLERİ TARİH","TAHAKKUK"))),IF(AND($D2925&lt;&gt;"",$E2925&lt;&gt;"",$G2925&gt;0,$H2925&lt;&gt;"",$I2925&lt;&gt;""),IF($C2925&gt;TODAY(),"İLERİ TARİH",IF(COUNTIF($W$7:$W$3001,$W2925)&gt;1,"MÜKERRER?",IF($AD2925&gt;0,"KAPALI DÖNEM",IF($I2925="Hayır","ÖDENECEK","UYGUN")))),"EKSİK"))))</f>
        <v/>
      </c>
      <c r="Q2925" s="2"/>
      <c r="R2925" s="2"/>
      <c r="S2925" s="1" t="str">
        <f t="shared" si="137"/>
        <v/>
      </c>
      <c r="T2925" s="1" t="str">
        <f>IF(OR($C2925="",$D2925&lt;&gt;"Gelir",$L2925=""),"",IFERROR(INDEX(MUSTERILER!$B$7:$B$156,MATCH($S2925,MUSTERILER!$T$7:$T$156,0)),""))</f>
        <v/>
      </c>
      <c r="U2925" s="1" t="str">
        <f>IF($T2925="","",$T2925&amp;"|"&amp;COUNTIFS($T$7:$T2925,$T2925))</f>
        <v/>
      </c>
      <c r="V2925" s="1">
        <f t="shared" si="138"/>
        <v>0</v>
      </c>
      <c r="W2925" s="1" t="str">
        <f t="shared" si="139"/>
        <v/>
      </c>
      <c r="X2925" s="1"/>
      <c r="Y2925" s="1"/>
      <c r="Z2925" s="1"/>
      <c r="AA2925" s="1"/>
      <c r="AB2925" s="1"/>
      <c r="AC2925" s="1"/>
      <c r="AD2925" s="1">
        <f>IF($C2925="",0,SUMPRODUCT((AY_SONU!$O$7:$O$42="Evet")*(AY_SONU!$B$7:$B$42=DATE(YEAR($C2925),MONTH($C2925),1))))</f>
        <v>0</v>
      </c>
      <c r="AE2925" s="1" t="str">
        <f>IF($E2925="","",$E2925&amp;"|"&amp;COUNTIFS($E$7:$E2925,$E2925))</f>
        <v/>
      </c>
    </row>
    <row r="2926" spans="1:31" ht="18" customHeight="1" x14ac:dyDescent="0.3">
      <c r="A2926" s="2"/>
      <c r="B2926" s="65" t="str">
        <f>IF($C2926="","","GG"&amp;TEXT(ROW()-6,"00000"))</f>
        <v/>
      </c>
      <c r="C2926" s="66"/>
      <c r="D2926" s="60"/>
      <c r="E2926" s="61"/>
      <c r="F2926" s="61"/>
      <c r="G2926" s="67"/>
      <c r="H2926" s="60"/>
      <c r="I2926" s="60"/>
      <c r="J2926" s="61"/>
      <c r="K2926" s="61"/>
      <c r="L2926" s="60"/>
      <c r="M2926" s="74" t="str">
        <f>IF($C2926="","",IF($D2926="Gider",$E2926,IF($L2926&lt;&gt;"",$L2926,$H2926)))</f>
        <v/>
      </c>
      <c r="N2926" s="74" t="str">
        <f>IF($C2926="","",IF($D2926="Gider",$H2926,$E2926))</f>
        <v/>
      </c>
      <c r="O2926" s="73" t="str">
        <f>IF($C2926="","",DATE(YEAR($C2926),MONTH($C2926),1))</f>
        <v/>
      </c>
      <c r="P2926" s="65" t="str">
        <f ca="1">IF($C2926="","",IF(AND($D2926="Gelir",$L2926&lt;&gt;"",$T2926=""),"TANIMSIZ BORÇLU",IF($T2926&lt;&gt;"",IF(OR($E2926="",$G2926&lt;=0),"EKSİK",IF($I2926="Evet","TAHAKKUK NAKİT OLAMAZ",IF($C2926&gt;TODAY(),"İLERİ TARİH","TAHAKKUK"))),IF(AND($D2926&lt;&gt;"",$E2926&lt;&gt;"",$G2926&gt;0,$H2926&lt;&gt;"",$I2926&lt;&gt;""),IF($C2926&gt;TODAY(),"İLERİ TARİH",IF(COUNTIF($W$7:$W$3001,$W2926)&gt;1,"MÜKERRER?",IF($AD2926&gt;0,"KAPALI DÖNEM",IF($I2926="Hayır","ÖDENECEK","UYGUN")))),"EKSİK"))))</f>
        <v/>
      </c>
      <c r="Q2926" s="2"/>
      <c r="R2926" s="2"/>
      <c r="S2926" s="1" t="str">
        <f t="shared" si="137"/>
        <v/>
      </c>
      <c r="T2926" s="1" t="str">
        <f>IF(OR($C2926="",$D2926&lt;&gt;"Gelir",$L2926=""),"",IFERROR(INDEX(MUSTERILER!$B$7:$B$156,MATCH($S2926,MUSTERILER!$T$7:$T$156,0)),""))</f>
        <v/>
      </c>
      <c r="U2926" s="1" t="str">
        <f>IF($T2926="","",$T2926&amp;"|"&amp;COUNTIFS($T$7:$T2926,$T2926))</f>
        <v/>
      </c>
      <c r="V2926" s="1">
        <f t="shared" si="138"/>
        <v>0</v>
      </c>
      <c r="W2926" s="1" t="str">
        <f t="shared" si="139"/>
        <v/>
      </c>
      <c r="X2926" s="1"/>
      <c r="Y2926" s="1"/>
      <c r="Z2926" s="1"/>
      <c r="AA2926" s="1"/>
      <c r="AB2926" s="1"/>
      <c r="AC2926" s="1"/>
      <c r="AD2926" s="1">
        <f>IF($C2926="",0,SUMPRODUCT((AY_SONU!$O$7:$O$42="Evet")*(AY_SONU!$B$7:$B$42=DATE(YEAR($C2926),MONTH($C2926),1))))</f>
        <v>0</v>
      </c>
      <c r="AE2926" s="1" t="str">
        <f>IF($E2926="","",$E2926&amp;"|"&amp;COUNTIFS($E$7:$E2926,$E2926))</f>
        <v/>
      </c>
    </row>
    <row r="2927" spans="1:31" ht="18" customHeight="1" x14ac:dyDescent="0.3">
      <c r="A2927" s="2"/>
      <c r="B2927" s="65" t="str">
        <f>IF($C2927="","","GG"&amp;TEXT(ROW()-6,"00000"))</f>
        <v/>
      </c>
      <c r="C2927" s="66"/>
      <c r="D2927" s="60"/>
      <c r="E2927" s="61"/>
      <c r="F2927" s="61"/>
      <c r="G2927" s="67"/>
      <c r="H2927" s="60"/>
      <c r="I2927" s="60"/>
      <c r="J2927" s="61"/>
      <c r="K2927" s="61"/>
      <c r="L2927" s="60"/>
      <c r="M2927" s="74" t="str">
        <f>IF($C2927="","",IF($D2927="Gider",$E2927,IF($L2927&lt;&gt;"",$L2927,$H2927)))</f>
        <v/>
      </c>
      <c r="N2927" s="74" t="str">
        <f>IF($C2927="","",IF($D2927="Gider",$H2927,$E2927))</f>
        <v/>
      </c>
      <c r="O2927" s="73" t="str">
        <f>IF($C2927="","",DATE(YEAR($C2927),MONTH($C2927),1))</f>
        <v/>
      </c>
      <c r="P2927" s="65" t="str">
        <f ca="1">IF($C2927="","",IF(AND($D2927="Gelir",$L2927&lt;&gt;"",$T2927=""),"TANIMSIZ BORÇLU",IF($T2927&lt;&gt;"",IF(OR($E2927="",$G2927&lt;=0),"EKSİK",IF($I2927="Evet","TAHAKKUK NAKİT OLAMAZ",IF($C2927&gt;TODAY(),"İLERİ TARİH","TAHAKKUK"))),IF(AND($D2927&lt;&gt;"",$E2927&lt;&gt;"",$G2927&gt;0,$H2927&lt;&gt;"",$I2927&lt;&gt;""),IF($C2927&gt;TODAY(),"İLERİ TARİH",IF(COUNTIF($W$7:$W$3001,$W2927)&gt;1,"MÜKERRER?",IF($AD2927&gt;0,"KAPALI DÖNEM",IF($I2927="Hayır","ÖDENECEK","UYGUN")))),"EKSİK"))))</f>
        <v/>
      </c>
      <c r="Q2927" s="2"/>
      <c r="R2927" s="2"/>
      <c r="S2927" s="1" t="str">
        <f t="shared" si="137"/>
        <v/>
      </c>
      <c r="T2927" s="1" t="str">
        <f>IF(OR($C2927="",$D2927&lt;&gt;"Gelir",$L2927=""),"",IFERROR(INDEX(MUSTERILER!$B$7:$B$156,MATCH($S2927,MUSTERILER!$T$7:$T$156,0)),""))</f>
        <v/>
      </c>
      <c r="U2927" s="1" t="str">
        <f>IF($T2927="","",$T2927&amp;"|"&amp;COUNTIFS($T$7:$T2927,$T2927))</f>
        <v/>
      </c>
      <c r="V2927" s="1">
        <f t="shared" si="138"/>
        <v>0</v>
      </c>
      <c r="W2927" s="1" t="str">
        <f t="shared" si="139"/>
        <v/>
      </c>
      <c r="X2927" s="1"/>
      <c r="Y2927" s="1"/>
      <c r="Z2927" s="1"/>
      <c r="AA2927" s="1"/>
      <c r="AB2927" s="1"/>
      <c r="AC2927" s="1"/>
      <c r="AD2927" s="1">
        <f>IF($C2927="",0,SUMPRODUCT((AY_SONU!$O$7:$O$42="Evet")*(AY_SONU!$B$7:$B$42=DATE(YEAR($C2927),MONTH($C2927),1))))</f>
        <v>0</v>
      </c>
      <c r="AE2927" s="1" t="str">
        <f>IF($E2927="","",$E2927&amp;"|"&amp;COUNTIFS($E$7:$E2927,$E2927))</f>
        <v/>
      </c>
    </row>
    <row r="2928" spans="1:31" ht="18" customHeight="1" x14ac:dyDescent="0.3">
      <c r="A2928" s="2"/>
      <c r="B2928" s="65" t="str">
        <f>IF($C2928="","","GG"&amp;TEXT(ROW()-6,"00000"))</f>
        <v/>
      </c>
      <c r="C2928" s="66"/>
      <c r="D2928" s="60"/>
      <c r="E2928" s="61"/>
      <c r="F2928" s="61"/>
      <c r="G2928" s="67"/>
      <c r="H2928" s="60"/>
      <c r="I2928" s="60"/>
      <c r="J2928" s="61"/>
      <c r="K2928" s="61"/>
      <c r="L2928" s="60"/>
      <c r="M2928" s="74" t="str">
        <f>IF($C2928="","",IF($D2928="Gider",$E2928,IF($L2928&lt;&gt;"",$L2928,$H2928)))</f>
        <v/>
      </c>
      <c r="N2928" s="74" t="str">
        <f>IF($C2928="","",IF($D2928="Gider",$H2928,$E2928))</f>
        <v/>
      </c>
      <c r="O2928" s="73" t="str">
        <f>IF($C2928="","",DATE(YEAR($C2928),MONTH($C2928),1))</f>
        <v/>
      </c>
      <c r="P2928" s="65" t="str">
        <f ca="1">IF($C2928="","",IF(AND($D2928="Gelir",$L2928&lt;&gt;"",$T2928=""),"TANIMSIZ BORÇLU",IF($T2928&lt;&gt;"",IF(OR($E2928="",$G2928&lt;=0),"EKSİK",IF($I2928="Evet","TAHAKKUK NAKİT OLAMAZ",IF($C2928&gt;TODAY(),"İLERİ TARİH","TAHAKKUK"))),IF(AND($D2928&lt;&gt;"",$E2928&lt;&gt;"",$G2928&gt;0,$H2928&lt;&gt;"",$I2928&lt;&gt;""),IF($C2928&gt;TODAY(),"İLERİ TARİH",IF(COUNTIF($W$7:$W$3001,$W2928)&gt;1,"MÜKERRER?",IF($AD2928&gt;0,"KAPALI DÖNEM",IF($I2928="Hayır","ÖDENECEK","UYGUN")))),"EKSİK"))))</f>
        <v/>
      </c>
      <c r="Q2928" s="2"/>
      <c r="R2928" s="2"/>
      <c r="S2928" s="1" t="str">
        <f t="shared" si="137"/>
        <v/>
      </c>
      <c r="T2928" s="1" t="str">
        <f>IF(OR($C2928="",$D2928&lt;&gt;"Gelir",$L2928=""),"",IFERROR(INDEX(MUSTERILER!$B$7:$B$156,MATCH($S2928,MUSTERILER!$T$7:$T$156,0)),""))</f>
        <v/>
      </c>
      <c r="U2928" s="1" t="str">
        <f>IF($T2928="","",$T2928&amp;"|"&amp;COUNTIFS($T$7:$T2928,$T2928))</f>
        <v/>
      </c>
      <c r="V2928" s="1">
        <f t="shared" si="138"/>
        <v>0</v>
      </c>
      <c r="W2928" s="1" t="str">
        <f t="shared" si="139"/>
        <v/>
      </c>
      <c r="X2928" s="1"/>
      <c r="Y2928" s="1"/>
      <c r="Z2928" s="1"/>
      <c r="AA2928" s="1"/>
      <c r="AB2928" s="1"/>
      <c r="AC2928" s="1"/>
      <c r="AD2928" s="1">
        <f>IF($C2928="",0,SUMPRODUCT((AY_SONU!$O$7:$O$42="Evet")*(AY_SONU!$B$7:$B$42=DATE(YEAR($C2928),MONTH($C2928),1))))</f>
        <v>0</v>
      </c>
      <c r="AE2928" s="1" t="str">
        <f>IF($E2928="","",$E2928&amp;"|"&amp;COUNTIFS($E$7:$E2928,$E2928))</f>
        <v/>
      </c>
    </row>
    <row r="2929" spans="1:31" ht="18" customHeight="1" x14ac:dyDescent="0.3">
      <c r="A2929" s="2"/>
      <c r="B2929" s="65" t="str">
        <f>IF($C2929="","","GG"&amp;TEXT(ROW()-6,"00000"))</f>
        <v/>
      </c>
      <c r="C2929" s="66"/>
      <c r="D2929" s="60"/>
      <c r="E2929" s="61"/>
      <c r="F2929" s="61"/>
      <c r="G2929" s="67"/>
      <c r="H2929" s="60"/>
      <c r="I2929" s="60"/>
      <c r="J2929" s="61"/>
      <c r="K2929" s="61"/>
      <c r="L2929" s="60"/>
      <c r="M2929" s="74" t="str">
        <f>IF($C2929="","",IF($D2929="Gider",$E2929,IF($L2929&lt;&gt;"",$L2929,$H2929)))</f>
        <v/>
      </c>
      <c r="N2929" s="74" t="str">
        <f>IF($C2929="","",IF($D2929="Gider",$H2929,$E2929))</f>
        <v/>
      </c>
      <c r="O2929" s="73" t="str">
        <f>IF($C2929="","",DATE(YEAR($C2929),MONTH($C2929),1))</f>
        <v/>
      </c>
      <c r="P2929" s="65" t="str">
        <f ca="1">IF($C2929="","",IF(AND($D2929="Gelir",$L2929&lt;&gt;"",$T2929=""),"TANIMSIZ BORÇLU",IF($T2929&lt;&gt;"",IF(OR($E2929="",$G2929&lt;=0),"EKSİK",IF($I2929="Evet","TAHAKKUK NAKİT OLAMAZ",IF($C2929&gt;TODAY(),"İLERİ TARİH","TAHAKKUK"))),IF(AND($D2929&lt;&gt;"",$E2929&lt;&gt;"",$G2929&gt;0,$H2929&lt;&gt;"",$I2929&lt;&gt;""),IF($C2929&gt;TODAY(),"İLERİ TARİH",IF(COUNTIF($W$7:$W$3001,$W2929)&gt;1,"MÜKERRER?",IF($AD2929&gt;0,"KAPALI DÖNEM",IF($I2929="Hayır","ÖDENECEK","UYGUN")))),"EKSİK"))))</f>
        <v/>
      </c>
      <c r="Q2929" s="2"/>
      <c r="R2929" s="2"/>
      <c r="S2929" s="1" t="str">
        <f t="shared" si="137"/>
        <v/>
      </c>
      <c r="T2929" s="1" t="str">
        <f>IF(OR($C2929="",$D2929&lt;&gt;"Gelir",$L2929=""),"",IFERROR(INDEX(MUSTERILER!$B$7:$B$156,MATCH($S2929,MUSTERILER!$T$7:$T$156,0)),""))</f>
        <v/>
      </c>
      <c r="U2929" s="1" t="str">
        <f>IF($T2929="","",$T2929&amp;"|"&amp;COUNTIFS($T$7:$T2929,$T2929))</f>
        <v/>
      </c>
      <c r="V2929" s="1">
        <f t="shared" si="138"/>
        <v>0</v>
      </c>
      <c r="W2929" s="1" t="str">
        <f t="shared" si="139"/>
        <v/>
      </c>
      <c r="X2929" s="1"/>
      <c r="Y2929" s="1"/>
      <c r="Z2929" s="1"/>
      <c r="AA2929" s="1"/>
      <c r="AB2929" s="1"/>
      <c r="AC2929" s="1"/>
      <c r="AD2929" s="1">
        <f>IF($C2929="",0,SUMPRODUCT((AY_SONU!$O$7:$O$42="Evet")*(AY_SONU!$B$7:$B$42=DATE(YEAR($C2929),MONTH($C2929),1))))</f>
        <v>0</v>
      </c>
      <c r="AE2929" s="1" t="str">
        <f>IF($E2929="","",$E2929&amp;"|"&amp;COUNTIFS($E$7:$E2929,$E2929))</f>
        <v/>
      </c>
    </row>
    <row r="2930" spans="1:31" ht="18" customHeight="1" x14ac:dyDescent="0.3">
      <c r="A2930" s="2"/>
      <c r="B2930" s="65" t="str">
        <f>IF($C2930="","","GG"&amp;TEXT(ROW()-6,"00000"))</f>
        <v/>
      </c>
      <c r="C2930" s="66"/>
      <c r="D2930" s="60"/>
      <c r="E2930" s="61"/>
      <c r="F2930" s="61"/>
      <c r="G2930" s="67"/>
      <c r="H2930" s="60"/>
      <c r="I2930" s="60"/>
      <c r="J2930" s="61"/>
      <c r="K2930" s="61"/>
      <c r="L2930" s="60"/>
      <c r="M2930" s="74" t="str">
        <f>IF($C2930="","",IF($D2930="Gider",$E2930,IF($L2930&lt;&gt;"",$L2930,$H2930)))</f>
        <v/>
      </c>
      <c r="N2930" s="74" t="str">
        <f>IF($C2930="","",IF($D2930="Gider",$H2930,$E2930))</f>
        <v/>
      </c>
      <c r="O2930" s="73" t="str">
        <f>IF($C2930="","",DATE(YEAR($C2930),MONTH($C2930),1))</f>
        <v/>
      </c>
      <c r="P2930" s="65" t="str">
        <f ca="1">IF($C2930="","",IF(AND($D2930="Gelir",$L2930&lt;&gt;"",$T2930=""),"TANIMSIZ BORÇLU",IF($T2930&lt;&gt;"",IF(OR($E2930="",$G2930&lt;=0),"EKSİK",IF($I2930="Evet","TAHAKKUK NAKİT OLAMAZ",IF($C2930&gt;TODAY(),"İLERİ TARİH","TAHAKKUK"))),IF(AND($D2930&lt;&gt;"",$E2930&lt;&gt;"",$G2930&gt;0,$H2930&lt;&gt;"",$I2930&lt;&gt;""),IF($C2930&gt;TODAY(),"İLERİ TARİH",IF(COUNTIF($W$7:$W$3001,$W2930)&gt;1,"MÜKERRER?",IF($AD2930&gt;0,"KAPALI DÖNEM",IF($I2930="Hayır","ÖDENECEK","UYGUN")))),"EKSİK"))))</f>
        <v/>
      </c>
      <c r="Q2930" s="2"/>
      <c r="R2930" s="2"/>
      <c r="S2930" s="1" t="str">
        <f t="shared" si="137"/>
        <v/>
      </c>
      <c r="T2930" s="1" t="str">
        <f>IF(OR($C2930="",$D2930&lt;&gt;"Gelir",$L2930=""),"",IFERROR(INDEX(MUSTERILER!$B$7:$B$156,MATCH($S2930,MUSTERILER!$T$7:$T$156,0)),""))</f>
        <v/>
      </c>
      <c r="U2930" s="1" t="str">
        <f>IF($T2930="","",$T2930&amp;"|"&amp;COUNTIFS($T$7:$T2930,$T2930))</f>
        <v/>
      </c>
      <c r="V2930" s="1">
        <f t="shared" si="138"/>
        <v>0</v>
      </c>
      <c r="W2930" s="1" t="str">
        <f t="shared" si="139"/>
        <v/>
      </c>
      <c r="X2930" s="1"/>
      <c r="Y2930" s="1"/>
      <c r="Z2930" s="1"/>
      <c r="AA2930" s="1"/>
      <c r="AB2930" s="1"/>
      <c r="AC2930" s="1"/>
      <c r="AD2930" s="1">
        <f>IF($C2930="",0,SUMPRODUCT((AY_SONU!$O$7:$O$42="Evet")*(AY_SONU!$B$7:$B$42=DATE(YEAR($C2930),MONTH($C2930),1))))</f>
        <v>0</v>
      </c>
      <c r="AE2930" s="1" t="str">
        <f>IF($E2930="","",$E2930&amp;"|"&amp;COUNTIFS($E$7:$E2930,$E2930))</f>
        <v/>
      </c>
    </row>
    <row r="2931" spans="1:31" ht="18" customHeight="1" x14ac:dyDescent="0.3">
      <c r="A2931" s="2"/>
      <c r="B2931" s="65" t="str">
        <f>IF($C2931="","","GG"&amp;TEXT(ROW()-6,"00000"))</f>
        <v/>
      </c>
      <c r="C2931" s="66"/>
      <c r="D2931" s="60"/>
      <c r="E2931" s="61"/>
      <c r="F2931" s="61"/>
      <c r="G2931" s="67"/>
      <c r="H2931" s="60"/>
      <c r="I2931" s="60"/>
      <c r="J2931" s="61"/>
      <c r="K2931" s="61"/>
      <c r="L2931" s="60"/>
      <c r="M2931" s="74" t="str">
        <f>IF($C2931="","",IF($D2931="Gider",$E2931,IF($L2931&lt;&gt;"",$L2931,$H2931)))</f>
        <v/>
      </c>
      <c r="N2931" s="74" t="str">
        <f>IF($C2931="","",IF($D2931="Gider",$H2931,$E2931))</f>
        <v/>
      </c>
      <c r="O2931" s="73" t="str">
        <f>IF($C2931="","",DATE(YEAR($C2931),MONTH($C2931),1))</f>
        <v/>
      </c>
      <c r="P2931" s="65" t="str">
        <f ca="1">IF($C2931="","",IF(AND($D2931="Gelir",$L2931&lt;&gt;"",$T2931=""),"TANIMSIZ BORÇLU",IF($T2931&lt;&gt;"",IF(OR($E2931="",$G2931&lt;=0),"EKSİK",IF($I2931="Evet","TAHAKKUK NAKİT OLAMAZ",IF($C2931&gt;TODAY(),"İLERİ TARİH","TAHAKKUK"))),IF(AND($D2931&lt;&gt;"",$E2931&lt;&gt;"",$G2931&gt;0,$H2931&lt;&gt;"",$I2931&lt;&gt;""),IF($C2931&gt;TODAY(),"İLERİ TARİH",IF(COUNTIF($W$7:$W$3001,$W2931)&gt;1,"MÜKERRER?",IF($AD2931&gt;0,"KAPALI DÖNEM",IF($I2931="Hayır","ÖDENECEK","UYGUN")))),"EKSİK"))))</f>
        <v/>
      </c>
      <c r="Q2931" s="2"/>
      <c r="R2931" s="2"/>
      <c r="S2931" s="1" t="str">
        <f t="shared" si="137"/>
        <v/>
      </c>
      <c r="T2931" s="1" t="str">
        <f>IF(OR($C2931="",$D2931&lt;&gt;"Gelir",$L2931=""),"",IFERROR(INDEX(MUSTERILER!$B$7:$B$156,MATCH($S2931,MUSTERILER!$T$7:$T$156,0)),""))</f>
        <v/>
      </c>
      <c r="U2931" s="1" t="str">
        <f>IF($T2931="","",$T2931&amp;"|"&amp;COUNTIFS($T$7:$T2931,$T2931))</f>
        <v/>
      </c>
      <c r="V2931" s="1">
        <f t="shared" si="138"/>
        <v>0</v>
      </c>
      <c r="W2931" s="1" t="str">
        <f t="shared" si="139"/>
        <v/>
      </c>
      <c r="X2931" s="1"/>
      <c r="Y2931" s="1"/>
      <c r="Z2931" s="1"/>
      <c r="AA2931" s="1"/>
      <c r="AB2931" s="1"/>
      <c r="AC2931" s="1"/>
      <c r="AD2931" s="1">
        <f>IF($C2931="",0,SUMPRODUCT((AY_SONU!$O$7:$O$42="Evet")*(AY_SONU!$B$7:$B$42=DATE(YEAR($C2931),MONTH($C2931),1))))</f>
        <v>0</v>
      </c>
      <c r="AE2931" s="1" t="str">
        <f>IF($E2931="","",$E2931&amp;"|"&amp;COUNTIFS($E$7:$E2931,$E2931))</f>
        <v/>
      </c>
    </row>
    <row r="2932" spans="1:31" ht="18" customHeight="1" x14ac:dyDescent="0.3">
      <c r="A2932" s="2"/>
      <c r="B2932" s="65" t="str">
        <f>IF($C2932="","","GG"&amp;TEXT(ROW()-6,"00000"))</f>
        <v/>
      </c>
      <c r="C2932" s="66"/>
      <c r="D2932" s="60"/>
      <c r="E2932" s="61"/>
      <c r="F2932" s="61"/>
      <c r="G2932" s="67"/>
      <c r="H2932" s="60"/>
      <c r="I2932" s="60"/>
      <c r="J2932" s="61"/>
      <c r="K2932" s="61"/>
      <c r="L2932" s="60"/>
      <c r="M2932" s="74" t="str">
        <f>IF($C2932="","",IF($D2932="Gider",$E2932,IF($L2932&lt;&gt;"",$L2932,$H2932)))</f>
        <v/>
      </c>
      <c r="N2932" s="74" t="str">
        <f>IF($C2932="","",IF($D2932="Gider",$H2932,$E2932))</f>
        <v/>
      </c>
      <c r="O2932" s="73" t="str">
        <f>IF($C2932="","",DATE(YEAR($C2932),MONTH($C2932),1))</f>
        <v/>
      </c>
      <c r="P2932" s="65" t="str">
        <f ca="1">IF($C2932="","",IF(AND($D2932="Gelir",$L2932&lt;&gt;"",$T2932=""),"TANIMSIZ BORÇLU",IF($T2932&lt;&gt;"",IF(OR($E2932="",$G2932&lt;=0),"EKSİK",IF($I2932="Evet","TAHAKKUK NAKİT OLAMAZ",IF($C2932&gt;TODAY(),"İLERİ TARİH","TAHAKKUK"))),IF(AND($D2932&lt;&gt;"",$E2932&lt;&gt;"",$G2932&gt;0,$H2932&lt;&gt;"",$I2932&lt;&gt;""),IF($C2932&gt;TODAY(),"İLERİ TARİH",IF(COUNTIF($W$7:$W$3001,$W2932)&gt;1,"MÜKERRER?",IF($AD2932&gt;0,"KAPALI DÖNEM",IF($I2932="Hayır","ÖDENECEK","UYGUN")))),"EKSİK"))))</f>
        <v/>
      </c>
      <c r="Q2932" s="2"/>
      <c r="R2932" s="2"/>
      <c r="S2932" s="1" t="str">
        <f t="shared" si="137"/>
        <v/>
      </c>
      <c r="T2932" s="1" t="str">
        <f>IF(OR($C2932="",$D2932&lt;&gt;"Gelir",$L2932=""),"",IFERROR(INDEX(MUSTERILER!$B$7:$B$156,MATCH($S2932,MUSTERILER!$T$7:$T$156,0)),""))</f>
        <v/>
      </c>
      <c r="U2932" s="1" t="str">
        <f>IF($T2932="","",$T2932&amp;"|"&amp;COUNTIFS($T$7:$T2932,$T2932))</f>
        <v/>
      </c>
      <c r="V2932" s="1">
        <f t="shared" si="138"/>
        <v>0</v>
      </c>
      <c r="W2932" s="1" t="str">
        <f t="shared" si="139"/>
        <v/>
      </c>
      <c r="X2932" s="1"/>
      <c r="Y2932" s="1"/>
      <c r="Z2932" s="1"/>
      <c r="AA2932" s="1"/>
      <c r="AB2932" s="1"/>
      <c r="AC2932" s="1"/>
      <c r="AD2932" s="1">
        <f>IF($C2932="",0,SUMPRODUCT((AY_SONU!$O$7:$O$42="Evet")*(AY_SONU!$B$7:$B$42=DATE(YEAR($C2932),MONTH($C2932),1))))</f>
        <v>0</v>
      </c>
      <c r="AE2932" s="1" t="str">
        <f>IF($E2932="","",$E2932&amp;"|"&amp;COUNTIFS($E$7:$E2932,$E2932))</f>
        <v/>
      </c>
    </row>
    <row r="2933" spans="1:31" ht="18" customHeight="1" x14ac:dyDescent="0.3">
      <c r="A2933" s="2"/>
      <c r="B2933" s="65" t="str">
        <f>IF($C2933="","","GG"&amp;TEXT(ROW()-6,"00000"))</f>
        <v/>
      </c>
      <c r="C2933" s="66"/>
      <c r="D2933" s="60"/>
      <c r="E2933" s="61"/>
      <c r="F2933" s="61"/>
      <c r="G2933" s="67"/>
      <c r="H2933" s="60"/>
      <c r="I2933" s="60"/>
      <c r="J2933" s="61"/>
      <c r="K2933" s="61"/>
      <c r="L2933" s="60"/>
      <c r="M2933" s="74" t="str">
        <f>IF($C2933="","",IF($D2933="Gider",$E2933,IF($L2933&lt;&gt;"",$L2933,$H2933)))</f>
        <v/>
      </c>
      <c r="N2933" s="74" t="str">
        <f>IF($C2933="","",IF($D2933="Gider",$H2933,$E2933))</f>
        <v/>
      </c>
      <c r="O2933" s="73" t="str">
        <f>IF($C2933="","",DATE(YEAR($C2933),MONTH($C2933),1))</f>
        <v/>
      </c>
      <c r="P2933" s="65" t="str">
        <f ca="1">IF($C2933="","",IF(AND($D2933="Gelir",$L2933&lt;&gt;"",$T2933=""),"TANIMSIZ BORÇLU",IF($T2933&lt;&gt;"",IF(OR($E2933="",$G2933&lt;=0),"EKSİK",IF($I2933="Evet","TAHAKKUK NAKİT OLAMAZ",IF($C2933&gt;TODAY(),"İLERİ TARİH","TAHAKKUK"))),IF(AND($D2933&lt;&gt;"",$E2933&lt;&gt;"",$G2933&gt;0,$H2933&lt;&gt;"",$I2933&lt;&gt;""),IF($C2933&gt;TODAY(),"İLERİ TARİH",IF(COUNTIF($W$7:$W$3001,$W2933)&gt;1,"MÜKERRER?",IF($AD2933&gt;0,"KAPALI DÖNEM",IF($I2933="Hayır","ÖDENECEK","UYGUN")))),"EKSİK"))))</f>
        <v/>
      </c>
      <c r="Q2933" s="2"/>
      <c r="R2933" s="2"/>
      <c r="S2933" s="1" t="str">
        <f t="shared" si="137"/>
        <v/>
      </c>
      <c r="T2933" s="1" t="str">
        <f>IF(OR($C2933="",$D2933&lt;&gt;"Gelir",$L2933=""),"",IFERROR(INDEX(MUSTERILER!$B$7:$B$156,MATCH($S2933,MUSTERILER!$T$7:$T$156,0)),""))</f>
        <v/>
      </c>
      <c r="U2933" s="1" t="str">
        <f>IF($T2933="","",$T2933&amp;"|"&amp;COUNTIFS($T$7:$T2933,$T2933))</f>
        <v/>
      </c>
      <c r="V2933" s="1">
        <f t="shared" si="138"/>
        <v>0</v>
      </c>
      <c r="W2933" s="1" t="str">
        <f t="shared" si="139"/>
        <v/>
      </c>
      <c r="X2933" s="1"/>
      <c r="Y2933" s="1"/>
      <c r="Z2933" s="1"/>
      <c r="AA2933" s="1"/>
      <c r="AB2933" s="1"/>
      <c r="AC2933" s="1"/>
      <c r="AD2933" s="1">
        <f>IF($C2933="",0,SUMPRODUCT((AY_SONU!$O$7:$O$42="Evet")*(AY_SONU!$B$7:$B$42=DATE(YEAR($C2933),MONTH($C2933),1))))</f>
        <v>0</v>
      </c>
      <c r="AE2933" s="1" t="str">
        <f>IF($E2933="","",$E2933&amp;"|"&amp;COUNTIFS($E$7:$E2933,$E2933))</f>
        <v/>
      </c>
    </row>
    <row r="2934" spans="1:31" ht="18" customHeight="1" x14ac:dyDescent="0.3">
      <c r="A2934" s="2"/>
      <c r="B2934" s="65" t="str">
        <f>IF($C2934="","","GG"&amp;TEXT(ROW()-6,"00000"))</f>
        <v/>
      </c>
      <c r="C2934" s="66"/>
      <c r="D2934" s="60"/>
      <c r="E2934" s="61"/>
      <c r="F2934" s="61"/>
      <c r="G2934" s="67"/>
      <c r="H2934" s="60"/>
      <c r="I2934" s="60"/>
      <c r="J2934" s="61"/>
      <c r="K2934" s="61"/>
      <c r="L2934" s="60"/>
      <c r="M2934" s="74" t="str">
        <f>IF($C2934="","",IF($D2934="Gider",$E2934,IF($L2934&lt;&gt;"",$L2934,$H2934)))</f>
        <v/>
      </c>
      <c r="N2934" s="74" t="str">
        <f>IF($C2934="","",IF($D2934="Gider",$H2934,$E2934))</f>
        <v/>
      </c>
      <c r="O2934" s="73" t="str">
        <f>IF($C2934="","",DATE(YEAR($C2934),MONTH($C2934),1))</f>
        <v/>
      </c>
      <c r="P2934" s="65" t="str">
        <f ca="1">IF($C2934="","",IF(AND($D2934="Gelir",$L2934&lt;&gt;"",$T2934=""),"TANIMSIZ BORÇLU",IF($T2934&lt;&gt;"",IF(OR($E2934="",$G2934&lt;=0),"EKSİK",IF($I2934="Evet","TAHAKKUK NAKİT OLAMAZ",IF($C2934&gt;TODAY(),"İLERİ TARİH","TAHAKKUK"))),IF(AND($D2934&lt;&gt;"",$E2934&lt;&gt;"",$G2934&gt;0,$H2934&lt;&gt;"",$I2934&lt;&gt;""),IF($C2934&gt;TODAY(),"İLERİ TARİH",IF(COUNTIF($W$7:$W$3001,$W2934)&gt;1,"MÜKERRER?",IF($AD2934&gt;0,"KAPALI DÖNEM",IF($I2934="Hayır","ÖDENECEK","UYGUN")))),"EKSİK"))))</f>
        <v/>
      </c>
      <c r="Q2934" s="2"/>
      <c r="R2934" s="2"/>
      <c r="S2934" s="1" t="str">
        <f t="shared" si="137"/>
        <v/>
      </c>
      <c r="T2934" s="1" t="str">
        <f>IF(OR($C2934="",$D2934&lt;&gt;"Gelir",$L2934=""),"",IFERROR(INDEX(MUSTERILER!$B$7:$B$156,MATCH($S2934,MUSTERILER!$T$7:$T$156,0)),""))</f>
        <v/>
      </c>
      <c r="U2934" s="1" t="str">
        <f>IF($T2934="","",$T2934&amp;"|"&amp;COUNTIFS($T$7:$T2934,$T2934))</f>
        <v/>
      </c>
      <c r="V2934" s="1">
        <f t="shared" si="138"/>
        <v>0</v>
      </c>
      <c r="W2934" s="1" t="str">
        <f t="shared" si="139"/>
        <v/>
      </c>
      <c r="X2934" s="1"/>
      <c r="Y2934" s="1"/>
      <c r="Z2934" s="1"/>
      <c r="AA2934" s="1"/>
      <c r="AB2934" s="1"/>
      <c r="AC2934" s="1"/>
      <c r="AD2934" s="1">
        <f>IF($C2934="",0,SUMPRODUCT((AY_SONU!$O$7:$O$42="Evet")*(AY_SONU!$B$7:$B$42=DATE(YEAR($C2934),MONTH($C2934),1))))</f>
        <v>0</v>
      </c>
      <c r="AE2934" s="1" t="str">
        <f>IF($E2934="","",$E2934&amp;"|"&amp;COUNTIFS($E$7:$E2934,$E2934))</f>
        <v/>
      </c>
    </row>
    <row r="2935" spans="1:31" ht="18" customHeight="1" x14ac:dyDescent="0.3">
      <c r="A2935" s="2"/>
      <c r="B2935" s="65" t="str">
        <f>IF($C2935="","","GG"&amp;TEXT(ROW()-6,"00000"))</f>
        <v/>
      </c>
      <c r="C2935" s="66"/>
      <c r="D2935" s="60"/>
      <c r="E2935" s="61"/>
      <c r="F2935" s="61"/>
      <c r="G2935" s="67"/>
      <c r="H2935" s="60"/>
      <c r="I2935" s="60"/>
      <c r="J2935" s="61"/>
      <c r="K2935" s="61"/>
      <c r="L2935" s="60"/>
      <c r="M2935" s="74" t="str">
        <f>IF($C2935="","",IF($D2935="Gider",$E2935,IF($L2935&lt;&gt;"",$L2935,$H2935)))</f>
        <v/>
      </c>
      <c r="N2935" s="74" t="str">
        <f>IF($C2935="","",IF($D2935="Gider",$H2935,$E2935))</f>
        <v/>
      </c>
      <c r="O2935" s="73" t="str">
        <f>IF($C2935="","",DATE(YEAR($C2935),MONTH($C2935),1))</f>
        <v/>
      </c>
      <c r="P2935" s="65" t="str">
        <f ca="1">IF($C2935="","",IF(AND($D2935="Gelir",$L2935&lt;&gt;"",$T2935=""),"TANIMSIZ BORÇLU",IF($T2935&lt;&gt;"",IF(OR($E2935="",$G2935&lt;=0),"EKSİK",IF($I2935="Evet","TAHAKKUK NAKİT OLAMAZ",IF($C2935&gt;TODAY(),"İLERİ TARİH","TAHAKKUK"))),IF(AND($D2935&lt;&gt;"",$E2935&lt;&gt;"",$G2935&gt;0,$H2935&lt;&gt;"",$I2935&lt;&gt;""),IF($C2935&gt;TODAY(),"İLERİ TARİH",IF(COUNTIF($W$7:$W$3001,$W2935)&gt;1,"MÜKERRER?",IF($AD2935&gt;0,"KAPALI DÖNEM",IF($I2935="Hayır","ÖDENECEK","UYGUN")))),"EKSİK"))))</f>
        <v/>
      </c>
      <c r="Q2935" s="2"/>
      <c r="R2935" s="2"/>
      <c r="S2935" s="1" t="str">
        <f t="shared" si="137"/>
        <v/>
      </c>
      <c r="T2935" s="1" t="str">
        <f>IF(OR($C2935="",$D2935&lt;&gt;"Gelir",$L2935=""),"",IFERROR(INDEX(MUSTERILER!$B$7:$B$156,MATCH($S2935,MUSTERILER!$T$7:$T$156,0)),""))</f>
        <v/>
      </c>
      <c r="U2935" s="1" t="str">
        <f>IF($T2935="","",$T2935&amp;"|"&amp;COUNTIFS($T$7:$T2935,$T2935))</f>
        <v/>
      </c>
      <c r="V2935" s="1">
        <f t="shared" si="138"/>
        <v>0</v>
      </c>
      <c r="W2935" s="1" t="str">
        <f t="shared" si="139"/>
        <v/>
      </c>
      <c r="X2935" s="1"/>
      <c r="Y2935" s="1"/>
      <c r="Z2935" s="1"/>
      <c r="AA2935" s="1"/>
      <c r="AB2935" s="1"/>
      <c r="AC2935" s="1"/>
      <c r="AD2935" s="1">
        <f>IF($C2935="",0,SUMPRODUCT((AY_SONU!$O$7:$O$42="Evet")*(AY_SONU!$B$7:$B$42=DATE(YEAR($C2935),MONTH($C2935),1))))</f>
        <v>0</v>
      </c>
      <c r="AE2935" s="1" t="str">
        <f>IF($E2935="","",$E2935&amp;"|"&amp;COUNTIFS($E$7:$E2935,$E2935))</f>
        <v/>
      </c>
    </row>
    <row r="2936" spans="1:31" ht="18" customHeight="1" x14ac:dyDescent="0.3">
      <c r="A2936" s="2"/>
      <c r="B2936" s="65" t="str">
        <f>IF($C2936="","","GG"&amp;TEXT(ROW()-6,"00000"))</f>
        <v/>
      </c>
      <c r="C2936" s="66"/>
      <c r="D2936" s="60"/>
      <c r="E2936" s="61"/>
      <c r="F2936" s="61"/>
      <c r="G2936" s="67"/>
      <c r="H2936" s="60"/>
      <c r="I2936" s="60"/>
      <c r="J2936" s="61"/>
      <c r="K2936" s="61"/>
      <c r="L2936" s="60"/>
      <c r="M2936" s="74" t="str">
        <f>IF($C2936="","",IF($D2936="Gider",$E2936,IF($L2936&lt;&gt;"",$L2936,$H2936)))</f>
        <v/>
      </c>
      <c r="N2936" s="74" t="str">
        <f>IF($C2936="","",IF($D2936="Gider",$H2936,$E2936))</f>
        <v/>
      </c>
      <c r="O2936" s="73" t="str">
        <f>IF($C2936="","",DATE(YEAR($C2936),MONTH($C2936),1))</f>
        <v/>
      </c>
      <c r="P2936" s="65" t="str">
        <f ca="1">IF($C2936="","",IF(AND($D2936="Gelir",$L2936&lt;&gt;"",$T2936=""),"TANIMSIZ BORÇLU",IF($T2936&lt;&gt;"",IF(OR($E2936="",$G2936&lt;=0),"EKSİK",IF($I2936="Evet","TAHAKKUK NAKİT OLAMAZ",IF($C2936&gt;TODAY(),"İLERİ TARİH","TAHAKKUK"))),IF(AND($D2936&lt;&gt;"",$E2936&lt;&gt;"",$G2936&gt;0,$H2936&lt;&gt;"",$I2936&lt;&gt;""),IF($C2936&gt;TODAY(),"İLERİ TARİH",IF(COUNTIF($W$7:$W$3001,$W2936)&gt;1,"MÜKERRER?",IF($AD2936&gt;0,"KAPALI DÖNEM",IF($I2936="Hayır","ÖDENECEK","UYGUN")))),"EKSİK"))))</f>
        <v/>
      </c>
      <c r="Q2936" s="2"/>
      <c r="R2936" s="2"/>
      <c r="S2936" s="1" t="str">
        <f t="shared" si="137"/>
        <v/>
      </c>
      <c r="T2936" s="1" t="str">
        <f>IF(OR($C2936="",$D2936&lt;&gt;"Gelir",$L2936=""),"",IFERROR(INDEX(MUSTERILER!$B$7:$B$156,MATCH($S2936,MUSTERILER!$T$7:$T$156,0)),""))</f>
        <v/>
      </c>
      <c r="U2936" s="1" t="str">
        <f>IF($T2936="","",$T2936&amp;"|"&amp;COUNTIFS($T$7:$T2936,$T2936))</f>
        <v/>
      </c>
      <c r="V2936" s="1">
        <f t="shared" si="138"/>
        <v>0</v>
      </c>
      <c r="W2936" s="1" t="str">
        <f t="shared" si="139"/>
        <v/>
      </c>
      <c r="X2936" s="1"/>
      <c r="Y2936" s="1"/>
      <c r="Z2936" s="1"/>
      <c r="AA2936" s="1"/>
      <c r="AB2936" s="1"/>
      <c r="AC2936" s="1"/>
      <c r="AD2936" s="1">
        <f>IF($C2936="",0,SUMPRODUCT((AY_SONU!$O$7:$O$42="Evet")*(AY_SONU!$B$7:$B$42=DATE(YEAR($C2936),MONTH($C2936),1))))</f>
        <v>0</v>
      </c>
      <c r="AE2936" s="1" t="str">
        <f>IF($E2936="","",$E2936&amp;"|"&amp;COUNTIFS($E$7:$E2936,$E2936))</f>
        <v/>
      </c>
    </row>
    <row r="2937" spans="1:31" ht="18" customHeight="1" x14ac:dyDescent="0.3">
      <c r="A2937" s="2"/>
      <c r="B2937" s="65" t="str">
        <f>IF($C2937="","","GG"&amp;TEXT(ROW()-6,"00000"))</f>
        <v/>
      </c>
      <c r="C2937" s="66"/>
      <c r="D2937" s="60"/>
      <c r="E2937" s="61"/>
      <c r="F2937" s="61"/>
      <c r="G2937" s="67"/>
      <c r="H2937" s="60"/>
      <c r="I2937" s="60"/>
      <c r="J2937" s="61"/>
      <c r="K2937" s="61"/>
      <c r="L2937" s="60"/>
      <c r="M2937" s="74" t="str">
        <f>IF($C2937="","",IF($D2937="Gider",$E2937,IF($L2937&lt;&gt;"",$L2937,$H2937)))</f>
        <v/>
      </c>
      <c r="N2937" s="74" t="str">
        <f>IF($C2937="","",IF($D2937="Gider",$H2937,$E2937))</f>
        <v/>
      </c>
      <c r="O2937" s="73" t="str">
        <f>IF($C2937="","",DATE(YEAR($C2937),MONTH($C2937),1))</f>
        <v/>
      </c>
      <c r="P2937" s="65" t="str">
        <f ca="1">IF($C2937="","",IF(AND($D2937="Gelir",$L2937&lt;&gt;"",$T2937=""),"TANIMSIZ BORÇLU",IF($T2937&lt;&gt;"",IF(OR($E2937="",$G2937&lt;=0),"EKSİK",IF($I2937="Evet","TAHAKKUK NAKİT OLAMAZ",IF($C2937&gt;TODAY(),"İLERİ TARİH","TAHAKKUK"))),IF(AND($D2937&lt;&gt;"",$E2937&lt;&gt;"",$G2937&gt;0,$H2937&lt;&gt;"",$I2937&lt;&gt;""),IF($C2937&gt;TODAY(),"İLERİ TARİH",IF(COUNTIF($W$7:$W$3001,$W2937)&gt;1,"MÜKERRER?",IF($AD2937&gt;0,"KAPALI DÖNEM",IF($I2937="Hayır","ÖDENECEK","UYGUN")))),"EKSİK"))))</f>
        <v/>
      </c>
      <c r="Q2937" s="2"/>
      <c r="R2937" s="2"/>
      <c r="S2937" s="1" t="str">
        <f t="shared" si="137"/>
        <v/>
      </c>
      <c r="T2937" s="1" t="str">
        <f>IF(OR($C2937="",$D2937&lt;&gt;"Gelir",$L2937=""),"",IFERROR(INDEX(MUSTERILER!$B$7:$B$156,MATCH($S2937,MUSTERILER!$T$7:$T$156,0)),""))</f>
        <v/>
      </c>
      <c r="U2937" s="1" t="str">
        <f>IF($T2937="","",$T2937&amp;"|"&amp;COUNTIFS($T$7:$T2937,$T2937))</f>
        <v/>
      </c>
      <c r="V2937" s="1">
        <f t="shared" si="138"/>
        <v>0</v>
      </c>
      <c r="W2937" s="1" t="str">
        <f t="shared" si="139"/>
        <v/>
      </c>
      <c r="X2937" s="1"/>
      <c r="Y2937" s="1"/>
      <c r="Z2937" s="1"/>
      <c r="AA2937" s="1"/>
      <c r="AB2937" s="1"/>
      <c r="AC2937" s="1"/>
      <c r="AD2937" s="1">
        <f>IF($C2937="",0,SUMPRODUCT((AY_SONU!$O$7:$O$42="Evet")*(AY_SONU!$B$7:$B$42=DATE(YEAR($C2937),MONTH($C2937),1))))</f>
        <v>0</v>
      </c>
      <c r="AE2937" s="1" t="str">
        <f>IF($E2937="","",$E2937&amp;"|"&amp;COUNTIFS($E$7:$E2937,$E2937))</f>
        <v/>
      </c>
    </row>
    <row r="2938" spans="1:31" ht="18" customHeight="1" x14ac:dyDescent="0.3">
      <c r="A2938" s="2"/>
      <c r="B2938" s="65" t="str">
        <f>IF($C2938="","","GG"&amp;TEXT(ROW()-6,"00000"))</f>
        <v/>
      </c>
      <c r="C2938" s="66"/>
      <c r="D2938" s="60"/>
      <c r="E2938" s="61"/>
      <c r="F2938" s="61"/>
      <c r="G2938" s="67"/>
      <c r="H2938" s="60"/>
      <c r="I2938" s="60"/>
      <c r="J2938" s="61"/>
      <c r="K2938" s="61"/>
      <c r="L2938" s="60"/>
      <c r="M2938" s="74" t="str">
        <f>IF($C2938="","",IF($D2938="Gider",$E2938,IF($L2938&lt;&gt;"",$L2938,$H2938)))</f>
        <v/>
      </c>
      <c r="N2938" s="74" t="str">
        <f>IF($C2938="","",IF($D2938="Gider",$H2938,$E2938))</f>
        <v/>
      </c>
      <c r="O2938" s="73" t="str">
        <f>IF($C2938="","",DATE(YEAR($C2938),MONTH($C2938),1))</f>
        <v/>
      </c>
      <c r="P2938" s="65" t="str">
        <f ca="1">IF($C2938="","",IF(AND($D2938="Gelir",$L2938&lt;&gt;"",$T2938=""),"TANIMSIZ BORÇLU",IF($T2938&lt;&gt;"",IF(OR($E2938="",$G2938&lt;=0),"EKSİK",IF($I2938="Evet","TAHAKKUK NAKİT OLAMAZ",IF($C2938&gt;TODAY(),"İLERİ TARİH","TAHAKKUK"))),IF(AND($D2938&lt;&gt;"",$E2938&lt;&gt;"",$G2938&gt;0,$H2938&lt;&gt;"",$I2938&lt;&gt;""),IF($C2938&gt;TODAY(),"İLERİ TARİH",IF(COUNTIF($W$7:$W$3001,$W2938)&gt;1,"MÜKERRER?",IF($AD2938&gt;0,"KAPALI DÖNEM",IF($I2938="Hayır","ÖDENECEK","UYGUN")))),"EKSİK"))))</f>
        <v/>
      </c>
      <c r="Q2938" s="2"/>
      <c r="R2938" s="2"/>
      <c r="S2938" s="1" t="str">
        <f t="shared" si="137"/>
        <v/>
      </c>
      <c r="T2938" s="1" t="str">
        <f>IF(OR($C2938="",$D2938&lt;&gt;"Gelir",$L2938=""),"",IFERROR(INDEX(MUSTERILER!$B$7:$B$156,MATCH($S2938,MUSTERILER!$T$7:$T$156,0)),""))</f>
        <v/>
      </c>
      <c r="U2938" s="1" t="str">
        <f>IF($T2938="","",$T2938&amp;"|"&amp;COUNTIFS($T$7:$T2938,$T2938))</f>
        <v/>
      </c>
      <c r="V2938" s="1">
        <f t="shared" si="138"/>
        <v>0</v>
      </c>
      <c r="W2938" s="1" t="str">
        <f t="shared" si="139"/>
        <v/>
      </c>
      <c r="X2938" s="1"/>
      <c r="Y2938" s="1"/>
      <c r="Z2938" s="1"/>
      <c r="AA2938" s="1"/>
      <c r="AB2938" s="1"/>
      <c r="AC2938" s="1"/>
      <c r="AD2938" s="1">
        <f>IF($C2938="",0,SUMPRODUCT((AY_SONU!$O$7:$O$42="Evet")*(AY_SONU!$B$7:$B$42=DATE(YEAR($C2938),MONTH($C2938),1))))</f>
        <v>0</v>
      </c>
      <c r="AE2938" s="1" t="str">
        <f>IF($E2938="","",$E2938&amp;"|"&amp;COUNTIFS($E$7:$E2938,$E2938))</f>
        <v/>
      </c>
    </row>
    <row r="2939" spans="1:31" ht="18" customHeight="1" x14ac:dyDescent="0.3">
      <c r="A2939" s="2"/>
      <c r="B2939" s="65" t="str">
        <f>IF($C2939="","","GG"&amp;TEXT(ROW()-6,"00000"))</f>
        <v/>
      </c>
      <c r="C2939" s="66"/>
      <c r="D2939" s="60"/>
      <c r="E2939" s="61"/>
      <c r="F2939" s="61"/>
      <c r="G2939" s="67"/>
      <c r="H2939" s="60"/>
      <c r="I2939" s="60"/>
      <c r="J2939" s="61"/>
      <c r="K2939" s="61"/>
      <c r="L2939" s="60"/>
      <c r="M2939" s="74" t="str">
        <f>IF($C2939="","",IF($D2939="Gider",$E2939,IF($L2939&lt;&gt;"",$L2939,$H2939)))</f>
        <v/>
      </c>
      <c r="N2939" s="74" t="str">
        <f>IF($C2939="","",IF($D2939="Gider",$H2939,$E2939))</f>
        <v/>
      </c>
      <c r="O2939" s="73" t="str">
        <f>IF($C2939="","",DATE(YEAR($C2939),MONTH($C2939),1))</f>
        <v/>
      </c>
      <c r="P2939" s="65" t="str">
        <f ca="1">IF($C2939="","",IF(AND($D2939="Gelir",$L2939&lt;&gt;"",$T2939=""),"TANIMSIZ BORÇLU",IF($T2939&lt;&gt;"",IF(OR($E2939="",$G2939&lt;=0),"EKSİK",IF($I2939="Evet","TAHAKKUK NAKİT OLAMAZ",IF($C2939&gt;TODAY(),"İLERİ TARİH","TAHAKKUK"))),IF(AND($D2939&lt;&gt;"",$E2939&lt;&gt;"",$G2939&gt;0,$H2939&lt;&gt;"",$I2939&lt;&gt;""),IF($C2939&gt;TODAY(),"İLERİ TARİH",IF(COUNTIF($W$7:$W$3001,$W2939)&gt;1,"MÜKERRER?",IF($AD2939&gt;0,"KAPALI DÖNEM",IF($I2939="Hayır","ÖDENECEK","UYGUN")))),"EKSİK"))))</f>
        <v/>
      </c>
      <c r="Q2939" s="2"/>
      <c r="R2939" s="2"/>
      <c r="S2939" s="1" t="str">
        <f t="shared" si="137"/>
        <v/>
      </c>
      <c r="T2939" s="1" t="str">
        <f>IF(OR($C2939="",$D2939&lt;&gt;"Gelir",$L2939=""),"",IFERROR(INDEX(MUSTERILER!$B$7:$B$156,MATCH($S2939,MUSTERILER!$T$7:$T$156,0)),""))</f>
        <v/>
      </c>
      <c r="U2939" s="1" t="str">
        <f>IF($T2939="","",$T2939&amp;"|"&amp;COUNTIFS($T$7:$T2939,$T2939))</f>
        <v/>
      </c>
      <c r="V2939" s="1">
        <f t="shared" si="138"/>
        <v>0</v>
      </c>
      <c r="W2939" s="1" t="str">
        <f t="shared" si="139"/>
        <v/>
      </c>
      <c r="X2939" s="1"/>
      <c r="Y2939" s="1"/>
      <c r="Z2939" s="1"/>
      <c r="AA2939" s="1"/>
      <c r="AB2939" s="1"/>
      <c r="AC2939" s="1"/>
      <c r="AD2939" s="1">
        <f>IF($C2939="",0,SUMPRODUCT((AY_SONU!$O$7:$O$42="Evet")*(AY_SONU!$B$7:$B$42=DATE(YEAR($C2939),MONTH($C2939),1))))</f>
        <v>0</v>
      </c>
      <c r="AE2939" s="1" t="str">
        <f>IF($E2939="","",$E2939&amp;"|"&amp;COUNTIFS($E$7:$E2939,$E2939))</f>
        <v/>
      </c>
    </row>
    <row r="2940" spans="1:31" ht="18" customHeight="1" x14ac:dyDescent="0.3">
      <c r="A2940" s="2"/>
      <c r="B2940" s="65" t="str">
        <f>IF($C2940="","","GG"&amp;TEXT(ROW()-6,"00000"))</f>
        <v/>
      </c>
      <c r="C2940" s="66"/>
      <c r="D2940" s="60"/>
      <c r="E2940" s="61"/>
      <c r="F2940" s="61"/>
      <c r="G2940" s="67"/>
      <c r="H2940" s="60"/>
      <c r="I2940" s="60"/>
      <c r="J2940" s="61"/>
      <c r="K2940" s="61"/>
      <c r="L2940" s="60"/>
      <c r="M2940" s="74" t="str">
        <f>IF($C2940="","",IF($D2940="Gider",$E2940,IF($L2940&lt;&gt;"",$L2940,$H2940)))</f>
        <v/>
      </c>
      <c r="N2940" s="74" t="str">
        <f>IF($C2940="","",IF($D2940="Gider",$H2940,$E2940))</f>
        <v/>
      </c>
      <c r="O2940" s="73" t="str">
        <f>IF($C2940="","",DATE(YEAR($C2940),MONTH($C2940),1))</f>
        <v/>
      </c>
      <c r="P2940" s="65" t="str">
        <f ca="1">IF($C2940="","",IF(AND($D2940="Gelir",$L2940&lt;&gt;"",$T2940=""),"TANIMSIZ BORÇLU",IF($T2940&lt;&gt;"",IF(OR($E2940="",$G2940&lt;=0),"EKSİK",IF($I2940="Evet","TAHAKKUK NAKİT OLAMAZ",IF($C2940&gt;TODAY(),"İLERİ TARİH","TAHAKKUK"))),IF(AND($D2940&lt;&gt;"",$E2940&lt;&gt;"",$G2940&gt;0,$H2940&lt;&gt;"",$I2940&lt;&gt;""),IF($C2940&gt;TODAY(),"İLERİ TARİH",IF(COUNTIF($W$7:$W$3001,$W2940)&gt;1,"MÜKERRER?",IF($AD2940&gt;0,"KAPALI DÖNEM",IF($I2940="Hayır","ÖDENECEK","UYGUN")))),"EKSİK"))))</f>
        <v/>
      </c>
      <c r="Q2940" s="2"/>
      <c r="R2940" s="2"/>
      <c r="S2940" s="1" t="str">
        <f t="shared" si="137"/>
        <v/>
      </c>
      <c r="T2940" s="1" t="str">
        <f>IF(OR($C2940="",$D2940&lt;&gt;"Gelir",$L2940=""),"",IFERROR(INDEX(MUSTERILER!$B$7:$B$156,MATCH($S2940,MUSTERILER!$T$7:$T$156,0)),""))</f>
        <v/>
      </c>
      <c r="U2940" s="1" t="str">
        <f>IF($T2940="","",$T2940&amp;"|"&amp;COUNTIFS($T$7:$T2940,$T2940))</f>
        <v/>
      </c>
      <c r="V2940" s="1">
        <f t="shared" si="138"/>
        <v>0</v>
      </c>
      <c r="W2940" s="1" t="str">
        <f t="shared" si="139"/>
        <v/>
      </c>
      <c r="X2940" s="1"/>
      <c r="Y2940" s="1"/>
      <c r="Z2940" s="1"/>
      <c r="AA2940" s="1"/>
      <c r="AB2940" s="1"/>
      <c r="AC2940" s="1"/>
      <c r="AD2940" s="1">
        <f>IF($C2940="",0,SUMPRODUCT((AY_SONU!$O$7:$O$42="Evet")*(AY_SONU!$B$7:$B$42=DATE(YEAR($C2940),MONTH($C2940),1))))</f>
        <v>0</v>
      </c>
      <c r="AE2940" s="1" t="str">
        <f>IF($E2940="","",$E2940&amp;"|"&amp;COUNTIFS($E$7:$E2940,$E2940))</f>
        <v/>
      </c>
    </row>
    <row r="2941" spans="1:31" ht="18" customHeight="1" x14ac:dyDescent="0.3">
      <c r="A2941" s="2"/>
      <c r="B2941" s="65" t="str">
        <f>IF($C2941="","","GG"&amp;TEXT(ROW()-6,"00000"))</f>
        <v/>
      </c>
      <c r="C2941" s="66"/>
      <c r="D2941" s="60"/>
      <c r="E2941" s="61"/>
      <c r="F2941" s="61"/>
      <c r="G2941" s="67"/>
      <c r="H2941" s="60"/>
      <c r="I2941" s="60"/>
      <c r="J2941" s="61"/>
      <c r="K2941" s="61"/>
      <c r="L2941" s="60"/>
      <c r="M2941" s="74" t="str">
        <f>IF($C2941="","",IF($D2941="Gider",$E2941,IF($L2941&lt;&gt;"",$L2941,$H2941)))</f>
        <v/>
      </c>
      <c r="N2941" s="74" t="str">
        <f>IF($C2941="","",IF($D2941="Gider",$H2941,$E2941))</f>
        <v/>
      </c>
      <c r="O2941" s="73" t="str">
        <f>IF($C2941="","",DATE(YEAR($C2941),MONTH($C2941),1))</f>
        <v/>
      </c>
      <c r="P2941" s="65" t="str">
        <f ca="1">IF($C2941="","",IF(AND($D2941="Gelir",$L2941&lt;&gt;"",$T2941=""),"TANIMSIZ BORÇLU",IF($T2941&lt;&gt;"",IF(OR($E2941="",$G2941&lt;=0),"EKSİK",IF($I2941="Evet","TAHAKKUK NAKİT OLAMAZ",IF($C2941&gt;TODAY(),"İLERİ TARİH","TAHAKKUK"))),IF(AND($D2941&lt;&gt;"",$E2941&lt;&gt;"",$G2941&gt;0,$H2941&lt;&gt;"",$I2941&lt;&gt;""),IF($C2941&gt;TODAY(),"İLERİ TARİH",IF(COUNTIF($W$7:$W$3001,$W2941)&gt;1,"MÜKERRER?",IF($AD2941&gt;0,"KAPALI DÖNEM",IF($I2941="Hayır","ÖDENECEK","UYGUN")))),"EKSİK"))))</f>
        <v/>
      </c>
      <c r="Q2941" s="2"/>
      <c r="R2941" s="2"/>
      <c r="S2941" s="1" t="str">
        <f t="shared" si="137"/>
        <v/>
      </c>
      <c r="T2941" s="1" t="str">
        <f>IF(OR($C2941="",$D2941&lt;&gt;"Gelir",$L2941=""),"",IFERROR(INDEX(MUSTERILER!$B$7:$B$156,MATCH($S2941,MUSTERILER!$T$7:$T$156,0)),""))</f>
        <v/>
      </c>
      <c r="U2941" s="1" t="str">
        <f>IF($T2941="","",$T2941&amp;"|"&amp;COUNTIFS($T$7:$T2941,$T2941))</f>
        <v/>
      </c>
      <c r="V2941" s="1">
        <f t="shared" si="138"/>
        <v>0</v>
      </c>
      <c r="W2941" s="1" t="str">
        <f t="shared" si="139"/>
        <v/>
      </c>
      <c r="X2941" s="1"/>
      <c r="Y2941" s="1"/>
      <c r="Z2941" s="1"/>
      <c r="AA2941" s="1"/>
      <c r="AB2941" s="1"/>
      <c r="AC2941" s="1"/>
      <c r="AD2941" s="1">
        <f>IF($C2941="",0,SUMPRODUCT((AY_SONU!$O$7:$O$42="Evet")*(AY_SONU!$B$7:$B$42=DATE(YEAR($C2941),MONTH($C2941),1))))</f>
        <v>0</v>
      </c>
      <c r="AE2941" s="1" t="str">
        <f>IF($E2941="","",$E2941&amp;"|"&amp;COUNTIFS($E$7:$E2941,$E2941))</f>
        <v/>
      </c>
    </row>
    <row r="2942" spans="1:31" ht="18" customHeight="1" x14ac:dyDescent="0.3">
      <c r="A2942" s="2"/>
      <c r="B2942" s="65" t="str">
        <f>IF($C2942="","","GG"&amp;TEXT(ROW()-6,"00000"))</f>
        <v/>
      </c>
      <c r="C2942" s="66"/>
      <c r="D2942" s="60"/>
      <c r="E2942" s="61"/>
      <c r="F2942" s="61"/>
      <c r="G2942" s="67"/>
      <c r="H2942" s="60"/>
      <c r="I2942" s="60"/>
      <c r="J2942" s="61"/>
      <c r="K2942" s="61"/>
      <c r="L2942" s="60"/>
      <c r="M2942" s="74" t="str">
        <f>IF($C2942="","",IF($D2942="Gider",$E2942,IF($L2942&lt;&gt;"",$L2942,$H2942)))</f>
        <v/>
      </c>
      <c r="N2942" s="74" t="str">
        <f>IF($C2942="","",IF($D2942="Gider",$H2942,$E2942))</f>
        <v/>
      </c>
      <c r="O2942" s="73" t="str">
        <f>IF($C2942="","",DATE(YEAR($C2942),MONTH($C2942),1))</f>
        <v/>
      </c>
      <c r="P2942" s="65" t="str">
        <f ca="1">IF($C2942="","",IF(AND($D2942="Gelir",$L2942&lt;&gt;"",$T2942=""),"TANIMSIZ BORÇLU",IF($T2942&lt;&gt;"",IF(OR($E2942="",$G2942&lt;=0),"EKSİK",IF($I2942="Evet","TAHAKKUK NAKİT OLAMAZ",IF($C2942&gt;TODAY(),"İLERİ TARİH","TAHAKKUK"))),IF(AND($D2942&lt;&gt;"",$E2942&lt;&gt;"",$G2942&gt;0,$H2942&lt;&gt;"",$I2942&lt;&gt;""),IF($C2942&gt;TODAY(),"İLERİ TARİH",IF(COUNTIF($W$7:$W$3001,$W2942)&gt;1,"MÜKERRER?",IF($AD2942&gt;0,"KAPALI DÖNEM",IF($I2942="Hayır","ÖDENECEK","UYGUN")))),"EKSİK"))))</f>
        <v/>
      </c>
      <c r="Q2942" s="2"/>
      <c r="R2942" s="2"/>
      <c r="S2942" s="1" t="str">
        <f t="shared" si="137"/>
        <v/>
      </c>
      <c r="T2942" s="1" t="str">
        <f>IF(OR($C2942="",$D2942&lt;&gt;"Gelir",$L2942=""),"",IFERROR(INDEX(MUSTERILER!$B$7:$B$156,MATCH($S2942,MUSTERILER!$T$7:$T$156,0)),""))</f>
        <v/>
      </c>
      <c r="U2942" s="1" t="str">
        <f>IF($T2942="","",$T2942&amp;"|"&amp;COUNTIFS($T$7:$T2942,$T2942))</f>
        <v/>
      </c>
      <c r="V2942" s="1">
        <f t="shared" si="138"/>
        <v>0</v>
      </c>
      <c r="W2942" s="1" t="str">
        <f t="shared" si="139"/>
        <v/>
      </c>
      <c r="X2942" s="1"/>
      <c r="Y2942" s="1"/>
      <c r="Z2942" s="1"/>
      <c r="AA2942" s="1"/>
      <c r="AB2942" s="1"/>
      <c r="AC2942" s="1"/>
      <c r="AD2942" s="1">
        <f>IF($C2942="",0,SUMPRODUCT((AY_SONU!$O$7:$O$42="Evet")*(AY_SONU!$B$7:$B$42=DATE(YEAR($C2942),MONTH($C2942),1))))</f>
        <v>0</v>
      </c>
      <c r="AE2942" s="1" t="str">
        <f>IF($E2942="","",$E2942&amp;"|"&amp;COUNTIFS($E$7:$E2942,$E2942))</f>
        <v/>
      </c>
    </row>
    <row r="2943" spans="1:31" ht="18" customHeight="1" x14ac:dyDescent="0.3">
      <c r="A2943" s="2"/>
      <c r="B2943" s="65" t="str">
        <f>IF($C2943="","","GG"&amp;TEXT(ROW()-6,"00000"))</f>
        <v/>
      </c>
      <c r="C2943" s="66"/>
      <c r="D2943" s="60"/>
      <c r="E2943" s="61"/>
      <c r="F2943" s="61"/>
      <c r="G2943" s="67"/>
      <c r="H2943" s="60"/>
      <c r="I2943" s="60"/>
      <c r="J2943" s="61"/>
      <c r="K2943" s="61"/>
      <c r="L2943" s="60"/>
      <c r="M2943" s="74" t="str">
        <f>IF($C2943="","",IF($D2943="Gider",$E2943,IF($L2943&lt;&gt;"",$L2943,$H2943)))</f>
        <v/>
      </c>
      <c r="N2943" s="74" t="str">
        <f>IF($C2943="","",IF($D2943="Gider",$H2943,$E2943))</f>
        <v/>
      </c>
      <c r="O2943" s="73" t="str">
        <f>IF($C2943="","",DATE(YEAR($C2943),MONTH($C2943),1))</f>
        <v/>
      </c>
      <c r="P2943" s="65" t="str">
        <f ca="1">IF($C2943="","",IF(AND($D2943="Gelir",$L2943&lt;&gt;"",$T2943=""),"TANIMSIZ BORÇLU",IF($T2943&lt;&gt;"",IF(OR($E2943="",$G2943&lt;=0),"EKSİK",IF($I2943="Evet","TAHAKKUK NAKİT OLAMAZ",IF($C2943&gt;TODAY(),"İLERİ TARİH","TAHAKKUK"))),IF(AND($D2943&lt;&gt;"",$E2943&lt;&gt;"",$G2943&gt;0,$H2943&lt;&gt;"",$I2943&lt;&gt;""),IF($C2943&gt;TODAY(),"İLERİ TARİH",IF(COUNTIF($W$7:$W$3001,$W2943)&gt;1,"MÜKERRER?",IF($AD2943&gt;0,"KAPALI DÖNEM",IF($I2943="Hayır","ÖDENECEK","UYGUN")))),"EKSİK"))))</f>
        <v/>
      </c>
      <c r="Q2943" s="2"/>
      <c r="R2943" s="2"/>
      <c r="S2943" s="1" t="str">
        <f t="shared" si="137"/>
        <v/>
      </c>
      <c r="T2943" s="1" t="str">
        <f>IF(OR($C2943="",$D2943&lt;&gt;"Gelir",$L2943=""),"",IFERROR(INDEX(MUSTERILER!$B$7:$B$156,MATCH($S2943,MUSTERILER!$T$7:$T$156,0)),""))</f>
        <v/>
      </c>
      <c r="U2943" s="1" t="str">
        <f>IF($T2943="","",$T2943&amp;"|"&amp;COUNTIFS($T$7:$T2943,$T2943))</f>
        <v/>
      </c>
      <c r="V2943" s="1">
        <f t="shared" si="138"/>
        <v>0</v>
      </c>
      <c r="W2943" s="1" t="str">
        <f t="shared" si="139"/>
        <v/>
      </c>
      <c r="X2943" s="1"/>
      <c r="Y2943" s="1"/>
      <c r="Z2943" s="1"/>
      <c r="AA2943" s="1"/>
      <c r="AB2943" s="1"/>
      <c r="AC2943" s="1"/>
      <c r="AD2943" s="1">
        <f>IF($C2943="",0,SUMPRODUCT((AY_SONU!$O$7:$O$42="Evet")*(AY_SONU!$B$7:$B$42=DATE(YEAR($C2943),MONTH($C2943),1))))</f>
        <v>0</v>
      </c>
      <c r="AE2943" s="1" t="str">
        <f>IF($E2943="","",$E2943&amp;"|"&amp;COUNTIFS($E$7:$E2943,$E2943))</f>
        <v/>
      </c>
    </row>
    <row r="2944" spans="1:31" ht="18" customHeight="1" x14ac:dyDescent="0.3">
      <c r="A2944" s="2"/>
      <c r="B2944" s="65" t="str">
        <f>IF($C2944="","","GG"&amp;TEXT(ROW()-6,"00000"))</f>
        <v/>
      </c>
      <c r="C2944" s="66"/>
      <c r="D2944" s="60"/>
      <c r="E2944" s="61"/>
      <c r="F2944" s="61"/>
      <c r="G2944" s="67"/>
      <c r="H2944" s="60"/>
      <c r="I2944" s="60"/>
      <c r="J2944" s="61"/>
      <c r="K2944" s="61"/>
      <c r="L2944" s="60"/>
      <c r="M2944" s="74" t="str">
        <f>IF($C2944="","",IF($D2944="Gider",$E2944,IF($L2944&lt;&gt;"",$L2944,$H2944)))</f>
        <v/>
      </c>
      <c r="N2944" s="74" t="str">
        <f>IF($C2944="","",IF($D2944="Gider",$H2944,$E2944))</f>
        <v/>
      </c>
      <c r="O2944" s="73" t="str">
        <f>IF($C2944="","",DATE(YEAR($C2944),MONTH($C2944),1))</f>
        <v/>
      </c>
      <c r="P2944" s="65" t="str">
        <f ca="1">IF($C2944="","",IF(AND($D2944="Gelir",$L2944&lt;&gt;"",$T2944=""),"TANIMSIZ BORÇLU",IF($T2944&lt;&gt;"",IF(OR($E2944="",$G2944&lt;=0),"EKSİK",IF($I2944="Evet","TAHAKKUK NAKİT OLAMAZ",IF($C2944&gt;TODAY(),"İLERİ TARİH","TAHAKKUK"))),IF(AND($D2944&lt;&gt;"",$E2944&lt;&gt;"",$G2944&gt;0,$H2944&lt;&gt;"",$I2944&lt;&gt;""),IF($C2944&gt;TODAY(),"İLERİ TARİH",IF(COUNTIF($W$7:$W$3001,$W2944)&gt;1,"MÜKERRER?",IF($AD2944&gt;0,"KAPALI DÖNEM",IF($I2944="Hayır","ÖDENECEK","UYGUN")))),"EKSİK"))))</f>
        <v/>
      </c>
      <c r="Q2944" s="2"/>
      <c r="R2944" s="2"/>
      <c r="S2944" s="1" t="str">
        <f t="shared" si="137"/>
        <v/>
      </c>
      <c r="T2944" s="1" t="str">
        <f>IF(OR($C2944="",$D2944&lt;&gt;"Gelir",$L2944=""),"",IFERROR(INDEX(MUSTERILER!$B$7:$B$156,MATCH($S2944,MUSTERILER!$T$7:$T$156,0)),""))</f>
        <v/>
      </c>
      <c r="U2944" s="1" t="str">
        <f>IF($T2944="","",$T2944&amp;"|"&amp;COUNTIFS($T$7:$T2944,$T2944))</f>
        <v/>
      </c>
      <c r="V2944" s="1">
        <f t="shared" si="138"/>
        <v>0</v>
      </c>
      <c r="W2944" s="1" t="str">
        <f t="shared" si="139"/>
        <v/>
      </c>
      <c r="X2944" s="1"/>
      <c r="Y2944" s="1"/>
      <c r="Z2944" s="1"/>
      <c r="AA2944" s="1"/>
      <c r="AB2944" s="1"/>
      <c r="AC2944" s="1"/>
      <c r="AD2944" s="1">
        <f>IF($C2944="",0,SUMPRODUCT((AY_SONU!$O$7:$O$42="Evet")*(AY_SONU!$B$7:$B$42=DATE(YEAR($C2944),MONTH($C2944),1))))</f>
        <v>0</v>
      </c>
      <c r="AE2944" s="1" t="str">
        <f>IF($E2944="","",$E2944&amp;"|"&amp;COUNTIFS($E$7:$E2944,$E2944))</f>
        <v/>
      </c>
    </row>
    <row r="2945" spans="1:31" ht="18" customHeight="1" x14ac:dyDescent="0.3">
      <c r="A2945" s="2"/>
      <c r="B2945" s="65" t="str">
        <f>IF($C2945="","","GG"&amp;TEXT(ROW()-6,"00000"))</f>
        <v/>
      </c>
      <c r="C2945" s="66"/>
      <c r="D2945" s="60"/>
      <c r="E2945" s="61"/>
      <c r="F2945" s="61"/>
      <c r="G2945" s="67"/>
      <c r="H2945" s="60"/>
      <c r="I2945" s="60"/>
      <c r="J2945" s="61"/>
      <c r="K2945" s="61"/>
      <c r="L2945" s="60"/>
      <c r="M2945" s="74" t="str">
        <f>IF($C2945="","",IF($D2945="Gider",$E2945,IF($L2945&lt;&gt;"",$L2945,$H2945)))</f>
        <v/>
      </c>
      <c r="N2945" s="74" t="str">
        <f>IF($C2945="","",IF($D2945="Gider",$H2945,$E2945))</f>
        <v/>
      </c>
      <c r="O2945" s="73" t="str">
        <f>IF($C2945="","",DATE(YEAR($C2945),MONTH($C2945),1))</f>
        <v/>
      </c>
      <c r="P2945" s="65" t="str">
        <f ca="1">IF($C2945="","",IF(AND($D2945="Gelir",$L2945&lt;&gt;"",$T2945=""),"TANIMSIZ BORÇLU",IF($T2945&lt;&gt;"",IF(OR($E2945="",$G2945&lt;=0),"EKSİK",IF($I2945="Evet","TAHAKKUK NAKİT OLAMAZ",IF($C2945&gt;TODAY(),"İLERİ TARİH","TAHAKKUK"))),IF(AND($D2945&lt;&gt;"",$E2945&lt;&gt;"",$G2945&gt;0,$H2945&lt;&gt;"",$I2945&lt;&gt;""),IF($C2945&gt;TODAY(),"İLERİ TARİH",IF(COUNTIF($W$7:$W$3001,$W2945)&gt;1,"MÜKERRER?",IF($AD2945&gt;0,"KAPALI DÖNEM",IF($I2945="Hayır","ÖDENECEK","UYGUN")))),"EKSİK"))))</f>
        <v/>
      </c>
      <c r="Q2945" s="2"/>
      <c r="R2945" s="2"/>
      <c r="S2945" s="1" t="str">
        <f t="shared" si="137"/>
        <v/>
      </c>
      <c r="T2945" s="1" t="str">
        <f>IF(OR($C2945="",$D2945&lt;&gt;"Gelir",$L2945=""),"",IFERROR(INDEX(MUSTERILER!$B$7:$B$156,MATCH($S2945,MUSTERILER!$T$7:$T$156,0)),""))</f>
        <v/>
      </c>
      <c r="U2945" s="1" t="str">
        <f>IF($T2945="","",$T2945&amp;"|"&amp;COUNTIFS($T$7:$T2945,$T2945))</f>
        <v/>
      </c>
      <c r="V2945" s="1">
        <f t="shared" si="138"/>
        <v>0</v>
      </c>
      <c r="W2945" s="1" t="str">
        <f t="shared" si="139"/>
        <v/>
      </c>
      <c r="X2945" s="1"/>
      <c r="Y2945" s="1"/>
      <c r="Z2945" s="1"/>
      <c r="AA2945" s="1"/>
      <c r="AB2945" s="1"/>
      <c r="AC2945" s="1"/>
      <c r="AD2945" s="1">
        <f>IF($C2945="",0,SUMPRODUCT((AY_SONU!$O$7:$O$42="Evet")*(AY_SONU!$B$7:$B$42=DATE(YEAR($C2945),MONTH($C2945),1))))</f>
        <v>0</v>
      </c>
      <c r="AE2945" s="1" t="str">
        <f>IF($E2945="","",$E2945&amp;"|"&amp;COUNTIFS($E$7:$E2945,$E2945))</f>
        <v/>
      </c>
    </row>
    <row r="2946" spans="1:31" ht="18" customHeight="1" x14ac:dyDescent="0.3">
      <c r="A2946" s="2"/>
      <c r="B2946" s="65" t="str">
        <f>IF($C2946="","","GG"&amp;TEXT(ROW()-6,"00000"))</f>
        <v/>
      </c>
      <c r="C2946" s="66"/>
      <c r="D2946" s="60"/>
      <c r="E2946" s="61"/>
      <c r="F2946" s="61"/>
      <c r="G2946" s="67"/>
      <c r="H2946" s="60"/>
      <c r="I2946" s="60"/>
      <c r="J2946" s="61"/>
      <c r="K2946" s="61"/>
      <c r="L2946" s="60"/>
      <c r="M2946" s="74" t="str">
        <f>IF($C2946="","",IF($D2946="Gider",$E2946,IF($L2946&lt;&gt;"",$L2946,$H2946)))</f>
        <v/>
      </c>
      <c r="N2946" s="74" t="str">
        <f>IF($C2946="","",IF($D2946="Gider",$H2946,$E2946))</f>
        <v/>
      </c>
      <c r="O2946" s="73" t="str">
        <f>IF($C2946="","",DATE(YEAR($C2946),MONTH($C2946),1))</f>
        <v/>
      </c>
      <c r="P2946" s="65" t="str">
        <f ca="1">IF($C2946="","",IF(AND($D2946="Gelir",$L2946&lt;&gt;"",$T2946=""),"TANIMSIZ BORÇLU",IF($T2946&lt;&gt;"",IF(OR($E2946="",$G2946&lt;=0),"EKSİK",IF($I2946="Evet","TAHAKKUK NAKİT OLAMAZ",IF($C2946&gt;TODAY(),"İLERİ TARİH","TAHAKKUK"))),IF(AND($D2946&lt;&gt;"",$E2946&lt;&gt;"",$G2946&gt;0,$H2946&lt;&gt;"",$I2946&lt;&gt;""),IF($C2946&gt;TODAY(),"İLERİ TARİH",IF(COUNTIF($W$7:$W$3001,$W2946)&gt;1,"MÜKERRER?",IF($AD2946&gt;0,"KAPALI DÖNEM",IF($I2946="Hayır","ÖDENECEK","UYGUN")))),"EKSİK"))))</f>
        <v/>
      </c>
      <c r="Q2946" s="2"/>
      <c r="R2946" s="2"/>
      <c r="S2946" s="1" t="str">
        <f t="shared" si="137"/>
        <v/>
      </c>
      <c r="T2946" s="1" t="str">
        <f>IF(OR($C2946="",$D2946&lt;&gt;"Gelir",$L2946=""),"",IFERROR(INDEX(MUSTERILER!$B$7:$B$156,MATCH($S2946,MUSTERILER!$T$7:$T$156,0)),""))</f>
        <v/>
      </c>
      <c r="U2946" s="1" t="str">
        <f>IF($T2946="","",$T2946&amp;"|"&amp;COUNTIFS($T$7:$T2946,$T2946))</f>
        <v/>
      </c>
      <c r="V2946" s="1">
        <f t="shared" si="138"/>
        <v>0</v>
      </c>
      <c r="W2946" s="1" t="str">
        <f t="shared" si="139"/>
        <v/>
      </c>
      <c r="X2946" s="1"/>
      <c r="Y2946" s="1"/>
      <c r="Z2946" s="1"/>
      <c r="AA2946" s="1"/>
      <c r="AB2946" s="1"/>
      <c r="AC2946" s="1"/>
      <c r="AD2946" s="1">
        <f>IF($C2946="",0,SUMPRODUCT((AY_SONU!$O$7:$O$42="Evet")*(AY_SONU!$B$7:$B$42=DATE(YEAR($C2946),MONTH($C2946),1))))</f>
        <v>0</v>
      </c>
      <c r="AE2946" s="1" t="str">
        <f>IF($E2946="","",$E2946&amp;"|"&amp;COUNTIFS($E$7:$E2946,$E2946))</f>
        <v/>
      </c>
    </row>
    <row r="2947" spans="1:31" ht="18" customHeight="1" x14ac:dyDescent="0.3">
      <c r="A2947" s="2"/>
      <c r="B2947" s="65" t="str">
        <f>IF($C2947="","","GG"&amp;TEXT(ROW()-6,"00000"))</f>
        <v/>
      </c>
      <c r="C2947" s="66"/>
      <c r="D2947" s="60"/>
      <c r="E2947" s="61"/>
      <c r="F2947" s="61"/>
      <c r="G2947" s="67"/>
      <c r="H2947" s="60"/>
      <c r="I2947" s="60"/>
      <c r="J2947" s="61"/>
      <c r="K2947" s="61"/>
      <c r="L2947" s="60"/>
      <c r="M2947" s="74" t="str">
        <f>IF($C2947="","",IF($D2947="Gider",$E2947,IF($L2947&lt;&gt;"",$L2947,$H2947)))</f>
        <v/>
      </c>
      <c r="N2947" s="74" t="str">
        <f>IF($C2947="","",IF($D2947="Gider",$H2947,$E2947))</f>
        <v/>
      </c>
      <c r="O2947" s="73" t="str">
        <f>IF($C2947="","",DATE(YEAR($C2947),MONTH($C2947),1))</f>
        <v/>
      </c>
      <c r="P2947" s="65" t="str">
        <f ca="1">IF($C2947="","",IF(AND($D2947="Gelir",$L2947&lt;&gt;"",$T2947=""),"TANIMSIZ BORÇLU",IF($T2947&lt;&gt;"",IF(OR($E2947="",$G2947&lt;=0),"EKSİK",IF($I2947="Evet","TAHAKKUK NAKİT OLAMAZ",IF($C2947&gt;TODAY(),"İLERİ TARİH","TAHAKKUK"))),IF(AND($D2947&lt;&gt;"",$E2947&lt;&gt;"",$G2947&gt;0,$H2947&lt;&gt;"",$I2947&lt;&gt;""),IF($C2947&gt;TODAY(),"İLERİ TARİH",IF(COUNTIF($W$7:$W$3001,$W2947)&gt;1,"MÜKERRER?",IF($AD2947&gt;0,"KAPALI DÖNEM",IF($I2947="Hayır","ÖDENECEK","UYGUN")))),"EKSİK"))))</f>
        <v/>
      </c>
      <c r="Q2947" s="2"/>
      <c r="R2947" s="2"/>
      <c r="S2947" s="1" t="str">
        <f t="shared" si="137"/>
        <v/>
      </c>
      <c r="T2947" s="1" t="str">
        <f>IF(OR($C2947="",$D2947&lt;&gt;"Gelir",$L2947=""),"",IFERROR(INDEX(MUSTERILER!$B$7:$B$156,MATCH($S2947,MUSTERILER!$T$7:$T$156,0)),""))</f>
        <v/>
      </c>
      <c r="U2947" s="1" t="str">
        <f>IF($T2947="","",$T2947&amp;"|"&amp;COUNTIFS($T$7:$T2947,$T2947))</f>
        <v/>
      </c>
      <c r="V2947" s="1">
        <f t="shared" si="138"/>
        <v>0</v>
      </c>
      <c r="W2947" s="1" t="str">
        <f t="shared" si="139"/>
        <v/>
      </c>
      <c r="X2947" s="1"/>
      <c r="Y2947" s="1"/>
      <c r="Z2947" s="1"/>
      <c r="AA2947" s="1"/>
      <c r="AB2947" s="1"/>
      <c r="AC2947" s="1"/>
      <c r="AD2947" s="1">
        <f>IF($C2947="",0,SUMPRODUCT((AY_SONU!$O$7:$O$42="Evet")*(AY_SONU!$B$7:$B$42=DATE(YEAR($C2947),MONTH($C2947),1))))</f>
        <v>0</v>
      </c>
      <c r="AE2947" s="1" t="str">
        <f>IF($E2947="","",$E2947&amp;"|"&amp;COUNTIFS($E$7:$E2947,$E2947))</f>
        <v/>
      </c>
    </row>
    <row r="2948" spans="1:31" ht="18" customHeight="1" x14ac:dyDescent="0.3">
      <c r="A2948" s="2"/>
      <c r="B2948" s="65" t="str">
        <f>IF($C2948="","","GG"&amp;TEXT(ROW()-6,"00000"))</f>
        <v/>
      </c>
      <c r="C2948" s="66"/>
      <c r="D2948" s="60"/>
      <c r="E2948" s="61"/>
      <c r="F2948" s="61"/>
      <c r="G2948" s="67"/>
      <c r="H2948" s="60"/>
      <c r="I2948" s="60"/>
      <c r="J2948" s="61"/>
      <c r="K2948" s="61"/>
      <c r="L2948" s="60"/>
      <c r="M2948" s="74" t="str">
        <f>IF($C2948="","",IF($D2948="Gider",$E2948,IF($L2948&lt;&gt;"",$L2948,$H2948)))</f>
        <v/>
      </c>
      <c r="N2948" s="74" t="str">
        <f>IF($C2948="","",IF($D2948="Gider",$H2948,$E2948))</f>
        <v/>
      </c>
      <c r="O2948" s="73" t="str">
        <f>IF($C2948="","",DATE(YEAR($C2948),MONTH($C2948),1))</f>
        <v/>
      </c>
      <c r="P2948" s="65" t="str">
        <f ca="1">IF($C2948="","",IF(AND($D2948="Gelir",$L2948&lt;&gt;"",$T2948=""),"TANIMSIZ BORÇLU",IF($T2948&lt;&gt;"",IF(OR($E2948="",$G2948&lt;=0),"EKSİK",IF($I2948="Evet","TAHAKKUK NAKİT OLAMAZ",IF($C2948&gt;TODAY(),"İLERİ TARİH","TAHAKKUK"))),IF(AND($D2948&lt;&gt;"",$E2948&lt;&gt;"",$G2948&gt;0,$H2948&lt;&gt;"",$I2948&lt;&gt;""),IF($C2948&gt;TODAY(),"İLERİ TARİH",IF(COUNTIF($W$7:$W$3001,$W2948)&gt;1,"MÜKERRER?",IF($AD2948&gt;0,"KAPALI DÖNEM",IF($I2948="Hayır","ÖDENECEK","UYGUN")))),"EKSİK"))))</f>
        <v/>
      </c>
      <c r="Q2948" s="2"/>
      <c r="R2948" s="2"/>
      <c r="S2948" s="1" t="str">
        <f t="shared" si="137"/>
        <v/>
      </c>
      <c r="T2948" s="1" t="str">
        <f>IF(OR($C2948="",$D2948&lt;&gt;"Gelir",$L2948=""),"",IFERROR(INDEX(MUSTERILER!$B$7:$B$156,MATCH($S2948,MUSTERILER!$T$7:$T$156,0)),""))</f>
        <v/>
      </c>
      <c r="U2948" s="1" t="str">
        <f>IF($T2948="","",$T2948&amp;"|"&amp;COUNTIFS($T$7:$T2948,$T2948))</f>
        <v/>
      </c>
      <c r="V2948" s="1">
        <f t="shared" si="138"/>
        <v>0</v>
      </c>
      <c r="W2948" s="1" t="str">
        <f t="shared" si="139"/>
        <v/>
      </c>
      <c r="X2948" s="1"/>
      <c r="Y2948" s="1"/>
      <c r="Z2948" s="1"/>
      <c r="AA2948" s="1"/>
      <c r="AB2948" s="1"/>
      <c r="AC2948" s="1"/>
      <c r="AD2948" s="1">
        <f>IF($C2948="",0,SUMPRODUCT((AY_SONU!$O$7:$O$42="Evet")*(AY_SONU!$B$7:$B$42=DATE(YEAR($C2948),MONTH($C2948),1))))</f>
        <v>0</v>
      </c>
      <c r="AE2948" s="1" t="str">
        <f>IF($E2948="","",$E2948&amp;"|"&amp;COUNTIFS($E$7:$E2948,$E2948))</f>
        <v/>
      </c>
    </row>
    <row r="2949" spans="1:31" ht="18" customHeight="1" x14ac:dyDescent="0.3">
      <c r="A2949" s="2"/>
      <c r="B2949" s="65" t="str">
        <f>IF($C2949="","","GG"&amp;TEXT(ROW()-6,"00000"))</f>
        <v/>
      </c>
      <c r="C2949" s="66"/>
      <c r="D2949" s="60"/>
      <c r="E2949" s="61"/>
      <c r="F2949" s="61"/>
      <c r="G2949" s="67"/>
      <c r="H2949" s="60"/>
      <c r="I2949" s="60"/>
      <c r="J2949" s="61"/>
      <c r="K2949" s="61"/>
      <c r="L2949" s="60"/>
      <c r="M2949" s="74" t="str">
        <f>IF($C2949="","",IF($D2949="Gider",$E2949,IF($L2949&lt;&gt;"",$L2949,$H2949)))</f>
        <v/>
      </c>
      <c r="N2949" s="74" t="str">
        <f>IF($C2949="","",IF($D2949="Gider",$H2949,$E2949))</f>
        <v/>
      </c>
      <c r="O2949" s="73" t="str">
        <f>IF($C2949="","",DATE(YEAR($C2949),MONTH($C2949),1))</f>
        <v/>
      </c>
      <c r="P2949" s="65" t="str">
        <f ca="1">IF($C2949="","",IF(AND($D2949="Gelir",$L2949&lt;&gt;"",$T2949=""),"TANIMSIZ BORÇLU",IF($T2949&lt;&gt;"",IF(OR($E2949="",$G2949&lt;=0),"EKSİK",IF($I2949="Evet","TAHAKKUK NAKİT OLAMAZ",IF($C2949&gt;TODAY(),"İLERİ TARİH","TAHAKKUK"))),IF(AND($D2949&lt;&gt;"",$E2949&lt;&gt;"",$G2949&gt;0,$H2949&lt;&gt;"",$I2949&lt;&gt;""),IF($C2949&gt;TODAY(),"İLERİ TARİH",IF(COUNTIF($W$7:$W$3001,$W2949)&gt;1,"MÜKERRER?",IF($AD2949&gt;0,"KAPALI DÖNEM",IF($I2949="Hayır","ÖDENECEK","UYGUN")))),"EKSİK"))))</f>
        <v/>
      </c>
      <c r="Q2949" s="2"/>
      <c r="R2949" s="2"/>
      <c r="S2949" s="1" t="str">
        <f t="shared" ref="S2949:S3001" si="140">IF($L2949="","",UPPER(SUBSTITUTE(SUBSTITUTE(SUBSTITUTE(SUBSTITUTE(SUBSTITUTE(SUBSTITUTE(SUBSTITUTE(SUBSTITUTE(SUBSTITUTE(SUBSTITUTE(SUBSTITUTE(SUBSTITUTE(SUBSTITUTE(SUBSTITUTE(SUBSTITUTE(SUBSTITUTE(SUBSTITUTE(SUBSTITUTE(TRIM($L2949),"'",""),"İ","I"),"ı","I"),"i","I"),"Ş","S"),"ş","S"),"Ğ","G"),"ğ","G"),"Ü","U"),"ü","U"),"Ö","O"),"ö","O"),"Ç","C"),"ç","C"),".",""),",","")," ",""),"-","")))</f>
        <v/>
      </c>
      <c r="T2949" s="1" t="str">
        <f>IF(OR($C2949="",$D2949&lt;&gt;"Gelir",$L2949=""),"",IFERROR(INDEX(MUSTERILER!$B$7:$B$156,MATCH($S2949,MUSTERILER!$T$7:$T$156,0)),""))</f>
        <v/>
      </c>
      <c r="U2949" s="1" t="str">
        <f>IF($T2949="","",$T2949&amp;"|"&amp;COUNTIFS($T$7:$T2949,$T2949))</f>
        <v/>
      </c>
      <c r="V2949" s="1">
        <f t="shared" ref="V2949:V3001" si="141">IF($T2949="",0,1)</f>
        <v>0</v>
      </c>
      <c r="W2949" s="1" t="str">
        <f t="shared" ref="W2949:W3001" si="142">IF($C2949="","",$D2949&amp;"|"&amp;$E2949&amp;"|"&amp;TEXT($C2949,"0")&amp;"|"&amp;TEXT($G2949,"0")&amp;"|"&amp;$F2949&amp;"|"&amp;$J2949)</f>
        <v/>
      </c>
      <c r="X2949" s="1"/>
      <c r="Y2949" s="1"/>
      <c r="Z2949" s="1"/>
      <c r="AA2949" s="1"/>
      <c r="AB2949" s="1"/>
      <c r="AC2949" s="1"/>
      <c r="AD2949" s="1">
        <f>IF($C2949="",0,SUMPRODUCT((AY_SONU!$O$7:$O$42="Evet")*(AY_SONU!$B$7:$B$42=DATE(YEAR($C2949),MONTH($C2949),1))))</f>
        <v>0</v>
      </c>
      <c r="AE2949" s="1" t="str">
        <f>IF($E2949="","",$E2949&amp;"|"&amp;COUNTIFS($E$7:$E2949,$E2949))</f>
        <v/>
      </c>
    </row>
    <row r="2950" spans="1:31" ht="18" customHeight="1" x14ac:dyDescent="0.3">
      <c r="A2950" s="2"/>
      <c r="B2950" s="65" t="str">
        <f>IF($C2950="","","GG"&amp;TEXT(ROW()-6,"00000"))</f>
        <v/>
      </c>
      <c r="C2950" s="66"/>
      <c r="D2950" s="60"/>
      <c r="E2950" s="61"/>
      <c r="F2950" s="61"/>
      <c r="G2950" s="67"/>
      <c r="H2950" s="60"/>
      <c r="I2950" s="60"/>
      <c r="J2950" s="61"/>
      <c r="K2950" s="61"/>
      <c r="L2950" s="60"/>
      <c r="M2950" s="74" t="str">
        <f>IF($C2950="","",IF($D2950="Gider",$E2950,IF($L2950&lt;&gt;"",$L2950,$H2950)))</f>
        <v/>
      </c>
      <c r="N2950" s="74" t="str">
        <f>IF($C2950="","",IF($D2950="Gider",$H2950,$E2950))</f>
        <v/>
      </c>
      <c r="O2950" s="73" t="str">
        <f>IF($C2950="","",DATE(YEAR($C2950),MONTH($C2950),1))</f>
        <v/>
      </c>
      <c r="P2950" s="65" t="str">
        <f ca="1">IF($C2950="","",IF(AND($D2950="Gelir",$L2950&lt;&gt;"",$T2950=""),"TANIMSIZ BORÇLU",IF($T2950&lt;&gt;"",IF(OR($E2950="",$G2950&lt;=0),"EKSİK",IF($I2950="Evet","TAHAKKUK NAKİT OLAMAZ",IF($C2950&gt;TODAY(),"İLERİ TARİH","TAHAKKUK"))),IF(AND($D2950&lt;&gt;"",$E2950&lt;&gt;"",$G2950&gt;0,$H2950&lt;&gt;"",$I2950&lt;&gt;""),IF($C2950&gt;TODAY(),"İLERİ TARİH",IF(COUNTIF($W$7:$W$3001,$W2950)&gt;1,"MÜKERRER?",IF($AD2950&gt;0,"KAPALI DÖNEM",IF($I2950="Hayır","ÖDENECEK","UYGUN")))),"EKSİK"))))</f>
        <v/>
      </c>
      <c r="Q2950" s="2"/>
      <c r="R2950" s="2"/>
      <c r="S2950" s="1" t="str">
        <f t="shared" si="140"/>
        <v/>
      </c>
      <c r="T2950" s="1" t="str">
        <f>IF(OR($C2950="",$D2950&lt;&gt;"Gelir",$L2950=""),"",IFERROR(INDEX(MUSTERILER!$B$7:$B$156,MATCH($S2950,MUSTERILER!$T$7:$T$156,0)),""))</f>
        <v/>
      </c>
      <c r="U2950" s="1" t="str">
        <f>IF($T2950="","",$T2950&amp;"|"&amp;COUNTIFS($T$7:$T2950,$T2950))</f>
        <v/>
      </c>
      <c r="V2950" s="1">
        <f t="shared" si="141"/>
        <v>0</v>
      </c>
      <c r="W2950" s="1" t="str">
        <f t="shared" si="142"/>
        <v/>
      </c>
      <c r="X2950" s="1"/>
      <c r="Y2950" s="1"/>
      <c r="Z2950" s="1"/>
      <c r="AA2950" s="1"/>
      <c r="AB2950" s="1"/>
      <c r="AC2950" s="1"/>
      <c r="AD2950" s="1">
        <f>IF($C2950="",0,SUMPRODUCT((AY_SONU!$O$7:$O$42="Evet")*(AY_SONU!$B$7:$B$42=DATE(YEAR($C2950),MONTH($C2950),1))))</f>
        <v>0</v>
      </c>
      <c r="AE2950" s="1" t="str">
        <f>IF($E2950="","",$E2950&amp;"|"&amp;COUNTIFS($E$7:$E2950,$E2950))</f>
        <v/>
      </c>
    </row>
    <row r="2951" spans="1:31" ht="18" customHeight="1" x14ac:dyDescent="0.3">
      <c r="A2951" s="2"/>
      <c r="B2951" s="65" t="str">
        <f>IF($C2951="","","GG"&amp;TEXT(ROW()-6,"00000"))</f>
        <v/>
      </c>
      <c r="C2951" s="66"/>
      <c r="D2951" s="60"/>
      <c r="E2951" s="61"/>
      <c r="F2951" s="61"/>
      <c r="G2951" s="67"/>
      <c r="H2951" s="60"/>
      <c r="I2951" s="60"/>
      <c r="J2951" s="61"/>
      <c r="K2951" s="61"/>
      <c r="L2951" s="60"/>
      <c r="M2951" s="74" t="str">
        <f>IF($C2951="","",IF($D2951="Gider",$E2951,IF($L2951&lt;&gt;"",$L2951,$H2951)))</f>
        <v/>
      </c>
      <c r="N2951" s="74" t="str">
        <f>IF($C2951="","",IF($D2951="Gider",$H2951,$E2951))</f>
        <v/>
      </c>
      <c r="O2951" s="73" t="str">
        <f>IF($C2951="","",DATE(YEAR($C2951),MONTH($C2951),1))</f>
        <v/>
      </c>
      <c r="P2951" s="65" t="str">
        <f ca="1"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TARİH",IF(COUNTIF($W$7:$W$3001,$W2951)&gt;1,"MÜKERRER?",IF($AD2951&gt;0,"KAPALI DÖNEM",IF($I2951="Hayır","ÖDENECEK","UYGUN")))),"EKSİK"))))</f>
        <v/>
      </c>
      <c r="Q2951" s="2"/>
      <c r="R2951" s="2"/>
      <c r="S2951" s="1" t="str">
        <f t="shared" si="140"/>
        <v/>
      </c>
      <c r="T2951" s="1" t="str">
        <f>IF(OR($C2951="",$D2951&lt;&gt;"Gelir",$L2951=""),"",IFERROR(INDEX(MUSTERILER!$B$7:$B$156,MATCH($S2951,MUSTERILER!$T$7:$T$156,0)),""))</f>
        <v/>
      </c>
      <c r="U2951" s="1" t="str">
        <f>IF($T2951="","",$T2951&amp;"|"&amp;COUNTIFS($T$7:$T2951,$T2951))</f>
        <v/>
      </c>
      <c r="V2951" s="1">
        <f t="shared" si="141"/>
        <v>0</v>
      </c>
      <c r="W2951" s="1" t="str">
        <f t="shared" si="142"/>
        <v/>
      </c>
      <c r="X2951" s="1"/>
      <c r="Y2951" s="1"/>
      <c r="Z2951" s="1"/>
      <c r="AA2951" s="1"/>
      <c r="AB2951" s="1"/>
      <c r="AC2951" s="1"/>
      <c r="AD2951" s="1">
        <f>IF($C2951="",0,SUMPRODUCT((AY_SONU!$O$7:$O$42="Evet")*(AY_SONU!$B$7:$B$42=DATE(YEAR($C2951),MONTH($C2951),1))))</f>
        <v>0</v>
      </c>
      <c r="AE2951" s="1" t="str">
        <f>IF($E2951="","",$E2951&amp;"|"&amp;COUNTIFS($E$7:$E2951,$E2951))</f>
        <v/>
      </c>
    </row>
    <row r="2952" spans="1:31" ht="18" customHeight="1" x14ac:dyDescent="0.3">
      <c r="A2952" s="2"/>
      <c r="B2952" s="65" t="str">
        <f>IF($C2952="","","GG"&amp;TEXT(ROW()-6,"00000"))</f>
        <v/>
      </c>
      <c r="C2952" s="66"/>
      <c r="D2952" s="60"/>
      <c r="E2952" s="61"/>
      <c r="F2952" s="61"/>
      <c r="G2952" s="67"/>
      <c r="H2952" s="60"/>
      <c r="I2952" s="60"/>
      <c r="J2952" s="61"/>
      <c r="K2952" s="61"/>
      <c r="L2952" s="60"/>
      <c r="M2952" s="74" t="str">
        <f>IF($C2952="","",IF($D2952="Gider",$E2952,IF($L2952&lt;&gt;"",$L2952,$H2952)))</f>
        <v/>
      </c>
      <c r="N2952" s="74" t="str">
        <f>IF($C2952="","",IF($D2952="Gider",$H2952,$E2952))</f>
        <v/>
      </c>
      <c r="O2952" s="73" t="str">
        <f>IF($C2952="","",DATE(YEAR($C2952),MONTH($C2952),1))</f>
        <v/>
      </c>
      <c r="P2952" s="65" t="str">
        <f ca="1">IF($C2952="","",IF(AND($D2952="Gelir",$L2952&lt;&gt;"",$T2952=""),"TANIMSIZ BORÇLU",IF($T2952&lt;&gt;"",IF(OR($E2952="",$G2952&lt;=0),"EKSİK",IF($I2952="Evet","TAHAKKUK NAKİT OLAMAZ",IF($C2952&gt;TODAY(),"İLERİ TARİH","TAHAKKUK"))),IF(AND($D2952&lt;&gt;"",$E2952&lt;&gt;"",$G2952&gt;0,$H2952&lt;&gt;"",$I2952&lt;&gt;""),IF($C2952&gt;TODAY(),"İLERİ TARİH",IF(COUNTIF($W$7:$W$3001,$W2952)&gt;1,"MÜKERRER?",IF($AD2952&gt;0,"KAPALI DÖNEM",IF($I2952="Hayır","ÖDENECEK","UYGUN")))),"EKSİK"))))</f>
        <v/>
      </c>
      <c r="Q2952" s="2"/>
      <c r="R2952" s="2"/>
      <c r="S2952" s="1" t="str">
        <f t="shared" si="140"/>
        <v/>
      </c>
      <c r="T2952" s="1" t="str">
        <f>IF(OR($C2952="",$D2952&lt;&gt;"Gelir",$L2952=""),"",IFERROR(INDEX(MUSTERILER!$B$7:$B$156,MATCH($S2952,MUSTERILER!$T$7:$T$156,0)),""))</f>
        <v/>
      </c>
      <c r="U2952" s="1" t="str">
        <f>IF($T2952="","",$T2952&amp;"|"&amp;COUNTIFS($T$7:$T2952,$T2952))</f>
        <v/>
      </c>
      <c r="V2952" s="1">
        <f t="shared" si="141"/>
        <v>0</v>
      </c>
      <c r="W2952" s="1" t="str">
        <f t="shared" si="142"/>
        <v/>
      </c>
      <c r="X2952" s="1"/>
      <c r="Y2952" s="1"/>
      <c r="Z2952" s="1"/>
      <c r="AA2952" s="1"/>
      <c r="AB2952" s="1"/>
      <c r="AC2952" s="1"/>
      <c r="AD2952" s="1">
        <f>IF($C2952="",0,SUMPRODUCT((AY_SONU!$O$7:$O$42="Evet")*(AY_SONU!$B$7:$B$42=DATE(YEAR($C2952),MONTH($C2952),1))))</f>
        <v>0</v>
      </c>
      <c r="AE2952" s="1" t="str">
        <f>IF($E2952="","",$E2952&amp;"|"&amp;COUNTIFS($E$7:$E2952,$E2952))</f>
        <v/>
      </c>
    </row>
    <row r="2953" spans="1:31" ht="18" customHeight="1" x14ac:dyDescent="0.3">
      <c r="A2953" s="2"/>
      <c r="B2953" s="65" t="str">
        <f>IF($C2953="","","GG"&amp;TEXT(ROW()-6,"00000"))</f>
        <v/>
      </c>
      <c r="C2953" s="66"/>
      <c r="D2953" s="60"/>
      <c r="E2953" s="61"/>
      <c r="F2953" s="61"/>
      <c r="G2953" s="67"/>
      <c r="H2953" s="60"/>
      <c r="I2953" s="60"/>
      <c r="J2953" s="61"/>
      <c r="K2953" s="61"/>
      <c r="L2953" s="60"/>
      <c r="M2953" s="74" t="str">
        <f>IF($C2953="","",IF($D2953="Gider",$E2953,IF($L2953&lt;&gt;"",$L2953,$H2953)))</f>
        <v/>
      </c>
      <c r="N2953" s="74" t="str">
        <f>IF($C2953="","",IF($D2953="Gider",$H2953,$E2953))</f>
        <v/>
      </c>
      <c r="O2953" s="73" t="str">
        <f>IF($C2953="","",DATE(YEAR($C2953),MONTH($C2953),1))</f>
        <v/>
      </c>
      <c r="P2953" s="65" t="str">
        <f ca="1">IF($C2953="","",IF(AND($D2953="Gelir",$L2953&lt;&gt;"",$T2953=""),"TANIMSIZ BORÇLU",IF($T2953&lt;&gt;"",IF(OR($E2953="",$G2953&lt;=0),"EKSİK",IF($I2953="Evet","TAHAKKUK NAKİT OLAMAZ",IF($C2953&gt;TODAY(),"İLERİ TARİH","TAHAKKUK"))),IF(AND($D2953&lt;&gt;"",$E2953&lt;&gt;"",$G2953&gt;0,$H2953&lt;&gt;"",$I2953&lt;&gt;""),IF($C2953&gt;TODAY(),"İLERİ TARİH",IF(COUNTIF($W$7:$W$3001,$W2953)&gt;1,"MÜKERRER?",IF($AD2953&gt;0,"KAPALI DÖNEM",IF($I2953="Hayır","ÖDENECEK","UYGUN")))),"EKSİK"))))</f>
        <v/>
      </c>
      <c r="Q2953" s="2"/>
      <c r="R2953" s="2"/>
      <c r="S2953" s="1" t="str">
        <f t="shared" si="140"/>
        <v/>
      </c>
      <c r="T2953" s="1" t="str">
        <f>IF(OR($C2953="",$D2953&lt;&gt;"Gelir",$L2953=""),"",IFERROR(INDEX(MUSTERILER!$B$7:$B$156,MATCH($S2953,MUSTERILER!$T$7:$T$156,0)),""))</f>
        <v/>
      </c>
      <c r="U2953" s="1" t="str">
        <f>IF($T2953="","",$T2953&amp;"|"&amp;COUNTIFS($T$7:$T2953,$T2953))</f>
        <v/>
      </c>
      <c r="V2953" s="1">
        <f t="shared" si="141"/>
        <v>0</v>
      </c>
      <c r="W2953" s="1" t="str">
        <f t="shared" si="142"/>
        <v/>
      </c>
      <c r="X2953" s="1"/>
      <c r="Y2953" s="1"/>
      <c r="Z2953" s="1"/>
      <c r="AA2953" s="1"/>
      <c r="AB2953" s="1"/>
      <c r="AC2953" s="1"/>
      <c r="AD2953" s="1">
        <f>IF($C2953="",0,SUMPRODUCT((AY_SONU!$O$7:$O$42="Evet")*(AY_SONU!$B$7:$B$42=DATE(YEAR($C2953),MONTH($C2953),1))))</f>
        <v>0</v>
      </c>
      <c r="AE2953" s="1" t="str">
        <f>IF($E2953="","",$E2953&amp;"|"&amp;COUNTIFS($E$7:$E2953,$E2953))</f>
        <v/>
      </c>
    </row>
    <row r="2954" spans="1:31" ht="18" customHeight="1" x14ac:dyDescent="0.3">
      <c r="A2954" s="2"/>
      <c r="B2954" s="65" t="str">
        <f>IF($C2954="","","GG"&amp;TEXT(ROW()-6,"00000"))</f>
        <v/>
      </c>
      <c r="C2954" s="66"/>
      <c r="D2954" s="60"/>
      <c r="E2954" s="61"/>
      <c r="F2954" s="61"/>
      <c r="G2954" s="67"/>
      <c r="H2954" s="60"/>
      <c r="I2954" s="60"/>
      <c r="J2954" s="61"/>
      <c r="K2954" s="61"/>
      <c r="L2954" s="60"/>
      <c r="M2954" s="74" t="str">
        <f>IF($C2954="","",IF($D2954="Gider",$E2954,IF($L2954&lt;&gt;"",$L2954,$H2954)))</f>
        <v/>
      </c>
      <c r="N2954" s="74" t="str">
        <f>IF($C2954="","",IF($D2954="Gider",$H2954,$E2954))</f>
        <v/>
      </c>
      <c r="O2954" s="73" t="str">
        <f>IF($C2954="","",DATE(YEAR($C2954),MONTH($C2954),1))</f>
        <v/>
      </c>
      <c r="P2954" s="65" t="str">
        <f ca="1">IF($C2954="","",IF(AND($D2954="Gelir",$L2954&lt;&gt;"",$T2954=""),"TANIMSIZ BORÇLU",IF($T2954&lt;&gt;"",IF(OR($E2954="",$G2954&lt;=0),"EKSİK",IF($I2954="Evet","TAHAKKUK NAKİT OLAMAZ",IF($C2954&gt;TODAY(),"İLERİ TARİH","TAHAKKUK"))),IF(AND($D2954&lt;&gt;"",$E2954&lt;&gt;"",$G2954&gt;0,$H2954&lt;&gt;"",$I2954&lt;&gt;""),IF($C2954&gt;TODAY(),"İLERİ TARİH",IF(COUNTIF($W$7:$W$3001,$W2954)&gt;1,"MÜKERRER?",IF($AD2954&gt;0,"KAPALI DÖNEM",IF($I2954="Hayır","ÖDENECEK","UYGUN")))),"EKSİK"))))</f>
        <v/>
      </c>
      <c r="Q2954" s="2"/>
      <c r="R2954" s="2"/>
      <c r="S2954" s="1" t="str">
        <f t="shared" si="140"/>
        <v/>
      </c>
      <c r="T2954" s="1" t="str">
        <f>IF(OR($C2954="",$D2954&lt;&gt;"Gelir",$L2954=""),"",IFERROR(INDEX(MUSTERILER!$B$7:$B$156,MATCH($S2954,MUSTERILER!$T$7:$T$156,0)),""))</f>
        <v/>
      </c>
      <c r="U2954" s="1" t="str">
        <f>IF($T2954="","",$T2954&amp;"|"&amp;COUNTIFS($T$7:$T2954,$T2954))</f>
        <v/>
      </c>
      <c r="V2954" s="1">
        <f t="shared" si="141"/>
        <v>0</v>
      </c>
      <c r="W2954" s="1" t="str">
        <f t="shared" si="142"/>
        <v/>
      </c>
      <c r="X2954" s="1"/>
      <c r="Y2954" s="1"/>
      <c r="Z2954" s="1"/>
      <c r="AA2954" s="1"/>
      <c r="AB2954" s="1"/>
      <c r="AC2954" s="1"/>
      <c r="AD2954" s="1">
        <f>IF($C2954="",0,SUMPRODUCT((AY_SONU!$O$7:$O$42="Evet")*(AY_SONU!$B$7:$B$42=DATE(YEAR($C2954),MONTH($C2954),1))))</f>
        <v>0</v>
      </c>
      <c r="AE2954" s="1" t="str">
        <f>IF($E2954="","",$E2954&amp;"|"&amp;COUNTIFS($E$7:$E2954,$E2954))</f>
        <v/>
      </c>
    </row>
    <row r="2955" spans="1:31" ht="18" customHeight="1" x14ac:dyDescent="0.3">
      <c r="A2955" s="2"/>
      <c r="B2955" s="65" t="str">
        <f>IF($C2955="","","GG"&amp;TEXT(ROW()-6,"00000"))</f>
        <v/>
      </c>
      <c r="C2955" s="66"/>
      <c r="D2955" s="60"/>
      <c r="E2955" s="61"/>
      <c r="F2955" s="61"/>
      <c r="G2955" s="67"/>
      <c r="H2955" s="60"/>
      <c r="I2955" s="60"/>
      <c r="J2955" s="61"/>
      <c r="K2955" s="61"/>
      <c r="L2955" s="60"/>
      <c r="M2955" s="74" t="str">
        <f>IF($C2955="","",IF($D2955="Gider",$E2955,IF($L2955&lt;&gt;"",$L2955,$H2955)))</f>
        <v/>
      </c>
      <c r="N2955" s="74" t="str">
        <f>IF($C2955="","",IF($D2955="Gider",$H2955,$E2955))</f>
        <v/>
      </c>
      <c r="O2955" s="73" t="str">
        <f>IF($C2955="","",DATE(YEAR($C2955),MONTH($C2955),1))</f>
        <v/>
      </c>
      <c r="P2955" s="65" t="str">
        <f ca="1">IF($C2955="","",IF(AND($D2955="Gelir",$L2955&lt;&gt;"",$T2955=""),"TANIMSIZ BORÇLU",IF($T2955&lt;&gt;"",IF(OR($E2955="",$G2955&lt;=0),"EKSİK",IF($I2955="Evet","TAHAKKUK NAKİT OLAMAZ",IF($C2955&gt;TODAY(),"İLERİ TARİH","TAHAKKUK"))),IF(AND($D2955&lt;&gt;"",$E2955&lt;&gt;"",$G2955&gt;0,$H2955&lt;&gt;"",$I2955&lt;&gt;""),IF($C2955&gt;TODAY(),"İLERİ TARİH",IF(COUNTIF($W$7:$W$3001,$W2955)&gt;1,"MÜKERRER?",IF($AD2955&gt;0,"KAPALI DÖNEM",IF($I2955="Hayır","ÖDENECEK","UYGUN")))),"EKSİK"))))</f>
        <v/>
      </c>
      <c r="Q2955" s="2"/>
      <c r="R2955" s="2"/>
      <c r="S2955" s="1" t="str">
        <f t="shared" si="140"/>
        <v/>
      </c>
      <c r="T2955" s="1" t="str">
        <f>IF(OR($C2955="",$D2955&lt;&gt;"Gelir",$L2955=""),"",IFERROR(INDEX(MUSTERILER!$B$7:$B$156,MATCH($S2955,MUSTERILER!$T$7:$T$156,0)),""))</f>
        <v/>
      </c>
      <c r="U2955" s="1" t="str">
        <f>IF($T2955="","",$T2955&amp;"|"&amp;COUNTIFS($T$7:$T2955,$T2955))</f>
        <v/>
      </c>
      <c r="V2955" s="1">
        <f t="shared" si="141"/>
        <v>0</v>
      </c>
      <c r="W2955" s="1" t="str">
        <f t="shared" si="142"/>
        <v/>
      </c>
      <c r="X2955" s="1"/>
      <c r="Y2955" s="1"/>
      <c r="Z2955" s="1"/>
      <c r="AA2955" s="1"/>
      <c r="AB2955" s="1"/>
      <c r="AC2955" s="1"/>
      <c r="AD2955" s="1">
        <f>IF($C2955="",0,SUMPRODUCT((AY_SONU!$O$7:$O$42="Evet")*(AY_SONU!$B$7:$B$42=DATE(YEAR($C2955),MONTH($C2955),1))))</f>
        <v>0</v>
      </c>
      <c r="AE2955" s="1" t="str">
        <f>IF($E2955="","",$E2955&amp;"|"&amp;COUNTIFS($E$7:$E2955,$E2955))</f>
        <v/>
      </c>
    </row>
    <row r="2956" spans="1:31" ht="18" customHeight="1" x14ac:dyDescent="0.3">
      <c r="A2956" s="2"/>
      <c r="B2956" s="65" t="str">
        <f>IF($C2956="","","GG"&amp;TEXT(ROW()-6,"00000"))</f>
        <v/>
      </c>
      <c r="C2956" s="66"/>
      <c r="D2956" s="60"/>
      <c r="E2956" s="61"/>
      <c r="F2956" s="61"/>
      <c r="G2956" s="67"/>
      <c r="H2956" s="60"/>
      <c r="I2956" s="60"/>
      <c r="J2956" s="61"/>
      <c r="K2956" s="61"/>
      <c r="L2956" s="60"/>
      <c r="M2956" s="74" t="str">
        <f>IF($C2956="","",IF($D2956="Gider",$E2956,IF($L2956&lt;&gt;"",$L2956,$H2956)))</f>
        <v/>
      </c>
      <c r="N2956" s="74" t="str">
        <f>IF($C2956="","",IF($D2956="Gider",$H2956,$E2956))</f>
        <v/>
      </c>
      <c r="O2956" s="73" t="str">
        <f>IF($C2956="","",DATE(YEAR($C2956),MONTH($C2956),1))</f>
        <v/>
      </c>
      <c r="P2956" s="65" t="str">
        <f ca="1">IF($C2956="","",IF(AND($D2956="Gelir",$L2956&lt;&gt;"",$T2956=""),"TANIMSIZ BORÇLU",IF($T2956&lt;&gt;"",IF(OR($E2956="",$G2956&lt;=0),"EKSİK",IF($I2956="Evet","TAHAKKUK NAKİT OLAMAZ",IF($C2956&gt;TODAY(),"İLERİ TARİH","TAHAKKUK"))),IF(AND($D2956&lt;&gt;"",$E2956&lt;&gt;"",$G2956&gt;0,$H2956&lt;&gt;"",$I2956&lt;&gt;""),IF($C2956&gt;TODAY(),"İLERİ TARİH",IF(COUNTIF($W$7:$W$3001,$W2956)&gt;1,"MÜKERRER?",IF($AD2956&gt;0,"KAPALI DÖNEM",IF($I2956="Hayır","ÖDENECEK","UYGUN")))),"EKSİK"))))</f>
        <v/>
      </c>
      <c r="Q2956" s="2"/>
      <c r="R2956" s="2"/>
      <c r="S2956" s="1" t="str">
        <f t="shared" si="140"/>
        <v/>
      </c>
      <c r="T2956" s="1" t="str">
        <f>IF(OR($C2956="",$D2956&lt;&gt;"Gelir",$L2956=""),"",IFERROR(INDEX(MUSTERILER!$B$7:$B$156,MATCH($S2956,MUSTERILER!$T$7:$T$156,0)),""))</f>
        <v/>
      </c>
      <c r="U2956" s="1" t="str">
        <f>IF($T2956="","",$T2956&amp;"|"&amp;COUNTIFS($T$7:$T2956,$T2956))</f>
        <v/>
      </c>
      <c r="V2956" s="1">
        <f t="shared" si="141"/>
        <v>0</v>
      </c>
      <c r="W2956" s="1" t="str">
        <f t="shared" si="142"/>
        <v/>
      </c>
      <c r="X2956" s="1"/>
      <c r="Y2956" s="1"/>
      <c r="Z2956" s="1"/>
      <c r="AA2956" s="1"/>
      <c r="AB2956" s="1"/>
      <c r="AC2956" s="1"/>
      <c r="AD2956" s="1">
        <f>IF($C2956="",0,SUMPRODUCT((AY_SONU!$O$7:$O$42="Evet")*(AY_SONU!$B$7:$B$42=DATE(YEAR($C2956),MONTH($C2956),1))))</f>
        <v>0</v>
      </c>
      <c r="AE2956" s="1" t="str">
        <f>IF($E2956="","",$E2956&amp;"|"&amp;COUNTIFS($E$7:$E2956,$E2956))</f>
        <v/>
      </c>
    </row>
    <row r="2957" spans="1:31" ht="18" customHeight="1" x14ac:dyDescent="0.3">
      <c r="A2957" s="2"/>
      <c r="B2957" s="65" t="str">
        <f>IF($C2957="","","GG"&amp;TEXT(ROW()-6,"00000"))</f>
        <v/>
      </c>
      <c r="C2957" s="66"/>
      <c r="D2957" s="60"/>
      <c r="E2957" s="61"/>
      <c r="F2957" s="61"/>
      <c r="G2957" s="67"/>
      <c r="H2957" s="60"/>
      <c r="I2957" s="60"/>
      <c r="J2957" s="61"/>
      <c r="K2957" s="61"/>
      <c r="L2957" s="60"/>
      <c r="M2957" s="74" t="str">
        <f>IF($C2957="","",IF($D2957="Gider",$E2957,IF($L2957&lt;&gt;"",$L2957,$H2957)))</f>
        <v/>
      </c>
      <c r="N2957" s="74" t="str">
        <f>IF($C2957="","",IF($D2957="Gider",$H2957,$E2957))</f>
        <v/>
      </c>
      <c r="O2957" s="73" t="str">
        <f>IF($C2957="","",DATE(YEAR($C2957),MONTH($C2957),1))</f>
        <v/>
      </c>
      <c r="P2957" s="65" t="str">
        <f ca="1">IF($C2957="","",IF(AND($D2957="Gelir",$L2957&lt;&gt;"",$T2957=""),"TANIMSIZ BORÇLU",IF($T2957&lt;&gt;"",IF(OR($E2957="",$G2957&lt;=0),"EKSİK",IF($I2957="Evet","TAHAKKUK NAKİT OLAMAZ",IF($C2957&gt;TODAY(),"İLERİ TARİH","TAHAKKUK"))),IF(AND($D2957&lt;&gt;"",$E2957&lt;&gt;"",$G2957&gt;0,$H2957&lt;&gt;"",$I2957&lt;&gt;""),IF($C2957&gt;TODAY(),"İLERİ TARİH",IF(COUNTIF($W$7:$W$3001,$W2957)&gt;1,"MÜKERRER?",IF($AD2957&gt;0,"KAPALI DÖNEM",IF($I2957="Hayır","ÖDENECEK","UYGUN")))),"EKSİK"))))</f>
        <v/>
      </c>
      <c r="Q2957" s="2"/>
      <c r="R2957" s="2"/>
      <c r="S2957" s="1" t="str">
        <f t="shared" si="140"/>
        <v/>
      </c>
      <c r="T2957" s="1" t="str">
        <f>IF(OR($C2957="",$D2957&lt;&gt;"Gelir",$L2957=""),"",IFERROR(INDEX(MUSTERILER!$B$7:$B$156,MATCH($S2957,MUSTERILER!$T$7:$T$156,0)),""))</f>
        <v/>
      </c>
      <c r="U2957" s="1" t="str">
        <f>IF($T2957="","",$T2957&amp;"|"&amp;COUNTIFS($T$7:$T2957,$T2957))</f>
        <v/>
      </c>
      <c r="V2957" s="1">
        <f t="shared" si="141"/>
        <v>0</v>
      </c>
      <c r="W2957" s="1" t="str">
        <f t="shared" si="142"/>
        <v/>
      </c>
      <c r="X2957" s="1"/>
      <c r="Y2957" s="1"/>
      <c r="Z2957" s="1"/>
      <c r="AA2957" s="1"/>
      <c r="AB2957" s="1"/>
      <c r="AC2957" s="1"/>
      <c r="AD2957" s="1">
        <f>IF($C2957="",0,SUMPRODUCT((AY_SONU!$O$7:$O$42="Evet")*(AY_SONU!$B$7:$B$42=DATE(YEAR($C2957),MONTH($C2957),1))))</f>
        <v>0</v>
      </c>
      <c r="AE2957" s="1" t="str">
        <f>IF($E2957="","",$E2957&amp;"|"&amp;COUNTIFS($E$7:$E2957,$E2957))</f>
        <v/>
      </c>
    </row>
    <row r="2958" spans="1:31" ht="18" customHeight="1" x14ac:dyDescent="0.3">
      <c r="A2958" s="2"/>
      <c r="B2958" s="65" t="str">
        <f>IF($C2958="","","GG"&amp;TEXT(ROW()-6,"00000"))</f>
        <v/>
      </c>
      <c r="C2958" s="66"/>
      <c r="D2958" s="60"/>
      <c r="E2958" s="61"/>
      <c r="F2958" s="61"/>
      <c r="G2958" s="67"/>
      <c r="H2958" s="60"/>
      <c r="I2958" s="60"/>
      <c r="J2958" s="61"/>
      <c r="K2958" s="61"/>
      <c r="L2958" s="60"/>
      <c r="M2958" s="74" t="str">
        <f>IF($C2958="","",IF($D2958="Gider",$E2958,IF($L2958&lt;&gt;"",$L2958,$H2958)))</f>
        <v/>
      </c>
      <c r="N2958" s="74" t="str">
        <f>IF($C2958="","",IF($D2958="Gider",$H2958,$E2958))</f>
        <v/>
      </c>
      <c r="O2958" s="73" t="str">
        <f>IF($C2958="","",DATE(YEAR($C2958),MONTH($C2958),1))</f>
        <v/>
      </c>
      <c r="P2958" s="65" t="str">
        <f ca="1">IF($C2958="","",IF(AND($D2958="Gelir",$L2958&lt;&gt;"",$T2958=""),"TANIMSIZ BORÇLU",IF($T2958&lt;&gt;"",IF(OR($E2958="",$G2958&lt;=0),"EKSİK",IF($I2958="Evet","TAHAKKUK NAKİT OLAMAZ",IF($C2958&gt;TODAY(),"İLERİ TARİH","TAHAKKUK"))),IF(AND($D2958&lt;&gt;"",$E2958&lt;&gt;"",$G2958&gt;0,$H2958&lt;&gt;"",$I2958&lt;&gt;""),IF($C2958&gt;TODAY(),"İLERİ TARİH",IF(COUNTIF($W$7:$W$3001,$W2958)&gt;1,"MÜKERRER?",IF($AD2958&gt;0,"KAPALI DÖNEM",IF($I2958="Hayır","ÖDENECEK","UYGUN")))),"EKSİK"))))</f>
        <v/>
      </c>
      <c r="Q2958" s="2"/>
      <c r="R2958" s="2"/>
      <c r="S2958" s="1" t="str">
        <f t="shared" si="140"/>
        <v/>
      </c>
      <c r="T2958" s="1" t="str">
        <f>IF(OR($C2958="",$D2958&lt;&gt;"Gelir",$L2958=""),"",IFERROR(INDEX(MUSTERILER!$B$7:$B$156,MATCH($S2958,MUSTERILER!$T$7:$T$156,0)),""))</f>
        <v/>
      </c>
      <c r="U2958" s="1" t="str">
        <f>IF($T2958="","",$T2958&amp;"|"&amp;COUNTIFS($T$7:$T2958,$T2958))</f>
        <v/>
      </c>
      <c r="V2958" s="1">
        <f t="shared" si="141"/>
        <v>0</v>
      </c>
      <c r="W2958" s="1" t="str">
        <f t="shared" si="142"/>
        <v/>
      </c>
      <c r="X2958" s="1"/>
      <c r="Y2958" s="1"/>
      <c r="Z2958" s="1"/>
      <c r="AA2958" s="1"/>
      <c r="AB2958" s="1"/>
      <c r="AC2958" s="1"/>
      <c r="AD2958" s="1">
        <f>IF($C2958="",0,SUMPRODUCT((AY_SONU!$O$7:$O$42="Evet")*(AY_SONU!$B$7:$B$42=DATE(YEAR($C2958),MONTH($C2958),1))))</f>
        <v>0</v>
      </c>
      <c r="AE2958" s="1" t="str">
        <f>IF($E2958="","",$E2958&amp;"|"&amp;COUNTIFS($E$7:$E2958,$E2958))</f>
        <v/>
      </c>
    </row>
    <row r="2959" spans="1:31" ht="18" customHeight="1" x14ac:dyDescent="0.3">
      <c r="A2959" s="2"/>
      <c r="B2959" s="65" t="str">
        <f>IF($C2959="","","GG"&amp;TEXT(ROW()-6,"00000"))</f>
        <v/>
      </c>
      <c r="C2959" s="66"/>
      <c r="D2959" s="60"/>
      <c r="E2959" s="61"/>
      <c r="F2959" s="61"/>
      <c r="G2959" s="67"/>
      <c r="H2959" s="60"/>
      <c r="I2959" s="60"/>
      <c r="J2959" s="61"/>
      <c r="K2959" s="61"/>
      <c r="L2959" s="60"/>
      <c r="M2959" s="74" t="str">
        <f>IF($C2959="","",IF($D2959="Gider",$E2959,IF($L2959&lt;&gt;"",$L2959,$H2959)))</f>
        <v/>
      </c>
      <c r="N2959" s="74" t="str">
        <f>IF($C2959="","",IF($D2959="Gider",$H2959,$E2959))</f>
        <v/>
      </c>
      <c r="O2959" s="73" t="str">
        <f>IF($C2959="","",DATE(YEAR($C2959),MONTH($C2959),1))</f>
        <v/>
      </c>
      <c r="P2959" s="65" t="str">
        <f ca="1">IF($C2959="","",IF(AND($D2959="Gelir",$L2959&lt;&gt;"",$T2959=""),"TANIMSIZ BORÇLU",IF($T2959&lt;&gt;"",IF(OR($E2959="",$G2959&lt;=0),"EKSİK",IF($I2959="Evet","TAHAKKUK NAKİT OLAMAZ",IF($C2959&gt;TODAY(),"İLERİ TARİH","TAHAKKUK"))),IF(AND($D2959&lt;&gt;"",$E2959&lt;&gt;"",$G2959&gt;0,$H2959&lt;&gt;"",$I2959&lt;&gt;""),IF($C2959&gt;TODAY(),"İLERİ TARİH",IF(COUNTIF($W$7:$W$3001,$W2959)&gt;1,"MÜKERRER?",IF($AD2959&gt;0,"KAPALI DÖNEM",IF($I2959="Hayır","ÖDENECEK","UYGUN")))),"EKSİK"))))</f>
        <v/>
      </c>
      <c r="Q2959" s="2"/>
      <c r="R2959" s="2"/>
      <c r="S2959" s="1" t="str">
        <f t="shared" si="140"/>
        <v/>
      </c>
      <c r="T2959" s="1" t="str">
        <f>IF(OR($C2959="",$D2959&lt;&gt;"Gelir",$L2959=""),"",IFERROR(INDEX(MUSTERILER!$B$7:$B$156,MATCH($S2959,MUSTERILER!$T$7:$T$156,0)),""))</f>
        <v/>
      </c>
      <c r="U2959" s="1" t="str">
        <f>IF($T2959="","",$T2959&amp;"|"&amp;COUNTIFS($T$7:$T2959,$T2959))</f>
        <v/>
      </c>
      <c r="V2959" s="1">
        <f t="shared" si="141"/>
        <v>0</v>
      </c>
      <c r="W2959" s="1" t="str">
        <f t="shared" si="142"/>
        <v/>
      </c>
      <c r="X2959" s="1"/>
      <c r="Y2959" s="1"/>
      <c r="Z2959" s="1"/>
      <c r="AA2959" s="1"/>
      <c r="AB2959" s="1"/>
      <c r="AC2959" s="1"/>
      <c r="AD2959" s="1">
        <f>IF($C2959="",0,SUMPRODUCT((AY_SONU!$O$7:$O$42="Evet")*(AY_SONU!$B$7:$B$42=DATE(YEAR($C2959),MONTH($C2959),1))))</f>
        <v>0</v>
      </c>
      <c r="AE2959" s="1" t="str">
        <f>IF($E2959="","",$E2959&amp;"|"&amp;COUNTIFS($E$7:$E2959,$E2959))</f>
        <v/>
      </c>
    </row>
    <row r="2960" spans="1:31" ht="18" customHeight="1" x14ac:dyDescent="0.3">
      <c r="A2960" s="2"/>
      <c r="B2960" s="65" t="str">
        <f>IF($C2960="","","GG"&amp;TEXT(ROW()-6,"00000"))</f>
        <v/>
      </c>
      <c r="C2960" s="66"/>
      <c r="D2960" s="60"/>
      <c r="E2960" s="61"/>
      <c r="F2960" s="61"/>
      <c r="G2960" s="67"/>
      <c r="H2960" s="60"/>
      <c r="I2960" s="60"/>
      <c r="J2960" s="61"/>
      <c r="K2960" s="61"/>
      <c r="L2960" s="60"/>
      <c r="M2960" s="74" t="str">
        <f>IF($C2960="","",IF($D2960="Gider",$E2960,IF($L2960&lt;&gt;"",$L2960,$H2960)))</f>
        <v/>
      </c>
      <c r="N2960" s="74" t="str">
        <f>IF($C2960="","",IF($D2960="Gider",$H2960,$E2960))</f>
        <v/>
      </c>
      <c r="O2960" s="73" t="str">
        <f>IF($C2960="","",DATE(YEAR($C2960),MONTH($C2960),1))</f>
        <v/>
      </c>
      <c r="P2960" s="65" t="str">
        <f ca="1">IF($C2960="","",IF(AND($D2960="Gelir",$L2960&lt;&gt;"",$T2960=""),"TANIMSIZ BORÇLU",IF($T2960&lt;&gt;"",IF(OR($E2960="",$G2960&lt;=0),"EKSİK",IF($I2960="Evet","TAHAKKUK NAKİT OLAMAZ",IF($C2960&gt;TODAY(),"İLERİ TARİH","TAHAKKUK"))),IF(AND($D2960&lt;&gt;"",$E2960&lt;&gt;"",$G2960&gt;0,$H2960&lt;&gt;"",$I2960&lt;&gt;""),IF($C2960&gt;TODAY(),"İLERİ TARİH",IF(COUNTIF($W$7:$W$3001,$W2960)&gt;1,"MÜKERRER?",IF($AD2960&gt;0,"KAPALI DÖNEM",IF($I2960="Hayır","ÖDENECEK","UYGUN")))),"EKSİK"))))</f>
        <v/>
      </c>
      <c r="Q2960" s="2"/>
      <c r="R2960" s="2"/>
      <c r="S2960" s="1" t="str">
        <f t="shared" si="140"/>
        <v/>
      </c>
      <c r="T2960" s="1" t="str">
        <f>IF(OR($C2960="",$D2960&lt;&gt;"Gelir",$L2960=""),"",IFERROR(INDEX(MUSTERILER!$B$7:$B$156,MATCH($S2960,MUSTERILER!$T$7:$T$156,0)),""))</f>
        <v/>
      </c>
      <c r="U2960" s="1" t="str">
        <f>IF($T2960="","",$T2960&amp;"|"&amp;COUNTIFS($T$7:$T2960,$T2960))</f>
        <v/>
      </c>
      <c r="V2960" s="1">
        <f t="shared" si="141"/>
        <v>0</v>
      </c>
      <c r="W2960" s="1" t="str">
        <f t="shared" si="142"/>
        <v/>
      </c>
      <c r="X2960" s="1"/>
      <c r="Y2960" s="1"/>
      <c r="Z2960" s="1"/>
      <c r="AA2960" s="1"/>
      <c r="AB2960" s="1"/>
      <c r="AC2960" s="1"/>
      <c r="AD2960" s="1">
        <f>IF($C2960="",0,SUMPRODUCT((AY_SONU!$O$7:$O$42="Evet")*(AY_SONU!$B$7:$B$42=DATE(YEAR($C2960),MONTH($C2960),1))))</f>
        <v>0</v>
      </c>
      <c r="AE2960" s="1" t="str">
        <f>IF($E2960="","",$E2960&amp;"|"&amp;COUNTIFS($E$7:$E2960,$E2960))</f>
        <v/>
      </c>
    </row>
    <row r="2961" spans="1:31" ht="18" customHeight="1" x14ac:dyDescent="0.3">
      <c r="A2961" s="2"/>
      <c r="B2961" s="65" t="str">
        <f>IF($C2961="","","GG"&amp;TEXT(ROW()-6,"00000"))</f>
        <v/>
      </c>
      <c r="C2961" s="66"/>
      <c r="D2961" s="60"/>
      <c r="E2961" s="61"/>
      <c r="F2961" s="61"/>
      <c r="G2961" s="67"/>
      <c r="H2961" s="60"/>
      <c r="I2961" s="60"/>
      <c r="J2961" s="61"/>
      <c r="K2961" s="61"/>
      <c r="L2961" s="60"/>
      <c r="M2961" s="74" t="str">
        <f>IF($C2961="","",IF($D2961="Gider",$E2961,IF($L2961&lt;&gt;"",$L2961,$H2961)))</f>
        <v/>
      </c>
      <c r="N2961" s="74" t="str">
        <f>IF($C2961="","",IF($D2961="Gider",$H2961,$E2961))</f>
        <v/>
      </c>
      <c r="O2961" s="73" t="str">
        <f>IF($C2961="","",DATE(YEAR($C2961),MONTH($C2961),1))</f>
        <v/>
      </c>
      <c r="P2961" s="65" t="str">
        <f ca="1">IF($C2961="","",IF(AND($D2961="Gelir",$L2961&lt;&gt;"",$T2961=""),"TANIMSIZ BORÇLU",IF($T2961&lt;&gt;"",IF(OR($E2961="",$G2961&lt;=0),"EKSİK",IF($I2961="Evet","TAHAKKUK NAKİT OLAMAZ",IF($C2961&gt;TODAY(),"İLERİ TARİH","TAHAKKUK"))),IF(AND($D2961&lt;&gt;"",$E2961&lt;&gt;"",$G2961&gt;0,$H2961&lt;&gt;"",$I2961&lt;&gt;""),IF($C2961&gt;TODAY(),"İLERİ TARİH",IF(COUNTIF($W$7:$W$3001,$W2961)&gt;1,"MÜKERRER?",IF($AD2961&gt;0,"KAPALI DÖNEM",IF($I2961="Hayır","ÖDENECEK","UYGUN")))),"EKSİK"))))</f>
        <v/>
      </c>
      <c r="Q2961" s="2"/>
      <c r="R2961" s="2"/>
      <c r="S2961" s="1" t="str">
        <f t="shared" si="140"/>
        <v/>
      </c>
      <c r="T2961" s="1" t="str">
        <f>IF(OR($C2961="",$D2961&lt;&gt;"Gelir",$L2961=""),"",IFERROR(INDEX(MUSTERILER!$B$7:$B$156,MATCH($S2961,MUSTERILER!$T$7:$T$156,0)),""))</f>
        <v/>
      </c>
      <c r="U2961" s="1" t="str">
        <f>IF($T2961="","",$T2961&amp;"|"&amp;COUNTIFS($T$7:$T2961,$T2961))</f>
        <v/>
      </c>
      <c r="V2961" s="1">
        <f t="shared" si="141"/>
        <v>0</v>
      </c>
      <c r="W2961" s="1" t="str">
        <f t="shared" si="142"/>
        <v/>
      </c>
      <c r="X2961" s="1"/>
      <c r="Y2961" s="1"/>
      <c r="Z2961" s="1"/>
      <c r="AA2961" s="1"/>
      <c r="AB2961" s="1"/>
      <c r="AC2961" s="1"/>
      <c r="AD2961" s="1">
        <f>IF($C2961="",0,SUMPRODUCT((AY_SONU!$O$7:$O$42="Evet")*(AY_SONU!$B$7:$B$42=DATE(YEAR($C2961),MONTH($C2961),1))))</f>
        <v>0</v>
      </c>
      <c r="AE2961" s="1" t="str">
        <f>IF($E2961="","",$E2961&amp;"|"&amp;COUNTIFS($E$7:$E2961,$E2961))</f>
        <v/>
      </c>
    </row>
    <row r="2962" spans="1:31" ht="18" customHeight="1" x14ac:dyDescent="0.3">
      <c r="A2962" s="2"/>
      <c r="B2962" s="65" t="str">
        <f>IF($C2962="","","GG"&amp;TEXT(ROW()-6,"00000"))</f>
        <v/>
      </c>
      <c r="C2962" s="66"/>
      <c r="D2962" s="60"/>
      <c r="E2962" s="61"/>
      <c r="F2962" s="61"/>
      <c r="G2962" s="67"/>
      <c r="H2962" s="60"/>
      <c r="I2962" s="60"/>
      <c r="J2962" s="61"/>
      <c r="K2962" s="61"/>
      <c r="L2962" s="60"/>
      <c r="M2962" s="74" t="str">
        <f>IF($C2962="","",IF($D2962="Gider",$E2962,IF($L2962&lt;&gt;"",$L2962,$H2962)))</f>
        <v/>
      </c>
      <c r="N2962" s="74" t="str">
        <f>IF($C2962="","",IF($D2962="Gider",$H2962,$E2962))</f>
        <v/>
      </c>
      <c r="O2962" s="73" t="str">
        <f>IF($C2962="","",DATE(YEAR($C2962),MONTH($C2962),1))</f>
        <v/>
      </c>
      <c r="P2962" s="65" t="str">
        <f ca="1">IF($C2962="","",IF(AND($D2962="Gelir",$L2962&lt;&gt;"",$T2962=""),"TANIMSIZ BORÇLU",IF($T2962&lt;&gt;"",IF(OR($E2962="",$G2962&lt;=0),"EKSİK",IF($I2962="Evet","TAHAKKUK NAKİT OLAMAZ",IF($C2962&gt;TODAY(),"İLERİ TARİH","TAHAKKUK"))),IF(AND($D2962&lt;&gt;"",$E2962&lt;&gt;"",$G2962&gt;0,$H2962&lt;&gt;"",$I2962&lt;&gt;""),IF($C2962&gt;TODAY(),"İLERİ TARİH",IF(COUNTIF($W$7:$W$3001,$W2962)&gt;1,"MÜKERRER?",IF($AD2962&gt;0,"KAPALI DÖNEM",IF($I2962="Hayır","ÖDENECEK","UYGUN")))),"EKSİK"))))</f>
        <v/>
      </c>
      <c r="Q2962" s="2"/>
      <c r="R2962" s="2"/>
      <c r="S2962" s="1" t="str">
        <f t="shared" si="140"/>
        <v/>
      </c>
      <c r="T2962" s="1" t="str">
        <f>IF(OR($C2962="",$D2962&lt;&gt;"Gelir",$L2962=""),"",IFERROR(INDEX(MUSTERILER!$B$7:$B$156,MATCH($S2962,MUSTERILER!$T$7:$T$156,0)),""))</f>
        <v/>
      </c>
      <c r="U2962" s="1" t="str">
        <f>IF($T2962="","",$T2962&amp;"|"&amp;COUNTIFS($T$7:$T2962,$T2962))</f>
        <v/>
      </c>
      <c r="V2962" s="1">
        <f t="shared" si="141"/>
        <v>0</v>
      </c>
      <c r="W2962" s="1" t="str">
        <f t="shared" si="142"/>
        <v/>
      </c>
      <c r="X2962" s="1"/>
      <c r="Y2962" s="1"/>
      <c r="Z2962" s="1"/>
      <c r="AA2962" s="1"/>
      <c r="AB2962" s="1"/>
      <c r="AC2962" s="1"/>
      <c r="AD2962" s="1">
        <f>IF($C2962="",0,SUMPRODUCT((AY_SONU!$O$7:$O$42="Evet")*(AY_SONU!$B$7:$B$42=DATE(YEAR($C2962),MONTH($C2962),1))))</f>
        <v>0</v>
      </c>
      <c r="AE2962" s="1" t="str">
        <f>IF($E2962="","",$E2962&amp;"|"&amp;COUNTIFS($E$7:$E2962,$E2962))</f>
        <v/>
      </c>
    </row>
    <row r="2963" spans="1:31" ht="18" customHeight="1" x14ac:dyDescent="0.3">
      <c r="A2963" s="2"/>
      <c r="B2963" s="65" t="str">
        <f>IF($C2963="","","GG"&amp;TEXT(ROW()-6,"00000"))</f>
        <v/>
      </c>
      <c r="C2963" s="66"/>
      <c r="D2963" s="60"/>
      <c r="E2963" s="61"/>
      <c r="F2963" s="61"/>
      <c r="G2963" s="67"/>
      <c r="H2963" s="60"/>
      <c r="I2963" s="60"/>
      <c r="J2963" s="61"/>
      <c r="K2963" s="61"/>
      <c r="L2963" s="60"/>
      <c r="M2963" s="74" t="str">
        <f>IF($C2963="","",IF($D2963="Gider",$E2963,IF($L2963&lt;&gt;"",$L2963,$H2963)))</f>
        <v/>
      </c>
      <c r="N2963" s="74" t="str">
        <f>IF($C2963="","",IF($D2963="Gider",$H2963,$E2963))</f>
        <v/>
      </c>
      <c r="O2963" s="73" t="str">
        <f>IF($C2963="","",DATE(YEAR($C2963),MONTH($C2963),1))</f>
        <v/>
      </c>
      <c r="P2963" s="65" t="str">
        <f ca="1">IF($C2963="","",IF(AND($D2963="Gelir",$L2963&lt;&gt;"",$T2963=""),"TANIMSIZ BORÇLU",IF($T2963&lt;&gt;"",IF(OR($E2963="",$G2963&lt;=0),"EKSİK",IF($I2963="Evet","TAHAKKUK NAKİT OLAMAZ",IF($C2963&gt;TODAY(),"İLERİ TARİH","TAHAKKUK"))),IF(AND($D2963&lt;&gt;"",$E2963&lt;&gt;"",$G2963&gt;0,$H2963&lt;&gt;"",$I2963&lt;&gt;""),IF($C2963&gt;TODAY(),"İLERİ TARİH",IF(COUNTIF($W$7:$W$3001,$W2963)&gt;1,"MÜKERRER?",IF($AD2963&gt;0,"KAPALI DÖNEM",IF($I2963="Hayır","ÖDENECEK","UYGUN")))),"EKSİK"))))</f>
        <v/>
      </c>
      <c r="Q2963" s="2"/>
      <c r="R2963" s="2"/>
      <c r="S2963" s="1" t="str">
        <f t="shared" si="140"/>
        <v/>
      </c>
      <c r="T2963" s="1" t="str">
        <f>IF(OR($C2963="",$D2963&lt;&gt;"Gelir",$L2963=""),"",IFERROR(INDEX(MUSTERILER!$B$7:$B$156,MATCH($S2963,MUSTERILER!$T$7:$T$156,0)),""))</f>
        <v/>
      </c>
      <c r="U2963" s="1" t="str">
        <f>IF($T2963="","",$T2963&amp;"|"&amp;COUNTIFS($T$7:$T2963,$T2963))</f>
        <v/>
      </c>
      <c r="V2963" s="1">
        <f t="shared" si="141"/>
        <v>0</v>
      </c>
      <c r="W2963" s="1" t="str">
        <f t="shared" si="142"/>
        <v/>
      </c>
      <c r="X2963" s="1"/>
      <c r="Y2963" s="1"/>
      <c r="Z2963" s="1"/>
      <c r="AA2963" s="1"/>
      <c r="AB2963" s="1"/>
      <c r="AC2963" s="1"/>
      <c r="AD2963" s="1">
        <f>IF($C2963="",0,SUMPRODUCT((AY_SONU!$O$7:$O$42="Evet")*(AY_SONU!$B$7:$B$42=DATE(YEAR($C2963),MONTH($C2963),1))))</f>
        <v>0</v>
      </c>
      <c r="AE2963" s="1" t="str">
        <f>IF($E2963="","",$E2963&amp;"|"&amp;COUNTIFS($E$7:$E2963,$E2963))</f>
        <v/>
      </c>
    </row>
    <row r="2964" spans="1:31" ht="18" customHeight="1" x14ac:dyDescent="0.3">
      <c r="A2964" s="2"/>
      <c r="B2964" s="65" t="str">
        <f>IF($C2964="","","GG"&amp;TEXT(ROW()-6,"00000"))</f>
        <v/>
      </c>
      <c r="C2964" s="66"/>
      <c r="D2964" s="60"/>
      <c r="E2964" s="61"/>
      <c r="F2964" s="61"/>
      <c r="G2964" s="67"/>
      <c r="H2964" s="60"/>
      <c r="I2964" s="60"/>
      <c r="J2964" s="61"/>
      <c r="K2964" s="61"/>
      <c r="L2964" s="60"/>
      <c r="M2964" s="74" t="str">
        <f>IF($C2964="","",IF($D2964="Gider",$E2964,IF($L2964&lt;&gt;"",$L2964,$H2964)))</f>
        <v/>
      </c>
      <c r="N2964" s="74" t="str">
        <f>IF($C2964="","",IF($D2964="Gider",$H2964,$E2964))</f>
        <v/>
      </c>
      <c r="O2964" s="73" t="str">
        <f>IF($C2964="","",DATE(YEAR($C2964),MONTH($C2964),1))</f>
        <v/>
      </c>
      <c r="P2964" s="65" t="str">
        <f ca="1">IF($C2964="","",IF(AND($D2964="Gelir",$L2964&lt;&gt;"",$T2964=""),"TANIMSIZ BORÇLU",IF($T2964&lt;&gt;"",IF(OR($E2964="",$G2964&lt;=0),"EKSİK",IF($I2964="Evet","TAHAKKUK NAKİT OLAMAZ",IF($C2964&gt;TODAY(),"İLERİ TARİH","TAHAKKUK"))),IF(AND($D2964&lt;&gt;"",$E2964&lt;&gt;"",$G2964&gt;0,$H2964&lt;&gt;"",$I2964&lt;&gt;""),IF($C2964&gt;TODAY(),"İLERİ TARİH",IF(COUNTIF($W$7:$W$3001,$W2964)&gt;1,"MÜKERRER?",IF($AD2964&gt;0,"KAPALI DÖNEM",IF($I2964="Hayır","ÖDENECEK","UYGUN")))),"EKSİK"))))</f>
        <v/>
      </c>
      <c r="Q2964" s="2"/>
      <c r="R2964" s="2"/>
      <c r="S2964" s="1" t="str">
        <f t="shared" si="140"/>
        <v/>
      </c>
      <c r="T2964" s="1" t="str">
        <f>IF(OR($C2964="",$D2964&lt;&gt;"Gelir",$L2964=""),"",IFERROR(INDEX(MUSTERILER!$B$7:$B$156,MATCH($S2964,MUSTERILER!$T$7:$T$156,0)),""))</f>
        <v/>
      </c>
      <c r="U2964" s="1" t="str">
        <f>IF($T2964="","",$T2964&amp;"|"&amp;COUNTIFS($T$7:$T2964,$T2964))</f>
        <v/>
      </c>
      <c r="V2964" s="1">
        <f t="shared" si="141"/>
        <v>0</v>
      </c>
      <c r="W2964" s="1" t="str">
        <f t="shared" si="142"/>
        <v/>
      </c>
      <c r="X2964" s="1"/>
      <c r="Y2964" s="1"/>
      <c r="Z2964" s="1"/>
      <c r="AA2964" s="1"/>
      <c r="AB2964" s="1"/>
      <c r="AC2964" s="1"/>
      <c r="AD2964" s="1">
        <f>IF($C2964="",0,SUMPRODUCT((AY_SONU!$O$7:$O$42="Evet")*(AY_SONU!$B$7:$B$42=DATE(YEAR($C2964),MONTH($C2964),1))))</f>
        <v>0</v>
      </c>
      <c r="AE2964" s="1" t="str">
        <f>IF($E2964="","",$E2964&amp;"|"&amp;COUNTIFS($E$7:$E2964,$E2964))</f>
        <v/>
      </c>
    </row>
    <row r="2965" spans="1:31" ht="18" customHeight="1" x14ac:dyDescent="0.3">
      <c r="A2965" s="2"/>
      <c r="B2965" s="65" t="str">
        <f>IF($C2965="","","GG"&amp;TEXT(ROW()-6,"00000"))</f>
        <v/>
      </c>
      <c r="C2965" s="66"/>
      <c r="D2965" s="60"/>
      <c r="E2965" s="61"/>
      <c r="F2965" s="61"/>
      <c r="G2965" s="67"/>
      <c r="H2965" s="60"/>
      <c r="I2965" s="60"/>
      <c r="J2965" s="61"/>
      <c r="K2965" s="61"/>
      <c r="L2965" s="60"/>
      <c r="M2965" s="74" t="str">
        <f>IF($C2965="","",IF($D2965="Gider",$E2965,IF($L2965&lt;&gt;"",$L2965,$H2965)))</f>
        <v/>
      </c>
      <c r="N2965" s="74" t="str">
        <f>IF($C2965="","",IF($D2965="Gider",$H2965,$E2965))</f>
        <v/>
      </c>
      <c r="O2965" s="73" t="str">
        <f>IF($C2965="","",DATE(YEAR($C2965),MONTH($C2965),1))</f>
        <v/>
      </c>
      <c r="P2965" s="65" t="str">
        <f ca="1">IF($C2965="","",IF(AND($D2965="Gelir",$L2965&lt;&gt;"",$T2965=""),"TANIMSIZ BORÇLU",IF($T2965&lt;&gt;"",IF(OR($E2965="",$G2965&lt;=0),"EKSİK",IF($I2965="Evet","TAHAKKUK NAKİT OLAMAZ",IF($C2965&gt;TODAY(),"İLERİ TARİH","TAHAKKUK"))),IF(AND($D2965&lt;&gt;"",$E2965&lt;&gt;"",$G2965&gt;0,$H2965&lt;&gt;"",$I2965&lt;&gt;""),IF($C2965&gt;TODAY(),"İLERİ TARİH",IF(COUNTIF($W$7:$W$3001,$W2965)&gt;1,"MÜKERRER?",IF($AD2965&gt;0,"KAPALI DÖNEM",IF($I2965="Hayır","ÖDENECEK","UYGUN")))),"EKSİK"))))</f>
        <v/>
      </c>
      <c r="Q2965" s="2"/>
      <c r="R2965" s="2"/>
      <c r="S2965" s="1" t="str">
        <f t="shared" si="140"/>
        <v/>
      </c>
      <c r="T2965" s="1" t="str">
        <f>IF(OR($C2965="",$D2965&lt;&gt;"Gelir",$L2965=""),"",IFERROR(INDEX(MUSTERILER!$B$7:$B$156,MATCH($S2965,MUSTERILER!$T$7:$T$156,0)),""))</f>
        <v/>
      </c>
      <c r="U2965" s="1" t="str">
        <f>IF($T2965="","",$T2965&amp;"|"&amp;COUNTIFS($T$7:$T2965,$T2965))</f>
        <v/>
      </c>
      <c r="V2965" s="1">
        <f t="shared" si="141"/>
        <v>0</v>
      </c>
      <c r="W2965" s="1" t="str">
        <f t="shared" si="142"/>
        <v/>
      </c>
      <c r="X2965" s="1"/>
      <c r="Y2965" s="1"/>
      <c r="Z2965" s="1"/>
      <c r="AA2965" s="1"/>
      <c r="AB2965" s="1"/>
      <c r="AC2965" s="1"/>
      <c r="AD2965" s="1">
        <f>IF($C2965="",0,SUMPRODUCT((AY_SONU!$O$7:$O$42="Evet")*(AY_SONU!$B$7:$B$42=DATE(YEAR($C2965),MONTH($C2965),1))))</f>
        <v>0</v>
      </c>
      <c r="AE2965" s="1" t="str">
        <f>IF($E2965="","",$E2965&amp;"|"&amp;COUNTIFS($E$7:$E2965,$E2965))</f>
        <v/>
      </c>
    </row>
    <row r="2966" spans="1:31" ht="18" customHeight="1" x14ac:dyDescent="0.3">
      <c r="A2966" s="2"/>
      <c r="B2966" s="65" t="str">
        <f>IF($C2966="","","GG"&amp;TEXT(ROW()-6,"00000"))</f>
        <v/>
      </c>
      <c r="C2966" s="66"/>
      <c r="D2966" s="60"/>
      <c r="E2966" s="61"/>
      <c r="F2966" s="61"/>
      <c r="G2966" s="67"/>
      <c r="H2966" s="60"/>
      <c r="I2966" s="60"/>
      <c r="J2966" s="61"/>
      <c r="K2966" s="61"/>
      <c r="L2966" s="60"/>
      <c r="M2966" s="74" t="str">
        <f>IF($C2966="","",IF($D2966="Gider",$E2966,IF($L2966&lt;&gt;"",$L2966,$H2966)))</f>
        <v/>
      </c>
      <c r="N2966" s="74" t="str">
        <f>IF($C2966="","",IF($D2966="Gider",$H2966,$E2966))</f>
        <v/>
      </c>
      <c r="O2966" s="73" t="str">
        <f>IF($C2966="","",DATE(YEAR($C2966),MONTH($C2966),1))</f>
        <v/>
      </c>
      <c r="P2966" s="65" t="str">
        <f ca="1">IF($C2966="","",IF(AND($D2966="Gelir",$L2966&lt;&gt;"",$T2966=""),"TANIMSIZ BORÇLU",IF($T2966&lt;&gt;"",IF(OR($E2966="",$G2966&lt;=0),"EKSİK",IF($I2966="Evet","TAHAKKUK NAKİT OLAMAZ",IF($C2966&gt;TODAY(),"İLERİ TARİH","TAHAKKUK"))),IF(AND($D2966&lt;&gt;"",$E2966&lt;&gt;"",$G2966&gt;0,$H2966&lt;&gt;"",$I2966&lt;&gt;""),IF($C2966&gt;TODAY(),"İLERİ TARİH",IF(COUNTIF($W$7:$W$3001,$W2966)&gt;1,"MÜKERRER?",IF($AD2966&gt;0,"KAPALI DÖNEM",IF($I2966="Hayır","ÖDENECEK","UYGUN")))),"EKSİK"))))</f>
        <v/>
      </c>
      <c r="Q2966" s="2"/>
      <c r="R2966" s="2"/>
      <c r="S2966" s="1" t="str">
        <f t="shared" si="140"/>
        <v/>
      </c>
      <c r="T2966" s="1" t="str">
        <f>IF(OR($C2966="",$D2966&lt;&gt;"Gelir",$L2966=""),"",IFERROR(INDEX(MUSTERILER!$B$7:$B$156,MATCH($S2966,MUSTERILER!$T$7:$T$156,0)),""))</f>
        <v/>
      </c>
      <c r="U2966" s="1" t="str">
        <f>IF($T2966="","",$T2966&amp;"|"&amp;COUNTIFS($T$7:$T2966,$T2966))</f>
        <v/>
      </c>
      <c r="V2966" s="1">
        <f t="shared" si="141"/>
        <v>0</v>
      </c>
      <c r="W2966" s="1" t="str">
        <f t="shared" si="142"/>
        <v/>
      </c>
      <c r="X2966" s="1"/>
      <c r="Y2966" s="1"/>
      <c r="Z2966" s="1"/>
      <c r="AA2966" s="1"/>
      <c r="AB2966" s="1"/>
      <c r="AC2966" s="1"/>
      <c r="AD2966" s="1">
        <f>IF($C2966="",0,SUMPRODUCT((AY_SONU!$O$7:$O$42="Evet")*(AY_SONU!$B$7:$B$42=DATE(YEAR($C2966),MONTH($C2966),1))))</f>
        <v>0</v>
      </c>
      <c r="AE2966" s="1" t="str">
        <f>IF($E2966="","",$E2966&amp;"|"&amp;COUNTIFS($E$7:$E2966,$E2966))</f>
        <v/>
      </c>
    </row>
    <row r="2967" spans="1:31" ht="18" customHeight="1" x14ac:dyDescent="0.3">
      <c r="A2967" s="2"/>
      <c r="B2967" s="65" t="str">
        <f>IF($C2967="","","GG"&amp;TEXT(ROW()-6,"00000"))</f>
        <v/>
      </c>
      <c r="C2967" s="66"/>
      <c r="D2967" s="60"/>
      <c r="E2967" s="61"/>
      <c r="F2967" s="61"/>
      <c r="G2967" s="67"/>
      <c r="H2967" s="60"/>
      <c r="I2967" s="60"/>
      <c r="J2967" s="61"/>
      <c r="K2967" s="61"/>
      <c r="L2967" s="60"/>
      <c r="M2967" s="74" t="str">
        <f>IF($C2967="","",IF($D2967="Gider",$E2967,IF($L2967&lt;&gt;"",$L2967,$H2967)))</f>
        <v/>
      </c>
      <c r="N2967" s="74" t="str">
        <f>IF($C2967="","",IF($D2967="Gider",$H2967,$E2967))</f>
        <v/>
      </c>
      <c r="O2967" s="73" t="str">
        <f>IF($C2967="","",DATE(YEAR($C2967),MONTH($C2967),1))</f>
        <v/>
      </c>
      <c r="P2967" s="65" t="str">
        <f ca="1">IF($C2967="","",IF(AND($D2967="Gelir",$L2967&lt;&gt;"",$T2967=""),"TANIMSIZ BORÇLU",IF($T2967&lt;&gt;"",IF(OR($E2967="",$G2967&lt;=0),"EKSİK",IF($I2967="Evet","TAHAKKUK NAKİT OLAMAZ",IF($C2967&gt;TODAY(),"İLERİ TARİH","TAHAKKUK"))),IF(AND($D2967&lt;&gt;"",$E2967&lt;&gt;"",$G2967&gt;0,$H2967&lt;&gt;"",$I2967&lt;&gt;""),IF($C2967&gt;TODAY(),"İLERİ TARİH",IF(COUNTIF($W$7:$W$3001,$W2967)&gt;1,"MÜKERRER?",IF($AD2967&gt;0,"KAPALI DÖNEM",IF($I2967="Hayır","ÖDENECEK","UYGUN")))),"EKSİK"))))</f>
        <v/>
      </c>
      <c r="Q2967" s="2"/>
      <c r="R2967" s="2"/>
      <c r="S2967" s="1" t="str">
        <f t="shared" si="140"/>
        <v/>
      </c>
      <c r="T2967" s="1" t="str">
        <f>IF(OR($C2967="",$D2967&lt;&gt;"Gelir",$L2967=""),"",IFERROR(INDEX(MUSTERILER!$B$7:$B$156,MATCH($S2967,MUSTERILER!$T$7:$T$156,0)),""))</f>
        <v/>
      </c>
      <c r="U2967" s="1" t="str">
        <f>IF($T2967="","",$T2967&amp;"|"&amp;COUNTIFS($T$7:$T2967,$T2967))</f>
        <v/>
      </c>
      <c r="V2967" s="1">
        <f t="shared" si="141"/>
        <v>0</v>
      </c>
      <c r="W2967" s="1" t="str">
        <f t="shared" si="142"/>
        <v/>
      </c>
      <c r="X2967" s="1"/>
      <c r="Y2967" s="1"/>
      <c r="Z2967" s="1"/>
      <c r="AA2967" s="1"/>
      <c r="AB2967" s="1"/>
      <c r="AC2967" s="1"/>
      <c r="AD2967" s="1">
        <f>IF($C2967="",0,SUMPRODUCT((AY_SONU!$O$7:$O$42="Evet")*(AY_SONU!$B$7:$B$42=DATE(YEAR($C2967),MONTH($C2967),1))))</f>
        <v>0</v>
      </c>
      <c r="AE2967" s="1" t="str">
        <f>IF($E2967="","",$E2967&amp;"|"&amp;COUNTIFS($E$7:$E2967,$E2967))</f>
        <v/>
      </c>
    </row>
    <row r="2968" spans="1:31" ht="18" customHeight="1" x14ac:dyDescent="0.3">
      <c r="A2968" s="2"/>
      <c r="B2968" s="65" t="str">
        <f>IF($C2968="","","GG"&amp;TEXT(ROW()-6,"00000"))</f>
        <v/>
      </c>
      <c r="C2968" s="66"/>
      <c r="D2968" s="60"/>
      <c r="E2968" s="61"/>
      <c r="F2968" s="61"/>
      <c r="G2968" s="67"/>
      <c r="H2968" s="60"/>
      <c r="I2968" s="60"/>
      <c r="J2968" s="61"/>
      <c r="K2968" s="61"/>
      <c r="L2968" s="60"/>
      <c r="M2968" s="74" t="str">
        <f>IF($C2968="","",IF($D2968="Gider",$E2968,IF($L2968&lt;&gt;"",$L2968,$H2968)))</f>
        <v/>
      </c>
      <c r="N2968" s="74" t="str">
        <f>IF($C2968="","",IF($D2968="Gider",$H2968,$E2968))</f>
        <v/>
      </c>
      <c r="O2968" s="73" t="str">
        <f>IF($C2968="","",DATE(YEAR($C2968),MONTH($C2968),1))</f>
        <v/>
      </c>
      <c r="P2968" s="65" t="str">
        <f ca="1">IF($C2968="","",IF(AND($D2968="Gelir",$L2968&lt;&gt;"",$T2968=""),"TANIMSIZ BORÇLU",IF($T2968&lt;&gt;"",IF(OR($E2968="",$G2968&lt;=0),"EKSİK",IF($I2968="Evet","TAHAKKUK NAKİT OLAMAZ",IF($C2968&gt;TODAY(),"İLERİ TARİH","TAHAKKUK"))),IF(AND($D2968&lt;&gt;"",$E2968&lt;&gt;"",$G2968&gt;0,$H2968&lt;&gt;"",$I2968&lt;&gt;""),IF($C2968&gt;TODAY(),"İLERİ TARİH",IF(COUNTIF($W$7:$W$3001,$W2968)&gt;1,"MÜKERRER?",IF($AD2968&gt;0,"KAPALI DÖNEM",IF($I2968="Hayır","ÖDENECEK","UYGUN")))),"EKSİK"))))</f>
        <v/>
      </c>
      <c r="Q2968" s="2"/>
      <c r="R2968" s="2"/>
      <c r="S2968" s="1" t="str">
        <f t="shared" si="140"/>
        <v/>
      </c>
      <c r="T2968" s="1" t="str">
        <f>IF(OR($C2968="",$D2968&lt;&gt;"Gelir",$L2968=""),"",IFERROR(INDEX(MUSTERILER!$B$7:$B$156,MATCH($S2968,MUSTERILER!$T$7:$T$156,0)),""))</f>
        <v/>
      </c>
      <c r="U2968" s="1" t="str">
        <f>IF($T2968="","",$T2968&amp;"|"&amp;COUNTIFS($T$7:$T2968,$T2968))</f>
        <v/>
      </c>
      <c r="V2968" s="1">
        <f t="shared" si="141"/>
        <v>0</v>
      </c>
      <c r="W2968" s="1" t="str">
        <f t="shared" si="142"/>
        <v/>
      </c>
      <c r="X2968" s="1"/>
      <c r="Y2968" s="1"/>
      <c r="Z2968" s="1"/>
      <c r="AA2968" s="1"/>
      <c r="AB2968" s="1"/>
      <c r="AC2968" s="1"/>
      <c r="AD2968" s="1">
        <f>IF($C2968="",0,SUMPRODUCT((AY_SONU!$O$7:$O$42="Evet")*(AY_SONU!$B$7:$B$42=DATE(YEAR($C2968),MONTH($C2968),1))))</f>
        <v>0</v>
      </c>
      <c r="AE2968" s="1" t="str">
        <f>IF($E2968="","",$E2968&amp;"|"&amp;COUNTIFS($E$7:$E2968,$E2968))</f>
        <v/>
      </c>
    </row>
    <row r="2969" spans="1:31" ht="18" customHeight="1" x14ac:dyDescent="0.3">
      <c r="A2969" s="2"/>
      <c r="B2969" s="65" t="str">
        <f>IF($C2969="","","GG"&amp;TEXT(ROW()-6,"00000"))</f>
        <v/>
      </c>
      <c r="C2969" s="66"/>
      <c r="D2969" s="60"/>
      <c r="E2969" s="61"/>
      <c r="F2969" s="61"/>
      <c r="G2969" s="67"/>
      <c r="H2969" s="60"/>
      <c r="I2969" s="60"/>
      <c r="J2969" s="61"/>
      <c r="K2969" s="61"/>
      <c r="L2969" s="60"/>
      <c r="M2969" s="74" t="str">
        <f>IF($C2969="","",IF($D2969="Gider",$E2969,IF($L2969&lt;&gt;"",$L2969,$H2969)))</f>
        <v/>
      </c>
      <c r="N2969" s="74" t="str">
        <f>IF($C2969="","",IF($D2969="Gider",$H2969,$E2969))</f>
        <v/>
      </c>
      <c r="O2969" s="73" t="str">
        <f>IF($C2969="","",DATE(YEAR($C2969),MONTH($C2969),1))</f>
        <v/>
      </c>
      <c r="P2969" s="65" t="str">
        <f ca="1">IF($C2969="","",IF(AND($D2969="Gelir",$L2969&lt;&gt;"",$T2969=""),"TANIMSIZ BORÇLU",IF($T2969&lt;&gt;"",IF(OR($E2969="",$G2969&lt;=0),"EKSİK",IF($I2969="Evet","TAHAKKUK NAKİT OLAMAZ",IF($C2969&gt;TODAY(),"İLERİ TARİH","TAHAKKUK"))),IF(AND($D2969&lt;&gt;"",$E2969&lt;&gt;"",$G2969&gt;0,$H2969&lt;&gt;"",$I2969&lt;&gt;""),IF($C2969&gt;TODAY(),"İLERİ TARİH",IF(COUNTIF($W$7:$W$3001,$W2969)&gt;1,"MÜKERRER?",IF($AD2969&gt;0,"KAPALI DÖNEM",IF($I2969="Hayır","ÖDENECEK","UYGUN")))),"EKSİK"))))</f>
        <v/>
      </c>
      <c r="Q2969" s="2"/>
      <c r="R2969" s="2"/>
      <c r="S2969" s="1" t="str">
        <f t="shared" si="140"/>
        <v/>
      </c>
      <c r="T2969" s="1" t="str">
        <f>IF(OR($C2969="",$D2969&lt;&gt;"Gelir",$L2969=""),"",IFERROR(INDEX(MUSTERILER!$B$7:$B$156,MATCH($S2969,MUSTERILER!$T$7:$T$156,0)),""))</f>
        <v/>
      </c>
      <c r="U2969" s="1" t="str">
        <f>IF($T2969="","",$T2969&amp;"|"&amp;COUNTIFS($T$7:$T2969,$T2969))</f>
        <v/>
      </c>
      <c r="V2969" s="1">
        <f t="shared" si="141"/>
        <v>0</v>
      </c>
      <c r="W2969" s="1" t="str">
        <f t="shared" si="142"/>
        <v/>
      </c>
      <c r="X2969" s="1"/>
      <c r="Y2969" s="1"/>
      <c r="Z2969" s="1"/>
      <c r="AA2969" s="1"/>
      <c r="AB2969" s="1"/>
      <c r="AC2969" s="1"/>
      <c r="AD2969" s="1">
        <f>IF($C2969="",0,SUMPRODUCT((AY_SONU!$O$7:$O$42="Evet")*(AY_SONU!$B$7:$B$42=DATE(YEAR($C2969),MONTH($C2969),1))))</f>
        <v>0</v>
      </c>
      <c r="AE2969" s="1" t="str">
        <f>IF($E2969="","",$E2969&amp;"|"&amp;COUNTIFS($E$7:$E2969,$E2969))</f>
        <v/>
      </c>
    </row>
    <row r="2970" spans="1:31" ht="18" customHeight="1" x14ac:dyDescent="0.3">
      <c r="A2970" s="2"/>
      <c r="B2970" s="65" t="str">
        <f>IF($C2970="","","GG"&amp;TEXT(ROW()-6,"00000"))</f>
        <v/>
      </c>
      <c r="C2970" s="66"/>
      <c r="D2970" s="60"/>
      <c r="E2970" s="61"/>
      <c r="F2970" s="61"/>
      <c r="G2970" s="67"/>
      <c r="H2970" s="60"/>
      <c r="I2970" s="60"/>
      <c r="J2970" s="61"/>
      <c r="K2970" s="61"/>
      <c r="L2970" s="60"/>
      <c r="M2970" s="74" t="str">
        <f>IF($C2970="","",IF($D2970="Gider",$E2970,IF($L2970&lt;&gt;"",$L2970,$H2970)))</f>
        <v/>
      </c>
      <c r="N2970" s="74" t="str">
        <f>IF($C2970="","",IF($D2970="Gider",$H2970,$E2970))</f>
        <v/>
      </c>
      <c r="O2970" s="73" t="str">
        <f>IF($C2970="","",DATE(YEAR($C2970),MONTH($C2970),1))</f>
        <v/>
      </c>
      <c r="P2970" s="65" t="str">
        <f ca="1">IF($C2970="","",IF(AND($D2970="Gelir",$L2970&lt;&gt;"",$T2970=""),"TANIMSIZ BORÇLU",IF($T2970&lt;&gt;"",IF(OR($E2970="",$G2970&lt;=0),"EKSİK",IF($I2970="Evet","TAHAKKUK NAKİT OLAMAZ",IF($C2970&gt;TODAY(),"İLERİ TARİH","TAHAKKUK"))),IF(AND($D2970&lt;&gt;"",$E2970&lt;&gt;"",$G2970&gt;0,$H2970&lt;&gt;"",$I2970&lt;&gt;""),IF($C2970&gt;TODAY(),"İLERİ TARİH",IF(COUNTIF($W$7:$W$3001,$W2970)&gt;1,"MÜKERRER?",IF($AD2970&gt;0,"KAPALI DÖNEM",IF($I2970="Hayır","ÖDENECEK","UYGUN")))),"EKSİK"))))</f>
        <v/>
      </c>
      <c r="Q2970" s="2"/>
      <c r="R2970" s="2"/>
      <c r="S2970" s="1" t="str">
        <f t="shared" si="140"/>
        <v/>
      </c>
      <c r="T2970" s="1" t="str">
        <f>IF(OR($C2970="",$D2970&lt;&gt;"Gelir",$L2970=""),"",IFERROR(INDEX(MUSTERILER!$B$7:$B$156,MATCH($S2970,MUSTERILER!$T$7:$T$156,0)),""))</f>
        <v/>
      </c>
      <c r="U2970" s="1" t="str">
        <f>IF($T2970="","",$T2970&amp;"|"&amp;COUNTIFS($T$7:$T2970,$T2970))</f>
        <v/>
      </c>
      <c r="V2970" s="1">
        <f t="shared" si="141"/>
        <v>0</v>
      </c>
      <c r="W2970" s="1" t="str">
        <f t="shared" si="142"/>
        <v/>
      </c>
      <c r="X2970" s="1"/>
      <c r="Y2970" s="1"/>
      <c r="Z2970" s="1"/>
      <c r="AA2970" s="1"/>
      <c r="AB2970" s="1"/>
      <c r="AC2970" s="1"/>
      <c r="AD2970" s="1">
        <f>IF($C2970="",0,SUMPRODUCT((AY_SONU!$O$7:$O$42="Evet")*(AY_SONU!$B$7:$B$42=DATE(YEAR($C2970),MONTH($C2970),1))))</f>
        <v>0</v>
      </c>
      <c r="AE2970" s="1" t="str">
        <f>IF($E2970="","",$E2970&amp;"|"&amp;COUNTIFS($E$7:$E2970,$E2970))</f>
        <v/>
      </c>
    </row>
    <row r="2971" spans="1:31" ht="18" customHeight="1" x14ac:dyDescent="0.3">
      <c r="A2971" s="2"/>
      <c r="B2971" s="65" t="str">
        <f>IF($C2971="","","GG"&amp;TEXT(ROW()-6,"00000"))</f>
        <v/>
      </c>
      <c r="C2971" s="66"/>
      <c r="D2971" s="60"/>
      <c r="E2971" s="61"/>
      <c r="F2971" s="61"/>
      <c r="G2971" s="67"/>
      <c r="H2971" s="60"/>
      <c r="I2971" s="60"/>
      <c r="J2971" s="61"/>
      <c r="K2971" s="61"/>
      <c r="L2971" s="60"/>
      <c r="M2971" s="74" t="str">
        <f>IF($C2971="","",IF($D2971="Gider",$E2971,IF($L2971&lt;&gt;"",$L2971,$H2971)))</f>
        <v/>
      </c>
      <c r="N2971" s="74" t="str">
        <f>IF($C2971="","",IF($D2971="Gider",$H2971,$E2971))</f>
        <v/>
      </c>
      <c r="O2971" s="73" t="str">
        <f>IF($C2971="","",DATE(YEAR($C2971),MONTH($C2971),1))</f>
        <v/>
      </c>
      <c r="P2971" s="65" t="str">
        <f ca="1">IF($C2971="","",IF(AND($D2971="Gelir",$L2971&lt;&gt;"",$T2971=""),"TANIMSIZ BORÇLU",IF($T2971&lt;&gt;"",IF(OR($E2971="",$G2971&lt;=0),"EKSİK",IF($I2971="Evet","TAHAKKUK NAKİT OLAMAZ",IF($C2971&gt;TODAY(),"İLERİ TARİH","TAHAKKUK"))),IF(AND($D2971&lt;&gt;"",$E2971&lt;&gt;"",$G2971&gt;0,$H2971&lt;&gt;"",$I2971&lt;&gt;""),IF($C2971&gt;TODAY(),"İLERİ TARİH",IF(COUNTIF($W$7:$W$3001,$W2971)&gt;1,"MÜKERRER?",IF($AD2971&gt;0,"KAPALI DÖNEM",IF($I2971="Hayır","ÖDENECEK","UYGUN")))),"EKSİK"))))</f>
        <v/>
      </c>
      <c r="Q2971" s="2"/>
      <c r="R2971" s="2"/>
      <c r="S2971" s="1" t="str">
        <f t="shared" si="140"/>
        <v/>
      </c>
      <c r="T2971" s="1" t="str">
        <f>IF(OR($C2971="",$D2971&lt;&gt;"Gelir",$L2971=""),"",IFERROR(INDEX(MUSTERILER!$B$7:$B$156,MATCH($S2971,MUSTERILER!$T$7:$T$156,0)),""))</f>
        <v/>
      </c>
      <c r="U2971" s="1" t="str">
        <f>IF($T2971="","",$T2971&amp;"|"&amp;COUNTIFS($T$7:$T2971,$T2971))</f>
        <v/>
      </c>
      <c r="V2971" s="1">
        <f t="shared" si="141"/>
        <v>0</v>
      </c>
      <c r="W2971" s="1" t="str">
        <f t="shared" si="142"/>
        <v/>
      </c>
      <c r="X2971" s="1"/>
      <c r="Y2971" s="1"/>
      <c r="Z2971" s="1"/>
      <c r="AA2971" s="1"/>
      <c r="AB2971" s="1"/>
      <c r="AC2971" s="1"/>
      <c r="AD2971" s="1">
        <f>IF($C2971="",0,SUMPRODUCT((AY_SONU!$O$7:$O$42="Evet")*(AY_SONU!$B$7:$B$42=DATE(YEAR($C2971),MONTH($C2971),1))))</f>
        <v>0</v>
      </c>
      <c r="AE2971" s="1" t="str">
        <f>IF($E2971="","",$E2971&amp;"|"&amp;COUNTIFS($E$7:$E2971,$E2971))</f>
        <v/>
      </c>
    </row>
    <row r="2972" spans="1:31" ht="18" customHeight="1" x14ac:dyDescent="0.3">
      <c r="A2972" s="2"/>
      <c r="B2972" s="65" t="str">
        <f>IF($C2972="","","GG"&amp;TEXT(ROW()-6,"00000"))</f>
        <v/>
      </c>
      <c r="C2972" s="66"/>
      <c r="D2972" s="60"/>
      <c r="E2972" s="61"/>
      <c r="F2972" s="61"/>
      <c r="G2972" s="67"/>
      <c r="H2972" s="60"/>
      <c r="I2972" s="60"/>
      <c r="J2972" s="61"/>
      <c r="K2972" s="61"/>
      <c r="L2972" s="60"/>
      <c r="M2972" s="74" t="str">
        <f>IF($C2972="","",IF($D2972="Gider",$E2972,IF($L2972&lt;&gt;"",$L2972,$H2972)))</f>
        <v/>
      </c>
      <c r="N2972" s="74" t="str">
        <f>IF($C2972="","",IF($D2972="Gider",$H2972,$E2972))</f>
        <v/>
      </c>
      <c r="O2972" s="73" t="str">
        <f>IF($C2972="","",DATE(YEAR($C2972),MONTH($C2972),1))</f>
        <v/>
      </c>
      <c r="P2972" s="65" t="str">
        <f ca="1">IF($C2972="","",IF(AND($D2972="Gelir",$L2972&lt;&gt;"",$T2972=""),"TANIMSIZ BORÇLU",IF($T2972&lt;&gt;"",IF(OR($E2972="",$G2972&lt;=0),"EKSİK",IF($I2972="Evet","TAHAKKUK NAKİT OLAMAZ",IF($C2972&gt;TODAY(),"İLERİ TARİH","TAHAKKUK"))),IF(AND($D2972&lt;&gt;"",$E2972&lt;&gt;"",$G2972&gt;0,$H2972&lt;&gt;"",$I2972&lt;&gt;""),IF($C2972&gt;TODAY(),"İLERİ TARİH",IF(COUNTIF($W$7:$W$3001,$W2972)&gt;1,"MÜKERRER?",IF($AD2972&gt;0,"KAPALI DÖNEM",IF($I2972="Hayır","ÖDENECEK","UYGUN")))),"EKSİK"))))</f>
        <v/>
      </c>
      <c r="Q2972" s="2"/>
      <c r="R2972" s="2"/>
      <c r="S2972" s="1" t="str">
        <f t="shared" si="140"/>
        <v/>
      </c>
      <c r="T2972" s="1" t="str">
        <f>IF(OR($C2972="",$D2972&lt;&gt;"Gelir",$L2972=""),"",IFERROR(INDEX(MUSTERILER!$B$7:$B$156,MATCH($S2972,MUSTERILER!$T$7:$T$156,0)),""))</f>
        <v/>
      </c>
      <c r="U2972" s="1" t="str">
        <f>IF($T2972="","",$T2972&amp;"|"&amp;COUNTIFS($T$7:$T2972,$T2972))</f>
        <v/>
      </c>
      <c r="V2972" s="1">
        <f t="shared" si="141"/>
        <v>0</v>
      </c>
      <c r="W2972" s="1" t="str">
        <f t="shared" si="142"/>
        <v/>
      </c>
      <c r="X2972" s="1"/>
      <c r="Y2972" s="1"/>
      <c r="Z2972" s="1"/>
      <c r="AA2972" s="1"/>
      <c r="AB2972" s="1"/>
      <c r="AC2972" s="1"/>
      <c r="AD2972" s="1">
        <f>IF($C2972="",0,SUMPRODUCT((AY_SONU!$O$7:$O$42="Evet")*(AY_SONU!$B$7:$B$42=DATE(YEAR($C2972),MONTH($C2972),1))))</f>
        <v>0</v>
      </c>
      <c r="AE2972" s="1" t="str">
        <f>IF($E2972="","",$E2972&amp;"|"&amp;COUNTIFS($E$7:$E2972,$E2972))</f>
        <v/>
      </c>
    </row>
    <row r="2973" spans="1:31" ht="18" customHeight="1" x14ac:dyDescent="0.3">
      <c r="A2973" s="2"/>
      <c r="B2973" s="65" t="str">
        <f>IF($C2973="","","GG"&amp;TEXT(ROW()-6,"00000"))</f>
        <v/>
      </c>
      <c r="C2973" s="66"/>
      <c r="D2973" s="60"/>
      <c r="E2973" s="61"/>
      <c r="F2973" s="61"/>
      <c r="G2973" s="67"/>
      <c r="H2973" s="60"/>
      <c r="I2973" s="60"/>
      <c r="J2973" s="61"/>
      <c r="K2973" s="61"/>
      <c r="L2973" s="60"/>
      <c r="M2973" s="74" t="str">
        <f>IF($C2973="","",IF($D2973="Gider",$E2973,IF($L2973&lt;&gt;"",$L2973,$H2973)))</f>
        <v/>
      </c>
      <c r="N2973" s="74" t="str">
        <f>IF($C2973="","",IF($D2973="Gider",$H2973,$E2973))</f>
        <v/>
      </c>
      <c r="O2973" s="73" t="str">
        <f>IF($C2973="","",DATE(YEAR($C2973),MONTH($C2973),1))</f>
        <v/>
      </c>
      <c r="P2973" s="65" t="str">
        <f ca="1">IF($C2973="","",IF(AND($D2973="Gelir",$L2973&lt;&gt;"",$T2973=""),"TANIMSIZ BORÇLU",IF($T2973&lt;&gt;"",IF(OR($E2973="",$G2973&lt;=0),"EKSİK",IF($I2973="Evet","TAHAKKUK NAKİT OLAMAZ",IF($C2973&gt;TODAY(),"İLERİ TARİH","TAHAKKUK"))),IF(AND($D2973&lt;&gt;"",$E2973&lt;&gt;"",$G2973&gt;0,$H2973&lt;&gt;"",$I2973&lt;&gt;""),IF($C2973&gt;TODAY(),"İLERİ TARİH",IF(COUNTIF($W$7:$W$3001,$W2973)&gt;1,"MÜKERRER?",IF($AD2973&gt;0,"KAPALI DÖNEM",IF($I2973="Hayır","ÖDENECEK","UYGUN")))),"EKSİK"))))</f>
        <v/>
      </c>
      <c r="Q2973" s="2"/>
      <c r="R2973" s="2"/>
      <c r="S2973" s="1" t="str">
        <f t="shared" si="140"/>
        <v/>
      </c>
      <c r="T2973" s="1" t="str">
        <f>IF(OR($C2973="",$D2973&lt;&gt;"Gelir",$L2973=""),"",IFERROR(INDEX(MUSTERILER!$B$7:$B$156,MATCH($S2973,MUSTERILER!$T$7:$T$156,0)),""))</f>
        <v/>
      </c>
      <c r="U2973" s="1" t="str">
        <f>IF($T2973="","",$T2973&amp;"|"&amp;COUNTIFS($T$7:$T2973,$T2973))</f>
        <v/>
      </c>
      <c r="V2973" s="1">
        <f t="shared" si="141"/>
        <v>0</v>
      </c>
      <c r="W2973" s="1" t="str">
        <f t="shared" si="142"/>
        <v/>
      </c>
      <c r="X2973" s="1"/>
      <c r="Y2973" s="1"/>
      <c r="Z2973" s="1"/>
      <c r="AA2973" s="1"/>
      <c r="AB2973" s="1"/>
      <c r="AC2973" s="1"/>
      <c r="AD2973" s="1">
        <f>IF($C2973="",0,SUMPRODUCT((AY_SONU!$O$7:$O$42="Evet")*(AY_SONU!$B$7:$B$42=DATE(YEAR($C2973),MONTH($C2973),1))))</f>
        <v>0</v>
      </c>
      <c r="AE2973" s="1" t="str">
        <f>IF($E2973="","",$E2973&amp;"|"&amp;COUNTIFS($E$7:$E2973,$E2973))</f>
        <v/>
      </c>
    </row>
    <row r="2974" spans="1:31" ht="18" customHeight="1" x14ac:dyDescent="0.3">
      <c r="A2974" s="2"/>
      <c r="B2974" s="65" t="str">
        <f>IF($C2974="","","GG"&amp;TEXT(ROW()-6,"00000"))</f>
        <v/>
      </c>
      <c r="C2974" s="66"/>
      <c r="D2974" s="60"/>
      <c r="E2974" s="61"/>
      <c r="F2974" s="61"/>
      <c r="G2974" s="67"/>
      <c r="H2974" s="60"/>
      <c r="I2974" s="60"/>
      <c r="J2974" s="61"/>
      <c r="K2974" s="61"/>
      <c r="L2974" s="60"/>
      <c r="M2974" s="74" t="str">
        <f>IF($C2974="","",IF($D2974="Gider",$E2974,IF($L2974&lt;&gt;"",$L2974,$H2974)))</f>
        <v/>
      </c>
      <c r="N2974" s="74" t="str">
        <f>IF($C2974="","",IF($D2974="Gider",$H2974,$E2974))</f>
        <v/>
      </c>
      <c r="O2974" s="73" t="str">
        <f>IF($C2974="","",DATE(YEAR($C2974),MONTH($C2974),1))</f>
        <v/>
      </c>
      <c r="P2974" s="65" t="str">
        <f ca="1">IF($C2974="","",IF(AND($D2974="Gelir",$L2974&lt;&gt;"",$T2974=""),"TANIMSIZ BORÇLU",IF($T2974&lt;&gt;"",IF(OR($E2974="",$G2974&lt;=0),"EKSİK",IF($I2974="Evet","TAHAKKUK NAKİT OLAMAZ",IF($C2974&gt;TODAY(),"İLERİ TARİH","TAHAKKUK"))),IF(AND($D2974&lt;&gt;"",$E2974&lt;&gt;"",$G2974&gt;0,$H2974&lt;&gt;"",$I2974&lt;&gt;""),IF($C2974&gt;TODAY(),"İLERİ TARİH",IF(COUNTIF($W$7:$W$3001,$W2974)&gt;1,"MÜKERRER?",IF($AD2974&gt;0,"KAPALI DÖNEM",IF($I2974="Hayır","ÖDENECEK","UYGUN")))),"EKSİK"))))</f>
        <v/>
      </c>
      <c r="Q2974" s="2"/>
      <c r="R2974" s="2"/>
      <c r="S2974" s="1" t="str">
        <f t="shared" si="140"/>
        <v/>
      </c>
      <c r="T2974" s="1" t="str">
        <f>IF(OR($C2974="",$D2974&lt;&gt;"Gelir",$L2974=""),"",IFERROR(INDEX(MUSTERILER!$B$7:$B$156,MATCH($S2974,MUSTERILER!$T$7:$T$156,0)),""))</f>
        <v/>
      </c>
      <c r="U2974" s="1" t="str">
        <f>IF($T2974="","",$T2974&amp;"|"&amp;COUNTIFS($T$7:$T2974,$T2974))</f>
        <v/>
      </c>
      <c r="V2974" s="1">
        <f t="shared" si="141"/>
        <v>0</v>
      </c>
      <c r="W2974" s="1" t="str">
        <f t="shared" si="142"/>
        <v/>
      </c>
      <c r="X2974" s="1"/>
      <c r="Y2974" s="1"/>
      <c r="Z2974" s="1"/>
      <c r="AA2974" s="1"/>
      <c r="AB2974" s="1"/>
      <c r="AC2974" s="1"/>
      <c r="AD2974" s="1">
        <f>IF($C2974="",0,SUMPRODUCT((AY_SONU!$O$7:$O$42="Evet")*(AY_SONU!$B$7:$B$42=DATE(YEAR($C2974),MONTH($C2974),1))))</f>
        <v>0</v>
      </c>
      <c r="AE2974" s="1" t="str">
        <f>IF($E2974="","",$E2974&amp;"|"&amp;COUNTIFS($E$7:$E2974,$E2974))</f>
        <v/>
      </c>
    </row>
    <row r="2975" spans="1:31" ht="18" customHeight="1" x14ac:dyDescent="0.3">
      <c r="A2975" s="2"/>
      <c r="B2975" s="65" t="str">
        <f>IF($C2975="","","GG"&amp;TEXT(ROW()-6,"00000"))</f>
        <v/>
      </c>
      <c r="C2975" s="66"/>
      <c r="D2975" s="60"/>
      <c r="E2975" s="61"/>
      <c r="F2975" s="61"/>
      <c r="G2975" s="67"/>
      <c r="H2975" s="60"/>
      <c r="I2975" s="60"/>
      <c r="J2975" s="61"/>
      <c r="K2975" s="61"/>
      <c r="L2975" s="60"/>
      <c r="M2975" s="74" t="str">
        <f>IF($C2975="","",IF($D2975="Gider",$E2975,IF($L2975&lt;&gt;"",$L2975,$H2975)))</f>
        <v/>
      </c>
      <c r="N2975" s="74" t="str">
        <f>IF($C2975="","",IF($D2975="Gider",$H2975,$E2975))</f>
        <v/>
      </c>
      <c r="O2975" s="73" t="str">
        <f>IF($C2975="","",DATE(YEAR($C2975),MONTH($C2975),1))</f>
        <v/>
      </c>
      <c r="P2975" s="65" t="str">
        <f ca="1">IF($C2975="","",IF(AND($D2975="Gelir",$L2975&lt;&gt;"",$T2975=""),"TANIMSIZ BORÇLU",IF($T2975&lt;&gt;"",IF(OR($E2975="",$G2975&lt;=0),"EKSİK",IF($I2975="Evet","TAHAKKUK NAKİT OLAMAZ",IF($C2975&gt;TODAY(),"İLERİ TARİH","TAHAKKUK"))),IF(AND($D2975&lt;&gt;"",$E2975&lt;&gt;"",$G2975&gt;0,$H2975&lt;&gt;"",$I2975&lt;&gt;""),IF($C2975&gt;TODAY(),"İLERİ TARİH",IF(COUNTIF($W$7:$W$3001,$W2975)&gt;1,"MÜKERRER?",IF($AD2975&gt;0,"KAPALI DÖNEM",IF($I2975="Hayır","ÖDENECEK","UYGUN")))),"EKSİK"))))</f>
        <v/>
      </c>
      <c r="Q2975" s="2"/>
      <c r="R2975" s="2"/>
      <c r="S2975" s="1" t="str">
        <f t="shared" si="140"/>
        <v/>
      </c>
      <c r="T2975" s="1" t="str">
        <f>IF(OR($C2975="",$D2975&lt;&gt;"Gelir",$L2975=""),"",IFERROR(INDEX(MUSTERILER!$B$7:$B$156,MATCH($S2975,MUSTERILER!$T$7:$T$156,0)),""))</f>
        <v/>
      </c>
      <c r="U2975" s="1" t="str">
        <f>IF($T2975="","",$T2975&amp;"|"&amp;COUNTIFS($T$7:$T2975,$T2975))</f>
        <v/>
      </c>
      <c r="V2975" s="1">
        <f t="shared" si="141"/>
        <v>0</v>
      </c>
      <c r="W2975" s="1" t="str">
        <f t="shared" si="142"/>
        <v/>
      </c>
      <c r="X2975" s="1"/>
      <c r="Y2975" s="1"/>
      <c r="Z2975" s="1"/>
      <c r="AA2975" s="1"/>
      <c r="AB2975" s="1"/>
      <c r="AC2975" s="1"/>
      <c r="AD2975" s="1">
        <f>IF($C2975="",0,SUMPRODUCT((AY_SONU!$O$7:$O$42="Evet")*(AY_SONU!$B$7:$B$42=DATE(YEAR($C2975),MONTH($C2975),1))))</f>
        <v>0</v>
      </c>
      <c r="AE2975" s="1" t="str">
        <f>IF($E2975="","",$E2975&amp;"|"&amp;COUNTIFS($E$7:$E2975,$E2975))</f>
        <v/>
      </c>
    </row>
    <row r="2976" spans="1:31" ht="18" customHeight="1" x14ac:dyDescent="0.3">
      <c r="A2976" s="2"/>
      <c r="B2976" s="65" t="str">
        <f>IF($C2976="","","GG"&amp;TEXT(ROW()-6,"00000"))</f>
        <v/>
      </c>
      <c r="C2976" s="66"/>
      <c r="D2976" s="60"/>
      <c r="E2976" s="61"/>
      <c r="F2976" s="61"/>
      <c r="G2976" s="67"/>
      <c r="H2976" s="60"/>
      <c r="I2976" s="60"/>
      <c r="J2976" s="61"/>
      <c r="K2976" s="61"/>
      <c r="L2976" s="60"/>
      <c r="M2976" s="74" t="str">
        <f>IF($C2976="","",IF($D2976="Gider",$E2976,IF($L2976&lt;&gt;"",$L2976,$H2976)))</f>
        <v/>
      </c>
      <c r="N2976" s="74" t="str">
        <f>IF($C2976="","",IF($D2976="Gider",$H2976,$E2976))</f>
        <v/>
      </c>
      <c r="O2976" s="73" t="str">
        <f>IF($C2976="","",DATE(YEAR($C2976),MONTH($C2976),1))</f>
        <v/>
      </c>
      <c r="P2976" s="65" t="str">
        <f ca="1">IF($C2976="","",IF(AND($D2976="Gelir",$L2976&lt;&gt;"",$T2976=""),"TANIMSIZ BORÇLU",IF($T2976&lt;&gt;"",IF(OR($E2976="",$G2976&lt;=0),"EKSİK",IF($I2976="Evet","TAHAKKUK NAKİT OLAMAZ",IF($C2976&gt;TODAY(),"İLERİ TARİH","TAHAKKUK"))),IF(AND($D2976&lt;&gt;"",$E2976&lt;&gt;"",$G2976&gt;0,$H2976&lt;&gt;"",$I2976&lt;&gt;""),IF($C2976&gt;TODAY(),"İLERİ TARİH",IF(COUNTIF($W$7:$W$3001,$W2976)&gt;1,"MÜKERRER?",IF($AD2976&gt;0,"KAPALI DÖNEM",IF($I2976="Hayır","ÖDENECEK","UYGUN")))),"EKSİK"))))</f>
        <v/>
      </c>
      <c r="Q2976" s="2"/>
      <c r="R2976" s="2"/>
      <c r="S2976" s="1" t="str">
        <f t="shared" si="140"/>
        <v/>
      </c>
      <c r="T2976" s="1" t="str">
        <f>IF(OR($C2976="",$D2976&lt;&gt;"Gelir",$L2976=""),"",IFERROR(INDEX(MUSTERILER!$B$7:$B$156,MATCH($S2976,MUSTERILER!$T$7:$T$156,0)),""))</f>
        <v/>
      </c>
      <c r="U2976" s="1" t="str">
        <f>IF($T2976="","",$T2976&amp;"|"&amp;COUNTIFS($T$7:$T2976,$T2976))</f>
        <v/>
      </c>
      <c r="V2976" s="1">
        <f t="shared" si="141"/>
        <v>0</v>
      </c>
      <c r="W2976" s="1" t="str">
        <f t="shared" si="142"/>
        <v/>
      </c>
      <c r="X2976" s="1"/>
      <c r="Y2976" s="1"/>
      <c r="Z2976" s="1"/>
      <c r="AA2976" s="1"/>
      <c r="AB2976" s="1"/>
      <c r="AC2976" s="1"/>
      <c r="AD2976" s="1">
        <f>IF($C2976="",0,SUMPRODUCT((AY_SONU!$O$7:$O$42="Evet")*(AY_SONU!$B$7:$B$42=DATE(YEAR($C2976),MONTH($C2976),1))))</f>
        <v>0</v>
      </c>
      <c r="AE2976" s="1" t="str">
        <f>IF($E2976="","",$E2976&amp;"|"&amp;COUNTIFS($E$7:$E2976,$E2976))</f>
        <v/>
      </c>
    </row>
    <row r="2977" spans="1:31" ht="18" customHeight="1" x14ac:dyDescent="0.3">
      <c r="A2977" s="2"/>
      <c r="B2977" s="65" t="str">
        <f>IF($C2977="","","GG"&amp;TEXT(ROW()-6,"00000"))</f>
        <v/>
      </c>
      <c r="C2977" s="66"/>
      <c r="D2977" s="60"/>
      <c r="E2977" s="61"/>
      <c r="F2977" s="61"/>
      <c r="G2977" s="67"/>
      <c r="H2977" s="60"/>
      <c r="I2977" s="60"/>
      <c r="J2977" s="61"/>
      <c r="K2977" s="61"/>
      <c r="L2977" s="60"/>
      <c r="M2977" s="74" t="str">
        <f>IF($C2977="","",IF($D2977="Gider",$E2977,IF($L2977&lt;&gt;"",$L2977,$H2977)))</f>
        <v/>
      </c>
      <c r="N2977" s="74" t="str">
        <f>IF($C2977="","",IF($D2977="Gider",$H2977,$E2977))</f>
        <v/>
      </c>
      <c r="O2977" s="73" t="str">
        <f>IF($C2977="","",DATE(YEAR($C2977),MONTH($C2977),1))</f>
        <v/>
      </c>
      <c r="P2977" s="65" t="str">
        <f ca="1">IF($C2977="","",IF(AND($D2977="Gelir",$L2977&lt;&gt;"",$T2977=""),"TANIMSIZ BORÇLU",IF($T2977&lt;&gt;"",IF(OR($E2977="",$G2977&lt;=0),"EKSİK",IF($I2977="Evet","TAHAKKUK NAKİT OLAMAZ",IF($C2977&gt;TODAY(),"İLERİ TARİH","TAHAKKUK"))),IF(AND($D2977&lt;&gt;"",$E2977&lt;&gt;"",$G2977&gt;0,$H2977&lt;&gt;"",$I2977&lt;&gt;""),IF($C2977&gt;TODAY(),"İLERİ TARİH",IF(COUNTIF($W$7:$W$3001,$W2977)&gt;1,"MÜKERRER?",IF($AD2977&gt;0,"KAPALI DÖNEM",IF($I2977="Hayır","ÖDENECEK","UYGUN")))),"EKSİK"))))</f>
        <v/>
      </c>
      <c r="Q2977" s="2"/>
      <c r="R2977" s="2"/>
      <c r="S2977" s="1" t="str">
        <f t="shared" si="140"/>
        <v/>
      </c>
      <c r="T2977" s="1" t="str">
        <f>IF(OR($C2977="",$D2977&lt;&gt;"Gelir",$L2977=""),"",IFERROR(INDEX(MUSTERILER!$B$7:$B$156,MATCH($S2977,MUSTERILER!$T$7:$T$156,0)),""))</f>
        <v/>
      </c>
      <c r="U2977" s="1" t="str">
        <f>IF($T2977="","",$T2977&amp;"|"&amp;COUNTIFS($T$7:$T2977,$T2977))</f>
        <v/>
      </c>
      <c r="V2977" s="1">
        <f t="shared" si="141"/>
        <v>0</v>
      </c>
      <c r="W2977" s="1" t="str">
        <f t="shared" si="142"/>
        <v/>
      </c>
      <c r="X2977" s="1"/>
      <c r="Y2977" s="1"/>
      <c r="Z2977" s="1"/>
      <c r="AA2977" s="1"/>
      <c r="AB2977" s="1"/>
      <c r="AC2977" s="1"/>
      <c r="AD2977" s="1">
        <f>IF($C2977="",0,SUMPRODUCT((AY_SONU!$O$7:$O$42="Evet")*(AY_SONU!$B$7:$B$42=DATE(YEAR($C2977),MONTH($C2977),1))))</f>
        <v>0</v>
      </c>
      <c r="AE2977" s="1" t="str">
        <f>IF($E2977="","",$E2977&amp;"|"&amp;COUNTIFS($E$7:$E2977,$E2977))</f>
        <v/>
      </c>
    </row>
    <row r="2978" spans="1:31" ht="18" customHeight="1" x14ac:dyDescent="0.3">
      <c r="A2978" s="2"/>
      <c r="B2978" s="65" t="str">
        <f>IF($C2978="","","GG"&amp;TEXT(ROW()-6,"00000"))</f>
        <v/>
      </c>
      <c r="C2978" s="66"/>
      <c r="D2978" s="60"/>
      <c r="E2978" s="61"/>
      <c r="F2978" s="61"/>
      <c r="G2978" s="67"/>
      <c r="H2978" s="60"/>
      <c r="I2978" s="60"/>
      <c r="J2978" s="61"/>
      <c r="K2978" s="61"/>
      <c r="L2978" s="60"/>
      <c r="M2978" s="74" t="str">
        <f>IF($C2978="","",IF($D2978="Gider",$E2978,IF($L2978&lt;&gt;"",$L2978,$H2978)))</f>
        <v/>
      </c>
      <c r="N2978" s="74" t="str">
        <f>IF($C2978="","",IF($D2978="Gider",$H2978,$E2978))</f>
        <v/>
      </c>
      <c r="O2978" s="73" t="str">
        <f>IF($C2978="","",DATE(YEAR($C2978),MONTH($C2978),1))</f>
        <v/>
      </c>
      <c r="P2978" s="65" t="str">
        <f ca="1">IF($C2978="","",IF(AND($D2978="Gelir",$L2978&lt;&gt;"",$T2978=""),"TANIMSIZ BORÇLU",IF($T2978&lt;&gt;"",IF(OR($E2978="",$G2978&lt;=0),"EKSİK",IF($I2978="Evet","TAHAKKUK NAKİT OLAMAZ",IF($C2978&gt;TODAY(),"İLERİ TARİH","TAHAKKUK"))),IF(AND($D2978&lt;&gt;"",$E2978&lt;&gt;"",$G2978&gt;0,$H2978&lt;&gt;"",$I2978&lt;&gt;""),IF($C2978&gt;TODAY(),"İLERİ TARİH",IF(COUNTIF($W$7:$W$3001,$W2978)&gt;1,"MÜKERRER?",IF($AD2978&gt;0,"KAPALI DÖNEM",IF($I2978="Hayır","ÖDENECEK","UYGUN")))),"EKSİK"))))</f>
        <v/>
      </c>
      <c r="Q2978" s="2"/>
      <c r="R2978" s="2"/>
      <c r="S2978" s="1" t="str">
        <f t="shared" si="140"/>
        <v/>
      </c>
      <c r="T2978" s="1" t="str">
        <f>IF(OR($C2978="",$D2978&lt;&gt;"Gelir",$L2978=""),"",IFERROR(INDEX(MUSTERILER!$B$7:$B$156,MATCH($S2978,MUSTERILER!$T$7:$T$156,0)),""))</f>
        <v/>
      </c>
      <c r="U2978" s="1" t="str">
        <f>IF($T2978="","",$T2978&amp;"|"&amp;COUNTIFS($T$7:$T2978,$T2978))</f>
        <v/>
      </c>
      <c r="V2978" s="1">
        <f t="shared" si="141"/>
        <v>0</v>
      </c>
      <c r="W2978" s="1" t="str">
        <f t="shared" si="142"/>
        <v/>
      </c>
      <c r="X2978" s="1"/>
      <c r="Y2978" s="1"/>
      <c r="Z2978" s="1"/>
      <c r="AA2978" s="1"/>
      <c r="AB2978" s="1"/>
      <c r="AC2978" s="1"/>
      <c r="AD2978" s="1">
        <f>IF($C2978="",0,SUMPRODUCT((AY_SONU!$O$7:$O$42="Evet")*(AY_SONU!$B$7:$B$42=DATE(YEAR($C2978),MONTH($C2978),1))))</f>
        <v>0</v>
      </c>
      <c r="AE2978" s="1" t="str">
        <f>IF($E2978="","",$E2978&amp;"|"&amp;COUNTIFS($E$7:$E2978,$E2978))</f>
        <v/>
      </c>
    </row>
    <row r="2979" spans="1:31" ht="18" customHeight="1" x14ac:dyDescent="0.3">
      <c r="A2979" s="2"/>
      <c r="B2979" s="65" t="str">
        <f>IF($C2979="","","GG"&amp;TEXT(ROW()-6,"00000"))</f>
        <v/>
      </c>
      <c r="C2979" s="66"/>
      <c r="D2979" s="60"/>
      <c r="E2979" s="61"/>
      <c r="F2979" s="61"/>
      <c r="G2979" s="67"/>
      <c r="H2979" s="60"/>
      <c r="I2979" s="60"/>
      <c r="J2979" s="61"/>
      <c r="K2979" s="61"/>
      <c r="L2979" s="60"/>
      <c r="M2979" s="74" t="str">
        <f>IF($C2979="","",IF($D2979="Gider",$E2979,IF($L2979&lt;&gt;"",$L2979,$H2979)))</f>
        <v/>
      </c>
      <c r="N2979" s="74" t="str">
        <f>IF($C2979="","",IF($D2979="Gider",$H2979,$E2979))</f>
        <v/>
      </c>
      <c r="O2979" s="73" t="str">
        <f>IF($C2979="","",DATE(YEAR($C2979),MONTH($C2979),1))</f>
        <v/>
      </c>
      <c r="P2979" s="65" t="str">
        <f ca="1">IF($C2979="","",IF(AND($D2979="Gelir",$L2979&lt;&gt;"",$T2979=""),"TANIMSIZ BORÇLU",IF($T2979&lt;&gt;"",IF(OR($E2979="",$G2979&lt;=0),"EKSİK",IF($I2979="Evet","TAHAKKUK NAKİT OLAMAZ",IF($C2979&gt;TODAY(),"İLERİ TARİH","TAHAKKUK"))),IF(AND($D2979&lt;&gt;"",$E2979&lt;&gt;"",$G2979&gt;0,$H2979&lt;&gt;"",$I2979&lt;&gt;""),IF($C2979&gt;TODAY(),"İLERİ TARİH",IF(COUNTIF($W$7:$W$3001,$W2979)&gt;1,"MÜKERRER?",IF($AD2979&gt;0,"KAPALI DÖNEM",IF($I2979="Hayır","ÖDENECEK","UYGUN")))),"EKSİK"))))</f>
        <v/>
      </c>
      <c r="Q2979" s="2"/>
      <c r="R2979" s="2"/>
      <c r="S2979" s="1" t="str">
        <f t="shared" si="140"/>
        <v/>
      </c>
      <c r="T2979" s="1" t="str">
        <f>IF(OR($C2979="",$D2979&lt;&gt;"Gelir",$L2979=""),"",IFERROR(INDEX(MUSTERILER!$B$7:$B$156,MATCH($S2979,MUSTERILER!$T$7:$T$156,0)),""))</f>
        <v/>
      </c>
      <c r="U2979" s="1" t="str">
        <f>IF($T2979="","",$T2979&amp;"|"&amp;COUNTIFS($T$7:$T2979,$T2979))</f>
        <v/>
      </c>
      <c r="V2979" s="1">
        <f t="shared" si="141"/>
        <v>0</v>
      </c>
      <c r="W2979" s="1" t="str">
        <f t="shared" si="142"/>
        <v/>
      </c>
      <c r="X2979" s="1"/>
      <c r="Y2979" s="1"/>
      <c r="Z2979" s="1"/>
      <c r="AA2979" s="1"/>
      <c r="AB2979" s="1"/>
      <c r="AC2979" s="1"/>
      <c r="AD2979" s="1">
        <f>IF($C2979="",0,SUMPRODUCT((AY_SONU!$O$7:$O$42="Evet")*(AY_SONU!$B$7:$B$42=DATE(YEAR($C2979),MONTH($C2979),1))))</f>
        <v>0</v>
      </c>
      <c r="AE2979" s="1" t="str">
        <f>IF($E2979="","",$E2979&amp;"|"&amp;COUNTIFS($E$7:$E2979,$E2979))</f>
        <v/>
      </c>
    </row>
    <row r="2980" spans="1:31" ht="18" customHeight="1" x14ac:dyDescent="0.3">
      <c r="A2980" s="2"/>
      <c r="B2980" s="65" t="str">
        <f>IF($C2980="","","GG"&amp;TEXT(ROW()-6,"00000"))</f>
        <v/>
      </c>
      <c r="C2980" s="66"/>
      <c r="D2980" s="60"/>
      <c r="E2980" s="61"/>
      <c r="F2980" s="61"/>
      <c r="G2980" s="67"/>
      <c r="H2980" s="60"/>
      <c r="I2980" s="60"/>
      <c r="J2980" s="61"/>
      <c r="K2980" s="61"/>
      <c r="L2980" s="60"/>
      <c r="M2980" s="74" t="str">
        <f>IF($C2980="","",IF($D2980="Gider",$E2980,IF($L2980&lt;&gt;"",$L2980,$H2980)))</f>
        <v/>
      </c>
      <c r="N2980" s="74" t="str">
        <f>IF($C2980="","",IF($D2980="Gider",$H2980,$E2980))</f>
        <v/>
      </c>
      <c r="O2980" s="73" t="str">
        <f>IF($C2980="","",DATE(YEAR($C2980),MONTH($C2980),1))</f>
        <v/>
      </c>
      <c r="P2980" s="65" t="str">
        <f ca="1">IF($C2980="","",IF(AND($D2980="Gelir",$L2980&lt;&gt;"",$T2980=""),"TANIMSIZ BORÇLU",IF($T2980&lt;&gt;"",IF(OR($E2980="",$G2980&lt;=0),"EKSİK",IF($I2980="Evet","TAHAKKUK NAKİT OLAMAZ",IF($C2980&gt;TODAY(),"İLERİ TARİH","TAHAKKUK"))),IF(AND($D2980&lt;&gt;"",$E2980&lt;&gt;"",$G2980&gt;0,$H2980&lt;&gt;"",$I2980&lt;&gt;""),IF($C2980&gt;TODAY(),"İLERİ TARİH",IF(COUNTIF($W$7:$W$3001,$W2980)&gt;1,"MÜKERRER?",IF($AD2980&gt;0,"KAPALI DÖNEM",IF($I2980="Hayır","ÖDENECEK","UYGUN")))),"EKSİK"))))</f>
        <v/>
      </c>
      <c r="Q2980" s="2"/>
      <c r="R2980" s="2"/>
      <c r="S2980" s="1" t="str">
        <f t="shared" si="140"/>
        <v/>
      </c>
      <c r="T2980" s="1" t="str">
        <f>IF(OR($C2980="",$D2980&lt;&gt;"Gelir",$L2980=""),"",IFERROR(INDEX(MUSTERILER!$B$7:$B$156,MATCH($S2980,MUSTERILER!$T$7:$T$156,0)),""))</f>
        <v/>
      </c>
      <c r="U2980" s="1" t="str">
        <f>IF($T2980="","",$T2980&amp;"|"&amp;COUNTIFS($T$7:$T2980,$T2980))</f>
        <v/>
      </c>
      <c r="V2980" s="1">
        <f t="shared" si="141"/>
        <v>0</v>
      </c>
      <c r="W2980" s="1" t="str">
        <f t="shared" si="142"/>
        <v/>
      </c>
      <c r="X2980" s="1"/>
      <c r="Y2980" s="1"/>
      <c r="Z2980" s="1"/>
      <c r="AA2980" s="1"/>
      <c r="AB2980" s="1"/>
      <c r="AC2980" s="1"/>
      <c r="AD2980" s="1">
        <f>IF($C2980="",0,SUMPRODUCT((AY_SONU!$O$7:$O$42="Evet")*(AY_SONU!$B$7:$B$42=DATE(YEAR($C2980),MONTH($C2980),1))))</f>
        <v>0</v>
      </c>
      <c r="AE2980" s="1" t="str">
        <f>IF($E2980="","",$E2980&amp;"|"&amp;COUNTIFS($E$7:$E2980,$E2980))</f>
        <v/>
      </c>
    </row>
    <row r="2981" spans="1:31" ht="18" customHeight="1" x14ac:dyDescent="0.3">
      <c r="A2981" s="2"/>
      <c r="B2981" s="65" t="str">
        <f>IF($C2981="","","GG"&amp;TEXT(ROW()-6,"00000"))</f>
        <v/>
      </c>
      <c r="C2981" s="66"/>
      <c r="D2981" s="60"/>
      <c r="E2981" s="61"/>
      <c r="F2981" s="61"/>
      <c r="G2981" s="67"/>
      <c r="H2981" s="60"/>
      <c r="I2981" s="60"/>
      <c r="J2981" s="61"/>
      <c r="K2981" s="61"/>
      <c r="L2981" s="60"/>
      <c r="M2981" s="74" t="str">
        <f>IF($C2981="","",IF($D2981="Gider",$E2981,IF($L2981&lt;&gt;"",$L2981,$H2981)))</f>
        <v/>
      </c>
      <c r="N2981" s="74" t="str">
        <f>IF($C2981="","",IF($D2981="Gider",$H2981,$E2981))</f>
        <v/>
      </c>
      <c r="O2981" s="73" t="str">
        <f>IF($C2981="","",DATE(YEAR($C2981),MONTH($C2981),1))</f>
        <v/>
      </c>
      <c r="P2981" s="65" t="str">
        <f ca="1">IF($C2981="","",IF(AND($D2981="Gelir",$L2981&lt;&gt;"",$T2981=""),"TANIMSIZ BORÇLU",IF($T2981&lt;&gt;"",IF(OR($E2981="",$G2981&lt;=0),"EKSİK",IF($I2981="Evet","TAHAKKUK NAKİT OLAMAZ",IF($C2981&gt;TODAY(),"İLERİ TARİH","TAHAKKUK"))),IF(AND($D2981&lt;&gt;"",$E2981&lt;&gt;"",$G2981&gt;0,$H2981&lt;&gt;"",$I2981&lt;&gt;""),IF($C2981&gt;TODAY(),"İLERİ TARİH",IF(COUNTIF($W$7:$W$3001,$W2981)&gt;1,"MÜKERRER?",IF($AD2981&gt;0,"KAPALI DÖNEM",IF($I2981="Hayır","ÖDENECEK","UYGUN")))),"EKSİK"))))</f>
        <v/>
      </c>
      <c r="Q2981" s="2"/>
      <c r="R2981" s="2"/>
      <c r="S2981" s="1" t="str">
        <f t="shared" si="140"/>
        <v/>
      </c>
      <c r="T2981" s="1" t="str">
        <f>IF(OR($C2981="",$D2981&lt;&gt;"Gelir",$L2981=""),"",IFERROR(INDEX(MUSTERILER!$B$7:$B$156,MATCH($S2981,MUSTERILER!$T$7:$T$156,0)),""))</f>
        <v/>
      </c>
      <c r="U2981" s="1" t="str">
        <f>IF($T2981="","",$T2981&amp;"|"&amp;COUNTIFS($T$7:$T2981,$T2981))</f>
        <v/>
      </c>
      <c r="V2981" s="1">
        <f t="shared" si="141"/>
        <v>0</v>
      </c>
      <c r="W2981" s="1" t="str">
        <f t="shared" si="142"/>
        <v/>
      </c>
      <c r="X2981" s="1"/>
      <c r="Y2981" s="1"/>
      <c r="Z2981" s="1"/>
      <c r="AA2981" s="1"/>
      <c r="AB2981" s="1"/>
      <c r="AC2981" s="1"/>
      <c r="AD2981" s="1">
        <f>IF($C2981="",0,SUMPRODUCT((AY_SONU!$O$7:$O$42="Evet")*(AY_SONU!$B$7:$B$42=DATE(YEAR($C2981),MONTH($C2981),1))))</f>
        <v>0</v>
      </c>
      <c r="AE2981" s="1" t="str">
        <f>IF($E2981="","",$E2981&amp;"|"&amp;COUNTIFS($E$7:$E2981,$E2981))</f>
        <v/>
      </c>
    </row>
    <row r="2982" spans="1:31" ht="18" customHeight="1" x14ac:dyDescent="0.3">
      <c r="A2982" s="2"/>
      <c r="B2982" s="65" t="str">
        <f>IF($C2982="","","GG"&amp;TEXT(ROW()-6,"00000"))</f>
        <v/>
      </c>
      <c r="C2982" s="66"/>
      <c r="D2982" s="60"/>
      <c r="E2982" s="61"/>
      <c r="F2982" s="61"/>
      <c r="G2982" s="67"/>
      <c r="H2982" s="60"/>
      <c r="I2982" s="60"/>
      <c r="J2982" s="61"/>
      <c r="K2982" s="61"/>
      <c r="L2982" s="60"/>
      <c r="M2982" s="74" t="str">
        <f>IF($C2982="","",IF($D2982="Gider",$E2982,IF($L2982&lt;&gt;"",$L2982,$H2982)))</f>
        <v/>
      </c>
      <c r="N2982" s="74" t="str">
        <f>IF($C2982="","",IF($D2982="Gider",$H2982,$E2982))</f>
        <v/>
      </c>
      <c r="O2982" s="73" t="str">
        <f>IF($C2982="","",DATE(YEAR($C2982),MONTH($C2982),1))</f>
        <v/>
      </c>
      <c r="P2982" s="65" t="str">
        <f ca="1">IF($C2982="","",IF(AND($D2982="Gelir",$L2982&lt;&gt;"",$T2982=""),"TANIMSIZ BORÇLU",IF($T2982&lt;&gt;"",IF(OR($E2982="",$G2982&lt;=0),"EKSİK",IF($I2982="Evet","TAHAKKUK NAKİT OLAMAZ",IF($C2982&gt;TODAY(),"İLERİ TARİH","TAHAKKUK"))),IF(AND($D2982&lt;&gt;"",$E2982&lt;&gt;"",$G2982&gt;0,$H2982&lt;&gt;"",$I2982&lt;&gt;""),IF($C2982&gt;TODAY(),"İLERİ TARİH",IF(COUNTIF($W$7:$W$3001,$W2982)&gt;1,"MÜKERRER?",IF($AD2982&gt;0,"KAPALI DÖNEM",IF($I2982="Hayır","ÖDENECEK","UYGUN")))),"EKSİK"))))</f>
        <v/>
      </c>
      <c r="Q2982" s="2"/>
      <c r="R2982" s="2"/>
      <c r="S2982" s="1" t="str">
        <f t="shared" si="140"/>
        <v/>
      </c>
      <c r="T2982" s="1" t="str">
        <f>IF(OR($C2982="",$D2982&lt;&gt;"Gelir",$L2982=""),"",IFERROR(INDEX(MUSTERILER!$B$7:$B$156,MATCH($S2982,MUSTERILER!$T$7:$T$156,0)),""))</f>
        <v/>
      </c>
      <c r="U2982" s="1" t="str">
        <f>IF($T2982="","",$T2982&amp;"|"&amp;COUNTIFS($T$7:$T2982,$T2982))</f>
        <v/>
      </c>
      <c r="V2982" s="1">
        <f t="shared" si="141"/>
        <v>0</v>
      </c>
      <c r="W2982" s="1" t="str">
        <f t="shared" si="142"/>
        <v/>
      </c>
      <c r="X2982" s="1"/>
      <c r="Y2982" s="1"/>
      <c r="Z2982" s="1"/>
      <c r="AA2982" s="1"/>
      <c r="AB2982" s="1"/>
      <c r="AC2982" s="1"/>
      <c r="AD2982" s="1">
        <f>IF($C2982="",0,SUMPRODUCT((AY_SONU!$O$7:$O$42="Evet")*(AY_SONU!$B$7:$B$42=DATE(YEAR($C2982),MONTH($C2982),1))))</f>
        <v>0</v>
      </c>
      <c r="AE2982" s="1" t="str">
        <f>IF($E2982="","",$E2982&amp;"|"&amp;COUNTIFS($E$7:$E2982,$E2982))</f>
        <v/>
      </c>
    </row>
    <row r="2983" spans="1:31" ht="18" customHeight="1" x14ac:dyDescent="0.3">
      <c r="A2983" s="2"/>
      <c r="B2983" s="65" t="str">
        <f>IF($C2983="","","GG"&amp;TEXT(ROW()-6,"00000"))</f>
        <v/>
      </c>
      <c r="C2983" s="66"/>
      <c r="D2983" s="60"/>
      <c r="E2983" s="61"/>
      <c r="F2983" s="61"/>
      <c r="G2983" s="67"/>
      <c r="H2983" s="60"/>
      <c r="I2983" s="60"/>
      <c r="J2983" s="61"/>
      <c r="K2983" s="61"/>
      <c r="L2983" s="60"/>
      <c r="M2983" s="74" t="str">
        <f>IF($C2983="","",IF($D2983="Gider",$E2983,IF($L2983&lt;&gt;"",$L2983,$H2983)))</f>
        <v/>
      </c>
      <c r="N2983" s="74" t="str">
        <f>IF($C2983="","",IF($D2983="Gider",$H2983,$E2983))</f>
        <v/>
      </c>
      <c r="O2983" s="73" t="str">
        <f>IF($C2983="","",DATE(YEAR($C2983),MONTH($C2983),1))</f>
        <v/>
      </c>
      <c r="P2983" s="65" t="str">
        <f ca="1">IF($C2983="","",IF(AND($D2983="Gelir",$L2983&lt;&gt;"",$T2983=""),"TANIMSIZ BORÇLU",IF($T2983&lt;&gt;"",IF(OR($E2983="",$G2983&lt;=0),"EKSİK",IF($I2983="Evet","TAHAKKUK NAKİT OLAMAZ",IF($C2983&gt;TODAY(),"İLERİ TARİH","TAHAKKUK"))),IF(AND($D2983&lt;&gt;"",$E2983&lt;&gt;"",$G2983&gt;0,$H2983&lt;&gt;"",$I2983&lt;&gt;""),IF($C2983&gt;TODAY(),"İLERİ TARİH",IF(COUNTIF($W$7:$W$3001,$W2983)&gt;1,"MÜKERRER?",IF($AD2983&gt;0,"KAPALI DÖNEM",IF($I2983="Hayır","ÖDENECEK","UYGUN")))),"EKSİK"))))</f>
        <v/>
      </c>
      <c r="Q2983" s="2"/>
      <c r="R2983" s="2"/>
      <c r="S2983" s="1" t="str">
        <f t="shared" si="140"/>
        <v/>
      </c>
      <c r="T2983" s="1" t="str">
        <f>IF(OR($C2983="",$D2983&lt;&gt;"Gelir",$L2983=""),"",IFERROR(INDEX(MUSTERILER!$B$7:$B$156,MATCH($S2983,MUSTERILER!$T$7:$T$156,0)),""))</f>
        <v/>
      </c>
      <c r="U2983" s="1" t="str">
        <f>IF($T2983="","",$T2983&amp;"|"&amp;COUNTIFS($T$7:$T2983,$T2983))</f>
        <v/>
      </c>
      <c r="V2983" s="1">
        <f t="shared" si="141"/>
        <v>0</v>
      </c>
      <c r="W2983" s="1" t="str">
        <f t="shared" si="142"/>
        <v/>
      </c>
      <c r="X2983" s="1"/>
      <c r="Y2983" s="1"/>
      <c r="Z2983" s="1"/>
      <c r="AA2983" s="1"/>
      <c r="AB2983" s="1"/>
      <c r="AC2983" s="1"/>
      <c r="AD2983" s="1">
        <f>IF($C2983="",0,SUMPRODUCT((AY_SONU!$O$7:$O$42="Evet")*(AY_SONU!$B$7:$B$42=DATE(YEAR($C2983),MONTH($C2983),1))))</f>
        <v>0</v>
      </c>
      <c r="AE2983" s="1" t="str">
        <f>IF($E2983="","",$E2983&amp;"|"&amp;COUNTIFS($E$7:$E2983,$E2983))</f>
        <v/>
      </c>
    </row>
    <row r="2984" spans="1:31" ht="18" customHeight="1" x14ac:dyDescent="0.3">
      <c r="A2984" s="2"/>
      <c r="B2984" s="65" t="str">
        <f>IF($C2984="","","GG"&amp;TEXT(ROW()-6,"00000"))</f>
        <v/>
      </c>
      <c r="C2984" s="66"/>
      <c r="D2984" s="60"/>
      <c r="E2984" s="61"/>
      <c r="F2984" s="61"/>
      <c r="G2984" s="67"/>
      <c r="H2984" s="60"/>
      <c r="I2984" s="60"/>
      <c r="J2984" s="61"/>
      <c r="K2984" s="61"/>
      <c r="L2984" s="60"/>
      <c r="M2984" s="74" t="str">
        <f>IF($C2984="","",IF($D2984="Gider",$E2984,IF($L2984&lt;&gt;"",$L2984,$H2984)))</f>
        <v/>
      </c>
      <c r="N2984" s="74" t="str">
        <f>IF($C2984="","",IF($D2984="Gider",$H2984,$E2984))</f>
        <v/>
      </c>
      <c r="O2984" s="73" t="str">
        <f>IF($C2984="","",DATE(YEAR($C2984),MONTH($C2984),1))</f>
        <v/>
      </c>
      <c r="P2984" s="65" t="str">
        <f ca="1">IF($C2984="","",IF(AND($D2984="Gelir",$L2984&lt;&gt;"",$T2984=""),"TANIMSIZ BORÇLU",IF($T2984&lt;&gt;"",IF(OR($E2984="",$G2984&lt;=0),"EKSİK",IF($I2984="Evet","TAHAKKUK NAKİT OLAMAZ",IF($C2984&gt;TODAY(),"İLERİ TARİH","TAHAKKUK"))),IF(AND($D2984&lt;&gt;"",$E2984&lt;&gt;"",$G2984&gt;0,$H2984&lt;&gt;"",$I2984&lt;&gt;""),IF($C2984&gt;TODAY(),"İLERİ TARİH",IF(COUNTIF($W$7:$W$3001,$W2984)&gt;1,"MÜKERRER?",IF($AD2984&gt;0,"KAPALI DÖNEM",IF($I2984="Hayır","ÖDENECEK","UYGUN")))),"EKSİK"))))</f>
        <v/>
      </c>
      <c r="Q2984" s="2"/>
      <c r="R2984" s="2"/>
      <c r="S2984" s="1" t="str">
        <f t="shared" si="140"/>
        <v/>
      </c>
      <c r="T2984" s="1" t="str">
        <f>IF(OR($C2984="",$D2984&lt;&gt;"Gelir",$L2984=""),"",IFERROR(INDEX(MUSTERILER!$B$7:$B$156,MATCH($S2984,MUSTERILER!$T$7:$T$156,0)),""))</f>
        <v/>
      </c>
      <c r="U2984" s="1" t="str">
        <f>IF($T2984="","",$T2984&amp;"|"&amp;COUNTIFS($T$7:$T2984,$T2984))</f>
        <v/>
      </c>
      <c r="V2984" s="1">
        <f t="shared" si="141"/>
        <v>0</v>
      </c>
      <c r="W2984" s="1" t="str">
        <f t="shared" si="142"/>
        <v/>
      </c>
      <c r="X2984" s="1"/>
      <c r="Y2984" s="1"/>
      <c r="Z2984" s="1"/>
      <c r="AA2984" s="1"/>
      <c r="AB2984" s="1"/>
      <c r="AC2984" s="1"/>
      <c r="AD2984" s="1">
        <f>IF($C2984="",0,SUMPRODUCT((AY_SONU!$O$7:$O$42="Evet")*(AY_SONU!$B$7:$B$42=DATE(YEAR($C2984),MONTH($C2984),1))))</f>
        <v>0</v>
      </c>
      <c r="AE2984" s="1" t="str">
        <f>IF($E2984="","",$E2984&amp;"|"&amp;COUNTIFS($E$7:$E2984,$E2984))</f>
        <v/>
      </c>
    </row>
    <row r="2985" spans="1:31" ht="18" customHeight="1" x14ac:dyDescent="0.3">
      <c r="A2985" s="2"/>
      <c r="B2985" s="65" t="str">
        <f>IF($C2985="","","GG"&amp;TEXT(ROW()-6,"00000"))</f>
        <v/>
      </c>
      <c r="C2985" s="66"/>
      <c r="D2985" s="60"/>
      <c r="E2985" s="61"/>
      <c r="F2985" s="61"/>
      <c r="G2985" s="67"/>
      <c r="H2985" s="60"/>
      <c r="I2985" s="60"/>
      <c r="J2985" s="61"/>
      <c r="K2985" s="61"/>
      <c r="L2985" s="60"/>
      <c r="M2985" s="74" t="str">
        <f>IF($C2985="","",IF($D2985="Gider",$E2985,IF($L2985&lt;&gt;"",$L2985,$H2985)))</f>
        <v/>
      </c>
      <c r="N2985" s="74" t="str">
        <f>IF($C2985="","",IF($D2985="Gider",$H2985,$E2985))</f>
        <v/>
      </c>
      <c r="O2985" s="73" t="str">
        <f>IF($C2985="","",DATE(YEAR($C2985),MONTH($C2985),1))</f>
        <v/>
      </c>
      <c r="P2985" s="65" t="str">
        <f ca="1">IF($C2985="","",IF(AND($D2985="Gelir",$L2985&lt;&gt;"",$T2985=""),"TANIMSIZ BORÇLU",IF($T2985&lt;&gt;"",IF(OR($E2985="",$G2985&lt;=0),"EKSİK",IF($I2985="Evet","TAHAKKUK NAKİT OLAMAZ",IF($C2985&gt;TODAY(),"İLERİ TARİH","TAHAKKUK"))),IF(AND($D2985&lt;&gt;"",$E2985&lt;&gt;"",$G2985&gt;0,$H2985&lt;&gt;"",$I2985&lt;&gt;""),IF($C2985&gt;TODAY(),"İLERİ TARİH",IF(COUNTIF($W$7:$W$3001,$W2985)&gt;1,"MÜKERRER?",IF($AD2985&gt;0,"KAPALI DÖNEM",IF($I2985="Hayır","ÖDENECEK","UYGUN")))),"EKSİK"))))</f>
        <v/>
      </c>
      <c r="Q2985" s="2"/>
      <c r="R2985" s="2"/>
      <c r="S2985" s="1" t="str">
        <f t="shared" si="140"/>
        <v/>
      </c>
      <c r="T2985" s="1" t="str">
        <f>IF(OR($C2985="",$D2985&lt;&gt;"Gelir",$L2985=""),"",IFERROR(INDEX(MUSTERILER!$B$7:$B$156,MATCH($S2985,MUSTERILER!$T$7:$T$156,0)),""))</f>
        <v/>
      </c>
      <c r="U2985" s="1" t="str">
        <f>IF($T2985="","",$T2985&amp;"|"&amp;COUNTIFS($T$7:$T2985,$T2985))</f>
        <v/>
      </c>
      <c r="V2985" s="1">
        <f t="shared" si="141"/>
        <v>0</v>
      </c>
      <c r="W2985" s="1" t="str">
        <f t="shared" si="142"/>
        <v/>
      </c>
      <c r="X2985" s="1"/>
      <c r="Y2985" s="1"/>
      <c r="Z2985" s="1"/>
      <c r="AA2985" s="1"/>
      <c r="AB2985" s="1"/>
      <c r="AC2985" s="1"/>
      <c r="AD2985" s="1">
        <f>IF($C2985="",0,SUMPRODUCT((AY_SONU!$O$7:$O$42="Evet")*(AY_SONU!$B$7:$B$42=DATE(YEAR($C2985),MONTH($C2985),1))))</f>
        <v>0</v>
      </c>
      <c r="AE2985" s="1" t="str">
        <f>IF($E2985="","",$E2985&amp;"|"&amp;COUNTIFS($E$7:$E2985,$E2985))</f>
        <v/>
      </c>
    </row>
    <row r="2986" spans="1:31" ht="18" customHeight="1" x14ac:dyDescent="0.3">
      <c r="A2986" s="2"/>
      <c r="B2986" s="65" t="str">
        <f>IF($C2986="","","GG"&amp;TEXT(ROW()-6,"00000"))</f>
        <v/>
      </c>
      <c r="C2986" s="66"/>
      <c r="D2986" s="60"/>
      <c r="E2986" s="61"/>
      <c r="F2986" s="61"/>
      <c r="G2986" s="67"/>
      <c r="H2986" s="60"/>
      <c r="I2986" s="60"/>
      <c r="J2986" s="61"/>
      <c r="K2986" s="61"/>
      <c r="L2986" s="60"/>
      <c r="M2986" s="74" t="str">
        <f>IF($C2986="","",IF($D2986="Gider",$E2986,IF($L2986&lt;&gt;"",$L2986,$H2986)))</f>
        <v/>
      </c>
      <c r="N2986" s="74" t="str">
        <f>IF($C2986="","",IF($D2986="Gider",$H2986,$E2986))</f>
        <v/>
      </c>
      <c r="O2986" s="73" t="str">
        <f>IF($C2986="","",DATE(YEAR($C2986),MONTH($C2986),1))</f>
        <v/>
      </c>
      <c r="P2986" s="65" t="str">
        <f ca="1">IF($C2986="","",IF(AND($D2986="Gelir",$L2986&lt;&gt;"",$T2986=""),"TANIMSIZ BORÇLU",IF($T2986&lt;&gt;"",IF(OR($E2986="",$G2986&lt;=0),"EKSİK",IF($I2986="Evet","TAHAKKUK NAKİT OLAMAZ",IF($C2986&gt;TODAY(),"İLERİ TARİH","TAHAKKUK"))),IF(AND($D2986&lt;&gt;"",$E2986&lt;&gt;"",$G2986&gt;0,$H2986&lt;&gt;"",$I2986&lt;&gt;""),IF($C2986&gt;TODAY(),"İLERİ TARİH",IF(COUNTIF($W$7:$W$3001,$W2986)&gt;1,"MÜKERRER?",IF($AD2986&gt;0,"KAPALI DÖNEM",IF($I2986="Hayır","ÖDENECEK","UYGUN")))),"EKSİK"))))</f>
        <v/>
      </c>
      <c r="Q2986" s="2"/>
      <c r="R2986" s="2"/>
      <c r="S2986" s="1" t="str">
        <f t="shared" si="140"/>
        <v/>
      </c>
      <c r="T2986" s="1" t="str">
        <f>IF(OR($C2986="",$D2986&lt;&gt;"Gelir",$L2986=""),"",IFERROR(INDEX(MUSTERILER!$B$7:$B$156,MATCH($S2986,MUSTERILER!$T$7:$T$156,0)),""))</f>
        <v/>
      </c>
      <c r="U2986" s="1" t="str">
        <f>IF($T2986="","",$T2986&amp;"|"&amp;COUNTIFS($T$7:$T2986,$T2986))</f>
        <v/>
      </c>
      <c r="V2986" s="1">
        <f t="shared" si="141"/>
        <v>0</v>
      </c>
      <c r="W2986" s="1" t="str">
        <f t="shared" si="142"/>
        <v/>
      </c>
      <c r="X2986" s="1"/>
      <c r="Y2986" s="1"/>
      <c r="Z2986" s="1"/>
      <c r="AA2986" s="1"/>
      <c r="AB2986" s="1"/>
      <c r="AC2986" s="1"/>
      <c r="AD2986" s="1">
        <f>IF($C2986="",0,SUMPRODUCT((AY_SONU!$O$7:$O$42="Evet")*(AY_SONU!$B$7:$B$42=DATE(YEAR($C2986),MONTH($C2986),1))))</f>
        <v>0</v>
      </c>
      <c r="AE2986" s="1" t="str">
        <f>IF($E2986="","",$E2986&amp;"|"&amp;COUNTIFS($E$7:$E2986,$E2986))</f>
        <v/>
      </c>
    </row>
    <row r="2987" spans="1:31" ht="18" customHeight="1" x14ac:dyDescent="0.3">
      <c r="A2987" s="2"/>
      <c r="B2987" s="65" t="str">
        <f>IF($C2987="","","GG"&amp;TEXT(ROW()-6,"00000"))</f>
        <v/>
      </c>
      <c r="C2987" s="66"/>
      <c r="D2987" s="60"/>
      <c r="E2987" s="61"/>
      <c r="F2987" s="61"/>
      <c r="G2987" s="67"/>
      <c r="H2987" s="60"/>
      <c r="I2987" s="60"/>
      <c r="J2987" s="61"/>
      <c r="K2987" s="61"/>
      <c r="L2987" s="60"/>
      <c r="M2987" s="74" t="str">
        <f>IF($C2987="","",IF($D2987="Gider",$E2987,IF($L2987&lt;&gt;"",$L2987,$H2987)))</f>
        <v/>
      </c>
      <c r="N2987" s="74" t="str">
        <f>IF($C2987="","",IF($D2987="Gider",$H2987,$E2987))</f>
        <v/>
      </c>
      <c r="O2987" s="73" t="str">
        <f>IF($C2987="","",DATE(YEAR($C2987),MONTH($C2987),1))</f>
        <v/>
      </c>
      <c r="P2987" s="65" t="str">
        <f ca="1">IF($C2987="","",IF(AND($D2987="Gelir",$L2987&lt;&gt;"",$T2987=""),"TANIMSIZ BORÇLU",IF($T2987&lt;&gt;"",IF(OR($E2987="",$G2987&lt;=0),"EKSİK",IF($I2987="Evet","TAHAKKUK NAKİT OLAMAZ",IF($C2987&gt;TODAY(),"İLERİ TARİH","TAHAKKUK"))),IF(AND($D2987&lt;&gt;"",$E2987&lt;&gt;"",$G2987&gt;0,$H2987&lt;&gt;"",$I2987&lt;&gt;""),IF($C2987&gt;TODAY(),"İLERİ TARİH",IF(COUNTIF($W$7:$W$3001,$W2987)&gt;1,"MÜKERRER?",IF($AD2987&gt;0,"KAPALI DÖNEM",IF($I2987="Hayır","ÖDENECEK","UYGUN")))),"EKSİK"))))</f>
        <v/>
      </c>
      <c r="Q2987" s="2"/>
      <c r="R2987" s="2"/>
      <c r="S2987" s="1" t="str">
        <f t="shared" si="140"/>
        <v/>
      </c>
      <c r="T2987" s="1" t="str">
        <f>IF(OR($C2987="",$D2987&lt;&gt;"Gelir",$L2987=""),"",IFERROR(INDEX(MUSTERILER!$B$7:$B$156,MATCH($S2987,MUSTERILER!$T$7:$T$156,0)),""))</f>
        <v/>
      </c>
      <c r="U2987" s="1" t="str">
        <f>IF($T2987="","",$T2987&amp;"|"&amp;COUNTIFS($T$7:$T2987,$T2987))</f>
        <v/>
      </c>
      <c r="V2987" s="1">
        <f t="shared" si="141"/>
        <v>0</v>
      </c>
      <c r="W2987" s="1" t="str">
        <f t="shared" si="142"/>
        <v/>
      </c>
      <c r="X2987" s="1"/>
      <c r="Y2987" s="1"/>
      <c r="Z2987" s="1"/>
      <c r="AA2987" s="1"/>
      <c r="AB2987" s="1"/>
      <c r="AC2987" s="1"/>
      <c r="AD2987" s="1">
        <f>IF($C2987="",0,SUMPRODUCT((AY_SONU!$O$7:$O$42="Evet")*(AY_SONU!$B$7:$B$42=DATE(YEAR($C2987),MONTH($C2987),1))))</f>
        <v>0</v>
      </c>
      <c r="AE2987" s="1" t="str">
        <f>IF($E2987="","",$E2987&amp;"|"&amp;COUNTIFS($E$7:$E2987,$E2987))</f>
        <v/>
      </c>
    </row>
    <row r="2988" spans="1:31" ht="18" customHeight="1" x14ac:dyDescent="0.3">
      <c r="A2988" s="2"/>
      <c r="B2988" s="65" t="str">
        <f>IF($C2988="","","GG"&amp;TEXT(ROW()-6,"00000"))</f>
        <v/>
      </c>
      <c r="C2988" s="66"/>
      <c r="D2988" s="60"/>
      <c r="E2988" s="61"/>
      <c r="F2988" s="61"/>
      <c r="G2988" s="67"/>
      <c r="H2988" s="60"/>
      <c r="I2988" s="60"/>
      <c r="J2988" s="61"/>
      <c r="K2988" s="61"/>
      <c r="L2988" s="60"/>
      <c r="M2988" s="74" t="str">
        <f>IF($C2988="","",IF($D2988="Gider",$E2988,IF($L2988&lt;&gt;"",$L2988,$H2988)))</f>
        <v/>
      </c>
      <c r="N2988" s="74" t="str">
        <f>IF($C2988="","",IF($D2988="Gider",$H2988,$E2988))</f>
        <v/>
      </c>
      <c r="O2988" s="73" t="str">
        <f>IF($C2988="","",DATE(YEAR($C2988),MONTH($C2988),1))</f>
        <v/>
      </c>
      <c r="P2988" s="65" t="str">
        <f ca="1">IF($C2988="","",IF(AND($D2988="Gelir",$L2988&lt;&gt;"",$T2988=""),"TANIMSIZ BORÇLU",IF($T2988&lt;&gt;"",IF(OR($E2988="",$G2988&lt;=0),"EKSİK",IF($I2988="Evet","TAHAKKUK NAKİT OLAMAZ",IF($C2988&gt;TODAY(),"İLERİ TARİH","TAHAKKUK"))),IF(AND($D2988&lt;&gt;"",$E2988&lt;&gt;"",$G2988&gt;0,$H2988&lt;&gt;"",$I2988&lt;&gt;""),IF($C2988&gt;TODAY(),"İLERİ TARİH",IF(COUNTIF($W$7:$W$3001,$W2988)&gt;1,"MÜKERRER?",IF($AD2988&gt;0,"KAPALI DÖNEM",IF($I2988="Hayır","ÖDENECEK","UYGUN")))),"EKSİK"))))</f>
        <v/>
      </c>
      <c r="Q2988" s="2"/>
      <c r="R2988" s="2"/>
      <c r="S2988" s="1" t="str">
        <f t="shared" si="140"/>
        <v/>
      </c>
      <c r="T2988" s="1" t="str">
        <f>IF(OR($C2988="",$D2988&lt;&gt;"Gelir",$L2988=""),"",IFERROR(INDEX(MUSTERILER!$B$7:$B$156,MATCH($S2988,MUSTERILER!$T$7:$T$156,0)),""))</f>
        <v/>
      </c>
      <c r="U2988" s="1" t="str">
        <f>IF($T2988="","",$T2988&amp;"|"&amp;COUNTIFS($T$7:$T2988,$T2988))</f>
        <v/>
      </c>
      <c r="V2988" s="1">
        <f t="shared" si="141"/>
        <v>0</v>
      </c>
      <c r="W2988" s="1" t="str">
        <f t="shared" si="142"/>
        <v/>
      </c>
      <c r="X2988" s="1"/>
      <c r="Y2988" s="1"/>
      <c r="Z2988" s="1"/>
      <c r="AA2988" s="1"/>
      <c r="AB2988" s="1"/>
      <c r="AC2988" s="1"/>
      <c r="AD2988" s="1">
        <f>IF($C2988="",0,SUMPRODUCT((AY_SONU!$O$7:$O$42="Evet")*(AY_SONU!$B$7:$B$42=DATE(YEAR($C2988),MONTH($C2988),1))))</f>
        <v>0</v>
      </c>
      <c r="AE2988" s="1" t="str">
        <f>IF($E2988="","",$E2988&amp;"|"&amp;COUNTIFS($E$7:$E2988,$E2988))</f>
        <v/>
      </c>
    </row>
    <row r="2989" spans="1:31" ht="18" customHeight="1" x14ac:dyDescent="0.3">
      <c r="A2989" s="2"/>
      <c r="B2989" s="65" t="str">
        <f>IF($C2989="","","GG"&amp;TEXT(ROW()-6,"00000"))</f>
        <v/>
      </c>
      <c r="C2989" s="66"/>
      <c r="D2989" s="60"/>
      <c r="E2989" s="61"/>
      <c r="F2989" s="61"/>
      <c r="G2989" s="67"/>
      <c r="H2989" s="60"/>
      <c r="I2989" s="60"/>
      <c r="J2989" s="61"/>
      <c r="K2989" s="61"/>
      <c r="L2989" s="60"/>
      <c r="M2989" s="74" t="str">
        <f>IF($C2989="","",IF($D2989="Gider",$E2989,IF($L2989&lt;&gt;"",$L2989,$H2989)))</f>
        <v/>
      </c>
      <c r="N2989" s="74" t="str">
        <f>IF($C2989="","",IF($D2989="Gider",$H2989,$E2989))</f>
        <v/>
      </c>
      <c r="O2989" s="73" t="str">
        <f>IF($C2989="","",DATE(YEAR($C2989),MONTH($C2989),1))</f>
        <v/>
      </c>
      <c r="P2989" s="65" t="str">
        <f ca="1">IF($C2989="","",IF(AND($D2989="Gelir",$L2989&lt;&gt;"",$T2989=""),"TANIMSIZ BORÇLU",IF($T2989&lt;&gt;"",IF(OR($E2989="",$G2989&lt;=0),"EKSİK",IF($I2989="Evet","TAHAKKUK NAKİT OLAMAZ",IF($C2989&gt;TODAY(),"İLERİ TARİH","TAHAKKUK"))),IF(AND($D2989&lt;&gt;"",$E2989&lt;&gt;"",$G2989&gt;0,$H2989&lt;&gt;"",$I2989&lt;&gt;""),IF($C2989&gt;TODAY(),"İLERİ TARİH",IF(COUNTIF($W$7:$W$3001,$W2989)&gt;1,"MÜKERRER?",IF($AD2989&gt;0,"KAPALI DÖNEM",IF($I2989="Hayır","ÖDENECEK","UYGUN")))),"EKSİK"))))</f>
        <v/>
      </c>
      <c r="Q2989" s="2"/>
      <c r="R2989" s="2"/>
      <c r="S2989" s="1" t="str">
        <f t="shared" si="140"/>
        <v/>
      </c>
      <c r="T2989" s="1" t="str">
        <f>IF(OR($C2989="",$D2989&lt;&gt;"Gelir",$L2989=""),"",IFERROR(INDEX(MUSTERILER!$B$7:$B$156,MATCH($S2989,MUSTERILER!$T$7:$T$156,0)),""))</f>
        <v/>
      </c>
      <c r="U2989" s="1" t="str">
        <f>IF($T2989="","",$T2989&amp;"|"&amp;COUNTIFS($T$7:$T2989,$T2989))</f>
        <v/>
      </c>
      <c r="V2989" s="1">
        <f t="shared" si="141"/>
        <v>0</v>
      </c>
      <c r="W2989" s="1" t="str">
        <f t="shared" si="142"/>
        <v/>
      </c>
      <c r="X2989" s="1"/>
      <c r="Y2989" s="1"/>
      <c r="Z2989" s="1"/>
      <c r="AA2989" s="1"/>
      <c r="AB2989" s="1"/>
      <c r="AC2989" s="1"/>
      <c r="AD2989" s="1">
        <f>IF($C2989="",0,SUMPRODUCT((AY_SONU!$O$7:$O$42="Evet")*(AY_SONU!$B$7:$B$42=DATE(YEAR($C2989),MONTH($C2989),1))))</f>
        <v>0</v>
      </c>
      <c r="AE2989" s="1" t="str">
        <f>IF($E2989="","",$E2989&amp;"|"&amp;COUNTIFS($E$7:$E2989,$E2989))</f>
        <v/>
      </c>
    </row>
    <row r="2990" spans="1:31" ht="18" customHeight="1" x14ac:dyDescent="0.3">
      <c r="A2990" s="2"/>
      <c r="B2990" s="65" t="str">
        <f>IF($C2990="","","GG"&amp;TEXT(ROW()-6,"00000"))</f>
        <v/>
      </c>
      <c r="C2990" s="66"/>
      <c r="D2990" s="60"/>
      <c r="E2990" s="61"/>
      <c r="F2990" s="61"/>
      <c r="G2990" s="67"/>
      <c r="H2990" s="60"/>
      <c r="I2990" s="60"/>
      <c r="J2990" s="61"/>
      <c r="K2990" s="61"/>
      <c r="L2990" s="60"/>
      <c r="M2990" s="74" t="str">
        <f>IF($C2990="","",IF($D2990="Gider",$E2990,IF($L2990&lt;&gt;"",$L2990,$H2990)))</f>
        <v/>
      </c>
      <c r="N2990" s="74" t="str">
        <f>IF($C2990="","",IF($D2990="Gider",$H2990,$E2990))</f>
        <v/>
      </c>
      <c r="O2990" s="73" t="str">
        <f>IF($C2990="","",DATE(YEAR($C2990),MONTH($C2990),1))</f>
        <v/>
      </c>
      <c r="P2990" s="65" t="str">
        <f ca="1">IF($C2990="","",IF(AND($D2990="Gelir",$L2990&lt;&gt;"",$T2990=""),"TANIMSIZ BORÇLU",IF($T2990&lt;&gt;"",IF(OR($E2990="",$G2990&lt;=0),"EKSİK",IF($I2990="Evet","TAHAKKUK NAKİT OLAMAZ",IF($C2990&gt;TODAY(),"İLERİ TARİH","TAHAKKUK"))),IF(AND($D2990&lt;&gt;"",$E2990&lt;&gt;"",$G2990&gt;0,$H2990&lt;&gt;"",$I2990&lt;&gt;""),IF($C2990&gt;TODAY(),"İLERİ TARİH",IF(COUNTIF($W$7:$W$3001,$W2990)&gt;1,"MÜKERRER?",IF($AD2990&gt;0,"KAPALI DÖNEM",IF($I2990="Hayır","ÖDENECEK","UYGUN")))),"EKSİK"))))</f>
        <v/>
      </c>
      <c r="Q2990" s="2"/>
      <c r="R2990" s="2"/>
      <c r="S2990" s="1" t="str">
        <f t="shared" si="140"/>
        <v/>
      </c>
      <c r="T2990" s="1" t="str">
        <f>IF(OR($C2990="",$D2990&lt;&gt;"Gelir",$L2990=""),"",IFERROR(INDEX(MUSTERILER!$B$7:$B$156,MATCH($S2990,MUSTERILER!$T$7:$T$156,0)),""))</f>
        <v/>
      </c>
      <c r="U2990" s="1" t="str">
        <f>IF($T2990="","",$T2990&amp;"|"&amp;COUNTIFS($T$7:$T2990,$T2990))</f>
        <v/>
      </c>
      <c r="V2990" s="1">
        <f t="shared" si="141"/>
        <v>0</v>
      </c>
      <c r="W2990" s="1" t="str">
        <f t="shared" si="142"/>
        <v/>
      </c>
      <c r="X2990" s="1"/>
      <c r="Y2990" s="1"/>
      <c r="Z2990" s="1"/>
      <c r="AA2990" s="1"/>
      <c r="AB2990" s="1"/>
      <c r="AC2990" s="1"/>
      <c r="AD2990" s="1">
        <f>IF($C2990="",0,SUMPRODUCT((AY_SONU!$O$7:$O$42="Evet")*(AY_SONU!$B$7:$B$42=DATE(YEAR($C2990),MONTH($C2990),1))))</f>
        <v>0</v>
      </c>
      <c r="AE2990" s="1" t="str">
        <f>IF($E2990="","",$E2990&amp;"|"&amp;COUNTIFS($E$7:$E2990,$E2990))</f>
        <v/>
      </c>
    </row>
    <row r="2991" spans="1:31" ht="18" customHeight="1" x14ac:dyDescent="0.3">
      <c r="A2991" s="2"/>
      <c r="B2991" s="65" t="str">
        <f>IF($C2991="","","GG"&amp;TEXT(ROW()-6,"00000"))</f>
        <v/>
      </c>
      <c r="C2991" s="66"/>
      <c r="D2991" s="60"/>
      <c r="E2991" s="61"/>
      <c r="F2991" s="61"/>
      <c r="G2991" s="67"/>
      <c r="H2991" s="60"/>
      <c r="I2991" s="60"/>
      <c r="J2991" s="61"/>
      <c r="K2991" s="61"/>
      <c r="L2991" s="60"/>
      <c r="M2991" s="74" t="str">
        <f>IF($C2991="","",IF($D2991="Gider",$E2991,IF($L2991&lt;&gt;"",$L2991,$H2991)))</f>
        <v/>
      </c>
      <c r="N2991" s="74" t="str">
        <f>IF($C2991="","",IF($D2991="Gider",$H2991,$E2991))</f>
        <v/>
      </c>
      <c r="O2991" s="73" t="str">
        <f>IF($C2991="","",DATE(YEAR($C2991),MONTH($C2991),1))</f>
        <v/>
      </c>
      <c r="P2991" s="65" t="str">
        <f ca="1">IF($C2991="","",IF(AND($D2991="Gelir",$L2991&lt;&gt;"",$T2991=""),"TANIMSIZ BORÇLU",IF($T2991&lt;&gt;"",IF(OR($E2991="",$G2991&lt;=0),"EKSİK",IF($I2991="Evet","TAHAKKUK NAKİT OLAMAZ",IF($C2991&gt;TODAY(),"İLERİ TARİH","TAHAKKUK"))),IF(AND($D2991&lt;&gt;"",$E2991&lt;&gt;"",$G2991&gt;0,$H2991&lt;&gt;"",$I2991&lt;&gt;""),IF($C2991&gt;TODAY(),"İLERİ TARİH",IF(COUNTIF($W$7:$W$3001,$W2991)&gt;1,"MÜKERRER?",IF($AD2991&gt;0,"KAPALI DÖNEM",IF($I2991="Hayır","ÖDENECEK","UYGUN")))),"EKSİK"))))</f>
        <v/>
      </c>
      <c r="Q2991" s="2"/>
      <c r="R2991" s="2"/>
      <c r="S2991" s="1" t="str">
        <f t="shared" si="140"/>
        <v/>
      </c>
      <c r="T2991" s="1" t="str">
        <f>IF(OR($C2991="",$D2991&lt;&gt;"Gelir",$L2991=""),"",IFERROR(INDEX(MUSTERILER!$B$7:$B$156,MATCH($S2991,MUSTERILER!$T$7:$T$156,0)),""))</f>
        <v/>
      </c>
      <c r="U2991" s="1" t="str">
        <f>IF($T2991="","",$T2991&amp;"|"&amp;COUNTIFS($T$7:$T2991,$T2991))</f>
        <v/>
      </c>
      <c r="V2991" s="1">
        <f t="shared" si="141"/>
        <v>0</v>
      </c>
      <c r="W2991" s="1" t="str">
        <f t="shared" si="142"/>
        <v/>
      </c>
      <c r="X2991" s="1"/>
      <c r="Y2991" s="1"/>
      <c r="Z2991" s="1"/>
      <c r="AA2991" s="1"/>
      <c r="AB2991" s="1"/>
      <c r="AC2991" s="1"/>
      <c r="AD2991" s="1">
        <f>IF($C2991="",0,SUMPRODUCT((AY_SONU!$O$7:$O$42="Evet")*(AY_SONU!$B$7:$B$42=DATE(YEAR($C2991),MONTH($C2991),1))))</f>
        <v>0</v>
      </c>
      <c r="AE2991" s="1" t="str">
        <f>IF($E2991="","",$E2991&amp;"|"&amp;COUNTIFS($E$7:$E2991,$E2991))</f>
        <v/>
      </c>
    </row>
    <row r="2992" spans="1:31" ht="18" customHeight="1" x14ac:dyDescent="0.3">
      <c r="A2992" s="2"/>
      <c r="B2992" s="65" t="str">
        <f>IF($C2992="","","GG"&amp;TEXT(ROW()-6,"00000"))</f>
        <v/>
      </c>
      <c r="C2992" s="66"/>
      <c r="D2992" s="60"/>
      <c r="E2992" s="61"/>
      <c r="F2992" s="61"/>
      <c r="G2992" s="67"/>
      <c r="H2992" s="60"/>
      <c r="I2992" s="60"/>
      <c r="J2992" s="61"/>
      <c r="K2992" s="61"/>
      <c r="L2992" s="60"/>
      <c r="M2992" s="74" t="str">
        <f>IF($C2992="","",IF($D2992="Gider",$E2992,IF($L2992&lt;&gt;"",$L2992,$H2992)))</f>
        <v/>
      </c>
      <c r="N2992" s="74" t="str">
        <f>IF($C2992="","",IF($D2992="Gider",$H2992,$E2992))</f>
        <v/>
      </c>
      <c r="O2992" s="73" t="str">
        <f>IF($C2992="","",DATE(YEAR($C2992),MONTH($C2992),1))</f>
        <v/>
      </c>
      <c r="P2992" s="65" t="str">
        <f ca="1">IF($C2992="","",IF(AND($D2992="Gelir",$L2992&lt;&gt;"",$T2992=""),"TANIMSIZ BORÇLU",IF($T2992&lt;&gt;"",IF(OR($E2992="",$G2992&lt;=0),"EKSİK",IF($I2992="Evet","TAHAKKUK NAKİT OLAMAZ",IF($C2992&gt;TODAY(),"İLERİ TARİH","TAHAKKUK"))),IF(AND($D2992&lt;&gt;"",$E2992&lt;&gt;"",$G2992&gt;0,$H2992&lt;&gt;"",$I2992&lt;&gt;""),IF($C2992&gt;TODAY(),"İLERİ TARİH",IF(COUNTIF($W$7:$W$3001,$W2992)&gt;1,"MÜKERRER?",IF($AD2992&gt;0,"KAPALI DÖNEM",IF($I2992="Hayır","ÖDENECEK","UYGUN")))),"EKSİK"))))</f>
        <v/>
      </c>
      <c r="Q2992" s="2"/>
      <c r="R2992" s="2"/>
      <c r="S2992" s="1" t="str">
        <f t="shared" si="140"/>
        <v/>
      </c>
      <c r="T2992" s="1" t="str">
        <f>IF(OR($C2992="",$D2992&lt;&gt;"Gelir",$L2992=""),"",IFERROR(INDEX(MUSTERILER!$B$7:$B$156,MATCH($S2992,MUSTERILER!$T$7:$T$156,0)),""))</f>
        <v/>
      </c>
      <c r="U2992" s="1" t="str">
        <f>IF($T2992="","",$T2992&amp;"|"&amp;COUNTIFS($T$7:$T2992,$T2992))</f>
        <v/>
      </c>
      <c r="V2992" s="1">
        <f t="shared" si="141"/>
        <v>0</v>
      </c>
      <c r="W2992" s="1" t="str">
        <f t="shared" si="142"/>
        <v/>
      </c>
      <c r="X2992" s="1"/>
      <c r="Y2992" s="1"/>
      <c r="Z2992" s="1"/>
      <c r="AA2992" s="1"/>
      <c r="AB2992" s="1"/>
      <c r="AC2992" s="1"/>
      <c r="AD2992" s="1">
        <f>IF($C2992="",0,SUMPRODUCT((AY_SONU!$O$7:$O$42="Evet")*(AY_SONU!$B$7:$B$42=DATE(YEAR($C2992),MONTH($C2992),1))))</f>
        <v>0</v>
      </c>
      <c r="AE2992" s="1" t="str">
        <f>IF($E2992="","",$E2992&amp;"|"&amp;COUNTIFS($E$7:$E2992,$E2992))</f>
        <v/>
      </c>
    </row>
    <row r="2993" spans="1:31" ht="18" customHeight="1" x14ac:dyDescent="0.3">
      <c r="A2993" s="2"/>
      <c r="B2993" s="65" t="str">
        <f>IF($C2993="","","GG"&amp;TEXT(ROW()-6,"00000"))</f>
        <v/>
      </c>
      <c r="C2993" s="66"/>
      <c r="D2993" s="60"/>
      <c r="E2993" s="61"/>
      <c r="F2993" s="61"/>
      <c r="G2993" s="67"/>
      <c r="H2993" s="60"/>
      <c r="I2993" s="60"/>
      <c r="J2993" s="61"/>
      <c r="K2993" s="61"/>
      <c r="L2993" s="60"/>
      <c r="M2993" s="74" t="str">
        <f>IF($C2993="","",IF($D2993="Gider",$E2993,IF($L2993&lt;&gt;"",$L2993,$H2993)))</f>
        <v/>
      </c>
      <c r="N2993" s="74" t="str">
        <f>IF($C2993="","",IF($D2993="Gider",$H2993,$E2993))</f>
        <v/>
      </c>
      <c r="O2993" s="73" t="str">
        <f>IF($C2993="","",DATE(YEAR($C2993),MONTH($C2993),1))</f>
        <v/>
      </c>
      <c r="P2993" s="65" t="str">
        <f ca="1">IF($C2993="","",IF(AND($D2993="Gelir",$L2993&lt;&gt;"",$T2993=""),"TANIMSIZ BORÇLU",IF($T2993&lt;&gt;"",IF(OR($E2993="",$G2993&lt;=0),"EKSİK",IF($I2993="Evet","TAHAKKUK NAKİT OLAMAZ",IF($C2993&gt;TODAY(),"İLERİ TARİH","TAHAKKUK"))),IF(AND($D2993&lt;&gt;"",$E2993&lt;&gt;"",$G2993&gt;0,$H2993&lt;&gt;"",$I2993&lt;&gt;""),IF($C2993&gt;TODAY(),"İLERİ TARİH",IF(COUNTIF($W$7:$W$3001,$W2993)&gt;1,"MÜKERRER?",IF($AD2993&gt;0,"KAPALI DÖNEM",IF($I2993="Hayır","ÖDENECEK","UYGUN")))),"EKSİK"))))</f>
        <v/>
      </c>
      <c r="Q2993" s="2"/>
      <c r="R2993" s="2"/>
      <c r="S2993" s="1" t="str">
        <f t="shared" si="140"/>
        <v/>
      </c>
      <c r="T2993" s="1" t="str">
        <f>IF(OR($C2993="",$D2993&lt;&gt;"Gelir",$L2993=""),"",IFERROR(INDEX(MUSTERILER!$B$7:$B$156,MATCH($S2993,MUSTERILER!$T$7:$T$156,0)),""))</f>
        <v/>
      </c>
      <c r="U2993" s="1" t="str">
        <f>IF($T2993="","",$T2993&amp;"|"&amp;COUNTIFS($T$7:$T2993,$T2993))</f>
        <v/>
      </c>
      <c r="V2993" s="1">
        <f t="shared" si="141"/>
        <v>0</v>
      </c>
      <c r="W2993" s="1" t="str">
        <f t="shared" si="142"/>
        <v/>
      </c>
      <c r="X2993" s="1"/>
      <c r="Y2993" s="1"/>
      <c r="Z2993" s="1"/>
      <c r="AA2993" s="1"/>
      <c r="AB2993" s="1"/>
      <c r="AC2993" s="1"/>
      <c r="AD2993" s="1">
        <f>IF($C2993="",0,SUMPRODUCT((AY_SONU!$O$7:$O$42="Evet")*(AY_SONU!$B$7:$B$42=DATE(YEAR($C2993),MONTH($C2993),1))))</f>
        <v>0</v>
      </c>
      <c r="AE2993" s="1" t="str">
        <f>IF($E2993="","",$E2993&amp;"|"&amp;COUNTIFS($E$7:$E2993,$E2993))</f>
        <v/>
      </c>
    </row>
    <row r="2994" spans="1:31" ht="18" customHeight="1" x14ac:dyDescent="0.3">
      <c r="A2994" s="2"/>
      <c r="B2994" s="65" t="str">
        <f>IF($C2994="","","GG"&amp;TEXT(ROW()-6,"00000"))</f>
        <v/>
      </c>
      <c r="C2994" s="66"/>
      <c r="D2994" s="60"/>
      <c r="E2994" s="61"/>
      <c r="F2994" s="61"/>
      <c r="G2994" s="67"/>
      <c r="H2994" s="60"/>
      <c r="I2994" s="60"/>
      <c r="J2994" s="61"/>
      <c r="K2994" s="61"/>
      <c r="L2994" s="60"/>
      <c r="M2994" s="74" t="str">
        <f>IF($C2994="","",IF($D2994="Gider",$E2994,IF($L2994&lt;&gt;"",$L2994,$H2994)))</f>
        <v/>
      </c>
      <c r="N2994" s="74" t="str">
        <f>IF($C2994="","",IF($D2994="Gider",$H2994,$E2994))</f>
        <v/>
      </c>
      <c r="O2994" s="73" t="str">
        <f>IF($C2994="","",DATE(YEAR($C2994),MONTH($C2994),1))</f>
        <v/>
      </c>
      <c r="P2994" s="65" t="str">
        <f ca="1">IF($C2994="","",IF(AND($D2994="Gelir",$L2994&lt;&gt;"",$T2994=""),"TANIMSIZ BORÇLU",IF($T2994&lt;&gt;"",IF(OR($E2994="",$G2994&lt;=0),"EKSİK",IF($I2994="Evet","TAHAKKUK NAKİT OLAMAZ",IF($C2994&gt;TODAY(),"İLERİ TARİH","TAHAKKUK"))),IF(AND($D2994&lt;&gt;"",$E2994&lt;&gt;"",$G2994&gt;0,$H2994&lt;&gt;"",$I2994&lt;&gt;""),IF($C2994&gt;TODAY(),"İLERİ TARİH",IF(COUNTIF($W$7:$W$3001,$W2994)&gt;1,"MÜKERRER?",IF($AD2994&gt;0,"KAPALI DÖNEM",IF($I2994="Hayır","ÖDENECEK","UYGUN")))),"EKSİK"))))</f>
        <v/>
      </c>
      <c r="Q2994" s="2"/>
      <c r="R2994" s="2"/>
      <c r="S2994" s="1" t="str">
        <f t="shared" si="140"/>
        <v/>
      </c>
      <c r="T2994" s="1" t="str">
        <f>IF(OR($C2994="",$D2994&lt;&gt;"Gelir",$L2994=""),"",IFERROR(INDEX(MUSTERILER!$B$7:$B$156,MATCH($S2994,MUSTERILER!$T$7:$T$156,0)),""))</f>
        <v/>
      </c>
      <c r="U2994" s="1" t="str">
        <f>IF($T2994="","",$T2994&amp;"|"&amp;COUNTIFS($T$7:$T2994,$T2994))</f>
        <v/>
      </c>
      <c r="V2994" s="1">
        <f t="shared" si="141"/>
        <v>0</v>
      </c>
      <c r="W2994" s="1" t="str">
        <f t="shared" si="142"/>
        <v/>
      </c>
      <c r="X2994" s="1"/>
      <c r="Y2994" s="1"/>
      <c r="Z2994" s="1"/>
      <c r="AA2994" s="1"/>
      <c r="AB2994" s="1"/>
      <c r="AC2994" s="1"/>
      <c r="AD2994" s="1">
        <f>IF($C2994="",0,SUMPRODUCT((AY_SONU!$O$7:$O$42="Evet")*(AY_SONU!$B$7:$B$42=DATE(YEAR($C2994),MONTH($C2994),1))))</f>
        <v>0</v>
      </c>
      <c r="AE2994" s="1" t="str">
        <f>IF($E2994="","",$E2994&amp;"|"&amp;COUNTIFS($E$7:$E2994,$E2994))</f>
        <v/>
      </c>
    </row>
    <row r="2995" spans="1:31" ht="18" customHeight="1" x14ac:dyDescent="0.3">
      <c r="A2995" s="2"/>
      <c r="B2995" s="65" t="str">
        <f>IF($C2995="","","GG"&amp;TEXT(ROW()-6,"00000"))</f>
        <v/>
      </c>
      <c r="C2995" s="66"/>
      <c r="D2995" s="60"/>
      <c r="E2995" s="61"/>
      <c r="F2995" s="61"/>
      <c r="G2995" s="67"/>
      <c r="H2995" s="60"/>
      <c r="I2995" s="60"/>
      <c r="J2995" s="61"/>
      <c r="K2995" s="61"/>
      <c r="L2995" s="60"/>
      <c r="M2995" s="74" t="str">
        <f>IF($C2995="","",IF($D2995="Gider",$E2995,IF($L2995&lt;&gt;"",$L2995,$H2995)))</f>
        <v/>
      </c>
      <c r="N2995" s="74" t="str">
        <f>IF($C2995="","",IF($D2995="Gider",$H2995,$E2995))</f>
        <v/>
      </c>
      <c r="O2995" s="73" t="str">
        <f>IF($C2995="","",DATE(YEAR($C2995),MONTH($C2995),1))</f>
        <v/>
      </c>
      <c r="P2995" s="65" t="str">
        <f ca="1">IF($C2995="","",IF(AND($D2995="Gelir",$L2995&lt;&gt;"",$T2995=""),"TANIMSIZ BORÇLU",IF($T2995&lt;&gt;"",IF(OR($E2995="",$G2995&lt;=0),"EKSİK",IF($I2995="Evet","TAHAKKUK NAKİT OLAMAZ",IF($C2995&gt;TODAY(),"İLERİ TARİH","TAHAKKUK"))),IF(AND($D2995&lt;&gt;"",$E2995&lt;&gt;"",$G2995&gt;0,$H2995&lt;&gt;"",$I2995&lt;&gt;""),IF($C2995&gt;TODAY(),"İLERİ TARİH",IF(COUNTIF($W$7:$W$3001,$W2995)&gt;1,"MÜKERRER?",IF($AD2995&gt;0,"KAPALI DÖNEM",IF($I2995="Hayır","ÖDENECEK","UYGUN")))),"EKSİK"))))</f>
        <v/>
      </c>
      <c r="Q2995" s="2"/>
      <c r="R2995" s="2"/>
      <c r="S2995" s="1" t="str">
        <f t="shared" si="140"/>
        <v/>
      </c>
      <c r="T2995" s="1" t="str">
        <f>IF(OR($C2995="",$D2995&lt;&gt;"Gelir",$L2995=""),"",IFERROR(INDEX(MUSTERILER!$B$7:$B$156,MATCH($S2995,MUSTERILER!$T$7:$T$156,0)),""))</f>
        <v/>
      </c>
      <c r="U2995" s="1" t="str">
        <f>IF($T2995="","",$T2995&amp;"|"&amp;COUNTIFS($T$7:$T2995,$T2995))</f>
        <v/>
      </c>
      <c r="V2995" s="1">
        <f t="shared" si="141"/>
        <v>0</v>
      </c>
      <c r="W2995" s="1" t="str">
        <f t="shared" si="142"/>
        <v/>
      </c>
      <c r="X2995" s="1"/>
      <c r="Y2995" s="1"/>
      <c r="Z2995" s="1"/>
      <c r="AA2995" s="1"/>
      <c r="AB2995" s="1"/>
      <c r="AC2995" s="1"/>
      <c r="AD2995" s="1">
        <f>IF($C2995="",0,SUMPRODUCT((AY_SONU!$O$7:$O$42="Evet")*(AY_SONU!$B$7:$B$42=DATE(YEAR($C2995),MONTH($C2995),1))))</f>
        <v>0</v>
      </c>
      <c r="AE2995" s="1" t="str">
        <f>IF($E2995="","",$E2995&amp;"|"&amp;COUNTIFS($E$7:$E2995,$E2995))</f>
        <v/>
      </c>
    </row>
    <row r="2996" spans="1:31" ht="18" customHeight="1" x14ac:dyDescent="0.3">
      <c r="A2996" s="2"/>
      <c r="B2996" s="65" t="str">
        <f>IF($C2996="","","GG"&amp;TEXT(ROW()-6,"00000"))</f>
        <v/>
      </c>
      <c r="C2996" s="66"/>
      <c r="D2996" s="60"/>
      <c r="E2996" s="61"/>
      <c r="F2996" s="61"/>
      <c r="G2996" s="67"/>
      <c r="H2996" s="60"/>
      <c r="I2996" s="60"/>
      <c r="J2996" s="61"/>
      <c r="K2996" s="61"/>
      <c r="L2996" s="60"/>
      <c r="M2996" s="74" t="str">
        <f>IF($C2996="","",IF($D2996="Gider",$E2996,IF($L2996&lt;&gt;"",$L2996,$H2996)))</f>
        <v/>
      </c>
      <c r="N2996" s="74" t="str">
        <f>IF($C2996="","",IF($D2996="Gider",$H2996,$E2996))</f>
        <v/>
      </c>
      <c r="O2996" s="73" t="str">
        <f>IF($C2996="","",DATE(YEAR($C2996),MONTH($C2996),1))</f>
        <v/>
      </c>
      <c r="P2996" s="65" t="str">
        <f ca="1">IF($C2996="","",IF(AND($D2996="Gelir",$L2996&lt;&gt;"",$T2996=""),"TANIMSIZ BORÇLU",IF($T2996&lt;&gt;"",IF(OR($E2996="",$G2996&lt;=0),"EKSİK",IF($I2996="Evet","TAHAKKUK NAKİT OLAMAZ",IF($C2996&gt;TODAY(),"İLERİ TARİH","TAHAKKUK"))),IF(AND($D2996&lt;&gt;"",$E2996&lt;&gt;"",$G2996&gt;0,$H2996&lt;&gt;"",$I2996&lt;&gt;""),IF($C2996&gt;TODAY(),"İLERİ TARİH",IF(COUNTIF($W$7:$W$3001,$W2996)&gt;1,"MÜKERRER?",IF($AD2996&gt;0,"KAPALI DÖNEM",IF($I2996="Hayır","ÖDENECEK","UYGUN")))),"EKSİK"))))</f>
        <v/>
      </c>
      <c r="Q2996" s="2"/>
      <c r="R2996" s="2"/>
      <c r="S2996" s="1" t="str">
        <f t="shared" si="140"/>
        <v/>
      </c>
      <c r="T2996" s="1" t="str">
        <f>IF(OR($C2996="",$D2996&lt;&gt;"Gelir",$L2996=""),"",IFERROR(INDEX(MUSTERILER!$B$7:$B$156,MATCH($S2996,MUSTERILER!$T$7:$T$156,0)),""))</f>
        <v/>
      </c>
      <c r="U2996" s="1" t="str">
        <f>IF($T2996="","",$T2996&amp;"|"&amp;COUNTIFS($T$7:$T2996,$T2996))</f>
        <v/>
      </c>
      <c r="V2996" s="1">
        <f t="shared" si="141"/>
        <v>0</v>
      </c>
      <c r="W2996" s="1" t="str">
        <f t="shared" si="142"/>
        <v/>
      </c>
      <c r="X2996" s="1"/>
      <c r="Y2996" s="1"/>
      <c r="Z2996" s="1"/>
      <c r="AA2996" s="1"/>
      <c r="AB2996" s="1"/>
      <c r="AC2996" s="1"/>
      <c r="AD2996" s="1">
        <f>IF($C2996="",0,SUMPRODUCT((AY_SONU!$O$7:$O$42="Evet")*(AY_SONU!$B$7:$B$42=DATE(YEAR($C2996),MONTH($C2996),1))))</f>
        <v>0</v>
      </c>
      <c r="AE2996" s="1" t="str">
        <f>IF($E2996="","",$E2996&amp;"|"&amp;COUNTIFS($E$7:$E2996,$E2996))</f>
        <v/>
      </c>
    </row>
    <row r="2997" spans="1:31" ht="18" customHeight="1" x14ac:dyDescent="0.3">
      <c r="A2997" s="2"/>
      <c r="B2997" s="65" t="str">
        <f>IF($C2997="","","GG"&amp;TEXT(ROW()-6,"00000"))</f>
        <v/>
      </c>
      <c r="C2997" s="66"/>
      <c r="D2997" s="60"/>
      <c r="E2997" s="61"/>
      <c r="F2997" s="61"/>
      <c r="G2997" s="67"/>
      <c r="H2997" s="60"/>
      <c r="I2997" s="60"/>
      <c r="J2997" s="61"/>
      <c r="K2997" s="61"/>
      <c r="L2997" s="60"/>
      <c r="M2997" s="74" t="str">
        <f>IF($C2997="","",IF($D2997="Gider",$E2997,IF($L2997&lt;&gt;"",$L2997,$H2997)))</f>
        <v/>
      </c>
      <c r="N2997" s="74" t="str">
        <f>IF($C2997="","",IF($D2997="Gider",$H2997,$E2997))</f>
        <v/>
      </c>
      <c r="O2997" s="73" t="str">
        <f>IF($C2997="","",DATE(YEAR($C2997),MONTH($C2997),1))</f>
        <v/>
      </c>
      <c r="P2997" s="65" t="str">
        <f ca="1">IF($C2997="","",IF(AND($D2997="Gelir",$L2997&lt;&gt;"",$T2997=""),"TANIMSIZ BORÇLU",IF($T2997&lt;&gt;"",IF(OR($E2997="",$G2997&lt;=0),"EKSİK",IF($I2997="Evet","TAHAKKUK NAKİT OLAMAZ",IF($C2997&gt;TODAY(),"İLERİ TARİH","TAHAKKUK"))),IF(AND($D2997&lt;&gt;"",$E2997&lt;&gt;"",$G2997&gt;0,$H2997&lt;&gt;"",$I2997&lt;&gt;""),IF($C2997&gt;TODAY(),"İLERİ TARİH",IF(COUNTIF($W$7:$W$3001,$W2997)&gt;1,"MÜKERRER?",IF($AD2997&gt;0,"KAPALI DÖNEM",IF($I2997="Hayır","ÖDENECEK","UYGUN")))),"EKSİK"))))</f>
        <v/>
      </c>
      <c r="Q2997" s="2"/>
      <c r="R2997" s="2"/>
      <c r="S2997" s="1" t="str">
        <f t="shared" si="140"/>
        <v/>
      </c>
      <c r="T2997" s="1" t="str">
        <f>IF(OR($C2997="",$D2997&lt;&gt;"Gelir",$L2997=""),"",IFERROR(INDEX(MUSTERILER!$B$7:$B$156,MATCH($S2997,MUSTERILER!$T$7:$T$156,0)),""))</f>
        <v/>
      </c>
      <c r="U2997" s="1" t="str">
        <f>IF($T2997="","",$T2997&amp;"|"&amp;COUNTIFS($T$7:$T2997,$T2997))</f>
        <v/>
      </c>
      <c r="V2997" s="1">
        <f t="shared" si="141"/>
        <v>0</v>
      </c>
      <c r="W2997" s="1" t="str">
        <f t="shared" si="142"/>
        <v/>
      </c>
      <c r="X2997" s="1"/>
      <c r="Y2997" s="1"/>
      <c r="Z2997" s="1"/>
      <c r="AA2997" s="1"/>
      <c r="AB2997" s="1"/>
      <c r="AC2997" s="1"/>
      <c r="AD2997" s="1">
        <f>IF($C2997="",0,SUMPRODUCT((AY_SONU!$O$7:$O$42="Evet")*(AY_SONU!$B$7:$B$42=DATE(YEAR($C2997),MONTH($C2997),1))))</f>
        <v>0</v>
      </c>
      <c r="AE2997" s="1" t="str">
        <f>IF($E2997="","",$E2997&amp;"|"&amp;COUNTIFS($E$7:$E2997,$E2997))</f>
        <v/>
      </c>
    </row>
    <row r="2998" spans="1:31" ht="18" customHeight="1" x14ac:dyDescent="0.3">
      <c r="A2998" s="2"/>
      <c r="B2998" s="65" t="str">
        <f>IF($C2998="","","GG"&amp;TEXT(ROW()-6,"00000"))</f>
        <v/>
      </c>
      <c r="C2998" s="66"/>
      <c r="D2998" s="60"/>
      <c r="E2998" s="61"/>
      <c r="F2998" s="61"/>
      <c r="G2998" s="67"/>
      <c r="H2998" s="60"/>
      <c r="I2998" s="60"/>
      <c r="J2998" s="61"/>
      <c r="K2998" s="61"/>
      <c r="L2998" s="60"/>
      <c r="M2998" s="74" t="str">
        <f>IF($C2998="","",IF($D2998="Gider",$E2998,IF($L2998&lt;&gt;"",$L2998,$H2998)))</f>
        <v/>
      </c>
      <c r="N2998" s="74" t="str">
        <f>IF($C2998="","",IF($D2998="Gider",$H2998,$E2998))</f>
        <v/>
      </c>
      <c r="O2998" s="73" t="str">
        <f>IF($C2998="","",DATE(YEAR($C2998),MONTH($C2998),1))</f>
        <v/>
      </c>
      <c r="P2998" s="65" t="str">
        <f ca="1">IF($C2998="","",IF(AND($D2998="Gelir",$L2998&lt;&gt;"",$T2998=""),"TANIMSIZ BORÇLU",IF($T2998&lt;&gt;"",IF(OR($E2998="",$G2998&lt;=0),"EKSİK",IF($I2998="Evet","TAHAKKUK NAKİT OLAMAZ",IF($C2998&gt;TODAY(),"İLERİ TARİH","TAHAKKUK"))),IF(AND($D2998&lt;&gt;"",$E2998&lt;&gt;"",$G2998&gt;0,$H2998&lt;&gt;"",$I2998&lt;&gt;""),IF($C2998&gt;TODAY(),"İLERİ TARİH",IF(COUNTIF($W$7:$W$3001,$W2998)&gt;1,"MÜKERRER?",IF($AD2998&gt;0,"KAPALI DÖNEM",IF($I2998="Hayır","ÖDENECEK","UYGUN")))),"EKSİK"))))</f>
        <v/>
      </c>
      <c r="Q2998" s="2"/>
      <c r="R2998" s="2"/>
      <c r="S2998" s="1" t="str">
        <f t="shared" si="140"/>
        <v/>
      </c>
      <c r="T2998" s="1" t="str">
        <f>IF(OR($C2998="",$D2998&lt;&gt;"Gelir",$L2998=""),"",IFERROR(INDEX(MUSTERILER!$B$7:$B$156,MATCH($S2998,MUSTERILER!$T$7:$T$156,0)),""))</f>
        <v/>
      </c>
      <c r="U2998" s="1" t="str">
        <f>IF($T2998="","",$T2998&amp;"|"&amp;COUNTIFS($T$7:$T2998,$T2998))</f>
        <v/>
      </c>
      <c r="V2998" s="1">
        <f t="shared" si="141"/>
        <v>0</v>
      </c>
      <c r="W2998" s="1" t="str">
        <f t="shared" si="142"/>
        <v/>
      </c>
      <c r="X2998" s="1"/>
      <c r="Y2998" s="1"/>
      <c r="Z2998" s="1"/>
      <c r="AA2998" s="1"/>
      <c r="AB2998" s="1"/>
      <c r="AC2998" s="1"/>
      <c r="AD2998" s="1">
        <f>IF($C2998="",0,SUMPRODUCT((AY_SONU!$O$7:$O$42="Evet")*(AY_SONU!$B$7:$B$42=DATE(YEAR($C2998),MONTH($C2998),1))))</f>
        <v>0</v>
      </c>
      <c r="AE2998" s="1" t="str">
        <f>IF($E2998="","",$E2998&amp;"|"&amp;COUNTIFS($E$7:$E2998,$E2998))</f>
        <v/>
      </c>
    </row>
    <row r="2999" spans="1:31" ht="18" customHeight="1" x14ac:dyDescent="0.3">
      <c r="A2999" s="2"/>
      <c r="B2999" s="65" t="str">
        <f>IF($C2999="","","GG"&amp;TEXT(ROW()-6,"00000"))</f>
        <v/>
      </c>
      <c r="C2999" s="66"/>
      <c r="D2999" s="60"/>
      <c r="E2999" s="61"/>
      <c r="F2999" s="61"/>
      <c r="G2999" s="67"/>
      <c r="H2999" s="60"/>
      <c r="I2999" s="60"/>
      <c r="J2999" s="61"/>
      <c r="K2999" s="61"/>
      <c r="L2999" s="60"/>
      <c r="M2999" s="74" t="str">
        <f>IF($C2999="","",IF($D2999="Gider",$E2999,IF($L2999&lt;&gt;"",$L2999,$H2999)))</f>
        <v/>
      </c>
      <c r="N2999" s="74" t="str">
        <f>IF($C2999="","",IF($D2999="Gider",$H2999,$E2999))</f>
        <v/>
      </c>
      <c r="O2999" s="73" t="str">
        <f>IF($C2999="","",DATE(YEAR($C2999),MONTH($C2999),1))</f>
        <v/>
      </c>
      <c r="P2999" s="65" t="str">
        <f ca="1">IF($C2999="","",IF(AND($D2999="Gelir",$L2999&lt;&gt;"",$T2999=""),"TANIMSIZ BORÇLU",IF($T2999&lt;&gt;"",IF(OR($E2999="",$G2999&lt;=0),"EKSİK",IF($I2999="Evet","TAHAKKUK NAKİT OLAMAZ",IF($C2999&gt;TODAY(),"İLERİ TARİH","TAHAKKUK"))),IF(AND($D2999&lt;&gt;"",$E2999&lt;&gt;"",$G2999&gt;0,$H2999&lt;&gt;"",$I2999&lt;&gt;""),IF($C2999&gt;TODAY(),"İLERİ TARİH",IF(COUNTIF($W$7:$W$3001,$W2999)&gt;1,"MÜKERRER?",IF($AD2999&gt;0,"KAPALI DÖNEM",IF($I2999="Hayır","ÖDENECEK","UYGUN")))),"EKSİK"))))</f>
        <v/>
      </c>
      <c r="Q2999" s="2"/>
      <c r="R2999" s="2"/>
      <c r="S2999" s="1" t="str">
        <f t="shared" si="140"/>
        <v/>
      </c>
      <c r="T2999" s="1" t="str">
        <f>IF(OR($C2999="",$D2999&lt;&gt;"Gelir",$L2999=""),"",IFERROR(INDEX(MUSTERILER!$B$7:$B$156,MATCH($S2999,MUSTERILER!$T$7:$T$156,0)),""))</f>
        <v/>
      </c>
      <c r="U2999" s="1" t="str">
        <f>IF($T2999="","",$T2999&amp;"|"&amp;COUNTIFS($T$7:$T2999,$T2999))</f>
        <v/>
      </c>
      <c r="V2999" s="1">
        <f t="shared" si="141"/>
        <v>0</v>
      </c>
      <c r="W2999" s="1" t="str">
        <f t="shared" si="142"/>
        <v/>
      </c>
      <c r="X2999" s="1"/>
      <c r="Y2999" s="1"/>
      <c r="Z2999" s="1"/>
      <c r="AA2999" s="1"/>
      <c r="AB2999" s="1"/>
      <c r="AC2999" s="1"/>
      <c r="AD2999" s="1">
        <f>IF($C2999="",0,SUMPRODUCT((AY_SONU!$O$7:$O$42="Evet")*(AY_SONU!$B$7:$B$42=DATE(YEAR($C2999),MONTH($C2999),1))))</f>
        <v>0</v>
      </c>
      <c r="AE2999" s="1" t="str">
        <f>IF($E2999="","",$E2999&amp;"|"&amp;COUNTIFS($E$7:$E2999,$E2999))</f>
        <v/>
      </c>
    </row>
    <row r="3000" spans="1:31" ht="18" customHeight="1" x14ac:dyDescent="0.3">
      <c r="A3000" s="2"/>
      <c r="B3000" s="65" t="str">
        <f>IF($C3000="","","GG"&amp;TEXT(ROW()-6,"00000"))</f>
        <v/>
      </c>
      <c r="C3000" s="66"/>
      <c r="D3000" s="60"/>
      <c r="E3000" s="61"/>
      <c r="F3000" s="61"/>
      <c r="G3000" s="67"/>
      <c r="H3000" s="60"/>
      <c r="I3000" s="60"/>
      <c r="J3000" s="61"/>
      <c r="K3000" s="61"/>
      <c r="L3000" s="60"/>
      <c r="M3000" s="74" t="str">
        <f>IF($C3000="","",IF($D3000="Gider",$E3000,IF($L3000&lt;&gt;"",$L3000,$H3000)))</f>
        <v/>
      </c>
      <c r="N3000" s="74" t="str">
        <f>IF($C3000="","",IF($D3000="Gider",$H3000,$E3000))</f>
        <v/>
      </c>
      <c r="O3000" s="73" t="str">
        <f>IF($C3000="","",DATE(YEAR($C3000),MONTH($C3000),1))</f>
        <v/>
      </c>
      <c r="P3000" s="65" t="str">
        <f ca="1">IF($C3000="","",IF(AND($D3000="Gelir",$L3000&lt;&gt;"",$T3000=""),"TANIMSIZ BORÇLU",IF($T3000&lt;&gt;"",IF(OR($E3000="",$G3000&lt;=0),"EKSİK",IF($I3000="Evet","TAHAKKUK NAKİT OLAMAZ",IF($C3000&gt;TODAY(),"İLERİ TARİH","TAHAKKUK"))),IF(AND($D3000&lt;&gt;"",$E3000&lt;&gt;"",$G3000&gt;0,$H3000&lt;&gt;"",$I3000&lt;&gt;""),IF($C3000&gt;TODAY(),"İLERİ TARİH",IF(COUNTIF($W$7:$W$3001,$W3000)&gt;1,"MÜKERRER?",IF($AD3000&gt;0,"KAPALI DÖNEM",IF($I3000="Hayır","ÖDENECEK","UYGUN")))),"EKSİK"))))</f>
        <v/>
      </c>
      <c r="Q3000" s="2"/>
      <c r="R3000" s="2"/>
      <c r="S3000" s="1" t="str">
        <f t="shared" si="140"/>
        <v/>
      </c>
      <c r="T3000" s="1" t="str">
        <f>IF(OR($C3000="",$D3000&lt;&gt;"Gelir",$L3000=""),"",IFERROR(INDEX(MUSTERILER!$B$7:$B$156,MATCH($S3000,MUSTERILER!$T$7:$T$156,0)),""))</f>
        <v/>
      </c>
      <c r="U3000" s="1" t="str">
        <f>IF($T3000="","",$T3000&amp;"|"&amp;COUNTIFS($T$7:$T3000,$T3000))</f>
        <v/>
      </c>
      <c r="V3000" s="1">
        <f t="shared" si="141"/>
        <v>0</v>
      </c>
      <c r="W3000" s="1" t="str">
        <f t="shared" si="142"/>
        <v/>
      </c>
      <c r="X3000" s="1"/>
      <c r="Y3000" s="1"/>
      <c r="Z3000" s="1"/>
      <c r="AA3000" s="1"/>
      <c r="AB3000" s="1"/>
      <c r="AC3000" s="1"/>
      <c r="AD3000" s="1">
        <f>IF($C3000="",0,SUMPRODUCT((AY_SONU!$O$7:$O$42="Evet")*(AY_SONU!$B$7:$B$42=DATE(YEAR($C3000),MONTH($C3000),1))))</f>
        <v>0</v>
      </c>
      <c r="AE3000" s="1" t="str">
        <f>IF($E3000="","",$E3000&amp;"|"&amp;COUNTIFS($E$7:$E3000,$E3000))</f>
        <v/>
      </c>
    </row>
    <row r="3001" spans="1:31" ht="18" customHeight="1" x14ac:dyDescent="0.3">
      <c r="A3001" s="2"/>
      <c r="B3001" s="65" t="str">
        <f>IF($C3001="","","GG"&amp;TEXT(ROW()-6,"00000"))</f>
        <v/>
      </c>
      <c r="C3001" s="66"/>
      <c r="D3001" s="60"/>
      <c r="E3001" s="61"/>
      <c r="F3001" s="61"/>
      <c r="G3001" s="67"/>
      <c r="H3001" s="60"/>
      <c r="I3001" s="60"/>
      <c r="J3001" s="61"/>
      <c r="K3001" s="61"/>
      <c r="L3001" s="60"/>
      <c r="M3001" s="74" t="str">
        <f>IF($C3001="","",IF($D3001="Gider",$E3001,IF($L3001&lt;&gt;"",$L3001,$H3001)))</f>
        <v/>
      </c>
      <c r="N3001" s="74" t="str">
        <f>IF($C3001="","",IF($D3001="Gider",$H3001,$E3001))</f>
        <v/>
      </c>
      <c r="O3001" s="73" t="str">
        <f>IF($C3001="","",DATE(YEAR($C3001),MONTH($C3001),1))</f>
        <v/>
      </c>
      <c r="P3001" s="65" t="str">
        <f ca="1">IF($C3001="","",IF(AND($D3001="Gelir",$L3001&lt;&gt;"",$T3001=""),"TANIMSIZ BORÇLU",IF($T3001&lt;&gt;"",IF(OR($E3001="",$G3001&lt;=0),"EKSİK",IF($I3001="Evet","TAHAKKUK NAKİT OLAMAZ",IF($C3001&gt;TODAY(),"İLERİ TARİH","TAHAKKUK"))),IF(AND($D3001&lt;&gt;"",$E3001&lt;&gt;"",$G3001&gt;0,$H3001&lt;&gt;"",$I3001&lt;&gt;""),IF($C3001&gt;TODAY(),"İLERİ TARİH",IF(COUNTIF($W$7:$W$3001,$W3001)&gt;1,"MÜKERRER?",IF($AD3001&gt;0,"KAPALI DÖNEM",IF($I3001="Hayır","ÖDENECEK","UYGUN")))),"EKSİK"))))</f>
        <v/>
      </c>
      <c r="Q3001" s="2"/>
      <c r="R3001" s="2"/>
      <c r="S3001" s="1" t="str">
        <f t="shared" si="140"/>
        <v/>
      </c>
      <c r="T3001" s="1" t="str">
        <f>IF(OR($C3001="",$D3001&lt;&gt;"Gelir",$L3001=""),"",IFERROR(INDEX(MUSTERILER!$B$7:$B$156,MATCH($S3001,MUSTERILER!$T$7:$T$156,0)),""))</f>
        <v/>
      </c>
      <c r="U3001" s="1" t="str">
        <f>IF($T3001="","",$T3001&amp;"|"&amp;COUNTIFS($T$7:$T3001,$T3001))</f>
        <v/>
      </c>
      <c r="V3001" s="1">
        <f t="shared" si="141"/>
        <v>0</v>
      </c>
      <c r="W3001" s="1" t="str">
        <f t="shared" si="142"/>
        <v/>
      </c>
      <c r="X3001" s="1"/>
      <c r="Y3001" s="1"/>
      <c r="Z3001" s="1"/>
      <c r="AA3001" s="1"/>
      <c r="AB3001" s="1"/>
      <c r="AC3001" s="1"/>
      <c r="AD3001" s="1">
        <f>IF($C3001="",0,SUMPRODUCT((AY_SONU!$O$7:$O$42="Evet")*(AY_SONU!$B$7:$B$42=DATE(YEAR($C3001),MONTH($C3001),1))))</f>
        <v>0</v>
      </c>
      <c r="AE3001" s="1" t="str">
        <f>IF($E3001="","",$E3001&amp;"|"&amp;COUNTIFS($E$7:$E3001,$E3001))</f>
        <v/>
      </c>
    </row>
    <row r="3002" spans="1:31" ht="18" customHeight="1" x14ac:dyDescent="0.3">
      <c r="A3002" s="2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2"/>
      <c r="R3002" s="2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</row>
    <row r="3003" spans="1:31" ht="18" customHeight="1" x14ac:dyDescent="0.3">
      <c r="A3003" s="2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2"/>
      <c r="R3003" s="2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</row>
  </sheetData>
  <sheetProtection formatCells="0" formatColumns="0" formatRows="0" sort="0" autoFilter="0"/>
  <autoFilter ref="B6:P3001" xr:uid="{00000000-0009-0000-0000-000005000000}">
    <sortState ref="B7:P3001">
      <sortCondition ref="C6:C3001"/>
    </sortState>
  </autoFilter>
  <mergeCells count="4">
    <mergeCell ref="F1:P1"/>
    <mergeCell ref="A1:E1"/>
    <mergeCell ref="X5:AC5"/>
    <mergeCell ref="A2:P2"/>
  </mergeCells>
  <conditionalFormatting sqref="P7:P3001">
    <cfRule type="expression" dxfId="63" priority="2">
      <formula>EXACT($P7,"UYGUN")</formula>
    </cfRule>
    <cfRule type="expression" dxfId="62" priority="3">
      <formula>EXACT($P7,"TAHAKKUK")</formula>
    </cfRule>
    <cfRule type="expression" dxfId="61" priority="4">
      <formula>EXACT($P7,"ÖDENECEK")</formula>
    </cfRule>
    <cfRule type="expression" dxfId="60" priority="5">
      <formula>EXACT($P7,"EKSİK")</formula>
    </cfRule>
    <cfRule type="expression" dxfId="59" priority="6">
      <formula>EXACT($P7,"İLERİ TARİH")</formula>
    </cfRule>
    <cfRule type="expression" dxfId="58" priority="7">
      <formula>EXACT($P7,"MÜKERRER?")</formula>
    </cfRule>
    <cfRule type="expression" dxfId="57" priority="8">
      <formula>EXACT($P7,"KAPALI DÖNEM")</formula>
    </cfRule>
    <cfRule type="expression" dxfId="56" priority="9">
      <formula>EXACT($P7,"TAHAKKUK NAKİT OLAMAZ")</formula>
    </cfRule>
    <cfRule type="expression" dxfId="55" priority="10">
      <formula>EXACT($P7,"TANIMSIZ BORÇLU")</formula>
    </cfRule>
  </conditionalFormatting>
  <dataValidations count="5">
    <dataValidation type="list" allowBlank="1" showErrorMessage="1" errorTitle="Geçersiz tür" error="Gelir veya Gider seçin." promptTitle="Geçersiz tür" prompt="Gelir veya Gider seçin." sqref="D7:D3001" xr:uid="{00000000-0002-0000-0500-000000000000}">
      <formula1>"Gelir,Gider"</formula1>
      <formula2>0</formula2>
    </dataValidation>
    <dataValidation type="list" allowBlank="1" errorTitle="Kategori" error="Önce Tür sütununu doldurun; liste Tür’e göre gelir." promptTitle="Kategori" prompt="Önce Tür sütununu doldurun; liste Tür’e göre gelir." sqref="E7:E3001" xr:uid="{00000000-0002-0000-0500-000001000000}">
      <formula1>INDIRECT($D7)</formula1>
      <formula2>0</formula2>
    </dataValidation>
    <dataValidation type="list" allowBlank="1" errorTitle="Borçlu Taraf" error="Müşteri seçerseniz cari borç doğar; boş bırakırsanız nakit gelir olur." promptTitle="Borçlu Taraf" prompt="Müşteri seçerseniz cari borç doğar; boş bırakırsanız nakit gelir olur." sqref="L7:L3001" xr:uid="{00000000-0002-0000-0500-000002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H7:H3001" xr:uid="{00000000-0002-0000-0500-000003000000}">
      <formula1>LST_HESAP</formula1>
      <formula2>0</formula2>
    </dataValidation>
    <dataValidation type="list" allowBlank="1" showErrorMessage="1" errorTitle="Geçersiz değer" error="Evet veya Hayır seçin." promptTitle="Geçersiz değer" prompt="Evet veya Hayır seçin." sqref="I7:I3001" xr:uid="{00000000-0002-0000-0500-000004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600-000000000000}">
  <sheetPr>
    <tabColor rgb="FF2A52D5"/>
    <pageSetUpPr fitToPage="1"/>
  </sheetPr>
  <dimension ref="A1:M408"/>
  <sheetViews>
    <sheetView showGridLines="0" zoomScaleNormal="100" workbookViewId="0">
      <pane xSplit="3" ySplit="6" topLeftCell="D33" activePane="bottomRight" state="frozen"/>
      <selection pane="topRight" activeCell="D1" sqref="D1"/>
      <selection pane="bottomLeft" activeCell="A19" sqref="A19"/>
      <selection pane="bottomRight" activeCell="E40" sqref="E40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12" customWidth="1"/>
    <col min="4" max="5" width="20.42578125" customWidth="1"/>
    <col min="6" max="6" width="14.85546875" customWidth="1"/>
    <col min="7" max="7" width="31.5703125" customWidth="1"/>
    <col min="8" max="8" width="13" customWidth="1"/>
    <col min="9" max="9" width="14.85546875" customWidth="1"/>
    <col min="10" max="10" width="13.85546875" customWidth="1"/>
    <col min="11" max="12" width="2.28515625" customWidth="1"/>
    <col min="13" max="13" width="2.42578125" hidden="1" customWidth="1"/>
  </cols>
  <sheetData>
    <row r="1" spans="1:13" ht="37.5" customHeight="1" x14ac:dyDescent="0.3">
      <c r="A1" s="209" t="s">
        <v>548</v>
      </c>
      <c r="B1" s="150"/>
      <c r="C1" s="150"/>
      <c r="D1" s="150"/>
      <c r="E1" s="150"/>
      <c r="F1" s="208" t="s">
        <v>952</v>
      </c>
      <c r="G1" s="150"/>
      <c r="H1" s="150"/>
      <c r="I1" s="150"/>
      <c r="J1" s="150"/>
      <c r="K1" s="150"/>
      <c r="L1" s="13"/>
    </row>
    <row r="2" spans="1:13" ht="21.75" customHeight="1" x14ac:dyDescent="0.3">
      <c r="A2" s="210" t="inlineStr">
        <is>
          <t>SARI HÜCRELERE YAZIN   │   Kasa↔Banka virmanı toplam likiditeyi değiştirmez; Kasa/Banka→Ortak çekiş/avans PANO KASA+BANKA’yı azaltır.</t>
        </is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"/>
    </row>
    <row r="3" spans="1:13" ht="19.5" customHeight="1" x14ac:dyDescent="0.3">
      <c r="A3" s="2"/>
      <c r="B3" s="50" t="inlineStr">
        <is>
          <t>⚠  KÂR PAYI / AVANS: Para Çıkan = Kasa/Banka, Para Giren = Ortak, Açıklama “KÂR PAYI / AVANS”. GELİR_GİDER’e yazmayın.</t>
        </is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HYPERLINK("#HESAPLAR!A1","Hesaplar")</f>
        <v>Hesaplar</v>
      </c>
      <c r="E4" s="2"/>
      <c r="F4" s="52" t="s">
        <v>955</v>
      </c>
      <c r="G4" s="2"/>
      <c r="H4" s="2"/>
      <c r="I4" s="2"/>
      <c r="J4" s="2"/>
      <c r="K4" s="2"/>
      <c r="L4" s="2"/>
    </row>
    <row r="5" spans="1:13" ht="25.5" customHeight="1" x14ac:dyDescent="0.3">
      <c r="A5" s="2"/>
      <c r="B5" s="53"/>
      <c r="C5" s="54" t="s">
        <v>956</v>
      </c>
      <c r="D5" s="53"/>
      <c r="E5" s="53"/>
      <c r="F5" s="56">
        <f>SUM($F$7:$F$406)</f>
        <v>1561462.04</v>
      </c>
      <c r="G5" s="53"/>
      <c r="H5" s="53"/>
      <c r="I5" s="53"/>
      <c r="J5" s="53"/>
      <c r="K5" s="2"/>
      <c r="L5" s="2"/>
    </row>
    <row r="6" spans="1:13" ht="39.75" customHeight="1" x14ac:dyDescent="0.3">
      <c r="A6" s="2"/>
      <c r="B6" s="57" t="s">
        <v>957</v>
      </c>
      <c r="C6" s="57" t="s">
        <v>709</v>
      </c>
      <c r="D6" s="57" t="s">
        <v>958</v>
      </c>
      <c r="E6" s="57" t="s">
        <v>959</v>
      </c>
      <c r="F6" s="59" t="s">
        <v>710</v>
      </c>
      <c r="G6" s="58" t="s">
        <v>54</v>
      </c>
      <c r="H6" s="58" t="s">
        <v>713</v>
      </c>
      <c r="I6" s="58" t="s">
        <v>714</v>
      </c>
      <c r="J6" s="57" t="s">
        <v>697</v>
      </c>
      <c r="K6" s="57"/>
      <c r="L6" s="57"/>
      <c r="M6" s="57" t="s">
        <v>960</v>
      </c>
    </row>
    <row r="7" spans="1:13" ht="18" customHeight="1" x14ac:dyDescent="0.3">
      <c r="A7" s="2"/>
      <c r="B7" s="65" t="str">
        <f t="shared" ref="B7:B70" si="0">IF($C7="","","V"&amp;TEXT(ROW()-6,"00000"))</f>
        <v>V00001</v>
      </c>
      <c r="C7" s="66">
        <v>46034</v>
      </c>
      <c r="D7" s="60" t="s">
        <v>717</v>
      </c>
      <c r="E7" s="60" t="s">
        <v>723</v>
      </c>
      <c r="F7" s="67">
        <v>15000</v>
      </c>
      <c r="G7" s="61" t="s">
        <v>961</v>
      </c>
      <c r="H7" s="61"/>
      <c r="I7" s="61"/>
      <c r="J7" s="65" t="str">
        <f t="shared" ref="J7:J70" si="1">IF($C7="","",IF(AND($D7&lt;&gt;"",$E7&lt;&gt;"",$D7&lt;&gt;$E7,$F7&gt;0),"UYGUN","HATA"))</f>
        <v>UYGUN</v>
      </c>
      <c r="K7" s="65" t="str">
        <f>IF($E7="","",$E7&amp;"|"&amp;COUNTIFS($E$7:$E7,$E7))</f>
        <v>ÖMER KARTAL|1</v>
      </c>
      <c r="L7" s="65" t="str">
        <f>IF($D7="","",$D7&amp;"|"&amp;COUNTIFS($D$7:$D7,$D7))</f>
        <v>MERKEZ KASA|1</v>
      </c>
      <c r="M7" s="65" t="str">
        <f>IF(AND($E7&lt;&gt;"",COUNTIF($G7,"KÂR PAYI / AVANS*")&gt;0),$E7&amp;"|"&amp;COUNTIFS($E$7:$E7,$E7,$G$7:$G7,"KÂR PAYI / AVANS*"),"")</f>
        <v/>
      </c>
    </row>
    <row r="8" spans="1:13" ht="18" customHeight="1" x14ac:dyDescent="0.3">
      <c r="A8" s="2"/>
      <c r="B8" s="65" t="str">
        <f t="shared" si="0"/>
        <v>V00002</v>
      </c>
      <c r="C8" s="66">
        <v>46053</v>
      </c>
      <c r="D8" s="60" t="s">
        <v>717</v>
      </c>
      <c r="E8" s="60" t="s">
        <v>723</v>
      </c>
      <c r="F8" s="67">
        <v>12000</v>
      </c>
      <c r="G8" s="61" t="s">
        <v>962</v>
      </c>
      <c r="H8" s="61"/>
      <c r="I8" s="61"/>
      <c r="J8" s="65" t="str">
        <f t="shared" si="1"/>
        <v>UYGUN</v>
      </c>
      <c r="K8" s="65" t="str">
        <f>IF($E8="","",$E8&amp;"|"&amp;COUNTIFS($E$7:$E8,$E8))</f>
        <v>ÖMER KARTAL|2</v>
      </c>
      <c r="L8" s="65" t="str">
        <f>IF($D8="","",$D8&amp;"|"&amp;COUNTIFS($D$7:$D8,$D8))</f>
        <v>MERKEZ KASA|2</v>
      </c>
      <c r="M8" s="65" t="str">
        <f>IF(AND($E8&lt;&gt;"",COUNTIF($G8,"KÂR PAYI / AVANS*")&gt;0),$E8&amp;"|"&amp;COUNTIFS($E$7:$E8,$E8,$G$7:$G8,"KÂR PAYI / AVANS*"),"")</f>
        <v/>
      </c>
    </row>
    <row r="9" spans="1:13" ht="18" customHeight="1" x14ac:dyDescent="0.3">
      <c r="A9" s="2"/>
      <c r="B9" s="65" t="str">
        <f t="shared" si="0"/>
        <v>V00003</v>
      </c>
      <c r="C9" s="66">
        <v>46053</v>
      </c>
      <c r="D9" s="60" t="s">
        <v>717</v>
      </c>
      <c r="E9" s="60" t="s">
        <v>723</v>
      </c>
      <c r="F9" s="67">
        <v>3000</v>
      </c>
      <c r="G9" s="61" t="s">
        <v>963</v>
      </c>
      <c r="H9" s="61"/>
      <c r="I9" s="61"/>
      <c r="J9" s="65" t="str">
        <f t="shared" si="1"/>
        <v>UYGUN</v>
      </c>
      <c r="K9" s="65" t="str">
        <f>IF($E9="","",$E9&amp;"|"&amp;COUNTIFS($E$7:$E9,$E9))</f>
        <v>ÖMER KARTAL|3</v>
      </c>
      <c r="L9" s="65" t="str">
        <f>IF($D9="","",$D9&amp;"|"&amp;COUNTIFS($D$7:$D9,$D9))</f>
        <v>MERKEZ KASA|3</v>
      </c>
      <c r="M9" s="65" t="str">
        <f>IF(AND($E9&lt;&gt;"",COUNTIF($G9,"KÂR PAYI / AVANS*")&gt;0),$E9&amp;"|"&amp;COUNTIFS($E$7:$E9,$E9,$G$7:$G9,"KÂR PAYI / AVANS*"),"")</f>
        <v/>
      </c>
    </row>
    <row r="10" spans="1:13" ht="18" customHeight="1" x14ac:dyDescent="0.3">
      <c r="A10" s="2"/>
      <c r="B10" s="65" t="str">
        <f t="shared" si="0"/>
        <v>V00004</v>
      </c>
      <c r="C10" s="66">
        <v>46053</v>
      </c>
      <c r="D10" s="60" t="s">
        <v>717</v>
      </c>
      <c r="E10" s="60" t="s">
        <v>723</v>
      </c>
      <c r="F10" s="67">
        <v>2000</v>
      </c>
      <c r="G10" s="61" t="s">
        <v>964</v>
      </c>
      <c r="H10" s="61"/>
      <c r="I10" s="61"/>
      <c r="J10" s="65" t="str">
        <f t="shared" si="1"/>
        <v>UYGUN</v>
      </c>
      <c r="K10" s="65" t="str">
        <f>IF($E10="","",$E10&amp;"|"&amp;COUNTIFS($E$7:$E10,$E10))</f>
        <v>ÖMER KARTAL|4</v>
      </c>
      <c r="L10" s="65" t="str">
        <f>IF($D10="","",$D10&amp;"|"&amp;COUNTIFS($D$7:$D10,$D10))</f>
        <v>MERKEZ KASA|4</v>
      </c>
      <c r="M10" s="65" t="str">
        <f>IF(AND($E10&lt;&gt;"",COUNTIF($G10,"KÂR PAYI / AVANS*")&gt;0),$E10&amp;"|"&amp;COUNTIFS($E$7:$E10,$E10,$G$7:$G10,"KÂR PAYI / AVANS*"),"")</f>
        <v/>
      </c>
    </row>
    <row r="11" spans="1:13" ht="18" customHeight="1" x14ac:dyDescent="0.3">
      <c r="A11" s="2"/>
      <c r="B11" s="65" t="str">
        <f t="shared" si="0"/>
        <v>V00005</v>
      </c>
      <c r="C11" s="66">
        <v>46053</v>
      </c>
      <c r="D11" s="60" t="s">
        <v>717</v>
      </c>
      <c r="E11" s="60" t="s">
        <v>723</v>
      </c>
      <c r="F11" s="67">
        <v>15000</v>
      </c>
      <c r="G11" s="61" t="s">
        <v>965</v>
      </c>
      <c r="H11" s="61"/>
      <c r="I11" s="61"/>
      <c r="J11" s="65" t="str">
        <f t="shared" si="1"/>
        <v>UYGUN</v>
      </c>
      <c r="K11" s="65" t="str">
        <f>IF($E11="","",$E11&amp;"|"&amp;COUNTIFS($E$7:$E11,$E11))</f>
        <v>ÖMER KARTAL|5</v>
      </c>
      <c r="L11" s="65" t="str">
        <f>IF($D11="","",$D11&amp;"|"&amp;COUNTIFS($D$7:$D11,$D11))</f>
        <v>MERKEZ KASA|5</v>
      </c>
      <c r="M11" s="65" t="str">
        <f>IF(AND($E11&lt;&gt;"",COUNTIF($G11,"KÂR PAYI / AVANS*")&gt;0),$E11&amp;"|"&amp;COUNTIFS($E$7:$E11,$E11,$G$7:$G11,"KÂR PAYI / AVANS*"),"")</f>
        <v/>
      </c>
    </row>
    <row r="12" spans="1:13" ht="18" customHeight="1" x14ac:dyDescent="0.3">
      <c r="A12" s="2"/>
      <c r="B12" s="65" t="str">
        <f t="shared" si="0"/>
        <v>V00006</v>
      </c>
      <c r="C12" s="66">
        <v>46053</v>
      </c>
      <c r="D12" s="60" t="s">
        <v>717</v>
      </c>
      <c r="E12" s="60" t="s">
        <v>723</v>
      </c>
      <c r="F12" s="67">
        <v>5000</v>
      </c>
      <c r="G12" s="61" t="s">
        <v>966</v>
      </c>
      <c r="H12" s="61"/>
      <c r="I12" s="61"/>
      <c r="J12" s="65" t="str">
        <f t="shared" si="1"/>
        <v>UYGUN</v>
      </c>
      <c r="K12" s="65" t="str">
        <f>IF($E12="","",$E12&amp;"|"&amp;COUNTIFS($E$7:$E12,$E12))</f>
        <v>ÖMER KARTAL|6</v>
      </c>
      <c r="L12" s="65" t="str">
        <f>IF($D12="","",$D12&amp;"|"&amp;COUNTIFS($D$7:$D12,$D12))</f>
        <v>MERKEZ KASA|6</v>
      </c>
      <c r="M12" s="65" t="str">
        <f>IF(AND($E12&lt;&gt;"",COUNTIF($G12,"KÂR PAYI / AVANS*")&gt;0),$E12&amp;"|"&amp;COUNTIFS($E$7:$E12,$E12,$G$7:$G12,"KÂR PAYI / AVANS*"),"")</f>
        <v/>
      </c>
    </row>
    <row r="13" spans="1:13" ht="18" customHeight="1" x14ac:dyDescent="0.3">
      <c r="A13" s="2"/>
      <c r="B13" s="65" t="str">
        <f t="shared" si="0"/>
        <v>V00007</v>
      </c>
      <c r="C13" s="66">
        <v>46081</v>
      </c>
      <c r="D13" s="60" t="s">
        <v>717</v>
      </c>
      <c r="E13" s="60" t="s">
        <v>723</v>
      </c>
      <c r="F13" s="67">
        <v>12000</v>
      </c>
      <c r="G13" s="61" t="s">
        <v>962</v>
      </c>
      <c r="H13" s="61"/>
      <c r="I13" s="61"/>
      <c r="J13" s="65" t="str">
        <f t="shared" si="1"/>
        <v>UYGUN</v>
      </c>
      <c r="K13" s="65" t="str">
        <f>IF($E13="","",$E13&amp;"|"&amp;COUNTIFS($E$7:$E13,$E13))</f>
        <v>ÖMER KARTAL|7</v>
      </c>
      <c r="L13" s="65" t="str">
        <f>IF($D13="","",$D13&amp;"|"&amp;COUNTIFS($D$7:$D13,$D13))</f>
        <v>MERKEZ KASA|7</v>
      </c>
      <c r="M13" s="65" t="str">
        <f>IF(AND($E13&lt;&gt;"",COUNTIF($G13,"KÂR PAYI / AVANS*")&gt;0),$E13&amp;"|"&amp;COUNTIFS($E$7:$E13,$E13,$G$7:$G13,"KÂR PAYI / AVANS*"),"")</f>
        <v/>
      </c>
    </row>
    <row r="14" spans="1:13" ht="18" customHeight="1" x14ac:dyDescent="0.3">
      <c r="A14" s="2"/>
      <c r="B14" s="65" t="str">
        <f t="shared" si="0"/>
        <v>V00008</v>
      </c>
      <c r="C14" s="66">
        <v>46081</v>
      </c>
      <c r="D14" s="60" t="s">
        <v>717</v>
      </c>
      <c r="E14" s="60" t="s">
        <v>723</v>
      </c>
      <c r="F14" s="67">
        <v>3000</v>
      </c>
      <c r="G14" s="61" t="s">
        <v>963</v>
      </c>
      <c r="H14" s="61"/>
      <c r="I14" s="61"/>
      <c r="J14" s="65" t="str">
        <f t="shared" si="1"/>
        <v>UYGUN</v>
      </c>
      <c r="K14" s="65" t="str">
        <f>IF($E14="","",$E14&amp;"|"&amp;COUNTIFS($E$7:$E14,$E14))</f>
        <v>ÖMER KARTAL|8</v>
      </c>
      <c r="L14" s="65" t="str">
        <f>IF($D14="","",$D14&amp;"|"&amp;COUNTIFS($D$7:$D14,$D14))</f>
        <v>MERKEZ KASA|8</v>
      </c>
      <c r="M14" s="65" t="str">
        <f>IF(AND($E14&lt;&gt;"",COUNTIF($G14,"KÂR PAYI / AVANS*")&gt;0),$E14&amp;"|"&amp;COUNTIFS($E$7:$E14,$E14,$G$7:$G14,"KÂR PAYI / AVANS*"),"")</f>
        <v/>
      </c>
    </row>
    <row r="15" spans="1:13" ht="18" customHeight="1" x14ac:dyDescent="0.3">
      <c r="A15" s="2"/>
      <c r="B15" s="65" t="str">
        <f t="shared" si="0"/>
        <v>V00009</v>
      </c>
      <c r="C15" s="66">
        <v>46081</v>
      </c>
      <c r="D15" s="60" t="s">
        <v>717</v>
      </c>
      <c r="E15" s="60" t="s">
        <v>723</v>
      </c>
      <c r="F15" s="67">
        <v>2000</v>
      </c>
      <c r="G15" s="61" t="s">
        <v>964</v>
      </c>
      <c r="H15" s="61"/>
      <c r="I15" s="61"/>
      <c r="J15" s="65" t="str">
        <f t="shared" si="1"/>
        <v>UYGUN</v>
      </c>
      <c r="K15" s="65" t="str">
        <f>IF($E15="","",$E15&amp;"|"&amp;COUNTIFS($E$7:$E15,$E15))</f>
        <v>ÖMER KARTAL|9</v>
      </c>
      <c r="L15" s="65" t="str">
        <f>IF($D15="","",$D15&amp;"|"&amp;COUNTIFS($D$7:$D15,$D15))</f>
        <v>MERKEZ KASA|9</v>
      </c>
      <c r="M15" s="65" t="str">
        <f>IF(AND($E15&lt;&gt;"",COUNTIF($G15,"KÂR PAYI / AVANS*")&gt;0),$E15&amp;"|"&amp;COUNTIFS($E$7:$E15,$E15,$G$7:$G15,"KÂR PAYI / AVANS*"),"")</f>
        <v/>
      </c>
    </row>
    <row r="16" spans="1:13" ht="18" customHeight="1" x14ac:dyDescent="0.3">
      <c r="A16" s="2"/>
      <c r="B16" s="65" t="str">
        <f t="shared" si="0"/>
        <v>V00010</v>
      </c>
      <c r="C16" s="66">
        <v>46087</v>
      </c>
      <c r="D16" s="60" t="s">
        <v>723</v>
      </c>
      <c r="E16" s="60" t="s">
        <v>717</v>
      </c>
      <c r="F16" s="67">
        <v>15000</v>
      </c>
      <c r="G16" s="61" t="s">
        <v>967</v>
      </c>
      <c r="H16" s="61"/>
      <c r="I16" s="61"/>
      <c r="J16" s="65" t="str">
        <f t="shared" si="1"/>
        <v>UYGUN</v>
      </c>
      <c r="K16" s="65" t="str">
        <f>IF($E16="","",$E16&amp;"|"&amp;COUNTIFS($E$7:$E16,$E16))</f>
        <v>MERKEZ KASA|1</v>
      </c>
      <c r="L16" s="65" t="str">
        <f>IF($D16="","",$D16&amp;"|"&amp;COUNTIFS($D$7:$D16,$D16))</f>
        <v>ÖMER KARTAL|1</v>
      </c>
      <c r="M16" s="65" t="str">
        <f>IF(AND($E16&lt;&gt;"",COUNTIF($G16,"KÂR PAYI / AVANS*")&gt;0),$E16&amp;"|"&amp;COUNTIFS($E$7:$E16,$E16,$G$7:$G16,"KÂR PAYI / AVANS*"),"")</f>
        <v/>
      </c>
    </row>
    <row r="17" spans="1:13" ht="18" customHeight="1" x14ac:dyDescent="0.3">
      <c r="A17" s="2"/>
      <c r="B17" s="65" t="str">
        <f t="shared" si="0"/>
        <v>V00011</v>
      </c>
      <c r="C17" s="66">
        <v>46112</v>
      </c>
      <c r="D17" s="60" t="s">
        <v>717</v>
      </c>
      <c r="E17" s="60" t="s">
        <v>723</v>
      </c>
      <c r="F17" s="67">
        <v>12000</v>
      </c>
      <c r="G17" s="61" t="s">
        <v>962</v>
      </c>
      <c r="H17" s="61"/>
      <c r="I17" s="61"/>
      <c r="J17" s="65" t="str">
        <f t="shared" si="1"/>
        <v>UYGUN</v>
      </c>
      <c r="K17" s="65" t="str">
        <f>IF($E17="","",$E17&amp;"|"&amp;COUNTIFS($E$7:$E17,$E17))</f>
        <v>ÖMER KARTAL|10</v>
      </c>
      <c r="L17" s="65" t="str">
        <f>IF($D17="","",$D17&amp;"|"&amp;COUNTIFS($D$7:$D17,$D17))</f>
        <v>MERKEZ KASA|10</v>
      </c>
      <c r="M17" s="65" t="str">
        <f>IF(AND($E17&lt;&gt;"",COUNTIF($G17,"KÂR PAYI / AVANS*")&gt;0),$E17&amp;"|"&amp;COUNTIFS($E$7:$E17,$E17,$G$7:$G17,"KÂR PAYI / AVANS*"),"")</f>
        <v/>
      </c>
    </row>
    <row r="18" spans="1:13" ht="18" customHeight="1" x14ac:dyDescent="0.3">
      <c r="A18" s="2"/>
      <c r="B18" s="65" t="str">
        <f t="shared" si="0"/>
        <v>V00012</v>
      </c>
      <c r="C18" s="66">
        <v>46112</v>
      </c>
      <c r="D18" s="60" t="s">
        <v>717</v>
      </c>
      <c r="E18" s="60" t="s">
        <v>723</v>
      </c>
      <c r="F18" s="67">
        <v>2000</v>
      </c>
      <c r="G18" s="61" t="s">
        <v>964</v>
      </c>
      <c r="H18" s="61"/>
      <c r="I18" s="61"/>
      <c r="J18" s="65" t="str">
        <f t="shared" si="1"/>
        <v>UYGUN</v>
      </c>
      <c r="K18" s="65" t="str">
        <f>IF($E18="","",$E18&amp;"|"&amp;COUNTIFS($E$7:$E18,$E18))</f>
        <v>ÖMER KARTAL|11</v>
      </c>
      <c r="L18" s="65" t="str">
        <f>IF($D18="","",$D18&amp;"|"&amp;COUNTIFS($D$7:$D18,$D18))</f>
        <v>MERKEZ KASA|11</v>
      </c>
      <c r="M18" s="65" t="str">
        <f>IF(AND($E18&lt;&gt;"",COUNTIF($G18,"KÂR PAYI / AVANS*")&gt;0),$E18&amp;"|"&amp;COUNTIFS($E$7:$E18,$E18,$G$7:$G18,"KÂR PAYI / AVANS*"),"")</f>
        <v/>
      </c>
    </row>
    <row r="19" spans="1:13" ht="18" customHeight="1" x14ac:dyDescent="0.3">
      <c r="A19" s="2"/>
      <c r="B19" s="65" t="str">
        <f t="shared" si="0"/>
        <v>V00013</v>
      </c>
      <c r="C19" s="66">
        <v>46137</v>
      </c>
      <c r="D19" s="60" t="s">
        <v>717</v>
      </c>
      <c r="E19" s="60" t="s">
        <v>723</v>
      </c>
      <c r="F19" s="67">
        <v>20000</v>
      </c>
      <c r="G19" s="61" t="s">
        <v>968</v>
      </c>
      <c r="H19" s="61"/>
      <c r="I19" s="61"/>
      <c r="J19" s="65" t="str">
        <f t="shared" si="1"/>
        <v>UYGUN</v>
      </c>
      <c r="K19" s="65" t="str">
        <f>IF($E19="","",$E19&amp;"|"&amp;COUNTIFS($E$7:$E19,$E19))</f>
        <v>ÖMER KARTAL|12</v>
      </c>
      <c r="L19" s="65" t="str">
        <f>IF($D19="","",$D19&amp;"|"&amp;COUNTIFS($D$7:$D19,$D19))</f>
        <v>MERKEZ KASA|12</v>
      </c>
      <c r="M19" s="65" t="str">
        <f>IF(AND($E19&lt;&gt;"",COUNTIF($G19,"KÂR PAYI / AVANS*")&gt;0),$E19&amp;"|"&amp;COUNTIFS($E$7:$E19,$E19,$G$7:$G19,"KÂR PAYI / AVANS*"),"")</f>
        <v/>
      </c>
    </row>
    <row r="20" spans="1:13" ht="18" customHeight="1" x14ac:dyDescent="0.3">
      <c r="A20" s="2"/>
      <c r="B20" s="65" t="str">
        <f t="shared" si="0"/>
        <v>V00014</v>
      </c>
      <c r="C20" s="66">
        <v>46142</v>
      </c>
      <c r="D20" s="60" t="s">
        <v>717</v>
      </c>
      <c r="E20" s="60" t="s">
        <v>723</v>
      </c>
      <c r="F20" s="67">
        <v>12000</v>
      </c>
      <c r="G20" s="61" t="s">
        <v>962</v>
      </c>
      <c r="H20" s="61"/>
      <c r="I20" s="61"/>
      <c r="J20" s="65" t="str">
        <f t="shared" si="1"/>
        <v>UYGUN</v>
      </c>
      <c r="K20" s="65" t="str">
        <f>IF($E20="","",$E20&amp;"|"&amp;COUNTIFS($E$7:$E20,$E20))</f>
        <v>ÖMER KARTAL|13</v>
      </c>
      <c r="L20" s="65" t="str">
        <f>IF($D20="","",$D20&amp;"|"&amp;COUNTIFS($D$7:$D20,$D20))</f>
        <v>MERKEZ KASA|13</v>
      </c>
      <c r="M20" s="65" t="str">
        <f>IF(AND($E20&lt;&gt;"",COUNTIF($G20,"KÂR PAYI / AVANS*")&gt;0),$E20&amp;"|"&amp;COUNTIFS($E$7:$E20,$E20,$G$7:$G20,"KÂR PAYI / AVANS*"),"")</f>
        <v/>
      </c>
    </row>
    <row r="21" spans="1:13" ht="18" customHeight="1" x14ac:dyDescent="0.3">
      <c r="A21" s="2"/>
      <c r="B21" s="65" t="str">
        <f t="shared" si="0"/>
        <v>V00015</v>
      </c>
      <c r="C21" s="66">
        <v>46142</v>
      </c>
      <c r="D21" s="60" t="s">
        <v>717</v>
      </c>
      <c r="E21" s="60" t="s">
        <v>723</v>
      </c>
      <c r="F21" s="67">
        <v>2000</v>
      </c>
      <c r="G21" s="61" t="s">
        <v>964</v>
      </c>
      <c r="H21" s="61"/>
      <c r="I21" s="61"/>
      <c r="J21" s="65" t="str">
        <f t="shared" si="1"/>
        <v>UYGUN</v>
      </c>
      <c r="K21" s="65" t="str">
        <f>IF($E21="","",$E21&amp;"|"&amp;COUNTIFS($E$7:$E21,$E21))</f>
        <v>ÖMER KARTAL|14</v>
      </c>
      <c r="L21" s="65" t="str">
        <f>IF($D21="","",$D21&amp;"|"&amp;COUNTIFS($D$7:$D21,$D21))</f>
        <v>MERKEZ KASA|14</v>
      </c>
      <c r="M21" s="65" t="str">
        <f>IF(AND($E21&lt;&gt;"",COUNTIF($G21,"KÂR PAYI / AVANS*")&gt;0),$E21&amp;"|"&amp;COUNTIFS($E$7:$E21,$E21,$G$7:$G21,"KÂR PAYI / AVANS*"),"")</f>
        <v/>
      </c>
    </row>
    <row r="22" spans="1:13" ht="18" customHeight="1" x14ac:dyDescent="0.3">
      <c r="A22" s="2"/>
      <c r="B22" s="65" t="str">
        <f t="shared" si="0"/>
        <v>V00016</v>
      </c>
      <c r="C22" s="66">
        <v>46144</v>
      </c>
      <c r="D22" s="60" t="s">
        <v>717</v>
      </c>
      <c r="E22" s="60" t="s">
        <v>723</v>
      </c>
      <c r="F22" s="67">
        <v>1000</v>
      </c>
      <c r="G22" s="61" t="s">
        <v>969</v>
      </c>
      <c r="H22" s="61"/>
      <c r="I22" s="61"/>
      <c r="J22" s="65" t="str">
        <f t="shared" si="1"/>
        <v>UYGUN</v>
      </c>
      <c r="K22" s="65" t="str">
        <f>IF($E22="","",$E22&amp;"|"&amp;COUNTIFS($E$7:$E22,$E22))</f>
        <v>ÖMER KARTAL|15</v>
      </c>
      <c r="L22" s="65" t="str">
        <f>IF($D22="","",$D22&amp;"|"&amp;COUNTIFS($D$7:$D22,$D22))</f>
        <v>MERKEZ KASA|15</v>
      </c>
      <c r="M22" s="65" t="str">
        <f>IF(AND($E22&lt;&gt;"",COUNTIF($G22,"KÂR PAYI / AVANS*")&gt;0),$E22&amp;"|"&amp;COUNTIFS($E$7:$E22,$E22,$G$7:$G22,"KÂR PAYI / AVANS*"),"")</f>
        <v/>
      </c>
    </row>
    <row r="23" spans="1:13" ht="18" customHeight="1" x14ac:dyDescent="0.3">
      <c r="A23" s="2"/>
      <c r="B23" s="65" t="str">
        <f t="shared" si="0"/>
        <v>V00017</v>
      </c>
      <c r="C23" s="66">
        <v>46147</v>
      </c>
      <c r="D23" s="60" t="s">
        <v>717</v>
      </c>
      <c r="E23" s="60" t="s">
        <v>723</v>
      </c>
      <c r="F23" s="67">
        <v>23600</v>
      </c>
      <c r="G23" s="61" t="s">
        <v>741</v>
      </c>
      <c r="H23" s="61"/>
      <c r="I23" s="61"/>
      <c r="J23" s="65" t="str">
        <f t="shared" si="1"/>
        <v>UYGUN</v>
      </c>
      <c r="K23" s="65" t="str">
        <f>IF($E23="","",$E23&amp;"|"&amp;COUNTIFS($E$7:$E23,$E23))</f>
        <v>ÖMER KARTAL|16</v>
      </c>
      <c r="L23" s="65" t="str">
        <f>IF($D23="","",$D23&amp;"|"&amp;COUNTIFS($D$7:$D23,$D23))</f>
        <v>MERKEZ KASA|16</v>
      </c>
      <c r="M23" s="65" t="str">
        <f>IF(AND($E23&lt;&gt;"",COUNTIF($G23,"KÂR PAYI / AVANS*")&gt;0),$E23&amp;"|"&amp;COUNTIFS($E$7:$E23,$E23,$G$7:$G23,"KÂR PAYI / AVANS*"),"")</f>
        <v/>
      </c>
    </row>
    <row r="24" spans="1:13" ht="18" customHeight="1" x14ac:dyDescent="0.3">
      <c r="A24" s="2"/>
      <c r="B24" s="65" t="str">
        <f t="shared" si="0"/>
        <v>V00018</v>
      </c>
      <c r="C24" s="66">
        <v>46173</v>
      </c>
      <c r="D24" s="60" t="s">
        <v>717</v>
      </c>
      <c r="E24" s="60" t="s">
        <v>723</v>
      </c>
      <c r="F24" s="67">
        <v>17000</v>
      </c>
      <c r="G24" s="61" t="s">
        <v>970</v>
      </c>
      <c r="H24" s="61"/>
      <c r="I24" s="61"/>
      <c r="J24" s="65" t="str">
        <f t="shared" si="1"/>
        <v>UYGUN</v>
      </c>
      <c r="K24" s="65" t="str">
        <f>IF($E24="","",$E24&amp;"|"&amp;COUNTIFS($E$7:$E24,$E24))</f>
        <v>ÖMER KARTAL|17</v>
      </c>
      <c r="L24" s="65" t="str">
        <f>IF($D24="","",$D24&amp;"|"&amp;COUNTIFS($D$7:$D24,$D24))</f>
        <v>MERKEZ KASA|17</v>
      </c>
      <c r="M24" s="65" t="str">
        <f>IF(AND($E24&lt;&gt;"",COUNTIF($G24,"KÂR PAYI / AVANS*")&gt;0),$E24&amp;"|"&amp;COUNTIFS($E$7:$E24,$E24,$G$7:$G24,"KÂR PAYI / AVANS*"),"")</f>
        <v/>
      </c>
    </row>
    <row r="25" spans="1:13" ht="18" customHeight="1" x14ac:dyDescent="0.3">
      <c r="A25" s="2"/>
      <c r="B25" s="65" t="str">
        <f t="shared" si="0"/>
        <v>V00019</v>
      </c>
      <c r="C25" s="66">
        <v>46173</v>
      </c>
      <c r="D25" s="60" t="s">
        <v>717</v>
      </c>
      <c r="E25" s="60" t="s">
        <v>723</v>
      </c>
      <c r="F25" s="67">
        <v>12000</v>
      </c>
      <c r="G25" s="61" t="s">
        <v>962</v>
      </c>
      <c r="H25" s="61"/>
      <c r="I25" s="61"/>
      <c r="J25" s="65" t="str">
        <f t="shared" si="1"/>
        <v>UYGUN</v>
      </c>
      <c r="K25" s="65" t="str">
        <f>IF($E25="","",$E25&amp;"|"&amp;COUNTIFS($E$7:$E25,$E25))</f>
        <v>ÖMER KARTAL|18</v>
      </c>
      <c r="L25" s="65" t="str">
        <f>IF($D25="","",$D25&amp;"|"&amp;COUNTIFS($D$7:$D25,$D25))</f>
        <v>MERKEZ KASA|18</v>
      </c>
      <c r="M25" s="65" t="str">
        <f>IF(AND($E25&lt;&gt;"",COUNTIF($G25,"KÂR PAYI / AVANS*")&gt;0),$E25&amp;"|"&amp;COUNTIFS($E$7:$E25,$E25,$G$7:$G25,"KÂR PAYI / AVANS*"),"")</f>
        <v/>
      </c>
    </row>
    <row r="26" spans="1:13" ht="18" customHeight="1" x14ac:dyDescent="0.3">
      <c r="A26" s="2"/>
      <c r="B26" s="65" t="str">
        <f t="shared" si="0"/>
        <v>V00020</v>
      </c>
      <c r="C26" s="66">
        <v>46173</v>
      </c>
      <c r="D26" s="60" t="s">
        <v>717</v>
      </c>
      <c r="E26" s="60" t="s">
        <v>723</v>
      </c>
      <c r="F26" s="67">
        <v>2000</v>
      </c>
      <c r="G26" s="61" t="s">
        <v>964</v>
      </c>
      <c r="H26" s="61"/>
      <c r="I26" s="61"/>
      <c r="J26" s="65" t="str">
        <f t="shared" si="1"/>
        <v>UYGUN</v>
      </c>
      <c r="K26" s="65" t="str">
        <f>IF($E26="","",$E26&amp;"|"&amp;COUNTIFS($E$7:$E26,$E26))</f>
        <v>ÖMER KARTAL|19</v>
      </c>
      <c r="L26" s="65" t="str">
        <f>IF($D26="","",$D26&amp;"|"&amp;COUNTIFS($D$7:$D26,$D26))</f>
        <v>MERKEZ KASA|19</v>
      </c>
      <c r="M26" s="65" t="str">
        <f>IF(AND($E26&lt;&gt;"",COUNTIF($G26,"KÂR PAYI / AVANS*")&gt;0),$E26&amp;"|"&amp;COUNTIFS($E$7:$E26,$E26,$G$7:$G26,"KÂR PAYI / AVANS*"),"")</f>
        <v/>
      </c>
    </row>
    <row r="27" spans="1:13" ht="18" customHeight="1" x14ac:dyDescent="0.3">
      <c r="A27" s="2"/>
      <c r="B27" s="65" t="str">
        <f t="shared" si="0"/>
        <v>V00021</v>
      </c>
      <c r="C27" s="66">
        <v>46203</v>
      </c>
      <c r="D27" s="60" t="s">
        <v>717</v>
      </c>
      <c r="E27" s="60" t="s">
        <v>723</v>
      </c>
      <c r="F27" s="67">
        <v>12000</v>
      </c>
      <c r="G27" s="61" t="s">
        <v>962</v>
      </c>
      <c r="H27" s="61"/>
      <c r="I27" s="61"/>
      <c r="J27" s="65" t="str">
        <f t="shared" si="1"/>
        <v>UYGUN</v>
      </c>
      <c r="K27" s="65" t="str">
        <f>IF($E27="","",$E27&amp;"|"&amp;COUNTIFS($E$7:$E27,$E27))</f>
        <v>ÖMER KARTAL|20</v>
      </c>
      <c r="L27" s="65" t="str">
        <f>IF($D27="","",$D27&amp;"|"&amp;COUNTIFS($D$7:$D27,$D27))</f>
        <v>MERKEZ KASA|20</v>
      </c>
      <c r="M27" s="65" t="str">
        <f>IF(AND($E27&lt;&gt;"",COUNTIF($G27,"KÂR PAYI / AVANS*")&gt;0),$E27&amp;"|"&amp;COUNTIFS($E$7:$E27,$E27,$G$7:$G27,"KÂR PAYI / AVANS*"),"")</f>
        <v/>
      </c>
    </row>
    <row r="28" spans="1:13" ht="18" customHeight="1" x14ac:dyDescent="0.3">
      <c r="A28" s="2"/>
      <c r="B28" s="65" t="str">
        <f t="shared" si="0"/>
        <v>V00022</v>
      </c>
      <c r="C28" s="66">
        <v>46203</v>
      </c>
      <c r="D28" s="60" t="s">
        <v>717</v>
      </c>
      <c r="E28" s="60" t="s">
        <v>723</v>
      </c>
      <c r="F28" s="67">
        <v>2000</v>
      </c>
      <c r="G28" s="61" t="s">
        <v>964</v>
      </c>
      <c r="H28" s="61"/>
      <c r="I28" s="61"/>
      <c r="J28" s="65" t="str">
        <f t="shared" si="1"/>
        <v>UYGUN</v>
      </c>
      <c r="K28" s="65" t="str">
        <f>IF($E28="","",$E28&amp;"|"&amp;COUNTIFS($E$7:$E28,$E28))</f>
        <v>ÖMER KARTAL|21</v>
      </c>
      <c r="L28" s="65" t="str">
        <f>IF($D28="","",$D28&amp;"|"&amp;COUNTIFS($D$7:$D28,$D28))</f>
        <v>MERKEZ KASA|21</v>
      </c>
      <c r="M28" s="65" t="str">
        <f>IF(AND($E28&lt;&gt;"",COUNTIF($G28,"KÂR PAYI / AVANS*")&gt;0),$E28&amp;"|"&amp;COUNTIFS($E$7:$E28,$E28,$G$7:$G28,"KÂR PAYI / AVANS*"),"")</f>
        <v/>
      </c>
    </row>
    <row r="29" spans="1:13" ht="18" customHeight="1" x14ac:dyDescent="0.3">
      <c r="A29" s="2"/>
      <c r="B29" s="65" t="str">
        <f t="shared" si="0"/>
        <v>V00023</v>
      </c>
      <c r="C29" s="66">
        <v>46207</v>
      </c>
      <c r="D29" s="60" t="s">
        <v>717</v>
      </c>
      <c r="E29" s="60" t="s">
        <v>723</v>
      </c>
      <c r="F29" s="67">
        <v>5000</v>
      </c>
      <c r="G29" s="61" t="s">
        <v>742</v>
      </c>
      <c r="H29" s="61"/>
      <c r="I29" s="61"/>
      <c r="J29" s="65" t="str">
        <f t="shared" si="1"/>
        <v>UYGUN</v>
      </c>
      <c r="K29" s="65" t="str">
        <f>IF($E29="","",$E29&amp;"|"&amp;COUNTIFS($E$7:$E29,$E29))</f>
        <v>ÖMER KARTAL|22</v>
      </c>
      <c r="L29" s="65" t="str">
        <f>IF($D29="","",$D29&amp;"|"&amp;COUNTIFS($D$7:$D29,$D29))</f>
        <v>MERKEZ KASA|22</v>
      </c>
      <c r="M29" s="65" t="str">
        <f>IF(AND($E29&lt;&gt;"",COUNTIF($G29,"KÂR PAYI / AVANS*")&gt;0),$E29&amp;"|"&amp;COUNTIFS($E$7:$E29,$E29,$G$7:$G29,"KÂR PAYI / AVANS*"),"")</f>
        <v/>
      </c>
    </row>
    <row r="30" spans="1:13" ht="18" customHeight="1" x14ac:dyDescent="0.3">
      <c r="A30" s="2"/>
      <c r="B30" s="65" t="str">
        <f t="shared" si="0"/>
        <v>V00024</v>
      </c>
      <c r="C30" s="66">
        <v>46214</v>
      </c>
      <c r="D30" s="60" t="s">
        <v>717</v>
      </c>
      <c r="E30" s="60" t="s">
        <v>723</v>
      </c>
      <c r="F30" s="67">
        <v>5000</v>
      </c>
      <c r="G30" s="61" t="s">
        <v>742</v>
      </c>
      <c r="H30" s="61"/>
      <c r="I30" s="61"/>
      <c r="J30" s="65" t="str">
        <f t="shared" si="1"/>
        <v>UYGUN</v>
      </c>
      <c r="K30" s="65" t="str">
        <f>IF($E30="","",$E30&amp;"|"&amp;COUNTIFS($E$7:$E30,$E30))</f>
        <v>ÖMER KARTAL|23</v>
      </c>
      <c r="L30" s="65" t="str">
        <f>IF($D30="","",$D30&amp;"|"&amp;COUNTIFS($D$7:$D30,$D30))</f>
        <v>MERKEZ KASA|23</v>
      </c>
      <c r="M30" s="65" t="str">
        <f>IF(AND($E30&lt;&gt;"",COUNTIF($G30,"KÂR PAYI / AVANS*")&gt;0),$E30&amp;"|"&amp;COUNTIFS($E$7:$E30,$E30,$G$7:$G30,"KÂR PAYI / AVANS*"),"")</f>
        <v/>
      </c>
    </row>
    <row r="31" spans="1:13" ht="18" customHeight="1" x14ac:dyDescent="0.3">
      <c r="A31" s="2"/>
      <c r="B31" s="65" t="str">
        <f t="shared" si="0"/>
        <v>V00025</v>
      </c>
      <c r="C31" s="66">
        <v>46221</v>
      </c>
      <c r="D31" s="60" t="s">
        <v>717</v>
      </c>
      <c r="E31" s="60" t="s">
        <v>723</v>
      </c>
      <c r="F31" s="67">
        <v>5000</v>
      </c>
      <c r="G31" s="61" t="s">
        <v>742</v>
      </c>
      <c r="H31" s="61"/>
      <c r="I31" s="61"/>
      <c r="J31" s="65" t="str">
        <f t="shared" si="1"/>
        <v>UYGUN</v>
      </c>
      <c r="K31" s="65" t="str">
        <f>IF($E31="","",$E31&amp;"|"&amp;COUNTIFS($E$7:$E31,$E31))</f>
        <v>ÖMER KARTAL|24</v>
      </c>
      <c r="L31" s="65" t="str">
        <f>IF($D31="","",$D31&amp;"|"&amp;COUNTIFS($D$7:$D31,$D31))</f>
        <v>MERKEZ KASA|24</v>
      </c>
      <c r="M31" s="65" t="str">
        <f>IF(AND($E31&lt;&gt;"",COUNTIF($G31,"KÂR PAYI / AVANS*")&gt;0),$E31&amp;"|"&amp;COUNTIFS($E$7:$E31,$E31,$G$7:$G31,"KÂR PAYI / AVANS*"),"")</f>
        <v/>
      </c>
    </row>
    <row r="32" spans="1:13" ht="18" customHeight="1" x14ac:dyDescent="0.3">
      <c r="A32" s="2"/>
      <c r="B32" s="65" t="str">
        <f t="shared" si="0"/>
        <v>V00026</v>
      </c>
      <c r="C32" s="66">
        <v>46228</v>
      </c>
      <c r="D32" s="60" t="s">
        <v>717</v>
      </c>
      <c r="E32" s="60" t="s">
        <v>723</v>
      </c>
      <c r="F32" s="67">
        <v>5000</v>
      </c>
      <c r="G32" s="61" t="s">
        <v>742</v>
      </c>
      <c r="H32" s="61"/>
      <c r="I32" s="61"/>
      <c r="J32" s="65" t="str">
        <f t="shared" si="1"/>
        <v>UYGUN</v>
      </c>
      <c r="K32" s="65" t="str">
        <f>IF($E32="","",$E32&amp;"|"&amp;COUNTIFS($E$7:$E32,$E32))</f>
        <v>ÖMER KARTAL|25</v>
      </c>
      <c r="L32" s="65" t="str">
        <f>IF($D32="","",$D32&amp;"|"&amp;COUNTIFS($D$7:$D32,$D32))</f>
        <v>MERKEZ KASA|25</v>
      </c>
      <c r="M32" s="65" t="str">
        <f>IF(AND($E32&lt;&gt;"",COUNTIF($G32,"KÂR PAYI / AVANS*")&gt;0),$E32&amp;"|"&amp;COUNTIFS($E$7:$E32,$E32,$G$7:$G32,"KÂR PAYI / AVANS*"),"")</f>
        <v/>
      </c>
    </row>
    <row r="33" spans="1:13" ht="18" customHeight="1" x14ac:dyDescent="0.3">
      <c r="A33" s="2"/>
      <c r="B33" s="65" t="str">
        <f t="shared" si="0"/>
        <v>V00027</v>
      </c>
      <c r="C33" s="66">
        <v>46234</v>
      </c>
      <c r="D33" s="60" t="s">
        <v>717</v>
      </c>
      <c r="E33" s="60" t="s">
        <v>723</v>
      </c>
      <c r="F33" s="67">
        <v>12000</v>
      </c>
      <c r="G33" s="61" t="s">
        <v>962</v>
      </c>
      <c r="H33" s="61"/>
      <c r="I33" s="61"/>
      <c r="J33" s="65" t="str">
        <f t="shared" si="1"/>
        <v>UYGUN</v>
      </c>
      <c r="K33" s="65" t="str">
        <f>IF($E33="","",$E33&amp;"|"&amp;COUNTIFS($E$7:$E33,$E33))</f>
        <v>ÖMER KARTAL|26</v>
      </c>
      <c r="L33" s="65" t="str">
        <f>IF($D33="","",$D33&amp;"|"&amp;COUNTIFS($D$7:$D33,$D33))</f>
        <v>MERKEZ KASA|26</v>
      </c>
      <c r="M33" s="65" t="str">
        <f>IF(AND($E33&lt;&gt;"",COUNTIF($G33,"KÂR PAYI / AVANS*")&gt;0),$E33&amp;"|"&amp;COUNTIFS($E$7:$E33,$E33,$G$7:$G33,"KÂR PAYI / AVANS*"),"")</f>
        <v/>
      </c>
    </row>
    <row r="34" spans="1:13" ht="18" customHeight="1" x14ac:dyDescent="0.3">
      <c r="A34" s="2"/>
      <c r="B34" s="65" t="str">
        <f t="shared" si="0"/>
        <v>V00028</v>
      </c>
      <c r="C34" s="66">
        <v>46235</v>
      </c>
      <c r="D34" s="60" t="s">
        <v>717</v>
      </c>
      <c r="E34" s="60" t="s">
        <v>723</v>
      </c>
      <c r="F34" s="67">
        <v>5000</v>
      </c>
      <c r="G34" s="61" t="s">
        <v>742</v>
      </c>
      <c r="H34" s="61"/>
      <c r="I34" s="61"/>
      <c r="J34" s="65" t="str">
        <f t="shared" si="1"/>
        <v>UYGUN</v>
      </c>
      <c r="K34" s="65" t="str">
        <f>IF($E34="","",$E34&amp;"|"&amp;COUNTIFS($E$7:$E34,$E34))</f>
        <v>ÖMER KARTAL|27</v>
      </c>
      <c r="L34" s="65" t="str">
        <f>IF($D34="","",$D34&amp;"|"&amp;COUNTIFS($D$7:$D34,$D34))</f>
        <v>MERKEZ KASA|27</v>
      </c>
      <c r="M34" s="65" t="str">
        <f>IF(AND($E34&lt;&gt;"",COUNTIF($G34,"KÂR PAYI / AVANS*")&gt;0),$E34&amp;"|"&amp;COUNTIFS($E$7:$E34,$E34,$G$7:$G34,"KÂR PAYI / AVANS*"),"")</f>
        <v/>
      </c>
    </row>
    <row r="35" spans="1:13" ht="18" customHeight="1" x14ac:dyDescent="0.3">
      <c r="A35" s="2"/>
      <c r="B35" s="65" t="str">
        <f t="shared" si="0"/>
        <v>V00029</v>
      </c>
      <c r="C35" s="66">
        <v>46243</v>
      </c>
      <c r="D35" s="60" t="s">
        <v>717</v>
      </c>
      <c r="E35" s="60" t="s">
        <v>723</v>
      </c>
      <c r="F35" s="67">
        <v>9400</v>
      </c>
      <c r="G35" s="61" t="s">
        <v>971</v>
      </c>
      <c r="H35" s="61"/>
      <c r="I35" s="61"/>
      <c r="J35" s="65" t="str">
        <f t="shared" si="1"/>
        <v>UYGUN</v>
      </c>
      <c r="K35" s="65" t="str">
        <f>IF($E35="","",$E35&amp;"|"&amp;COUNTIFS($E$7:$E35,$E35))</f>
        <v>ÖMER KARTAL|28</v>
      </c>
      <c r="L35" s="65" t="str">
        <f>IF($D35="","",$D35&amp;"|"&amp;COUNTIFS($D$7:$D35,$D35))</f>
        <v>MERKEZ KASA|28</v>
      </c>
      <c r="M35" s="65" t="str">
        <f>IF(AND($E35&lt;&gt;"",COUNTIF($G35,"KÂR PAYI / AVANS*")&gt;0),$E35&amp;"|"&amp;COUNTIFS($E$7:$E35,$E35,$G$7:$G35,"KÂR PAYI / AVANS*"),"")</f>
        <v/>
      </c>
    </row>
    <row r="36" spans="1:13" ht="18" customHeight="1" x14ac:dyDescent="0.3">
      <c r="A36" s="2"/>
      <c r="B36" s="65" t="str">
        <f t="shared" si="0"/>
        <v>V00030</v>
      </c>
      <c r="C36" s="66">
        <v>46265</v>
      </c>
      <c r="D36" s="60" t="s">
        <v>717</v>
      </c>
      <c r="E36" s="60" t="s">
        <v>723</v>
      </c>
      <c r="F36" s="67">
        <v>12000</v>
      </c>
      <c r="G36" s="61" t="s">
        <v>962</v>
      </c>
      <c r="H36" s="61"/>
      <c r="I36" s="61"/>
      <c r="J36" s="65" t="str">
        <f t="shared" si="1"/>
        <v>UYGUN</v>
      </c>
      <c r="K36" s="65" t="str">
        <f>IF($E36="","",$E36&amp;"|"&amp;COUNTIFS($E$7:$E36,$E36))</f>
        <v>ÖMER KARTAL|29</v>
      </c>
      <c r="L36" s="65" t="str">
        <f>IF($D36="","",$D36&amp;"|"&amp;COUNTIFS($D$7:$D36,$D36))</f>
        <v>MERKEZ KASA|29</v>
      </c>
      <c r="M36" s="65" t="str">
        <f>IF(AND($E36&lt;&gt;"",COUNTIF($G36,"KÂR PAYI / AVANS*")&gt;0),$E36&amp;"|"&amp;COUNTIFS($E$7:$E36,$E36,$G$7:$G36,"KÂR PAYI / AVANS*"),"")</f>
        <v/>
      </c>
    </row>
    <row r="37" spans="1:13" ht="18" customHeight="1" x14ac:dyDescent="0.3">
      <c r="A37" s="2"/>
      <c r="B37" s="65" t="str">
        <f t="shared" si="0"/>
        <v>V00031</v>
      </c>
      <c r="C37" s="66">
        <v>46054</v>
      </c>
      <c r="D37" s="60" t="s">
        <v>723</v>
      </c>
      <c r="E37" s="60" t="s">
        <v>717</v>
      </c>
      <c r="F37" s="67">
        <v>32000</v>
      </c>
      <c r="G37" s="61" t="s">
        <v>972</v>
      </c>
      <c r="H37" s="61"/>
      <c r="I37" s="61"/>
      <c r="J37" s="65" t="str">
        <f t="shared" si="1"/>
        <v>UYGUN</v>
      </c>
      <c r="K37" s="65" t="str">
        <f>IF($E37="","",$E37&amp;"|"&amp;COUNTIFS($E$7:$E37,$E37))</f>
        <v>MERKEZ KASA|2</v>
      </c>
      <c r="L37" s="65" t="str">
        <f>IF($D37="","",$D37&amp;"|"&amp;COUNTIFS($D$7:$D37,$D37))</f>
        <v>ÖMER KARTAL|2</v>
      </c>
      <c r="M37" s="65" t="str">
        <f>IF(AND($E37&lt;&gt;"",COUNTIF($G37,"KÂR PAYI / AVANS*")&gt;0),$E37&amp;"|"&amp;COUNTIFS($E$7:$E37,$E37,$G$7:$G37,"KÂR PAYI / AVANS*"),"")</f>
        <v/>
      </c>
    </row>
    <row r="38" spans="1:13" ht="18" customHeight="1" x14ac:dyDescent="0.3">
      <c r="A38" s="2"/>
      <c r="B38" s="65" t="str">
        <f t="shared" si="0"/>
        <v>V00032</v>
      </c>
      <c r="C38" s="66">
        <v>46053</v>
      </c>
      <c r="D38" s="60" t="s">
        <v>717</v>
      </c>
      <c r="E38" s="60" t="s">
        <v>723</v>
      </c>
      <c r="F38" s="67">
        <v>127783.09</v>
      </c>
      <c r="G38" s="61" t="s">
        <v>973</v>
      </c>
      <c r="H38" s="61"/>
      <c r="I38" s="61"/>
      <c r="J38" s="65" t="str">
        <f t="shared" si="1"/>
        <v>UYGUN</v>
      </c>
      <c r="K38" s="65" t="str">
        <f>IF($E38="","",$E38&amp;"|"&amp;COUNTIFS($E$7:$E38,$E38))</f>
        <v>ÖMER KARTAL|30</v>
      </c>
      <c r="L38" s="65" t="str">
        <f>IF($D38="","",$D38&amp;"|"&amp;COUNTIFS($D$7:$D38,$D38))</f>
        <v>MERKEZ KASA|30</v>
      </c>
      <c r="M38" s="65" t="str">
        <f>IF(AND($E38&lt;&gt;"",COUNTIF($G38,"KÂR PAYI / AVANS*")&gt;0),$E38&amp;"|"&amp;COUNTIFS($E$7:$E38,$E38,$G$7:$G38,"KÂR PAYI / AVANS*"),"")</f>
        <v>ÖMER KARTAL|1</v>
      </c>
    </row>
    <row r="39" spans="1:13" ht="18" customHeight="1" x14ac:dyDescent="0.3">
      <c r="A39" s="2"/>
      <c r="B39" s="65" t="str">
        <f t="shared" si="0"/>
        <v>V00033</v>
      </c>
      <c r="C39" s="66">
        <v>46053</v>
      </c>
      <c r="D39" s="60" t="s">
        <v>717</v>
      </c>
      <c r="E39" s="60" t="s">
        <v>974</v>
      </c>
      <c r="F39" s="67">
        <v>127783.09</v>
      </c>
      <c r="G39" s="61" t="s">
        <v>975</v>
      </c>
      <c r="H39" s="61"/>
      <c r="I39" s="61"/>
      <c r="J39" s="65" t="str">
        <f t="shared" si="1"/>
        <v>UYGUN</v>
      </c>
      <c r="K39" s="65" t="str">
        <f>IF($E39="","",$E39&amp;"|"&amp;COUNTIFS($E$7:$E39,$E39))</f>
        <v>ALİ KILIÇ|1</v>
      </c>
      <c r="L39" s="65" t="str">
        <f>IF($D39="","",$D39&amp;"|"&amp;COUNTIFS($D$7:$D39,$D39))</f>
        <v>MERKEZ KASA|31</v>
      </c>
      <c r="M39" s="65" t="str">
        <f>IF(AND($E39&lt;&gt;"",COUNTIF($G39,"KÂR PAYI / AVANS*")&gt;0),$E39&amp;"|"&amp;COUNTIFS($E$7:$E39,$E39,$G$7:$G39,"KÂR PAYI / AVANS*"),"")</f>
        <v>ALİ KILIÇ|1</v>
      </c>
    </row>
    <row r="40" spans="1:13" ht="18" customHeight="1" x14ac:dyDescent="0.3">
      <c r="A40" s="2"/>
      <c r="B40" s="65" t="str">
        <f t="shared" si="0"/>
        <v>V00034</v>
      </c>
      <c r="C40" s="66">
        <v>46081</v>
      </c>
      <c r="D40" s="60" t="s">
        <v>717</v>
      </c>
      <c r="E40" s="60" t="s">
        <v>723</v>
      </c>
      <c r="F40" s="67">
        <v>10310.91</v>
      </c>
      <c r="G40" s="61" t="s">
        <v>976</v>
      </c>
      <c r="H40" s="61"/>
      <c r="I40" s="61"/>
      <c r="J40" s="65" t="str">
        <f t="shared" si="1"/>
        <v>UYGUN</v>
      </c>
      <c r="K40" s="65" t="str">
        <f>IF($E40="","",$E40&amp;"|"&amp;COUNTIFS($E$7:$E40,$E40))</f>
        <v>ÖMER KARTAL|31</v>
      </c>
      <c r="L40" s="65" t="str">
        <f>IF($D40="","",$D40&amp;"|"&amp;COUNTIFS($D$7:$D40,$D40))</f>
        <v>MERKEZ KASA|32</v>
      </c>
      <c r="M40" s="65" t="str">
        <f>IF(AND($E40&lt;&gt;"",COUNTIF($G40,"KÂR PAYI / AVANS*")&gt;0),$E40&amp;"|"&amp;COUNTIFS($E$7:$E40,$E40,$G$7:$G40,"KÂR PAYI / AVANS*"),"")</f>
        <v>ÖMER KARTAL|2</v>
      </c>
    </row>
    <row r="41" spans="1:13" ht="18" customHeight="1" x14ac:dyDescent="0.3">
      <c r="A41" s="2"/>
      <c r="B41" s="65" t="str">
        <f t="shared" si="0"/>
        <v>V00035</v>
      </c>
      <c r="C41" s="66">
        <v>46081</v>
      </c>
      <c r="D41" s="60" t="s">
        <v>717</v>
      </c>
      <c r="E41" s="60" t="s">
        <v>974</v>
      </c>
      <c r="F41" s="67">
        <v>10310.91</v>
      </c>
      <c r="G41" s="61" t="s">
        <v>977</v>
      </c>
      <c r="H41" s="61"/>
      <c r="I41" s="61"/>
      <c r="J41" s="65" t="str">
        <f t="shared" si="1"/>
        <v>UYGUN</v>
      </c>
      <c r="K41" s="65" t="str">
        <f>IF($E41="","",$E41&amp;"|"&amp;COUNTIFS($E$7:$E41,$E41))</f>
        <v>ALİ KILIÇ|2</v>
      </c>
      <c r="L41" s="65" t="str">
        <f>IF($D41="","",$D41&amp;"|"&amp;COUNTIFS($D$7:$D41,$D41))</f>
        <v>MERKEZ KASA|33</v>
      </c>
      <c r="M41" s="65" t="str">
        <f>IF(AND($E41&lt;&gt;"",COUNTIF($G41,"KÂR PAYI / AVANS*")&gt;0),$E41&amp;"|"&amp;COUNTIFS($E$7:$E41,$E41,$G$7:$G41,"KÂR PAYI / AVANS*"),"")</f>
        <v>ALİ KILIÇ|2</v>
      </c>
    </row>
    <row r="42" spans="1:13" ht="18" customHeight="1" x14ac:dyDescent="0.3">
      <c r="A42" s="2"/>
      <c r="B42" s="65" t="str">
        <f t="shared" si="0"/>
        <v>V00036</v>
      </c>
      <c r="C42" s="66">
        <v>46112</v>
      </c>
      <c r="D42" s="60" t="s">
        <v>717</v>
      </c>
      <c r="E42" s="60" t="s">
        <v>723</v>
      </c>
      <c r="F42" s="67">
        <v>77421.02</v>
      </c>
      <c r="G42" s="61" t="s">
        <v>978</v>
      </c>
      <c r="H42" s="61"/>
      <c r="I42" s="61"/>
      <c r="J42" s="65" t="str">
        <f t="shared" si="1"/>
        <v>UYGUN</v>
      </c>
      <c r="K42" s="65" t="str">
        <f>IF($E42="","",$E42&amp;"|"&amp;COUNTIFS($E$7:$E42,$E42))</f>
        <v>ÖMER KARTAL|32</v>
      </c>
      <c r="L42" s="65" t="str">
        <f>IF($D42="","",$D42&amp;"|"&amp;COUNTIFS($D$7:$D42,$D42))</f>
        <v>MERKEZ KASA|34</v>
      </c>
      <c r="M42" s="65" t="str">
        <f>IF(AND($E42&lt;&gt;"",COUNTIF($G42,"KÂR PAYI / AVANS*")&gt;0),$E42&amp;"|"&amp;COUNTIFS($E$7:$E42,$E42,$G$7:$G42,"KÂR PAYI / AVANS*"),"")</f>
        <v>ÖMER KARTAL|3</v>
      </c>
    </row>
    <row r="43" spans="1:13" ht="18" customHeight="1" x14ac:dyDescent="0.3">
      <c r="A43" s="2"/>
      <c r="B43" s="65" t="str">
        <f t="shared" si="0"/>
        <v>V00037</v>
      </c>
      <c r="C43" s="66">
        <v>46112</v>
      </c>
      <c r="D43" s="60" t="s">
        <v>717</v>
      </c>
      <c r="E43" s="60" t="s">
        <v>974</v>
      </c>
      <c r="F43" s="67">
        <v>77421.02</v>
      </c>
      <c r="G43" s="61" t="s">
        <v>979</v>
      </c>
      <c r="H43" s="61"/>
      <c r="I43" s="61"/>
      <c r="J43" s="65" t="str">
        <f t="shared" si="1"/>
        <v>UYGUN</v>
      </c>
      <c r="K43" s="65" t="str">
        <f>IF($E43="","",$E43&amp;"|"&amp;COUNTIFS($E$7:$E43,$E43))</f>
        <v>ALİ KILIÇ|3</v>
      </c>
      <c r="L43" s="65" t="str">
        <f>IF($D43="","",$D43&amp;"|"&amp;COUNTIFS($D$7:$D43,$D43))</f>
        <v>MERKEZ KASA|35</v>
      </c>
      <c r="M43" s="65" t="str">
        <f>IF(AND($E43&lt;&gt;"",COUNTIF($G43,"KÂR PAYI / AVANS*")&gt;0),$E43&amp;"|"&amp;COUNTIFS($E$7:$E43,$E43,$G$7:$G43,"KÂR PAYI / AVANS*"),"")</f>
        <v>ALİ KILIÇ|3</v>
      </c>
    </row>
    <row r="44" spans="1:13" ht="18" customHeight="1" x14ac:dyDescent="0.3">
      <c r="A44" s="2"/>
      <c r="B44" s="65" t="str">
        <f t="shared" si="0"/>
        <v>V00038</v>
      </c>
      <c r="C44" s="66">
        <v>46142</v>
      </c>
      <c r="D44" s="60" t="s">
        <v>717</v>
      </c>
      <c r="E44" s="60" t="s">
        <v>723</v>
      </c>
      <c r="F44" s="67">
        <v>137353</v>
      </c>
      <c r="G44" s="61" t="s">
        <v>980</v>
      </c>
      <c r="H44" s="61"/>
      <c r="I44" s="61"/>
      <c r="J44" s="65" t="str">
        <f t="shared" si="1"/>
        <v>UYGUN</v>
      </c>
      <c r="K44" s="65" t="str">
        <f>IF($E44="","",$E44&amp;"|"&amp;COUNTIFS($E$7:$E44,$E44))</f>
        <v>ÖMER KARTAL|33</v>
      </c>
      <c r="L44" s="65" t="str">
        <f>IF($D44="","",$D44&amp;"|"&amp;COUNTIFS($D$7:$D44,$D44))</f>
        <v>MERKEZ KASA|36</v>
      </c>
      <c r="M44" s="65" t="str">
        <f>IF(AND($E44&lt;&gt;"",COUNTIF($G44,"KÂR PAYI / AVANS*")&gt;0),$E44&amp;"|"&amp;COUNTIFS($E$7:$E44,$E44,$G$7:$G44,"KÂR PAYI / AVANS*"),"")</f>
        <v>ÖMER KARTAL|4</v>
      </c>
    </row>
    <row r="45" spans="1:13" ht="18" customHeight="1" x14ac:dyDescent="0.3">
      <c r="A45" s="2"/>
      <c r="B45" s="65" t="str">
        <f t="shared" si="0"/>
        <v>V00039</v>
      </c>
      <c r="C45" s="66">
        <v>46142</v>
      </c>
      <c r="D45" s="60" t="s">
        <v>717</v>
      </c>
      <c r="E45" s="60" t="s">
        <v>974</v>
      </c>
      <c r="F45" s="67">
        <v>137353</v>
      </c>
      <c r="G45" s="61" t="s">
        <v>981</v>
      </c>
      <c r="H45" s="61"/>
      <c r="I45" s="61"/>
      <c r="J45" s="65" t="str">
        <f t="shared" si="1"/>
        <v>UYGUN</v>
      </c>
      <c r="K45" s="65" t="str">
        <f>IF($E45="","",$E45&amp;"|"&amp;COUNTIFS($E$7:$E45,$E45))</f>
        <v>ALİ KILIÇ|4</v>
      </c>
      <c r="L45" s="65" t="str">
        <f>IF($D45="","",$D45&amp;"|"&amp;COUNTIFS($D$7:$D45,$D45))</f>
        <v>MERKEZ KASA|37</v>
      </c>
      <c r="M45" s="65" t="str">
        <f>IF(AND($E45&lt;&gt;"",COUNTIF($G45,"KÂR PAYI / AVANS*")&gt;0),$E45&amp;"|"&amp;COUNTIFS($E$7:$E45,$E45,$G$7:$G45,"KÂR PAYI / AVANS*"),"")</f>
        <v>ALİ KILIÇ|4</v>
      </c>
    </row>
    <row r="46" spans="1:13" ht="18" customHeight="1" x14ac:dyDescent="0.3">
      <c r="A46" s="2"/>
      <c r="B46" s="65" t="str">
        <f t="shared" si="0"/>
        <v>V00040</v>
      </c>
      <c r="C46" s="66">
        <v>46173</v>
      </c>
      <c r="D46" s="60" t="s">
        <v>717</v>
      </c>
      <c r="E46" s="60" t="s">
        <v>723</v>
      </c>
      <c r="F46" s="67">
        <v>109773</v>
      </c>
      <c r="G46" s="61" t="s">
        <v>982</v>
      </c>
      <c r="H46" s="61"/>
      <c r="I46" s="61"/>
      <c r="J46" s="65" t="str">
        <f t="shared" si="1"/>
        <v>UYGUN</v>
      </c>
      <c r="K46" s="65" t="str">
        <f>IF($E46="","",$E46&amp;"|"&amp;COUNTIFS($E$7:$E46,$E46))</f>
        <v>ÖMER KARTAL|34</v>
      </c>
      <c r="L46" s="65" t="str">
        <f>IF($D46="","",$D46&amp;"|"&amp;COUNTIFS($D$7:$D46,$D46))</f>
        <v>MERKEZ KASA|38</v>
      </c>
      <c r="M46" s="65" t="str">
        <f>IF(AND($E46&lt;&gt;"",COUNTIF($G46,"KÂR PAYI / AVANS*")&gt;0),$E46&amp;"|"&amp;COUNTIFS($E$7:$E46,$E46,$G$7:$G46,"KÂR PAYI / AVANS*"),"")</f>
        <v>ÖMER KARTAL|5</v>
      </c>
    </row>
    <row r="47" spans="1:13" ht="18" customHeight="1" x14ac:dyDescent="0.3">
      <c r="A47" s="2"/>
      <c r="B47" s="65" t="str">
        <f t="shared" si="0"/>
        <v>V00041</v>
      </c>
      <c r="C47" s="66">
        <v>46173</v>
      </c>
      <c r="D47" s="60" t="s">
        <v>717</v>
      </c>
      <c r="E47" s="60" t="s">
        <v>974</v>
      </c>
      <c r="F47" s="67">
        <v>109773</v>
      </c>
      <c r="G47" s="61" t="s">
        <v>983</v>
      </c>
      <c r="H47" s="61"/>
      <c r="I47" s="61"/>
      <c r="J47" s="65" t="str">
        <f t="shared" si="1"/>
        <v>UYGUN</v>
      </c>
      <c r="K47" s="65" t="str">
        <f>IF($E47="","",$E47&amp;"|"&amp;COUNTIFS($E$7:$E47,$E47))</f>
        <v>ALİ KILIÇ|5</v>
      </c>
      <c r="L47" s="65" t="str">
        <f>IF($D47="","",$D47&amp;"|"&amp;COUNTIFS($D$7:$D47,$D47))</f>
        <v>MERKEZ KASA|39</v>
      </c>
      <c r="M47" s="65" t="str">
        <f>IF(AND($E47&lt;&gt;"",COUNTIF($G47,"KÂR PAYI / AVANS*")&gt;0),$E47&amp;"|"&amp;COUNTIFS($E$7:$E47,$E47,$G$7:$G47,"KÂR PAYI / AVANS*"),"")</f>
        <v>ALİ KILIÇ|5</v>
      </c>
    </row>
    <row r="48" spans="1:13" ht="18" customHeight="1" x14ac:dyDescent="0.3">
      <c r="A48" s="2"/>
      <c r="B48" s="65" t="str">
        <f t="shared" si="0"/>
        <v>V00042</v>
      </c>
      <c r="C48" s="66">
        <v>46203</v>
      </c>
      <c r="D48" s="60" t="s">
        <v>717</v>
      </c>
      <c r="E48" s="60" t="s">
        <v>723</v>
      </c>
      <c r="F48" s="67">
        <v>113720</v>
      </c>
      <c r="G48" s="61" t="s">
        <v>984</v>
      </c>
      <c r="H48" s="61"/>
      <c r="I48" s="61"/>
      <c r="J48" s="65" t="str">
        <f t="shared" si="1"/>
        <v>UYGUN</v>
      </c>
      <c r="K48" s="65" t="str">
        <f>IF($E48="","",$E48&amp;"|"&amp;COUNTIFS($E$7:$E48,$E48))</f>
        <v>ÖMER KARTAL|35</v>
      </c>
      <c r="L48" s="65" t="str">
        <f>IF($D48="","",$D48&amp;"|"&amp;COUNTIFS($D$7:$D48,$D48))</f>
        <v>MERKEZ KASA|40</v>
      </c>
      <c r="M48" s="65" t="str">
        <f>IF(AND($E48&lt;&gt;"",COUNTIF($G48,"KÂR PAYI / AVANS*")&gt;0),$E48&amp;"|"&amp;COUNTIFS($E$7:$E48,$E48,$G$7:$G48,"KÂR PAYI / AVANS*"),"")</f>
        <v>ÖMER KARTAL|6</v>
      </c>
    </row>
    <row r="49" spans="1:13" ht="18" customHeight="1" x14ac:dyDescent="0.3">
      <c r="A49" s="2"/>
      <c r="B49" s="65" t="str">
        <f t="shared" si="0"/>
        <v>V00043</v>
      </c>
      <c r="C49" s="66">
        <v>46203</v>
      </c>
      <c r="D49" s="60" t="s">
        <v>717</v>
      </c>
      <c r="E49" s="60" t="s">
        <v>974</v>
      </c>
      <c r="F49" s="67">
        <v>113720</v>
      </c>
      <c r="G49" s="61" t="s">
        <v>985</v>
      </c>
      <c r="H49" s="61"/>
      <c r="I49" s="61"/>
      <c r="J49" s="65" t="str">
        <f t="shared" si="1"/>
        <v>UYGUN</v>
      </c>
      <c r="K49" s="65" t="str">
        <f>IF($E49="","",$E49&amp;"|"&amp;COUNTIFS($E$7:$E49,$E49))</f>
        <v>ALİ KILIÇ|6</v>
      </c>
      <c r="L49" s="65" t="str">
        <f>IF($D49="","",$D49&amp;"|"&amp;COUNTIFS($D$7:$D49,$D49))</f>
        <v>MERKEZ KASA|41</v>
      </c>
      <c r="M49" s="65" t="str">
        <f>IF(AND($E49&lt;&gt;"",COUNTIF($G49,"KÂR PAYI / AVANS*")&gt;0),$E49&amp;"|"&amp;COUNTIFS($E$7:$E49,$E49,$G$7:$G49,"KÂR PAYI / AVANS*"),"")</f>
        <v>ALİ KILIÇ|6</v>
      </c>
    </row>
    <row r="50" spans="1:13" ht="18" customHeight="1" x14ac:dyDescent="0.3">
      <c r="A50" s="2"/>
      <c r="B50" s="65" t="str">
        <f t="shared" si="0"/>
        <v>V00044</v>
      </c>
      <c r="C50" s="66">
        <v>46234</v>
      </c>
      <c r="D50" s="60" t="s">
        <v>717</v>
      </c>
      <c r="E50" s="60" t="s">
        <v>723</v>
      </c>
      <c r="F50" s="67">
        <v>58370</v>
      </c>
      <c r="G50" s="61" t="s">
        <v>986</v>
      </c>
      <c r="H50" s="61"/>
      <c r="I50" s="61"/>
      <c r="J50" s="65" t="str">
        <f t="shared" si="1"/>
        <v>UYGUN</v>
      </c>
      <c r="K50" s="65" t="str">
        <f>IF($E50="","",$E50&amp;"|"&amp;COUNTIFS($E$7:$E50,$E50))</f>
        <v>ÖMER KARTAL|36</v>
      </c>
      <c r="L50" s="65" t="str">
        <f>IF($D50="","",$D50&amp;"|"&amp;COUNTIFS($D$7:$D50,$D50))</f>
        <v>MERKEZ KASA|42</v>
      </c>
      <c r="M50" s="65" t="str">
        <f>IF(AND($E50&lt;&gt;"",COUNTIF($G50,"KÂR PAYI / AVANS*")&gt;0),$E50&amp;"|"&amp;COUNTIFS($E$7:$E50,$E50,$G$7:$G50,"KÂR PAYI / AVANS*"),"")</f>
        <v>ÖMER KARTAL|7</v>
      </c>
    </row>
    <row r="51" spans="1:13" ht="18" customHeight="1" x14ac:dyDescent="0.3">
      <c r="A51" s="2"/>
      <c r="B51" s="65" t="str">
        <f t="shared" si="0"/>
        <v>V00045</v>
      </c>
      <c r="C51" s="66">
        <v>46234</v>
      </c>
      <c r="D51" s="60" t="s">
        <v>717</v>
      </c>
      <c r="E51" s="60" t="s">
        <v>974</v>
      </c>
      <c r="F51" s="67">
        <v>58370</v>
      </c>
      <c r="G51" s="61" t="s">
        <v>987</v>
      </c>
      <c r="H51" s="61"/>
      <c r="I51" s="61"/>
      <c r="J51" s="65" t="str">
        <f t="shared" si="1"/>
        <v>UYGUN</v>
      </c>
      <c r="K51" s="65" t="str">
        <f>IF($E51="","",$E51&amp;"|"&amp;COUNTIFS($E$7:$E51,$E51))</f>
        <v>ALİ KILIÇ|7</v>
      </c>
      <c r="L51" s="65" t="str">
        <f>IF($D51="","",$D51&amp;"|"&amp;COUNTIFS($D$7:$D51,$D51))</f>
        <v>MERKEZ KASA|43</v>
      </c>
      <c r="M51" s="65" t="str">
        <f>IF(AND($E51&lt;&gt;"",COUNTIF($G51,"KÂR PAYI / AVANS*")&gt;0),$E51&amp;"|"&amp;COUNTIFS($E$7:$E51,$E51,$G$7:$G51,"KÂR PAYI / AVANS*"),"")</f>
        <v>ALİ KILIÇ|7</v>
      </c>
    </row>
    <row r="52" spans="1:13" ht="18" customHeight="1" x14ac:dyDescent="0.3">
      <c r="A52" s="2"/>
      <c r="B52" s="65" t="str">
        <f t="shared" si="0"/>
        <v/>
      </c>
      <c r="C52" s="66"/>
      <c r="D52" s="60"/>
      <c r="E52" s="60"/>
      <c r="F52" s="67"/>
      <c r="G52" s="61"/>
      <c r="H52" s="61"/>
      <c r="I52" s="61"/>
      <c r="J52" s="65" t="str">
        <f t="shared" si="1"/>
        <v/>
      </c>
      <c r="K52" s="65" t="str">
        <f>IF($E52="","",$E52&amp;"|"&amp;COUNTIFS($E$7:$E52,$E52))</f>
        <v/>
      </c>
      <c r="L52" s="65" t="str">
        <f>IF($D52="","",$D52&amp;"|"&amp;COUNTIFS($D$7:$D52,$D52))</f>
        <v/>
      </c>
      <c r="M52" s="65" t="str">
        <f>IF(AND($E52&lt;&gt;"",COUNTIF($G52,"KÂR PAYI / AVANS*")&gt;0),$E52&amp;"|"&amp;COUNTIFS($E$7:$E52,$E52,$G$7:$G52,"KÂR PAYI / AVANS*"),"")</f>
        <v/>
      </c>
    </row>
    <row r="53" spans="1:13" ht="18" customHeight="1" x14ac:dyDescent="0.3">
      <c r="A53" s="2"/>
      <c r="B53" s="65" t="str">
        <f t="shared" si="0"/>
        <v/>
      </c>
      <c r="C53" s="66"/>
      <c r="D53" s="60"/>
      <c r="E53" s="60"/>
      <c r="F53" s="67"/>
      <c r="G53" s="61"/>
      <c r="H53" s="61"/>
      <c r="I53" s="61"/>
      <c r="J53" s="65" t="str">
        <f t="shared" si="1"/>
        <v/>
      </c>
      <c r="K53" s="65" t="str">
        <f>IF($E53="","",$E53&amp;"|"&amp;COUNTIFS($E$7:$E53,$E53))</f>
        <v/>
      </c>
      <c r="L53" s="65" t="str">
        <f>IF($D53="","",$D53&amp;"|"&amp;COUNTIFS($D$7:$D53,$D53))</f>
        <v/>
      </c>
      <c r="M53" s="65" t="str">
        <f>IF(AND($E53&lt;&gt;"",COUNTIF($G53,"KÂR PAYI / AVANS*")&gt;0),$E53&amp;"|"&amp;COUNTIFS($E$7:$E53,$E53,$G$7:$G53,"KÂR PAYI / AVANS*"),"")</f>
        <v/>
      </c>
    </row>
    <row r="54" spans="1:13" ht="18" customHeight="1" x14ac:dyDescent="0.3">
      <c r="A54" s="2"/>
      <c r="B54" s="65" t="str">
        <f t="shared" si="0"/>
        <v/>
      </c>
      <c r="C54" s="66"/>
      <c r="D54" s="60"/>
      <c r="E54" s="60"/>
      <c r="F54" s="67"/>
      <c r="G54" s="61"/>
      <c r="H54" s="61"/>
      <c r="I54" s="61"/>
      <c r="J54" s="65" t="str">
        <f t="shared" si="1"/>
        <v/>
      </c>
      <c r="K54" s="65" t="str">
        <f>IF($E54="","",$E54&amp;"|"&amp;COUNTIFS($E$7:$E54,$E54))</f>
        <v/>
      </c>
      <c r="L54" s="65" t="str">
        <f>IF($D54="","",$D54&amp;"|"&amp;COUNTIFS($D$7:$D54,$D54))</f>
        <v/>
      </c>
      <c r="M54" s="65" t="str">
        <f>IF(AND($E54&lt;&gt;"",COUNTIF($G54,"KÂR PAYI / AVANS*")&gt;0),$E54&amp;"|"&amp;COUNTIFS($E$7:$E54,$E54,$G$7:$G54,"KÂR PAYI / AVANS*"),"")</f>
        <v/>
      </c>
    </row>
    <row r="55" spans="1:13" ht="18" customHeight="1" x14ac:dyDescent="0.3">
      <c r="A55" s="2"/>
      <c r="B55" s="65" t="str">
        <f t="shared" si="0"/>
        <v/>
      </c>
      <c r="C55" s="66"/>
      <c r="D55" s="60"/>
      <c r="E55" s="60"/>
      <c r="F55" s="67"/>
      <c r="G55" s="61"/>
      <c r="H55" s="61"/>
      <c r="I55" s="61"/>
      <c r="J55" s="65" t="str">
        <f t="shared" si="1"/>
        <v/>
      </c>
      <c r="K55" s="65" t="str">
        <f>IF($E55="","",$E55&amp;"|"&amp;COUNTIFS($E$7:$E55,$E55))</f>
        <v/>
      </c>
      <c r="L55" s="65" t="str">
        <f>IF($D55="","",$D55&amp;"|"&amp;COUNTIFS($D$7:$D55,$D55))</f>
        <v/>
      </c>
      <c r="M55" s="65" t="str">
        <f>IF(AND($E55&lt;&gt;"",COUNTIF($G55,"KÂR PAYI / AVANS*")&gt;0),$E55&amp;"|"&amp;COUNTIFS($E$7:$E55,$E55,$G$7:$G55,"KÂR PAYI / AVANS*"),"")</f>
        <v/>
      </c>
    </row>
    <row r="56" spans="1:13" ht="18" customHeight="1" x14ac:dyDescent="0.3">
      <c r="A56" s="2"/>
      <c r="B56" s="65" t="str">
        <f t="shared" si="0"/>
        <v/>
      </c>
      <c r="C56" s="66"/>
      <c r="D56" s="60"/>
      <c r="E56" s="60"/>
      <c r="F56" s="67"/>
      <c r="G56" s="61"/>
      <c r="H56" s="61"/>
      <c r="I56" s="61"/>
      <c r="J56" s="65" t="str">
        <f t="shared" si="1"/>
        <v/>
      </c>
      <c r="K56" s="65" t="str">
        <f>IF($E56="","",$E56&amp;"|"&amp;COUNTIFS($E$7:$E56,$E56))</f>
        <v/>
      </c>
      <c r="L56" s="65" t="str">
        <f>IF($D56="","",$D56&amp;"|"&amp;COUNTIFS($D$7:$D56,$D56))</f>
        <v/>
      </c>
      <c r="M56" s="65" t="str">
        <f>IF(AND($E56&lt;&gt;"",COUNTIF($G56,"KÂR PAYI / AVANS*")&gt;0),$E56&amp;"|"&amp;COUNTIFS($E$7:$E56,$E56,$G$7:$G56,"KÂR PAYI / AVANS*"),"")</f>
        <v/>
      </c>
    </row>
    <row r="57" spans="1:13" ht="18" customHeight="1" x14ac:dyDescent="0.3">
      <c r="A57" s="2"/>
      <c r="B57" s="65" t="str">
        <f t="shared" si="0"/>
        <v/>
      </c>
      <c r="C57" s="66"/>
      <c r="D57" s="60"/>
      <c r="E57" s="60"/>
      <c r="F57" s="67"/>
      <c r="G57" s="61"/>
      <c r="H57" s="61"/>
      <c r="I57" s="61"/>
      <c r="J57" s="65" t="str">
        <f t="shared" si="1"/>
        <v/>
      </c>
      <c r="K57" s="65" t="str">
        <f>IF($E57="","",$E57&amp;"|"&amp;COUNTIFS($E$7:$E57,$E57))</f>
        <v/>
      </c>
      <c r="L57" s="65" t="str">
        <f>IF($D57="","",$D57&amp;"|"&amp;COUNTIFS($D$7:$D57,$D57))</f>
        <v/>
      </c>
      <c r="M57" s="65" t="str">
        <f>IF(AND($E57&lt;&gt;"",COUNTIF($G57,"KÂR PAYI / AVANS*")&gt;0),$E57&amp;"|"&amp;COUNTIFS($E$7:$E57,$E57,$G$7:$G57,"KÂR PAYI / AVANS*"),"")</f>
        <v/>
      </c>
    </row>
    <row r="58" spans="1:13" ht="18" customHeight="1" x14ac:dyDescent="0.3">
      <c r="A58" s="2"/>
      <c r="B58" s="65" t="str">
        <f t="shared" si="0"/>
        <v/>
      </c>
      <c r="C58" s="66"/>
      <c r="D58" s="60"/>
      <c r="E58" s="60"/>
      <c r="F58" s="67"/>
      <c r="G58" s="61"/>
      <c r="H58" s="61"/>
      <c r="I58" s="61"/>
      <c r="J58" s="65" t="str">
        <f t="shared" si="1"/>
        <v/>
      </c>
      <c r="K58" s="65" t="str">
        <f>IF($E58="","",$E58&amp;"|"&amp;COUNTIFS($E$7:$E58,$E58))</f>
        <v/>
      </c>
      <c r="L58" s="65" t="str">
        <f>IF($D58="","",$D58&amp;"|"&amp;COUNTIFS($D$7:$D58,$D58))</f>
        <v/>
      </c>
      <c r="M58" s="65" t="str">
        <f>IF(AND($E58&lt;&gt;"",COUNTIF($G58,"KÂR PAYI / AVANS*")&gt;0),$E58&amp;"|"&amp;COUNTIFS($E$7:$E58,$E58,$G$7:$G58,"KÂR PAYI / AVANS*"),"")</f>
        <v/>
      </c>
    </row>
    <row r="59" spans="1:13" ht="18" customHeight="1" x14ac:dyDescent="0.3">
      <c r="A59" s="2"/>
      <c r="B59" s="65" t="str">
        <f t="shared" si="0"/>
        <v/>
      </c>
      <c r="C59" s="66"/>
      <c r="D59" s="60"/>
      <c r="E59" s="60"/>
      <c r="F59" s="67"/>
      <c r="G59" s="61"/>
      <c r="H59" s="61"/>
      <c r="I59" s="61"/>
      <c r="J59" s="65" t="str">
        <f t="shared" si="1"/>
        <v/>
      </c>
      <c r="K59" s="65" t="str">
        <f>IF($E59="","",$E59&amp;"|"&amp;COUNTIFS($E$7:$E59,$E59))</f>
        <v/>
      </c>
      <c r="L59" s="65" t="str">
        <f>IF($D59="","",$D59&amp;"|"&amp;COUNTIFS($D$7:$D59,$D59))</f>
        <v/>
      </c>
      <c r="M59" s="65" t="str">
        <f>IF(AND($E59&lt;&gt;"",COUNTIF($G59,"KÂR PAYI / AVANS*")&gt;0),$E59&amp;"|"&amp;COUNTIFS($E$7:$E59,$E59,$G$7:$G59,"KÂR PAYI / AVANS*"),"")</f>
        <v/>
      </c>
    </row>
    <row r="60" spans="1:13" ht="18" customHeight="1" x14ac:dyDescent="0.3">
      <c r="A60" s="2"/>
      <c r="B60" s="65" t="str">
        <f t="shared" si="0"/>
        <v/>
      </c>
      <c r="C60" s="66"/>
      <c r="D60" s="60"/>
      <c r="E60" s="60"/>
      <c r="F60" s="67"/>
      <c r="G60" s="61"/>
      <c r="H60" s="61"/>
      <c r="I60" s="61"/>
      <c r="J60" s="65" t="str">
        <f t="shared" si="1"/>
        <v/>
      </c>
      <c r="K60" s="65" t="str">
        <f>IF($E60="","",$E60&amp;"|"&amp;COUNTIFS($E$7:$E60,$E60))</f>
        <v/>
      </c>
      <c r="L60" s="65" t="str">
        <f>IF($D60="","",$D60&amp;"|"&amp;COUNTIFS($D$7:$D60,$D60))</f>
        <v/>
      </c>
      <c r="M60" s="65" t="str">
        <f>IF(AND($E60&lt;&gt;"",COUNTIF($G60,"KÂR PAYI / AVANS*")&gt;0),$E60&amp;"|"&amp;COUNTIFS($E$7:$E60,$E60,$G$7:$G60,"KÂR PAYI / AVANS*"),"")</f>
        <v/>
      </c>
    </row>
    <row r="61" spans="1:13" ht="18" customHeight="1" x14ac:dyDescent="0.3">
      <c r="A61" s="2"/>
      <c r="B61" s="65" t="str">
        <f t="shared" si="0"/>
        <v/>
      </c>
      <c r="C61" s="66"/>
      <c r="D61" s="60"/>
      <c r="E61" s="60"/>
      <c r="F61" s="67"/>
      <c r="G61" s="61"/>
      <c r="H61" s="61"/>
      <c r="I61" s="61"/>
      <c r="J61" s="65" t="str">
        <f t="shared" si="1"/>
        <v/>
      </c>
      <c r="K61" s="65" t="str">
        <f>IF($E61="","",$E61&amp;"|"&amp;COUNTIFS($E$7:$E61,$E61))</f>
        <v/>
      </c>
      <c r="L61" s="65" t="str">
        <f>IF($D61="","",$D61&amp;"|"&amp;COUNTIFS($D$7:$D61,$D61))</f>
        <v/>
      </c>
      <c r="M61" s="65" t="str">
        <f>IF(AND($E61&lt;&gt;"",COUNTIF($G61,"KÂR PAYI / AVANS*")&gt;0),$E61&amp;"|"&amp;COUNTIFS($E$7:$E61,$E61,$G$7:$G61,"KÂR PAYI / AVANS*"),"")</f>
        <v/>
      </c>
    </row>
    <row r="62" spans="1:13" ht="18" customHeight="1" x14ac:dyDescent="0.3">
      <c r="A62" s="2"/>
      <c r="B62" s="65" t="str">
        <f t="shared" si="0"/>
        <v/>
      </c>
      <c r="C62" s="66"/>
      <c r="D62" s="60"/>
      <c r="E62" s="60"/>
      <c r="F62" s="67"/>
      <c r="G62" s="61"/>
      <c r="H62" s="61"/>
      <c r="I62" s="61"/>
      <c r="J62" s="65" t="str">
        <f t="shared" si="1"/>
        <v/>
      </c>
      <c r="K62" s="65" t="str">
        <f>IF($E62="","",$E62&amp;"|"&amp;COUNTIFS($E$7:$E62,$E62))</f>
        <v/>
      </c>
      <c r="L62" s="65" t="str">
        <f>IF($D62="","",$D62&amp;"|"&amp;COUNTIFS($D$7:$D62,$D62))</f>
        <v/>
      </c>
      <c r="M62" s="65" t="str">
        <f>IF(AND($E62&lt;&gt;"",COUNTIF($G62,"KÂR PAYI / AVANS*")&gt;0),$E62&amp;"|"&amp;COUNTIFS($E$7:$E62,$E62,$G$7:$G62,"KÂR PAYI / AVANS*"),"")</f>
        <v/>
      </c>
    </row>
    <row r="63" spans="1:13" ht="18" customHeight="1" x14ac:dyDescent="0.3">
      <c r="A63" s="2"/>
      <c r="B63" s="65" t="str">
        <f t="shared" si="0"/>
        <v/>
      </c>
      <c r="C63" s="66"/>
      <c r="D63" s="60"/>
      <c r="E63" s="60"/>
      <c r="F63" s="67"/>
      <c r="G63" s="61"/>
      <c r="H63" s="61"/>
      <c r="I63" s="61"/>
      <c r="J63" s="65" t="str">
        <f t="shared" si="1"/>
        <v/>
      </c>
      <c r="K63" s="65" t="str">
        <f>IF($E63="","",$E63&amp;"|"&amp;COUNTIFS($E$7:$E63,$E63))</f>
        <v/>
      </c>
      <c r="L63" s="65" t="str">
        <f>IF($D63="","",$D63&amp;"|"&amp;COUNTIFS($D$7:$D63,$D63))</f>
        <v/>
      </c>
      <c r="M63" s="65" t="str">
        <f>IF(AND($E63&lt;&gt;"",COUNTIF($G63,"KÂR PAYI / AVANS*")&gt;0),$E63&amp;"|"&amp;COUNTIFS($E$7:$E63,$E63,$G$7:$G63,"KÂR PAYI / AVANS*"),"")</f>
        <v/>
      </c>
    </row>
    <row r="64" spans="1:13" ht="18" customHeight="1" x14ac:dyDescent="0.3">
      <c r="A64" s="2"/>
      <c r="B64" s="65" t="str">
        <f t="shared" si="0"/>
        <v/>
      </c>
      <c r="C64" s="66"/>
      <c r="D64" s="60"/>
      <c r="E64" s="60"/>
      <c r="F64" s="67"/>
      <c r="G64" s="61"/>
      <c r="H64" s="61"/>
      <c r="I64" s="61"/>
      <c r="J64" s="65" t="str">
        <f t="shared" si="1"/>
        <v/>
      </c>
      <c r="K64" s="65" t="str">
        <f>IF($E64="","",$E64&amp;"|"&amp;COUNTIFS($E$7:$E64,$E64))</f>
        <v/>
      </c>
      <c r="L64" s="65" t="str">
        <f>IF($D64="","",$D64&amp;"|"&amp;COUNTIFS($D$7:$D64,$D64))</f>
        <v/>
      </c>
      <c r="M64" s="65" t="str">
        <f>IF(AND($E64&lt;&gt;"",COUNTIF($G64,"KÂR PAYI / AVANS*")&gt;0),$E64&amp;"|"&amp;COUNTIFS($E$7:$E64,$E64,$G$7:$G64,"KÂR PAYI / AVANS*"),"")</f>
        <v/>
      </c>
    </row>
    <row r="65" spans="1:13" ht="18" customHeight="1" x14ac:dyDescent="0.3">
      <c r="A65" s="2"/>
      <c r="B65" s="65" t="str">
        <f t="shared" si="0"/>
        <v/>
      </c>
      <c r="C65" s="66"/>
      <c r="D65" s="60"/>
      <c r="E65" s="60"/>
      <c r="F65" s="67"/>
      <c r="G65" s="61"/>
      <c r="H65" s="61"/>
      <c r="I65" s="61"/>
      <c r="J65" s="65" t="str">
        <f t="shared" si="1"/>
        <v/>
      </c>
      <c r="K65" s="65" t="str">
        <f>IF($E65="","",$E65&amp;"|"&amp;COUNTIFS($E$7:$E65,$E65))</f>
        <v/>
      </c>
      <c r="L65" s="65" t="str">
        <f>IF($D65="","",$D65&amp;"|"&amp;COUNTIFS($D$7:$D65,$D65))</f>
        <v/>
      </c>
      <c r="M65" s="65" t="str">
        <f>IF(AND($E65&lt;&gt;"",COUNTIF($G65,"KÂR PAYI / AVANS*")&gt;0),$E65&amp;"|"&amp;COUNTIFS($E$7:$E65,$E65,$G$7:$G65,"KÂR PAYI / AVANS*"),"")</f>
        <v/>
      </c>
    </row>
    <row r="66" spans="1:13" ht="18" customHeight="1" x14ac:dyDescent="0.3">
      <c r="A66" s="2"/>
      <c r="B66" s="65" t="str">
        <f t="shared" si="0"/>
        <v/>
      </c>
      <c r="C66" s="66"/>
      <c r="D66" s="60"/>
      <c r="E66" s="60"/>
      <c r="F66" s="67"/>
      <c r="G66" s="61"/>
      <c r="H66" s="61"/>
      <c r="I66" s="61"/>
      <c r="J66" s="65" t="str">
        <f t="shared" si="1"/>
        <v/>
      </c>
      <c r="K66" s="65" t="str">
        <f>IF($E66="","",$E66&amp;"|"&amp;COUNTIFS($E$7:$E66,$E66))</f>
        <v/>
      </c>
      <c r="L66" s="65" t="str">
        <f>IF($D66="","",$D66&amp;"|"&amp;COUNTIFS($D$7:$D66,$D66))</f>
        <v/>
      </c>
      <c r="M66" s="65" t="str">
        <f>IF(AND($E66&lt;&gt;"",COUNTIF($G66,"KÂR PAYI / AVANS*")&gt;0),$E66&amp;"|"&amp;COUNTIFS($E$7:$E66,$E66,$G$7:$G66,"KÂR PAYI / AVANS*"),"")</f>
        <v/>
      </c>
    </row>
    <row r="67" spans="1:13" ht="18" customHeight="1" x14ac:dyDescent="0.3">
      <c r="A67" s="2"/>
      <c r="B67" s="65" t="str">
        <f t="shared" si="0"/>
        <v/>
      </c>
      <c r="C67" s="66"/>
      <c r="D67" s="60"/>
      <c r="E67" s="60"/>
      <c r="F67" s="67"/>
      <c r="G67" s="61"/>
      <c r="H67" s="61"/>
      <c r="I67" s="61"/>
      <c r="J67" s="65" t="str">
        <f t="shared" si="1"/>
        <v/>
      </c>
      <c r="K67" s="65" t="str">
        <f>IF($E67="","",$E67&amp;"|"&amp;COUNTIFS($E$7:$E67,$E67))</f>
        <v/>
      </c>
      <c r="L67" s="65" t="str">
        <f>IF($D67="","",$D67&amp;"|"&amp;COUNTIFS($D$7:$D67,$D67))</f>
        <v/>
      </c>
      <c r="M67" s="65" t="str">
        <f>IF(AND($E67&lt;&gt;"",COUNTIF($G67,"KÂR PAYI / AVANS*")&gt;0),$E67&amp;"|"&amp;COUNTIFS($E$7:$E67,$E67,$G$7:$G67,"KÂR PAYI / AVANS*"),"")</f>
        <v/>
      </c>
    </row>
    <row r="68" spans="1:13" ht="18" customHeight="1" x14ac:dyDescent="0.3">
      <c r="A68" s="2"/>
      <c r="B68" s="65" t="str">
        <f t="shared" si="0"/>
        <v/>
      </c>
      <c r="C68" s="66"/>
      <c r="D68" s="60"/>
      <c r="E68" s="60"/>
      <c r="F68" s="67"/>
      <c r="G68" s="61"/>
      <c r="H68" s="61"/>
      <c r="I68" s="61"/>
      <c r="J68" s="65" t="str">
        <f t="shared" si="1"/>
        <v/>
      </c>
      <c r="K68" s="65" t="str">
        <f>IF($E68="","",$E68&amp;"|"&amp;COUNTIFS($E$7:$E68,$E68))</f>
        <v/>
      </c>
      <c r="L68" s="65" t="str">
        <f>IF($D68="","",$D68&amp;"|"&amp;COUNTIFS($D$7:$D68,$D68))</f>
        <v/>
      </c>
      <c r="M68" s="65" t="str">
        <f>IF(AND($E68&lt;&gt;"",COUNTIF($G68,"KÂR PAYI / AVANS*")&gt;0),$E68&amp;"|"&amp;COUNTIFS($E$7:$E68,$E68,$G$7:$G68,"KÂR PAYI / AVANS*"),"")</f>
        <v/>
      </c>
    </row>
    <row r="69" spans="1:13" ht="18" customHeight="1" x14ac:dyDescent="0.3">
      <c r="A69" s="2"/>
      <c r="B69" s="65" t="str">
        <f t="shared" si="0"/>
        <v/>
      </c>
      <c r="C69" s="66"/>
      <c r="D69" s="60"/>
      <c r="E69" s="60"/>
      <c r="F69" s="67"/>
      <c r="G69" s="61"/>
      <c r="H69" s="61"/>
      <c r="I69" s="61"/>
      <c r="J69" s="65" t="str">
        <f t="shared" si="1"/>
        <v/>
      </c>
      <c r="K69" s="65" t="str">
        <f>IF($E69="","",$E69&amp;"|"&amp;COUNTIFS($E$7:$E69,$E69))</f>
        <v/>
      </c>
      <c r="L69" s="65" t="str">
        <f>IF($D69="","",$D69&amp;"|"&amp;COUNTIFS($D$7:$D69,$D69))</f>
        <v/>
      </c>
      <c r="M69" s="65" t="str">
        <f>IF(AND($E69&lt;&gt;"",COUNTIF($G69,"KÂR PAYI / AVANS*")&gt;0),$E69&amp;"|"&amp;COUNTIFS($E$7:$E69,$E69,$G$7:$G69,"KÂR PAYI / AVANS*"),"")</f>
        <v/>
      </c>
    </row>
    <row r="70" spans="1:13" ht="18" customHeight="1" x14ac:dyDescent="0.3">
      <c r="A70" s="2"/>
      <c r="B70" s="65" t="str">
        <f t="shared" si="0"/>
        <v/>
      </c>
      <c r="C70" s="66"/>
      <c r="D70" s="60"/>
      <c r="E70" s="60"/>
      <c r="F70" s="67"/>
      <c r="G70" s="61"/>
      <c r="H70" s="61"/>
      <c r="I70" s="61"/>
      <c r="J70" s="65" t="str">
        <f t="shared" si="1"/>
        <v/>
      </c>
      <c r="K70" s="65" t="str">
        <f>IF($E70="","",$E70&amp;"|"&amp;COUNTIFS($E$7:$E70,$E70))</f>
        <v/>
      </c>
      <c r="L70" s="65" t="str">
        <f>IF($D70="","",$D70&amp;"|"&amp;COUNTIFS($D$7:$D70,$D70))</f>
        <v/>
      </c>
      <c r="M70" s="65" t="str">
        <f>IF(AND($E70&lt;&gt;"",COUNTIF($G70,"KÂR PAYI / AVANS*")&gt;0),$E70&amp;"|"&amp;COUNTIFS($E$7:$E70,$E70,$G$7:$G70,"KÂR PAYI / AVANS*"),"")</f>
        <v/>
      </c>
    </row>
    <row r="71" spans="1:13" ht="18" customHeight="1" x14ac:dyDescent="0.3">
      <c r="A71" s="2"/>
      <c r="B71" s="65" t="str">
        <f t="shared" ref="B71:B134" si="2">IF($C71="","","V"&amp;TEXT(ROW()-6,"00000"))</f>
        <v/>
      </c>
      <c r="C71" s="66"/>
      <c r="D71" s="60"/>
      <c r="E71" s="60"/>
      <c r="F71" s="67"/>
      <c r="G71" s="61"/>
      <c r="H71" s="61"/>
      <c r="I71" s="61"/>
      <c r="J71" s="65" t="str">
        <f t="shared" ref="J71:J134" si="3">IF($C71="","",IF(AND($D71&lt;&gt;"",$E71&lt;&gt;"",$D71&lt;&gt;$E71,$F71&gt;0),"UYGUN","HATA"))</f>
        <v/>
      </c>
      <c r="K71" s="65" t="str">
        <f>IF($E71="","",$E71&amp;"|"&amp;COUNTIFS($E$7:$E71,$E71))</f>
        <v/>
      </c>
      <c r="L71" s="65" t="str">
        <f>IF($D71="","",$D71&amp;"|"&amp;COUNTIFS($D$7:$D71,$D71))</f>
        <v/>
      </c>
      <c r="M71" s="65" t="str">
        <f>IF(AND($E71&lt;&gt;"",COUNTIF($G71,"KÂR PAYI / AVANS*")&gt;0),$E71&amp;"|"&amp;COUNTIFS($E$7:$E71,$E71,$G$7:$G71,"KÂR PAYI / AVANS*"),"")</f>
        <v/>
      </c>
    </row>
    <row r="72" spans="1:13" ht="18" customHeight="1" x14ac:dyDescent="0.3">
      <c r="A72" s="2"/>
      <c r="B72" s="65" t="str">
        <f t="shared" si="2"/>
        <v/>
      </c>
      <c r="C72" s="66"/>
      <c r="D72" s="60"/>
      <c r="E72" s="60"/>
      <c r="F72" s="67"/>
      <c r="G72" s="61"/>
      <c r="H72" s="61"/>
      <c r="I72" s="61"/>
      <c r="J72" s="65" t="str">
        <f t="shared" si="3"/>
        <v/>
      </c>
      <c r="K72" s="65" t="str">
        <f>IF($E72="","",$E72&amp;"|"&amp;COUNTIFS($E$7:$E72,$E72))</f>
        <v/>
      </c>
      <c r="L72" s="65" t="str">
        <f>IF($D72="","",$D72&amp;"|"&amp;COUNTIFS($D$7:$D72,$D72))</f>
        <v/>
      </c>
      <c r="M72" s="65" t="str">
        <f>IF(AND($E72&lt;&gt;"",COUNTIF($G72,"KÂR PAYI / AVANS*")&gt;0),$E72&amp;"|"&amp;COUNTIFS($E$7:$E72,$E72,$G$7:$G72,"KÂR PAYI / AVANS*"),"")</f>
        <v/>
      </c>
    </row>
    <row r="73" spans="1:13" ht="18" customHeight="1" x14ac:dyDescent="0.3">
      <c r="A73" s="2"/>
      <c r="B73" s="65" t="str">
        <f t="shared" si="2"/>
        <v/>
      </c>
      <c r="C73" s="66"/>
      <c r="D73" s="60"/>
      <c r="E73" s="60"/>
      <c r="F73" s="67"/>
      <c r="G73" s="61"/>
      <c r="H73" s="61"/>
      <c r="I73" s="61"/>
      <c r="J73" s="65" t="str">
        <f t="shared" si="3"/>
        <v/>
      </c>
      <c r="K73" s="65" t="str">
        <f>IF($E73="","",$E73&amp;"|"&amp;COUNTIFS($E$7:$E73,$E73))</f>
        <v/>
      </c>
      <c r="L73" s="65" t="str">
        <f>IF($D73="","",$D73&amp;"|"&amp;COUNTIFS($D$7:$D73,$D73))</f>
        <v/>
      </c>
      <c r="M73" s="65" t="str">
        <f>IF(AND($E73&lt;&gt;"",COUNTIF($G73,"KÂR PAYI / AVANS*")&gt;0),$E73&amp;"|"&amp;COUNTIFS($E$7:$E73,$E73,$G$7:$G73,"KÂR PAYI / AVANS*"),"")</f>
        <v/>
      </c>
    </row>
    <row r="74" spans="1:13" ht="18" customHeight="1" x14ac:dyDescent="0.3">
      <c r="A74" s="2"/>
      <c r="B74" s="65" t="str">
        <f t="shared" si="2"/>
        <v/>
      </c>
      <c r="C74" s="66"/>
      <c r="D74" s="60"/>
      <c r="E74" s="60"/>
      <c r="F74" s="67"/>
      <c r="G74" s="61"/>
      <c r="H74" s="61"/>
      <c r="I74" s="61"/>
      <c r="J74" s="65" t="str">
        <f t="shared" si="3"/>
        <v/>
      </c>
      <c r="K74" s="65" t="str">
        <f>IF($E74="","",$E74&amp;"|"&amp;COUNTIFS($E$7:$E74,$E74))</f>
        <v/>
      </c>
      <c r="L74" s="65" t="str">
        <f>IF($D74="","",$D74&amp;"|"&amp;COUNTIFS($D$7:$D74,$D74))</f>
        <v/>
      </c>
      <c r="M74" s="65" t="str">
        <f>IF(AND($E74&lt;&gt;"",COUNTIF($G74,"KÂR PAYI / AVANS*")&gt;0),$E74&amp;"|"&amp;COUNTIFS($E$7:$E74,$E74,$G$7:$G74,"KÂR PAYI / AVANS*"),"")</f>
        <v/>
      </c>
    </row>
    <row r="75" spans="1:13" ht="18" customHeight="1" x14ac:dyDescent="0.3">
      <c r="A75" s="2"/>
      <c r="B75" s="65" t="str">
        <f t="shared" si="2"/>
        <v/>
      </c>
      <c r="C75" s="66"/>
      <c r="D75" s="60"/>
      <c r="E75" s="60"/>
      <c r="F75" s="67"/>
      <c r="G75" s="61"/>
      <c r="H75" s="61"/>
      <c r="I75" s="61"/>
      <c r="J75" s="65" t="str">
        <f t="shared" si="3"/>
        <v/>
      </c>
      <c r="K75" s="65" t="str">
        <f>IF($E75="","",$E75&amp;"|"&amp;COUNTIFS($E$7:$E75,$E75))</f>
        <v/>
      </c>
      <c r="L75" s="65" t="str">
        <f>IF($D75="","",$D75&amp;"|"&amp;COUNTIFS($D$7:$D75,$D75))</f>
        <v/>
      </c>
      <c r="M75" s="65" t="str">
        <f>IF(AND($E75&lt;&gt;"",COUNTIF($G75,"KÂR PAYI / AVANS*")&gt;0),$E75&amp;"|"&amp;COUNTIFS($E$7:$E75,$E75,$G$7:$G75,"KÂR PAYI / AVANS*"),"")</f>
        <v/>
      </c>
    </row>
    <row r="76" spans="1:13" ht="18" customHeight="1" x14ac:dyDescent="0.3">
      <c r="A76" s="2"/>
      <c r="B76" s="65" t="str">
        <f t="shared" si="2"/>
        <v/>
      </c>
      <c r="C76" s="66"/>
      <c r="D76" s="60"/>
      <c r="E76" s="60"/>
      <c r="F76" s="67"/>
      <c r="G76" s="61"/>
      <c r="H76" s="61"/>
      <c r="I76" s="61"/>
      <c r="J76" s="65" t="str">
        <f t="shared" si="3"/>
        <v/>
      </c>
      <c r="K76" s="65" t="str">
        <f>IF($E76="","",$E76&amp;"|"&amp;COUNTIFS($E$7:$E76,$E76))</f>
        <v/>
      </c>
      <c r="L76" s="65" t="str">
        <f>IF($D76="","",$D76&amp;"|"&amp;COUNTIFS($D$7:$D76,$D76))</f>
        <v/>
      </c>
      <c r="M76" s="65" t="str">
        <f>IF(AND($E76&lt;&gt;"",COUNTIF($G76,"KÂR PAYI / AVANS*")&gt;0),$E76&amp;"|"&amp;COUNTIFS($E$7:$E76,$E76,$G$7:$G76,"KÂR PAYI / AVANS*"),"")</f>
        <v/>
      </c>
    </row>
    <row r="77" spans="1:13" ht="18" customHeight="1" x14ac:dyDescent="0.3">
      <c r="A77" s="2"/>
      <c r="B77" s="65" t="str">
        <f t="shared" si="2"/>
        <v/>
      </c>
      <c r="C77" s="66"/>
      <c r="D77" s="60"/>
      <c r="E77" s="60"/>
      <c r="F77" s="67"/>
      <c r="G77" s="61"/>
      <c r="H77" s="61"/>
      <c r="I77" s="61"/>
      <c r="J77" s="65" t="str">
        <f t="shared" si="3"/>
        <v/>
      </c>
      <c r="K77" s="65" t="str">
        <f>IF($E77="","",$E77&amp;"|"&amp;COUNTIFS($E$7:$E77,$E77))</f>
        <v/>
      </c>
      <c r="L77" s="65" t="str">
        <f>IF($D77="","",$D77&amp;"|"&amp;COUNTIFS($D$7:$D77,$D77))</f>
        <v/>
      </c>
      <c r="M77" s="65" t="str">
        <f>IF(AND($E77&lt;&gt;"",COUNTIF($G77,"KÂR PAYI / AVANS*")&gt;0),$E77&amp;"|"&amp;COUNTIFS($E$7:$E77,$E77,$G$7:$G77,"KÂR PAYI / AVANS*"),"")</f>
        <v/>
      </c>
    </row>
    <row r="78" spans="1:13" ht="18" customHeight="1" x14ac:dyDescent="0.3">
      <c r="A78" s="2"/>
      <c r="B78" s="65" t="str">
        <f t="shared" si="2"/>
        <v/>
      </c>
      <c r="C78" s="66"/>
      <c r="D78" s="60"/>
      <c r="E78" s="60"/>
      <c r="F78" s="67"/>
      <c r="G78" s="61"/>
      <c r="H78" s="61"/>
      <c r="I78" s="61"/>
      <c r="J78" s="65" t="str">
        <f t="shared" si="3"/>
        <v/>
      </c>
      <c r="K78" s="65" t="str">
        <f>IF($E78="","",$E78&amp;"|"&amp;COUNTIFS($E$7:$E78,$E78))</f>
        <v/>
      </c>
      <c r="L78" s="65" t="str">
        <f>IF($D78="","",$D78&amp;"|"&amp;COUNTIFS($D$7:$D78,$D78))</f>
        <v/>
      </c>
      <c r="M78" s="65" t="str">
        <f>IF(AND($E78&lt;&gt;"",COUNTIF($G78,"KÂR PAYI / AVANS*")&gt;0),$E78&amp;"|"&amp;COUNTIFS($E$7:$E78,$E78,$G$7:$G78,"KÂR PAYI / AVANS*"),"")</f>
        <v/>
      </c>
    </row>
    <row r="79" spans="1:13" ht="18" customHeight="1" x14ac:dyDescent="0.3">
      <c r="A79" s="2"/>
      <c r="B79" s="65" t="str">
        <f t="shared" si="2"/>
        <v/>
      </c>
      <c r="C79" s="66"/>
      <c r="D79" s="60"/>
      <c r="E79" s="60"/>
      <c r="F79" s="67"/>
      <c r="G79" s="61"/>
      <c r="H79" s="61"/>
      <c r="I79" s="61"/>
      <c r="J79" s="65" t="str">
        <f t="shared" si="3"/>
        <v/>
      </c>
      <c r="K79" s="65" t="str">
        <f>IF($E79="","",$E79&amp;"|"&amp;COUNTIFS($E$7:$E79,$E79))</f>
        <v/>
      </c>
      <c r="L79" s="65" t="str">
        <f>IF($D79="","",$D79&amp;"|"&amp;COUNTIFS($D$7:$D79,$D79))</f>
        <v/>
      </c>
      <c r="M79" s="65" t="str">
        <f>IF(AND($E79&lt;&gt;"",COUNTIF($G79,"KÂR PAYI / AVANS*")&gt;0),$E79&amp;"|"&amp;COUNTIFS($E$7:$E79,$E79,$G$7:$G79,"KÂR PAYI / AVANS*"),"")</f>
        <v/>
      </c>
    </row>
    <row r="80" spans="1:13" ht="18" customHeight="1" x14ac:dyDescent="0.3">
      <c r="A80" s="2"/>
      <c r="B80" s="65" t="str">
        <f t="shared" si="2"/>
        <v/>
      </c>
      <c r="C80" s="66"/>
      <c r="D80" s="60"/>
      <c r="E80" s="60"/>
      <c r="F80" s="67"/>
      <c r="G80" s="61"/>
      <c r="H80" s="61"/>
      <c r="I80" s="61"/>
      <c r="J80" s="65" t="str">
        <f t="shared" si="3"/>
        <v/>
      </c>
      <c r="K80" s="65" t="str">
        <f>IF($E80="","",$E80&amp;"|"&amp;COUNTIFS($E$7:$E80,$E80))</f>
        <v/>
      </c>
      <c r="L80" s="65" t="str">
        <f>IF($D80="","",$D80&amp;"|"&amp;COUNTIFS($D$7:$D80,$D80))</f>
        <v/>
      </c>
      <c r="M80" s="65" t="str">
        <f>IF(AND($E80&lt;&gt;"",COUNTIF($G80,"KÂR PAYI / AVANS*")&gt;0),$E80&amp;"|"&amp;COUNTIFS($E$7:$E80,$E80,$G$7:$G80,"KÂR PAYI / AVANS*"),"")</f>
        <v/>
      </c>
    </row>
    <row r="81" spans="1:13" ht="18" customHeight="1" x14ac:dyDescent="0.3">
      <c r="A81" s="2"/>
      <c r="B81" s="65" t="str">
        <f t="shared" si="2"/>
        <v/>
      </c>
      <c r="C81" s="66"/>
      <c r="D81" s="60"/>
      <c r="E81" s="60"/>
      <c r="F81" s="67"/>
      <c r="G81" s="61"/>
      <c r="H81" s="61"/>
      <c r="I81" s="61"/>
      <c r="J81" s="65" t="str">
        <f t="shared" si="3"/>
        <v/>
      </c>
      <c r="K81" s="65" t="str">
        <f>IF($E81="","",$E81&amp;"|"&amp;COUNTIFS($E$7:$E81,$E81))</f>
        <v/>
      </c>
      <c r="L81" s="65" t="str">
        <f>IF($D81="","",$D81&amp;"|"&amp;COUNTIFS($D$7:$D81,$D81))</f>
        <v/>
      </c>
      <c r="M81" s="65" t="str">
        <f>IF(AND($E81&lt;&gt;"",COUNTIF($G81,"KÂR PAYI / AVANS*")&gt;0),$E81&amp;"|"&amp;COUNTIFS($E$7:$E81,$E81,$G$7:$G81,"KÂR PAYI / AVANS*"),"")</f>
        <v/>
      </c>
    </row>
    <row r="82" spans="1:13" ht="18" customHeight="1" x14ac:dyDescent="0.3">
      <c r="A82" s="2"/>
      <c r="B82" s="65" t="str">
        <f t="shared" si="2"/>
        <v/>
      </c>
      <c r="C82" s="66"/>
      <c r="D82" s="60"/>
      <c r="E82" s="60"/>
      <c r="F82" s="67"/>
      <c r="G82" s="61"/>
      <c r="H82" s="61"/>
      <c r="I82" s="61"/>
      <c r="J82" s="65" t="str">
        <f t="shared" si="3"/>
        <v/>
      </c>
      <c r="K82" s="65" t="str">
        <f>IF($E82="","",$E82&amp;"|"&amp;COUNTIFS($E$7:$E82,$E82))</f>
        <v/>
      </c>
      <c r="L82" s="65" t="str">
        <f>IF($D82="","",$D82&amp;"|"&amp;COUNTIFS($D$7:$D82,$D82))</f>
        <v/>
      </c>
      <c r="M82" s="65" t="str">
        <f>IF(AND($E82&lt;&gt;"",COUNTIF($G82,"KÂR PAYI / AVANS*")&gt;0),$E82&amp;"|"&amp;COUNTIFS($E$7:$E82,$E82,$G$7:$G82,"KÂR PAYI / AVANS*"),"")</f>
        <v/>
      </c>
    </row>
    <row r="83" spans="1:13" ht="18" customHeight="1" x14ac:dyDescent="0.3">
      <c r="A83" s="2"/>
      <c r="B83" s="65" t="str">
        <f t="shared" si="2"/>
        <v/>
      </c>
      <c r="C83" s="66"/>
      <c r="D83" s="60"/>
      <c r="E83" s="60"/>
      <c r="F83" s="67"/>
      <c r="G83" s="61"/>
      <c r="H83" s="61"/>
      <c r="I83" s="61"/>
      <c r="J83" s="65" t="str">
        <f t="shared" si="3"/>
        <v/>
      </c>
      <c r="K83" s="65" t="str">
        <f>IF($E83="","",$E83&amp;"|"&amp;COUNTIFS($E$7:$E83,$E83))</f>
        <v/>
      </c>
      <c r="L83" s="65" t="str">
        <f>IF($D83="","",$D83&amp;"|"&amp;COUNTIFS($D$7:$D83,$D83))</f>
        <v/>
      </c>
      <c r="M83" s="65" t="str">
        <f>IF(AND($E83&lt;&gt;"",COUNTIF($G83,"KÂR PAYI / AVANS*")&gt;0),$E83&amp;"|"&amp;COUNTIFS($E$7:$E83,$E83,$G$7:$G83,"KÂR PAYI / AVANS*"),"")</f>
        <v/>
      </c>
    </row>
    <row r="84" spans="1:13" ht="18" customHeight="1" x14ac:dyDescent="0.3">
      <c r="A84" s="2"/>
      <c r="B84" s="65" t="str">
        <f t="shared" si="2"/>
        <v/>
      </c>
      <c r="C84" s="66"/>
      <c r="D84" s="60"/>
      <c r="E84" s="60"/>
      <c r="F84" s="67"/>
      <c r="G84" s="61"/>
      <c r="H84" s="61"/>
      <c r="I84" s="61"/>
      <c r="J84" s="65" t="str">
        <f t="shared" si="3"/>
        <v/>
      </c>
      <c r="K84" s="65" t="str">
        <f>IF($E84="","",$E84&amp;"|"&amp;COUNTIFS($E$7:$E84,$E84))</f>
        <v/>
      </c>
      <c r="L84" s="65" t="str">
        <f>IF($D84="","",$D84&amp;"|"&amp;COUNTIFS($D$7:$D84,$D84))</f>
        <v/>
      </c>
      <c r="M84" s="65" t="str">
        <f>IF(AND($E84&lt;&gt;"",COUNTIF($G84,"KÂR PAYI / AVANS*")&gt;0),$E84&amp;"|"&amp;COUNTIFS($E$7:$E84,$E84,$G$7:$G84,"KÂR PAYI / AVANS*"),"")</f>
        <v/>
      </c>
    </row>
    <row r="85" spans="1:13" ht="18" customHeight="1" x14ac:dyDescent="0.3">
      <c r="A85" s="2"/>
      <c r="B85" s="65" t="str">
        <f t="shared" si="2"/>
        <v/>
      </c>
      <c r="C85" s="66"/>
      <c r="D85" s="60"/>
      <c r="E85" s="60"/>
      <c r="F85" s="67"/>
      <c r="G85" s="61"/>
      <c r="H85" s="61"/>
      <c r="I85" s="61"/>
      <c r="J85" s="65" t="str">
        <f t="shared" si="3"/>
        <v/>
      </c>
      <c r="K85" s="65" t="str">
        <f>IF($E85="","",$E85&amp;"|"&amp;COUNTIFS($E$7:$E85,$E85))</f>
        <v/>
      </c>
      <c r="L85" s="65" t="str">
        <f>IF($D85="","",$D85&amp;"|"&amp;COUNTIFS($D$7:$D85,$D85))</f>
        <v/>
      </c>
      <c r="M85" s="65" t="str">
        <f>IF(AND($E85&lt;&gt;"",COUNTIF($G85,"KÂR PAYI / AVANS*")&gt;0),$E85&amp;"|"&amp;COUNTIFS($E$7:$E85,$E85,$G$7:$G85,"KÂR PAYI / AVANS*"),"")</f>
        <v/>
      </c>
    </row>
    <row r="86" spans="1:13" ht="18" customHeight="1" x14ac:dyDescent="0.3">
      <c r="A86" s="2"/>
      <c r="B86" s="65" t="str">
        <f t="shared" si="2"/>
        <v/>
      </c>
      <c r="C86" s="66"/>
      <c r="D86" s="60"/>
      <c r="E86" s="60"/>
      <c r="F86" s="67"/>
      <c r="G86" s="61"/>
      <c r="H86" s="61"/>
      <c r="I86" s="61"/>
      <c r="J86" s="65" t="str">
        <f t="shared" si="3"/>
        <v/>
      </c>
      <c r="K86" s="65" t="str">
        <f>IF($E86="","",$E86&amp;"|"&amp;COUNTIFS($E$7:$E86,$E86))</f>
        <v/>
      </c>
      <c r="L86" s="65" t="str">
        <f>IF($D86="","",$D86&amp;"|"&amp;COUNTIFS($D$7:$D86,$D86))</f>
        <v/>
      </c>
      <c r="M86" s="65" t="str">
        <f>IF(AND($E86&lt;&gt;"",COUNTIF($G86,"KÂR PAYI / AVANS*")&gt;0),$E86&amp;"|"&amp;COUNTIFS($E$7:$E86,$E86,$G$7:$G86,"KÂR PAYI / AVANS*"),"")</f>
        <v/>
      </c>
    </row>
    <row r="87" spans="1:13" ht="18" customHeight="1" x14ac:dyDescent="0.3">
      <c r="A87" s="2"/>
      <c r="B87" s="65" t="str">
        <f t="shared" si="2"/>
        <v/>
      </c>
      <c r="C87" s="66"/>
      <c r="D87" s="60"/>
      <c r="E87" s="60"/>
      <c r="F87" s="67"/>
      <c r="G87" s="61"/>
      <c r="H87" s="61"/>
      <c r="I87" s="61"/>
      <c r="J87" s="65" t="str">
        <f t="shared" si="3"/>
        <v/>
      </c>
      <c r="K87" s="65" t="str">
        <f>IF($E87="","",$E87&amp;"|"&amp;COUNTIFS($E$7:$E87,$E87))</f>
        <v/>
      </c>
      <c r="L87" s="65" t="str">
        <f>IF($D87="","",$D87&amp;"|"&amp;COUNTIFS($D$7:$D87,$D87))</f>
        <v/>
      </c>
      <c r="M87" s="65" t="str">
        <f>IF(AND($E87&lt;&gt;"",COUNTIF($G87,"KÂR PAYI / AVANS*")&gt;0),$E87&amp;"|"&amp;COUNTIFS($E$7:$E87,$E87,$G$7:$G87,"KÂR PAYI / AVANS*"),"")</f>
        <v/>
      </c>
    </row>
    <row r="88" spans="1:13" ht="18" customHeight="1" x14ac:dyDescent="0.3">
      <c r="A88" s="2"/>
      <c r="B88" s="65" t="str">
        <f t="shared" si="2"/>
        <v/>
      </c>
      <c r="C88" s="66"/>
      <c r="D88" s="60"/>
      <c r="E88" s="60"/>
      <c r="F88" s="67"/>
      <c r="G88" s="61"/>
      <c r="H88" s="61"/>
      <c r="I88" s="61"/>
      <c r="J88" s="65" t="str">
        <f t="shared" si="3"/>
        <v/>
      </c>
      <c r="K88" s="65" t="str">
        <f>IF($E88="","",$E88&amp;"|"&amp;COUNTIFS($E$7:$E88,$E88))</f>
        <v/>
      </c>
      <c r="L88" s="65" t="str">
        <f>IF($D88="","",$D88&amp;"|"&amp;COUNTIFS($D$7:$D88,$D88))</f>
        <v/>
      </c>
      <c r="M88" s="65" t="str">
        <f>IF(AND($E88&lt;&gt;"",COUNTIF($G88,"KÂR PAYI / AVANS*")&gt;0),$E88&amp;"|"&amp;COUNTIFS($E$7:$E88,$E88,$G$7:$G88,"KÂR PAYI / AVANS*"),"")</f>
        <v/>
      </c>
    </row>
    <row r="89" spans="1:13" ht="18" customHeight="1" x14ac:dyDescent="0.3">
      <c r="A89" s="2"/>
      <c r="B89" s="65" t="str">
        <f t="shared" si="2"/>
        <v/>
      </c>
      <c r="C89" s="66"/>
      <c r="D89" s="60"/>
      <c r="E89" s="60"/>
      <c r="F89" s="67"/>
      <c r="G89" s="61"/>
      <c r="H89" s="61"/>
      <c r="I89" s="61"/>
      <c r="J89" s="65" t="str">
        <f t="shared" si="3"/>
        <v/>
      </c>
      <c r="K89" s="65" t="str">
        <f>IF($E89="","",$E89&amp;"|"&amp;COUNTIFS($E$7:$E89,$E89))</f>
        <v/>
      </c>
      <c r="L89" s="65" t="str">
        <f>IF($D89="","",$D89&amp;"|"&amp;COUNTIFS($D$7:$D89,$D89))</f>
        <v/>
      </c>
      <c r="M89" s="65" t="str">
        <f>IF(AND($E89&lt;&gt;"",COUNTIF($G89,"KÂR PAYI / AVANS*")&gt;0),$E89&amp;"|"&amp;COUNTIFS($E$7:$E89,$E89,$G$7:$G89,"KÂR PAYI / AVANS*"),"")</f>
        <v/>
      </c>
    </row>
    <row r="90" spans="1:13" ht="18" customHeight="1" x14ac:dyDescent="0.3">
      <c r="A90" s="2"/>
      <c r="B90" s="65" t="str">
        <f t="shared" si="2"/>
        <v/>
      </c>
      <c r="C90" s="66"/>
      <c r="D90" s="60"/>
      <c r="E90" s="60"/>
      <c r="F90" s="67"/>
      <c r="G90" s="61"/>
      <c r="H90" s="61"/>
      <c r="I90" s="61"/>
      <c r="J90" s="65" t="str">
        <f t="shared" si="3"/>
        <v/>
      </c>
      <c r="K90" s="65" t="str">
        <f>IF($E90="","",$E90&amp;"|"&amp;COUNTIFS($E$7:$E90,$E90))</f>
        <v/>
      </c>
      <c r="L90" s="65" t="str">
        <f>IF($D90="","",$D90&amp;"|"&amp;COUNTIFS($D$7:$D90,$D90))</f>
        <v/>
      </c>
      <c r="M90" s="65" t="str">
        <f>IF(AND($E90&lt;&gt;"",COUNTIF($G90,"KÂR PAYI / AVANS*")&gt;0),$E90&amp;"|"&amp;COUNTIFS($E$7:$E90,$E90,$G$7:$G90,"KÂR PAYI / AVANS*"),"")</f>
        <v/>
      </c>
    </row>
    <row r="91" spans="1:13" ht="18" customHeight="1" x14ac:dyDescent="0.3">
      <c r="A91" s="2"/>
      <c r="B91" s="65" t="str">
        <f t="shared" si="2"/>
        <v/>
      </c>
      <c r="C91" s="66"/>
      <c r="D91" s="60"/>
      <c r="E91" s="60"/>
      <c r="F91" s="67"/>
      <c r="G91" s="61"/>
      <c r="H91" s="61"/>
      <c r="I91" s="61"/>
      <c r="J91" s="65" t="str">
        <f t="shared" si="3"/>
        <v/>
      </c>
      <c r="K91" s="65" t="str">
        <f>IF($E91="","",$E91&amp;"|"&amp;COUNTIFS($E$7:$E91,$E91))</f>
        <v/>
      </c>
      <c r="L91" s="65" t="str">
        <f>IF($D91="","",$D91&amp;"|"&amp;COUNTIFS($D$7:$D91,$D91))</f>
        <v/>
      </c>
      <c r="M91" s="65" t="str">
        <f>IF(AND($E91&lt;&gt;"",COUNTIF($G91,"KÂR PAYI / AVANS*")&gt;0),$E91&amp;"|"&amp;COUNTIFS($E$7:$E91,$E91,$G$7:$G91,"KÂR PAYI / AVANS*"),"")</f>
        <v/>
      </c>
    </row>
    <row r="92" spans="1:13" ht="18" customHeight="1" x14ac:dyDescent="0.3">
      <c r="A92" s="2"/>
      <c r="B92" s="65" t="str">
        <f t="shared" si="2"/>
        <v/>
      </c>
      <c r="C92" s="66"/>
      <c r="D92" s="60"/>
      <c r="E92" s="60"/>
      <c r="F92" s="67"/>
      <c r="G92" s="61"/>
      <c r="H92" s="61"/>
      <c r="I92" s="61"/>
      <c r="J92" s="65" t="str">
        <f t="shared" si="3"/>
        <v/>
      </c>
      <c r="K92" s="65" t="str">
        <f>IF($E92="","",$E92&amp;"|"&amp;COUNTIFS($E$7:$E92,$E92))</f>
        <v/>
      </c>
      <c r="L92" s="65" t="str">
        <f>IF($D92="","",$D92&amp;"|"&amp;COUNTIFS($D$7:$D92,$D92))</f>
        <v/>
      </c>
      <c r="M92" s="65" t="str">
        <f>IF(AND($E92&lt;&gt;"",COUNTIF($G92,"KÂR PAYI / AVANS*")&gt;0),$E92&amp;"|"&amp;COUNTIFS($E$7:$E92,$E92,$G$7:$G92,"KÂR PAYI / AVANS*"),"")</f>
        <v/>
      </c>
    </row>
    <row r="93" spans="1:13" ht="18" customHeight="1" x14ac:dyDescent="0.3">
      <c r="A93" s="2"/>
      <c r="B93" s="65" t="str">
        <f t="shared" si="2"/>
        <v/>
      </c>
      <c r="C93" s="66"/>
      <c r="D93" s="60"/>
      <c r="E93" s="60"/>
      <c r="F93" s="67"/>
      <c r="G93" s="61"/>
      <c r="H93" s="61"/>
      <c r="I93" s="61"/>
      <c r="J93" s="65" t="str">
        <f t="shared" si="3"/>
        <v/>
      </c>
      <c r="K93" s="65" t="str">
        <f>IF($E93="","",$E93&amp;"|"&amp;COUNTIFS($E$7:$E93,$E93))</f>
        <v/>
      </c>
      <c r="L93" s="65" t="str">
        <f>IF($D93="","",$D93&amp;"|"&amp;COUNTIFS($D$7:$D93,$D93))</f>
        <v/>
      </c>
      <c r="M93" s="65" t="str">
        <f>IF(AND($E93&lt;&gt;"",COUNTIF($G93,"KÂR PAYI / AVANS*")&gt;0),$E93&amp;"|"&amp;COUNTIFS($E$7:$E93,$E93,$G$7:$G93,"KÂR PAYI / AVANS*"),"")</f>
        <v/>
      </c>
    </row>
    <row r="94" spans="1:13" ht="18" customHeight="1" x14ac:dyDescent="0.3">
      <c r="A94" s="2"/>
      <c r="B94" s="65" t="str">
        <f t="shared" si="2"/>
        <v/>
      </c>
      <c r="C94" s="66"/>
      <c r="D94" s="60"/>
      <c r="E94" s="60"/>
      <c r="F94" s="67"/>
      <c r="G94" s="61"/>
      <c r="H94" s="61"/>
      <c r="I94" s="61"/>
      <c r="J94" s="65" t="str">
        <f t="shared" si="3"/>
        <v/>
      </c>
      <c r="K94" s="65" t="str">
        <f>IF($E94="","",$E94&amp;"|"&amp;COUNTIFS($E$7:$E94,$E94))</f>
        <v/>
      </c>
      <c r="L94" s="65" t="str">
        <f>IF($D94="","",$D94&amp;"|"&amp;COUNTIFS($D$7:$D94,$D94))</f>
        <v/>
      </c>
      <c r="M94" s="65" t="str">
        <f>IF(AND($E94&lt;&gt;"",COUNTIF($G94,"KÂR PAYI / AVANS*")&gt;0),$E94&amp;"|"&amp;COUNTIFS($E$7:$E94,$E94,$G$7:$G94,"KÂR PAYI / AVANS*"),"")</f>
        <v/>
      </c>
    </row>
    <row r="95" spans="1:13" ht="18" customHeight="1" x14ac:dyDescent="0.3">
      <c r="A95" s="2"/>
      <c r="B95" s="65" t="str">
        <f t="shared" si="2"/>
        <v/>
      </c>
      <c r="C95" s="66"/>
      <c r="D95" s="60"/>
      <c r="E95" s="60"/>
      <c r="F95" s="67"/>
      <c r="G95" s="61"/>
      <c r="H95" s="61"/>
      <c r="I95" s="61"/>
      <c r="J95" s="65" t="str">
        <f t="shared" si="3"/>
        <v/>
      </c>
      <c r="K95" s="65" t="str">
        <f>IF($E95="","",$E95&amp;"|"&amp;COUNTIFS($E$7:$E95,$E95))</f>
        <v/>
      </c>
      <c r="L95" s="65" t="str">
        <f>IF($D95="","",$D95&amp;"|"&amp;COUNTIFS($D$7:$D95,$D95))</f>
        <v/>
      </c>
      <c r="M95" s="65" t="str">
        <f>IF(AND($E95&lt;&gt;"",COUNTIF($G95,"KÂR PAYI / AVANS*")&gt;0),$E95&amp;"|"&amp;COUNTIFS($E$7:$E95,$E95,$G$7:$G95,"KÂR PAYI / AVANS*"),"")</f>
        <v/>
      </c>
    </row>
    <row r="96" spans="1:13" ht="18" customHeight="1" x14ac:dyDescent="0.3">
      <c r="A96" s="2"/>
      <c r="B96" s="65" t="str">
        <f t="shared" si="2"/>
        <v/>
      </c>
      <c r="C96" s="66"/>
      <c r="D96" s="60"/>
      <c r="E96" s="60"/>
      <c r="F96" s="67"/>
      <c r="G96" s="61"/>
      <c r="H96" s="61"/>
      <c r="I96" s="61"/>
      <c r="J96" s="65" t="str">
        <f t="shared" si="3"/>
        <v/>
      </c>
      <c r="K96" s="65" t="str">
        <f>IF($E96="","",$E96&amp;"|"&amp;COUNTIFS($E$7:$E96,$E96))</f>
        <v/>
      </c>
      <c r="L96" s="65" t="str">
        <f>IF($D96="","",$D96&amp;"|"&amp;COUNTIFS($D$7:$D96,$D96))</f>
        <v/>
      </c>
      <c r="M96" s="65" t="str">
        <f>IF(AND($E96&lt;&gt;"",COUNTIF($G96,"KÂR PAYI / AVANS*")&gt;0),$E96&amp;"|"&amp;COUNTIFS($E$7:$E96,$E96,$G$7:$G96,"KÂR PAYI / AVANS*"),"")</f>
        <v/>
      </c>
    </row>
    <row r="97" spans="1:13" ht="18" customHeight="1" x14ac:dyDescent="0.3">
      <c r="A97" s="2"/>
      <c r="B97" s="65" t="str">
        <f t="shared" si="2"/>
        <v/>
      </c>
      <c r="C97" s="66"/>
      <c r="D97" s="60"/>
      <c r="E97" s="60"/>
      <c r="F97" s="67"/>
      <c r="G97" s="61"/>
      <c r="H97" s="61"/>
      <c r="I97" s="61"/>
      <c r="J97" s="65" t="str">
        <f t="shared" si="3"/>
        <v/>
      </c>
      <c r="K97" s="65" t="str">
        <f>IF($E97="","",$E97&amp;"|"&amp;COUNTIFS($E$7:$E97,$E97))</f>
        <v/>
      </c>
      <c r="L97" s="65" t="str">
        <f>IF($D97="","",$D97&amp;"|"&amp;COUNTIFS($D$7:$D97,$D97))</f>
        <v/>
      </c>
      <c r="M97" s="65" t="str">
        <f>IF(AND($E97&lt;&gt;"",COUNTIF($G97,"KÂR PAYI / AVANS*")&gt;0),$E97&amp;"|"&amp;COUNTIFS($E$7:$E97,$E97,$G$7:$G97,"KÂR PAYI / AVANS*"),"")</f>
        <v/>
      </c>
    </row>
    <row r="98" spans="1:13" ht="18" customHeight="1" x14ac:dyDescent="0.3">
      <c r="A98" s="2"/>
      <c r="B98" s="65" t="str">
        <f t="shared" si="2"/>
        <v/>
      </c>
      <c r="C98" s="66"/>
      <c r="D98" s="60"/>
      <c r="E98" s="60"/>
      <c r="F98" s="67"/>
      <c r="G98" s="61"/>
      <c r="H98" s="61"/>
      <c r="I98" s="61"/>
      <c r="J98" s="65" t="str">
        <f t="shared" si="3"/>
        <v/>
      </c>
      <c r="K98" s="65" t="str">
        <f>IF($E98="","",$E98&amp;"|"&amp;COUNTIFS($E$7:$E98,$E98))</f>
        <v/>
      </c>
      <c r="L98" s="65" t="str">
        <f>IF($D98="","",$D98&amp;"|"&amp;COUNTIFS($D$7:$D98,$D98))</f>
        <v/>
      </c>
      <c r="M98" s="65" t="str">
        <f>IF(AND($E98&lt;&gt;"",COUNTIF($G98,"KÂR PAYI / AVANS*")&gt;0),$E98&amp;"|"&amp;COUNTIFS($E$7:$E98,$E98,$G$7:$G98,"KÂR PAYI / AVANS*"),"")</f>
        <v/>
      </c>
    </row>
    <row r="99" spans="1:13" ht="18" customHeight="1" x14ac:dyDescent="0.3">
      <c r="A99" s="2"/>
      <c r="B99" s="65" t="str">
        <f t="shared" si="2"/>
        <v/>
      </c>
      <c r="C99" s="66"/>
      <c r="D99" s="60"/>
      <c r="E99" s="60"/>
      <c r="F99" s="67"/>
      <c r="G99" s="61"/>
      <c r="H99" s="61"/>
      <c r="I99" s="61"/>
      <c r="J99" s="65" t="str">
        <f t="shared" si="3"/>
        <v/>
      </c>
      <c r="K99" s="65" t="str">
        <f>IF($E99="","",$E99&amp;"|"&amp;COUNTIFS($E$7:$E99,$E99))</f>
        <v/>
      </c>
      <c r="L99" s="65" t="str">
        <f>IF($D99="","",$D99&amp;"|"&amp;COUNTIFS($D$7:$D99,$D99))</f>
        <v/>
      </c>
      <c r="M99" s="65" t="str">
        <f>IF(AND($E99&lt;&gt;"",COUNTIF($G99,"KÂR PAYI / AVANS*")&gt;0),$E99&amp;"|"&amp;COUNTIFS($E$7:$E99,$E99,$G$7:$G99,"KÂR PAYI / AVANS*"),"")</f>
        <v/>
      </c>
    </row>
    <row r="100" spans="1:13" ht="18" customHeight="1" x14ac:dyDescent="0.3">
      <c r="A100" s="2"/>
      <c r="B100" s="65" t="str">
        <f t="shared" si="2"/>
        <v/>
      </c>
      <c r="C100" s="66"/>
      <c r="D100" s="60"/>
      <c r="E100" s="60"/>
      <c r="F100" s="67"/>
      <c r="G100" s="61"/>
      <c r="H100" s="61"/>
      <c r="I100" s="61"/>
      <c r="J100" s="65" t="str">
        <f t="shared" si="3"/>
        <v/>
      </c>
      <c r="K100" s="65" t="str">
        <f>IF($E100="","",$E100&amp;"|"&amp;COUNTIFS($E$7:$E100,$E100))</f>
        <v/>
      </c>
      <c r="L100" s="65" t="str">
        <f>IF($D100="","",$D100&amp;"|"&amp;COUNTIFS($D$7:$D100,$D100))</f>
        <v/>
      </c>
      <c r="M100" s="65" t="str">
        <f>IF(AND($E100&lt;&gt;"",COUNTIF($G100,"KÂR PAYI / AVANS*")&gt;0),$E100&amp;"|"&amp;COUNTIFS($E$7:$E100,$E100,$G$7:$G100,"KÂR PAYI / AVANS*"),"")</f>
        <v/>
      </c>
    </row>
    <row r="101" spans="1:13" ht="18" customHeight="1" x14ac:dyDescent="0.3">
      <c r="A101" s="2"/>
      <c r="B101" s="65" t="str">
        <f t="shared" si="2"/>
        <v/>
      </c>
      <c r="C101" s="66"/>
      <c r="D101" s="60"/>
      <c r="E101" s="60"/>
      <c r="F101" s="67"/>
      <c r="G101" s="61"/>
      <c r="H101" s="61"/>
      <c r="I101" s="61"/>
      <c r="J101" s="65" t="str">
        <f t="shared" si="3"/>
        <v/>
      </c>
      <c r="K101" s="65" t="str">
        <f>IF($E101="","",$E101&amp;"|"&amp;COUNTIFS($E$7:$E101,$E101))</f>
        <v/>
      </c>
      <c r="L101" s="65" t="str">
        <f>IF($D101="","",$D101&amp;"|"&amp;COUNTIFS($D$7:$D101,$D101))</f>
        <v/>
      </c>
      <c r="M101" s="65" t="str">
        <f>IF(AND($E101&lt;&gt;"",COUNTIF($G101,"KÂR PAYI / AVANS*")&gt;0),$E101&amp;"|"&amp;COUNTIFS($E$7:$E101,$E101,$G$7:$G101,"KÂR PAYI / AVANS*"),"")</f>
        <v/>
      </c>
    </row>
    <row r="102" spans="1:13" ht="18" customHeight="1" x14ac:dyDescent="0.3">
      <c r="A102" s="2"/>
      <c r="B102" s="65" t="str">
        <f t="shared" si="2"/>
        <v/>
      </c>
      <c r="C102" s="66"/>
      <c r="D102" s="60"/>
      <c r="E102" s="60"/>
      <c r="F102" s="67"/>
      <c r="G102" s="61"/>
      <c r="H102" s="61"/>
      <c r="I102" s="61"/>
      <c r="J102" s="65" t="str">
        <f t="shared" si="3"/>
        <v/>
      </c>
      <c r="K102" s="65" t="str">
        <f>IF($E102="","",$E102&amp;"|"&amp;COUNTIFS($E$7:$E102,$E102))</f>
        <v/>
      </c>
      <c r="L102" s="65" t="str">
        <f>IF($D102="","",$D102&amp;"|"&amp;COUNTIFS($D$7:$D102,$D102))</f>
        <v/>
      </c>
      <c r="M102" s="65" t="str">
        <f>IF(AND($E102&lt;&gt;"",COUNTIF($G102,"KÂR PAYI / AVANS*")&gt;0),$E102&amp;"|"&amp;COUNTIFS($E$7:$E102,$E102,$G$7:$G102,"KÂR PAYI / AVANS*"),"")</f>
        <v/>
      </c>
    </row>
    <row r="103" spans="1:13" ht="18" customHeight="1" x14ac:dyDescent="0.3">
      <c r="A103" s="2"/>
      <c r="B103" s="65" t="str">
        <f t="shared" si="2"/>
        <v/>
      </c>
      <c r="C103" s="66"/>
      <c r="D103" s="60"/>
      <c r="E103" s="60"/>
      <c r="F103" s="67"/>
      <c r="G103" s="61"/>
      <c r="H103" s="61"/>
      <c r="I103" s="61"/>
      <c r="J103" s="65" t="str">
        <f t="shared" si="3"/>
        <v/>
      </c>
      <c r="K103" s="65" t="str">
        <f>IF($E103="","",$E103&amp;"|"&amp;COUNTIFS($E$7:$E103,$E103))</f>
        <v/>
      </c>
      <c r="L103" s="65" t="str">
        <f>IF($D103="","",$D103&amp;"|"&amp;COUNTIFS($D$7:$D103,$D103))</f>
        <v/>
      </c>
      <c r="M103" s="65" t="str">
        <f>IF(AND($E103&lt;&gt;"",COUNTIF($G103,"KÂR PAYI / AVANS*")&gt;0),$E103&amp;"|"&amp;COUNTIFS($E$7:$E103,$E103,$G$7:$G103,"KÂR PAYI / AVANS*"),"")</f>
        <v/>
      </c>
    </row>
    <row r="104" spans="1:13" ht="18" customHeight="1" x14ac:dyDescent="0.3">
      <c r="A104" s="2"/>
      <c r="B104" s="65" t="str">
        <f t="shared" si="2"/>
        <v/>
      </c>
      <c r="C104" s="66"/>
      <c r="D104" s="60"/>
      <c r="E104" s="60"/>
      <c r="F104" s="67"/>
      <c r="G104" s="61"/>
      <c r="H104" s="61"/>
      <c r="I104" s="61"/>
      <c r="J104" s="65" t="str">
        <f t="shared" si="3"/>
        <v/>
      </c>
      <c r="K104" s="65" t="str">
        <f>IF($E104="","",$E104&amp;"|"&amp;COUNTIFS($E$7:$E104,$E104))</f>
        <v/>
      </c>
      <c r="L104" s="65" t="str">
        <f>IF($D104="","",$D104&amp;"|"&amp;COUNTIFS($D$7:$D104,$D104))</f>
        <v/>
      </c>
      <c r="M104" s="65" t="str">
        <f>IF(AND($E104&lt;&gt;"",COUNTIF($G104,"KÂR PAYI / AVANS*")&gt;0),$E104&amp;"|"&amp;COUNTIFS($E$7:$E104,$E104,$G$7:$G104,"KÂR PAYI / AVANS*"),"")</f>
        <v/>
      </c>
    </row>
    <row r="105" spans="1:13" ht="18" customHeight="1" x14ac:dyDescent="0.3">
      <c r="A105" s="2"/>
      <c r="B105" s="65" t="str">
        <f t="shared" si="2"/>
        <v/>
      </c>
      <c r="C105" s="66"/>
      <c r="D105" s="60"/>
      <c r="E105" s="60"/>
      <c r="F105" s="67"/>
      <c r="G105" s="61"/>
      <c r="H105" s="61"/>
      <c r="I105" s="61"/>
      <c r="J105" s="65" t="str">
        <f t="shared" si="3"/>
        <v/>
      </c>
      <c r="K105" s="65" t="str">
        <f>IF($E105="","",$E105&amp;"|"&amp;COUNTIFS($E$7:$E105,$E105))</f>
        <v/>
      </c>
      <c r="L105" s="65" t="str">
        <f>IF($D105="","",$D105&amp;"|"&amp;COUNTIFS($D$7:$D105,$D105))</f>
        <v/>
      </c>
      <c r="M105" s="65" t="str">
        <f>IF(AND($E105&lt;&gt;"",COUNTIF($G105,"KÂR PAYI / AVANS*")&gt;0),$E105&amp;"|"&amp;COUNTIFS($E$7:$E105,$E105,$G$7:$G105,"KÂR PAYI / AVANS*"),"")</f>
        <v/>
      </c>
    </row>
    <row r="106" spans="1:13" ht="18" customHeight="1" x14ac:dyDescent="0.3">
      <c r="A106" s="2"/>
      <c r="B106" s="65" t="str">
        <f t="shared" si="2"/>
        <v/>
      </c>
      <c r="C106" s="66"/>
      <c r="D106" s="60"/>
      <c r="E106" s="60"/>
      <c r="F106" s="67"/>
      <c r="G106" s="61"/>
      <c r="H106" s="61"/>
      <c r="I106" s="61"/>
      <c r="J106" s="65" t="str">
        <f t="shared" si="3"/>
        <v/>
      </c>
      <c r="K106" s="65" t="str">
        <f>IF($E106="","",$E106&amp;"|"&amp;COUNTIFS($E$7:$E106,$E106))</f>
        <v/>
      </c>
      <c r="L106" s="65" t="str">
        <f>IF($D106="","",$D106&amp;"|"&amp;COUNTIFS($D$7:$D106,$D106))</f>
        <v/>
      </c>
      <c r="M106" s="65" t="str">
        <f>IF(AND($E106&lt;&gt;"",COUNTIF($G106,"KÂR PAYI / AVANS*")&gt;0),$E106&amp;"|"&amp;COUNTIFS($E$7:$E106,$E106,$G$7:$G106,"KÂR PAYI / AVANS*"),"")</f>
        <v/>
      </c>
    </row>
    <row r="107" spans="1:13" ht="18" customHeight="1" x14ac:dyDescent="0.3">
      <c r="A107" s="2"/>
      <c r="B107" s="65" t="str">
        <f t="shared" si="2"/>
        <v/>
      </c>
      <c r="C107" s="66"/>
      <c r="D107" s="60"/>
      <c r="E107" s="60"/>
      <c r="F107" s="67"/>
      <c r="G107" s="61"/>
      <c r="H107" s="61"/>
      <c r="I107" s="61"/>
      <c r="J107" s="65" t="str">
        <f t="shared" si="3"/>
        <v/>
      </c>
      <c r="K107" s="65" t="str">
        <f>IF($E107="","",$E107&amp;"|"&amp;COUNTIFS($E$7:$E107,$E107))</f>
        <v/>
      </c>
      <c r="L107" s="65" t="str">
        <f>IF($D107="","",$D107&amp;"|"&amp;COUNTIFS($D$7:$D107,$D107))</f>
        <v/>
      </c>
      <c r="M107" s="65" t="str">
        <f>IF(AND($E107&lt;&gt;"",COUNTIF($G107,"KÂR PAYI / AVANS*")&gt;0),$E107&amp;"|"&amp;COUNTIFS($E$7:$E107,$E107,$G$7:$G107,"KÂR PAYI / AVANS*"),"")</f>
        <v/>
      </c>
    </row>
    <row r="108" spans="1:13" ht="18" customHeight="1" x14ac:dyDescent="0.3">
      <c r="A108" s="2"/>
      <c r="B108" s="65" t="str">
        <f t="shared" si="2"/>
        <v/>
      </c>
      <c r="C108" s="66"/>
      <c r="D108" s="60"/>
      <c r="E108" s="60"/>
      <c r="F108" s="67"/>
      <c r="G108" s="61"/>
      <c r="H108" s="61"/>
      <c r="I108" s="61"/>
      <c r="J108" s="65" t="str">
        <f t="shared" si="3"/>
        <v/>
      </c>
      <c r="K108" s="65" t="str">
        <f>IF($E108="","",$E108&amp;"|"&amp;COUNTIFS($E$7:$E108,$E108))</f>
        <v/>
      </c>
      <c r="L108" s="65" t="str">
        <f>IF($D108="","",$D108&amp;"|"&amp;COUNTIFS($D$7:$D108,$D108))</f>
        <v/>
      </c>
      <c r="M108" s="65" t="str">
        <f>IF(AND($E108&lt;&gt;"",COUNTIF($G108,"KÂR PAYI / AVANS*")&gt;0),$E108&amp;"|"&amp;COUNTIFS($E$7:$E108,$E108,$G$7:$G108,"KÂR PAYI / AVANS*"),"")</f>
        <v/>
      </c>
    </row>
    <row r="109" spans="1:13" ht="18" customHeight="1" x14ac:dyDescent="0.3">
      <c r="A109" s="2"/>
      <c r="B109" s="65" t="str">
        <f t="shared" si="2"/>
        <v/>
      </c>
      <c r="C109" s="66"/>
      <c r="D109" s="60"/>
      <c r="E109" s="60"/>
      <c r="F109" s="67"/>
      <c r="G109" s="61"/>
      <c r="H109" s="61"/>
      <c r="I109" s="61"/>
      <c r="J109" s="65" t="str">
        <f t="shared" si="3"/>
        <v/>
      </c>
      <c r="K109" s="65" t="str">
        <f>IF($E109="","",$E109&amp;"|"&amp;COUNTIFS($E$7:$E109,$E109))</f>
        <v/>
      </c>
      <c r="L109" s="65" t="str">
        <f>IF($D109="","",$D109&amp;"|"&amp;COUNTIFS($D$7:$D109,$D109))</f>
        <v/>
      </c>
      <c r="M109" s="65" t="str">
        <f>IF(AND($E109&lt;&gt;"",COUNTIF($G109,"KÂR PAYI / AVANS*")&gt;0),$E109&amp;"|"&amp;COUNTIFS($E$7:$E109,$E109,$G$7:$G109,"KÂR PAYI / AVANS*"),"")</f>
        <v/>
      </c>
    </row>
    <row r="110" spans="1:13" ht="18" customHeight="1" x14ac:dyDescent="0.3">
      <c r="A110" s="2"/>
      <c r="B110" s="65" t="str">
        <f t="shared" si="2"/>
        <v/>
      </c>
      <c r="C110" s="66"/>
      <c r="D110" s="60"/>
      <c r="E110" s="60"/>
      <c r="F110" s="67"/>
      <c r="G110" s="61"/>
      <c r="H110" s="61"/>
      <c r="I110" s="61"/>
      <c r="J110" s="65" t="str">
        <f t="shared" si="3"/>
        <v/>
      </c>
      <c r="K110" s="65" t="str">
        <f>IF($E110="","",$E110&amp;"|"&amp;COUNTIFS($E$7:$E110,$E110))</f>
        <v/>
      </c>
      <c r="L110" s="65" t="str">
        <f>IF($D110="","",$D110&amp;"|"&amp;COUNTIFS($D$7:$D110,$D110))</f>
        <v/>
      </c>
      <c r="M110" s="65" t="str">
        <f>IF(AND($E110&lt;&gt;"",COUNTIF($G110,"KÂR PAYI / AVANS*")&gt;0),$E110&amp;"|"&amp;COUNTIFS($E$7:$E110,$E110,$G$7:$G110,"KÂR PAYI / AVANS*"),"")</f>
        <v/>
      </c>
    </row>
    <row r="111" spans="1:13" ht="18" customHeight="1" x14ac:dyDescent="0.3">
      <c r="A111" s="2"/>
      <c r="B111" s="65" t="str">
        <f t="shared" si="2"/>
        <v/>
      </c>
      <c r="C111" s="66"/>
      <c r="D111" s="60"/>
      <c r="E111" s="60"/>
      <c r="F111" s="67"/>
      <c r="G111" s="61"/>
      <c r="H111" s="61"/>
      <c r="I111" s="61"/>
      <c r="J111" s="65" t="str">
        <f t="shared" si="3"/>
        <v/>
      </c>
      <c r="K111" s="65" t="str">
        <f>IF($E111="","",$E111&amp;"|"&amp;COUNTIFS($E$7:$E111,$E111))</f>
        <v/>
      </c>
      <c r="L111" s="65" t="str">
        <f>IF($D111="","",$D111&amp;"|"&amp;COUNTIFS($D$7:$D111,$D111))</f>
        <v/>
      </c>
      <c r="M111" s="65" t="str">
        <f>IF(AND($E111&lt;&gt;"",COUNTIF($G111,"KÂR PAYI / AVANS*")&gt;0),$E111&amp;"|"&amp;COUNTIFS($E$7:$E111,$E111,$G$7:$G111,"KÂR PAYI / AVANS*"),"")</f>
        <v/>
      </c>
    </row>
    <row r="112" spans="1:13" ht="18" customHeight="1" x14ac:dyDescent="0.3">
      <c r="A112" s="2"/>
      <c r="B112" s="65" t="str">
        <f t="shared" si="2"/>
        <v/>
      </c>
      <c r="C112" s="66"/>
      <c r="D112" s="60"/>
      <c r="E112" s="60"/>
      <c r="F112" s="67"/>
      <c r="G112" s="61"/>
      <c r="H112" s="61"/>
      <c r="I112" s="61"/>
      <c r="J112" s="65" t="str">
        <f t="shared" si="3"/>
        <v/>
      </c>
      <c r="K112" s="65" t="str">
        <f>IF($E112="","",$E112&amp;"|"&amp;COUNTIFS($E$7:$E112,$E112))</f>
        <v/>
      </c>
      <c r="L112" s="65" t="str">
        <f>IF($D112="","",$D112&amp;"|"&amp;COUNTIFS($D$7:$D112,$D112))</f>
        <v/>
      </c>
      <c r="M112" s="65" t="str">
        <f>IF(AND($E112&lt;&gt;"",COUNTIF($G112,"KÂR PAYI / AVANS*")&gt;0),$E112&amp;"|"&amp;COUNTIFS($E$7:$E112,$E112,$G$7:$G112,"KÂR PAYI / AVANS*"),"")</f>
        <v/>
      </c>
    </row>
    <row r="113" spans="1:13" ht="18" customHeight="1" x14ac:dyDescent="0.3">
      <c r="A113" s="2"/>
      <c r="B113" s="65" t="str">
        <f t="shared" si="2"/>
        <v/>
      </c>
      <c r="C113" s="66"/>
      <c r="D113" s="60"/>
      <c r="E113" s="60"/>
      <c r="F113" s="67"/>
      <c r="G113" s="61"/>
      <c r="H113" s="61"/>
      <c r="I113" s="61"/>
      <c r="J113" s="65" t="str">
        <f t="shared" si="3"/>
        <v/>
      </c>
      <c r="K113" s="65" t="str">
        <f>IF($E113="","",$E113&amp;"|"&amp;COUNTIFS($E$7:$E113,$E113))</f>
        <v/>
      </c>
      <c r="L113" s="65" t="str">
        <f>IF($D113="","",$D113&amp;"|"&amp;COUNTIFS($D$7:$D113,$D113))</f>
        <v/>
      </c>
      <c r="M113" s="65" t="str">
        <f>IF(AND($E113&lt;&gt;"",COUNTIF($G113,"KÂR PAYI / AVANS*")&gt;0),$E113&amp;"|"&amp;COUNTIFS($E$7:$E113,$E113,$G$7:$G113,"KÂR PAYI / AVANS*"),"")</f>
        <v/>
      </c>
    </row>
    <row r="114" spans="1:13" ht="18" customHeight="1" x14ac:dyDescent="0.3">
      <c r="A114" s="2"/>
      <c r="B114" s="65" t="str">
        <f t="shared" si="2"/>
        <v/>
      </c>
      <c r="C114" s="66"/>
      <c r="D114" s="60"/>
      <c r="E114" s="60"/>
      <c r="F114" s="67"/>
      <c r="G114" s="61"/>
      <c r="H114" s="61"/>
      <c r="I114" s="61"/>
      <c r="J114" s="65" t="str">
        <f t="shared" si="3"/>
        <v/>
      </c>
      <c r="K114" s="65" t="str">
        <f>IF($E114="","",$E114&amp;"|"&amp;COUNTIFS($E$7:$E114,$E114))</f>
        <v/>
      </c>
      <c r="L114" s="65" t="str">
        <f>IF($D114="","",$D114&amp;"|"&amp;COUNTIFS($D$7:$D114,$D114))</f>
        <v/>
      </c>
      <c r="M114" s="65" t="str">
        <f>IF(AND($E114&lt;&gt;"",COUNTIF($G114,"KÂR PAYI / AVANS*")&gt;0),$E114&amp;"|"&amp;COUNTIFS($E$7:$E114,$E114,$G$7:$G114,"KÂR PAYI / AVANS*"),"")</f>
        <v/>
      </c>
    </row>
    <row r="115" spans="1:13" ht="18" customHeight="1" x14ac:dyDescent="0.3">
      <c r="A115" s="2"/>
      <c r="B115" s="65" t="str">
        <f t="shared" si="2"/>
        <v/>
      </c>
      <c r="C115" s="66"/>
      <c r="D115" s="60"/>
      <c r="E115" s="60"/>
      <c r="F115" s="67"/>
      <c r="G115" s="61"/>
      <c r="H115" s="61"/>
      <c r="I115" s="61"/>
      <c r="J115" s="65" t="str">
        <f t="shared" si="3"/>
        <v/>
      </c>
      <c r="K115" s="65" t="str">
        <f>IF($E115="","",$E115&amp;"|"&amp;COUNTIFS($E$7:$E115,$E115))</f>
        <v/>
      </c>
      <c r="L115" s="65" t="str">
        <f>IF($D115="","",$D115&amp;"|"&amp;COUNTIFS($D$7:$D115,$D115))</f>
        <v/>
      </c>
      <c r="M115" s="65" t="str">
        <f>IF(AND($E115&lt;&gt;"",COUNTIF($G115,"KÂR PAYI / AVANS*")&gt;0),$E115&amp;"|"&amp;COUNTIFS($E$7:$E115,$E115,$G$7:$G115,"KÂR PAYI / AVANS*"),"")</f>
        <v/>
      </c>
    </row>
    <row r="116" spans="1:13" ht="18" customHeight="1" x14ac:dyDescent="0.3">
      <c r="A116" s="2"/>
      <c r="B116" s="65" t="str">
        <f t="shared" si="2"/>
        <v/>
      </c>
      <c r="C116" s="66"/>
      <c r="D116" s="60"/>
      <c r="E116" s="60"/>
      <c r="F116" s="67"/>
      <c r="G116" s="61"/>
      <c r="H116" s="61"/>
      <c r="I116" s="61"/>
      <c r="J116" s="65" t="str">
        <f t="shared" si="3"/>
        <v/>
      </c>
      <c r="K116" s="65" t="str">
        <f>IF($E116="","",$E116&amp;"|"&amp;COUNTIFS($E$7:$E116,$E116))</f>
        <v/>
      </c>
      <c r="L116" s="65" t="str">
        <f>IF($D116="","",$D116&amp;"|"&amp;COUNTIFS($D$7:$D116,$D116))</f>
        <v/>
      </c>
      <c r="M116" s="65" t="str">
        <f>IF(AND($E116&lt;&gt;"",COUNTIF($G116,"KÂR PAYI / AVANS*")&gt;0),$E116&amp;"|"&amp;COUNTIFS($E$7:$E116,$E116,$G$7:$G116,"KÂR PAYI / AVANS*"),"")</f>
        <v/>
      </c>
    </row>
    <row r="117" spans="1:13" ht="18" customHeight="1" x14ac:dyDescent="0.3">
      <c r="A117" s="2"/>
      <c r="B117" s="65" t="str">
        <f t="shared" si="2"/>
        <v/>
      </c>
      <c r="C117" s="66"/>
      <c r="D117" s="60"/>
      <c r="E117" s="60"/>
      <c r="F117" s="67"/>
      <c r="G117" s="61"/>
      <c r="H117" s="61"/>
      <c r="I117" s="61"/>
      <c r="J117" s="65" t="str">
        <f t="shared" si="3"/>
        <v/>
      </c>
      <c r="K117" s="65" t="str">
        <f>IF($E117="","",$E117&amp;"|"&amp;COUNTIFS($E$7:$E117,$E117))</f>
        <v/>
      </c>
      <c r="L117" s="65" t="str">
        <f>IF($D117="","",$D117&amp;"|"&amp;COUNTIFS($D$7:$D117,$D117))</f>
        <v/>
      </c>
      <c r="M117" s="65" t="str">
        <f>IF(AND($E117&lt;&gt;"",COUNTIF($G117,"KÂR PAYI / AVANS*")&gt;0),$E117&amp;"|"&amp;COUNTIFS($E$7:$E117,$E117,$G$7:$G117,"KÂR PAYI / AVANS*"),"")</f>
        <v/>
      </c>
    </row>
    <row r="118" spans="1:13" ht="18" customHeight="1" x14ac:dyDescent="0.3">
      <c r="A118" s="2"/>
      <c r="B118" s="65" t="str">
        <f t="shared" si="2"/>
        <v/>
      </c>
      <c r="C118" s="66"/>
      <c r="D118" s="60"/>
      <c r="E118" s="60"/>
      <c r="F118" s="67"/>
      <c r="G118" s="61"/>
      <c r="H118" s="61"/>
      <c r="I118" s="61"/>
      <c r="J118" s="65" t="str">
        <f t="shared" si="3"/>
        <v/>
      </c>
      <c r="K118" s="65" t="str">
        <f>IF($E118="","",$E118&amp;"|"&amp;COUNTIFS($E$7:$E118,$E118))</f>
        <v/>
      </c>
      <c r="L118" s="65" t="str">
        <f>IF($D118="","",$D118&amp;"|"&amp;COUNTIFS($D$7:$D118,$D118))</f>
        <v/>
      </c>
      <c r="M118" s="65" t="str">
        <f>IF(AND($E118&lt;&gt;"",COUNTIF($G118,"KÂR PAYI / AVANS*")&gt;0),$E118&amp;"|"&amp;COUNTIFS($E$7:$E118,$E118,$G$7:$G118,"KÂR PAYI / AVANS*"),"")</f>
        <v/>
      </c>
    </row>
    <row r="119" spans="1:13" ht="18" customHeight="1" x14ac:dyDescent="0.3">
      <c r="A119" s="2"/>
      <c r="B119" s="65" t="str">
        <f t="shared" si="2"/>
        <v/>
      </c>
      <c r="C119" s="66"/>
      <c r="D119" s="60"/>
      <c r="E119" s="60"/>
      <c r="F119" s="67"/>
      <c r="G119" s="61"/>
      <c r="H119" s="61"/>
      <c r="I119" s="61"/>
      <c r="J119" s="65" t="str">
        <f t="shared" si="3"/>
        <v/>
      </c>
      <c r="K119" s="65" t="str">
        <f>IF($E119="","",$E119&amp;"|"&amp;COUNTIFS($E$7:$E119,$E119))</f>
        <v/>
      </c>
      <c r="L119" s="65" t="str">
        <f>IF($D119="","",$D119&amp;"|"&amp;COUNTIFS($D$7:$D119,$D119))</f>
        <v/>
      </c>
      <c r="M119" s="65" t="str">
        <f>IF(AND($E119&lt;&gt;"",COUNTIF($G119,"KÂR PAYI / AVANS*")&gt;0),$E119&amp;"|"&amp;COUNTIFS($E$7:$E119,$E119,$G$7:$G119,"KÂR PAYI / AVANS*"),"")</f>
        <v/>
      </c>
    </row>
    <row r="120" spans="1:13" ht="18" customHeight="1" x14ac:dyDescent="0.3">
      <c r="A120" s="2"/>
      <c r="B120" s="65" t="str">
        <f t="shared" si="2"/>
        <v/>
      </c>
      <c r="C120" s="66"/>
      <c r="D120" s="60"/>
      <c r="E120" s="60"/>
      <c r="F120" s="67"/>
      <c r="G120" s="61"/>
      <c r="H120" s="61"/>
      <c r="I120" s="61"/>
      <c r="J120" s="65" t="str">
        <f t="shared" si="3"/>
        <v/>
      </c>
      <c r="K120" s="65" t="str">
        <f>IF($E120="","",$E120&amp;"|"&amp;COUNTIFS($E$7:$E120,$E120))</f>
        <v/>
      </c>
      <c r="L120" s="65" t="str">
        <f>IF($D120="","",$D120&amp;"|"&amp;COUNTIFS($D$7:$D120,$D120))</f>
        <v/>
      </c>
      <c r="M120" s="65" t="str">
        <f>IF(AND($E120&lt;&gt;"",COUNTIF($G120,"KÂR PAYI / AVANS*")&gt;0),$E120&amp;"|"&amp;COUNTIFS($E$7:$E120,$E120,$G$7:$G120,"KÂR PAYI / AVANS*"),"")</f>
        <v/>
      </c>
    </row>
    <row r="121" spans="1:13" ht="18" customHeight="1" x14ac:dyDescent="0.3">
      <c r="A121" s="2"/>
      <c r="B121" s="65" t="str">
        <f t="shared" si="2"/>
        <v/>
      </c>
      <c r="C121" s="66"/>
      <c r="D121" s="60"/>
      <c r="E121" s="60"/>
      <c r="F121" s="67"/>
      <c r="G121" s="61"/>
      <c r="H121" s="61"/>
      <c r="I121" s="61"/>
      <c r="J121" s="65" t="str">
        <f t="shared" si="3"/>
        <v/>
      </c>
      <c r="K121" s="65" t="str">
        <f>IF($E121="","",$E121&amp;"|"&amp;COUNTIFS($E$7:$E121,$E121))</f>
        <v/>
      </c>
      <c r="L121" s="65" t="str">
        <f>IF($D121="","",$D121&amp;"|"&amp;COUNTIFS($D$7:$D121,$D121))</f>
        <v/>
      </c>
      <c r="M121" s="65" t="str">
        <f>IF(AND($E121&lt;&gt;"",COUNTIF($G121,"KÂR PAYI / AVANS*")&gt;0),$E121&amp;"|"&amp;COUNTIFS($E$7:$E121,$E121,$G$7:$G121,"KÂR PAYI / AVANS*"),"")</f>
        <v/>
      </c>
    </row>
    <row r="122" spans="1:13" ht="18" customHeight="1" x14ac:dyDescent="0.3">
      <c r="A122" s="2"/>
      <c r="B122" s="65" t="str">
        <f t="shared" si="2"/>
        <v/>
      </c>
      <c r="C122" s="66"/>
      <c r="D122" s="60"/>
      <c r="E122" s="60"/>
      <c r="F122" s="67"/>
      <c r="G122" s="61"/>
      <c r="H122" s="61"/>
      <c r="I122" s="61"/>
      <c r="J122" s="65" t="str">
        <f t="shared" si="3"/>
        <v/>
      </c>
      <c r="K122" s="65" t="str">
        <f>IF($E122="","",$E122&amp;"|"&amp;COUNTIFS($E$7:$E122,$E122))</f>
        <v/>
      </c>
      <c r="L122" s="65" t="str">
        <f>IF($D122="","",$D122&amp;"|"&amp;COUNTIFS($D$7:$D122,$D122))</f>
        <v/>
      </c>
      <c r="M122" s="65" t="str">
        <f>IF(AND($E122&lt;&gt;"",COUNTIF($G122,"KÂR PAYI / AVANS*")&gt;0),$E122&amp;"|"&amp;COUNTIFS($E$7:$E122,$E122,$G$7:$G122,"KÂR PAYI / AVANS*"),"")</f>
        <v/>
      </c>
    </row>
    <row r="123" spans="1:13" ht="18" customHeight="1" x14ac:dyDescent="0.3">
      <c r="A123" s="2"/>
      <c r="B123" s="65" t="str">
        <f t="shared" si="2"/>
        <v/>
      </c>
      <c r="C123" s="66"/>
      <c r="D123" s="60"/>
      <c r="E123" s="60"/>
      <c r="F123" s="67"/>
      <c r="G123" s="61"/>
      <c r="H123" s="61"/>
      <c r="I123" s="61"/>
      <c r="J123" s="65" t="str">
        <f t="shared" si="3"/>
        <v/>
      </c>
      <c r="K123" s="65" t="str">
        <f>IF($E123="","",$E123&amp;"|"&amp;COUNTIFS($E$7:$E123,$E123))</f>
        <v/>
      </c>
      <c r="L123" s="65" t="str">
        <f>IF($D123="","",$D123&amp;"|"&amp;COUNTIFS($D$7:$D123,$D123))</f>
        <v/>
      </c>
      <c r="M123" s="65" t="str">
        <f>IF(AND($E123&lt;&gt;"",COUNTIF($G123,"KÂR PAYI / AVANS*")&gt;0),$E123&amp;"|"&amp;COUNTIFS($E$7:$E123,$E123,$G$7:$G123,"KÂR PAYI / AVANS*"),"")</f>
        <v/>
      </c>
    </row>
    <row r="124" spans="1:13" ht="18" customHeight="1" x14ac:dyDescent="0.3">
      <c r="A124" s="2"/>
      <c r="B124" s="65" t="str">
        <f t="shared" si="2"/>
        <v/>
      </c>
      <c r="C124" s="66"/>
      <c r="D124" s="60"/>
      <c r="E124" s="60"/>
      <c r="F124" s="67"/>
      <c r="G124" s="61"/>
      <c r="H124" s="61"/>
      <c r="I124" s="61"/>
      <c r="J124" s="65" t="str">
        <f t="shared" si="3"/>
        <v/>
      </c>
      <c r="K124" s="65" t="str">
        <f>IF($E124="","",$E124&amp;"|"&amp;COUNTIFS($E$7:$E124,$E124))</f>
        <v/>
      </c>
      <c r="L124" s="65" t="str">
        <f>IF($D124="","",$D124&amp;"|"&amp;COUNTIFS($D$7:$D124,$D124))</f>
        <v/>
      </c>
      <c r="M124" s="65" t="str">
        <f>IF(AND($E124&lt;&gt;"",COUNTIF($G124,"KÂR PAYI / AVANS*")&gt;0),$E124&amp;"|"&amp;COUNTIFS($E$7:$E124,$E124,$G$7:$G124,"KÂR PAYI / AVANS*"),"")</f>
        <v/>
      </c>
    </row>
    <row r="125" spans="1:13" ht="18" customHeight="1" x14ac:dyDescent="0.3">
      <c r="A125" s="2"/>
      <c r="B125" s="65" t="str">
        <f t="shared" si="2"/>
        <v/>
      </c>
      <c r="C125" s="66"/>
      <c r="D125" s="60"/>
      <c r="E125" s="60"/>
      <c r="F125" s="67"/>
      <c r="G125" s="61"/>
      <c r="H125" s="61"/>
      <c r="I125" s="61"/>
      <c r="J125" s="65" t="str">
        <f t="shared" si="3"/>
        <v/>
      </c>
      <c r="K125" s="65" t="str">
        <f>IF($E125="","",$E125&amp;"|"&amp;COUNTIFS($E$7:$E125,$E125))</f>
        <v/>
      </c>
      <c r="L125" s="65" t="str">
        <f>IF($D125="","",$D125&amp;"|"&amp;COUNTIFS($D$7:$D125,$D125))</f>
        <v/>
      </c>
      <c r="M125" s="65" t="str">
        <f>IF(AND($E125&lt;&gt;"",COUNTIF($G125,"KÂR PAYI / AVANS*")&gt;0),$E125&amp;"|"&amp;COUNTIFS($E$7:$E125,$E125,$G$7:$G125,"KÂR PAYI / AVANS*"),"")</f>
        <v/>
      </c>
    </row>
    <row r="126" spans="1:13" ht="18" customHeight="1" x14ac:dyDescent="0.3">
      <c r="A126" s="2"/>
      <c r="B126" s="65" t="str">
        <f t="shared" si="2"/>
        <v/>
      </c>
      <c r="C126" s="66"/>
      <c r="D126" s="60"/>
      <c r="E126" s="60"/>
      <c r="F126" s="67"/>
      <c r="G126" s="61"/>
      <c r="H126" s="61"/>
      <c r="I126" s="61"/>
      <c r="J126" s="65" t="str">
        <f t="shared" si="3"/>
        <v/>
      </c>
      <c r="K126" s="65" t="str">
        <f>IF($E126="","",$E126&amp;"|"&amp;COUNTIFS($E$7:$E126,$E126))</f>
        <v/>
      </c>
      <c r="L126" s="65" t="str">
        <f>IF($D126="","",$D126&amp;"|"&amp;COUNTIFS($D$7:$D126,$D126))</f>
        <v/>
      </c>
      <c r="M126" s="65" t="str">
        <f>IF(AND($E126&lt;&gt;"",COUNTIF($G126,"KÂR PAYI / AVANS*")&gt;0),$E126&amp;"|"&amp;COUNTIFS($E$7:$E126,$E126,$G$7:$G126,"KÂR PAYI / AVANS*"),"")</f>
        <v/>
      </c>
    </row>
    <row r="127" spans="1:13" ht="18" customHeight="1" x14ac:dyDescent="0.3">
      <c r="A127" s="2"/>
      <c r="B127" s="65" t="str">
        <f t="shared" si="2"/>
        <v/>
      </c>
      <c r="C127" s="66"/>
      <c r="D127" s="60"/>
      <c r="E127" s="60"/>
      <c r="F127" s="67"/>
      <c r="G127" s="61"/>
      <c r="H127" s="61"/>
      <c r="I127" s="61"/>
      <c r="J127" s="65" t="str">
        <f t="shared" si="3"/>
        <v/>
      </c>
      <c r="K127" s="65" t="str">
        <f>IF($E127="","",$E127&amp;"|"&amp;COUNTIFS($E$7:$E127,$E127))</f>
        <v/>
      </c>
      <c r="L127" s="65" t="str">
        <f>IF($D127="","",$D127&amp;"|"&amp;COUNTIFS($D$7:$D127,$D127))</f>
        <v/>
      </c>
      <c r="M127" s="65" t="str">
        <f>IF(AND($E127&lt;&gt;"",COUNTIF($G127,"KÂR PAYI / AVANS*")&gt;0),$E127&amp;"|"&amp;COUNTIFS($E$7:$E127,$E127,$G$7:$G127,"KÂR PAYI / AVANS*"),"")</f>
        <v/>
      </c>
    </row>
    <row r="128" spans="1:13" ht="18" customHeight="1" x14ac:dyDescent="0.3">
      <c r="A128" s="2"/>
      <c r="B128" s="65" t="str">
        <f t="shared" si="2"/>
        <v/>
      </c>
      <c r="C128" s="66"/>
      <c r="D128" s="60"/>
      <c r="E128" s="60"/>
      <c r="F128" s="67"/>
      <c r="G128" s="61"/>
      <c r="H128" s="61"/>
      <c r="I128" s="61"/>
      <c r="J128" s="65" t="str">
        <f t="shared" si="3"/>
        <v/>
      </c>
      <c r="K128" s="65" t="str">
        <f>IF($E128="","",$E128&amp;"|"&amp;COUNTIFS($E$7:$E128,$E128))</f>
        <v/>
      </c>
      <c r="L128" s="65" t="str">
        <f>IF($D128="","",$D128&amp;"|"&amp;COUNTIFS($D$7:$D128,$D128))</f>
        <v/>
      </c>
      <c r="M128" s="65" t="str">
        <f>IF(AND($E128&lt;&gt;"",COUNTIF($G128,"KÂR PAYI / AVANS*")&gt;0),$E128&amp;"|"&amp;COUNTIFS($E$7:$E128,$E128,$G$7:$G128,"KÂR PAYI / AVANS*"),"")</f>
        <v/>
      </c>
    </row>
    <row r="129" spans="1:13" ht="18" customHeight="1" x14ac:dyDescent="0.3">
      <c r="A129" s="2"/>
      <c r="B129" s="65" t="str">
        <f t="shared" si="2"/>
        <v/>
      </c>
      <c r="C129" s="66"/>
      <c r="D129" s="60"/>
      <c r="E129" s="60"/>
      <c r="F129" s="67"/>
      <c r="G129" s="61"/>
      <c r="H129" s="61"/>
      <c r="I129" s="61"/>
      <c r="J129" s="65" t="str">
        <f t="shared" si="3"/>
        <v/>
      </c>
      <c r="K129" s="65" t="str">
        <f>IF($E129="","",$E129&amp;"|"&amp;COUNTIFS($E$7:$E129,$E129))</f>
        <v/>
      </c>
      <c r="L129" s="65" t="str">
        <f>IF($D129="","",$D129&amp;"|"&amp;COUNTIFS($D$7:$D129,$D129))</f>
        <v/>
      </c>
      <c r="M129" s="65" t="str">
        <f>IF(AND($E129&lt;&gt;"",COUNTIF($G129,"KÂR PAYI / AVANS*")&gt;0),$E129&amp;"|"&amp;COUNTIFS($E$7:$E129,$E129,$G$7:$G129,"KÂR PAYI / AVANS*"),"")</f>
        <v/>
      </c>
    </row>
    <row r="130" spans="1:13" ht="18" customHeight="1" x14ac:dyDescent="0.3">
      <c r="A130" s="2"/>
      <c r="B130" s="65" t="str">
        <f t="shared" si="2"/>
        <v/>
      </c>
      <c r="C130" s="66"/>
      <c r="D130" s="60"/>
      <c r="E130" s="60"/>
      <c r="F130" s="67"/>
      <c r="G130" s="61"/>
      <c r="H130" s="61"/>
      <c r="I130" s="61"/>
      <c r="J130" s="65" t="str">
        <f t="shared" si="3"/>
        <v/>
      </c>
      <c r="K130" s="65" t="str">
        <f>IF($E130="","",$E130&amp;"|"&amp;COUNTIFS($E$7:$E130,$E130))</f>
        <v/>
      </c>
      <c r="L130" s="65" t="str">
        <f>IF($D130="","",$D130&amp;"|"&amp;COUNTIFS($D$7:$D130,$D130))</f>
        <v/>
      </c>
      <c r="M130" s="65" t="str">
        <f>IF(AND($E130&lt;&gt;"",COUNTIF($G130,"KÂR PAYI / AVANS*")&gt;0),$E130&amp;"|"&amp;COUNTIFS($E$7:$E130,$E130,$G$7:$G130,"KÂR PAYI / AVANS*"),"")</f>
        <v/>
      </c>
    </row>
    <row r="131" spans="1:13" ht="18" customHeight="1" x14ac:dyDescent="0.3">
      <c r="A131" s="2"/>
      <c r="B131" s="65" t="str">
        <f t="shared" si="2"/>
        <v/>
      </c>
      <c r="C131" s="66"/>
      <c r="D131" s="60"/>
      <c r="E131" s="60"/>
      <c r="F131" s="67"/>
      <c r="G131" s="61"/>
      <c r="H131" s="61"/>
      <c r="I131" s="61"/>
      <c r="J131" s="65" t="str">
        <f t="shared" si="3"/>
        <v/>
      </c>
      <c r="K131" s="65" t="str">
        <f>IF($E131="","",$E131&amp;"|"&amp;COUNTIFS($E$7:$E131,$E131))</f>
        <v/>
      </c>
      <c r="L131" s="65" t="str">
        <f>IF($D131="","",$D131&amp;"|"&amp;COUNTIFS($D$7:$D131,$D131))</f>
        <v/>
      </c>
      <c r="M131" s="65" t="str">
        <f>IF(AND($E131&lt;&gt;"",COUNTIF($G131,"KÂR PAYI / AVANS*")&gt;0),$E131&amp;"|"&amp;COUNTIFS($E$7:$E131,$E131,$G$7:$G131,"KÂR PAYI / AVANS*"),"")</f>
        <v/>
      </c>
    </row>
    <row r="132" spans="1:13" ht="18" customHeight="1" x14ac:dyDescent="0.3">
      <c r="A132" s="2"/>
      <c r="B132" s="65" t="str">
        <f t="shared" si="2"/>
        <v/>
      </c>
      <c r="C132" s="66"/>
      <c r="D132" s="60"/>
      <c r="E132" s="60"/>
      <c r="F132" s="67"/>
      <c r="G132" s="61"/>
      <c r="H132" s="61"/>
      <c r="I132" s="61"/>
      <c r="J132" s="65" t="str">
        <f t="shared" si="3"/>
        <v/>
      </c>
      <c r="K132" s="65" t="str">
        <f>IF($E132="","",$E132&amp;"|"&amp;COUNTIFS($E$7:$E132,$E132))</f>
        <v/>
      </c>
      <c r="L132" s="65" t="str">
        <f>IF($D132="","",$D132&amp;"|"&amp;COUNTIFS($D$7:$D132,$D132))</f>
        <v/>
      </c>
      <c r="M132" s="65" t="str">
        <f>IF(AND($E132&lt;&gt;"",COUNTIF($G132,"KÂR PAYI / AVANS*")&gt;0),$E132&amp;"|"&amp;COUNTIFS($E$7:$E132,$E132,$G$7:$G132,"KÂR PAYI / AVANS*"),"")</f>
        <v/>
      </c>
    </row>
    <row r="133" spans="1:13" ht="18" customHeight="1" x14ac:dyDescent="0.3">
      <c r="A133" s="2"/>
      <c r="B133" s="65" t="str">
        <f t="shared" si="2"/>
        <v/>
      </c>
      <c r="C133" s="66"/>
      <c r="D133" s="60"/>
      <c r="E133" s="60"/>
      <c r="F133" s="67"/>
      <c r="G133" s="61"/>
      <c r="H133" s="61"/>
      <c r="I133" s="61"/>
      <c r="J133" s="65" t="str">
        <f t="shared" si="3"/>
        <v/>
      </c>
      <c r="K133" s="65" t="str">
        <f>IF($E133="","",$E133&amp;"|"&amp;COUNTIFS($E$7:$E133,$E133))</f>
        <v/>
      </c>
      <c r="L133" s="65" t="str">
        <f>IF($D133="","",$D133&amp;"|"&amp;COUNTIFS($D$7:$D133,$D133))</f>
        <v/>
      </c>
      <c r="M133" s="65" t="str">
        <f>IF(AND($E133&lt;&gt;"",COUNTIF($G133,"KÂR PAYI / AVANS*")&gt;0),$E133&amp;"|"&amp;COUNTIFS($E$7:$E133,$E133,$G$7:$G133,"KÂR PAYI / AVANS*"),"")</f>
        <v/>
      </c>
    </row>
    <row r="134" spans="1:13" ht="18" customHeight="1" x14ac:dyDescent="0.3">
      <c r="A134" s="2"/>
      <c r="B134" s="65" t="str">
        <f t="shared" si="2"/>
        <v/>
      </c>
      <c r="C134" s="66"/>
      <c r="D134" s="60"/>
      <c r="E134" s="60"/>
      <c r="F134" s="67"/>
      <c r="G134" s="61"/>
      <c r="H134" s="61"/>
      <c r="I134" s="61"/>
      <c r="J134" s="65" t="str">
        <f t="shared" si="3"/>
        <v/>
      </c>
      <c r="K134" s="65" t="str">
        <f>IF($E134="","",$E134&amp;"|"&amp;COUNTIFS($E$7:$E134,$E134))</f>
        <v/>
      </c>
      <c r="L134" s="65" t="str">
        <f>IF($D134="","",$D134&amp;"|"&amp;COUNTIFS($D$7:$D134,$D134))</f>
        <v/>
      </c>
      <c r="M134" s="65" t="str">
        <f>IF(AND($E134&lt;&gt;"",COUNTIF($G134,"KÂR PAYI / AVANS*")&gt;0),$E134&amp;"|"&amp;COUNTIFS($E$7:$E134,$E134,$G$7:$G134,"KÂR PAYI / AVANS*"),"")</f>
        <v/>
      </c>
    </row>
    <row r="135" spans="1:13" ht="18" customHeight="1" x14ac:dyDescent="0.3">
      <c r="A135" s="2"/>
      <c r="B135" s="65" t="str">
        <f t="shared" ref="B135:B198" si="4">IF($C135="","","V"&amp;TEXT(ROW()-6,"00000"))</f>
        <v/>
      </c>
      <c r="C135" s="66"/>
      <c r="D135" s="60"/>
      <c r="E135" s="60"/>
      <c r="F135" s="67"/>
      <c r="G135" s="61"/>
      <c r="H135" s="61"/>
      <c r="I135" s="61"/>
      <c r="J135" s="65" t="str">
        <f t="shared" ref="J135:J198" si="5">IF($C135="","",IF(AND($D135&lt;&gt;"",$E135&lt;&gt;"",$D135&lt;&gt;$E135,$F135&gt;0),"UYGUN","HATA"))</f>
        <v/>
      </c>
      <c r="K135" s="65" t="str">
        <f>IF($E135="","",$E135&amp;"|"&amp;COUNTIFS($E$7:$E135,$E135))</f>
        <v/>
      </c>
      <c r="L135" s="65" t="str">
        <f>IF($D135="","",$D135&amp;"|"&amp;COUNTIFS($D$7:$D135,$D135))</f>
        <v/>
      </c>
      <c r="M135" s="65" t="str">
        <f>IF(AND($E135&lt;&gt;"",COUNTIF($G135,"KÂR PAYI / AVANS*")&gt;0),$E135&amp;"|"&amp;COUNTIFS($E$7:$E135,$E135,$G$7:$G135,"KÂR PAYI / AVANS*"),"")</f>
        <v/>
      </c>
    </row>
    <row r="136" spans="1:13" ht="18" customHeight="1" x14ac:dyDescent="0.3">
      <c r="A136" s="2"/>
      <c r="B136" s="65" t="str">
        <f t="shared" si="4"/>
        <v/>
      </c>
      <c r="C136" s="66"/>
      <c r="D136" s="60"/>
      <c r="E136" s="60"/>
      <c r="F136" s="67"/>
      <c r="G136" s="61"/>
      <c r="H136" s="61"/>
      <c r="I136" s="61"/>
      <c r="J136" s="65" t="str">
        <f t="shared" si="5"/>
        <v/>
      </c>
      <c r="K136" s="65" t="str">
        <f>IF($E136="","",$E136&amp;"|"&amp;COUNTIFS($E$7:$E136,$E136))</f>
        <v/>
      </c>
      <c r="L136" s="65" t="str">
        <f>IF($D136="","",$D136&amp;"|"&amp;COUNTIFS($D$7:$D136,$D136))</f>
        <v/>
      </c>
      <c r="M136" s="65" t="str">
        <f>IF(AND($E136&lt;&gt;"",COUNTIF($G136,"KÂR PAYI / AVANS*")&gt;0),$E136&amp;"|"&amp;COUNTIFS($E$7:$E136,$E136,$G$7:$G136,"KÂR PAYI / AVANS*"),"")</f>
        <v/>
      </c>
    </row>
    <row r="137" spans="1:13" ht="18" customHeight="1" x14ac:dyDescent="0.3">
      <c r="A137" s="2"/>
      <c r="B137" s="65" t="str">
        <f t="shared" si="4"/>
        <v/>
      </c>
      <c r="C137" s="66"/>
      <c r="D137" s="60"/>
      <c r="E137" s="60"/>
      <c r="F137" s="67"/>
      <c r="G137" s="61"/>
      <c r="H137" s="61"/>
      <c r="I137" s="61"/>
      <c r="J137" s="65" t="str">
        <f t="shared" si="5"/>
        <v/>
      </c>
      <c r="K137" s="65" t="str">
        <f>IF($E137="","",$E137&amp;"|"&amp;COUNTIFS($E$7:$E137,$E137))</f>
        <v/>
      </c>
      <c r="L137" s="65" t="str">
        <f>IF($D137="","",$D137&amp;"|"&amp;COUNTIFS($D$7:$D137,$D137))</f>
        <v/>
      </c>
      <c r="M137" s="65" t="str">
        <f>IF(AND($E137&lt;&gt;"",COUNTIF($G137,"KÂR PAYI / AVANS*")&gt;0),$E137&amp;"|"&amp;COUNTIFS($E$7:$E137,$E137,$G$7:$G137,"KÂR PAYI / AVANS*"),"")</f>
        <v/>
      </c>
    </row>
    <row r="138" spans="1:13" ht="18" customHeight="1" x14ac:dyDescent="0.3">
      <c r="A138" s="2"/>
      <c r="B138" s="65" t="str">
        <f t="shared" si="4"/>
        <v/>
      </c>
      <c r="C138" s="66"/>
      <c r="D138" s="60"/>
      <c r="E138" s="60"/>
      <c r="F138" s="67"/>
      <c r="G138" s="61"/>
      <c r="H138" s="61"/>
      <c r="I138" s="61"/>
      <c r="J138" s="65" t="str">
        <f t="shared" si="5"/>
        <v/>
      </c>
      <c r="K138" s="65" t="str">
        <f>IF($E138="","",$E138&amp;"|"&amp;COUNTIFS($E$7:$E138,$E138))</f>
        <v/>
      </c>
      <c r="L138" s="65" t="str">
        <f>IF($D138="","",$D138&amp;"|"&amp;COUNTIFS($D$7:$D138,$D138))</f>
        <v/>
      </c>
      <c r="M138" s="65" t="str">
        <f>IF(AND($E138&lt;&gt;"",COUNTIF($G138,"KÂR PAYI / AVANS*")&gt;0),$E138&amp;"|"&amp;COUNTIFS($E$7:$E138,$E138,$G$7:$G138,"KÂR PAYI / AVANS*"),"")</f>
        <v/>
      </c>
    </row>
    <row r="139" spans="1:13" ht="18" customHeight="1" x14ac:dyDescent="0.3">
      <c r="A139" s="2"/>
      <c r="B139" s="65" t="str">
        <f t="shared" si="4"/>
        <v/>
      </c>
      <c r="C139" s="66"/>
      <c r="D139" s="60"/>
      <c r="E139" s="60"/>
      <c r="F139" s="67"/>
      <c r="G139" s="61"/>
      <c r="H139" s="61"/>
      <c r="I139" s="61"/>
      <c r="J139" s="65" t="str">
        <f t="shared" si="5"/>
        <v/>
      </c>
      <c r="K139" s="65" t="str">
        <f>IF($E139="","",$E139&amp;"|"&amp;COUNTIFS($E$7:$E139,$E139))</f>
        <v/>
      </c>
      <c r="L139" s="65" t="str">
        <f>IF($D139="","",$D139&amp;"|"&amp;COUNTIFS($D$7:$D139,$D139))</f>
        <v/>
      </c>
      <c r="M139" s="65" t="str">
        <f>IF(AND($E139&lt;&gt;"",COUNTIF($G139,"KÂR PAYI / AVANS*")&gt;0),$E139&amp;"|"&amp;COUNTIFS($E$7:$E139,$E139,$G$7:$G139,"KÂR PAYI / AVANS*"),"")</f>
        <v/>
      </c>
    </row>
    <row r="140" spans="1:13" ht="18" customHeight="1" x14ac:dyDescent="0.3">
      <c r="A140" s="2"/>
      <c r="B140" s="65" t="str">
        <f t="shared" si="4"/>
        <v/>
      </c>
      <c r="C140" s="66"/>
      <c r="D140" s="60"/>
      <c r="E140" s="60"/>
      <c r="F140" s="67"/>
      <c r="G140" s="61"/>
      <c r="H140" s="61"/>
      <c r="I140" s="61"/>
      <c r="J140" s="65" t="str">
        <f t="shared" si="5"/>
        <v/>
      </c>
      <c r="K140" s="65" t="str">
        <f>IF($E140="","",$E140&amp;"|"&amp;COUNTIFS($E$7:$E140,$E140))</f>
        <v/>
      </c>
      <c r="L140" s="65" t="str">
        <f>IF($D140="","",$D140&amp;"|"&amp;COUNTIFS($D$7:$D140,$D140))</f>
        <v/>
      </c>
      <c r="M140" s="65" t="str">
        <f>IF(AND($E140&lt;&gt;"",COUNTIF($G140,"KÂR PAYI / AVANS*")&gt;0),$E140&amp;"|"&amp;COUNTIFS($E$7:$E140,$E140,$G$7:$G140,"KÂR PAYI / AVANS*"),"")</f>
        <v/>
      </c>
    </row>
    <row r="141" spans="1:13" ht="18" customHeight="1" x14ac:dyDescent="0.3">
      <c r="A141" s="2"/>
      <c r="B141" s="65" t="str">
        <f t="shared" si="4"/>
        <v/>
      </c>
      <c r="C141" s="66"/>
      <c r="D141" s="60"/>
      <c r="E141" s="60"/>
      <c r="F141" s="67"/>
      <c r="G141" s="61"/>
      <c r="H141" s="61"/>
      <c r="I141" s="61"/>
      <c r="J141" s="65" t="str">
        <f t="shared" si="5"/>
        <v/>
      </c>
      <c r="K141" s="65" t="str">
        <f>IF($E141="","",$E141&amp;"|"&amp;COUNTIFS($E$7:$E141,$E141))</f>
        <v/>
      </c>
      <c r="L141" s="65" t="str">
        <f>IF($D141="","",$D141&amp;"|"&amp;COUNTIFS($D$7:$D141,$D141))</f>
        <v/>
      </c>
      <c r="M141" s="65" t="str">
        <f>IF(AND($E141&lt;&gt;"",COUNTIF($G141,"KÂR PAYI / AVANS*")&gt;0),$E141&amp;"|"&amp;COUNTIFS($E$7:$E141,$E141,$G$7:$G141,"KÂR PAYI / AVANS*"),"")</f>
        <v/>
      </c>
    </row>
    <row r="142" spans="1:13" ht="18" customHeight="1" x14ac:dyDescent="0.3">
      <c r="A142" s="2"/>
      <c r="B142" s="65" t="str">
        <f t="shared" si="4"/>
        <v/>
      </c>
      <c r="C142" s="66"/>
      <c r="D142" s="60"/>
      <c r="E142" s="60"/>
      <c r="F142" s="67"/>
      <c r="G142" s="61"/>
      <c r="H142" s="61"/>
      <c r="I142" s="61"/>
      <c r="J142" s="65" t="str">
        <f t="shared" si="5"/>
        <v/>
      </c>
      <c r="K142" s="65" t="str">
        <f>IF($E142="","",$E142&amp;"|"&amp;COUNTIFS($E$7:$E142,$E142))</f>
        <v/>
      </c>
      <c r="L142" s="65" t="str">
        <f>IF($D142="","",$D142&amp;"|"&amp;COUNTIFS($D$7:$D142,$D142))</f>
        <v/>
      </c>
      <c r="M142" s="65" t="str">
        <f>IF(AND($E142&lt;&gt;"",COUNTIF($G142,"KÂR PAYI / AVANS*")&gt;0),$E142&amp;"|"&amp;COUNTIFS($E$7:$E142,$E142,$G$7:$G142,"KÂR PAYI / AVANS*"),"")</f>
        <v/>
      </c>
    </row>
    <row r="143" spans="1:13" ht="18" customHeight="1" x14ac:dyDescent="0.3">
      <c r="A143" s="2"/>
      <c r="B143" s="65" t="str">
        <f t="shared" si="4"/>
        <v/>
      </c>
      <c r="C143" s="66"/>
      <c r="D143" s="60"/>
      <c r="E143" s="60"/>
      <c r="F143" s="67"/>
      <c r="G143" s="61"/>
      <c r="H143" s="61"/>
      <c r="I143" s="61"/>
      <c r="J143" s="65" t="str">
        <f t="shared" si="5"/>
        <v/>
      </c>
      <c r="K143" s="65" t="str">
        <f>IF($E143="","",$E143&amp;"|"&amp;COUNTIFS($E$7:$E143,$E143))</f>
        <v/>
      </c>
      <c r="L143" s="65" t="str">
        <f>IF($D143="","",$D143&amp;"|"&amp;COUNTIFS($D$7:$D143,$D143))</f>
        <v/>
      </c>
      <c r="M143" s="65" t="str">
        <f>IF(AND($E143&lt;&gt;"",COUNTIF($G143,"KÂR PAYI / AVANS*")&gt;0),$E143&amp;"|"&amp;COUNTIFS($E$7:$E143,$E143,$G$7:$G143,"KÂR PAYI / AVANS*"),"")</f>
        <v/>
      </c>
    </row>
    <row r="144" spans="1:13" ht="18" customHeight="1" x14ac:dyDescent="0.3">
      <c r="A144" s="2"/>
      <c r="B144" s="65" t="str">
        <f t="shared" si="4"/>
        <v/>
      </c>
      <c r="C144" s="66"/>
      <c r="D144" s="60"/>
      <c r="E144" s="60"/>
      <c r="F144" s="67"/>
      <c r="G144" s="61"/>
      <c r="H144" s="61"/>
      <c r="I144" s="61"/>
      <c r="J144" s="65" t="str">
        <f t="shared" si="5"/>
        <v/>
      </c>
      <c r="K144" s="65" t="str">
        <f>IF($E144="","",$E144&amp;"|"&amp;COUNTIFS($E$7:$E144,$E144))</f>
        <v/>
      </c>
      <c r="L144" s="65" t="str">
        <f>IF($D144="","",$D144&amp;"|"&amp;COUNTIFS($D$7:$D144,$D144))</f>
        <v/>
      </c>
      <c r="M144" s="65" t="str">
        <f>IF(AND($E144&lt;&gt;"",COUNTIF($G144,"KÂR PAYI / AVANS*")&gt;0),$E144&amp;"|"&amp;COUNTIFS($E$7:$E144,$E144,$G$7:$G144,"KÂR PAYI / AVANS*"),"")</f>
        <v/>
      </c>
    </row>
    <row r="145" spans="1:13" ht="18" customHeight="1" x14ac:dyDescent="0.3">
      <c r="A145" s="2"/>
      <c r="B145" s="65" t="str">
        <f t="shared" si="4"/>
        <v/>
      </c>
      <c r="C145" s="66"/>
      <c r="D145" s="60"/>
      <c r="E145" s="60"/>
      <c r="F145" s="67"/>
      <c r="G145" s="61"/>
      <c r="H145" s="61"/>
      <c r="I145" s="61"/>
      <c r="J145" s="65" t="str">
        <f t="shared" si="5"/>
        <v/>
      </c>
      <c r="K145" s="65" t="str">
        <f>IF($E145="","",$E145&amp;"|"&amp;COUNTIFS($E$7:$E145,$E145))</f>
        <v/>
      </c>
      <c r="L145" s="65" t="str">
        <f>IF($D145="","",$D145&amp;"|"&amp;COUNTIFS($D$7:$D145,$D145))</f>
        <v/>
      </c>
      <c r="M145" s="65" t="str">
        <f>IF(AND($E145&lt;&gt;"",COUNTIF($G145,"KÂR PAYI / AVANS*")&gt;0),$E145&amp;"|"&amp;COUNTIFS($E$7:$E145,$E145,$G$7:$G145,"KÂR PAYI / AVANS*"),"")</f>
        <v/>
      </c>
    </row>
    <row r="146" spans="1:13" ht="18" customHeight="1" x14ac:dyDescent="0.3">
      <c r="A146" s="2"/>
      <c r="B146" s="65" t="str">
        <f t="shared" si="4"/>
        <v/>
      </c>
      <c r="C146" s="66"/>
      <c r="D146" s="60"/>
      <c r="E146" s="60"/>
      <c r="F146" s="67"/>
      <c r="G146" s="61"/>
      <c r="H146" s="61"/>
      <c r="I146" s="61"/>
      <c r="J146" s="65" t="str">
        <f t="shared" si="5"/>
        <v/>
      </c>
      <c r="K146" s="65" t="str">
        <f>IF($E146="","",$E146&amp;"|"&amp;COUNTIFS($E$7:$E146,$E146))</f>
        <v/>
      </c>
      <c r="L146" s="65" t="str">
        <f>IF($D146="","",$D146&amp;"|"&amp;COUNTIFS($D$7:$D146,$D146))</f>
        <v/>
      </c>
      <c r="M146" s="65" t="str">
        <f>IF(AND($E146&lt;&gt;"",COUNTIF($G146,"KÂR PAYI / AVANS*")&gt;0),$E146&amp;"|"&amp;COUNTIFS($E$7:$E146,$E146,$G$7:$G146,"KÂR PAYI / AVANS*"),"")</f>
        <v/>
      </c>
    </row>
    <row r="147" spans="1:13" ht="18" customHeight="1" x14ac:dyDescent="0.3">
      <c r="A147" s="2"/>
      <c r="B147" s="65" t="str">
        <f t="shared" si="4"/>
        <v/>
      </c>
      <c r="C147" s="66"/>
      <c r="D147" s="60"/>
      <c r="E147" s="60"/>
      <c r="F147" s="67"/>
      <c r="G147" s="61"/>
      <c r="H147" s="61"/>
      <c r="I147" s="61"/>
      <c r="J147" s="65" t="str">
        <f t="shared" si="5"/>
        <v/>
      </c>
      <c r="K147" s="65" t="str">
        <f>IF($E147="","",$E147&amp;"|"&amp;COUNTIFS($E$7:$E147,$E147))</f>
        <v/>
      </c>
      <c r="L147" s="65" t="str">
        <f>IF($D147="","",$D147&amp;"|"&amp;COUNTIFS($D$7:$D147,$D147))</f>
        <v/>
      </c>
      <c r="M147" s="65" t="str">
        <f>IF(AND($E147&lt;&gt;"",COUNTIF($G147,"KÂR PAYI / AVANS*")&gt;0),$E147&amp;"|"&amp;COUNTIFS($E$7:$E147,$E147,$G$7:$G147,"KÂR PAYI / AVANS*"),"")</f>
        <v/>
      </c>
    </row>
    <row r="148" spans="1:13" ht="18" customHeight="1" x14ac:dyDescent="0.3">
      <c r="A148" s="2"/>
      <c r="B148" s="65" t="str">
        <f t="shared" si="4"/>
        <v/>
      </c>
      <c r="C148" s="66"/>
      <c r="D148" s="60"/>
      <c r="E148" s="60"/>
      <c r="F148" s="67"/>
      <c r="G148" s="61"/>
      <c r="H148" s="61"/>
      <c r="I148" s="61"/>
      <c r="J148" s="65" t="str">
        <f t="shared" si="5"/>
        <v/>
      </c>
      <c r="K148" s="65" t="str">
        <f>IF($E148="","",$E148&amp;"|"&amp;COUNTIFS($E$7:$E148,$E148))</f>
        <v/>
      </c>
      <c r="L148" s="65" t="str">
        <f>IF($D148="","",$D148&amp;"|"&amp;COUNTIFS($D$7:$D148,$D148))</f>
        <v/>
      </c>
      <c r="M148" s="65" t="str">
        <f>IF(AND($E148&lt;&gt;"",COUNTIF($G148,"KÂR PAYI / AVANS*")&gt;0),$E148&amp;"|"&amp;COUNTIFS($E$7:$E148,$E148,$G$7:$G148,"KÂR PAYI / AVANS*"),"")</f>
        <v/>
      </c>
    </row>
    <row r="149" spans="1:13" ht="18" customHeight="1" x14ac:dyDescent="0.3">
      <c r="A149" s="2"/>
      <c r="B149" s="65" t="str">
        <f t="shared" si="4"/>
        <v/>
      </c>
      <c r="C149" s="66"/>
      <c r="D149" s="60"/>
      <c r="E149" s="60"/>
      <c r="F149" s="67"/>
      <c r="G149" s="61"/>
      <c r="H149" s="61"/>
      <c r="I149" s="61"/>
      <c r="J149" s="65" t="str">
        <f t="shared" si="5"/>
        <v/>
      </c>
      <c r="K149" s="65" t="str">
        <f>IF($E149="","",$E149&amp;"|"&amp;COUNTIFS($E$7:$E149,$E149))</f>
        <v/>
      </c>
      <c r="L149" s="65" t="str">
        <f>IF($D149="","",$D149&amp;"|"&amp;COUNTIFS($D$7:$D149,$D149))</f>
        <v/>
      </c>
      <c r="M149" s="65" t="str">
        <f>IF(AND($E149&lt;&gt;"",COUNTIF($G149,"KÂR PAYI / AVANS*")&gt;0),$E149&amp;"|"&amp;COUNTIFS($E$7:$E149,$E149,$G$7:$G149,"KÂR PAYI / AVANS*"),"")</f>
        <v/>
      </c>
    </row>
    <row r="150" spans="1:13" ht="18" customHeight="1" x14ac:dyDescent="0.3">
      <c r="A150" s="2"/>
      <c r="B150" s="65" t="str">
        <f t="shared" si="4"/>
        <v/>
      </c>
      <c r="C150" s="66"/>
      <c r="D150" s="60"/>
      <c r="E150" s="60"/>
      <c r="F150" s="67"/>
      <c r="G150" s="61"/>
      <c r="H150" s="61"/>
      <c r="I150" s="61"/>
      <c r="J150" s="65" t="str">
        <f t="shared" si="5"/>
        <v/>
      </c>
      <c r="K150" s="65" t="str">
        <f>IF($E150="","",$E150&amp;"|"&amp;COUNTIFS($E$7:$E150,$E150))</f>
        <v/>
      </c>
      <c r="L150" s="65" t="str">
        <f>IF($D150="","",$D150&amp;"|"&amp;COUNTIFS($D$7:$D150,$D150))</f>
        <v/>
      </c>
      <c r="M150" s="65" t="str">
        <f>IF(AND($E150&lt;&gt;"",COUNTIF($G150,"KÂR PAYI / AVANS*")&gt;0),$E150&amp;"|"&amp;COUNTIFS($E$7:$E150,$E150,$G$7:$G150,"KÂR PAYI / AVANS*"),"")</f>
        <v/>
      </c>
    </row>
    <row r="151" spans="1:13" ht="18" customHeight="1" x14ac:dyDescent="0.3">
      <c r="A151" s="2"/>
      <c r="B151" s="65" t="str">
        <f t="shared" si="4"/>
        <v/>
      </c>
      <c r="C151" s="66"/>
      <c r="D151" s="60"/>
      <c r="E151" s="60"/>
      <c r="F151" s="67"/>
      <c r="G151" s="61"/>
      <c r="H151" s="61"/>
      <c r="I151" s="61"/>
      <c r="J151" s="65" t="str">
        <f t="shared" si="5"/>
        <v/>
      </c>
      <c r="K151" s="65" t="str">
        <f>IF($E151="","",$E151&amp;"|"&amp;COUNTIFS($E$7:$E151,$E151))</f>
        <v/>
      </c>
      <c r="L151" s="65" t="str">
        <f>IF($D151="","",$D151&amp;"|"&amp;COUNTIFS($D$7:$D151,$D151))</f>
        <v/>
      </c>
      <c r="M151" s="65" t="str">
        <f>IF(AND($E151&lt;&gt;"",COUNTIF($G151,"KÂR PAYI / AVANS*")&gt;0),$E151&amp;"|"&amp;COUNTIFS($E$7:$E151,$E151,$G$7:$G151,"KÂR PAYI / AVANS*"),"")</f>
        <v/>
      </c>
    </row>
    <row r="152" spans="1:13" ht="18" customHeight="1" x14ac:dyDescent="0.3">
      <c r="A152" s="2"/>
      <c r="B152" s="65" t="str">
        <f t="shared" si="4"/>
        <v/>
      </c>
      <c r="C152" s="66"/>
      <c r="D152" s="60"/>
      <c r="E152" s="60"/>
      <c r="F152" s="67"/>
      <c r="G152" s="61"/>
      <c r="H152" s="61"/>
      <c r="I152" s="61"/>
      <c r="J152" s="65" t="str">
        <f t="shared" si="5"/>
        <v/>
      </c>
      <c r="K152" s="65" t="str">
        <f>IF($E152="","",$E152&amp;"|"&amp;COUNTIFS($E$7:$E152,$E152))</f>
        <v/>
      </c>
      <c r="L152" s="65" t="str">
        <f>IF($D152="","",$D152&amp;"|"&amp;COUNTIFS($D$7:$D152,$D152))</f>
        <v/>
      </c>
      <c r="M152" s="65" t="str">
        <f>IF(AND($E152&lt;&gt;"",COUNTIF($G152,"KÂR PAYI / AVANS*")&gt;0),$E152&amp;"|"&amp;COUNTIFS($E$7:$E152,$E152,$G$7:$G152,"KÂR PAYI / AVANS*"),"")</f>
        <v/>
      </c>
    </row>
    <row r="153" spans="1:13" ht="18" customHeight="1" x14ac:dyDescent="0.3">
      <c r="A153" s="2"/>
      <c r="B153" s="65" t="str">
        <f t="shared" si="4"/>
        <v/>
      </c>
      <c r="C153" s="66"/>
      <c r="D153" s="60"/>
      <c r="E153" s="60"/>
      <c r="F153" s="67"/>
      <c r="G153" s="61"/>
      <c r="H153" s="61"/>
      <c r="I153" s="61"/>
      <c r="J153" s="65" t="str">
        <f t="shared" si="5"/>
        <v/>
      </c>
      <c r="K153" s="65" t="str">
        <f>IF($E153="","",$E153&amp;"|"&amp;COUNTIFS($E$7:$E153,$E153))</f>
        <v/>
      </c>
      <c r="L153" s="65" t="str">
        <f>IF($D153="","",$D153&amp;"|"&amp;COUNTIFS($D$7:$D153,$D153))</f>
        <v/>
      </c>
      <c r="M153" s="65" t="str">
        <f>IF(AND($E153&lt;&gt;"",COUNTIF($G153,"KÂR PAYI / AVANS*")&gt;0),$E153&amp;"|"&amp;COUNTIFS($E$7:$E153,$E153,$G$7:$G153,"KÂR PAYI / AVANS*"),"")</f>
        <v/>
      </c>
    </row>
    <row r="154" spans="1:13" ht="18" customHeight="1" x14ac:dyDescent="0.3">
      <c r="A154" s="2"/>
      <c r="B154" s="65" t="str">
        <f t="shared" si="4"/>
        <v/>
      </c>
      <c r="C154" s="66"/>
      <c r="D154" s="60"/>
      <c r="E154" s="60"/>
      <c r="F154" s="67"/>
      <c r="G154" s="61"/>
      <c r="H154" s="61"/>
      <c r="I154" s="61"/>
      <c r="J154" s="65" t="str">
        <f t="shared" si="5"/>
        <v/>
      </c>
      <c r="K154" s="65" t="str">
        <f>IF($E154="","",$E154&amp;"|"&amp;COUNTIFS($E$7:$E154,$E154))</f>
        <v/>
      </c>
      <c r="L154" s="65" t="str">
        <f>IF($D154="","",$D154&amp;"|"&amp;COUNTIFS($D$7:$D154,$D154))</f>
        <v/>
      </c>
      <c r="M154" s="65" t="str">
        <f>IF(AND($E154&lt;&gt;"",COUNTIF($G154,"KÂR PAYI / AVANS*")&gt;0),$E154&amp;"|"&amp;COUNTIFS($E$7:$E154,$E154,$G$7:$G154,"KÂR PAYI / AVANS*"),"")</f>
        <v/>
      </c>
    </row>
    <row r="155" spans="1:13" ht="18" customHeight="1" x14ac:dyDescent="0.3">
      <c r="A155" s="2"/>
      <c r="B155" s="65" t="str">
        <f t="shared" si="4"/>
        <v/>
      </c>
      <c r="C155" s="66"/>
      <c r="D155" s="60"/>
      <c r="E155" s="60"/>
      <c r="F155" s="67"/>
      <c r="G155" s="61"/>
      <c r="H155" s="61"/>
      <c r="I155" s="61"/>
      <c r="J155" s="65" t="str">
        <f t="shared" si="5"/>
        <v/>
      </c>
      <c r="K155" s="65" t="str">
        <f>IF($E155="","",$E155&amp;"|"&amp;COUNTIFS($E$7:$E155,$E155))</f>
        <v/>
      </c>
      <c r="L155" s="65" t="str">
        <f>IF($D155="","",$D155&amp;"|"&amp;COUNTIFS($D$7:$D155,$D155))</f>
        <v/>
      </c>
      <c r="M155" s="65" t="str">
        <f>IF(AND($E155&lt;&gt;"",COUNTIF($G155,"KÂR PAYI / AVANS*")&gt;0),$E155&amp;"|"&amp;COUNTIFS($E$7:$E155,$E155,$G$7:$G155,"KÂR PAYI / AVANS*"),"")</f>
        <v/>
      </c>
    </row>
    <row r="156" spans="1:13" ht="18" customHeight="1" x14ac:dyDescent="0.3">
      <c r="A156" s="2"/>
      <c r="B156" s="65" t="str">
        <f t="shared" si="4"/>
        <v/>
      </c>
      <c r="C156" s="66"/>
      <c r="D156" s="60"/>
      <c r="E156" s="60"/>
      <c r="F156" s="67"/>
      <c r="G156" s="61"/>
      <c r="H156" s="61"/>
      <c r="I156" s="61"/>
      <c r="J156" s="65" t="str">
        <f t="shared" si="5"/>
        <v/>
      </c>
      <c r="K156" s="65" t="str">
        <f>IF($E156="","",$E156&amp;"|"&amp;COUNTIFS($E$7:$E156,$E156))</f>
        <v/>
      </c>
      <c r="L156" s="65" t="str">
        <f>IF($D156="","",$D156&amp;"|"&amp;COUNTIFS($D$7:$D156,$D156))</f>
        <v/>
      </c>
      <c r="M156" s="65" t="str">
        <f>IF(AND($E156&lt;&gt;"",COUNTIF($G156,"KÂR PAYI / AVANS*")&gt;0),$E156&amp;"|"&amp;COUNTIFS($E$7:$E156,$E156,$G$7:$G156,"KÂR PAYI / AVANS*"),"")</f>
        <v/>
      </c>
    </row>
    <row r="157" spans="1:13" ht="18" customHeight="1" x14ac:dyDescent="0.3">
      <c r="A157" s="2"/>
      <c r="B157" s="65" t="str">
        <f t="shared" si="4"/>
        <v/>
      </c>
      <c r="C157" s="66"/>
      <c r="D157" s="60"/>
      <c r="E157" s="60"/>
      <c r="F157" s="67"/>
      <c r="G157" s="61"/>
      <c r="H157" s="61"/>
      <c r="I157" s="61"/>
      <c r="J157" s="65" t="str">
        <f t="shared" si="5"/>
        <v/>
      </c>
      <c r="K157" s="65" t="str">
        <f>IF($E157="","",$E157&amp;"|"&amp;COUNTIFS($E$7:$E157,$E157))</f>
        <v/>
      </c>
      <c r="L157" s="65" t="str">
        <f>IF($D157="","",$D157&amp;"|"&amp;COUNTIFS($D$7:$D157,$D157))</f>
        <v/>
      </c>
      <c r="M157" s="65" t="str">
        <f>IF(AND($E157&lt;&gt;"",COUNTIF($G157,"KÂR PAYI / AVANS*")&gt;0),$E157&amp;"|"&amp;COUNTIFS($E$7:$E157,$E157,$G$7:$G157,"KÂR PAYI / AVANS*"),"")</f>
        <v/>
      </c>
    </row>
    <row r="158" spans="1:13" ht="18" customHeight="1" x14ac:dyDescent="0.3">
      <c r="A158" s="2"/>
      <c r="B158" s="65" t="str">
        <f t="shared" si="4"/>
        <v/>
      </c>
      <c r="C158" s="66"/>
      <c r="D158" s="60"/>
      <c r="E158" s="60"/>
      <c r="F158" s="67"/>
      <c r="G158" s="61"/>
      <c r="H158" s="61"/>
      <c r="I158" s="61"/>
      <c r="J158" s="65" t="str">
        <f t="shared" si="5"/>
        <v/>
      </c>
      <c r="K158" s="65" t="str">
        <f>IF($E158="","",$E158&amp;"|"&amp;COUNTIFS($E$7:$E158,$E158))</f>
        <v/>
      </c>
      <c r="L158" s="65" t="str">
        <f>IF($D158="","",$D158&amp;"|"&amp;COUNTIFS($D$7:$D158,$D158))</f>
        <v/>
      </c>
      <c r="M158" s="65" t="str">
        <f>IF(AND($E158&lt;&gt;"",COUNTIF($G158,"KÂR PAYI / AVANS*")&gt;0),$E158&amp;"|"&amp;COUNTIFS($E$7:$E158,$E158,$G$7:$G158,"KÂR PAYI / AVANS*"),"")</f>
        <v/>
      </c>
    </row>
    <row r="159" spans="1:13" ht="18" customHeight="1" x14ac:dyDescent="0.3">
      <c r="A159" s="2"/>
      <c r="B159" s="65" t="str">
        <f t="shared" si="4"/>
        <v/>
      </c>
      <c r="C159" s="66"/>
      <c r="D159" s="60"/>
      <c r="E159" s="60"/>
      <c r="F159" s="67"/>
      <c r="G159" s="61"/>
      <c r="H159" s="61"/>
      <c r="I159" s="61"/>
      <c r="J159" s="65" t="str">
        <f t="shared" si="5"/>
        <v/>
      </c>
      <c r="K159" s="65" t="str">
        <f>IF($E159="","",$E159&amp;"|"&amp;COUNTIFS($E$7:$E159,$E159))</f>
        <v/>
      </c>
      <c r="L159" s="65" t="str">
        <f>IF($D159="","",$D159&amp;"|"&amp;COUNTIFS($D$7:$D159,$D159))</f>
        <v/>
      </c>
      <c r="M159" s="65" t="str">
        <f>IF(AND($E159&lt;&gt;"",COUNTIF($G159,"KÂR PAYI / AVANS*")&gt;0),$E159&amp;"|"&amp;COUNTIFS($E$7:$E159,$E159,$G$7:$G159,"KÂR PAYI / AVANS*"),"")</f>
        <v/>
      </c>
    </row>
    <row r="160" spans="1:13" ht="18" customHeight="1" x14ac:dyDescent="0.3">
      <c r="A160" s="2"/>
      <c r="B160" s="65" t="str">
        <f t="shared" si="4"/>
        <v/>
      </c>
      <c r="C160" s="66"/>
      <c r="D160" s="60"/>
      <c r="E160" s="60"/>
      <c r="F160" s="67"/>
      <c r="G160" s="61"/>
      <c r="H160" s="61"/>
      <c r="I160" s="61"/>
      <c r="J160" s="65" t="str">
        <f t="shared" si="5"/>
        <v/>
      </c>
      <c r="K160" s="65" t="str">
        <f>IF($E160="","",$E160&amp;"|"&amp;COUNTIFS($E$7:$E160,$E160))</f>
        <v/>
      </c>
      <c r="L160" s="65" t="str">
        <f>IF($D160="","",$D160&amp;"|"&amp;COUNTIFS($D$7:$D160,$D160))</f>
        <v/>
      </c>
      <c r="M160" s="65" t="str">
        <f>IF(AND($E160&lt;&gt;"",COUNTIF($G160,"KÂR PAYI / AVANS*")&gt;0),$E160&amp;"|"&amp;COUNTIFS($E$7:$E160,$E160,$G$7:$G160,"KÂR PAYI / AVANS*"),"")</f>
        <v/>
      </c>
    </row>
    <row r="161" spans="1:13" ht="18" customHeight="1" x14ac:dyDescent="0.3">
      <c r="A161" s="2"/>
      <c r="B161" s="65" t="str">
        <f t="shared" si="4"/>
        <v/>
      </c>
      <c r="C161" s="66"/>
      <c r="D161" s="60"/>
      <c r="E161" s="60"/>
      <c r="F161" s="67"/>
      <c r="G161" s="61"/>
      <c r="H161" s="61"/>
      <c r="I161" s="61"/>
      <c r="J161" s="65" t="str">
        <f t="shared" si="5"/>
        <v/>
      </c>
      <c r="K161" s="65" t="str">
        <f>IF($E161="","",$E161&amp;"|"&amp;COUNTIFS($E$7:$E161,$E161))</f>
        <v/>
      </c>
      <c r="L161" s="65" t="str">
        <f>IF($D161="","",$D161&amp;"|"&amp;COUNTIFS($D$7:$D161,$D161))</f>
        <v/>
      </c>
      <c r="M161" s="65" t="str">
        <f>IF(AND($E161&lt;&gt;"",COUNTIF($G161,"KÂR PAYI / AVANS*")&gt;0),$E161&amp;"|"&amp;COUNTIFS($E$7:$E161,$E161,$G$7:$G161,"KÂR PAYI / AVANS*"),"")</f>
        <v/>
      </c>
    </row>
    <row r="162" spans="1:13" ht="18" customHeight="1" x14ac:dyDescent="0.3">
      <c r="A162" s="2"/>
      <c r="B162" s="65" t="str">
        <f t="shared" si="4"/>
        <v/>
      </c>
      <c r="C162" s="66"/>
      <c r="D162" s="60"/>
      <c r="E162" s="60"/>
      <c r="F162" s="67"/>
      <c r="G162" s="61"/>
      <c r="H162" s="61"/>
      <c r="I162" s="61"/>
      <c r="J162" s="65" t="str">
        <f t="shared" si="5"/>
        <v/>
      </c>
      <c r="K162" s="65" t="str">
        <f>IF($E162="","",$E162&amp;"|"&amp;COUNTIFS($E$7:$E162,$E162))</f>
        <v/>
      </c>
      <c r="L162" s="65" t="str">
        <f>IF($D162="","",$D162&amp;"|"&amp;COUNTIFS($D$7:$D162,$D162))</f>
        <v/>
      </c>
      <c r="M162" s="65" t="str">
        <f>IF(AND($E162&lt;&gt;"",COUNTIF($G162,"KÂR PAYI / AVANS*")&gt;0),$E162&amp;"|"&amp;COUNTIFS($E$7:$E162,$E162,$G$7:$G162,"KÂR PAYI / AVANS*"),"")</f>
        <v/>
      </c>
    </row>
    <row r="163" spans="1:13" ht="18" customHeight="1" x14ac:dyDescent="0.3">
      <c r="A163" s="2"/>
      <c r="B163" s="65" t="str">
        <f t="shared" si="4"/>
        <v/>
      </c>
      <c r="C163" s="66"/>
      <c r="D163" s="60"/>
      <c r="E163" s="60"/>
      <c r="F163" s="67"/>
      <c r="G163" s="61"/>
      <c r="H163" s="61"/>
      <c r="I163" s="61"/>
      <c r="J163" s="65" t="str">
        <f t="shared" si="5"/>
        <v/>
      </c>
      <c r="K163" s="65" t="str">
        <f>IF($E163="","",$E163&amp;"|"&amp;COUNTIFS($E$7:$E163,$E163))</f>
        <v/>
      </c>
      <c r="L163" s="65" t="str">
        <f>IF($D163="","",$D163&amp;"|"&amp;COUNTIFS($D$7:$D163,$D163))</f>
        <v/>
      </c>
      <c r="M163" s="65" t="str">
        <f>IF(AND($E163&lt;&gt;"",COUNTIF($G163,"KÂR PAYI / AVANS*")&gt;0),$E163&amp;"|"&amp;COUNTIFS($E$7:$E163,$E163,$G$7:$G163,"KÂR PAYI / AVANS*"),"")</f>
        <v/>
      </c>
    </row>
    <row r="164" spans="1:13" ht="18" customHeight="1" x14ac:dyDescent="0.3">
      <c r="A164" s="2"/>
      <c r="B164" s="65" t="str">
        <f t="shared" si="4"/>
        <v/>
      </c>
      <c r="C164" s="66"/>
      <c r="D164" s="60"/>
      <c r="E164" s="60"/>
      <c r="F164" s="67"/>
      <c r="G164" s="61"/>
      <c r="H164" s="61"/>
      <c r="I164" s="61"/>
      <c r="J164" s="65" t="str">
        <f t="shared" si="5"/>
        <v/>
      </c>
      <c r="K164" s="65" t="str">
        <f>IF($E164="","",$E164&amp;"|"&amp;COUNTIFS($E$7:$E164,$E164))</f>
        <v/>
      </c>
      <c r="L164" s="65" t="str">
        <f>IF($D164="","",$D164&amp;"|"&amp;COUNTIFS($D$7:$D164,$D164))</f>
        <v/>
      </c>
      <c r="M164" s="65" t="str">
        <f>IF(AND($E164&lt;&gt;"",COUNTIF($G164,"KÂR PAYI / AVANS*")&gt;0),$E164&amp;"|"&amp;COUNTIFS($E$7:$E164,$E164,$G$7:$G164,"KÂR PAYI / AVANS*"),"")</f>
        <v/>
      </c>
    </row>
    <row r="165" spans="1:13" ht="18" customHeight="1" x14ac:dyDescent="0.3">
      <c r="A165" s="2"/>
      <c r="B165" s="65" t="str">
        <f t="shared" si="4"/>
        <v/>
      </c>
      <c r="C165" s="66"/>
      <c r="D165" s="60"/>
      <c r="E165" s="60"/>
      <c r="F165" s="67"/>
      <c r="G165" s="61"/>
      <c r="H165" s="61"/>
      <c r="I165" s="61"/>
      <c r="J165" s="65" t="str">
        <f t="shared" si="5"/>
        <v/>
      </c>
      <c r="K165" s="65" t="str">
        <f>IF($E165="","",$E165&amp;"|"&amp;COUNTIFS($E$7:$E165,$E165))</f>
        <v/>
      </c>
      <c r="L165" s="65" t="str">
        <f>IF($D165="","",$D165&amp;"|"&amp;COUNTIFS($D$7:$D165,$D165))</f>
        <v/>
      </c>
      <c r="M165" s="65" t="str">
        <f>IF(AND($E165&lt;&gt;"",COUNTIF($G165,"KÂR PAYI / AVANS*")&gt;0),$E165&amp;"|"&amp;COUNTIFS($E$7:$E165,$E165,$G$7:$G165,"KÂR PAYI / AVANS*"),"")</f>
        <v/>
      </c>
    </row>
    <row r="166" spans="1:13" ht="18" customHeight="1" x14ac:dyDescent="0.3">
      <c r="A166" s="2"/>
      <c r="B166" s="65" t="str">
        <f t="shared" si="4"/>
        <v/>
      </c>
      <c r="C166" s="66"/>
      <c r="D166" s="60"/>
      <c r="E166" s="60"/>
      <c r="F166" s="67"/>
      <c r="G166" s="61"/>
      <c r="H166" s="61"/>
      <c r="I166" s="61"/>
      <c r="J166" s="65" t="str">
        <f t="shared" si="5"/>
        <v/>
      </c>
      <c r="K166" s="65" t="str">
        <f>IF($E166="","",$E166&amp;"|"&amp;COUNTIFS($E$7:$E166,$E166))</f>
        <v/>
      </c>
      <c r="L166" s="65" t="str">
        <f>IF($D166="","",$D166&amp;"|"&amp;COUNTIFS($D$7:$D166,$D166))</f>
        <v/>
      </c>
      <c r="M166" s="65" t="str">
        <f>IF(AND($E166&lt;&gt;"",COUNTIF($G166,"KÂR PAYI / AVANS*")&gt;0),$E166&amp;"|"&amp;COUNTIFS($E$7:$E166,$E166,$G$7:$G166,"KÂR PAYI / AVANS*"),"")</f>
        <v/>
      </c>
    </row>
    <row r="167" spans="1:13" ht="18" customHeight="1" x14ac:dyDescent="0.3">
      <c r="A167" s="2"/>
      <c r="B167" s="65" t="str">
        <f t="shared" si="4"/>
        <v/>
      </c>
      <c r="C167" s="66"/>
      <c r="D167" s="60"/>
      <c r="E167" s="60"/>
      <c r="F167" s="67"/>
      <c r="G167" s="61"/>
      <c r="H167" s="61"/>
      <c r="I167" s="61"/>
      <c r="J167" s="65" t="str">
        <f t="shared" si="5"/>
        <v/>
      </c>
      <c r="K167" s="65" t="str">
        <f>IF($E167="","",$E167&amp;"|"&amp;COUNTIFS($E$7:$E167,$E167))</f>
        <v/>
      </c>
      <c r="L167" s="65" t="str">
        <f>IF($D167="","",$D167&amp;"|"&amp;COUNTIFS($D$7:$D167,$D167))</f>
        <v/>
      </c>
      <c r="M167" s="65" t="str">
        <f>IF(AND($E167&lt;&gt;"",COUNTIF($G167,"KÂR PAYI / AVANS*")&gt;0),$E167&amp;"|"&amp;COUNTIFS($E$7:$E167,$E167,$G$7:$G167,"KÂR PAYI / AVANS*"),"")</f>
        <v/>
      </c>
    </row>
    <row r="168" spans="1:13" ht="18" customHeight="1" x14ac:dyDescent="0.3">
      <c r="A168" s="2"/>
      <c r="B168" s="65" t="str">
        <f t="shared" si="4"/>
        <v/>
      </c>
      <c r="C168" s="66"/>
      <c r="D168" s="60"/>
      <c r="E168" s="60"/>
      <c r="F168" s="67"/>
      <c r="G168" s="61"/>
      <c r="H168" s="61"/>
      <c r="I168" s="61"/>
      <c r="J168" s="65" t="str">
        <f t="shared" si="5"/>
        <v/>
      </c>
      <c r="K168" s="65" t="str">
        <f>IF($E168="","",$E168&amp;"|"&amp;COUNTIFS($E$7:$E168,$E168))</f>
        <v/>
      </c>
      <c r="L168" s="65" t="str">
        <f>IF($D168="","",$D168&amp;"|"&amp;COUNTIFS($D$7:$D168,$D168))</f>
        <v/>
      </c>
      <c r="M168" s="65" t="str">
        <f>IF(AND($E168&lt;&gt;"",COUNTIF($G168,"KÂR PAYI / AVANS*")&gt;0),$E168&amp;"|"&amp;COUNTIFS($E$7:$E168,$E168,$G$7:$G168,"KÂR PAYI / AVANS*"),"")</f>
        <v/>
      </c>
    </row>
    <row r="169" spans="1:13" ht="18" customHeight="1" x14ac:dyDescent="0.3">
      <c r="A169" s="2"/>
      <c r="B169" s="65" t="str">
        <f t="shared" si="4"/>
        <v/>
      </c>
      <c r="C169" s="66"/>
      <c r="D169" s="60"/>
      <c r="E169" s="60"/>
      <c r="F169" s="67"/>
      <c r="G169" s="61"/>
      <c r="H169" s="61"/>
      <c r="I169" s="61"/>
      <c r="J169" s="65" t="str">
        <f t="shared" si="5"/>
        <v/>
      </c>
      <c r="K169" s="65" t="str">
        <f>IF($E169="","",$E169&amp;"|"&amp;COUNTIFS($E$7:$E169,$E169))</f>
        <v/>
      </c>
      <c r="L169" s="65" t="str">
        <f>IF($D169="","",$D169&amp;"|"&amp;COUNTIFS($D$7:$D169,$D169))</f>
        <v/>
      </c>
      <c r="M169" s="65" t="str">
        <f>IF(AND($E169&lt;&gt;"",COUNTIF($G169,"KÂR PAYI / AVANS*")&gt;0),$E169&amp;"|"&amp;COUNTIFS($E$7:$E169,$E169,$G$7:$G169,"KÂR PAYI / AVANS*"),"")</f>
        <v/>
      </c>
    </row>
    <row r="170" spans="1:13" ht="18" customHeight="1" x14ac:dyDescent="0.3">
      <c r="A170" s="2"/>
      <c r="B170" s="65" t="str">
        <f t="shared" si="4"/>
        <v/>
      </c>
      <c r="C170" s="66"/>
      <c r="D170" s="60"/>
      <c r="E170" s="60"/>
      <c r="F170" s="67"/>
      <c r="G170" s="61"/>
      <c r="H170" s="61"/>
      <c r="I170" s="61"/>
      <c r="J170" s="65" t="str">
        <f t="shared" si="5"/>
        <v/>
      </c>
      <c r="K170" s="65" t="str">
        <f>IF($E170="","",$E170&amp;"|"&amp;COUNTIFS($E$7:$E170,$E170))</f>
        <v/>
      </c>
      <c r="L170" s="65" t="str">
        <f>IF($D170="","",$D170&amp;"|"&amp;COUNTIFS($D$7:$D170,$D170))</f>
        <v/>
      </c>
      <c r="M170" s="65" t="str">
        <f>IF(AND($E170&lt;&gt;"",COUNTIF($G170,"KÂR PAYI / AVANS*")&gt;0),$E170&amp;"|"&amp;COUNTIFS($E$7:$E170,$E170,$G$7:$G170,"KÂR PAYI / AVANS*"),"")</f>
        <v/>
      </c>
    </row>
    <row r="171" spans="1:13" ht="18" customHeight="1" x14ac:dyDescent="0.3">
      <c r="A171" s="2"/>
      <c r="B171" s="65" t="str">
        <f t="shared" si="4"/>
        <v/>
      </c>
      <c r="C171" s="66"/>
      <c r="D171" s="60"/>
      <c r="E171" s="60"/>
      <c r="F171" s="67"/>
      <c r="G171" s="61"/>
      <c r="H171" s="61"/>
      <c r="I171" s="61"/>
      <c r="J171" s="65" t="str">
        <f t="shared" si="5"/>
        <v/>
      </c>
      <c r="K171" s="65" t="str">
        <f>IF($E171="","",$E171&amp;"|"&amp;COUNTIFS($E$7:$E171,$E171))</f>
        <v/>
      </c>
      <c r="L171" s="65" t="str">
        <f>IF($D171="","",$D171&amp;"|"&amp;COUNTIFS($D$7:$D171,$D171))</f>
        <v/>
      </c>
      <c r="M171" s="65" t="str">
        <f>IF(AND($E171&lt;&gt;"",COUNTIF($G171,"KÂR PAYI / AVANS*")&gt;0),$E171&amp;"|"&amp;COUNTIFS($E$7:$E171,$E171,$G$7:$G171,"KÂR PAYI / AVANS*"),"")</f>
        <v/>
      </c>
    </row>
    <row r="172" spans="1:13" ht="18" customHeight="1" x14ac:dyDescent="0.3">
      <c r="A172" s="2"/>
      <c r="B172" s="65" t="str">
        <f t="shared" si="4"/>
        <v/>
      </c>
      <c r="C172" s="66"/>
      <c r="D172" s="60"/>
      <c r="E172" s="60"/>
      <c r="F172" s="67"/>
      <c r="G172" s="61"/>
      <c r="H172" s="61"/>
      <c r="I172" s="61"/>
      <c r="J172" s="65" t="str">
        <f t="shared" si="5"/>
        <v/>
      </c>
      <c r="K172" s="65" t="str">
        <f>IF($E172="","",$E172&amp;"|"&amp;COUNTIFS($E$7:$E172,$E172))</f>
        <v/>
      </c>
      <c r="L172" s="65" t="str">
        <f>IF($D172="","",$D172&amp;"|"&amp;COUNTIFS($D$7:$D172,$D172))</f>
        <v/>
      </c>
      <c r="M172" s="65" t="str">
        <f>IF(AND($E172&lt;&gt;"",COUNTIF($G172,"KÂR PAYI / AVANS*")&gt;0),$E172&amp;"|"&amp;COUNTIFS($E$7:$E172,$E172,$G$7:$G172,"KÂR PAYI / AVANS*"),"")</f>
        <v/>
      </c>
    </row>
    <row r="173" spans="1:13" ht="18" customHeight="1" x14ac:dyDescent="0.3">
      <c r="A173" s="2"/>
      <c r="B173" s="65" t="str">
        <f t="shared" si="4"/>
        <v/>
      </c>
      <c r="C173" s="66"/>
      <c r="D173" s="60"/>
      <c r="E173" s="60"/>
      <c r="F173" s="67"/>
      <c r="G173" s="61"/>
      <c r="H173" s="61"/>
      <c r="I173" s="61"/>
      <c r="J173" s="65" t="str">
        <f t="shared" si="5"/>
        <v/>
      </c>
      <c r="K173" s="65" t="str">
        <f>IF($E173="","",$E173&amp;"|"&amp;COUNTIFS($E$7:$E173,$E173))</f>
        <v/>
      </c>
      <c r="L173" s="65" t="str">
        <f>IF($D173="","",$D173&amp;"|"&amp;COUNTIFS($D$7:$D173,$D173))</f>
        <v/>
      </c>
      <c r="M173" s="65" t="str">
        <f>IF(AND($E173&lt;&gt;"",COUNTIF($G173,"KÂR PAYI / AVANS*")&gt;0),$E173&amp;"|"&amp;COUNTIFS($E$7:$E173,$E173,$G$7:$G173,"KÂR PAYI / AVANS*"),"")</f>
        <v/>
      </c>
    </row>
    <row r="174" spans="1:13" ht="18" customHeight="1" x14ac:dyDescent="0.3">
      <c r="A174" s="2"/>
      <c r="B174" s="65" t="str">
        <f t="shared" si="4"/>
        <v/>
      </c>
      <c r="C174" s="66"/>
      <c r="D174" s="60"/>
      <c r="E174" s="60"/>
      <c r="F174" s="67"/>
      <c r="G174" s="61"/>
      <c r="H174" s="61"/>
      <c r="I174" s="61"/>
      <c r="J174" s="65" t="str">
        <f t="shared" si="5"/>
        <v/>
      </c>
      <c r="K174" s="65" t="str">
        <f>IF($E174="","",$E174&amp;"|"&amp;COUNTIFS($E$7:$E174,$E174))</f>
        <v/>
      </c>
      <c r="L174" s="65" t="str">
        <f>IF($D174="","",$D174&amp;"|"&amp;COUNTIFS($D$7:$D174,$D174))</f>
        <v/>
      </c>
      <c r="M174" s="65" t="str">
        <f>IF(AND($E174&lt;&gt;"",COUNTIF($G174,"KÂR PAYI / AVANS*")&gt;0),$E174&amp;"|"&amp;COUNTIFS($E$7:$E174,$E174,$G$7:$G174,"KÂR PAYI / AVANS*"),"")</f>
        <v/>
      </c>
    </row>
    <row r="175" spans="1:13" ht="18" customHeight="1" x14ac:dyDescent="0.3">
      <c r="A175" s="2"/>
      <c r="B175" s="65" t="str">
        <f t="shared" si="4"/>
        <v/>
      </c>
      <c r="C175" s="66"/>
      <c r="D175" s="60"/>
      <c r="E175" s="60"/>
      <c r="F175" s="67"/>
      <c r="G175" s="61"/>
      <c r="H175" s="61"/>
      <c r="I175" s="61"/>
      <c r="J175" s="65" t="str">
        <f t="shared" si="5"/>
        <v/>
      </c>
      <c r="K175" s="65" t="str">
        <f>IF($E175="","",$E175&amp;"|"&amp;COUNTIFS($E$7:$E175,$E175))</f>
        <v/>
      </c>
      <c r="L175" s="65" t="str">
        <f>IF($D175="","",$D175&amp;"|"&amp;COUNTIFS($D$7:$D175,$D175))</f>
        <v/>
      </c>
      <c r="M175" s="65" t="str">
        <f>IF(AND($E175&lt;&gt;"",COUNTIF($G175,"KÂR PAYI / AVANS*")&gt;0),$E175&amp;"|"&amp;COUNTIFS($E$7:$E175,$E175,$G$7:$G175,"KÂR PAYI / AVANS*"),"")</f>
        <v/>
      </c>
    </row>
    <row r="176" spans="1:13" ht="18" customHeight="1" x14ac:dyDescent="0.3">
      <c r="A176" s="2"/>
      <c r="B176" s="65" t="str">
        <f t="shared" si="4"/>
        <v/>
      </c>
      <c r="C176" s="66"/>
      <c r="D176" s="60"/>
      <c r="E176" s="60"/>
      <c r="F176" s="67"/>
      <c r="G176" s="61"/>
      <c r="H176" s="61"/>
      <c r="I176" s="61"/>
      <c r="J176" s="65" t="str">
        <f t="shared" si="5"/>
        <v/>
      </c>
      <c r="K176" s="65" t="str">
        <f>IF($E176="","",$E176&amp;"|"&amp;COUNTIFS($E$7:$E176,$E176))</f>
        <v/>
      </c>
      <c r="L176" s="65" t="str">
        <f>IF($D176="","",$D176&amp;"|"&amp;COUNTIFS($D$7:$D176,$D176))</f>
        <v/>
      </c>
      <c r="M176" s="65" t="str">
        <f>IF(AND($E176&lt;&gt;"",COUNTIF($G176,"KÂR PAYI / AVANS*")&gt;0),$E176&amp;"|"&amp;COUNTIFS($E$7:$E176,$E176,$G$7:$G176,"KÂR PAYI / AVANS*"),"")</f>
        <v/>
      </c>
    </row>
    <row r="177" spans="1:13" ht="18" customHeight="1" x14ac:dyDescent="0.3">
      <c r="A177" s="2"/>
      <c r="B177" s="65" t="str">
        <f t="shared" si="4"/>
        <v/>
      </c>
      <c r="C177" s="66"/>
      <c r="D177" s="60"/>
      <c r="E177" s="60"/>
      <c r="F177" s="67"/>
      <c r="G177" s="61"/>
      <c r="H177" s="61"/>
      <c r="I177" s="61"/>
      <c r="J177" s="65" t="str">
        <f t="shared" si="5"/>
        <v/>
      </c>
      <c r="K177" s="65" t="str">
        <f>IF($E177="","",$E177&amp;"|"&amp;COUNTIFS($E$7:$E177,$E177))</f>
        <v/>
      </c>
      <c r="L177" s="65" t="str">
        <f>IF($D177="","",$D177&amp;"|"&amp;COUNTIFS($D$7:$D177,$D177))</f>
        <v/>
      </c>
      <c r="M177" s="65" t="str">
        <f>IF(AND($E177&lt;&gt;"",COUNTIF($G177,"KÂR PAYI / AVANS*")&gt;0),$E177&amp;"|"&amp;COUNTIFS($E$7:$E177,$E177,$G$7:$G177,"KÂR PAYI / AVANS*"),"")</f>
        <v/>
      </c>
    </row>
    <row r="178" spans="1:13" ht="18" customHeight="1" x14ac:dyDescent="0.3">
      <c r="A178" s="2"/>
      <c r="B178" s="65" t="str">
        <f t="shared" si="4"/>
        <v/>
      </c>
      <c r="C178" s="66"/>
      <c r="D178" s="60"/>
      <c r="E178" s="60"/>
      <c r="F178" s="67"/>
      <c r="G178" s="61"/>
      <c r="H178" s="61"/>
      <c r="I178" s="61"/>
      <c r="J178" s="65" t="str">
        <f t="shared" si="5"/>
        <v/>
      </c>
      <c r="K178" s="65" t="str">
        <f>IF($E178="","",$E178&amp;"|"&amp;COUNTIFS($E$7:$E178,$E178))</f>
        <v/>
      </c>
      <c r="L178" s="65" t="str">
        <f>IF($D178="","",$D178&amp;"|"&amp;COUNTIFS($D$7:$D178,$D178))</f>
        <v/>
      </c>
      <c r="M178" s="65" t="str">
        <f>IF(AND($E178&lt;&gt;"",COUNTIF($G178,"KÂR PAYI / AVANS*")&gt;0),$E178&amp;"|"&amp;COUNTIFS($E$7:$E178,$E178,$G$7:$G178,"KÂR PAYI / AVANS*"),"")</f>
        <v/>
      </c>
    </row>
    <row r="179" spans="1:13" ht="18" customHeight="1" x14ac:dyDescent="0.3">
      <c r="A179" s="2"/>
      <c r="B179" s="65" t="str">
        <f t="shared" si="4"/>
        <v/>
      </c>
      <c r="C179" s="66"/>
      <c r="D179" s="60"/>
      <c r="E179" s="60"/>
      <c r="F179" s="67"/>
      <c r="G179" s="61"/>
      <c r="H179" s="61"/>
      <c r="I179" s="61"/>
      <c r="J179" s="65" t="str">
        <f t="shared" si="5"/>
        <v/>
      </c>
      <c r="K179" s="65" t="str">
        <f>IF($E179="","",$E179&amp;"|"&amp;COUNTIFS($E$7:$E179,$E179))</f>
        <v/>
      </c>
      <c r="L179" s="65" t="str">
        <f>IF($D179="","",$D179&amp;"|"&amp;COUNTIFS($D$7:$D179,$D179))</f>
        <v/>
      </c>
      <c r="M179" s="65" t="str">
        <f>IF(AND($E179&lt;&gt;"",COUNTIF($G179,"KÂR PAYI / AVANS*")&gt;0),$E179&amp;"|"&amp;COUNTIFS($E$7:$E179,$E179,$G$7:$G179,"KÂR PAYI / AVANS*"),"")</f>
        <v/>
      </c>
    </row>
    <row r="180" spans="1:13" ht="18" customHeight="1" x14ac:dyDescent="0.3">
      <c r="A180" s="2"/>
      <c r="B180" s="65" t="str">
        <f t="shared" si="4"/>
        <v/>
      </c>
      <c r="C180" s="66"/>
      <c r="D180" s="60"/>
      <c r="E180" s="60"/>
      <c r="F180" s="67"/>
      <c r="G180" s="61"/>
      <c r="H180" s="61"/>
      <c r="I180" s="61"/>
      <c r="J180" s="65" t="str">
        <f t="shared" si="5"/>
        <v/>
      </c>
      <c r="K180" s="65" t="str">
        <f>IF($E180="","",$E180&amp;"|"&amp;COUNTIFS($E$7:$E180,$E180))</f>
        <v/>
      </c>
      <c r="L180" s="65" t="str">
        <f>IF($D180="","",$D180&amp;"|"&amp;COUNTIFS($D$7:$D180,$D180))</f>
        <v/>
      </c>
      <c r="M180" s="65" t="str">
        <f>IF(AND($E180&lt;&gt;"",COUNTIF($G180,"KÂR PAYI / AVANS*")&gt;0),$E180&amp;"|"&amp;COUNTIFS($E$7:$E180,$E180,$G$7:$G180,"KÂR PAYI / AVANS*"),"")</f>
        <v/>
      </c>
    </row>
    <row r="181" spans="1:13" ht="18" customHeight="1" x14ac:dyDescent="0.3">
      <c r="A181" s="2"/>
      <c r="B181" s="65" t="str">
        <f t="shared" si="4"/>
        <v/>
      </c>
      <c r="C181" s="66"/>
      <c r="D181" s="60"/>
      <c r="E181" s="60"/>
      <c r="F181" s="67"/>
      <c r="G181" s="61"/>
      <c r="H181" s="61"/>
      <c r="I181" s="61"/>
      <c r="J181" s="65" t="str">
        <f t="shared" si="5"/>
        <v/>
      </c>
      <c r="K181" s="65" t="str">
        <f>IF($E181="","",$E181&amp;"|"&amp;COUNTIFS($E$7:$E181,$E181))</f>
        <v/>
      </c>
      <c r="L181" s="65" t="str">
        <f>IF($D181="","",$D181&amp;"|"&amp;COUNTIFS($D$7:$D181,$D181))</f>
        <v/>
      </c>
      <c r="M181" s="65" t="str">
        <f>IF(AND($E181&lt;&gt;"",COUNTIF($G181,"KÂR PAYI / AVANS*")&gt;0),$E181&amp;"|"&amp;COUNTIFS($E$7:$E181,$E181,$G$7:$G181,"KÂR PAYI / AVANS*"),"")</f>
        <v/>
      </c>
    </row>
    <row r="182" spans="1:13" ht="18" customHeight="1" x14ac:dyDescent="0.3">
      <c r="A182" s="2"/>
      <c r="B182" s="65" t="str">
        <f t="shared" si="4"/>
        <v/>
      </c>
      <c r="C182" s="66"/>
      <c r="D182" s="60"/>
      <c r="E182" s="60"/>
      <c r="F182" s="67"/>
      <c r="G182" s="61"/>
      <c r="H182" s="61"/>
      <c r="I182" s="61"/>
      <c r="J182" s="65" t="str">
        <f t="shared" si="5"/>
        <v/>
      </c>
      <c r="K182" s="65" t="str">
        <f>IF($E182="","",$E182&amp;"|"&amp;COUNTIFS($E$7:$E182,$E182))</f>
        <v/>
      </c>
      <c r="L182" s="65" t="str">
        <f>IF($D182="","",$D182&amp;"|"&amp;COUNTIFS($D$7:$D182,$D182))</f>
        <v/>
      </c>
      <c r="M182" s="65" t="str">
        <f>IF(AND($E182&lt;&gt;"",COUNTIF($G182,"KÂR PAYI / AVANS*")&gt;0),$E182&amp;"|"&amp;COUNTIFS($E$7:$E182,$E182,$G$7:$G182,"KÂR PAYI / AVANS*"),"")</f>
        <v/>
      </c>
    </row>
    <row r="183" spans="1:13" ht="18" customHeight="1" x14ac:dyDescent="0.3">
      <c r="A183" s="2"/>
      <c r="B183" s="65" t="str">
        <f t="shared" si="4"/>
        <v/>
      </c>
      <c r="C183" s="66"/>
      <c r="D183" s="60"/>
      <c r="E183" s="60"/>
      <c r="F183" s="67"/>
      <c r="G183" s="61"/>
      <c r="H183" s="61"/>
      <c r="I183" s="61"/>
      <c r="J183" s="65" t="str">
        <f t="shared" si="5"/>
        <v/>
      </c>
      <c r="K183" s="65" t="str">
        <f>IF($E183="","",$E183&amp;"|"&amp;COUNTIFS($E$7:$E183,$E183))</f>
        <v/>
      </c>
      <c r="L183" s="65" t="str">
        <f>IF($D183="","",$D183&amp;"|"&amp;COUNTIFS($D$7:$D183,$D183))</f>
        <v/>
      </c>
      <c r="M183" s="65" t="str">
        <f>IF(AND($E183&lt;&gt;"",COUNTIF($G183,"KÂR PAYI / AVANS*")&gt;0),$E183&amp;"|"&amp;COUNTIFS($E$7:$E183,$E183,$G$7:$G183,"KÂR PAYI / AVANS*"),"")</f>
        <v/>
      </c>
    </row>
    <row r="184" spans="1:13" ht="18" customHeight="1" x14ac:dyDescent="0.3">
      <c r="A184" s="2"/>
      <c r="B184" s="65" t="str">
        <f t="shared" si="4"/>
        <v/>
      </c>
      <c r="C184" s="66"/>
      <c r="D184" s="60"/>
      <c r="E184" s="60"/>
      <c r="F184" s="67"/>
      <c r="G184" s="61"/>
      <c r="H184" s="61"/>
      <c r="I184" s="61"/>
      <c r="J184" s="65" t="str">
        <f t="shared" si="5"/>
        <v/>
      </c>
      <c r="K184" s="65" t="str">
        <f>IF($E184="","",$E184&amp;"|"&amp;COUNTIFS($E$7:$E184,$E184))</f>
        <v/>
      </c>
      <c r="L184" s="65" t="str">
        <f>IF($D184="","",$D184&amp;"|"&amp;COUNTIFS($D$7:$D184,$D184))</f>
        <v/>
      </c>
      <c r="M184" s="65" t="str">
        <f>IF(AND($E184&lt;&gt;"",COUNTIF($G184,"KÂR PAYI / AVANS*")&gt;0),$E184&amp;"|"&amp;COUNTIFS($E$7:$E184,$E184,$G$7:$G184,"KÂR PAYI / AVANS*"),"")</f>
        <v/>
      </c>
    </row>
    <row r="185" spans="1:13" ht="18" customHeight="1" x14ac:dyDescent="0.3">
      <c r="A185" s="2"/>
      <c r="B185" s="65" t="str">
        <f t="shared" si="4"/>
        <v/>
      </c>
      <c r="C185" s="66"/>
      <c r="D185" s="60"/>
      <c r="E185" s="60"/>
      <c r="F185" s="67"/>
      <c r="G185" s="61"/>
      <c r="H185" s="61"/>
      <c r="I185" s="61"/>
      <c r="J185" s="65" t="str">
        <f t="shared" si="5"/>
        <v/>
      </c>
      <c r="K185" s="65" t="str">
        <f>IF($E185="","",$E185&amp;"|"&amp;COUNTIFS($E$7:$E185,$E185))</f>
        <v/>
      </c>
      <c r="L185" s="65" t="str">
        <f>IF($D185="","",$D185&amp;"|"&amp;COUNTIFS($D$7:$D185,$D185))</f>
        <v/>
      </c>
      <c r="M185" s="65" t="str">
        <f>IF(AND($E185&lt;&gt;"",COUNTIF($G185,"KÂR PAYI / AVANS*")&gt;0),$E185&amp;"|"&amp;COUNTIFS($E$7:$E185,$E185,$G$7:$G185,"KÂR PAYI / AVANS*"),"")</f>
        <v/>
      </c>
    </row>
    <row r="186" spans="1:13" ht="18" customHeight="1" x14ac:dyDescent="0.3">
      <c r="A186" s="2"/>
      <c r="B186" s="65" t="str">
        <f t="shared" si="4"/>
        <v/>
      </c>
      <c r="C186" s="66"/>
      <c r="D186" s="60"/>
      <c r="E186" s="60"/>
      <c r="F186" s="67"/>
      <c r="G186" s="61"/>
      <c r="H186" s="61"/>
      <c r="I186" s="61"/>
      <c r="J186" s="65" t="str">
        <f t="shared" si="5"/>
        <v/>
      </c>
      <c r="K186" s="65" t="str">
        <f>IF($E186="","",$E186&amp;"|"&amp;COUNTIFS($E$7:$E186,$E186))</f>
        <v/>
      </c>
      <c r="L186" s="65" t="str">
        <f>IF($D186="","",$D186&amp;"|"&amp;COUNTIFS($D$7:$D186,$D186))</f>
        <v/>
      </c>
      <c r="M186" s="65" t="str">
        <f>IF(AND($E186&lt;&gt;"",COUNTIF($G186,"KÂR PAYI / AVANS*")&gt;0),$E186&amp;"|"&amp;COUNTIFS($E$7:$E186,$E186,$G$7:$G186,"KÂR PAYI / AVANS*"),"")</f>
        <v/>
      </c>
    </row>
    <row r="187" spans="1:13" ht="18" customHeight="1" x14ac:dyDescent="0.3">
      <c r="A187" s="2"/>
      <c r="B187" s="65" t="str">
        <f t="shared" si="4"/>
        <v/>
      </c>
      <c r="C187" s="66"/>
      <c r="D187" s="60"/>
      <c r="E187" s="60"/>
      <c r="F187" s="67"/>
      <c r="G187" s="61"/>
      <c r="H187" s="61"/>
      <c r="I187" s="61"/>
      <c r="J187" s="65" t="str">
        <f t="shared" si="5"/>
        <v/>
      </c>
      <c r="K187" s="65" t="str">
        <f>IF($E187="","",$E187&amp;"|"&amp;COUNTIFS($E$7:$E187,$E187))</f>
        <v/>
      </c>
      <c r="L187" s="65" t="str">
        <f>IF($D187="","",$D187&amp;"|"&amp;COUNTIFS($D$7:$D187,$D187))</f>
        <v/>
      </c>
      <c r="M187" s="65" t="str">
        <f>IF(AND($E187&lt;&gt;"",COUNTIF($G187,"KÂR PAYI / AVANS*")&gt;0),$E187&amp;"|"&amp;COUNTIFS($E$7:$E187,$E187,$G$7:$G187,"KÂR PAYI / AVANS*"),"")</f>
        <v/>
      </c>
    </row>
    <row r="188" spans="1:13" ht="18" customHeight="1" x14ac:dyDescent="0.3">
      <c r="A188" s="2"/>
      <c r="B188" s="65" t="str">
        <f t="shared" si="4"/>
        <v/>
      </c>
      <c r="C188" s="66"/>
      <c r="D188" s="60"/>
      <c r="E188" s="60"/>
      <c r="F188" s="67"/>
      <c r="G188" s="61"/>
      <c r="H188" s="61"/>
      <c r="I188" s="61"/>
      <c r="J188" s="65" t="str">
        <f t="shared" si="5"/>
        <v/>
      </c>
      <c r="K188" s="65" t="str">
        <f>IF($E188="","",$E188&amp;"|"&amp;COUNTIFS($E$7:$E188,$E188))</f>
        <v/>
      </c>
      <c r="L188" s="65" t="str">
        <f>IF($D188="","",$D188&amp;"|"&amp;COUNTIFS($D$7:$D188,$D188))</f>
        <v/>
      </c>
      <c r="M188" s="65" t="str">
        <f>IF(AND($E188&lt;&gt;"",COUNTIF($G188,"KÂR PAYI / AVANS*")&gt;0),$E188&amp;"|"&amp;COUNTIFS($E$7:$E188,$E188,$G$7:$G188,"KÂR PAYI / AVANS*"),"")</f>
        <v/>
      </c>
    </row>
    <row r="189" spans="1:13" ht="18" customHeight="1" x14ac:dyDescent="0.3">
      <c r="A189" s="2"/>
      <c r="B189" s="65" t="str">
        <f t="shared" si="4"/>
        <v/>
      </c>
      <c r="C189" s="66"/>
      <c r="D189" s="60"/>
      <c r="E189" s="60"/>
      <c r="F189" s="67"/>
      <c r="G189" s="61"/>
      <c r="H189" s="61"/>
      <c r="I189" s="61"/>
      <c r="J189" s="65" t="str">
        <f t="shared" si="5"/>
        <v/>
      </c>
      <c r="K189" s="65" t="str">
        <f>IF($E189="","",$E189&amp;"|"&amp;COUNTIFS($E$7:$E189,$E189))</f>
        <v/>
      </c>
      <c r="L189" s="65" t="str">
        <f>IF($D189="","",$D189&amp;"|"&amp;COUNTIFS($D$7:$D189,$D189))</f>
        <v/>
      </c>
      <c r="M189" s="65" t="str">
        <f>IF(AND($E189&lt;&gt;"",COUNTIF($G189,"KÂR PAYI / AVANS*")&gt;0),$E189&amp;"|"&amp;COUNTIFS($E$7:$E189,$E189,$G$7:$G189,"KÂR PAYI / AVANS*"),"")</f>
        <v/>
      </c>
    </row>
    <row r="190" spans="1:13" ht="18" customHeight="1" x14ac:dyDescent="0.3">
      <c r="A190" s="2"/>
      <c r="B190" s="65" t="str">
        <f t="shared" si="4"/>
        <v/>
      </c>
      <c r="C190" s="66"/>
      <c r="D190" s="60"/>
      <c r="E190" s="60"/>
      <c r="F190" s="67"/>
      <c r="G190" s="61"/>
      <c r="H190" s="61"/>
      <c r="I190" s="61"/>
      <c r="J190" s="65" t="str">
        <f t="shared" si="5"/>
        <v/>
      </c>
      <c r="K190" s="65" t="str">
        <f>IF($E190="","",$E190&amp;"|"&amp;COUNTIFS($E$7:$E190,$E190))</f>
        <v/>
      </c>
      <c r="L190" s="65" t="str">
        <f>IF($D190="","",$D190&amp;"|"&amp;COUNTIFS($D$7:$D190,$D190))</f>
        <v/>
      </c>
      <c r="M190" s="65" t="str">
        <f>IF(AND($E190&lt;&gt;"",COUNTIF($G190,"KÂR PAYI / AVANS*")&gt;0),$E190&amp;"|"&amp;COUNTIFS($E$7:$E190,$E190,$G$7:$G190,"KÂR PAYI / AVANS*"),"")</f>
        <v/>
      </c>
    </row>
    <row r="191" spans="1:13" ht="18" customHeight="1" x14ac:dyDescent="0.3">
      <c r="A191" s="2"/>
      <c r="B191" s="65" t="str">
        <f t="shared" si="4"/>
        <v/>
      </c>
      <c r="C191" s="66"/>
      <c r="D191" s="60"/>
      <c r="E191" s="60"/>
      <c r="F191" s="67"/>
      <c r="G191" s="61"/>
      <c r="H191" s="61"/>
      <c r="I191" s="61"/>
      <c r="J191" s="65" t="str">
        <f t="shared" si="5"/>
        <v/>
      </c>
      <c r="K191" s="65" t="str">
        <f>IF($E191="","",$E191&amp;"|"&amp;COUNTIFS($E$7:$E191,$E191))</f>
        <v/>
      </c>
      <c r="L191" s="65" t="str">
        <f>IF($D191="","",$D191&amp;"|"&amp;COUNTIFS($D$7:$D191,$D191))</f>
        <v/>
      </c>
      <c r="M191" s="65" t="str">
        <f>IF(AND($E191&lt;&gt;"",COUNTIF($G191,"KÂR PAYI / AVANS*")&gt;0),$E191&amp;"|"&amp;COUNTIFS($E$7:$E191,$E191,$G$7:$G191,"KÂR PAYI / AVANS*"),"")</f>
        <v/>
      </c>
    </row>
    <row r="192" spans="1:13" ht="18" customHeight="1" x14ac:dyDescent="0.3">
      <c r="A192" s="2"/>
      <c r="B192" s="65" t="str">
        <f t="shared" si="4"/>
        <v/>
      </c>
      <c r="C192" s="66"/>
      <c r="D192" s="60"/>
      <c r="E192" s="60"/>
      <c r="F192" s="67"/>
      <c r="G192" s="61"/>
      <c r="H192" s="61"/>
      <c r="I192" s="61"/>
      <c r="J192" s="65" t="str">
        <f t="shared" si="5"/>
        <v/>
      </c>
      <c r="K192" s="65" t="str">
        <f>IF($E192="","",$E192&amp;"|"&amp;COUNTIFS($E$7:$E192,$E192))</f>
        <v/>
      </c>
      <c r="L192" s="65" t="str">
        <f>IF($D192="","",$D192&amp;"|"&amp;COUNTIFS($D$7:$D192,$D192))</f>
        <v/>
      </c>
      <c r="M192" s="65" t="str">
        <f>IF(AND($E192&lt;&gt;"",COUNTIF($G192,"KÂR PAYI / AVANS*")&gt;0),$E192&amp;"|"&amp;COUNTIFS($E$7:$E192,$E192,$G$7:$G192,"KÂR PAYI / AVANS*"),"")</f>
        <v/>
      </c>
    </row>
    <row r="193" spans="1:13" ht="18" customHeight="1" x14ac:dyDescent="0.3">
      <c r="A193" s="2"/>
      <c r="B193" s="65" t="str">
        <f t="shared" si="4"/>
        <v/>
      </c>
      <c r="C193" s="66"/>
      <c r="D193" s="60"/>
      <c r="E193" s="60"/>
      <c r="F193" s="67"/>
      <c r="G193" s="61"/>
      <c r="H193" s="61"/>
      <c r="I193" s="61"/>
      <c r="J193" s="65" t="str">
        <f t="shared" si="5"/>
        <v/>
      </c>
      <c r="K193" s="65" t="str">
        <f>IF($E193="","",$E193&amp;"|"&amp;COUNTIFS($E$7:$E193,$E193))</f>
        <v/>
      </c>
      <c r="L193" s="65" t="str">
        <f>IF($D193="","",$D193&amp;"|"&amp;COUNTIFS($D$7:$D193,$D193))</f>
        <v/>
      </c>
      <c r="M193" s="65" t="str">
        <f>IF(AND($E193&lt;&gt;"",COUNTIF($G193,"KÂR PAYI / AVANS*")&gt;0),$E193&amp;"|"&amp;COUNTIFS($E$7:$E193,$E193,$G$7:$G193,"KÂR PAYI / AVANS*"),"")</f>
        <v/>
      </c>
    </row>
    <row r="194" spans="1:13" ht="18" customHeight="1" x14ac:dyDescent="0.3">
      <c r="A194" s="2"/>
      <c r="B194" s="65" t="str">
        <f t="shared" si="4"/>
        <v/>
      </c>
      <c r="C194" s="66"/>
      <c r="D194" s="60"/>
      <c r="E194" s="60"/>
      <c r="F194" s="67"/>
      <c r="G194" s="61"/>
      <c r="H194" s="61"/>
      <c r="I194" s="61"/>
      <c r="J194" s="65" t="str">
        <f t="shared" si="5"/>
        <v/>
      </c>
      <c r="K194" s="65" t="str">
        <f>IF($E194="","",$E194&amp;"|"&amp;COUNTIFS($E$7:$E194,$E194))</f>
        <v/>
      </c>
      <c r="L194" s="65" t="str">
        <f>IF($D194="","",$D194&amp;"|"&amp;COUNTIFS($D$7:$D194,$D194))</f>
        <v/>
      </c>
      <c r="M194" s="65" t="str">
        <f>IF(AND($E194&lt;&gt;"",COUNTIF($G194,"KÂR PAYI / AVANS*")&gt;0),$E194&amp;"|"&amp;COUNTIFS($E$7:$E194,$E194,$G$7:$G194,"KÂR PAYI / AVANS*"),"")</f>
        <v/>
      </c>
    </row>
    <row r="195" spans="1:13" ht="18" customHeight="1" x14ac:dyDescent="0.3">
      <c r="A195" s="2"/>
      <c r="B195" s="65" t="str">
        <f t="shared" si="4"/>
        <v/>
      </c>
      <c r="C195" s="66"/>
      <c r="D195" s="60"/>
      <c r="E195" s="60"/>
      <c r="F195" s="67"/>
      <c r="G195" s="61"/>
      <c r="H195" s="61"/>
      <c r="I195" s="61"/>
      <c r="J195" s="65" t="str">
        <f t="shared" si="5"/>
        <v/>
      </c>
      <c r="K195" s="65" t="str">
        <f>IF($E195="","",$E195&amp;"|"&amp;COUNTIFS($E$7:$E195,$E195))</f>
        <v/>
      </c>
      <c r="L195" s="65" t="str">
        <f>IF($D195="","",$D195&amp;"|"&amp;COUNTIFS($D$7:$D195,$D195))</f>
        <v/>
      </c>
      <c r="M195" s="65" t="str">
        <f>IF(AND($E195&lt;&gt;"",COUNTIF($G195,"KÂR PAYI / AVANS*")&gt;0),$E195&amp;"|"&amp;COUNTIFS($E$7:$E195,$E195,$G$7:$G195,"KÂR PAYI / AVANS*"),"")</f>
        <v/>
      </c>
    </row>
    <row r="196" spans="1:13" ht="18" customHeight="1" x14ac:dyDescent="0.3">
      <c r="A196" s="2"/>
      <c r="B196" s="65" t="str">
        <f t="shared" si="4"/>
        <v/>
      </c>
      <c r="C196" s="66"/>
      <c r="D196" s="60"/>
      <c r="E196" s="60"/>
      <c r="F196" s="67"/>
      <c r="G196" s="61"/>
      <c r="H196" s="61"/>
      <c r="I196" s="61"/>
      <c r="J196" s="65" t="str">
        <f t="shared" si="5"/>
        <v/>
      </c>
      <c r="K196" s="65" t="str">
        <f>IF($E196="","",$E196&amp;"|"&amp;COUNTIFS($E$7:$E196,$E196))</f>
        <v/>
      </c>
      <c r="L196" s="65" t="str">
        <f>IF($D196="","",$D196&amp;"|"&amp;COUNTIFS($D$7:$D196,$D196))</f>
        <v/>
      </c>
      <c r="M196" s="65" t="str">
        <f>IF(AND($E196&lt;&gt;"",COUNTIF($G196,"KÂR PAYI / AVANS*")&gt;0),$E196&amp;"|"&amp;COUNTIFS($E$7:$E196,$E196,$G$7:$G196,"KÂR PAYI / AVANS*"),"")</f>
        <v/>
      </c>
    </row>
    <row r="197" spans="1:13" ht="18" customHeight="1" x14ac:dyDescent="0.3">
      <c r="A197" s="2"/>
      <c r="B197" s="65" t="str">
        <f t="shared" si="4"/>
        <v/>
      </c>
      <c r="C197" s="66"/>
      <c r="D197" s="60"/>
      <c r="E197" s="60"/>
      <c r="F197" s="67"/>
      <c r="G197" s="61"/>
      <c r="H197" s="61"/>
      <c r="I197" s="61"/>
      <c r="J197" s="65" t="str">
        <f t="shared" si="5"/>
        <v/>
      </c>
      <c r="K197" s="65" t="str">
        <f>IF($E197="","",$E197&amp;"|"&amp;COUNTIFS($E$7:$E197,$E197))</f>
        <v/>
      </c>
      <c r="L197" s="65" t="str">
        <f>IF($D197="","",$D197&amp;"|"&amp;COUNTIFS($D$7:$D197,$D197))</f>
        <v/>
      </c>
      <c r="M197" s="65" t="str">
        <f>IF(AND($E197&lt;&gt;"",COUNTIF($G197,"KÂR PAYI / AVANS*")&gt;0),$E197&amp;"|"&amp;COUNTIFS($E$7:$E197,$E197,$G$7:$G197,"KÂR PAYI / AVANS*"),"")</f>
        <v/>
      </c>
    </row>
    <row r="198" spans="1:13" ht="18" customHeight="1" x14ac:dyDescent="0.3">
      <c r="A198" s="2"/>
      <c r="B198" s="65" t="str">
        <f t="shared" si="4"/>
        <v/>
      </c>
      <c r="C198" s="66"/>
      <c r="D198" s="60"/>
      <c r="E198" s="60"/>
      <c r="F198" s="67"/>
      <c r="G198" s="61"/>
      <c r="H198" s="61"/>
      <c r="I198" s="61"/>
      <c r="J198" s="65" t="str">
        <f t="shared" si="5"/>
        <v/>
      </c>
      <c r="K198" s="65" t="str">
        <f>IF($E198="","",$E198&amp;"|"&amp;COUNTIFS($E$7:$E198,$E198))</f>
        <v/>
      </c>
      <c r="L198" s="65" t="str">
        <f>IF($D198="","",$D198&amp;"|"&amp;COUNTIFS($D$7:$D198,$D198))</f>
        <v/>
      </c>
      <c r="M198" s="65" t="str">
        <f>IF(AND($E198&lt;&gt;"",COUNTIF($G198,"KÂR PAYI / AVANS*")&gt;0),$E198&amp;"|"&amp;COUNTIFS($E$7:$E198,$E198,$G$7:$G198,"KÂR PAYI / AVANS*"),"")</f>
        <v/>
      </c>
    </row>
    <row r="199" spans="1:13" ht="18" customHeight="1" x14ac:dyDescent="0.3">
      <c r="A199" s="2"/>
      <c r="B199" s="65" t="str">
        <f t="shared" ref="B199:B262" si="6">IF($C199="","","V"&amp;TEXT(ROW()-6,"00000"))</f>
        <v/>
      </c>
      <c r="C199" s="66"/>
      <c r="D199" s="60"/>
      <c r="E199" s="60"/>
      <c r="F199" s="67"/>
      <c r="G199" s="61"/>
      <c r="H199" s="61"/>
      <c r="I199" s="61"/>
      <c r="J199" s="65" t="str">
        <f t="shared" ref="J199:J262" si="7">IF($C199="","",IF(AND($D199&lt;&gt;"",$E199&lt;&gt;"",$D199&lt;&gt;$E199,$F199&gt;0),"UYGUN","HATA"))</f>
        <v/>
      </c>
      <c r="K199" s="65" t="str">
        <f>IF($E199="","",$E199&amp;"|"&amp;COUNTIFS($E$7:$E199,$E199))</f>
        <v/>
      </c>
      <c r="L199" s="65" t="str">
        <f>IF($D199="","",$D199&amp;"|"&amp;COUNTIFS($D$7:$D199,$D199))</f>
        <v/>
      </c>
      <c r="M199" s="65" t="str">
        <f>IF(AND($E199&lt;&gt;"",COUNTIF($G199,"KÂR PAYI / AVANS*")&gt;0),$E199&amp;"|"&amp;COUNTIFS($E$7:$E199,$E199,$G$7:$G199,"KÂR PAYI / AVANS*"),"")</f>
        <v/>
      </c>
    </row>
    <row r="200" spans="1:13" ht="18" customHeight="1" x14ac:dyDescent="0.3">
      <c r="A200" s="2"/>
      <c r="B200" s="65" t="str">
        <f t="shared" si="6"/>
        <v/>
      </c>
      <c r="C200" s="66"/>
      <c r="D200" s="60"/>
      <c r="E200" s="60"/>
      <c r="F200" s="67"/>
      <c r="G200" s="61"/>
      <c r="H200" s="61"/>
      <c r="I200" s="61"/>
      <c r="J200" s="65" t="str">
        <f t="shared" si="7"/>
        <v/>
      </c>
      <c r="K200" s="65" t="str">
        <f>IF($E200="","",$E200&amp;"|"&amp;COUNTIFS($E$7:$E200,$E200))</f>
        <v/>
      </c>
      <c r="L200" s="65" t="str">
        <f>IF($D200="","",$D200&amp;"|"&amp;COUNTIFS($D$7:$D200,$D200))</f>
        <v/>
      </c>
      <c r="M200" s="65" t="str">
        <f>IF(AND($E200&lt;&gt;"",COUNTIF($G200,"KÂR PAYI / AVANS*")&gt;0),$E200&amp;"|"&amp;COUNTIFS($E$7:$E200,$E200,$G$7:$G200,"KÂR PAYI / AVANS*"),"")</f>
        <v/>
      </c>
    </row>
    <row r="201" spans="1:13" ht="18" customHeight="1" x14ac:dyDescent="0.3">
      <c r="A201" s="2"/>
      <c r="B201" s="65" t="str">
        <f t="shared" si="6"/>
        <v/>
      </c>
      <c r="C201" s="66"/>
      <c r="D201" s="60"/>
      <c r="E201" s="60"/>
      <c r="F201" s="67"/>
      <c r="G201" s="61"/>
      <c r="H201" s="61"/>
      <c r="I201" s="61"/>
      <c r="J201" s="65" t="str">
        <f t="shared" si="7"/>
        <v/>
      </c>
      <c r="K201" s="65" t="str">
        <f>IF($E201="","",$E201&amp;"|"&amp;COUNTIFS($E$7:$E201,$E201))</f>
        <v/>
      </c>
      <c r="L201" s="65" t="str">
        <f>IF($D201="","",$D201&amp;"|"&amp;COUNTIFS($D$7:$D201,$D201))</f>
        <v/>
      </c>
      <c r="M201" s="65" t="str">
        <f>IF(AND($E201&lt;&gt;"",COUNTIF($G201,"KÂR PAYI / AVANS*")&gt;0),$E201&amp;"|"&amp;COUNTIFS($E$7:$E201,$E201,$G$7:$G201,"KÂR PAYI / AVANS*"),"")</f>
        <v/>
      </c>
    </row>
    <row r="202" spans="1:13" ht="18" customHeight="1" x14ac:dyDescent="0.3">
      <c r="A202" s="2"/>
      <c r="B202" s="65" t="str">
        <f t="shared" si="6"/>
        <v/>
      </c>
      <c r="C202" s="66"/>
      <c r="D202" s="60"/>
      <c r="E202" s="60"/>
      <c r="F202" s="67"/>
      <c r="G202" s="61"/>
      <c r="H202" s="61"/>
      <c r="I202" s="61"/>
      <c r="J202" s="65" t="str">
        <f t="shared" si="7"/>
        <v/>
      </c>
      <c r="K202" s="65" t="str">
        <f>IF($E202="","",$E202&amp;"|"&amp;COUNTIFS($E$7:$E202,$E202))</f>
        <v/>
      </c>
      <c r="L202" s="65" t="str">
        <f>IF($D202="","",$D202&amp;"|"&amp;COUNTIFS($D$7:$D202,$D202))</f>
        <v/>
      </c>
      <c r="M202" s="65" t="str">
        <f>IF(AND($E202&lt;&gt;"",COUNTIF($G202,"KÂR PAYI / AVANS*")&gt;0),$E202&amp;"|"&amp;COUNTIFS($E$7:$E202,$E202,$G$7:$G202,"KÂR PAYI / AVANS*"),"")</f>
        <v/>
      </c>
    </row>
    <row r="203" spans="1:13" ht="18" customHeight="1" x14ac:dyDescent="0.3">
      <c r="A203" s="2"/>
      <c r="B203" s="65" t="str">
        <f t="shared" si="6"/>
        <v/>
      </c>
      <c r="C203" s="66"/>
      <c r="D203" s="60"/>
      <c r="E203" s="60"/>
      <c r="F203" s="67"/>
      <c r="G203" s="61"/>
      <c r="H203" s="61"/>
      <c r="I203" s="61"/>
      <c r="J203" s="65" t="str">
        <f t="shared" si="7"/>
        <v/>
      </c>
      <c r="K203" s="65" t="str">
        <f>IF($E203="","",$E203&amp;"|"&amp;COUNTIFS($E$7:$E203,$E203))</f>
        <v/>
      </c>
      <c r="L203" s="65" t="str">
        <f>IF($D203="","",$D203&amp;"|"&amp;COUNTIFS($D$7:$D203,$D203))</f>
        <v/>
      </c>
      <c r="M203" s="65" t="str">
        <f>IF(AND($E203&lt;&gt;"",COUNTIF($G203,"KÂR PAYI / AVANS*")&gt;0),$E203&amp;"|"&amp;COUNTIFS($E$7:$E203,$E203,$G$7:$G203,"KÂR PAYI / AVANS*"),"")</f>
        <v/>
      </c>
    </row>
    <row r="204" spans="1:13" ht="18" customHeight="1" x14ac:dyDescent="0.3">
      <c r="A204" s="2"/>
      <c r="B204" s="65" t="str">
        <f t="shared" si="6"/>
        <v/>
      </c>
      <c r="C204" s="66"/>
      <c r="D204" s="60"/>
      <c r="E204" s="60"/>
      <c r="F204" s="67"/>
      <c r="G204" s="61"/>
      <c r="H204" s="61"/>
      <c r="I204" s="61"/>
      <c r="J204" s="65" t="str">
        <f t="shared" si="7"/>
        <v/>
      </c>
      <c r="K204" s="65" t="str">
        <f>IF($E204="","",$E204&amp;"|"&amp;COUNTIFS($E$7:$E204,$E204))</f>
        <v/>
      </c>
      <c r="L204" s="65" t="str">
        <f>IF($D204="","",$D204&amp;"|"&amp;COUNTIFS($D$7:$D204,$D204))</f>
        <v/>
      </c>
      <c r="M204" s="65" t="str">
        <f>IF(AND($E204&lt;&gt;"",COUNTIF($G204,"KÂR PAYI / AVANS*")&gt;0),$E204&amp;"|"&amp;COUNTIFS($E$7:$E204,$E204,$G$7:$G204,"KÂR PAYI / AVANS*"),"")</f>
        <v/>
      </c>
    </row>
    <row r="205" spans="1:13" ht="18" customHeight="1" x14ac:dyDescent="0.3">
      <c r="A205" s="2"/>
      <c r="B205" s="65" t="str">
        <f t="shared" si="6"/>
        <v/>
      </c>
      <c r="C205" s="66"/>
      <c r="D205" s="60"/>
      <c r="E205" s="60"/>
      <c r="F205" s="67"/>
      <c r="G205" s="61"/>
      <c r="H205" s="61"/>
      <c r="I205" s="61"/>
      <c r="J205" s="65" t="str">
        <f t="shared" si="7"/>
        <v/>
      </c>
      <c r="K205" s="65" t="str">
        <f>IF($E205="","",$E205&amp;"|"&amp;COUNTIFS($E$7:$E205,$E205))</f>
        <v/>
      </c>
      <c r="L205" s="65" t="str">
        <f>IF($D205="","",$D205&amp;"|"&amp;COUNTIFS($D$7:$D205,$D205))</f>
        <v/>
      </c>
      <c r="M205" s="65" t="str">
        <f>IF(AND($E205&lt;&gt;"",COUNTIF($G205,"KÂR PAYI / AVANS*")&gt;0),$E205&amp;"|"&amp;COUNTIFS($E$7:$E205,$E205,$G$7:$G205,"KÂR PAYI / AVANS*"),"")</f>
        <v/>
      </c>
    </row>
    <row r="206" spans="1:13" ht="18" customHeight="1" x14ac:dyDescent="0.3">
      <c r="A206" s="2"/>
      <c r="B206" s="65" t="str">
        <f t="shared" si="6"/>
        <v/>
      </c>
      <c r="C206" s="66"/>
      <c r="D206" s="60"/>
      <c r="E206" s="60"/>
      <c r="F206" s="67"/>
      <c r="G206" s="61"/>
      <c r="H206" s="61"/>
      <c r="I206" s="61"/>
      <c r="J206" s="65" t="str">
        <f t="shared" si="7"/>
        <v/>
      </c>
      <c r="K206" s="65" t="str">
        <f>IF($E206="","",$E206&amp;"|"&amp;COUNTIFS($E$7:$E206,$E206))</f>
        <v/>
      </c>
      <c r="L206" s="65" t="str">
        <f>IF($D206="","",$D206&amp;"|"&amp;COUNTIFS($D$7:$D206,$D206))</f>
        <v/>
      </c>
      <c r="M206" s="65" t="str">
        <f>IF(AND($E206&lt;&gt;"",COUNTIF($G206,"KÂR PAYI / AVANS*")&gt;0),$E206&amp;"|"&amp;COUNTIFS($E$7:$E206,$E206,$G$7:$G206,"KÂR PAYI / AVANS*"),"")</f>
        <v/>
      </c>
    </row>
    <row r="207" spans="1:13" ht="18" customHeight="1" x14ac:dyDescent="0.3">
      <c r="A207" s="2"/>
      <c r="B207" s="65" t="str">
        <f t="shared" si="6"/>
        <v/>
      </c>
      <c r="C207" s="66"/>
      <c r="D207" s="60"/>
      <c r="E207" s="60"/>
      <c r="F207" s="67"/>
      <c r="G207" s="61"/>
      <c r="H207" s="61"/>
      <c r="I207" s="61"/>
      <c r="J207" s="65" t="str">
        <f t="shared" si="7"/>
        <v/>
      </c>
      <c r="K207" s="65" t="str">
        <f>IF($E207="","",$E207&amp;"|"&amp;COUNTIFS($E$7:$E207,$E207))</f>
        <v/>
      </c>
      <c r="L207" s="65" t="str">
        <f>IF($D207="","",$D207&amp;"|"&amp;COUNTIFS($D$7:$D207,$D207))</f>
        <v/>
      </c>
      <c r="M207" s="65" t="str">
        <f>IF(AND($E207&lt;&gt;"",COUNTIF($G207,"KÂR PAYI / AVANS*")&gt;0),$E207&amp;"|"&amp;COUNTIFS($E$7:$E207,$E207,$G$7:$G207,"KÂR PAYI / AVANS*"),"")</f>
        <v/>
      </c>
    </row>
    <row r="208" spans="1:13" ht="18" customHeight="1" x14ac:dyDescent="0.3">
      <c r="A208" s="2"/>
      <c r="B208" s="65" t="str">
        <f t="shared" si="6"/>
        <v/>
      </c>
      <c r="C208" s="66"/>
      <c r="D208" s="60"/>
      <c r="E208" s="60"/>
      <c r="F208" s="67"/>
      <c r="G208" s="61"/>
      <c r="H208" s="61"/>
      <c r="I208" s="61"/>
      <c r="J208" s="65" t="str">
        <f t="shared" si="7"/>
        <v/>
      </c>
      <c r="K208" s="65" t="str">
        <f>IF($E208="","",$E208&amp;"|"&amp;COUNTIFS($E$7:$E208,$E208))</f>
        <v/>
      </c>
      <c r="L208" s="65" t="str">
        <f>IF($D208="","",$D208&amp;"|"&amp;COUNTIFS($D$7:$D208,$D208))</f>
        <v/>
      </c>
      <c r="M208" s="65" t="str">
        <f>IF(AND($E208&lt;&gt;"",COUNTIF($G208,"KÂR PAYI / AVANS*")&gt;0),$E208&amp;"|"&amp;COUNTIFS($E$7:$E208,$E208,$G$7:$G208,"KÂR PAYI / AVANS*"),"")</f>
        <v/>
      </c>
    </row>
    <row r="209" spans="1:13" ht="18" customHeight="1" x14ac:dyDescent="0.3">
      <c r="A209" s="2"/>
      <c r="B209" s="65" t="str">
        <f t="shared" si="6"/>
        <v/>
      </c>
      <c r="C209" s="66"/>
      <c r="D209" s="60"/>
      <c r="E209" s="60"/>
      <c r="F209" s="67"/>
      <c r="G209" s="61"/>
      <c r="H209" s="61"/>
      <c r="I209" s="61"/>
      <c r="J209" s="65" t="str">
        <f t="shared" si="7"/>
        <v/>
      </c>
      <c r="K209" s="65" t="str">
        <f>IF($E209="","",$E209&amp;"|"&amp;COUNTIFS($E$7:$E209,$E209))</f>
        <v/>
      </c>
      <c r="L209" s="65" t="str">
        <f>IF($D209="","",$D209&amp;"|"&amp;COUNTIFS($D$7:$D209,$D209))</f>
        <v/>
      </c>
      <c r="M209" s="65" t="str">
        <f>IF(AND($E209&lt;&gt;"",COUNTIF($G209,"KÂR PAYI / AVANS*")&gt;0),$E209&amp;"|"&amp;COUNTIFS($E$7:$E209,$E209,$G$7:$G209,"KÂR PAYI / AVANS*"),"")</f>
        <v/>
      </c>
    </row>
    <row r="210" spans="1:13" ht="18" customHeight="1" x14ac:dyDescent="0.3">
      <c r="A210" s="2"/>
      <c r="B210" s="65" t="str">
        <f t="shared" si="6"/>
        <v/>
      </c>
      <c r="C210" s="66"/>
      <c r="D210" s="60"/>
      <c r="E210" s="60"/>
      <c r="F210" s="67"/>
      <c r="G210" s="61"/>
      <c r="H210" s="61"/>
      <c r="I210" s="61"/>
      <c r="J210" s="65" t="str">
        <f t="shared" si="7"/>
        <v/>
      </c>
      <c r="K210" s="65" t="str">
        <f>IF($E210="","",$E210&amp;"|"&amp;COUNTIFS($E$7:$E210,$E210))</f>
        <v/>
      </c>
      <c r="L210" s="65" t="str">
        <f>IF($D210="","",$D210&amp;"|"&amp;COUNTIFS($D$7:$D210,$D210))</f>
        <v/>
      </c>
      <c r="M210" s="65" t="str">
        <f>IF(AND($E210&lt;&gt;"",COUNTIF($G210,"KÂR PAYI / AVANS*")&gt;0),$E210&amp;"|"&amp;COUNTIFS($E$7:$E210,$E210,$G$7:$G210,"KÂR PAYI / AVANS*"),"")</f>
        <v/>
      </c>
    </row>
    <row r="211" spans="1:13" ht="18" customHeight="1" x14ac:dyDescent="0.3">
      <c r="A211" s="2"/>
      <c r="B211" s="65" t="str">
        <f t="shared" si="6"/>
        <v/>
      </c>
      <c r="C211" s="66"/>
      <c r="D211" s="60"/>
      <c r="E211" s="60"/>
      <c r="F211" s="67"/>
      <c r="G211" s="61"/>
      <c r="H211" s="61"/>
      <c r="I211" s="61"/>
      <c r="J211" s="65" t="str">
        <f t="shared" si="7"/>
        <v/>
      </c>
      <c r="K211" s="65" t="str">
        <f>IF($E211="","",$E211&amp;"|"&amp;COUNTIFS($E$7:$E211,$E211))</f>
        <v/>
      </c>
      <c r="L211" s="65" t="str">
        <f>IF($D211="","",$D211&amp;"|"&amp;COUNTIFS($D$7:$D211,$D211))</f>
        <v/>
      </c>
      <c r="M211" s="65" t="str">
        <f>IF(AND($E211&lt;&gt;"",COUNTIF($G211,"KÂR PAYI / AVANS*")&gt;0),$E211&amp;"|"&amp;COUNTIFS($E$7:$E211,$E211,$G$7:$G211,"KÂR PAYI / AVANS*"),"")</f>
        <v/>
      </c>
    </row>
    <row r="212" spans="1:13" ht="18" customHeight="1" x14ac:dyDescent="0.3">
      <c r="A212" s="2"/>
      <c r="B212" s="65" t="str">
        <f t="shared" si="6"/>
        <v/>
      </c>
      <c r="C212" s="66"/>
      <c r="D212" s="60"/>
      <c r="E212" s="60"/>
      <c r="F212" s="67"/>
      <c r="G212" s="61"/>
      <c r="H212" s="61"/>
      <c r="I212" s="61"/>
      <c r="J212" s="65" t="str">
        <f t="shared" si="7"/>
        <v/>
      </c>
      <c r="K212" s="65" t="str">
        <f>IF($E212="","",$E212&amp;"|"&amp;COUNTIFS($E$7:$E212,$E212))</f>
        <v/>
      </c>
      <c r="L212" s="65" t="str">
        <f>IF($D212="","",$D212&amp;"|"&amp;COUNTIFS($D$7:$D212,$D212))</f>
        <v/>
      </c>
      <c r="M212" s="65" t="str">
        <f>IF(AND($E212&lt;&gt;"",COUNTIF($G212,"KÂR PAYI / AVANS*")&gt;0),$E212&amp;"|"&amp;COUNTIFS($E$7:$E212,$E212,$G$7:$G212,"KÂR PAYI / AVANS*"),"")</f>
        <v/>
      </c>
    </row>
    <row r="213" spans="1:13" ht="18" customHeight="1" x14ac:dyDescent="0.3">
      <c r="A213" s="2"/>
      <c r="B213" s="65" t="str">
        <f t="shared" si="6"/>
        <v/>
      </c>
      <c r="C213" s="66"/>
      <c r="D213" s="60"/>
      <c r="E213" s="60"/>
      <c r="F213" s="67"/>
      <c r="G213" s="61"/>
      <c r="H213" s="61"/>
      <c r="I213" s="61"/>
      <c r="J213" s="65" t="str">
        <f t="shared" si="7"/>
        <v/>
      </c>
      <c r="K213" s="65" t="str">
        <f>IF($E213="","",$E213&amp;"|"&amp;COUNTIFS($E$7:$E213,$E213))</f>
        <v/>
      </c>
      <c r="L213" s="65" t="str">
        <f>IF($D213="","",$D213&amp;"|"&amp;COUNTIFS($D$7:$D213,$D213))</f>
        <v/>
      </c>
      <c r="M213" s="65" t="str">
        <f>IF(AND($E213&lt;&gt;"",COUNTIF($G213,"KÂR PAYI / AVANS*")&gt;0),$E213&amp;"|"&amp;COUNTIFS($E$7:$E213,$E213,$G$7:$G213,"KÂR PAYI / AVANS*"),"")</f>
        <v/>
      </c>
    </row>
    <row r="214" spans="1:13" ht="18" customHeight="1" x14ac:dyDescent="0.3">
      <c r="A214" s="2"/>
      <c r="B214" s="65" t="str">
        <f t="shared" si="6"/>
        <v/>
      </c>
      <c r="C214" s="66"/>
      <c r="D214" s="60"/>
      <c r="E214" s="60"/>
      <c r="F214" s="67"/>
      <c r="G214" s="61"/>
      <c r="H214" s="61"/>
      <c r="I214" s="61"/>
      <c r="J214" s="65" t="str">
        <f t="shared" si="7"/>
        <v/>
      </c>
      <c r="K214" s="65" t="str">
        <f>IF($E214="","",$E214&amp;"|"&amp;COUNTIFS($E$7:$E214,$E214))</f>
        <v/>
      </c>
      <c r="L214" s="65" t="str">
        <f>IF($D214="","",$D214&amp;"|"&amp;COUNTIFS($D$7:$D214,$D214))</f>
        <v/>
      </c>
      <c r="M214" s="65" t="str">
        <f>IF(AND($E214&lt;&gt;"",COUNTIF($G214,"KÂR PAYI / AVANS*")&gt;0),$E214&amp;"|"&amp;COUNTIFS($E$7:$E214,$E214,$G$7:$G214,"KÂR PAYI / AVANS*"),"")</f>
        <v/>
      </c>
    </row>
    <row r="215" spans="1:13" ht="18" customHeight="1" x14ac:dyDescent="0.3">
      <c r="A215" s="2"/>
      <c r="B215" s="65" t="str">
        <f t="shared" si="6"/>
        <v/>
      </c>
      <c r="C215" s="66"/>
      <c r="D215" s="60"/>
      <c r="E215" s="60"/>
      <c r="F215" s="67"/>
      <c r="G215" s="61"/>
      <c r="H215" s="61"/>
      <c r="I215" s="61"/>
      <c r="J215" s="65" t="str">
        <f t="shared" si="7"/>
        <v/>
      </c>
      <c r="K215" s="65" t="str">
        <f>IF($E215="","",$E215&amp;"|"&amp;COUNTIFS($E$7:$E215,$E215))</f>
        <v/>
      </c>
      <c r="L215" s="65" t="str">
        <f>IF($D215="","",$D215&amp;"|"&amp;COUNTIFS($D$7:$D215,$D215))</f>
        <v/>
      </c>
      <c r="M215" s="65" t="str">
        <f>IF(AND($E215&lt;&gt;"",COUNTIF($G215,"KÂR PAYI / AVANS*")&gt;0),$E215&amp;"|"&amp;COUNTIFS($E$7:$E215,$E215,$G$7:$G215,"KÂR PAYI / AVANS*"),"")</f>
        <v/>
      </c>
    </row>
    <row r="216" spans="1:13" ht="18" customHeight="1" x14ac:dyDescent="0.3">
      <c r="A216" s="2"/>
      <c r="B216" s="65" t="str">
        <f t="shared" si="6"/>
        <v/>
      </c>
      <c r="C216" s="66"/>
      <c r="D216" s="60"/>
      <c r="E216" s="60"/>
      <c r="F216" s="67"/>
      <c r="G216" s="61"/>
      <c r="H216" s="61"/>
      <c r="I216" s="61"/>
      <c r="J216" s="65" t="str">
        <f t="shared" si="7"/>
        <v/>
      </c>
      <c r="K216" s="65" t="str">
        <f>IF($E216="","",$E216&amp;"|"&amp;COUNTIFS($E$7:$E216,$E216))</f>
        <v/>
      </c>
      <c r="L216" s="65" t="str">
        <f>IF($D216="","",$D216&amp;"|"&amp;COUNTIFS($D$7:$D216,$D216))</f>
        <v/>
      </c>
      <c r="M216" s="65" t="str">
        <f>IF(AND($E216&lt;&gt;"",COUNTIF($G216,"KÂR PAYI / AVANS*")&gt;0),$E216&amp;"|"&amp;COUNTIFS($E$7:$E216,$E216,$G$7:$G216,"KÂR PAYI / AVANS*"),"")</f>
        <v/>
      </c>
    </row>
    <row r="217" spans="1:13" ht="18" customHeight="1" x14ac:dyDescent="0.3">
      <c r="A217" s="2"/>
      <c r="B217" s="65" t="str">
        <f t="shared" si="6"/>
        <v/>
      </c>
      <c r="C217" s="66"/>
      <c r="D217" s="60"/>
      <c r="E217" s="60"/>
      <c r="F217" s="67"/>
      <c r="G217" s="61"/>
      <c r="H217" s="61"/>
      <c r="I217" s="61"/>
      <c r="J217" s="65" t="str">
        <f t="shared" si="7"/>
        <v/>
      </c>
      <c r="K217" s="65" t="str">
        <f>IF($E217="","",$E217&amp;"|"&amp;COUNTIFS($E$7:$E217,$E217))</f>
        <v/>
      </c>
      <c r="L217" s="65" t="str">
        <f>IF($D217="","",$D217&amp;"|"&amp;COUNTIFS($D$7:$D217,$D217))</f>
        <v/>
      </c>
      <c r="M217" s="65" t="str">
        <f>IF(AND($E217&lt;&gt;"",COUNTIF($G217,"KÂR PAYI / AVANS*")&gt;0),$E217&amp;"|"&amp;COUNTIFS($E$7:$E217,$E217,$G$7:$G217,"KÂR PAYI / AVANS*"),"")</f>
        <v/>
      </c>
    </row>
    <row r="218" spans="1:13" ht="18" customHeight="1" x14ac:dyDescent="0.3">
      <c r="A218" s="2"/>
      <c r="B218" s="65" t="str">
        <f t="shared" si="6"/>
        <v/>
      </c>
      <c r="C218" s="66"/>
      <c r="D218" s="60"/>
      <c r="E218" s="60"/>
      <c r="F218" s="67"/>
      <c r="G218" s="61"/>
      <c r="H218" s="61"/>
      <c r="I218" s="61"/>
      <c r="J218" s="65" t="str">
        <f t="shared" si="7"/>
        <v/>
      </c>
      <c r="K218" s="65" t="str">
        <f>IF($E218="","",$E218&amp;"|"&amp;COUNTIFS($E$7:$E218,$E218))</f>
        <v/>
      </c>
      <c r="L218" s="65" t="str">
        <f>IF($D218="","",$D218&amp;"|"&amp;COUNTIFS($D$7:$D218,$D218))</f>
        <v/>
      </c>
      <c r="M218" s="65" t="str">
        <f>IF(AND($E218&lt;&gt;"",COUNTIF($G218,"KÂR PAYI / AVANS*")&gt;0),$E218&amp;"|"&amp;COUNTIFS($E$7:$E218,$E218,$G$7:$G218,"KÂR PAYI / AVANS*"),"")</f>
        <v/>
      </c>
    </row>
    <row r="219" spans="1:13" ht="18" customHeight="1" x14ac:dyDescent="0.3">
      <c r="A219" s="2"/>
      <c r="B219" s="65" t="str">
        <f t="shared" si="6"/>
        <v/>
      </c>
      <c r="C219" s="66"/>
      <c r="D219" s="60"/>
      <c r="E219" s="60"/>
      <c r="F219" s="67"/>
      <c r="G219" s="61"/>
      <c r="H219" s="61"/>
      <c r="I219" s="61"/>
      <c r="J219" s="65" t="str">
        <f t="shared" si="7"/>
        <v/>
      </c>
      <c r="K219" s="65" t="str">
        <f>IF($E219="","",$E219&amp;"|"&amp;COUNTIFS($E$7:$E219,$E219))</f>
        <v/>
      </c>
      <c r="L219" s="65" t="str">
        <f>IF($D219="","",$D219&amp;"|"&amp;COUNTIFS($D$7:$D219,$D219))</f>
        <v/>
      </c>
      <c r="M219" s="65" t="str">
        <f>IF(AND($E219&lt;&gt;"",COUNTIF($G219,"KÂR PAYI / AVANS*")&gt;0),$E219&amp;"|"&amp;COUNTIFS($E$7:$E219,$E219,$G$7:$G219,"KÂR PAYI / AVANS*"),"")</f>
        <v/>
      </c>
    </row>
    <row r="220" spans="1:13" ht="18" customHeight="1" x14ac:dyDescent="0.3">
      <c r="A220" s="2"/>
      <c r="B220" s="65" t="str">
        <f t="shared" si="6"/>
        <v/>
      </c>
      <c r="C220" s="66"/>
      <c r="D220" s="60"/>
      <c r="E220" s="60"/>
      <c r="F220" s="67"/>
      <c r="G220" s="61"/>
      <c r="H220" s="61"/>
      <c r="I220" s="61"/>
      <c r="J220" s="65" t="str">
        <f t="shared" si="7"/>
        <v/>
      </c>
      <c r="K220" s="65" t="str">
        <f>IF($E220="","",$E220&amp;"|"&amp;COUNTIFS($E$7:$E220,$E220))</f>
        <v/>
      </c>
      <c r="L220" s="65" t="str">
        <f>IF($D220="","",$D220&amp;"|"&amp;COUNTIFS($D$7:$D220,$D220))</f>
        <v/>
      </c>
      <c r="M220" s="65" t="str">
        <f>IF(AND($E220&lt;&gt;"",COUNTIF($G220,"KÂR PAYI / AVANS*")&gt;0),$E220&amp;"|"&amp;COUNTIFS($E$7:$E220,$E220,$G$7:$G220,"KÂR PAYI / AVANS*"),"")</f>
        <v/>
      </c>
    </row>
    <row r="221" spans="1:13" ht="18" customHeight="1" x14ac:dyDescent="0.3">
      <c r="A221" s="2"/>
      <c r="B221" s="65" t="str">
        <f t="shared" si="6"/>
        <v/>
      </c>
      <c r="C221" s="66"/>
      <c r="D221" s="60"/>
      <c r="E221" s="60"/>
      <c r="F221" s="67"/>
      <c r="G221" s="61"/>
      <c r="H221" s="61"/>
      <c r="I221" s="61"/>
      <c r="J221" s="65" t="str">
        <f t="shared" si="7"/>
        <v/>
      </c>
      <c r="K221" s="65" t="str">
        <f>IF($E221="","",$E221&amp;"|"&amp;COUNTIFS($E$7:$E221,$E221))</f>
        <v/>
      </c>
      <c r="L221" s="65" t="str">
        <f>IF($D221="","",$D221&amp;"|"&amp;COUNTIFS($D$7:$D221,$D221))</f>
        <v/>
      </c>
      <c r="M221" s="65" t="str">
        <f>IF(AND($E221&lt;&gt;"",COUNTIF($G221,"KÂR PAYI / AVANS*")&gt;0),$E221&amp;"|"&amp;COUNTIFS($E$7:$E221,$E221,$G$7:$G221,"KÂR PAYI / AVANS*"),"")</f>
        <v/>
      </c>
    </row>
    <row r="222" spans="1:13" ht="18" customHeight="1" x14ac:dyDescent="0.3">
      <c r="A222" s="2"/>
      <c r="B222" s="65" t="str">
        <f t="shared" si="6"/>
        <v/>
      </c>
      <c r="C222" s="66"/>
      <c r="D222" s="60"/>
      <c r="E222" s="60"/>
      <c r="F222" s="67"/>
      <c r="G222" s="61"/>
      <c r="H222" s="61"/>
      <c r="I222" s="61"/>
      <c r="J222" s="65" t="str">
        <f t="shared" si="7"/>
        <v/>
      </c>
      <c r="K222" s="65" t="str">
        <f>IF($E222="","",$E222&amp;"|"&amp;COUNTIFS($E$7:$E222,$E222))</f>
        <v/>
      </c>
      <c r="L222" s="65" t="str">
        <f>IF($D222="","",$D222&amp;"|"&amp;COUNTIFS($D$7:$D222,$D222))</f>
        <v/>
      </c>
      <c r="M222" s="65" t="str">
        <f>IF(AND($E222&lt;&gt;"",COUNTIF($G222,"KÂR PAYI / AVANS*")&gt;0),$E222&amp;"|"&amp;COUNTIFS($E$7:$E222,$E222,$G$7:$G222,"KÂR PAYI / AVANS*"),"")</f>
        <v/>
      </c>
    </row>
    <row r="223" spans="1:13" ht="18" customHeight="1" x14ac:dyDescent="0.3">
      <c r="A223" s="2"/>
      <c r="B223" s="65" t="str">
        <f t="shared" si="6"/>
        <v/>
      </c>
      <c r="C223" s="66"/>
      <c r="D223" s="60"/>
      <c r="E223" s="60"/>
      <c r="F223" s="67"/>
      <c r="G223" s="61"/>
      <c r="H223" s="61"/>
      <c r="I223" s="61"/>
      <c r="J223" s="65" t="str">
        <f t="shared" si="7"/>
        <v/>
      </c>
      <c r="K223" s="65" t="str">
        <f>IF($E223="","",$E223&amp;"|"&amp;COUNTIFS($E$7:$E223,$E223))</f>
        <v/>
      </c>
      <c r="L223" s="65" t="str">
        <f>IF($D223="","",$D223&amp;"|"&amp;COUNTIFS($D$7:$D223,$D223))</f>
        <v/>
      </c>
      <c r="M223" s="65" t="str">
        <f>IF(AND($E223&lt;&gt;"",COUNTIF($G223,"KÂR PAYI / AVANS*")&gt;0),$E223&amp;"|"&amp;COUNTIFS($E$7:$E223,$E223,$G$7:$G223,"KÂR PAYI / AVANS*"),"")</f>
        <v/>
      </c>
    </row>
    <row r="224" spans="1:13" ht="18" customHeight="1" x14ac:dyDescent="0.3">
      <c r="A224" s="2"/>
      <c r="B224" s="65" t="str">
        <f t="shared" si="6"/>
        <v/>
      </c>
      <c r="C224" s="66"/>
      <c r="D224" s="60"/>
      <c r="E224" s="60"/>
      <c r="F224" s="67"/>
      <c r="G224" s="61"/>
      <c r="H224" s="61"/>
      <c r="I224" s="61"/>
      <c r="J224" s="65" t="str">
        <f t="shared" si="7"/>
        <v/>
      </c>
      <c r="K224" s="65" t="str">
        <f>IF($E224="","",$E224&amp;"|"&amp;COUNTIFS($E$7:$E224,$E224))</f>
        <v/>
      </c>
      <c r="L224" s="65" t="str">
        <f>IF($D224="","",$D224&amp;"|"&amp;COUNTIFS($D$7:$D224,$D224))</f>
        <v/>
      </c>
      <c r="M224" s="65" t="str">
        <f>IF(AND($E224&lt;&gt;"",COUNTIF($G224,"KÂR PAYI / AVANS*")&gt;0),$E224&amp;"|"&amp;COUNTIFS($E$7:$E224,$E224,$G$7:$G224,"KÂR PAYI / AVANS*"),"")</f>
        <v/>
      </c>
    </row>
    <row r="225" spans="1:13" ht="18" customHeight="1" x14ac:dyDescent="0.3">
      <c r="A225" s="2"/>
      <c r="B225" s="65" t="str">
        <f t="shared" si="6"/>
        <v/>
      </c>
      <c r="C225" s="66"/>
      <c r="D225" s="60"/>
      <c r="E225" s="60"/>
      <c r="F225" s="67"/>
      <c r="G225" s="61"/>
      <c r="H225" s="61"/>
      <c r="I225" s="61"/>
      <c r="J225" s="65" t="str">
        <f t="shared" si="7"/>
        <v/>
      </c>
      <c r="K225" s="65" t="str">
        <f>IF($E225="","",$E225&amp;"|"&amp;COUNTIFS($E$7:$E225,$E225))</f>
        <v/>
      </c>
      <c r="L225" s="65" t="str">
        <f>IF($D225="","",$D225&amp;"|"&amp;COUNTIFS($D$7:$D225,$D225))</f>
        <v/>
      </c>
      <c r="M225" s="65" t="str">
        <f>IF(AND($E225&lt;&gt;"",COUNTIF($G225,"KÂR PAYI / AVANS*")&gt;0),$E225&amp;"|"&amp;COUNTIFS($E$7:$E225,$E225,$G$7:$G225,"KÂR PAYI / AVANS*"),"")</f>
        <v/>
      </c>
    </row>
    <row r="226" spans="1:13" ht="18" customHeight="1" x14ac:dyDescent="0.3">
      <c r="A226" s="2"/>
      <c r="B226" s="65" t="str">
        <f t="shared" si="6"/>
        <v/>
      </c>
      <c r="C226" s="66"/>
      <c r="D226" s="60"/>
      <c r="E226" s="60"/>
      <c r="F226" s="67"/>
      <c r="G226" s="61"/>
      <c r="H226" s="61"/>
      <c r="I226" s="61"/>
      <c r="J226" s="65" t="str">
        <f t="shared" si="7"/>
        <v/>
      </c>
      <c r="K226" s="65" t="str">
        <f>IF($E226="","",$E226&amp;"|"&amp;COUNTIFS($E$7:$E226,$E226))</f>
        <v/>
      </c>
      <c r="L226" s="65" t="str">
        <f>IF($D226="","",$D226&amp;"|"&amp;COUNTIFS($D$7:$D226,$D226))</f>
        <v/>
      </c>
      <c r="M226" s="65" t="str">
        <f>IF(AND($E226&lt;&gt;"",COUNTIF($G226,"KÂR PAYI / AVANS*")&gt;0),$E226&amp;"|"&amp;COUNTIFS($E$7:$E226,$E226,$G$7:$G226,"KÂR PAYI / AVANS*"),"")</f>
        <v/>
      </c>
    </row>
    <row r="227" spans="1:13" ht="18" customHeight="1" x14ac:dyDescent="0.3">
      <c r="A227" s="2"/>
      <c r="B227" s="65" t="str">
        <f t="shared" si="6"/>
        <v/>
      </c>
      <c r="C227" s="66"/>
      <c r="D227" s="60"/>
      <c r="E227" s="60"/>
      <c r="F227" s="67"/>
      <c r="G227" s="61"/>
      <c r="H227" s="61"/>
      <c r="I227" s="61"/>
      <c r="J227" s="65" t="str">
        <f t="shared" si="7"/>
        <v/>
      </c>
      <c r="K227" s="65" t="str">
        <f>IF($E227="","",$E227&amp;"|"&amp;COUNTIFS($E$7:$E227,$E227))</f>
        <v/>
      </c>
      <c r="L227" s="65" t="str">
        <f>IF($D227="","",$D227&amp;"|"&amp;COUNTIFS($D$7:$D227,$D227))</f>
        <v/>
      </c>
      <c r="M227" s="65" t="str">
        <f>IF(AND($E227&lt;&gt;"",COUNTIF($G227,"KÂR PAYI / AVANS*")&gt;0),$E227&amp;"|"&amp;COUNTIFS($E$7:$E227,$E227,$G$7:$G227,"KÂR PAYI / AVANS*"),"")</f>
        <v/>
      </c>
    </row>
    <row r="228" spans="1:13" ht="18" customHeight="1" x14ac:dyDescent="0.3">
      <c r="A228" s="2"/>
      <c r="B228" s="65" t="str">
        <f t="shared" si="6"/>
        <v/>
      </c>
      <c r="C228" s="66"/>
      <c r="D228" s="60"/>
      <c r="E228" s="60"/>
      <c r="F228" s="67"/>
      <c r="G228" s="61"/>
      <c r="H228" s="61"/>
      <c r="I228" s="61"/>
      <c r="J228" s="65" t="str">
        <f t="shared" si="7"/>
        <v/>
      </c>
      <c r="K228" s="65" t="str">
        <f>IF($E228="","",$E228&amp;"|"&amp;COUNTIFS($E$7:$E228,$E228))</f>
        <v/>
      </c>
      <c r="L228" s="65" t="str">
        <f>IF($D228="","",$D228&amp;"|"&amp;COUNTIFS($D$7:$D228,$D228))</f>
        <v/>
      </c>
      <c r="M228" s="65" t="str">
        <f>IF(AND($E228&lt;&gt;"",COUNTIF($G228,"KÂR PAYI / AVANS*")&gt;0),$E228&amp;"|"&amp;COUNTIFS($E$7:$E228,$E228,$G$7:$G228,"KÂR PAYI / AVANS*"),"")</f>
        <v/>
      </c>
    </row>
    <row r="229" spans="1:13" ht="18" customHeight="1" x14ac:dyDescent="0.3">
      <c r="A229" s="2"/>
      <c r="B229" s="65" t="str">
        <f t="shared" si="6"/>
        <v/>
      </c>
      <c r="C229" s="66"/>
      <c r="D229" s="60"/>
      <c r="E229" s="60"/>
      <c r="F229" s="67"/>
      <c r="G229" s="61"/>
      <c r="H229" s="61"/>
      <c r="I229" s="61"/>
      <c r="J229" s="65" t="str">
        <f t="shared" si="7"/>
        <v/>
      </c>
      <c r="K229" s="65" t="str">
        <f>IF($E229="","",$E229&amp;"|"&amp;COUNTIFS($E$7:$E229,$E229))</f>
        <v/>
      </c>
      <c r="L229" s="65" t="str">
        <f>IF($D229="","",$D229&amp;"|"&amp;COUNTIFS($D$7:$D229,$D229))</f>
        <v/>
      </c>
      <c r="M229" s="65" t="str">
        <f>IF(AND($E229&lt;&gt;"",COUNTIF($G229,"KÂR PAYI / AVANS*")&gt;0),$E229&amp;"|"&amp;COUNTIFS($E$7:$E229,$E229,$G$7:$G229,"KÂR PAYI / AVANS*"),"")</f>
        <v/>
      </c>
    </row>
    <row r="230" spans="1:13" ht="18" customHeight="1" x14ac:dyDescent="0.3">
      <c r="A230" s="2"/>
      <c r="B230" s="65" t="str">
        <f t="shared" si="6"/>
        <v/>
      </c>
      <c r="C230" s="66"/>
      <c r="D230" s="60"/>
      <c r="E230" s="60"/>
      <c r="F230" s="67"/>
      <c r="G230" s="61"/>
      <c r="H230" s="61"/>
      <c r="I230" s="61"/>
      <c r="J230" s="65" t="str">
        <f t="shared" si="7"/>
        <v/>
      </c>
      <c r="K230" s="65" t="str">
        <f>IF($E230="","",$E230&amp;"|"&amp;COUNTIFS($E$7:$E230,$E230))</f>
        <v/>
      </c>
      <c r="L230" s="65" t="str">
        <f>IF($D230="","",$D230&amp;"|"&amp;COUNTIFS($D$7:$D230,$D230))</f>
        <v/>
      </c>
      <c r="M230" s="65" t="str">
        <f>IF(AND($E230&lt;&gt;"",COUNTIF($G230,"KÂR PAYI / AVANS*")&gt;0),$E230&amp;"|"&amp;COUNTIFS($E$7:$E230,$E230,$G$7:$G230,"KÂR PAYI / AVANS*"),"")</f>
        <v/>
      </c>
    </row>
    <row r="231" spans="1:13" ht="18" customHeight="1" x14ac:dyDescent="0.3">
      <c r="A231" s="2"/>
      <c r="B231" s="65" t="str">
        <f t="shared" si="6"/>
        <v/>
      </c>
      <c r="C231" s="66"/>
      <c r="D231" s="60"/>
      <c r="E231" s="60"/>
      <c r="F231" s="67"/>
      <c r="G231" s="61"/>
      <c r="H231" s="61"/>
      <c r="I231" s="61"/>
      <c r="J231" s="65" t="str">
        <f t="shared" si="7"/>
        <v/>
      </c>
      <c r="K231" s="65" t="str">
        <f>IF($E231="","",$E231&amp;"|"&amp;COUNTIFS($E$7:$E231,$E231))</f>
        <v/>
      </c>
      <c r="L231" s="65" t="str">
        <f>IF($D231="","",$D231&amp;"|"&amp;COUNTIFS($D$7:$D231,$D231))</f>
        <v/>
      </c>
      <c r="M231" s="65" t="str">
        <f>IF(AND($E231&lt;&gt;"",COUNTIF($G231,"KÂR PAYI / AVANS*")&gt;0),$E231&amp;"|"&amp;COUNTIFS($E$7:$E231,$E231,$G$7:$G231,"KÂR PAYI / AVANS*"),"")</f>
        <v/>
      </c>
    </row>
    <row r="232" spans="1:13" ht="18" customHeight="1" x14ac:dyDescent="0.3">
      <c r="A232" s="2"/>
      <c r="B232" s="65" t="str">
        <f t="shared" si="6"/>
        <v/>
      </c>
      <c r="C232" s="66"/>
      <c r="D232" s="60"/>
      <c r="E232" s="60"/>
      <c r="F232" s="67"/>
      <c r="G232" s="61"/>
      <c r="H232" s="61"/>
      <c r="I232" s="61"/>
      <c r="J232" s="65" t="str">
        <f t="shared" si="7"/>
        <v/>
      </c>
      <c r="K232" s="65" t="str">
        <f>IF($E232="","",$E232&amp;"|"&amp;COUNTIFS($E$7:$E232,$E232))</f>
        <v/>
      </c>
      <c r="L232" s="65" t="str">
        <f>IF($D232="","",$D232&amp;"|"&amp;COUNTIFS($D$7:$D232,$D232))</f>
        <v/>
      </c>
      <c r="M232" s="65" t="str">
        <f>IF(AND($E232&lt;&gt;"",COUNTIF($G232,"KÂR PAYI / AVANS*")&gt;0),$E232&amp;"|"&amp;COUNTIFS($E$7:$E232,$E232,$G$7:$G232,"KÂR PAYI / AVANS*"),"")</f>
        <v/>
      </c>
    </row>
    <row r="233" spans="1:13" ht="18" customHeight="1" x14ac:dyDescent="0.3">
      <c r="A233" s="2"/>
      <c r="B233" s="65" t="str">
        <f t="shared" si="6"/>
        <v/>
      </c>
      <c r="C233" s="66"/>
      <c r="D233" s="60"/>
      <c r="E233" s="60"/>
      <c r="F233" s="67"/>
      <c r="G233" s="61"/>
      <c r="H233" s="61"/>
      <c r="I233" s="61"/>
      <c r="J233" s="65" t="str">
        <f t="shared" si="7"/>
        <v/>
      </c>
      <c r="K233" s="65" t="str">
        <f>IF($E233="","",$E233&amp;"|"&amp;COUNTIFS($E$7:$E233,$E233))</f>
        <v/>
      </c>
      <c r="L233" s="65" t="str">
        <f>IF($D233="","",$D233&amp;"|"&amp;COUNTIFS($D$7:$D233,$D233))</f>
        <v/>
      </c>
      <c r="M233" s="65" t="str">
        <f>IF(AND($E233&lt;&gt;"",COUNTIF($G233,"KÂR PAYI / AVANS*")&gt;0),$E233&amp;"|"&amp;COUNTIFS($E$7:$E233,$E233,$G$7:$G233,"KÂR PAYI / AVANS*"),"")</f>
        <v/>
      </c>
    </row>
    <row r="234" spans="1:13" ht="18" customHeight="1" x14ac:dyDescent="0.3">
      <c r="A234" s="2"/>
      <c r="B234" s="65" t="str">
        <f t="shared" si="6"/>
        <v/>
      </c>
      <c r="C234" s="66"/>
      <c r="D234" s="60"/>
      <c r="E234" s="60"/>
      <c r="F234" s="67"/>
      <c r="G234" s="61"/>
      <c r="H234" s="61"/>
      <c r="I234" s="61"/>
      <c r="J234" s="65" t="str">
        <f t="shared" si="7"/>
        <v/>
      </c>
      <c r="K234" s="65" t="str">
        <f>IF($E234="","",$E234&amp;"|"&amp;COUNTIFS($E$7:$E234,$E234))</f>
        <v/>
      </c>
      <c r="L234" s="65" t="str">
        <f>IF($D234="","",$D234&amp;"|"&amp;COUNTIFS($D$7:$D234,$D234))</f>
        <v/>
      </c>
      <c r="M234" s="65" t="str">
        <f>IF(AND($E234&lt;&gt;"",COUNTIF($G234,"KÂR PAYI / AVANS*")&gt;0),$E234&amp;"|"&amp;COUNTIFS($E$7:$E234,$E234,$G$7:$G234,"KÂR PAYI / AVANS*"),"")</f>
        <v/>
      </c>
    </row>
    <row r="235" spans="1:13" ht="18" customHeight="1" x14ac:dyDescent="0.3">
      <c r="A235" s="2"/>
      <c r="B235" s="65" t="str">
        <f t="shared" si="6"/>
        <v/>
      </c>
      <c r="C235" s="66"/>
      <c r="D235" s="60"/>
      <c r="E235" s="60"/>
      <c r="F235" s="67"/>
      <c r="G235" s="61"/>
      <c r="H235" s="61"/>
      <c r="I235" s="61"/>
      <c r="J235" s="65" t="str">
        <f t="shared" si="7"/>
        <v/>
      </c>
      <c r="K235" s="65" t="str">
        <f>IF($E235="","",$E235&amp;"|"&amp;COUNTIFS($E$7:$E235,$E235))</f>
        <v/>
      </c>
      <c r="L235" s="65" t="str">
        <f>IF($D235="","",$D235&amp;"|"&amp;COUNTIFS($D$7:$D235,$D235))</f>
        <v/>
      </c>
      <c r="M235" s="65" t="str">
        <f>IF(AND($E235&lt;&gt;"",COUNTIF($G235,"KÂR PAYI / AVANS*")&gt;0),$E235&amp;"|"&amp;COUNTIFS($E$7:$E235,$E235,$G$7:$G235,"KÂR PAYI / AVANS*"),"")</f>
        <v/>
      </c>
    </row>
    <row r="236" spans="1:13" ht="18" customHeight="1" x14ac:dyDescent="0.3">
      <c r="A236" s="2"/>
      <c r="B236" s="65" t="str">
        <f t="shared" si="6"/>
        <v/>
      </c>
      <c r="C236" s="66"/>
      <c r="D236" s="60"/>
      <c r="E236" s="60"/>
      <c r="F236" s="67"/>
      <c r="G236" s="61"/>
      <c r="H236" s="61"/>
      <c r="I236" s="61"/>
      <c r="J236" s="65" t="str">
        <f t="shared" si="7"/>
        <v/>
      </c>
      <c r="K236" s="65" t="str">
        <f>IF($E236="","",$E236&amp;"|"&amp;COUNTIFS($E$7:$E236,$E236))</f>
        <v/>
      </c>
      <c r="L236" s="65" t="str">
        <f>IF($D236="","",$D236&amp;"|"&amp;COUNTIFS($D$7:$D236,$D236))</f>
        <v/>
      </c>
      <c r="M236" s="65" t="str">
        <f>IF(AND($E236&lt;&gt;"",COUNTIF($G236,"KÂR PAYI / AVANS*")&gt;0),$E236&amp;"|"&amp;COUNTIFS($E$7:$E236,$E236,$G$7:$G236,"KÂR PAYI / AVANS*"),"")</f>
        <v/>
      </c>
    </row>
    <row r="237" spans="1:13" ht="18" customHeight="1" x14ac:dyDescent="0.3">
      <c r="A237" s="2"/>
      <c r="B237" s="65" t="str">
        <f t="shared" si="6"/>
        <v/>
      </c>
      <c r="C237" s="66"/>
      <c r="D237" s="60"/>
      <c r="E237" s="60"/>
      <c r="F237" s="67"/>
      <c r="G237" s="61"/>
      <c r="H237" s="61"/>
      <c r="I237" s="61"/>
      <c r="J237" s="65" t="str">
        <f t="shared" si="7"/>
        <v/>
      </c>
      <c r="K237" s="65" t="str">
        <f>IF($E237="","",$E237&amp;"|"&amp;COUNTIFS($E$7:$E237,$E237))</f>
        <v/>
      </c>
      <c r="L237" s="65" t="str">
        <f>IF($D237="","",$D237&amp;"|"&amp;COUNTIFS($D$7:$D237,$D237))</f>
        <v/>
      </c>
      <c r="M237" s="65" t="str">
        <f>IF(AND($E237&lt;&gt;"",COUNTIF($G237,"KÂR PAYI / AVANS*")&gt;0),$E237&amp;"|"&amp;COUNTIFS($E$7:$E237,$E237,$G$7:$G237,"KÂR PAYI / AVANS*"),"")</f>
        <v/>
      </c>
    </row>
    <row r="238" spans="1:13" ht="18" customHeight="1" x14ac:dyDescent="0.3">
      <c r="A238" s="2"/>
      <c r="B238" s="65" t="str">
        <f t="shared" si="6"/>
        <v/>
      </c>
      <c r="C238" s="66"/>
      <c r="D238" s="60"/>
      <c r="E238" s="60"/>
      <c r="F238" s="67"/>
      <c r="G238" s="61"/>
      <c r="H238" s="61"/>
      <c r="I238" s="61"/>
      <c r="J238" s="65" t="str">
        <f t="shared" si="7"/>
        <v/>
      </c>
      <c r="K238" s="65" t="str">
        <f>IF($E238="","",$E238&amp;"|"&amp;COUNTIFS($E$7:$E238,$E238))</f>
        <v/>
      </c>
      <c r="L238" s="65" t="str">
        <f>IF($D238="","",$D238&amp;"|"&amp;COUNTIFS($D$7:$D238,$D238))</f>
        <v/>
      </c>
      <c r="M238" s="65" t="str">
        <f>IF(AND($E238&lt;&gt;"",COUNTIF($G238,"KÂR PAYI / AVANS*")&gt;0),$E238&amp;"|"&amp;COUNTIFS($E$7:$E238,$E238,$G$7:$G238,"KÂR PAYI / AVANS*"),"")</f>
        <v/>
      </c>
    </row>
    <row r="239" spans="1:13" ht="18" customHeight="1" x14ac:dyDescent="0.3">
      <c r="A239" s="2"/>
      <c r="B239" s="65" t="str">
        <f t="shared" si="6"/>
        <v/>
      </c>
      <c r="C239" s="66"/>
      <c r="D239" s="60"/>
      <c r="E239" s="60"/>
      <c r="F239" s="67"/>
      <c r="G239" s="61"/>
      <c r="H239" s="61"/>
      <c r="I239" s="61"/>
      <c r="J239" s="65" t="str">
        <f t="shared" si="7"/>
        <v/>
      </c>
      <c r="K239" s="65" t="str">
        <f>IF($E239="","",$E239&amp;"|"&amp;COUNTIFS($E$7:$E239,$E239))</f>
        <v/>
      </c>
      <c r="L239" s="65" t="str">
        <f>IF($D239="","",$D239&amp;"|"&amp;COUNTIFS($D$7:$D239,$D239))</f>
        <v/>
      </c>
      <c r="M239" s="65" t="str">
        <f>IF(AND($E239&lt;&gt;"",COUNTIF($G239,"KÂR PAYI / AVANS*")&gt;0),$E239&amp;"|"&amp;COUNTIFS($E$7:$E239,$E239,$G$7:$G239,"KÂR PAYI / AVANS*"),"")</f>
        <v/>
      </c>
    </row>
    <row r="240" spans="1:13" ht="18" customHeight="1" x14ac:dyDescent="0.3">
      <c r="A240" s="2"/>
      <c r="B240" s="65" t="str">
        <f t="shared" si="6"/>
        <v/>
      </c>
      <c r="C240" s="66"/>
      <c r="D240" s="60"/>
      <c r="E240" s="60"/>
      <c r="F240" s="67"/>
      <c r="G240" s="61"/>
      <c r="H240" s="61"/>
      <c r="I240" s="61"/>
      <c r="J240" s="65" t="str">
        <f t="shared" si="7"/>
        <v/>
      </c>
      <c r="K240" s="65" t="str">
        <f>IF($E240="","",$E240&amp;"|"&amp;COUNTIFS($E$7:$E240,$E240))</f>
        <v/>
      </c>
      <c r="L240" s="65" t="str">
        <f>IF($D240="","",$D240&amp;"|"&amp;COUNTIFS($D$7:$D240,$D240))</f>
        <v/>
      </c>
      <c r="M240" s="65" t="str">
        <f>IF(AND($E240&lt;&gt;"",COUNTIF($G240,"KÂR PAYI / AVANS*")&gt;0),$E240&amp;"|"&amp;COUNTIFS($E$7:$E240,$E240,$G$7:$G240,"KÂR PAYI / AVANS*"),"")</f>
        <v/>
      </c>
    </row>
    <row r="241" spans="1:13" ht="18" customHeight="1" x14ac:dyDescent="0.3">
      <c r="A241" s="2"/>
      <c r="B241" s="65" t="str">
        <f t="shared" si="6"/>
        <v/>
      </c>
      <c r="C241" s="66"/>
      <c r="D241" s="60"/>
      <c r="E241" s="60"/>
      <c r="F241" s="67"/>
      <c r="G241" s="61"/>
      <c r="H241" s="61"/>
      <c r="I241" s="61"/>
      <c r="J241" s="65" t="str">
        <f t="shared" si="7"/>
        <v/>
      </c>
      <c r="K241" s="65" t="str">
        <f>IF($E241="","",$E241&amp;"|"&amp;COUNTIFS($E$7:$E241,$E241))</f>
        <v/>
      </c>
      <c r="L241" s="65" t="str">
        <f>IF($D241="","",$D241&amp;"|"&amp;COUNTIFS($D$7:$D241,$D241))</f>
        <v/>
      </c>
      <c r="M241" s="65" t="str">
        <f>IF(AND($E241&lt;&gt;"",COUNTIF($G241,"KÂR PAYI / AVANS*")&gt;0),$E241&amp;"|"&amp;COUNTIFS($E$7:$E241,$E241,$G$7:$G241,"KÂR PAYI / AVANS*"),"")</f>
        <v/>
      </c>
    </row>
    <row r="242" spans="1:13" ht="18" customHeight="1" x14ac:dyDescent="0.3">
      <c r="A242" s="2"/>
      <c r="B242" s="65" t="str">
        <f t="shared" si="6"/>
        <v/>
      </c>
      <c r="C242" s="66"/>
      <c r="D242" s="60"/>
      <c r="E242" s="60"/>
      <c r="F242" s="67"/>
      <c r="G242" s="61"/>
      <c r="H242" s="61"/>
      <c r="I242" s="61"/>
      <c r="J242" s="65" t="str">
        <f t="shared" si="7"/>
        <v/>
      </c>
      <c r="K242" s="65" t="str">
        <f>IF($E242="","",$E242&amp;"|"&amp;COUNTIFS($E$7:$E242,$E242))</f>
        <v/>
      </c>
      <c r="L242" s="65" t="str">
        <f>IF($D242="","",$D242&amp;"|"&amp;COUNTIFS($D$7:$D242,$D242))</f>
        <v/>
      </c>
      <c r="M242" s="65" t="str">
        <f>IF(AND($E242&lt;&gt;"",COUNTIF($G242,"KÂR PAYI / AVANS*")&gt;0),$E242&amp;"|"&amp;COUNTIFS($E$7:$E242,$E242,$G$7:$G242,"KÂR PAYI / AVANS*"),"")</f>
        <v/>
      </c>
    </row>
    <row r="243" spans="1:13" ht="18" customHeight="1" x14ac:dyDescent="0.3">
      <c r="A243" s="2"/>
      <c r="B243" s="65" t="str">
        <f t="shared" si="6"/>
        <v/>
      </c>
      <c r="C243" s="66"/>
      <c r="D243" s="60"/>
      <c r="E243" s="60"/>
      <c r="F243" s="67"/>
      <c r="G243" s="61"/>
      <c r="H243" s="61"/>
      <c r="I243" s="61"/>
      <c r="J243" s="65" t="str">
        <f t="shared" si="7"/>
        <v/>
      </c>
      <c r="K243" s="65" t="str">
        <f>IF($E243="","",$E243&amp;"|"&amp;COUNTIFS($E$7:$E243,$E243))</f>
        <v/>
      </c>
      <c r="L243" s="65" t="str">
        <f>IF($D243="","",$D243&amp;"|"&amp;COUNTIFS($D$7:$D243,$D243))</f>
        <v/>
      </c>
      <c r="M243" s="65" t="str">
        <f>IF(AND($E243&lt;&gt;"",COUNTIF($G243,"KÂR PAYI / AVANS*")&gt;0),$E243&amp;"|"&amp;COUNTIFS($E$7:$E243,$E243,$G$7:$G243,"KÂR PAYI / AVANS*"),"")</f>
        <v/>
      </c>
    </row>
    <row r="244" spans="1:13" ht="18" customHeight="1" x14ac:dyDescent="0.3">
      <c r="A244" s="2"/>
      <c r="B244" s="65" t="str">
        <f t="shared" si="6"/>
        <v/>
      </c>
      <c r="C244" s="66"/>
      <c r="D244" s="60"/>
      <c r="E244" s="60"/>
      <c r="F244" s="67"/>
      <c r="G244" s="61"/>
      <c r="H244" s="61"/>
      <c r="I244" s="61"/>
      <c r="J244" s="65" t="str">
        <f t="shared" si="7"/>
        <v/>
      </c>
      <c r="K244" s="65" t="str">
        <f>IF($E244="","",$E244&amp;"|"&amp;COUNTIFS($E$7:$E244,$E244))</f>
        <v/>
      </c>
      <c r="L244" s="65" t="str">
        <f>IF($D244="","",$D244&amp;"|"&amp;COUNTIFS($D$7:$D244,$D244))</f>
        <v/>
      </c>
      <c r="M244" s="65" t="str">
        <f>IF(AND($E244&lt;&gt;"",COUNTIF($G244,"KÂR PAYI / AVANS*")&gt;0),$E244&amp;"|"&amp;COUNTIFS($E$7:$E244,$E244,$G$7:$G244,"KÂR PAYI / AVANS*"),"")</f>
        <v/>
      </c>
    </row>
    <row r="245" spans="1:13" ht="18" customHeight="1" x14ac:dyDescent="0.3">
      <c r="A245" s="2"/>
      <c r="B245" s="65" t="str">
        <f t="shared" si="6"/>
        <v/>
      </c>
      <c r="C245" s="66"/>
      <c r="D245" s="60"/>
      <c r="E245" s="60"/>
      <c r="F245" s="67"/>
      <c r="G245" s="61"/>
      <c r="H245" s="61"/>
      <c r="I245" s="61"/>
      <c r="J245" s="65" t="str">
        <f t="shared" si="7"/>
        <v/>
      </c>
      <c r="K245" s="65" t="str">
        <f>IF($E245="","",$E245&amp;"|"&amp;COUNTIFS($E$7:$E245,$E245))</f>
        <v/>
      </c>
      <c r="L245" s="65" t="str">
        <f>IF($D245="","",$D245&amp;"|"&amp;COUNTIFS($D$7:$D245,$D245))</f>
        <v/>
      </c>
      <c r="M245" s="65" t="str">
        <f>IF(AND($E245&lt;&gt;"",COUNTIF($G245,"KÂR PAYI / AVANS*")&gt;0),$E245&amp;"|"&amp;COUNTIFS($E$7:$E245,$E245,$G$7:$G245,"KÂR PAYI / AVANS*"),"")</f>
        <v/>
      </c>
    </row>
    <row r="246" spans="1:13" ht="18" customHeight="1" x14ac:dyDescent="0.3">
      <c r="A246" s="2"/>
      <c r="B246" s="65" t="str">
        <f t="shared" si="6"/>
        <v/>
      </c>
      <c r="C246" s="66"/>
      <c r="D246" s="60"/>
      <c r="E246" s="60"/>
      <c r="F246" s="67"/>
      <c r="G246" s="61"/>
      <c r="H246" s="61"/>
      <c r="I246" s="61"/>
      <c r="J246" s="65" t="str">
        <f t="shared" si="7"/>
        <v/>
      </c>
      <c r="K246" s="65" t="str">
        <f>IF($E246="","",$E246&amp;"|"&amp;COUNTIFS($E$7:$E246,$E246))</f>
        <v/>
      </c>
      <c r="L246" s="65" t="str">
        <f>IF($D246="","",$D246&amp;"|"&amp;COUNTIFS($D$7:$D246,$D246))</f>
        <v/>
      </c>
      <c r="M246" s="65" t="str">
        <f>IF(AND($E246&lt;&gt;"",COUNTIF($G246,"KÂR PAYI / AVANS*")&gt;0),$E246&amp;"|"&amp;COUNTIFS($E$7:$E246,$E246,$G$7:$G246,"KÂR PAYI / AVANS*"),"")</f>
        <v/>
      </c>
    </row>
    <row r="247" spans="1:13" ht="18" customHeight="1" x14ac:dyDescent="0.3">
      <c r="A247" s="2"/>
      <c r="B247" s="65" t="str">
        <f t="shared" si="6"/>
        <v/>
      </c>
      <c r="C247" s="66"/>
      <c r="D247" s="60"/>
      <c r="E247" s="60"/>
      <c r="F247" s="67"/>
      <c r="G247" s="61"/>
      <c r="H247" s="61"/>
      <c r="I247" s="61"/>
      <c r="J247" s="65" t="str">
        <f t="shared" si="7"/>
        <v/>
      </c>
      <c r="K247" s="65" t="str">
        <f>IF($E247="","",$E247&amp;"|"&amp;COUNTIFS($E$7:$E247,$E247))</f>
        <v/>
      </c>
      <c r="L247" s="65" t="str">
        <f>IF($D247="","",$D247&amp;"|"&amp;COUNTIFS($D$7:$D247,$D247))</f>
        <v/>
      </c>
      <c r="M247" s="65" t="str">
        <f>IF(AND($E247&lt;&gt;"",COUNTIF($G247,"KÂR PAYI / AVANS*")&gt;0),$E247&amp;"|"&amp;COUNTIFS($E$7:$E247,$E247,$G$7:$G247,"KÂR PAYI / AVANS*"),"")</f>
        <v/>
      </c>
    </row>
    <row r="248" spans="1:13" ht="18" customHeight="1" x14ac:dyDescent="0.3">
      <c r="A248" s="2"/>
      <c r="B248" s="65" t="str">
        <f t="shared" si="6"/>
        <v/>
      </c>
      <c r="C248" s="66"/>
      <c r="D248" s="60"/>
      <c r="E248" s="60"/>
      <c r="F248" s="67"/>
      <c r="G248" s="61"/>
      <c r="H248" s="61"/>
      <c r="I248" s="61"/>
      <c r="J248" s="65" t="str">
        <f t="shared" si="7"/>
        <v/>
      </c>
      <c r="K248" s="65" t="str">
        <f>IF($E248="","",$E248&amp;"|"&amp;COUNTIFS($E$7:$E248,$E248))</f>
        <v/>
      </c>
      <c r="L248" s="65" t="str">
        <f>IF($D248="","",$D248&amp;"|"&amp;COUNTIFS($D$7:$D248,$D248))</f>
        <v/>
      </c>
      <c r="M248" s="65" t="str">
        <f>IF(AND($E248&lt;&gt;"",COUNTIF($G248,"KÂR PAYI / AVANS*")&gt;0),$E248&amp;"|"&amp;COUNTIFS($E$7:$E248,$E248,$G$7:$G248,"KÂR PAYI / AVANS*"),"")</f>
        <v/>
      </c>
    </row>
    <row r="249" spans="1:13" ht="18" customHeight="1" x14ac:dyDescent="0.3">
      <c r="A249" s="2"/>
      <c r="B249" s="65" t="str">
        <f t="shared" si="6"/>
        <v/>
      </c>
      <c r="C249" s="66"/>
      <c r="D249" s="60"/>
      <c r="E249" s="60"/>
      <c r="F249" s="67"/>
      <c r="G249" s="61"/>
      <c r="H249" s="61"/>
      <c r="I249" s="61"/>
      <c r="J249" s="65" t="str">
        <f t="shared" si="7"/>
        <v/>
      </c>
      <c r="K249" s="65" t="str">
        <f>IF($E249="","",$E249&amp;"|"&amp;COUNTIFS($E$7:$E249,$E249))</f>
        <v/>
      </c>
      <c r="L249" s="65" t="str">
        <f>IF($D249="","",$D249&amp;"|"&amp;COUNTIFS($D$7:$D249,$D249))</f>
        <v/>
      </c>
      <c r="M249" s="65" t="str">
        <f>IF(AND($E249&lt;&gt;"",COUNTIF($G249,"KÂR PAYI / AVANS*")&gt;0),$E249&amp;"|"&amp;COUNTIFS($E$7:$E249,$E249,$G$7:$G249,"KÂR PAYI / AVANS*"),"")</f>
        <v/>
      </c>
    </row>
    <row r="250" spans="1:13" ht="18" customHeight="1" x14ac:dyDescent="0.3">
      <c r="A250" s="2"/>
      <c r="B250" s="65" t="str">
        <f t="shared" si="6"/>
        <v/>
      </c>
      <c r="C250" s="66"/>
      <c r="D250" s="60"/>
      <c r="E250" s="60"/>
      <c r="F250" s="67"/>
      <c r="G250" s="61"/>
      <c r="H250" s="61"/>
      <c r="I250" s="61"/>
      <c r="J250" s="65" t="str">
        <f t="shared" si="7"/>
        <v/>
      </c>
      <c r="K250" s="65" t="str">
        <f>IF($E250="","",$E250&amp;"|"&amp;COUNTIFS($E$7:$E250,$E250))</f>
        <v/>
      </c>
      <c r="L250" s="65" t="str">
        <f>IF($D250="","",$D250&amp;"|"&amp;COUNTIFS($D$7:$D250,$D250))</f>
        <v/>
      </c>
      <c r="M250" s="65" t="str">
        <f>IF(AND($E250&lt;&gt;"",COUNTIF($G250,"KÂR PAYI / AVANS*")&gt;0),$E250&amp;"|"&amp;COUNTIFS($E$7:$E250,$E250,$G$7:$G250,"KÂR PAYI / AVANS*"),"")</f>
        <v/>
      </c>
    </row>
    <row r="251" spans="1:13" ht="18" customHeight="1" x14ac:dyDescent="0.3">
      <c r="A251" s="2"/>
      <c r="B251" s="65" t="str">
        <f t="shared" si="6"/>
        <v/>
      </c>
      <c r="C251" s="66"/>
      <c r="D251" s="60"/>
      <c r="E251" s="60"/>
      <c r="F251" s="67"/>
      <c r="G251" s="61"/>
      <c r="H251" s="61"/>
      <c r="I251" s="61"/>
      <c r="J251" s="65" t="str">
        <f t="shared" si="7"/>
        <v/>
      </c>
      <c r="K251" s="65" t="str">
        <f>IF($E251="","",$E251&amp;"|"&amp;COUNTIFS($E$7:$E251,$E251))</f>
        <v/>
      </c>
      <c r="L251" s="65" t="str">
        <f>IF($D251="","",$D251&amp;"|"&amp;COUNTIFS($D$7:$D251,$D251))</f>
        <v/>
      </c>
      <c r="M251" s="65" t="str">
        <f>IF(AND($E251&lt;&gt;"",COUNTIF($G251,"KÂR PAYI / AVANS*")&gt;0),$E251&amp;"|"&amp;COUNTIFS($E$7:$E251,$E251,$G$7:$G251,"KÂR PAYI / AVANS*"),"")</f>
        <v/>
      </c>
    </row>
    <row r="252" spans="1:13" ht="18" customHeight="1" x14ac:dyDescent="0.3">
      <c r="A252" s="2"/>
      <c r="B252" s="65" t="str">
        <f t="shared" si="6"/>
        <v/>
      </c>
      <c r="C252" s="66"/>
      <c r="D252" s="60"/>
      <c r="E252" s="60"/>
      <c r="F252" s="67"/>
      <c r="G252" s="61"/>
      <c r="H252" s="61"/>
      <c r="I252" s="61"/>
      <c r="J252" s="65" t="str">
        <f t="shared" si="7"/>
        <v/>
      </c>
      <c r="K252" s="65" t="str">
        <f>IF($E252="","",$E252&amp;"|"&amp;COUNTIFS($E$7:$E252,$E252))</f>
        <v/>
      </c>
      <c r="L252" s="65" t="str">
        <f>IF($D252="","",$D252&amp;"|"&amp;COUNTIFS($D$7:$D252,$D252))</f>
        <v/>
      </c>
      <c r="M252" s="65" t="str">
        <f>IF(AND($E252&lt;&gt;"",COUNTIF($G252,"KÂR PAYI / AVANS*")&gt;0),$E252&amp;"|"&amp;COUNTIFS($E$7:$E252,$E252,$G$7:$G252,"KÂR PAYI / AVANS*"),"")</f>
        <v/>
      </c>
    </row>
    <row r="253" spans="1:13" ht="18" customHeight="1" x14ac:dyDescent="0.3">
      <c r="A253" s="2"/>
      <c r="B253" s="65" t="str">
        <f t="shared" si="6"/>
        <v/>
      </c>
      <c r="C253" s="66"/>
      <c r="D253" s="60"/>
      <c r="E253" s="60"/>
      <c r="F253" s="67"/>
      <c r="G253" s="61"/>
      <c r="H253" s="61"/>
      <c r="I253" s="61"/>
      <c r="J253" s="65" t="str">
        <f t="shared" si="7"/>
        <v/>
      </c>
      <c r="K253" s="65" t="str">
        <f>IF($E253="","",$E253&amp;"|"&amp;COUNTIFS($E$7:$E253,$E253))</f>
        <v/>
      </c>
      <c r="L253" s="65" t="str">
        <f>IF($D253="","",$D253&amp;"|"&amp;COUNTIFS($D$7:$D253,$D253))</f>
        <v/>
      </c>
      <c r="M253" s="65" t="str">
        <f>IF(AND($E253&lt;&gt;"",COUNTIF($G253,"KÂR PAYI / AVANS*")&gt;0),$E253&amp;"|"&amp;COUNTIFS($E$7:$E253,$E253,$G$7:$G253,"KÂR PAYI / AVANS*"),"")</f>
        <v/>
      </c>
    </row>
    <row r="254" spans="1:13" ht="18" customHeight="1" x14ac:dyDescent="0.3">
      <c r="A254" s="2"/>
      <c r="B254" s="65" t="str">
        <f t="shared" si="6"/>
        <v/>
      </c>
      <c r="C254" s="66"/>
      <c r="D254" s="60"/>
      <c r="E254" s="60"/>
      <c r="F254" s="67"/>
      <c r="G254" s="61"/>
      <c r="H254" s="61"/>
      <c r="I254" s="61"/>
      <c r="J254" s="65" t="str">
        <f t="shared" si="7"/>
        <v/>
      </c>
      <c r="K254" s="65" t="str">
        <f>IF($E254="","",$E254&amp;"|"&amp;COUNTIFS($E$7:$E254,$E254))</f>
        <v/>
      </c>
      <c r="L254" s="65" t="str">
        <f>IF($D254="","",$D254&amp;"|"&amp;COUNTIFS($D$7:$D254,$D254))</f>
        <v/>
      </c>
      <c r="M254" s="65" t="str">
        <f>IF(AND($E254&lt;&gt;"",COUNTIF($G254,"KÂR PAYI / AVANS*")&gt;0),$E254&amp;"|"&amp;COUNTIFS($E$7:$E254,$E254,$G$7:$G254,"KÂR PAYI / AVANS*"),"")</f>
        <v/>
      </c>
    </row>
    <row r="255" spans="1:13" ht="18" customHeight="1" x14ac:dyDescent="0.3">
      <c r="A255" s="2"/>
      <c r="B255" s="65" t="str">
        <f t="shared" si="6"/>
        <v/>
      </c>
      <c r="C255" s="66"/>
      <c r="D255" s="60"/>
      <c r="E255" s="60"/>
      <c r="F255" s="67"/>
      <c r="G255" s="61"/>
      <c r="H255" s="61"/>
      <c r="I255" s="61"/>
      <c r="J255" s="65" t="str">
        <f t="shared" si="7"/>
        <v/>
      </c>
      <c r="K255" s="65" t="str">
        <f>IF($E255="","",$E255&amp;"|"&amp;COUNTIFS($E$7:$E255,$E255))</f>
        <v/>
      </c>
      <c r="L255" s="65" t="str">
        <f>IF($D255="","",$D255&amp;"|"&amp;COUNTIFS($D$7:$D255,$D255))</f>
        <v/>
      </c>
      <c r="M255" s="65" t="str">
        <f>IF(AND($E255&lt;&gt;"",COUNTIF($G255,"KÂR PAYI / AVANS*")&gt;0),$E255&amp;"|"&amp;COUNTIFS($E$7:$E255,$E255,$G$7:$G255,"KÂR PAYI / AVANS*"),"")</f>
        <v/>
      </c>
    </row>
    <row r="256" spans="1:13" ht="18" customHeight="1" x14ac:dyDescent="0.3">
      <c r="A256" s="2"/>
      <c r="B256" s="65" t="str">
        <f t="shared" si="6"/>
        <v/>
      </c>
      <c r="C256" s="66"/>
      <c r="D256" s="60"/>
      <c r="E256" s="60"/>
      <c r="F256" s="67"/>
      <c r="G256" s="61"/>
      <c r="H256" s="61"/>
      <c r="I256" s="61"/>
      <c r="J256" s="65" t="str">
        <f t="shared" si="7"/>
        <v/>
      </c>
      <c r="K256" s="65" t="str">
        <f>IF($E256="","",$E256&amp;"|"&amp;COUNTIFS($E$7:$E256,$E256))</f>
        <v/>
      </c>
      <c r="L256" s="65" t="str">
        <f>IF($D256="","",$D256&amp;"|"&amp;COUNTIFS($D$7:$D256,$D256))</f>
        <v/>
      </c>
      <c r="M256" s="65" t="str">
        <f>IF(AND($E256&lt;&gt;"",COUNTIF($G256,"KÂR PAYI / AVANS*")&gt;0),$E256&amp;"|"&amp;COUNTIFS($E$7:$E256,$E256,$G$7:$G256,"KÂR PAYI / AVANS*"),"")</f>
        <v/>
      </c>
    </row>
    <row r="257" spans="1:13" ht="18" customHeight="1" x14ac:dyDescent="0.3">
      <c r="A257" s="2"/>
      <c r="B257" s="65" t="str">
        <f t="shared" si="6"/>
        <v/>
      </c>
      <c r="C257" s="66"/>
      <c r="D257" s="60"/>
      <c r="E257" s="60"/>
      <c r="F257" s="67"/>
      <c r="G257" s="61"/>
      <c r="H257" s="61"/>
      <c r="I257" s="61"/>
      <c r="J257" s="65" t="str">
        <f t="shared" si="7"/>
        <v/>
      </c>
      <c r="K257" s="65" t="str">
        <f>IF($E257="","",$E257&amp;"|"&amp;COUNTIFS($E$7:$E257,$E257))</f>
        <v/>
      </c>
      <c r="L257" s="65" t="str">
        <f>IF($D257="","",$D257&amp;"|"&amp;COUNTIFS($D$7:$D257,$D257))</f>
        <v/>
      </c>
      <c r="M257" s="65" t="str">
        <f>IF(AND($E257&lt;&gt;"",COUNTIF($G257,"KÂR PAYI / AVANS*")&gt;0),$E257&amp;"|"&amp;COUNTIFS($E$7:$E257,$E257,$G$7:$G257,"KÂR PAYI / AVANS*"),"")</f>
        <v/>
      </c>
    </row>
    <row r="258" spans="1:13" ht="18" customHeight="1" x14ac:dyDescent="0.3">
      <c r="A258" s="2"/>
      <c r="B258" s="65" t="str">
        <f t="shared" si="6"/>
        <v/>
      </c>
      <c r="C258" s="66"/>
      <c r="D258" s="60"/>
      <c r="E258" s="60"/>
      <c r="F258" s="67"/>
      <c r="G258" s="61"/>
      <c r="H258" s="61"/>
      <c r="I258" s="61"/>
      <c r="J258" s="65" t="str">
        <f t="shared" si="7"/>
        <v/>
      </c>
      <c r="K258" s="65" t="str">
        <f>IF($E258="","",$E258&amp;"|"&amp;COUNTIFS($E$7:$E258,$E258))</f>
        <v/>
      </c>
      <c r="L258" s="65" t="str">
        <f>IF($D258="","",$D258&amp;"|"&amp;COUNTIFS($D$7:$D258,$D258))</f>
        <v/>
      </c>
      <c r="M258" s="65" t="str">
        <f>IF(AND($E258&lt;&gt;"",COUNTIF($G258,"KÂR PAYI / AVANS*")&gt;0),$E258&amp;"|"&amp;COUNTIFS($E$7:$E258,$E258,$G$7:$G258,"KÂR PAYI / AVANS*"),"")</f>
        <v/>
      </c>
    </row>
    <row r="259" spans="1:13" ht="18" customHeight="1" x14ac:dyDescent="0.3">
      <c r="A259" s="2"/>
      <c r="B259" s="65" t="str">
        <f t="shared" si="6"/>
        <v/>
      </c>
      <c r="C259" s="66"/>
      <c r="D259" s="60"/>
      <c r="E259" s="60"/>
      <c r="F259" s="67"/>
      <c r="G259" s="61"/>
      <c r="H259" s="61"/>
      <c r="I259" s="61"/>
      <c r="J259" s="65" t="str">
        <f t="shared" si="7"/>
        <v/>
      </c>
      <c r="K259" s="65" t="str">
        <f>IF($E259="","",$E259&amp;"|"&amp;COUNTIFS($E$7:$E259,$E259))</f>
        <v/>
      </c>
      <c r="L259" s="65" t="str">
        <f>IF($D259="","",$D259&amp;"|"&amp;COUNTIFS($D$7:$D259,$D259))</f>
        <v/>
      </c>
      <c r="M259" s="65" t="str">
        <f>IF(AND($E259&lt;&gt;"",COUNTIF($G259,"KÂR PAYI / AVANS*")&gt;0),$E259&amp;"|"&amp;COUNTIFS($E$7:$E259,$E259,$G$7:$G259,"KÂR PAYI / AVANS*"),"")</f>
        <v/>
      </c>
    </row>
    <row r="260" spans="1:13" ht="18" customHeight="1" x14ac:dyDescent="0.3">
      <c r="A260" s="2"/>
      <c r="B260" s="65" t="str">
        <f t="shared" si="6"/>
        <v/>
      </c>
      <c r="C260" s="66"/>
      <c r="D260" s="60"/>
      <c r="E260" s="60"/>
      <c r="F260" s="67"/>
      <c r="G260" s="61"/>
      <c r="H260" s="61"/>
      <c r="I260" s="61"/>
      <c r="J260" s="65" t="str">
        <f t="shared" si="7"/>
        <v/>
      </c>
      <c r="K260" s="65" t="str">
        <f>IF($E260="","",$E260&amp;"|"&amp;COUNTIFS($E$7:$E260,$E260))</f>
        <v/>
      </c>
      <c r="L260" s="65" t="str">
        <f>IF($D260="","",$D260&amp;"|"&amp;COUNTIFS($D$7:$D260,$D260))</f>
        <v/>
      </c>
      <c r="M260" s="65" t="str">
        <f>IF(AND($E260&lt;&gt;"",COUNTIF($G260,"KÂR PAYI / AVANS*")&gt;0),$E260&amp;"|"&amp;COUNTIFS($E$7:$E260,$E260,$G$7:$G260,"KÂR PAYI / AVANS*"),"")</f>
        <v/>
      </c>
    </row>
    <row r="261" spans="1:13" ht="18" customHeight="1" x14ac:dyDescent="0.3">
      <c r="A261" s="2"/>
      <c r="B261" s="65" t="str">
        <f t="shared" si="6"/>
        <v/>
      </c>
      <c r="C261" s="66"/>
      <c r="D261" s="60"/>
      <c r="E261" s="60"/>
      <c r="F261" s="67"/>
      <c r="G261" s="61"/>
      <c r="H261" s="61"/>
      <c r="I261" s="61"/>
      <c r="J261" s="65" t="str">
        <f t="shared" si="7"/>
        <v/>
      </c>
      <c r="K261" s="65" t="str">
        <f>IF($E261="","",$E261&amp;"|"&amp;COUNTIFS($E$7:$E261,$E261))</f>
        <v/>
      </c>
      <c r="L261" s="65" t="str">
        <f>IF($D261="","",$D261&amp;"|"&amp;COUNTIFS($D$7:$D261,$D261))</f>
        <v/>
      </c>
      <c r="M261" s="65" t="str">
        <f>IF(AND($E261&lt;&gt;"",COUNTIF($G261,"KÂR PAYI / AVANS*")&gt;0),$E261&amp;"|"&amp;COUNTIFS($E$7:$E261,$E261,$G$7:$G261,"KÂR PAYI / AVANS*"),"")</f>
        <v/>
      </c>
    </row>
    <row r="262" spans="1:13" ht="18" customHeight="1" x14ac:dyDescent="0.3">
      <c r="A262" s="2"/>
      <c r="B262" s="65" t="str">
        <f t="shared" si="6"/>
        <v/>
      </c>
      <c r="C262" s="66"/>
      <c r="D262" s="60"/>
      <c r="E262" s="60"/>
      <c r="F262" s="67"/>
      <c r="G262" s="61"/>
      <c r="H262" s="61"/>
      <c r="I262" s="61"/>
      <c r="J262" s="65" t="str">
        <f t="shared" si="7"/>
        <v/>
      </c>
      <c r="K262" s="65" t="str">
        <f>IF($E262="","",$E262&amp;"|"&amp;COUNTIFS($E$7:$E262,$E262))</f>
        <v/>
      </c>
      <c r="L262" s="65" t="str">
        <f>IF($D262="","",$D262&amp;"|"&amp;COUNTIFS($D$7:$D262,$D262))</f>
        <v/>
      </c>
      <c r="M262" s="65" t="str">
        <f>IF(AND($E262&lt;&gt;"",COUNTIF($G262,"KÂR PAYI / AVANS*")&gt;0),$E262&amp;"|"&amp;COUNTIFS($E$7:$E262,$E262,$G$7:$G262,"KÂR PAYI / AVANS*"),"")</f>
        <v/>
      </c>
    </row>
    <row r="263" spans="1:13" ht="18" customHeight="1" x14ac:dyDescent="0.3">
      <c r="A263" s="2"/>
      <c r="B263" s="65" t="str">
        <f t="shared" ref="B263:B326" si="8">IF($C263="","","V"&amp;TEXT(ROW()-6,"00000"))</f>
        <v/>
      </c>
      <c r="C263" s="66"/>
      <c r="D263" s="60"/>
      <c r="E263" s="60"/>
      <c r="F263" s="67"/>
      <c r="G263" s="61"/>
      <c r="H263" s="61"/>
      <c r="I263" s="61"/>
      <c r="J263" s="65" t="str">
        <f t="shared" ref="J263:J326" si="9">IF($C263="","",IF(AND($D263&lt;&gt;"",$E263&lt;&gt;"",$D263&lt;&gt;$E263,$F263&gt;0),"UYGUN","HATA"))</f>
        <v/>
      </c>
      <c r="K263" s="65" t="str">
        <f>IF($E263="","",$E263&amp;"|"&amp;COUNTIFS($E$7:$E263,$E263))</f>
        <v/>
      </c>
      <c r="L263" s="65" t="str">
        <f>IF($D263="","",$D263&amp;"|"&amp;COUNTIFS($D$7:$D263,$D263))</f>
        <v/>
      </c>
      <c r="M263" s="65" t="str">
        <f>IF(AND($E263&lt;&gt;"",COUNTIF($G263,"KÂR PAYI / AVANS*")&gt;0),$E263&amp;"|"&amp;COUNTIFS($E$7:$E263,$E263,$G$7:$G263,"KÂR PAYI / AVANS*"),"")</f>
        <v/>
      </c>
    </row>
    <row r="264" spans="1:13" ht="18" customHeight="1" x14ac:dyDescent="0.3">
      <c r="A264" s="2"/>
      <c r="B264" s="65" t="str">
        <f t="shared" si="8"/>
        <v/>
      </c>
      <c r="C264" s="66"/>
      <c r="D264" s="60"/>
      <c r="E264" s="60"/>
      <c r="F264" s="67"/>
      <c r="G264" s="61"/>
      <c r="H264" s="61"/>
      <c r="I264" s="61"/>
      <c r="J264" s="65" t="str">
        <f t="shared" si="9"/>
        <v/>
      </c>
      <c r="K264" s="65" t="str">
        <f>IF($E264="","",$E264&amp;"|"&amp;COUNTIFS($E$7:$E264,$E264))</f>
        <v/>
      </c>
      <c r="L264" s="65" t="str">
        <f>IF($D264="","",$D264&amp;"|"&amp;COUNTIFS($D$7:$D264,$D264))</f>
        <v/>
      </c>
      <c r="M264" s="65" t="str">
        <f>IF(AND($E264&lt;&gt;"",COUNTIF($G264,"KÂR PAYI / AVANS*")&gt;0),$E264&amp;"|"&amp;COUNTIFS($E$7:$E264,$E264,$G$7:$G264,"KÂR PAYI / AVANS*"),"")</f>
        <v/>
      </c>
    </row>
    <row r="265" spans="1:13" ht="18" customHeight="1" x14ac:dyDescent="0.3">
      <c r="A265" s="2"/>
      <c r="B265" s="65" t="str">
        <f t="shared" si="8"/>
        <v/>
      </c>
      <c r="C265" s="66"/>
      <c r="D265" s="60"/>
      <c r="E265" s="60"/>
      <c r="F265" s="67"/>
      <c r="G265" s="61"/>
      <c r="H265" s="61"/>
      <c r="I265" s="61"/>
      <c r="J265" s="65" t="str">
        <f t="shared" si="9"/>
        <v/>
      </c>
      <c r="K265" s="65" t="str">
        <f>IF($E265="","",$E265&amp;"|"&amp;COUNTIFS($E$7:$E265,$E265))</f>
        <v/>
      </c>
      <c r="L265" s="65" t="str">
        <f>IF($D265="","",$D265&amp;"|"&amp;COUNTIFS($D$7:$D265,$D265))</f>
        <v/>
      </c>
      <c r="M265" s="65" t="str">
        <f>IF(AND($E265&lt;&gt;"",COUNTIF($G265,"KÂR PAYI / AVANS*")&gt;0),$E265&amp;"|"&amp;COUNTIFS($E$7:$E265,$E265,$G$7:$G265,"KÂR PAYI / AVANS*"),"")</f>
        <v/>
      </c>
    </row>
    <row r="266" spans="1:13" ht="18" customHeight="1" x14ac:dyDescent="0.3">
      <c r="A266" s="2"/>
      <c r="B266" s="65" t="str">
        <f t="shared" si="8"/>
        <v/>
      </c>
      <c r="C266" s="66"/>
      <c r="D266" s="60"/>
      <c r="E266" s="60"/>
      <c r="F266" s="67"/>
      <c r="G266" s="61"/>
      <c r="H266" s="61"/>
      <c r="I266" s="61"/>
      <c r="J266" s="65" t="str">
        <f t="shared" si="9"/>
        <v/>
      </c>
      <c r="K266" s="65" t="str">
        <f>IF($E266="","",$E266&amp;"|"&amp;COUNTIFS($E$7:$E266,$E266))</f>
        <v/>
      </c>
      <c r="L266" s="65" t="str">
        <f>IF($D266="","",$D266&amp;"|"&amp;COUNTIFS($D$7:$D266,$D266))</f>
        <v/>
      </c>
      <c r="M266" s="65" t="str">
        <f>IF(AND($E266&lt;&gt;"",COUNTIF($G266,"KÂR PAYI / AVANS*")&gt;0),$E266&amp;"|"&amp;COUNTIFS($E$7:$E266,$E266,$G$7:$G266,"KÂR PAYI / AVANS*"),"")</f>
        <v/>
      </c>
    </row>
    <row r="267" spans="1:13" ht="18" customHeight="1" x14ac:dyDescent="0.3">
      <c r="A267" s="2"/>
      <c r="B267" s="65" t="str">
        <f t="shared" si="8"/>
        <v/>
      </c>
      <c r="C267" s="66"/>
      <c r="D267" s="60"/>
      <c r="E267" s="60"/>
      <c r="F267" s="67"/>
      <c r="G267" s="61"/>
      <c r="H267" s="61"/>
      <c r="I267" s="61"/>
      <c r="J267" s="65" t="str">
        <f t="shared" si="9"/>
        <v/>
      </c>
      <c r="K267" s="65" t="str">
        <f>IF($E267="","",$E267&amp;"|"&amp;COUNTIFS($E$7:$E267,$E267))</f>
        <v/>
      </c>
      <c r="L267" s="65" t="str">
        <f>IF($D267="","",$D267&amp;"|"&amp;COUNTIFS($D$7:$D267,$D267))</f>
        <v/>
      </c>
      <c r="M267" s="65" t="str">
        <f>IF(AND($E267&lt;&gt;"",COUNTIF($G267,"KÂR PAYI / AVANS*")&gt;0),$E267&amp;"|"&amp;COUNTIFS($E$7:$E267,$E267,$G$7:$G267,"KÂR PAYI / AVANS*"),"")</f>
        <v/>
      </c>
    </row>
    <row r="268" spans="1:13" ht="18" customHeight="1" x14ac:dyDescent="0.3">
      <c r="A268" s="2"/>
      <c r="B268" s="65" t="str">
        <f t="shared" si="8"/>
        <v/>
      </c>
      <c r="C268" s="66"/>
      <c r="D268" s="60"/>
      <c r="E268" s="60"/>
      <c r="F268" s="67"/>
      <c r="G268" s="61"/>
      <c r="H268" s="61"/>
      <c r="I268" s="61"/>
      <c r="J268" s="65" t="str">
        <f t="shared" si="9"/>
        <v/>
      </c>
      <c r="K268" s="65" t="str">
        <f>IF($E268="","",$E268&amp;"|"&amp;COUNTIFS($E$7:$E268,$E268))</f>
        <v/>
      </c>
      <c r="L268" s="65" t="str">
        <f>IF($D268="","",$D268&amp;"|"&amp;COUNTIFS($D$7:$D268,$D268))</f>
        <v/>
      </c>
      <c r="M268" s="65" t="str">
        <f>IF(AND($E268&lt;&gt;"",COUNTIF($G268,"KÂR PAYI / AVANS*")&gt;0),$E268&amp;"|"&amp;COUNTIFS($E$7:$E268,$E268,$G$7:$G268,"KÂR PAYI / AVANS*"),"")</f>
        <v/>
      </c>
    </row>
    <row r="269" spans="1:13" ht="18" customHeight="1" x14ac:dyDescent="0.3">
      <c r="A269" s="2"/>
      <c r="B269" s="65" t="str">
        <f t="shared" si="8"/>
        <v/>
      </c>
      <c r="C269" s="66"/>
      <c r="D269" s="60"/>
      <c r="E269" s="60"/>
      <c r="F269" s="67"/>
      <c r="G269" s="61"/>
      <c r="H269" s="61"/>
      <c r="I269" s="61"/>
      <c r="J269" s="65" t="str">
        <f t="shared" si="9"/>
        <v/>
      </c>
      <c r="K269" s="65" t="str">
        <f>IF($E269="","",$E269&amp;"|"&amp;COUNTIFS($E$7:$E269,$E269))</f>
        <v/>
      </c>
      <c r="L269" s="65" t="str">
        <f>IF($D269="","",$D269&amp;"|"&amp;COUNTIFS($D$7:$D269,$D269))</f>
        <v/>
      </c>
      <c r="M269" s="65" t="str">
        <f>IF(AND($E269&lt;&gt;"",COUNTIF($G269,"KÂR PAYI / AVANS*")&gt;0),$E269&amp;"|"&amp;COUNTIFS($E$7:$E269,$E269,$G$7:$G269,"KÂR PAYI / AVANS*"),"")</f>
        <v/>
      </c>
    </row>
    <row r="270" spans="1:13" ht="18" customHeight="1" x14ac:dyDescent="0.3">
      <c r="A270" s="2"/>
      <c r="B270" s="65" t="str">
        <f t="shared" si="8"/>
        <v/>
      </c>
      <c r="C270" s="66"/>
      <c r="D270" s="60"/>
      <c r="E270" s="60"/>
      <c r="F270" s="67"/>
      <c r="G270" s="61"/>
      <c r="H270" s="61"/>
      <c r="I270" s="61"/>
      <c r="J270" s="65" t="str">
        <f t="shared" si="9"/>
        <v/>
      </c>
      <c r="K270" s="65" t="str">
        <f>IF($E270="","",$E270&amp;"|"&amp;COUNTIFS($E$7:$E270,$E270))</f>
        <v/>
      </c>
      <c r="L270" s="65" t="str">
        <f>IF($D270="","",$D270&amp;"|"&amp;COUNTIFS($D$7:$D270,$D270))</f>
        <v/>
      </c>
      <c r="M270" s="65" t="str">
        <f>IF(AND($E270&lt;&gt;"",COUNTIF($G270,"KÂR PAYI / AVANS*")&gt;0),$E270&amp;"|"&amp;COUNTIFS($E$7:$E270,$E270,$G$7:$G270,"KÂR PAYI / AVANS*"),"")</f>
        <v/>
      </c>
    </row>
    <row r="271" spans="1:13" ht="18" customHeight="1" x14ac:dyDescent="0.3">
      <c r="A271" s="2"/>
      <c r="B271" s="65" t="str">
        <f t="shared" si="8"/>
        <v/>
      </c>
      <c r="C271" s="66"/>
      <c r="D271" s="60"/>
      <c r="E271" s="60"/>
      <c r="F271" s="67"/>
      <c r="G271" s="61"/>
      <c r="H271" s="61"/>
      <c r="I271" s="61"/>
      <c r="J271" s="65" t="str">
        <f t="shared" si="9"/>
        <v/>
      </c>
      <c r="K271" s="65" t="str">
        <f>IF($E271="","",$E271&amp;"|"&amp;COUNTIFS($E$7:$E271,$E271))</f>
        <v/>
      </c>
      <c r="L271" s="65" t="str">
        <f>IF($D271="","",$D271&amp;"|"&amp;COUNTIFS($D$7:$D271,$D271))</f>
        <v/>
      </c>
      <c r="M271" s="65" t="str">
        <f>IF(AND($E271&lt;&gt;"",COUNTIF($G271,"KÂR PAYI / AVANS*")&gt;0),$E271&amp;"|"&amp;COUNTIFS($E$7:$E271,$E271,$G$7:$G271,"KÂR PAYI / AVANS*"),"")</f>
        <v/>
      </c>
    </row>
    <row r="272" spans="1:13" ht="18" customHeight="1" x14ac:dyDescent="0.3">
      <c r="A272" s="2"/>
      <c r="B272" s="65" t="str">
        <f t="shared" si="8"/>
        <v/>
      </c>
      <c r="C272" s="66"/>
      <c r="D272" s="60"/>
      <c r="E272" s="60"/>
      <c r="F272" s="67"/>
      <c r="G272" s="61"/>
      <c r="H272" s="61"/>
      <c r="I272" s="61"/>
      <c r="J272" s="65" t="str">
        <f t="shared" si="9"/>
        <v/>
      </c>
      <c r="K272" s="65" t="str">
        <f>IF($E272="","",$E272&amp;"|"&amp;COUNTIFS($E$7:$E272,$E272))</f>
        <v/>
      </c>
      <c r="L272" s="65" t="str">
        <f>IF($D272="","",$D272&amp;"|"&amp;COUNTIFS($D$7:$D272,$D272))</f>
        <v/>
      </c>
      <c r="M272" s="65" t="str">
        <f>IF(AND($E272&lt;&gt;"",COUNTIF($G272,"KÂR PAYI / AVANS*")&gt;0),$E272&amp;"|"&amp;COUNTIFS($E$7:$E272,$E272,$G$7:$G272,"KÂR PAYI / AVANS*"),"")</f>
        <v/>
      </c>
    </row>
    <row r="273" spans="1:13" ht="18" customHeight="1" x14ac:dyDescent="0.3">
      <c r="A273" s="2"/>
      <c r="B273" s="65" t="str">
        <f t="shared" si="8"/>
        <v/>
      </c>
      <c r="C273" s="66"/>
      <c r="D273" s="60"/>
      <c r="E273" s="60"/>
      <c r="F273" s="67"/>
      <c r="G273" s="61"/>
      <c r="H273" s="61"/>
      <c r="I273" s="61"/>
      <c r="J273" s="65" t="str">
        <f t="shared" si="9"/>
        <v/>
      </c>
      <c r="K273" s="65" t="str">
        <f>IF($E273="","",$E273&amp;"|"&amp;COUNTIFS($E$7:$E273,$E273))</f>
        <v/>
      </c>
      <c r="L273" s="65" t="str">
        <f>IF($D273="","",$D273&amp;"|"&amp;COUNTIFS($D$7:$D273,$D273))</f>
        <v/>
      </c>
      <c r="M273" s="65" t="str">
        <f>IF(AND($E273&lt;&gt;"",COUNTIF($G273,"KÂR PAYI / AVANS*")&gt;0),$E273&amp;"|"&amp;COUNTIFS($E$7:$E273,$E273,$G$7:$G273,"KÂR PAYI / AVANS*"),"")</f>
        <v/>
      </c>
    </row>
    <row r="274" spans="1:13" ht="18" customHeight="1" x14ac:dyDescent="0.3">
      <c r="A274" s="2"/>
      <c r="B274" s="65" t="str">
        <f t="shared" si="8"/>
        <v/>
      </c>
      <c r="C274" s="66"/>
      <c r="D274" s="60"/>
      <c r="E274" s="60"/>
      <c r="F274" s="67"/>
      <c r="G274" s="61"/>
      <c r="H274" s="61"/>
      <c r="I274" s="61"/>
      <c r="J274" s="65" t="str">
        <f t="shared" si="9"/>
        <v/>
      </c>
      <c r="K274" s="65" t="str">
        <f>IF($E274="","",$E274&amp;"|"&amp;COUNTIFS($E$7:$E274,$E274))</f>
        <v/>
      </c>
      <c r="L274" s="65" t="str">
        <f>IF($D274="","",$D274&amp;"|"&amp;COUNTIFS($D$7:$D274,$D274))</f>
        <v/>
      </c>
      <c r="M274" s="65" t="str">
        <f>IF(AND($E274&lt;&gt;"",COUNTIF($G274,"KÂR PAYI / AVANS*")&gt;0),$E274&amp;"|"&amp;COUNTIFS($E$7:$E274,$E274,$G$7:$G274,"KÂR PAYI / AVANS*"),"")</f>
        <v/>
      </c>
    </row>
    <row r="275" spans="1:13" ht="18" customHeight="1" x14ac:dyDescent="0.3">
      <c r="A275" s="2"/>
      <c r="B275" s="65" t="str">
        <f t="shared" si="8"/>
        <v/>
      </c>
      <c r="C275" s="66"/>
      <c r="D275" s="60"/>
      <c r="E275" s="60"/>
      <c r="F275" s="67"/>
      <c r="G275" s="61"/>
      <c r="H275" s="61"/>
      <c r="I275" s="61"/>
      <c r="J275" s="65" t="str">
        <f t="shared" si="9"/>
        <v/>
      </c>
      <c r="K275" s="65" t="str">
        <f>IF($E275="","",$E275&amp;"|"&amp;COUNTIFS($E$7:$E275,$E275))</f>
        <v/>
      </c>
      <c r="L275" s="65" t="str">
        <f>IF($D275="","",$D275&amp;"|"&amp;COUNTIFS($D$7:$D275,$D275))</f>
        <v/>
      </c>
      <c r="M275" s="65" t="str">
        <f>IF(AND($E275&lt;&gt;"",COUNTIF($G275,"KÂR PAYI / AVANS*")&gt;0),$E275&amp;"|"&amp;COUNTIFS($E$7:$E275,$E275,$G$7:$G275,"KÂR PAYI / AVANS*"),"")</f>
        <v/>
      </c>
    </row>
    <row r="276" spans="1:13" ht="18" customHeight="1" x14ac:dyDescent="0.3">
      <c r="A276" s="2"/>
      <c r="B276" s="65" t="str">
        <f t="shared" si="8"/>
        <v/>
      </c>
      <c r="C276" s="66"/>
      <c r="D276" s="60"/>
      <c r="E276" s="60"/>
      <c r="F276" s="67"/>
      <c r="G276" s="61"/>
      <c r="H276" s="61"/>
      <c r="I276" s="61"/>
      <c r="J276" s="65" t="str">
        <f t="shared" si="9"/>
        <v/>
      </c>
      <c r="K276" s="65" t="str">
        <f>IF($E276="","",$E276&amp;"|"&amp;COUNTIFS($E$7:$E276,$E276))</f>
        <v/>
      </c>
      <c r="L276" s="65" t="str">
        <f>IF($D276="","",$D276&amp;"|"&amp;COUNTIFS($D$7:$D276,$D276))</f>
        <v/>
      </c>
      <c r="M276" s="65" t="str">
        <f>IF(AND($E276&lt;&gt;"",COUNTIF($G276,"KÂR PAYI / AVANS*")&gt;0),$E276&amp;"|"&amp;COUNTIFS($E$7:$E276,$E276,$G$7:$G276,"KÂR PAYI / AVANS*"),"")</f>
        <v/>
      </c>
    </row>
    <row r="277" spans="1:13" ht="18" customHeight="1" x14ac:dyDescent="0.3">
      <c r="A277" s="2"/>
      <c r="B277" s="65" t="str">
        <f t="shared" si="8"/>
        <v/>
      </c>
      <c r="C277" s="66"/>
      <c r="D277" s="60"/>
      <c r="E277" s="60"/>
      <c r="F277" s="67"/>
      <c r="G277" s="61"/>
      <c r="H277" s="61"/>
      <c r="I277" s="61"/>
      <c r="J277" s="65" t="str">
        <f t="shared" si="9"/>
        <v/>
      </c>
      <c r="K277" s="65" t="str">
        <f>IF($E277="","",$E277&amp;"|"&amp;COUNTIFS($E$7:$E277,$E277))</f>
        <v/>
      </c>
      <c r="L277" s="65" t="str">
        <f>IF($D277="","",$D277&amp;"|"&amp;COUNTIFS($D$7:$D277,$D277))</f>
        <v/>
      </c>
      <c r="M277" s="65" t="str">
        <f>IF(AND($E277&lt;&gt;"",COUNTIF($G277,"KÂR PAYI / AVANS*")&gt;0),$E277&amp;"|"&amp;COUNTIFS($E$7:$E277,$E277,$G$7:$G277,"KÂR PAYI / AVANS*"),"")</f>
        <v/>
      </c>
    </row>
    <row r="278" spans="1:13" ht="18" customHeight="1" x14ac:dyDescent="0.3">
      <c r="A278" s="2"/>
      <c r="B278" s="65" t="str">
        <f t="shared" si="8"/>
        <v/>
      </c>
      <c r="C278" s="66"/>
      <c r="D278" s="60"/>
      <c r="E278" s="60"/>
      <c r="F278" s="67"/>
      <c r="G278" s="61"/>
      <c r="H278" s="61"/>
      <c r="I278" s="61"/>
      <c r="J278" s="65" t="str">
        <f t="shared" si="9"/>
        <v/>
      </c>
      <c r="K278" s="65" t="str">
        <f>IF($E278="","",$E278&amp;"|"&amp;COUNTIFS($E$7:$E278,$E278))</f>
        <v/>
      </c>
      <c r="L278" s="65" t="str">
        <f>IF($D278="","",$D278&amp;"|"&amp;COUNTIFS($D$7:$D278,$D278))</f>
        <v/>
      </c>
      <c r="M278" s="65" t="str">
        <f>IF(AND($E278&lt;&gt;"",COUNTIF($G278,"KÂR PAYI / AVANS*")&gt;0),$E278&amp;"|"&amp;COUNTIFS($E$7:$E278,$E278,$G$7:$G278,"KÂR PAYI / AVANS*"),"")</f>
        <v/>
      </c>
    </row>
    <row r="279" spans="1:13" ht="18" customHeight="1" x14ac:dyDescent="0.3">
      <c r="A279" s="2"/>
      <c r="B279" s="65" t="str">
        <f t="shared" si="8"/>
        <v/>
      </c>
      <c r="C279" s="66"/>
      <c r="D279" s="60"/>
      <c r="E279" s="60"/>
      <c r="F279" s="67"/>
      <c r="G279" s="61"/>
      <c r="H279" s="61"/>
      <c r="I279" s="61"/>
      <c r="J279" s="65" t="str">
        <f t="shared" si="9"/>
        <v/>
      </c>
      <c r="K279" s="65" t="str">
        <f>IF($E279="","",$E279&amp;"|"&amp;COUNTIFS($E$7:$E279,$E279))</f>
        <v/>
      </c>
      <c r="L279" s="65" t="str">
        <f>IF($D279="","",$D279&amp;"|"&amp;COUNTIFS($D$7:$D279,$D279))</f>
        <v/>
      </c>
      <c r="M279" s="65" t="str">
        <f>IF(AND($E279&lt;&gt;"",COUNTIF($G279,"KÂR PAYI / AVANS*")&gt;0),$E279&amp;"|"&amp;COUNTIFS($E$7:$E279,$E279,$G$7:$G279,"KÂR PAYI / AVANS*"),"")</f>
        <v/>
      </c>
    </row>
    <row r="280" spans="1:13" ht="18" customHeight="1" x14ac:dyDescent="0.3">
      <c r="A280" s="2"/>
      <c r="B280" s="65" t="str">
        <f t="shared" si="8"/>
        <v/>
      </c>
      <c r="C280" s="66"/>
      <c r="D280" s="60"/>
      <c r="E280" s="60"/>
      <c r="F280" s="67"/>
      <c r="G280" s="61"/>
      <c r="H280" s="61"/>
      <c r="I280" s="61"/>
      <c r="J280" s="65" t="str">
        <f t="shared" si="9"/>
        <v/>
      </c>
      <c r="K280" s="65" t="str">
        <f>IF($E280="","",$E280&amp;"|"&amp;COUNTIFS($E$7:$E280,$E280))</f>
        <v/>
      </c>
      <c r="L280" s="65" t="str">
        <f>IF($D280="","",$D280&amp;"|"&amp;COUNTIFS($D$7:$D280,$D280))</f>
        <v/>
      </c>
      <c r="M280" s="65" t="str">
        <f>IF(AND($E280&lt;&gt;"",COUNTIF($G280,"KÂR PAYI / AVANS*")&gt;0),$E280&amp;"|"&amp;COUNTIFS($E$7:$E280,$E280,$G$7:$G280,"KÂR PAYI / AVANS*"),"")</f>
        <v/>
      </c>
    </row>
    <row r="281" spans="1:13" ht="18" customHeight="1" x14ac:dyDescent="0.3">
      <c r="A281" s="2"/>
      <c r="B281" s="65" t="str">
        <f t="shared" si="8"/>
        <v/>
      </c>
      <c r="C281" s="66"/>
      <c r="D281" s="60"/>
      <c r="E281" s="60"/>
      <c r="F281" s="67"/>
      <c r="G281" s="61"/>
      <c r="H281" s="61"/>
      <c r="I281" s="61"/>
      <c r="J281" s="65" t="str">
        <f t="shared" si="9"/>
        <v/>
      </c>
      <c r="K281" s="65" t="str">
        <f>IF($E281="","",$E281&amp;"|"&amp;COUNTIFS($E$7:$E281,$E281))</f>
        <v/>
      </c>
      <c r="L281" s="65" t="str">
        <f>IF($D281="","",$D281&amp;"|"&amp;COUNTIFS($D$7:$D281,$D281))</f>
        <v/>
      </c>
      <c r="M281" s="65" t="str">
        <f>IF(AND($E281&lt;&gt;"",COUNTIF($G281,"KÂR PAYI / AVANS*")&gt;0),$E281&amp;"|"&amp;COUNTIFS($E$7:$E281,$E281,$G$7:$G281,"KÂR PAYI / AVANS*"),"")</f>
        <v/>
      </c>
    </row>
    <row r="282" spans="1:13" ht="18" customHeight="1" x14ac:dyDescent="0.3">
      <c r="A282" s="2"/>
      <c r="B282" s="65" t="str">
        <f t="shared" si="8"/>
        <v/>
      </c>
      <c r="C282" s="66"/>
      <c r="D282" s="60"/>
      <c r="E282" s="60"/>
      <c r="F282" s="67"/>
      <c r="G282" s="61"/>
      <c r="H282" s="61"/>
      <c r="I282" s="61"/>
      <c r="J282" s="65" t="str">
        <f t="shared" si="9"/>
        <v/>
      </c>
      <c r="K282" s="65" t="str">
        <f>IF($E282="","",$E282&amp;"|"&amp;COUNTIFS($E$7:$E282,$E282))</f>
        <v/>
      </c>
      <c r="L282" s="65" t="str">
        <f>IF($D282="","",$D282&amp;"|"&amp;COUNTIFS($D$7:$D282,$D282))</f>
        <v/>
      </c>
      <c r="M282" s="65" t="str">
        <f>IF(AND($E282&lt;&gt;"",COUNTIF($G282,"KÂR PAYI / AVANS*")&gt;0),$E282&amp;"|"&amp;COUNTIFS($E$7:$E282,$E282,$G$7:$G282,"KÂR PAYI / AVANS*"),"")</f>
        <v/>
      </c>
    </row>
    <row r="283" spans="1:13" ht="18" customHeight="1" x14ac:dyDescent="0.3">
      <c r="A283" s="2"/>
      <c r="B283" s="65" t="str">
        <f t="shared" si="8"/>
        <v/>
      </c>
      <c r="C283" s="66"/>
      <c r="D283" s="60"/>
      <c r="E283" s="60"/>
      <c r="F283" s="67"/>
      <c r="G283" s="61"/>
      <c r="H283" s="61"/>
      <c r="I283" s="61"/>
      <c r="J283" s="65" t="str">
        <f t="shared" si="9"/>
        <v/>
      </c>
      <c r="K283" s="65" t="str">
        <f>IF($E283="","",$E283&amp;"|"&amp;COUNTIFS($E$7:$E283,$E283))</f>
        <v/>
      </c>
      <c r="L283" s="65" t="str">
        <f>IF($D283="","",$D283&amp;"|"&amp;COUNTIFS($D$7:$D283,$D283))</f>
        <v/>
      </c>
      <c r="M283" s="65" t="str">
        <f>IF(AND($E283&lt;&gt;"",COUNTIF($G283,"KÂR PAYI / AVANS*")&gt;0),$E283&amp;"|"&amp;COUNTIFS($E$7:$E283,$E283,$G$7:$G283,"KÂR PAYI / AVANS*"),"")</f>
        <v/>
      </c>
    </row>
    <row r="284" spans="1:13" ht="18" customHeight="1" x14ac:dyDescent="0.3">
      <c r="A284" s="2"/>
      <c r="B284" s="65" t="str">
        <f t="shared" si="8"/>
        <v/>
      </c>
      <c r="C284" s="66"/>
      <c r="D284" s="60"/>
      <c r="E284" s="60"/>
      <c r="F284" s="67"/>
      <c r="G284" s="61"/>
      <c r="H284" s="61"/>
      <c r="I284" s="61"/>
      <c r="J284" s="65" t="str">
        <f t="shared" si="9"/>
        <v/>
      </c>
      <c r="K284" s="65" t="str">
        <f>IF($E284="","",$E284&amp;"|"&amp;COUNTIFS($E$7:$E284,$E284))</f>
        <v/>
      </c>
      <c r="L284" s="65" t="str">
        <f>IF($D284="","",$D284&amp;"|"&amp;COUNTIFS($D$7:$D284,$D284))</f>
        <v/>
      </c>
      <c r="M284" s="65" t="str">
        <f>IF(AND($E284&lt;&gt;"",COUNTIF($G284,"KÂR PAYI / AVANS*")&gt;0),$E284&amp;"|"&amp;COUNTIFS($E$7:$E284,$E284,$G$7:$G284,"KÂR PAYI / AVANS*"),"")</f>
        <v/>
      </c>
    </row>
    <row r="285" spans="1:13" ht="18" customHeight="1" x14ac:dyDescent="0.3">
      <c r="A285" s="2"/>
      <c r="B285" s="65" t="str">
        <f t="shared" si="8"/>
        <v/>
      </c>
      <c r="C285" s="66"/>
      <c r="D285" s="60"/>
      <c r="E285" s="60"/>
      <c r="F285" s="67"/>
      <c r="G285" s="61"/>
      <c r="H285" s="61"/>
      <c r="I285" s="61"/>
      <c r="J285" s="65" t="str">
        <f t="shared" si="9"/>
        <v/>
      </c>
      <c r="K285" s="65" t="str">
        <f>IF($E285="","",$E285&amp;"|"&amp;COUNTIFS($E$7:$E285,$E285))</f>
        <v/>
      </c>
      <c r="L285" s="65" t="str">
        <f>IF($D285="","",$D285&amp;"|"&amp;COUNTIFS($D$7:$D285,$D285))</f>
        <v/>
      </c>
      <c r="M285" s="65" t="str">
        <f>IF(AND($E285&lt;&gt;"",COUNTIF($G285,"KÂR PAYI / AVANS*")&gt;0),$E285&amp;"|"&amp;COUNTIFS($E$7:$E285,$E285,$G$7:$G285,"KÂR PAYI / AVANS*"),"")</f>
        <v/>
      </c>
    </row>
    <row r="286" spans="1:13" ht="18" customHeight="1" x14ac:dyDescent="0.3">
      <c r="A286" s="2"/>
      <c r="B286" s="65" t="str">
        <f t="shared" si="8"/>
        <v/>
      </c>
      <c r="C286" s="66"/>
      <c r="D286" s="60"/>
      <c r="E286" s="60"/>
      <c r="F286" s="67"/>
      <c r="G286" s="61"/>
      <c r="H286" s="61"/>
      <c r="I286" s="61"/>
      <c r="J286" s="65" t="str">
        <f t="shared" si="9"/>
        <v/>
      </c>
      <c r="K286" s="65" t="str">
        <f>IF($E286="","",$E286&amp;"|"&amp;COUNTIFS($E$7:$E286,$E286))</f>
        <v/>
      </c>
      <c r="L286" s="65" t="str">
        <f>IF($D286="","",$D286&amp;"|"&amp;COUNTIFS($D$7:$D286,$D286))</f>
        <v/>
      </c>
      <c r="M286" s="65" t="str">
        <f>IF(AND($E286&lt;&gt;"",COUNTIF($G286,"KÂR PAYI / AVANS*")&gt;0),$E286&amp;"|"&amp;COUNTIFS($E$7:$E286,$E286,$G$7:$G286,"KÂR PAYI / AVANS*"),"")</f>
        <v/>
      </c>
    </row>
    <row r="287" spans="1:13" ht="18" customHeight="1" x14ac:dyDescent="0.3">
      <c r="A287" s="2"/>
      <c r="B287" s="65" t="str">
        <f t="shared" si="8"/>
        <v/>
      </c>
      <c r="C287" s="66"/>
      <c r="D287" s="60"/>
      <c r="E287" s="60"/>
      <c r="F287" s="67"/>
      <c r="G287" s="61"/>
      <c r="H287" s="61"/>
      <c r="I287" s="61"/>
      <c r="J287" s="65" t="str">
        <f t="shared" si="9"/>
        <v/>
      </c>
      <c r="K287" s="65" t="str">
        <f>IF($E287="","",$E287&amp;"|"&amp;COUNTIFS($E$7:$E287,$E287))</f>
        <v/>
      </c>
      <c r="L287" s="65" t="str">
        <f>IF($D287="","",$D287&amp;"|"&amp;COUNTIFS($D$7:$D287,$D287))</f>
        <v/>
      </c>
      <c r="M287" s="65" t="str">
        <f>IF(AND($E287&lt;&gt;"",COUNTIF($G287,"KÂR PAYI / AVANS*")&gt;0),$E287&amp;"|"&amp;COUNTIFS($E$7:$E287,$E287,$G$7:$G287,"KÂR PAYI / AVANS*"),"")</f>
        <v/>
      </c>
    </row>
    <row r="288" spans="1:13" ht="18" customHeight="1" x14ac:dyDescent="0.3">
      <c r="A288" s="2"/>
      <c r="B288" s="65" t="str">
        <f t="shared" si="8"/>
        <v/>
      </c>
      <c r="C288" s="66"/>
      <c r="D288" s="60"/>
      <c r="E288" s="60"/>
      <c r="F288" s="67"/>
      <c r="G288" s="61"/>
      <c r="H288" s="61"/>
      <c r="I288" s="61"/>
      <c r="J288" s="65" t="str">
        <f t="shared" si="9"/>
        <v/>
      </c>
      <c r="K288" s="65" t="str">
        <f>IF($E288="","",$E288&amp;"|"&amp;COUNTIFS($E$7:$E288,$E288))</f>
        <v/>
      </c>
      <c r="L288" s="65" t="str">
        <f>IF($D288="","",$D288&amp;"|"&amp;COUNTIFS($D$7:$D288,$D288))</f>
        <v/>
      </c>
      <c r="M288" s="65" t="str">
        <f>IF(AND($E288&lt;&gt;"",COUNTIF($G288,"KÂR PAYI / AVANS*")&gt;0),$E288&amp;"|"&amp;COUNTIFS($E$7:$E288,$E288,$G$7:$G288,"KÂR PAYI / AVANS*"),"")</f>
        <v/>
      </c>
    </row>
    <row r="289" spans="1:13" ht="18" customHeight="1" x14ac:dyDescent="0.3">
      <c r="A289" s="2"/>
      <c r="B289" s="65" t="str">
        <f t="shared" si="8"/>
        <v/>
      </c>
      <c r="C289" s="66"/>
      <c r="D289" s="60"/>
      <c r="E289" s="60"/>
      <c r="F289" s="67"/>
      <c r="G289" s="61"/>
      <c r="H289" s="61"/>
      <c r="I289" s="61"/>
      <c r="J289" s="65" t="str">
        <f t="shared" si="9"/>
        <v/>
      </c>
      <c r="K289" s="65" t="str">
        <f>IF($E289="","",$E289&amp;"|"&amp;COUNTIFS($E$7:$E289,$E289))</f>
        <v/>
      </c>
      <c r="L289" s="65" t="str">
        <f>IF($D289="","",$D289&amp;"|"&amp;COUNTIFS($D$7:$D289,$D289))</f>
        <v/>
      </c>
      <c r="M289" s="65" t="str">
        <f>IF(AND($E289&lt;&gt;"",COUNTIF($G289,"KÂR PAYI / AVANS*")&gt;0),$E289&amp;"|"&amp;COUNTIFS($E$7:$E289,$E289,$G$7:$G289,"KÂR PAYI / AVANS*"),"")</f>
        <v/>
      </c>
    </row>
    <row r="290" spans="1:13" ht="18" customHeight="1" x14ac:dyDescent="0.3">
      <c r="A290" s="2"/>
      <c r="B290" s="65" t="str">
        <f t="shared" si="8"/>
        <v/>
      </c>
      <c r="C290" s="66"/>
      <c r="D290" s="60"/>
      <c r="E290" s="60"/>
      <c r="F290" s="67"/>
      <c r="G290" s="61"/>
      <c r="H290" s="61"/>
      <c r="I290" s="61"/>
      <c r="J290" s="65" t="str">
        <f t="shared" si="9"/>
        <v/>
      </c>
      <c r="K290" s="65" t="str">
        <f>IF($E290="","",$E290&amp;"|"&amp;COUNTIFS($E$7:$E290,$E290))</f>
        <v/>
      </c>
      <c r="L290" s="65" t="str">
        <f>IF($D290="","",$D290&amp;"|"&amp;COUNTIFS($D$7:$D290,$D290))</f>
        <v/>
      </c>
      <c r="M290" s="65" t="str">
        <f>IF(AND($E290&lt;&gt;"",COUNTIF($G290,"KÂR PAYI / AVANS*")&gt;0),$E290&amp;"|"&amp;COUNTIFS($E$7:$E290,$E290,$G$7:$G290,"KÂR PAYI / AVANS*"),"")</f>
        <v/>
      </c>
    </row>
    <row r="291" spans="1:13" ht="18" customHeight="1" x14ac:dyDescent="0.3">
      <c r="A291" s="2"/>
      <c r="B291" s="65" t="str">
        <f t="shared" si="8"/>
        <v/>
      </c>
      <c r="C291" s="66"/>
      <c r="D291" s="60"/>
      <c r="E291" s="60"/>
      <c r="F291" s="67"/>
      <c r="G291" s="61"/>
      <c r="H291" s="61"/>
      <c r="I291" s="61"/>
      <c r="J291" s="65" t="str">
        <f t="shared" si="9"/>
        <v/>
      </c>
      <c r="K291" s="65" t="str">
        <f>IF($E291="","",$E291&amp;"|"&amp;COUNTIFS($E$7:$E291,$E291))</f>
        <v/>
      </c>
      <c r="L291" s="65" t="str">
        <f>IF($D291="","",$D291&amp;"|"&amp;COUNTIFS($D$7:$D291,$D291))</f>
        <v/>
      </c>
      <c r="M291" s="65" t="str">
        <f>IF(AND($E291&lt;&gt;"",COUNTIF($G291,"KÂR PAYI / AVANS*")&gt;0),$E291&amp;"|"&amp;COUNTIFS($E$7:$E291,$E291,$G$7:$G291,"KÂR PAYI / AVANS*"),"")</f>
        <v/>
      </c>
    </row>
    <row r="292" spans="1:13" ht="18" customHeight="1" x14ac:dyDescent="0.3">
      <c r="A292" s="2"/>
      <c r="B292" s="65" t="str">
        <f t="shared" si="8"/>
        <v/>
      </c>
      <c r="C292" s="66"/>
      <c r="D292" s="60"/>
      <c r="E292" s="60"/>
      <c r="F292" s="67"/>
      <c r="G292" s="61"/>
      <c r="H292" s="61"/>
      <c r="I292" s="61"/>
      <c r="J292" s="65" t="str">
        <f t="shared" si="9"/>
        <v/>
      </c>
      <c r="K292" s="65" t="str">
        <f>IF($E292="","",$E292&amp;"|"&amp;COUNTIFS($E$7:$E292,$E292))</f>
        <v/>
      </c>
      <c r="L292" s="65" t="str">
        <f>IF($D292="","",$D292&amp;"|"&amp;COUNTIFS($D$7:$D292,$D292))</f>
        <v/>
      </c>
      <c r="M292" s="65" t="str">
        <f>IF(AND($E292&lt;&gt;"",COUNTIF($G292,"KÂR PAYI / AVANS*")&gt;0),$E292&amp;"|"&amp;COUNTIFS($E$7:$E292,$E292,$G$7:$G292,"KÂR PAYI / AVANS*"),"")</f>
        <v/>
      </c>
    </row>
    <row r="293" spans="1:13" ht="18" customHeight="1" x14ac:dyDescent="0.3">
      <c r="A293" s="2"/>
      <c r="B293" s="65" t="str">
        <f t="shared" si="8"/>
        <v/>
      </c>
      <c r="C293" s="66"/>
      <c r="D293" s="60"/>
      <c r="E293" s="60"/>
      <c r="F293" s="67"/>
      <c r="G293" s="61"/>
      <c r="H293" s="61"/>
      <c r="I293" s="61"/>
      <c r="J293" s="65" t="str">
        <f t="shared" si="9"/>
        <v/>
      </c>
      <c r="K293" s="65" t="str">
        <f>IF($E293="","",$E293&amp;"|"&amp;COUNTIFS($E$7:$E293,$E293))</f>
        <v/>
      </c>
      <c r="L293" s="65" t="str">
        <f>IF($D293="","",$D293&amp;"|"&amp;COUNTIFS($D$7:$D293,$D293))</f>
        <v/>
      </c>
      <c r="M293" s="65" t="str">
        <f>IF(AND($E293&lt;&gt;"",COUNTIF($G293,"KÂR PAYI / AVANS*")&gt;0),$E293&amp;"|"&amp;COUNTIFS($E$7:$E293,$E293,$G$7:$G293,"KÂR PAYI / AVANS*"),"")</f>
        <v/>
      </c>
    </row>
    <row r="294" spans="1:13" ht="18" customHeight="1" x14ac:dyDescent="0.3">
      <c r="A294" s="2"/>
      <c r="B294" s="65" t="str">
        <f t="shared" si="8"/>
        <v/>
      </c>
      <c r="C294" s="66"/>
      <c r="D294" s="60"/>
      <c r="E294" s="60"/>
      <c r="F294" s="67"/>
      <c r="G294" s="61"/>
      <c r="H294" s="61"/>
      <c r="I294" s="61"/>
      <c r="J294" s="65" t="str">
        <f t="shared" si="9"/>
        <v/>
      </c>
      <c r="K294" s="65" t="str">
        <f>IF($E294="","",$E294&amp;"|"&amp;COUNTIFS($E$7:$E294,$E294))</f>
        <v/>
      </c>
      <c r="L294" s="65" t="str">
        <f>IF($D294="","",$D294&amp;"|"&amp;COUNTIFS($D$7:$D294,$D294))</f>
        <v/>
      </c>
      <c r="M294" s="65" t="str">
        <f>IF(AND($E294&lt;&gt;"",COUNTIF($G294,"KÂR PAYI / AVANS*")&gt;0),$E294&amp;"|"&amp;COUNTIFS($E$7:$E294,$E294,$G$7:$G294,"KÂR PAYI / AVANS*"),"")</f>
        <v/>
      </c>
    </row>
    <row r="295" spans="1:13" ht="18" customHeight="1" x14ac:dyDescent="0.3">
      <c r="A295" s="2"/>
      <c r="B295" s="65" t="str">
        <f t="shared" si="8"/>
        <v/>
      </c>
      <c r="C295" s="66"/>
      <c r="D295" s="60"/>
      <c r="E295" s="60"/>
      <c r="F295" s="67"/>
      <c r="G295" s="61"/>
      <c r="H295" s="61"/>
      <c r="I295" s="61"/>
      <c r="J295" s="65" t="str">
        <f t="shared" si="9"/>
        <v/>
      </c>
      <c r="K295" s="65" t="str">
        <f>IF($E295="","",$E295&amp;"|"&amp;COUNTIFS($E$7:$E295,$E295))</f>
        <v/>
      </c>
      <c r="L295" s="65" t="str">
        <f>IF($D295="","",$D295&amp;"|"&amp;COUNTIFS($D$7:$D295,$D295))</f>
        <v/>
      </c>
      <c r="M295" s="65" t="str">
        <f>IF(AND($E295&lt;&gt;"",COUNTIF($G295,"KÂR PAYI / AVANS*")&gt;0),$E295&amp;"|"&amp;COUNTIFS($E$7:$E295,$E295,$G$7:$G295,"KÂR PAYI / AVANS*"),"")</f>
        <v/>
      </c>
    </row>
    <row r="296" spans="1:13" ht="18" customHeight="1" x14ac:dyDescent="0.3">
      <c r="A296" s="2"/>
      <c r="B296" s="65" t="str">
        <f t="shared" si="8"/>
        <v/>
      </c>
      <c r="C296" s="66"/>
      <c r="D296" s="60"/>
      <c r="E296" s="60"/>
      <c r="F296" s="67"/>
      <c r="G296" s="61"/>
      <c r="H296" s="61"/>
      <c r="I296" s="61"/>
      <c r="J296" s="65" t="str">
        <f t="shared" si="9"/>
        <v/>
      </c>
      <c r="K296" s="65" t="str">
        <f>IF($E296="","",$E296&amp;"|"&amp;COUNTIFS($E$7:$E296,$E296))</f>
        <v/>
      </c>
      <c r="L296" s="65" t="str">
        <f>IF($D296="","",$D296&amp;"|"&amp;COUNTIFS($D$7:$D296,$D296))</f>
        <v/>
      </c>
      <c r="M296" s="65" t="str">
        <f>IF(AND($E296&lt;&gt;"",COUNTIF($G296,"KÂR PAYI / AVANS*")&gt;0),$E296&amp;"|"&amp;COUNTIFS($E$7:$E296,$E296,$G$7:$G296,"KÂR PAYI / AVANS*"),"")</f>
        <v/>
      </c>
    </row>
    <row r="297" spans="1:13" ht="18" customHeight="1" x14ac:dyDescent="0.3">
      <c r="A297" s="2"/>
      <c r="B297" s="65" t="str">
        <f t="shared" si="8"/>
        <v/>
      </c>
      <c r="C297" s="66"/>
      <c r="D297" s="60"/>
      <c r="E297" s="60"/>
      <c r="F297" s="67"/>
      <c r="G297" s="61"/>
      <c r="H297" s="61"/>
      <c r="I297" s="61"/>
      <c r="J297" s="65" t="str">
        <f t="shared" si="9"/>
        <v/>
      </c>
      <c r="K297" s="65" t="str">
        <f>IF($E297="","",$E297&amp;"|"&amp;COUNTIFS($E$7:$E297,$E297))</f>
        <v/>
      </c>
      <c r="L297" s="65" t="str">
        <f>IF($D297="","",$D297&amp;"|"&amp;COUNTIFS($D$7:$D297,$D297))</f>
        <v/>
      </c>
      <c r="M297" s="65" t="str">
        <f>IF(AND($E297&lt;&gt;"",COUNTIF($G297,"KÂR PAYI / AVANS*")&gt;0),$E297&amp;"|"&amp;COUNTIFS($E$7:$E297,$E297,$G$7:$G297,"KÂR PAYI / AVANS*"),"")</f>
        <v/>
      </c>
    </row>
    <row r="298" spans="1:13" ht="18" customHeight="1" x14ac:dyDescent="0.3">
      <c r="A298" s="2"/>
      <c r="B298" s="65" t="str">
        <f t="shared" si="8"/>
        <v/>
      </c>
      <c r="C298" s="66"/>
      <c r="D298" s="60"/>
      <c r="E298" s="60"/>
      <c r="F298" s="67"/>
      <c r="G298" s="61"/>
      <c r="H298" s="61"/>
      <c r="I298" s="61"/>
      <c r="J298" s="65" t="str">
        <f t="shared" si="9"/>
        <v/>
      </c>
      <c r="K298" s="65" t="str">
        <f>IF($E298="","",$E298&amp;"|"&amp;COUNTIFS($E$7:$E298,$E298))</f>
        <v/>
      </c>
      <c r="L298" s="65" t="str">
        <f>IF($D298="","",$D298&amp;"|"&amp;COUNTIFS($D$7:$D298,$D298))</f>
        <v/>
      </c>
      <c r="M298" s="65" t="str">
        <f>IF(AND($E298&lt;&gt;"",COUNTIF($G298,"KÂR PAYI / AVANS*")&gt;0),$E298&amp;"|"&amp;COUNTIFS($E$7:$E298,$E298,$G$7:$G298,"KÂR PAYI / AVANS*"),"")</f>
        <v/>
      </c>
    </row>
    <row r="299" spans="1:13" ht="18" customHeight="1" x14ac:dyDescent="0.3">
      <c r="A299" s="2"/>
      <c r="B299" s="65" t="str">
        <f t="shared" si="8"/>
        <v/>
      </c>
      <c r="C299" s="66"/>
      <c r="D299" s="60"/>
      <c r="E299" s="60"/>
      <c r="F299" s="67"/>
      <c r="G299" s="61"/>
      <c r="H299" s="61"/>
      <c r="I299" s="61"/>
      <c r="J299" s="65" t="str">
        <f t="shared" si="9"/>
        <v/>
      </c>
      <c r="K299" s="65" t="str">
        <f>IF($E299="","",$E299&amp;"|"&amp;COUNTIFS($E$7:$E299,$E299))</f>
        <v/>
      </c>
      <c r="L299" s="65" t="str">
        <f>IF($D299="","",$D299&amp;"|"&amp;COUNTIFS($D$7:$D299,$D299))</f>
        <v/>
      </c>
      <c r="M299" s="65" t="str">
        <f>IF(AND($E299&lt;&gt;"",COUNTIF($G299,"KÂR PAYI / AVANS*")&gt;0),$E299&amp;"|"&amp;COUNTIFS($E$7:$E299,$E299,$G$7:$G299,"KÂR PAYI / AVANS*"),"")</f>
        <v/>
      </c>
    </row>
    <row r="300" spans="1:13" ht="18" customHeight="1" x14ac:dyDescent="0.3">
      <c r="A300" s="2"/>
      <c r="B300" s="65" t="str">
        <f t="shared" si="8"/>
        <v/>
      </c>
      <c r="C300" s="66"/>
      <c r="D300" s="60"/>
      <c r="E300" s="60"/>
      <c r="F300" s="67"/>
      <c r="G300" s="61"/>
      <c r="H300" s="61"/>
      <c r="I300" s="61"/>
      <c r="J300" s="65" t="str">
        <f t="shared" si="9"/>
        <v/>
      </c>
      <c r="K300" s="65" t="str">
        <f>IF($E300="","",$E300&amp;"|"&amp;COUNTIFS($E$7:$E300,$E300))</f>
        <v/>
      </c>
      <c r="L300" s="65" t="str">
        <f>IF($D300="","",$D300&amp;"|"&amp;COUNTIFS($D$7:$D300,$D300))</f>
        <v/>
      </c>
      <c r="M300" s="65" t="str">
        <f>IF(AND($E300&lt;&gt;"",COUNTIF($G300,"KÂR PAYI / AVANS*")&gt;0),$E300&amp;"|"&amp;COUNTIFS($E$7:$E300,$E300,$G$7:$G300,"KÂR PAYI / AVANS*"),"")</f>
        <v/>
      </c>
    </row>
    <row r="301" spans="1:13" ht="18" customHeight="1" x14ac:dyDescent="0.3">
      <c r="A301" s="2"/>
      <c r="B301" s="65" t="str">
        <f t="shared" si="8"/>
        <v/>
      </c>
      <c r="C301" s="66"/>
      <c r="D301" s="60"/>
      <c r="E301" s="60"/>
      <c r="F301" s="67"/>
      <c r="G301" s="61"/>
      <c r="H301" s="61"/>
      <c r="I301" s="61"/>
      <c r="J301" s="65" t="str">
        <f t="shared" si="9"/>
        <v/>
      </c>
      <c r="K301" s="65" t="str">
        <f>IF($E301="","",$E301&amp;"|"&amp;COUNTIFS($E$7:$E301,$E301))</f>
        <v/>
      </c>
      <c r="L301" s="65" t="str">
        <f>IF($D301="","",$D301&amp;"|"&amp;COUNTIFS($D$7:$D301,$D301))</f>
        <v/>
      </c>
      <c r="M301" s="65" t="str">
        <f>IF(AND($E301&lt;&gt;"",COUNTIF($G301,"KÂR PAYI / AVANS*")&gt;0),$E301&amp;"|"&amp;COUNTIFS($E$7:$E301,$E301,$G$7:$G301,"KÂR PAYI / AVANS*"),"")</f>
        <v/>
      </c>
    </row>
    <row r="302" spans="1:13" ht="18" customHeight="1" x14ac:dyDescent="0.3">
      <c r="A302" s="2"/>
      <c r="B302" s="65" t="str">
        <f t="shared" si="8"/>
        <v/>
      </c>
      <c r="C302" s="66"/>
      <c r="D302" s="60"/>
      <c r="E302" s="60"/>
      <c r="F302" s="67"/>
      <c r="G302" s="61"/>
      <c r="H302" s="61"/>
      <c r="I302" s="61"/>
      <c r="J302" s="65" t="str">
        <f t="shared" si="9"/>
        <v/>
      </c>
      <c r="K302" s="65" t="str">
        <f>IF($E302="","",$E302&amp;"|"&amp;COUNTIFS($E$7:$E302,$E302))</f>
        <v/>
      </c>
      <c r="L302" s="65" t="str">
        <f>IF($D302="","",$D302&amp;"|"&amp;COUNTIFS($D$7:$D302,$D302))</f>
        <v/>
      </c>
      <c r="M302" s="65" t="str">
        <f>IF(AND($E302&lt;&gt;"",COUNTIF($G302,"KÂR PAYI / AVANS*")&gt;0),$E302&amp;"|"&amp;COUNTIFS($E$7:$E302,$E302,$G$7:$G302,"KÂR PAYI / AVANS*"),"")</f>
        <v/>
      </c>
    </row>
    <row r="303" spans="1:13" ht="18" customHeight="1" x14ac:dyDescent="0.3">
      <c r="A303" s="2"/>
      <c r="B303" s="65" t="str">
        <f t="shared" si="8"/>
        <v/>
      </c>
      <c r="C303" s="66"/>
      <c r="D303" s="60"/>
      <c r="E303" s="60"/>
      <c r="F303" s="67"/>
      <c r="G303" s="61"/>
      <c r="H303" s="61"/>
      <c r="I303" s="61"/>
      <c r="J303" s="65" t="str">
        <f t="shared" si="9"/>
        <v/>
      </c>
      <c r="K303" s="65" t="str">
        <f>IF($E303="","",$E303&amp;"|"&amp;COUNTIFS($E$7:$E303,$E303))</f>
        <v/>
      </c>
      <c r="L303" s="65" t="str">
        <f>IF($D303="","",$D303&amp;"|"&amp;COUNTIFS($D$7:$D303,$D303))</f>
        <v/>
      </c>
      <c r="M303" s="65" t="str">
        <f>IF(AND($E303&lt;&gt;"",COUNTIF($G303,"KÂR PAYI / AVANS*")&gt;0),$E303&amp;"|"&amp;COUNTIFS($E$7:$E303,$E303,$G$7:$G303,"KÂR PAYI / AVANS*"),"")</f>
        <v/>
      </c>
    </row>
    <row r="304" spans="1:13" ht="18" customHeight="1" x14ac:dyDescent="0.3">
      <c r="A304" s="2"/>
      <c r="B304" s="65" t="str">
        <f t="shared" si="8"/>
        <v/>
      </c>
      <c r="C304" s="66"/>
      <c r="D304" s="60"/>
      <c r="E304" s="60"/>
      <c r="F304" s="67"/>
      <c r="G304" s="61"/>
      <c r="H304" s="61"/>
      <c r="I304" s="61"/>
      <c r="J304" s="65" t="str">
        <f t="shared" si="9"/>
        <v/>
      </c>
      <c r="K304" s="65" t="str">
        <f>IF($E304="","",$E304&amp;"|"&amp;COUNTIFS($E$7:$E304,$E304))</f>
        <v/>
      </c>
      <c r="L304" s="65" t="str">
        <f>IF($D304="","",$D304&amp;"|"&amp;COUNTIFS($D$7:$D304,$D304))</f>
        <v/>
      </c>
      <c r="M304" s="65" t="str">
        <f>IF(AND($E304&lt;&gt;"",COUNTIF($G304,"KÂR PAYI / AVANS*")&gt;0),$E304&amp;"|"&amp;COUNTIFS($E$7:$E304,$E304,$G$7:$G304,"KÂR PAYI / AVANS*"),"")</f>
        <v/>
      </c>
    </row>
    <row r="305" spans="1:13" ht="18" customHeight="1" x14ac:dyDescent="0.3">
      <c r="A305" s="2"/>
      <c r="B305" s="65" t="str">
        <f t="shared" si="8"/>
        <v/>
      </c>
      <c r="C305" s="66"/>
      <c r="D305" s="60"/>
      <c r="E305" s="60"/>
      <c r="F305" s="67"/>
      <c r="G305" s="61"/>
      <c r="H305" s="61"/>
      <c r="I305" s="61"/>
      <c r="J305" s="65" t="str">
        <f t="shared" si="9"/>
        <v/>
      </c>
      <c r="K305" s="65" t="str">
        <f>IF($E305="","",$E305&amp;"|"&amp;COUNTIFS($E$7:$E305,$E305))</f>
        <v/>
      </c>
      <c r="L305" s="65" t="str">
        <f>IF($D305="","",$D305&amp;"|"&amp;COUNTIFS($D$7:$D305,$D305))</f>
        <v/>
      </c>
      <c r="M305" s="65" t="str">
        <f>IF(AND($E305&lt;&gt;"",COUNTIF($G305,"KÂR PAYI / AVANS*")&gt;0),$E305&amp;"|"&amp;COUNTIFS($E$7:$E305,$E305,$G$7:$G305,"KÂR PAYI / AVANS*"),"")</f>
        <v/>
      </c>
    </row>
    <row r="306" spans="1:13" ht="18" customHeight="1" x14ac:dyDescent="0.3">
      <c r="A306" s="2"/>
      <c r="B306" s="65" t="str">
        <f t="shared" si="8"/>
        <v/>
      </c>
      <c r="C306" s="66"/>
      <c r="D306" s="60"/>
      <c r="E306" s="60"/>
      <c r="F306" s="67"/>
      <c r="G306" s="61"/>
      <c r="H306" s="61"/>
      <c r="I306" s="61"/>
      <c r="J306" s="65" t="str">
        <f t="shared" si="9"/>
        <v/>
      </c>
      <c r="K306" s="65" t="str">
        <f>IF($E306="","",$E306&amp;"|"&amp;COUNTIFS($E$7:$E306,$E306))</f>
        <v/>
      </c>
      <c r="L306" s="65" t="str">
        <f>IF($D306="","",$D306&amp;"|"&amp;COUNTIFS($D$7:$D306,$D306))</f>
        <v/>
      </c>
      <c r="M306" s="65" t="str">
        <f>IF(AND($E306&lt;&gt;"",COUNTIF($G306,"KÂR PAYI / AVANS*")&gt;0),$E306&amp;"|"&amp;COUNTIFS($E$7:$E306,$E306,$G$7:$G306,"KÂR PAYI / AVANS*"),"")</f>
        <v/>
      </c>
    </row>
    <row r="307" spans="1:13" ht="18" customHeight="1" x14ac:dyDescent="0.3">
      <c r="A307" s="2"/>
      <c r="B307" s="65" t="str">
        <f t="shared" si="8"/>
        <v/>
      </c>
      <c r="C307" s="66"/>
      <c r="D307" s="60"/>
      <c r="E307" s="60"/>
      <c r="F307" s="67"/>
      <c r="G307" s="61"/>
      <c r="H307" s="61"/>
      <c r="I307" s="61"/>
      <c r="J307" s="65" t="str">
        <f t="shared" si="9"/>
        <v/>
      </c>
      <c r="K307" s="65" t="str">
        <f>IF($E307="","",$E307&amp;"|"&amp;COUNTIFS($E$7:$E307,$E307))</f>
        <v/>
      </c>
      <c r="L307" s="65" t="str">
        <f>IF($D307="","",$D307&amp;"|"&amp;COUNTIFS($D$7:$D307,$D307))</f>
        <v/>
      </c>
      <c r="M307" s="65" t="str">
        <f>IF(AND($E307&lt;&gt;"",COUNTIF($G307,"KÂR PAYI / AVANS*")&gt;0),$E307&amp;"|"&amp;COUNTIFS($E$7:$E307,$E307,$G$7:$G307,"KÂR PAYI / AVANS*"),"")</f>
        <v/>
      </c>
    </row>
    <row r="308" spans="1:13" ht="18" customHeight="1" x14ac:dyDescent="0.3">
      <c r="A308" s="2"/>
      <c r="B308" s="65" t="str">
        <f t="shared" si="8"/>
        <v/>
      </c>
      <c r="C308" s="66"/>
      <c r="D308" s="60"/>
      <c r="E308" s="60"/>
      <c r="F308" s="67"/>
      <c r="G308" s="61"/>
      <c r="H308" s="61"/>
      <c r="I308" s="61"/>
      <c r="J308" s="65" t="str">
        <f t="shared" si="9"/>
        <v/>
      </c>
      <c r="K308" s="65" t="str">
        <f>IF($E308="","",$E308&amp;"|"&amp;COUNTIFS($E$7:$E308,$E308))</f>
        <v/>
      </c>
      <c r="L308" s="65" t="str">
        <f>IF($D308="","",$D308&amp;"|"&amp;COUNTIFS($D$7:$D308,$D308))</f>
        <v/>
      </c>
      <c r="M308" s="65" t="str">
        <f>IF(AND($E308&lt;&gt;"",COUNTIF($G308,"KÂR PAYI / AVANS*")&gt;0),$E308&amp;"|"&amp;COUNTIFS($E$7:$E308,$E308,$G$7:$G308,"KÂR PAYI / AVANS*"),"")</f>
        <v/>
      </c>
    </row>
    <row r="309" spans="1:13" ht="18" customHeight="1" x14ac:dyDescent="0.3">
      <c r="A309" s="2"/>
      <c r="B309" s="65" t="str">
        <f t="shared" si="8"/>
        <v/>
      </c>
      <c r="C309" s="66"/>
      <c r="D309" s="60"/>
      <c r="E309" s="60"/>
      <c r="F309" s="67"/>
      <c r="G309" s="61"/>
      <c r="H309" s="61"/>
      <c r="I309" s="61"/>
      <c r="J309" s="65" t="str">
        <f t="shared" si="9"/>
        <v/>
      </c>
      <c r="K309" s="65" t="str">
        <f>IF($E309="","",$E309&amp;"|"&amp;COUNTIFS($E$7:$E309,$E309))</f>
        <v/>
      </c>
      <c r="L309" s="65" t="str">
        <f>IF($D309="","",$D309&amp;"|"&amp;COUNTIFS($D$7:$D309,$D309))</f>
        <v/>
      </c>
      <c r="M309" s="65" t="str">
        <f>IF(AND($E309&lt;&gt;"",COUNTIF($G309,"KÂR PAYI / AVANS*")&gt;0),$E309&amp;"|"&amp;COUNTIFS($E$7:$E309,$E309,$G$7:$G309,"KÂR PAYI / AVANS*"),"")</f>
        <v/>
      </c>
    </row>
    <row r="310" spans="1:13" ht="18" customHeight="1" x14ac:dyDescent="0.3">
      <c r="A310" s="2"/>
      <c r="B310" s="65" t="str">
        <f t="shared" si="8"/>
        <v/>
      </c>
      <c r="C310" s="66"/>
      <c r="D310" s="60"/>
      <c r="E310" s="60"/>
      <c r="F310" s="67"/>
      <c r="G310" s="61"/>
      <c r="H310" s="61"/>
      <c r="I310" s="61"/>
      <c r="J310" s="65" t="str">
        <f t="shared" si="9"/>
        <v/>
      </c>
      <c r="K310" s="65" t="str">
        <f>IF($E310="","",$E310&amp;"|"&amp;COUNTIFS($E$7:$E310,$E310))</f>
        <v/>
      </c>
      <c r="L310" s="65" t="str">
        <f>IF($D310="","",$D310&amp;"|"&amp;COUNTIFS($D$7:$D310,$D310))</f>
        <v/>
      </c>
      <c r="M310" s="65" t="str">
        <f>IF(AND($E310&lt;&gt;"",COUNTIF($G310,"KÂR PAYI / AVANS*")&gt;0),$E310&amp;"|"&amp;COUNTIFS($E$7:$E310,$E310,$G$7:$G310,"KÂR PAYI / AVANS*"),"")</f>
        <v/>
      </c>
    </row>
    <row r="311" spans="1:13" ht="18" customHeight="1" x14ac:dyDescent="0.3">
      <c r="A311" s="2"/>
      <c r="B311" s="65" t="str">
        <f t="shared" si="8"/>
        <v/>
      </c>
      <c r="C311" s="66"/>
      <c r="D311" s="60"/>
      <c r="E311" s="60"/>
      <c r="F311" s="67"/>
      <c r="G311" s="61"/>
      <c r="H311" s="61"/>
      <c r="I311" s="61"/>
      <c r="J311" s="65" t="str">
        <f t="shared" si="9"/>
        <v/>
      </c>
      <c r="K311" s="65" t="str">
        <f>IF($E311="","",$E311&amp;"|"&amp;COUNTIFS($E$7:$E311,$E311))</f>
        <v/>
      </c>
      <c r="L311" s="65" t="str">
        <f>IF($D311="","",$D311&amp;"|"&amp;COUNTIFS($D$7:$D311,$D311))</f>
        <v/>
      </c>
      <c r="M311" s="65" t="str">
        <f>IF(AND($E311&lt;&gt;"",COUNTIF($G311,"KÂR PAYI / AVANS*")&gt;0),$E311&amp;"|"&amp;COUNTIFS($E$7:$E311,$E311,$G$7:$G311,"KÂR PAYI / AVANS*"),"")</f>
        <v/>
      </c>
    </row>
    <row r="312" spans="1:13" ht="18" customHeight="1" x14ac:dyDescent="0.3">
      <c r="A312" s="2"/>
      <c r="B312" s="65" t="str">
        <f t="shared" si="8"/>
        <v/>
      </c>
      <c r="C312" s="66"/>
      <c r="D312" s="60"/>
      <c r="E312" s="60"/>
      <c r="F312" s="67"/>
      <c r="G312" s="61"/>
      <c r="H312" s="61"/>
      <c r="I312" s="61"/>
      <c r="J312" s="65" t="str">
        <f t="shared" si="9"/>
        <v/>
      </c>
      <c r="K312" s="65" t="str">
        <f>IF($E312="","",$E312&amp;"|"&amp;COUNTIFS($E$7:$E312,$E312))</f>
        <v/>
      </c>
      <c r="L312" s="65" t="str">
        <f>IF($D312="","",$D312&amp;"|"&amp;COUNTIFS($D$7:$D312,$D312))</f>
        <v/>
      </c>
      <c r="M312" s="65" t="str">
        <f>IF(AND($E312&lt;&gt;"",COUNTIF($G312,"KÂR PAYI / AVANS*")&gt;0),$E312&amp;"|"&amp;COUNTIFS($E$7:$E312,$E312,$G$7:$G312,"KÂR PAYI / AVANS*"),"")</f>
        <v/>
      </c>
    </row>
    <row r="313" spans="1:13" ht="18" customHeight="1" x14ac:dyDescent="0.3">
      <c r="A313" s="2"/>
      <c r="B313" s="65" t="str">
        <f t="shared" si="8"/>
        <v/>
      </c>
      <c r="C313" s="66"/>
      <c r="D313" s="60"/>
      <c r="E313" s="60"/>
      <c r="F313" s="67"/>
      <c r="G313" s="61"/>
      <c r="H313" s="61"/>
      <c r="I313" s="61"/>
      <c r="J313" s="65" t="str">
        <f t="shared" si="9"/>
        <v/>
      </c>
      <c r="K313" s="65" t="str">
        <f>IF($E313="","",$E313&amp;"|"&amp;COUNTIFS($E$7:$E313,$E313))</f>
        <v/>
      </c>
      <c r="L313" s="65" t="str">
        <f>IF($D313="","",$D313&amp;"|"&amp;COUNTIFS($D$7:$D313,$D313))</f>
        <v/>
      </c>
      <c r="M313" s="65" t="str">
        <f>IF(AND($E313&lt;&gt;"",COUNTIF($G313,"KÂR PAYI / AVANS*")&gt;0),$E313&amp;"|"&amp;COUNTIFS($E$7:$E313,$E313,$G$7:$G313,"KÂR PAYI / AVANS*"),"")</f>
        <v/>
      </c>
    </row>
    <row r="314" spans="1:13" ht="18" customHeight="1" x14ac:dyDescent="0.3">
      <c r="A314" s="2"/>
      <c r="B314" s="65" t="str">
        <f t="shared" si="8"/>
        <v/>
      </c>
      <c r="C314" s="66"/>
      <c r="D314" s="60"/>
      <c r="E314" s="60"/>
      <c r="F314" s="67"/>
      <c r="G314" s="61"/>
      <c r="H314" s="61"/>
      <c r="I314" s="61"/>
      <c r="J314" s="65" t="str">
        <f t="shared" si="9"/>
        <v/>
      </c>
      <c r="K314" s="65" t="str">
        <f>IF($E314="","",$E314&amp;"|"&amp;COUNTIFS($E$7:$E314,$E314))</f>
        <v/>
      </c>
      <c r="L314" s="65" t="str">
        <f>IF($D314="","",$D314&amp;"|"&amp;COUNTIFS($D$7:$D314,$D314))</f>
        <v/>
      </c>
      <c r="M314" s="65" t="str">
        <f>IF(AND($E314&lt;&gt;"",COUNTIF($G314,"KÂR PAYI / AVANS*")&gt;0),$E314&amp;"|"&amp;COUNTIFS($E$7:$E314,$E314,$G$7:$G314,"KÂR PAYI / AVANS*"),"")</f>
        <v/>
      </c>
    </row>
    <row r="315" spans="1:13" ht="18" customHeight="1" x14ac:dyDescent="0.3">
      <c r="A315" s="2"/>
      <c r="B315" s="65" t="str">
        <f t="shared" si="8"/>
        <v/>
      </c>
      <c r="C315" s="66"/>
      <c r="D315" s="60"/>
      <c r="E315" s="60"/>
      <c r="F315" s="67"/>
      <c r="G315" s="61"/>
      <c r="H315" s="61"/>
      <c r="I315" s="61"/>
      <c r="J315" s="65" t="str">
        <f t="shared" si="9"/>
        <v/>
      </c>
      <c r="K315" s="65" t="str">
        <f>IF($E315="","",$E315&amp;"|"&amp;COUNTIFS($E$7:$E315,$E315))</f>
        <v/>
      </c>
      <c r="L315" s="65" t="str">
        <f>IF($D315="","",$D315&amp;"|"&amp;COUNTIFS($D$7:$D315,$D315))</f>
        <v/>
      </c>
      <c r="M315" s="65" t="str">
        <f>IF(AND($E315&lt;&gt;"",COUNTIF($G315,"KÂR PAYI / AVANS*")&gt;0),$E315&amp;"|"&amp;COUNTIFS($E$7:$E315,$E315,$G$7:$G315,"KÂR PAYI / AVANS*"),"")</f>
        <v/>
      </c>
    </row>
    <row r="316" spans="1:13" ht="18" customHeight="1" x14ac:dyDescent="0.3">
      <c r="A316" s="2"/>
      <c r="B316" s="65" t="str">
        <f t="shared" si="8"/>
        <v/>
      </c>
      <c r="C316" s="66"/>
      <c r="D316" s="60"/>
      <c r="E316" s="60"/>
      <c r="F316" s="67"/>
      <c r="G316" s="61"/>
      <c r="H316" s="61"/>
      <c r="I316" s="61"/>
      <c r="J316" s="65" t="str">
        <f t="shared" si="9"/>
        <v/>
      </c>
      <c r="K316" s="65" t="str">
        <f>IF($E316="","",$E316&amp;"|"&amp;COUNTIFS($E$7:$E316,$E316))</f>
        <v/>
      </c>
      <c r="L316" s="65" t="str">
        <f>IF($D316="","",$D316&amp;"|"&amp;COUNTIFS($D$7:$D316,$D316))</f>
        <v/>
      </c>
      <c r="M316" s="65" t="str">
        <f>IF(AND($E316&lt;&gt;"",COUNTIF($G316,"KÂR PAYI / AVANS*")&gt;0),$E316&amp;"|"&amp;COUNTIFS($E$7:$E316,$E316,$G$7:$G316,"KÂR PAYI / AVANS*"),"")</f>
        <v/>
      </c>
    </row>
    <row r="317" spans="1:13" ht="18" customHeight="1" x14ac:dyDescent="0.3">
      <c r="A317" s="2"/>
      <c r="B317" s="65" t="str">
        <f t="shared" si="8"/>
        <v/>
      </c>
      <c r="C317" s="66"/>
      <c r="D317" s="60"/>
      <c r="E317" s="60"/>
      <c r="F317" s="67"/>
      <c r="G317" s="61"/>
      <c r="H317" s="61"/>
      <c r="I317" s="61"/>
      <c r="J317" s="65" t="str">
        <f t="shared" si="9"/>
        <v/>
      </c>
      <c r="K317" s="65" t="str">
        <f>IF($E317="","",$E317&amp;"|"&amp;COUNTIFS($E$7:$E317,$E317))</f>
        <v/>
      </c>
      <c r="L317" s="65" t="str">
        <f>IF($D317="","",$D317&amp;"|"&amp;COUNTIFS($D$7:$D317,$D317))</f>
        <v/>
      </c>
      <c r="M317" s="65" t="str">
        <f>IF(AND($E317&lt;&gt;"",COUNTIF($G317,"KÂR PAYI / AVANS*")&gt;0),$E317&amp;"|"&amp;COUNTIFS($E$7:$E317,$E317,$G$7:$G317,"KÂR PAYI / AVANS*"),"")</f>
        <v/>
      </c>
    </row>
    <row r="318" spans="1:13" ht="18" customHeight="1" x14ac:dyDescent="0.3">
      <c r="A318" s="2"/>
      <c r="B318" s="65" t="str">
        <f t="shared" si="8"/>
        <v/>
      </c>
      <c r="C318" s="66"/>
      <c r="D318" s="60"/>
      <c r="E318" s="60"/>
      <c r="F318" s="67"/>
      <c r="G318" s="61"/>
      <c r="H318" s="61"/>
      <c r="I318" s="61"/>
      <c r="J318" s="65" t="str">
        <f t="shared" si="9"/>
        <v/>
      </c>
      <c r="K318" s="65" t="str">
        <f>IF($E318="","",$E318&amp;"|"&amp;COUNTIFS($E$7:$E318,$E318))</f>
        <v/>
      </c>
      <c r="L318" s="65" t="str">
        <f>IF($D318="","",$D318&amp;"|"&amp;COUNTIFS($D$7:$D318,$D318))</f>
        <v/>
      </c>
      <c r="M318" s="65" t="str">
        <f>IF(AND($E318&lt;&gt;"",COUNTIF($G318,"KÂR PAYI / AVANS*")&gt;0),$E318&amp;"|"&amp;COUNTIFS($E$7:$E318,$E318,$G$7:$G318,"KÂR PAYI / AVANS*"),"")</f>
        <v/>
      </c>
    </row>
    <row r="319" spans="1:13" ht="18" customHeight="1" x14ac:dyDescent="0.3">
      <c r="A319" s="2"/>
      <c r="B319" s="65" t="str">
        <f t="shared" si="8"/>
        <v/>
      </c>
      <c r="C319" s="66"/>
      <c r="D319" s="60"/>
      <c r="E319" s="60"/>
      <c r="F319" s="67"/>
      <c r="G319" s="61"/>
      <c r="H319" s="61"/>
      <c r="I319" s="61"/>
      <c r="J319" s="65" t="str">
        <f t="shared" si="9"/>
        <v/>
      </c>
      <c r="K319" s="65" t="str">
        <f>IF($E319="","",$E319&amp;"|"&amp;COUNTIFS($E$7:$E319,$E319))</f>
        <v/>
      </c>
      <c r="L319" s="65" t="str">
        <f>IF($D319="","",$D319&amp;"|"&amp;COUNTIFS($D$7:$D319,$D319))</f>
        <v/>
      </c>
      <c r="M319" s="65" t="str">
        <f>IF(AND($E319&lt;&gt;"",COUNTIF($G319,"KÂR PAYI / AVANS*")&gt;0),$E319&amp;"|"&amp;COUNTIFS($E$7:$E319,$E319,$G$7:$G319,"KÂR PAYI / AVANS*"),"")</f>
        <v/>
      </c>
    </row>
    <row r="320" spans="1:13" ht="18" customHeight="1" x14ac:dyDescent="0.3">
      <c r="A320" s="2"/>
      <c r="B320" s="65" t="str">
        <f t="shared" si="8"/>
        <v/>
      </c>
      <c r="C320" s="66"/>
      <c r="D320" s="60"/>
      <c r="E320" s="60"/>
      <c r="F320" s="67"/>
      <c r="G320" s="61"/>
      <c r="H320" s="61"/>
      <c r="I320" s="61"/>
      <c r="J320" s="65" t="str">
        <f t="shared" si="9"/>
        <v/>
      </c>
      <c r="K320" s="65" t="str">
        <f>IF($E320="","",$E320&amp;"|"&amp;COUNTIFS($E$7:$E320,$E320))</f>
        <v/>
      </c>
      <c r="L320" s="65" t="str">
        <f>IF($D320="","",$D320&amp;"|"&amp;COUNTIFS($D$7:$D320,$D320))</f>
        <v/>
      </c>
      <c r="M320" s="65" t="str">
        <f>IF(AND($E320&lt;&gt;"",COUNTIF($G320,"KÂR PAYI / AVANS*")&gt;0),$E320&amp;"|"&amp;COUNTIFS($E$7:$E320,$E320,$G$7:$G320,"KÂR PAYI / AVANS*"),"")</f>
        <v/>
      </c>
    </row>
    <row r="321" spans="1:13" ht="18" customHeight="1" x14ac:dyDescent="0.3">
      <c r="A321" s="2"/>
      <c r="B321" s="65" t="str">
        <f t="shared" si="8"/>
        <v/>
      </c>
      <c r="C321" s="66"/>
      <c r="D321" s="60"/>
      <c r="E321" s="60"/>
      <c r="F321" s="67"/>
      <c r="G321" s="61"/>
      <c r="H321" s="61"/>
      <c r="I321" s="61"/>
      <c r="J321" s="65" t="str">
        <f t="shared" si="9"/>
        <v/>
      </c>
      <c r="K321" s="65" t="str">
        <f>IF($E321="","",$E321&amp;"|"&amp;COUNTIFS($E$7:$E321,$E321))</f>
        <v/>
      </c>
      <c r="L321" s="65" t="str">
        <f>IF($D321="","",$D321&amp;"|"&amp;COUNTIFS($D$7:$D321,$D321))</f>
        <v/>
      </c>
      <c r="M321" s="65" t="str">
        <f>IF(AND($E321&lt;&gt;"",COUNTIF($G321,"KÂR PAYI / AVANS*")&gt;0),$E321&amp;"|"&amp;COUNTIFS($E$7:$E321,$E321,$G$7:$G321,"KÂR PAYI / AVANS*"),"")</f>
        <v/>
      </c>
    </row>
    <row r="322" spans="1:13" ht="18" customHeight="1" x14ac:dyDescent="0.3">
      <c r="A322" s="2"/>
      <c r="B322" s="65" t="str">
        <f t="shared" si="8"/>
        <v/>
      </c>
      <c r="C322" s="66"/>
      <c r="D322" s="60"/>
      <c r="E322" s="60"/>
      <c r="F322" s="67"/>
      <c r="G322" s="61"/>
      <c r="H322" s="61"/>
      <c r="I322" s="61"/>
      <c r="J322" s="65" t="str">
        <f t="shared" si="9"/>
        <v/>
      </c>
      <c r="K322" s="65" t="str">
        <f>IF($E322="","",$E322&amp;"|"&amp;COUNTIFS($E$7:$E322,$E322))</f>
        <v/>
      </c>
      <c r="L322" s="65" t="str">
        <f>IF($D322="","",$D322&amp;"|"&amp;COUNTIFS($D$7:$D322,$D322))</f>
        <v/>
      </c>
      <c r="M322" s="65" t="str">
        <f>IF(AND($E322&lt;&gt;"",COUNTIF($G322,"KÂR PAYI / AVANS*")&gt;0),$E322&amp;"|"&amp;COUNTIFS($E$7:$E322,$E322,$G$7:$G322,"KÂR PAYI / AVANS*"),"")</f>
        <v/>
      </c>
    </row>
    <row r="323" spans="1:13" ht="18" customHeight="1" x14ac:dyDescent="0.3">
      <c r="A323" s="2"/>
      <c r="B323" s="65" t="str">
        <f t="shared" si="8"/>
        <v/>
      </c>
      <c r="C323" s="66"/>
      <c r="D323" s="60"/>
      <c r="E323" s="60"/>
      <c r="F323" s="67"/>
      <c r="G323" s="61"/>
      <c r="H323" s="61"/>
      <c r="I323" s="61"/>
      <c r="J323" s="65" t="str">
        <f t="shared" si="9"/>
        <v/>
      </c>
      <c r="K323" s="65" t="str">
        <f>IF($E323="","",$E323&amp;"|"&amp;COUNTIFS($E$7:$E323,$E323))</f>
        <v/>
      </c>
      <c r="L323" s="65" t="str">
        <f>IF($D323="","",$D323&amp;"|"&amp;COUNTIFS($D$7:$D323,$D323))</f>
        <v/>
      </c>
      <c r="M323" s="65" t="str">
        <f>IF(AND($E323&lt;&gt;"",COUNTIF($G323,"KÂR PAYI / AVANS*")&gt;0),$E323&amp;"|"&amp;COUNTIFS($E$7:$E323,$E323,$G$7:$G323,"KÂR PAYI / AVANS*"),"")</f>
        <v/>
      </c>
    </row>
    <row r="324" spans="1:13" ht="18" customHeight="1" x14ac:dyDescent="0.3">
      <c r="A324" s="2"/>
      <c r="B324" s="65" t="str">
        <f t="shared" si="8"/>
        <v/>
      </c>
      <c r="C324" s="66"/>
      <c r="D324" s="60"/>
      <c r="E324" s="60"/>
      <c r="F324" s="67"/>
      <c r="G324" s="61"/>
      <c r="H324" s="61"/>
      <c r="I324" s="61"/>
      <c r="J324" s="65" t="str">
        <f t="shared" si="9"/>
        <v/>
      </c>
      <c r="K324" s="65" t="str">
        <f>IF($E324="","",$E324&amp;"|"&amp;COUNTIFS($E$7:$E324,$E324))</f>
        <v/>
      </c>
      <c r="L324" s="65" t="str">
        <f>IF($D324="","",$D324&amp;"|"&amp;COUNTIFS($D$7:$D324,$D324))</f>
        <v/>
      </c>
      <c r="M324" s="65" t="str">
        <f>IF(AND($E324&lt;&gt;"",COUNTIF($G324,"KÂR PAYI / AVANS*")&gt;0),$E324&amp;"|"&amp;COUNTIFS($E$7:$E324,$E324,$G$7:$G324,"KÂR PAYI / AVANS*"),"")</f>
        <v/>
      </c>
    </row>
    <row r="325" spans="1:13" ht="18" customHeight="1" x14ac:dyDescent="0.3">
      <c r="A325" s="2"/>
      <c r="B325" s="65" t="str">
        <f t="shared" si="8"/>
        <v/>
      </c>
      <c r="C325" s="66"/>
      <c r="D325" s="60"/>
      <c r="E325" s="60"/>
      <c r="F325" s="67"/>
      <c r="G325" s="61"/>
      <c r="H325" s="61"/>
      <c r="I325" s="61"/>
      <c r="J325" s="65" t="str">
        <f t="shared" si="9"/>
        <v/>
      </c>
      <c r="K325" s="65" t="str">
        <f>IF($E325="","",$E325&amp;"|"&amp;COUNTIFS($E$7:$E325,$E325))</f>
        <v/>
      </c>
      <c r="L325" s="65" t="str">
        <f>IF($D325="","",$D325&amp;"|"&amp;COUNTIFS($D$7:$D325,$D325))</f>
        <v/>
      </c>
      <c r="M325" s="65" t="str">
        <f>IF(AND($E325&lt;&gt;"",COUNTIF($G325,"KÂR PAYI / AVANS*")&gt;0),$E325&amp;"|"&amp;COUNTIFS($E$7:$E325,$E325,$G$7:$G325,"KÂR PAYI / AVANS*"),"")</f>
        <v/>
      </c>
    </row>
    <row r="326" spans="1:13" ht="18" customHeight="1" x14ac:dyDescent="0.3">
      <c r="A326" s="2"/>
      <c r="B326" s="65" t="str">
        <f t="shared" si="8"/>
        <v/>
      </c>
      <c r="C326" s="66"/>
      <c r="D326" s="60"/>
      <c r="E326" s="60"/>
      <c r="F326" s="67"/>
      <c r="G326" s="61"/>
      <c r="H326" s="61"/>
      <c r="I326" s="61"/>
      <c r="J326" s="65" t="str">
        <f t="shared" si="9"/>
        <v/>
      </c>
      <c r="K326" s="65" t="str">
        <f>IF($E326="","",$E326&amp;"|"&amp;COUNTIFS($E$7:$E326,$E326))</f>
        <v/>
      </c>
      <c r="L326" s="65" t="str">
        <f>IF($D326="","",$D326&amp;"|"&amp;COUNTIFS($D$7:$D326,$D326))</f>
        <v/>
      </c>
      <c r="M326" s="65" t="str">
        <f>IF(AND($E326&lt;&gt;"",COUNTIF($G326,"KÂR PAYI / AVANS*")&gt;0),$E326&amp;"|"&amp;COUNTIFS($E$7:$E326,$E326,$G$7:$G326,"KÂR PAYI / AVANS*"),"")</f>
        <v/>
      </c>
    </row>
    <row r="327" spans="1:13" ht="18" customHeight="1" x14ac:dyDescent="0.3">
      <c r="A327" s="2"/>
      <c r="B327" s="65" t="str">
        <f t="shared" ref="B327:B390" si="10">IF($C327="","","V"&amp;TEXT(ROW()-6,"00000"))</f>
        <v/>
      </c>
      <c r="C327" s="66"/>
      <c r="D327" s="60"/>
      <c r="E327" s="60"/>
      <c r="F327" s="67"/>
      <c r="G327" s="61"/>
      <c r="H327" s="61"/>
      <c r="I327" s="61"/>
      <c r="J327" s="65" t="str">
        <f t="shared" ref="J327:J390" si="11">IF($C327="","",IF(AND($D327&lt;&gt;"",$E327&lt;&gt;"",$D327&lt;&gt;$E327,$F327&gt;0),"UYGUN","HATA"))</f>
        <v/>
      </c>
      <c r="K327" s="65" t="str">
        <f>IF($E327="","",$E327&amp;"|"&amp;COUNTIFS($E$7:$E327,$E327))</f>
        <v/>
      </c>
      <c r="L327" s="65" t="str">
        <f>IF($D327="","",$D327&amp;"|"&amp;COUNTIFS($D$7:$D327,$D327))</f>
        <v/>
      </c>
      <c r="M327" s="65" t="str">
        <f>IF(AND($E327&lt;&gt;"",COUNTIF($G327,"KÂR PAYI / AVANS*")&gt;0),$E327&amp;"|"&amp;COUNTIFS($E$7:$E327,$E327,$G$7:$G327,"KÂR PAYI / AVANS*"),"")</f>
        <v/>
      </c>
    </row>
    <row r="328" spans="1:13" ht="18" customHeight="1" x14ac:dyDescent="0.3">
      <c r="A328" s="2"/>
      <c r="B328" s="65" t="str">
        <f t="shared" si="10"/>
        <v/>
      </c>
      <c r="C328" s="66"/>
      <c r="D328" s="60"/>
      <c r="E328" s="60"/>
      <c r="F328" s="67"/>
      <c r="G328" s="61"/>
      <c r="H328" s="61"/>
      <c r="I328" s="61"/>
      <c r="J328" s="65" t="str">
        <f t="shared" si="11"/>
        <v/>
      </c>
      <c r="K328" s="65" t="str">
        <f>IF($E328="","",$E328&amp;"|"&amp;COUNTIFS($E$7:$E328,$E328))</f>
        <v/>
      </c>
      <c r="L328" s="65" t="str">
        <f>IF($D328="","",$D328&amp;"|"&amp;COUNTIFS($D$7:$D328,$D328))</f>
        <v/>
      </c>
      <c r="M328" s="65" t="str">
        <f>IF(AND($E328&lt;&gt;"",COUNTIF($G328,"KÂR PAYI / AVANS*")&gt;0),$E328&amp;"|"&amp;COUNTIFS($E$7:$E328,$E328,$G$7:$G328,"KÂR PAYI / AVANS*"),"")</f>
        <v/>
      </c>
    </row>
    <row r="329" spans="1:13" ht="18" customHeight="1" x14ac:dyDescent="0.3">
      <c r="A329" s="2"/>
      <c r="B329" s="65" t="str">
        <f t="shared" si="10"/>
        <v/>
      </c>
      <c r="C329" s="66"/>
      <c r="D329" s="60"/>
      <c r="E329" s="60"/>
      <c r="F329" s="67"/>
      <c r="G329" s="61"/>
      <c r="H329" s="61"/>
      <c r="I329" s="61"/>
      <c r="J329" s="65" t="str">
        <f t="shared" si="11"/>
        <v/>
      </c>
      <c r="K329" s="65" t="str">
        <f>IF($E329="","",$E329&amp;"|"&amp;COUNTIFS($E$7:$E329,$E329))</f>
        <v/>
      </c>
      <c r="L329" s="65" t="str">
        <f>IF($D329="","",$D329&amp;"|"&amp;COUNTIFS($D$7:$D329,$D329))</f>
        <v/>
      </c>
      <c r="M329" s="65" t="str">
        <f>IF(AND($E329&lt;&gt;"",COUNTIF($G329,"KÂR PAYI / AVANS*")&gt;0),$E329&amp;"|"&amp;COUNTIFS($E$7:$E329,$E329,$G$7:$G329,"KÂR PAYI / AVANS*"),"")</f>
        <v/>
      </c>
    </row>
    <row r="330" spans="1:13" ht="18" customHeight="1" x14ac:dyDescent="0.3">
      <c r="A330" s="2"/>
      <c r="B330" s="65" t="str">
        <f t="shared" si="10"/>
        <v/>
      </c>
      <c r="C330" s="66"/>
      <c r="D330" s="60"/>
      <c r="E330" s="60"/>
      <c r="F330" s="67"/>
      <c r="G330" s="61"/>
      <c r="H330" s="61"/>
      <c r="I330" s="61"/>
      <c r="J330" s="65" t="str">
        <f t="shared" si="11"/>
        <v/>
      </c>
      <c r="K330" s="65" t="str">
        <f>IF($E330="","",$E330&amp;"|"&amp;COUNTIFS($E$7:$E330,$E330))</f>
        <v/>
      </c>
      <c r="L330" s="65" t="str">
        <f>IF($D330="","",$D330&amp;"|"&amp;COUNTIFS($D$7:$D330,$D330))</f>
        <v/>
      </c>
      <c r="M330" s="65" t="str">
        <f>IF(AND($E330&lt;&gt;"",COUNTIF($G330,"KÂR PAYI / AVANS*")&gt;0),$E330&amp;"|"&amp;COUNTIFS($E$7:$E330,$E330,$G$7:$G330,"KÂR PAYI / AVANS*"),"")</f>
        <v/>
      </c>
    </row>
    <row r="331" spans="1:13" ht="18" customHeight="1" x14ac:dyDescent="0.3">
      <c r="A331" s="2"/>
      <c r="B331" s="65" t="str">
        <f t="shared" si="10"/>
        <v/>
      </c>
      <c r="C331" s="66"/>
      <c r="D331" s="60"/>
      <c r="E331" s="60"/>
      <c r="F331" s="67"/>
      <c r="G331" s="61"/>
      <c r="H331" s="61"/>
      <c r="I331" s="61"/>
      <c r="J331" s="65" t="str">
        <f t="shared" si="11"/>
        <v/>
      </c>
      <c r="K331" s="65" t="str">
        <f>IF($E331="","",$E331&amp;"|"&amp;COUNTIFS($E$7:$E331,$E331))</f>
        <v/>
      </c>
      <c r="L331" s="65" t="str">
        <f>IF($D331="","",$D331&amp;"|"&amp;COUNTIFS($D$7:$D331,$D331))</f>
        <v/>
      </c>
      <c r="M331" s="65" t="str">
        <f>IF(AND($E331&lt;&gt;"",COUNTIF($G331,"KÂR PAYI / AVANS*")&gt;0),$E331&amp;"|"&amp;COUNTIFS($E$7:$E331,$E331,$G$7:$G331,"KÂR PAYI / AVANS*"),"")</f>
        <v/>
      </c>
    </row>
    <row r="332" spans="1:13" ht="18" customHeight="1" x14ac:dyDescent="0.3">
      <c r="A332" s="2"/>
      <c r="B332" s="65" t="str">
        <f t="shared" si="10"/>
        <v/>
      </c>
      <c r="C332" s="66"/>
      <c r="D332" s="60"/>
      <c r="E332" s="60"/>
      <c r="F332" s="67"/>
      <c r="G332" s="61"/>
      <c r="H332" s="61"/>
      <c r="I332" s="61"/>
      <c r="J332" s="65" t="str">
        <f t="shared" si="11"/>
        <v/>
      </c>
      <c r="K332" s="65" t="str">
        <f>IF($E332="","",$E332&amp;"|"&amp;COUNTIFS($E$7:$E332,$E332))</f>
        <v/>
      </c>
      <c r="L332" s="65" t="str">
        <f>IF($D332="","",$D332&amp;"|"&amp;COUNTIFS($D$7:$D332,$D332))</f>
        <v/>
      </c>
      <c r="M332" s="65" t="str">
        <f>IF(AND($E332&lt;&gt;"",COUNTIF($G332,"KÂR PAYI / AVANS*")&gt;0),$E332&amp;"|"&amp;COUNTIFS($E$7:$E332,$E332,$G$7:$G332,"KÂR PAYI / AVANS*"),"")</f>
        <v/>
      </c>
    </row>
    <row r="333" spans="1:13" ht="18" customHeight="1" x14ac:dyDescent="0.3">
      <c r="A333" s="2"/>
      <c r="B333" s="65" t="str">
        <f t="shared" si="10"/>
        <v/>
      </c>
      <c r="C333" s="66"/>
      <c r="D333" s="60"/>
      <c r="E333" s="60"/>
      <c r="F333" s="67"/>
      <c r="G333" s="61"/>
      <c r="H333" s="61"/>
      <c r="I333" s="61"/>
      <c r="J333" s="65" t="str">
        <f t="shared" si="11"/>
        <v/>
      </c>
      <c r="K333" s="65" t="str">
        <f>IF($E333="","",$E333&amp;"|"&amp;COUNTIFS($E$7:$E333,$E333))</f>
        <v/>
      </c>
      <c r="L333" s="65" t="str">
        <f>IF($D333="","",$D333&amp;"|"&amp;COUNTIFS($D$7:$D333,$D333))</f>
        <v/>
      </c>
      <c r="M333" s="65" t="str">
        <f>IF(AND($E333&lt;&gt;"",COUNTIF($G333,"KÂR PAYI / AVANS*")&gt;0),$E333&amp;"|"&amp;COUNTIFS($E$7:$E333,$E333,$G$7:$G333,"KÂR PAYI / AVANS*"),"")</f>
        <v/>
      </c>
    </row>
    <row r="334" spans="1:13" ht="18" customHeight="1" x14ac:dyDescent="0.3">
      <c r="A334" s="2"/>
      <c r="B334" s="65" t="str">
        <f t="shared" si="10"/>
        <v/>
      </c>
      <c r="C334" s="66"/>
      <c r="D334" s="60"/>
      <c r="E334" s="60"/>
      <c r="F334" s="67"/>
      <c r="G334" s="61"/>
      <c r="H334" s="61"/>
      <c r="I334" s="61"/>
      <c r="J334" s="65" t="str">
        <f t="shared" si="11"/>
        <v/>
      </c>
      <c r="K334" s="65" t="str">
        <f>IF($E334="","",$E334&amp;"|"&amp;COUNTIFS($E$7:$E334,$E334))</f>
        <v/>
      </c>
      <c r="L334" s="65" t="str">
        <f>IF($D334="","",$D334&amp;"|"&amp;COUNTIFS($D$7:$D334,$D334))</f>
        <v/>
      </c>
      <c r="M334" s="65" t="str">
        <f>IF(AND($E334&lt;&gt;"",COUNTIF($G334,"KÂR PAYI / AVANS*")&gt;0),$E334&amp;"|"&amp;COUNTIFS($E$7:$E334,$E334,$G$7:$G334,"KÂR PAYI / AVANS*"),"")</f>
        <v/>
      </c>
    </row>
    <row r="335" spans="1:13" ht="18" customHeight="1" x14ac:dyDescent="0.3">
      <c r="A335" s="2"/>
      <c r="B335" s="65" t="str">
        <f t="shared" si="10"/>
        <v/>
      </c>
      <c r="C335" s="66"/>
      <c r="D335" s="60"/>
      <c r="E335" s="60"/>
      <c r="F335" s="67"/>
      <c r="G335" s="61"/>
      <c r="H335" s="61"/>
      <c r="I335" s="61"/>
      <c r="J335" s="65" t="str">
        <f t="shared" si="11"/>
        <v/>
      </c>
      <c r="K335" s="65" t="str">
        <f>IF($E335="","",$E335&amp;"|"&amp;COUNTIFS($E$7:$E335,$E335))</f>
        <v/>
      </c>
      <c r="L335" s="65" t="str">
        <f>IF($D335="","",$D335&amp;"|"&amp;COUNTIFS($D$7:$D335,$D335))</f>
        <v/>
      </c>
      <c r="M335" s="65" t="str">
        <f>IF(AND($E335&lt;&gt;"",COUNTIF($G335,"KÂR PAYI / AVANS*")&gt;0),$E335&amp;"|"&amp;COUNTIFS($E$7:$E335,$E335,$G$7:$G335,"KÂR PAYI / AVANS*"),"")</f>
        <v/>
      </c>
    </row>
    <row r="336" spans="1:13" ht="18" customHeight="1" x14ac:dyDescent="0.3">
      <c r="A336" s="2"/>
      <c r="B336" s="65" t="str">
        <f t="shared" si="10"/>
        <v/>
      </c>
      <c r="C336" s="66"/>
      <c r="D336" s="60"/>
      <c r="E336" s="60"/>
      <c r="F336" s="67"/>
      <c r="G336" s="61"/>
      <c r="H336" s="61"/>
      <c r="I336" s="61"/>
      <c r="J336" s="65" t="str">
        <f t="shared" si="11"/>
        <v/>
      </c>
      <c r="K336" s="65" t="str">
        <f>IF($E336="","",$E336&amp;"|"&amp;COUNTIFS($E$7:$E336,$E336))</f>
        <v/>
      </c>
      <c r="L336" s="65" t="str">
        <f>IF($D336="","",$D336&amp;"|"&amp;COUNTIFS($D$7:$D336,$D336))</f>
        <v/>
      </c>
      <c r="M336" s="65" t="str">
        <f>IF(AND($E336&lt;&gt;"",COUNTIF($G336,"KÂR PAYI / AVANS*")&gt;0),$E336&amp;"|"&amp;COUNTIFS($E$7:$E336,$E336,$G$7:$G336,"KÂR PAYI / AVANS*"),"")</f>
        <v/>
      </c>
    </row>
    <row r="337" spans="1:13" ht="18" customHeight="1" x14ac:dyDescent="0.3">
      <c r="A337" s="2"/>
      <c r="B337" s="65" t="str">
        <f t="shared" si="10"/>
        <v/>
      </c>
      <c r="C337" s="66"/>
      <c r="D337" s="60"/>
      <c r="E337" s="60"/>
      <c r="F337" s="67"/>
      <c r="G337" s="61"/>
      <c r="H337" s="61"/>
      <c r="I337" s="61"/>
      <c r="J337" s="65" t="str">
        <f t="shared" si="11"/>
        <v/>
      </c>
      <c r="K337" s="65" t="str">
        <f>IF($E337="","",$E337&amp;"|"&amp;COUNTIFS($E$7:$E337,$E337))</f>
        <v/>
      </c>
      <c r="L337" s="65" t="str">
        <f>IF($D337="","",$D337&amp;"|"&amp;COUNTIFS($D$7:$D337,$D337))</f>
        <v/>
      </c>
      <c r="M337" s="65" t="str">
        <f>IF(AND($E337&lt;&gt;"",COUNTIF($G337,"KÂR PAYI / AVANS*")&gt;0),$E337&amp;"|"&amp;COUNTIFS($E$7:$E337,$E337,$G$7:$G337,"KÂR PAYI / AVANS*"),"")</f>
        <v/>
      </c>
    </row>
    <row r="338" spans="1:13" ht="18" customHeight="1" x14ac:dyDescent="0.3">
      <c r="A338" s="2"/>
      <c r="B338" s="65" t="str">
        <f t="shared" si="10"/>
        <v/>
      </c>
      <c r="C338" s="66"/>
      <c r="D338" s="60"/>
      <c r="E338" s="60"/>
      <c r="F338" s="67"/>
      <c r="G338" s="61"/>
      <c r="H338" s="61"/>
      <c r="I338" s="61"/>
      <c r="J338" s="65" t="str">
        <f t="shared" si="11"/>
        <v/>
      </c>
      <c r="K338" s="65" t="str">
        <f>IF($E338="","",$E338&amp;"|"&amp;COUNTIFS($E$7:$E338,$E338))</f>
        <v/>
      </c>
      <c r="L338" s="65" t="str">
        <f>IF($D338="","",$D338&amp;"|"&amp;COUNTIFS($D$7:$D338,$D338))</f>
        <v/>
      </c>
      <c r="M338" s="65" t="str">
        <f>IF(AND($E338&lt;&gt;"",COUNTIF($G338,"KÂR PAYI / AVANS*")&gt;0),$E338&amp;"|"&amp;COUNTIFS($E$7:$E338,$E338,$G$7:$G338,"KÂR PAYI / AVANS*"),"")</f>
        <v/>
      </c>
    </row>
    <row r="339" spans="1:13" ht="18" customHeight="1" x14ac:dyDescent="0.3">
      <c r="A339" s="2"/>
      <c r="B339" s="65" t="str">
        <f t="shared" si="10"/>
        <v/>
      </c>
      <c r="C339" s="66"/>
      <c r="D339" s="60"/>
      <c r="E339" s="60"/>
      <c r="F339" s="67"/>
      <c r="G339" s="61"/>
      <c r="H339" s="61"/>
      <c r="I339" s="61"/>
      <c r="J339" s="65" t="str">
        <f t="shared" si="11"/>
        <v/>
      </c>
      <c r="K339" s="65" t="str">
        <f>IF($E339="","",$E339&amp;"|"&amp;COUNTIFS($E$7:$E339,$E339))</f>
        <v/>
      </c>
      <c r="L339" s="65" t="str">
        <f>IF($D339="","",$D339&amp;"|"&amp;COUNTIFS($D$7:$D339,$D339))</f>
        <v/>
      </c>
      <c r="M339" s="65" t="str">
        <f>IF(AND($E339&lt;&gt;"",COUNTIF($G339,"KÂR PAYI / AVANS*")&gt;0),$E339&amp;"|"&amp;COUNTIFS($E$7:$E339,$E339,$G$7:$G339,"KÂR PAYI / AVANS*"),"")</f>
        <v/>
      </c>
    </row>
    <row r="340" spans="1:13" ht="18" customHeight="1" x14ac:dyDescent="0.3">
      <c r="A340" s="2"/>
      <c r="B340" s="65" t="str">
        <f t="shared" si="10"/>
        <v/>
      </c>
      <c r="C340" s="66"/>
      <c r="D340" s="60"/>
      <c r="E340" s="60"/>
      <c r="F340" s="67"/>
      <c r="G340" s="61"/>
      <c r="H340" s="61"/>
      <c r="I340" s="61"/>
      <c r="J340" s="65" t="str">
        <f t="shared" si="11"/>
        <v/>
      </c>
      <c r="K340" s="65" t="str">
        <f>IF($E340="","",$E340&amp;"|"&amp;COUNTIFS($E$7:$E340,$E340))</f>
        <v/>
      </c>
      <c r="L340" s="65" t="str">
        <f>IF($D340="","",$D340&amp;"|"&amp;COUNTIFS($D$7:$D340,$D340))</f>
        <v/>
      </c>
      <c r="M340" s="65" t="str">
        <f>IF(AND($E340&lt;&gt;"",COUNTIF($G340,"KÂR PAYI / AVANS*")&gt;0),$E340&amp;"|"&amp;COUNTIFS($E$7:$E340,$E340,$G$7:$G340,"KÂR PAYI / AVANS*"),"")</f>
        <v/>
      </c>
    </row>
    <row r="341" spans="1:13" ht="18" customHeight="1" x14ac:dyDescent="0.3">
      <c r="A341" s="2"/>
      <c r="B341" s="65" t="str">
        <f t="shared" si="10"/>
        <v/>
      </c>
      <c r="C341" s="66"/>
      <c r="D341" s="60"/>
      <c r="E341" s="60"/>
      <c r="F341" s="67"/>
      <c r="G341" s="61"/>
      <c r="H341" s="61"/>
      <c r="I341" s="61"/>
      <c r="J341" s="65" t="str">
        <f t="shared" si="11"/>
        <v/>
      </c>
      <c r="K341" s="65" t="str">
        <f>IF($E341="","",$E341&amp;"|"&amp;COUNTIFS($E$7:$E341,$E341))</f>
        <v/>
      </c>
      <c r="L341" s="65" t="str">
        <f>IF($D341="","",$D341&amp;"|"&amp;COUNTIFS($D$7:$D341,$D341))</f>
        <v/>
      </c>
      <c r="M341" s="65" t="str">
        <f>IF(AND($E341&lt;&gt;"",COUNTIF($G341,"KÂR PAYI / AVANS*")&gt;0),$E341&amp;"|"&amp;COUNTIFS($E$7:$E341,$E341,$G$7:$G341,"KÂR PAYI / AVANS*"),"")</f>
        <v/>
      </c>
    </row>
    <row r="342" spans="1:13" ht="18" customHeight="1" x14ac:dyDescent="0.3">
      <c r="A342" s="2"/>
      <c r="B342" s="65" t="str">
        <f t="shared" si="10"/>
        <v/>
      </c>
      <c r="C342" s="66"/>
      <c r="D342" s="60"/>
      <c r="E342" s="60"/>
      <c r="F342" s="67"/>
      <c r="G342" s="61"/>
      <c r="H342" s="61"/>
      <c r="I342" s="61"/>
      <c r="J342" s="65" t="str">
        <f t="shared" si="11"/>
        <v/>
      </c>
      <c r="K342" s="65" t="str">
        <f>IF($E342="","",$E342&amp;"|"&amp;COUNTIFS($E$7:$E342,$E342))</f>
        <v/>
      </c>
      <c r="L342" s="65" t="str">
        <f>IF($D342="","",$D342&amp;"|"&amp;COUNTIFS($D$7:$D342,$D342))</f>
        <v/>
      </c>
      <c r="M342" s="65" t="str">
        <f>IF(AND($E342&lt;&gt;"",COUNTIF($G342,"KÂR PAYI / AVANS*")&gt;0),$E342&amp;"|"&amp;COUNTIFS($E$7:$E342,$E342,$G$7:$G342,"KÂR PAYI / AVANS*"),"")</f>
        <v/>
      </c>
    </row>
    <row r="343" spans="1:13" ht="18" customHeight="1" x14ac:dyDescent="0.3">
      <c r="A343" s="2"/>
      <c r="B343" s="65" t="str">
        <f t="shared" si="10"/>
        <v/>
      </c>
      <c r="C343" s="66"/>
      <c r="D343" s="60"/>
      <c r="E343" s="60"/>
      <c r="F343" s="67"/>
      <c r="G343" s="61"/>
      <c r="H343" s="61"/>
      <c r="I343" s="61"/>
      <c r="J343" s="65" t="str">
        <f t="shared" si="11"/>
        <v/>
      </c>
      <c r="K343" s="65" t="str">
        <f>IF($E343="","",$E343&amp;"|"&amp;COUNTIFS($E$7:$E343,$E343))</f>
        <v/>
      </c>
      <c r="L343" s="65" t="str">
        <f>IF($D343="","",$D343&amp;"|"&amp;COUNTIFS($D$7:$D343,$D343))</f>
        <v/>
      </c>
      <c r="M343" s="65" t="str">
        <f>IF(AND($E343&lt;&gt;"",COUNTIF($G343,"KÂR PAYI / AVANS*")&gt;0),$E343&amp;"|"&amp;COUNTIFS($E$7:$E343,$E343,$G$7:$G343,"KÂR PAYI / AVANS*"),"")</f>
        <v/>
      </c>
    </row>
    <row r="344" spans="1:13" ht="18" customHeight="1" x14ac:dyDescent="0.3">
      <c r="A344" s="2"/>
      <c r="B344" s="65" t="str">
        <f t="shared" si="10"/>
        <v/>
      </c>
      <c r="C344" s="66"/>
      <c r="D344" s="60"/>
      <c r="E344" s="60"/>
      <c r="F344" s="67"/>
      <c r="G344" s="61"/>
      <c r="H344" s="61"/>
      <c r="I344" s="61"/>
      <c r="J344" s="65" t="str">
        <f t="shared" si="11"/>
        <v/>
      </c>
      <c r="K344" s="65" t="str">
        <f>IF($E344="","",$E344&amp;"|"&amp;COUNTIFS($E$7:$E344,$E344))</f>
        <v/>
      </c>
      <c r="L344" s="65" t="str">
        <f>IF($D344="","",$D344&amp;"|"&amp;COUNTIFS($D$7:$D344,$D344))</f>
        <v/>
      </c>
      <c r="M344" s="65" t="str">
        <f>IF(AND($E344&lt;&gt;"",COUNTIF($G344,"KÂR PAYI / AVANS*")&gt;0),$E344&amp;"|"&amp;COUNTIFS($E$7:$E344,$E344,$G$7:$G344,"KÂR PAYI / AVANS*"),"")</f>
        <v/>
      </c>
    </row>
    <row r="345" spans="1:13" ht="18" customHeight="1" x14ac:dyDescent="0.3">
      <c r="A345" s="2"/>
      <c r="B345" s="65" t="str">
        <f t="shared" si="10"/>
        <v/>
      </c>
      <c r="C345" s="66"/>
      <c r="D345" s="60"/>
      <c r="E345" s="60"/>
      <c r="F345" s="67"/>
      <c r="G345" s="61"/>
      <c r="H345" s="61"/>
      <c r="I345" s="61"/>
      <c r="J345" s="65" t="str">
        <f t="shared" si="11"/>
        <v/>
      </c>
      <c r="K345" s="65" t="str">
        <f>IF($E345="","",$E345&amp;"|"&amp;COUNTIFS($E$7:$E345,$E345))</f>
        <v/>
      </c>
      <c r="L345" s="65" t="str">
        <f>IF($D345="","",$D345&amp;"|"&amp;COUNTIFS($D$7:$D345,$D345))</f>
        <v/>
      </c>
      <c r="M345" s="65" t="str">
        <f>IF(AND($E345&lt;&gt;"",COUNTIF($G345,"KÂR PAYI / AVANS*")&gt;0),$E345&amp;"|"&amp;COUNTIFS($E$7:$E345,$E345,$G$7:$G345,"KÂR PAYI / AVANS*"),"")</f>
        <v/>
      </c>
    </row>
    <row r="346" spans="1:13" ht="18" customHeight="1" x14ac:dyDescent="0.3">
      <c r="A346" s="2"/>
      <c r="B346" s="65" t="str">
        <f t="shared" si="10"/>
        <v/>
      </c>
      <c r="C346" s="66"/>
      <c r="D346" s="60"/>
      <c r="E346" s="60"/>
      <c r="F346" s="67"/>
      <c r="G346" s="61"/>
      <c r="H346" s="61"/>
      <c r="I346" s="61"/>
      <c r="J346" s="65" t="str">
        <f t="shared" si="11"/>
        <v/>
      </c>
      <c r="K346" s="65" t="str">
        <f>IF($E346="","",$E346&amp;"|"&amp;COUNTIFS($E$7:$E346,$E346))</f>
        <v/>
      </c>
      <c r="L346" s="65" t="str">
        <f>IF($D346="","",$D346&amp;"|"&amp;COUNTIFS($D$7:$D346,$D346))</f>
        <v/>
      </c>
      <c r="M346" s="65" t="str">
        <f>IF(AND($E346&lt;&gt;"",COUNTIF($G346,"KÂR PAYI / AVANS*")&gt;0),$E346&amp;"|"&amp;COUNTIFS($E$7:$E346,$E346,$G$7:$G346,"KÂR PAYI / AVANS*"),"")</f>
        <v/>
      </c>
    </row>
    <row r="347" spans="1:13" ht="18" customHeight="1" x14ac:dyDescent="0.3">
      <c r="A347" s="2"/>
      <c r="B347" s="65" t="str">
        <f t="shared" si="10"/>
        <v/>
      </c>
      <c r="C347" s="66"/>
      <c r="D347" s="60"/>
      <c r="E347" s="60"/>
      <c r="F347" s="67"/>
      <c r="G347" s="61"/>
      <c r="H347" s="61"/>
      <c r="I347" s="61"/>
      <c r="J347" s="65" t="str">
        <f t="shared" si="11"/>
        <v/>
      </c>
      <c r="K347" s="65" t="str">
        <f>IF($E347="","",$E347&amp;"|"&amp;COUNTIFS($E$7:$E347,$E347))</f>
        <v/>
      </c>
      <c r="L347" s="65" t="str">
        <f>IF($D347="","",$D347&amp;"|"&amp;COUNTIFS($D$7:$D347,$D347))</f>
        <v/>
      </c>
      <c r="M347" s="65" t="str">
        <f>IF(AND($E347&lt;&gt;"",COUNTIF($G347,"KÂR PAYI / AVANS*")&gt;0),$E347&amp;"|"&amp;COUNTIFS($E$7:$E347,$E347,$G$7:$G347,"KÂR PAYI / AVANS*"),"")</f>
        <v/>
      </c>
    </row>
    <row r="348" spans="1:13" ht="18" customHeight="1" x14ac:dyDescent="0.3">
      <c r="A348" s="2"/>
      <c r="B348" s="65" t="str">
        <f t="shared" si="10"/>
        <v/>
      </c>
      <c r="C348" s="66"/>
      <c r="D348" s="60"/>
      <c r="E348" s="60"/>
      <c r="F348" s="67"/>
      <c r="G348" s="61"/>
      <c r="H348" s="61"/>
      <c r="I348" s="61"/>
      <c r="J348" s="65" t="str">
        <f t="shared" si="11"/>
        <v/>
      </c>
      <c r="K348" s="65" t="str">
        <f>IF($E348="","",$E348&amp;"|"&amp;COUNTIFS($E$7:$E348,$E348))</f>
        <v/>
      </c>
      <c r="L348" s="65" t="str">
        <f>IF($D348="","",$D348&amp;"|"&amp;COUNTIFS($D$7:$D348,$D348))</f>
        <v/>
      </c>
      <c r="M348" s="65" t="str">
        <f>IF(AND($E348&lt;&gt;"",COUNTIF($G348,"KÂR PAYI / AVANS*")&gt;0),$E348&amp;"|"&amp;COUNTIFS($E$7:$E348,$E348,$G$7:$G348,"KÂR PAYI / AVANS*"),"")</f>
        <v/>
      </c>
    </row>
    <row r="349" spans="1:13" ht="18" customHeight="1" x14ac:dyDescent="0.3">
      <c r="A349" s="2"/>
      <c r="B349" s="65" t="str">
        <f t="shared" si="10"/>
        <v/>
      </c>
      <c r="C349" s="66"/>
      <c r="D349" s="60"/>
      <c r="E349" s="60"/>
      <c r="F349" s="67"/>
      <c r="G349" s="61"/>
      <c r="H349" s="61"/>
      <c r="I349" s="61"/>
      <c r="J349" s="65" t="str">
        <f t="shared" si="11"/>
        <v/>
      </c>
      <c r="K349" s="65" t="str">
        <f>IF($E349="","",$E349&amp;"|"&amp;COUNTIFS($E$7:$E349,$E349))</f>
        <v/>
      </c>
      <c r="L349" s="65" t="str">
        <f>IF($D349="","",$D349&amp;"|"&amp;COUNTIFS($D$7:$D349,$D349))</f>
        <v/>
      </c>
      <c r="M349" s="65" t="str">
        <f>IF(AND($E349&lt;&gt;"",COUNTIF($G349,"KÂR PAYI / AVANS*")&gt;0),$E349&amp;"|"&amp;COUNTIFS($E$7:$E349,$E349,$G$7:$G349,"KÂR PAYI / AVANS*"),"")</f>
        <v/>
      </c>
    </row>
    <row r="350" spans="1:13" ht="18" customHeight="1" x14ac:dyDescent="0.3">
      <c r="A350" s="2"/>
      <c r="B350" s="65" t="str">
        <f t="shared" si="10"/>
        <v/>
      </c>
      <c r="C350" s="66"/>
      <c r="D350" s="60"/>
      <c r="E350" s="60"/>
      <c r="F350" s="67"/>
      <c r="G350" s="61"/>
      <c r="H350" s="61"/>
      <c r="I350" s="61"/>
      <c r="J350" s="65" t="str">
        <f t="shared" si="11"/>
        <v/>
      </c>
      <c r="K350" s="65" t="str">
        <f>IF($E350="","",$E350&amp;"|"&amp;COUNTIFS($E$7:$E350,$E350))</f>
        <v/>
      </c>
      <c r="L350" s="65" t="str">
        <f>IF($D350="","",$D350&amp;"|"&amp;COUNTIFS($D$7:$D350,$D350))</f>
        <v/>
      </c>
      <c r="M350" s="65" t="str">
        <f>IF(AND($E350&lt;&gt;"",COUNTIF($G350,"KÂR PAYI / AVANS*")&gt;0),$E350&amp;"|"&amp;COUNTIFS($E$7:$E350,$E350,$G$7:$G350,"KÂR PAYI / AVANS*"),"")</f>
        <v/>
      </c>
    </row>
    <row r="351" spans="1:13" ht="18" customHeight="1" x14ac:dyDescent="0.3">
      <c r="A351" s="2"/>
      <c r="B351" s="65" t="str">
        <f t="shared" si="10"/>
        <v/>
      </c>
      <c r="C351" s="66"/>
      <c r="D351" s="60"/>
      <c r="E351" s="60"/>
      <c r="F351" s="67"/>
      <c r="G351" s="61"/>
      <c r="H351" s="61"/>
      <c r="I351" s="61"/>
      <c r="J351" s="65" t="str">
        <f t="shared" si="11"/>
        <v/>
      </c>
      <c r="K351" s="65" t="str">
        <f>IF($E351="","",$E351&amp;"|"&amp;COUNTIFS($E$7:$E351,$E351))</f>
        <v/>
      </c>
      <c r="L351" s="65" t="str">
        <f>IF($D351="","",$D351&amp;"|"&amp;COUNTIFS($D$7:$D351,$D351))</f>
        <v/>
      </c>
      <c r="M351" s="65" t="str">
        <f>IF(AND($E351&lt;&gt;"",COUNTIF($G351,"KÂR PAYI / AVANS*")&gt;0),$E351&amp;"|"&amp;COUNTIFS($E$7:$E351,$E351,$G$7:$G351,"KÂR PAYI / AVANS*"),"")</f>
        <v/>
      </c>
    </row>
    <row r="352" spans="1:13" ht="18" customHeight="1" x14ac:dyDescent="0.3">
      <c r="A352" s="2"/>
      <c r="B352" s="65" t="str">
        <f t="shared" si="10"/>
        <v/>
      </c>
      <c r="C352" s="66"/>
      <c r="D352" s="60"/>
      <c r="E352" s="60"/>
      <c r="F352" s="67"/>
      <c r="G352" s="61"/>
      <c r="H352" s="61"/>
      <c r="I352" s="61"/>
      <c r="J352" s="65" t="str">
        <f t="shared" si="11"/>
        <v/>
      </c>
      <c r="K352" s="65" t="str">
        <f>IF($E352="","",$E352&amp;"|"&amp;COUNTIFS($E$7:$E352,$E352))</f>
        <v/>
      </c>
      <c r="L352" s="65" t="str">
        <f>IF($D352="","",$D352&amp;"|"&amp;COUNTIFS($D$7:$D352,$D352))</f>
        <v/>
      </c>
      <c r="M352" s="65" t="str">
        <f>IF(AND($E352&lt;&gt;"",COUNTIF($G352,"KÂR PAYI / AVANS*")&gt;0),$E352&amp;"|"&amp;COUNTIFS($E$7:$E352,$E352,$G$7:$G352,"KÂR PAYI / AVANS*"),"")</f>
        <v/>
      </c>
    </row>
    <row r="353" spans="1:13" ht="18" customHeight="1" x14ac:dyDescent="0.3">
      <c r="A353" s="2"/>
      <c r="B353" s="65" t="str">
        <f t="shared" si="10"/>
        <v/>
      </c>
      <c r="C353" s="66"/>
      <c r="D353" s="60"/>
      <c r="E353" s="60"/>
      <c r="F353" s="67"/>
      <c r="G353" s="61"/>
      <c r="H353" s="61"/>
      <c r="I353" s="61"/>
      <c r="J353" s="65" t="str">
        <f t="shared" si="11"/>
        <v/>
      </c>
      <c r="K353" s="65" t="str">
        <f>IF($E353="","",$E353&amp;"|"&amp;COUNTIFS($E$7:$E353,$E353))</f>
        <v/>
      </c>
      <c r="L353" s="65" t="str">
        <f>IF($D353="","",$D353&amp;"|"&amp;COUNTIFS($D$7:$D353,$D353))</f>
        <v/>
      </c>
      <c r="M353" s="65" t="str">
        <f>IF(AND($E353&lt;&gt;"",COUNTIF($G353,"KÂR PAYI / AVANS*")&gt;0),$E353&amp;"|"&amp;COUNTIFS($E$7:$E353,$E353,$G$7:$G353,"KÂR PAYI / AVANS*"),"")</f>
        <v/>
      </c>
    </row>
    <row r="354" spans="1:13" ht="18" customHeight="1" x14ac:dyDescent="0.3">
      <c r="A354" s="2"/>
      <c r="B354" s="65" t="str">
        <f t="shared" si="10"/>
        <v/>
      </c>
      <c r="C354" s="66"/>
      <c r="D354" s="60"/>
      <c r="E354" s="60"/>
      <c r="F354" s="67"/>
      <c r="G354" s="61"/>
      <c r="H354" s="61"/>
      <c r="I354" s="61"/>
      <c r="J354" s="65" t="str">
        <f t="shared" si="11"/>
        <v/>
      </c>
      <c r="K354" s="65" t="str">
        <f>IF($E354="","",$E354&amp;"|"&amp;COUNTIFS($E$7:$E354,$E354))</f>
        <v/>
      </c>
      <c r="L354" s="65" t="str">
        <f>IF($D354="","",$D354&amp;"|"&amp;COUNTIFS($D$7:$D354,$D354))</f>
        <v/>
      </c>
      <c r="M354" s="65" t="str">
        <f>IF(AND($E354&lt;&gt;"",COUNTIF($G354,"KÂR PAYI / AVANS*")&gt;0),$E354&amp;"|"&amp;COUNTIFS($E$7:$E354,$E354,$G$7:$G354,"KÂR PAYI / AVANS*"),"")</f>
        <v/>
      </c>
    </row>
    <row r="355" spans="1:13" ht="18" customHeight="1" x14ac:dyDescent="0.3">
      <c r="A355" s="2"/>
      <c r="B355" s="65" t="str">
        <f t="shared" si="10"/>
        <v/>
      </c>
      <c r="C355" s="66"/>
      <c r="D355" s="60"/>
      <c r="E355" s="60"/>
      <c r="F355" s="67"/>
      <c r="G355" s="61"/>
      <c r="H355" s="61"/>
      <c r="I355" s="61"/>
      <c r="J355" s="65" t="str">
        <f t="shared" si="11"/>
        <v/>
      </c>
      <c r="K355" s="65" t="str">
        <f>IF($E355="","",$E355&amp;"|"&amp;COUNTIFS($E$7:$E355,$E355))</f>
        <v/>
      </c>
      <c r="L355" s="65" t="str">
        <f>IF($D355="","",$D355&amp;"|"&amp;COUNTIFS($D$7:$D355,$D355))</f>
        <v/>
      </c>
      <c r="M355" s="65" t="str">
        <f>IF(AND($E355&lt;&gt;"",COUNTIF($G355,"KÂR PAYI / AVANS*")&gt;0),$E355&amp;"|"&amp;COUNTIFS($E$7:$E355,$E355,$G$7:$G355,"KÂR PAYI / AVANS*"),"")</f>
        <v/>
      </c>
    </row>
    <row r="356" spans="1:13" ht="18" customHeight="1" x14ac:dyDescent="0.3">
      <c r="A356" s="2"/>
      <c r="B356" s="65" t="str">
        <f t="shared" si="10"/>
        <v/>
      </c>
      <c r="C356" s="66"/>
      <c r="D356" s="60"/>
      <c r="E356" s="60"/>
      <c r="F356" s="67"/>
      <c r="G356" s="61"/>
      <c r="H356" s="61"/>
      <c r="I356" s="61"/>
      <c r="J356" s="65" t="str">
        <f t="shared" si="11"/>
        <v/>
      </c>
      <c r="K356" s="65" t="str">
        <f>IF($E356="","",$E356&amp;"|"&amp;COUNTIFS($E$7:$E356,$E356))</f>
        <v/>
      </c>
      <c r="L356" s="65" t="str">
        <f>IF($D356="","",$D356&amp;"|"&amp;COUNTIFS($D$7:$D356,$D356))</f>
        <v/>
      </c>
      <c r="M356" s="65" t="str">
        <f>IF(AND($E356&lt;&gt;"",COUNTIF($G356,"KÂR PAYI / AVANS*")&gt;0),$E356&amp;"|"&amp;COUNTIFS($E$7:$E356,$E356,$G$7:$G356,"KÂR PAYI / AVANS*"),"")</f>
        <v/>
      </c>
    </row>
    <row r="357" spans="1:13" ht="18" customHeight="1" x14ac:dyDescent="0.3">
      <c r="A357" s="2"/>
      <c r="B357" s="65" t="str">
        <f t="shared" si="10"/>
        <v/>
      </c>
      <c r="C357" s="66"/>
      <c r="D357" s="60"/>
      <c r="E357" s="60"/>
      <c r="F357" s="67"/>
      <c r="G357" s="61"/>
      <c r="H357" s="61"/>
      <c r="I357" s="61"/>
      <c r="J357" s="65" t="str">
        <f t="shared" si="11"/>
        <v/>
      </c>
      <c r="K357" s="65" t="str">
        <f>IF($E357="","",$E357&amp;"|"&amp;COUNTIFS($E$7:$E357,$E357))</f>
        <v/>
      </c>
      <c r="L357" s="65" t="str">
        <f>IF($D357="","",$D357&amp;"|"&amp;COUNTIFS($D$7:$D357,$D357))</f>
        <v/>
      </c>
      <c r="M357" s="65" t="str">
        <f>IF(AND($E357&lt;&gt;"",COUNTIF($G357,"KÂR PAYI / AVANS*")&gt;0),$E357&amp;"|"&amp;COUNTIFS($E$7:$E357,$E357,$G$7:$G357,"KÂR PAYI / AVANS*"),"")</f>
        <v/>
      </c>
    </row>
    <row r="358" spans="1:13" ht="18" customHeight="1" x14ac:dyDescent="0.3">
      <c r="A358" s="2"/>
      <c r="B358" s="65" t="str">
        <f t="shared" si="10"/>
        <v/>
      </c>
      <c r="C358" s="66"/>
      <c r="D358" s="60"/>
      <c r="E358" s="60"/>
      <c r="F358" s="67"/>
      <c r="G358" s="61"/>
      <c r="H358" s="61"/>
      <c r="I358" s="61"/>
      <c r="J358" s="65" t="str">
        <f t="shared" si="11"/>
        <v/>
      </c>
      <c r="K358" s="65" t="str">
        <f>IF($E358="","",$E358&amp;"|"&amp;COUNTIFS($E$7:$E358,$E358))</f>
        <v/>
      </c>
      <c r="L358" s="65" t="str">
        <f>IF($D358="","",$D358&amp;"|"&amp;COUNTIFS($D$7:$D358,$D358))</f>
        <v/>
      </c>
      <c r="M358" s="65" t="str">
        <f>IF(AND($E358&lt;&gt;"",COUNTIF($G358,"KÂR PAYI / AVANS*")&gt;0),$E358&amp;"|"&amp;COUNTIFS($E$7:$E358,$E358,$G$7:$G358,"KÂR PAYI / AVANS*"),"")</f>
        <v/>
      </c>
    </row>
    <row r="359" spans="1:13" ht="18" customHeight="1" x14ac:dyDescent="0.3">
      <c r="A359" s="2"/>
      <c r="B359" s="65" t="str">
        <f t="shared" si="10"/>
        <v/>
      </c>
      <c r="C359" s="66"/>
      <c r="D359" s="60"/>
      <c r="E359" s="60"/>
      <c r="F359" s="67"/>
      <c r="G359" s="61"/>
      <c r="H359" s="61"/>
      <c r="I359" s="61"/>
      <c r="J359" s="65" t="str">
        <f t="shared" si="11"/>
        <v/>
      </c>
      <c r="K359" s="65" t="str">
        <f>IF($E359="","",$E359&amp;"|"&amp;COUNTIFS($E$7:$E359,$E359))</f>
        <v/>
      </c>
      <c r="L359" s="65" t="str">
        <f>IF($D359="","",$D359&amp;"|"&amp;COUNTIFS($D$7:$D359,$D359))</f>
        <v/>
      </c>
      <c r="M359" s="65" t="str">
        <f>IF(AND($E359&lt;&gt;"",COUNTIF($G359,"KÂR PAYI / AVANS*")&gt;0),$E359&amp;"|"&amp;COUNTIFS($E$7:$E359,$E359,$G$7:$G359,"KÂR PAYI / AVANS*"),"")</f>
        <v/>
      </c>
    </row>
    <row r="360" spans="1:13" ht="18" customHeight="1" x14ac:dyDescent="0.3">
      <c r="A360" s="2"/>
      <c r="B360" s="65" t="str">
        <f t="shared" si="10"/>
        <v/>
      </c>
      <c r="C360" s="66"/>
      <c r="D360" s="60"/>
      <c r="E360" s="60"/>
      <c r="F360" s="67"/>
      <c r="G360" s="61"/>
      <c r="H360" s="61"/>
      <c r="I360" s="61"/>
      <c r="J360" s="65" t="str">
        <f t="shared" si="11"/>
        <v/>
      </c>
      <c r="K360" s="65" t="str">
        <f>IF($E360="","",$E360&amp;"|"&amp;COUNTIFS($E$7:$E360,$E360))</f>
        <v/>
      </c>
      <c r="L360" s="65" t="str">
        <f>IF($D360="","",$D360&amp;"|"&amp;COUNTIFS($D$7:$D360,$D360))</f>
        <v/>
      </c>
      <c r="M360" s="65" t="str">
        <f>IF(AND($E360&lt;&gt;"",COUNTIF($G360,"KÂR PAYI / AVANS*")&gt;0),$E360&amp;"|"&amp;COUNTIFS($E$7:$E360,$E360,$G$7:$G360,"KÂR PAYI / AVANS*"),"")</f>
        <v/>
      </c>
    </row>
    <row r="361" spans="1:13" ht="18" customHeight="1" x14ac:dyDescent="0.3">
      <c r="A361" s="2"/>
      <c r="B361" s="65" t="str">
        <f t="shared" si="10"/>
        <v/>
      </c>
      <c r="C361" s="66"/>
      <c r="D361" s="60"/>
      <c r="E361" s="60"/>
      <c r="F361" s="67"/>
      <c r="G361" s="61"/>
      <c r="H361" s="61"/>
      <c r="I361" s="61"/>
      <c r="J361" s="65" t="str">
        <f t="shared" si="11"/>
        <v/>
      </c>
      <c r="K361" s="65" t="str">
        <f>IF($E361="","",$E361&amp;"|"&amp;COUNTIFS($E$7:$E361,$E361))</f>
        <v/>
      </c>
      <c r="L361" s="65" t="str">
        <f>IF($D361="","",$D361&amp;"|"&amp;COUNTIFS($D$7:$D361,$D361))</f>
        <v/>
      </c>
      <c r="M361" s="65" t="str">
        <f>IF(AND($E361&lt;&gt;"",COUNTIF($G361,"KÂR PAYI / AVANS*")&gt;0),$E361&amp;"|"&amp;COUNTIFS($E$7:$E361,$E361,$G$7:$G361,"KÂR PAYI / AVANS*"),"")</f>
        <v/>
      </c>
    </row>
    <row r="362" spans="1:13" ht="18" customHeight="1" x14ac:dyDescent="0.3">
      <c r="A362" s="2"/>
      <c r="B362" s="65" t="str">
        <f t="shared" si="10"/>
        <v/>
      </c>
      <c r="C362" s="66"/>
      <c r="D362" s="60"/>
      <c r="E362" s="60"/>
      <c r="F362" s="67"/>
      <c r="G362" s="61"/>
      <c r="H362" s="61"/>
      <c r="I362" s="61"/>
      <c r="J362" s="65" t="str">
        <f t="shared" si="11"/>
        <v/>
      </c>
      <c r="K362" s="65" t="str">
        <f>IF($E362="","",$E362&amp;"|"&amp;COUNTIFS($E$7:$E362,$E362))</f>
        <v/>
      </c>
      <c r="L362" s="65" t="str">
        <f>IF($D362="","",$D362&amp;"|"&amp;COUNTIFS($D$7:$D362,$D362))</f>
        <v/>
      </c>
      <c r="M362" s="65" t="str">
        <f>IF(AND($E362&lt;&gt;"",COUNTIF($G362,"KÂR PAYI / AVANS*")&gt;0),$E362&amp;"|"&amp;COUNTIFS($E$7:$E362,$E362,$G$7:$G362,"KÂR PAYI / AVANS*"),"")</f>
        <v/>
      </c>
    </row>
    <row r="363" spans="1:13" ht="18" customHeight="1" x14ac:dyDescent="0.3">
      <c r="A363" s="2"/>
      <c r="B363" s="65" t="str">
        <f t="shared" si="10"/>
        <v/>
      </c>
      <c r="C363" s="66"/>
      <c r="D363" s="60"/>
      <c r="E363" s="60"/>
      <c r="F363" s="67"/>
      <c r="G363" s="61"/>
      <c r="H363" s="61"/>
      <c r="I363" s="61"/>
      <c r="J363" s="65" t="str">
        <f t="shared" si="11"/>
        <v/>
      </c>
      <c r="K363" s="65" t="str">
        <f>IF($E363="","",$E363&amp;"|"&amp;COUNTIFS($E$7:$E363,$E363))</f>
        <v/>
      </c>
      <c r="L363" s="65" t="str">
        <f>IF($D363="","",$D363&amp;"|"&amp;COUNTIFS($D$7:$D363,$D363))</f>
        <v/>
      </c>
      <c r="M363" s="65" t="str">
        <f>IF(AND($E363&lt;&gt;"",COUNTIF($G363,"KÂR PAYI / AVANS*")&gt;0),$E363&amp;"|"&amp;COUNTIFS($E$7:$E363,$E363,$G$7:$G363,"KÂR PAYI / AVANS*"),"")</f>
        <v/>
      </c>
    </row>
    <row r="364" spans="1:13" ht="18" customHeight="1" x14ac:dyDescent="0.3">
      <c r="A364" s="2"/>
      <c r="B364" s="65" t="str">
        <f t="shared" si="10"/>
        <v/>
      </c>
      <c r="C364" s="66"/>
      <c r="D364" s="60"/>
      <c r="E364" s="60"/>
      <c r="F364" s="67"/>
      <c r="G364" s="61"/>
      <c r="H364" s="61"/>
      <c r="I364" s="61"/>
      <c r="J364" s="65" t="str">
        <f t="shared" si="11"/>
        <v/>
      </c>
      <c r="K364" s="65" t="str">
        <f>IF($E364="","",$E364&amp;"|"&amp;COUNTIFS($E$7:$E364,$E364))</f>
        <v/>
      </c>
      <c r="L364" s="65" t="str">
        <f>IF($D364="","",$D364&amp;"|"&amp;COUNTIFS($D$7:$D364,$D364))</f>
        <v/>
      </c>
      <c r="M364" s="65" t="str">
        <f>IF(AND($E364&lt;&gt;"",COUNTIF($G364,"KÂR PAYI / AVANS*")&gt;0),$E364&amp;"|"&amp;COUNTIFS($E$7:$E364,$E364,$G$7:$G364,"KÂR PAYI / AVANS*"),"")</f>
        <v/>
      </c>
    </row>
    <row r="365" spans="1:13" ht="18" customHeight="1" x14ac:dyDescent="0.3">
      <c r="A365" s="2"/>
      <c r="B365" s="65" t="str">
        <f t="shared" si="10"/>
        <v/>
      </c>
      <c r="C365" s="66"/>
      <c r="D365" s="60"/>
      <c r="E365" s="60"/>
      <c r="F365" s="67"/>
      <c r="G365" s="61"/>
      <c r="H365" s="61"/>
      <c r="I365" s="61"/>
      <c r="J365" s="65" t="str">
        <f t="shared" si="11"/>
        <v/>
      </c>
      <c r="K365" s="65" t="str">
        <f>IF($E365="","",$E365&amp;"|"&amp;COUNTIFS($E$7:$E365,$E365))</f>
        <v/>
      </c>
      <c r="L365" s="65" t="str">
        <f>IF($D365="","",$D365&amp;"|"&amp;COUNTIFS($D$7:$D365,$D365))</f>
        <v/>
      </c>
      <c r="M365" s="65" t="str">
        <f>IF(AND($E365&lt;&gt;"",COUNTIF($G365,"KÂR PAYI / AVANS*")&gt;0),$E365&amp;"|"&amp;COUNTIFS($E$7:$E365,$E365,$G$7:$G365,"KÂR PAYI / AVANS*"),"")</f>
        <v/>
      </c>
    </row>
    <row r="366" spans="1:13" ht="18" customHeight="1" x14ac:dyDescent="0.3">
      <c r="A366" s="2"/>
      <c r="B366" s="65" t="str">
        <f t="shared" si="10"/>
        <v/>
      </c>
      <c r="C366" s="66"/>
      <c r="D366" s="60"/>
      <c r="E366" s="60"/>
      <c r="F366" s="67"/>
      <c r="G366" s="61"/>
      <c r="H366" s="61"/>
      <c r="I366" s="61"/>
      <c r="J366" s="65" t="str">
        <f t="shared" si="11"/>
        <v/>
      </c>
      <c r="K366" s="65" t="str">
        <f>IF($E366="","",$E366&amp;"|"&amp;COUNTIFS($E$7:$E366,$E366))</f>
        <v/>
      </c>
      <c r="L366" s="65" t="str">
        <f>IF($D366="","",$D366&amp;"|"&amp;COUNTIFS($D$7:$D366,$D366))</f>
        <v/>
      </c>
      <c r="M366" s="65" t="str">
        <f>IF(AND($E366&lt;&gt;"",COUNTIF($G366,"KÂR PAYI / AVANS*")&gt;0),$E366&amp;"|"&amp;COUNTIFS($E$7:$E366,$E366,$G$7:$G366,"KÂR PAYI / AVANS*"),"")</f>
        <v/>
      </c>
    </row>
    <row r="367" spans="1:13" ht="18" customHeight="1" x14ac:dyDescent="0.3">
      <c r="A367" s="2"/>
      <c r="B367" s="65" t="str">
        <f t="shared" si="10"/>
        <v/>
      </c>
      <c r="C367" s="66"/>
      <c r="D367" s="60"/>
      <c r="E367" s="60"/>
      <c r="F367" s="67"/>
      <c r="G367" s="61"/>
      <c r="H367" s="61"/>
      <c r="I367" s="61"/>
      <c r="J367" s="65" t="str">
        <f t="shared" si="11"/>
        <v/>
      </c>
      <c r="K367" s="65" t="str">
        <f>IF($E367="","",$E367&amp;"|"&amp;COUNTIFS($E$7:$E367,$E367))</f>
        <v/>
      </c>
      <c r="L367" s="65" t="str">
        <f>IF($D367="","",$D367&amp;"|"&amp;COUNTIFS($D$7:$D367,$D367))</f>
        <v/>
      </c>
      <c r="M367" s="65" t="str">
        <f>IF(AND($E367&lt;&gt;"",COUNTIF($G367,"KÂR PAYI / AVANS*")&gt;0),$E367&amp;"|"&amp;COUNTIFS($E$7:$E367,$E367,$G$7:$G367,"KÂR PAYI / AVANS*"),"")</f>
        <v/>
      </c>
    </row>
    <row r="368" spans="1:13" ht="18" customHeight="1" x14ac:dyDescent="0.3">
      <c r="A368" s="2"/>
      <c r="B368" s="65" t="str">
        <f t="shared" si="10"/>
        <v/>
      </c>
      <c r="C368" s="66"/>
      <c r="D368" s="60"/>
      <c r="E368" s="60"/>
      <c r="F368" s="67"/>
      <c r="G368" s="61"/>
      <c r="H368" s="61"/>
      <c r="I368" s="61"/>
      <c r="J368" s="65" t="str">
        <f t="shared" si="11"/>
        <v/>
      </c>
      <c r="K368" s="65" t="str">
        <f>IF($E368="","",$E368&amp;"|"&amp;COUNTIFS($E$7:$E368,$E368))</f>
        <v/>
      </c>
      <c r="L368" s="65" t="str">
        <f>IF($D368="","",$D368&amp;"|"&amp;COUNTIFS($D$7:$D368,$D368))</f>
        <v/>
      </c>
      <c r="M368" s="65" t="str">
        <f>IF(AND($E368&lt;&gt;"",COUNTIF($G368,"KÂR PAYI / AVANS*")&gt;0),$E368&amp;"|"&amp;COUNTIFS($E$7:$E368,$E368,$G$7:$G368,"KÂR PAYI / AVANS*"),"")</f>
        <v/>
      </c>
    </row>
    <row r="369" spans="1:13" ht="18" customHeight="1" x14ac:dyDescent="0.3">
      <c r="A369" s="2"/>
      <c r="B369" s="65" t="str">
        <f t="shared" si="10"/>
        <v/>
      </c>
      <c r="C369" s="66"/>
      <c r="D369" s="60"/>
      <c r="E369" s="60"/>
      <c r="F369" s="67"/>
      <c r="G369" s="61"/>
      <c r="H369" s="61"/>
      <c r="I369" s="61"/>
      <c r="J369" s="65" t="str">
        <f t="shared" si="11"/>
        <v/>
      </c>
      <c r="K369" s="65" t="str">
        <f>IF($E369="","",$E369&amp;"|"&amp;COUNTIFS($E$7:$E369,$E369))</f>
        <v/>
      </c>
      <c r="L369" s="65" t="str">
        <f>IF($D369="","",$D369&amp;"|"&amp;COUNTIFS($D$7:$D369,$D369))</f>
        <v/>
      </c>
      <c r="M369" s="65" t="str">
        <f>IF(AND($E369&lt;&gt;"",COUNTIF($G369,"KÂR PAYI / AVANS*")&gt;0),$E369&amp;"|"&amp;COUNTIFS($E$7:$E369,$E369,$G$7:$G369,"KÂR PAYI / AVANS*"),"")</f>
        <v/>
      </c>
    </row>
    <row r="370" spans="1:13" ht="18" customHeight="1" x14ac:dyDescent="0.3">
      <c r="A370" s="2"/>
      <c r="B370" s="65" t="str">
        <f t="shared" si="10"/>
        <v/>
      </c>
      <c r="C370" s="66"/>
      <c r="D370" s="60"/>
      <c r="E370" s="60"/>
      <c r="F370" s="67"/>
      <c r="G370" s="61"/>
      <c r="H370" s="61"/>
      <c r="I370" s="61"/>
      <c r="J370" s="65" t="str">
        <f t="shared" si="11"/>
        <v/>
      </c>
      <c r="K370" s="65" t="str">
        <f>IF($E370="","",$E370&amp;"|"&amp;COUNTIFS($E$7:$E370,$E370))</f>
        <v/>
      </c>
      <c r="L370" s="65" t="str">
        <f>IF($D370="","",$D370&amp;"|"&amp;COUNTIFS($D$7:$D370,$D370))</f>
        <v/>
      </c>
      <c r="M370" s="65" t="str">
        <f>IF(AND($E370&lt;&gt;"",COUNTIF($G370,"KÂR PAYI / AVANS*")&gt;0),$E370&amp;"|"&amp;COUNTIFS($E$7:$E370,$E370,$G$7:$G370,"KÂR PAYI / AVANS*"),"")</f>
        <v/>
      </c>
    </row>
    <row r="371" spans="1:13" ht="18" customHeight="1" x14ac:dyDescent="0.3">
      <c r="A371" s="2"/>
      <c r="B371" s="65" t="str">
        <f t="shared" si="10"/>
        <v/>
      </c>
      <c r="C371" s="66"/>
      <c r="D371" s="60"/>
      <c r="E371" s="60"/>
      <c r="F371" s="67"/>
      <c r="G371" s="61"/>
      <c r="H371" s="61"/>
      <c r="I371" s="61"/>
      <c r="J371" s="65" t="str">
        <f t="shared" si="11"/>
        <v/>
      </c>
      <c r="K371" s="65" t="str">
        <f>IF($E371="","",$E371&amp;"|"&amp;COUNTIFS($E$7:$E371,$E371))</f>
        <v/>
      </c>
      <c r="L371" s="65" t="str">
        <f>IF($D371="","",$D371&amp;"|"&amp;COUNTIFS($D$7:$D371,$D371))</f>
        <v/>
      </c>
      <c r="M371" s="65" t="str">
        <f>IF(AND($E371&lt;&gt;"",COUNTIF($G371,"KÂR PAYI / AVANS*")&gt;0),$E371&amp;"|"&amp;COUNTIFS($E$7:$E371,$E371,$G$7:$G371,"KÂR PAYI / AVANS*"),"")</f>
        <v/>
      </c>
    </row>
    <row r="372" spans="1:13" ht="18" customHeight="1" x14ac:dyDescent="0.3">
      <c r="A372" s="2"/>
      <c r="B372" s="65" t="str">
        <f t="shared" si="10"/>
        <v/>
      </c>
      <c r="C372" s="66"/>
      <c r="D372" s="60"/>
      <c r="E372" s="60"/>
      <c r="F372" s="67"/>
      <c r="G372" s="61"/>
      <c r="H372" s="61"/>
      <c r="I372" s="61"/>
      <c r="J372" s="65" t="str">
        <f t="shared" si="11"/>
        <v/>
      </c>
      <c r="K372" s="65" t="str">
        <f>IF($E372="","",$E372&amp;"|"&amp;COUNTIFS($E$7:$E372,$E372))</f>
        <v/>
      </c>
      <c r="L372" s="65" t="str">
        <f>IF($D372="","",$D372&amp;"|"&amp;COUNTIFS($D$7:$D372,$D372))</f>
        <v/>
      </c>
      <c r="M372" s="65" t="str">
        <f>IF(AND($E372&lt;&gt;"",COUNTIF($G372,"KÂR PAYI / AVANS*")&gt;0),$E372&amp;"|"&amp;COUNTIFS($E$7:$E372,$E372,$G$7:$G372,"KÂR PAYI / AVANS*"),"")</f>
        <v/>
      </c>
    </row>
    <row r="373" spans="1:13" ht="18" customHeight="1" x14ac:dyDescent="0.3">
      <c r="A373" s="2"/>
      <c r="B373" s="65" t="str">
        <f t="shared" si="10"/>
        <v/>
      </c>
      <c r="C373" s="66"/>
      <c r="D373" s="60"/>
      <c r="E373" s="60"/>
      <c r="F373" s="67"/>
      <c r="G373" s="61"/>
      <c r="H373" s="61"/>
      <c r="I373" s="61"/>
      <c r="J373" s="65" t="str">
        <f t="shared" si="11"/>
        <v/>
      </c>
      <c r="K373" s="65" t="str">
        <f>IF($E373="","",$E373&amp;"|"&amp;COUNTIFS($E$7:$E373,$E373))</f>
        <v/>
      </c>
      <c r="L373" s="65" t="str">
        <f>IF($D373="","",$D373&amp;"|"&amp;COUNTIFS($D$7:$D373,$D373))</f>
        <v/>
      </c>
      <c r="M373" s="65" t="str">
        <f>IF(AND($E373&lt;&gt;"",COUNTIF($G373,"KÂR PAYI / AVANS*")&gt;0),$E373&amp;"|"&amp;COUNTIFS($E$7:$E373,$E373,$G$7:$G373,"KÂR PAYI / AVANS*"),"")</f>
        <v/>
      </c>
    </row>
    <row r="374" spans="1:13" ht="18" customHeight="1" x14ac:dyDescent="0.3">
      <c r="A374" s="2"/>
      <c r="B374" s="65" t="str">
        <f t="shared" si="10"/>
        <v/>
      </c>
      <c r="C374" s="66"/>
      <c r="D374" s="60"/>
      <c r="E374" s="60"/>
      <c r="F374" s="67"/>
      <c r="G374" s="61"/>
      <c r="H374" s="61"/>
      <c r="I374" s="61"/>
      <c r="J374" s="65" t="str">
        <f t="shared" si="11"/>
        <v/>
      </c>
      <c r="K374" s="65" t="str">
        <f>IF($E374="","",$E374&amp;"|"&amp;COUNTIFS($E$7:$E374,$E374))</f>
        <v/>
      </c>
      <c r="L374" s="65" t="str">
        <f>IF($D374="","",$D374&amp;"|"&amp;COUNTIFS($D$7:$D374,$D374))</f>
        <v/>
      </c>
      <c r="M374" s="65" t="str">
        <f>IF(AND($E374&lt;&gt;"",COUNTIF($G374,"KÂR PAYI / AVANS*")&gt;0),$E374&amp;"|"&amp;COUNTIFS($E$7:$E374,$E374,$G$7:$G374,"KÂR PAYI / AVANS*"),"")</f>
        <v/>
      </c>
    </row>
    <row r="375" spans="1:13" ht="18" customHeight="1" x14ac:dyDescent="0.3">
      <c r="A375" s="2"/>
      <c r="B375" s="65" t="str">
        <f t="shared" si="10"/>
        <v/>
      </c>
      <c r="C375" s="66"/>
      <c r="D375" s="60"/>
      <c r="E375" s="60"/>
      <c r="F375" s="67"/>
      <c r="G375" s="61"/>
      <c r="H375" s="61"/>
      <c r="I375" s="61"/>
      <c r="J375" s="65" t="str">
        <f t="shared" si="11"/>
        <v/>
      </c>
      <c r="K375" s="65" t="str">
        <f>IF($E375="","",$E375&amp;"|"&amp;COUNTIFS($E$7:$E375,$E375))</f>
        <v/>
      </c>
      <c r="L375" s="65" t="str">
        <f>IF($D375="","",$D375&amp;"|"&amp;COUNTIFS($D$7:$D375,$D375))</f>
        <v/>
      </c>
      <c r="M375" s="65" t="str">
        <f>IF(AND($E375&lt;&gt;"",COUNTIF($G375,"KÂR PAYI / AVANS*")&gt;0),$E375&amp;"|"&amp;COUNTIFS($E$7:$E375,$E375,$G$7:$G375,"KÂR PAYI / AVANS*"),"")</f>
        <v/>
      </c>
    </row>
    <row r="376" spans="1:13" ht="18" customHeight="1" x14ac:dyDescent="0.3">
      <c r="A376" s="2"/>
      <c r="B376" s="65" t="str">
        <f t="shared" si="10"/>
        <v/>
      </c>
      <c r="C376" s="66"/>
      <c r="D376" s="60"/>
      <c r="E376" s="60"/>
      <c r="F376" s="67"/>
      <c r="G376" s="61"/>
      <c r="H376" s="61"/>
      <c r="I376" s="61"/>
      <c r="J376" s="65" t="str">
        <f t="shared" si="11"/>
        <v/>
      </c>
      <c r="K376" s="65" t="str">
        <f>IF($E376="","",$E376&amp;"|"&amp;COUNTIFS($E$7:$E376,$E376))</f>
        <v/>
      </c>
      <c r="L376" s="65" t="str">
        <f>IF($D376="","",$D376&amp;"|"&amp;COUNTIFS($D$7:$D376,$D376))</f>
        <v/>
      </c>
      <c r="M376" s="65" t="str">
        <f>IF(AND($E376&lt;&gt;"",COUNTIF($G376,"KÂR PAYI / AVANS*")&gt;0),$E376&amp;"|"&amp;COUNTIFS($E$7:$E376,$E376,$G$7:$G376,"KÂR PAYI / AVANS*"),"")</f>
        <v/>
      </c>
    </row>
    <row r="377" spans="1:13" ht="18" customHeight="1" x14ac:dyDescent="0.3">
      <c r="A377" s="2"/>
      <c r="B377" s="65" t="str">
        <f t="shared" si="10"/>
        <v/>
      </c>
      <c r="C377" s="66"/>
      <c r="D377" s="60"/>
      <c r="E377" s="60"/>
      <c r="F377" s="67"/>
      <c r="G377" s="61"/>
      <c r="H377" s="61"/>
      <c r="I377" s="61"/>
      <c r="J377" s="65" t="str">
        <f t="shared" si="11"/>
        <v/>
      </c>
      <c r="K377" s="65" t="str">
        <f>IF($E377="","",$E377&amp;"|"&amp;COUNTIFS($E$7:$E377,$E377))</f>
        <v/>
      </c>
      <c r="L377" s="65" t="str">
        <f>IF($D377="","",$D377&amp;"|"&amp;COUNTIFS($D$7:$D377,$D377))</f>
        <v/>
      </c>
      <c r="M377" s="65" t="str">
        <f>IF(AND($E377&lt;&gt;"",COUNTIF($G377,"KÂR PAYI / AVANS*")&gt;0),$E377&amp;"|"&amp;COUNTIFS($E$7:$E377,$E377,$G$7:$G377,"KÂR PAYI / AVANS*"),"")</f>
        <v/>
      </c>
    </row>
    <row r="378" spans="1:13" ht="18" customHeight="1" x14ac:dyDescent="0.3">
      <c r="A378" s="2"/>
      <c r="B378" s="65" t="str">
        <f t="shared" si="10"/>
        <v/>
      </c>
      <c r="C378" s="66"/>
      <c r="D378" s="60"/>
      <c r="E378" s="60"/>
      <c r="F378" s="67"/>
      <c r="G378" s="61"/>
      <c r="H378" s="61"/>
      <c r="I378" s="61"/>
      <c r="J378" s="65" t="str">
        <f t="shared" si="11"/>
        <v/>
      </c>
      <c r="K378" s="65" t="str">
        <f>IF($E378="","",$E378&amp;"|"&amp;COUNTIFS($E$7:$E378,$E378))</f>
        <v/>
      </c>
      <c r="L378" s="65" t="str">
        <f>IF($D378="","",$D378&amp;"|"&amp;COUNTIFS($D$7:$D378,$D378))</f>
        <v/>
      </c>
      <c r="M378" s="65" t="str">
        <f>IF(AND($E378&lt;&gt;"",COUNTIF($G378,"KÂR PAYI / AVANS*")&gt;0),$E378&amp;"|"&amp;COUNTIFS($E$7:$E378,$E378,$G$7:$G378,"KÂR PAYI / AVANS*"),"")</f>
        <v/>
      </c>
    </row>
    <row r="379" spans="1:13" ht="18" customHeight="1" x14ac:dyDescent="0.3">
      <c r="A379" s="2"/>
      <c r="B379" s="65" t="str">
        <f t="shared" si="10"/>
        <v/>
      </c>
      <c r="C379" s="66"/>
      <c r="D379" s="60"/>
      <c r="E379" s="60"/>
      <c r="F379" s="67"/>
      <c r="G379" s="61"/>
      <c r="H379" s="61"/>
      <c r="I379" s="61"/>
      <c r="J379" s="65" t="str">
        <f t="shared" si="11"/>
        <v/>
      </c>
      <c r="K379" s="65" t="str">
        <f>IF($E379="","",$E379&amp;"|"&amp;COUNTIFS($E$7:$E379,$E379))</f>
        <v/>
      </c>
      <c r="L379" s="65" t="str">
        <f>IF($D379="","",$D379&amp;"|"&amp;COUNTIFS($D$7:$D379,$D379))</f>
        <v/>
      </c>
      <c r="M379" s="65" t="str">
        <f>IF(AND($E379&lt;&gt;"",COUNTIF($G379,"KÂR PAYI / AVANS*")&gt;0),$E379&amp;"|"&amp;COUNTIFS($E$7:$E379,$E379,$G$7:$G379,"KÂR PAYI / AVANS*"),"")</f>
        <v/>
      </c>
    </row>
    <row r="380" spans="1:13" ht="18" customHeight="1" x14ac:dyDescent="0.3">
      <c r="A380" s="2"/>
      <c r="B380" s="65" t="str">
        <f t="shared" si="10"/>
        <v/>
      </c>
      <c r="C380" s="66"/>
      <c r="D380" s="60"/>
      <c r="E380" s="60"/>
      <c r="F380" s="67"/>
      <c r="G380" s="61"/>
      <c r="H380" s="61"/>
      <c r="I380" s="61"/>
      <c r="J380" s="65" t="str">
        <f t="shared" si="11"/>
        <v/>
      </c>
      <c r="K380" s="65" t="str">
        <f>IF($E380="","",$E380&amp;"|"&amp;COUNTIFS($E$7:$E380,$E380))</f>
        <v/>
      </c>
      <c r="L380" s="65" t="str">
        <f>IF($D380="","",$D380&amp;"|"&amp;COUNTIFS($D$7:$D380,$D380))</f>
        <v/>
      </c>
      <c r="M380" s="65" t="str">
        <f>IF(AND($E380&lt;&gt;"",COUNTIF($G380,"KÂR PAYI / AVANS*")&gt;0),$E380&amp;"|"&amp;COUNTIFS($E$7:$E380,$E380,$G$7:$G380,"KÂR PAYI / AVANS*"),"")</f>
        <v/>
      </c>
    </row>
    <row r="381" spans="1:13" ht="18" customHeight="1" x14ac:dyDescent="0.3">
      <c r="A381" s="2"/>
      <c r="B381" s="65" t="str">
        <f t="shared" si="10"/>
        <v/>
      </c>
      <c r="C381" s="66"/>
      <c r="D381" s="60"/>
      <c r="E381" s="60"/>
      <c r="F381" s="67"/>
      <c r="G381" s="61"/>
      <c r="H381" s="61"/>
      <c r="I381" s="61"/>
      <c r="J381" s="65" t="str">
        <f t="shared" si="11"/>
        <v/>
      </c>
      <c r="K381" s="65" t="str">
        <f>IF($E381="","",$E381&amp;"|"&amp;COUNTIFS($E$7:$E381,$E381))</f>
        <v/>
      </c>
      <c r="L381" s="65" t="str">
        <f>IF($D381="","",$D381&amp;"|"&amp;COUNTIFS($D$7:$D381,$D381))</f>
        <v/>
      </c>
      <c r="M381" s="65" t="str">
        <f>IF(AND($E381&lt;&gt;"",COUNTIF($G381,"KÂR PAYI / AVANS*")&gt;0),$E381&amp;"|"&amp;COUNTIFS($E$7:$E381,$E381,$G$7:$G381,"KÂR PAYI / AVANS*"),"")</f>
        <v/>
      </c>
    </row>
    <row r="382" spans="1:13" ht="18" customHeight="1" x14ac:dyDescent="0.3">
      <c r="A382" s="2"/>
      <c r="B382" s="65" t="str">
        <f t="shared" si="10"/>
        <v/>
      </c>
      <c r="C382" s="66"/>
      <c r="D382" s="60"/>
      <c r="E382" s="60"/>
      <c r="F382" s="67"/>
      <c r="G382" s="61"/>
      <c r="H382" s="61"/>
      <c r="I382" s="61"/>
      <c r="J382" s="65" t="str">
        <f t="shared" si="11"/>
        <v/>
      </c>
      <c r="K382" s="65" t="str">
        <f>IF($E382="","",$E382&amp;"|"&amp;COUNTIFS($E$7:$E382,$E382))</f>
        <v/>
      </c>
      <c r="L382" s="65" t="str">
        <f>IF($D382="","",$D382&amp;"|"&amp;COUNTIFS($D$7:$D382,$D382))</f>
        <v/>
      </c>
      <c r="M382" s="65" t="str">
        <f>IF(AND($E382&lt;&gt;"",COUNTIF($G382,"KÂR PAYI / AVANS*")&gt;0),$E382&amp;"|"&amp;COUNTIFS($E$7:$E382,$E382,$G$7:$G382,"KÂR PAYI / AVANS*"),"")</f>
        <v/>
      </c>
    </row>
    <row r="383" spans="1:13" ht="18" customHeight="1" x14ac:dyDescent="0.3">
      <c r="A383" s="2"/>
      <c r="B383" s="65" t="str">
        <f t="shared" si="10"/>
        <v/>
      </c>
      <c r="C383" s="66"/>
      <c r="D383" s="60"/>
      <c r="E383" s="60"/>
      <c r="F383" s="67"/>
      <c r="G383" s="61"/>
      <c r="H383" s="61"/>
      <c r="I383" s="61"/>
      <c r="J383" s="65" t="str">
        <f t="shared" si="11"/>
        <v/>
      </c>
      <c r="K383" s="65" t="str">
        <f>IF($E383="","",$E383&amp;"|"&amp;COUNTIFS($E$7:$E383,$E383))</f>
        <v/>
      </c>
      <c r="L383" s="65" t="str">
        <f>IF($D383="","",$D383&amp;"|"&amp;COUNTIFS($D$7:$D383,$D383))</f>
        <v/>
      </c>
      <c r="M383" s="65" t="str">
        <f>IF(AND($E383&lt;&gt;"",COUNTIF($G383,"KÂR PAYI / AVANS*")&gt;0),$E383&amp;"|"&amp;COUNTIFS($E$7:$E383,$E383,$G$7:$G383,"KÂR PAYI / AVANS*"),"")</f>
        <v/>
      </c>
    </row>
    <row r="384" spans="1:13" ht="18" customHeight="1" x14ac:dyDescent="0.3">
      <c r="A384" s="2"/>
      <c r="B384" s="65" t="str">
        <f t="shared" si="10"/>
        <v/>
      </c>
      <c r="C384" s="66"/>
      <c r="D384" s="60"/>
      <c r="E384" s="60"/>
      <c r="F384" s="67"/>
      <c r="G384" s="61"/>
      <c r="H384" s="61"/>
      <c r="I384" s="61"/>
      <c r="J384" s="65" t="str">
        <f t="shared" si="11"/>
        <v/>
      </c>
      <c r="K384" s="65" t="str">
        <f>IF($E384="","",$E384&amp;"|"&amp;COUNTIFS($E$7:$E384,$E384))</f>
        <v/>
      </c>
      <c r="L384" s="65" t="str">
        <f>IF($D384="","",$D384&amp;"|"&amp;COUNTIFS($D$7:$D384,$D384))</f>
        <v/>
      </c>
      <c r="M384" s="65" t="str">
        <f>IF(AND($E384&lt;&gt;"",COUNTIF($G384,"KÂR PAYI / AVANS*")&gt;0),$E384&amp;"|"&amp;COUNTIFS($E$7:$E384,$E384,$G$7:$G384,"KÂR PAYI / AVANS*"),"")</f>
        <v/>
      </c>
    </row>
    <row r="385" spans="1:13" ht="18" customHeight="1" x14ac:dyDescent="0.3">
      <c r="A385" s="2"/>
      <c r="B385" s="65" t="str">
        <f t="shared" si="10"/>
        <v/>
      </c>
      <c r="C385" s="66"/>
      <c r="D385" s="60"/>
      <c r="E385" s="60"/>
      <c r="F385" s="67"/>
      <c r="G385" s="61"/>
      <c r="H385" s="61"/>
      <c r="I385" s="61"/>
      <c r="J385" s="65" t="str">
        <f t="shared" si="11"/>
        <v/>
      </c>
      <c r="K385" s="65" t="str">
        <f>IF($E385="","",$E385&amp;"|"&amp;COUNTIFS($E$7:$E385,$E385))</f>
        <v/>
      </c>
      <c r="L385" s="65" t="str">
        <f>IF($D385="","",$D385&amp;"|"&amp;COUNTIFS($D$7:$D385,$D385))</f>
        <v/>
      </c>
      <c r="M385" s="65" t="str">
        <f>IF(AND($E385&lt;&gt;"",COUNTIF($G385,"KÂR PAYI / AVANS*")&gt;0),$E385&amp;"|"&amp;COUNTIFS($E$7:$E385,$E385,$G$7:$G385,"KÂR PAYI / AVANS*"),"")</f>
        <v/>
      </c>
    </row>
    <row r="386" spans="1:13" ht="18" customHeight="1" x14ac:dyDescent="0.3">
      <c r="A386" s="2"/>
      <c r="B386" s="65" t="str">
        <f t="shared" si="10"/>
        <v/>
      </c>
      <c r="C386" s="66"/>
      <c r="D386" s="60"/>
      <c r="E386" s="60"/>
      <c r="F386" s="67"/>
      <c r="G386" s="61"/>
      <c r="H386" s="61"/>
      <c r="I386" s="61"/>
      <c r="J386" s="65" t="str">
        <f t="shared" si="11"/>
        <v/>
      </c>
      <c r="K386" s="65" t="str">
        <f>IF($E386="","",$E386&amp;"|"&amp;COUNTIFS($E$7:$E386,$E386))</f>
        <v/>
      </c>
      <c r="L386" s="65" t="str">
        <f>IF($D386="","",$D386&amp;"|"&amp;COUNTIFS($D$7:$D386,$D386))</f>
        <v/>
      </c>
      <c r="M386" s="65" t="str">
        <f>IF(AND($E386&lt;&gt;"",COUNTIF($G386,"KÂR PAYI / AVANS*")&gt;0),$E386&amp;"|"&amp;COUNTIFS($E$7:$E386,$E386,$G$7:$G386,"KÂR PAYI / AVANS*"),"")</f>
        <v/>
      </c>
    </row>
    <row r="387" spans="1:13" ht="18" customHeight="1" x14ac:dyDescent="0.3">
      <c r="A387" s="2"/>
      <c r="B387" s="65" t="str">
        <f t="shared" si="10"/>
        <v/>
      </c>
      <c r="C387" s="66"/>
      <c r="D387" s="60"/>
      <c r="E387" s="60"/>
      <c r="F387" s="67"/>
      <c r="G387" s="61"/>
      <c r="H387" s="61"/>
      <c r="I387" s="61"/>
      <c r="J387" s="65" t="str">
        <f t="shared" si="11"/>
        <v/>
      </c>
      <c r="K387" s="65" t="str">
        <f>IF($E387="","",$E387&amp;"|"&amp;COUNTIFS($E$7:$E387,$E387))</f>
        <v/>
      </c>
      <c r="L387" s="65" t="str">
        <f>IF($D387="","",$D387&amp;"|"&amp;COUNTIFS($D$7:$D387,$D387))</f>
        <v/>
      </c>
      <c r="M387" s="65" t="str">
        <f>IF(AND($E387&lt;&gt;"",COUNTIF($G387,"KÂR PAYI / AVANS*")&gt;0),$E387&amp;"|"&amp;COUNTIFS($E$7:$E387,$E387,$G$7:$G387,"KÂR PAYI / AVANS*"),"")</f>
        <v/>
      </c>
    </row>
    <row r="388" spans="1:13" ht="18" customHeight="1" x14ac:dyDescent="0.3">
      <c r="A388" s="2"/>
      <c r="B388" s="65" t="str">
        <f t="shared" si="10"/>
        <v/>
      </c>
      <c r="C388" s="66"/>
      <c r="D388" s="60"/>
      <c r="E388" s="60"/>
      <c r="F388" s="67"/>
      <c r="G388" s="61"/>
      <c r="H388" s="61"/>
      <c r="I388" s="61"/>
      <c r="J388" s="65" t="str">
        <f t="shared" si="11"/>
        <v/>
      </c>
      <c r="K388" s="65" t="str">
        <f>IF($E388="","",$E388&amp;"|"&amp;COUNTIFS($E$7:$E388,$E388))</f>
        <v/>
      </c>
      <c r="L388" s="65" t="str">
        <f>IF($D388="","",$D388&amp;"|"&amp;COUNTIFS($D$7:$D388,$D388))</f>
        <v/>
      </c>
      <c r="M388" s="65" t="str">
        <f>IF(AND($E388&lt;&gt;"",COUNTIF($G388,"KÂR PAYI / AVANS*")&gt;0),$E388&amp;"|"&amp;COUNTIFS($E$7:$E388,$E388,$G$7:$G388,"KÂR PAYI / AVANS*"),"")</f>
        <v/>
      </c>
    </row>
    <row r="389" spans="1:13" ht="18" customHeight="1" x14ac:dyDescent="0.3">
      <c r="A389" s="2"/>
      <c r="B389" s="65" t="str">
        <f t="shared" si="10"/>
        <v/>
      </c>
      <c r="C389" s="66"/>
      <c r="D389" s="60"/>
      <c r="E389" s="60"/>
      <c r="F389" s="67"/>
      <c r="G389" s="61"/>
      <c r="H389" s="61"/>
      <c r="I389" s="61"/>
      <c r="J389" s="65" t="str">
        <f t="shared" si="11"/>
        <v/>
      </c>
      <c r="K389" s="65" t="str">
        <f>IF($E389="","",$E389&amp;"|"&amp;COUNTIFS($E$7:$E389,$E389))</f>
        <v/>
      </c>
      <c r="L389" s="65" t="str">
        <f>IF($D389="","",$D389&amp;"|"&amp;COUNTIFS($D$7:$D389,$D389))</f>
        <v/>
      </c>
      <c r="M389" s="65" t="str">
        <f>IF(AND($E389&lt;&gt;"",COUNTIF($G389,"KÂR PAYI / AVANS*")&gt;0),$E389&amp;"|"&amp;COUNTIFS($E$7:$E389,$E389,$G$7:$G389,"KÂR PAYI / AVANS*"),"")</f>
        <v/>
      </c>
    </row>
    <row r="390" spans="1:13" ht="18" customHeight="1" x14ac:dyDescent="0.3">
      <c r="A390" s="2"/>
      <c r="B390" s="65" t="str">
        <f t="shared" si="10"/>
        <v/>
      </c>
      <c r="C390" s="66"/>
      <c r="D390" s="60"/>
      <c r="E390" s="60"/>
      <c r="F390" s="67"/>
      <c r="G390" s="61"/>
      <c r="H390" s="61"/>
      <c r="I390" s="61"/>
      <c r="J390" s="65" t="str">
        <f t="shared" si="11"/>
        <v/>
      </c>
      <c r="K390" s="65" t="str">
        <f>IF($E390="","",$E390&amp;"|"&amp;COUNTIFS($E$7:$E390,$E390))</f>
        <v/>
      </c>
      <c r="L390" s="65" t="str">
        <f>IF($D390="","",$D390&amp;"|"&amp;COUNTIFS($D$7:$D390,$D390))</f>
        <v/>
      </c>
      <c r="M390" s="65" t="str">
        <f>IF(AND($E390&lt;&gt;"",COUNTIF($G390,"KÂR PAYI / AVANS*")&gt;0),$E390&amp;"|"&amp;COUNTIFS($E$7:$E390,$E390,$G$7:$G390,"KÂR PAYI / AVANS*"),"")</f>
        <v/>
      </c>
    </row>
    <row r="391" spans="1:13" ht="18" customHeight="1" x14ac:dyDescent="0.3">
      <c r="A391" s="2"/>
      <c r="B391" s="65" t="str">
        <f t="shared" ref="B391:B406" si="12">IF($C391="","","V"&amp;TEXT(ROW()-6,"00000"))</f>
        <v/>
      </c>
      <c r="C391" s="66"/>
      <c r="D391" s="60"/>
      <c r="E391" s="60"/>
      <c r="F391" s="67"/>
      <c r="G391" s="61"/>
      <c r="H391" s="61"/>
      <c r="I391" s="61"/>
      <c r="J391" s="65" t="str">
        <f t="shared" ref="J391:J406" si="13">IF($C391="","",IF(AND($D391&lt;&gt;"",$E391&lt;&gt;"",$D391&lt;&gt;$E391,$F391&gt;0),"UYGUN","HATA"))</f>
        <v/>
      </c>
      <c r="K391" s="65" t="str">
        <f>IF($E391="","",$E391&amp;"|"&amp;COUNTIFS($E$7:$E391,$E391))</f>
        <v/>
      </c>
      <c r="L391" s="65" t="str">
        <f>IF($D391="","",$D391&amp;"|"&amp;COUNTIFS($D$7:$D391,$D391))</f>
        <v/>
      </c>
      <c r="M391" s="65" t="str">
        <f>IF(AND($E391&lt;&gt;"",COUNTIF($G391,"KÂR PAYI / AVANS*")&gt;0),$E391&amp;"|"&amp;COUNTIFS($E$7:$E391,$E391,$G$7:$G391,"KÂR PAYI / AVANS*"),"")</f>
        <v/>
      </c>
    </row>
    <row r="392" spans="1:13" ht="18" customHeight="1" x14ac:dyDescent="0.3">
      <c r="A392" s="2"/>
      <c r="B392" s="65" t="str">
        <f t="shared" si="12"/>
        <v/>
      </c>
      <c r="C392" s="66"/>
      <c r="D392" s="60"/>
      <c r="E392" s="60"/>
      <c r="F392" s="67"/>
      <c r="G392" s="61"/>
      <c r="H392" s="61"/>
      <c r="I392" s="61"/>
      <c r="J392" s="65" t="str">
        <f t="shared" si="13"/>
        <v/>
      </c>
      <c r="K392" s="65" t="str">
        <f>IF($E392="","",$E392&amp;"|"&amp;COUNTIFS($E$7:$E392,$E392))</f>
        <v/>
      </c>
      <c r="L392" s="65" t="str">
        <f>IF($D392="","",$D392&amp;"|"&amp;COUNTIFS($D$7:$D392,$D392))</f>
        <v/>
      </c>
      <c r="M392" s="65" t="str">
        <f>IF(AND($E392&lt;&gt;"",COUNTIF($G392,"KÂR PAYI / AVANS*")&gt;0),$E392&amp;"|"&amp;COUNTIFS($E$7:$E392,$E392,$G$7:$G392,"KÂR PAYI / AVANS*"),"")</f>
        <v/>
      </c>
    </row>
    <row r="393" spans="1:13" ht="18" customHeight="1" x14ac:dyDescent="0.3">
      <c r="A393" s="2"/>
      <c r="B393" s="65" t="str">
        <f t="shared" si="12"/>
        <v/>
      </c>
      <c r="C393" s="66"/>
      <c r="D393" s="60"/>
      <c r="E393" s="60"/>
      <c r="F393" s="67"/>
      <c r="G393" s="61"/>
      <c r="H393" s="61"/>
      <c r="I393" s="61"/>
      <c r="J393" s="65" t="str">
        <f t="shared" si="13"/>
        <v/>
      </c>
      <c r="K393" s="65" t="str">
        <f>IF($E393="","",$E393&amp;"|"&amp;COUNTIFS($E$7:$E393,$E393))</f>
        <v/>
      </c>
      <c r="L393" s="65" t="str">
        <f>IF($D393="","",$D393&amp;"|"&amp;COUNTIFS($D$7:$D393,$D393))</f>
        <v/>
      </c>
      <c r="M393" s="65" t="str">
        <f>IF(AND($E393&lt;&gt;"",COUNTIF($G393,"KÂR PAYI / AVANS*")&gt;0),$E393&amp;"|"&amp;COUNTIFS($E$7:$E393,$E393,$G$7:$G393,"KÂR PAYI / AVANS*"),"")</f>
        <v/>
      </c>
    </row>
    <row r="394" spans="1:13" ht="18" customHeight="1" x14ac:dyDescent="0.3">
      <c r="A394" s="2"/>
      <c r="B394" s="65" t="str">
        <f t="shared" si="12"/>
        <v/>
      </c>
      <c r="C394" s="66"/>
      <c r="D394" s="60"/>
      <c r="E394" s="60"/>
      <c r="F394" s="67"/>
      <c r="G394" s="61"/>
      <c r="H394" s="61"/>
      <c r="I394" s="61"/>
      <c r="J394" s="65" t="str">
        <f t="shared" si="13"/>
        <v/>
      </c>
      <c r="K394" s="65" t="str">
        <f>IF($E394="","",$E394&amp;"|"&amp;COUNTIFS($E$7:$E394,$E394))</f>
        <v/>
      </c>
      <c r="L394" s="65" t="str">
        <f>IF($D394="","",$D394&amp;"|"&amp;COUNTIFS($D$7:$D394,$D394))</f>
        <v/>
      </c>
      <c r="M394" s="65" t="str">
        <f>IF(AND($E394&lt;&gt;"",COUNTIF($G394,"KÂR PAYI / AVANS*")&gt;0),$E394&amp;"|"&amp;COUNTIFS($E$7:$E394,$E394,$G$7:$G394,"KÂR PAYI / AVANS*"),"")</f>
        <v/>
      </c>
    </row>
    <row r="395" spans="1:13" ht="18" customHeight="1" x14ac:dyDescent="0.3">
      <c r="A395" s="2"/>
      <c r="B395" s="65" t="str">
        <f t="shared" si="12"/>
        <v/>
      </c>
      <c r="C395" s="66"/>
      <c r="D395" s="60"/>
      <c r="E395" s="60"/>
      <c r="F395" s="67"/>
      <c r="G395" s="61"/>
      <c r="H395" s="61"/>
      <c r="I395" s="61"/>
      <c r="J395" s="65" t="str">
        <f t="shared" si="13"/>
        <v/>
      </c>
      <c r="K395" s="65" t="str">
        <f>IF($E395="","",$E395&amp;"|"&amp;COUNTIFS($E$7:$E395,$E395))</f>
        <v/>
      </c>
      <c r="L395" s="65" t="str">
        <f>IF($D395="","",$D395&amp;"|"&amp;COUNTIFS($D$7:$D395,$D395))</f>
        <v/>
      </c>
      <c r="M395" s="65" t="str">
        <f>IF(AND($E395&lt;&gt;"",COUNTIF($G395,"KÂR PAYI / AVANS*")&gt;0),$E395&amp;"|"&amp;COUNTIFS($E$7:$E395,$E395,$G$7:$G395,"KÂR PAYI / AVANS*"),"")</f>
        <v/>
      </c>
    </row>
    <row r="396" spans="1:13" ht="18" customHeight="1" x14ac:dyDescent="0.3">
      <c r="A396" s="2"/>
      <c r="B396" s="65" t="str">
        <f t="shared" si="12"/>
        <v/>
      </c>
      <c r="C396" s="66"/>
      <c r="D396" s="60"/>
      <c r="E396" s="60"/>
      <c r="F396" s="67"/>
      <c r="G396" s="61"/>
      <c r="H396" s="61"/>
      <c r="I396" s="61"/>
      <c r="J396" s="65" t="str">
        <f t="shared" si="13"/>
        <v/>
      </c>
      <c r="K396" s="65" t="str">
        <f>IF($E396="","",$E396&amp;"|"&amp;COUNTIFS($E$7:$E396,$E396))</f>
        <v/>
      </c>
      <c r="L396" s="65" t="str">
        <f>IF($D396="","",$D396&amp;"|"&amp;COUNTIFS($D$7:$D396,$D396))</f>
        <v/>
      </c>
      <c r="M396" s="65" t="str">
        <f>IF(AND($E396&lt;&gt;"",COUNTIF($G396,"KÂR PAYI / AVANS*")&gt;0),$E396&amp;"|"&amp;COUNTIFS($E$7:$E396,$E396,$G$7:$G396,"KÂR PAYI / AVANS*"),"")</f>
        <v/>
      </c>
    </row>
    <row r="397" spans="1:13" ht="18" customHeight="1" x14ac:dyDescent="0.3">
      <c r="A397" s="2"/>
      <c r="B397" s="65" t="str">
        <f t="shared" si="12"/>
        <v/>
      </c>
      <c r="C397" s="66"/>
      <c r="D397" s="60"/>
      <c r="E397" s="60"/>
      <c r="F397" s="67"/>
      <c r="G397" s="61"/>
      <c r="H397" s="61"/>
      <c r="I397" s="61"/>
      <c r="J397" s="65" t="str">
        <f t="shared" si="13"/>
        <v/>
      </c>
      <c r="K397" s="65" t="str">
        <f>IF($E397="","",$E397&amp;"|"&amp;COUNTIFS($E$7:$E397,$E397))</f>
        <v/>
      </c>
      <c r="L397" s="65" t="str">
        <f>IF($D397="","",$D397&amp;"|"&amp;COUNTIFS($D$7:$D397,$D397))</f>
        <v/>
      </c>
      <c r="M397" s="65" t="str">
        <f>IF(AND($E397&lt;&gt;"",COUNTIF($G397,"KÂR PAYI / AVANS*")&gt;0),$E397&amp;"|"&amp;COUNTIFS($E$7:$E397,$E397,$G$7:$G397,"KÂR PAYI / AVANS*"),"")</f>
        <v/>
      </c>
    </row>
    <row r="398" spans="1:13" ht="18" customHeight="1" x14ac:dyDescent="0.3">
      <c r="A398" s="2"/>
      <c r="B398" s="65" t="str">
        <f t="shared" si="12"/>
        <v/>
      </c>
      <c r="C398" s="66"/>
      <c r="D398" s="60"/>
      <c r="E398" s="60"/>
      <c r="F398" s="67"/>
      <c r="G398" s="61"/>
      <c r="H398" s="61"/>
      <c r="I398" s="61"/>
      <c r="J398" s="65" t="str">
        <f t="shared" si="13"/>
        <v/>
      </c>
      <c r="K398" s="65" t="str">
        <f>IF($E398="","",$E398&amp;"|"&amp;COUNTIFS($E$7:$E398,$E398))</f>
        <v/>
      </c>
      <c r="L398" s="65" t="str">
        <f>IF($D398="","",$D398&amp;"|"&amp;COUNTIFS($D$7:$D398,$D398))</f>
        <v/>
      </c>
      <c r="M398" s="65" t="str">
        <f>IF(AND($E398&lt;&gt;"",COUNTIF($G398,"KÂR PAYI / AVANS*")&gt;0),$E398&amp;"|"&amp;COUNTIFS($E$7:$E398,$E398,$G$7:$G398,"KÂR PAYI / AVANS*"),"")</f>
        <v/>
      </c>
    </row>
    <row r="399" spans="1:13" ht="18" customHeight="1" x14ac:dyDescent="0.3">
      <c r="A399" s="2"/>
      <c r="B399" s="65" t="str">
        <f t="shared" si="12"/>
        <v/>
      </c>
      <c r="C399" s="66"/>
      <c r="D399" s="60"/>
      <c r="E399" s="60"/>
      <c r="F399" s="67"/>
      <c r="G399" s="61"/>
      <c r="H399" s="61"/>
      <c r="I399" s="61"/>
      <c r="J399" s="65" t="str">
        <f t="shared" si="13"/>
        <v/>
      </c>
      <c r="K399" s="65" t="str">
        <f>IF($E399="","",$E399&amp;"|"&amp;COUNTIFS($E$7:$E399,$E399))</f>
        <v/>
      </c>
      <c r="L399" s="65" t="str">
        <f>IF($D399="","",$D399&amp;"|"&amp;COUNTIFS($D$7:$D399,$D399))</f>
        <v/>
      </c>
      <c r="M399" s="65" t="str">
        <f>IF(AND($E399&lt;&gt;"",COUNTIF($G399,"KÂR PAYI / AVANS*")&gt;0),$E399&amp;"|"&amp;COUNTIFS($E$7:$E399,$E399,$G$7:$G399,"KÂR PAYI / AVANS*"),"")</f>
        <v/>
      </c>
    </row>
    <row r="400" spans="1:13" ht="18" customHeight="1" x14ac:dyDescent="0.3">
      <c r="A400" s="2"/>
      <c r="B400" s="65" t="str">
        <f t="shared" si="12"/>
        <v/>
      </c>
      <c r="C400" s="66"/>
      <c r="D400" s="60"/>
      <c r="E400" s="60"/>
      <c r="F400" s="67"/>
      <c r="G400" s="61"/>
      <c r="H400" s="61"/>
      <c r="I400" s="61"/>
      <c r="J400" s="65" t="str">
        <f t="shared" si="13"/>
        <v/>
      </c>
      <c r="K400" s="65" t="str">
        <f>IF($E400="","",$E400&amp;"|"&amp;COUNTIFS($E$7:$E400,$E400))</f>
        <v/>
      </c>
      <c r="L400" s="65" t="str">
        <f>IF($D400="","",$D400&amp;"|"&amp;COUNTIFS($D$7:$D400,$D400))</f>
        <v/>
      </c>
      <c r="M400" s="65" t="str">
        <f>IF(AND($E400&lt;&gt;"",COUNTIF($G400,"KÂR PAYI / AVANS*")&gt;0),$E400&amp;"|"&amp;COUNTIFS($E$7:$E400,$E400,$G$7:$G400,"KÂR PAYI / AVANS*"),"")</f>
        <v/>
      </c>
    </row>
    <row r="401" spans="1:13" ht="18" customHeight="1" x14ac:dyDescent="0.3">
      <c r="A401" s="2"/>
      <c r="B401" s="65" t="str">
        <f t="shared" si="12"/>
        <v/>
      </c>
      <c r="C401" s="66"/>
      <c r="D401" s="60"/>
      <c r="E401" s="60"/>
      <c r="F401" s="67"/>
      <c r="G401" s="61"/>
      <c r="H401" s="61"/>
      <c r="I401" s="61"/>
      <c r="J401" s="65" t="str">
        <f t="shared" si="13"/>
        <v/>
      </c>
      <c r="K401" s="65" t="str">
        <f>IF($E401="","",$E401&amp;"|"&amp;COUNTIFS($E$7:$E401,$E401))</f>
        <v/>
      </c>
      <c r="L401" s="65" t="str">
        <f>IF($D401="","",$D401&amp;"|"&amp;COUNTIFS($D$7:$D401,$D401))</f>
        <v/>
      </c>
      <c r="M401" s="65" t="str">
        <f>IF(AND($E401&lt;&gt;"",COUNTIF($G401,"KÂR PAYI / AVANS*")&gt;0),$E401&amp;"|"&amp;COUNTIFS($E$7:$E401,$E401,$G$7:$G401,"KÂR PAYI / AVANS*"),"")</f>
        <v/>
      </c>
    </row>
    <row r="402" spans="1:13" ht="18" customHeight="1" x14ac:dyDescent="0.3">
      <c r="A402" s="2"/>
      <c r="B402" s="65" t="str">
        <f t="shared" si="12"/>
        <v/>
      </c>
      <c r="C402" s="66"/>
      <c r="D402" s="60"/>
      <c r="E402" s="60"/>
      <c r="F402" s="67"/>
      <c r="G402" s="61"/>
      <c r="H402" s="61"/>
      <c r="I402" s="61"/>
      <c r="J402" s="65" t="str">
        <f t="shared" si="13"/>
        <v/>
      </c>
      <c r="K402" s="65" t="str">
        <f>IF($E402="","",$E402&amp;"|"&amp;COUNTIFS($E$7:$E402,$E402))</f>
        <v/>
      </c>
      <c r="L402" s="65" t="str">
        <f>IF($D402="","",$D402&amp;"|"&amp;COUNTIFS($D$7:$D402,$D402))</f>
        <v/>
      </c>
      <c r="M402" s="65" t="str">
        <f>IF(AND($E402&lt;&gt;"",COUNTIF($G402,"KÂR PAYI / AVANS*")&gt;0),$E402&amp;"|"&amp;COUNTIFS($E$7:$E402,$E402,$G$7:$G402,"KÂR PAYI / AVANS*"),"")</f>
        <v/>
      </c>
    </row>
    <row r="403" spans="1:13" ht="18" customHeight="1" x14ac:dyDescent="0.3">
      <c r="A403" s="2"/>
      <c r="B403" s="65" t="str">
        <f t="shared" si="12"/>
        <v/>
      </c>
      <c r="C403" s="66"/>
      <c r="D403" s="60"/>
      <c r="E403" s="60"/>
      <c r="F403" s="67"/>
      <c r="G403" s="61"/>
      <c r="H403" s="61"/>
      <c r="I403" s="61"/>
      <c r="J403" s="65" t="str">
        <f t="shared" si="13"/>
        <v/>
      </c>
      <c r="K403" s="65" t="str">
        <f>IF($E403="","",$E403&amp;"|"&amp;COUNTIFS($E$7:$E403,$E403))</f>
        <v/>
      </c>
      <c r="L403" s="65" t="str">
        <f>IF($D403="","",$D403&amp;"|"&amp;COUNTIFS($D$7:$D403,$D403))</f>
        <v/>
      </c>
      <c r="M403" s="65" t="str">
        <f>IF(AND($E403&lt;&gt;"",COUNTIF($G403,"KÂR PAYI / AVANS*")&gt;0),$E403&amp;"|"&amp;COUNTIFS($E$7:$E403,$E403,$G$7:$G403,"KÂR PAYI / AVANS*"),"")</f>
        <v/>
      </c>
    </row>
    <row r="404" spans="1:13" ht="18" customHeight="1" x14ac:dyDescent="0.3">
      <c r="A404" s="2"/>
      <c r="B404" s="65" t="str">
        <f t="shared" si="12"/>
        <v/>
      </c>
      <c r="C404" s="66"/>
      <c r="D404" s="60"/>
      <c r="E404" s="60"/>
      <c r="F404" s="67"/>
      <c r="G404" s="61"/>
      <c r="H404" s="61"/>
      <c r="I404" s="61"/>
      <c r="J404" s="65" t="str">
        <f t="shared" si="13"/>
        <v/>
      </c>
      <c r="K404" s="65" t="str">
        <f>IF($E404="","",$E404&amp;"|"&amp;COUNTIFS($E$7:$E404,$E404))</f>
        <v/>
      </c>
      <c r="L404" s="65" t="str">
        <f>IF($D404="","",$D404&amp;"|"&amp;COUNTIFS($D$7:$D404,$D404))</f>
        <v/>
      </c>
      <c r="M404" s="65" t="str">
        <f>IF(AND($E404&lt;&gt;"",COUNTIF($G404,"KÂR PAYI / AVANS*")&gt;0),$E404&amp;"|"&amp;COUNTIFS($E$7:$E404,$E404,$G$7:$G404,"KÂR PAYI / AVANS*"),"")</f>
        <v/>
      </c>
    </row>
    <row r="405" spans="1:13" ht="18" customHeight="1" x14ac:dyDescent="0.3">
      <c r="A405" s="2"/>
      <c r="B405" s="65" t="str">
        <f t="shared" si="12"/>
        <v/>
      </c>
      <c r="C405" s="66"/>
      <c r="D405" s="60"/>
      <c r="E405" s="60"/>
      <c r="F405" s="67"/>
      <c r="G405" s="61"/>
      <c r="H405" s="61"/>
      <c r="I405" s="61"/>
      <c r="J405" s="65" t="str">
        <f t="shared" si="13"/>
        <v/>
      </c>
      <c r="K405" s="65" t="str">
        <f>IF($E405="","",$E405&amp;"|"&amp;COUNTIFS($E$7:$E405,$E405))</f>
        <v/>
      </c>
      <c r="L405" s="65" t="str">
        <f>IF($D405="","",$D405&amp;"|"&amp;COUNTIFS($D$7:$D405,$D405))</f>
        <v/>
      </c>
      <c r="M405" s="65" t="str">
        <f>IF(AND($E405&lt;&gt;"",COUNTIF($G405,"KÂR PAYI / AVANS*")&gt;0),$E405&amp;"|"&amp;COUNTIFS($E$7:$E405,$E405,$G$7:$G405,"KÂR PAYI / AVANS*"),"")</f>
        <v/>
      </c>
    </row>
    <row r="406" spans="1:13" ht="18" customHeight="1" x14ac:dyDescent="0.3">
      <c r="A406" s="2"/>
      <c r="B406" s="65" t="str">
        <f t="shared" si="12"/>
        <v/>
      </c>
      <c r="C406" s="66"/>
      <c r="D406" s="60"/>
      <c r="E406" s="60"/>
      <c r="F406" s="67"/>
      <c r="G406" s="61"/>
      <c r="H406" s="61"/>
      <c r="I406" s="61"/>
      <c r="J406" s="65" t="str">
        <f t="shared" si="13"/>
        <v/>
      </c>
      <c r="K406" s="65" t="str">
        <f>IF($E406="","",$E406&amp;"|"&amp;COUNTIFS($E$7:$E406,$E406))</f>
        <v/>
      </c>
      <c r="L406" s="65" t="str">
        <f>IF($D406="","",$D406&amp;"|"&amp;COUNTIFS($D$7:$D406,$D406))</f>
        <v/>
      </c>
      <c r="M406" s="65" t="str">
        <f>IF(AND($E406&lt;&gt;"",COUNTIF($G406,"KÂR PAYI / AVANS*")&gt;0),$E406&amp;"|"&amp;COUNTIFS($E$7:$E406,$E406,$G$7:$G406,"KÂR PAYI / AVANS*"),"")</f>
        <v/>
      </c>
    </row>
    <row r="407" spans="1:13" ht="18" customHeight="1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</row>
    <row r="408" spans="1:13" ht="18" customHeight="1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</row>
  </sheetData>
  <sheetProtection password="CC3D" sheet="1" formatCells="0" formatColumns="0" formatRows="0" sort="0" autoFilter="0"/>
  <autoFilter ref="B6:J406" xr:uid="{00000000-0009-0000-0000-000006000000}"/>
  <mergeCells count="3">
    <mergeCell ref="A2:K2"/>
    <mergeCell ref="F1:K1"/>
    <mergeCell ref="A1:E1"/>
  </mergeCells>
  <conditionalFormatting sqref="J7:J406">
    <cfRule type="expression" dxfId="54" priority="2">
      <formula>EXACT($J7,"UYGUN")</formula>
    </cfRule>
    <cfRule type="expression" dxfId="53" priority="3">
      <formula>EXACT($J7,"EKSİK")</formula>
    </cfRule>
    <cfRule type="expression" dxfId="52" priority="4">
      <formula>EXACT($J7,"HATA")</formula>
    </cfRule>
    <cfRule type="expression" dxfId="51" priority="5">
      <formula>EXACT($J7,"İLERİ TARİH")</formula>
    </cfRule>
    <cfRule type="expression" dxfId="50" priority="6">
      <formula>EXACT($J7,"PASİF")</formula>
    </cfRule>
  </conditionalFormatting>
  <dataValidations count="1">
    <dataValidation type="list" allowBlank="1" showErrorMessage="1" errorTitle="Tanımsız hesap" error="HESAPLAR ekranındaki bir hesabı seçin." promptTitle="Tanımsız hesap" prompt="HESAPLAR ekranındaki bir hesabı seçin." sqref="D7:E406" xr:uid="{00000000-0002-0000-0600-000000000000}">
      <formula1>LST_HESAP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8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700-000000000000}">
  <sheetPr>
    <tabColor rgb="FF1C7E99"/>
    <pageSetUpPr fitToPage="1"/>
  </sheetPr>
  <dimension ref="A1:W953"/>
  <sheetViews>
    <sheetView showGridLines="0" zoomScaleNormal="100" workbookViewId="0">
      <pane xSplit="1" ySplit="12" topLeftCell="B179" activePane="bottomRight" state="frozen"/>
      <selection pane="topRight" activeCell="B1" sqref="B1"/>
      <selection pane="bottomLeft" activeCell="A13" sqref="A13"/>
      <selection pane="bottomRight" activeCell="D186" sqref="D186:E186"/>
    </sheetView>
  </sheetViews>
  <sheetFormatPr defaultColWidth="8" defaultRowHeight="14.25" customHeight="1" x14ac:dyDescent="0.25"/>
  <cols>
    <col min="1" max="1" width="2.28515625" customWidth="1"/>
    <col min="2" max="2" width="24.140625" customWidth="1"/>
    <col min="3" max="3" width="16.7109375" customWidth="1"/>
    <col min="4" max="4" width="11.140625" customWidth="1"/>
    <col min="5" max="5" width="66.140625" customWidth="1"/>
    <col min="6" max="6" width="29.7109375" customWidth="1"/>
    <col min="7" max="8" width="16.7109375" customWidth="1"/>
    <col min="9" max="9" width="18.5703125" customWidth="1"/>
    <col min="10" max="10" width="2.28515625" customWidth="1"/>
    <col min="11" max="11" width="2.28515625" hidden="1" customWidth="1"/>
    <col min="12" max="12" width="16.7109375" customWidth="1"/>
    <col min="13" max="23" width="12" hidden="1" customWidth="1"/>
  </cols>
  <sheetData>
    <row r="1" spans="1:23" ht="37.5" customHeight="1" x14ac:dyDescent="0.3">
      <c r="A1" s="212" t="s">
        <v>0</v>
      </c>
      <c r="B1" s="150"/>
      <c r="C1" s="150"/>
      <c r="D1" s="150"/>
      <c r="E1" s="150"/>
      <c r="F1" s="208" t="s">
        <v>988</v>
      </c>
      <c r="G1" s="150"/>
      <c r="H1" s="150"/>
      <c r="I1" s="15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3">
      <c r="A2" s="213" t="s">
        <v>989</v>
      </c>
      <c r="B2" s="142"/>
      <c r="C2" s="142"/>
      <c r="D2" s="142"/>
      <c r="E2" s="142"/>
      <c r="F2" s="142"/>
      <c r="G2" s="142"/>
      <c r="H2" s="142"/>
      <c r="I2" s="14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2"/>
      <c r="B3" s="50" t="s">
        <v>990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HYPERLINK("#ORTAKLAR!A1","Ortak Tanımları")</f>
        <v>Ortak Tanımları</v>
      </c>
      <c r="E4" s="76" t="str">
        <f>HYPERLINK("#VIRMAN!A1","Ortak Çekiş / Avans")</f>
        <v>Ortak Çekiş / Avans</v>
      </c>
      <c r="F4" s="77" t="str">
        <f>HYPERLINK("#AY_SONU!A1","Ay Sonu")</f>
        <v>Ay Sonu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IFERROR(MATCH($C$36,ORTAKLAR!$B$7:$B$10,0),0)</f>
        <v>2</v>
      </c>
      <c r="V4" s="1"/>
      <c r="W4" s="1"/>
    </row>
    <row r="5" spans="1:23" ht="27.75" hidden="1" customHeight="1" x14ac:dyDescent="0.3">
      <c r="A5" s="2"/>
      <c r="B5" s="183" t="s">
        <v>991</v>
      </c>
      <c r="C5" s="150"/>
      <c r="D5" s="150"/>
      <c r="E5" s="150"/>
      <c r="F5" s="150"/>
      <c r="G5" s="150"/>
      <c r="H5" s="150"/>
      <c r="I5" s="150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IF($C$36="","",IF($C$36=SISTEM!$C$9,"M",IF($C$36=SISTEM!$C$10,"N","")))</f>
        <v>N</v>
      </c>
      <c r="V5" s="1"/>
      <c r="W5" s="1"/>
    </row>
    <row r="6" spans="1:23" ht="33.75" hidden="1" customHeight="1" x14ac:dyDescent="0.3">
      <c r="A6" s="2"/>
      <c r="B6" s="57" t="s">
        <v>992</v>
      </c>
      <c r="C6" s="57" t="s">
        <v>993</v>
      </c>
      <c r="D6" s="57" t="s">
        <v>555</v>
      </c>
      <c r="E6" s="57" t="s">
        <v>994</v>
      </c>
      <c r="F6" s="57" t="s">
        <v>995</v>
      </c>
      <c r="G6" s="57" t="s">
        <v>996</v>
      </c>
      <c r="H6" s="57" t="s">
        <v>997</v>
      </c>
      <c r="I6" s="57" t="s">
        <v>998</v>
      </c>
      <c r="J6" s="57" t="s">
        <v>999</v>
      </c>
      <c r="K6" s="2"/>
      <c r="L6" s="78" t="s">
        <v>1000</v>
      </c>
      <c r="M6" s="1"/>
      <c r="N6" s="1"/>
      <c r="O6" s="1"/>
      <c r="P6" s="1"/>
      <c r="Q6" s="1"/>
      <c r="R6" s="1"/>
      <c r="S6" s="1"/>
      <c r="T6" s="1"/>
      <c r="U6" s="79">
        <f>IFERROR(INDEX(ORTAKLAR!$F$7:$F$10,MATCH($C$36,ORTAKLAR!$B$7:$B$10,0)),"")</f>
        <v>879731.02</v>
      </c>
      <c r="V6" s="1"/>
      <c r="W6" s="1"/>
    </row>
    <row r="7" spans="1:23" ht="19.5" hidden="1" customHeight="1" x14ac:dyDescent="0.3">
      <c r="A7" s="2"/>
      <c r="B7" s="61" t="s">
        <v>974</v>
      </c>
      <c r="C7" s="60" t="s">
        <v>974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IF($B7="","",SUMIFS(VIRMAN!$F$7:$F$406,VIRMAN!$E$7:$E$406,$B7))</f>
        <v>634731.02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773531.01</v>
      </c>
      <c r="I7" s="68">
        <f>IF($B7="","",$E7+$F7-$G7-$H7)</f>
        <v>-138799.99</v>
      </c>
      <c r="J7" s="68">
        <f>IF($B7="","",SUMIFS(VIRMAN!$F$7:$F$406,VIRMAN!$E$7:$E$406,$B7,VIRMAN!$G$7:$G$406,"KÂR PAYI / AVANS*"))</f>
        <v>634731.02</v>
      </c>
      <c r="K7" s="2"/>
      <c r="L7" s="80" t="str">
        <f>IF($B7="","",IF($I7&gt;0.01,"ORTAK BORÇLU",IF($I7&lt;-0.01,"ORTAK ALACAKLI","KAPALI")))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hidden="1" customHeight="1" x14ac:dyDescent="0.3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536650</v>
      </c>
      <c r="F8" s="68">
        <f>IF($B8="","",SUMIFS(VIRMAN!$F$7:$F$406,VIRMAN!$E$7:$E$406,$B8))</f>
        <v>879731.02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773531.01</v>
      </c>
      <c r="I8" s="68">
        <f>IF($B8="","",$E8+$F8-$G8-$H8)</f>
        <v>595850.01</v>
      </c>
      <c r="J8" s="68">
        <f>IF($B8="","",SUMIFS(VIRMAN!$F$7:$F$406,VIRMAN!$E$7:$E$406,$B8,VIRMAN!$G$7:$G$406,"KÂR PAYI / AVANS*"))</f>
        <v>634731.02</v>
      </c>
      <c r="K8" s="2"/>
      <c r="L8" s="80" t="str">
        <f>IF($B8="","",IF($I8&gt;0.01,"ORTAK BORÇLU",IF($I8&lt;-0.01,"ORTAK ALACAKLI","KAPALI")))</f>
        <v>ORTAK BORÇLU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hidden="1" customHeight="1" x14ac:dyDescent="0.3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IF($B9="","",SUMIFS(VIRMAN!$F$7:$F$406,VIRMAN!$E$7:$E$406,$B9,VIRMAN!$G$7:$G$406,"KÂR PAYI / AVANS*"))</f>
        <v/>
      </c>
      <c r="K9" s="2"/>
      <c r="L9" s="80" t="str">
        <f>IF($B9="","",IF($I9&gt;0.01,"ORTAK BORÇLU",IF($I9&lt;-0.01,"ORTAK ALACAKLI","KAPALI")))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hidden="1" customHeight="1" x14ac:dyDescent="0.3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IF($B10="","",SUMIFS(VIRMAN!$F$7:$F$406,VIRMAN!$E$7:$E$406,$B10,VIRMAN!$G$7:$G$406,"KÂR PAYI / AVANS*"))</f>
        <v/>
      </c>
      <c r="K10" s="2"/>
      <c r="L10" s="80" t="str">
        <f>IF($B10="","",IF($I10&gt;0.01,"ORTAK BORÇLU",IF($I10&lt;-0.01,"ORTAK ALACAKLI","KAPALI")))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hidden="1" customHeight="1" x14ac:dyDescent="0.3">
      <c r="A11" s="2"/>
      <c r="B11" s="218" t="s">
        <v>1001</v>
      </c>
      <c r="C11" s="142"/>
      <c r="D11" s="142"/>
      <c r="E11" s="142"/>
      <c r="F11" s="142"/>
      <c r="G11" s="142"/>
      <c r="H11" s="142"/>
      <c r="I11" s="14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hidden="1" customHeight="1" x14ac:dyDescent="0.3">
      <c r="A12" s="2"/>
      <c r="B12" s="183" t="s">
        <v>1002</v>
      </c>
      <c r="C12" s="150"/>
      <c r="D12" s="150"/>
      <c r="E12" s="150"/>
      <c r="F12" s="150"/>
      <c r="G12" s="150"/>
      <c r="H12" s="150"/>
      <c r="I12" s="150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hidden="1" customHeight="1" x14ac:dyDescent="0.3">
      <c r="A13" s="2"/>
      <c r="B13" s="57" t="s">
        <v>1003</v>
      </c>
      <c r="C13" s="57" t="s">
        <v>1004</v>
      </c>
      <c r="D13" s="57" t="s">
        <v>1005</v>
      </c>
      <c r="E13" s="57" t="s">
        <v>1006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hidden="1" customHeight="1" x14ac:dyDescent="0.3">
      <c r="A14" s="2"/>
      <c r="B14" s="61" t="s">
        <v>974</v>
      </c>
      <c r="C14" s="81">
        <v>46023</v>
      </c>
      <c r="D14" s="81"/>
      <c r="E14" s="82">
        <v>0.5</v>
      </c>
      <c r="F14" s="61" t="s">
        <v>1007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hidden="1" customHeight="1" x14ac:dyDescent="0.3">
      <c r="A15" s="2"/>
      <c r="B15" s="61" t="s">
        <v>723</v>
      </c>
      <c r="C15" s="81">
        <v>46023</v>
      </c>
      <c r="D15" s="81"/>
      <c r="E15" s="82">
        <v>0.5</v>
      </c>
      <c r="F15" s="61" t="s">
        <v>1007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hidden="1" customHeight="1" x14ac:dyDescent="0.3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hidden="1" customHeight="1" x14ac:dyDescent="0.3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hidden="1" customHeight="1" x14ac:dyDescent="0.3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hidden="1" customHeight="1" x14ac:dyDescent="0.3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hidden="1" customHeight="1" x14ac:dyDescent="0.3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hidden="1" customHeight="1" x14ac:dyDescent="0.3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hidden="1" customHeight="1" x14ac:dyDescent="0.3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hidden="1" customHeight="1" x14ac:dyDescent="0.3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hidden="1" customHeight="1" x14ac:dyDescent="0.3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hidden="1" customHeight="1" x14ac:dyDescent="0.3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hidden="1" customHeight="1" x14ac:dyDescent="0.3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hidden="1" customHeight="1" x14ac:dyDescent="0.3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hidden="1" customHeight="1" x14ac:dyDescent="0.3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hidden="1" customHeight="1" x14ac:dyDescent="0.3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hidden="1" customHeight="1" x14ac:dyDescent="0.3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hidden="1" customHeight="1" x14ac:dyDescent="0.3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hidden="1" customHeight="1" x14ac:dyDescent="0.3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hidden="1" customHeight="1" x14ac:dyDescent="0.3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hidden="1" customHeight="1" x14ac:dyDescent="0.3">
      <c r="A34" s="2"/>
      <c r="B34" s="218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42"/>
      <c r="D34" s="142"/>
      <c r="E34" s="142"/>
      <c r="F34" s="142"/>
      <c r="G34" s="142"/>
      <c r="H34" s="142"/>
      <c r="I34" s="14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3">
      <c r="A35" s="2"/>
      <c r="B35" s="183" t="s">
        <v>1008</v>
      </c>
      <c r="C35" s="150"/>
      <c r="D35" s="150"/>
      <c r="E35" s="150"/>
      <c r="F35" s="150"/>
      <c r="G35" s="150"/>
      <c r="H35" s="150"/>
      <c r="I35" s="150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3">
      <c r="A36" s="2"/>
      <c r="B36" s="84" t="s">
        <v>1009</v>
      </c>
      <c r="C36" s="215" t="s">
        <v>723</v>
      </c>
      <c r="D36" s="216"/>
      <c r="E36" s="217"/>
      <c r="F36" s="219" t="str">
        <f>IF($C$36="","Lütfen soldan bir ortak seçin",IFERROR($C$36&amp;"   │   BORÇ: "&amp;ROUND(INDEX(ORTAKLAR!$E$7:$E$10,MATCH($C$36,ORTAKLAR!$B$7:$B$10,0))+INDEX(ORTAKLAR!$F$7:$F$10,MATCH($C$36,ORTAKLAR!$B$7:$B$10,0)),0)&amp;" TL   │   ALACAK: "&amp;ROUND(INDEX(ORTAKLAR!$G$7:$G$10,MATCH($C$36,ORTAKLAR!$B$7:$B$10,0))+INDEX(ORTAKLAR!$H$7:$H$10,MATCH($C$36,ORTAKLAR!$B$7:$B$10,0)),0)&amp;" TL   │   NET: "&amp;ROUND(INDEX(ORTAKLAR!$I$7:$I$10,MATCH($C$36,ORTAKLAR!$B$7:$B$10,0)),0)&amp;" TL"&amp;IF(ABS(IFERROR(LOOKUP(2,1/($C$38:$C$953&lt;&gt;""),$I$38:$I$953),0)-INDEX(ORTAKLAR!$I$7:$I$10,MATCH($C$36,ORTAKLAR!$B$7:$B$10,0)))&gt;0.01,"   │   DETAY MUTABAKAT HATASI",""),"ORTAK TANIMI BULUNAMADI"))</f>
        <v>ÖMER KARTAL   │   BORÇ: 1416381 TL   │   ALACAK: 820531 TL   │   NET: 595850 TL</v>
      </c>
      <c r="G36" s="142"/>
      <c r="H36" s="142"/>
      <c r="I36" s="14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3">
      <c r="A37" s="2"/>
      <c r="B37" s="57" t="s">
        <v>1010</v>
      </c>
      <c r="C37" s="57" t="s">
        <v>709</v>
      </c>
      <c r="D37" s="214" t="s">
        <v>54</v>
      </c>
      <c r="E37" s="150"/>
      <c r="F37" s="57" t="s">
        <v>1011</v>
      </c>
      <c r="G37" s="57" t="s">
        <v>1012</v>
      </c>
      <c r="H37" s="57" t="s">
        <v>1013</v>
      </c>
      <c r="I37" s="57" t="s">
        <v>1014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3">
      <c r="A38" s="2"/>
      <c r="B38" s="65">
        <f t="shared" ref="B38:B101" si="2">IF($C38="","",ROW()-37)</f>
        <v>1</v>
      </c>
      <c r="C38" s="70">
        <f t="shared" ref="C38:C101" si="3">IF($W38="","",IF(INDEX($N$38:$N$953,$W38)="","",INDEX($N$38:$N$953,$W38)))</f>
        <v>46025</v>
      </c>
      <c r="D38" s="180" t="str">
        <f t="shared" ref="D38:D101" si="4">IF($C38="","",INDEX($O$38:$O$953,$W38))</f>
        <v>ÖMER KARTAL – müşteriden tahsilat: EĞLENGÖR LTD.ŞTİ. – ÖMER KARTALA ÖDENEN</v>
      </c>
      <c r="E38" s="139"/>
      <c r="F38" s="65" t="str">
        <f t="shared" ref="F38:F101" si="5">IF($C38="","",INDEX($P$38:$P$953,$W38))</f>
        <v>MÜŞTERİDEN ALDI</v>
      </c>
      <c r="G38" s="68">
        <f t="shared" ref="G38:G101" si="6">IF($C38="","",INDEX($Q$38:$Q$953,$W38))</f>
        <v>3000</v>
      </c>
      <c r="H38" s="68">
        <f t="shared" ref="H38:H101" si="7">IF($C38="","",INDEX($R$38:$R$953,$W38))</f>
        <v>0</v>
      </c>
      <c r="I38" s="68">
        <f>IF($C38="","",0+$G38-$H38)</f>
        <v>3000</v>
      </c>
      <c r="J38" s="2"/>
      <c r="K38" s="2"/>
      <c r="L38" s="1"/>
      <c r="M38" s="1">
        <v>1</v>
      </c>
      <c r="N38" s="1">
        <f>IF($R38&lt;=0,"",EOMONTH(AY_SONU!$B7,0))</f>
        <v>46053</v>
      </c>
      <c r="O38" s="1" t="str">
        <f>IF($N38="","",$C$36&amp;" – "&amp;CHOOSE(MONTH(AY_SONU!$B7),"Ocak","Şubat","Mart","Nisan","Mayıs","Haziran","Temmuz","Ağustos","Eylül","Ekim","Kasım","Aralık")&amp;" "&amp;YEAR(AY_SONU!$B7)&amp;" kâr payı tahakkuku")</f>
        <v>ÖMER KARTAL – Ocak 2026 kâr payı tahakkuku</v>
      </c>
      <c r="P38" s="1" t="str">
        <f t="shared" ref="P38:P73" si="8">IF($N38="","","KÂR PAYI TAHAKKUKU")</f>
        <v>KÂR PAYI TAHAKKUKU</v>
      </c>
      <c r="Q38" s="79">
        <v>0</v>
      </c>
      <c r="R38" s="79">
        <f>IF($C$36="",0,IF($C$36=SISTEM!$C$9,AY_SONU!$M7,IF($C$36=SISTEM!$C$10,AY_SONU!$N7,0)))</f>
        <v>127783.09</v>
      </c>
      <c r="S38" s="1">
        <f t="shared" ref="S38:S101" si="9">IF($N38="",10000000000,$N38*100000+$M38)</f>
        <v>4605300001</v>
      </c>
      <c r="T38" s="1"/>
      <c r="U38" s="1"/>
      <c r="V38" s="1">
        <f t="shared" ref="V38:V101" si="10">IFERROR(SMALL($S$38:$S$953,ROW()-37),"")</f>
        <v>4602500037</v>
      </c>
      <c r="W38" s="1">
        <f t="shared" ref="W38:W101" si="11">IFERROR(MATCH($V38,$S$38:$S$953,0),"")</f>
        <v>37</v>
      </c>
    </row>
    <row r="39" spans="1:23" ht="19.5" customHeight="1" x14ac:dyDescent="0.3">
      <c r="A39" s="2"/>
      <c r="B39" s="65">
        <f t="shared" si="2"/>
        <v>2</v>
      </c>
      <c r="C39" s="70">
        <f t="shared" si="3"/>
        <v>46025</v>
      </c>
      <c r="D39" s="180" t="str">
        <f t="shared" si="4"/>
        <v>ÖMER KARTAL – müşteriden tahsilat: ÖZFİDANLAR LTD.ŞTİ. – ÖMER KARTALA ÖDENEN</v>
      </c>
      <c r="E39" s="139"/>
      <c r="F39" s="65" t="str">
        <f t="shared" si="5"/>
        <v>MÜŞTERİDEN ALDI</v>
      </c>
      <c r="G39" s="68">
        <f t="shared" si="6"/>
        <v>2000</v>
      </c>
      <c r="H39" s="68">
        <f t="shared" si="7"/>
        <v>0</v>
      </c>
      <c r="I39" s="68">
        <f t="shared" ref="I39:I102" si="12">IF($C39="","",N($I38)+$G39-$H39)</f>
        <v>5000</v>
      </c>
      <c r="J39" s="2"/>
      <c r="K39" s="2"/>
      <c r="L39" s="1"/>
      <c r="M39" s="1">
        <v>2</v>
      </c>
      <c r="N39" s="1">
        <f>IF($R39&lt;=0,"",EOMONTH(AY_SONU!$B8,0))</f>
        <v>46081</v>
      </c>
      <c r="O39" s="1" t="str">
        <f>IF($N39="","",$C$36&amp;" – "&amp;CHOOSE(MONTH(AY_SONU!$B8),"Ocak","Şubat","Mart","Nisan","Mayıs","Haziran","Temmuz","Ağustos","Eylül","Ekim","Kasım","Aralık")&amp;" "&amp;YEAR(AY_SONU!$B8)&amp;" kâr payı tahakkuku")</f>
        <v>ÖMER KARTAL – Şubat 2026 kâr payı tahakkuku</v>
      </c>
      <c r="P39" s="1" t="str">
        <f t="shared" si="8"/>
        <v>KÂR PAYI TAHAKKUKU</v>
      </c>
      <c r="Q39" s="79">
        <v>0</v>
      </c>
      <c r="R39" s="79">
        <f>IF($C$36="",0,IF($C$36=SISTEM!$C$9,AY_SONU!$M8,IF($C$36=SISTEM!$C$10,AY_SONU!$N8,0)))</f>
        <v>10310.90499999997</v>
      </c>
      <c r="S39" s="1">
        <f t="shared" si="9"/>
        <v>4608100002</v>
      </c>
      <c r="T39" s="1"/>
      <c r="U39" s="1"/>
      <c r="V39" s="1">
        <f t="shared" si="10"/>
        <v>4602500038</v>
      </c>
      <c r="W39" s="1">
        <f t="shared" si="11"/>
        <v>38</v>
      </c>
    </row>
    <row r="40" spans="1:23" ht="19.5" customHeight="1" x14ac:dyDescent="0.3">
      <c r="A40" s="2"/>
      <c r="B40" s="65">
        <f t="shared" si="2"/>
        <v>3</v>
      </c>
      <c r="C40" s="70">
        <f t="shared" si="3"/>
        <v>46025</v>
      </c>
      <c r="D40" s="180" t="str">
        <f t="shared" si="4"/>
        <v>ÖMER KARTAL – müşteriden tahsilat: PAKYILDIZ LTD.ŞTİ. – ÖMER KARTALA ÖDENEN</v>
      </c>
      <c r="E40" s="139"/>
      <c r="F40" s="65" t="str">
        <f t="shared" si="5"/>
        <v>MÜŞTERİDEN ALDI</v>
      </c>
      <c r="G40" s="68">
        <f t="shared" si="6"/>
        <v>2000</v>
      </c>
      <c r="H40" s="68">
        <f t="shared" si="7"/>
        <v>0</v>
      </c>
      <c r="I40" s="68">
        <f t="shared" si="12"/>
        <v>7000</v>
      </c>
      <c r="J40" s="2"/>
      <c r="K40" s="2"/>
      <c r="L40" s="1"/>
      <c r="M40" s="1">
        <v>3</v>
      </c>
      <c r="N40" s="1">
        <f>IF($R40&lt;=0,"",EOMONTH(AY_SONU!$B9,0))</f>
        <v>46112</v>
      </c>
      <c r="O40" s="1" t="str">
        <f>IF($N40="","",$C$36&amp;" – "&amp;CHOOSE(MONTH(AY_SONU!$B9),"Ocak","Şubat","Mart","Nisan","Mayıs","Haziran","Temmuz","Ağustos","Eylül","Ekim","Kasım","Aralık")&amp;" "&amp;YEAR(AY_SONU!$B9)&amp;" kâr payı tahakkuku")</f>
        <v>ÖMER KARTAL – Mart 2026 kâr payı tahakkuku</v>
      </c>
      <c r="P40" s="1" t="str">
        <f t="shared" si="8"/>
        <v>KÂR PAYI TAHAKKUKU</v>
      </c>
      <c r="Q40" s="79">
        <v>0</v>
      </c>
      <c r="R40" s="79">
        <f>IF($C$36="",0,IF($C$36=SISTEM!$C$9,AY_SONU!$M9,IF($C$36=SISTEM!$C$10,AY_SONU!$N9,0)))</f>
        <v>77421.014999999985</v>
      </c>
      <c r="S40" s="1">
        <f t="shared" si="9"/>
        <v>4611200003</v>
      </c>
      <c r="T40" s="1"/>
      <c r="U40" s="1"/>
      <c r="V40" s="1">
        <f t="shared" si="10"/>
        <v>4602500039</v>
      </c>
      <c r="W40" s="1">
        <f t="shared" si="11"/>
        <v>39</v>
      </c>
    </row>
    <row r="41" spans="1:23" ht="19.5" customHeight="1" x14ac:dyDescent="0.3">
      <c r="A41" s="2"/>
      <c r="B41" s="65">
        <f t="shared" si="2"/>
        <v>4</v>
      </c>
      <c r="C41" s="70">
        <f t="shared" si="3"/>
        <v>46025</v>
      </c>
      <c r="D41" s="180" t="str">
        <f t="shared" si="4"/>
        <v>ÖMER KARTAL – müşteriden tahsilat: ZÜMRÜT GRUP LTD.ŞTİ. – ÖMER KARTALA ÖDENEN</v>
      </c>
      <c r="E41" s="139"/>
      <c r="F41" s="65" t="str">
        <f t="shared" si="5"/>
        <v>MÜŞTERİDEN ALDI</v>
      </c>
      <c r="G41" s="68">
        <f t="shared" si="6"/>
        <v>1750</v>
      </c>
      <c r="H41" s="68">
        <f t="shared" si="7"/>
        <v>0</v>
      </c>
      <c r="I41" s="68">
        <f t="shared" si="12"/>
        <v>8750</v>
      </c>
      <c r="J41" s="2"/>
      <c r="K41" s="2"/>
      <c r="L41" s="1"/>
      <c r="M41" s="1">
        <v>4</v>
      </c>
      <c r="N41" s="1">
        <f>IF($R41&lt;=0,"",EOMONTH(AY_SONU!$B10,0))</f>
        <v>46142</v>
      </c>
      <c r="O41" s="1" t="str">
        <f>IF($N41="","",$C$36&amp;" – "&amp;CHOOSE(MONTH(AY_SONU!$B10),"Ocak","Şubat","Mart","Nisan","Mayıs","Haziran","Temmuz","Ağustos","Eylül","Ekim","Kasım","Aralık")&amp;" "&amp;YEAR(AY_SONU!$B10)&amp;" kâr payı tahakkuku")</f>
        <v>ÖMER KARTAL – Nisan 2026 kâr payı tahakkuku</v>
      </c>
      <c r="P41" s="1" t="str">
        <f t="shared" si="8"/>
        <v>KÂR PAYI TAHAKKUKU</v>
      </c>
      <c r="Q41" s="79">
        <v>0</v>
      </c>
      <c r="R41" s="79">
        <f>IF($C$36="",0,IF($C$36=SISTEM!$C$9,AY_SONU!$M10,IF($C$36=SISTEM!$C$10,AY_SONU!$N10,0)))</f>
        <v>137353</v>
      </c>
      <c r="S41" s="1">
        <f t="shared" si="9"/>
        <v>4614200004</v>
      </c>
      <c r="T41" s="1"/>
      <c r="U41" s="1"/>
      <c r="V41" s="1">
        <f t="shared" si="10"/>
        <v>4602500040</v>
      </c>
      <c r="W41" s="1">
        <f t="shared" si="11"/>
        <v>40</v>
      </c>
    </row>
    <row r="42" spans="1:23" ht="19.5" customHeight="1" x14ac:dyDescent="0.3">
      <c r="A42" s="2"/>
      <c r="B42" s="65">
        <f t="shared" si="2"/>
        <v>5</v>
      </c>
      <c r="C42" s="70">
        <f t="shared" si="3"/>
        <v>46032</v>
      </c>
      <c r="D42" s="180" t="str">
        <f t="shared" si="4"/>
        <v>ÖMER KARTAL – müşteriden tahsilat: ANKARA HAVANA LTD.ŞTİ. – ÖMER KARTALA ÖDENEN</v>
      </c>
      <c r="E42" s="139"/>
      <c r="F42" s="65" t="str">
        <f t="shared" si="5"/>
        <v>MÜŞTERİDEN ALDI</v>
      </c>
      <c r="G42" s="68">
        <f t="shared" si="6"/>
        <v>4000</v>
      </c>
      <c r="H42" s="68">
        <f t="shared" si="7"/>
        <v>0</v>
      </c>
      <c r="I42" s="68">
        <f t="shared" si="12"/>
        <v>12750</v>
      </c>
      <c r="J42" s="2"/>
      <c r="K42" s="2"/>
      <c r="L42" s="1"/>
      <c r="M42" s="1">
        <v>5</v>
      </c>
      <c r="N42" s="1">
        <f>IF($R42&lt;=0,"",EOMONTH(AY_SONU!$B11,0))</f>
        <v>46173</v>
      </c>
      <c r="O42" s="1" t="str">
        <f>IF($N42="","",$C$36&amp;" – "&amp;CHOOSE(MONTH(AY_SONU!$B11),"Ocak","Şubat","Mart","Nisan","Mayıs","Haziran","Temmuz","Ağustos","Eylül","Ekim","Kasım","Aralık")&amp;" "&amp;YEAR(AY_SONU!$B11)&amp;" kâr payı tahakkuku")</f>
        <v>ÖMER KARTAL – Mayıs 2026 kâr payı tahakkuku</v>
      </c>
      <c r="P42" s="1" t="str">
        <f t="shared" si="8"/>
        <v>KÂR PAYI TAHAKKUKU</v>
      </c>
      <c r="Q42" s="79">
        <v>0</v>
      </c>
      <c r="R42" s="79">
        <f>IF($C$36="",0,IF($C$36=SISTEM!$C$9,AY_SONU!$M11,IF($C$36=SISTEM!$C$10,AY_SONU!$N11,0)))</f>
        <v>109773</v>
      </c>
      <c r="S42" s="1">
        <f t="shared" si="9"/>
        <v>4617300005</v>
      </c>
      <c r="T42" s="1"/>
      <c r="U42" s="1"/>
      <c r="V42" s="1">
        <f t="shared" si="10"/>
        <v>4603200041</v>
      </c>
      <c r="W42" s="1">
        <f t="shared" si="11"/>
        <v>41</v>
      </c>
    </row>
    <row r="43" spans="1:23" ht="19.5" customHeight="1" x14ac:dyDescent="0.3">
      <c r="A43" s="2"/>
      <c r="B43" s="65">
        <f t="shared" si="2"/>
        <v>6</v>
      </c>
      <c r="C43" s="70">
        <f t="shared" si="3"/>
        <v>46032</v>
      </c>
      <c r="D43" s="180" t="str">
        <f t="shared" si="4"/>
        <v>ÖMER KARTAL – müşteriden tahsilat: EĞLENGÖR LTD.ŞTİ. – ÖMER KARTALA ÖDENEN</v>
      </c>
      <c r="E43" s="139"/>
      <c r="F43" s="65" t="str">
        <f t="shared" si="5"/>
        <v>MÜŞTERİDEN ALDI</v>
      </c>
      <c r="G43" s="68">
        <f t="shared" si="6"/>
        <v>3000</v>
      </c>
      <c r="H43" s="68">
        <f t="shared" si="7"/>
        <v>0</v>
      </c>
      <c r="I43" s="68">
        <f t="shared" si="12"/>
        <v>15750</v>
      </c>
      <c r="J43" s="2"/>
      <c r="K43" s="2"/>
      <c r="L43" s="1"/>
      <c r="M43" s="1">
        <v>6</v>
      </c>
      <c r="N43" s="1">
        <f>IF($R43&lt;=0,"",EOMONTH(AY_SONU!$B12,0))</f>
        <v>46203</v>
      </c>
      <c r="O43" s="1" t="str">
        <f>IF($N43="","",$C$36&amp;" – "&amp;CHOOSE(MONTH(AY_SONU!$B12),"Ocak","Şubat","Mart","Nisan","Mayıs","Haziran","Temmuz","Ağustos","Eylül","Ekim","Kasım","Aralık")&amp;" "&amp;YEAR(AY_SONU!$B12)&amp;" kâr payı tahakkuku")</f>
        <v>ÖMER KARTAL – Haziran 2026 kâr payı tahakkuku</v>
      </c>
      <c r="P43" s="1" t="str">
        <f t="shared" si="8"/>
        <v>KÂR PAYI TAHAKKUKU</v>
      </c>
      <c r="Q43" s="79">
        <v>0</v>
      </c>
      <c r="R43" s="79">
        <f>IF($C$36="",0,IF($C$36=SISTEM!$C$9,AY_SONU!$M12,IF($C$36=SISTEM!$C$10,AY_SONU!$N12,0)))</f>
        <v>113720.00000000006</v>
      </c>
      <c r="S43" s="1">
        <f t="shared" si="9"/>
        <v>4620300006</v>
      </c>
      <c r="T43" s="1"/>
      <c r="U43" s="1"/>
      <c r="V43" s="1">
        <f t="shared" si="10"/>
        <v>4603200042</v>
      </c>
      <c r="W43" s="1">
        <f t="shared" si="11"/>
        <v>42</v>
      </c>
    </row>
    <row r="44" spans="1:23" ht="19.5" customHeight="1" x14ac:dyDescent="0.3">
      <c r="A44" s="2"/>
      <c r="B44" s="65">
        <f t="shared" si="2"/>
        <v>7</v>
      </c>
      <c r="C44" s="70">
        <f t="shared" si="3"/>
        <v>46032</v>
      </c>
      <c r="D44" s="180" t="str">
        <f t="shared" si="4"/>
        <v>ÖMER KARTAL – müşteriden tahsilat: FİNAL SİYAH BEYAZ LTD.ŞTİ. – ÖMER KARTALA ÖDENEN</v>
      </c>
      <c r="E44" s="139"/>
      <c r="F44" s="65" t="str">
        <f t="shared" si="5"/>
        <v>MÜŞTERİDEN ALDI</v>
      </c>
      <c r="G44" s="68">
        <f t="shared" si="6"/>
        <v>4000</v>
      </c>
      <c r="H44" s="68">
        <f t="shared" si="7"/>
        <v>0</v>
      </c>
      <c r="I44" s="68">
        <f t="shared" si="12"/>
        <v>19750</v>
      </c>
      <c r="J44" s="2"/>
      <c r="K44" s="2"/>
      <c r="L44" s="1"/>
      <c r="M44" s="1">
        <v>7</v>
      </c>
      <c r="N44" s="1">
        <f>IF($R44&lt;=0,"",EOMONTH(AY_SONU!$B13,0))</f>
        <v>46234</v>
      </c>
      <c r="O44" s="1" t="str">
        <f>IF($N44="","",$C$36&amp;" – "&amp;CHOOSE(MONTH(AY_SONU!$B13),"Ocak","Şubat","Mart","Nisan","Mayıs","Haziran","Temmuz","Ağustos","Eylül","Ekim","Kasım","Aralık")&amp;" "&amp;YEAR(AY_SONU!$B13)&amp;" kâr payı tahakkuku")</f>
        <v>ÖMER KARTAL – Temmuz 2026 kâr payı tahakkuku</v>
      </c>
      <c r="P44" s="1" t="str">
        <f t="shared" si="8"/>
        <v>KÂR PAYI TAHAKKUKU</v>
      </c>
      <c r="Q44" s="79">
        <v>0</v>
      </c>
      <c r="R44" s="79">
        <f>IF($C$36="",0,IF($C$36=SISTEM!$C$9,AY_SONU!$M13,IF($C$36=SISTEM!$C$10,AY_SONU!$N13,0)))</f>
        <v>58370</v>
      </c>
      <c r="S44" s="1">
        <f t="shared" si="9"/>
        <v>4623400007</v>
      </c>
      <c r="T44" s="1"/>
      <c r="U44" s="1"/>
      <c r="V44" s="1">
        <f t="shared" si="10"/>
        <v>4603200043</v>
      </c>
      <c r="W44" s="1">
        <f t="shared" si="11"/>
        <v>43</v>
      </c>
    </row>
    <row r="45" spans="1:23" ht="19.5" customHeight="1" x14ac:dyDescent="0.3">
      <c r="A45" s="2"/>
      <c r="B45" s="65">
        <f t="shared" si="2"/>
        <v>8</v>
      </c>
      <c r="C45" s="70">
        <f t="shared" si="3"/>
        <v>46032</v>
      </c>
      <c r="D45" s="180" t="str">
        <f t="shared" si="4"/>
        <v>ÖMER KARTAL – müşteriden tahsilat: İLDEŞ LTD.ŞTİ. – ÖMER KARTALA ÖDENEN</v>
      </c>
      <c r="E45" s="139"/>
      <c r="F45" s="65" t="str">
        <f t="shared" si="5"/>
        <v>MÜŞTERİDEN ALDI</v>
      </c>
      <c r="G45" s="68">
        <f t="shared" si="6"/>
        <v>4000</v>
      </c>
      <c r="H45" s="68">
        <f t="shared" si="7"/>
        <v>0</v>
      </c>
      <c r="I45" s="68">
        <f t="shared" si="12"/>
        <v>23750</v>
      </c>
      <c r="J45" s="2"/>
      <c r="K45" s="2"/>
      <c r="L45" s="1"/>
      <c r="M45" s="1">
        <v>8</v>
      </c>
      <c r="N45" s="1">
        <f>IF($R45&lt;=0,"",EOMONTH(AY_SONU!$B14,0))</f>
        <v>46265</v>
      </c>
      <c r="O45" s="1" t="str">
        <f>IF($N45="","",$C$36&amp;" – "&amp;CHOOSE(MONTH(AY_SONU!$B14),"Ocak","Şubat","Mart","Nisan","Mayıs","Haziran","Temmuz","Ağustos","Eylül","Ekim","Kasım","Aralık")&amp;" "&amp;YEAR(AY_SONU!$B14)&amp;" kâr payı tahakkuku")</f>
        <v>ÖMER KARTAL – Ağustos 2026 kâr payı tahakkuku</v>
      </c>
      <c r="P45" s="1" t="str">
        <f t="shared" si="8"/>
        <v>KÂR PAYI TAHAKKUKU</v>
      </c>
      <c r="Q45" s="79">
        <v>0</v>
      </c>
      <c r="R45" s="79">
        <f>IF($C$36="",0,IF($C$36=SISTEM!$C$9,AY_SONU!$M14,IF($C$36=SISTEM!$C$10,AY_SONU!$N14,0)))</f>
        <v>138800</v>
      </c>
      <c r="S45" s="1">
        <f t="shared" si="9"/>
        <v>4626500008</v>
      </c>
      <c r="T45" s="1"/>
      <c r="U45" s="1"/>
      <c r="V45" s="1">
        <f t="shared" si="10"/>
        <v>4603200044</v>
      </c>
      <c r="W45" s="1">
        <f t="shared" si="11"/>
        <v>44</v>
      </c>
    </row>
    <row r="46" spans="1:23" ht="19.5" customHeight="1" x14ac:dyDescent="0.3">
      <c r="A46" s="2"/>
      <c r="B46" s="65">
        <f t="shared" si="2"/>
        <v>9</v>
      </c>
      <c r="C46" s="70">
        <f t="shared" si="3"/>
        <v>46032</v>
      </c>
      <c r="D46" s="180" t="str">
        <f t="shared" si="4"/>
        <v>ÖMER KARTAL – müşteriden tahsilat: MONAMOUR LTD.ŞTİ. – ÖMER KARTALA ÖDENEN</v>
      </c>
      <c r="E46" s="139"/>
      <c r="F46" s="65" t="str">
        <f t="shared" si="5"/>
        <v>MÜŞTERİDEN ALDI</v>
      </c>
      <c r="G46" s="68">
        <f t="shared" si="6"/>
        <v>3500</v>
      </c>
      <c r="H46" s="68">
        <f t="shared" si="7"/>
        <v>0</v>
      </c>
      <c r="I46" s="68">
        <f t="shared" si="12"/>
        <v>27250</v>
      </c>
      <c r="J46" s="2"/>
      <c r="K46" s="2"/>
      <c r="L46" s="1"/>
      <c r="M46" s="1">
        <v>9</v>
      </c>
      <c r="N46" s="1" t="str">
        <f>IF($R46&lt;=0,"",EOMONTH(AY_SONU!$B15,0))</f>
        <v/>
      </c>
      <c r="O46" s="1" t="str">
        <f>IF($N46="","",$C$36&amp;" – "&amp;CHOOSE(MONTH(AY_SONU!$B15),"Ocak","Şubat","Mart","Nisan","Mayıs","Haziran","Temmuz","Ağustos","Eylül","Ekim","Kasım","Aralık")&amp;" "&amp;YEAR(AY_SONU!$B15)&amp;" kâr payı tahakkuku")</f>
        <v/>
      </c>
      <c r="P46" s="1" t="str">
        <f t="shared" si="8"/>
        <v/>
      </c>
      <c r="Q46" s="79">
        <v>0</v>
      </c>
      <c r="R46" s="79">
        <f>IF($C$36="",0,IF($C$36=SISTEM!$C$9,AY_SONU!$M15,IF($C$36=SISTEM!$C$10,AY_SONU!$N15,0)))</f>
        <v>0</v>
      </c>
      <c r="S46" s="1">
        <f t="shared" si="9"/>
        <v>10000000000</v>
      </c>
      <c r="T46" s="1"/>
      <c r="U46" s="1"/>
      <c r="V46" s="1">
        <f t="shared" si="10"/>
        <v>4603200045</v>
      </c>
      <c r="W46" s="1">
        <f t="shared" si="11"/>
        <v>45</v>
      </c>
    </row>
    <row r="47" spans="1:23" ht="19.5" customHeight="1" x14ac:dyDescent="0.3">
      <c r="A47" s="2"/>
      <c r="B47" s="65">
        <f t="shared" si="2"/>
        <v>10</v>
      </c>
      <c r="C47" s="70">
        <f t="shared" si="3"/>
        <v>46032</v>
      </c>
      <c r="D47" s="180" t="str">
        <f t="shared" si="4"/>
        <v>ÖMER KARTAL – müşteriden tahsilat: NAZ 1 GIDA LTD.ŞTİ. – ÖMER KARTALA ÖDENEN</v>
      </c>
      <c r="E47" s="139"/>
      <c r="F47" s="65" t="str">
        <f t="shared" si="5"/>
        <v>MÜŞTERİDEN ALDI</v>
      </c>
      <c r="G47" s="68">
        <f t="shared" si="6"/>
        <v>13150</v>
      </c>
      <c r="H47" s="68">
        <f t="shared" si="7"/>
        <v>0</v>
      </c>
      <c r="I47" s="68">
        <f t="shared" si="12"/>
        <v>40400</v>
      </c>
      <c r="J47" s="2"/>
      <c r="K47" s="2"/>
      <c r="L47" s="1"/>
      <c r="M47" s="1">
        <v>10</v>
      </c>
      <c r="N47" s="1" t="str">
        <f>IF($R47&lt;=0,"",EOMONTH(AY_SONU!$B16,0))</f>
        <v/>
      </c>
      <c r="O47" s="1" t="str">
        <f>IF($N47="","",$C$36&amp;" – "&amp;CHOOSE(MONTH(AY_SONU!$B16),"Ocak","Şubat","Mart","Nisan","Mayıs","Haziran","Temmuz","Ağustos","Eylül","Ekim","Kasım","Aralık")&amp;" "&amp;YEAR(AY_SONU!$B16)&amp;" kâr payı tahakkuku")</f>
        <v/>
      </c>
      <c r="P47" s="1" t="str">
        <f t="shared" si="8"/>
        <v/>
      </c>
      <c r="Q47" s="79">
        <v>0</v>
      </c>
      <c r="R47" s="79">
        <f>IF($C$36="",0,IF($C$36=SISTEM!$C$9,AY_SONU!$M16,IF($C$36=SISTEM!$C$10,AY_SONU!$N16,0)))</f>
        <v>0</v>
      </c>
      <c r="S47" s="1">
        <f t="shared" si="9"/>
        <v>10000000000</v>
      </c>
      <c r="T47" s="1"/>
      <c r="U47" s="1"/>
      <c r="V47" s="1">
        <f t="shared" si="10"/>
        <v>4603200046</v>
      </c>
      <c r="W47" s="1">
        <f t="shared" si="11"/>
        <v>46</v>
      </c>
    </row>
    <row r="48" spans="1:23" ht="19.5" customHeight="1" x14ac:dyDescent="0.3">
      <c r="A48" s="2"/>
      <c r="B48" s="65">
        <f t="shared" si="2"/>
        <v>11</v>
      </c>
      <c r="C48" s="70">
        <f t="shared" si="3"/>
        <v>46032</v>
      </c>
      <c r="D48" s="180" t="str">
        <f t="shared" si="4"/>
        <v>ÖMER KARTAL – müşteriden tahsilat: ÖZFİDANLAR LTD.ŞTİ. – ÖMER KARTALA ÖDENEN</v>
      </c>
      <c r="E48" s="139"/>
      <c r="F48" s="65" t="str">
        <f t="shared" si="5"/>
        <v>MÜŞTERİDEN ALDI</v>
      </c>
      <c r="G48" s="68">
        <f t="shared" si="6"/>
        <v>4000</v>
      </c>
      <c r="H48" s="68">
        <f t="shared" si="7"/>
        <v>0</v>
      </c>
      <c r="I48" s="68">
        <f t="shared" si="12"/>
        <v>44400</v>
      </c>
      <c r="J48" s="2"/>
      <c r="K48" s="2"/>
      <c r="L48" s="1"/>
      <c r="M48" s="1">
        <v>11</v>
      </c>
      <c r="N48" s="1" t="str">
        <f>IF($R48&lt;=0,"",EOMONTH(AY_SONU!$B17,0))</f>
        <v/>
      </c>
      <c r="O48" s="1" t="str">
        <f>IF($N48="","",$C$36&amp;" – "&amp;CHOOSE(MONTH(AY_SONU!$B17),"Ocak","Şubat","Mart","Nisan","Mayıs","Haziran","Temmuz","Ağustos","Eylül","Ekim","Kasım","Aralık")&amp;" "&amp;YEAR(AY_SONU!$B17)&amp;" kâr payı tahakkuku")</f>
        <v/>
      </c>
      <c r="P48" s="1" t="str">
        <f t="shared" si="8"/>
        <v/>
      </c>
      <c r="Q48" s="79">
        <v>0</v>
      </c>
      <c r="R48" s="79">
        <f>IF($C$36="",0,IF($C$36=SISTEM!$C$9,AY_SONU!$M17,IF($C$36=SISTEM!$C$10,AY_SONU!$N17,0)))</f>
        <v>0</v>
      </c>
      <c r="S48" s="1">
        <f t="shared" si="9"/>
        <v>10000000000</v>
      </c>
      <c r="T48" s="1"/>
      <c r="U48" s="1"/>
      <c r="V48" s="1">
        <f t="shared" si="10"/>
        <v>4603200047</v>
      </c>
      <c r="W48" s="1">
        <f t="shared" si="11"/>
        <v>47</v>
      </c>
    </row>
    <row r="49" spans="1:23" ht="19.5" customHeight="1" x14ac:dyDescent="0.3">
      <c r="A49" s="2"/>
      <c r="B49" s="65">
        <f t="shared" si="2"/>
        <v>12</v>
      </c>
      <c r="C49" s="70">
        <f t="shared" si="3"/>
        <v>46032</v>
      </c>
      <c r="D49" s="180" t="str">
        <f t="shared" si="4"/>
        <v>ÖMER KARTAL – müşteriden tahsilat: ZÜMRÜT GRUP LTD.ŞTİ. – ÖMER KARTALA ÖDENEN</v>
      </c>
      <c r="E49" s="139"/>
      <c r="F49" s="65" t="str">
        <f t="shared" si="5"/>
        <v>MÜŞTERİDEN ALDI</v>
      </c>
      <c r="G49" s="68">
        <f t="shared" si="6"/>
        <v>1750</v>
      </c>
      <c r="H49" s="68">
        <f t="shared" si="7"/>
        <v>0</v>
      </c>
      <c r="I49" s="68">
        <f t="shared" si="12"/>
        <v>46150</v>
      </c>
      <c r="J49" s="2"/>
      <c r="K49" s="2"/>
      <c r="L49" s="1"/>
      <c r="M49" s="1">
        <v>12</v>
      </c>
      <c r="N49" s="1" t="str">
        <f>IF($R49&lt;=0,"",EOMONTH(AY_SONU!$B18,0))</f>
        <v/>
      </c>
      <c r="O49" s="1" t="str">
        <f>IF($N49="","",$C$36&amp;" – "&amp;CHOOSE(MONTH(AY_SONU!$B18),"Ocak","Şubat","Mart","Nisan","Mayıs","Haziran","Temmuz","Ağustos","Eylül","Ekim","Kasım","Aralık")&amp;" "&amp;YEAR(AY_SONU!$B18)&amp;" kâr payı tahakkuku")</f>
        <v/>
      </c>
      <c r="P49" s="1" t="str">
        <f t="shared" si="8"/>
        <v/>
      </c>
      <c r="Q49" s="79">
        <v>0</v>
      </c>
      <c r="R49" s="79">
        <f>IF($C$36="",0,IF($C$36=SISTEM!$C$9,AY_SONU!$M18,IF($C$36=SISTEM!$C$10,AY_SONU!$N18,0)))</f>
        <v>0</v>
      </c>
      <c r="S49" s="1">
        <f t="shared" si="9"/>
        <v>10000000000</v>
      </c>
      <c r="T49" s="1"/>
      <c r="U49" s="1"/>
      <c r="V49" s="1">
        <f t="shared" si="10"/>
        <v>4603200048</v>
      </c>
      <c r="W49" s="1">
        <f t="shared" si="11"/>
        <v>48</v>
      </c>
    </row>
    <row r="50" spans="1:23" ht="19.5" customHeight="1" x14ac:dyDescent="0.3">
      <c r="A50" s="2"/>
      <c r="B50" s="65">
        <f t="shared" si="2"/>
        <v>13</v>
      </c>
      <c r="C50" s="70">
        <f t="shared" si="3"/>
        <v>46034</v>
      </c>
      <c r="D50" s="180" t="str">
        <f t="shared" si="4"/>
        <v>ÖMER KARTAL – müşteriden tahsilat: ÇAYIRALAN LTD.ŞTİ. – ÖMER KARTALA ÖDENEN</v>
      </c>
      <c r="E50" s="139"/>
      <c r="F50" s="65" t="str">
        <f t="shared" si="5"/>
        <v>MÜŞTERİDEN ALDI</v>
      </c>
      <c r="G50" s="68">
        <f t="shared" si="6"/>
        <v>6000</v>
      </c>
      <c r="H50" s="68">
        <f t="shared" si="7"/>
        <v>0</v>
      </c>
      <c r="I50" s="68">
        <f t="shared" si="12"/>
        <v>52150</v>
      </c>
      <c r="J50" s="2"/>
      <c r="K50" s="2"/>
      <c r="L50" s="1"/>
      <c r="M50" s="1">
        <v>13</v>
      </c>
      <c r="N50" s="1" t="str">
        <f>IF($R50&lt;=0,"",EOMONTH(AY_SONU!$B19,0))</f>
        <v/>
      </c>
      <c r="O50" s="1" t="str">
        <f>IF($N50="","",$C$36&amp;" – "&amp;CHOOSE(MONTH(AY_SONU!$B19),"Ocak","Şubat","Mart","Nisan","Mayıs","Haziran","Temmuz","Ağustos","Eylül","Ekim","Kasım","Aralık")&amp;" "&amp;YEAR(AY_SONU!$B19)&amp;" kâr payı tahakkuku")</f>
        <v/>
      </c>
      <c r="P50" s="1" t="str">
        <f t="shared" si="8"/>
        <v/>
      </c>
      <c r="Q50" s="79">
        <v>0</v>
      </c>
      <c r="R50" s="79">
        <f>IF($C$36="",0,IF($C$36=SISTEM!$C$9,AY_SONU!$M19,IF($C$36=SISTEM!$C$10,AY_SONU!$N19,0)))</f>
        <v>0</v>
      </c>
      <c r="S50" s="1">
        <f t="shared" si="9"/>
        <v>10000000000</v>
      </c>
      <c r="T50" s="1"/>
      <c r="U50" s="1"/>
      <c r="V50" s="1">
        <f t="shared" si="10"/>
        <v>4603400049</v>
      </c>
      <c r="W50" s="1">
        <f t="shared" si="11"/>
        <v>49</v>
      </c>
    </row>
    <row r="51" spans="1:23" ht="19.5" customHeight="1" x14ac:dyDescent="0.3">
      <c r="A51" s="2"/>
      <c r="B51" s="65">
        <f t="shared" si="2"/>
        <v>14</v>
      </c>
      <c r="C51" s="70">
        <f t="shared" si="3"/>
        <v>46034</v>
      </c>
      <c r="D51" s="180" t="str">
        <f t="shared" si="4"/>
        <v>ÖMER KARTAL – müşteriden tahsilat: İBRAHİM MALDAN – ÖMER KARTALA ÖDENEN</v>
      </c>
      <c r="E51" s="139"/>
      <c r="F51" s="65" t="str">
        <f t="shared" si="5"/>
        <v>MÜŞTERİDEN ALDI</v>
      </c>
      <c r="G51" s="68">
        <f t="shared" si="6"/>
        <v>3000</v>
      </c>
      <c r="H51" s="68">
        <f t="shared" si="7"/>
        <v>0</v>
      </c>
      <c r="I51" s="68">
        <f t="shared" si="12"/>
        <v>55150</v>
      </c>
      <c r="J51" s="2"/>
      <c r="K51" s="2"/>
      <c r="L51" s="1"/>
      <c r="M51" s="1">
        <v>14</v>
      </c>
      <c r="N51" s="1" t="str">
        <f>IF($R51&lt;=0,"",EOMONTH(AY_SONU!$B20,0))</f>
        <v/>
      </c>
      <c r="O51" s="1" t="str">
        <f>IF($N51="","",$C$36&amp;" – "&amp;CHOOSE(MONTH(AY_SONU!$B20),"Ocak","Şubat","Mart","Nisan","Mayıs","Haziran","Temmuz","Ağustos","Eylül","Ekim","Kasım","Aralık")&amp;" "&amp;YEAR(AY_SONU!$B20)&amp;" kâr payı tahakkuku")</f>
        <v/>
      </c>
      <c r="P51" s="1" t="str">
        <f t="shared" si="8"/>
        <v/>
      </c>
      <c r="Q51" s="79">
        <v>0</v>
      </c>
      <c r="R51" s="79">
        <f>IF($C$36="",0,IF($C$36=SISTEM!$C$9,AY_SONU!$M20,IF($C$36=SISTEM!$C$10,AY_SONU!$N20,0)))</f>
        <v>0</v>
      </c>
      <c r="S51" s="1">
        <f t="shared" si="9"/>
        <v>10000000000</v>
      </c>
      <c r="T51" s="1"/>
      <c r="U51" s="1"/>
      <c r="V51" s="1">
        <f t="shared" si="10"/>
        <v>4603400050</v>
      </c>
      <c r="W51" s="1">
        <f t="shared" si="11"/>
        <v>50</v>
      </c>
    </row>
    <row r="52" spans="1:23" ht="19.5" customHeight="1" x14ac:dyDescent="0.3">
      <c r="A52" s="2"/>
      <c r="B52" s="65">
        <f t="shared" si="2"/>
        <v>15</v>
      </c>
      <c r="C52" s="70">
        <f t="shared" si="3"/>
        <v>46034</v>
      </c>
      <c r="D52" s="180" t="str">
        <f t="shared" si="4"/>
        <v>ÖMER KARTAL – müşteriden tahsilat: RİX ŞOW LTD.ŞTİ. – ÖMER KARTALA ÖDENEN</v>
      </c>
      <c r="E52" s="139"/>
      <c r="F52" s="65" t="str">
        <f t="shared" si="5"/>
        <v>MÜŞTERİDEN ALDI</v>
      </c>
      <c r="G52" s="68">
        <f t="shared" si="6"/>
        <v>4000</v>
      </c>
      <c r="H52" s="68">
        <f t="shared" si="7"/>
        <v>0</v>
      </c>
      <c r="I52" s="68">
        <f t="shared" si="12"/>
        <v>59150</v>
      </c>
      <c r="J52" s="2"/>
      <c r="K52" s="2"/>
      <c r="L52" s="1"/>
      <c r="M52" s="1">
        <v>15</v>
      </c>
      <c r="N52" s="1" t="str">
        <f>IF($R52&lt;=0,"",EOMONTH(AY_SONU!$B21,0))</f>
        <v/>
      </c>
      <c r="O52" s="1" t="str">
        <f>IF($N52="","",$C$36&amp;" – "&amp;CHOOSE(MONTH(AY_SONU!$B21),"Ocak","Şubat","Mart","Nisan","Mayıs","Haziran","Temmuz","Ağustos","Eylül","Ekim","Kasım","Aralık")&amp;" "&amp;YEAR(AY_SONU!$B21)&amp;" kâr payı tahakkuku")</f>
        <v/>
      </c>
      <c r="P52" s="1" t="str">
        <f t="shared" si="8"/>
        <v/>
      </c>
      <c r="Q52" s="79">
        <v>0</v>
      </c>
      <c r="R52" s="79">
        <f>IF($C$36="",0,IF($C$36=SISTEM!$C$9,AY_SONU!$M21,IF($C$36=SISTEM!$C$10,AY_SONU!$N21,0)))</f>
        <v>0</v>
      </c>
      <c r="S52" s="1">
        <f t="shared" si="9"/>
        <v>10000000000</v>
      </c>
      <c r="T52" s="1"/>
      <c r="U52" s="1"/>
      <c r="V52" s="1">
        <f t="shared" si="10"/>
        <v>4603400051</v>
      </c>
      <c r="W52" s="1">
        <f t="shared" si="11"/>
        <v>51</v>
      </c>
    </row>
    <row r="53" spans="1:23" ht="19.5" customHeight="1" x14ac:dyDescent="0.3">
      <c r="A53" s="2"/>
      <c r="B53" s="65">
        <f t="shared" si="2"/>
        <v>16</v>
      </c>
      <c r="C53" s="70">
        <f t="shared" si="3"/>
        <v>46034</v>
      </c>
      <c r="D53" s="180" t="str">
        <f t="shared" si="4"/>
        <v>ÖMER KARTAL – müşteriden tahsilat: ZÜMRÜT EĞLENCE LTD.ŞTİ. – ÖMER KARTALA ÖDENEN</v>
      </c>
      <c r="E53" s="139"/>
      <c r="F53" s="65" t="str">
        <f t="shared" si="5"/>
        <v>MÜŞTERİDEN ALDI</v>
      </c>
      <c r="G53" s="68">
        <f t="shared" si="6"/>
        <v>6000</v>
      </c>
      <c r="H53" s="68">
        <f t="shared" si="7"/>
        <v>0</v>
      </c>
      <c r="I53" s="68">
        <f t="shared" si="12"/>
        <v>65150</v>
      </c>
      <c r="J53" s="2"/>
      <c r="K53" s="2"/>
      <c r="L53" s="1"/>
      <c r="M53" s="1">
        <v>16</v>
      </c>
      <c r="N53" s="1" t="str">
        <f>IF($R53&lt;=0,"",EOMONTH(AY_SONU!$B22,0))</f>
        <v/>
      </c>
      <c r="O53" s="1" t="str">
        <f>IF($N53="","",$C$36&amp;" – "&amp;CHOOSE(MONTH(AY_SONU!$B22),"Ocak","Şubat","Mart","Nisan","Mayıs","Haziran","Temmuz","Ağustos","Eylül","Ekim","Kasım","Aralık")&amp;" "&amp;YEAR(AY_SONU!$B22)&amp;" kâr payı tahakkuku")</f>
        <v/>
      </c>
      <c r="P53" s="1" t="str">
        <f t="shared" si="8"/>
        <v/>
      </c>
      <c r="Q53" s="79">
        <v>0</v>
      </c>
      <c r="R53" s="79">
        <f>IF($C$36="",0,IF($C$36=SISTEM!$C$9,AY_SONU!$M22,IF($C$36=SISTEM!$C$10,AY_SONU!$N22,0)))</f>
        <v>0</v>
      </c>
      <c r="S53" s="1">
        <f t="shared" si="9"/>
        <v>10000000000</v>
      </c>
      <c r="T53" s="1"/>
      <c r="U53" s="1"/>
      <c r="V53" s="1">
        <f t="shared" si="10"/>
        <v>4603400052</v>
      </c>
      <c r="W53" s="1">
        <f t="shared" si="11"/>
        <v>52</v>
      </c>
    </row>
    <row r="54" spans="1:23" ht="19.5" customHeight="1" x14ac:dyDescent="0.3">
      <c r="A54" s="2"/>
      <c r="B54" s="65">
        <f t="shared" si="2"/>
        <v>17</v>
      </c>
      <c r="C54" s="70">
        <f t="shared" si="3"/>
        <v>46034</v>
      </c>
      <c r="D54" s="180" t="str">
        <f t="shared" si="4"/>
        <v>MERKEZ KASA → ÖMER KARTAL – GAZİNO TAHSİLATLARINDAN KALAN BAKİYE</v>
      </c>
      <c r="E54" s="139"/>
      <c r="F54" s="65" t="str">
        <f t="shared" si="5"/>
        <v>VİRMAN GELDİ</v>
      </c>
      <c r="G54" s="68">
        <f t="shared" si="6"/>
        <v>15000</v>
      </c>
      <c r="H54" s="68">
        <f t="shared" si="7"/>
        <v>0</v>
      </c>
      <c r="I54" s="68">
        <f t="shared" si="12"/>
        <v>80150</v>
      </c>
      <c r="J54" s="2"/>
      <c r="K54" s="2"/>
      <c r="L54" s="1"/>
      <c r="M54" s="1">
        <v>17</v>
      </c>
      <c r="N54" s="1" t="str">
        <f>IF($R54&lt;=0,"",EOMONTH(AY_SONU!$B23,0))</f>
        <v/>
      </c>
      <c r="O54" s="1" t="str">
        <f>IF($N54="","",$C$36&amp;" – "&amp;CHOOSE(MONTH(AY_SONU!$B23),"Ocak","Şubat","Mart","Nisan","Mayıs","Haziran","Temmuz","Ağustos","Eylül","Ekim","Kasım","Aralık")&amp;" "&amp;YEAR(AY_SONU!$B23)&amp;" kâr payı tahakkuku")</f>
        <v/>
      </c>
      <c r="P54" s="1" t="str">
        <f t="shared" si="8"/>
        <v/>
      </c>
      <c r="Q54" s="79">
        <v>0</v>
      </c>
      <c r="R54" s="79">
        <f>IF($C$36="",0,IF($C$36=SISTEM!$C$9,AY_SONU!$M23,IF($C$36=SISTEM!$C$10,AY_SONU!$N23,0)))</f>
        <v>0</v>
      </c>
      <c r="S54" s="1">
        <f t="shared" si="9"/>
        <v>10000000000</v>
      </c>
      <c r="T54" s="1"/>
      <c r="U54" s="1"/>
      <c r="V54" s="1">
        <f t="shared" si="10"/>
        <v>4603400537</v>
      </c>
      <c r="W54" s="1">
        <f t="shared" si="11"/>
        <v>537</v>
      </c>
    </row>
    <row r="55" spans="1:23" ht="19.5" customHeight="1" x14ac:dyDescent="0.3">
      <c r="A55" s="2"/>
      <c r="B55" s="65">
        <f t="shared" si="2"/>
        <v>18</v>
      </c>
      <c r="C55" s="70">
        <f t="shared" si="3"/>
        <v>46035</v>
      </c>
      <c r="D55" s="180" t="str">
        <f t="shared" si="4"/>
        <v>ÖMER KARTAL – müşteriden tahsilat: UFUK YILMAZ – NAKİT ÖDENEN</v>
      </c>
      <c r="E55" s="139"/>
      <c r="F55" s="65" t="str">
        <f t="shared" si="5"/>
        <v>MÜŞTERİDEN ALDI</v>
      </c>
      <c r="G55" s="68">
        <f t="shared" si="6"/>
        <v>3000</v>
      </c>
      <c r="H55" s="68">
        <f t="shared" si="7"/>
        <v>0</v>
      </c>
      <c r="I55" s="68">
        <f t="shared" si="12"/>
        <v>83150</v>
      </c>
      <c r="J55" s="2"/>
      <c r="K55" s="2"/>
      <c r="L55" s="1"/>
      <c r="M55" s="1">
        <v>18</v>
      </c>
      <c r="N55" s="1" t="str">
        <f>IF($R55&lt;=0,"",EOMONTH(AY_SONU!$B24,0))</f>
        <v/>
      </c>
      <c r="O55" s="1" t="str">
        <f>IF($N55="","",$C$36&amp;" – "&amp;CHOOSE(MONTH(AY_SONU!$B24),"Ocak","Şubat","Mart","Nisan","Mayıs","Haziran","Temmuz","Ağustos","Eylül","Ekim","Kasım","Aralık")&amp;" "&amp;YEAR(AY_SONU!$B24)&amp;" kâr payı tahakkuku")</f>
        <v/>
      </c>
      <c r="P55" s="1" t="str">
        <f t="shared" si="8"/>
        <v/>
      </c>
      <c r="Q55" s="79">
        <v>0</v>
      </c>
      <c r="R55" s="79">
        <f>IF($C$36="",0,IF($C$36=SISTEM!$C$9,AY_SONU!$M24,IF($C$36=SISTEM!$C$10,AY_SONU!$N24,0)))</f>
        <v>0</v>
      </c>
      <c r="S55" s="1">
        <f t="shared" si="9"/>
        <v>10000000000</v>
      </c>
      <c r="T55" s="1"/>
      <c r="U55" s="1"/>
      <c r="V55" s="1">
        <f t="shared" si="10"/>
        <v>4603500053</v>
      </c>
      <c r="W55" s="1">
        <f t="shared" si="11"/>
        <v>53</v>
      </c>
    </row>
    <row r="56" spans="1:23" ht="19.5" customHeight="1" x14ac:dyDescent="0.3">
      <c r="A56" s="2"/>
      <c r="B56" s="65">
        <f t="shared" si="2"/>
        <v>19</v>
      </c>
      <c r="C56" s="70">
        <f t="shared" si="3"/>
        <v>46053</v>
      </c>
      <c r="D56" s="180" t="str">
        <f t="shared" si="4"/>
        <v>ÖMER KARTAL – Ocak 2026 kâr payı tahakkuku</v>
      </c>
      <c r="E56" s="139"/>
      <c r="F56" s="65" t="str">
        <f t="shared" si="5"/>
        <v>KÂR PAYI TAHAKKUKU</v>
      </c>
      <c r="G56" s="68">
        <f t="shared" si="6"/>
        <v>0</v>
      </c>
      <c r="H56" s="68">
        <f t="shared" si="7"/>
        <v>127783.09</v>
      </c>
      <c r="I56" s="68">
        <f t="shared" si="12"/>
        <v>-44633.09</v>
      </c>
      <c r="J56" s="2"/>
      <c r="K56" s="2"/>
      <c r="L56" s="1"/>
      <c r="M56" s="1">
        <v>19</v>
      </c>
      <c r="N56" s="1" t="str">
        <f>IF($R56&lt;=0,"",EOMONTH(AY_SONU!$B25,0))</f>
        <v/>
      </c>
      <c r="O56" s="1" t="str">
        <f>IF($N56="","",$C$36&amp;" – "&amp;CHOOSE(MONTH(AY_SONU!$B25),"Ocak","Şubat","Mart","Nisan","Mayıs","Haziran","Temmuz","Ağustos","Eylül","Ekim","Kasım","Aralık")&amp;" "&amp;YEAR(AY_SONU!$B25)&amp;" kâr payı tahakkuku")</f>
        <v/>
      </c>
      <c r="P56" s="1" t="str">
        <f t="shared" si="8"/>
        <v/>
      </c>
      <c r="Q56" s="79">
        <v>0</v>
      </c>
      <c r="R56" s="79">
        <f>IF($C$36="",0,IF($C$36=SISTEM!$C$9,AY_SONU!$M25,IF($C$36=SISTEM!$C$10,AY_SONU!$N25,0)))</f>
        <v>0</v>
      </c>
      <c r="S56" s="1">
        <f t="shared" si="9"/>
        <v>10000000000</v>
      </c>
      <c r="T56" s="1"/>
      <c r="U56" s="1"/>
      <c r="V56" s="1">
        <f t="shared" si="10"/>
        <v>4605300001</v>
      </c>
      <c r="W56" s="1">
        <f t="shared" si="11"/>
        <v>1</v>
      </c>
    </row>
    <row r="57" spans="1:23" ht="19.5" customHeight="1" x14ac:dyDescent="0.3">
      <c r="A57" s="2"/>
      <c r="B57" s="65">
        <f t="shared" si="2"/>
        <v>20</v>
      </c>
      <c r="C57" s="70">
        <f t="shared" si="3"/>
        <v>46053</v>
      </c>
      <c r="D57" s="180" t="str">
        <f t="shared" si="4"/>
        <v xml:space="preserve">ÖMER KARTAL – müşteriden tahsilat: ALTINEL LTD.ŞTİ. – ALTINEL LTD.ŞTİ. </v>
      </c>
      <c r="E57" s="139"/>
      <c r="F57" s="65" t="str">
        <f t="shared" si="5"/>
        <v>MÜŞTERİDEN ALDI</v>
      </c>
      <c r="G57" s="68">
        <f t="shared" si="6"/>
        <v>12000</v>
      </c>
      <c r="H57" s="68">
        <f t="shared" si="7"/>
        <v>0</v>
      </c>
      <c r="I57" s="68">
        <f t="shared" si="12"/>
        <v>-32633.089999999997</v>
      </c>
      <c r="J57" s="2"/>
      <c r="K57" s="2"/>
      <c r="L57" s="1"/>
      <c r="M57" s="1">
        <v>20</v>
      </c>
      <c r="N57" s="1" t="str">
        <f>IF($R57&lt;=0,"",EOMONTH(AY_SONU!$B26,0))</f>
        <v/>
      </c>
      <c r="O57" s="1" t="str">
        <f>IF($N57="","",$C$36&amp;" – "&amp;CHOOSE(MONTH(AY_SONU!$B26),"Ocak","Şubat","Mart","Nisan","Mayıs","Haziran","Temmuz","Ağustos","Eylül","Ekim","Kasım","Aralık")&amp;" "&amp;YEAR(AY_SONU!$B26)&amp;" kâr payı tahakkuku")</f>
        <v/>
      </c>
      <c r="P57" s="1" t="str">
        <f t="shared" si="8"/>
        <v/>
      </c>
      <c r="Q57" s="79">
        <v>0</v>
      </c>
      <c r="R57" s="79">
        <f>IF($C$36="",0,IF($C$36=SISTEM!$C$9,AY_SONU!$M26,IF($C$36=SISTEM!$C$10,AY_SONU!$N26,0)))</f>
        <v>0</v>
      </c>
      <c r="S57" s="1">
        <f t="shared" si="9"/>
        <v>10000000000</v>
      </c>
      <c r="T57" s="1"/>
      <c r="U57" s="1"/>
      <c r="V57" s="1">
        <f t="shared" si="10"/>
        <v>4605300054</v>
      </c>
      <c r="W57" s="1">
        <f t="shared" si="11"/>
        <v>54</v>
      </c>
    </row>
    <row r="58" spans="1:23" ht="19.5" customHeight="1" x14ac:dyDescent="0.3">
      <c r="A58" s="2"/>
      <c r="B58" s="65">
        <f t="shared" si="2"/>
        <v>21</v>
      </c>
      <c r="C58" s="70">
        <f t="shared" si="3"/>
        <v>46053</v>
      </c>
      <c r="D58" s="180" t="str">
        <f t="shared" si="4"/>
        <v>ÖMER KARTAL – müşteriden tahsilat: ARMAN DİK – ÖMER KARTALA ÖDENEN</v>
      </c>
      <c r="E58" s="139"/>
      <c r="F58" s="65" t="str">
        <f t="shared" si="5"/>
        <v>MÜŞTERİDEN ALDI</v>
      </c>
      <c r="G58" s="68">
        <f t="shared" si="6"/>
        <v>3000</v>
      </c>
      <c r="H58" s="68">
        <f t="shared" si="7"/>
        <v>0</v>
      </c>
      <c r="I58" s="68">
        <f t="shared" si="12"/>
        <v>-29633.089999999997</v>
      </c>
      <c r="J58" s="2"/>
      <c r="K58" s="2"/>
      <c r="L58" s="1"/>
      <c r="M58" s="1">
        <v>21</v>
      </c>
      <c r="N58" s="1" t="str">
        <f>IF($R58&lt;=0,"",EOMONTH(AY_SONU!$B27,0))</f>
        <v/>
      </c>
      <c r="O58" s="1" t="str">
        <f>IF($N58="","",$C$36&amp;" – "&amp;CHOOSE(MONTH(AY_SONU!$B27),"Ocak","Şubat","Mart","Nisan","Mayıs","Haziran","Temmuz","Ağustos","Eylül","Ekim","Kasım","Aralık")&amp;" "&amp;YEAR(AY_SONU!$B27)&amp;" kâr payı tahakkuku")</f>
        <v/>
      </c>
      <c r="P58" s="1" t="str">
        <f t="shared" si="8"/>
        <v/>
      </c>
      <c r="Q58" s="79">
        <v>0</v>
      </c>
      <c r="R58" s="79">
        <f>IF($C$36="",0,IF($C$36=SISTEM!$C$9,AY_SONU!$M27,IF($C$36=SISTEM!$C$10,AY_SONU!$N27,0)))</f>
        <v>0</v>
      </c>
      <c r="S58" s="1">
        <f t="shared" si="9"/>
        <v>10000000000</v>
      </c>
      <c r="T58" s="1"/>
      <c r="U58" s="1"/>
      <c r="V58" s="1">
        <f t="shared" si="10"/>
        <v>4605300055</v>
      </c>
      <c r="W58" s="1">
        <f t="shared" si="11"/>
        <v>55</v>
      </c>
    </row>
    <row r="59" spans="1:23" ht="19.5" customHeight="1" x14ac:dyDescent="0.3">
      <c r="A59" s="2"/>
      <c r="B59" s="65">
        <f t="shared" si="2"/>
        <v>22</v>
      </c>
      <c r="C59" s="70">
        <f t="shared" si="3"/>
        <v>46053</v>
      </c>
      <c r="D59" s="180" t="str">
        <f t="shared" si="4"/>
        <v>ÖMER KARTAL – müşteriden tahsilat: ARON TOPTAN LTD.ŞTİ. – ONUR BAKİYESİNE MAHSUP</v>
      </c>
      <c r="E59" s="139"/>
      <c r="F59" s="65" t="str">
        <f t="shared" si="5"/>
        <v>MÜŞTERİDEN ALDI</v>
      </c>
      <c r="G59" s="68">
        <f t="shared" si="6"/>
        <v>20000</v>
      </c>
      <c r="H59" s="68">
        <f t="shared" si="7"/>
        <v>0</v>
      </c>
      <c r="I59" s="68">
        <f t="shared" si="12"/>
        <v>-9633.0899999999965</v>
      </c>
      <c r="J59" s="2"/>
      <c r="K59" s="2"/>
      <c r="L59" s="1"/>
      <c r="M59" s="1">
        <v>22</v>
      </c>
      <c r="N59" s="1" t="str">
        <f>IF($R59&lt;=0,"",EOMONTH(AY_SONU!$B28,0))</f>
        <v/>
      </c>
      <c r="O59" s="1" t="str">
        <f>IF($N59="","",$C$36&amp;" – "&amp;CHOOSE(MONTH(AY_SONU!$B28),"Ocak","Şubat","Mart","Nisan","Mayıs","Haziran","Temmuz","Ağustos","Eylül","Ekim","Kasım","Aralık")&amp;" "&amp;YEAR(AY_SONU!$B28)&amp;" kâr payı tahakkuku")</f>
        <v/>
      </c>
      <c r="P59" s="1" t="str">
        <f t="shared" si="8"/>
        <v/>
      </c>
      <c r="Q59" s="79">
        <v>0</v>
      </c>
      <c r="R59" s="79">
        <f>IF($C$36="",0,IF($C$36=SISTEM!$C$9,AY_SONU!$M28,IF($C$36=SISTEM!$C$10,AY_SONU!$N28,0)))</f>
        <v>0</v>
      </c>
      <c r="S59" s="1">
        <f t="shared" si="9"/>
        <v>10000000000</v>
      </c>
      <c r="T59" s="1"/>
      <c r="U59" s="1"/>
      <c r="V59" s="1">
        <f t="shared" si="10"/>
        <v>4605300056</v>
      </c>
      <c r="W59" s="1">
        <f t="shared" si="11"/>
        <v>56</v>
      </c>
    </row>
    <row r="60" spans="1:23" ht="19.5" customHeight="1" x14ac:dyDescent="0.3">
      <c r="A60" s="2"/>
      <c r="B60" s="65">
        <f t="shared" si="2"/>
        <v>23</v>
      </c>
      <c r="C60" s="70">
        <f t="shared" si="3"/>
        <v>46053</v>
      </c>
      <c r="D60" s="180" t="str">
        <f t="shared" si="4"/>
        <v>ÖMER KARTAL – müşteriden tahsilat: ÇINARHAN LTD.ŞTİ. – ÖMER KARTALA ÖDENEN</v>
      </c>
      <c r="E60" s="139"/>
      <c r="F60" s="65" t="str">
        <f t="shared" si="5"/>
        <v>MÜŞTERİDEN ALDI</v>
      </c>
      <c r="G60" s="68">
        <f t="shared" si="6"/>
        <v>2500</v>
      </c>
      <c r="H60" s="68">
        <f t="shared" si="7"/>
        <v>0</v>
      </c>
      <c r="I60" s="68">
        <f t="shared" si="12"/>
        <v>-7133.0899999999965</v>
      </c>
      <c r="J60" s="2"/>
      <c r="K60" s="2"/>
      <c r="L60" s="1"/>
      <c r="M60" s="1">
        <v>23</v>
      </c>
      <c r="N60" s="1" t="str">
        <f>IF($R60&lt;=0,"",EOMONTH(AY_SONU!$B29,0))</f>
        <v/>
      </c>
      <c r="O60" s="1" t="str">
        <f>IF($N60="","",$C$36&amp;" – "&amp;CHOOSE(MONTH(AY_SONU!$B29),"Ocak","Şubat","Mart","Nisan","Mayıs","Haziran","Temmuz","Ağustos","Eylül","Ekim","Kasım","Aralık")&amp;" "&amp;YEAR(AY_SONU!$B29)&amp;" kâr payı tahakkuku")</f>
        <v/>
      </c>
      <c r="P60" s="1" t="str">
        <f t="shared" si="8"/>
        <v/>
      </c>
      <c r="Q60" s="79">
        <v>0</v>
      </c>
      <c r="R60" s="79">
        <f>IF($C$36="",0,IF($C$36=SISTEM!$C$9,AY_SONU!$M29,IF($C$36=SISTEM!$C$10,AY_SONU!$N29,0)))</f>
        <v>0</v>
      </c>
      <c r="S60" s="1">
        <f t="shared" si="9"/>
        <v>10000000000</v>
      </c>
      <c r="T60" s="1"/>
      <c r="U60" s="1"/>
      <c r="V60" s="1">
        <f t="shared" si="10"/>
        <v>4605300057</v>
      </c>
      <c r="W60" s="1">
        <f t="shared" si="11"/>
        <v>57</v>
      </c>
    </row>
    <row r="61" spans="1:23" ht="19.5" customHeight="1" x14ac:dyDescent="0.3">
      <c r="A61" s="2"/>
      <c r="B61" s="65">
        <f t="shared" si="2"/>
        <v>24</v>
      </c>
      <c r="C61" s="70">
        <f t="shared" si="3"/>
        <v>46053</v>
      </c>
      <c r="D61" s="180" t="str">
        <f t="shared" si="4"/>
        <v>ÖMER KARTAL – müşteriden tahsilat: EĞLENGÖR LTD.ŞTİ. – ÖMER KARTALA ÖDENEN</v>
      </c>
      <c r="E61" s="139"/>
      <c r="F61" s="65" t="str">
        <f t="shared" si="5"/>
        <v>MÜŞTERİDEN ALDI</v>
      </c>
      <c r="G61" s="68">
        <f t="shared" si="6"/>
        <v>6000</v>
      </c>
      <c r="H61" s="68">
        <f t="shared" si="7"/>
        <v>0</v>
      </c>
      <c r="I61" s="68">
        <f t="shared" si="12"/>
        <v>-1133.0899999999965</v>
      </c>
      <c r="J61" s="2"/>
      <c r="K61" s="2"/>
      <c r="L61" s="1"/>
      <c r="M61" s="1">
        <v>24</v>
      </c>
      <c r="N61" s="1" t="str">
        <f>IF($R61&lt;=0,"",EOMONTH(AY_SONU!$B30,0))</f>
        <v/>
      </c>
      <c r="O61" s="1" t="str">
        <f>IF($N61="","",$C$36&amp;" – "&amp;CHOOSE(MONTH(AY_SONU!$B30),"Ocak","Şubat","Mart","Nisan","Mayıs","Haziran","Temmuz","Ağustos","Eylül","Ekim","Kasım","Aralık")&amp;" "&amp;YEAR(AY_SONU!$B30)&amp;" kâr payı tahakkuku")</f>
        <v/>
      </c>
      <c r="P61" s="1" t="str">
        <f t="shared" si="8"/>
        <v/>
      </c>
      <c r="Q61" s="79">
        <v>0</v>
      </c>
      <c r="R61" s="79">
        <f>IF($C$36="",0,IF($C$36=SISTEM!$C$9,AY_SONU!$M30,IF($C$36=SISTEM!$C$10,AY_SONU!$N30,0)))</f>
        <v>0</v>
      </c>
      <c r="S61" s="1">
        <f t="shared" si="9"/>
        <v>10000000000</v>
      </c>
      <c r="T61" s="1"/>
      <c r="U61" s="1"/>
      <c r="V61" s="1">
        <f t="shared" si="10"/>
        <v>4605300058</v>
      </c>
      <c r="W61" s="1">
        <f t="shared" si="11"/>
        <v>58</v>
      </c>
    </row>
    <row r="62" spans="1:23" ht="19.5" customHeight="1" x14ac:dyDescent="0.3">
      <c r="A62" s="2"/>
      <c r="B62" s="65">
        <f t="shared" si="2"/>
        <v>25</v>
      </c>
      <c r="C62" s="70">
        <f t="shared" si="3"/>
        <v>46053</v>
      </c>
      <c r="D62" s="180" t="str">
        <f t="shared" si="4"/>
        <v>ÖMER KARTAL – müşteriden tahsilat: NAZ 1 GIDA LTD.ŞTİ. – ÖMER KARTALA ÖDENEN</v>
      </c>
      <c r="E62" s="139"/>
      <c r="F62" s="65" t="str">
        <f t="shared" si="5"/>
        <v>MÜŞTERİDEN ALDI</v>
      </c>
      <c r="G62" s="68">
        <f t="shared" si="6"/>
        <v>2000</v>
      </c>
      <c r="H62" s="68">
        <f t="shared" si="7"/>
        <v>0</v>
      </c>
      <c r="I62" s="68">
        <f t="shared" si="12"/>
        <v>866.91000000000349</v>
      </c>
      <c r="J62" s="2"/>
      <c r="K62" s="2"/>
      <c r="L62" s="1"/>
      <c r="M62" s="1">
        <v>25</v>
      </c>
      <c r="N62" s="1" t="str">
        <f>IF($R62&lt;=0,"",EOMONTH(AY_SONU!$B31,0))</f>
        <v/>
      </c>
      <c r="O62" s="1" t="str">
        <f>IF($N62="","",$C$36&amp;" – "&amp;CHOOSE(MONTH(AY_SONU!$B31),"Ocak","Şubat","Mart","Nisan","Mayıs","Haziran","Temmuz","Ağustos","Eylül","Ekim","Kasım","Aralık")&amp;" "&amp;YEAR(AY_SONU!$B31)&amp;" kâr payı tahakkuku")</f>
        <v/>
      </c>
      <c r="P62" s="1" t="str">
        <f t="shared" si="8"/>
        <v/>
      </c>
      <c r="Q62" s="79">
        <v>0</v>
      </c>
      <c r="R62" s="79">
        <f>IF($C$36="",0,IF($C$36=SISTEM!$C$9,AY_SONU!$M31,IF($C$36=SISTEM!$C$10,AY_SONU!$N31,0)))</f>
        <v>0</v>
      </c>
      <c r="S62" s="1">
        <f t="shared" si="9"/>
        <v>10000000000</v>
      </c>
      <c r="T62" s="1"/>
      <c r="U62" s="1"/>
      <c r="V62" s="1">
        <f t="shared" si="10"/>
        <v>4605300059</v>
      </c>
      <c r="W62" s="1">
        <f t="shared" si="11"/>
        <v>59</v>
      </c>
    </row>
    <row r="63" spans="1:23" ht="19.5" customHeight="1" x14ac:dyDescent="0.3">
      <c r="A63" s="2"/>
      <c r="B63" s="65">
        <f t="shared" si="2"/>
        <v>26</v>
      </c>
      <c r="C63" s="70">
        <f t="shared" si="3"/>
        <v>46053</v>
      </c>
      <c r="D63" s="180" t="str">
        <f t="shared" si="4"/>
        <v>ÖMER KARTAL – müşteriden tahsilat: VOLKAN AÇIK – NAKİT ÖDENEN M.ALİ KARTAL</v>
      </c>
      <c r="E63" s="139"/>
      <c r="F63" s="65" t="str">
        <f t="shared" si="5"/>
        <v>MÜŞTERİDEN ALDI</v>
      </c>
      <c r="G63" s="68">
        <f t="shared" si="6"/>
        <v>1000</v>
      </c>
      <c r="H63" s="68">
        <f t="shared" si="7"/>
        <v>0</v>
      </c>
      <c r="I63" s="68">
        <f t="shared" si="12"/>
        <v>1866.9100000000035</v>
      </c>
      <c r="J63" s="2"/>
      <c r="K63" s="2"/>
      <c r="L63" s="1"/>
      <c r="M63" s="1">
        <v>26</v>
      </c>
      <c r="N63" s="1" t="str">
        <f>IF($R63&lt;=0,"",EOMONTH(AY_SONU!$B32,0))</f>
        <v/>
      </c>
      <c r="O63" s="1" t="str">
        <f>IF($N63="","",$C$36&amp;" – "&amp;CHOOSE(MONTH(AY_SONU!$B32),"Ocak","Şubat","Mart","Nisan","Mayıs","Haziran","Temmuz","Ağustos","Eylül","Ekim","Kasım","Aralık")&amp;" "&amp;YEAR(AY_SONU!$B32)&amp;" kâr payı tahakkuku")</f>
        <v/>
      </c>
      <c r="P63" s="1" t="str">
        <f t="shared" si="8"/>
        <v/>
      </c>
      <c r="Q63" s="79">
        <v>0</v>
      </c>
      <c r="R63" s="79">
        <f>IF($C$36="",0,IF($C$36=SISTEM!$C$9,AY_SONU!$M32,IF($C$36=SISTEM!$C$10,AY_SONU!$N32,0)))</f>
        <v>0</v>
      </c>
      <c r="S63" s="1">
        <f t="shared" si="9"/>
        <v>10000000000</v>
      </c>
      <c r="T63" s="1"/>
      <c r="U63" s="1"/>
      <c r="V63" s="1">
        <f t="shared" si="10"/>
        <v>4605300060</v>
      </c>
      <c r="W63" s="1">
        <f t="shared" si="11"/>
        <v>60</v>
      </c>
    </row>
    <row r="64" spans="1:23" ht="19.5" customHeight="1" x14ac:dyDescent="0.3">
      <c r="A64" s="2"/>
      <c r="B64" s="65">
        <f t="shared" si="2"/>
        <v>27</v>
      </c>
      <c r="C64" s="70">
        <f t="shared" si="3"/>
        <v>46053</v>
      </c>
      <c r="D64" s="180" t="str">
        <f t="shared" si="4"/>
        <v>MERKEZ KASA → ÖMER KARTAL – PARİS GAZİNOSU SGK'LAR</v>
      </c>
      <c r="E64" s="139"/>
      <c r="F64" s="65" t="str">
        <f t="shared" si="5"/>
        <v>VİRMAN GELDİ</v>
      </c>
      <c r="G64" s="68">
        <f t="shared" si="6"/>
        <v>12000</v>
      </c>
      <c r="H64" s="68">
        <f t="shared" si="7"/>
        <v>0</v>
      </c>
      <c r="I64" s="68">
        <f t="shared" si="12"/>
        <v>13866.910000000003</v>
      </c>
      <c r="J64" s="2"/>
      <c r="K64" s="2"/>
      <c r="L64" s="1"/>
      <c r="M64" s="1">
        <v>27</v>
      </c>
      <c r="N64" s="1" t="str">
        <f>IF($R64&lt;=0,"",EOMONTH(AY_SONU!$B33,0))</f>
        <v/>
      </c>
      <c r="O64" s="1" t="str">
        <f>IF($N64="","",$C$36&amp;" – "&amp;CHOOSE(MONTH(AY_SONU!$B33),"Ocak","Şubat","Mart","Nisan","Mayıs","Haziran","Temmuz","Ağustos","Eylül","Ekim","Kasım","Aralık")&amp;" "&amp;YEAR(AY_SONU!$B33)&amp;" kâr payı tahakkuku")</f>
        <v/>
      </c>
      <c r="P64" s="1" t="str">
        <f t="shared" si="8"/>
        <v/>
      </c>
      <c r="Q64" s="79">
        <v>0</v>
      </c>
      <c r="R64" s="79">
        <f>IF($C$36="",0,IF($C$36=SISTEM!$C$9,AY_SONU!$M33,IF($C$36=SISTEM!$C$10,AY_SONU!$N33,0)))</f>
        <v>0</v>
      </c>
      <c r="S64" s="1">
        <f t="shared" si="9"/>
        <v>10000000000</v>
      </c>
      <c r="T64" s="1"/>
      <c r="U64" s="1"/>
      <c r="V64" s="1">
        <f t="shared" si="10"/>
        <v>4605300538</v>
      </c>
      <c r="W64" s="1">
        <f t="shared" si="11"/>
        <v>538</v>
      </c>
    </row>
    <row r="65" spans="1:23" ht="19.5" customHeight="1" x14ac:dyDescent="0.3">
      <c r="A65" s="2"/>
      <c r="B65" s="65">
        <f t="shared" si="2"/>
        <v>28</v>
      </c>
      <c r="C65" s="70">
        <f t="shared" si="3"/>
        <v>46053</v>
      </c>
      <c r="D65" s="180" t="str">
        <f t="shared" si="4"/>
        <v>MERKEZ KASA → ÖMER KARTAL – HÜSEYİN ŞİMŞEK MUHASEBE ÜCRETİ</v>
      </c>
      <c r="E65" s="139"/>
      <c r="F65" s="65" t="str">
        <f t="shared" si="5"/>
        <v>VİRMAN GELDİ</v>
      </c>
      <c r="G65" s="68">
        <f t="shared" si="6"/>
        <v>3000</v>
      </c>
      <c r="H65" s="68">
        <f t="shared" si="7"/>
        <v>0</v>
      </c>
      <c r="I65" s="68">
        <f t="shared" si="12"/>
        <v>16866.910000000003</v>
      </c>
      <c r="J65" s="2"/>
      <c r="K65" s="2"/>
      <c r="L65" s="1"/>
      <c r="M65" s="1">
        <v>28</v>
      </c>
      <c r="N65" s="1" t="str">
        <f>IF($R65&lt;=0,"",EOMONTH(AY_SONU!$B34,0))</f>
        <v/>
      </c>
      <c r="O65" s="1" t="str">
        <f>IF($N65="","",$C$36&amp;" – "&amp;CHOOSE(MONTH(AY_SONU!$B34),"Ocak","Şubat","Mart","Nisan","Mayıs","Haziran","Temmuz","Ağustos","Eylül","Ekim","Kasım","Aralık")&amp;" "&amp;YEAR(AY_SONU!$B34)&amp;" kâr payı tahakkuku")</f>
        <v/>
      </c>
      <c r="P65" s="1" t="str">
        <f t="shared" si="8"/>
        <v/>
      </c>
      <c r="Q65" s="79">
        <v>0</v>
      </c>
      <c r="R65" s="79">
        <f>IF($C$36="",0,IF($C$36=SISTEM!$C$9,AY_SONU!$M34,IF($C$36=SISTEM!$C$10,AY_SONU!$N34,0)))</f>
        <v>0</v>
      </c>
      <c r="S65" s="1">
        <f t="shared" si="9"/>
        <v>10000000000</v>
      </c>
      <c r="T65" s="1"/>
      <c r="U65" s="1"/>
      <c r="V65" s="1">
        <f t="shared" si="10"/>
        <v>4605300539</v>
      </c>
      <c r="W65" s="1">
        <f t="shared" si="11"/>
        <v>539</v>
      </c>
    </row>
    <row r="66" spans="1:23" ht="19.5" customHeight="1" x14ac:dyDescent="0.3">
      <c r="A66" s="2"/>
      <c r="B66" s="65">
        <f t="shared" si="2"/>
        <v>29</v>
      </c>
      <c r="C66" s="70">
        <f t="shared" si="3"/>
        <v>46053</v>
      </c>
      <c r="D66" s="180" t="str">
        <f t="shared" si="4"/>
        <v>MERKEZ KASA → ÖMER KARTAL – FADİME HORUZCU MUHASEBE ÜCRETİ</v>
      </c>
      <c r="E66" s="139"/>
      <c r="F66" s="65" t="str">
        <f t="shared" si="5"/>
        <v>VİRMAN GELDİ</v>
      </c>
      <c r="G66" s="68">
        <f t="shared" si="6"/>
        <v>2000</v>
      </c>
      <c r="H66" s="68">
        <f t="shared" si="7"/>
        <v>0</v>
      </c>
      <c r="I66" s="68">
        <f t="shared" si="12"/>
        <v>18866.910000000003</v>
      </c>
      <c r="J66" s="2"/>
      <c r="K66" s="2"/>
      <c r="L66" s="1"/>
      <c r="M66" s="1">
        <v>29</v>
      </c>
      <c r="N66" s="1" t="str">
        <f>IF($R66&lt;=0,"",EOMONTH(AY_SONU!$B35,0))</f>
        <v/>
      </c>
      <c r="O66" s="1" t="str">
        <f>IF($N66="","",$C$36&amp;" – "&amp;CHOOSE(MONTH(AY_SONU!$B35),"Ocak","Şubat","Mart","Nisan","Mayıs","Haziran","Temmuz","Ağustos","Eylül","Ekim","Kasım","Aralık")&amp;" "&amp;YEAR(AY_SONU!$B35)&amp;" kâr payı tahakkuku")</f>
        <v/>
      </c>
      <c r="P66" s="1" t="str">
        <f t="shared" si="8"/>
        <v/>
      </c>
      <c r="Q66" s="79">
        <v>0</v>
      </c>
      <c r="R66" s="79">
        <f>IF($C$36="",0,IF($C$36=SISTEM!$C$9,AY_SONU!$M35,IF($C$36=SISTEM!$C$10,AY_SONU!$N35,0)))</f>
        <v>0</v>
      </c>
      <c r="S66" s="1">
        <f t="shared" si="9"/>
        <v>10000000000</v>
      </c>
      <c r="T66" s="1"/>
      <c r="U66" s="1"/>
      <c r="V66" s="1">
        <f t="shared" si="10"/>
        <v>4605300540</v>
      </c>
      <c r="W66" s="1">
        <f t="shared" si="11"/>
        <v>540</v>
      </c>
    </row>
    <row r="67" spans="1:23" ht="19.5" customHeight="1" x14ac:dyDescent="0.3">
      <c r="A67" s="2"/>
      <c r="B67" s="65">
        <f t="shared" si="2"/>
        <v>30</v>
      </c>
      <c r="C67" s="70">
        <f t="shared" si="3"/>
        <v>46053</v>
      </c>
      <c r="D67" s="180" t="str">
        <f t="shared" si="4"/>
        <v>MERKEZ KASA → ÖMER KARTAL – Onur'un Ömerden Alacağı Bakiye</v>
      </c>
      <c r="E67" s="139"/>
      <c r="F67" s="65" t="str">
        <f t="shared" si="5"/>
        <v>VİRMAN GELDİ</v>
      </c>
      <c r="G67" s="68">
        <f t="shared" si="6"/>
        <v>15000</v>
      </c>
      <c r="H67" s="68">
        <f t="shared" si="7"/>
        <v>0</v>
      </c>
      <c r="I67" s="68">
        <f t="shared" si="12"/>
        <v>33866.910000000003</v>
      </c>
      <c r="J67" s="2"/>
      <c r="K67" s="2"/>
      <c r="L67" s="1"/>
      <c r="M67" s="1">
        <v>30</v>
      </c>
      <c r="N67" s="1" t="str">
        <f>IF($R67&lt;=0,"",EOMONTH(AY_SONU!$B36,0))</f>
        <v/>
      </c>
      <c r="O67" s="1" t="str">
        <f>IF($N67="","",$C$36&amp;" – "&amp;CHOOSE(MONTH(AY_SONU!$B36),"Ocak","Şubat","Mart","Nisan","Mayıs","Haziran","Temmuz","Ağustos","Eylül","Ekim","Kasım","Aralık")&amp;" "&amp;YEAR(AY_SONU!$B36)&amp;" kâr payı tahakkuku")</f>
        <v/>
      </c>
      <c r="P67" s="1" t="str">
        <f t="shared" si="8"/>
        <v/>
      </c>
      <c r="Q67" s="79">
        <v>0</v>
      </c>
      <c r="R67" s="79">
        <f>IF($C$36="",0,IF($C$36=SISTEM!$C$9,AY_SONU!$M36,IF($C$36=SISTEM!$C$10,AY_SONU!$N36,0)))</f>
        <v>0</v>
      </c>
      <c r="S67" s="1">
        <f t="shared" si="9"/>
        <v>10000000000</v>
      </c>
      <c r="T67" s="1"/>
      <c r="U67" s="1"/>
      <c r="V67" s="1">
        <f t="shared" si="10"/>
        <v>4605300541</v>
      </c>
      <c r="W67" s="1">
        <f t="shared" si="11"/>
        <v>541</v>
      </c>
    </row>
    <row r="68" spans="1:23" ht="19.5" customHeight="1" x14ac:dyDescent="0.3">
      <c r="A68" s="2"/>
      <c r="B68" s="65">
        <f t="shared" si="2"/>
        <v>31</v>
      </c>
      <c r="C68" s="70">
        <f t="shared" si="3"/>
        <v>46053</v>
      </c>
      <c r="D68" s="180" t="str">
        <f t="shared" si="4"/>
        <v>MERKEZ KASA → ÖMER KARTAL – ALİ KILIÇ TARAFINDAN HAVALE</v>
      </c>
      <c r="E68" s="139"/>
      <c r="F68" s="65" t="str">
        <f t="shared" si="5"/>
        <v>VİRMAN GELDİ</v>
      </c>
      <c r="G68" s="68">
        <f t="shared" si="6"/>
        <v>5000</v>
      </c>
      <c r="H68" s="68">
        <f t="shared" si="7"/>
        <v>0</v>
      </c>
      <c r="I68" s="68">
        <f t="shared" si="12"/>
        <v>38866.910000000003</v>
      </c>
      <c r="J68" s="2"/>
      <c r="K68" s="2"/>
      <c r="L68" s="1"/>
      <c r="M68" s="1">
        <v>31</v>
      </c>
      <c r="N68" s="1" t="str">
        <f>IF($R68&lt;=0,"",EOMONTH(AY_SONU!$B37,0))</f>
        <v/>
      </c>
      <c r="O68" s="1" t="str">
        <f>IF($N68="","",$C$36&amp;" – "&amp;CHOOSE(MONTH(AY_SONU!$B37),"Ocak","Şubat","Mart","Nisan","Mayıs","Haziran","Temmuz","Ağustos","Eylül","Ekim","Kasım","Aralık")&amp;" "&amp;YEAR(AY_SONU!$B37)&amp;" kâr payı tahakkuku")</f>
        <v/>
      </c>
      <c r="P68" s="1" t="str">
        <f t="shared" si="8"/>
        <v/>
      </c>
      <c r="Q68" s="79">
        <v>0</v>
      </c>
      <c r="R68" s="79">
        <f>IF($C$36="",0,IF($C$36=SISTEM!$C$9,AY_SONU!$M37,IF($C$36=SISTEM!$C$10,AY_SONU!$N37,0)))</f>
        <v>0</v>
      </c>
      <c r="S68" s="1">
        <f t="shared" si="9"/>
        <v>10000000000</v>
      </c>
      <c r="T68" s="1"/>
      <c r="U68" s="1"/>
      <c r="V68" s="1">
        <f t="shared" si="10"/>
        <v>4605300542</v>
      </c>
      <c r="W68" s="1">
        <f t="shared" si="11"/>
        <v>542</v>
      </c>
    </row>
    <row r="69" spans="1:23" ht="19.5" customHeight="1" x14ac:dyDescent="0.3">
      <c r="A69" s="2"/>
      <c r="B69" s="65">
        <f t="shared" si="2"/>
        <v>32</v>
      </c>
      <c r="C69" s="70">
        <f t="shared" si="3"/>
        <v>46053</v>
      </c>
      <c r="D69" s="180" t="str">
        <f t="shared" si="4"/>
        <v>MERKEZ KASA → ÖMER KARTAL – KÂR PAYI / AVANS ÇEKİŞİ — Ocak Ayı Kâr Payı Ödemesi — eski GELIR_GIDER satır 26</v>
      </c>
      <c r="E69" s="139"/>
      <c r="F69" s="65" t="str">
        <f t="shared" si="5"/>
        <v>VİRMAN GELDİ</v>
      </c>
      <c r="G69" s="68">
        <f t="shared" si="6"/>
        <v>127783.09</v>
      </c>
      <c r="H69" s="68">
        <f t="shared" si="7"/>
        <v>0</v>
      </c>
      <c r="I69" s="68">
        <f t="shared" si="12"/>
        <v>166650</v>
      </c>
      <c r="J69" s="2"/>
      <c r="K69" s="2"/>
      <c r="L69" s="1"/>
      <c r="M69" s="1">
        <v>32</v>
      </c>
      <c r="N69" s="1" t="str">
        <f>IF($R69&lt;=0,"",EOMONTH(AY_SONU!$B38,0))</f>
        <v/>
      </c>
      <c r="O69" s="1" t="str">
        <f>IF($N69="","",$C$36&amp;" – "&amp;CHOOSE(MONTH(AY_SONU!$B38),"Ocak","Şubat","Mart","Nisan","Mayıs","Haziran","Temmuz","Ağustos","Eylül","Ekim","Kasım","Aralık")&amp;" "&amp;YEAR(AY_SONU!$B38)&amp;" kâr payı tahakkuku")</f>
        <v/>
      </c>
      <c r="P69" s="1" t="str">
        <f t="shared" si="8"/>
        <v/>
      </c>
      <c r="Q69" s="79">
        <v>0</v>
      </c>
      <c r="R69" s="79">
        <f>IF($C$36="",0,IF($C$36=SISTEM!$C$9,AY_SONU!$M38,IF($C$36=SISTEM!$C$10,AY_SONU!$N38,0)))</f>
        <v>0</v>
      </c>
      <c r="S69" s="1">
        <f t="shared" si="9"/>
        <v>10000000000</v>
      </c>
      <c r="T69" s="1"/>
      <c r="U69" s="1"/>
      <c r="V69" s="1">
        <f t="shared" si="10"/>
        <v>4605300566</v>
      </c>
      <c r="W69" s="1">
        <f t="shared" si="11"/>
        <v>566</v>
      </c>
    </row>
    <row r="70" spans="1:23" ht="19.5" customHeight="1" x14ac:dyDescent="0.3">
      <c r="A70" s="2"/>
      <c r="B70" s="65">
        <f t="shared" si="2"/>
        <v>33</v>
      </c>
      <c r="C70" s="70">
        <f t="shared" si="3"/>
        <v>46054</v>
      </c>
      <c r="D70" s="180" t="str">
        <f t="shared" si="4"/>
        <v>ÖMER KARTAL – müşteriden tahsilat: YEDİYİRMİDÖRT LTD.ŞTİ. – NAKİT ÖDENEN</v>
      </c>
      <c r="E70" s="139"/>
      <c r="F70" s="65" t="str">
        <f t="shared" si="5"/>
        <v>MÜŞTERİDEN ALDI</v>
      </c>
      <c r="G70" s="68">
        <f t="shared" si="6"/>
        <v>10000</v>
      </c>
      <c r="H70" s="68">
        <f t="shared" si="7"/>
        <v>0</v>
      </c>
      <c r="I70" s="68">
        <f t="shared" si="12"/>
        <v>176650</v>
      </c>
      <c r="J70" s="2"/>
      <c r="K70" s="2"/>
      <c r="L70" s="1"/>
      <c r="M70" s="1">
        <v>33</v>
      </c>
      <c r="N70" s="1" t="str">
        <f>IF($R70&lt;=0,"",EOMONTH(AY_SONU!$B39,0))</f>
        <v/>
      </c>
      <c r="O70" s="1" t="str">
        <f>IF($N70="","",$C$36&amp;" – "&amp;CHOOSE(MONTH(AY_SONU!$B39),"Ocak","Şubat","Mart","Nisan","Mayıs","Haziran","Temmuz","Ağustos","Eylül","Ekim","Kasım","Aralık")&amp;" "&amp;YEAR(AY_SONU!$B39)&amp;" kâr payı tahakkuku")</f>
        <v/>
      </c>
      <c r="P70" s="1" t="str">
        <f t="shared" si="8"/>
        <v/>
      </c>
      <c r="Q70" s="79">
        <v>0</v>
      </c>
      <c r="R70" s="79">
        <f>IF($C$36="",0,IF($C$36=SISTEM!$C$9,AY_SONU!$M39,IF($C$36=SISTEM!$C$10,AY_SONU!$N39,0)))</f>
        <v>0</v>
      </c>
      <c r="S70" s="1">
        <f t="shared" si="9"/>
        <v>10000000000</v>
      </c>
      <c r="T70" s="1"/>
      <c r="U70" s="1"/>
      <c r="V70" s="1">
        <f t="shared" si="10"/>
        <v>4605400061</v>
      </c>
      <c r="W70" s="1">
        <f t="shared" si="11"/>
        <v>61</v>
      </c>
    </row>
    <row r="71" spans="1:23" ht="19.5" customHeight="1" x14ac:dyDescent="0.3">
      <c r="A71" s="2"/>
      <c r="B71" s="65">
        <f t="shared" si="2"/>
        <v>34</v>
      </c>
      <c r="C71" s="70">
        <f t="shared" si="3"/>
        <v>46054</v>
      </c>
      <c r="D71" s="180" t="str">
        <f t="shared" si="4"/>
        <v>ÖMER KARTAL → MERKEZ KASA – ÖMER KARTAL CARİ HESAP KASAYA ÖDEDİĞİ</v>
      </c>
      <c r="E71" s="139"/>
      <c r="F71" s="65" t="str">
        <f t="shared" si="5"/>
        <v>OFİSE/KASAYA ÖDEDİ</v>
      </c>
      <c r="G71" s="68">
        <f t="shared" si="6"/>
        <v>0</v>
      </c>
      <c r="H71" s="68">
        <f t="shared" si="7"/>
        <v>32000</v>
      </c>
      <c r="I71" s="68">
        <f t="shared" si="12"/>
        <v>144650</v>
      </c>
      <c r="J71" s="2"/>
      <c r="K71" s="2"/>
      <c r="L71" s="1"/>
      <c r="M71" s="1">
        <v>34</v>
      </c>
      <c r="N71" s="1" t="str">
        <f>IF($R71&lt;=0,"",EOMONTH(AY_SONU!$B40,0))</f>
        <v/>
      </c>
      <c r="O71" s="1" t="str">
        <f>IF($N71="","",$C$36&amp;" – "&amp;CHOOSE(MONTH(AY_SONU!$B40),"Ocak","Şubat","Mart","Nisan","Mayıs","Haziran","Temmuz","Ağustos","Eylül","Ekim","Kasım","Aralık")&amp;" "&amp;YEAR(AY_SONU!$B40)&amp;" kâr payı tahakkuku")</f>
        <v/>
      </c>
      <c r="P71" s="1" t="str">
        <f t="shared" si="8"/>
        <v/>
      </c>
      <c r="Q71" s="79">
        <v>0</v>
      </c>
      <c r="R71" s="79">
        <f>IF($C$36="",0,IF($C$36=SISTEM!$C$9,AY_SONU!$M40,IF($C$36=SISTEM!$C$10,AY_SONU!$N40,0)))</f>
        <v>0</v>
      </c>
      <c r="S71" s="1">
        <f t="shared" si="9"/>
        <v>10000000000</v>
      </c>
      <c r="T71" s="1"/>
      <c r="U71" s="1"/>
      <c r="V71" s="1">
        <f t="shared" si="10"/>
        <v>4605400698</v>
      </c>
      <c r="W71" s="1">
        <f t="shared" si="11"/>
        <v>698</v>
      </c>
    </row>
    <row r="72" spans="1:23" ht="19.5" customHeight="1" x14ac:dyDescent="0.3">
      <c r="A72" s="2"/>
      <c r="B72" s="65">
        <f t="shared" si="2"/>
        <v>35</v>
      </c>
      <c r="C72" s="70">
        <f t="shared" si="3"/>
        <v>46060</v>
      </c>
      <c r="D72" s="180" t="str">
        <f t="shared" si="4"/>
        <v>ÖMER KARTAL – müşteriden tahsilat: ÇINARHAN LTD.ŞTİ. – NAKİT ÖDENEN</v>
      </c>
      <c r="E72" s="139"/>
      <c r="F72" s="65" t="str">
        <f t="shared" si="5"/>
        <v>MÜŞTERİDEN ALDI</v>
      </c>
      <c r="G72" s="68">
        <f t="shared" si="6"/>
        <v>2500</v>
      </c>
      <c r="H72" s="68">
        <f t="shared" si="7"/>
        <v>0</v>
      </c>
      <c r="I72" s="68">
        <f t="shared" si="12"/>
        <v>147150</v>
      </c>
      <c r="J72" s="2"/>
      <c r="K72" s="2"/>
      <c r="L72" s="1"/>
      <c r="M72" s="1">
        <v>35</v>
      </c>
      <c r="N72" s="1" t="str">
        <f>IF($R72&lt;=0,"",EOMONTH(AY_SONU!$B41,0))</f>
        <v/>
      </c>
      <c r="O72" s="1" t="str">
        <f>IF($N72="","",$C$36&amp;" – "&amp;CHOOSE(MONTH(AY_SONU!$B41),"Ocak","Şubat","Mart","Nisan","Mayıs","Haziran","Temmuz","Ağustos","Eylül","Ekim","Kasım","Aralık")&amp;" "&amp;YEAR(AY_SONU!$B41)&amp;" kâr payı tahakkuku")</f>
        <v/>
      </c>
      <c r="P72" s="1" t="str">
        <f t="shared" si="8"/>
        <v/>
      </c>
      <c r="Q72" s="79">
        <v>0</v>
      </c>
      <c r="R72" s="79">
        <f>IF($C$36="",0,IF($C$36=SISTEM!$C$9,AY_SONU!$M41,IF($C$36=SISTEM!$C$10,AY_SONU!$N41,0)))</f>
        <v>0</v>
      </c>
      <c r="S72" s="1">
        <f t="shared" si="9"/>
        <v>10000000000</v>
      </c>
      <c r="T72" s="1"/>
      <c r="U72" s="1"/>
      <c r="V72" s="1">
        <f t="shared" si="10"/>
        <v>4606000062</v>
      </c>
      <c r="W72" s="1">
        <f t="shared" si="11"/>
        <v>62</v>
      </c>
    </row>
    <row r="73" spans="1:23" ht="19.5" customHeight="1" x14ac:dyDescent="0.3">
      <c r="A73" s="2"/>
      <c r="B73" s="65">
        <f t="shared" si="2"/>
        <v>36</v>
      </c>
      <c r="C73" s="70">
        <f t="shared" si="3"/>
        <v>46063</v>
      </c>
      <c r="D73" s="180" t="str">
        <f t="shared" si="4"/>
        <v>ÖMER KARTAL – müşteriden tahsilat: MONAMOUR LTD.ŞTİ. – ÖMER KARTALA ÖDENEN</v>
      </c>
      <c r="E73" s="139"/>
      <c r="F73" s="65" t="str">
        <f t="shared" si="5"/>
        <v>MÜŞTERİDEN ALDI</v>
      </c>
      <c r="G73" s="68">
        <f t="shared" si="6"/>
        <v>3500</v>
      </c>
      <c r="H73" s="68">
        <f t="shared" si="7"/>
        <v>0</v>
      </c>
      <c r="I73" s="68">
        <f t="shared" si="12"/>
        <v>150650</v>
      </c>
      <c r="J73" s="2"/>
      <c r="K73" s="2"/>
      <c r="L73" s="1"/>
      <c r="M73" s="1">
        <v>36</v>
      </c>
      <c r="N73" s="1" t="str">
        <f>IF($R73&lt;=0,"",EOMONTH(AY_SONU!$B42,0))</f>
        <v/>
      </c>
      <c r="O73" s="1" t="str">
        <f>IF($N73="","",$C$36&amp;" – "&amp;CHOOSE(MONTH(AY_SONU!$B42),"Ocak","Şubat","Mart","Nisan","Mayıs","Haziran","Temmuz","Ağustos","Eylül","Ekim","Kasım","Aralık")&amp;" "&amp;YEAR(AY_SONU!$B42)&amp;" kâr payı tahakkuku")</f>
        <v/>
      </c>
      <c r="P73" s="1" t="str">
        <f t="shared" si="8"/>
        <v/>
      </c>
      <c r="Q73" s="79">
        <v>0</v>
      </c>
      <c r="R73" s="79">
        <f>IF($C$36="",0,IF($C$36=SISTEM!$C$9,AY_SONU!$M42,IF($C$36=SISTEM!$C$10,AY_SONU!$N42,0)))</f>
        <v>0</v>
      </c>
      <c r="S73" s="1">
        <f t="shared" si="9"/>
        <v>10000000000</v>
      </c>
      <c r="T73" s="1"/>
      <c r="U73" s="1"/>
      <c r="V73" s="1">
        <f t="shared" si="10"/>
        <v>4606300063</v>
      </c>
      <c r="W73" s="1">
        <f t="shared" si="11"/>
        <v>63</v>
      </c>
    </row>
    <row r="74" spans="1:23" ht="19.5" customHeight="1" x14ac:dyDescent="0.3">
      <c r="A74" s="2"/>
      <c r="B74" s="65">
        <f t="shared" si="2"/>
        <v>37</v>
      </c>
      <c r="C74" s="70">
        <f t="shared" si="3"/>
        <v>46066</v>
      </c>
      <c r="D74" s="180" t="str">
        <f t="shared" si="4"/>
        <v>ÖMER KARTAL – müşteriden tahsilat: UFUK YILMAZ – NAKİT ÖDENEN</v>
      </c>
      <c r="E74" s="139"/>
      <c r="F74" s="65" t="str">
        <f t="shared" si="5"/>
        <v>MÜŞTERİDEN ALDI</v>
      </c>
      <c r="G74" s="68">
        <f t="shared" si="6"/>
        <v>3000</v>
      </c>
      <c r="H74" s="68">
        <f t="shared" si="7"/>
        <v>0</v>
      </c>
      <c r="I74" s="68">
        <f t="shared" si="12"/>
        <v>153650</v>
      </c>
      <c r="J74" s="2"/>
      <c r="K74" s="2"/>
      <c r="L74" s="1"/>
      <c r="M74" s="1">
        <v>37</v>
      </c>
      <c r="N74" s="71">
        <f>IF($T74=0,"",INDEX(TAHSILAT!$E$7:$E$2503,$T74))</f>
        <v>46025</v>
      </c>
      <c r="O74" s="1" t="str">
        <f>IF($N74="","",$C$36&amp;" – müşteriden tahsilat: "&amp;INDEX(TAHSILAT!$N$7:$N$2503,$T74)&amp;IF(INDEX(TAHSILAT!$J$7:$J$2503,$T74)="",""," – "&amp;INDEX(TAHSILAT!$J$7:$J$2503,$T74)))</f>
        <v>ÖMER KARTAL – müşteriden tahsilat: EĞLENGÖR LTD.ŞTİ. – ÖMER KARTALA ÖDENEN</v>
      </c>
      <c r="P74" s="1" t="str">
        <f t="shared" ref="P74:P137" si="13">IF($N74="","","MÜŞTERİDEN ALDI")</f>
        <v>MÜŞTERİDEN ALDI</v>
      </c>
      <c r="Q74" s="79">
        <f>IF($N74="",0,INDEX(TAHSILAT!$F$7:$F$2503,$T74))</f>
        <v>3000</v>
      </c>
      <c r="R74" s="1">
        <v>0</v>
      </c>
      <c r="S74" s="1">
        <f t="shared" si="9"/>
        <v>4602500037</v>
      </c>
      <c r="T74" s="1">
        <f>IFERROR(MATCH($C$36&amp;"|1",TAHSILAT!$U$7:$U$2503,0),0)</f>
        <v>9</v>
      </c>
      <c r="U74" s="1"/>
      <c r="V74" s="1">
        <f t="shared" si="10"/>
        <v>4606600064</v>
      </c>
      <c r="W74" s="1">
        <f t="shared" si="11"/>
        <v>64</v>
      </c>
    </row>
    <row r="75" spans="1:23" ht="19.5" customHeight="1" x14ac:dyDescent="0.3">
      <c r="A75" s="2"/>
      <c r="B75" s="65">
        <f t="shared" si="2"/>
        <v>38</v>
      </c>
      <c r="C75" s="70">
        <f t="shared" si="3"/>
        <v>46069</v>
      </c>
      <c r="D75" s="180" t="str">
        <f t="shared" si="4"/>
        <v>ÖMER KARTAL – müşteriden tahsilat: NERO E TİCARET LTD.ŞTİ. – ÖMER KARTALA ÖDENEN</v>
      </c>
      <c r="E75" s="139"/>
      <c r="F75" s="65" t="str">
        <f t="shared" si="5"/>
        <v>MÜŞTERİDEN ALDI</v>
      </c>
      <c r="G75" s="68">
        <f t="shared" si="6"/>
        <v>7500</v>
      </c>
      <c r="H75" s="68">
        <f t="shared" si="7"/>
        <v>0</v>
      </c>
      <c r="I75" s="68">
        <f t="shared" si="12"/>
        <v>161150</v>
      </c>
      <c r="J75" s="2"/>
      <c r="K75" s="2"/>
      <c r="L75" s="1"/>
      <c r="M75" s="1">
        <v>38</v>
      </c>
      <c r="N75" s="71">
        <f>IF($T75=0,"",INDEX(TAHSILAT!$E$7:$E$2503,$T75))</f>
        <v>46025</v>
      </c>
      <c r="O75" s="1" t="str">
        <f>IF($N75="","",$C$36&amp;" – müşteriden tahsilat: "&amp;INDEX(TAHSILAT!$N$7:$N$2503,$T75)&amp;IF(INDEX(TAHSILAT!$J$7:$J$2503,$T75)="",""," – "&amp;INDEX(TAHSILAT!$J$7:$J$2503,$T75)))</f>
        <v>ÖMER KARTAL – müşteriden tahsilat: ÖZFİDANLAR LTD.ŞTİ. – ÖMER KARTALA ÖDENEN</v>
      </c>
      <c r="P75" s="1" t="str">
        <f t="shared" si="13"/>
        <v>MÜŞTERİDEN ALDI</v>
      </c>
      <c r="Q75" s="79">
        <f>IF($N75="",0,INDEX(TAHSILAT!$F$7:$F$2503,$T75))</f>
        <v>2000</v>
      </c>
      <c r="R75" s="1">
        <v>0</v>
      </c>
      <c r="S75" s="1">
        <f t="shared" si="9"/>
        <v>4602500038</v>
      </c>
      <c r="T75" s="1">
        <f>IFERROR(MATCH($C$36&amp;"|2",TAHSILAT!$U$7:$U$2503,0),0)</f>
        <v>10</v>
      </c>
      <c r="U75" s="1"/>
      <c r="V75" s="1">
        <f t="shared" si="10"/>
        <v>4606900065</v>
      </c>
      <c r="W75" s="1">
        <f t="shared" si="11"/>
        <v>65</v>
      </c>
    </row>
    <row r="76" spans="1:23" ht="19.5" customHeight="1" x14ac:dyDescent="0.3">
      <c r="A76" s="2"/>
      <c r="B76" s="65">
        <f t="shared" si="2"/>
        <v>39</v>
      </c>
      <c r="C76" s="70">
        <f t="shared" si="3"/>
        <v>46074</v>
      </c>
      <c r="D76" s="180" t="str">
        <f t="shared" si="4"/>
        <v>ÖMER KARTAL – müşteriden tahsilat: ASM EĞLENCE LTD.ŞTİ. – ÖMER KARTALA ÖDENEN</v>
      </c>
      <c r="E76" s="139"/>
      <c r="F76" s="65" t="str">
        <f t="shared" si="5"/>
        <v>MÜŞTERİDEN ALDI</v>
      </c>
      <c r="G76" s="68">
        <f t="shared" si="6"/>
        <v>2500</v>
      </c>
      <c r="H76" s="68">
        <f t="shared" si="7"/>
        <v>0</v>
      </c>
      <c r="I76" s="68">
        <f t="shared" si="12"/>
        <v>163650</v>
      </c>
      <c r="J76" s="2"/>
      <c r="K76" s="2"/>
      <c r="L76" s="1"/>
      <c r="M76" s="1">
        <v>39</v>
      </c>
      <c r="N76" s="71">
        <f>IF($T76=0,"",INDEX(TAHSILAT!$E$7:$E$2503,$T76))</f>
        <v>46025</v>
      </c>
      <c r="O76" s="1" t="str">
        <f>IF($N76="","",$C$36&amp;" – müşteriden tahsilat: "&amp;INDEX(TAHSILAT!$N$7:$N$2503,$T76)&amp;IF(INDEX(TAHSILAT!$J$7:$J$2503,$T76)="",""," – "&amp;INDEX(TAHSILAT!$J$7:$J$2503,$T76)))</f>
        <v>ÖMER KARTAL – müşteriden tahsilat: PAKYILDIZ LTD.ŞTİ. – ÖMER KARTALA ÖDENEN</v>
      </c>
      <c r="P76" s="1" t="str">
        <f t="shared" si="13"/>
        <v>MÜŞTERİDEN ALDI</v>
      </c>
      <c r="Q76" s="79">
        <f>IF($N76="",0,INDEX(TAHSILAT!$F$7:$F$2503,$T76))</f>
        <v>2000</v>
      </c>
      <c r="R76" s="1">
        <v>0</v>
      </c>
      <c r="S76" s="1">
        <f t="shared" si="9"/>
        <v>4602500039</v>
      </c>
      <c r="T76" s="1">
        <f>IFERROR(MATCH($C$36&amp;"|3",TAHSILAT!$U$7:$U$2503,0),0)</f>
        <v>11</v>
      </c>
      <c r="U76" s="1"/>
      <c r="V76" s="1">
        <f t="shared" si="10"/>
        <v>4607400066</v>
      </c>
      <c r="W76" s="1">
        <f t="shared" si="11"/>
        <v>66</v>
      </c>
    </row>
    <row r="77" spans="1:23" ht="19.5" customHeight="1" x14ac:dyDescent="0.3">
      <c r="A77" s="2"/>
      <c r="B77" s="65">
        <f t="shared" si="2"/>
        <v>40</v>
      </c>
      <c r="C77" s="70">
        <f t="shared" si="3"/>
        <v>46074</v>
      </c>
      <c r="D77" s="180" t="str">
        <f t="shared" si="4"/>
        <v>ÖMER KARTAL – müşteriden tahsilat: İLDEŞ LTD.ŞTİ. – ÖMER KARTALA ÖDENEN</v>
      </c>
      <c r="E77" s="139"/>
      <c r="F77" s="65" t="str">
        <f t="shared" si="5"/>
        <v>MÜŞTERİDEN ALDI</v>
      </c>
      <c r="G77" s="68">
        <f t="shared" si="6"/>
        <v>4000</v>
      </c>
      <c r="H77" s="68">
        <f t="shared" si="7"/>
        <v>0</v>
      </c>
      <c r="I77" s="68">
        <f t="shared" si="12"/>
        <v>167650</v>
      </c>
      <c r="J77" s="2"/>
      <c r="K77" s="2"/>
      <c r="L77" s="1"/>
      <c r="M77" s="1">
        <v>40</v>
      </c>
      <c r="N77" s="71">
        <f>IF($T77=0,"",INDEX(TAHSILAT!$E$7:$E$2503,$T77))</f>
        <v>46025</v>
      </c>
      <c r="O77" s="1" t="str">
        <f>IF($N77="","",$C$36&amp;" – müşteriden tahsilat: "&amp;INDEX(TAHSILAT!$N$7:$N$2503,$T77)&amp;IF(INDEX(TAHSILAT!$J$7:$J$2503,$T77)="",""," – "&amp;INDEX(TAHSILAT!$J$7:$J$2503,$T77)))</f>
        <v>ÖMER KARTAL – müşteriden tahsilat: ZÜMRÜT GRUP LTD.ŞTİ. – ÖMER KARTALA ÖDENEN</v>
      </c>
      <c r="P77" s="1" t="str">
        <f t="shared" si="13"/>
        <v>MÜŞTERİDEN ALDI</v>
      </c>
      <c r="Q77" s="79">
        <f>IF($N77="",0,INDEX(TAHSILAT!$F$7:$F$2503,$T77))</f>
        <v>1750</v>
      </c>
      <c r="R77" s="1">
        <v>0</v>
      </c>
      <c r="S77" s="1">
        <f t="shared" si="9"/>
        <v>4602500040</v>
      </c>
      <c r="T77" s="1">
        <f>IFERROR(MATCH($C$36&amp;"|4",TAHSILAT!$U$7:$U$2503,0),0)</f>
        <v>12</v>
      </c>
      <c r="U77" s="1"/>
      <c r="V77" s="1">
        <f t="shared" si="10"/>
        <v>4607400067</v>
      </c>
      <c r="W77" s="1">
        <f t="shared" si="11"/>
        <v>67</v>
      </c>
    </row>
    <row r="78" spans="1:23" ht="19.5" customHeight="1" x14ac:dyDescent="0.3">
      <c r="A78" s="2"/>
      <c r="B78" s="65">
        <f t="shared" si="2"/>
        <v>41</v>
      </c>
      <c r="C78" s="70">
        <f t="shared" si="3"/>
        <v>46074</v>
      </c>
      <c r="D78" s="180" t="str">
        <f t="shared" si="4"/>
        <v>ÖMER KARTAL – müşteriden tahsilat: ÖZFİDANLAR LTD.ŞTİ. – ÖMER KARTALA ÖDENEN</v>
      </c>
      <c r="E78" s="139"/>
      <c r="F78" s="65" t="str">
        <f t="shared" si="5"/>
        <v>MÜŞTERİDEN ALDI</v>
      </c>
      <c r="G78" s="68">
        <f t="shared" si="6"/>
        <v>8000</v>
      </c>
      <c r="H78" s="68">
        <f t="shared" si="7"/>
        <v>0</v>
      </c>
      <c r="I78" s="68">
        <f t="shared" si="12"/>
        <v>175650</v>
      </c>
      <c r="J78" s="2"/>
      <c r="K78" s="2"/>
      <c r="L78" s="1"/>
      <c r="M78" s="1">
        <v>41</v>
      </c>
      <c r="N78" s="71">
        <f>IF($T78=0,"",INDEX(TAHSILAT!$E$7:$E$2503,$T78))</f>
        <v>46032</v>
      </c>
      <c r="O78" s="1" t="str">
        <f>IF($N78="","",$C$36&amp;" – müşteriden tahsilat: "&amp;INDEX(TAHSILAT!$N$7:$N$2503,$T78)&amp;IF(INDEX(TAHSILAT!$J$7:$J$2503,$T78)="",""," – "&amp;INDEX(TAHSILAT!$J$7:$J$2503,$T78)))</f>
        <v>ÖMER KARTAL – müşteriden tahsilat: ANKARA HAVANA LTD.ŞTİ. – ÖMER KARTALA ÖDENEN</v>
      </c>
      <c r="P78" s="1" t="str">
        <f t="shared" si="13"/>
        <v>MÜŞTERİDEN ALDI</v>
      </c>
      <c r="Q78" s="79">
        <f>IF($N78="",0,INDEX(TAHSILAT!$F$7:$F$2503,$T78))</f>
        <v>4000</v>
      </c>
      <c r="R78" s="1">
        <v>0</v>
      </c>
      <c r="S78" s="1">
        <f t="shared" si="9"/>
        <v>4603200041</v>
      </c>
      <c r="T78" s="1">
        <f>IFERROR(MATCH($C$36&amp;"|5",TAHSILAT!$U$7:$U$2503,0),0)</f>
        <v>13</v>
      </c>
      <c r="U78" s="1"/>
      <c r="V78" s="1">
        <f t="shared" si="10"/>
        <v>4607400068</v>
      </c>
      <c r="W78" s="1">
        <f t="shared" si="11"/>
        <v>68</v>
      </c>
    </row>
    <row r="79" spans="1:23" ht="19.5" customHeight="1" x14ac:dyDescent="0.3">
      <c r="A79" s="2"/>
      <c r="B79" s="65">
        <f t="shared" si="2"/>
        <v>42</v>
      </c>
      <c r="C79" s="70">
        <f t="shared" si="3"/>
        <v>46074</v>
      </c>
      <c r="D79" s="180" t="str">
        <f t="shared" si="4"/>
        <v>ÖMER KARTAL – müşteriden tahsilat: RİX ŞOW LTD.ŞTİ. – ÖMER KARTALA ÖDENEN</v>
      </c>
      <c r="E79" s="139"/>
      <c r="F79" s="65" t="str">
        <f t="shared" si="5"/>
        <v>MÜŞTERİDEN ALDI</v>
      </c>
      <c r="G79" s="68">
        <f t="shared" si="6"/>
        <v>3000</v>
      </c>
      <c r="H79" s="68">
        <f t="shared" si="7"/>
        <v>0</v>
      </c>
      <c r="I79" s="68">
        <f t="shared" si="12"/>
        <v>178650</v>
      </c>
      <c r="J79" s="2"/>
      <c r="K79" s="2"/>
      <c r="L79" s="1"/>
      <c r="M79" s="1">
        <v>42</v>
      </c>
      <c r="N79" s="71">
        <f>IF($T79=0,"",INDEX(TAHSILAT!$E$7:$E$2503,$T79))</f>
        <v>46032</v>
      </c>
      <c r="O79" s="1" t="str">
        <f>IF($N79="","",$C$36&amp;" – müşteriden tahsilat: "&amp;INDEX(TAHSILAT!$N$7:$N$2503,$T79)&amp;IF(INDEX(TAHSILAT!$J$7:$J$2503,$T79)="",""," – "&amp;INDEX(TAHSILAT!$J$7:$J$2503,$T79)))</f>
        <v>ÖMER KARTAL – müşteriden tahsilat: EĞLENGÖR LTD.ŞTİ. – ÖMER KARTALA ÖDENEN</v>
      </c>
      <c r="P79" s="1" t="str">
        <f t="shared" si="13"/>
        <v>MÜŞTERİDEN ALDI</v>
      </c>
      <c r="Q79" s="79">
        <f>IF($N79="",0,INDEX(TAHSILAT!$F$7:$F$2503,$T79))</f>
        <v>3000</v>
      </c>
      <c r="R79" s="1">
        <v>0</v>
      </c>
      <c r="S79" s="1">
        <f t="shared" si="9"/>
        <v>4603200042</v>
      </c>
      <c r="T79" s="1">
        <f>IFERROR(MATCH($C$36&amp;"|6",TAHSILAT!$U$7:$U$2503,0),0)</f>
        <v>14</v>
      </c>
      <c r="U79" s="1"/>
      <c r="V79" s="1">
        <f t="shared" si="10"/>
        <v>4607400069</v>
      </c>
      <c r="W79" s="1">
        <f t="shared" si="11"/>
        <v>69</v>
      </c>
    </row>
    <row r="80" spans="1:23" ht="19.5" customHeight="1" x14ac:dyDescent="0.3">
      <c r="A80" s="2"/>
      <c r="B80" s="65">
        <f t="shared" si="2"/>
        <v>43</v>
      </c>
      <c r="C80" s="70">
        <f t="shared" si="3"/>
        <v>46074</v>
      </c>
      <c r="D80" s="180" t="str">
        <f t="shared" si="4"/>
        <v>ÖMER KARTAL – müşteriden tahsilat: KRİSTAL LTD.ŞTİ. – NAKİT ÖDENEN</v>
      </c>
      <c r="E80" s="139"/>
      <c r="F80" s="65" t="str">
        <f t="shared" si="5"/>
        <v>MÜŞTERİDEN ALDI</v>
      </c>
      <c r="G80" s="68">
        <f t="shared" si="6"/>
        <v>3000</v>
      </c>
      <c r="H80" s="68">
        <f t="shared" si="7"/>
        <v>0</v>
      </c>
      <c r="I80" s="68">
        <f t="shared" si="12"/>
        <v>181650</v>
      </c>
      <c r="J80" s="2"/>
      <c r="K80" s="2"/>
      <c r="L80" s="1"/>
      <c r="M80" s="1">
        <v>43</v>
      </c>
      <c r="N80" s="71">
        <f>IF($T80=0,"",INDEX(TAHSILAT!$E$7:$E$2503,$T80))</f>
        <v>46032</v>
      </c>
      <c r="O80" s="1" t="str">
        <f>IF($N80="","",$C$36&amp;" – müşteriden tahsilat: "&amp;INDEX(TAHSILAT!$N$7:$N$2503,$T80)&amp;IF(INDEX(TAHSILAT!$J$7:$J$2503,$T80)="",""," – "&amp;INDEX(TAHSILAT!$J$7:$J$2503,$T80)))</f>
        <v>ÖMER KARTAL – müşteriden tahsilat: FİNAL SİYAH BEYAZ LTD.ŞTİ. – ÖMER KARTALA ÖDENEN</v>
      </c>
      <c r="P80" s="1" t="str">
        <f t="shared" si="13"/>
        <v>MÜŞTERİDEN ALDI</v>
      </c>
      <c r="Q80" s="79">
        <f>IF($N80="",0,INDEX(TAHSILAT!$F$7:$F$2503,$T80))</f>
        <v>4000</v>
      </c>
      <c r="R80" s="1">
        <v>0</v>
      </c>
      <c r="S80" s="1">
        <f t="shared" si="9"/>
        <v>4603200043</v>
      </c>
      <c r="T80" s="1">
        <f>IFERROR(MATCH($C$36&amp;"|7",TAHSILAT!$U$7:$U$2503,0),0)</f>
        <v>15</v>
      </c>
      <c r="U80" s="1"/>
      <c r="V80" s="1">
        <f t="shared" si="10"/>
        <v>4607400070</v>
      </c>
      <c r="W80" s="1">
        <f t="shared" si="11"/>
        <v>70</v>
      </c>
    </row>
    <row r="81" spans="1:23" ht="19.5" customHeight="1" x14ac:dyDescent="0.3">
      <c r="A81" s="2"/>
      <c r="B81" s="65">
        <f t="shared" si="2"/>
        <v>44</v>
      </c>
      <c r="C81" s="70">
        <f t="shared" si="3"/>
        <v>46074</v>
      </c>
      <c r="D81" s="180" t="str">
        <f t="shared" si="4"/>
        <v>ÖMER KARTAL – müşteriden tahsilat: ESERLİ LTD.ŞTİ. – ÖMER KARTALA ÖDENEN</v>
      </c>
      <c r="E81" s="139"/>
      <c r="F81" s="65" t="str">
        <f t="shared" si="5"/>
        <v>MÜŞTERİDEN ALDI</v>
      </c>
      <c r="G81" s="68">
        <f t="shared" si="6"/>
        <v>3500</v>
      </c>
      <c r="H81" s="68">
        <f t="shared" si="7"/>
        <v>0</v>
      </c>
      <c r="I81" s="68">
        <f t="shared" si="12"/>
        <v>185150</v>
      </c>
      <c r="J81" s="2"/>
      <c r="K81" s="2"/>
      <c r="L81" s="1"/>
      <c r="M81" s="1">
        <v>44</v>
      </c>
      <c r="N81" s="71">
        <f>IF($T81=0,"",INDEX(TAHSILAT!$E$7:$E$2503,$T81))</f>
        <v>46032</v>
      </c>
      <c r="O81" s="1" t="str">
        <f>IF($N81="","",$C$36&amp;" – müşteriden tahsilat: "&amp;INDEX(TAHSILAT!$N$7:$N$2503,$T81)&amp;IF(INDEX(TAHSILAT!$J$7:$J$2503,$T81)="",""," – "&amp;INDEX(TAHSILAT!$J$7:$J$2503,$T81)))</f>
        <v>ÖMER KARTAL – müşteriden tahsilat: İLDEŞ LTD.ŞTİ. – ÖMER KARTALA ÖDENEN</v>
      </c>
      <c r="P81" s="1" t="str">
        <f t="shared" si="13"/>
        <v>MÜŞTERİDEN ALDI</v>
      </c>
      <c r="Q81" s="79">
        <f>IF($N81="",0,INDEX(TAHSILAT!$F$7:$F$2503,$T81))</f>
        <v>4000</v>
      </c>
      <c r="R81" s="1">
        <v>0</v>
      </c>
      <c r="S81" s="1">
        <f t="shared" si="9"/>
        <v>4603200044</v>
      </c>
      <c r="T81" s="1">
        <f>IFERROR(MATCH($C$36&amp;"|8",TAHSILAT!$U$7:$U$2503,0),0)</f>
        <v>16</v>
      </c>
      <c r="U81" s="1"/>
      <c r="V81" s="1">
        <f t="shared" si="10"/>
        <v>4607400071</v>
      </c>
      <c r="W81" s="1">
        <f t="shared" si="11"/>
        <v>71</v>
      </c>
    </row>
    <row r="82" spans="1:23" ht="19.5" customHeight="1" x14ac:dyDescent="0.3">
      <c r="A82" s="2"/>
      <c r="B82" s="65">
        <f t="shared" si="2"/>
        <v>45</v>
      </c>
      <c r="C82" s="70">
        <f t="shared" si="3"/>
        <v>46078</v>
      </c>
      <c r="D82" s="180" t="str">
        <f t="shared" si="4"/>
        <v>ÖMER KARTAL – müşteriden tahsilat: MEHMET EVREN KILINÇ – ÖMER KARTALA ÖDENEN</v>
      </c>
      <c r="E82" s="139"/>
      <c r="F82" s="65" t="str">
        <f t="shared" si="5"/>
        <v>MÜŞTERİDEN ALDI</v>
      </c>
      <c r="G82" s="68">
        <f t="shared" si="6"/>
        <v>2000</v>
      </c>
      <c r="H82" s="68">
        <f t="shared" si="7"/>
        <v>0</v>
      </c>
      <c r="I82" s="68">
        <f t="shared" si="12"/>
        <v>187150</v>
      </c>
      <c r="J82" s="2"/>
      <c r="K82" s="2"/>
      <c r="L82" s="1"/>
      <c r="M82" s="1">
        <v>45</v>
      </c>
      <c r="N82" s="71">
        <f>IF($T82=0,"",INDEX(TAHSILAT!$E$7:$E$2503,$T82))</f>
        <v>46032</v>
      </c>
      <c r="O82" s="1" t="str">
        <f>IF($N82="","",$C$36&amp;" – müşteriden tahsilat: "&amp;INDEX(TAHSILAT!$N$7:$N$2503,$T82)&amp;IF(INDEX(TAHSILAT!$J$7:$J$2503,$T82)="",""," – "&amp;INDEX(TAHSILAT!$J$7:$J$2503,$T82)))</f>
        <v>ÖMER KARTAL – müşteriden tahsilat: MONAMOUR LTD.ŞTİ. – ÖMER KARTALA ÖDENEN</v>
      </c>
      <c r="P82" s="1" t="str">
        <f t="shared" si="13"/>
        <v>MÜŞTERİDEN ALDI</v>
      </c>
      <c r="Q82" s="79">
        <f>IF($N82="",0,INDEX(TAHSILAT!$F$7:$F$2503,$T82))</f>
        <v>3500</v>
      </c>
      <c r="R82" s="1">
        <v>0</v>
      </c>
      <c r="S82" s="1">
        <f t="shared" si="9"/>
        <v>4603200045</v>
      </c>
      <c r="T82" s="1">
        <f>IFERROR(MATCH($C$36&amp;"|9",TAHSILAT!$U$7:$U$2503,0),0)</f>
        <v>17</v>
      </c>
      <c r="U82" s="1"/>
      <c r="V82" s="1">
        <f t="shared" si="10"/>
        <v>4607800072</v>
      </c>
      <c r="W82" s="1">
        <f t="shared" si="11"/>
        <v>72</v>
      </c>
    </row>
    <row r="83" spans="1:23" ht="19.5" customHeight="1" x14ac:dyDescent="0.3">
      <c r="A83" s="2"/>
      <c r="B83" s="65">
        <f t="shared" si="2"/>
        <v>46</v>
      </c>
      <c r="C83" s="70">
        <f t="shared" si="3"/>
        <v>46081</v>
      </c>
      <c r="D83" s="180" t="str">
        <f t="shared" si="4"/>
        <v>ÖMER KARTAL – Şubat 2026 kâr payı tahakkuku</v>
      </c>
      <c r="E83" s="139"/>
      <c r="F83" s="65" t="str">
        <f t="shared" si="5"/>
        <v>KÂR PAYI TAHAKKUKU</v>
      </c>
      <c r="G83" s="68">
        <f t="shared" si="6"/>
        <v>0</v>
      </c>
      <c r="H83" s="68">
        <f t="shared" si="7"/>
        <v>10310.90499999997</v>
      </c>
      <c r="I83" s="68">
        <f t="shared" si="12"/>
        <v>176839.09500000003</v>
      </c>
      <c r="J83" s="2"/>
      <c r="K83" s="2"/>
      <c r="L83" s="1"/>
      <c r="M83" s="1">
        <v>46</v>
      </c>
      <c r="N83" s="71">
        <f>IF($T83=0,"",INDEX(TAHSILAT!$E$7:$E$2503,$T83))</f>
        <v>46032</v>
      </c>
      <c r="O83" s="1" t="str">
        <f>IF($N83="","",$C$36&amp;" – müşteriden tahsilat: "&amp;INDEX(TAHSILAT!$N$7:$N$2503,$T83)&amp;IF(INDEX(TAHSILAT!$J$7:$J$2503,$T83)="",""," – "&amp;INDEX(TAHSILAT!$J$7:$J$2503,$T83)))</f>
        <v>ÖMER KARTAL – müşteriden tahsilat: NAZ 1 GIDA LTD.ŞTİ. – ÖMER KARTALA ÖDENEN</v>
      </c>
      <c r="P83" s="1" t="str">
        <f t="shared" si="13"/>
        <v>MÜŞTERİDEN ALDI</v>
      </c>
      <c r="Q83" s="79">
        <f>IF($N83="",0,INDEX(TAHSILAT!$F$7:$F$2503,$T83))</f>
        <v>13150</v>
      </c>
      <c r="R83" s="1">
        <v>0</v>
      </c>
      <c r="S83" s="1">
        <f t="shared" si="9"/>
        <v>4603200046</v>
      </c>
      <c r="T83" s="1">
        <f>IFERROR(MATCH($C$36&amp;"|10",TAHSILAT!$U$7:$U$2503,0),0)</f>
        <v>18</v>
      </c>
      <c r="U83" s="1"/>
      <c r="V83" s="1">
        <f t="shared" si="10"/>
        <v>4608100002</v>
      </c>
      <c r="W83" s="1">
        <f t="shared" si="11"/>
        <v>2</v>
      </c>
    </row>
    <row r="84" spans="1:23" ht="19.5" customHeight="1" x14ac:dyDescent="0.3">
      <c r="A84" s="2"/>
      <c r="B84" s="65">
        <f t="shared" si="2"/>
        <v>47</v>
      </c>
      <c r="C84" s="70">
        <f t="shared" si="3"/>
        <v>46081</v>
      </c>
      <c r="D84" s="180" t="str">
        <f t="shared" si="4"/>
        <v xml:space="preserve">ÖMER KARTAL – müşteriden tahsilat: ALTINEL LTD.ŞTİ. – ALTINEL LTD.ŞTİ. </v>
      </c>
      <c r="E84" s="139"/>
      <c r="F84" s="65" t="str">
        <f t="shared" si="5"/>
        <v>MÜŞTERİDEN ALDI</v>
      </c>
      <c r="G84" s="68">
        <f t="shared" si="6"/>
        <v>12000</v>
      </c>
      <c r="H84" s="68">
        <f t="shared" si="7"/>
        <v>0</v>
      </c>
      <c r="I84" s="68">
        <f t="shared" si="12"/>
        <v>188839.09500000003</v>
      </c>
      <c r="J84" s="2"/>
      <c r="K84" s="2"/>
      <c r="L84" s="1"/>
      <c r="M84" s="1">
        <v>47</v>
      </c>
      <c r="N84" s="71">
        <f>IF($T84=0,"",INDEX(TAHSILAT!$E$7:$E$2503,$T84))</f>
        <v>46032</v>
      </c>
      <c r="O84" s="1" t="str">
        <f>IF($N84="","",$C$36&amp;" – müşteriden tahsilat: "&amp;INDEX(TAHSILAT!$N$7:$N$2503,$T84)&amp;IF(INDEX(TAHSILAT!$J$7:$J$2503,$T84)="",""," – "&amp;INDEX(TAHSILAT!$J$7:$J$2503,$T84)))</f>
        <v>ÖMER KARTAL – müşteriden tahsilat: ÖZFİDANLAR LTD.ŞTİ. – ÖMER KARTALA ÖDENEN</v>
      </c>
      <c r="P84" s="1" t="str">
        <f t="shared" si="13"/>
        <v>MÜŞTERİDEN ALDI</v>
      </c>
      <c r="Q84" s="79">
        <f>IF($N84="",0,INDEX(TAHSILAT!$F$7:$F$2503,$T84))</f>
        <v>4000</v>
      </c>
      <c r="R84" s="1">
        <v>0</v>
      </c>
      <c r="S84" s="1">
        <f t="shared" si="9"/>
        <v>4603200047</v>
      </c>
      <c r="T84" s="1">
        <f>IFERROR(MATCH($C$36&amp;"|11",TAHSILAT!$U$7:$U$2503,0),0)</f>
        <v>19</v>
      </c>
      <c r="U84" s="1"/>
      <c r="V84" s="1">
        <f t="shared" si="10"/>
        <v>4608100073</v>
      </c>
      <c r="W84" s="1">
        <f t="shared" si="11"/>
        <v>73</v>
      </c>
    </row>
    <row r="85" spans="1:23" ht="19.5" customHeight="1" x14ac:dyDescent="0.3">
      <c r="A85" s="2"/>
      <c r="B85" s="65">
        <f t="shared" si="2"/>
        <v>48</v>
      </c>
      <c r="C85" s="70">
        <f t="shared" si="3"/>
        <v>46081</v>
      </c>
      <c r="D85" s="180" t="str">
        <f t="shared" si="4"/>
        <v>ÖMER KARTAL – müşteriden tahsilat: IŞIL GRUP LTD.ŞTİ. – ÖMER KARTALA ÖDENEN</v>
      </c>
      <c r="E85" s="139"/>
      <c r="F85" s="65" t="str">
        <f t="shared" si="5"/>
        <v>MÜŞTERİDEN ALDI</v>
      </c>
      <c r="G85" s="68">
        <f t="shared" si="6"/>
        <v>5000</v>
      </c>
      <c r="H85" s="68">
        <f t="shared" si="7"/>
        <v>0</v>
      </c>
      <c r="I85" s="68">
        <f t="shared" si="12"/>
        <v>193839.09500000003</v>
      </c>
      <c r="J85" s="2"/>
      <c r="K85" s="2"/>
      <c r="L85" s="1"/>
      <c r="M85" s="1">
        <v>48</v>
      </c>
      <c r="N85" s="71">
        <f>IF($T85=0,"",INDEX(TAHSILAT!$E$7:$E$2503,$T85))</f>
        <v>46032</v>
      </c>
      <c r="O85" s="1" t="str">
        <f>IF($N85="","",$C$36&amp;" – müşteriden tahsilat: "&amp;INDEX(TAHSILAT!$N$7:$N$2503,$T85)&amp;IF(INDEX(TAHSILAT!$J$7:$J$2503,$T85)="",""," – "&amp;INDEX(TAHSILAT!$J$7:$J$2503,$T85)))</f>
        <v>ÖMER KARTAL – müşteriden tahsilat: ZÜMRÜT GRUP LTD.ŞTİ. – ÖMER KARTALA ÖDENEN</v>
      </c>
      <c r="P85" s="1" t="str">
        <f t="shared" si="13"/>
        <v>MÜŞTERİDEN ALDI</v>
      </c>
      <c r="Q85" s="79">
        <f>IF($N85="",0,INDEX(TAHSILAT!$F$7:$F$2503,$T85))</f>
        <v>1750</v>
      </c>
      <c r="R85" s="1">
        <v>0</v>
      </c>
      <c r="S85" s="1">
        <f t="shared" si="9"/>
        <v>4603200048</v>
      </c>
      <c r="T85" s="1">
        <f>IFERROR(MATCH($C$36&amp;"|12",TAHSILAT!$U$7:$U$2503,0),0)</f>
        <v>20</v>
      </c>
      <c r="U85" s="1"/>
      <c r="V85" s="1">
        <f t="shared" si="10"/>
        <v>4608100074</v>
      </c>
      <c r="W85" s="1">
        <f t="shared" si="11"/>
        <v>74</v>
      </c>
    </row>
    <row r="86" spans="1:23" ht="19.5" customHeight="1" x14ac:dyDescent="0.3">
      <c r="A86" s="2"/>
      <c r="B86" s="65">
        <f t="shared" si="2"/>
        <v>49</v>
      </c>
      <c r="C86" s="70">
        <f t="shared" si="3"/>
        <v>46081</v>
      </c>
      <c r="D86" s="180" t="str">
        <f t="shared" si="4"/>
        <v>MERKEZ KASA → ÖMER KARTAL – PARİS GAZİNOSU SGK'LAR</v>
      </c>
      <c r="E86" s="139"/>
      <c r="F86" s="65" t="str">
        <f t="shared" si="5"/>
        <v>VİRMAN GELDİ</v>
      </c>
      <c r="G86" s="68">
        <f t="shared" si="6"/>
        <v>12000</v>
      </c>
      <c r="H86" s="68">
        <f t="shared" si="7"/>
        <v>0</v>
      </c>
      <c r="I86" s="68">
        <f t="shared" si="12"/>
        <v>205839.09500000003</v>
      </c>
      <c r="J86" s="2"/>
      <c r="K86" s="2"/>
      <c r="L86" s="1"/>
      <c r="M86" s="1">
        <v>49</v>
      </c>
      <c r="N86" s="71">
        <f>IF($T86=0,"",INDEX(TAHSILAT!$E$7:$E$2503,$T86))</f>
        <v>46034</v>
      </c>
      <c r="O86" s="1" t="str">
        <f>IF($N86="","",$C$36&amp;" – müşteriden tahsilat: "&amp;INDEX(TAHSILAT!$N$7:$N$2503,$T86)&amp;IF(INDEX(TAHSILAT!$J$7:$J$2503,$T86)="",""," – "&amp;INDEX(TAHSILAT!$J$7:$J$2503,$T86)))</f>
        <v>ÖMER KARTAL – müşteriden tahsilat: ÇAYIRALAN LTD.ŞTİ. – ÖMER KARTALA ÖDENEN</v>
      </c>
      <c r="P86" s="1" t="str">
        <f t="shared" si="13"/>
        <v>MÜŞTERİDEN ALDI</v>
      </c>
      <c r="Q86" s="79">
        <f>IF($N86="",0,INDEX(TAHSILAT!$F$7:$F$2503,$T86))</f>
        <v>6000</v>
      </c>
      <c r="R86" s="1">
        <v>0</v>
      </c>
      <c r="S86" s="1">
        <f t="shared" si="9"/>
        <v>4603400049</v>
      </c>
      <c r="T86" s="1">
        <f>IFERROR(MATCH($C$36&amp;"|13",TAHSILAT!$U$7:$U$2503,0),0)</f>
        <v>21</v>
      </c>
      <c r="U86" s="1"/>
      <c r="V86" s="1">
        <f t="shared" si="10"/>
        <v>4608100543</v>
      </c>
      <c r="W86" s="1">
        <f t="shared" si="11"/>
        <v>543</v>
      </c>
    </row>
    <row r="87" spans="1:23" ht="19.5" customHeight="1" x14ac:dyDescent="0.3">
      <c r="A87" s="2"/>
      <c r="B87" s="65">
        <f t="shared" si="2"/>
        <v>50</v>
      </c>
      <c r="C87" s="70">
        <f t="shared" si="3"/>
        <v>46081</v>
      </c>
      <c r="D87" s="180" t="str">
        <f t="shared" si="4"/>
        <v>MERKEZ KASA → ÖMER KARTAL – HÜSEYİN ŞİMŞEK MUHASEBE ÜCRETİ</v>
      </c>
      <c r="E87" s="139"/>
      <c r="F87" s="65" t="str">
        <f t="shared" si="5"/>
        <v>VİRMAN GELDİ</v>
      </c>
      <c r="G87" s="68">
        <f t="shared" si="6"/>
        <v>3000</v>
      </c>
      <c r="H87" s="68">
        <f t="shared" si="7"/>
        <v>0</v>
      </c>
      <c r="I87" s="68">
        <f t="shared" si="12"/>
        <v>208839.09500000003</v>
      </c>
      <c r="J87" s="2"/>
      <c r="K87" s="2"/>
      <c r="L87" s="1"/>
      <c r="M87" s="1">
        <v>50</v>
      </c>
      <c r="N87" s="71">
        <f>IF($T87=0,"",INDEX(TAHSILAT!$E$7:$E$2503,$T87))</f>
        <v>46034</v>
      </c>
      <c r="O87" s="1" t="str">
        <f>IF($N87="","",$C$36&amp;" – müşteriden tahsilat: "&amp;INDEX(TAHSILAT!$N$7:$N$2503,$T87)&amp;IF(INDEX(TAHSILAT!$J$7:$J$2503,$T87)="",""," – "&amp;INDEX(TAHSILAT!$J$7:$J$2503,$T87)))</f>
        <v>ÖMER KARTAL – müşteriden tahsilat: İBRAHİM MALDAN – ÖMER KARTALA ÖDENEN</v>
      </c>
      <c r="P87" s="1" t="str">
        <f t="shared" si="13"/>
        <v>MÜŞTERİDEN ALDI</v>
      </c>
      <c r="Q87" s="79">
        <f>IF($N87="",0,INDEX(TAHSILAT!$F$7:$F$2503,$T87))</f>
        <v>3000</v>
      </c>
      <c r="R87" s="1">
        <v>0</v>
      </c>
      <c r="S87" s="1">
        <f t="shared" si="9"/>
        <v>4603400050</v>
      </c>
      <c r="T87" s="1">
        <f>IFERROR(MATCH($C$36&amp;"|14",TAHSILAT!$U$7:$U$2503,0),0)</f>
        <v>22</v>
      </c>
      <c r="U87" s="1"/>
      <c r="V87" s="1">
        <f t="shared" si="10"/>
        <v>4608100544</v>
      </c>
      <c r="W87" s="1">
        <f t="shared" si="11"/>
        <v>544</v>
      </c>
    </row>
    <row r="88" spans="1:23" ht="19.5" customHeight="1" x14ac:dyDescent="0.3">
      <c r="A88" s="2"/>
      <c r="B88" s="65">
        <f t="shared" si="2"/>
        <v>51</v>
      </c>
      <c r="C88" s="70">
        <f t="shared" si="3"/>
        <v>46081</v>
      </c>
      <c r="D88" s="180" t="str">
        <f t="shared" si="4"/>
        <v>MERKEZ KASA → ÖMER KARTAL – FADİME HORUZCU MUHASEBE ÜCRETİ</v>
      </c>
      <c r="E88" s="139"/>
      <c r="F88" s="65" t="str">
        <f t="shared" si="5"/>
        <v>VİRMAN GELDİ</v>
      </c>
      <c r="G88" s="68">
        <f t="shared" si="6"/>
        <v>2000</v>
      </c>
      <c r="H88" s="68">
        <f t="shared" si="7"/>
        <v>0</v>
      </c>
      <c r="I88" s="68">
        <f t="shared" si="12"/>
        <v>210839.09500000003</v>
      </c>
      <c r="J88" s="2"/>
      <c r="K88" s="2"/>
      <c r="L88" s="1"/>
      <c r="M88" s="1">
        <v>51</v>
      </c>
      <c r="N88" s="71">
        <f>IF($T88=0,"",INDEX(TAHSILAT!$E$7:$E$2503,$T88))</f>
        <v>46034</v>
      </c>
      <c r="O88" s="1" t="str">
        <f>IF($N88="","",$C$36&amp;" – müşteriden tahsilat: "&amp;INDEX(TAHSILAT!$N$7:$N$2503,$T88)&amp;IF(INDEX(TAHSILAT!$J$7:$J$2503,$T88)="",""," – "&amp;INDEX(TAHSILAT!$J$7:$J$2503,$T88)))</f>
        <v>ÖMER KARTAL – müşteriden tahsilat: RİX ŞOW LTD.ŞTİ. – ÖMER KARTALA ÖDENEN</v>
      </c>
      <c r="P88" s="1" t="str">
        <f t="shared" si="13"/>
        <v>MÜŞTERİDEN ALDI</v>
      </c>
      <c r="Q88" s="79">
        <f>IF($N88="",0,INDEX(TAHSILAT!$F$7:$F$2503,$T88))</f>
        <v>4000</v>
      </c>
      <c r="R88" s="1">
        <v>0</v>
      </c>
      <c r="S88" s="1">
        <f t="shared" si="9"/>
        <v>4603400051</v>
      </c>
      <c r="T88" s="1">
        <f>IFERROR(MATCH($C$36&amp;"|15",TAHSILAT!$U$7:$U$2503,0),0)</f>
        <v>23</v>
      </c>
      <c r="U88" s="1"/>
      <c r="V88" s="1">
        <f t="shared" si="10"/>
        <v>4608100545</v>
      </c>
      <c r="W88" s="1">
        <f t="shared" si="11"/>
        <v>545</v>
      </c>
    </row>
    <row r="89" spans="1:23" ht="19.5" customHeight="1" x14ac:dyDescent="0.3">
      <c r="A89" s="2"/>
      <c r="B89" s="65">
        <f t="shared" si="2"/>
        <v>52</v>
      </c>
      <c r="C89" s="70">
        <f t="shared" si="3"/>
        <v>46081</v>
      </c>
      <c r="D89" s="180" t="str">
        <f t="shared" si="4"/>
        <v>MERKEZ KASA → ÖMER KARTAL – KÂR PAYI / AVANS ÇEKİŞİ — Şubat Ayı Kâr Payı Ödemesi — eski GELIR_GIDER satır 66</v>
      </c>
      <c r="E89" s="139"/>
      <c r="F89" s="65" t="str">
        <f t="shared" si="5"/>
        <v>VİRMAN GELDİ</v>
      </c>
      <c r="G89" s="68">
        <f t="shared" si="6"/>
        <v>10310.91</v>
      </c>
      <c r="H89" s="68">
        <f t="shared" si="7"/>
        <v>0</v>
      </c>
      <c r="I89" s="68">
        <f t="shared" si="12"/>
        <v>221150.00500000003</v>
      </c>
      <c r="J89" s="2"/>
      <c r="K89" s="2"/>
      <c r="L89" s="1"/>
      <c r="M89" s="1">
        <v>52</v>
      </c>
      <c r="N89" s="71">
        <f>IF($T89=0,"",INDEX(TAHSILAT!$E$7:$E$2503,$T89))</f>
        <v>46034</v>
      </c>
      <c r="O89" s="1" t="str">
        <f>IF($N89="","",$C$36&amp;" – müşteriden tahsilat: "&amp;INDEX(TAHSILAT!$N$7:$N$2503,$T89)&amp;IF(INDEX(TAHSILAT!$J$7:$J$2503,$T89)="",""," – "&amp;INDEX(TAHSILAT!$J$7:$J$2503,$T89)))</f>
        <v>ÖMER KARTAL – müşteriden tahsilat: ZÜMRÜT EĞLENCE LTD.ŞTİ. – ÖMER KARTALA ÖDENEN</v>
      </c>
      <c r="P89" s="1" t="str">
        <f t="shared" si="13"/>
        <v>MÜŞTERİDEN ALDI</v>
      </c>
      <c r="Q89" s="79">
        <f>IF($N89="",0,INDEX(TAHSILAT!$F$7:$F$2503,$T89))</f>
        <v>6000</v>
      </c>
      <c r="R89" s="1">
        <v>0</v>
      </c>
      <c r="S89" s="1">
        <f t="shared" si="9"/>
        <v>4603400052</v>
      </c>
      <c r="T89" s="1">
        <f>IFERROR(MATCH($C$36&amp;"|16",TAHSILAT!$U$7:$U$2503,0),0)</f>
        <v>24</v>
      </c>
      <c r="U89" s="1"/>
      <c r="V89" s="1">
        <f t="shared" si="10"/>
        <v>4608100567</v>
      </c>
      <c r="W89" s="1">
        <f t="shared" si="11"/>
        <v>567</v>
      </c>
    </row>
    <row r="90" spans="1:23" ht="19.5" customHeight="1" x14ac:dyDescent="0.3">
      <c r="A90" s="2"/>
      <c r="B90" s="65">
        <f t="shared" si="2"/>
        <v>53</v>
      </c>
      <c r="C90" s="70">
        <f t="shared" si="3"/>
        <v>46082</v>
      </c>
      <c r="D90" s="180" t="str">
        <f t="shared" si="4"/>
        <v>ÖMER KARTAL – müşteriden tahsilat: YEDİYİRMİDÖRT LTD.ŞTİ. – NAKİT ÖDENEN</v>
      </c>
      <c r="E90" s="139"/>
      <c r="F90" s="65" t="str">
        <f t="shared" si="5"/>
        <v>MÜŞTERİDEN ALDI</v>
      </c>
      <c r="G90" s="68">
        <f t="shared" si="6"/>
        <v>10000</v>
      </c>
      <c r="H90" s="68">
        <f t="shared" si="7"/>
        <v>0</v>
      </c>
      <c r="I90" s="68">
        <f t="shared" si="12"/>
        <v>231150.00500000003</v>
      </c>
      <c r="J90" s="2"/>
      <c r="K90" s="2"/>
      <c r="L90" s="1"/>
      <c r="M90" s="1">
        <v>53</v>
      </c>
      <c r="N90" s="71">
        <f>IF($T90=0,"",INDEX(TAHSILAT!$E$7:$E$2503,$T90))</f>
        <v>46035</v>
      </c>
      <c r="O90" s="1" t="str">
        <f>IF($N90="","",$C$36&amp;" – müşteriden tahsilat: "&amp;INDEX(TAHSILAT!$N$7:$N$2503,$T90)&amp;IF(INDEX(TAHSILAT!$J$7:$J$2503,$T90)="",""," – "&amp;INDEX(TAHSILAT!$J$7:$J$2503,$T90)))</f>
        <v>ÖMER KARTAL – müşteriden tahsilat: UFUK YILMAZ – NAKİT ÖDENEN</v>
      </c>
      <c r="P90" s="1" t="str">
        <f t="shared" si="13"/>
        <v>MÜŞTERİDEN ALDI</v>
      </c>
      <c r="Q90" s="79">
        <f>IF($N90="",0,INDEX(TAHSILAT!$F$7:$F$2503,$T90))</f>
        <v>3000</v>
      </c>
      <c r="R90" s="1">
        <v>0</v>
      </c>
      <c r="S90" s="1">
        <f t="shared" si="9"/>
        <v>4603500053</v>
      </c>
      <c r="T90" s="1">
        <f>IFERROR(MATCH($C$36&amp;"|17",TAHSILAT!$U$7:$U$2503,0),0)</f>
        <v>25</v>
      </c>
      <c r="U90" s="1"/>
      <c r="V90" s="1">
        <f t="shared" si="10"/>
        <v>4608200075</v>
      </c>
      <c r="W90" s="1">
        <f t="shared" si="11"/>
        <v>75</v>
      </c>
    </row>
    <row r="91" spans="1:23" ht="19.5" customHeight="1" x14ac:dyDescent="0.3">
      <c r="A91" s="2"/>
      <c r="B91" s="65">
        <f t="shared" si="2"/>
        <v>54</v>
      </c>
      <c r="C91" s="70">
        <f t="shared" si="3"/>
        <v>46087</v>
      </c>
      <c r="D91" s="180" t="str">
        <f t="shared" si="4"/>
        <v xml:space="preserve">ÖMER KARTAL → MERKEZ KASA – KASAYA NAKİT ÖDENEN </v>
      </c>
      <c r="E91" s="139"/>
      <c r="F91" s="65" t="str">
        <f t="shared" si="5"/>
        <v>OFİSE/KASAYA ÖDEDİ</v>
      </c>
      <c r="G91" s="68">
        <f t="shared" si="6"/>
        <v>0</v>
      </c>
      <c r="H91" s="68">
        <f t="shared" si="7"/>
        <v>15000</v>
      </c>
      <c r="I91" s="68">
        <f t="shared" si="12"/>
        <v>216150.00500000003</v>
      </c>
      <c r="J91" s="2"/>
      <c r="K91" s="2"/>
      <c r="L91" s="1"/>
      <c r="M91" s="1">
        <v>54</v>
      </c>
      <c r="N91" s="71">
        <f>IF($T91=0,"",INDEX(TAHSILAT!$E$7:$E$2503,$T91))</f>
        <v>46053</v>
      </c>
      <c r="O91" s="1" t="str">
        <f>IF($N91="","",$C$36&amp;" – müşteriden tahsilat: "&amp;INDEX(TAHSILAT!$N$7:$N$2503,$T91)&amp;IF(INDEX(TAHSILAT!$J$7:$J$2503,$T91)="",""," – "&amp;INDEX(TAHSILAT!$J$7:$J$2503,$T91)))</f>
        <v xml:space="preserve">ÖMER KARTAL – müşteriden tahsilat: ALTINEL LTD.ŞTİ. – ALTINEL LTD.ŞTİ. </v>
      </c>
      <c r="P91" s="1" t="str">
        <f t="shared" si="13"/>
        <v>MÜŞTERİDEN ALDI</v>
      </c>
      <c r="Q91" s="79">
        <f>IF($N91="",0,INDEX(TAHSILAT!$F$7:$F$2503,$T91))</f>
        <v>12000</v>
      </c>
      <c r="R91" s="1">
        <v>0</v>
      </c>
      <c r="S91" s="1">
        <f t="shared" si="9"/>
        <v>4605300054</v>
      </c>
      <c r="T91" s="1">
        <f>IFERROR(MATCH($C$36&amp;"|18",TAHSILAT!$U$7:$U$2503,0),0)</f>
        <v>63</v>
      </c>
      <c r="U91" s="1"/>
      <c r="V91" s="1">
        <f t="shared" si="10"/>
        <v>4608700697</v>
      </c>
      <c r="W91" s="1">
        <f t="shared" si="11"/>
        <v>697</v>
      </c>
    </row>
    <row r="92" spans="1:23" ht="19.5" customHeight="1" x14ac:dyDescent="0.3">
      <c r="A92" s="2"/>
      <c r="B92" s="65">
        <f t="shared" si="2"/>
        <v>55</v>
      </c>
      <c r="C92" s="70">
        <f t="shared" si="3"/>
        <v>46093</v>
      </c>
      <c r="D92" s="180" t="str">
        <f t="shared" si="4"/>
        <v>ÖMER KARTAL – müşteriden tahsilat: MENEKŞE AKAN – VERGİ TAHSİLATI İÇİN BORÇ YAZILAN</v>
      </c>
      <c r="E92" s="139"/>
      <c r="F92" s="65" t="str">
        <f t="shared" si="5"/>
        <v>MÜŞTERİDEN ALDI</v>
      </c>
      <c r="G92" s="68">
        <f t="shared" si="6"/>
        <v>17000</v>
      </c>
      <c r="H92" s="68">
        <f t="shared" si="7"/>
        <v>0</v>
      </c>
      <c r="I92" s="68">
        <f t="shared" si="12"/>
        <v>233150.00500000003</v>
      </c>
      <c r="J92" s="2"/>
      <c r="K92" s="2"/>
      <c r="L92" s="1"/>
      <c r="M92" s="1">
        <v>55</v>
      </c>
      <c r="N92" s="71">
        <f>IF($T92=0,"",INDEX(TAHSILAT!$E$7:$E$2503,$T92))</f>
        <v>46053</v>
      </c>
      <c r="O92" s="1" t="str">
        <f>IF($N92="","",$C$36&amp;" – müşteriden tahsilat: "&amp;INDEX(TAHSILAT!$N$7:$N$2503,$T92)&amp;IF(INDEX(TAHSILAT!$J$7:$J$2503,$T92)="",""," – "&amp;INDEX(TAHSILAT!$J$7:$J$2503,$T92)))</f>
        <v>ÖMER KARTAL – müşteriden tahsilat: ARMAN DİK – ÖMER KARTALA ÖDENEN</v>
      </c>
      <c r="P92" s="1" t="str">
        <f t="shared" si="13"/>
        <v>MÜŞTERİDEN ALDI</v>
      </c>
      <c r="Q92" s="79">
        <f>IF($N92="",0,INDEX(TAHSILAT!$F$7:$F$2503,$T92))</f>
        <v>3000</v>
      </c>
      <c r="R92" s="1">
        <v>0</v>
      </c>
      <c r="S92" s="1">
        <f t="shared" si="9"/>
        <v>4605300055</v>
      </c>
      <c r="T92" s="1">
        <f>IFERROR(MATCH($C$36&amp;"|19",TAHSILAT!$U$7:$U$2503,0),0)</f>
        <v>64</v>
      </c>
      <c r="U92" s="1"/>
      <c r="V92" s="1">
        <f t="shared" si="10"/>
        <v>4609300076</v>
      </c>
      <c r="W92" s="1">
        <f t="shared" si="11"/>
        <v>76</v>
      </c>
    </row>
    <row r="93" spans="1:23" ht="19.5" customHeight="1" x14ac:dyDescent="0.3">
      <c r="A93" s="2"/>
      <c r="B93" s="65">
        <f t="shared" si="2"/>
        <v>56</v>
      </c>
      <c r="C93" s="70">
        <f t="shared" si="3"/>
        <v>46096</v>
      </c>
      <c r="D93" s="180" t="str">
        <f t="shared" si="4"/>
        <v>ÖMER KARTAL – müşteriden tahsilat: ASM EĞLENCE LTD.ŞTİ. – NAKİT ÖDENEN</v>
      </c>
      <c r="E93" s="139"/>
      <c r="F93" s="65" t="str">
        <f t="shared" si="5"/>
        <v>MÜŞTERİDEN ALDI</v>
      </c>
      <c r="G93" s="68">
        <f t="shared" si="6"/>
        <v>2500</v>
      </c>
      <c r="H93" s="68">
        <f t="shared" si="7"/>
        <v>0</v>
      </c>
      <c r="I93" s="68">
        <f t="shared" si="12"/>
        <v>235650.00500000003</v>
      </c>
      <c r="J93" s="2"/>
      <c r="K93" s="2"/>
      <c r="L93" s="1"/>
      <c r="M93" s="1">
        <v>56</v>
      </c>
      <c r="N93" s="71">
        <f>IF($T93=0,"",INDEX(TAHSILAT!$E$7:$E$2503,$T93))</f>
        <v>46053</v>
      </c>
      <c r="O93" s="1" t="str">
        <f>IF($N93="","",$C$36&amp;" – müşteriden tahsilat: "&amp;INDEX(TAHSILAT!$N$7:$N$2503,$T93)&amp;IF(INDEX(TAHSILAT!$J$7:$J$2503,$T93)="",""," – "&amp;INDEX(TAHSILAT!$J$7:$J$2503,$T93)))</f>
        <v>ÖMER KARTAL – müşteriden tahsilat: ARON TOPTAN LTD.ŞTİ. – ONUR BAKİYESİNE MAHSUP</v>
      </c>
      <c r="P93" s="1" t="str">
        <f t="shared" si="13"/>
        <v>MÜŞTERİDEN ALDI</v>
      </c>
      <c r="Q93" s="79">
        <f>IF($N93="",0,INDEX(TAHSILAT!$F$7:$F$2503,$T93))</f>
        <v>20000</v>
      </c>
      <c r="R93" s="1">
        <v>0</v>
      </c>
      <c r="S93" s="1">
        <f t="shared" si="9"/>
        <v>4605300056</v>
      </c>
      <c r="T93" s="1">
        <f>IFERROR(MATCH($C$36&amp;"|20",TAHSILAT!$U$7:$U$2503,0),0)</f>
        <v>65</v>
      </c>
      <c r="U93" s="1"/>
      <c r="V93" s="1">
        <f t="shared" si="10"/>
        <v>4609600077</v>
      </c>
      <c r="W93" s="1">
        <f t="shared" si="11"/>
        <v>77</v>
      </c>
    </row>
    <row r="94" spans="1:23" ht="19.5" customHeight="1" x14ac:dyDescent="0.3">
      <c r="A94" s="2"/>
      <c r="B94" s="65">
        <f t="shared" si="2"/>
        <v>57</v>
      </c>
      <c r="C94" s="70">
        <f t="shared" si="3"/>
        <v>46096</v>
      </c>
      <c r="D94" s="180" t="str">
        <f t="shared" si="4"/>
        <v>ÖMER KARTAL – müşteriden tahsilat: ÇAYIRALAN LTD.ŞTİ. – ÖMER KARTALA ÖDENEN</v>
      </c>
      <c r="E94" s="139"/>
      <c r="F94" s="65" t="str">
        <f t="shared" si="5"/>
        <v>MÜŞTERİDEN ALDI</v>
      </c>
      <c r="G94" s="68">
        <f t="shared" si="6"/>
        <v>12000</v>
      </c>
      <c r="H94" s="68">
        <f t="shared" si="7"/>
        <v>0</v>
      </c>
      <c r="I94" s="68">
        <f t="shared" si="12"/>
        <v>247650.00500000003</v>
      </c>
      <c r="J94" s="2"/>
      <c r="K94" s="2"/>
      <c r="L94" s="1"/>
      <c r="M94" s="1">
        <v>57</v>
      </c>
      <c r="N94" s="71">
        <f>IF($T94=0,"",INDEX(TAHSILAT!$E$7:$E$2503,$T94))</f>
        <v>46053</v>
      </c>
      <c r="O94" s="1" t="str">
        <f>IF($N94="","",$C$36&amp;" – müşteriden tahsilat: "&amp;INDEX(TAHSILAT!$N$7:$N$2503,$T94)&amp;IF(INDEX(TAHSILAT!$J$7:$J$2503,$T94)="",""," – "&amp;INDEX(TAHSILAT!$J$7:$J$2503,$T94)))</f>
        <v>ÖMER KARTAL – müşteriden tahsilat: ÇINARHAN LTD.ŞTİ. – ÖMER KARTALA ÖDENEN</v>
      </c>
      <c r="P94" s="1" t="str">
        <f t="shared" si="13"/>
        <v>MÜŞTERİDEN ALDI</v>
      </c>
      <c r="Q94" s="79">
        <f>IF($N94="",0,INDEX(TAHSILAT!$F$7:$F$2503,$T94))</f>
        <v>2500</v>
      </c>
      <c r="R94" s="1">
        <v>0</v>
      </c>
      <c r="S94" s="1">
        <f t="shared" si="9"/>
        <v>4605300057</v>
      </c>
      <c r="T94" s="1">
        <f>IFERROR(MATCH($C$36&amp;"|21",TAHSILAT!$U$7:$U$2503,0),0)</f>
        <v>66</v>
      </c>
      <c r="U94" s="1"/>
      <c r="V94" s="1">
        <f t="shared" si="10"/>
        <v>4609600078</v>
      </c>
      <c r="W94" s="1">
        <f t="shared" si="11"/>
        <v>78</v>
      </c>
    </row>
    <row r="95" spans="1:23" ht="19.5" customHeight="1" x14ac:dyDescent="0.3">
      <c r="A95" s="2"/>
      <c r="B95" s="65">
        <f t="shared" si="2"/>
        <v>58</v>
      </c>
      <c r="C95" s="70">
        <f t="shared" si="3"/>
        <v>46096</v>
      </c>
      <c r="D95" s="180" t="str">
        <f t="shared" si="4"/>
        <v>ÖMER KARTAL – müşteriden tahsilat: İBRAHİM MALDAN – ÖMER KARTALA ÖDENEN</v>
      </c>
      <c r="E95" s="139"/>
      <c r="F95" s="65" t="str">
        <f t="shared" si="5"/>
        <v>MÜŞTERİDEN ALDI</v>
      </c>
      <c r="G95" s="68">
        <f t="shared" si="6"/>
        <v>4000</v>
      </c>
      <c r="H95" s="68">
        <f t="shared" si="7"/>
        <v>0</v>
      </c>
      <c r="I95" s="68">
        <f t="shared" si="12"/>
        <v>251650.00500000003</v>
      </c>
      <c r="J95" s="2"/>
      <c r="K95" s="2"/>
      <c r="L95" s="1"/>
      <c r="M95" s="1">
        <v>58</v>
      </c>
      <c r="N95" s="71">
        <f>IF($T95=0,"",INDEX(TAHSILAT!$E$7:$E$2503,$T95))</f>
        <v>46053</v>
      </c>
      <c r="O95" s="1" t="str">
        <f>IF($N95="","",$C$36&amp;" – müşteriden tahsilat: "&amp;INDEX(TAHSILAT!$N$7:$N$2503,$T95)&amp;IF(INDEX(TAHSILAT!$J$7:$J$2503,$T95)="",""," – "&amp;INDEX(TAHSILAT!$J$7:$J$2503,$T95)))</f>
        <v>ÖMER KARTAL – müşteriden tahsilat: EĞLENGÖR LTD.ŞTİ. – ÖMER KARTALA ÖDENEN</v>
      </c>
      <c r="P95" s="1" t="str">
        <f t="shared" si="13"/>
        <v>MÜŞTERİDEN ALDI</v>
      </c>
      <c r="Q95" s="79">
        <f>IF($N95="",0,INDEX(TAHSILAT!$F$7:$F$2503,$T95))</f>
        <v>6000</v>
      </c>
      <c r="R95" s="1">
        <v>0</v>
      </c>
      <c r="S95" s="1">
        <f t="shared" si="9"/>
        <v>4605300058</v>
      </c>
      <c r="T95" s="1">
        <f>IFERROR(MATCH($C$36&amp;"|22",TAHSILAT!$U$7:$U$2503,0),0)</f>
        <v>67</v>
      </c>
      <c r="U95" s="1"/>
      <c r="V95" s="1">
        <f t="shared" si="10"/>
        <v>4609600079</v>
      </c>
      <c r="W95" s="1">
        <f t="shared" si="11"/>
        <v>79</v>
      </c>
    </row>
    <row r="96" spans="1:23" ht="19.5" customHeight="1" x14ac:dyDescent="0.3">
      <c r="A96" s="2"/>
      <c r="B96" s="65">
        <f t="shared" si="2"/>
        <v>59</v>
      </c>
      <c r="C96" s="70">
        <f t="shared" si="3"/>
        <v>46096</v>
      </c>
      <c r="D96" s="180" t="str">
        <f t="shared" si="4"/>
        <v>ÖMER KARTAL – müşteriden tahsilat: RİX ŞOW LTD.ŞTİ. – ÖMER KARTALA ÖDENEN</v>
      </c>
      <c r="E96" s="139"/>
      <c r="F96" s="65" t="str">
        <f t="shared" si="5"/>
        <v>MÜŞTERİDEN ALDI</v>
      </c>
      <c r="G96" s="68">
        <f t="shared" si="6"/>
        <v>3000</v>
      </c>
      <c r="H96" s="68">
        <f t="shared" si="7"/>
        <v>0</v>
      </c>
      <c r="I96" s="68">
        <f t="shared" si="12"/>
        <v>254650.00500000003</v>
      </c>
      <c r="J96" s="2"/>
      <c r="K96" s="2"/>
      <c r="L96" s="1"/>
      <c r="M96" s="1">
        <v>59</v>
      </c>
      <c r="N96" s="71">
        <f>IF($T96=0,"",INDEX(TAHSILAT!$E$7:$E$2503,$T96))</f>
        <v>46053</v>
      </c>
      <c r="O96" s="1" t="str">
        <f>IF($N96="","",$C$36&amp;" – müşteriden tahsilat: "&amp;INDEX(TAHSILAT!$N$7:$N$2503,$T96)&amp;IF(INDEX(TAHSILAT!$J$7:$J$2503,$T96)="",""," – "&amp;INDEX(TAHSILAT!$J$7:$J$2503,$T96)))</f>
        <v>ÖMER KARTAL – müşteriden tahsilat: NAZ 1 GIDA LTD.ŞTİ. – ÖMER KARTALA ÖDENEN</v>
      </c>
      <c r="P96" s="1" t="str">
        <f t="shared" si="13"/>
        <v>MÜŞTERİDEN ALDI</v>
      </c>
      <c r="Q96" s="79">
        <f>IF($N96="",0,INDEX(TAHSILAT!$F$7:$F$2503,$T96))</f>
        <v>2000</v>
      </c>
      <c r="R96" s="1">
        <v>0</v>
      </c>
      <c r="S96" s="1">
        <f t="shared" si="9"/>
        <v>4605300059</v>
      </c>
      <c r="T96" s="1">
        <f>IFERROR(MATCH($C$36&amp;"|23",TAHSILAT!$U$7:$U$2503,0),0)</f>
        <v>71</v>
      </c>
      <c r="U96" s="1"/>
      <c r="V96" s="1">
        <f t="shared" si="10"/>
        <v>4609600080</v>
      </c>
      <c r="W96" s="1">
        <f t="shared" si="11"/>
        <v>80</v>
      </c>
    </row>
    <row r="97" spans="1:23" ht="19.5" customHeight="1" x14ac:dyDescent="0.3">
      <c r="A97" s="2"/>
      <c r="B97" s="65">
        <f t="shared" si="2"/>
        <v>60</v>
      </c>
      <c r="C97" s="70">
        <f t="shared" si="3"/>
        <v>46096</v>
      </c>
      <c r="D97" s="180" t="str">
        <f t="shared" si="4"/>
        <v>ÖMER KARTAL – müşteriden tahsilat: PALAOĞULLARI LTD.ŞTİ. – NAKİT ÖDENEN</v>
      </c>
      <c r="E97" s="139"/>
      <c r="F97" s="65" t="str">
        <f t="shared" si="5"/>
        <v>MÜŞTERİDEN ALDI</v>
      </c>
      <c r="G97" s="68">
        <f t="shared" si="6"/>
        <v>4000</v>
      </c>
      <c r="H97" s="68">
        <f t="shared" si="7"/>
        <v>0</v>
      </c>
      <c r="I97" s="68">
        <f t="shared" si="12"/>
        <v>258650.00500000003</v>
      </c>
      <c r="J97" s="2"/>
      <c r="K97" s="2"/>
      <c r="L97" s="1"/>
      <c r="M97" s="1">
        <v>60</v>
      </c>
      <c r="N97" s="71">
        <f>IF($T97=0,"",INDEX(TAHSILAT!$E$7:$E$2503,$T97))</f>
        <v>46053</v>
      </c>
      <c r="O97" s="1" t="str">
        <f>IF($N97="","",$C$36&amp;" – müşteriden tahsilat: "&amp;INDEX(TAHSILAT!$N$7:$N$2503,$T97)&amp;IF(INDEX(TAHSILAT!$J$7:$J$2503,$T97)="",""," – "&amp;INDEX(TAHSILAT!$J$7:$J$2503,$T97)))</f>
        <v>ÖMER KARTAL – müşteriden tahsilat: VOLKAN AÇIK – NAKİT ÖDENEN M.ALİ KARTAL</v>
      </c>
      <c r="P97" s="1" t="str">
        <f t="shared" si="13"/>
        <v>MÜŞTERİDEN ALDI</v>
      </c>
      <c r="Q97" s="79">
        <f>IF($N97="",0,INDEX(TAHSILAT!$F$7:$F$2503,$T97))</f>
        <v>1000</v>
      </c>
      <c r="R97" s="1">
        <v>0</v>
      </c>
      <c r="S97" s="1">
        <f t="shared" si="9"/>
        <v>4605300060</v>
      </c>
      <c r="T97" s="1">
        <f>IFERROR(MATCH($C$36&amp;"|24",TAHSILAT!$U$7:$U$2503,0),0)</f>
        <v>75</v>
      </c>
      <c r="U97" s="1"/>
      <c r="V97" s="1">
        <f t="shared" si="10"/>
        <v>4609600081</v>
      </c>
      <c r="W97" s="1">
        <f t="shared" si="11"/>
        <v>81</v>
      </c>
    </row>
    <row r="98" spans="1:23" ht="19.5" customHeight="1" x14ac:dyDescent="0.3">
      <c r="A98" s="2"/>
      <c r="B98" s="65">
        <f t="shared" si="2"/>
        <v>61</v>
      </c>
      <c r="C98" s="70">
        <f t="shared" si="3"/>
        <v>46096</v>
      </c>
      <c r="D98" s="180" t="str">
        <f t="shared" si="4"/>
        <v>ÖMER KARTAL – müşteriden tahsilat: TYANA LTD.ŞTİ. – NAKİT ÖDENEN</v>
      </c>
      <c r="E98" s="139"/>
      <c r="F98" s="65" t="str">
        <f t="shared" si="5"/>
        <v>MÜŞTERİDEN ALDI</v>
      </c>
      <c r="G98" s="68">
        <f t="shared" si="6"/>
        <v>4000</v>
      </c>
      <c r="H98" s="68">
        <f t="shared" si="7"/>
        <v>0</v>
      </c>
      <c r="I98" s="68">
        <f t="shared" si="12"/>
        <v>262650.005</v>
      </c>
      <c r="J98" s="2"/>
      <c r="K98" s="2"/>
      <c r="L98" s="1"/>
      <c r="M98" s="1">
        <v>61</v>
      </c>
      <c r="N98" s="71">
        <f>IF($T98=0,"",INDEX(TAHSILAT!$E$7:$E$2503,$T98))</f>
        <v>46054</v>
      </c>
      <c r="O98" s="1" t="str">
        <f>IF($N98="","",$C$36&amp;" – müşteriden tahsilat: "&amp;INDEX(TAHSILAT!$N$7:$N$2503,$T98)&amp;IF(INDEX(TAHSILAT!$J$7:$J$2503,$T98)="",""," – "&amp;INDEX(TAHSILAT!$J$7:$J$2503,$T98)))</f>
        <v>ÖMER KARTAL – müşteriden tahsilat: YEDİYİRMİDÖRT LTD.ŞTİ. – NAKİT ÖDENEN</v>
      </c>
      <c r="P98" s="1" t="str">
        <f t="shared" si="13"/>
        <v>MÜŞTERİDEN ALDI</v>
      </c>
      <c r="Q98" s="79">
        <f>IF($N98="",0,INDEX(TAHSILAT!$F$7:$F$2503,$T98))</f>
        <v>10000</v>
      </c>
      <c r="R98" s="1">
        <v>0</v>
      </c>
      <c r="S98" s="1">
        <f t="shared" si="9"/>
        <v>4605400061</v>
      </c>
      <c r="T98" s="1">
        <f>IFERROR(MATCH($C$36&amp;"|25",TAHSILAT!$U$7:$U$2503,0),0)</f>
        <v>83</v>
      </c>
      <c r="U98" s="1"/>
      <c r="V98" s="1">
        <f t="shared" si="10"/>
        <v>4609600082</v>
      </c>
      <c r="W98" s="1">
        <f t="shared" si="11"/>
        <v>82</v>
      </c>
    </row>
    <row r="99" spans="1:23" ht="19.5" customHeight="1" x14ac:dyDescent="0.3">
      <c r="A99" s="2"/>
      <c r="B99" s="65">
        <f t="shared" si="2"/>
        <v>62</v>
      </c>
      <c r="C99" s="70">
        <f t="shared" si="3"/>
        <v>46107</v>
      </c>
      <c r="D99" s="180" t="str">
        <f t="shared" si="4"/>
        <v>ÖMER KARTAL – müşteriden tahsilat: NAZ 1 GIDA LTD.ŞTİ. – ÖMER KARTALA ÖDENEN</v>
      </c>
      <c r="E99" s="139"/>
      <c r="F99" s="65" t="str">
        <f t="shared" si="5"/>
        <v>MÜŞTERİDEN ALDI</v>
      </c>
      <c r="G99" s="68">
        <f t="shared" si="6"/>
        <v>6000</v>
      </c>
      <c r="H99" s="68">
        <f t="shared" si="7"/>
        <v>0</v>
      </c>
      <c r="I99" s="68">
        <f t="shared" si="12"/>
        <v>268650.005</v>
      </c>
      <c r="J99" s="2"/>
      <c r="K99" s="2"/>
      <c r="L99" s="1"/>
      <c r="M99" s="1">
        <v>62</v>
      </c>
      <c r="N99" s="71">
        <f>IF($T99=0,"",INDEX(TAHSILAT!$E$7:$E$2503,$T99))</f>
        <v>46060</v>
      </c>
      <c r="O99" s="1" t="str">
        <f>IF($N99="","",$C$36&amp;" – müşteriden tahsilat: "&amp;INDEX(TAHSILAT!$N$7:$N$2503,$T99)&amp;IF(INDEX(TAHSILAT!$J$7:$J$2503,$T99)="",""," – "&amp;INDEX(TAHSILAT!$J$7:$J$2503,$T99)))</f>
        <v>ÖMER KARTAL – müşteriden tahsilat: ÇINARHAN LTD.ŞTİ. – NAKİT ÖDENEN</v>
      </c>
      <c r="P99" s="1" t="str">
        <f t="shared" si="13"/>
        <v>MÜŞTERİDEN ALDI</v>
      </c>
      <c r="Q99" s="79">
        <f>IF($N99="",0,INDEX(TAHSILAT!$F$7:$F$2503,$T99))</f>
        <v>2500</v>
      </c>
      <c r="R99" s="1">
        <v>0</v>
      </c>
      <c r="S99" s="1">
        <f t="shared" si="9"/>
        <v>4606000062</v>
      </c>
      <c r="T99" s="1">
        <f>IFERROR(MATCH($C$36&amp;"|26",TAHSILAT!$U$7:$U$2503,0),0)</f>
        <v>93</v>
      </c>
      <c r="U99" s="1"/>
      <c r="V99" s="1">
        <f t="shared" si="10"/>
        <v>4610700083</v>
      </c>
      <c r="W99" s="1">
        <f t="shared" si="11"/>
        <v>83</v>
      </c>
    </row>
    <row r="100" spans="1:23" ht="19.5" customHeight="1" x14ac:dyDescent="0.3">
      <c r="A100" s="2"/>
      <c r="B100" s="65">
        <f t="shared" si="2"/>
        <v>63</v>
      </c>
      <c r="C100" s="70">
        <f t="shared" si="3"/>
        <v>46109</v>
      </c>
      <c r="D100" s="180" t="str">
        <f t="shared" si="4"/>
        <v>ÖMER KARTAL – müşteriden tahsilat: ZÜMRÜT EĞLENCE LTD.ŞTİ. – ÖMER KARTALA ÖDENEN</v>
      </c>
      <c r="E100" s="139"/>
      <c r="F100" s="65" t="str">
        <f t="shared" si="5"/>
        <v>MÜŞTERİDEN ALDI</v>
      </c>
      <c r="G100" s="68">
        <f t="shared" si="6"/>
        <v>5500</v>
      </c>
      <c r="H100" s="68">
        <f t="shared" si="7"/>
        <v>0</v>
      </c>
      <c r="I100" s="68">
        <f t="shared" si="12"/>
        <v>274150.005</v>
      </c>
      <c r="J100" s="2"/>
      <c r="K100" s="2"/>
      <c r="L100" s="1"/>
      <c r="M100" s="1">
        <v>63</v>
      </c>
      <c r="N100" s="71">
        <f>IF($T100=0,"",INDEX(TAHSILAT!$E$7:$E$2503,$T100))</f>
        <v>46063</v>
      </c>
      <c r="O100" s="1" t="str">
        <f>IF($N100="","",$C$36&amp;" – müşteriden tahsilat: "&amp;INDEX(TAHSILAT!$N$7:$N$2503,$T100)&amp;IF(INDEX(TAHSILAT!$J$7:$J$2503,$T100)="",""," – "&amp;INDEX(TAHSILAT!$J$7:$J$2503,$T100)))</f>
        <v>ÖMER KARTAL – müşteriden tahsilat: MONAMOUR LTD.ŞTİ. – ÖMER KARTALA ÖDENEN</v>
      </c>
      <c r="P100" s="1" t="str">
        <f t="shared" si="13"/>
        <v>MÜŞTERİDEN ALDI</v>
      </c>
      <c r="Q100" s="79">
        <f>IF($N100="",0,INDEX(TAHSILAT!$F$7:$F$2503,$T100))</f>
        <v>3500</v>
      </c>
      <c r="R100" s="1">
        <v>0</v>
      </c>
      <c r="S100" s="1">
        <f t="shared" si="9"/>
        <v>4606300063</v>
      </c>
      <c r="T100" s="1">
        <f>IFERROR(MATCH($C$36&amp;"|27",TAHSILAT!$U$7:$U$2503,0),0)</f>
        <v>99</v>
      </c>
      <c r="U100" s="1"/>
      <c r="V100" s="1">
        <f t="shared" si="10"/>
        <v>4610900084</v>
      </c>
      <c r="W100" s="1">
        <f t="shared" si="11"/>
        <v>84</v>
      </c>
    </row>
    <row r="101" spans="1:23" ht="19.5" customHeight="1" x14ac:dyDescent="0.3">
      <c r="A101" s="2"/>
      <c r="B101" s="65">
        <f t="shared" si="2"/>
        <v>64</v>
      </c>
      <c r="C101" s="70">
        <f t="shared" si="3"/>
        <v>46112</v>
      </c>
      <c r="D101" s="180" t="str">
        <f t="shared" si="4"/>
        <v>ÖMER KARTAL – Mart 2026 kâr payı tahakkuku</v>
      </c>
      <c r="E101" s="139"/>
      <c r="F101" s="65" t="str">
        <f t="shared" si="5"/>
        <v>KÂR PAYI TAHAKKUKU</v>
      </c>
      <c r="G101" s="68">
        <f t="shared" si="6"/>
        <v>0</v>
      </c>
      <c r="H101" s="68">
        <f t="shared" si="7"/>
        <v>77421.014999999985</v>
      </c>
      <c r="I101" s="68">
        <f t="shared" si="12"/>
        <v>196728.99000000002</v>
      </c>
      <c r="J101" s="2"/>
      <c r="K101" s="2"/>
      <c r="L101" s="1"/>
      <c r="M101" s="1">
        <v>64</v>
      </c>
      <c r="N101" s="71">
        <f>IF($T101=0,"",INDEX(TAHSILAT!$E$7:$E$2503,$T101))</f>
        <v>46066</v>
      </c>
      <c r="O101" s="1" t="str">
        <f>IF($N101="","",$C$36&amp;" – müşteriden tahsilat: "&amp;INDEX(TAHSILAT!$N$7:$N$2503,$T101)&amp;IF(INDEX(TAHSILAT!$J$7:$J$2503,$T101)="",""," – "&amp;INDEX(TAHSILAT!$J$7:$J$2503,$T101)))</f>
        <v>ÖMER KARTAL – müşteriden tahsilat: UFUK YILMAZ – NAKİT ÖDENEN</v>
      </c>
      <c r="P101" s="1" t="str">
        <f t="shared" si="13"/>
        <v>MÜŞTERİDEN ALDI</v>
      </c>
      <c r="Q101" s="79">
        <f>IF($N101="",0,INDEX(TAHSILAT!$F$7:$F$2503,$T101))</f>
        <v>3000</v>
      </c>
      <c r="R101" s="1">
        <v>0</v>
      </c>
      <c r="S101" s="1">
        <f t="shared" si="9"/>
        <v>4606600064</v>
      </c>
      <c r="T101" s="1">
        <f>IFERROR(MATCH($C$36&amp;"|28",TAHSILAT!$U$7:$U$2503,0),0)</f>
        <v>101</v>
      </c>
      <c r="U101" s="1"/>
      <c r="V101" s="1">
        <f t="shared" si="10"/>
        <v>4611200003</v>
      </c>
      <c r="W101" s="1">
        <f t="shared" si="11"/>
        <v>3</v>
      </c>
    </row>
    <row r="102" spans="1:23" ht="19.5" customHeight="1" x14ac:dyDescent="0.3">
      <c r="A102" s="2"/>
      <c r="B102" s="65">
        <f t="shared" ref="B102:B165" si="14">IF($C102="","",ROW()-37)</f>
        <v>65</v>
      </c>
      <c r="C102" s="70">
        <f t="shared" ref="C102:C165" si="15">IF($W102="","",IF(INDEX($N$38:$N$953,$W102)="","",INDEX($N$38:$N$953,$W102)))</f>
        <v>46112</v>
      </c>
      <c r="D102" s="180" t="str">
        <f t="shared" ref="D102:D165" si="16">IF($C102="","",INDEX($O$38:$O$953,$W102))</f>
        <v xml:space="preserve">ÖMER KARTAL – müşteriden tahsilat: ALTINEL LTD.ŞTİ. – ALTINEL LTD.ŞTİ. </v>
      </c>
      <c r="E102" s="139"/>
      <c r="F102" s="65" t="str">
        <f t="shared" ref="F102:F165" si="17">IF($C102="","",INDEX($P$38:$P$953,$W102))</f>
        <v>MÜŞTERİDEN ALDI</v>
      </c>
      <c r="G102" s="68">
        <f t="shared" ref="G102:G165" si="18">IF($C102="","",INDEX($Q$38:$Q$953,$W102))</f>
        <v>12000</v>
      </c>
      <c r="H102" s="68">
        <f t="shared" ref="H102:H165" si="19">IF($C102="","",INDEX($R$38:$R$953,$W102))</f>
        <v>0</v>
      </c>
      <c r="I102" s="68">
        <f t="shared" si="12"/>
        <v>208728.99000000002</v>
      </c>
      <c r="J102" s="2"/>
      <c r="K102" s="2"/>
      <c r="L102" s="1"/>
      <c r="M102" s="1">
        <v>65</v>
      </c>
      <c r="N102" s="71">
        <f>IF($T102=0,"",INDEX(TAHSILAT!$E$7:$E$2503,$T102))</f>
        <v>46069</v>
      </c>
      <c r="O102" s="1" t="str">
        <f>IF($N102="","",$C$36&amp;" – müşteriden tahsilat: "&amp;INDEX(TAHSILAT!$N$7:$N$2503,$T102)&amp;IF(INDEX(TAHSILAT!$J$7:$J$2503,$T102)="",""," – "&amp;INDEX(TAHSILAT!$J$7:$J$2503,$T102)))</f>
        <v>ÖMER KARTAL – müşteriden tahsilat: NERO E TİCARET LTD.ŞTİ. – ÖMER KARTALA ÖDENEN</v>
      </c>
      <c r="P102" s="1" t="str">
        <f t="shared" si="13"/>
        <v>MÜŞTERİDEN ALDI</v>
      </c>
      <c r="Q102" s="79">
        <f>IF($N102="",0,INDEX(TAHSILAT!$F$7:$F$2503,$T102))</f>
        <v>7500</v>
      </c>
      <c r="R102" s="1">
        <v>0</v>
      </c>
      <c r="S102" s="1">
        <f t="shared" ref="S102:S165" si="20">IF($N102="",10000000000,$N102*100000+$M102)</f>
        <v>4606900065</v>
      </c>
      <c r="T102" s="1">
        <f>IFERROR(MATCH($C$36&amp;"|29",TAHSILAT!$U$7:$U$2503,0),0)</f>
        <v>116</v>
      </c>
      <c r="U102" s="1"/>
      <c r="V102" s="1">
        <f t="shared" ref="V102:V165" si="21">IFERROR(SMALL($S$38:$S$953,ROW()-37),"")</f>
        <v>4611200085</v>
      </c>
      <c r="W102" s="1">
        <f t="shared" ref="W102:W165" si="22">IFERROR(MATCH($V102,$S$38:$S$953,0),"")</f>
        <v>85</v>
      </c>
    </row>
    <row r="103" spans="1:23" ht="19.5" customHeight="1" x14ac:dyDescent="0.3">
      <c r="A103" s="2"/>
      <c r="B103" s="65">
        <f t="shared" si="14"/>
        <v>66</v>
      </c>
      <c r="C103" s="70">
        <f t="shared" si="15"/>
        <v>46112</v>
      </c>
      <c r="D103" s="180" t="str">
        <f t="shared" si="16"/>
        <v>ÖMER KARTAL – müşteriden tahsilat: MONAMOUR LTD.ŞTİ. – ÖMER KARTALA ÖDENEN</v>
      </c>
      <c r="E103" s="139"/>
      <c r="F103" s="65" t="str">
        <f t="shared" si="17"/>
        <v>MÜŞTERİDEN ALDI</v>
      </c>
      <c r="G103" s="68">
        <f t="shared" si="18"/>
        <v>7000</v>
      </c>
      <c r="H103" s="68">
        <f t="shared" si="19"/>
        <v>0</v>
      </c>
      <c r="I103" s="68">
        <f t="shared" ref="I103:I166" si="23">IF($C103="","",N($I102)+$G103-$H103)</f>
        <v>215728.99000000002</v>
      </c>
      <c r="J103" s="2"/>
      <c r="K103" s="2"/>
      <c r="L103" s="1"/>
      <c r="M103" s="1">
        <v>66</v>
      </c>
      <c r="N103" s="71">
        <f>IF($T103=0,"",INDEX(TAHSILAT!$E$7:$E$2503,$T103))</f>
        <v>46074</v>
      </c>
      <c r="O103" s="1" t="str">
        <f>IF($N103="","",$C$36&amp;" – müşteriden tahsilat: "&amp;INDEX(TAHSILAT!$N$7:$N$2503,$T103)&amp;IF(INDEX(TAHSILAT!$J$7:$J$2503,$T103)="",""," – "&amp;INDEX(TAHSILAT!$J$7:$J$2503,$T103)))</f>
        <v>ÖMER KARTAL – müşteriden tahsilat: ASM EĞLENCE LTD.ŞTİ. – ÖMER KARTALA ÖDENEN</v>
      </c>
      <c r="P103" s="1" t="str">
        <f t="shared" si="13"/>
        <v>MÜŞTERİDEN ALDI</v>
      </c>
      <c r="Q103" s="79">
        <f>IF($N103="",0,INDEX(TAHSILAT!$F$7:$F$2503,$T103))</f>
        <v>2500</v>
      </c>
      <c r="R103" s="1">
        <v>0</v>
      </c>
      <c r="S103" s="1">
        <f t="shared" si="20"/>
        <v>4607400066</v>
      </c>
      <c r="T103" s="1">
        <f>IFERROR(MATCH($C$36&amp;"|30",TAHSILAT!$U$7:$U$2503,0),0)</f>
        <v>119</v>
      </c>
      <c r="U103" s="1"/>
      <c r="V103" s="1">
        <f t="shared" si="21"/>
        <v>4611200086</v>
      </c>
      <c r="W103" s="1">
        <f t="shared" si="22"/>
        <v>86</v>
      </c>
    </row>
    <row r="104" spans="1:23" ht="19.5" customHeight="1" x14ac:dyDescent="0.3">
      <c r="A104" s="2"/>
      <c r="B104" s="65">
        <f t="shared" si="14"/>
        <v>67</v>
      </c>
      <c r="C104" s="70">
        <f t="shared" si="15"/>
        <v>46112</v>
      </c>
      <c r="D104" s="180" t="str">
        <f t="shared" si="16"/>
        <v>MERKEZ KASA → ÖMER KARTAL – PARİS GAZİNOSU SGK'LAR</v>
      </c>
      <c r="E104" s="139"/>
      <c r="F104" s="65" t="str">
        <f t="shared" si="17"/>
        <v>VİRMAN GELDİ</v>
      </c>
      <c r="G104" s="68">
        <f t="shared" si="18"/>
        <v>12000</v>
      </c>
      <c r="H104" s="68">
        <f t="shared" si="19"/>
        <v>0</v>
      </c>
      <c r="I104" s="68">
        <f t="shared" si="23"/>
        <v>227728.99000000002</v>
      </c>
      <c r="J104" s="2"/>
      <c r="K104" s="2"/>
      <c r="L104" s="1"/>
      <c r="M104" s="1">
        <v>67</v>
      </c>
      <c r="N104" s="71">
        <f>IF($T104=0,"",INDEX(TAHSILAT!$E$7:$E$2503,$T104))</f>
        <v>46074</v>
      </c>
      <c r="O104" s="1" t="str">
        <f>IF($N104="","",$C$36&amp;" – müşteriden tahsilat: "&amp;INDEX(TAHSILAT!$N$7:$N$2503,$T104)&amp;IF(INDEX(TAHSILAT!$J$7:$J$2503,$T104)="",""," – "&amp;INDEX(TAHSILAT!$J$7:$J$2503,$T104)))</f>
        <v>ÖMER KARTAL – müşteriden tahsilat: İLDEŞ LTD.ŞTİ. – ÖMER KARTALA ÖDENEN</v>
      </c>
      <c r="P104" s="1" t="str">
        <f t="shared" si="13"/>
        <v>MÜŞTERİDEN ALDI</v>
      </c>
      <c r="Q104" s="79">
        <f>IF($N104="",0,INDEX(TAHSILAT!$F$7:$F$2503,$T104))</f>
        <v>4000</v>
      </c>
      <c r="R104" s="1">
        <v>0</v>
      </c>
      <c r="S104" s="1">
        <f t="shared" si="20"/>
        <v>4607400067</v>
      </c>
      <c r="T104" s="1">
        <f>IFERROR(MATCH($C$36&amp;"|31",TAHSILAT!$U$7:$U$2503,0),0)</f>
        <v>120</v>
      </c>
      <c r="U104" s="1"/>
      <c r="V104" s="1">
        <f t="shared" si="21"/>
        <v>4611200546</v>
      </c>
      <c r="W104" s="1">
        <f t="shared" si="22"/>
        <v>546</v>
      </c>
    </row>
    <row r="105" spans="1:23" ht="19.5" customHeight="1" x14ac:dyDescent="0.3">
      <c r="A105" s="2"/>
      <c r="B105" s="65">
        <f t="shared" si="14"/>
        <v>68</v>
      </c>
      <c r="C105" s="70">
        <f t="shared" si="15"/>
        <v>46112</v>
      </c>
      <c r="D105" s="180" t="str">
        <f t="shared" si="16"/>
        <v>MERKEZ KASA → ÖMER KARTAL – FADİME HORUZCU MUHASEBE ÜCRETİ</v>
      </c>
      <c r="E105" s="139"/>
      <c r="F105" s="65" t="str">
        <f t="shared" si="17"/>
        <v>VİRMAN GELDİ</v>
      </c>
      <c r="G105" s="68">
        <f t="shared" si="18"/>
        <v>2000</v>
      </c>
      <c r="H105" s="68">
        <f t="shared" si="19"/>
        <v>0</v>
      </c>
      <c r="I105" s="68">
        <f t="shared" si="23"/>
        <v>229728.99000000002</v>
      </c>
      <c r="J105" s="2"/>
      <c r="K105" s="2"/>
      <c r="L105" s="1"/>
      <c r="M105" s="1">
        <v>68</v>
      </c>
      <c r="N105" s="71">
        <f>IF($T105=0,"",INDEX(TAHSILAT!$E$7:$E$2503,$T105))</f>
        <v>46074</v>
      </c>
      <c r="O105" s="1" t="str">
        <f>IF($N105="","",$C$36&amp;" – müşteriden tahsilat: "&amp;INDEX(TAHSILAT!$N$7:$N$2503,$T105)&amp;IF(INDEX(TAHSILAT!$J$7:$J$2503,$T105)="",""," – "&amp;INDEX(TAHSILAT!$J$7:$J$2503,$T105)))</f>
        <v>ÖMER KARTAL – müşteriden tahsilat: ÖZFİDANLAR LTD.ŞTİ. – ÖMER KARTALA ÖDENEN</v>
      </c>
      <c r="P105" s="1" t="str">
        <f t="shared" si="13"/>
        <v>MÜŞTERİDEN ALDI</v>
      </c>
      <c r="Q105" s="79">
        <f>IF($N105="",0,INDEX(TAHSILAT!$F$7:$F$2503,$T105))</f>
        <v>8000</v>
      </c>
      <c r="R105" s="1">
        <v>0</v>
      </c>
      <c r="S105" s="1">
        <f t="shared" si="20"/>
        <v>4607400068</v>
      </c>
      <c r="T105" s="1">
        <f>IFERROR(MATCH($C$36&amp;"|32",TAHSILAT!$U$7:$U$2503,0),0)</f>
        <v>121</v>
      </c>
      <c r="U105" s="1"/>
      <c r="V105" s="1">
        <f t="shared" si="21"/>
        <v>4611200547</v>
      </c>
      <c r="W105" s="1">
        <f t="shared" si="22"/>
        <v>547</v>
      </c>
    </row>
    <row r="106" spans="1:23" ht="19.5" customHeight="1" x14ac:dyDescent="0.3">
      <c r="A106" s="2"/>
      <c r="B106" s="65">
        <f t="shared" si="14"/>
        <v>69</v>
      </c>
      <c r="C106" s="70">
        <f t="shared" si="15"/>
        <v>46112</v>
      </c>
      <c r="D106" s="180" t="str">
        <f t="shared" si="16"/>
        <v>MERKEZ KASA → ÖMER KARTAL – KÂR PAYI / AVANS ÇEKİŞİ — Mart Ayı Kâr Payı Ödemesi — eski GELIR_GIDER satır 94</v>
      </c>
      <c r="E106" s="139"/>
      <c r="F106" s="65" t="str">
        <f t="shared" si="17"/>
        <v>VİRMAN GELDİ</v>
      </c>
      <c r="G106" s="68">
        <f t="shared" si="18"/>
        <v>77421.02</v>
      </c>
      <c r="H106" s="68">
        <f t="shared" si="19"/>
        <v>0</v>
      </c>
      <c r="I106" s="68">
        <f t="shared" si="23"/>
        <v>307150.01</v>
      </c>
      <c r="J106" s="2"/>
      <c r="K106" s="2"/>
      <c r="L106" s="1"/>
      <c r="M106" s="1">
        <v>69</v>
      </c>
      <c r="N106" s="71">
        <f>IF($T106=0,"",INDEX(TAHSILAT!$E$7:$E$2503,$T106))</f>
        <v>46074</v>
      </c>
      <c r="O106" s="1" t="str">
        <f>IF($N106="","",$C$36&amp;" – müşteriden tahsilat: "&amp;INDEX(TAHSILAT!$N$7:$N$2503,$T106)&amp;IF(INDEX(TAHSILAT!$J$7:$J$2503,$T106)="",""," – "&amp;INDEX(TAHSILAT!$J$7:$J$2503,$T106)))</f>
        <v>ÖMER KARTAL – müşteriden tahsilat: RİX ŞOW LTD.ŞTİ. – ÖMER KARTALA ÖDENEN</v>
      </c>
      <c r="P106" s="1" t="str">
        <f t="shared" si="13"/>
        <v>MÜŞTERİDEN ALDI</v>
      </c>
      <c r="Q106" s="79">
        <f>IF($N106="",0,INDEX(TAHSILAT!$F$7:$F$2503,$T106))</f>
        <v>3000</v>
      </c>
      <c r="R106" s="1">
        <v>0</v>
      </c>
      <c r="S106" s="1">
        <f t="shared" si="20"/>
        <v>4607400069</v>
      </c>
      <c r="T106" s="1">
        <f>IFERROR(MATCH($C$36&amp;"|33",TAHSILAT!$U$7:$U$2503,0),0)</f>
        <v>122</v>
      </c>
      <c r="U106" s="1"/>
      <c r="V106" s="1">
        <f t="shared" si="21"/>
        <v>4611200568</v>
      </c>
      <c r="W106" s="1">
        <f t="shared" si="22"/>
        <v>568</v>
      </c>
    </row>
    <row r="107" spans="1:23" ht="19.5" customHeight="1" x14ac:dyDescent="0.3">
      <c r="A107" s="2"/>
      <c r="B107" s="65">
        <f t="shared" si="14"/>
        <v>70</v>
      </c>
      <c r="C107" s="70">
        <f t="shared" si="15"/>
        <v>46122</v>
      </c>
      <c r="D107" s="180" t="str">
        <f t="shared" si="16"/>
        <v>ÖMER KARTAL – müşteriden tahsilat: RASİM DEMİRCİ – NAKİT ÖDENEN</v>
      </c>
      <c r="E107" s="139"/>
      <c r="F107" s="65" t="str">
        <f t="shared" si="17"/>
        <v>MÜŞTERİDEN ALDI</v>
      </c>
      <c r="G107" s="68">
        <f t="shared" si="18"/>
        <v>10000</v>
      </c>
      <c r="H107" s="68">
        <f t="shared" si="19"/>
        <v>0</v>
      </c>
      <c r="I107" s="68">
        <f t="shared" si="23"/>
        <v>317150.01</v>
      </c>
      <c r="J107" s="2"/>
      <c r="K107" s="2"/>
      <c r="L107" s="1"/>
      <c r="M107" s="1">
        <v>70</v>
      </c>
      <c r="N107" s="71">
        <f>IF($T107=0,"",INDEX(TAHSILAT!$E$7:$E$2503,$T107))</f>
        <v>46074</v>
      </c>
      <c r="O107" s="1" t="str">
        <f>IF($N107="","",$C$36&amp;" – müşteriden tahsilat: "&amp;INDEX(TAHSILAT!$N$7:$N$2503,$T107)&amp;IF(INDEX(TAHSILAT!$J$7:$J$2503,$T107)="",""," – "&amp;INDEX(TAHSILAT!$J$7:$J$2503,$T107)))</f>
        <v>ÖMER KARTAL – müşteriden tahsilat: KRİSTAL LTD.ŞTİ. – NAKİT ÖDENEN</v>
      </c>
      <c r="P107" s="1" t="str">
        <f t="shared" si="13"/>
        <v>MÜŞTERİDEN ALDI</v>
      </c>
      <c r="Q107" s="79">
        <f>IF($N107="",0,INDEX(TAHSILAT!$F$7:$F$2503,$T107))</f>
        <v>3000</v>
      </c>
      <c r="R107" s="1">
        <v>0</v>
      </c>
      <c r="S107" s="1">
        <f t="shared" si="20"/>
        <v>4607400070</v>
      </c>
      <c r="T107" s="1">
        <f>IFERROR(MATCH($C$36&amp;"|34",TAHSILAT!$U$7:$U$2503,0),0)</f>
        <v>123</v>
      </c>
      <c r="U107" s="1"/>
      <c r="V107" s="1">
        <f t="shared" si="21"/>
        <v>4612200087</v>
      </c>
      <c r="W107" s="1">
        <f t="shared" si="22"/>
        <v>87</v>
      </c>
    </row>
    <row r="108" spans="1:23" ht="19.5" customHeight="1" x14ac:dyDescent="0.3">
      <c r="A108" s="2"/>
      <c r="B108" s="65">
        <f t="shared" si="14"/>
        <v>71</v>
      </c>
      <c r="C108" s="70">
        <f t="shared" si="15"/>
        <v>46123</v>
      </c>
      <c r="D108" s="180" t="str">
        <f t="shared" si="16"/>
        <v>ÖMER KARTAL – müşteriden tahsilat: ASIM AÇIKGÖZ – NAKİT ÖDENEN</v>
      </c>
      <c r="E108" s="139"/>
      <c r="F108" s="65" t="str">
        <f t="shared" si="17"/>
        <v>MÜŞTERİDEN ALDI</v>
      </c>
      <c r="G108" s="68">
        <f t="shared" si="18"/>
        <v>2000</v>
      </c>
      <c r="H108" s="68">
        <f t="shared" si="19"/>
        <v>0</v>
      </c>
      <c r="I108" s="68">
        <f t="shared" si="23"/>
        <v>319150.01</v>
      </c>
      <c r="J108" s="2"/>
      <c r="K108" s="2"/>
      <c r="L108" s="1"/>
      <c r="M108" s="1">
        <v>71</v>
      </c>
      <c r="N108" s="71">
        <f>IF($T108=0,"",INDEX(TAHSILAT!$E$7:$E$2503,$T108))</f>
        <v>46074</v>
      </c>
      <c r="O108" s="1" t="str">
        <f>IF($N108="","",$C$36&amp;" – müşteriden tahsilat: "&amp;INDEX(TAHSILAT!$N$7:$N$2503,$T108)&amp;IF(INDEX(TAHSILAT!$J$7:$J$2503,$T108)="",""," – "&amp;INDEX(TAHSILAT!$J$7:$J$2503,$T108)))</f>
        <v>ÖMER KARTAL – müşteriden tahsilat: ESERLİ LTD.ŞTİ. – ÖMER KARTALA ÖDENEN</v>
      </c>
      <c r="P108" s="1" t="str">
        <f t="shared" si="13"/>
        <v>MÜŞTERİDEN ALDI</v>
      </c>
      <c r="Q108" s="79">
        <f>IF($N108="",0,INDEX(TAHSILAT!$F$7:$F$2503,$T108))</f>
        <v>3500</v>
      </c>
      <c r="R108" s="1">
        <v>0</v>
      </c>
      <c r="S108" s="1">
        <f t="shared" si="20"/>
        <v>4607400071</v>
      </c>
      <c r="T108" s="1">
        <f>IFERROR(MATCH($C$36&amp;"|35",TAHSILAT!$U$7:$U$2503,0),0)</f>
        <v>124</v>
      </c>
      <c r="U108" s="1"/>
      <c r="V108" s="1">
        <f t="shared" si="21"/>
        <v>4612300088</v>
      </c>
      <c r="W108" s="1">
        <f t="shared" si="22"/>
        <v>88</v>
      </c>
    </row>
    <row r="109" spans="1:23" ht="19.5" customHeight="1" x14ac:dyDescent="0.3">
      <c r="A109" s="2"/>
      <c r="B109" s="65">
        <f t="shared" si="14"/>
        <v>72</v>
      </c>
      <c r="C109" s="70">
        <f t="shared" si="15"/>
        <v>46123</v>
      </c>
      <c r="D109" s="180" t="str">
        <f t="shared" si="16"/>
        <v>ÖMER KARTAL – müşteriden tahsilat: ASM EĞLENCE LTD.ŞTİ. – NAKİT ÖDENEN</v>
      </c>
      <c r="E109" s="139"/>
      <c r="F109" s="65" t="str">
        <f t="shared" si="17"/>
        <v>MÜŞTERİDEN ALDI</v>
      </c>
      <c r="G109" s="68">
        <f t="shared" si="18"/>
        <v>2500</v>
      </c>
      <c r="H109" s="68">
        <f t="shared" si="19"/>
        <v>0</v>
      </c>
      <c r="I109" s="68">
        <f t="shared" si="23"/>
        <v>321650.01</v>
      </c>
      <c r="J109" s="2"/>
      <c r="K109" s="2"/>
      <c r="L109" s="1"/>
      <c r="M109" s="1">
        <v>72</v>
      </c>
      <c r="N109" s="71">
        <f>IF($T109=0,"",INDEX(TAHSILAT!$E$7:$E$2503,$T109))</f>
        <v>46078</v>
      </c>
      <c r="O109" s="1" t="str">
        <f>IF($N109="","",$C$36&amp;" – müşteriden tahsilat: "&amp;INDEX(TAHSILAT!$N$7:$N$2503,$T109)&amp;IF(INDEX(TAHSILAT!$J$7:$J$2503,$T109)="",""," – "&amp;INDEX(TAHSILAT!$J$7:$J$2503,$T109)))</f>
        <v>ÖMER KARTAL – müşteriden tahsilat: MEHMET EVREN KILINÇ – ÖMER KARTALA ÖDENEN</v>
      </c>
      <c r="P109" s="1" t="str">
        <f t="shared" si="13"/>
        <v>MÜŞTERİDEN ALDI</v>
      </c>
      <c r="Q109" s="79">
        <f>IF($N109="",0,INDEX(TAHSILAT!$F$7:$F$2503,$T109))</f>
        <v>2000</v>
      </c>
      <c r="R109" s="1">
        <v>0</v>
      </c>
      <c r="S109" s="1">
        <f t="shared" si="20"/>
        <v>4607800072</v>
      </c>
      <c r="T109" s="1">
        <f>IFERROR(MATCH($C$36&amp;"|36",TAHSILAT!$U$7:$U$2503,0),0)</f>
        <v>128</v>
      </c>
      <c r="U109" s="1"/>
      <c r="V109" s="1">
        <f t="shared" si="21"/>
        <v>4612300089</v>
      </c>
      <c r="W109" s="1">
        <f t="shared" si="22"/>
        <v>89</v>
      </c>
    </row>
    <row r="110" spans="1:23" ht="19.5" customHeight="1" x14ac:dyDescent="0.3">
      <c r="A110" s="2"/>
      <c r="B110" s="65">
        <f t="shared" si="14"/>
        <v>73</v>
      </c>
      <c r="C110" s="70">
        <f t="shared" si="15"/>
        <v>46123</v>
      </c>
      <c r="D110" s="180" t="str">
        <f t="shared" si="16"/>
        <v>ÖMER KARTAL – müşteriden tahsilat: ÇAYIRALAN LTD.ŞTİ. – ÖMER KARTALA ÖDENEN</v>
      </c>
      <c r="E110" s="139"/>
      <c r="F110" s="65" t="str">
        <f t="shared" si="17"/>
        <v>MÜŞTERİDEN ALDI</v>
      </c>
      <c r="G110" s="68">
        <f t="shared" si="18"/>
        <v>3000</v>
      </c>
      <c r="H110" s="68">
        <f t="shared" si="19"/>
        <v>0</v>
      </c>
      <c r="I110" s="68">
        <f t="shared" si="23"/>
        <v>324650.01</v>
      </c>
      <c r="J110" s="2"/>
      <c r="K110" s="2"/>
      <c r="L110" s="1"/>
      <c r="M110" s="1">
        <v>73</v>
      </c>
      <c r="N110" s="71">
        <f>IF($T110=0,"",INDEX(TAHSILAT!$E$7:$E$2503,$T110))</f>
        <v>46081</v>
      </c>
      <c r="O110" s="1" t="str">
        <f>IF($N110="","",$C$36&amp;" – müşteriden tahsilat: "&amp;INDEX(TAHSILAT!$N$7:$N$2503,$T110)&amp;IF(INDEX(TAHSILAT!$J$7:$J$2503,$T110)="",""," – "&amp;INDEX(TAHSILAT!$J$7:$J$2503,$T110)))</f>
        <v xml:space="preserve">ÖMER KARTAL – müşteriden tahsilat: ALTINEL LTD.ŞTİ. – ALTINEL LTD.ŞTİ. </v>
      </c>
      <c r="P110" s="1" t="str">
        <f t="shared" si="13"/>
        <v>MÜŞTERİDEN ALDI</v>
      </c>
      <c r="Q110" s="79">
        <f>IF($N110="",0,INDEX(TAHSILAT!$F$7:$F$2503,$T110))</f>
        <v>12000</v>
      </c>
      <c r="R110" s="1">
        <v>0</v>
      </c>
      <c r="S110" s="1">
        <f t="shared" si="20"/>
        <v>4608100073</v>
      </c>
      <c r="T110" s="1">
        <f>IFERROR(MATCH($C$36&amp;"|37",TAHSILAT!$U$7:$U$2503,0),0)</f>
        <v>130</v>
      </c>
      <c r="U110" s="1"/>
      <c r="V110" s="1">
        <f t="shared" si="21"/>
        <v>4612300090</v>
      </c>
      <c r="W110" s="1">
        <f t="shared" si="22"/>
        <v>90</v>
      </c>
    </row>
    <row r="111" spans="1:23" ht="19.5" customHeight="1" x14ac:dyDescent="0.3">
      <c r="A111" s="2"/>
      <c r="B111" s="65">
        <f t="shared" si="14"/>
        <v>74</v>
      </c>
      <c r="C111" s="70">
        <f t="shared" si="15"/>
        <v>46123</v>
      </c>
      <c r="D111" s="180" t="str">
        <f t="shared" si="16"/>
        <v>ÖMER KARTAL – müşteriden tahsilat: İBRAHİM MALDAN – ÖMER KARTALA ÖDENEN</v>
      </c>
      <c r="E111" s="139"/>
      <c r="F111" s="65" t="str">
        <f t="shared" si="17"/>
        <v>MÜŞTERİDEN ALDI</v>
      </c>
      <c r="G111" s="68">
        <f t="shared" si="18"/>
        <v>4000</v>
      </c>
      <c r="H111" s="68">
        <f t="shared" si="19"/>
        <v>0</v>
      </c>
      <c r="I111" s="68">
        <f t="shared" si="23"/>
        <v>328650.01</v>
      </c>
      <c r="J111" s="2"/>
      <c r="K111" s="2"/>
      <c r="L111" s="1"/>
      <c r="M111" s="1">
        <v>74</v>
      </c>
      <c r="N111" s="71">
        <f>IF($T111=0,"",INDEX(TAHSILAT!$E$7:$E$2503,$T111))</f>
        <v>46081</v>
      </c>
      <c r="O111" s="1" t="str">
        <f>IF($N111="","",$C$36&amp;" – müşteriden tahsilat: "&amp;INDEX(TAHSILAT!$N$7:$N$2503,$T111)&amp;IF(INDEX(TAHSILAT!$J$7:$J$2503,$T111)="",""," – "&amp;INDEX(TAHSILAT!$J$7:$J$2503,$T111)))</f>
        <v>ÖMER KARTAL – müşteriden tahsilat: IŞIL GRUP LTD.ŞTİ. – ÖMER KARTALA ÖDENEN</v>
      </c>
      <c r="P111" s="1" t="str">
        <f t="shared" si="13"/>
        <v>MÜŞTERİDEN ALDI</v>
      </c>
      <c r="Q111" s="79">
        <f>IF($N111="",0,INDEX(TAHSILAT!$F$7:$F$2503,$T111))</f>
        <v>5000</v>
      </c>
      <c r="R111" s="1">
        <v>0</v>
      </c>
      <c r="S111" s="1">
        <f t="shared" si="20"/>
        <v>4608100074</v>
      </c>
      <c r="T111" s="1">
        <f>IFERROR(MATCH($C$36&amp;"|38",TAHSILAT!$U$7:$U$2503,0),0)</f>
        <v>137</v>
      </c>
      <c r="U111" s="1"/>
      <c r="V111" s="1">
        <f t="shared" si="21"/>
        <v>4612300091</v>
      </c>
      <c r="W111" s="1">
        <f t="shared" si="22"/>
        <v>91</v>
      </c>
    </row>
    <row r="112" spans="1:23" ht="19.5" customHeight="1" x14ac:dyDescent="0.3">
      <c r="A112" s="2"/>
      <c r="B112" s="65">
        <f t="shared" si="14"/>
        <v>75</v>
      </c>
      <c r="C112" s="70">
        <f t="shared" si="15"/>
        <v>46123</v>
      </c>
      <c r="D112" s="180" t="str">
        <f t="shared" si="16"/>
        <v>ÖMER KARTAL – müşteriden tahsilat: PAKYILDIZ LTD.ŞTİ. – ÖMER KARTALA ÖDENEN</v>
      </c>
      <c r="E112" s="139"/>
      <c r="F112" s="65" t="str">
        <f t="shared" si="17"/>
        <v>MÜŞTERİDEN ALDI</v>
      </c>
      <c r="G112" s="68">
        <f t="shared" si="18"/>
        <v>4000</v>
      </c>
      <c r="H112" s="68">
        <f t="shared" si="19"/>
        <v>0</v>
      </c>
      <c r="I112" s="68">
        <f t="shared" si="23"/>
        <v>332650.01</v>
      </c>
      <c r="J112" s="2"/>
      <c r="K112" s="2"/>
      <c r="L112" s="1"/>
      <c r="M112" s="1">
        <v>75</v>
      </c>
      <c r="N112" s="71">
        <f>IF($T112=0,"",INDEX(TAHSILAT!$E$7:$E$2503,$T112))</f>
        <v>46082</v>
      </c>
      <c r="O112" s="1" t="str">
        <f>IF($N112="","",$C$36&amp;" – müşteriden tahsilat: "&amp;INDEX(TAHSILAT!$N$7:$N$2503,$T112)&amp;IF(INDEX(TAHSILAT!$J$7:$J$2503,$T112)="",""," – "&amp;INDEX(TAHSILAT!$J$7:$J$2503,$T112)))</f>
        <v>ÖMER KARTAL – müşteriden tahsilat: YEDİYİRMİDÖRT LTD.ŞTİ. – NAKİT ÖDENEN</v>
      </c>
      <c r="P112" s="1" t="str">
        <f t="shared" si="13"/>
        <v>MÜŞTERİDEN ALDI</v>
      </c>
      <c r="Q112" s="79">
        <f>IF($N112="",0,INDEX(TAHSILAT!$F$7:$F$2503,$T112))</f>
        <v>10000</v>
      </c>
      <c r="R112" s="1">
        <v>0</v>
      </c>
      <c r="S112" s="1">
        <f t="shared" si="20"/>
        <v>4608200075</v>
      </c>
      <c r="T112" s="1">
        <f>IFERROR(MATCH($C$36&amp;"|39",TAHSILAT!$U$7:$U$2503,0),0)</f>
        <v>138</v>
      </c>
      <c r="U112" s="1"/>
      <c r="V112" s="1">
        <f t="shared" si="21"/>
        <v>4612300092</v>
      </c>
      <c r="W112" s="1">
        <f t="shared" si="22"/>
        <v>92</v>
      </c>
    </row>
    <row r="113" spans="1:23" ht="19.5" customHeight="1" x14ac:dyDescent="0.3">
      <c r="A113" s="2"/>
      <c r="B113" s="65">
        <f t="shared" si="14"/>
        <v>76</v>
      </c>
      <c r="C113" s="70">
        <f t="shared" si="15"/>
        <v>46123</v>
      </c>
      <c r="D113" s="180" t="str">
        <f t="shared" si="16"/>
        <v>ÖMER KARTAL – müşteriden tahsilat: RİX ŞOW LTD.ŞTİ. – ÖMER KARTALA ÖDENEN</v>
      </c>
      <c r="E113" s="139"/>
      <c r="F113" s="65" t="str">
        <f t="shared" si="17"/>
        <v>MÜŞTERİDEN ALDI</v>
      </c>
      <c r="G113" s="68">
        <f t="shared" si="18"/>
        <v>3000</v>
      </c>
      <c r="H113" s="68">
        <f t="shared" si="19"/>
        <v>0</v>
      </c>
      <c r="I113" s="68">
        <f t="shared" si="23"/>
        <v>335650.01</v>
      </c>
      <c r="J113" s="2"/>
      <c r="K113" s="2"/>
      <c r="L113" s="1"/>
      <c r="M113" s="1">
        <v>76</v>
      </c>
      <c r="N113" s="71">
        <f>IF($T113=0,"",INDEX(TAHSILAT!$E$7:$E$2503,$T113))</f>
        <v>46093</v>
      </c>
      <c r="O113" s="1" t="str">
        <f>IF($N113="","",$C$36&amp;" – müşteriden tahsilat: "&amp;INDEX(TAHSILAT!$N$7:$N$2503,$T113)&amp;IF(INDEX(TAHSILAT!$J$7:$J$2503,$T113)="",""," – "&amp;INDEX(TAHSILAT!$J$7:$J$2503,$T113)))</f>
        <v>ÖMER KARTAL – müşteriden tahsilat: MENEKŞE AKAN – VERGİ TAHSİLATI İÇİN BORÇ YAZILAN</v>
      </c>
      <c r="P113" s="1" t="str">
        <f t="shared" si="13"/>
        <v>MÜŞTERİDEN ALDI</v>
      </c>
      <c r="Q113" s="79">
        <f>IF($N113="",0,INDEX(TAHSILAT!$F$7:$F$2503,$T113))</f>
        <v>17000</v>
      </c>
      <c r="R113" s="1">
        <v>0</v>
      </c>
      <c r="S113" s="1">
        <f t="shared" si="20"/>
        <v>4609300076</v>
      </c>
      <c r="T113" s="1">
        <f>IFERROR(MATCH($C$36&amp;"|40",TAHSILAT!$U$7:$U$2503,0),0)</f>
        <v>153</v>
      </c>
      <c r="U113" s="1"/>
      <c r="V113" s="1">
        <f t="shared" si="21"/>
        <v>4612300093</v>
      </c>
      <c r="W113" s="1">
        <f t="shared" si="22"/>
        <v>93</v>
      </c>
    </row>
    <row r="114" spans="1:23" ht="19.5" customHeight="1" x14ac:dyDescent="0.3">
      <c r="A114" s="2"/>
      <c r="B114" s="65">
        <f t="shared" si="14"/>
        <v>77</v>
      </c>
      <c r="C114" s="70">
        <f t="shared" si="15"/>
        <v>46123</v>
      </c>
      <c r="D114" s="180" t="str">
        <f t="shared" si="16"/>
        <v>ÖMER KARTAL – müşteriden tahsilat: ÇINARHAN LTD.ŞTİ. – NAKİT ÖDENEN</v>
      </c>
      <c r="E114" s="139"/>
      <c r="F114" s="65" t="str">
        <f t="shared" si="17"/>
        <v>MÜŞTERİDEN ALDI</v>
      </c>
      <c r="G114" s="68">
        <f t="shared" si="18"/>
        <v>2500</v>
      </c>
      <c r="H114" s="68">
        <f t="shared" si="19"/>
        <v>0</v>
      </c>
      <c r="I114" s="68">
        <f t="shared" si="23"/>
        <v>338150.01</v>
      </c>
      <c r="J114" s="2"/>
      <c r="K114" s="2"/>
      <c r="L114" s="1"/>
      <c r="M114" s="1">
        <v>77</v>
      </c>
      <c r="N114" s="71">
        <f>IF($T114=0,"",INDEX(TAHSILAT!$E$7:$E$2503,$T114))</f>
        <v>46096</v>
      </c>
      <c r="O114" s="1" t="str">
        <f>IF($N114="","",$C$36&amp;" – müşteriden tahsilat: "&amp;INDEX(TAHSILAT!$N$7:$N$2503,$T114)&amp;IF(INDEX(TAHSILAT!$J$7:$J$2503,$T114)="",""," – "&amp;INDEX(TAHSILAT!$J$7:$J$2503,$T114)))</f>
        <v>ÖMER KARTAL – müşteriden tahsilat: ASM EĞLENCE LTD.ŞTİ. – NAKİT ÖDENEN</v>
      </c>
      <c r="P114" s="1" t="str">
        <f t="shared" si="13"/>
        <v>MÜŞTERİDEN ALDI</v>
      </c>
      <c r="Q114" s="79">
        <f>IF($N114="",0,INDEX(TAHSILAT!$F$7:$F$2503,$T114))</f>
        <v>2500</v>
      </c>
      <c r="R114" s="1">
        <v>0</v>
      </c>
      <c r="S114" s="1">
        <f t="shared" si="20"/>
        <v>4609600077</v>
      </c>
      <c r="T114" s="1">
        <f>IFERROR(MATCH($C$36&amp;"|41",TAHSILAT!$U$7:$U$2503,0),0)</f>
        <v>155</v>
      </c>
      <c r="U114" s="1"/>
      <c r="V114" s="1">
        <f t="shared" si="21"/>
        <v>4612300094</v>
      </c>
      <c r="W114" s="1">
        <f t="shared" si="22"/>
        <v>94</v>
      </c>
    </row>
    <row r="115" spans="1:23" ht="19.5" customHeight="1" x14ac:dyDescent="0.3">
      <c r="A115" s="2"/>
      <c r="B115" s="65">
        <f t="shared" si="14"/>
        <v>78</v>
      </c>
      <c r="C115" s="70">
        <f t="shared" si="15"/>
        <v>46123</v>
      </c>
      <c r="D115" s="180" t="str">
        <f t="shared" si="16"/>
        <v>ÖMER KARTAL – müşteriden tahsilat: KRİSTAL LTD.ŞTİ. – NAKİT ÖDENEN</v>
      </c>
      <c r="E115" s="139"/>
      <c r="F115" s="65" t="str">
        <f t="shared" si="17"/>
        <v>MÜŞTERİDEN ALDI</v>
      </c>
      <c r="G115" s="68">
        <f t="shared" si="18"/>
        <v>3000</v>
      </c>
      <c r="H115" s="68">
        <f t="shared" si="19"/>
        <v>0</v>
      </c>
      <c r="I115" s="68">
        <f t="shared" si="23"/>
        <v>341150.01</v>
      </c>
      <c r="J115" s="2"/>
      <c r="K115" s="2"/>
      <c r="L115" s="1"/>
      <c r="M115" s="1">
        <v>78</v>
      </c>
      <c r="N115" s="71">
        <f>IF($T115=0,"",INDEX(TAHSILAT!$E$7:$E$2503,$T115))</f>
        <v>46096</v>
      </c>
      <c r="O115" s="1" t="str">
        <f>IF($N115="","",$C$36&amp;" – müşteriden tahsilat: "&amp;INDEX(TAHSILAT!$N$7:$N$2503,$T115)&amp;IF(INDEX(TAHSILAT!$J$7:$J$2503,$T115)="",""," – "&amp;INDEX(TAHSILAT!$J$7:$J$2503,$T115)))</f>
        <v>ÖMER KARTAL – müşteriden tahsilat: ÇAYIRALAN LTD.ŞTİ. – ÖMER KARTALA ÖDENEN</v>
      </c>
      <c r="P115" s="1" t="str">
        <f t="shared" si="13"/>
        <v>MÜŞTERİDEN ALDI</v>
      </c>
      <c r="Q115" s="79">
        <f>IF($N115="",0,INDEX(TAHSILAT!$F$7:$F$2503,$T115))</f>
        <v>12000</v>
      </c>
      <c r="R115" s="1">
        <v>0</v>
      </c>
      <c r="S115" s="1">
        <f t="shared" si="20"/>
        <v>4609600078</v>
      </c>
      <c r="T115" s="1">
        <f>IFERROR(MATCH($C$36&amp;"|42",TAHSILAT!$U$7:$U$2503,0),0)</f>
        <v>156</v>
      </c>
      <c r="U115" s="1"/>
      <c r="V115" s="1">
        <f t="shared" si="21"/>
        <v>4612300095</v>
      </c>
      <c r="W115" s="1">
        <f t="shared" si="22"/>
        <v>95</v>
      </c>
    </row>
    <row r="116" spans="1:23" ht="19.5" customHeight="1" x14ac:dyDescent="0.3">
      <c r="A116" s="2"/>
      <c r="B116" s="65">
        <f t="shared" si="14"/>
        <v>79</v>
      </c>
      <c r="C116" s="70">
        <f t="shared" si="15"/>
        <v>46123</v>
      </c>
      <c r="D116" s="180" t="str">
        <f t="shared" si="16"/>
        <v>ÖMER KARTAL – müşteriden tahsilat: PALAOĞULLARI LTD.ŞTİ. – NAKİT ÖDENEN</v>
      </c>
      <c r="E116" s="139"/>
      <c r="F116" s="65" t="str">
        <f t="shared" si="17"/>
        <v>MÜŞTERİDEN ALDI</v>
      </c>
      <c r="G116" s="68">
        <f t="shared" si="18"/>
        <v>4000</v>
      </c>
      <c r="H116" s="68">
        <f t="shared" si="19"/>
        <v>0</v>
      </c>
      <c r="I116" s="68">
        <f t="shared" si="23"/>
        <v>345150.01</v>
      </c>
      <c r="J116" s="2"/>
      <c r="K116" s="2"/>
      <c r="L116" s="1"/>
      <c r="M116" s="1">
        <v>79</v>
      </c>
      <c r="N116" s="71">
        <f>IF($T116=0,"",INDEX(TAHSILAT!$E$7:$E$2503,$T116))</f>
        <v>46096</v>
      </c>
      <c r="O116" s="1" t="str">
        <f>IF($N116="","",$C$36&amp;" – müşteriden tahsilat: "&amp;INDEX(TAHSILAT!$N$7:$N$2503,$T116)&amp;IF(INDEX(TAHSILAT!$J$7:$J$2503,$T116)="",""," – "&amp;INDEX(TAHSILAT!$J$7:$J$2503,$T116)))</f>
        <v>ÖMER KARTAL – müşteriden tahsilat: İBRAHİM MALDAN – ÖMER KARTALA ÖDENEN</v>
      </c>
      <c r="P116" s="1" t="str">
        <f t="shared" si="13"/>
        <v>MÜŞTERİDEN ALDI</v>
      </c>
      <c r="Q116" s="79">
        <f>IF($N116="",0,INDEX(TAHSILAT!$F$7:$F$2503,$T116))</f>
        <v>4000</v>
      </c>
      <c r="R116" s="1">
        <v>0</v>
      </c>
      <c r="S116" s="1">
        <f t="shared" si="20"/>
        <v>4609600079</v>
      </c>
      <c r="T116" s="1">
        <f>IFERROR(MATCH($C$36&amp;"|43",TAHSILAT!$U$7:$U$2503,0),0)</f>
        <v>157</v>
      </c>
      <c r="U116" s="1"/>
      <c r="V116" s="1">
        <f t="shared" si="21"/>
        <v>4612300096</v>
      </c>
      <c r="W116" s="1">
        <f t="shared" si="22"/>
        <v>96</v>
      </c>
    </row>
    <row r="117" spans="1:23" ht="19.5" customHeight="1" x14ac:dyDescent="0.3">
      <c r="A117" s="2"/>
      <c r="B117" s="65">
        <f t="shared" si="14"/>
        <v>80</v>
      </c>
      <c r="C117" s="70">
        <f t="shared" si="15"/>
        <v>46124</v>
      </c>
      <c r="D117" s="180" t="str">
        <f t="shared" si="16"/>
        <v>ÖMER KARTAL – müşteriden tahsilat: MONAMOUR LTD.ŞTİ. – ÖMER KARTALA ÖDENEN</v>
      </c>
      <c r="E117" s="139"/>
      <c r="F117" s="65" t="str">
        <f t="shared" si="17"/>
        <v>MÜŞTERİDEN ALDI</v>
      </c>
      <c r="G117" s="68">
        <f t="shared" si="18"/>
        <v>3500</v>
      </c>
      <c r="H117" s="68">
        <f t="shared" si="19"/>
        <v>0</v>
      </c>
      <c r="I117" s="68">
        <f t="shared" si="23"/>
        <v>348650.01</v>
      </c>
      <c r="J117" s="2"/>
      <c r="K117" s="2"/>
      <c r="L117" s="1"/>
      <c r="M117" s="1">
        <v>80</v>
      </c>
      <c r="N117" s="71">
        <f>IF($T117=0,"",INDEX(TAHSILAT!$E$7:$E$2503,$T117))</f>
        <v>46096</v>
      </c>
      <c r="O117" s="1" t="str">
        <f>IF($N117="","",$C$36&amp;" – müşteriden tahsilat: "&amp;INDEX(TAHSILAT!$N$7:$N$2503,$T117)&amp;IF(INDEX(TAHSILAT!$J$7:$J$2503,$T117)="",""," – "&amp;INDEX(TAHSILAT!$J$7:$J$2503,$T117)))</f>
        <v>ÖMER KARTAL – müşteriden tahsilat: RİX ŞOW LTD.ŞTİ. – ÖMER KARTALA ÖDENEN</v>
      </c>
      <c r="P117" s="1" t="str">
        <f t="shared" si="13"/>
        <v>MÜŞTERİDEN ALDI</v>
      </c>
      <c r="Q117" s="79">
        <f>IF($N117="",0,INDEX(TAHSILAT!$F$7:$F$2503,$T117))</f>
        <v>3000</v>
      </c>
      <c r="R117" s="1">
        <v>0</v>
      </c>
      <c r="S117" s="1">
        <f t="shared" si="20"/>
        <v>4609600080</v>
      </c>
      <c r="T117" s="1">
        <f>IFERROR(MATCH($C$36&amp;"|44",TAHSILAT!$U$7:$U$2503,0),0)</f>
        <v>158</v>
      </c>
      <c r="U117" s="1"/>
      <c r="V117" s="1">
        <f t="shared" si="21"/>
        <v>4612400097</v>
      </c>
      <c r="W117" s="1">
        <f t="shared" si="22"/>
        <v>97</v>
      </c>
    </row>
    <row r="118" spans="1:23" ht="19.5" customHeight="1" x14ac:dyDescent="0.3">
      <c r="A118" s="2"/>
      <c r="B118" s="65">
        <f t="shared" si="14"/>
        <v>81</v>
      </c>
      <c r="C118" s="70">
        <f t="shared" si="15"/>
        <v>46126</v>
      </c>
      <c r="D118" s="180" t="str">
        <f t="shared" si="16"/>
        <v>ÖMER KARTAL – müşteriden tahsilat: UFUK YILMAZ – NAKİT ÖDENEN</v>
      </c>
      <c r="E118" s="139"/>
      <c r="F118" s="65" t="str">
        <f t="shared" si="17"/>
        <v>MÜŞTERİDEN ALDI</v>
      </c>
      <c r="G118" s="68">
        <f t="shared" si="18"/>
        <v>3000</v>
      </c>
      <c r="H118" s="68">
        <f t="shared" si="19"/>
        <v>0</v>
      </c>
      <c r="I118" s="68">
        <f t="shared" si="23"/>
        <v>351650.01</v>
      </c>
      <c r="J118" s="2"/>
      <c r="K118" s="2"/>
      <c r="L118" s="1"/>
      <c r="M118" s="1">
        <v>81</v>
      </c>
      <c r="N118" s="71">
        <f>IF($T118=0,"",INDEX(TAHSILAT!$E$7:$E$2503,$T118))</f>
        <v>46096</v>
      </c>
      <c r="O118" s="1" t="str">
        <f>IF($N118="","",$C$36&amp;" – müşteriden tahsilat: "&amp;INDEX(TAHSILAT!$N$7:$N$2503,$T118)&amp;IF(INDEX(TAHSILAT!$J$7:$J$2503,$T118)="",""," – "&amp;INDEX(TAHSILAT!$J$7:$J$2503,$T118)))</f>
        <v>ÖMER KARTAL – müşteriden tahsilat: PALAOĞULLARI LTD.ŞTİ. – NAKİT ÖDENEN</v>
      </c>
      <c r="P118" s="1" t="str">
        <f t="shared" si="13"/>
        <v>MÜŞTERİDEN ALDI</v>
      </c>
      <c r="Q118" s="79">
        <f>IF($N118="",0,INDEX(TAHSILAT!$F$7:$F$2503,$T118))</f>
        <v>4000</v>
      </c>
      <c r="R118" s="1">
        <v>0</v>
      </c>
      <c r="S118" s="1">
        <f t="shared" si="20"/>
        <v>4609600081</v>
      </c>
      <c r="T118" s="1">
        <f>IFERROR(MATCH($C$36&amp;"|45",TAHSILAT!$U$7:$U$2503,0),0)</f>
        <v>160</v>
      </c>
      <c r="U118" s="1"/>
      <c r="V118" s="1">
        <f t="shared" si="21"/>
        <v>4612600098</v>
      </c>
      <c r="W118" s="1">
        <f t="shared" si="22"/>
        <v>98</v>
      </c>
    </row>
    <row r="119" spans="1:23" ht="19.5" customHeight="1" x14ac:dyDescent="0.3">
      <c r="A119" s="2"/>
      <c r="B119" s="65">
        <f t="shared" si="14"/>
        <v>82</v>
      </c>
      <c r="C119" s="70">
        <f t="shared" si="15"/>
        <v>46137</v>
      </c>
      <c r="D119" s="180" t="str">
        <f t="shared" si="16"/>
        <v>MERKEZ KASA → ÖMER KARTAL – DAMLA SABANCI HAVALE</v>
      </c>
      <c r="E119" s="139"/>
      <c r="F119" s="65" t="str">
        <f t="shared" si="17"/>
        <v>VİRMAN GELDİ</v>
      </c>
      <c r="G119" s="68">
        <f t="shared" si="18"/>
        <v>20000</v>
      </c>
      <c r="H119" s="68">
        <f t="shared" si="19"/>
        <v>0</v>
      </c>
      <c r="I119" s="68">
        <f t="shared" si="23"/>
        <v>371650.01</v>
      </c>
      <c r="J119" s="2"/>
      <c r="K119" s="2"/>
      <c r="L119" s="1"/>
      <c r="M119" s="1">
        <v>82</v>
      </c>
      <c r="N119" s="71">
        <f>IF($T119=0,"",INDEX(TAHSILAT!$E$7:$E$2503,$T119))</f>
        <v>46096</v>
      </c>
      <c r="O119" s="1" t="str">
        <f>IF($N119="","",$C$36&amp;" – müşteriden tahsilat: "&amp;INDEX(TAHSILAT!$N$7:$N$2503,$T119)&amp;IF(INDEX(TAHSILAT!$J$7:$J$2503,$T119)="",""," – "&amp;INDEX(TAHSILAT!$J$7:$J$2503,$T119)))</f>
        <v>ÖMER KARTAL – müşteriden tahsilat: TYANA LTD.ŞTİ. – NAKİT ÖDENEN</v>
      </c>
      <c r="P119" s="1" t="str">
        <f t="shared" si="13"/>
        <v>MÜŞTERİDEN ALDI</v>
      </c>
      <c r="Q119" s="79">
        <f>IF($N119="",0,INDEX(TAHSILAT!$F$7:$F$2503,$T119))</f>
        <v>4000</v>
      </c>
      <c r="R119" s="1">
        <v>0</v>
      </c>
      <c r="S119" s="1">
        <f t="shared" si="20"/>
        <v>4609600082</v>
      </c>
      <c r="T119" s="1">
        <f>IFERROR(MATCH($C$36&amp;"|46",TAHSILAT!$U$7:$U$2503,0),0)</f>
        <v>161</v>
      </c>
      <c r="U119" s="1"/>
      <c r="V119" s="1">
        <f t="shared" si="21"/>
        <v>4613700548</v>
      </c>
      <c r="W119" s="1">
        <f t="shared" si="22"/>
        <v>548</v>
      </c>
    </row>
    <row r="120" spans="1:23" ht="19.5" customHeight="1" x14ac:dyDescent="0.3">
      <c r="A120" s="2"/>
      <c r="B120" s="65">
        <f t="shared" si="14"/>
        <v>83</v>
      </c>
      <c r="C120" s="70">
        <f t="shared" si="15"/>
        <v>46142</v>
      </c>
      <c r="D120" s="180" t="str">
        <f t="shared" si="16"/>
        <v>ÖMER KARTAL – Nisan 2026 kâr payı tahakkuku</v>
      </c>
      <c r="E120" s="139"/>
      <c r="F120" s="65" t="str">
        <f t="shared" si="17"/>
        <v>KÂR PAYI TAHAKKUKU</v>
      </c>
      <c r="G120" s="68">
        <f t="shared" si="18"/>
        <v>0</v>
      </c>
      <c r="H120" s="68">
        <f t="shared" si="19"/>
        <v>137353</v>
      </c>
      <c r="I120" s="68">
        <f t="shared" si="23"/>
        <v>234297.01</v>
      </c>
      <c r="J120" s="2"/>
      <c r="K120" s="2"/>
      <c r="L120" s="1"/>
      <c r="M120" s="1">
        <v>83</v>
      </c>
      <c r="N120" s="71">
        <f>IF($T120=0,"",INDEX(TAHSILAT!$E$7:$E$2503,$T120))</f>
        <v>46107</v>
      </c>
      <c r="O120" s="1" t="str">
        <f>IF($N120="","",$C$36&amp;" – müşteriden tahsilat: "&amp;INDEX(TAHSILAT!$N$7:$N$2503,$T120)&amp;IF(INDEX(TAHSILAT!$J$7:$J$2503,$T120)="",""," – "&amp;INDEX(TAHSILAT!$J$7:$J$2503,$T120)))</f>
        <v>ÖMER KARTAL – müşteriden tahsilat: NAZ 1 GIDA LTD.ŞTİ. – ÖMER KARTALA ÖDENEN</v>
      </c>
      <c r="P120" s="1" t="str">
        <f t="shared" si="13"/>
        <v>MÜŞTERİDEN ALDI</v>
      </c>
      <c r="Q120" s="79">
        <f>IF($N120="",0,INDEX(TAHSILAT!$F$7:$F$2503,$T120))</f>
        <v>6000</v>
      </c>
      <c r="R120" s="1">
        <v>0</v>
      </c>
      <c r="S120" s="1">
        <f t="shared" si="20"/>
        <v>4610700083</v>
      </c>
      <c r="T120" s="1">
        <f>IFERROR(MATCH($C$36&amp;"|47",TAHSILAT!$U$7:$U$2503,0),0)</f>
        <v>183</v>
      </c>
      <c r="U120" s="1"/>
      <c r="V120" s="1">
        <f t="shared" si="21"/>
        <v>4614200004</v>
      </c>
      <c r="W120" s="1">
        <f t="shared" si="22"/>
        <v>4</v>
      </c>
    </row>
    <row r="121" spans="1:23" ht="19.5" customHeight="1" x14ac:dyDescent="0.3">
      <c r="A121" s="2"/>
      <c r="B121" s="65">
        <f t="shared" si="14"/>
        <v>84</v>
      </c>
      <c r="C121" s="70">
        <f t="shared" si="15"/>
        <v>46142</v>
      </c>
      <c r="D121" s="180" t="str">
        <f t="shared" si="16"/>
        <v xml:space="preserve">ÖMER KARTAL – müşteriden tahsilat: ALTINEL LTD.ŞTİ. – ALTINEL LTD.ŞTİ. </v>
      </c>
      <c r="E121" s="139"/>
      <c r="F121" s="65" t="str">
        <f t="shared" si="17"/>
        <v>MÜŞTERİDEN ALDI</v>
      </c>
      <c r="G121" s="68">
        <f t="shared" si="18"/>
        <v>12000</v>
      </c>
      <c r="H121" s="68">
        <f t="shared" si="19"/>
        <v>0</v>
      </c>
      <c r="I121" s="68">
        <f t="shared" si="23"/>
        <v>246297.01</v>
      </c>
      <c r="J121" s="2"/>
      <c r="K121" s="2"/>
      <c r="L121" s="1"/>
      <c r="M121" s="1">
        <v>84</v>
      </c>
      <c r="N121" s="71">
        <f>IF($T121=0,"",INDEX(TAHSILAT!$E$7:$E$2503,$T121))</f>
        <v>46109</v>
      </c>
      <c r="O121" s="1" t="str">
        <f>IF($N121="","",$C$36&amp;" – müşteriden tahsilat: "&amp;INDEX(TAHSILAT!$N$7:$N$2503,$T121)&amp;IF(INDEX(TAHSILAT!$J$7:$J$2503,$T121)="",""," – "&amp;INDEX(TAHSILAT!$J$7:$J$2503,$T121)))</f>
        <v>ÖMER KARTAL – müşteriden tahsilat: ZÜMRÜT EĞLENCE LTD.ŞTİ. – ÖMER KARTALA ÖDENEN</v>
      </c>
      <c r="P121" s="1" t="str">
        <f t="shared" si="13"/>
        <v>MÜŞTERİDEN ALDI</v>
      </c>
      <c r="Q121" s="79">
        <f>IF($N121="",0,INDEX(TAHSILAT!$F$7:$F$2503,$T121))</f>
        <v>5500</v>
      </c>
      <c r="R121" s="1">
        <v>0</v>
      </c>
      <c r="S121" s="1">
        <f t="shared" si="20"/>
        <v>4610900084</v>
      </c>
      <c r="T121" s="1">
        <f>IFERROR(MATCH($C$36&amp;"|48",TAHSILAT!$U$7:$U$2503,0),0)</f>
        <v>190</v>
      </c>
      <c r="U121" s="1"/>
      <c r="V121" s="1">
        <f t="shared" si="21"/>
        <v>4614200099</v>
      </c>
      <c r="W121" s="1">
        <f t="shared" si="22"/>
        <v>99</v>
      </c>
    </row>
    <row r="122" spans="1:23" ht="19.5" customHeight="1" x14ac:dyDescent="0.3">
      <c r="A122" s="2"/>
      <c r="B122" s="65">
        <f t="shared" si="14"/>
        <v>85</v>
      </c>
      <c r="C122" s="70">
        <f t="shared" si="15"/>
        <v>46142</v>
      </c>
      <c r="D122" s="180" t="str">
        <f t="shared" si="16"/>
        <v>MERKEZ KASA → ÖMER KARTAL – PARİS GAZİNOSU SGK'LAR</v>
      </c>
      <c r="E122" s="139"/>
      <c r="F122" s="65" t="str">
        <f t="shared" si="17"/>
        <v>VİRMAN GELDİ</v>
      </c>
      <c r="G122" s="68">
        <f t="shared" si="18"/>
        <v>12000</v>
      </c>
      <c r="H122" s="68">
        <f t="shared" si="19"/>
        <v>0</v>
      </c>
      <c r="I122" s="68">
        <f t="shared" si="23"/>
        <v>258297.01</v>
      </c>
      <c r="J122" s="2"/>
      <c r="K122" s="2"/>
      <c r="L122" s="1"/>
      <c r="M122" s="1">
        <v>85</v>
      </c>
      <c r="N122" s="71">
        <f>IF($T122=0,"",INDEX(TAHSILAT!$E$7:$E$2503,$T122))</f>
        <v>46112</v>
      </c>
      <c r="O122" s="1" t="str">
        <f>IF($N122="","",$C$36&amp;" – müşteriden tahsilat: "&amp;INDEX(TAHSILAT!$N$7:$N$2503,$T122)&amp;IF(INDEX(TAHSILAT!$J$7:$J$2503,$T122)="",""," – "&amp;INDEX(TAHSILAT!$J$7:$J$2503,$T122)))</f>
        <v xml:space="preserve">ÖMER KARTAL – müşteriden tahsilat: ALTINEL LTD.ŞTİ. – ALTINEL LTD.ŞTİ. </v>
      </c>
      <c r="P122" s="1" t="str">
        <f t="shared" si="13"/>
        <v>MÜŞTERİDEN ALDI</v>
      </c>
      <c r="Q122" s="79">
        <f>IF($N122="",0,INDEX(TAHSILAT!$F$7:$F$2503,$T122))</f>
        <v>12000</v>
      </c>
      <c r="R122" s="1">
        <v>0</v>
      </c>
      <c r="S122" s="1">
        <f t="shared" si="20"/>
        <v>4611200085</v>
      </c>
      <c r="T122" s="1">
        <f>IFERROR(MATCH($C$36&amp;"|49",TAHSILAT!$U$7:$U$2503,0),0)</f>
        <v>202</v>
      </c>
      <c r="U122" s="1"/>
      <c r="V122" s="1">
        <f t="shared" si="21"/>
        <v>4614200549</v>
      </c>
      <c r="W122" s="1">
        <f t="shared" si="22"/>
        <v>549</v>
      </c>
    </row>
    <row r="123" spans="1:23" ht="19.5" customHeight="1" x14ac:dyDescent="0.3">
      <c r="A123" s="2"/>
      <c r="B123" s="65">
        <f t="shared" si="14"/>
        <v>86</v>
      </c>
      <c r="C123" s="70">
        <f t="shared" si="15"/>
        <v>46142</v>
      </c>
      <c r="D123" s="180" t="str">
        <f t="shared" si="16"/>
        <v>MERKEZ KASA → ÖMER KARTAL – FADİME HORUZCU MUHASEBE ÜCRETİ</v>
      </c>
      <c r="E123" s="139"/>
      <c r="F123" s="65" t="str">
        <f t="shared" si="17"/>
        <v>VİRMAN GELDİ</v>
      </c>
      <c r="G123" s="68">
        <f t="shared" si="18"/>
        <v>2000</v>
      </c>
      <c r="H123" s="68">
        <f t="shared" si="19"/>
        <v>0</v>
      </c>
      <c r="I123" s="68">
        <f t="shared" si="23"/>
        <v>260297.01</v>
      </c>
      <c r="J123" s="2"/>
      <c r="K123" s="2"/>
      <c r="L123" s="1"/>
      <c r="M123" s="1">
        <v>86</v>
      </c>
      <c r="N123" s="71">
        <f>IF($T123=0,"",INDEX(TAHSILAT!$E$7:$E$2503,$T123))</f>
        <v>46112</v>
      </c>
      <c r="O123" s="1" t="str">
        <f>IF($N123="","",$C$36&amp;" – müşteriden tahsilat: "&amp;INDEX(TAHSILAT!$N$7:$N$2503,$T123)&amp;IF(INDEX(TAHSILAT!$J$7:$J$2503,$T123)="",""," – "&amp;INDEX(TAHSILAT!$J$7:$J$2503,$T123)))</f>
        <v>ÖMER KARTAL – müşteriden tahsilat: MONAMOUR LTD.ŞTİ. – ÖMER KARTALA ÖDENEN</v>
      </c>
      <c r="P123" s="1" t="str">
        <f t="shared" si="13"/>
        <v>MÜŞTERİDEN ALDI</v>
      </c>
      <c r="Q123" s="79">
        <f>IF($N123="",0,INDEX(TAHSILAT!$F$7:$F$2503,$T123))</f>
        <v>7000</v>
      </c>
      <c r="R123" s="1">
        <v>0</v>
      </c>
      <c r="S123" s="1">
        <f t="shared" si="20"/>
        <v>4611200086</v>
      </c>
      <c r="T123" s="1">
        <f>IFERROR(MATCH($C$36&amp;"|50",TAHSILAT!$U$7:$U$2503,0),0)</f>
        <v>203</v>
      </c>
      <c r="U123" s="1"/>
      <c r="V123" s="1">
        <f t="shared" si="21"/>
        <v>4614200550</v>
      </c>
      <c r="W123" s="1">
        <f t="shared" si="22"/>
        <v>550</v>
      </c>
    </row>
    <row r="124" spans="1:23" ht="19.5" customHeight="1" x14ac:dyDescent="0.3">
      <c r="A124" s="2"/>
      <c r="B124" s="65">
        <f t="shared" si="14"/>
        <v>87</v>
      </c>
      <c r="C124" s="70">
        <f t="shared" si="15"/>
        <v>46142</v>
      </c>
      <c r="D124" s="180" t="str">
        <f t="shared" si="16"/>
        <v>MERKEZ KASA → ÖMER KARTAL – KÂR PAYI / AVANS ÇEKİŞİ — Nisan Ayı Kâr Payı Ödemesi — eski GELIR_GIDER satır 134</v>
      </c>
      <c r="E124" s="139"/>
      <c r="F124" s="65" t="str">
        <f t="shared" si="17"/>
        <v>VİRMAN GELDİ</v>
      </c>
      <c r="G124" s="68">
        <f t="shared" si="18"/>
        <v>137353</v>
      </c>
      <c r="H124" s="68">
        <f t="shared" si="19"/>
        <v>0</v>
      </c>
      <c r="I124" s="68">
        <f t="shared" si="23"/>
        <v>397650.01</v>
      </c>
      <c r="J124" s="2"/>
      <c r="K124" s="2"/>
      <c r="L124" s="1"/>
      <c r="M124" s="1">
        <v>87</v>
      </c>
      <c r="N124" s="71">
        <f>IF($T124=0,"",INDEX(TAHSILAT!$E$7:$E$2503,$T124))</f>
        <v>46122</v>
      </c>
      <c r="O124" s="1" t="str">
        <f>IF($N124="","",$C$36&amp;" – müşteriden tahsilat: "&amp;INDEX(TAHSILAT!$N$7:$N$2503,$T124)&amp;IF(INDEX(TAHSILAT!$J$7:$J$2503,$T124)="",""," – "&amp;INDEX(TAHSILAT!$J$7:$J$2503,$T124)))</f>
        <v>ÖMER KARTAL – müşteriden tahsilat: RASİM DEMİRCİ – NAKİT ÖDENEN</v>
      </c>
      <c r="P124" s="1" t="str">
        <f t="shared" si="13"/>
        <v>MÜŞTERİDEN ALDI</v>
      </c>
      <c r="Q124" s="79">
        <f>IF($N124="",0,INDEX(TAHSILAT!$F$7:$F$2503,$T124))</f>
        <v>10000</v>
      </c>
      <c r="R124" s="1">
        <v>0</v>
      </c>
      <c r="S124" s="1">
        <f t="shared" si="20"/>
        <v>4612200087</v>
      </c>
      <c r="T124" s="1">
        <f>IFERROR(MATCH($C$36&amp;"|51",TAHSILAT!$U$7:$U$2503,0),0)</f>
        <v>220</v>
      </c>
      <c r="U124" s="1"/>
      <c r="V124" s="1">
        <f t="shared" si="21"/>
        <v>4614200569</v>
      </c>
      <c r="W124" s="1">
        <f t="shared" si="22"/>
        <v>569</v>
      </c>
    </row>
    <row r="125" spans="1:23" ht="19.5" customHeight="1" x14ac:dyDescent="0.3">
      <c r="A125" s="2"/>
      <c r="B125" s="65">
        <f t="shared" si="14"/>
        <v>88</v>
      </c>
      <c r="C125" s="70">
        <f t="shared" si="15"/>
        <v>46144</v>
      </c>
      <c r="D125" s="180" t="str">
        <f t="shared" si="16"/>
        <v>MERKEZ KASA → ÖMER KARTAL – ÖMER NAKİT ÖDENEN ATO</v>
      </c>
      <c r="E125" s="139"/>
      <c r="F125" s="65" t="str">
        <f t="shared" si="17"/>
        <v>VİRMAN GELDİ</v>
      </c>
      <c r="G125" s="68">
        <f t="shared" si="18"/>
        <v>1000</v>
      </c>
      <c r="H125" s="68">
        <f t="shared" si="19"/>
        <v>0</v>
      </c>
      <c r="I125" s="68">
        <f t="shared" si="23"/>
        <v>398650.01</v>
      </c>
      <c r="J125" s="2"/>
      <c r="K125" s="2"/>
      <c r="L125" s="1"/>
      <c r="M125" s="1">
        <v>88</v>
      </c>
      <c r="N125" s="71">
        <f>IF($T125=0,"",INDEX(TAHSILAT!$E$7:$E$2503,$T125))</f>
        <v>46123</v>
      </c>
      <c r="O125" s="1" t="str">
        <f>IF($N125="","",$C$36&amp;" – müşteriden tahsilat: "&amp;INDEX(TAHSILAT!$N$7:$N$2503,$T125)&amp;IF(INDEX(TAHSILAT!$J$7:$J$2503,$T125)="",""," – "&amp;INDEX(TAHSILAT!$J$7:$J$2503,$T125)))</f>
        <v>ÖMER KARTAL – müşteriden tahsilat: ASIM AÇIKGÖZ – NAKİT ÖDENEN</v>
      </c>
      <c r="P125" s="1" t="str">
        <f t="shared" si="13"/>
        <v>MÜŞTERİDEN ALDI</v>
      </c>
      <c r="Q125" s="79">
        <f>IF($N125="",0,INDEX(TAHSILAT!$F$7:$F$2503,$T125))</f>
        <v>2000</v>
      </c>
      <c r="R125" s="1">
        <v>0</v>
      </c>
      <c r="S125" s="1">
        <f t="shared" si="20"/>
        <v>4612300088</v>
      </c>
      <c r="T125" s="1">
        <f>IFERROR(MATCH($C$36&amp;"|52",TAHSILAT!$U$7:$U$2503,0),0)</f>
        <v>221</v>
      </c>
      <c r="U125" s="1"/>
      <c r="V125" s="1">
        <f t="shared" si="21"/>
        <v>4614400551</v>
      </c>
      <c r="W125" s="1">
        <f t="shared" si="22"/>
        <v>551</v>
      </c>
    </row>
    <row r="126" spans="1:23" ht="19.5" customHeight="1" x14ac:dyDescent="0.3">
      <c r="A126" s="2"/>
      <c r="B126" s="65">
        <f t="shared" si="14"/>
        <v>89</v>
      </c>
      <c r="C126" s="70">
        <f t="shared" si="15"/>
        <v>46147</v>
      </c>
      <c r="D126" s="180" t="str">
        <f t="shared" si="16"/>
        <v>MERKEZ KASA → ÖMER KARTAL – GRAND 06 HASAN &amp; ÖMER BAKİYE</v>
      </c>
      <c r="E126" s="139"/>
      <c r="F126" s="65" t="str">
        <f t="shared" si="17"/>
        <v>VİRMAN GELDİ</v>
      </c>
      <c r="G126" s="68">
        <f t="shared" si="18"/>
        <v>23600</v>
      </c>
      <c r="H126" s="68">
        <f t="shared" si="19"/>
        <v>0</v>
      </c>
      <c r="I126" s="68">
        <f t="shared" si="23"/>
        <v>422250.01</v>
      </c>
      <c r="J126" s="2"/>
      <c r="K126" s="2"/>
      <c r="L126" s="1"/>
      <c r="M126" s="1">
        <v>89</v>
      </c>
      <c r="N126" s="71">
        <f>IF($T126=0,"",INDEX(TAHSILAT!$E$7:$E$2503,$T126))</f>
        <v>46123</v>
      </c>
      <c r="O126" s="1" t="str">
        <f>IF($N126="","",$C$36&amp;" – müşteriden tahsilat: "&amp;INDEX(TAHSILAT!$N$7:$N$2503,$T126)&amp;IF(INDEX(TAHSILAT!$J$7:$J$2503,$T126)="",""," – "&amp;INDEX(TAHSILAT!$J$7:$J$2503,$T126)))</f>
        <v>ÖMER KARTAL – müşteriden tahsilat: ASM EĞLENCE LTD.ŞTİ. – NAKİT ÖDENEN</v>
      </c>
      <c r="P126" s="1" t="str">
        <f t="shared" si="13"/>
        <v>MÜŞTERİDEN ALDI</v>
      </c>
      <c r="Q126" s="79">
        <f>IF($N126="",0,INDEX(TAHSILAT!$F$7:$F$2503,$T126))</f>
        <v>2500</v>
      </c>
      <c r="R126" s="1">
        <v>0</v>
      </c>
      <c r="S126" s="1">
        <f t="shared" si="20"/>
        <v>4612300089</v>
      </c>
      <c r="T126" s="1">
        <f>IFERROR(MATCH($C$36&amp;"|53",TAHSILAT!$U$7:$U$2503,0),0)</f>
        <v>222</v>
      </c>
      <c r="U126" s="1"/>
      <c r="V126" s="1">
        <f t="shared" si="21"/>
        <v>4614700552</v>
      </c>
      <c r="W126" s="1">
        <f t="shared" si="22"/>
        <v>552</v>
      </c>
    </row>
    <row r="127" spans="1:23" ht="19.5" customHeight="1" x14ac:dyDescent="0.3">
      <c r="A127" s="2"/>
      <c r="B127" s="65">
        <f t="shared" si="14"/>
        <v>90</v>
      </c>
      <c r="C127" s="70">
        <f t="shared" si="15"/>
        <v>46151</v>
      </c>
      <c r="D127" s="180" t="str">
        <f t="shared" si="16"/>
        <v>ÖMER KARTAL – müşteriden tahsilat: EĞLENGÖR LTD.ŞTİ. – ÖMER KARTALA ÖDENEN</v>
      </c>
      <c r="E127" s="139"/>
      <c r="F127" s="65" t="str">
        <f t="shared" si="17"/>
        <v>MÜŞTERİDEN ALDI</v>
      </c>
      <c r="G127" s="68">
        <f t="shared" si="18"/>
        <v>4000</v>
      </c>
      <c r="H127" s="68">
        <f t="shared" si="19"/>
        <v>0</v>
      </c>
      <c r="I127" s="68">
        <f t="shared" si="23"/>
        <v>426250.01</v>
      </c>
      <c r="J127" s="2"/>
      <c r="K127" s="2"/>
      <c r="L127" s="1"/>
      <c r="M127" s="1">
        <v>90</v>
      </c>
      <c r="N127" s="71">
        <f>IF($T127=0,"",INDEX(TAHSILAT!$E$7:$E$2503,$T127))</f>
        <v>46123</v>
      </c>
      <c r="O127" s="1" t="str">
        <f>IF($N127="","",$C$36&amp;" – müşteriden tahsilat: "&amp;INDEX(TAHSILAT!$N$7:$N$2503,$T127)&amp;IF(INDEX(TAHSILAT!$J$7:$J$2503,$T127)="",""," – "&amp;INDEX(TAHSILAT!$J$7:$J$2503,$T127)))</f>
        <v>ÖMER KARTAL – müşteriden tahsilat: ÇAYIRALAN LTD.ŞTİ. – ÖMER KARTALA ÖDENEN</v>
      </c>
      <c r="P127" s="1" t="str">
        <f t="shared" si="13"/>
        <v>MÜŞTERİDEN ALDI</v>
      </c>
      <c r="Q127" s="79">
        <f>IF($N127="",0,INDEX(TAHSILAT!$F$7:$F$2503,$T127))</f>
        <v>3000</v>
      </c>
      <c r="R127" s="1">
        <v>0</v>
      </c>
      <c r="S127" s="1">
        <f t="shared" si="20"/>
        <v>4612300090</v>
      </c>
      <c r="T127" s="1">
        <f>IFERROR(MATCH($C$36&amp;"|54",TAHSILAT!$U$7:$U$2503,0),0)</f>
        <v>223</v>
      </c>
      <c r="U127" s="1"/>
      <c r="V127" s="1">
        <f t="shared" si="21"/>
        <v>4615100100</v>
      </c>
      <c r="W127" s="1">
        <f t="shared" si="22"/>
        <v>100</v>
      </c>
    </row>
    <row r="128" spans="1:23" ht="19.5" customHeight="1" x14ac:dyDescent="0.3">
      <c r="A128" s="2"/>
      <c r="B128" s="65">
        <f t="shared" si="14"/>
        <v>91</v>
      </c>
      <c r="C128" s="70">
        <f t="shared" si="15"/>
        <v>46151</v>
      </c>
      <c r="D128" s="180" t="str">
        <f t="shared" si="16"/>
        <v>ÖMER KARTAL – müşteriden tahsilat: İLDEŞ LTD.ŞTİ. – ÖMER KARTALA ÖDENEN</v>
      </c>
      <c r="E128" s="139"/>
      <c r="F128" s="65" t="str">
        <f t="shared" si="17"/>
        <v>MÜŞTERİDEN ALDI</v>
      </c>
      <c r="G128" s="68">
        <f t="shared" si="18"/>
        <v>4000</v>
      </c>
      <c r="H128" s="68">
        <f t="shared" si="19"/>
        <v>0</v>
      </c>
      <c r="I128" s="68">
        <f t="shared" si="23"/>
        <v>430250.01</v>
      </c>
      <c r="J128" s="2"/>
      <c r="K128" s="2"/>
      <c r="L128" s="1"/>
      <c r="M128" s="1">
        <v>91</v>
      </c>
      <c r="N128" s="71">
        <f>IF($T128=0,"",INDEX(TAHSILAT!$E$7:$E$2503,$T128))</f>
        <v>46123</v>
      </c>
      <c r="O128" s="1" t="str">
        <f>IF($N128="","",$C$36&amp;" – müşteriden tahsilat: "&amp;INDEX(TAHSILAT!$N$7:$N$2503,$T128)&amp;IF(INDEX(TAHSILAT!$J$7:$J$2503,$T128)="",""," – "&amp;INDEX(TAHSILAT!$J$7:$J$2503,$T128)))</f>
        <v>ÖMER KARTAL – müşteriden tahsilat: İBRAHİM MALDAN – ÖMER KARTALA ÖDENEN</v>
      </c>
      <c r="P128" s="1" t="str">
        <f t="shared" si="13"/>
        <v>MÜŞTERİDEN ALDI</v>
      </c>
      <c r="Q128" s="79">
        <f>IF($N128="",0,INDEX(TAHSILAT!$F$7:$F$2503,$T128))</f>
        <v>4000</v>
      </c>
      <c r="R128" s="1">
        <v>0</v>
      </c>
      <c r="S128" s="1">
        <f t="shared" si="20"/>
        <v>4612300091</v>
      </c>
      <c r="T128" s="1">
        <f>IFERROR(MATCH($C$36&amp;"|55",TAHSILAT!$U$7:$U$2503,0),0)</f>
        <v>224</v>
      </c>
      <c r="U128" s="1"/>
      <c r="V128" s="1">
        <f t="shared" si="21"/>
        <v>4615100101</v>
      </c>
      <c r="W128" s="1">
        <f t="shared" si="22"/>
        <v>101</v>
      </c>
    </row>
    <row r="129" spans="1:23" ht="19.5" customHeight="1" x14ac:dyDescent="0.3">
      <c r="A129" s="2"/>
      <c r="B129" s="65">
        <f t="shared" si="14"/>
        <v>92</v>
      </c>
      <c r="C129" s="70">
        <f t="shared" si="15"/>
        <v>46151</v>
      </c>
      <c r="D129" s="180" t="str">
        <f t="shared" si="16"/>
        <v>ÖMER KARTAL – müşteriden tahsilat: PAKYILDIZ LTD.ŞTİ. – ÖMER KARTALA ÖDENEN</v>
      </c>
      <c r="E129" s="139"/>
      <c r="F129" s="65" t="str">
        <f t="shared" si="17"/>
        <v>MÜŞTERİDEN ALDI</v>
      </c>
      <c r="G129" s="68">
        <f t="shared" si="18"/>
        <v>4000</v>
      </c>
      <c r="H129" s="68">
        <f t="shared" si="19"/>
        <v>0</v>
      </c>
      <c r="I129" s="68">
        <f t="shared" si="23"/>
        <v>434250.01</v>
      </c>
      <c r="J129" s="2"/>
      <c r="K129" s="2"/>
      <c r="L129" s="1"/>
      <c r="M129" s="1">
        <v>92</v>
      </c>
      <c r="N129" s="71">
        <f>IF($T129=0,"",INDEX(TAHSILAT!$E$7:$E$2503,$T129))</f>
        <v>46123</v>
      </c>
      <c r="O129" s="1" t="str">
        <f>IF($N129="","",$C$36&amp;" – müşteriden tahsilat: "&amp;INDEX(TAHSILAT!$N$7:$N$2503,$T129)&amp;IF(INDEX(TAHSILAT!$J$7:$J$2503,$T129)="",""," – "&amp;INDEX(TAHSILAT!$J$7:$J$2503,$T129)))</f>
        <v>ÖMER KARTAL – müşteriden tahsilat: PAKYILDIZ LTD.ŞTİ. – ÖMER KARTALA ÖDENEN</v>
      </c>
      <c r="P129" s="1" t="str">
        <f t="shared" si="13"/>
        <v>MÜŞTERİDEN ALDI</v>
      </c>
      <c r="Q129" s="79">
        <f>IF($N129="",0,INDEX(TAHSILAT!$F$7:$F$2503,$T129))</f>
        <v>4000</v>
      </c>
      <c r="R129" s="1">
        <v>0</v>
      </c>
      <c r="S129" s="1">
        <f t="shared" si="20"/>
        <v>4612300092</v>
      </c>
      <c r="T129" s="1">
        <f>IFERROR(MATCH($C$36&amp;"|56",TAHSILAT!$U$7:$U$2503,0),0)</f>
        <v>225</v>
      </c>
      <c r="U129" s="1"/>
      <c r="V129" s="1">
        <f t="shared" si="21"/>
        <v>4615100102</v>
      </c>
      <c r="W129" s="1">
        <f t="shared" si="22"/>
        <v>102</v>
      </c>
    </row>
    <row r="130" spans="1:23" ht="19.5" customHeight="1" x14ac:dyDescent="0.3">
      <c r="A130" s="2"/>
      <c r="B130" s="65">
        <f t="shared" si="14"/>
        <v>93</v>
      </c>
      <c r="C130" s="70">
        <f t="shared" si="15"/>
        <v>46151</v>
      </c>
      <c r="D130" s="180" t="str">
        <f t="shared" si="16"/>
        <v>ÖMER KARTAL – müşteriden tahsilat: ÇINARHAN LTD.ŞTİ. – NAKİT ÖDENEN</v>
      </c>
      <c r="E130" s="139"/>
      <c r="F130" s="65" t="str">
        <f t="shared" si="17"/>
        <v>MÜŞTERİDEN ALDI</v>
      </c>
      <c r="G130" s="68">
        <f t="shared" si="18"/>
        <v>2500</v>
      </c>
      <c r="H130" s="68">
        <f t="shared" si="19"/>
        <v>0</v>
      </c>
      <c r="I130" s="68">
        <f t="shared" si="23"/>
        <v>436750.01</v>
      </c>
      <c r="J130" s="2"/>
      <c r="K130" s="2"/>
      <c r="L130" s="1"/>
      <c r="M130" s="1">
        <v>93</v>
      </c>
      <c r="N130" s="71">
        <f>IF($T130=0,"",INDEX(TAHSILAT!$E$7:$E$2503,$T130))</f>
        <v>46123</v>
      </c>
      <c r="O130" s="1" t="str">
        <f>IF($N130="","",$C$36&amp;" – müşteriden tahsilat: "&amp;INDEX(TAHSILAT!$N$7:$N$2503,$T130)&amp;IF(INDEX(TAHSILAT!$J$7:$J$2503,$T130)="",""," – "&amp;INDEX(TAHSILAT!$J$7:$J$2503,$T130)))</f>
        <v>ÖMER KARTAL – müşteriden tahsilat: RİX ŞOW LTD.ŞTİ. – ÖMER KARTALA ÖDENEN</v>
      </c>
      <c r="P130" s="1" t="str">
        <f t="shared" si="13"/>
        <v>MÜŞTERİDEN ALDI</v>
      </c>
      <c r="Q130" s="79">
        <f>IF($N130="",0,INDEX(TAHSILAT!$F$7:$F$2503,$T130))</f>
        <v>3000</v>
      </c>
      <c r="R130" s="1">
        <v>0</v>
      </c>
      <c r="S130" s="1">
        <f t="shared" si="20"/>
        <v>4612300093</v>
      </c>
      <c r="T130" s="1">
        <f>IFERROR(MATCH($C$36&amp;"|57",TAHSILAT!$U$7:$U$2503,0),0)</f>
        <v>226</v>
      </c>
      <c r="U130" s="1"/>
      <c r="V130" s="1">
        <f t="shared" si="21"/>
        <v>4615100103</v>
      </c>
      <c r="W130" s="1">
        <f t="shared" si="22"/>
        <v>103</v>
      </c>
    </row>
    <row r="131" spans="1:23" ht="19.5" customHeight="1" x14ac:dyDescent="0.3">
      <c r="A131" s="2"/>
      <c r="B131" s="65">
        <f t="shared" si="14"/>
        <v>94</v>
      </c>
      <c r="C131" s="70">
        <f t="shared" si="15"/>
        <v>46151</v>
      </c>
      <c r="D131" s="180" t="str">
        <f t="shared" si="16"/>
        <v>ÖMER KARTAL – müşteriden tahsilat: ÇINARHAN LTD.ŞTİ. – NAKİT ÖDENEN</v>
      </c>
      <c r="E131" s="139"/>
      <c r="F131" s="65" t="str">
        <f t="shared" si="17"/>
        <v>MÜŞTERİDEN ALDI</v>
      </c>
      <c r="G131" s="68">
        <f t="shared" si="18"/>
        <v>17500</v>
      </c>
      <c r="H131" s="68">
        <f t="shared" si="19"/>
        <v>0</v>
      </c>
      <c r="I131" s="68">
        <f t="shared" si="23"/>
        <v>454250.01</v>
      </c>
      <c r="J131" s="2"/>
      <c r="K131" s="2"/>
      <c r="L131" s="1"/>
      <c r="M131" s="1">
        <v>94</v>
      </c>
      <c r="N131" s="71">
        <f>IF($T131=0,"",INDEX(TAHSILAT!$E$7:$E$2503,$T131))</f>
        <v>46123</v>
      </c>
      <c r="O131" s="1" t="str">
        <f>IF($N131="","",$C$36&amp;" – müşteriden tahsilat: "&amp;INDEX(TAHSILAT!$N$7:$N$2503,$T131)&amp;IF(INDEX(TAHSILAT!$J$7:$J$2503,$T131)="",""," – "&amp;INDEX(TAHSILAT!$J$7:$J$2503,$T131)))</f>
        <v>ÖMER KARTAL – müşteriden tahsilat: ÇINARHAN LTD.ŞTİ. – NAKİT ÖDENEN</v>
      </c>
      <c r="P131" s="1" t="str">
        <f t="shared" si="13"/>
        <v>MÜŞTERİDEN ALDI</v>
      </c>
      <c r="Q131" s="79">
        <f>IF($N131="",0,INDEX(TAHSILAT!$F$7:$F$2503,$T131))</f>
        <v>2500</v>
      </c>
      <c r="R131" s="1">
        <v>0</v>
      </c>
      <c r="S131" s="1">
        <f t="shared" si="20"/>
        <v>4612300094</v>
      </c>
      <c r="T131" s="1">
        <f>IFERROR(MATCH($C$36&amp;"|58",TAHSILAT!$U$7:$U$2503,0),0)</f>
        <v>227</v>
      </c>
      <c r="U131" s="1"/>
      <c r="V131" s="1">
        <f t="shared" si="21"/>
        <v>4615100104</v>
      </c>
      <c r="W131" s="1">
        <f t="shared" si="22"/>
        <v>104</v>
      </c>
    </row>
    <row r="132" spans="1:23" ht="19.5" customHeight="1" x14ac:dyDescent="0.3">
      <c r="A132" s="2"/>
      <c r="B132" s="65">
        <f t="shared" si="14"/>
        <v>95</v>
      </c>
      <c r="C132" s="70">
        <f t="shared" si="15"/>
        <v>46151</v>
      </c>
      <c r="D132" s="180" t="str">
        <f t="shared" si="16"/>
        <v>ÖMER KARTAL – müşteriden tahsilat: PALAOĞULLARI LTD.ŞTİ. – NAKİT ÖDENEN</v>
      </c>
      <c r="E132" s="139"/>
      <c r="F132" s="65" t="str">
        <f t="shared" si="17"/>
        <v>MÜŞTERİDEN ALDI</v>
      </c>
      <c r="G132" s="68">
        <f t="shared" si="18"/>
        <v>4000</v>
      </c>
      <c r="H132" s="68">
        <f t="shared" si="19"/>
        <v>0</v>
      </c>
      <c r="I132" s="68">
        <f t="shared" si="23"/>
        <v>458250.01</v>
      </c>
      <c r="J132" s="2"/>
      <c r="K132" s="2"/>
      <c r="L132" s="1"/>
      <c r="M132" s="1">
        <v>95</v>
      </c>
      <c r="N132" s="71">
        <f>IF($T132=0,"",INDEX(TAHSILAT!$E$7:$E$2503,$T132))</f>
        <v>46123</v>
      </c>
      <c r="O132" s="1" t="str">
        <f>IF($N132="","",$C$36&amp;" – müşteriden tahsilat: "&amp;INDEX(TAHSILAT!$N$7:$N$2503,$T132)&amp;IF(INDEX(TAHSILAT!$J$7:$J$2503,$T132)="",""," – "&amp;INDEX(TAHSILAT!$J$7:$J$2503,$T132)))</f>
        <v>ÖMER KARTAL – müşteriden tahsilat: KRİSTAL LTD.ŞTİ. – NAKİT ÖDENEN</v>
      </c>
      <c r="P132" s="1" t="str">
        <f t="shared" si="13"/>
        <v>MÜŞTERİDEN ALDI</v>
      </c>
      <c r="Q132" s="79">
        <f>IF($N132="",0,INDEX(TAHSILAT!$F$7:$F$2503,$T132))</f>
        <v>3000</v>
      </c>
      <c r="R132" s="1">
        <v>0</v>
      </c>
      <c r="S132" s="1">
        <f t="shared" si="20"/>
        <v>4612300095</v>
      </c>
      <c r="T132" s="1">
        <f>IFERROR(MATCH($C$36&amp;"|59",TAHSILAT!$U$7:$U$2503,0),0)</f>
        <v>228</v>
      </c>
      <c r="U132" s="1"/>
      <c r="V132" s="1">
        <f t="shared" si="21"/>
        <v>4615100105</v>
      </c>
      <c r="W132" s="1">
        <f t="shared" si="22"/>
        <v>105</v>
      </c>
    </row>
    <row r="133" spans="1:23" ht="19.5" customHeight="1" x14ac:dyDescent="0.3">
      <c r="A133" s="2"/>
      <c r="B133" s="65">
        <f t="shared" si="14"/>
        <v>96</v>
      </c>
      <c r="C133" s="70">
        <f t="shared" si="15"/>
        <v>46157</v>
      </c>
      <c r="D133" s="180" t="str">
        <f t="shared" si="16"/>
        <v>ÖMER KARTAL – müşteriden tahsilat: UFUK YILMAZ – NAKİT ÖDENEN</v>
      </c>
      <c r="E133" s="139"/>
      <c r="F133" s="65" t="str">
        <f t="shared" si="17"/>
        <v>MÜŞTERİDEN ALDI</v>
      </c>
      <c r="G133" s="68">
        <f t="shared" si="18"/>
        <v>3000</v>
      </c>
      <c r="H133" s="68">
        <f t="shared" si="19"/>
        <v>0</v>
      </c>
      <c r="I133" s="68">
        <f t="shared" si="23"/>
        <v>461250.01</v>
      </c>
      <c r="J133" s="2"/>
      <c r="K133" s="2"/>
      <c r="L133" s="1"/>
      <c r="M133" s="1">
        <v>96</v>
      </c>
      <c r="N133" s="71">
        <f>IF($T133=0,"",INDEX(TAHSILAT!$E$7:$E$2503,$T133))</f>
        <v>46123</v>
      </c>
      <c r="O133" s="1" t="str">
        <f>IF($N133="","",$C$36&amp;" – müşteriden tahsilat: "&amp;INDEX(TAHSILAT!$N$7:$N$2503,$T133)&amp;IF(INDEX(TAHSILAT!$J$7:$J$2503,$T133)="",""," – "&amp;INDEX(TAHSILAT!$J$7:$J$2503,$T133)))</f>
        <v>ÖMER KARTAL – müşteriden tahsilat: PALAOĞULLARI LTD.ŞTİ. – NAKİT ÖDENEN</v>
      </c>
      <c r="P133" s="1" t="str">
        <f t="shared" si="13"/>
        <v>MÜŞTERİDEN ALDI</v>
      </c>
      <c r="Q133" s="79">
        <f>IF($N133="",0,INDEX(TAHSILAT!$F$7:$F$2503,$T133))</f>
        <v>4000</v>
      </c>
      <c r="R133" s="1">
        <v>0</v>
      </c>
      <c r="S133" s="1">
        <f t="shared" si="20"/>
        <v>4612300096</v>
      </c>
      <c r="T133" s="1">
        <f>IFERROR(MATCH($C$36&amp;"|60",TAHSILAT!$U$7:$U$2503,0),0)</f>
        <v>229</v>
      </c>
      <c r="U133" s="1"/>
      <c r="V133" s="1">
        <f t="shared" si="21"/>
        <v>4615700106</v>
      </c>
      <c r="W133" s="1">
        <f t="shared" si="22"/>
        <v>106</v>
      </c>
    </row>
    <row r="134" spans="1:23" ht="19.5" customHeight="1" x14ac:dyDescent="0.3">
      <c r="A134" s="2"/>
      <c r="B134" s="65">
        <f t="shared" si="14"/>
        <v>97</v>
      </c>
      <c r="C134" s="70">
        <f t="shared" si="15"/>
        <v>46158</v>
      </c>
      <c r="D134" s="180" t="str">
        <f t="shared" si="16"/>
        <v>ÖMER KARTAL – müşteriden tahsilat: ASM EĞLENCE LTD.ŞTİ. – NAKİT ÖDENEN</v>
      </c>
      <c r="E134" s="139"/>
      <c r="F134" s="65" t="str">
        <f t="shared" si="17"/>
        <v>MÜŞTERİDEN ALDI</v>
      </c>
      <c r="G134" s="68">
        <f t="shared" si="18"/>
        <v>2500</v>
      </c>
      <c r="H134" s="68">
        <f t="shared" si="19"/>
        <v>0</v>
      </c>
      <c r="I134" s="68">
        <f t="shared" si="23"/>
        <v>463750.01</v>
      </c>
      <c r="J134" s="2"/>
      <c r="K134" s="2"/>
      <c r="L134" s="1"/>
      <c r="M134" s="1">
        <v>97</v>
      </c>
      <c r="N134" s="71">
        <f>IF($T134=0,"",INDEX(TAHSILAT!$E$7:$E$2503,$T134))</f>
        <v>46124</v>
      </c>
      <c r="O134" s="1" t="str">
        <f>IF($N134="","",$C$36&amp;" – müşteriden tahsilat: "&amp;INDEX(TAHSILAT!$N$7:$N$2503,$T134)&amp;IF(INDEX(TAHSILAT!$J$7:$J$2503,$T134)="",""," – "&amp;INDEX(TAHSILAT!$J$7:$J$2503,$T134)))</f>
        <v>ÖMER KARTAL – müşteriden tahsilat: MONAMOUR LTD.ŞTİ. – ÖMER KARTALA ÖDENEN</v>
      </c>
      <c r="P134" s="1" t="str">
        <f t="shared" si="13"/>
        <v>MÜŞTERİDEN ALDI</v>
      </c>
      <c r="Q134" s="79">
        <f>IF($N134="",0,INDEX(TAHSILAT!$F$7:$F$2503,$T134))</f>
        <v>3500</v>
      </c>
      <c r="R134" s="1">
        <v>0</v>
      </c>
      <c r="S134" s="1">
        <f t="shared" si="20"/>
        <v>4612400097</v>
      </c>
      <c r="T134" s="1">
        <f>IFERROR(MATCH($C$36&amp;"|61",TAHSILAT!$U$7:$U$2503,0),0)</f>
        <v>234</v>
      </c>
      <c r="U134" s="1"/>
      <c r="V134" s="1">
        <f t="shared" si="21"/>
        <v>4615800107</v>
      </c>
      <c r="W134" s="1">
        <f t="shared" si="22"/>
        <v>107</v>
      </c>
    </row>
    <row r="135" spans="1:23" ht="19.5" customHeight="1" x14ac:dyDescent="0.3">
      <c r="A135" s="2"/>
      <c r="B135" s="65">
        <f t="shared" si="14"/>
        <v>98</v>
      </c>
      <c r="C135" s="70">
        <f t="shared" si="15"/>
        <v>46172</v>
      </c>
      <c r="D135" s="180" t="str">
        <f t="shared" si="16"/>
        <v>ÖMER KARTAL – müşteriden tahsilat: KRİSTAL LTD.ŞTİ. – NAKİT ÖDENEN</v>
      </c>
      <c r="E135" s="139"/>
      <c r="F135" s="65" t="str">
        <f t="shared" si="17"/>
        <v>MÜŞTERİDEN ALDI</v>
      </c>
      <c r="G135" s="68">
        <f t="shared" si="18"/>
        <v>6000</v>
      </c>
      <c r="H135" s="68">
        <f t="shared" si="19"/>
        <v>0</v>
      </c>
      <c r="I135" s="68">
        <f t="shared" si="23"/>
        <v>469750.01</v>
      </c>
      <c r="J135" s="2"/>
      <c r="K135" s="2"/>
      <c r="L135" s="1"/>
      <c r="M135" s="1">
        <v>98</v>
      </c>
      <c r="N135" s="71">
        <f>IF($T135=0,"",INDEX(TAHSILAT!$E$7:$E$2503,$T135))</f>
        <v>46126</v>
      </c>
      <c r="O135" s="1" t="str">
        <f>IF($N135="","",$C$36&amp;" – müşteriden tahsilat: "&amp;INDEX(TAHSILAT!$N$7:$N$2503,$T135)&amp;IF(INDEX(TAHSILAT!$J$7:$J$2503,$T135)="",""," – "&amp;INDEX(TAHSILAT!$J$7:$J$2503,$T135)))</f>
        <v>ÖMER KARTAL – müşteriden tahsilat: UFUK YILMAZ – NAKİT ÖDENEN</v>
      </c>
      <c r="P135" s="1" t="str">
        <f t="shared" si="13"/>
        <v>MÜŞTERİDEN ALDI</v>
      </c>
      <c r="Q135" s="79">
        <f>IF($N135="",0,INDEX(TAHSILAT!$F$7:$F$2503,$T135))</f>
        <v>3000</v>
      </c>
      <c r="R135" s="1">
        <v>0</v>
      </c>
      <c r="S135" s="1">
        <f t="shared" si="20"/>
        <v>4612600098</v>
      </c>
      <c r="T135" s="1">
        <f>IFERROR(MATCH($C$36&amp;"|62",TAHSILAT!$U$7:$U$2503,0),0)</f>
        <v>236</v>
      </c>
      <c r="U135" s="1"/>
      <c r="V135" s="1">
        <f t="shared" si="21"/>
        <v>4617200108</v>
      </c>
      <c r="W135" s="1">
        <f t="shared" si="22"/>
        <v>108</v>
      </c>
    </row>
    <row r="136" spans="1:23" ht="19.5" customHeight="1" x14ac:dyDescent="0.3">
      <c r="A136" s="2"/>
      <c r="B136" s="65">
        <f t="shared" si="14"/>
        <v>99</v>
      </c>
      <c r="C136" s="70">
        <f t="shared" si="15"/>
        <v>46173</v>
      </c>
      <c r="D136" s="180" t="str">
        <f t="shared" si="16"/>
        <v>ÖMER KARTAL – Mayıs 2026 kâr payı tahakkuku</v>
      </c>
      <c r="E136" s="139"/>
      <c r="F136" s="65" t="str">
        <f t="shared" si="17"/>
        <v>KÂR PAYI TAHAKKUKU</v>
      </c>
      <c r="G136" s="68">
        <f t="shared" si="18"/>
        <v>0</v>
      </c>
      <c r="H136" s="68">
        <f t="shared" si="19"/>
        <v>109773</v>
      </c>
      <c r="I136" s="68">
        <f t="shared" si="23"/>
        <v>359977.01</v>
      </c>
      <c r="J136" s="2"/>
      <c r="K136" s="2"/>
      <c r="L136" s="1"/>
      <c r="M136" s="1">
        <v>99</v>
      </c>
      <c r="N136" s="71">
        <f>IF($T136=0,"",INDEX(TAHSILAT!$E$7:$E$2503,$T136))</f>
        <v>46142</v>
      </c>
      <c r="O136" s="1" t="str">
        <f>IF($N136="","",$C$36&amp;" – müşteriden tahsilat: "&amp;INDEX(TAHSILAT!$N$7:$N$2503,$T136)&amp;IF(INDEX(TAHSILAT!$J$7:$J$2503,$T136)="",""," – "&amp;INDEX(TAHSILAT!$J$7:$J$2503,$T136)))</f>
        <v xml:space="preserve">ÖMER KARTAL – müşteriden tahsilat: ALTINEL LTD.ŞTİ. – ALTINEL LTD.ŞTİ. </v>
      </c>
      <c r="P136" s="1" t="str">
        <f t="shared" si="13"/>
        <v>MÜŞTERİDEN ALDI</v>
      </c>
      <c r="Q136" s="79">
        <f>IF($N136="",0,INDEX(TAHSILAT!$F$7:$F$2503,$T136))</f>
        <v>12000</v>
      </c>
      <c r="R136" s="1">
        <v>0</v>
      </c>
      <c r="S136" s="1">
        <f t="shared" si="20"/>
        <v>4614200099</v>
      </c>
      <c r="T136" s="1">
        <f>IFERROR(MATCH($C$36&amp;"|63",TAHSILAT!$U$7:$U$2503,0),0)</f>
        <v>274</v>
      </c>
      <c r="U136" s="1"/>
      <c r="V136" s="1">
        <f t="shared" si="21"/>
        <v>4617300005</v>
      </c>
      <c r="W136" s="1">
        <f t="shared" si="22"/>
        <v>5</v>
      </c>
    </row>
    <row r="137" spans="1:23" ht="19.5" customHeight="1" x14ac:dyDescent="0.3">
      <c r="A137" s="2"/>
      <c r="B137" s="65">
        <f t="shared" si="14"/>
        <v>100</v>
      </c>
      <c r="C137" s="70">
        <f t="shared" si="15"/>
        <v>46173</v>
      </c>
      <c r="D137" s="180" t="str">
        <f t="shared" si="16"/>
        <v xml:space="preserve">ÖMER KARTAL – müşteriden tahsilat: ALTINEL LTD.ŞTİ. – ALTINEL LTD.ŞTİ. </v>
      </c>
      <c r="E137" s="139"/>
      <c r="F137" s="65" t="str">
        <f t="shared" si="17"/>
        <v>MÜŞTERİDEN ALDI</v>
      </c>
      <c r="G137" s="68">
        <f t="shared" si="18"/>
        <v>12000</v>
      </c>
      <c r="H137" s="68">
        <f t="shared" si="19"/>
        <v>0</v>
      </c>
      <c r="I137" s="68">
        <f t="shared" si="23"/>
        <v>371977.01</v>
      </c>
      <c r="J137" s="2"/>
      <c r="K137" s="2"/>
      <c r="L137" s="1"/>
      <c r="M137" s="1">
        <v>100</v>
      </c>
      <c r="N137" s="71">
        <f>IF($T137=0,"",INDEX(TAHSILAT!$E$7:$E$2503,$T137))</f>
        <v>46151</v>
      </c>
      <c r="O137" s="1" t="str">
        <f>IF($N137="","",$C$36&amp;" – müşteriden tahsilat: "&amp;INDEX(TAHSILAT!$N$7:$N$2503,$T137)&amp;IF(INDEX(TAHSILAT!$J$7:$J$2503,$T137)="",""," – "&amp;INDEX(TAHSILAT!$J$7:$J$2503,$T137)))</f>
        <v>ÖMER KARTAL – müşteriden tahsilat: EĞLENGÖR LTD.ŞTİ. – ÖMER KARTALA ÖDENEN</v>
      </c>
      <c r="P137" s="1" t="str">
        <f t="shared" si="13"/>
        <v>MÜŞTERİDEN ALDI</v>
      </c>
      <c r="Q137" s="79">
        <f>IF($N137="",0,INDEX(TAHSILAT!$F$7:$F$2503,$T137))</f>
        <v>4000</v>
      </c>
      <c r="R137" s="1">
        <v>0</v>
      </c>
      <c r="S137" s="1">
        <f t="shared" si="20"/>
        <v>4615100100</v>
      </c>
      <c r="T137" s="1">
        <f>IFERROR(MATCH($C$36&amp;"|64",TAHSILAT!$U$7:$U$2503,0),0)</f>
        <v>293</v>
      </c>
      <c r="U137" s="1"/>
      <c r="V137" s="1">
        <f t="shared" si="21"/>
        <v>4617300109</v>
      </c>
      <c r="W137" s="1">
        <f t="shared" si="22"/>
        <v>109</v>
      </c>
    </row>
    <row r="138" spans="1:23" ht="19.5" customHeight="1" x14ac:dyDescent="0.3">
      <c r="A138" s="2"/>
      <c r="B138" s="65">
        <f t="shared" si="14"/>
        <v>101</v>
      </c>
      <c r="C138" s="70">
        <f t="shared" si="15"/>
        <v>46173</v>
      </c>
      <c r="D138" s="180" t="str">
        <f t="shared" si="16"/>
        <v xml:space="preserve">MERKEZ KASA → ÖMER KARTAL – ÖMER TATİLDEYKEN HAVALE </v>
      </c>
      <c r="E138" s="139"/>
      <c r="F138" s="65" t="str">
        <f t="shared" si="17"/>
        <v>VİRMAN GELDİ</v>
      </c>
      <c r="G138" s="68">
        <f t="shared" si="18"/>
        <v>17000</v>
      </c>
      <c r="H138" s="68">
        <f t="shared" si="19"/>
        <v>0</v>
      </c>
      <c r="I138" s="68">
        <f t="shared" si="23"/>
        <v>388977.01</v>
      </c>
      <c r="J138" s="2"/>
      <c r="K138" s="2"/>
      <c r="L138" s="1"/>
      <c r="M138" s="1">
        <v>101</v>
      </c>
      <c r="N138" s="71">
        <f>IF($T138=0,"",INDEX(TAHSILAT!$E$7:$E$2503,$T138))</f>
        <v>46151</v>
      </c>
      <c r="O138" s="1" t="str">
        <f>IF($N138="","",$C$36&amp;" – müşteriden tahsilat: "&amp;INDEX(TAHSILAT!$N$7:$N$2503,$T138)&amp;IF(INDEX(TAHSILAT!$J$7:$J$2503,$T138)="",""," – "&amp;INDEX(TAHSILAT!$J$7:$J$2503,$T138)))</f>
        <v>ÖMER KARTAL – müşteriden tahsilat: İLDEŞ LTD.ŞTİ. – ÖMER KARTALA ÖDENEN</v>
      </c>
      <c r="P138" s="1" t="str">
        <f t="shared" ref="P138:P201" si="24">IF($N138="","","MÜŞTERİDEN ALDI")</f>
        <v>MÜŞTERİDEN ALDI</v>
      </c>
      <c r="Q138" s="79">
        <f>IF($N138="",0,INDEX(TAHSILAT!$F$7:$F$2503,$T138))</f>
        <v>4000</v>
      </c>
      <c r="R138" s="1">
        <v>0</v>
      </c>
      <c r="S138" s="1">
        <f t="shared" si="20"/>
        <v>4615100101</v>
      </c>
      <c r="T138" s="1">
        <f>IFERROR(MATCH($C$36&amp;"|65",TAHSILAT!$U$7:$U$2503,0),0)</f>
        <v>294</v>
      </c>
      <c r="U138" s="1"/>
      <c r="V138" s="1">
        <f t="shared" si="21"/>
        <v>4617300553</v>
      </c>
      <c r="W138" s="1">
        <f t="shared" si="22"/>
        <v>553</v>
      </c>
    </row>
    <row r="139" spans="1:23" ht="19.5" customHeight="1" x14ac:dyDescent="0.3">
      <c r="A139" s="2"/>
      <c r="B139" s="65">
        <f t="shared" si="14"/>
        <v>102</v>
      </c>
      <c r="C139" s="70">
        <f t="shared" si="15"/>
        <v>46173</v>
      </c>
      <c r="D139" s="180" t="str">
        <f t="shared" si="16"/>
        <v>MERKEZ KASA → ÖMER KARTAL – PARİS GAZİNOSU SGK'LAR</v>
      </c>
      <c r="E139" s="139"/>
      <c r="F139" s="65" t="str">
        <f t="shared" si="17"/>
        <v>VİRMAN GELDİ</v>
      </c>
      <c r="G139" s="68">
        <f t="shared" si="18"/>
        <v>12000</v>
      </c>
      <c r="H139" s="68">
        <f t="shared" si="19"/>
        <v>0</v>
      </c>
      <c r="I139" s="68">
        <f t="shared" si="23"/>
        <v>400977.01</v>
      </c>
      <c r="J139" s="2"/>
      <c r="K139" s="2"/>
      <c r="L139" s="1"/>
      <c r="M139" s="1">
        <v>102</v>
      </c>
      <c r="N139" s="71">
        <f>IF($T139=0,"",INDEX(TAHSILAT!$E$7:$E$2503,$T139))</f>
        <v>46151</v>
      </c>
      <c r="O139" s="1" t="str">
        <f>IF($N139="","",$C$36&amp;" – müşteriden tahsilat: "&amp;INDEX(TAHSILAT!$N$7:$N$2503,$T139)&amp;IF(INDEX(TAHSILAT!$J$7:$J$2503,$T139)="",""," – "&amp;INDEX(TAHSILAT!$J$7:$J$2503,$T139)))</f>
        <v>ÖMER KARTAL – müşteriden tahsilat: PAKYILDIZ LTD.ŞTİ. – ÖMER KARTALA ÖDENEN</v>
      </c>
      <c r="P139" s="1" t="str">
        <f t="shared" si="24"/>
        <v>MÜŞTERİDEN ALDI</v>
      </c>
      <c r="Q139" s="79">
        <f>IF($N139="",0,INDEX(TAHSILAT!$F$7:$F$2503,$T139))</f>
        <v>4000</v>
      </c>
      <c r="R139" s="1">
        <v>0</v>
      </c>
      <c r="S139" s="1">
        <f t="shared" si="20"/>
        <v>4615100102</v>
      </c>
      <c r="T139" s="1">
        <f>IFERROR(MATCH($C$36&amp;"|66",TAHSILAT!$U$7:$U$2503,0),0)</f>
        <v>296</v>
      </c>
      <c r="U139" s="1"/>
      <c r="V139" s="1">
        <f t="shared" si="21"/>
        <v>4617300554</v>
      </c>
      <c r="W139" s="1">
        <f t="shared" si="22"/>
        <v>554</v>
      </c>
    </row>
    <row r="140" spans="1:23" ht="19.5" customHeight="1" x14ac:dyDescent="0.3">
      <c r="A140" s="2"/>
      <c r="B140" s="65">
        <f t="shared" si="14"/>
        <v>103</v>
      </c>
      <c r="C140" s="70">
        <f t="shared" si="15"/>
        <v>46173</v>
      </c>
      <c r="D140" s="180" t="str">
        <f t="shared" si="16"/>
        <v>MERKEZ KASA → ÖMER KARTAL – FADİME HORUZCU MUHASEBE ÜCRETİ</v>
      </c>
      <c r="E140" s="139"/>
      <c r="F140" s="65" t="str">
        <f t="shared" si="17"/>
        <v>VİRMAN GELDİ</v>
      </c>
      <c r="G140" s="68">
        <f t="shared" si="18"/>
        <v>2000</v>
      </c>
      <c r="H140" s="68">
        <f t="shared" si="19"/>
        <v>0</v>
      </c>
      <c r="I140" s="68">
        <f t="shared" si="23"/>
        <v>402977.01</v>
      </c>
      <c r="J140" s="2"/>
      <c r="K140" s="2"/>
      <c r="L140" s="1"/>
      <c r="M140" s="1">
        <v>103</v>
      </c>
      <c r="N140" s="71">
        <f>IF($T140=0,"",INDEX(TAHSILAT!$E$7:$E$2503,$T140))</f>
        <v>46151</v>
      </c>
      <c r="O140" s="1" t="str">
        <f>IF($N140="","",$C$36&amp;" – müşteriden tahsilat: "&amp;INDEX(TAHSILAT!$N$7:$N$2503,$T140)&amp;IF(INDEX(TAHSILAT!$J$7:$J$2503,$T140)="",""," – "&amp;INDEX(TAHSILAT!$J$7:$J$2503,$T140)))</f>
        <v>ÖMER KARTAL – müşteriden tahsilat: ÇINARHAN LTD.ŞTİ. – NAKİT ÖDENEN</v>
      </c>
      <c r="P140" s="1" t="str">
        <f t="shared" si="24"/>
        <v>MÜŞTERİDEN ALDI</v>
      </c>
      <c r="Q140" s="79">
        <f>IF($N140="",0,INDEX(TAHSILAT!$F$7:$F$2503,$T140))</f>
        <v>2500</v>
      </c>
      <c r="R140" s="1">
        <v>0</v>
      </c>
      <c r="S140" s="1">
        <f t="shared" si="20"/>
        <v>4615100103</v>
      </c>
      <c r="T140" s="1">
        <f>IFERROR(MATCH($C$36&amp;"|67",TAHSILAT!$U$7:$U$2503,0),0)</f>
        <v>299</v>
      </c>
      <c r="U140" s="1"/>
      <c r="V140" s="1">
        <f t="shared" si="21"/>
        <v>4617300555</v>
      </c>
      <c r="W140" s="1">
        <f t="shared" si="22"/>
        <v>555</v>
      </c>
    </row>
    <row r="141" spans="1:23" ht="19.5" customHeight="1" x14ac:dyDescent="0.3">
      <c r="A141" s="2"/>
      <c r="B141" s="65">
        <f t="shared" si="14"/>
        <v>104</v>
      </c>
      <c r="C141" s="70">
        <f t="shared" si="15"/>
        <v>46173</v>
      </c>
      <c r="D141" s="180" t="str">
        <f t="shared" si="16"/>
        <v>MERKEZ KASA → ÖMER KARTAL – KÂR PAYI / AVANS ÇEKİŞİ — Mayıs Ayı Kâr Payı Ödemesi — eski GELIR_GIDER satır 167</v>
      </c>
      <c r="E141" s="139"/>
      <c r="F141" s="65" t="str">
        <f t="shared" si="17"/>
        <v>VİRMAN GELDİ</v>
      </c>
      <c r="G141" s="68">
        <f t="shared" si="18"/>
        <v>109773</v>
      </c>
      <c r="H141" s="68">
        <f t="shared" si="19"/>
        <v>0</v>
      </c>
      <c r="I141" s="68">
        <f t="shared" si="23"/>
        <v>512750.01</v>
      </c>
      <c r="J141" s="2"/>
      <c r="K141" s="2"/>
      <c r="L141" s="1"/>
      <c r="M141" s="1">
        <v>104</v>
      </c>
      <c r="N141" s="71">
        <f>IF($T141=0,"",INDEX(TAHSILAT!$E$7:$E$2503,$T141))</f>
        <v>46151</v>
      </c>
      <c r="O141" s="1" t="str">
        <f>IF($N141="","",$C$36&amp;" – müşteriden tahsilat: "&amp;INDEX(TAHSILAT!$N$7:$N$2503,$T141)&amp;IF(INDEX(TAHSILAT!$J$7:$J$2503,$T141)="",""," – "&amp;INDEX(TAHSILAT!$J$7:$J$2503,$T141)))</f>
        <v>ÖMER KARTAL – müşteriden tahsilat: ÇINARHAN LTD.ŞTİ. – NAKİT ÖDENEN</v>
      </c>
      <c r="P141" s="1" t="str">
        <f t="shared" si="24"/>
        <v>MÜŞTERİDEN ALDI</v>
      </c>
      <c r="Q141" s="79">
        <f>IF($N141="",0,INDEX(TAHSILAT!$F$7:$F$2503,$T141))</f>
        <v>17500</v>
      </c>
      <c r="R141" s="1">
        <v>0</v>
      </c>
      <c r="S141" s="1">
        <f t="shared" si="20"/>
        <v>4615100104</v>
      </c>
      <c r="T141" s="1">
        <f>IFERROR(MATCH($C$36&amp;"|68",TAHSILAT!$U$7:$U$2503,0),0)</f>
        <v>300</v>
      </c>
      <c r="U141" s="1"/>
      <c r="V141" s="1">
        <f t="shared" si="21"/>
        <v>4617300570</v>
      </c>
      <c r="W141" s="1">
        <f t="shared" si="22"/>
        <v>570</v>
      </c>
    </row>
    <row r="142" spans="1:23" ht="19.5" customHeight="1" x14ac:dyDescent="0.3">
      <c r="A142" s="2"/>
      <c r="B142" s="65">
        <f t="shared" si="14"/>
        <v>105</v>
      </c>
      <c r="C142" s="70">
        <f t="shared" si="15"/>
        <v>46174</v>
      </c>
      <c r="D142" s="180" t="str">
        <f t="shared" si="16"/>
        <v xml:space="preserve">ÖMER KARTAL – müşteriden tahsilat: ALTINEL LTD.ŞTİ. – ALTINEL LTD.ŞTİ. </v>
      </c>
      <c r="E142" s="139"/>
      <c r="F142" s="65" t="str">
        <f t="shared" si="17"/>
        <v>MÜŞTERİDEN ALDI</v>
      </c>
      <c r="G142" s="68">
        <f t="shared" si="18"/>
        <v>12000</v>
      </c>
      <c r="H142" s="68">
        <f t="shared" si="19"/>
        <v>0</v>
      </c>
      <c r="I142" s="68">
        <f t="shared" si="23"/>
        <v>524750.01</v>
      </c>
      <c r="J142" s="2"/>
      <c r="K142" s="2"/>
      <c r="L142" s="1"/>
      <c r="M142" s="1">
        <v>105</v>
      </c>
      <c r="N142" s="71">
        <f>IF($T142=0,"",INDEX(TAHSILAT!$E$7:$E$2503,$T142))</f>
        <v>46151</v>
      </c>
      <c r="O142" s="1" t="str">
        <f>IF($N142="","",$C$36&amp;" – müşteriden tahsilat: "&amp;INDEX(TAHSILAT!$N$7:$N$2503,$T142)&amp;IF(INDEX(TAHSILAT!$J$7:$J$2503,$T142)="",""," – "&amp;INDEX(TAHSILAT!$J$7:$J$2503,$T142)))</f>
        <v>ÖMER KARTAL – müşteriden tahsilat: PALAOĞULLARI LTD.ŞTİ. – NAKİT ÖDENEN</v>
      </c>
      <c r="P142" s="1" t="str">
        <f t="shared" si="24"/>
        <v>MÜŞTERİDEN ALDI</v>
      </c>
      <c r="Q142" s="79">
        <f>IF($N142="",0,INDEX(TAHSILAT!$F$7:$F$2503,$T142))</f>
        <v>4000</v>
      </c>
      <c r="R142" s="1">
        <v>0</v>
      </c>
      <c r="S142" s="1">
        <f t="shared" si="20"/>
        <v>4615100105</v>
      </c>
      <c r="T142" s="1">
        <f>IFERROR(MATCH($C$36&amp;"|69",TAHSILAT!$U$7:$U$2503,0),0)</f>
        <v>302</v>
      </c>
      <c r="U142" s="1"/>
      <c r="V142" s="1">
        <f t="shared" si="21"/>
        <v>4617400110</v>
      </c>
      <c r="W142" s="1">
        <f t="shared" si="22"/>
        <v>110</v>
      </c>
    </row>
    <row r="143" spans="1:23" ht="19.5" customHeight="1" x14ac:dyDescent="0.3">
      <c r="A143" s="2"/>
      <c r="B143" s="65">
        <f t="shared" si="14"/>
        <v>106</v>
      </c>
      <c r="C143" s="70">
        <f t="shared" si="15"/>
        <v>46179</v>
      </c>
      <c r="D143" s="180" t="str">
        <f t="shared" si="16"/>
        <v>ÖMER KARTAL – müşteriden tahsilat: KRİSTAL LTD.ŞTİ. – NAKİT ÖDENEN</v>
      </c>
      <c r="E143" s="139"/>
      <c r="F143" s="65" t="str">
        <f t="shared" si="17"/>
        <v>MÜŞTERİDEN ALDI</v>
      </c>
      <c r="G143" s="68">
        <f t="shared" si="18"/>
        <v>3000</v>
      </c>
      <c r="H143" s="68">
        <f t="shared" si="19"/>
        <v>0</v>
      </c>
      <c r="I143" s="68">
        <f t="shared" si="23"/>
        <v>527750.01</v>
      </c>
      <c r="J143" s="2"/>
      <c r="K143" s="2"/>
      <c r="L143" s="1"/>
      <c r="M143" s="1">
        <v>106</v>
      </c>
      <c r="N143" s="71">
        <f>IF($T143=0,"",INDEX(TAHSILAT!$E$7:$E$2503,$T143))</f>
        <v>46157</v>
      </c>
      <c r="O143" s="1" t="str">
        <f>IF($N143="","",$C$36&amp;" – müşteriden tahsilat: "&amp;INDEX(TAHSILAT!$N$7:$N$2503,$T143)&amp;IF(INDEX(TAHSILAT!$J$7:$J$2503,$T143)="",""," – "&amp;INDEX(TAHSILAT!$J$7:$J$2503,$T143)))</f>
        <v>ÖMER KARTAL – müşteriden tahsilat: UFUK YILMAZ – NAKİT ÖDENEN</v>
      </c>
      <c r="P143" s="1" t="str">
        <f t="shared" si="24"/>
        <v>MÜŞTERİDEN ALDI</v>
      </c>
      <c r="Q143" s="79">
        <f>IF($N143="",0,INDEX(TAHSILAT!$F$7:$F$2503,$T143))</f>
        <v>3000</v>
      </c>
      <c r="R143" s="1">
        <v>0</v>
      </c>
      <c r="S143" s="1">
        <f t="shared" si="20"/>
        <v>4615700106</v>
      </c>
      <c r="T143" s="1">
        <f>IFERROR(MATCH($C$36&amp;"|70",TAHSILAT!$U$7:$U$2503,0),0)</f>
        <v>309</v>
      </c>
      <c r="U143" s="1"/>
      <c r="V143" s="1">
        <f t="shared" si="21"/>
        <v>4617900111</v>
      </c>
      <c r="W143" s="1">
        <f t="shared" si="22"/>
        <v>111</v>
      </c>
    </row>
    <row r="144" spans="1:23" ht="19.5" customHeight="1" x14ac:dyDescent="0.3">
      <c r="A144" s="2"/>
      <c r="B144" s="65">
        <f t="shared" si="14"/>
        <v>107</v>
      </c>
      <c r="C144" s="70">
        <f t="shared" si="15"/>
        <v>46188</v>
      </c>
      <c r="D144" s="180" t="str">
        <f t="shared" si="16"/>
        <v>ÖMER KARTAL – müşteriden tahsilat: UFUK YILMAZ – NAKİT ÖDENEN</v>
      </c>
      <c r="E144" s="139"/>
      <c r="F144" s="65" t="str">
        <f t="shared" si="17"/>
        <v>MÜŞTERİDEN ALDI</v>
      </c>
      <c r="G144" s="68">
        <f t="shared" si="18"/>
        <v>3000</v>
      </c>
      <c r="H144" s="68">
        <f t="shared" si="19"/>
        <v>0</v>
      </c>
      <c r="I144" s="68">
        <f t="shared" si="23"/>
        <v>530750.01</v>
      </c>
      <c r="J144" s="2"/>
      <c r="K144" s="2"/>
      <c r="L144" s="1"/>
      <c r="M144" s="1">
        <v>107</v>
      </c>
      <c r="N144" s="71">
        <f>IF($T144=0,"",INDEX(TAHSILAT!$E$7:$E$2503,$T144))</f>
        <v>46158</v>
      </c>
      <c r="O144" s="1" t="str">
        <f>IF($N144="","",$C$36&amp;" – müşteriden tahsilat: "&amp;INDEX(TAHSILAT!$N$7:$N$2503,$T144)&amp;IF(INDEX(TAHSILAT!$J$7:$J$2503,$T144)="",""," – "&amp;INDEX(TAHSILAT!$J$7:$J$2503,$T144)))</f>
        <v>ÖMER KARTAL – müşteriden tahsilat: ASM EĞLENCE LTD.ŞTİ. – NAKİT ÖDENEN</v>
      </c>
      <c r="P144" s="1" t="str">
        <f t="shared" si="24"/>
        <v>MÜŞTERİDEN ALDI</v>
      </c>
      <c r="Q144" s="79">
        <f>IF($N144="",0,INDEX(TAHSILAT!$F$7:$F$2503,$T144))</f>
        <v>2500</v>
      </c>
      <c r="R144" s="1">
        <v>0</v>
      </c>
      <c r="S144" s="1">
        <f t="shared" si="20"/>
        <v>4615800107</v>
      </c>
      <c r="T144" s="1">
        <f>IFERROR(MATCH($C$36&amp;"|71",TAHSILAT!$U$7:$U$2503,0),0)</f>
        <v>310</v>
      </c>
      <c r="U144" s="1"/>
      <c r="V144" s="1">
        <f t="shared" si="21"/>
        <v>4618800112</v>
      </c>
      <c r="W144" s="1">
        <f t="shared" si="22"/>
        <v>112</v>
      </c>
    </row>
    <row r="145" spans="1:23" ht="19.5" customHeight="1" x14ac:dyDescent="0.3">
      <c r="A145" s="2"/>
      <c r="B145" s="65">
        <f t="shared" si="14"/>
        <v>108</v>
      </c>
      <c r="C145" s="70">
        <f t="shared" si="15"/>
        <v>46194</v>
      </c>
      <c r="D145" s="180" t="str">
        <f t="shared" si="16"/>
        <v>ÖMER KARTAL – müşteriden tahsilat: ASIM AÇIKGÖZ – NAKİT ÖDENEN</v>
      </c>
      <c r="E145" s="139"/>
      <c r="F145" s="65" t="str">
        <f t="shared" si="17"/>
        <v>MÜŞTERİDEN ALDI</v>
      </c>
      <c r="G145" s="68">
        <f t="shared" si="18"/>
        <v>2000</v>
      </c>
      <c r="H145" s="68">
        <f t="shared" si="19"/>
        <v>0</v>
      </c>
      <c r="I145" s="68">
        <f t="shared" si="23"/>
        <v>532750.01</v>
      </c>
      <c r="J145" s="2"/>
      <c r="K145" s="2"/>
      <c r="L145" s="1"/>
      <c r="M145" s="1">
        <v>108</v>
      </c>
      <c r="N145" s="71">
        <f>IF($T145=0,"",INDEX(TAHSILAT!$E$7:$E$2503,$T145))</f>
        <v>46172</v>
      </c>
      <c r="O145" s="1" t="str">
        <f>IF($N145="","",$C$36&amp;" – müşteriden tahsilat: "&amp;INDEX(TAHSILAT!$N$7:$N$2503,$T145)&amp;IF(INDEX(TAHSILAT!$J$7:$J$2503,$T145)="",""," – "&amp;INDEX(TAHSILAT!$J$7:$J$2503,$T145)))</f>
        <v>ÖMER KARTAL – müşteriden tahsilat: KRİSTAL LTD.ŞTİ. – NAKİT ÖDENEN</v>
      </c>
      <c r="P145" s="1" t="str">
        <f t="shared" si="24"/>
        <v>MÜŞTERİDEN ALDI</v>
      </c>
      <c r="Q145" s="79">
        <f>IF($N145="",0,INDEX(TAHSILAT!$F$7:$F$2503,$T145))</f>
        <v>6000</v>
      </c>
      <c r="R145" s="1">
        <v>0</v>
      </c>
      <c r="S145" s="1">
        <f t="shared" si="20"/>
        <v>4617200108</v>
      </c>
      <c r="T145" s="1">
        <f>IFERROR(MATCH($C$36&amp;"|72",TAHSILAT!$U$7:$U$2503,0),0)</f>
        <v>347</v>
      </c>
      <c r="U145" s="1"/>
      <c r="V145" s="1">
        <f t="shared" si="21"/>
        <v>4619400113</v>
      </c>
      <c r="W145" s="1">
        <f t="shared" si="22"/>
        <v>113</v>
      </c>
    </row>
    <row r="146" spans="1:23" ht="19.5" customHeight="1" x14ac:dyDescent="0.3">
      <c r="A146" s="2"/>
      <c r="B146" s="65">
        <f t="shared" si="14"/>
        <v>109</v>
      </c>
      <c r="C146" s="70">
        <f t="shared" si="15"/>
        <v>46194</v>
      </c>
      <c r="D146" s="180" t="str">
        <f t="shared" si="16"/>
        <v>ÖMER KARTAL – müşteriden tahsilat: ASM EĞLENCE LTD.ŞTİ. – NAKİT ÖDENEN</v>
      </c>
      <c r="E146" s="139"/>
      <c r="F146" s="65" t="str">
        <f t="shared" si="17"/>
        <v>MÜŞTERİDEN ALDI</v>
      </c>
      <c r="G146" s="68">
        <f t="shared" si="18"/>
        <v>2500</v>
      </c>
      <c r="H146" s="68">
        <f t="shared" si="19"/>
        <v>0</v>
      </c>
      <c r="I146" s="68">
        <f t="shared" si="23"/>
        <v>535250.01</v>
      </c>
      <c r="J146" s="2"/>
      <c r="K146" s="2"/>
      <c r="L146" s="1"/>
      <c r="M146" s="1">
        <v>109</v>
      </c>
      <c r="N146" s="71">
        <f>IF($T146=0,"",INDEX(TAHSILAT!$E$7:$E$2503,$T146))</f>
        <v>46173</v>
      </c>
      <c r="O146" s="1" t="str">
        <f>IF($N146="","",$C$36&amp;" – müşteriden tahsilat: "&amp;INDEX(TAHSILAT!$N$7:$N$2503,$T146)&amp;IF(INDEX(TAHSILAT!$J$7:$J$2503,$T146)="",""," – "&amp;INDEX(TAHSILAT!$J$7:$J$2503,$T146)))</f>
        <v xml:space="preserve">ÖMER KARTAL – müşteriden tahsilat: ALTINEL LTD.ŞTİ. – ALTINEL LTD.ŞTİ. </v>
      </c>
      <c r="P146" s="1" t="str">
        <f t="shared" si="24"/>
        <v>MÜŞTERİDEN ALDI</v>
      </c>
      <c r="Q146" s="79">
        <f>IF($N146="",0,INDEX(TAHSILAT!$F$7:$F$2503,$T146))</f>
        <v>12000</v>
      </c>
      <c r="R146" s="1">
        <v>0</v>
      </c>
      <c r="S146" s="1">
        <f t="shared" si="20"/>
        <v>4617300109</v>
      </c>
      <c r="T146" s="1">
        <f>IFERROR(MATCH($C$36&amp;"|73",TAHSILAT!$U$7:$U$2503,0),0)</f>
        <v>355</v>
      </c>
      <c r="U146" s="1"/>
      <c r="V146" s="1">
        <f t="shared" si="21"/>
        <v>4619400114</v>
      </c>
      <c r="W146" s="1">
        <f t="shared" si="22"/>
        <v>114</v>
      </c>
    </row>
    <row r="147" spans="1:23" ht="19.5" customHeight="1" x14ac:dyDescent="0.3">
      <c r="A147" s="2"/>
      <c r="B147" s="65">
        <f t="shared" si="14"/>
        <v>110</v>
      </c>
      <c r="C147" s="70">
        <f t="shared" si="15"/>
        <v>46194</v>
      </c>
      <c r="D147" s="180" t="str">
        <f t="shared" si="16"/>
        <v>ÖMER KARTAL – müşteriden tahsilat: ÇAYIRALAN LTD.ŞTİ. – ÖMER KARTALA ÖDENEN</v>
      </c>
      <c r="E147" s="139"/>
      <c r="F147" s="65" t="str">
        <f t="shared" si="17"/>
        <v>MÜŞTERİDEN ALDI</v>
      </c>
      <c r="G147" s="68">
        <f t="shared" si="18"/>
        <v>3000</v>
      </c>
      <c r="H147" s="68">
        <f t="shared" si="19"/>
        <v>0</v>
      </c>
      <c r="I147" s="68">
        <f t="shared" si="23"/>
        <v>538250.01</v>
      </c>
      <c r="J147" s="2"/>
      <c r="K147" s="2"/>
      <c r="L147" s="1"/>
      <c r="M147" s="1">
        <v>110</v>
      </c>
      <c r="N147" s="71">
        <f>IF($T147=0,"",INDEX(TAHSILAT!$E$7:$E$2503,$T147))</f>
        <v>46174</v>
      </c>
      <c r="O147" s="1" t="str">
        <f>IF($N147="","",$C$36&amp;" – müşteriden tahsilat: "&amp;INDEX(TAHSILAT!$N$7:$N$2503,$T147)&amp;IF(INDEX(TAHSILAT!$J$7:$J$2503,$T147)="",""," – "&amp;INDEX(TAHSILAT!$J$7:$J$2503,$T147)))</f>
        <v xml:space="preserve">ÖMER KARTAL – müşteriden tahsilat: ALTINEL LTD.ŞTİ. – ALTINEL LTD.ŞTİ. </v>
      </c>
      <c r="P147" s="1" t="str">
        <f t="shared" si="24"/>
        <v>MÜŞTERİDEN ALDI</v>
      </c>
      <c r="Q147" s="79">
        <f>IF($N147="",0,INDEX(TAHSILAT!$F$7:$F$2503,$T147))</f>
        <v>12000</v>
      </c>
      <c r="R147" s="1">
        <v>0</v>
      </c>
      <c r="S147" s="1">
        <f t="shared" si="20"/>
        <v>4617400110</v>
      </c>
      <c r="T147" s="1">
        <f>IFERROR(MATCH($C$36&amp;"|74",TAHSILAT!$U$7:$U$2503,0),0)</f>
        <v>357</v>
      </c>
      <c r="U147" s="1"/>
      <c r="V147" s="1">
        <f t="shared" si="21"/>
        <v>4619400115</v>
      </c>
      <c r="W147" s="1">
        <f t="shared" si="22"/>
        <v>115</v>
      </c>
    </row>
    <row r="148" spans="1:23" ht="19.5" customHeight="1" x14ac:dyDescent="0.3">
      <c r="A148" s="2"/>
      <c r="B148" s="65">
        <f t="shared" si="14"/>
        <v>111</v>
      </c>
      <c r="C148" s="70">
        <f t="shared" si="15"/>
        <v>46194</v>
      </c>
      <c r="D148" s="180" t="str">
        <f t="shared" si="16"/>
        <v>ÖMER KARTAL – müşteriden tahsilat: MONAMOUR LTD.ŞTİ. – ÖMER KARTALA ÖDENEN</v>
      </c>
      <c r="E148" s="139"/>
      <c r="F148" s="65" t="str">
        <f t="shared" si="17"/>
        <v>MÜŞTERİDEN ALDI</v>
      </c>
      <c r="G148" s="68">
        <f t="shared" si="18"/>
        <v>3500</v>
      </c>
      <c r="H148" s="68">
        <f t="shared" si="19"/>
        <v>0</v>
      </c>
      <c r="I148" s="68">
        <f t="shared" si="23"/>
        <v>541750.01</v>
      </c>
      <c r="J148" s="2"/>
      <c r="K148" s="2"/>
      <c r="L148" s="1"/>
      <c r="M148" s="1">
        <v>111</v>
      </c>
      <c r="N148" s="71">
        <f>IF($T148=0,"",INDEX(TAHSILAT!$E$7:$E$2503,$T148))</f>
        <v>46179</v>
      </c>
      <c r="O148" s="1" t="str">
        <f>IF($N148="","",$C$36&amp;" – müşteriden tahsilat: "&amp;INDEX(TAHSILAT!$N$7:$N$2503,$T148)&amp;IF(INDEX(TAHSILAT!$J$7:$J$2503,$T148)="",""," – "&amp;INDEX(TAHSILAT!$J$7:$J$2503,$T148)))</f>
        <v>ÖMER KARTAL – müşteriden tahsilat: KRİSTAL LTD.ŞTİ. – NAKİT ÖDENEN</v>
      </c>
      <c r="P148" s="1" t="str">
        <f t="shared" si="24"/>
        <v>MÜŞTERİDEN ALDI</v>
      </c>
      <c r="Q148" s="79">
        <f>IF($N148="",0,INDEX(TAHSILAT!$F$7:$F$2503,$T148))</f>
        <v>3000</v>
      </c>
      <c r="R148" s="1">
        <v>0</v>
      </c>
      <c r="S148" s="1">
        <f t="shared" si="20"/>
        <v>4617900111</v>
      </c>
      <c r="T148" s="1">
        <f>IFERROR(MATCH($C$36&amp;"|75",TAHSILAT!$U$7:$U$2503,0),0)</f>
        <v>366</v>
      </c>
      <c r="U148" s="1"/>
      <c r="V148" s="1">
        <f t="shared" si="21"/>
        <v>4619400116</v>
      </c>
      <c r="W148" s="1">
        <f t="shared" si="22"/>
        <v>116</v>
      </c>
    </row>
    <row r="149" spans="1:23" ht="19.5" customHeight="1" x14ac:dyDescent="0.3">
      <c r="A149" s="2"/>
      <c r="B149" s="65">
        <f t="shared" si="14"/>
        <v>112</v>
      </c>
      <c r="C149" s="70">
        <f t="shared" si="15"/>
        <v>46194</v>
      </c>
      <c r="D149" s="180" t="str">
        <f t="shared" si="16"/>
        <v>ÖMER KARTAL – müşteriden tahsilat: PAKYILDIZ LTD.ŞTİ. – ÖMER KARTALA ÖDENEN</v>
      </c>
      <c r="E149" s="139"/>
      <c r="F149" s="65" t="str">
        <f t="shared" si="17"/>
        <v>MÜŞTERİDEN ALDI</v>
      </c>
      <c r="G149" s="68">
        <f t="shared" si="18"/>
        <v>4000</v>
      </c>
      <c r="H149" s="68">
        <f t="shared" si="19"/>
        <v>0</v>
      </c>
      <c r="I149" s="68">
        <f t="shared" si="23"/>
        <v>545750.01</v>
      </c>
      <c r="J149" s="2"/>
      <c r="K149" s="2"/>
      <c r="L149" s="1"/>
      <c r="M149" s="1">
        <v>112</v>
      </c>
      <c r="N149" s="71">
        <f>IF($T149=0,"",INDEX(TAHSILAT!$E$7:$E$2503,$T149))</f>
        <v>46188</v>
      </c>
      <c r="O149" s="1" t="str">
        <f>IF($N149="","",$C$36&amp;" – müşteriden tahsilat: "&amp;INDEX(TAHSILAT!$N$7:$N$2503,$T149)&amp;IF(INDEX(TAHSILAT!$J$7:$J$2503,$T149)="",""," – "&amp;INDEX(TAHSILAT!$J$7:$J$2503,$T149)))</f>
        <v>ÖMER KARTAL – müşteriden tahsilat: UFUK YILMAZ – NAKİT ÖDENEN</v>
      </c>
      <c r="P149" s="1" t="str">
        <f t="shared" si="24"/>
        <v>MÜŞTERİDEN ALDI</v>
      </c>
      <c r="Q149" s="79">
        <f>IF($N149="",0,INDEX(TAHSILAT!$F$7:$F$2503,$T149))</f>
        <v>3000</v>
      </c>
      <c r="R149" s="1">
        <v>0</v>
      </c>
      <c r="S149" s="1">
        <f t="shared" si="20"/>
        <v>4618800112</v>
      </c>
      <c r="T149" s="1">
        <f>IFERROR(MATCH($C$36&amp;"|76",TAHSILAT!$U$7:$U$2503,0),0)</f>
        <v>391</v>
      </c>
      <c r="U149" s="1"/>
      <c r="V149" s="1">
        <f t="shared" si="21"/>
        <v>4619400117</v>
      </c>
      <c r="W149" s="1">
        <f t="shared" si="22"/>
        <v>117</v>
      </c>
    </row>
    <row r="150" spans="1:23" ht="19.5" customHeight="1" x14ac:dyDescent="0.3">
      <c r="A150" s="2"/>
      <c r="B150" s="65">
        <f t="shared" si="14"/>
        <v>113</v>
      </c>
      <c r="C150" s="70">
        <f t="shared" si="15"/>
        <v>46194</v>
      </c>
      <c r="D150" s="180" t="str">
        <f t="shared" si="16"/>
        <v>ÖMER KARTAL – müşteriden tahsilat: RİX ŞOW LTD.ŞTİ. – ÖMER KARTALA ÖDENEN</v>
      </c>
      <c r="E150" s="139"/>
      <c r="F150" s="65" t="str">
        <f t="shared" si="17"/>
        <v>MÜŞTERİDEN ALDI</v>
      </c>
      <c r="G150" s="68">
        <f t="shared" si="18"/>
        <v>3000</v>
      </c>
      <c r="H150" s="68">
        <f t="shared" si="19"/>
        <v>0</v>
      </c>
      <c r="I150" s="68">
        <f t="shared" si="23"/>
        <v>548750.01</v>
      </c>
      <c r="J150" s="2"/>
      <c r="K150" s="2"/>
      <c r="L150" s="1"/>
      <c r="M150" s="1">
        <v>113</v>
      </c>
      <c r="N150" s="71">
        <f>IF($T150=0,"",INDEX(TAHSILAT!$E$7:$E$2503,$T150))</f>
        <v>46194</v>
      </c>
      <c r="O150" s="1" t="str">
        <f>IF($N150="","",$C$36&amp;" – müşteriden tahsilat: "&amp;INDEX(TAHSILAT!$N$7:$N$2503,$T150)&amp;IF(INDEX(TAHSILAT!$J$7:$J$2503,$T150)="",""," – "&amp;INDEX(TAHSILAT!$J$7:$J$2503,$T150)))</f>
        <v>ÖMER KARTAL – müşteriden tahsilat: ASIM AÇIKGÖZ – NAKİT ÖDENEN</v>
      </c>
      <c r="P150" s="1" t="str">
        <f t="shared" si="24"/>
        <v>MÜŞTERİDEN ALDI</v>
      </c>
      <c r="Q150" s="79">
        <f>IF($N150="",0,INDEX(TAHSILAT!$F$7:$F$2503,$T150))</f>
        <v>2000</v>
      </c>
      <c r="R150" s="1">
        <v>0</v>
      </c>
      <c r="S150" s="1">
        <f t="shared" si="20"/>
        <v>4619400113</v>
      </c>
      <c r="T150" s="1">
        <f>IFERROR(MATCH($C$36&amp;"|77",TAHSILAT!$U$7:$U$2503,0),0)</f>
        <v>393</v>
      </c>
      <c r="U150" s="1"/>
      <c r="V150" s="1">
        <f t="shared" si="21"/>
        <v>4619400118</v>
      </c>
      <c r="W150" s="1">
        <f t="shared" si="22"/>
        <v>118</v>
      </c>
    </row>
    <row r="151" spans="1:23" ht="19.5" customHeight="1" x14ac:dyDescent="0.3">
      <c r="A151" s="2"/>
      <c r="B151" s="65">
        <f t="shared" si="14"/>
        <v>114</v>
      </c>
      <c r="C151" s="70">
        <f t="shared" si="15"/>
        <v>46200</v>
      </c>
      <c r="D151" s="180" t="str">
        <f t="shared" si="16"/>
        <v>ÖMER KARTAL – müşteriden tahsilat: MONAMOUR LTD.ŞTİ. – ÖMER KARTALA ÖDENEN</v>
      </c>
      <c r="E151" s="139"/>
      <c r="F151" s="65" t="str">
        <f t="shared" si="17"/>
        <v>MÜŞTERİDEN ALDI</v>
      </c>
      <c r="G151" s="68">
        <f t="shared" si="18"/>
        <v>3500</v>
      </c>
      <c r="H151" s="68">
        <f t="shared" si="19"/>
        <v>0</v>
      </c>
      <c r="I151" s="68">
        <f t="shared" si="23"/>
        <v>552250.01</v>
      </c>
      <c r="J151" s="2"/>
      <c r="K151" s="2"/>
      <c r="L151" s="1"/>
      <c r="M151" s="1">
        <v>114</v>
      </c>
      <c r="N151" s="71">
        <f>IF($T151=0,"",INDEX(TAHSILAT!$E$7:$E$2503,$T151))</f>
        <v>46194</v>
      </c>
      <c r="O151" s="1" t="str">
        <f>IF($N151="","",$C$36&amp;" – müşteriden tahsilat: "&amp;INDEX(TAHSILAT!$N$7:$N$2503,$T151)&amp;IF(INDEX(TAHSILAT!$J$7:$J$2503,$T151)="",""," – "&amp;INDEX(TAHSILAT!$J$7:$J$2503,$T151)))</f>
        <v>ÖMER KARTAL – müşteriden tahsilat: ASM EĞLENCE LTD.ŞTİ. – NAKİT ÖDENEN</v>
      </c>
      <c r="P151" s="1" t="str">
        <f t="shared" si="24"/>
        <v>MÜŞTERİDEN ALDI</v>
      </c>
      <c r="Q151" s="79">
        <f>IF($N151="",0,INDEX(TAHSILAT!$F$7:$F$2503,$T151))</f>
        <v>2500</v>
      </c>
      <c r="R151" s="1">
        <v>0</v>
      </c>
      <c r="S151" s="1">
        <f t="shared" si="20"/>
        <v>4619400114</v>
      </c>
      <c r="T151" s="1">
        <f>IFERROR(MATCH($C$36&amp;"|78",TAHSILAT!$U$7:$U$2503,0),0)</f>
        <v>394</v>
      </c>
      <c r="U151" s="1"/>
      <c r="V151" s="1">
        <f t="shared" si="21"/>
        <v>4620000119</v>
      </c>
      <c r="W151" s="1">
        <f t="shared" si="22"/>
        <v>119</v>
      </c>
    </row>
    <row r="152" spans="1:23" ht="19.5" customHeight="1" x14ac:dyDescent="0.3">
      <c r="A152" s="2"/>
      <c r="B152" s="65">
        <f t="shared" si="14"/>
        <v>115</v>
      </c>
      <c r="C152" s="70">
        <f t="shared" si="15"/>
        <v>46200</v>
      </c>
      <c r="D152" s="180" t="str">
        <f t="shared" si="16"/>
        <v>ÖMER KARTAL – müşteriden tahsilat: İSA DEMİRCİ – NAKİT ÖDENEN</v>
      </c>
      <c r="E152" s="139"/>
      <c r="F152" s="65" t="str">
        <f t="shared" si="17"/>
        <v>MÜŞTERİDEN ALDI</v>
      </c>
      <c r="G152" s="68">
        <f t="shared" si="18"/>
        <v>3500</v>
      </c>
      <c r="H152" s="68">
        <f t="shared" si="19"/>
        <v>0</v>
      </c>
      <c r="I152" s="68">
        <f t="shared" si="23"/>
        <v>555750.01</v>
      </c>
      <c r="J152" s="2"/>
      <c r="K152" s="2"/>
      <c r="L152" s="1"/>
      <c r="M152" s="1">
        <v>115</v>
      </c>
      <c r="N152" s="71">
        <f>IF($T152=0,"",INDEX(TAHSILAT!$E$7:$E$2503,$T152))</f>
        <v>46194</v>
      </c>
      <c r="O152" s="1" t="str">
        <f>IF($N152="","",$C$36&amp;" – müşteriden tahsilat: "&amp;INDEX(TAHSILAT!$N$7:$N$2503,$T152)&amp;IF(INDEX(TAHSILAT!$J$7:$J$2503,$T152)="",""," – "&amp;INDEX(TAHSILAT!$J$7:$J$2503,$T152)))</f>
        <v>ÖMER KARTAL – müşteriden tahsilat: ÇAYIRALAN LTD.ŞTİ. – ÖMER KARTALA ÖDENEN</v>
      </c>
      <c r="P152" s="1" t="str">
        <f t="shared" si="24"/>
        <v>MÜŞTERİDEN ALDI</v>
      </c>
      <c r="Q152" s="79">
        <f>IF($N152="",0,INDEX(TAHSILAT!$F$7:$F$2503,$T152))</f>
        <v>3000</v>
      </c>
      <c r="R152" s="1">
        <v>0</v>
      </c>
      <c r="S152" s="1">
        <f t="shared" si="20"/>
        <v>4619400115</v>
      </c>
      <c r="T152" s="1">
        <f>IFERROR(MATCH($C$36&amp;"|79",TAHSILAT!$U$7:$U$2503,0),0)</f>
        <v>395</v>
      </c>
      <c r="U152" s="1"/>
      <c r="V152" s="1">
        <f t="shared" si="21"/>
        <v>4620000120</v>
      </c>
      <c r="W152" s="1">
        <f t="shared" si="22"/>
        <v>120</v>
      </c>
    </row>
    <row r="153" spans="1:23" ht="19.5" customHeight="1" x14ac:dyDescent="0.3">
      <c r="A153" s="2"/>
      <c r="B153" s="65">
        <f t="shared" si="14"/>
        <v>116</v>
      </c>
      <c r="C153" s="70">
        <f t="shared" si="15"/>
        <v>46200</v>
      </c>
      <c r="D153" s="180" t="str">
        <f t="shared" si="16"/>
        <v>ÖMER KARTAL – müşteriden tahsilat: YALIKENT LTD.ŞTİ. – NAKİT ÖDENEN</v>
      </c>
      <c r="E153" s="139"/>
      <c r="F153" s="65" t="str">
        <f t="shared" si="17"/>
        <v>MÜŞTERİDEN ALDI</v>
      </c>
      <c r="G153" s="68">
        <f t="shared" si="18"/>
        <v>23000</v>
      </c>
      <c r="H153" s="68">
        <f t="shared" si="19"/>
        <v>0</v>
      </c>
      <c r="I153" s="68">
        <f t="shared" si="23"/>
        <v>578750.01</v>
      </c>
      <c r="J153" s="2"/>
      <c r="K153" s="2"/>
      <c r="L153" s="1"/>
      <c r="M153" s="1">
        <v>116</v>
      </c>
      <c r="N153" s="71">
        <f>IF($T153=0,"",INDEX(TAHSILAT!$E$7:$E$2503,$T153))</f>
        <v>46194</v>
      </c>
      <c r="O153" s="1" t="str">
        <f>IF($N153="","",$C$36&amp;" – müşteriden tahsilat: "&amp;INDEX(TAHSILAT!$N$7:$N$2503,$T153)&amp;IF(INDEX(TAHSILAT!$J$7:$J$2503,$T153)="",""," – "&amp;INDEX(TAHSILAT!$J$7:$J$2503,$T153)))</f>
        <v>ÖMER KARTAL – müşteriden tahsilat: MONAMOUR LTD.ŞTİ. – ÖMER KARTALA ÖDENEN</v>
      </c>
      <c r="P153" s="1" t="str">
        <f t="shared" si="24"/>
        <v>MÜŞTERİDEN ALDI</v>
      </c>
      <c r="Q153" s="79">
        <f>IF($N153="",0,INDEX(TAHSILAT!$F$7:$F$2503,$T153))</f>
        <v>3500</v>
      </c>
      <c r="R153" s="1">
        <v>0</v>
      </c>
      <c r="S153" s="1">
        <f t="shared" si="20"/>
        <v>4619400116</v>
      </c>
      <c r="T153" s="1">
        <f>IFERROR(MATCH($C$36&amp;"|80",TAHSILAT!$U$7:$U$2503,0),0)</f>
        <v>396</v>
      </c>
      <c r="U153" s="1"/>
      <c r="V153" s="1">
        <f t="shared" si="21"/>
        <v>4620000121</v>
      </c>
      <c r="W153" s="1">
        <f t="shared" si="22"/>
        <v>121</v>
      </c>
    </row>
    <row r="154" spans="1:23" ht="19.5" customHeight="1" x14ac:dyDescent="0.3">
      <c r="A154" s="2"/>
      <c r="B154" s="65">
        <f t="shared" si="14"/>
        <v>117</v>
      </c>
      <c r="C154" s="70">
        <f t="shared" si="15"/>
        <v>46200</v>
      </c>
      <c r="D154" s="180" t="str">
        <f t="shared" si="16"/>
        <v>ÖMER KARTAL – müşteriden tahsilat: ÖMER DEMİRCİ – NAKİT ÖDENEN</v>
      </c>
      <c r="E154" s="139"/>
      <c r="F154" s="65" t="str">
        <f t="shared" si="17"/>
        <v>MÜŞTERİDEN ALDI</v>
      </c>
      <c r="G154" s="68">
        <f t="shared" si="18"/>
        <v>3500</v>
      </c>
      <c r="H154" s="68">
        <f t="shared" si="19"/>
        <v>0</v>
      </c>
      <c r="I154" s="68">
        <f t="shared" si="23"/>
        <v>582250.01</v>
      </c>
      <c r="J154" s="2"/>
      <c r="K154" s="2"/>
      <c r="L154" s="1"/>
      <c r="M154" s="1">
        <v>117</v>
      </c>
      <c r="N154" s="71">
        <f>IF($T154=0,"",INDEX(TAHSILAT!$E$7:$E$2503,$T154))</f>
        <v>46194</v>
      </c>
      <c r="O154" s="1" t="str">
        <f>IF($N154="","",$C$36&amp;" – müşteriden tahsilat: "&amp;INDEX(TAHSILAT!$N$7:$N$2503,$T154)&amp;IF(INDEX(TAHSILAT!$J$7:$J$2503,$T154)="",""," – "&amp;INDEX(TAHSILAT!$J$7:$J$2503,$T154)))</f>
        <v>ÖMER KARTAL – müşteriden tahsilat: PAKYILDIZ LTD.ŞTİ. – ÖMER KARTALA ÖDENEN</v>
      </c>
      <c r="P154" s="1" t="str">
        <f t="shared" si="24"/>
        <v>MÜŞTERİDEN ALDI</v>
      </c>
      <c r="Q154" s="79">
        <f>IF($N154="",0,INDEX(TAHSILAT!$F$7:$F$2503,$T154))</f>
        <v>4000</v>
      </c>
      <c r="R154" s="1">
        <v>0</v>
      </c>
      <c r="S154" s="1">
        <f t="shared" si="20"/>
        <v>4619400117</v>
      </c>
      <c r="T154" s="1">
        <f>IFERROR(MATCH($C$36&amp;"|81",TAHSILAT!$U$7:$U$2503,0),0)</f>
        <v>397</v>
      </c>
      <c r="U154" s="1"/>
      <c r="V154" s="1">
        <f t="shared" si="21"/>
        <v>4620000122</v>
      </c>
      <c r="W154" s="1">
        <f t="shared" si="22"/>
        <v>122</v>
      </c>
    </row>
    <row r="155" spans="1:23" ht="19.5" customHeight="1" x14ac:dyDescent="0.3">
      <c r="A155" s="2"/>
      <c r="B155" s="65">
        <f t="shared" si="14"/>
        <v>118</v>
      </c>
      <c r="C155" s="70">
        <f t="shared" si="15"/>
        <v>46203</v>
      </c>
      <c r="D155" s="180" t="str">
        <f t="shared" si="16"/>
        <v>ÖMER KARTAL – Haziran 2026 kâr payı tahakkuku</v>
      </c>
      <c r="E155" s="139"/>
      <c r="F155" s="65" t="str">
        <f t="shared" si="17"/>
        <v>KÂR PAYI TAHAKKUKU</v>
      </c>
      <c r="G155" s="68">
        <f t="shared" si="18"/>
        <v>0</v>
      </c>
      <c r="H155" s="68">
        <f t="shared" si="19"/>
        <v>113720.00000000006</v>
      </c>
      <c r="I155" s="68">
        <f t="shared" si="23"/>
        <v>468530.00999999995</v>
      </c>
      <c r="J155" s="2"/>
      <c r="K155" s="2"/>
      <c r="L155" s="1"/>
      <c r="M155" s="1">
        <v>118</v>
      </c>
      <c r="N155" s="71">
        <f>IF($T155=0,"",INDEX(TAHSILAT!$E$7:$E$2503,$T155))</f>
        <v>46194</v>
      </c>
      <c r="O155" s="1" t="str">
        <f>IF($N155="","",$C$36&amp;" – müşteriden tahsilat: "&amp;INDEX(TAHSILAT!$N$7:$N$2503,$T155)&amp;IF(INDEX(TAHSILAT!$J$7:$J$2503,$T155)="",""," – "&amp;INDEX(TAHSILAT!$J$7:$J$2503,$T155)))</f>
        <v>ÖMER KARTAL – müşteriden tahsilat: RİX ŞOW LTD.ŞTİ. – ÖMER KARTALA ÖDENEN</v>
      </c>
      <c r="P155" s="1" t="str">
        <f t="shared" si="24"/>
        <v>MÜŞTERİDEN ALDI</v>
      </c>
      <c r="Q155" s="79">
        <f>IF($N155="",0,INDEX(TAHSILAT!$F$7:$F$2503,$T155))</f>
        <v>3000</v>
      </c>
      <c r="R155" s="1">
        <v>0</v>
      </c>
      <c r="S155" s="1">
        <f t="shared" si="20"/>
        <v>4619400118</v>
      </c>
      <c r="T155" s="1">
        <f>IFERROR(MATCH($C$36&amp;"|82",TAHSILAT!$U$7:$U$2503,0),0)</f>
        <v>398</v>
      </c>
      <c r="U155" s="1"/>
      <c r="V155" s="1">
        <f t="shared" si="21"/>
        <v>4620300006</v>
      </c>
      <c r="W155" s="1">
        <f t="shared" si="22"/>
        <v>6</v>
      </c>
    </row>
    <row r="156" spans="1:23" ht="19.5" customHeight="1" x14ac:dyDescent="0.3">
      <c r="A156" s="2"/>
      <c r="B156" s="65">
        <f t="shared" si="14"/>
        <v>119</v>
      </c>
      <c r="C156" s="70">
        <f t="shared" si="15"/>
        <v>46203</v>
      </c>
      <c r="D156" s="180" t="str">
        <f t="shared" si="16"/>
        <v>MERKEZ KASA → ÖMER KARTAL – PARİS GAZİNOSU SGK'LAR</v>
      </c>
      <c r="E156" s="139"/>
      <c r="F156" s="65" t="str">
        <f t="shared" si="17"/>
        <v>VİRMAN GELDİ</v>
      </c>
      <c r="G156" s="68">
        <f t="shared" si="18"/>
        <v>12000</v>
      </c>
      <c r="H156" s="68">
        <f t="shared" si="19"/>
        <v>0</v>
      </c>
      <c r="I156" s="68">
        <f t="shared" si="23"/>
        <v>480530.00999999995</v>
      </c>
      <c r="J156" s="2"/>
      <c r="K156" s="2"/>
      <c r="L156" s="1"/>
      <c r="M156" s="1">
        <v>119</v>
      </c>
      <c r="N156" s="71">
        <f>IF($T156=0,"",INDEX(TAHSILAT!$E$7:$E$2503,$T156))</f>
        <v>46200</v>
      </c>
      <c r="O156" s="1" t="str">
        <f>IF($N156="","",$C$36&amp;" – müşteriden tahsilat: "&amp;INDEX(TAHSILAT!$N$7:$N$2503,$T156)&amp;IF(INDEX(TAHSILAT!$J$7:$J$2503,$T156)="",""," – "&amp;INDEX(TAHSILAT!$J$7:$J$2503,$T156)))</f>
        <v>ÖMER KARTAL – müşteriden tahsilat: MONAMOUR LTD.ŞTİ. – ÖMER KARTALA ÖDENEN</v>
      </c>
      <c r="P156" s="1" t="str">
        <f t="shared" si="24"/>
        <v>MÜŞTERİDEN ALDI</v>
      </c>
      <c r="Q156" s="79">
        <f>IF($N156="",0,INDEX(TAHSILAT!$F$7:$F$2503,$T156))</f>
        <v>3500</v>
      </c>
      <c r="R156" s="1">
        <v>0</v>
      </c>
      <c r="S156" s="1">
        <f t="shared" si="20"/>
        <v>4620000119</v>
      </c>
      <c r="T156" s="1">
        <f>IFERROR(MATCH($C$36&amp;"|83",TAHSILAT!$U$7:$U$2503,0),0)</f>
        <v>412</v>
      </c>
      <c r="U156" s="1"/>
      <c r="V156" s="1">
        <f t="shared" si="21"/>
        <v>4620300556</v>
      </c>
      <c r="W156" s="1">
        <f t="shared" si="22"/>
        <v>556</v>
      </c>
    </row>
    <row r="157" spans="1:23" ht="19.5" customHeight="1" x14ac:dyDescent="0.3">
      <c r="A157" s="2"/>
      <c r="B157" s="65">
        <f t="shared" si="14"/>
        <v>120</v>
      </c>
      <c r="C157" s="70">
        <f t="shared" si="15"/>
        <v>46203</v>
      </c>
      <c r="D157" s="180" t="str">
        <f t="shared" si="16"/>
        <v>MERKEZ KASA → ÖMER KARTAL – FADİME HORUZCU MUHASEBE ÜCRETİ</v>
      </c>
      <c r="E157" s="139"/>
      <c r="F157" s="65" t="str">
        <f t="shared" si="17"/>
        <v>VİRMAN GELDİ</v>
      </c>
      <c r="G157" s="68">
        <f t="shared" si="18"/>
        <v>2000</v>
      </c>
      <c r="H157" s="68">
        <f t="shared" si="19"/>
        <v>0</v>
      </c>
      <c r="I157" s="68">
        <f t="shared" si="23"/>
        <v>482530.00999999995</v>
      </c>
      <c r="J157" s="2"/>
      <c r="K157" s="2"/>
      <c r="L157" s="1"/>
      <c r="M157" s="1">
        <v>120</v>
      </c>
      <c r="N157" s="71">
        <f>IF($T157=0,"",INDEX(TAHSILAT!$E$7:$E$2503,$T157))</f>
        <v>46200</v>
      </c>
      <c r="O157" s="1" t="str">
        <f>IF($N157="","",$C$36&amp;" – müşteriden tahsilat: "&amp;INDEX(TAHSILAT!$N$7:$N$2503,$T157)&amp;IF(INDEX(TAHSILAT!$J$7:$J$2503,$T157)="",""," – "&amp;INDEX(TAHSILAT!$J$7:$J$2503,$T157)))</f>
        <v>ÖMER KARTAL – müşteriden tahsilat: İSA DEMİRCİ – NAKİT ÖDENEN</v>
      </c>
      <c r="P157" s="1" t="str">
        <f t="shared" si="24"/>
        <v>MÜŞTERİDEN ALDI</v>
      </c>
      <c r="Q157" s="79">
        <f>IF($N157="",0,INDEX(TAHSILAT!$F$7:$F$2503,$T157))</f>
        <v>3500</v>
      </c>
      <c r="R157" s="1">
        <v>0</v>
      </c>
      <c r="S157" s="1">
        <f t="shared" si="20"/>
        <v>4620000120</v>
      </c>
      <c r="T157" s="1">
        <f>IFERROR(MATCH($C$36&amp;"|84",TAHSILAT!$U$7:$U$2503,0),0)</f>
        <v>416</v>
      </c>
      <c r="U157" s="1"/>
      <c r="V157" s="1">
        <f t="shared" si="21"/>
        <v>4620300557</v>
      </c>
      <c r="W157" s="1">
        <f t="shared" si="22"/>
        <v>557</v>
      </c>
    </row>
    <row r="158" spans="1:23" ht="19.5" customHeight="1" x14ac:dyDescent="0.3">
      <c r="A158" s="2"/>
      <c r="B158" s="65">
        <f t="shared" si="14"/>
        <v>121</v>
      </c>
      <c r="C158" s="70">
        <f t="shared" si="15"/>
        <v>46203</v>
      </c>
      <c r="D158" s="180" t="str">
        <f t="shared" si="16"/>
        <v>MERKEZ KASA → ÖMER KARTAL – KÂR PAYI / AVANS ÇEKİŞİ — Haziran Ayı Kâr Payı Ödemesi — eski GELIR_GIDER satır 184</v>
      </c>
      <c r="E158" s="139"/>
      <c r="F158" s="65" t="str">
        <f t="shared" si="17"/>
        <v>VİRMAN GELDİ</v>
      </c>
      <c r="G158" s="68">
        <f t="shared" si="18"/>
        <v>113720</v>
      </c>
      <c r="H158" s="68">
        <f t="shared" si="19"/>
        <v>0</v>
      </c>
      <c r="I158" s="68">
        <f t="shared" si="23"/>
        <v>596250.01</v>
      </c>
      <c r="J158" s="2"/>
      <c r="K158" s="2"/>
      <c r="L158" s="1"/>
      <c r="M158" s="1">
        <v>121</v>
      </c>
      <c r="N158" s="71">
        <f>IF($T158=0,"",INDEX(TAHSILAT!$E$7:$E$2503,$T158))</f>
        <v>46200</v>
      </c>
      <c r="O158" s="1" t="str">
        <f>IF($N158="","",$C$36&amp;" – müşteriden tahsilat: "&amp;INDEX(TAHSILAT!$N$7:$N$2503,$T158)&amp;IF(INDEX(TAHSILAT!$J$7:$J$2503,$T158)="",""," – "&amp;INDEX(TAHSILAT!$J$7:$J$2503,$T158)))</f>
        <v>ÖMER KARTAL – müşteriden tahsilat: YALIKENT LTD.ŞTİ. – NAKİT ÖDENEN</v>
      </c>
      <c r="P158" s="1" t="str">
        <f t="shared" si="24"/>
        <v>MÜŞTERİDEN ALDI</v>
      </c>
      <c r="Q158" s="79">
        <f>IF($N158="",0,INDEX(TAHSILAT!$F$7:$F$2503,$T158))</f>
        <v>23000</v>
      </c>
      <c r="R158" s="1">
        <v>0</v>
      </c>
      <c r="S158" s="1">
        <f t="shared" si="20"/>
        <v>4620000121</v>
      </c>
      <c r="T158" s="1">
        <f>IFERROR(MATCH($C$36&amp;"|85",TAHSILAT!$U$7:$U$2503,0),0)</f>
        <v>419</v>
      </c>
      <c r="U158" s="1"/>
      <c r="V158" s="1">
        <f t="shared" si="21"/>
        <v>4620300571</v>
      </c>
      <c r="W158" s="1">
        <f t="shared" si="22"/>
        <v>571</v>
      </c>
    </row>
    <row r="159" spans="1:23" ht="19.5" customHeight="1" x14ac:dyDescent="0.3">
      <c r="A159" s="2"/>
      <c r="B159" s="65">
        <f t="shared" si="14"/>
        <v>122</v>
      </c>
      <c r="C159" s="70">
        <f t="shared" si="15"/>
        <v>46204</v>
      </c>
      <c r="D159" s="180" t="str">
        <f t="shared" si="16"/>
        <v xml:space="preserve">ÖMER KARTAL – müşteriden tahsilat: ALTINEL LTD.ŞTİ. – ALTINEL LTD.ŞTİ. </v>
      </c>
      <c r="E159" s="139"/>
      <c r="F159" s="65" t="str">
        <f t="shared" si="17"/>
        <v>MÜŞTERİDEN ALDI</v>
      </c>
      <c r="G159" s="68">
        <f t="shared" si="18"/>
        <v>12000</v>
      </c>
      <c r="H159" s="68">
        <f t="shared" si="19"/>
        <v>0</v>
      </c>
      <c r="I159" s="68">
        <f t="shared" si="23"/>
        <v>608250.01</v>
      </c>
      <c r="J159" s="2"/>
      <c r="K159" s="2"/>
      <c r="L159" s="1"/>
      <c r="M159" s="1">
        <v>122</v>
      </c>
      <c r="N159" s="71">
        <f>IF($T159=0,"",INDEX(TAHSILAT!$E$7:$E$2503,$T159))</f>
        <v>46200</v>
      </c>
      <c r="O159" s="1" t="str">
        <f>IF($N159="","",$C$36&amp;" – müşteriden tahsilat: "&amp;INDEX(TAHSILAT!$N$7:$N$2503,$T159)&amp;IF(INDEX(TAHSILAT!$J$7:$J$2503,$T159)="",""," – "&amp;INDEX(TAHSILAT!$J$7:$J$2503,$T159)))</f>
        <v>ÖMER KARTAL – müşteriden tahsilat: ÖMER DEMİRCİ – NAKİT ÖDENEN</v>
      </c>
      <c r="P159" s="1" t="str">
        <f t="shared" si="24"/>
        <v>MÜŞTERİDEN ALDI</v>
      </c>
      <c r="Q159" s="79">
        <f>IF($N159="",0,INDEX(TAHSILAT!$F$7:$F$2503,$T159))</f>
        <v>3500</v>
      </c>
      <c r="R159" s="1">
        <v>0</v>
      </c>
      <c r="S159" s="1">
        <f t="shared" si="20"/>
        <v>4620000122</v>
      </c>
      <c r="T159" s="1">
        <f>IFERROR(MATCH($C$36&amp;"|86",TAHSILAT!$U$7:$U$2503,0),0)</f>
        <v>420</v>
      </c>
      <c r="U159" s="1"/>
      <c r="V159" s="1">
        <f t="shared" si="21"/>
        <v>4620400123</v>
      </c>
      <c r="W159" s="1">
        <f t="shared" si="22"/>
        <v>123</v>
      </c>
    </row>
    <row r="160" spans="1:23" ht="19.5" customHeight="1" x14ac:dyDescent="0.3">
      <c r="A160" s="2"/>
      <c r="B160" s="65">
        <f t="shared" si="14"/>
        <v>123</v>
      </c>
      <c r="C160" s="70">
        <f t="shared" si="15"/>
        <v>46207</v>
      </c>
      <c r="D160" s="180" t="str">
        <f t="shared" si="16"/>
        <v>ÖMER KARTAL – müşteriden tahsilat: ASIM AÇIKGÖZ – NAKİT ÖDENEN</v>
      </c>
      <c r="E160" s="139"/>
      <c r="F160" s="65" t="str">
        <f t="shared" si="17"/>
        <v>MÜŞTERİDEN ALDI</v>
      </c>
      <c r="G160" s="68">
        <f t="shared" si="18"/>
        <v>2000</v>
      </c>
      <c r="H160" s="68">
        <f t="shared" si="19"/>
        <v>0</v>
      </c>
      <c r="I160" s="68">
        <f t="shared" si="23"/>
        <v>610250.01</v>
      </c>
      <c r="J160" s="2"/>
      <c r="K160" s="2"/>
      <c r="L160" s="1"/>
      <c r="M160" s="1">
        <v>123</v>
      </c>
      <c r="N160" s="71">
        <f>IF($T160=0,"",INDEX(TAHSILAT!$E$7:$E$2503,$T160))</f>
        <v>46204</v>
      </c>
      <c r="O160" s="1" t="str">
        <f>IF($N160="","",$C$36&amp;" – müşteriden tahsilat: "&amp;INDEX(TAHSILAT!$N$7:$N$2503,$T160)&amp;IF(INDEX(TAHSILAT!$J$7:$J$2503,$T160)="",""," – "&amp;INDEX(TAHSILAT!$J$7:$J$2503,$T160)))</f>
        <v xml:space="preserve">ÖMER KARTAL – müşteriden tahsilat: ALTINEL LTD.ŞTİ. – ALTINEL LTD.ŞTİ. </v>
      </c>
      <c r="P160" s="1" t="str">
        <f t="shared" si="24"/>
        <v>MÜŞTERİDEN ALDI</v>
      </c>
      <c r="Q160" s="79">
        <f>IF($N160="",0,INDEX(TAHSILAT!$F$7:$F$2503,$T160))</f>
        <v>12000</v>
      </c>
      <c r="R160" s="1">
        <v>0</v>
      </c>
      <c r="S160" s="1">
        <f t="shared" si="20"/>
        <v>4620400123</v>
      </c>
      <c r="T160" s="1">
        <f>IFERROR(MATCH($C$36&amp;"|87",TAHSILAT!$U$7:$U$2503,0),0)</f>
        <v>427</v>
      </c>
      <c r="U160" s="1"/>
      <c r="V160" s="1">
        <f t="shared" si="21"/>
        <v>4620700124</v>
      </c>
      <c r="W160" s="1">
        <f t="shared" si="22"/>
        <v>124</v>
      </c>
    </row>
    <row r="161" spans="1:23" ht="19.5" customHeight="1" x14ac:dyDescent="0.3">
      <c r="A161" s="2"/>
      <c r="B161" s="65">
        <f t="shared" si="14"/>
        <v>124</v>
      </c>
      <c r="C161" s="70">
        <f t="shared" si="15"/>
        <v>46207</v>
      </c>
      <c r="D161" s="180" t="str">
        <f t="shared" si="16"/>
        <v>ÖMER KARTAL – müşteriden tahsilat: ASM EĞLENCE LTD.ŞTİ. – NAKİT ÖDENEN</v>
      </c>
      <c r="E161" s="139"/>
      <c r="F161" s="65" t="str">
        <f t="shared" si="17"/>
        <v>MÜŞTERİDEN ALDI</v>
      </c>
      <c r="G161" s="68">
        <f t="shared" si="18"/>
        <v>2500</v>
      </c>
      <c r="H161" s="68">
        <f t="shared" si="19"/>
        <v>0</v>
      </c>
      <c r="I161" s="68">
        <f t="shared" si="23"/>
        <v>612750.01</v>
      </c>
      <c r="J161" s="2"/>
      <c r="K161" s="2"/>
      <c r="L161" s="1"/>
      <c r="M161" s="1">
        <v>124</v>
      </c>
      <c r="N161" s="71">
        <f>IF($T161=0,"",INDEX(TAHSILAT!$E$7:$E$2503,$T161))</f>
        <v>46207</v>
      </c>
      <c r="O161" s="1" t="str">
        <f>IF($N161="","",$C$36&amp;" – müşteriden tahsilat: "&amp;INDEX(TAHSILAT!$N$7:$N$2503,$T161)&amp;IF(INDEX(TAHSILAT!$J$7:$J$2503,$T161)="",""," – "&amp;INDEX(TAHSILAT!$J$7:$J$2503,$T161)))</f>
        <v>ÖMER KARTAL – müşteriden tahsilat: ASIM AÇIKGÖZ – NAKİT ÖDENEN</v>
      </c>
      <c r="P161" s="1" t="str">
        <f t="shared" si="24"/>
        <v>MÜŞTERİDEN ALDI</v>
      </c>
      <c r="Q161" s="79">
        <f>IF($N161="",0,INDEX(TAHSILAT!$F$7:$F$2503,$T161))</f>
        <v>2000</v>
      </c>
      <c r="R161" s="1">
        <v>0</v>
      </c>
      <c r="S161" s="1">
        <f t="shared" si="20"/>
        <v>4620700124</v>
      </c>
      <c r="T161" s="1">
        <f>IFERROR(MATCH($C$36&amp;"|88",TAHSILAT!$U$7:$U$2503,0),0)</f>
        <v>429</v>
      </c>
      <c r="U161" s="1"/>
      <c r="V161" s="1">
        <f t="shared" si="21"/>
        <v>4620700125</v>
      </c>
      <c r="W161" s="1">
        <f t="shared" si="22"/>
        <v>125</v>
      </c>
    </row>
    <row r="162" spans="1:23" ht="19.5" customHeight="1" x14ac:dyDescent="0.3">
      <c r="A162" s="2"/>
      <c r="B162" s="65">
        <f t="shared" si="14"/>
        <v>125</v>
      </c>
      <c r="C162" s="70">
        <f t="shared" si="15"/>
        <v>46207</v>
      </c>
      <c r="D162" s="180" t="str">
        <f t="shared" si="16"/>
        <v>ÖMER KARTAL – müşteriden tahsilat: ÇAYIRALAN LTD.ŞTİ. – ÖMER KARTALA ÖDENEN</v>
      </c>
      <c r="E162" s="139"/>
      <c r="F162" s="65" t="str">
        <f t="shared" si="17"/>
        <v>MÜŞTERİDEN ALDI</v>
      </c>
      <c r="G162" s="68">
        <f t="shared" si="18"/>
        <v>3000</v>
      </c>
      <c r="H162" s="68">
        <f t="shared" si="19"/>
        <v>0</v>
      </c>
      <c r="I162" s="68">
        <f t="shared" si="23"/>
        <v>615750.01</v>
      </c>
      <c r="J162" s="2"/>
      <c r="K162" s="2"/>
      <c r="L162" s="1"/>
      <c r="M162" s="1">
        <v>125</v>
      </c>
      <c r="N162" s="71">
        <f>IF($T162=0,"",INDEX(TAHSILAT!$E$7:$E$2503,$T162))</f>
        <v>46207</v>
      </c>
      <c r="O162" s="1" t="str">
        <f>IF($N162="","",$C$36&amp;" – müşteriden tahsilat: "&amp;INDEX(TAHSILAT!$N$7:$N$2503,$T162)&amp;IF(INDEX(TAHSILAT!$J$7:$J$2503,$T162)="",""," – "&amp;INDEX(TAHSILAT!$J$7:$J$2503,$T162)))</f>
        <v>ÖMER KARTAL – müşteriden tahsilat: ASM EĞLENCE LTD.ŞTİ. – NAKİT ÖDENEN</v>
      </c>
      <c r="P162" s="1" t="str">
        <f t="shared" si="24"/>
        <v>MÜŞTERİDEN ALDI</v>
      </c>
      <c r="Q162" s="79">
        <f>IF($N162="",0,INDEX(TAHSILAT!$F$7:$F$2503,$T162))</f>
        <v>2500</v>
      </c>
      <c r="R162" s="1">
        <v>0</v>
      </c>
      <c r="S162" s="1">
        <f t="shared" si="20"/>
        <v>4620700125</v>
      </c>
      <c r="T162" s="1">
        <f>IFERROR(MATCH($C$36&amp;"|89",TAHSILAT!$U$7:$U$2503,0),0)</f>
        <v>430</v>
      </c>
      <c r="U162" s="1"/>
      <c r="V162" s="1">
        <f t="shared" si="21"/>
        <v>4620700126</v>
      </c>
      <c r="W162" s="1">
        <f t="shared" si="22"/>
        <v>126</v>
      </c>
    </row>
    <row r="163" spans="1:23" ht="19.5" customHeight="1" x14ac:dyDescent="0.3">
      <c r="A163" s="2"/>
      <c r="B163" s="65">
        <f t="shared" si="14"/>
        <v>126</v>
      </c>
      <c r="C163" s="70">
        <f t="shared" si="15"/>
        <v>46207</v>
      </c>
      <c r="D163" s="180" t="str">
        <f t="shared" si="16"/>
        <v>ÖMER KARTAL – müşteriden tahsilat: EĞLENGÖR LTD.ŞTİ. – ÖMER KARTALA ÖDENEN</v>
      </c>
      <c r="E163" s="139"/>
      <c r="F163" s="65" t="str">
        <f t="shared" si="17"/>
        <v>MÜŞTERİDEN ALDI</v>
      </c>
      <c r="G163" s="68">
        <f t="shared" si="18"/>
        <v>4000</v>
      </c>
      <c r="H163" s="68">
        <f t="shared" si="19"/>
        <v>0</v>
      </c>
      <c r="I163" s="68">
        <f t="shared" si="23"/>
        <v>619750.01</v>
      </c>
      <c r="J163" s="2"/>
      <c r="K163" s="2"/>
      <c r="L163" s="1"/>
      <c r="M163" s="1">
        <v>126</v>
      </c>
      <c r="N163" s="71">
        <f>IF($T163=0,"",INDEX(TAHSILAT!$E$7:$E$2503,$T163))</f>
        <v>46207</v>
      </c>
      <c r="O163" s="1" t="str">
        <f>IF($N163="","",$C$36&amp;" – müşteriden tahsilat: "&amp;INDEX(TAHSILAT!$N$7:$N$2503,$T163)&amp;IF(INDEX(TAHSILAT!$J$7:$J$2503,$T163)="",""," – "&amp;INDEX(TAHSILAT!$J$7:$J$2503,$T163)))</f>
        <v>ÖMER KARTAL – müşteriden tahsilat: ÇAYIRALAN LTD.ŞTİ. – ÖMER KARTALA ÖDENEN</v>
      </c>
      <c r="P163" s="1" t="str">
        <f t="shared" si="24"/>
        <v>MÜŞTERİDEN ALDI</v>
      </c>
      <c r="Q163" s="79">
        <f>IF($N163="",0,INDEX(TAHSILAT!$F$7:$F$2503,$T163))</f>
        <v>3000</v>
      </c>
      <c r="R163" s="1">
        <v>0</v>
      </c>
      <c r="S163" s="1">
        <f t="shared" si="20"/>
        <v>4620700126</v>
      </c>
      <c r="T163" s="1">
        <f>IFERROR(MATCH($C$36&amp;"|90",TAHSILAT!$U$7:$U$2503,0),0)</f>
        <v>431</v>
      </c>
      <c r="U163" s="1"/>
      <c r="V163" s="1">
        <f t="shared" si="21"/>
        <v>4620700127</v>
      </c>
      <c r="W163" s="1">
        <f t="shared" si="22"/>
        <v>127</v>
      </c>
    </row>
    <row r="164" spans="1:23" ht="19.5" customHeight="1" x14ac:dyDescent="0.3">
      <c r="A164" s="2"/>
      <c r="B164" s="65">
        <f t="shared" si="14"/>
        <v>127</v>
      </c>
      <c r="C164" s="70">
        <f t="shared" si="15"/>
        <v>46207</v>
      </c>
      <c r="D164" s="180" t="str">
        <f t="shared" si="16"/>
        <v>ÖMER KARTAL – müşteriden tahsilat: FİNAL SİYAH BEYAZ LTD.ŞTİ. – ÖMER KARTALA ÖDENEN</v>
      </c>
      <c r="E164" s="139"/>
      <c r="F164" s="65" t="str">
        <f t="shared" si="17"/>
        <v>MÜŞTERİDEN ALDI</v>
      </c>
      <c r="G164" s="68">
        <f t="shared" si="18"/>
        <v>4000</v>
      </c>
      <c r="H164" s="68">
        <f t="shared" si="19"/>
        <v>0</v>
      </c>
      <c r="I164" s="68">
        <f t="shared" si="23"/>
        <v>623750.01</v>
      </c>
      <c r="J164" s="2"/>
      <c r="K164" s="2"/>
      <c r="L164" s="1"/>
      <c r="M164" s="1">
        <v>127</v>
      </c>
      <c r="N164" s="71">
        <f>IF($T164=0,"",INDEX(TAHSILAT!$E$7:$E$2503,$T164))</f>
        <v>46207</v>
      </c>
      <c r="O164" s="1" t="str">
        <f>IF($N164="","",$C$36&amp;" – müşteriden tahsilat: "&amp;INDEX(TAHSILAT!$N$7:$N$2503,$T164)&amp;IF(INDEX(TAHSILAT!$J$7:$J$2503,$T164)="",""," – "&amp;INDEX(TAHSILAT!$J$7:$J$2503,$T164)))</f>
        <v>ÖMER KARTAL – müşteriden tahsilat: EĞLENGÖR LTD.ŞTİ. – ÖMER KARTALA ÖDENEN</v>
      </c>
      <c r="P164" s="1" t="str">
        <f t="shared" si="24"/>
        <v>MÜŞTERİDEN ALDI</v>
      </c>
      <c r="Q164" s="79">
        <f>IF($N164="",0,INDEX(TAHSILAT!$F$7:$F$2503,$T164))</f>
        <v>4000</v>
      </c>
      <c r="R164" s="1">
        <v>0</v>
      </c>
      <c r="S164" s="1">
        <f t="shared" si="20"/>
        <v>4620700127</v>
      </c>
      <c r="T164" s="1">
        <f>IFERROR(MATCH($C$36&amp;"|91",TAHSILAT!$U$7:$U$2503,0),0)</f>
        <v>432</v>
      </c>
      <c r="U164" s="1"/>
      <c r="V164" s="1">
        <f t="shared" si="21"/>
        <v>4620700128</v>
      </c>
      <c r="W164" s="1">
        <f t="shared" si="22"/>
        <v>128</v>
      </c>
    </row>
    <row r="165" spans="1:23" ht="19.5" customHeight="1" x14ac:dyDescent="0.3">
      <c r="A165" s="2"/>
      <c r="B165" s="65">
        <f t="shared" si="14"/>
        <v>128</v>
      </c>
      <c r="C165" s="70">
        <f t="shared" si="15"/>
        <v>46207</v>
      </c>
      <c r="D165" s="180" t="str">
        <f t="shared" si="16"/>
        <v>ÖMER KARTAL – müşteriden tahsilat: NAZ 1 GIDA LTD.ŞTİ. – ÖMER KARTALA ÖDENEN</v>
      </c>
      <c r="E165" s="139"/>
      <c r="F165" s="65" t="str">
        <f t="shared" si="17"/>
        <v>MÜŞTERİDEN ALDI</v>
      </c>
      <c r="G165" s="68">
        <f t="shared" si="18"/>
        <v>2000</v>
      </c>
      <c r="H165" s="68">
        <f t="shared" si="19"/>
        <v>0</v>
      </c>
      <c r="I165" s="68">
        <f t="shared" si="23"/>
        <v>625750.01</v>
      </c>
      <c r="J165" s="2"/>
      <c r="K165" s="2"/>
      <c r="L165" s="1"/>
      <c r="M165" s="1">
        <v>128</v>
      </c>
      <c r="N165" s="71">
        <f>IF($T165=0,"",INDEX(TAHSILAT!$E$7:$E$2503,$T165))</f>
        <v>46207</v>
      </c>
      <c r="O165" s="1" t="str">
        <f>IF($N165="","",$C$36&amp;" – müşteriden tahsilat: "&amp;INDEX(TAHSILAT!$N$7:$N$2503,$T165)&amp;IF(INDEX(TAHSILAT!$J$7:$J$2503,$T165)="",""," – "&amp;INDEX(TAHSILAT!$J$7:$J$2503,$T165)))</f>
        <v>ÖMER KARTAL – müşteriden tahsilat: FİNAL SİYAH BEYAZ LTD.ŞTİ. – ÖMER KARTALA ÖDENEN</v>
      </c>
      <c r="P165" s="1" t="str">
        <f t="shared" si="24"/>
        <v>MÜŞTERİDEN ALDI</v>
      </c>
      <c r="Q165" s="79">
        <f>IF($N165="",0,INDEX(TAHSILAT!$F$7:$F$2503,$T165))</f>
        <v>4000</v>
      </c>
      <c r="R165" s="1">
        <v>0</v>
      </c>
      <c r="S165" s="1">
        <f t="shared" si="20"/>
        <v>4620700128</v>
      </c>
      <c r="T165" s="1">
        <f>IFERROR(MATCH($C$36&amp;"|92",TAHSILAT!$U$7:$U$2503,0),0)</f>
        <v>433</v>
      </c>
      <c r="U165" s="1"/>
      <c r="V165" s="1">
        <f t="shared" si="21"/>
        <v>4620700129</v>
      </c>
      <c r="W165" s="1">
        <f t="shared" si="22"/>
        <v>129</v>
      </c>
    </row>
    <row r="166" spans="1:23" ht="19.5" customHeight="1" x14ac:dyDescent="0.3">
      <c r="A166" s="2"/>
      <c r="B166" s="65">
        <f t="shared" ref="B166:B229" si="25">IF($C166="","",ROW()-37)</f>
        <v>129</v>
      </c>
      <c r="C166" s="70">
        <f t="shared" ref="C166:C229" si="26">IF($W166="","",IF(INDEX($N$38:$N$953,$W166)="","",INDEX($N$38:$N$953,$W166)))</f>
        <v>46207</v>
      </c>
      <c r="D166" s="180" t="str">
        <f t="shared" ref="D166:D229" si="27">IF($C166="","",INDEX($O$38:$O$953,$W166))</f>
        <v>ÖMER KARTAL – müşteriden tahsilat: PAKYILDIZ LTD.ŞTİ. – ÖMER KARTALA ÖDENEN</v>
      </c>
      <c r="E166" s="139"/>
      <c r="F166" s="65" t="str">
        <f t="shared" ref="F166:F229" si="28">IF($C166="","",INDEX($P$38:$P$953,$W166))</f>
        <v>MÜŞTERİDEN ALDI</v>
      </c>
      <c r="G166" s="68">
        <f t="shared" ref="G166:G229" si="29">IF($C166="","",INDEX($Q$38:$Q$953,$W166))</f>
        <v>4000</v>
      </c>
      <c r="H166" s="68">
        <f t="shared" ref="H166:H229" si="30">IF($C166="","",INDEX($R$38:$R$953,$W166))</f>
        <v>0</v>
      </c>
      <c r="I166" s="68">
        <f t="shared" si="23"/>
        <v>629750.01</v>
      </c>
      <c r="J166" s="2"/>
      <c r="K166" s="2"/>
      <c r="L166" s="1"/>
      <c r="M166" s="1">
        <v>129</v>
      </c>
      <c r="N166" s="71">
        <f>IF($T166=0,"",INDEX(TAHSILAT!$E$7:$E$2503,$T166))</f>
        <v>46207</v>
      </c>
      <c r="O166" s="1" t="str">
        <f>IF($N166="","",$C$36&amp;" – müşteriden tahsilat: "&amp;INDEX(TAHSILAT!$N$7:$N$2503,$T166)&amp;IF(INDEX(TAHSILAT!$J$7:$J$2503,$T166)="",""," – "&amp;INDEX(TAHSILAT!$J$7:$J$2503,$T166)))</f>
        <v>ÖMER KARTAL – müşteriden tahsilat: NAZ 1 GIDA LTD.ŞTİ. – ÖMER KARTALA ÖDENEN</v>
      </c>
      <c r="P166" s="1" t="str">
        <f t="shared" si="24"/>
        <v>MÜŞTERİDEN ALDI</v>
      </c>
      <c r="Q166" s="79">
        <f>IF($N166="",0,INDEX(TAHSILAT!$F$7:$F$2503,$T166))</f>
        <v>2000</v>
      </c>
      <c r="R166" s="1">
        <v>0</v>
      </c>
      <c r="S166" s="1">
        <f t="shared" ref="S166:S229" si="31">IF($N166="",10000000000,$N166*100000+$M166)</f>
        <v>4620700129</v>
      </c>
      <c r="T166" s="1">
        <f>IFERROR(MATCH($C$36&amp;"|93",TAHSILAT!$U$7:$U$2503,0),0)</f>
        <v>434</v>
      </c>
      <c r="U166" s="1"/>
      <c r="V166" s="1">
        <f t="shared" ref="V166:V229" si="32">IFERROR(SMALL($S$38:$S$953,ROW()-37),"")</f>
        <v>4620700130</v>
      </c>
      <c r="W166" s="1">
        <f t="shared" ref="W166:W229" si="33">IFERROR(MATCH($V166,$S$38:$S$953,0),"")</f>
        <v>130</v>
      </c>
    </row>
    <row r="167" spans="1:23" ht="19.5" customHeight="1" x14ac:dyDescent="0.3">
      <c r="A167" s="2"/>
      <c r="B167" s="65">
        <f t="shared" si="25"/>
        <v>130</v>
      </c>
      <c r="C167" s="70">
        <f t="shared" si="26"/>
        <v>46207</v>
      </c>
      <c r="D167" s="180" t="str">
        <f t="shared" si="27"/>
        <v>ÖMER KARTAL – müşteriden tahsilat: RİX ŞOW LTD.ŞTİ. – ÖMER KARTALA ÖDENEN</v>
      </c>
      <c r="E167" s="139"/>
      <c r="F167" s="65" t="str">
        <f t="shared" si="28"/>
        <v>MÜŞTERİDEN ALDI</v>
      </c>
      <c r="G167" s="68">
        <f t="shared" si="29"/>
        <v>3000</v>
      </c>
      <c r="H167" s="68">
        <f t="shared" si="30"/>
        <v>0</v>
      </c>
      <c r="I167" s="68">
        <f t="shared" ref="I167:I230" si="34">IF($C167="","",N($I166)+$G167-$H167)</f>
        <v>632750.01</v>
      </c>
      <c r="J167" s="2"/>
      <c r="K167" s="2"/>
      <c r="L167" s="1"/>
      <c r="M167" s="1">
        <v>130</v>
      </c>
      <c r="N167" s="71">
        <f>IF($T167=0,"",INDEX(TAHSILAT!$E$7:$E$2503,$T167))</f>
        <v>46207</v>
      </c>
      <c r="O167" s="1" t="str">
        <f>IF($N167="","",$C$36&amp;" – müşteriden tahsilat: "&amp;INDEX(TAHSILAT!$N$7:$N$2503,$T167)&amp;IF(INDEX(TAHSILAT!$J$7:$J$2503,$T167)="",""," – "&amp;INDEX(TAHSILAT!$J$7:$J$2503,$T167)))</f>
        <v>ÖMER KARTAL – müşteriden tahsilat: PAKYILDIZ LTD.ŞTİ. – ÖMER KARTALA ÖDENEN</v>
      </c>
      <c r="P167" s="1" t="str">
        <f t="shared" si="24"/>
        <v>MÜŞTERİDEN ALDI</v>
      </c>
      <c r="Q167" s="79">
        <f>IF($N167="",0,INDEX(TAHSILAT!$F$7:$F$2503,$T167))</f>
        <v>4000</v>
      </c>
      <c r="R167" s="1">
        <v>0</v>
      </c>
      <c r="S167" s="1">
        <f t="shared" si="31"/>
        <v>4620700130</v>
      </c>
      <c r="T167" s="1">
        <f>IFERROR(MATCH($C$36&amp;"|94",TAHSILAT!$U$7:$U$2503,0),0)</f>
        <v>435</v>
      </c>
      <c r="U167" s="1"/>
      <c r="V167" s="1">
        <f t="shared" si="32"/>
        <v>4620700131</v>
      </c>
      <c r="W167" s="1">
        <f t="shared" si="33"/>
        <v>131</v>
      </c>
    </row>
    <row r="168" spans="1:23" ht="19.5" customHeight="1" x14ac:dyDescent="0.3">
      <c r="A168" s="2"/>
      <c r="B168" s="65">
        <f t="shared" si="25"/>
        <v>131</v>
      </c>
      <c r="C168" s="70">
        <f t="shared" si="26"/>
        <v>46207</v>
      </c>
      <c r="D168" s="180" t="str">
        <f t="shared" si="27"/>
        <v>MERKEZ KASA → ÖMER KARTAL – YALIKENT HAFTALIK MENDERES MAHSUP</v>
      </c>
      <c r="E168" s="139"/>
      <c r="F168" s="65" t="str">
        <f t="shared" si="28"/>
        <v>VİRMAN GELDİ</v>
      </c>
      <c r="G168" s="68">
        <f t="shared" si="29"/>
        <v>5000</v>
      </c>
      <c r="H168" s="68">
        <f t="shared" si="30"/>
        <v>0</v>
      </c>
      <c r="I168" s="68">
        <f t="shared" si="34"/>
        <v>637750.01</v>
      </c>
      <c r="J168" s="2"/>
      <c r="K168" s="2"/>
      <c r="L168" s="1"/>
      <c r="M168" s="1">
        <v>131</v>
      </c>
      <c r="N168" s="71">
        <f>IF($T168=0,"",INDEX(TAHSILAT!$E$7:$E$2503,$T168))</f>
        <v>46207</v>
      </c>
      <c r="O168" s="1" t="str">
        <f>IF($N168="","",$C$36&amp;" – müşteriden tahsilat: "&amp;INDEX(TAHSILAT!$N$7:$N$2503,$T168)&amp;IF(INDEX(TAHSILAT!$J$7:$J$2503,$T168)="",""," – "&amp;INDEX(TAHSILAT!$J$7:$J$2503,$T168)))</f>
        <v>ÖMER KARTAL – müşteriden tahsilat: RİX ŞOW LTD.ŞTİ. – ÖMER KARTALA ÖDENEN</v>
      </c>
      <c r="P168" s="1" t="str">
        <f t="shared" si="24"/>
        <v>MÜŞTERİDEN ALDI</v>
      </c>
      <c r="Q168" s="79">
        <f>IF($N168="",0,INDEX(TAHSILAT!$F$7:$F$2503,$T168))</f>
        <v>3000</v>
      </c>
      <c r="R168" s="1">
        <v>0</v>
      </c>
      <c r="S168" s="1">
        <f t="shared" si="31"/>
        <v>4620700131</v>
      </c>
      <c r="T168" s="1">
        <f>IFERROR(MATCH($C$36&amp;"|95",TAHSILAT!$U$7:$U$2503,0),0)</f>
        <v>436</v>
      </c>
      <c r="U168" s="1"/>
      <c r="V168" s="1">
        <f t="shared" si="32"/>
        <v>4620700558</v>
      </c>
      <c r="W168" s="1">
        <f t="shared" si="33"/>
        <v>558</v>
      </c>
    </row>
    <row r="169" spans="1:23" ht="19.5" customHeight="1" x14ac:dyDescent="0.3">
      <c r="A169" s="2"/>
      <c r="B169" s="65">
        <f t="shared" si="25"/>
        <v>132</v>
      </c>
      <c r="C169" s="70">
        <f t="shared" si="26"/>
        <v>46214</v>
      </c>
      <c r="D169" s="180" t="str">
        <f t="shared" si="27"/>
        <v>ÖMER KARTAL – müşteriden tahsilat: ASIM AÇIKGÖZ – NAKİT ÖDENEN</v>
      </c>
      <c r="E169" s="139"/>
      <c r="F169" s="65" t="str">
        <f t="shared" si="28"/>
        <v>MÜŞTERİDEN ALDI</v>
      </c>
      <c r="G169" s="68">
        <f t="shared" si="29"/>
        <v>2000</v>
      </c>
      <c r="H169" s="68">
        <f t="shared" si="30"/>
        <v>0</v>
      </c>
      <c r="I169" s="68">
        <f t="shared" si="34"/>
        <v>639750.01</v>
      </c>
      <c r="J169" s="2"/>
      <c r="K169" s="2"/>
      <c r="L169" s="1"/>
      <c r="M169" s="1">
        <v>132</v>
      </c>
      <c r="N169" s="71">
        <f>IF($T169=0,"",INDEX(TAHSILAT!$E$7:$E$2503,$T169))</f>
        <v>46214</v>
      </c>
      <c r="O169" s="1" t="str">
        <f>IF($N169="","",$C$36&amp;" – müşteriden tahsilat: "&amp;INDEX(TAHSILAT!$N$7:$N$2503,$T169)&amp;IF(INDEX(TAHSILAT!$J$7:$J$2503,$T169)="",""," – "&amp;INDEX(TAHSILAT!$J$7:$J$2503,$T169)))</f>
        <v>ÖMER KARTAL – müşteriden tahsilat: ASIM AÇIKGÖZ – NAKİT ÖDENEN</v>
      </c>
      <c r="P169" s="1" t="str">
        <f t="shared" si="24"/>
        <v>MÜŞTERİDEN ALDI</v>
      </c>
      <c r="Q169" s="79">
        <f>IF($N169="",0,INDEX(TAHSILAT!$F$7:$F$2503,$T169))</f>
        <v>2000</v>
      </c>
      <c r="R169" s="1">
        <v>0</v>
      </c>
      <c r="S169" s="1">
        <f t="shared" si="31"/>
        <v>4621400132</v>
      </c>
      <c r="T169" s="1">
        <f>IFERROR(MATCH($C$36&amp;"|96",TAHSILAT!$U$7:$U$2503,0),0)</f>
        <v>439</v>
      </c>
      <c r="U169" s="1"/>
      <c r="V169" s="1">
        <f t="shared" si="32"/>
        <v>4621400132</v>
      </c>
      <c r="W169" s="1">
        <f t="shared" si="33"/>
        <v>132</v>
      </c>
    </row>
    <row r="170" spans="1:23" ht="19.5" customHeight="1" x14ac:dyDescent="0.3">
      <c r="A170" s="2"/>
      <c r="B170" s="65">
        <f t="shared" si="25"/>
        <v>133</v>
      </c>
      <c r="C170" s="70">
        <f t="shared" si="26"/>
        <v>46214</v>
      </c>
      <c r="D170" s="180" t="str">
        <f t="shared" si="27"/>
        <v>ÖMER KARTAL – müşteriden tahsilat: ASM EĞLENCE LTD.ŞTİ. – NAKİT ÖDENEN</v>
      </c>
      <c r="E170" s="139"/>
      <c r="F170" s="65" t="str">
        <f t="shared" si="28"/>
        <v>MÜŞTERİDEN ALDI</v>
      </c>
      <c r="G170" s="68">
        <f t="shared" si="29"/>
        <v>2500</v>
      </c>
      <c r="H170" s="68">
        <f t="shared" si="30"/>
        <v>0</v>
      </c>
      <c r="I170" s="68">
        <f t="shared" si="34"/>
        <v>642250.01</v>
      </c>
      <c r="J170" s="2"/>
      <c r="K170" s="2"/>
      <c r="L170" s="1"/>
      <c r="M170" s="1">
        <v>133</v>
      </c>
      <c r="N170" s="71">
        <f>IF($T170=0,"",INDEX(TAHSILAT!$E$7:$E$2503,$T170))</f>
        <v>46214</v>
      </c>
      <c r="O170" s="1" t="str">
        <f>IF($N170="","",$C$36&amp;" – müşteriden tahsilat: "&amp;INDEX(TAHSILAT!$N$7:$N$2503,$T170)&amp;IF(INDEX(TAHSILAT!$J$7:$J$2503,$T170)="",""," – "&amp;INDEX(TAHSILAT!$J$7:$J$2503,$T170)))</f>
        <v>ÖMER KARTAL – müşteriden tahsilat: ASM EĞLENCE LTD.ŞTİ. – NAKİT ÖDENEN</v>
      </c>
      <c r="P170" s="1" t="str">
        <f t="shared" si="24"/>
        <v>MÜŞTERİDEN ALDI</v>
      </c>
      <c r="Q170" s="79">
        <f>IF($N170="",0,INDEX(TAHSILAT!$F$7:$F$2503,$T170))</f>
        <v>2500</v>
      </c>
      <c r="R170" s="1">
        <v>0</v>
      </c>
      <c r="S170" s="1">
        <f t="shared" si="31"/>
        <v>4621400133</v>
      </c>
      <c r="T170" s="1">
        <f>IFERROR(MATCH($C$36&amp;"|97",TAHSILAT!$U$7:$U$2503,0),0)</f>
        <v>440</v>
      </c>
      <c r="U170" s="1"/>
      <c r="V170" s="1">
        <f t="shared" si="32"/>
        <v>4621400133</v>
      </c>
      <c r="W170" s="1">
        <f t="shared" si="33"/>
        <v>133</v>
      </c>
    </row>
    <row r="171" spans="1:23" ht="19.5" customHeight="1" x14ac:dyDescent="0.3">
      <c r="A171" s="2"/>
      <c r="B171" s="65">
        <f t="shared" si="25"/>
        <v>134</v>
      </c>
      <c r="C171" s="70">
        <f t="shared" si="26"/>
        <v>46214</v>
      </c>
      <c r="D171" s="180" t="str">
        <f t="shared" si="27"/>
        <v>ÖMER KARTAL – müşteriden tahsilat: ÇAYIRALAN LTD.ŞTİ. – ÖMER KARTALA ÖDENEN</v>
      </c>
      <c r="E171" s="139"/>
      <c r="F171" s="65" t="str">
        <f t="shared" si="28"/>
        <v>MÜŞTERİDEN ALDI</v>
      </c>
      <c r="G171" s="68">
        <f t="shared" si="29"/>
        <v>3000</v>
      </c>
      <c r="H171" s="68">
        <f t="shared" si="30"/>
        <v>0</v>
      </c>
      <c r="I171" s="68">
        <f t="shared" si="34"/>
        <v>645250.01</v>
      </c>
      <c r="J171" s="2"/>
      <c r="K171" s="2"/>
      <c r="L171" s="1"/>
      <c r="M171" s="1">
        <v>134</v>
      </c>
      <c r="N171" s="71">
        <f>IF($T171=0,"",INDEX(TAHSILAT!$E$7:$E$2503,$T171))</f>
        <v>46214</v>
      </c>
      <c r="O171" s="1" t="str">
        <f>IF($N171="","",$C$36&amp;" – müşteriden tahsilat: "&amp;INDEX(TAHSILAT!$N$7:$N$2503,$T171)&amp;IF(INDEX(TAHSILAT!$J$7:$J$2503,$T171)="",""," – "&amp;INDEX(TAHSILAT!$J$7:$J$2503,$T171)))</f>
        <v>ÖMER KARTAL – müşteriden tahsilat: ÇAYIRALAN LTD.ŞTİ. – ÖMER KARTALA ÖDENEN</v>
      </c>
      <c r="P171" s="1" t="str">
        <f t="shared" si="24"/>
        <v>MÜŞTERİDEN ALDI</v>
      </c>
      <c r="Q171" s="79">
        <f>IF($N171="",0,INDEX(TAHSILAT!$F$7:$F$2503,$T171))</f>
        <v>3000</v>
      </c>
      <c r="R171" s="1">
        <v>0</v>
      </c>
      <c r="S171" s="1">
        <f t="shared" si="31"/>
        <v>4621400134</v>
      </c>
      <c r="T171" s="1">
        <f>IFERROR(MATCH($C$36&amp;"|98",TAHSILAT!$U$7:$U$2503,0),0)</f>
        <v>441</v>
      </c>
      <c r="U171" s="1"/>
      <c r="V171" s="1">
        <f t="shared" si="32"/>
        <v>4621400134</v>
      </c>
      <c r="W171" s="1">
        <f t="shared" si="33"/>
        <v>134</v>
      </c>
    </row>
    <row r="172" spans="1:23" ht="19.5" customHeight="1" x14ac:dyDescent="0.3">
      <c r="A172" s="2"/>
      <c r="B172" s="65">
        <f t="shared" si="25"/>
        <v>135</v>
      </c>
      <c r="C172" s="70">
        <f t="shared" si="26"/>
        <v>46214</v>
      </c>
      <c r="D172" s="180" t="str">
        <f t="shared" si="27"/>
        <v>ÖMER KARTAL – müşteriden tahsilat: EĞLENGÖR LTD.ŞTİ. – ÖMER KARTALA ÖDENEN</v>
      </c>
      <c r="E172" s="139"/>
      <c r="F172" s="65" t="str">
        <f t="shared" si="28"/>
        <v>MÜŞTERİDEN ALDI</v>
      </c>
      <c r="G172" s="68">
        <f t="shared" si="29"/>
        <v>4000</v>
      </c>
      <c r="H172" s="68">
        <f t="shared" si="30"/>
        <v>0</v>
      </c>
      <c r="I172" s="68">
        <f t="shared" si="34"/>
        <v>649250.01</v>
      </c>
      <c r="J172" s="2"/>
      <c r="K172" s="2"/>
      <c r="L172" s="1"/>
      <c r="M172" s="1">
        <v>135</v>
      </c>
      <c r="N172" s="71">
        <f>IF($T172=0,"",INDEX(TAHSILAT!$E$7:$E$2503,$T172))</f>
        <v>46214</v>
      </c>
      <c r="O172" s="1" t="str">
        <f>IF($N172="","",$C$36&amp;" – müşteriden tahsilat: "&amp;INDEX(TAHSILAT!$N$7:$N$2503,$T172)&amp;IF(INDEX(TAHSILAT!$J$7:$J$2503,$T172)="",""," – "&amp;INDEX(TAHSILAT!$J$7:$J$2503,$T172)))</f>
        <v>ÖMER KARTAL – müşteriden tahsilat: EĞLENGÖR LTD.ŞTİ. – ÖMER KARTALA ÖDENEN</v>
      </c>
      <c r="P172" s="1" t="str">
        <f t="shared" si="24"/>
        <v>MÜŞTERİDEN ALDI</v>
      </c>
      <c r="Q172" s="79">
        <f>IF($N172="",0,INDEX(TAHSILAT!$F$7:$F$2503,$T172))</f>
        <v>4000</v>
      </c>
      <c r="R172" s="1">
        <v>0</v>
      </c>
      <c r="S172" s="1">
        <f t="shared" si="31"/>
        <v>4621400135</v>
      </c>
      <c r="T172" s="1">
        <f>IFERROR(MATCH($C$36&amp;"|99",TAHSILAT!$U$7:$U$2503,0),0)</f>
        <v>442</v>
      </c>
      <c r="U172" s="1"/>
      <c r="V172" s="1">
        <f t="shared" si="32"/>
        <v>4621400135</v>
      </c>
      <c r="W172" s="1">
        <f t="shared" si="33"/>
        <v>135</v>
      </c>
    </row>
    <row r="173" spans="1:23" ht="19.5" customHeight="1" x14ac:dyDescent="0.3">
      <c r="A173" s="2"/>
      <c r="B173" s="65">
        <f t="shared" si="25"/>
        <v>136</v>
      </c>
      <c r="C173" s="70">
        <f t="shared" si="26"/>
        <v>46214</v>
      </c>
      <c r="D173" s="180" t="str">
        <f t="shared" si="27"/>
        <v>ÖMER KARTAL – müşteriden tahsilat: FİNAL SİYAH BEYAZ LTD.ŞTİ. – ÖMER KARTALA ÖDENEN</v>
      </c>
      <c r="E173" s="139"/>
      <c r="F173" s="65" t="str">
        <f t="shared" si="28"/>
        <v>MÜŞTERİDEN ALDI</v>
      </c>
      <c r="G173" s="68">
        <f t="shared" si="29"/>
        <v>4000</v>
      </c>
      <c r="H173" s="68">
        <f t="shared" si="30"/>
        <v>0</v>
      </c>
      <c r="I173" s="68">
        <f t="shared" si="34"/>
        <v>653250.01</v>
      </c>
      <c r="J173" s="2"/>
      <c r="K173" s="2"/>
      <c r="L173" s="1"/>
      <c r="M173" s="1">
        <v>136</v>
      </c>
      <c r="N173" s="71">
        <f>IF($T173=0,"",INDEX(TAHSILAT!$E$7:$E$2503,$T173))</f>
        <v>46214</v>
      </c>
      <c r="O173" s="1" t="str">
        <f>IF($N173="","",$C$36&amp;" – müşteriden tahsilat: "&amp;INDEX(TAHSILAT!$N$7:$N$2503,$T173)&amp;IF(INDEX(TAHSILAT!$J$7:$J$2503,$T173)="",""," – "&amp;INDEX(TAHSILAT!$J$7:$J$2503,$T173)))</f>
        <v>ÖMER KARTAL – müşteriden tahsilat: FİNAL SİYAH BEYAZ LTD.ŞTİ. – ÖMER KARTALA ÖDENEN</v>
      </c>
      <c r="P173" s="1" t="str">
        <f t="shared" si="24"/>
        <v>MÜŞTERİDEN ALDI</v>
      </c>
      <c r="Q173" s="79">
        <f>IF($N173="",0,INDEX(TAHSILAT!$F$7:$F$2503,$T173))</f>
        <v>4000</v>
      </c>
      <c r="R173" s="1">
        <v>0</v>
      </c>
      <c r="S173" s="1">
        <f t="shared" si="31"/>
        <v>4621400136</v>
      </c>
      <c r="T173" s="1">
        <f>IFERROR(MATCH($C$36&amp;"|100",TAHSILAT!$U$7:$U$2503,0),0)</f>
        <v>443</v>
      </c>
      <c r="U173" s="1"/>
      <c r="V173" s="1">
        <f t="shared" si="32"/>
        <v>4621400136</v>
      </c>
      <c r="W173" s="1">
        <f t="shared" si="33"/>
        <v>136</v>
      </c>
    </row>
    <row r="174" spans="1:23" ht="19.5" customHeight="1" x14ac:dyDescent="0.3">
      <c r="A174" s="2"/>
      <c r="B174" s="65">
        <f t="shared" si="25"/>
        <v>137</v>
      </c>
      <c r="C174" s="70">
        <f t="shared" si="26"/>
        <v>46214</v>
      </c>
      <c r="D174" s="180" t="str">
        <f t="shared" si="27"/>
        <v>ÖMER KARTAL – müşteriden tahsilat: NAZ 1 GIDA LTD.ŞTİ. – ÖMER KARTALA ÖDENEN</v>
      </c>
      <c r="E174" s="139"/>
      <c r="F174" s="65" t="str">
        <f t="shared" si="28"/>
        <v>MÜŞTERİDEN ALDI</v>
      </c>
      <c r="G174" s="68">
        <f t="shared" si="29"/>
        <v>2000</v>
      </c>
      <c r="H174" s="68">
        <f t="shared" si="30"/>
        <v>0</v>
      </c>
      <c r="I174" s="68">
        <f t="shared" si="34"/>
        <v>655250.01</v>
      </c>
      <c r="J174" s="2"/>
      <c r="K174" s="2"/>
      <c r="L174" s="1"/>
      <c r="M174" s="1">
        <v>137</v>
      </c>
      <c r="N174" s="71">
        <f>IF($T174=0,"",INDEX(TAHSILAT!$E$7:$E$2503,$T174))</f>
        <v>46214</v>
      </c>
      <c r="O174" s="1" t="str">
        <f>IF($N174="","",$C$36&amp;" – müşteriden tahsilat: "&amp;INDEX(TAHSILAT!$N$7:$N$2503,$T174)&amp;IF(INDEX(TAHSILAT!$J$7:$J$2503,$T174)="",""," – "&amp;INDEX(TAHSILAT!$J$7:$J$2503,$T174)))</f>
        <v>ÖMER KARTAL – müşteriden tahsilat: NAZ 1 GIDA LTD.ŞTİ. – ÖMER KARTALA ÖDENEN</v>
      </c>
      <c r="P174" s="1" t="str">
        <f t="shared" si="24"/>
        <v>MÜŞTERİDEN ALDI</v>
      </c>
      <c r="Q174" s="79">
        <f>IF($N174="",0,INDEX(TAHSILAT!$F$7:$F$2503,$T174))</f>
        <v>2000</v>
      </c>
      <c r="R174" s="1">
        <v>0</v>
      </c>
      <c r="S174" s="1">
        <f t="shared" si="31"/>
        <v>4621400137</v>
      </c>
      <c r="T174" s="1">
        <f>IFERROR(MATCH($C$36&amp;"|101",TAHSILAT!$U$7:$U$2503,0),0)</f>
        <v>444</v>
      </c>
      <c r="U174" s="1"/>
      <c r="V174" s="1">
        <f t="shared" si="32"/>
        <v>4621400137</v>
      </c>
      <c r="W174" s="1">
        <f t="shared" si="33"/>
        <v>137</v>
      </c>
    </row>
    <row r="175" spans="1:23" ht="19.5" customHeight="1" x14ac:dyDescent="0.3">
      <c r="A175" s="2"/>
      <c r="B175" s="65">
        <f t="shared" si="25"/>
        <v>138</v>
      </c>
      <c r="C175" s="70">
        <f t="shared" si="26"/>
        <v>46214</v>
      </c>
      <c r="D175" s="180" t="str">
        <f t="shared" si="27"/>
        <v>ÖMER KARTAL – müşteriden tahsilat: PAKYILDIZ LTD.ŞTİ. – ÖMER KARTALA ÖDENEN</v>
      </c>
      <c r="E175" s="139"/>
      <c r="F175" s="65" t="str">
        <f t="shared" si="28"/>
        <v>MÜŞTERİDEN ALDI</v>
      </c>
      <c r="G175" s="68">
        <f t="shared" si="29"/>
        <v>4000</v>
      </c>
      <c r="H175" s="68">
        <f t="shared" si="30"/>
        <v>0</v>
      </c>
      <c r="I175" s="68">
        <f t="shared" si="34"/>
        <v>659250.01</v>
      </c>
      <c r="J175" s="2"/>
      <c r="K175" s="2"/>
      <c r="L175" s="1"/>
      <c r="M175" s="1">
        <v>138</v>
      </c>
      <c r="N175" s="71">
        <f>IF($T175=0,"",INDEX(TAHSILAT!$E$7:$E$2503,$T175))</f>
        <v>46214</v>
      </c>
      <c r="O175" s="1" t="str">
        <f>IF($N175="","",$C$36&amp;" – müşteriden tahsilat: "&amp;INDEX(TAHSILAT!$N$7:$N$2503,$T175)&amp;IF(INDEX(TAHSILAT!$J$7:$J$2503,$T175)="",""," – "&amp;INDEX(TAHSILAT!$J$7:$J$2503,$T175)))</f>
        <v>ÖMER KARTAL – müşteriden tahsilat: PAKYILDIZ LTD.ŞTİ. – ÖMER KARTALA ÖDENEN</v>
      </c>
      <c r="P175" s="1" t="str">
        <f t="shared" si="24"/>
        <v>MÜŞTERİDEN ALDI</v>
      </c>
      <c r="Q175" s="79">
        <f>IF($N175="",0,INDEX(TAHSILAT!$F$7:$F$2503,$T175))</f>
        <v>4000</v>
      </c>
      <c r="R175" s="1">
        <v>0</v>
      </c>
      <c r="S175" s="1">
        <f t="shared" si="31"/>
        <v>4621400138</v>
      </c>
      <c r="T175" s="1">
        <f>IFERROR(MATCH($C$36&amp;"|102",TAHSILAT!$U$7:$U$2503,0),0)</f>
        <v>445</v>
      </c>
      <c r="U175" s="1"/>
      <c r="V175" s="1">
        <f t="shared" si="32"/>
        <v>4621400138</v>
      </c>
      <c r="W175" s="1">
        <f t="shared" si="33"/>
        <v>138</v>
      </c>
    </row>
    <row r="176" spans="1:23" ht="19.5" customHeight="1" x14ac:dyDescent="0.3">
      <c r="A176" s="2"/>
      <c r="B176" s="65">
        <f t="shared" si="25"/>
        <v>139</v>
      </c>
      <c r="C176" s="70">
        <f t="shared" si="26"/>
        <v>46214</v>
      </c>
      <c r="D176" s="180" t="str">
        <f t="shared" si="27"/>
        <v>ÖMER KARTAL – müşteriden tahsilat: RİX ŞOW LTD.ŞTİ. – ÖMER KARTALA ÖDENEN</v>
      </c>
      <c r="E176" s="139"/>
      <c r="F176" s="65" t="str">
        <f t="shared" si="28"/>
        <v>MÜŞTERİDEN ALDI</v>
      </c>
      <c r="G176" s="68">
        <f t="shared" si="29"/>
        <v>3000</v>
      </c>
      <c r="H176" s="68">
        <f t="shared" si="30"/>
        <v>0</v>
      </c>
      <c r="I176" s="68">
        <f t="shared" si="34"/>
        <v>662250.01</v>
      </c>
      <c r="J176" s="2"/>
      <c r="K176" s="2"/>
      <c r="L176" s="1"/>
      <c r="M176" s="1">
        <v>139</v>
      </c>
      <c r="N176" s="1">
        <f>IF($T176=0,"",INDEX(TAHSILAT!$E$7:$E$2503,$T176))</f>
        <v>46214</v>
      </c>
      <c r="O176" s="1" t="str">
        <f>IF($N176="","",$C$36&amp;" – müşteriden tahsilat: "&amp;INDEX(TAHSILAT!$N$7:$N$2503,$T176)&amp;IF(INDEX(TAHSILAT!$J$7:$J$2503,$T176)="",""," – "&amp;INDEX(TAHSILAT!$J$7:$J$2503,$T176)))</f>
        <v>ÖMER KARTAL – müşteriden tahsilat: RİX ŞOW LTD.ŞTİ. – ÖMER KARTALA ÖDENEN</v>
      </c>
      <c r="P176" s="1" t="str">
        <f t="shared" si="24"/>
        <v>MÜŞTERİDEN ALDI</v>
      </c>
      <c r="Q176" s="1">
        <f>IF($N176="",0,INDEX(TAHSILAT!$F$7:$F$2503,$T176))</f>
        <v>3000</v>
      </c>
      <c r="R176" s="1">
        <v>0</v>
      </c>
      <c r="S176" s="1">
        <f t="shared" si="31"/>
        <v>4621400139</v>
      </c>
      <c r="T176" s="1">
        <f>IFERROR(MATCH($C$36&amp;"|103",TAHSILAT!$U$7:$U$2503,0),0)</f>
        <v>446</v>
      </c>
      <c r="U176" s="1"/>
      <c r="V176" s="1">
        <f t="shared" si="32"/>
        <v>4621400139</v>
      </c>
      <c r="W176" s="1">
        <f t="shared" si="33"/>
        <v>139</v>
      </c>
    </row>
    <row r="177" spans="1:23" ht="19.5" customHeight="1" x14ac:dyDescent="0.3">
      <c r="A177" s="2"/>
      <c r="B177" s="65">
        <f t="shared" si="25"/>
        <v>140</v>
      </c>
      <c r="C177" s="70">
        <f t="shared" si="26"/>
        <v>46214</v>
      </c>
      <c r="D177" s="180" t="str">
        <f t="shared" si="27"/>
        <v>ÖMER KARTAL – müşteriden tahsilat: KRİSTAL LTD.ŞTİ. – NAKİT ÖDENEN</v>
      </c>
      <c r="E177" s="139"/>
      <c r="F177" s="65" t="str">
        <f t="shared" si="28"/>
        <v>MÜŞTERİDEN ALDI</v>
      </c>
      <c r="G177" s="68">
        <f t="shared" si="29"/>
        <v>3000</v>
      </c>
      <c r="H177" s="68">
        <f t="shared" si="30"/>
        <v>0</v>
      </c>
      <c r="I177" s="68">
        <f t="shared" si="34"/>
        <v>665250.01</v>
      </c>
      <c r="J177" s="2"/>
      <c r="K177" s="2"/>
      <c r="L177" s="1"/>
      <c r="M177" s="1">
        <v>140</v>
      </c>
      <c r="N177" s="1">
        <f>IF($T177=0,"",INDEX(TAHSILAT!$E$7:$E$2503,$T177))</f>
        <v>46214</v>
      </c>
      <c r="O177" s="1" t="str">
        <f>IF($N177="","",$C$36&amp;" – müşteriden tahsilat: "&amp;INDEX(TAHSILAT!$N$7:$N$2503,$T177)&amp;IF(INDEX(TAHSILAT!$J$7:$J$2503,$T177)="",""," – "&amp;INDEX(TAHSILAT!$J$7:$J$2503,$T177)))</f>
        <v>ÖMER KARTAL – müşteriden tahsilat: KRİSTAL LTD.ŞTİ. – NAKİT ÖDENEN</v>
      </c>
      <c r="P177" s="1" t="str">
        <f t="shared" si="24"/>
        <v>MÜŞTERİDEN ALDI</v>
      </c>
      <c r="Q177" s="1">
        <f>IF($N177="",0,INDEX(TAHSILAT!$F$7:$F$2503,$T177))</f>
        <v>3000</v>
      </c>
      <c r="R177" s="1">
        <v>0</v>
      </c>
      <c r="S177" s="1">
        <f t="shared" si="31"/>
        <v>4621400140</v>
      </c>
      <c r="T177" s="1">
        <f>IFERROR(MATCH($C$36&amp;"|104",TAHSILAT!$U$7:$U$2503,0),0)</f>
        <v>447</v>
      </c>
      <c r="U177" s="1"/>
      <c r="V177" s="1">
        <f t="shared" si="32"/>
        <v>4621400140</v>
      </c>
      <c r="W177" s="1">
        <f t="shared" si="33"/>
        <v>140</v>
      </c>
    </row>
    <row r="178" spans="1:23" ht="19.5" customHeight="1" x14ac:dyDescent="0.3">
      <c r="A178" s="2"/>
      <c r="B178" s="65">
        <f t="shared" si="25"/>
        <v>141</v>
      </c>
      <c r="C178" s="70">
        <f t="shared" si="26"/>
        <v>46214</v>
      </c>
      <c r="D178" s="180" t="str">
        <f t="shared" si="27"/>
        <v>MERKEZ KASA → ÖMER KARTAL – YALIKENT HAFTALIK MENDERES MAHSUP</v>
      </c>
      <c r="E178" s="139"/>
      <c r="F178" s="65" t="str">
        <f t="shared" si="28"/>
        <v>VİRMAN GELDİ</v>
      </c>
      <c r="G178" s="68">
        <f t="shared" si="29"/>
        <v>5000</v>
      </c>
      <c r="H178" s="68">
        <f t="shared" si="30"/>
        <v>0</v>
      </c>
      <c r="I178" s="68">
        <f t="shared" si="34"/>
        <v>670250.01</v>
      </c>
      <c r="J178" s="2"/>
      <c r="K178" s="2"/>
      <c r="L178" s="1"/>
      <c r="M178" s="1">
        <v>141</v>
      </c>
      <c r="N178" s="1">
        <f>IF($T178=0,"",INDEX(TAHSILAT!$E$7:$E$2503,$T178))</f>
        <v>46218</v>
      </c>
      <c r="O178" s="1" t="str">
        <f>IF($N178="","",$C$36&amp;" – müşteriden tahsilat: "&amp;INDEX(TAHSILAT!$N$7:$N$2503,$T178)&amp;IF(INDEX(TAHSILAT!$J$7:$J$2503,$T178)="",""," – "&amp;INDEX(TAHSILAT!$J$7:$J$2503,$T178)))</f>
        <v>ÖMER KARTAL – müşteriden tahsilat: UFUK YILMAZ – NAKİT ÖDENEN</v>
      </c>
      <c r="P178" s="1" t="str">
        <f t="shared" si="24"/>
        <v>MÜŞTERİDEN ALDI</v>
      </c>
      <c r="Q178" s="1">
        <f>IF($N178="",0,INDEX(TAHSILAT!$F$7:$F$2503,$T178))</f>
        <v>3000</v>
      </c>
      <c r="R178" s="1">
        <v>0</v>
      </c>
      <c r="S178" s="1">
        <f t="shared" si="31"/>
        <v>4621800141</v>
      </c>
      <c r="T178" s="1">
        <f>IFERROR(MATCH($C$36&amp;"|105",TAHSILAT!$U$7:$U$2503,0),0)</f>
        <v>449</v>
      </c>
      <c r="U178" s="1"/>
      <c r="V178" s="1">
        <f t="shared" si="32"/>
        <v>4621400559</v>
      </c>
      <c r="W178" s="1">
        <f t="shared" si="33"/>
        <v>559</v>
      </c>
    </row>
    <row r="179" spans="1:23" ht="19.5" customHeight="1" x14ac:dyDescent="0.3">
      <c r="A179" s="2"/>
      <c r="B179" s="65">
        <f t="shared" si="25"/>
        <v>142</v>
      </c>
      <c r="C179" s="70">
        <f t="shared" si="26"/>
        <v>46218</v>
      </c>
      <c r="D179" s="180" t="str">
        <f t="shared" si="27"/>
        <v>ÖMER KARTAL – müşteriden tahsilat: UFUK YILMAZ – NAKİT ÖDENEN</v>
      </c>
      <c r="E179" s="139"/>
      <c r="F179" s="65" t="str">
        <f t="shared" si="28"/>
        <v>MÜŞTERİDEN ALDI</v>
      </c>
      <c r="G179" s="68">
        <f t="shared" si="29"/>
        <v>3000</v>
      </c>
      <c r="H179" s="68">
        <f t="shared" si="30"/>
        <v>0</v>
      </c>
      <c r="I179" s="68">
        <f t="shared" si="34"/>
        <v>673250.01</v>
      </c>
      <c r="J179" s="2"/>
      <c r="K179" s="2"/>
      <c r="L179" s="1"/>
      <c r="M179" s="1">
        <v>142</v>
      </c>
      <c r="N179" s="1">
        <f>IF($T179=0,"",INDEX(TAHSILAT!$E$7:$E$2503,$T179))</f>
        <v>46221</v>
      </c>
      <c r="O179" s="1" t="str">
        <f>IF($N179="","",$C$36&amp;" – müşteriden tahsilat: "&amp;INDEX(TAHSILAT!$N$7:$N$2503,$T179)&amp;IF(INDEX(TAHSILAT!$J$7:$J$2503,$T179)="",""," – "&amp;INDEX(TAHSILAT!$J$7:$J$2503,$T179)))</f>
        <v>ÖMER KARTAL – müşteriden tahsilat: İSA DEMİRCİ – NAKİT ÖDENEN</v>
      </c>
      <c r="P179" s="1" t="str">
        <f t="shared" si="24"/>
        <v>MÜŞTERİDEN ALDI</v>
      </c>
      <c r="Q179" s="1">
        <f>IF($N179="",0,INDEX(TAHSILAT!$F$7:$F$2503,$T179))</f>
        <v>3500</v>
      </c>
      <c r="R179" s="1">
        <v>0</v>
      </c>
      <c r="S179" s="1">
        <f t="shared" si="31"/>
        <v>4622100142</v>
      </c>
      <c r="T179" s="1">
        <f>IFERROR(MATCH($C$36&amp;"|106",TAHSILAT!$U$7:$U$2503,0),0)</f>
        <v>459</v>
      </c>
      <c r="U179" s="1"/>
      <c r="V179" s="1">
        <f t="shared" si="32"/>
        <v>4621800141</v>
      </c>
      <c r="W179" s="1">
        <f t="shared" si="33"/>
        <v>141</v>
      </c>
    </row>
    <row r="180" spans="1:23" ht="19.5" customHeight="1" x14ac:dyDescent="0.3">
      <c r="A180" s="2"/>
      <c r="B180" s="65">
        <f t="shared" si="25"/>
        <v>143</v>
      </c>
      <c r="C180" s="70">
        <f t="shared" si="26"/>
        <v>46221</v>
      </c>
      <c r="D180" s="180" t="str">
        <f t="shared" si="27"/>
        <v>ÖMER KARTAL – müşteriden tahsilat: İSA DEMİRCİ – NAKİT ÖDENEN</v>
      </c>
      <c r="E180" s="139"/>
      <c r="F180" s="65" t="str">
        <f t="shared" si="28"/>
        <v>MÜŞTERİDEN ALDI</v>
      </c>
      <c r="G180" s="68">
        <f t="shared" si="29"/>
        <v>3500</v>
      </c>
      <c r="H180" s="68">
        <f t="shared" si="30"/>
        <v>0</v>
      </c>
      <c r="I180" s="68">
        <f t="shared" si="34"/>
        <v>676750.01</v>
      </c>
      <c r="J180" s="2"/>
      <c r="K180" s="2"/>
      <c r="L180" s="1"/>
      <c r="M180" s="1">
        <v>143</v>
      </c>
      <c r="N180" s="1">
        <f>IF($T180=0,"",INDEX(TAHSILAT!$E$7:$E$2503,$T180))</f>
        <v>46221</v>
      </c>
      <c r="O180" s="1" t="str">
        <f>IF($N180="","",$C$36&amp;" – müşteriden tahsilat: "&amp;INDEX(TAHSILAT!$N$7:$N$2503,$T180)&amp;IF(INDEX(TAHSILAT!$J$7:$J$2503,$T180)="",""," – "&amp;INDEX(TAHSILAT!$J$7:$J$2503,$T180)))</f>
        <v>ÖMER KARTAL – müşteriden tahsilat: ÖMER DEMİRCİ – NAKİT ÖDENEN</v>
      </c>
      <c r="P180" s="1" t="str">
        <f t="shared" si="24"/>
        <v>MÜŞTERİDEN ALDI</v>
      </c>
      <c r="Q180" s="1">
        <f>IF($N180="",0,INDEX(TAHSILAT!$F$7:$F$2503,$T180))</f>
        <v>3500</v>
      </c>
      <c r="R180" s="1">
        <v>0</v>
      </c>
      <c r="S180" s="1">
        <f t="shared" si="31"/>
        <v>4622100143</v>
      </c>
      <c r="T180" s="1">
        <f>IFERROR(MATCH($C$36&amp;"|107",TAHSILAT!$U$7:$U$2503,0),0)</f>
        <v>461</v>
      </c>
      <c r="U180" s="1"/>
      <c r="V180" s="1">
        <f t="shared" si="32"/>
        <v>4622100142</v>
      </c>
      <c r="W180" s="1">
        <f t="shared" si="33"/>
        <v>142</v>
      </c>
    </row>
    <row r="181" spans="1:23" ht="19.5" customHeight="1" x14ac:dyDescent="0.3">
      <c r="A181" s="2"/>
      <c r="B181" s="65">
        <f t="shared" si="25"/>
        <v>144</v>
      </c>
      <c r="C181" s="70">
        <f t="shared" si="26"/>
        <v>46221</v>
      </c>
      <c r="D181" s="180" t="str">
        <f t="shared" si="27"/>
        <v>ÖMER KARTAL – müşteriden tahsilat: ÖMER DEMİRCİ – NAKİT ÖDENEN</v>
      </c>
      <c r="E181" s="139"/>
      <c r="F181" s="65" t="str">
        <f t="shared" si="28"/>
        <v>MÜŞTERİDEN ALDI</v>
      </c>
      <c r="G181" s="68">
        <f t="shared" si="29"/>
        <v>3500</v>
      </c>
      <c r="H181" s="68">
        <f t="shared" si="30"/>
        <v>0</v>
      </c>
      <c r="I181" s="68">
        <f t="shared" si="34"/>
        <v>680250.01</v>
      </c>
      <c r="J181" s="2"/>
      <c r="K181" s="2"/>
      <c r="L181" s="1"/>
      <c r="M181" s="1">
        <v>144</v>
      </c>
      <c r="N181" s="1">
        <f>IF($T181=0,"",INDEX(TAHSILAT!$E$7:$E$2503,$T181))</f>
        <v>46243</v>
      </c>
      <c r="O181" s="1" t="str">
        <f>IF($N181="","",$C$36&amp;" – müşteriden tahsilat: "&amp;INDEX(TAHSILAT!$N$7:$N$2503,$T181)&amp;IF(INDEX(TAHSILAT!$J$7:$J$2503,$T181)="",""," – "&amp;INDEX(TAHSILAT!$J$7:$J$2503,$T181)))</f>
        <v>ÖMER KARTAL – müşteriden tahsilat: TYANA LTD.ŞTİ. – NAKİT ÖDENEN</v>
      </c>
      <c r="P181" s="1" t="str">
        <f t="shared" si="24"/>
        <v>MÜŞTERİDEN ALDI</v>
      </c>
      <c r="Q181" s="1">
        <f>IF($N181="",0,INDEX(TAHSILAT!$F$7:$F$2503,$T181))</f>
        <v>3000</v>
      </c>
      <c r="R181" s="1">
        <v>0</v>
      </c>
      <c r="S181" s="1">
        <f t="shared" si="31"/>
        <v>4624300144</v>
      </c>
      <c r="T181" s="1">
        <f>IFERROR(MATCH($C$36&amp;"|108",TAHSILAT!$U$7:$U$2503,0),0)</f>
        <v>502</v>
      </c>
      <c r="U181" s="1"/>
      <c r="V181" s="1">
        <f t="shared" si="32"/>
        <v>4622100143</v>
      </c>
      <c r="W181" s="1">
        <f t="shared" si="33"/>
        <v>143</v>
      </c>
    </row>
    <row r="182" spans="1:23" ht="19.5" customHeight="1" x14ac:dyDescent="0.3">
      <c r="A182" s="2"/>
      <c r="B182" s="65">
        <f t="shared" si="25"/>
        <v>145</v>
      </c>
      <c r="C182" s="70">
        <f t="shared" si="26"/>
        <v>46221</v>
      </c>
      <c r="D182" s="180" t="str">
        <f t="shared" si="27"/>
        <v>MERKEZ KASA → ÖMER KARTAL – YALIKENT HAFTALIK MENDERES MAHSUP</v>
      </c>
      <c r="E182" s="139"/>
      <c r="F182" s="65" t="str">
        <f t="shared" si="28"/>
        <v>VİRMAN GELDİ</v>
      </c>
      <c r="G182" s="68">
        <f t="shared" si="29"/>
        <v>5000</v>
      </c>
      <c r="H182" s="68">
        <f t="shared" si="30"/>
        <v>0</v>
      </c>
      <c r="I182" s="68">
        <f t="shared" si="34"/>
        <v>685250.01</v>
      </c>
      <c r="J182" s="2"/>
      <c r="K182" s="2"/>
      <c r="L182" s="1"/>
      <c r="M182" s="1">
        <v>145</v>
      </c>
      <c r="N182" s="1">
        <f>IF($T182=0,"",INDEX(TAHSILAT!$E$7:$E$2503,$T182))</f>
        <v>46249</v>
      </c>
      <c r="O182" s="1" t="str">
        <f>IF($N182="","",$C$36&amp;" – müşteriden tahsilat: "&amp;INDEX(TAHSILAT!$N$7:$N$2503,$T182)&amp;IF(INDEX(TAHSILAT!$J$7:$J$2503,$T182)="",""," – "&amp;INDEX(TAHSILAT!$J$7:$J$2503,$T182)))</f>
        <v>ÖMER KARTAL – müşteriden tahsilat: UFUK YILMAZ – NAKİT ÖDENEN</v>
      </c>
      <c r="P182" s="1" t="str">
        <f t="shared" si="24"/>
        <v>MÜŞTERİDEN ALDI</v>
      </c>
      <c r="Q182" s="1">
        <f>IF($N182="",0,INDEX(TAHSILAT!$F$7:$F$2503,$T182))</f>
        <v>3000</v>
      </c>
      <c r="R182" s="1">
        <v>0</v>
      </c>
      <c r="S182" s="1">
        <f t="shared" si="31"/>
        <v>4624900145</v>
      </c>
      <c r="T182" s="1">
        <f>IFERROR(MATCH($C$36&amp;"|109",TAHSILAT!$U$7:$U$2503,0),0)</f>
        <v>525</v>
      </c>
      <c r="U182" s="1"/>
      <c r="V182" s="1">
        <f t="shared" si="32"/>
        <v>4622100560</v>
      </c>
      <c r="W182" s="1">
        <f t="shared" si="33"/>
        <v>560</v>
      </c>
    </row>
    <row r="183" spans="1:23" ht="19.5" customHeight="1" x14ac:dyDescent="0.3">
      <c r="A183" s="2"/>
      <c r="B183" s="65">
        <f t="shared" si="25"/>
        <v>146</v>
      </c>
      <c r="C183" s="70">
        <f t="shared" si="26"/>
        <v>46228</v>
      </c>
      <c r="D183" s="180" t="str">
        <f t="shared" si="27"/>
        <v>MERKEZ KASA → ÖMER KARTAL – YALIKENT HAFTALIK MENDERES MAHSUP</v>
      </c>
      <c r="E183" s="139"/>
      <c r="F183" s="65" t="str">
        <f t="shared" si="28"/>
        <v>VİRMAN GELDİ</v>
      </c>
      <c r="G183" s="68">
        <f t="shared" si="29"/>
        <v>5000</v>
      </c>
      <c r="H183" s="68">
        <f t="shared" si="30"/>
        <v>0</v>
      </c>
      <c r="I183" s="68">
        <f t="shared" si="34"/>
        <v>690250.01</v>
      </c>
      <c r="J183" s="2"/>
      <c r="K183" s="2"/>
      <c r="L183" s="1"/>
      <c r="M183" s="1">
        <v>146</v>
      </c>
      <c r="N183" s="1" t="str">
        <f>IF($T183=0,"",INDEX(TAHSILAT!$E$7:$E$2503,$T183))</f>
        <v/>
      </c>
      <c r="O183" s="1" t="str">
        <f>IF($N183="","",$C$36&amp;" – müşteriden tahsilat: "&amp;INDEX(TAHSILAT!$N$7:$N$2503,$T183)&amp;IF(INDEX(TAHSILAT!$J$7:$J$2503,$T183)="",""," – "&amp;INDEX(TAHSILAT!$J$7:$J$2503,$T183)))</f>
        <v/>
      </c>
      <c r="P183" s="1" t="str">
        <f t="shared" si="24"/>
        <v/>
      </c>
      <c r="Q183" s="1">
        <f>IF($N183="",0,INDEX(TAHSILAT!$F$7:$F$2503,$T183))</f>
        <v>0</v>
      </c>
      <c r="R183" s="1">
        <v>0</v>
      </c>
      <c r="S183" s="1">
        <f t="shared" si="31"/>
        <v>10000000000</v>
      </c>
      <c r="T183" s="1">
        <f>IFERROR(MATCH($C$36&amp;"|110",TAHSILAT!$U$7:$U$2503,0),0)</f>
        <v>0</v>
      </c>
      <c r="U183" s="1"/>
      <c r="V183" s="1">
        <f t="shared" si="32"/>
        <v>4622800561</v>
      </c>
      <c r="W183" s="1">
        <f t="shared" si="33"/>
        <v>561</v>
      </c>
    </row>
    <row r="184" spans="1:23" ht="19.5" customHeight="1" x14ac:dyDescent="0.3">
      <c r="A184" s="2"/>
      <c r="B184" s="65">
        <f t="shared" si="25"/>
        <v>147</v>
      </c>
      <c r="C184" s="70">
        <f t="shared" si="26"/>
        <v>46234</v>
      </c>
      <c r="D184" s="180" t="str">
        <f t="shared" si="27"/>
        <v>ÖMER KARTAL – Temmuz 2026 kâr payı tahakkuku</v>
      </c>
      <c r="E184" s="139"/>
      <c r="F184" s="65" t="str">
        <f t="shared" si="28"/>
        <v>KÂR PAYI TAHAKKUKU</v>
      </c>
      <c r="G184" s="68">
        <f t="shared" si="29"/>
        <v>0</v>
      </c>
      <c r="H184" s="68">
        <f t="shared" si="30"/>
        <v>58370</v>
      </c>
      <c r="I184" s="68">
        <f t="shared" si="34"/>
        <v>631880.01</v>
      </c>
      <c r="J184" s="2"/>
      <c r="K184" s="2"/>
      <c r="L184" s="1"/>
      <c r="M184" s="1">
        <v>147</v>
      </c>
      <c r="N184" s="1" t="str">
        <f>IF($T184=0,"",INDEX(TAHSILAT!$E$7:$E$2503,$T184))</f>
        <v/>
      </c>
      <c r="O184" s="1" t="str">
        <f>IF($N184="","",$C$36&amp;" – müşteriden tahsilat: "&amp;INDEX(TAHSILAT!$N$7:$N$2503,$T184)&amp;IF(INDEX(TAHSILAT!$J$7:$J$2503,$T184)="",""," – "&amp;INDEX(TAHSILAT!$J$7:$J$2503,$T184)))</f>
        <v/>
      </c>
      <c r="P184" s="1" t="str">
        <f t="shared" si="24"/>
        <v/>
      </c>
      <c r="Q184" s="1">
        <f>IF($N184="",0,INDEX(TAHSILAT!$F$7:$F$2503,$T184))</f>
        <v>0</v>
      </c>
      <c r="R184" s="1">
        <v>0</v>
      </c>
      <c r="S184" s="1">
        <f t="shared" si="31"/>
        <v>10000000000</v>
      </c>
      <c r="T184" s="1">
        <f>IFERROR(MATCH($C$36&amp;"|111",TAHSILAT!$U$7:$U$2503,0),0)</f>
        <v>0</v>
      </c>
      <c r="U184" s="1"/>
      <c r="V184" s="1">
        <f t="shared" si="32"/>
        <v>4623400007</v>
      </c>
      <c r="W184" s="1">
        <f t="shared" si="33"/>
        <v>7</v>
      </c>
    </row>
    <row r="185" spans="1:23" ht="19.5" customHeight="1" x14ac:dyDescent="0.3">
      <c r="A185" s="2"/>
      <c r="B185" s="65">
        <f t="shared" si="25"/>
        <v>148</v>
      </c>
      <c r="C185" s="70">
        <f t="shared" si="26"/>
        <v>46234</v>
      </c>
      <c r="D185" s="180" t="str">
        <f t="shared" si="27"/>
        <v>MERKEZ KASA → ÖMER KARTAL – PARİS GAZİNOSU SGK'LAR</v>
      </c>
      <c r="E185" s="139"/>
      <c r="F185" s="65" t="str">
        <f t="shared" si="28"/>
        <v>VİRMAN GELDİ</v>
      </c>
      <c r="G185" s="68">
        <f t="shared" si="29"/>
        <v>12000</v>
      </c>
      <c r="H185" s="68">
        <f t="shared" si="30"/>
        <v>0</v>
      </c>
      <c r="I185" s="68">
        <f t="shared" si="34"/>
        <v>643880.01</v>
      </c>
      <c r="J185" s="2"/>
      <c r="K185" s="2"/>
      <c r="L185" s="1"/>
      <c r="M185" s="1">
        <v>148</v>
      </c>
      <c r="N185" s="1" t="str">
        <f>IF($T185=0,"",INDEX(TAHSILAT!$E$7:$E$2503,$T185))</f>
        <v/>
      </c>
      <c r="O185" s="1" t="str">
        <f>IF($N185="","",$C$36&amp;" – müşteriden tahsilat: "&amp;INDEX(TAHSILAT!$N$7:$N$2503,$T185)&amp;IF(INDEX(TAHSILAT!$J$7:$J$2503,$T185)="",""," – "&amp;INDEX(TAHSILAT!$J$7:$J$2503,$T185)))</f>
        <v/>
      </c>
      <c r="P185" s="1" t="str">
        <f t="shared" si="24"/>
        <v/>
      </c>
      <c r="Q185" s="1">
        <f>IF($N185="",0,INDEX(TAHSILAT!$F$7:$F$2503,$T185))</f>
        <v>0</v>
      </c>
      <c r="R185" s="1">
        <v>0</v>
      </c>
      <c r="S185" s="1">
        <f t="shared" si="31"/>
        <v>10000000000</v>
      </c>
      <c r="T185" s="1">
        <f>IFERROR(MATCH($C$36&amp;"|112",TAHSILAT!$U$7:$U$2503,0),0)</f>
        <v>0</v>
      </c>
      <c r="U185" s="1"/>
      <c r="V185" s="1">
        <f t="shared" si="32"/>
        <v>4623400562</v>
      </c>
      <c r="W185" s="1">
        <f t="shared" si="33"/>
        <v>562</v>
      </c>
    </row>
    <row r="186" spans="1:23" ht="19.5" customHeight="1" x14ac:dyDescent="0.3">
      <c r="A186" s="2"/>
      <c r="B186" s="65">
        <f t="shared" si="25"/>
        <v>149</v>
      </c>
      <c r="C186" s="70">
        <f t="shared" si="26"/>
        <v>46234</v>
      </c>
      <c r="D186" s="180" t="str">
        <f t="shared" si="27"/>
        <v>MERKEZ KASA → ÖMER KARTAL – KÂR PAYI / AVANS ÇEKİŞİ — Temmuz Ayı Kâr Payı Ödemesi — eski GELIR_GIDER satır 196</v>
      </c>
      <c r="E186" s="139"/>
      <c r="F186" s="65" t="str">
        <f t="shared" si="28"/>
        <v>VİRMAN GELDİ</v>
      </c>
      <c r="G186" s="68">
        <f t="shared" si="29"/>
        <v>58370</v>
      </c>
      <c r="H186" s="68">
        <f t="shared" si="30"/>
        <v>0</v>
      </c>
      <c r="I186" s="68">
        <f t="shared" si="34"/>
        <v>702250.01</v>
      </c>
      <c r="J186" s="2"/>
      <c r="K186" s="2"/>
      <c r="L186" s="1"/>
      <c r="M186" s="1">
        <v>149</v>
      </c>
      <c r="N186" s="1" t="str">
        <f>IF($T186=0,"",INDEX(TAHSILAT!$E$7:$E$2503,$T186))</f>
        <v/>
      </c>
      <c r="O186" s="1" t="str">
        <f>IF($N186="","",$C$36&amp;" – müşteriden tahsilat: "&amp;INDEX(TAHSILAT!$N$7:$N$2503,$T186)&amp;IF(INDEX(TAHSILAT!$J$7:$J$2503,$T186)="",""," – "&amp;INDEX(TAHSILAT!$J$7:$J$2503,$T186)))</f>
        <v/>
      </c>
      <c r="P186" s="1" t="str">
        <f t="shared" si="24"/>
        <v/>
      </c>
      <c r="Q186" s="1">
        <f>IF($N186="",0,INDEX(TAHSILAT!$F$7:$F$2503,$T186))</f>
        <v>0</v>
      </c>
      <c r="R186" s="1">
        <v>0</v>
      </c>
      <c r="S186" s="1">
        <f t="shared" si="31"/>
        <v>10000000000</v>
      </c>
      <c r="T186" s="1">
        <f>IFERROR(MATCH($C$36&amp;"|113",TAHSILAT!$U$7:$U$2503,0),0)</f>
        <v>0</v>
      </c>
      <c r="U186" s="1"/>
      <c r="V186" s="1">
        <f t="shared" si="32"/>
        <v>4623400572</v>
      </c>
      <c r="W186" s="1">
        <f t="shared" si="33"/>
        <v>572</v>
      </c>
    </row>
    <row r="187" spans="1:23" ht="19.5" customHeight="1" x14ac:dyDescent="0.3">
      <c r="A187" s="2"/>
      <c r="B187" s="65">
        <f t="shared" si="25"/>
        <v>150</v>
      </c>
      <c r="C187" s="70">
        <f t="shared" si="26"/>
        <v>46235</v>
      </c>
      <c r="D187" s="180" t="str">
        <f t="shared" si="27"/>
        <v>MERKEZ KASA → ÖMER KARTAL – YALIKENT HAFTALIK MENDERES MAHSUP</v>
      </c>
      <c r="E187" s="139"/>
      <c r="F187" s="65" t="str">
        <f t="shared" si="28"/>
        <v>VİRMAN GELDİ</v>
      </c>
      <c r="G187" s="68">
        <f t="shared" si="29"/>
        <v>5000</v>
      </c>
      <c r="H187" s="68">
        <f t="shared" si="30"/>
        <v>0</v>
      </c>
      <c r="I187" s="68">
        <f t="shared" si="34"/>
        <v>707250.01</v>
      </c>
      <c r="J187" s="2"/>
      <c r="K187" s="2"/>
      <c r="L187" s="1"/>
      <c r="M187" s="1">
        <v>150</v>
      </c>
      <c r="N187" s="1" t="str">
        <f>IF($T187=0,"",INDEX(TAHSILAT!$E$7:$E$2503,$T187))</f>
        <v/>
      </c>
      <c r="O187" s="1" t="str">
        <f>IF($N187="","",$C$36&amp;" – müşteriden tahsilat: "&amp;INDEX(TAHSILAT!$N$7:$N$2503,$T187)&amp;IF(INDEX(TAHSILAT!$J$7:$J$2503,$T187)="",""," – "&amp;INDEX(TAHSILAT!$J$7:$J$2503,$T187)))</f>
        <v/>
      </c>
      <c r="P187" s="1" t="str">
        <f t="shared" si="24"/>
        <v/>
      </c>
      <c r="Q187" s="1">
        <f>IF($N187="",0,INDEX(TAHSILAT!$F$7:$F$2503,$T187))</f>
        <v>0</v>
      </c>
      <c r="R187" s="1">
        <v>0</v>
      </c>
      <c r="S187" s="1">
        <f t="shared" si="31"/>
        <v>10000000000</v>
      </c>
      <c r="T187" s="1">
        <f>IFERROR(MATCH($C$36&amp;"|114",TAHSILAT!$U$7:$U$2503,0),0)</f>
        <v>0</v>
      </c>
      <c r="U187" s="1"/>
      <c r="V187" s="1">
        <f t="shared" si="32"/>
        <v>4623500563</v>
      </c>
      <c r="W187" s="1">
        <f t="shared" si="33"/>
        <v>563</v>
      </c>
    </row>
    <row r="188" spans="1:23" ht="19.5" customHeight="1" x14ac:dyDescent="0.3">
      <c r="A188" s="2"/>
      <c r="B188" s="65">
        <f t="shared" si="25"/>
        <v>151</v>
      </c>
      <c r="C188" s="70">
        <f t="shared" si="26"/>
        <v>46243</v>
      </c>
      <c r="D188" s="74" t="str">
        <f t="shared" si="27"/>
        <v>ÖMER KARTAL – müşteriden tahsilat: TYANA LTD.ŞTİ. – NAKİT ÖDENEN</v>
      </c>
      <c r="E188" s="2"/>
      <c r="F188" s="65" t="str">
        <f t="shared" si="28"/>
        <v>MÜŞTERİDEN ALDI</v>
      </c>
      <c r="G188" s="68">
        <f t="shared" si="29"/>
        <v>3000</v>
      </c>
      <c r="H188" s="68">
        <f t="shared" si="30"/>
        <v>0</v>
      </c>
      <c r="I188" s="68">
        <f t="shared" si="34"/>
        <v>710250.01</v>
      </c>
      <c r="J188" s="2"/>
      <c r="K188" s="2"/>
      <c r="L188" s="1"/>
      <c r="M188" s="1">
        <v>151</v>
      </c>
      <c r="N188" s="1" t="str">
        <f>IF($T188=0,"",INDEX(TAHSILAT!$E$7:$E$2503,$T188))</f>
        <v/>
      </c>
      <c r="O188" s="1" t="str">
        <f>IF($N188="","",$C$36&amp;" – müşteriden tahsilat: "&amp;INDEX(TAHSILAT!$N$7:$N$2503,$T188)&amp;IF(INDEX(TAHSILAT!$J$7:$J$2503,$T188)="",""," – "&amp;INDEX(TAHSILAT!$J$7:$J$2503,$T188)))</f>
        <v/>
      </c>
      <c r="P188" s="1" t="str">
        <f t="shared" si="24"/>
        <v/>
      </c>
      <c r="Q188" s="1">
        <f>IF($N188="",0,INDEX(TAHSILAT!$F$7:$F$2503,$T188))</f>
        <v>0</v>
      </c>
      <c r="R188" s="1">
        <v>0</v>
      </c>
      <c r="S188" s="1">
        <f t="shared" si="31"/>
        <v>10000000000</v>
      </c>
      <c r="T188" s="1">
        <f>IFERROR(MATCH($C$36&amp;"|115",TAHSILAT!$U$7:$U$2503,0),0)</f>
        <v>0</v>
      </c>
      <c r="U188" s="1"/>
      <c r="V188" s="1">
        <f t="shared" si="32"/>
        <v>4624300144</v>
      </c>
      <c r="W188" s="1">
        <f t="shared" si="33"/>
        <v>144</v>
      </c>
    </row>
    <row r="189" spans="1:23" ht="19.5" customHeight="1" x14ac:dyDescent="0.3">
      <c r="A189" s="2"/>
      <c r="B189" s="65">
        <f t="shared" si="25"/>
        <v>152</v>
      </c>
      <c r="C189" s="70">
        <f t="shared" si="26"/>
        <v>46243</v>
      </c>
      <c r="D189" s="74" t="str">
        <f t="shared" si="27"/>
        <v>MERKEZ KASA → ÖMER KARTAL – GRAND 06 ÖMER BAKİYE</v>
      </c>
      <c r="E189" s="2"/>
      <c r="F189" s="65" t="str">
        <f t="shared" si="28"/>
        <v>VİRMAN GELDİ</v>
      </c>
      <c r="G189" s="68">
        <f t="shared" si="29"/>
        <v>9400</v>
      </c>
      <c r="H189" s="68">
        <f t="shared" si="30"/>
        <v>0</v>
      </c>
      <c r="I189" s="68">
        <f t="shared" si="34"/>
        <v>719650.01</v>
      </c>
      <c r="J189" s="2"/>
      <c r="K189" s="2"/>
      <c r="L189" s="1"/>
      <c r="M189" s="1">
        <v>152</v>
      </c>
      <c r="N189" s="1" t="str">
        <f>IF($T189=0,"",INDEX(TAHSILAT!$E$7:$E$2503,$T189))</f>
        <v/>
      </c>
      <c r="O189" s="1" t="str">
        <f>IF($N189="","",$C$36&amp;" – müşteriden tahsilat: "&amp;INDEX(TAHSILAT!$N$7:$N$2503,$T189)&amp;IF(INDEX(TAHSILAT!$J$7:$J$2503,$T189)="",""," – "&amp;INDEX(TAHSILAT!$J$7:$J$2503,$T189)))</f>
        <v/>
      </c>
      <c r="P189" s="1" t="str">
        <f t="shared" si="24"/>
        <v/>
      </c>
      <c r="Q189" s="1">
        <f>IF($N189="",0,INDEX(TAHSILAT!$F$7:$F$2503,$T189))</f>
        <v>0</v>
      </c>
      <c r="R189" s="1">
        <v>0</v>
      </c>
      <c r="S189" s="1">
        <f t="shared" si="31"/>
        <v>10000000000</v>
      </c>
      <c r="T189" s="1">
        <f>IFERROR(MATCH($C$36&amp;"|116",TAHSILAT!$U$7:$U$2503,0),0)</f>
        <v>0</v>
      </c>
      <c r="U189" s="1"/>
      <c r="V189" s="1">
        <f t="shared" si="32"/>
        <v>4624300564</v>
      </c>
      <c r="W189" s="1">
        <f t="shared" si="33"/>
        <v>564</v>
      </c>
    </row>
    <row r="190" spans="1:23" ht="19.5" customHeight="1" x14ac:dyDescent="0.3">
      <c r="A190" s="2"/>
      <c r="B190" s="65">
        <f t="shared" si="25"/>
        <v>153</v>
      </c>
      <c r="C190" s="70">
        <f t="shared" si="26"/>
        <v>46249</v>
      </c>
      <c r="D190" s="74" t="str">
        <f t="shared" si="27"/>
        <v>ÖMER KARTAL – müşteriden tahsilat: UFUK YILMAZ – NAKİT ÖDENEN</v>
      </c>
      <c r="E190" s="2"/>
      <c r="F190" s="65" t="str">
        <f t="shared" si="28"/>
        <v>MÜŞTERİDEN ALDI</v>
      </c>
      <c r="G190" s="68">
        <f t="shared" si="29"/>
        <v>3000</v>
      </c>
      <c r="H190" s="68">
        <f t="shared" si="30"/>
        <v>0</v>
      </c>
      <c r="I190" s="68">
        <f t="shared" si="34"/>
        <v>722650.01</v>
      </c>
      <c r="J190" s="2"/>
      <c r="K190" s="2"/>
      <c r="L190" s="1"/>
      <c r="M190" s="1">
        <v>153</v>
      </c>
      <c r="N190" s="1" t="str">
        <f>IF($T190=0,"",INDEX(TAHSILAT!$E$7:$E$2503,$T190))</f>
        <v/>
      </c>
      <c r="O190" s="1" t="str">
        <f>IF($N190="","",$C$36&amp;" – müşteriden tahsilat: "&amp;INDEX(TAHSILAT!$N$7:$N$2503,$T190)&amp;IF(INDEX(TAHSILAT!$J$7:$J$2503,$T190)="",""," – "&amp;INDEX(TAHSILAT!$J$7:$J$2503,$T190)))</f>
        <v/>
      </c>
      <c r="P190" s="1" t="str">
        <f t="shared" si="24"/>
        <v/>
      </c>
      <c r="Q190" s="1">
        <f>IF($N190="",0,INDEX(TAHSILAT!$F$7:$F$2503,$T190))</f>
        <v>0</v>
      </c>
      <c r="R190" s="1">
        <v>0</v>
      </c>
      <c r="S190" s="1">
        <f t="shared" si="31"/>
        <v>10000000000</v>
      </c>
      <c r="T190" s="1">
        <f>IFERROR(MATCH($C$36&amp;"|117",TAHSILAT!$U$7:$U$2503,0),0)</f>
        <v>0</v>
      </c>
      <c r="U190" s="1"/>
      <c r="V190" s="1">
        <f t="shared" si="32"/>
        <v>4624900145</v>
      </c>
      <c r="W190" s="1">
        <f t="shared" si="33"/>
        <v>145</v>
      </c>
    </row>
    <row r="191" spans="1:23" ht="19.5" customHeight="1" x14ac:dyDescent="0.3">
      <c r="A191" s="2"/>
      <c r="B191" s="65">
        <f t="shared" si="25"/>
        <v>154</v>
      </c>
      <c r="C191" s="70">
        <f t="shared" si="26"/>
        <v>46265</v>
      </c>
      <c r="D191" s="74" t="str">
        <f t="shared" si="27"/>
        <v>ÖMER KARTAL – Ağustos 2026 kâr payı tahakkuku</v>
      </c>
      <c r="E191" s="2"/>
      <c r="F191" s="65" t="str">
        <f t="shared" si="28"/>
        <v>KÂR PAYI TAHAKKUKU</v>
      </c>
      <c r="G191" s="68">
        <f t="shared" si="29"/>
        <v>0</v>
      </c>
      <c r="H191" s="68">
        <f t="shared" si="30"/>
        <v>138800</v>
      </c>
      <c r="I191" s="68">
        <f t="shared" si="34"/>
        <v>583850.01</v>
      </c>
      <c r="J191" s="2"/>
      <c r="K191" s="2"/>
      <c r="L191" s="1"/>
      <c r="M191" s="1">
        <v>154</v>
      </c>
      <c r="N191" s="1" t="str">
        <f>IF($T191=0,"",INDEX(TAHSILAT!$E$7:$E$2503,$T191))</f>
        <v/>
      </c>
      <c r="O191" s="1" t="str">
        <f>IF($N191="","",$C$36&amp;" – müşteriden tahsilat: "&amp;INDEX(TAHSILAT!$N$7:$N$2503,$T191)&amp;IF(INDEX(TAHSILAT!$J$7:$J$2503,$T191)="",""," – "&amp;INDEX(TAHSILAT!$J$7:$J$2503,$T191)))</f>
        <v/>
      </c>
      <c r="P191" s="1" t="str">
        <f t="shared" si="24"/>
        <v/>
      </c>
      <c r="Q191" s="1">
        <f>IF($N191="",0,INDEX(TAHSILAT!$F$7:$F$2503,$T191))</f>
        <v>0</v>
      </c>
      <c r="R191" s="1">
        <v>0</v>
      </c>
      <c r="S191" s="1">
        <f t="shared" si="31"/>
        <v>10000000000</v>
      </c>
      <c r="T191" s="1">
        <f>IFERROR(MATCH($C$36&amp;"|118",TAHSILAT!$U$7:$U$2503,0),0)</f>
        <v>0</v>
      </c>
      <c r="U191" s="1"/>
      <c r="V191" s="1">
        <f t="shared" si="32"/>
        <v>4626500008</v>
      </c>
      <c r="W191" s="1">
        <f t="shared" si="33"/>
        <v>8</v>
      </c>
    </row>
    <row r="192" spans="1:23" ht="19.5" customHeight="1" x14ac:dyDescent="0.3">
      <c r="A192" s="2"/>
      <c r="B192" s="65">
        <f t="shared" si="25"/>
        <v>155</v>
      </c>
      <c r="C192" s="70">
        <f t="shared" si="26"/>
        <v>46265</v>
      </c>
      <c r="D192" s="74" t="str">
        <f t="shared" si="27"/>
        <v>MERKEZ KASA → ÖMER KARTAL – PARİS GAZİNOSU SGK'LAR</v>
      </c>
      <c r="E192" s="2"/>
      <c r="F192" s="65" t="str">
        <f t="shared" si="28"/>
        <v>VİRMAN GELDİ</v>
      </c>
      <c r="G192" s="68">
        <f t="shared" si="29"/>
        <v>12000</v>
      </c>
      <c r="H192" s="68">
        <f t="shared" si="30"/>
        <v>0</v>
      </c>
      <c r="I192" s="68">
        <f t="shared" si="34"/>
        <v>595850.01</v>
      </c>
      <c r="J192" s="2"/>
      <c r="K192" s="2"/>
      <c r="L192" s="1"/>
      <c r="M192" s="1">
        <v>155</v>
      </c>
      <c r="N192" s="1" t="str">
        <f>IF($T192=0,"",INDEX(TAHSILAT!$E$7:$E$2503,$T192))</f>
        <v/>
      </c>
      <c r="O192" s="1" t="str">
        <f>IF($N192="","",$C$36&amp;" – müşteriden tahsilat: "&amp;INDEX(TAHSILAT!$N$7:$N$2503,$T192)&amp;IF(INDEX(TAHSILAT!$J$7:$J$2503,$T192)="",""," – "&amp;INDEX(TAHSILAT!$J$7:$J$2503,$T192)))</f>
        <v/>
      </c>
      <c r="P192" s="1" t="str">
        <f t="shared" si="24"/>
        <v/>
      </c>
      <c r="Q192" s="1">
        <f>IF($N192="",0,INDEX(TAHSILAT!$F$7:$F$2503,$T192))</f>
        <v>0</v>
      </c>
      <c r="R192" s="1">
        <v>0</v>
      </c>
      <c r="S192" s="1">
        <f t="shared" si="31"/>
        <v>10000000000</v>
      </c>
      <c r="T192" s="1">
        <f>IFERROR(MATCH($C$36&amp;"|119",TAHSILAT!$U$7:$U$2503,0),0)</f>
        <v>0</v>
      </c>
      <c r="U192" s="1"/>
      <c r="V192" s="1">
        <f t="shared" si="32"/>
        <v>4626500565</v>
      </c>
      <c r="W192" s="1">
        <f t="shared" si="33"/>
        <v>565</v>
      </c>
    </row>
    <row r="193" spans="1:23" ht="19.5" customHeight="1" x14ac:dyDescent="0.3">
      <c r="A193" s="1"/>
      <c r="B193" s="65" t="str">
        <f t="shared" si="25"/>
        <v/>
      </c>
      <c r="C193" s="70" t="str">
        <f t="shared" si="26"/>
        <v/>
      </c>
      <c r="D193" s="74" t="str">
        <f t="shared" si="27"/>
        <v/>
      </c>
      <c r="E193" s="1"/>
      <c r="F193" s="65" t="str">
        <f t="shared" si="28"/>
        <v/>
      </c>
      <c r="G193" s="68" t="str">
        <f t="shared" si="29"/>
        <v/>
      </c>
      <c r="H193" s="68" t="str">
        <f t="shared" si="30"/>
        <v/>
      </c>
      <c r="I193" s="68" t="str">
        <f t="shared" si="34"/>
        <v/>
      </c>
      <c r="J193" s="1"/>
      <c r="K193" s="1"/>
      <c r="L193" s="1"/>
      <c r="M193" s="1">
        <v>156</v>
      </c>
      <c r="N193" s="1" t="str">
        <f>IF($T193=0,"",INDEX(TAHSILAT!$E$7:$E$2503,$T193))</f>
        <v/>
      </c>
      <c r="O193" s="1" t="str">
        <f>IF($N193="","",$C$36&amp;" – müşteriden tahsilat: "&amp;INDEX(TAHSILAT!$N$7:$N$2503,$T193)&amp;IF(INDEX(TAHSILAT!$J$7:$J$2503,$T193)="",""," – "&amp;INDEX(TAHSILAT!$J$7:$J$2503,$T193)))</f>
        <v/>
      </c>
      <c r="P193" s="1" t="str">
        <f t="shared" si="24"/>
        <v/>
      </c>
      <c r="Q193" s="1">
        <f>IF($N193="",0,INDEX(TAHSILAT!$F$7:$F$2503,$T193))</f>
        <v>0</v>
      </c>
      <c r="R193" s="1">
        <v>0</v>
      </c>
      <c r="S193" s="1">
        <f t="shared" si="31"/>
        <v>10000000000</v>
      </c>
      <c r="T193" s="1">
        <f>IFERROR(MATCH($C$36&amp;"|120",TAHSILAT!$U$7:$U$2503,0),0)</f>
        <v>0</v>
      </c>
      <c r="U193" s="1"/>
      <c r="V193" s="1">
        <f t="shared" si="32"/>
        <v>10000000000</v>
      </c>
      <c r="W193" s="1">
        <f t="shared" si="33"/>
        <v>9</v>
      </c>
    </row>
    <row r="194" spans="1:23" ht="14.25" customHeight="1" x14ac:dyDescent="0.3">
      <c r="B194" s="65" t="str">
        <f t="shared" si="25"/>
        <v/>
      </c>
      <c r="C194" s="70" t="str">
        <f t="shared" si="26"/>
        <v/>
      </c>
      <c r="D194" s="74" t="str">
        <f t="shared" si="27"/>
        <v/>
      </c>
      <c r="F194" s="65" t="str">
        <f t="shared" si="28"/>
        <v/>
      </c>
      <c r="G194" s="68" t="str">
        <f t="shared" si="29"/>
        <v/>
      </c>
      <c r="H194" s="68" t="str">
        <f t="shared" si="30"/>
        <v/>
      </c>
      <c r="I194" s="68" t="str">
        <f t="shared" si="34"/>
        <v/>
      </c>
      <c r="M194" s="1">
        <v>157</v>
      </c>
      <c r="N194" s="1" t="str">
        <f>IF($T194=0,"",INDEX(TAHSILAT!$E$7:$E$2503,$T194))</f>
        <v/>
      </c>
      <c r="O194" s="1" t="str">
        <f>IF($N194="","",$C$36&amp;" – müşteriden tahsilat: "&amp;INDEX(TAHSILAT!$N$7:$N$2503,$T194)&amp;IF(INDEX(TAHSILAT!$J$7:$J$2503,$T194)="",""," – "&amp;INDEX(TAHSILAT!$J$7:$J$2503,$T194)))</f>
        <v/>
      </c>
      <c r="P194" s="1" t="str">
        <f t="shared" si="24"/>
        <v/>
      </c>
      <c r="Q194" s="1">
        <f>IF($N194="",0,INDEX(TAHSILAT!$F$7:$F$2503,$T194))</f>
        <v>0</v>
      </c>
      <c r="R194" s="1">
        <v>0</v>
      </c>
      <c r="S194" s="1">
        <f t="shared" si="31"/>
        <v>10000000000</v>
      </c>
      <c r="T194" s="1">
        <f>IFERROR(MATCH($C$36&amp;"|121",TAHSILAT!$U$7:$U$2503,0),0)</f>
        <v>0</v>
      </c>
      <c r="V194" s="1">
        <f t="shared" si="32"/>
        <v>10000000000</v>
      </c>
      <c r="W194" s="1">
        <f t="shared" si="33"/>
        <v>9</v>
      </c>
    </row>
    <row r="195" spans="1:23" ht="14.25" customHeight="1" x14ac:dyDescent="0.3">
      <c r="B195" s="65" t="str">
        <f t="shared" si="25"/>
        <v/>
      </c>
      <c r="C195" s="70" t="str">
        <f t="shared" si="26"/>
        <v/>
      </c>
      <c r="D195" s="74" t="str">
        <f t="shared" si="27"/>
        <v/>
      </c>
      <c r="F195" s="65" t="str">
        <f t="shared" si="28"/>
        <v/>
      </c>
      <c r="G195" s="68" t="str">
        <f t="shared" si="29"/>
        <v/>
      </c>
      <c r="H195" s="68" t="str">
        <f t="shared" si="30"/>
        <v/>
      </c>
      <c r="I195" s="68" t="str">
        <f t="shared" si="34"/>
        <v/>
      </c>
      <c r="M195" s="1">
        <v>158</v>
      </c>
      <c r="N195" s="1" t="str">
        <f>IF($T195=0,"",INDEX(TAHSILAT!$E$7:$E$2503,$T195))</f>
        <v/>
      </c>
      <c r="O195" s="1" t="str">
        <f>IF($N195="","",$C$36&amp;" – müşteriden tahsilat: "&amp;INDEX(TAHSILAT!$N$7:$N$2503,$T195)&amp;IF(INDEX(TAHSILAT!$J$7:$J$2503,$T195)="",""," – "&amp;INDEX(TAHSILAT!$J$7:$J$2503,$T195)))</f>
        <v/>
      </c>
      <c r="P195" s="1" t="str">
        <f t="shared" si="24"/>
        <v/>
      </c>
      <c r="Q195" s="1">
        <f>IF($N195="",0,INDEX(TAHSILAT!$F$7:$F$2503,$T195))</f>
        <v>0</v>
      </c>
      <c r="R195" s="1">
        <v>0</v>
      </c>
      <c r="S195" s="1">
        <f t="shared" si="31"/>
        <v>10000000000</v>
      </c>
      <c r="T195" s="1">
        <f>IFERROR(MATCH($C$36&amp;"|122",TAHSILAT!$U$7:$U$2503,0),0)</f>
        <v>0</v>
      </c>
      <c r="V195" s="1">
        <f t="shared" si="32"/>
        <v>10000000000</v>
      </c>
      <c r="W195" s="1">
        <f t="shared" si="33"/>
        <v>9</v>
      </c>
    </row>
    <row r="196" spans="1:23" ht="14.25" customHeight="1" x14ac:dyDescent="0.3">
      <c r="B196" s="65" t="str">
        <f t="shared" si="25"/>
        <v/>
      </c>
      <c r="C196" s="70" t="str">
        <f t="shared" si="26"/>
        <v/>
      </c>
      <c r="D196" s="74" t="str">
        <f t="shared" si="27"/>
        <v/>
      </c>
      <c r="F196" s="65" t="str">
        <f t="shared" si="28"/>
        <v/>
      </c>
      <c r="G196" s="68" t="str">
        <f t="shared" si="29"/>
        <v/>
      </c>
      <c r="H196" s="68" t="str">
        <f t="shared" si="30"/>
        <v/>
      </c>
      <c r="I196" s="68" t="str">
        <f t="shared" si="34"/>
        <v/>
      </c>
      <c r="M196" s="1">
        <v>159</v>
      </c>
      <c r="N196" s="1" t="str">
        <f>IF($T196=0,"",INDEX(TAHSILAT!$E$7:$E$2503,$T196))</f>
        <v/>
      </c>
      <c r="O196" s="1" t="str">
        <f>IF($N196="","",$C$36&amp;" – müşteriden tahsilat: "&amp;INDEX(TAHSILAT!$N$7:$N$2503,$T196)&amp;IF(INDEX(TAHSILAT!$J$7:$J$2503,$T196)="",""," – "&amp;INDEX(TAHSILAT!$J$7:$J$2503,$T196)))</f>
        <v/>
      </c>
      <c r="P196" s="1" t="str">
        <f t="shared" si="24"/>
        <v/>
      </c>
      <c r="Q196" s="1">
        <f>IF($N196="",0,INDEX(TAHSILAT!$F$7:$F$2503,$T196))</f>
        <v>0</v>
      </c>
      <c r="R196" s="1">
        <v>0</v>
      </c>
      <c r="S196" s="1">
        <f t="shared" si="31"/>
        <v>10000000000</v>
      </c>
      <c r="T196" s="1">
        <f>IFERROR(MATCH($C$36&amp;"|123",TAHSILAT!$U$7:$U$2503,0),0)</f>
        <v>0</v>
      </c>
      <c r="V196" s="1">
        <f t="shared" si="32"/>
        <v>10000000000</v>
      </c>
      <c r="W196" s="1">
        <f t="shared" si="33"/>
        <v>9</v>
      </c>
    </row>
    <row r="197" spans="1:23" ht="14.25" customHeight="1" x14ac:dyDescent="0.3">
      <c r="B197" s="65" t="str">
        <f t="shared" si="25"/>
        <v/>
      </c>
      <c r="C197" s="70" t="str">
        <f t="shared" si="26"/>
        <v/>
      </c>
      <c r="D197" s="74" t="str">
        <f t="shared" si="27"/>
        <v/>
      </c>
      <c r="F197" s="65" t="str">
        <f t="shared" si="28"/>
        <v/>
      </c>
      <c r="G197" s="68" t="str">
        <f t="shared" si="29"/>
        <v/>
      </c>
      <c r="H197" s="68" t="str">
        <f t="shared" si="30"/>
        <v/>
      </c>
      <c r="I197" s="68" t="str">
        <f t="shared" si="34"/>
        <v/>
      </c>
      <c r="M197" s="1">
        <v>160</v>
      </c>
      <c r="N197" s="1" t="str">
        <f>IF($T197=0,"",INDEX(TAHSILAT!$E$7:$E$2503,$T197))</f>
        <v/>
      </c>
      <c r="O197" s="1" t="str">
        <f>IF($N197="","",$C$36&amp;" – müşteriden tahsilat: "&amp;INDEX(TAHSILAT!$N$7:$N$2503,$T197)&amp;IF(INDEX(TAHSILAT!$J$7:$J$2503,$T197)="",""," – "&amp;INDEX(TAHSILAT!$J$7:$J$2503,$T197)))</f>
        <v/>
      </c>
      <c r="P197" s="1" t="str">
        <f t="shared" si="24"/>
        <v/>
      </c>
      <c r="Q197" s="1">
        <f>IF($N197="",0,INDEX(TAHSILAT!$F$7:$F$2503,$T197))</f>
        <v>0</v>
      </c>
      <c r="R197" s="1">
        <v>0</v>
      </c>
      <c r="S197" s="1">
        <f t="shared" si="31"/>
        <v>10000000000</v>
      </c>
      <c r="T197" s="1">
        <f>IFERROR(MATCH($C$36&amp;"|124",TAHSILAT!$U$7:$U$2503,0),0)</f>
        <v>0</v>
      </c>
      <c r="V197" s="1">
        <f t="shared" si="32"/>
        <v>10000000000</v>
      </c>
      <c r="W197" s="1">
        <f t="shared" si="33"/>
        <v>9</v>
      </c>
    </row>
    <row r="198" spans="1:23" ht="14.25" customHeight="1" x14ac:dyDescent="0.3">
      <c r="B198" s="65" t="str">
        <f t="shared" si="25"/>
        <v/>
      </c>
      <c r="C198" s="70" t="str">
        <f t="shared" si="26"/>
        <v/>
      </c>
      <c r="D198" s="74" t="str">
        <f t="shared" si="27"/>
        <v/>
      </c>
      <c r="F198" s="65" t="str">
        <f t="shared" si="28"/>
        <v/>
      </c>
      <c r="G198" s="68" t="str">
        <f t="shared" si="29"/>
        <v/>
      </c>
      <c r="H198" s="68" t="str">
        <f t="shared" si="30"/>
        <v/>
      </c>
      <c r="I198" s="68" t="str">
        <f t="shared" si="34"/>
        <v/>
      </c>
      <c r="M198" s="1">
        <v>161</v>
      </c>
      <c r="N198" s="1" t="str">
        <f>IF($T198=0,"",INDEX(TAHSILAT!$E$7:$E$2503,$T198))</f>
        <v/>
      </c>
      <c r="O198" s="1" t="str">
        <f>IF($N198="","",$C$36&amp;" – müşteriden tahsilat: "&amp;INDEX(TAHSILAT!$N$7:$N$2503,$T198)&amp;IF(INDEX(TAHSILAT!$J$7:$J$2503,$T198)="",""," – "&amp;INDEX(TAHSILAT!$J$7:$J$2503,$T198)))</f>
        <v/>
      </c>
      <c r="P198" s="1" t="str">
        <f t="shared" si="24"/>
        <v/>
      </c>
      <c r="Q198" s="1">
        <f>IF($N198="",0,INDEX(TAHSILAT!$F$7:$F$2503,$T198))</f>
        <v>0</v>
      </c>
      <c r="R198" s="1">
        <v>0</v>
      </c>
      <c r="S198" s="1">
        <f t="shared" si="31"/>
        <v>10000000000</v>
      </c>
      <c r="T198" s="1">
        <f>IFERROR(MATCH($C$36&amp;"|125",TAHSILAT!$U$7:$U$2503,0),0)</f>
        <v>0</v>
      </c>
      <c r="V198" s="1">
        <f t="shared" si="32"/>
        <v>10000000000</v>
      </c>
      <c r="W198" s="1">
        <f t="shared" si="33"/>
        <v>9</v>
      </c>
    </row>
    <row r="199" spans="1:23" ht="14.25" customHeight="1" x14ac:dyDescent="0.3">
      <c r="B199" s="65" t="str">
        <f t="shared" si="25"/>
        <v/>
      </c>
      <c r="C199" s="70" t="str">
        <f t="shared" si="26"/>
        <v/>
      </c>
      <c r="D199" s="74" t="str">
        <f t="shared" si="27"/>
        <v/>
      </c>
      <c r="F199" s="65" t="str">
        <f t="shared" si="28"/>
        <v/>
      </c>
      <c r="G199" s="68" t="str">
        <f t="shared" si="29"/>
        <v/>
      </c>
      <c r="H199" s="68" t="str">
        <f t="shared" si="30"/>
        <v/>
      </c>
      <c r="I199" s="68" t="str">
        <f t="shared" si="34"/>
        <v/>
      </c>
      <c r="M199" s="1">
        <v>162</v>
      </c>
      <c r="N199" s="1" t="str">
        <f>IF($T199=0,"",INDEX(TAHSILAT!$E$7:$E$2503,$T199))</f>
        <v/>
      </c>
      <c r="O199" s="1" t="str">
        <f>IF($N199="","",$C$36&amp;" – müşteriden tahsilat: "&amp;INDEX(TAHSILAT!$N$7:$N$2503,$T199)&amp;IF(INDEX(TAHSILAT!$J$7:$J$2503,$T199)="",""," – "&amp;INDEX(TAHSILAT!$J$7:$J$2503,$T199)))</f>
        <v/>
      </c>
      <c r="P199" s="1" t="str">
        <f t="shared" si="24"/>
        <v/>
      </c>
      <c r="Q199" s="1">
        <f>IF($N199="",0,INDEX(TAHSILAT!$F$7:$F$2503,$T199))</f>
        <v>0</v>
      </c>
      <c r="R199" s="1">
        <v>0</v>
      </c>
      <c r="S199" s="1">
        <f t="shared" si="31"/>
        <v>10000000000</v>
      </c>
      <c r="T199" s="1">
        <f>IFERROR(MATCH($C$36&amp;"|126",TAHSILAT!$U$7:$U$2503,0),0)</f>
        <v>0</v>
      </c>
      <c r="V199" s="1">
        <f t="shared" si="32"/>
        <v>10000000000</v>
      </c>
      <c r="W199" s="1">
        <f t="shared" si="33"/>
        <v>9</v>
      </c>
    </row>
    <row r="200" spans="1:23" ht="14.25" customHeight="1" x14ac:dyDescent="0.3">
      <c r="B200" s="65" t="str">
        <f t="shared" si="25"/>
        <v/>
      </c>
      <c r="C200" s="70" t="str">
        <f t="shared" si="26"/>
        <v/>
      </c>
      <c r="D200" s="74" t="str">
        <f t="shared" si="27"/>
        <v/>
      </c>
      <c r="F200" s="65" t="str">
        <f t="shared" si="28"/>
        <v/>
      </c>
      <c r="G200" s="68" t="str">
        <f t="shared" si="29"/>
        <v/>
      </c>
      <c r="H200" s="68" t="str">
        <f t="shared" si="30"/>
        <v/>
      </c>
      <c r="I200" s="68" t="str">
        <f t="shared" si="34"/>
        <v/>
      </c>
      <c r="M200" s="1">
        <v>163</v>
      </c>
      <c r="N200" s="1" t="str">
        <f>IF($T200=0,"",INDEX(TAHSILAT!$E$7:$E$2503,$T200))</f>
        <v/>
      </c>
      <c r="O200" s="1" t="str">
        <f>IF($N200="","",$C$36&amp;" – müşteriden tahsilat: "&amp;INDEX(TAHSILAT!$N$7:$N$2503,$T200)&amp;IF(INDEX(TAHSILAT!$J$7:$J$2503,$T200)="",""," – "&amp;INDEX(TAHSILAT!$J$7:$J$2503,$T200)))</f>
        <v/>
      </c>
      <c r="P200" s="1" t="str">
        <f t="shared" si="24"/>
        <v/>
      </c>
      <c r="Q200" s="1">
        <f>IF($N200="",0,INDEX(TAHSILAT!$F$7:$F$2503,$T200))</f>
        <v>0</v>
      </c>
      <c r="R200" s="1">
        <v>0</v>
      </c>
      <c r="S200" s="1">
        <f t="shared" si="31"/>
        <v>10000000000</v>
      </c>
      <c r="T200" s="1">
        <f>IFERROR(MATCH($C$36&amp;"|127",TAHSILAT!$U$7:$U$2503,0),0)</f>
        <v>0</v>
      </c>
      <c r="V200" s="1">
        <f t="shared" si="32"/>
        <v>10000000000</v>
      </c>
      <c r="W200" s="1">
        <f t="shared" si="33"/>
        <v>9</v>
      </c>
    </row>
    <row r="201" spans="1:23" ht="14.25" customHeight="1" x14ac:dyDescent="0.3">
      <c r="B201" s="65" t="str">
        <f t="shared" si="25"/>
        <v/>
      </c>
      <c r="C201" s="70" t="str">
        <f t="shared" si="26"/>
        <v/>
      </c>
      <c r="D201" s="74" t="str">
        <f t="shared" si="27"/>
        <v/>
      </c>
      <c r="F201" s="65" t="str">
        <f t="shared" si="28"/>
        <v/>
      </c>
      <c r="G201" s="68" t="str">
        <f t="shared" si="29"/>
        <v/>
      </c>
      <c r="H201" s="68" t="str">
        <f t="shared" si="30"/>
        <v/>
      </c>
      <c r="I201" s="68" t="str">
        <f t="shared" si="34"/>
        <v/>
      </c>
      <c r="M201" s="1">
        <v>164</v>
      </c>
      <c r="N201" s="1" t="str">
        <f>IF($T201=0,"",INDEX(TAHSILAT!$E$7:$E$2503,$T201))</f>
        <v/>
      </c>
      <c r="O201" s="1" t="str">
        <f>IF($N201="","",$C$36&amp;" – müşteriden tahsilat: "&amp;INDEX(TAHSILAT!$N$7:$N$2503,$T201)&amp;IF(INDEX(TAHSILAT!$J$7:$J$2503,$T201)="",""," – "&amp;INDEX(TAHSILAT!$J$7:$J$2503,$T201)))</f>
        <v/>
      </c>
      <c r="P201" s="1" t="str">
        <f t="shared" si="24"/>
        <v/>
      </c>
      <c r="Q201" s="1">
        <f>IF($N201="",0,INDEX(TAHSILAT!$F$7:$F$2503,$T201))</f>
        <v>0</v>
      </c>
      <c r="R201" s="1">
        <v>0</v>
      </c>
      <c r="S201" s="1">
        <f t="shared" si="31"/>
        <v>10000000000</v>
      </c>
      <c r="T201" s="1">
        <f>IFERROR(MATCH($C$36&amp;"|128",TAHSILAT!$U$7:$U$2503,0),0)</f>
        <v>0</v>
      </c>
      <c r="V201" s="1">
        <f t="shared" si="32"/>
        <v>10000000000</v>
      </c>
      <c r="W201" s="1">
        <f t="shared" si="33"/>
        <v>9</v>
      </c>
    </row>
    <row r="202" spans="1:23" ht="14.25" customHeight="1" x14ac:dyDescent="0.3">
      <c r="B202" s="65" t="str">
        <f t="shared" si="25"/>
        <v/>
      </c>
      <c r="C202" s="70" t="str">
        <f t="shared" si="26"/>
        <v/>
      </c>
      <c r="D202" s="74" t="str">
        <f t="shared" si="27"/>
        <v/>
      </c>
      <c r="F202" s="65" t="str">
        <f t="shared" si="28"/>
        <v/>
      </c>
      <c r="G202" s="68" t="str">
        <f t="shared" si="29"/>
        <v/>
      </c>
      <c r="H202" s="68" t="str">
        <f t="shared" si="30"/>
        <v/>
      </c>
      <c r="I202" s="68" t="str">
        <f t="shared" si="34"/>
        <v/>
      </c>
      <c r="M202" s="1">
        <v>165</v>
      </c>
      <c r="N202" s="1" t="str">
        <f>IF($T202=0,"",INDEX(TAHSILAT!$E$7:$E$2503,$T202))</f>
        <v/>
      </c>
      <c r="O202" s="1" t="str">
        <f>IF($N202="","",$C$36&amp;" – müşteriden tahsilat: "&amp;INDEX(TAHSILAT!$N$7:$N$2503,$T202)&amp;IF(INDEX(TAHSILAT!$J$7:$J$2503,$T202)="",""," – "&amp;INDEX(TAHSILAT!$J$7:$J$2503,$T202)))</f>
        <v/>
      </c>
      <c r="P202" s="1" t="str">
        <f t="shared" ref="P202:P265" si="35">IF($N202="","","MÜŞTERİDEN ALDI")</f>
        <v/>
      </c>
      <c r="Q202" s="1">
        <f>IF($N202="",0,INDEX(TAHSILAT!$F$7:$F$2503,$T202))</f>
        <v>0</v>
      </c>
      <c r="R202" s="1">
        <v>0</v>
      </c>
      <c r="S202" s="1">
        <f t="shared" si="31"/>
        <v>10000000000</v>
      </c>
      <c r="T202" s="1">
        <f>IFERROR(MATCH($C$36&amp;"|129",TAHSILAT!$U$7:$U$2503,0),0)</f>
        <v>0</v>
      </c>
      <c r="V202" s="1">
        <f t="shared" si="32"/>
        <v>10000000000</v>
      </c>
      <c r="W202" s="1">
        <f t="shared" si="33"/>
        <v>9</v>
      </c>
    </row>
    <row r="203" spans="1:23" ht="14.25" customHeight="1" x14ac:dyDescent="0.3">
      <c r="B203" s="65" t="str">
        <f t="shared" si="25"/>
        <v/>
      </c>
      <c r="C203" s="70" t="str">
        <f t="shared" si="26"/>
        <v/>
      </c>
      <c r="D203" s="74" t="str">
        <f t="shared" si="27"/>
        <v/>
      </c>
      <c r="F203" s="65" t="str">
        <f t="shared" si="28"/>
        <v/>
      </c>
      <c r="G203" s="68" t="str">
        <f t="shared" si="29"/>
        <v/>
      </c>
      <c r="H203" s="68" t="str">
        <f t="shared" si="30"/>
        <v/>
      </c>
      <c r="I203" s="68" t="str">
        <f t="shared" si="34"/>
        <v/>
      </c>
      <c r="M203" s="1">
        <v>166</v>
      </c>
      <c r="N203" s="1" t="str">
        <f>IF($T203=0,"",INDEX(TAHSILAT!$E$7:$E$2503,$T203))</f>
        <v/>
      </c>
      <c r="O203" s="1" t="str">
        <f>IF($N203="","",$C$36&amp;" – müşteriden tahsilat: "&amp;INDEX(TAHSILAT!$N$7:$N$2503,$T203)&amp;IF(INDEX(TAHSILAT!$J$7:$J$2503,$T203)="",""," – "&amp;INDEX(TAHSILAT!$J$7:$J$2503,$T203)))</f>
        <v/>
      </c>
      <c r="P203" s="1" t="str">
        <f t="shared" si="35"/>
        <v/>
      </c>
      <c r="Q203" s="1">
        <f>IF($N203="",0,INDEX(TAHSILAT!$F$7:$F$2503,$T203))</f>
        <v>0</v>
      </c>
      <c r="R203" s="1">
        <v>0</v>
      </c>
      <c r="S203" s="1">
        <f t="shared" si="31"/>
        <v>10000000000</v>
      </c>
      <c r="T203" s="1">
        <f>IFERROR(MATCH($C$36&amp;"|130",TAHSILAT!$U$7:$U$2503,0),0)</f>
        <v>0</v>
      </c>
      <c r="V203" s="1">
        <f t="shared" si="32"/>
        <v>10000000000</v>
      </c>
      <c r="W203" s="1">
        <f t="shared" si="33"/>
        <v>9</v>
      </c>
    </row>
    <row r="204" spans="1:23" ht="14.25" customHeight="1" x14ac:dyDescent="0.3">
      <c r="B204" s="65" t="str">
        <f t="shared" si="25"/>
        <v/>
      </c>
      <c r="C204" s="70" t="str">
        <f t="shared" si="26"/>
        <v/>
      </c>
      <c r="D204" s="74" t="str">
        <f t="shared" si="27"/>
        <v/>
      </c>
      <c r="F204" s="65" t="str">
        <f t="shared" si="28"/>
        <v/>
      </c>
      <c r="G204" s="68" t="str">
        <f t="shared" si="29"/>
        <v/>
      </c>
      <c r="H204" s="68" t="str">
        <f t="shared" si="30"/>
        <v/>
      </c>
      <c r="I204" s="68" t="str">
        <f t="shared" si="34"/>
        <v/>
      </c>
      <c r="M204" s="1">
        <v>167</v>
      </c>
      <c r="N204" s="1" t="str">
        <f>IF($T204=0,"",INDEX(TAHSILAT!$E$7:$E$2503,$T204))</f>
        <v/>
      </c>
      <c r="O204" s="1" t="str">
        <f>IF($N204="","",$C$36&amp;" – müşteriden tahsilat: "&amp;INDEX(TAHSILAT!$N$7:$N$2503,$T204)&amp;IF(INDEX(TAHSILAT!$J$7:$J$2503,$T204)="",""," – "&amp;INDEX(TAHSILAT!$J$7:$J$2503,$T204)))</f>
        <v/>
      </c>
      <c r="P204" s="1" t="str">
        <f t="shared" si="35"/>
        <v/>
      </c>
      <c r="Q204" s="1">
        <f>IF($N204="",0,INDEX(TAHSILAT!$F$7:$F$2503,$T204))</f>
        <v>0</v>
      </c>
      <c r="R204" s="1">
        <v>0</v>
      </c>
      <c r="S204" s="1">
        <f t="shared" si="31"/>
        <v>10000000000</v>
      </c>
      <c r="T204" s="1">
        <f>IFERROR(MATCH($C$36&amp;"|131",TAHSILAT!$U$7:$U$2503,0),0)</f>
        <v>0</v>
      </c>
      <c r="V204" s="1">
        <f t="shared" si="32"/>
        <v>10000000000</v>
      </c>
      <c r="W204" s="1">
        <f t="shared" si="33"/>
        <v>9</v>
      </c>
    </row>
    <row r="205" spans="1:23" ht="14.25" customHeight="1" x14ac:dyDescent="0.3">
      <c r="B205" s="65" t="str">
        <f t="shared" si="25"/>
        <v/>
      </c>
      <c r="C205" s="70" t="str">
        <f t="shared" si="26"/>
        <v/>
      </c>
      <c r="D205" s="74" t="str">
        <f t="shared" si="27"/>
        <v/>
      </c>
      <c r="F205" s="65" t="str">
        <f t="shared" si="28"/>
        <v/>
      </c>
      <c r="G205" s="68" t="str">
        <f t="shared" si="29"/>
        <v/>
      </c>
      <c r="H205" s="68" t="str">
        <f t="shared" si="30"/>
        <v/>
      </c>
      <c r="I205" s="68" t="str">
        <f t="shared" si="34"/>
        <v/>
      </c>
      <c r="M205" s="1">
        <v>168</v>
      </c>
      <c r="N205" s="1" t="str">
        <f>IF($T205=0,"",INDEX(TAHSILAT!$E$7:$E$2503,$T205))</f>
        <v/>
      </c>
      <c r="O205" s="1" t="str">
        <f>IF($N205="","",$C$36&amp;" – müşteriden tahsilat: "&amp;INDEX(TAHSILAT!$N$7:$N$2503,$T205)&amp;IF(INDEX(TAHSILAT!$J$7:$J$2503,$T205)="",""," – "&amp;INDEX(TAHSILAT!$J$7:$J$2503,$T205)))</f>
        <v/>
      </c>
      <c r="P205" s="1" t="str">
        <f t="shared" si="35"/>
        <v/>
      </c>
      <c r="Q205" s="1">
        <f>IF($N205="",0,INDEX(TAHSILAT!$F$7:$F$2503,$T205))</f>
        <v>0</v>
      </c>
      <c r="R205" s="1">
        <v>0</v>
      </c>
      <c r="S205" s="1">
        <f t="shared" si="31"/>
        <v>10000000000</v>
      </c>
      <c r="T205" s="1">
        <f>IFERROR(MATCH($C$36&amp;"|132",TAHSILAT!$U$7:$U$2503,0),0)</f>
        <v>0</v>
      </c>
      <c r="V205" s="1">
        <f t="shared" si="32"/>
        <v>10000000000</v>
      </c>
      <c r="W205" s="1">
        <f t="shared" si="33"/>
        <v>9</v>
      </c>
    </row>
    <row r="206" spans="1:23" ht="14.25" customHeight="1" x14ac:dyDescent="0.3">
      <c r="B206" s="65" t="str">
        <f t="shared" si="25"/>
        <v/>
      </c>
      <c r="C206" s="70" t="str">
        <f t="shared" si="26"/>
        <v/>
      </c>
      <c r="D206" s="74" t="str">
        <f t="shared" si="27"/>
        <v/>
      </c>
      <c r="F206" s="65" t="str">
        <f t="shared" si="28"/>
        <v/>
      </c>
      <c r="G206" s="68" t="str">
        <f t="shared" si="29"/>
        <v/>
      </c>
      <c r="H206" s="68" t="str">
        <f t="shared" si="30"/>
        <v/>
      </c>
      <c r="I206" s="68" t="str">
        <f t="shared" si="34"/>
        <v/>
      </c>
      <c r="M206" s="1">
        <v>169</v>
      </c>
      <c r="N206" s="1" t="str">
        <f>IF($T206=0,"",INDEX(TAHSILAT!$E$7:$E$2503,$T206))</f>
        <v/>
      </c>
      <c r="O206" s="1" t="str">
        <f>IF($N206="","",$C$36&amp;" – müşteriden tahsilat: "&amp;INDEX(TAHSILAT!$N$7:$N$2503,$T206)&amp;IF(INDEX(TAHSILAT!$J$7:$J$2503,$T206)="",""," – "&amp;INDEX(TAHSILAT!$J$7:$J$2503,$T206)))</f>
        <v/>
      </c>
      <c r="P206" s="1" t="str">
        <f t="shared" si="35"/>
        <v/>
      </c>
      <c r="Q206" s="1">
        <f>IF($N206="",0,INDEX(TAHSILAT!$F$7:$F$2503,$T206))</f>
        <v>0</v>
      </c>
      <c r="R206" s="1">
        <v>0</v>
      </c>
      <c r="S206" s="1">
        <f t="shared" si="31"/>
        <v>10000000000</v>
      </c>
      <c r="T206" s="1">
        <f>IFERROR(MATCH($C$36&amp;"|133",TAHSILAT!$U$7:$U$2503,0),0)</f>
        <v>0</v>
      </c>
      <c r="V206" s="1">
        <f t="shared" si="32"/>
        <v>10000000000</v>
      </c>
      <c r="W206" s="1">
        <f t="shared" si="33"/>
        <v>9</v>
      </c>
    </row>
    <row r="207" spans="1:23" ht="14.25" customHeight="1" x14ac:dyDescent="0.3">
      <c r="B207" s="65" t="str">
        <f t="shared" si="25"/>
        <v/>
      </c>
      <c r="C207" s="70" t="str">
        <f t="shared" si="26"/>
        <v/>
      </c>
      <c r="D207" s="74" t="str">
        <f t="shared" si="27"/>
        <v/>
      </c>
      <c r="F207" s="65" t="str">
        <f t="shared" si="28"/>
        <v/>
      </c>
      <c r="G207" s="68" t="str">
        <f t="shared" si="29"/>
        <v/>
      </c>
      <c r="H207" s="68" t="str">
        <f t="shared" si="30"/>
        <v/>
      </c>
      <c r="I207" s="68" t="str">
        <f t="shared" si="34"/>
        <v/>
      </c>
      <c r="M207" s="1">
        <v>170</v>
      </c>
      <c r="N207" s="1" t="str">
        <f>IF($T207=0,"",INDEX(TAHSILAT!$E$7:$E$2503,$T207))</f>
        <v/>
      </c>
      <c r="O207" s="1" t="str">
        <f>IF($N207="","",$C$36&amp;" – müşteriden tahsilat: "&amp;INDEX(TAHSILAT!$N$7:$N$2503,$T207)&amp;IF(INDEX(TAHSILAT!$J$7:$J$2503,$T207)="",""," – "&amp;INDEX(TAHSILAT!$J$7:$J$2503,$T207)))</f>
        <v/>
      </c>
      <c r="P207" s="1" t="str">
        <f t="shared" si="35"/>
        <v/>
      </c>
      <c r="Q207" s="1">
        <f>IF($N207="",0,INDEX(TAHSILAT!$F$7:$F$2503,$T207))</f>
        <v>0</v>
      </c>
      <c r="R207" s="1">
        <v>0</v>
      </c>
      <c r="S207" s="1">
        <f t="shared" si="31"/>
        <v>10000000000</v>
      </c>
      <c r="T207" s="1">
        <f>IFERROR(MATCH($C$36&amp;"|134",TAHSILAT!$U$7:$U$2503,0),0)</f>
        <v>0</v>
      </c>
      <c r="V207" s="1">
        <f t="shared" si="32"/>
        <v>10000000000</v>
      </c>
      <c r="W207" s="1">
        <f t="shared" si="33"/>
        <v>9</v>
      </c>
    </row>
    <row r="208" spans="1:23" ht="14.25" customHeight="1" x14ac:dyDescent="0.3">
      <c r="B208" s="65" t="str">
        <f t="shared" si="25"/>
        <v/>
      </c>
      <c r="C208" s="70" t="str">
        <f t="shared" si="26"/>
        <v/>
      </c>
      <c r="D208" s="74" t="str">
        <f t="shared" si="27"/>
        <v/>
      </c>
      <c r="F208" s="65" t="str">
        <f t="shared" si="28"/>
        <v/>
      </c>
      <c r="G208" s="68" t="str">
        <f t="shared" si="29"/>
        <v/>
      </c>
      <c r="H208" s="68" t="str">
        <f t="shared" si="30"/>
        <v/>
      </c>
      <c r="I208" s="68" t="str">
        <f t="shared" si="34"/>
        <v/>
      </c>
      <c r="M208" s="1">
        <v>171</v>
      </c>
      <c r="N208" s="1" t="str">
        <f>IF($T208=0,"",INDEX(TAHSILAT!$E$7:$E$2503,$T208))</f>
        <v/>
      </c>
      <c r="O208" s="1" t="str">
        <f>IF($N208="","",$C$36&amp;" – müşteriden tahsilat: "&amp;INDEX(TAHSILAT!$N$7:$N$2503,$T208)&amp;IF(INDEX(TAHSILAT!$J$7:$J$2503,$T208)="",""," – "&amp;INDEX(TAHSILAT!$J$7:$J$2503,$T208)))</f>
        <v/>
      </c>
      <c r="P208" s="1" t="str">
        <f t="shared" si="35"/>
        <v/>
      </c>
      <c r="Q208" s="1">
        <f>IF($N208="",0,INDEX(TAHSILAT!$F$7:$F$2503,$T208))</f>
        <v>0</v>
      </c>
      <c r="R208" s="1">
        <v>0</v>
      </c>
      <c r="S208" s="1">
        <f t="shared" si="31"/>
        <v>10000000000</v>
      </c>
      <c r="T208" s="1">
        <f>IFERROR(MATCH($C$36&amp;"|135",TAHSILAT!$U$7:$U$2503,0),0)</f>
        <v>0</v>
      </c>
      <c r="V208" s="1">
        <f t="shared" si="32"/>
        <v>10000000000</v>
      </c>
      <c r="W208" s="1">
        <f t="shared" si="33"/>
        <v>9</v>
      </c>
    </row>
    <row r="209" spans="2:23" ht="14.25" customHeight="1" x14ac:dyDescent="0.3">
      <c r="B209" s="65" t="str">
        <f t="shared" si="25"/>
        <v/>
      </c>
      <c r="C209" s="70" t="str">
        <f t="shared" si="26"/>
        <v/>
      </c>
      <c r="D209" s="74" t="str">
        <f t="shared" si="27"/>
        <v/>
      </c>
      <c r="F209" s="65" t="str">
        <f t="shared" si="28"/>
        <v/>
      </c>
      <c r="G209" s="68" t="str">
        <f t="shared" si="29"/>
        <v/>
      </c>
      <c r="H209" s="68" t="str">
        <f t="shared" si="30"/>
        <v/>
      </c>
      <c r="I209" s="68" t="str">
        <f t="shared" si="34"/>
        <v/>
      </c>
      <c r="M209" s="1">
        <v>172</v>
      </c>
      <c r="N209" s="1" t="str">
        <f>IF($T209=0,"",INDEX(TAHSILAT!$E$7:$E$2503,$T209))</f>
        <v/>
      </c>
      <c r="O209" s="1" t="str">
        <f>IF($N209="","",$C$36&amp;" – müşteriden tahsilat: "&amp;INDEX(TAHSILAT!$N$7:$N$2503,$T209)&amp;IF(INDEX(TAHSILAT!$J$7:$J$2503,$T209)="",""," – "&amp;INDEX(TAHSILAT!$J$7:$J$2503,$T209)))</f>
        <v/>
      </c>
      <c r="P209" s="1" t="str">
        <f t="shared" si="35"/>
        <v/>
      </c>
      <c r="Q209" s="1">
        <f>IF($N209="",0,INDEX(TAHSILAT!$F$7:$F$2503,$T209))</f>
        <v>0</v>
      </c>
      <c r="R209" s="1">
        <v>0</v>
      </c>
      <c r="S209" s="1">
        <f t="shared" si="31"/>
        <v>10000000000</v>
      </c>
      <c r="T209" s="1">
        <f>IFERROR(MATCH($C$36&amp;"|136",TAHSILAT!$U$7:$U$2503,0),0)</f>
        <v>0</v>
      </c>
      <c r="V209" s="1">
        <f t="shared" si="32"/>
        <v>10000000000</v>
      </c>
      <c r="W209" s="1">
        <f t="shared" si="33"/>
        <v>9</v>
      </c>
    </row>
    <row r="210" spans="2:23" ht="14.25" customHeight="1" x14ac:dyDescent="0.3">
      <c r="B210" s="65" t="str">
        <f t="shared" si="25"/>
        <v/>
      </c>
      <c r="C210" s="70" t="str">
        <f t="shared" si="26"/>
        <v/>
      </c>
      <c r="D210" s="74" t="str">
        <f t="shared" si="27"/>
        <v/>
      </c>
      <c r="F210" s="65" t="str">
        <f t="shared" si="28"/>
        <v/>
      </c>
      <c r="G210" s="68" t="str">
        <f t="shared" si="29"/>
        <v/>
      </c>
      <c r="H210" s="68" t="str">
        <f t="shared" si="30"/>
        <v/>
      </c>
      <c r="I210" s="68" t="str">
        <f t="shared" si="34"/>
        <v/>
      </c>
      <c r="M210" s="1">
        <v>173</v>
      </c>
      <c r="N210" s="1" t="str">
        <f>IF($T210=0,"",INDEX(TAHSILAT!$E$7:$E$2503,$T210))</f>
        <v/>
      </c>
      <c r="O210" s="1" t="str">
        <f>IF($N210="","",$C$36&amp;" – müşteriden tahsilat: "&amp;INDEX(TAHSILAT!$N$7:$N$2503,$T210)&amp;IF(INDEX(TAHSILAT!$J$7:$J$2503,$T210)="",""," – "&amp;INDEX(TAHSILAT!$J$7:$J$2503,$T210)))</f>
        <v/>
      </c>
      <c r="P210" s="1" t="str">
        <f t="shared" si="35"/>
        <v/>
      </c>
      <c r="Q210" s="1">
        <f>IF($N210="",0,INDEX(TAHSILAT!$F$7:$F$2503,$T210))</f>
        <v>0</v>
      </c>
      <c r="R210" s="1">
        <v>0</v>
      </c>
      <c r="S210" s="1">
        <f t="shared" si="31"/>
        <v>10000000000</v>
      </c>
      <c r="T210" s="1">
        <f>IFERROR(MATCH($C$36&amp;"|137",TAHSILAT!$U$7:$U$2503,0),0)</f>
        <v>0</v>
      </c>
      <c r="V210" s="1">
        <f t="shared" si="32"/>
        <v>10000000000</v>
      </c>
      <c r="W210" s="1">
        <f t="shared" si="33"/>
        <v>9</v>
      </c>
    </row>
    <row r="211" spans="2:23" ht="14.25" customHeight="1" x14ac:dyDescent="0.3">
      <c r="B211" s="65" t="str">
        <f t="shared" si="25"/>
        <v/>
      </c>
      <c r="C211" s="70" t="str">
        <f t="shared" si="26"/>
        <v/>
      </c>
      <c r="D211" s="74" t="str">
        <f t="shared" si="27"/>
        <v/>
      </c>
      <c r="F211" s="65" t="str">
        <f t="shared" si="28"/>
        <v/>
      </c>
      <c r="G211" s="68" t="str">
        <f t="shared" si="29"/>
        <v/>
      </c>
      <c r="H211" s="68" t="str">
        <f t="shared" si="30"/>
        <v/>
      </c>
      <c r="I211" s="68" t="str">
        <f t="shared" si="34"/>
        <v/>
      </c>
      <c r="M211" s="1">
        <v>174</v>
      </c>
      <c r="N211" s="1" t="str">
        <f>IF($T211=0,"",INDEX(TAHSILAT!$E$7:$E$2503,$T211))</f>
        <v/>
      </c>
      <c r="O211" s="1" t="str">
        <f>IF($N211="","",$C$36&amp;" – müşteriden tahsilat: "&amp;INDEX(TAHSILAT!$N$7:$N$2503,$T211)&amp;IF(INDEX(TAHSILAT!$J$7:$J$2503,$T211)="",""," – "&amp;INDEX(TAHSILAT!$J$7:$J$2503,$T211)))</f>
        <v/>
      </c>
      <c r="P211" s="1" t="str">
        <f t="shared" si="35"/>
        <v/>
      </c>
      <c r="Q211" s="1">
        <f>IF($N211="",0,INDEX(TAHSILAT!$F$7:$F$2503,$T211))</f>
        <v>0</v>
      </c>
      <c r="R211" s="1">
        <v>0</v>
      </c>
      <c r="S211" s="1">
        <f t="shared" si="31"/>
        <v>10000000000</v>
      </c>
      <c r="T211" s="1">
        <f>IFERROR(MATCH($C$36&amp;"|138",TAHSILAT!$U$7:$U$2503,0),0)</f>
        <v>0</v>
      </c>
      <c r="V211" s="1">
        <f t="shared" si="32"/>
        <v>10000000000</v>
      </c>
      <c r="W211" s="1">
        <f t="shared" si="33"/>
        <v>9</v>
      </c>
    </row>
    <row r="212" spans="2:23" ht="14.25" customHeight="1" x14ac:dyDescent="0.3">
      <c r="B212" s="65" t="str">
        <f t="shared" si="25"/>
        <v/>
      </c>
      <c r="C212" s="70" t="str">
        <f t="shared" si="26"/>
        <v/>
      </c>
      <c r="D212" s="74" t="str">
        <f t="shared" si="27"/>
        <v/>
      </c>
      <c r="F212" s="65" t="str">
        <f t="shared" si="28"/>
        <v/>
      </c>
      <c r="G212" s="68" t="str">
        <f t="shared" si="29"/>
        <v/>
      </c>
      <c r="H212" s="68" t="str">
        <f t="shared" si="30"/>
        <v/>
      </c>
      <c r="I212" s="68" t="str">
        <f t="shared" si="34"/>
        <v/>
      </c>
      <c r="M212" s="1">
        <v>175</v>
      </c>
      <c r="N212" s="1" t="str">
        <f>IF($T212=0,"",INDEX(TAHSILAT!$E$7:$E$2503,$T212))</f>
        <v/>
      </c>
      <c r="O212" s="1" t="str">
        <f>IF($N212="","",$C$36&amp;" – müşteriden tahsilat: "&amp;INDEX(TAHSILAT!$N$7:$N$2503,$T212)&amp;IF(INDEX(TAHSILAT!$J$7:$J$2503,$T212)="",""," – "&amp;INDEX(TAHSILAT!$J$7:$J$2503,$T212)))</f>
        <v/>
      </c>
      <c r="P212" s="1" t="str">
        <f t="shared" si="35"/>
        <v/>
      </c>
      <c r="Q212" s="1">
        <f>IF($N212="",0,INDEX(TAHSILAT!$F$7:$F$2503,$T212))</f>
        <v>0</v>
      </c>
      <c r="R212" s="1">
        <v>0</v>
      </c>
      <c r="S212" s="1">
        <f t="shared" si="31"/>
        <v>10000000000</v>
      </c>
      <c r="T212" s="1">
        <f>IFERROR(MATCH($C$36&amp;"|139",TAHSILAT!$U$7:$U$2503,0),0)</f>
        <v>0</v>
      </c>
      <c r="V212" s="1">
        <f t="shared" si="32"/>
        <v>10000000000</v>
      </c>
      <c r="W212" s="1">
        <f t="shared" si="33"/>
        <v>9</v>
      </c>
    </row>
    <row r="213" spans="2:23" ht="14.25" customHeight="1" x14ac:dyDescent="0.3">
      <c r="B213" s="65" t="str">
        <f t="shared" si="25"/>
        <v/>
      </c>
      <c r="C213" s="70" t="str">
        <f t="shared" si="26"/>
        <v/>
      </c>
      <c r="D213" s="74" t="str">
        <f t="shared" si="27"/>
        <v/>
      </c>
      <c r="F213" s="65" t="str">
        <f t="shared" si="28"/>
        <v/>
      </c>
      <c r="G213" s="68" t="str">
        <f t="shared" si="29"/>
        <v/>
      </c>
      <c r="H213" s="68" t="str">
        <f t="shared" si="30"/>
        <v/>
      </c>
      <c r="I213" s="68" t="str">
        <f t="shared" si="34"/>
        <v/>
      </c>
      <c r="M213" s="1">
        <v>176</v>
      </c>
      <c r="N213" s="1" t="str">
        <f>IF($T213=0,"",INDEX(TAHSILAT!$E$7:$E$2503,$T213))</f>
        <v/>
      </c>
      <c r="O213" s="1" t="str">
        <f>IF($N213="","",$C$36&amp;" – müşteriden tahsilat: "&amp;INDEX(TAHSILAT!$N$7:$N$2503,$T213)&amp;IF(INDEX(TAHSILAT!$J$7:$J$2503,$T213)="",""," – "&amp;INDEX(TAHSILAT!$J$7:$J$2503,$T213)))</f>
        <v/>
      </c>
      <c r="P213" s="1" t="str">
        <f t="shared" si="35"/>
        <v/>
      </c>
      <c r="Q213" s="1">
        <f>IF($N213="",0,INDEX(TAHSILAT!$F$7:$F$2503,$T213))</f>
        <v>0</v>
      </c>
      <c r="R213" s="1">
        <v>0</v>
      </c>
      <c r="S213" s="1">
        <f t="shared" si="31"/>
        <v>10000000000</v>
      </c>
      <c r="T213" s="1">
        <f>IFERROR(MATCH($C$36&amp;"|140",TAHSILAT!$U$7:$U$2503,0),0)</f>
        <v>0</v>
      </c>
      <c r="V213" s="1">
        <f t="shared" si="32"/>
        <v>10000000000</v>
      </c>
      <c r="W213" s="1">
        <f t="shared" si="33"/>
        <v>9</v>
      </c>
    </row>
    <row r="214" spans="2:23" ht="14.25" customHeight="1" x14ac:dyDescent="0.3">
      <c r="B214" s="65" t="str">
        <f t="shared" si="25"/>
        <v/>
      </c>
      <c r="C214" s="70" t="str">
        <f t="shared" si="26"/>
        <v/>
      </c>
      <c r="D214" s="74" t="str">
        <f t="shared" si="27"/>
        <v/>
      </c>
      <c r="F214" s="65" t="str">
        <f t="shared" si="28"/>
        <v/>
      </c>
      <c r="G214" s="68" t="str">
        <f t="shared" si="29"/>
        <v/>
      </c>
      <c r="H214" s="68" t="str">
        <f t="shared" si="30"/>
        <v/>
      </c>
      <c r="I214" s="68" t="str">
        <f t="shared" si="34"/>
        <v/>
      </c>
      <c r="M214" s="1">
        <v>177</v>
      </c>
      <c r="N214" s="1" t="str">
        <f>IF($T214=0,"",INDEX(TAHSILAT!$E$7:$E$2503,$T214))</f>
        <v/>
      </c>
      <c r="O214" s="1" t="str">
        <f>IF($N214="","",$C$36&amp;" – müşteriden tahsilat: "&amp;INDEX(TAHSILAT!$N$7:$N$2503,$T214)&amp;IF(INDEX(TAHSILAT!$J$7:$J$2503,$T214)="",""," – "&amp;INDEX(TAHSILAT!$J$7:$J$2503,$T214)))</f>
        <v/>
      </c>
      <c r="P214" s="1" t="str">
        <f t="shared" si="35"/>
        <v/>
      </c>
      <c r="Q214" s="1">
        <f>IF($N214="",0,INDEX(TAHSILAT!$F$7:$F$2503,$T214))</f>
        <v>0</v>
      </c>
      <c r="R214" s="1">
        <v>0</v>
      </c>
      <c r="S214" s="1">
        <f t="shared" si="31"/>
        <v>10000000000</v>
      </c>
      <c r="T214" s="1">
        <f>IFERROR(MATCH($C$36&amp;"|141",TAHSILAT!$U$7:$U$2503,0),0)</f>
        <v>0</v>
      </c>
      <c r="V214" s="1">
        <f t="shared" si="32"/>
        <v>10000000000</v>
      </c>
      <c r="W214" s="1">
        <f t="shared" si="33"/>
        <v>9</v>
      </c>
    </row>
    <row r="215" spans="2:23" ht="14.25" customHeight="1" x14ac:dyDescent="0.3">
      <c r="B215" s="65" t="str">
        <f t="shared" si="25"/>
        <v/>
      </c>
      <c r="C215" s="70" t="str">
        <f t="shared" si="26"/>
        <v/>
      </c>
      <c r="D215" s="74" t="str">
        <f t="shared" si="27"/>
        <v/>
      </c>
      <c r="F215" s="65" t="str">
        <f t="shared" si="28"/>
        <v/>
      </c>
      <c r="G215" s="68" t="str">
        <f t="shared" si="29"/>
        <v/>
      </c>
      <c r="H215" s="68" t="str">
        <f t="shared" si="30"/>
        <v/>
      </c>
      <c r="I215" s="68" t="str">
        <f t="shared" si="34"/>
        <v/>
      </c>
      <c r="M215" s="1">
        <v>178</v>
      </c>
      <c r="N215" s="1" t="str">
        <f>IF($T215=0,"",INDEX(TAHSILAT!$E$7:$E$2503,$T215))</f>
        <v/>
      </c>
      <c r="O215" s="1" t="str">
        <f>IF($N215="","",$C$36&amp;" – müşteriden tahsilat: "&amp;INDEX(TAHSILAT!$N$7:$N$2503,$T215)&amp;IF(INDEX(TAHSILAT!$J$7:$J$2503,$T215)="",""," – "&amp;INDEX(TAHSILAT!$J$7:$J$2503,$T215)))</f>
        <v/>
      </c>
      <c r="P215" s="1" t="str">
        <f t="shared" si="35"/>
        <v/>
      </c>
      <c r="Q215" s="1">
        <f>IF($N215="",0,INDEX(TAHSILAT!$F$7:$F$2503,$T215))</f>
        <v>0</v>
      </c>
      <c r="R215" s="1">
        <v>0</v>
      </c>
      <c r="S215" s="1">
        <f t="shared" si="31"/>
        <v>10000000000</v>
      </c>
      <c r="T215" s="1">
        <f>IFERROR(MATCH($C$36&amp;"|142",TAHSILAT!$U$7:$U$2503,0),0)</f>
        <v>0</v>
      </c>
      <c r="V215" s="1">
        <f t="shared" si="32"/>
        <v>10000000000</v>
      </c>
      <c r="W215" s="1">
        <f t="shared" si="33"/>
        <v>9</v>
      </c>
    </row>
    <row r="216" spans="2:23" ht="14.25" customHeight="1" x14ac:dyDescent="0.3">
      <c r="B216" s="65" t="str">
        <f t="shared" si="25"/>
        <v/>
      </c>
      <c r="C216" s="70" t="str">
        <f t="shared" si="26"/>
        <v/>
      </c>
      <c r="D216" s="74" t="str">
        <f t="shared" si="27"/>
        <v/>
      </c>
      <c r="F216" s="65" t="str">
        <f t="shared" si="28"/>
        <v/>
      </c>
      <c r="G216" s="68" t="str">
        <f t="shared" si="29"/>
        <v/>
      </c>
      <c r="H216" s="68" t="str">
        <f t="shared" si="30"/>
        <v/>
      </c>
      <c r="I216" s="68" t="str">
        <f t="shared" si="34"/>
        <v/>
      </c>
      <c r="M216" s="1">
        <v>179</v>
      </c>
      <c r="N216" s="1" t="str">
        <f>IF($T216=0,"",INDEX(TAHSILAT!$E$7:$E$2503,$T216))</f>
        <v/>
      </c>
      <c r="O216" s="1" t="str">
        <f>IF($N216="","",$C$36&amp;" – müşteriden tahsilat: "&amp;INDEX(TAHSILAT!$N$7:$N$2503,$T216)&amp;IF(INDEX(TAHSILAT!$J$7:$J$2503,$T216)="",""," – "&amp;INDEX(TAHSILAT!$J$7:$J$2503,$T216)))</f>
        <v/>
      </c>
      <c r="P216" s="1" t="str">
        <f t="shared" si="35"/>
        <v/>
      </c>
      <c r="Q216" s="1">
        <f>IF($N216="",0,INDEX(TAHSILAT!$F$7:$F$2503,$T216))</f>
        <v>0</v>
      </c>
      <c r="R216" s="1">
        <v>0</v>
      </c>
      <c r="S216" s="1">
        <f t="shared" si="31"/>
        <v>10000000000</v>
      </c>
      <c r="T216" s="1">
        <f>IFERROR(MATCH($C$36&amp;"|143",TAHSILAT!$U$7:$U$2503,0),0)</f>
        <v>0</v>
      </c>
      <c r="V216" s="1">
        <f t="shared" si="32"/>
        <v>10000000000</v>
      </c>
      <c r="W216" s="1">
        <f t="shared" si="33"/>
        <v>9</v>
      </c>
    </row>
    <row r="217" spans="2:23" ht="14.25" customHeight="1" x14ac:dyDescent="0.3">
      <c r="B217" s="65" t="str">
        <f t="shared" si="25"/>
        <v/>
      </c>
      <c r="C217" s="70" t="str">
        <f t="shared" si="26"/>
        <v/>
      </c>
      <c r="D217" s="74" t="str">
        <f t="shared" si="27"/>
        <v/>
      </c>
      <c r="F217" s="65" t="str">
        <f t="shared" si="28"/>
        <v/>
      </c>
      <c r="G217" s="68" t="str">
        <f t="shared" si="29"/>
        <v/>
      </c>
      <c r="H217" s="68" t="str">
        <f t="shared" si="30"/>
        <v/>
      </c>
      <c r="I217" s="68" t="str">
        <f t="shared" si="34"/>
        <v/>
      </c>
      <c r="M217" s="1">
        <v>180</v>
      </c>
      <c r="N217" s="1" t="str">
        <f>IF($T217=0,"",INDEX(TAHSILAT!$E$7:$E$2503,$T217))</f>
        <v/>
      </c>
      <c r="O217" s="1" t="str">
        <f>IF($N217="","",$C$36&amp;" – müşteriden tahsilat: "&amp;INDEX(TAHSILAT!$N$7:$N$2503,$T217)&amp;IF(INDEX(TAHSILAT!$J$7:$J$2503,$T217)="",""," – "&amp;INDEX(TAHSILAT!$J$7:$J$2503,$T217)))</f>
        <v/>
      </c>
      <c r="P217" s="1" t="str">
        <f t="shared" si="35"/>
        <v/>
      </c>
      <c r="Q217" s="1">
        <f>IF($N217="",0,INDEX(TAHSILAT!$F$7:$F$2503,$T217))</f>
        <v>0</v>
      </c>
      <c r="R217" s="1">
        <v>0</v>
      </c>
      <c r="S217" s="1">
        <f t="shared" si="31"/>
        <v>10000000000</v>
      </c>
      <c r="T217" s="1">
        <f>IFERROR(MATCH($C$36&amp;"|144",TAHSILAT!$U$7:$U$2503,0),0)</f>
        <v>0</v>
      </c>
      <c r="V217" s="1">
        <f t="shared" si="32"/>
        <v>10000000000</v>
      </c>
      <c r="W217" s="1">
        <f t="shared" si="33"/>
        <v>9</v>
      </c>
    </row>
    <row r="218" spans="2:23" ht="14.25" customHeight="1" x14ac:dyDescent="0.3">
      <c r="B218" s="65" t="str">
        <f t="shared" si="25"/>
        <v/>
      </c>
      <c r="C218" s="70" t="str">
        <f t="shared" si="26"/>
        <v/>
      </c>
      <c r="D218" s="74" t="str">
        <f t="shared" si="27"/>
        <v/>
      </c>
      <c r="F218" s="65" t="str">
        <f t="shared" si="28"/>
        <v/>
      </c>
      <c r="G218" s="68" t="str">
        <f t="shared" si="29"/>
        <v/>
      </c>
      <c r="H218" s="68" t="str">
        <f t="shared" si="30"/>
        <v/>
      </c>
      <c r="I218" s="68" t="str">
        <f t="shared" si="34"/>
        <v/>
      </c>
      <c r="M218" s="1">
        <v>181</v>
      </c>
      <c r="N218" s="1" t="str">
        <f>IF($T218=0,"",INDEX(TAHSILAT!$E$7:$E$2503,$T218))</f>
        <v/>
      </c>
      <c r="O218" s="1" t="str">
        <f>IF($N218="","",$C$36&amp;" – müşteriden tahsilat: "&amp;INDEX(TAHSILAT!$N$7:$N$2503,$T218)&amp;IF(INDEX(TAHSILAT!$J$7:$J$2503,$T218)="",""," – "&amp;INDEX(TAHSILAT!$J$7:$J$2503,$T218)))</f>
        <v/>
      </c>
      <c r="P218" s="1" t="str">
        <f t="shared" si="35"/>
        <v/>
      </c>
      <c r="Q218" s="1">
        <f>IF($N218="",0,INDEX(TAHSILAT!$F$7:$F$2503,$T218))</f>
        <v>0</v>
      </c>
      <c r="R218" s="1">
        <v>0</v>
      </c>
      <c r="S218" s="1">
        <f t="shared" si="31"/>
        <v>10000000000</v>
      </c>
      <c r="T218" s="1">
        <f>IFERROR(MATCH($C$36&amp;"|145",TAHSILAT!$U$7:$U$2503,0),0)</f>
        <v>0</v>
      </c>
      <c r="V218" s="1">
        <f t="shared" si="32"/>
        <v>10000000000</v>
      </c>
      <c r="W218" s="1">
        <f t="shared" si="33"/>
        <v>9</v>
      </c>
    </row>
    <row r="219" spans="2:23" ht="14.25" customHeight="1" x14ac:dyDescent="0.3">
      <c r="B219" s="65" t="str">
        <f t="shared" si="25"/>
        <v/>
      </c>
      <c r="C219" s="70" t="str">
        <f t="shared" si="26"/>
        <v/>
      </c>
      <c r="D219" s="74" t="str">
        <f t="shared" si="27"/>
        <v/>
      </c>
      <c r="F219" s="65" t="str">
        <f t="shared" si="28"/>
        <v/>
      </c>
      <c r="G219" s="68" t="str">
        <f t="shared" si="29"/>
        <v/>
      </c>
      <c r="H219" s="68" t="str">
        <f t="shared" si="30"/>
        <v/>
      </c>
      <c r="I219" s="68" t="str">
        <f t="shared" si="34"/>
        <v/>
      </c>
      <c r="M219" s="1">
        <v>182</v>
      </c>
      <c r="N219" s="1" t="str">
        <f>IF($T219=0,"",INDEX(TAHSILAT!$E$7:$E$2503,$T219))</f>
        <v/>
      </c>
      <c r="O219" s="1" t="str">
        <f>IF($N219="","",$C$36&amp;" – müşteriden tahsilat: "&amp;INDEX(TAHSILAT!$N$7:$N$2503,$T219)&amp;IF(INDEX(TAHSILAT!$J$7:$J$2503,$T219)="",""," – "&amp;INDEX(TAHSILAT!$J$7:$J$2503,$T219)))</f>
        <v/>
      </c>
      <c r="P219" s="1" t="str">
        <f t="shared" si="35"/>
        <v/>
      </c>
      <c r="Q219" s="1">
        <f>IF($N219="",0,INDEX(TAHSILAT!$F$7:$F$2503,$T219))</f>
        <v>0</v>
      </c>
      <c r="R219" s="1">
        <v>0</v>
      </c>
      <c r="S219" s="1">
        <f t="shared" si="31"/>
        <v>10000000000</v>
      </c>
      <c r="T219" s="1">
        <f>IFERROR(MATCH($C$36&amp;"|146",TAHSILAT!$U$7:$U$2503,0),0)</f>
        <v>0</v>
      </c>
      <c r="V219" s="1">
        <f t="shared" si="32"/>
        <v>10000000000</v>
      </c>
      <c r="W219" s="1">
        <f t="shared" si="33"/>
        <v>9</v>
      </c>
    </row>
    <row r="220" spans="2:23" ht="14.25" customHeight="1" x14ac:dyDescent="0.3">
      <c r="B220" s="65" t="str">
        <f t="shared" si="25"/>
        <v/>
      </c>
      <c r="C220" s="70" t="str">
        <f t="shared" si="26"/>
        <v/>
      </c>
      <c r="D220" s="74" t="str">
        <f t="shared" si="27"/>
        <v/>
      </c>
      <c r="F220" s="65" t="str">
        <f t="shared" si="28"/>
        <v/>
      </c>
      <c r="G220" s="68" t="str">
        <f t="shared" si="29"/>
        <v/>
      </c>
      <c r="H220" s="68" t="str">
        <f t="shared" si="30"/>
        <v/>
      </c>
      <c r="I220" s="68" t="str">
        <f t="shared" si="34"/>
        <v/>
      </c>
      <c r="M220" s="1">
        <v>183</v>
      </c>
      <c r="N220" s="1" t="str">
        <f>IF($T220=0,"",INDEX(TAHSILAT!$E$7:$E$2503,$T220))</f>
        <v/>
      </c>
      <c r="O220" s="1" t="str">
        <f>IF($N220="","",$C$36&amp;" – müşteriden tahsilat: "&amp;INDEX(TAHSILAT!$N$7:$N$2503,$T220)&amp;IF(INDEX(TAHSILAT!$J$7:$J$2503,$T220)="",""," – "&amp;INDEX(TAHSILAT!$J$7:$J$2503,$T220)))</f>
        <v/>
      </c>
      <c r="P220" s="1" t="str">
        <f t="shared" si="35"/>
        <v/>
      </c>
      <c r="Q220" s="1">
        <f>IF($N220="",0,INDEX(TAHSILAT!$F$7:$F$2503,$T220))</f>
        <v>0</v>
      </c>
      <c r="R220" s="1">
        <v>0</v>
      </c>
      <c r="S220" s="1">
        <f t="shared" si="31"/>
        <v>10000000000</v>
      </c>
      <c r="T220" s="1">
        <f>IFERROR(MATCH($C$36&amp;"|147",TAHSILAT!$U$7:$U$2503,0),0)</f>
        <v>0</v>
      </c>
      <c r="V220" s="1">
        <f t="shared" si="32"/>
        <v>10000000000</v>
      </c>
      <c r="W220" s="1">
        <f t="shared" si="33"/>
        <v>9</v>
      </c>
    </row>
    <row r="221" spans="2:23" ht="14.25" customHeight="1" x14ac:dyDescent="0.3">
      <c r="B221" s="65" t="str">
        <f t="shared" si="25"/>
        <v/>
      </c>
      <c r="C221" s="70" t="str">
        <f t="shared" si="26"/>
        <v/>
      </c>
      <c r="D221" s="74" t="str">
        <f t="shared" si="27"/>
        <v/>
      </c>
      <c r="F221" s="65" t="str">
        <f t="shared" si="28"/>
        <v/>
      </c>
      <c r="G221" s="68" t="str">
        <f t="shared" si="29"/>
        <v/>
      </c>
      <c r="H221" s="68" t="str">
        <f t="shared" si="30"/>
        <v/>
      </c>
      <c r="I221" s="68" t="str">
        <f t="shared" si="34"/>
        <v/>
      </c>
      <c r="M221" s="1">
        <v>184</v>
      </c>
      <c r="N221" s="1" t="str">
        <f>IF($T221=0,"",INDEX(TAHSILAT!$E$7:$E$2503,$T221))</f>
        <v/>
      </c>
      <c r="O221" s="1" t="str">
        <f>IF($N221="","",$C$36&amp;" – müşteriden tahsilat: "&amp;INDEX(TAHSILAT!$N$7:$N$2503,$T221)&amp;IF(INDEX(TAHSILAT!$J$7:$J$2503,$T221)="",""," – "&amp;INDEX(TAHSILAT!$J$7:$J$2503,$T221)))</f>
        <v/>
      </c>
      <c r="P221" s="1" t="str">
        <f t="shared" si="35"/>
        <v/>
      </c>
      <c r="Q221" s="1">
        <f>IF($N221="",0,INDEX(TAHSILAT!$F$7:$F$2503,$T221))</f>
        <v>0</v>
      </c>
      <c r="R221" s="1">
        <v>0</v>
      </c>
      <c r="S221" s="1">
        <f t="shared" si="31"/>
        <v>10000000000</v>
      </c>
      <c r="T221" s="1">
        <f>IFERROR(MATCH($C$36&amp;"|148",TAHSILAT!$U$7:$U$2503,0),0)</f>
        <v>0</v>
      </c>
      <c r="V221" s="1">
        <f t="shared" si="32"/>
        <v>10000000000</v>
      </c>
      <c r="W221" s="1">
        <f t="shared" si="33"/>
        <v>9</v>
      </c>
    </row>
    <row r="222" spans="2:23" ht="14.25" customHeight="1" x14ac:dyDescent="0.3">
      <c r="B222" s="65" t="str">
        <f t="shared" si="25"/>
        <v/>
      </c>
      <c r="C222" s="70" t="str">
        <f t="shared" si="26"/>
        <v/>
      </c>
      <c r="D222" s="74" t="str">
        <f t="shared" si="27"/>
        <v/>
      </c>
      <c r="F222" s="65" t="str">
        <f t="shared" si="28"/>
        <v/>
      </c>
      <c r="G222" s="68" t="str">
        <f t="shared" si="29"/>
        <v/>
      </c>
      <c r="H222" s="68" t="str">
        <f t="shared" si="30"/>
        <v/>
      </c>
      <c r="I222" s="68" t="str">
        <f t="shared" si="34"/>
        <v/>
      </c>
      <c r="M222" s="1">
        <v>185</v>
      </c>
      <c r="N222" s="1" t="str">
        <f>IF($T222=0,"",INDEX(TAHSILAT!$E$7:$E$2503,$T222))</f>
        <v/>
      </c>
      <c r="O222" s="1" t="str">
        <f>IF($N222="","",$C$36&amp;" – müşteriden tahsilat: "&amp;INDEX(TAHSILAT!$N$7:$N$2503,$T222)&amp;IF(INDEX(TAHSILAT!$J$7:$J$2503,$T222)="",""," – "&amp;INDEX(TAHSILAT!$J$7:$J$2503,$T222)))</f>
        <v/>
      </c>
      <c r="P222" s="1" t="str">
        <f t="shared" si="35"/>
        <v/>
      </c>
      <c r="Q222" s="1">
        <f>IF($N222="",0,INDEX(TAHSILAT!$F$7:$F$2503,$T222))</f>
        <v>0</v>
      </c>
      <c r="R222" s="1">
        <v>0</v>
      </c>
      <c r="S222" s="1">
        <f t="shared" si="31"/>
        <v>10000000000</v>
      </c>
      <c r="T222" s="1">
        <f>IFERROR(MATCH($C$36&amp;"|149",TAHSILAT!$U$7:$U$2503,0),0)</f>
        <v>0</v>
      </c>
      <c r="V222" s="1">
        <f t="shared" si="32"/>
        <v>10000000000</v>
      </c>
      <c r="W222" s="1">
        <f t="shared" si="33"/>
        <v>9</v>
      </c>
    </row>
    <row r="223" spans="2:23" ht="14.25" customHeight="1" x14ac:dyDescent="0.3">
      <c r="B223" s="65" t="str">
        <f t="shared" si="25"/>
        <v/>
      </c>
      <c r="C223" s="70" t="str">
        <f t="shared" si="26"/>
        <v/>
      </c>
      <c r="D223" s="74" t="str">
        <f t="shared" si="27"/>
        <v/>
      </c>
      <c r="F223" s="65" t="str">
        <f t="shared" si="28"/>
        <v/>
      </c>
      <c r="G223" s="68" t="str">
        <f t="shared" si="29"/>
        <v/>
      </c>
      <c r="H223" s="68" t="str">
        <f t="shared" si="30"/>
        <v/>
      </c>
      <c r="I223" s="68" t="str">
        <f t="shared" si="34"/>
        <v/>
      </c>
      <c r="M223" s="1">
        <v>186</v>
      </c>
      <c r="N223" s="1" t="str">
        <f>IF($T223=0,"",INDEX(TAHSILAT!$E$7:$E$2503,$T223))</f>
        <v/>
      </c>
      <c r="O223" s="1" t="str">
        <f>IF($N223="","",$C$36&amp;" – müşteriden tahsilat: "&amp;INDEX(TAHSILAT!$N$7:$N$2503,$T223)&amp;IF(INDEX(TAHSILAT!$J$7:$J$2503,$T223)="",""," – "&amp;INDEX(TAHSILAT!$J$7:$J$2503,$T223)))</f>
        <v/>
      </c>
      <c r="P223" s="1" t="str">
        <f t="shared" si="35"/>
        <v/>
      </c>
      <c r="Q223" s="1">
        <f>IF($N223="",0,INDEX(TAHSILAT!$F$7:$F$2503,$T223))</f>
        <v>0</v>
      </c>
      <c r="R223" s="1">
        <v>0</v>
      </c>
      <c r="S223" s="1">
        <f t="shared" si="31"/>
        <v>10000000000</v>
      </c>
      <c r="T223" s="1">
        <f>IFERROR(MATCH($C$36&amp;"|150",TAHSILAT!$U$7:$U$2503,0),0)</f>
        <v>0</v>
      </c>
      <c r="V223" s="1">
        <f t="shared" si="32"/>
        <v>10000000000</v>
      </c>
      <c r="W223" s="1">
        <f t="shared" si="33"/>
        <v>9</v>
      </c>
    </row>
    <row r="224" spans="2:23" ht="14.25" customHeight="1" x14ac:dyDescent="0.3">
      <c r="B224" s="65" t="str">
        <f t="shared" si="25"/>
        <v/>
      </c>
      <c r="C224" s="70" t="str">
        <f t="shared" si="26"/>
        <v/>
      </c>
      <c r="D224" s="74" t="str">
        <f t="shared" si="27"/>
        <v/>
      </c>
      <c r="F224" s="65" t="str">
        <f t="shared" si="28"/>
        <v/>
      </c>
      <c r="G224" s="68" t="str">
        <f t="shared" si="29"/>
        <v/>
      </c>
      <c r="H224" s="68" t="str">
        <f t="shared" si="30"/>
        <v/>
      </c>
      <c r="I224" s="68" t="str">
        <f t="shared" si="34"/>
        <v/>
      </c>
      <c r="M224" s="1">
        <v>187</v>
      </c>
      <c r="N224" s="1" t="str">
        <f>IF($T224=0,"",INDEX(TAHSILAT!$E$7:$E$2503,$T224))</f>
        <v/>
      </c>
      <c r="O224" s="1" t="str">
        <f>IF($N224="","",$C$36&amp;" – müşteriden tahsilat: "&amp;INDEX(TAHSILAT!$N$7:$N$2503,$T224)&amp;IF(INDEX(TAHSILAT!$J$7:$J$2503,$T224)="",""," – "&amp;INDEX(TAHSILAT!$J$7:$J$2503,$T224)))</f>
        <v/>
      </c>
      <c r="P224" s="1" t="str">
        <f t="shared" si="35"/>
        <v/>
      </c>
      <c r="Q224" s="1">
        <f>IF($N224="",0,INDEX(TAHSILAT!$F$7:$F$2503,$T224))</f>
        <v>0</v>
      </c>
      <c r="R224" s="1">
        <v>0</v>
      </c>
      <c r="S224" s="1">
        <f t="shared" si="31"/>
        <v>10000000000</v>
      </c>
      <c r="T224" s="1">
        <f>IFERROR(MATCH($C$36&amp;"|151",TAHSILAT!$U$7:$U$2503,0),0)</f>
        <v>0</v>
      </c>
      <c r="V224" s="1">
        <f t="shared" si="32"/>
        <v>10000000000</v>
      </c>
      <c r="W224" s="1">
        <f t="shared" si="33"/>
        <v>9</v>
      </c>
    </row>
    <row r="225" spans="2:23" ht="14.25" customHeight="1" x14ac:dyDescent="0.3">
      <c r="B225" s="65" t="str">
        <f t="shared" si="25"/>
        <v/>
      </c>
      <c r="C225" s="70" t="str">
        <f t="shared" si="26"/>
        <v/>
      </c>
      <c r="D225" s="74" t="str">
        <f t="shared" si="27"/>
        <v/>
      </c>
      <c r="F225" s="65" t="str">
        <f t="shared" si="28"/>
        <v/>
      </c>
      <c r="G225" s="68" t="str">
        <f t="shared" si="29"/>
        <v/>
      </c>
      <c r="H225" s="68" t="str">
        <f t="shared" si="30"/>
        <v/>
      </c>
      <c r="I225" s="68" t="str">
        <f t="shared" si="34"/>
        <v/>
      </c>
      <c r="M225" s="1">
        <v>188</v>
      </c>
      <c r="N225" s="1" t="str">
        <f>IF($T225=0,"",INDEX(TAHSILAT!$E$7:$E$2503,$T225))</f>
        <v/>
      </c>
      <c r="O225" s="1" t="str">
        <f>IF($N225="","",$C$36&amp;" – müşteriden tahsilat: "&amp;INDEX(TAHSILAT!$N$7:$N$2503,$T225)&amp;IF(INDEX(TAHSILAT!$J$7:$J$2503,$T225)="",""," – "&amp;INDEX(TAHSILAT!$J$7:$J$2503,$T225)))</f>
        <v/>
      </c>
      <c r="P225" s="1" t="str">
        <f t="shared" si="35"/>
        <v/>
      </c>
      <c r="Q225" s="1">
        <f>IF($N225="",0,INDEX(TAHSILAT!$F$7:$F$2503,$T225))</f>
        <v>0</v>
      </c>
      <c r="R225" s="1">
        <v>0</v>
      </c>
      <c r="S225" s="1">
        <f t="shared" si="31"/>
        <v>10000000000</v>
      </c>
      <c r="T225" s="1">
        <f>IFERROR(MATCH($C$36&amp;"|152",TAHSILAT!$U$7:$U$2503,0),0)</f>
        <v>0</v>
      </c>
      <c r="V225" s="1">
        <f t="shared" si="32"/>
        <v>10000000000</v>
      </c>
      <c r="W225" s="1">
        <f t="shared" si="33"/>
        <v>9</v>
      </c>
    </row>
    <row r="226" spans="2:23" ht="14.25" customHeight="1" x14ac:dyDescent="0.3">
      <c r="B226" s="65" t="str">
        <f t="shared" si="25"/>
        <v/>
      </c>
      <c r="C226" s="70" t="str">
        <f t="shared" si="26"/>
        <v/>
      </c>
      <c r="D226" s="74" t="str">
        <f t="shared" si="27"/>
        <v/>
      </c>
      <c r="F226" s="65" t="str">
        <f t="shared" si="28"/>
        <v/>
      </c>
      <c r="G226" s="68" t="str">
        <f t="shared" si="29"/>
        <v/>
      </c>
      <c r="H226" s="68" t="str">
        <f t="shared" si="30"/>
        <v/>
      </c>
      <c r="I226" s="68" t="str">
        <f t="shared" si="34"/>
        <v/>
      </c>
      <c r="M226" s="1">
        <v>189</v>
      </c>
      <c r="N226" s="1" t="str">
        <f>IF($T226=0,"",INDEX(TAHSILAT!$E$7:$E$2503,$T226))</f>
        <v/>
      </c>
      <c r="O226" s="1" t="str">
        <f>IF($N226="","",$C$36&amp;" – müşteriden tahsilat: "&amp;INDEX(TAHSILAT!$N$7:$N$2503,$T226)&amp;IF(INDEX(TAHSILAT!$J$7:$J$2503,$T226)="",""," – "&amp;INDEX(TAHSILAT!$J$7:$J$2503,$T226)))</f>
        <v/>
      </c>
      <c r="P226" s="1" t="str">
        <f t="shared" si="35"/>
        <v/>
      </c>
      <c r="Q226" s="1">
        <f>IF($N226="",0,INDEX(TAHSILAT!$F$7:$F$2503,$T226))</f>
        <v>0</v>
      </c>
      <c r="R226" s="1">
        <v>0</v>
      </c>
      <c r="S226" s="1">
        <f t="shared" si="31"/>
        <v>10000000000</v>
      </c>
      <c r="T226" s="1">
        <f>IFERROR(MATCH($C$36&amp;"|153",TAHSILAT!$U$7:$U$2503,0),0)</f>
        <v>0</v>
      </c>
      <c r="V226" s="1">
        <f t="shared" si="32"/>
        <v>10000000000</v>
      </c>
      <c r="W226" s="1">
        <f t="shared" si="33"/>
        <v>9</v>
      </c>
    </row>
    <row r="227" spans="2:23" ht="14.25" customHeight="1" x14ac:dyDescent="0.3">
      <c r="B227" s="65" t="str">
        <f t="shared" si="25"/>
        <v/>
      </c>
      <c r="C227" s="70" t="str">
        <f t="shared" si="26"/>
        <v/>
      </c>
      <c r="D227" s="74" t="str">
        <f t="shared" si="27"/>
        <v/>
      </c>
      <c r="F227" s="65" t="str">
        <f t="shared" si="28"/>
        <v/>
      </c>
      <c r="G227" s="68" t="str">
        <f t="shared" si="29"/>
        <v/>
      </c>
      <c r="H227" s="68" t="str">
        <f t="shared" si="30"/>
        <v/>
      </c>
      <c r="I227" s="68" t="str">
        <f t="shared" si="34"/>
        <v/>
      </c>
      <c r="M227" s="1">
        <v>190</v>
      </c>
      <c r="N227" s="1" t="str">
        <f>IF($T227=0,"",INDEX(TAHSILAT!$E$7:$E$2503,$T227))</f>
        <v/>
      </c>
      <c r="O227" s="1" t="str">
        <f>IF($N227="","",$C$36&amp;" – müşteriden tahsilat: "&amp;INDEX(TAHSILAT!$N$7:$N$2503,$T227)&amp;IF(INDEX(TAHSILAT!$J$7:$J$2503,$T227)="",""," – "&amp;INDEX(TAHSILAT!$J$7:$J$2503,$T227)))</f>
        <v/>
      </c>
      <c r="P227" s="1" t="str">
        <f t="shared" si="35"/>
        <v/>
      </c>
      <c r="Q227" s="1">
        <f>IF($N227="",0,INDEX(TAHSILAT!$F$7:$F$2503,$T227))</f>
        <v>0</v>
      </c>
      <c r="R227" s="1">
        <v>0</v>
      </c>
      <c r="S227" s="1">
        <f t="shared" si="31"/>
        <v>10000000000</v>
      </c>
      <c r="T227" s="1">
        <f>IFERROR(MATCH($C$36&amp;"|154",TAHSILAT!$U$7:$U$2503,0),0)</f>
        <v>0</v>
      </c>
      <c r="V227" s="1">
        <f t="shared" si="32"/>
        <v>10000000000</v>
      </c>
      <c r="W227" s="1">
        <f t="shared" si="33"/>
        <v>9</v>
      </c>
    </row>
    <row r="228" spans="2:23" ht="14.25" customHeight="1" x14ac:dyDescent="0.3">
      <c r="B228" s="65" t="str">
        <f t="shared" si="25"/>
        <v/>
      </c>
      <c r="C228" s="70" t="str">
        <f t="shared" si="26"/>
        <v/>
      </c>
      <c r="D228" s="74" t="str">
        <f t="shared" si="27"/>
        <v/>
      </c>
      <c r="F228" s="65" t="str">
        <f t="shared" si="28"/>
        <v/>
      </c>
      <c r="G228" s="68" t="str">
        <f t="shared" si="29"/>
        <v/>
      </c>
      <c r="H228" s="68" t="str">
        <f t="shared" si="30"/>
        <v/>
      </c>
      <c r="I228" s="68" t="str">
        <f t="shared" si="34"/>
        <v/>
      </c>
      <c r="M228" s="1">
        <v>191</v>
      </c>
      <c r="N228" s="1" t="str">
        <f>IF($T228=0,"",INDEX(TAHSILAT!$E$7:$E$2503,$T228))</f>
        <v/>
      </c>
      <c r="O228" s="1" t="str">
        <f>IF($N228="","",$C$36&amp;" – müşteriden tahsilat: "&amp;INDEX(TAHSILAT!$N$7:$N$2503,$T228)&amp;IF(INDEX(TAHSILAT!$J$7:$J$2503,$T228)="",""," – "&amp;INDEX(TAHSILAT!$J$7:$J$2503,$T228)))</f>
        <v/>
      </c>
      <c r="P228" s="1" t="str">
        <f t="shared" si="35"/>
        <v/>
      </c>
      <c r="Q228" s="1">
        <f>IF($N228="",0,INDEX(TAHSILAT!$F$7:$F$2503,$T228))</f>
        <v>0</v>
      </c>
      <c r="R228" s="1">
        <v>0</v>
      </c>
      <c r="S228" s="1">
        <f t="shared" si="31"/>
        <v>10000000000</v>
      </c>
      <c r="T228" s="1">
        <f>IFERROR(MATCH($C$36&amp;"|155",TAHSILAT!$U$7:$U$2503,0),0)</f>
        <v>0</v>
      </c>
      <c r="V228" s="1">
        <f t="shared" si="32"/>
        <v>10000000000</v>
      </c>
      <c r="W228" s="1">
        <f t="shared" si="33"/>
        <v>9</v>
      </c>
    </row>
    <row r="229" spans="2:23" ht="14.25" customHeight="1" x14ac:dyDescent="0.3">
      <c r="B229" s="65" t="str">
        <f t="shared" si="25"/>
        <v/>
      </c>
      <c r="C229" s="70" t="str">
        <f t="shared" si="26"/>
        <v/>
      </c>
      <c r="D229" s="74" t="str">
        <f t="shared" si="27"/>
        <v/>
      </c>
      <c r="F229" s="65" t="str">
        <f t="shared" si="28"/>
        <v/>
      </c>
      <c r="G229" s="68" t="str">
        <f t="shared" si="29"/>
        <v/>
      </c>
      <c r="H229" s="68" t="str">
        <f t="shared" si="30"/>
        <v/>
      </c>
      <c r="I229" s="68" t="str">
        <f t="shared" si="34"/>
        <v/>
      </c>
      <c r="M229" s="1">
        <v>192</v>
      </c>
      <c r="N229" s="1" t="str">
        <f>IF($T229=0,"",INDEX(TAHSILAT!$E$7:$E$2503,$T229))</f>
        <v/>
      </c>
      <c r="O229" s="1" t="str">
        <f>IF($N229="","",$C$36&amp;" – müşteriden tahsilat: "&amp;INDEX(TAHSILAT!$N$7:$N$2503,$T229)&amp;IF(INDEX(TAHSILAT!$J$7:$J$2503,$T229)="",""," – "&amp;INDEX(TAHSILAT!$J$7:$J$2503,$T229)))</f>
        <v/>
      </c>
      <c r="P229" s="1" t="str">
        <f t="shared" si="35"/>
        <v/>
      </c>
      <c r="Q229" s="1">
        <f>IF($N229="",0,INDEX(TAHSILAT!$F$7:$F$2503,$T229))</f>
        <v>0</v>
      </c>
      <c r="R229" s="1">
        <v>0</v>
      </c>
      <c r="S229" s="1">
        <f t="shared" si="31"/>
        <v>10000000000</v>
      </c>
      <c r="T229" s="1">
        <f>IFERROR(MATCH($C$36&amp;"|156",TAHSILAT!$U$7:$U$2503,0),0)</f>
        <v>0</v>
      </c>
      <c r="V229" s="1">
        <f t="shared" si="32"/>
        <v>10000000000</v>
      </c>
      <c r="W229" s="1">
        <f t="shared" si="33"/>
        <v>9</v>
      </c>
    </row>
    <row r="230" spans="2:23" ht="14.25" customHeight="1" x14ac:dyDescent="0.3">
      <c r="B230" s="65" t="str">
        <f t="shared" ref="B230:B293" si="36">IF($C230="","",ROW()-37)</f>
        <v/>
      </c>
      <c r="C230" s="70" t="str">
        <f t="shared" ref="C230:C293" si="37">IF($W230="","",IF(INDEX($N$38:$N$953,$W230)="","",INDEX($N$38:$N$953,$W230)))</f>
        <v/>
      </c>
      <c r="D230" s="74" t="str">
        <f t="shared" ref="D230:D293" si="38">IF($C230="","",INDEX($O$38:$O$953,$W230))</f>
        <v/>
      </c>
      <c r="F230" s="65" t="str">
        <f t="shared" ref="F230:F293" si="39">IF($C230="","",INDEX($P$38:$P$953,$W230))</f>
        <v/>
      </c>
      <c r="G230" s="68" t="str">
        <f t="shared" ref="G230:G293" si="40">IF($C230="","",INDEX($Q$38:$Q$953,$W230))</f>
        <v/>
      </c>
      <c r="H230" s="68" t="str">
        <f t="shared" ref="H230:H293" si="41">IF($C230="","",INDEX($R$38:$R$953,$W230))</f>
        <v/>
      </c>
      <c r="I230" s="68" t="str">
        <f t="shared" si="34"/>
        <v/>
      </c>
      <c r="M230" s="1">
        <v>193</v>
      </c>
      <c r="N230" s="1" t="str">
        <f>IF($T230=0,"",INDEX(TAHSILAT!$E$7:$E$2503,$T230))</f>
        <v/>
      </c>
      <c r="O230" s="1" t="str">
        <f>IF($N230="","",$C$36&amp;" – müşteriden tahsilat: "&amp;INDEX(TAHSILAT!$N$7:$N$2503,$T230)&amp;IF(INDEX(TAHSILAT!$J$7:$J$2503,$T230)="",""," – "&amp;INDEX(TAHSILAT!$J$7:$J$2503,$T230)))</f>
        <v/>
      </c>
      <c r="P230" s="1" t="str">
        <f t="shared" si="35"/>
        <v/>
      </c>
      <c r="Q230" s="1">
        <f>IF($N230="",0,INDEX(TAHSILAT!$F$7:$F$2503,$T230))</f>
        <v>0</v>
      </c>
      <c r="R230" s="1">
        <v>0</v>
      </c>
      <c r="S230" s="1">
        <f t="shared" ref="S230:S293" si="42">IF($N230="",10000000000,$N230*100000+$M230)</f>
        <v>10000000000</v>
      </c>
      <c r="T230" s="1">
        <f>IFERROR(MATCH($C$36&amp;"|157",TAHSILAT!$U$7:$U$2503,0),0)</f>
        <v>0</v>
      </c>
      <c r="V230" s="1">
        <f t="shared" ref="V230:V293" si="43">IFERROR(SMALL($S$38:$S$953,ROW()-37),"")</f>
        <v>10000000000</v>
      </c>
      <c r="W230" s="1">
        <f t="shared" ref="W230:W293" si="44">IFERROR(MATCH($V230,$S$38:$S$953,0),"")</f>
        <v>9</v>
      </c>
    </row>
    <row r="231" spans="2:23" ht="14.25" customHeight="1" x14ac:dyDescent="0.3">
      <c r="B231" s="65" t="str">
        <f t="shared" si="36"/>
        <v/>
      </c>
      <c r="C231" s="70" t="str">
        <f t="shared" si="37"/>
        <v/>
      </c>
      <c r="D231" s="74" t="str">
        <f t="shared" si="38"/>
        <v/>
      </c>
      <c r="F231" s="65" t="str">
        <f t="shared" si="39"/>
        <v/>
      </c>
      <c r="G231" s="68" t="str">
        <f t="shared" si="40"/>
        <v/>
      </c>
      <c r="H231" s="68" t="str">
        <f t="shared" si="41"/>
        <v/>
      </c>
      <c r="I231" s="68" t="str">
        <f t="shared" ref="I231:I294" si="45">IF($C231="","",N($I230)+$G231-$H231)</f>
        <v/>
      </c>
      <c r="M231" s="1">
        <v>194</v>
      </c>
      <c r="N231" s="1" t="str">
        <f>IF($T231=0,"",INDEX(TAHSILAT!$E$7:$E$2503,$T231))</f>
        <v/>
      </c>
      <c r="O231" s="1" t="str">
        <f>IF($N231="","",$C$36&amp;" – müşteriden tahsilat: "&amp;INDEX(TAHSILAT!$N$7:$N$2503,$T231)&amp;IF(INDEX(TAHSILAT!$J$7:$J$2503,$T231)="",""," – "&amp;INDEX(TAHSILAT!$J$7:$J$2503,$T231)))</f>
        <v/>
      </c>
      <c r="P231" s="1" t="str">
        <f t="shared" si="35"/>
        <v/>
      </c>
      <c r="Q231" s="1">
        <f>IF($N231="",0,INDEX(TAHSILAT!$F$7:$F$2503,$T231))</f>
        <v>0</v>
      </c>
      <c r="R231" s="1">
        <v>0</v>
      </c>
      <c r="S231" s="1">
        <f t="shared" si="42"/>
        <v>10000000000</v>
      </c>
      <c r="T231" s="1">
        <f>IFERROR(MATCH($C$36&amp;"|158",TAHSILAT!$U$7:$U$2503,0),0)</f>
        <v>0</v>
      </c>
      <c r="V231" s="1">
        <f t="shared" si="43"/>
        <v>10000000000</v>
      </c>
      <c r="W231" s="1">
        <f t="shared" si="44"/>
        <v>9</v>
      </c>
    </row>
    <row r="232" spans="2:23" ht="14.25" customHeight="1" x14ac:dyDescent="0.3">
      <c r="B232" s="65" t="str">
        <f t="shared" si="36"/>
        <v/>
      </c>
      <c r="C232" s="70" t="str">
        <f t="shared" si="37"/>
        <v/>
      </c>
      <c r="D232" s="74" t="str">
        <f t="shared" si="38"/>
        <v/>
      </c>
      <c r="F232" s="65" t="str">
        <f t="shared" si="39"/>
        <v/>
      </c>
      <c r="G232" s="68" t="str">
        <f t="shared" si="40"/>
        <v/>
      </c>
      <c r="H232" s="68" t="str">
        <f t="shared" si="41"/>
        <v/>
      </c>
      <c r="I232" s="68" t="str">
        <f t="shared" si="45"/>
        <v/>
      </c>
      <c r="M232" s="1">
        <v>195</v>
      </c>
      <c r="N232" s="1" t="str">
        <f>IF($T232=0,"",INDEX(TAHSILAT!$E$7:$E$2503,$T232))</f>
        <v/>
      </c>
      <c r="O232" s="1" t="str">
        <f>IF($N232="","",$C$36&amp;" – müşteriden tahsilat: "&amp;INDEX(TAHSILAT!$N$7:$N$2503,$T232)&amp;IF(INDEX(TAHSILAT!$J$7:$J$2503,$T232)="",""," – "&amp;INDEX(TAHSILAT!$J$7:$J$2503,$T232)))</f>
        <v/>
      </c>
      <c r="P232" s="1" t="str">
        <f t="shared" si="35"/>
        <v/>
      </c>
      <c r="Q232" s="1">
        <f>IF($N232="",0,INDEX(TAHSILAT!$F$7:$F$2503,$T232))</f>
        <v>0</v>
      </c>
      <c r="R232" s="1">
        <v>0</v>
      </c>
      <c r="S232" s="1">
        <f t="shared" si="42"/>
        <v>10000000000</v>
      </c>
      <c r="T232" s="1">
        <f>IFERROR(MATCH($C$36&amp;"|159",TAHSILAT!$U$7:$U$2503,0),0)</f>
        <v>0</v>
      </c>
      <c r="V232" s="1">
        <f t="shared" si="43"/>
        <v>10000000000</v>
      </c>
      <c r="W232" s="1">
        <f t="shared" si="44"/>
        <v>9</v>
      </c>
    </row>
    <row r="233" spans="2:23" ht="14.25" customHeight="1" x14ac:dyDescent="0.3">
      <c r="B233" s="65" t="str">
        <f t="shared" si="36"/>
        <v/>
      </c>
      <c r="C233" s="70" t="str">
        <f t="shared" si="37"/>
        <v/>
      </c>
      <c r="D233" s="74" t="str">
        <f t="shared" si="38"/>
        <v/>
      </c>
      <c r="F233" s="65" t="str">
        <f t="shared" si="39"/>
        <v/>
      </c>
      <c r="G233" s="68" t="str">
        <f t="shared" si="40"/>
        <v/>
      </c>
      <c r="H233" s="68" t="str">
        <f t="shared" si="41"/>
        <v/>
      </c>
      <c r="I233" s="68" t="str">
        <f t="shared" si="45"/>
        <v/>
      </c>
      <c r="M233" s="1">
        <v>196</v>
      </c>
      <c r="N233" s="1" t="str">
        <f>IF($T233=0,"",INDEX(TAHSILAT!$E$7:$E$2503,$T233))</f>
        <v/>
      </c>
      <c r="O233" s="1" t="str">
        <f>IF($N233="","",$C$36&amp;" – müşteriden tahsilat: "&amp;INDEX(TAHSILAT!$N$7:$N$2503,$T233)&amp;IF(INDEX(TAHSILAT!$J$7:$J$2503,$T233)="",""," – "&amp;INDEX(TAHSILAT!$J$7:$J$2503,$T233)))</f>
        <v/>
      </c>
      <c r="P233" s="1" t="str">
        <f t="shared" si="35"/>
        <v/>
      </c>
      <c r="Q233" s="1">
        <f>IF($N233="",0,INDEX(TAHSILAT!$F$7:$F$2503,$T233))</f>
        <v>0</v>
      </c>
      <c r="R233" s="1">
        <v>0</v>
      </c>
      <c r="S233" s="1">
        <f t="shared" si="42"/>
        <v>10000000000</v>
      </c>
      <c r="T233" s="1">
        <f>IFERROR(MATCH($C$36&amp;"|160",TAHSILAT!$U$7:$U$2503,0),0)</f>
        <v>0</v>
      </c>
      <c r="V233" s="1">
        <f t="shared" si="43"/>
        <v>10000000000</v>
      </c>
      <c r="W233" s="1">
        <f t="shared" si="44"/>
        <v>9</v>
      </c>
    </row>
    <row r="234" spans="2:23" ht="14.25" customHeight="1" x14ac:dyDescent="0.3">
      <c r="B234" s="65" t="str">
        <f t="shared" si="36"/>
        <v/>
      </c>
      <c r="C234" s="70" t="str">
        <f t="shared" si="37"/>
        <v/>
      </c>
      <c r="D234" s="74" t="str">
        <f t="shared" si="38"/>
        <v/>
      </c>
      <c r="F234" s="65" t="str">
        <f t="shared" si="39"/>
        <v/>
      </c>
      <c r="G234" s="68" t="str">
        <f t="shared" si="40"/>
        <v/>
      </c>
      <c r="H234" s="68" t="str">
        <f t="shared" si="41"/>
        <v/>
      </c>
      <c r="I234" s="68" t="str">
        <f t="shared" si="45"/>
        <v/>
      </c>
      <c r="M234" s="1">
        <v>197</v>
      </c>
      <c r="N234" s="1" t="str">
        <f>IF($T234=0,"",INDEX(TAHSILAT!$E$7:$E$2503,$T234))</f>
        <v/>
      </c>
      <c r="O234" s="1" t="str">
        <f>IF($N234="","",$C$36&amp;" – müşteriden tahsilat: "&amp;INDEX(TAHSILAT!$N$7:$N$2503,$T234)&amp;IF(INDEX(TAHSILAT!$J$7:$J$2503,$T234)="",""," – "&amp;INDEX(TAHSILAT!$J$7:$J$2503,$T234)))</f>
        <v/>
      </c>
      <c r="P234" s="1" t="str">
        <f t="shared" si="35"/>
        <v/>
      </c>
      <c r="Q234" s="1">
        <f>IF($N234="",0,INDEX(TAHSILAT!$F$7:$F$2503,$T234))</f>
        <v>0</v>
      </c>
      <c r="R234" s="1">
        <v>0</v>
      </c>
      <c r="S234" s="1">
        <f t="shared" si="42"/>
        <v>10000000000</v>
      </c>
      <c r="T234" s="1">
        <f>IFERROR(MATCH($C$36&amp;"|161",TAHSILAT!$U$7:$U$2503,0),0)</f>
        <v>0</v>
      </c>
      <c r="V234" s="1">
        <f t="shared" si="43"/>
        <v>10000000000</v>
      </c>
      <c r="W234" s="1">
        <f t="shared" si="44"/>
        <v>9</v>
      </c>
    </row>
    <row r="235" spans="2:23" ht="14.25" customHeight="1" x14ac:dyDescent="0.3">
      <c r="B235" s="65" t="str">
        <f t="shared" si="36"/>
        <v/>
      </c>
      <c r="C235" s="70" t="str">
        <f t="shared" si="37"/>
        <v/>
      </c>
      <c r="D235" s="74" t="str">
        <f t="shared" si="38"/>
        <v/>
      </c>
      <c r="F235" s="65" t="str">
        <f t="shared" si="39"/>
        <v/>
      </c>
      <c r="G235" s="68" t="str">
        <f t="shared" si="40"/>
        <v/>
      </c>
      <c r="H235" s="68" t="str">
        <f t="shared" si="41"/>
        <v/>
      </c>
      <c r="I235" s="68" t="str">
        <f t="shared" si="45"/>
        <v/>
      </c>
      <c r="M235" s="1">
        <v>198</v>
      </c>
      <c r="N235" s="1" t="str">
        <f>IF($T235=0,"",INDEX(TAHSILAT!$E$7:$E$2503,$T235))</f>
        <v/>
      </c>
      <c r="O235" s="1" t="str">
        <f>IF($N235="","",$C$36&amp;" – müşteriden tahsilat: "&amp;INDEX(TAHSILAT!$N$7:$N$2503,$T235)&amp;IF(INDEX(TAHSILAT!$J$7:$J$2503,$T235)="",""," – "&amp;INDEX(TAHSILAT!$J$7:$J$2503,$T235)))</f>
        <v/>
      </c>
      <c r="P235" s="1" t="str">
        <f t="shared" si="35"/>
        <v/>
      </c>
      <c r="Q235" s="1">
        <f>IF($N235="",0,INDEX(TAHSILAT!$F$7:$F$2503,$T235))</f>
        <v>0</v>
      </c>
      <c r="R235" s="1">
        <v>0</v>
      </c>
      <c r="S235" s="1">
        <f t="shared" si="42"/>
        <v>10000000000</v>
      </c>
      <c r="T235" s="1">
        <f>IFERROR(MATCH($C$36&amp;"|162",TAHSILAT!$U$7:$U$2503,0),0)</f>
        <v>0</v>
      </c>
      <c r="V235" s="1">
        <f t="shared" si="43"/>
        <v>10000000000</v>
      </c>
      <c r="W235" s="1">
        <f t="shared" si="44"/>
        <v>9</v>
      </c>
    </row>
    <row r="236" spans="2:23" ht="14.25" customHeight="1" x14ac:dyDescent="0.3">
      <c r="B236" s="65" t="str">
        <f t="shared" si="36"/>
        <v/>
      </c>
      <c r="C236" s="70" t="str">
        <f t="shared" si="37"/>
        <v/>
      </c>
      <c r="D236" s="74" t="str">
        <f t="shared" si="38"/>
        <v/>
      </c>
      <c r="F236" s="65" t="str">
        <f t="shared" si="39"/>
        <v/>
      </c>
      <c r="G236" s="68" t="str">
        <f t="shared" si="40"/>
        <v/>
      </c>
      <c r="H236" s="68" t="str">
        <f t="shared" si="41"/>
        <v/>
      </c>
      <c r="I236" s="68" t="str">
        <f t="shared" si="45"/>
        <v/>
      </c>
      <c r="M236" s="1">
        <v>199</v>
      </c>
      <c r="N236" s="1" t="str">
        <f>IF($T236=0,"",INDEX(TAHSILAT!$E$7:$E$2503,$T236))</f>
        <v/>
      </c>
      <c r="O236" s="1" t="str">
        <f>IF($N236="","",$C$36&amp;" – müşteriden tahsilat: "&amp;INDEX(TAHSILAT!$N$7:$N$2503,$T236)&amp;IF(INDEX(TAHSILAT!$J$7:$J$2503,$T236)="",""," – "&amp;INDEX(TAHSILAT!$J$7:$J$2503,$T236)))</f>
        <v/>
      </c>
      <c r="P236" s="1" t="str">
        <f t="shared" si="35"/>
        <v/>
      </c>
      <c r="Q236" s="1">
        <f>IF($N236="",0,INDEX(TAHSILAT!$F$7:$F$2503,$T236))</f>
        <v>0</v>
      </c>
      <c r="R236" s="1">
        <v>0</v>
      </c>
      <c r="S236" s="1">
        <f t="shared" si="42"/>
        <v>10000000000</v>
      </c>
      <c r="T236" s="1">
        <f>IFERROR(MATCH($C$36&amp;"|163",TAHSILAT!$U$7:$U$2503,0),0)</f>
        <v>0</v>
      </c>
      <c r="V236" s="1">
        <f t="shared" si="43"/>
        <v>10000000000</v>
      </c>
      <c r="W236" s="1">
        <f t="shared" si="44"/>
        <v>9</v>
      </c>
    </row>
    <row r="237" spans="2:23" ht="14.25" customHeight="1" x14ac:dyDescent="0.3">
      <c r="B237" s="65" t="str">
        <f t="shared" si="36"/>
        <v/>
      </c>
      <c r="C237" s="70" t="str">
        <f t="shared" si="37"/>
        <v/>
      </c>
      <c r="D237" s="74" t="str">
        <f t="shared" si="38"/>
        <v/>
      </c>
      <c r="F237" s="65" t="str">
        <f t="shared" si="39"/>
        <v/>
      </c>
      <c r="G237" s="68" t="str">
        <f t="shared" si="40"/>
        <v/>
      </c>
      <c r="H237" s="68" t="str">
        <f t="shared" si="41"/>
        <v/>
      </c>
      <c r="I237" s="68" t="str">
        <f t="shared" si="45"/>
        <v/>
      </c>
      <c r="M237" s="1">
        <v>200</v>
      </c>
      <c r="N237" s="1" t="str">
        <f>IF($T237=0,"",INDEX(TAHSILAT!$E$7:$E$2503,$T237))</f>
        <v/>
      </c>
      <c r="O237" s="1" t="str">
        <f>IF($N237="","",$C$36&amp;" – müşteriden tahsilat: "&amp;INDEX(TAHSILAT!$N$7:$N$2503,$T237)&amp;IF(INDEX(TAHSILAT!$J$7:$J$2503,$T237)="",""," – "&amp;INDEX(TAHSILAT!$J$7:$J$2503,$T237)))</f>
        <v/>
      </c>
      <c r="P237" s="1" t="str">
        <f t="shared" si="35"/>
        <v/>
      </c>
      <c r="Q237" s="1">
        <f>IF($N237="",0,INDEX(TAHSILAT!$F$7:$F$2503,$T237))</f>
        <v>0</v>
      </c>
      <c r="R237" s="1">
        <v>0</v>
      </c>
      <c r="S237" s="1">
        <f t="shared" si="42"/>
        <v>10000000000</v>
      </c>
      <c r="T237" s="1">
        <f>IFERROR(MATCH($C$36&amp;"|164",TAHSILAT!$U$7:$U$2503,0),0)</f>
        <v>0</v>
      </c>
      <c r="V237" s="1">
        <f t="shared" si="43"/>
        <v>10000000000</v>
      </c>
      <c r="W237" s="1">
        <f t="shared" si="44"/>
        <v>9</v>
      </c>
    </row>
    <row r="238" spans="2:23" ht="14.25" customHeight="1" x14ac:dyDescent="0.3">
      <c r="B238" s="65" t="str">
        <f t="shared" si="36"/>
        <v/>
      </c>
      <c r="C238" s="70" t="str">
        <f t="shared" si="37"/>
        <v/>
      </c>
      <c r="D238" s="74" t="str">
        <f t="shared" si="38"/>
        <v/>
      </c>
      <c r="F238" s="65" t="str">
        <f t="shared" si="39"/>
        <v/>
      </c>
      <c r="G238" s="68" t="str">
        <f t="shared" si="40"/>
        <v/>
      </c>
      <c r="H238" s="68" t="str">
        <f t="shared" si="41"/>
        <v/>
      </c>
      <c r="I238" s="68" t="str">
        <f t="shared" si="45"/>
        <v/>
      </c>
      <c r="M238" s="1">
        <v>201</v>
      </c>
      <c r="N238" s="1" t="str">
        <f>IF($T238=0,"",INDEX(TAHSILAT!$E$7:$E$2503,$T238))</f>
        <v/>
      </c>
      <c r="O238" s="1" t="str">
        <f>IF($N238="","",$C$36&amp;" – müşteriden tahsilat: "&amp;INDEX(TAHSILAT!$N$7:$N$2503,$T238)&amp;IF(INDEX(TAHSILAT!$J$7:$J$2503,$T238)="",""," – "&amp;INDEX(TAHSILAT!$J$7:$J$2503,$T238)))</f>
        <v/>
      </c>
      <c r="P238" s="1" t="str">
        <f t="shared" si="35"/>
        <v/>
      </c>
      <c r="Q238" s="1">
        <f>IF($N238="",0,INDEX(TAHSILAT!$F$7:$F$2503,$T238))</f>
        <v>0</v>
      </c>
      <c r="R238" s="1">
        <v>0</v>
      </c>
      <c r="S238" s="1">
        <f t="shared" si="42"/>
        <v>10000000000</v>
      </c>
      <c r="T238" s="1">
        <f>IFERROR(MATCH($C$36&amp;"|165",TAHSILAT!$U$7:$U$2503,0),0)</f>
        <v>0</v>
      </c>
      <c r="V238" s="1">
        <f t="shared" si="43"/>
        <v>10000000000</v>
      </c>
      <c r="W238" s="1">
        <f t="shared" si="44"/>
        <v>9</v>
      </c>
    </row>
    <row r="239" spans="2:23" ht="14.25" customHeight="1" x14ac:dyDescent="0.3">
      <c r="B239" s="65" t="str">
        <f t="shared" si="36"/>
        <v/>
      </c>
      <c r="C239" s="70" t="str">
        <f t="shared" si="37"/>
        <v/>
      </c>
      <c r="D239" s="74" t="str">
        <f t="shared" si="38"/>
        <v/>
      </c>
      <c r="F239" s="65" t="str">
        <f t="shared" si="39"/>
        <v/>
      </c>
      <c r="G239" s="68" t="str">
        <f t="shared" si="40"/>
        <v/>
      </c>
      <c r="H239" s="68" t="str">
        <f t="shared" si="41"/>
        <v/>
      </c>
      <c r="I239" s="68" t="str">
        <f t="shared" si="45"/>
        <v/>
      </c>
      <c r="M239" s="1">
        <v>202</v>
      </c>
      <c r="N239" s="1" t="str">
        <f>IF($T239=0,"",INDEX(TAHSILAT!$E$7:$E$2503,$T239))</f>
        <v/>
      </c>
      <c r="O239" s="1" t="str">
        <f>IF($N239="","",$C$36&amp;" – müşteriden tahsilat: "&amp;INDEX(TAHSILAT!$N$7:$N$2503,$T239)&amp;IF(INDEX(TAHSILAT!$J$7:$J$2503,$T239)="",""," – "&amp;INDEX(TAHSILAT!$J$7:$J$2503,$T239)))</f>
        <v/>
      </c>
      <c r="P239" s="1" t="str">
        <f t="shared" si="35"/>
        <v/>
      </c>
      <c r="Q239" s="1">
        <f>IF($N239="",0,INDEX(TAHSILAT!$F$7:$F$2503,$T239))</f>
        <v>0</v>
      </c>
      <c r="R239" s="1">
        <v>0</v>
      </c>
      <c r="S239" s="1">
        <f t="shared" si="42"/>
        <v>10000000000</v>
      </c>
      <c r="T239" s="1">
        <f>IFERROR(MATCH($C$36&amp;"|166",TAHSILAT!$U$7:$U$2503,0),0)</f>
        <v>0</v>
      </c>
      <c r="V239" s="1">
        <f t="shared" si="43"/>
        <v>10000000000</v>
      </c>
      <c r="W239" s="1">
        <f t="shared" si="44"/>
        <v>9</v>
      </c>
    </row>
    <row r="240" spans="2:23" ht="14.25" customHeight="1" x14ac:dyDescent="0.3">
      <c r="B240" s="65" t="str">
        <f t="shared" si="36"/>
        <v/>
      </c>
      <c r="C240" s="70" t="str">
        <f t="shared" si="37"/>
        <v/>
      </c>
      <c r="D240" s="74" t="str">
        <f t="shared" si="38"/>
        <v/>
      </c>
      <c r="F240" s="65" t="str">
        <f t="shared" si="39"/>
        <v/>
      </c>
      <c r="G240" s="68" t="str">
        <f t="shared" si="40"/>
        <v/>
      </c>
      <c r="H240" s="68" t="str">
        <f t="shared" si="41"/>
        <v/>
      </c>
      <c r="I240" s="68" t="str">
        <f t="shared" si="45"/>
        <v/>
      </c>
      <c r="M240" s="1">
        <v>203</v>
      </c>
      <c r="N240" s="1" t="str">
        <f>IF($T240=0,"",INDEX(TAHSILAT!$E$7:$E$2503,$T240))</f>
        <v/>
      </c>
      <c r="O240" s="1" t="str">
        <f>IF($N240="","",$C$36&amp;" – müşteriden tahsilat: "&amp;INDEX(TAHSILAT!$N$7:$N$2503,$T240)&amp;IF(INDEX(TAHSILAT!$J$7:$J$2503,$T240)="",""," – "&amp;INDEX(TAHSILAT!$J$7:$J$2503,$T240)))</f>
        <v/>
      </c>
      <c r="P240" s="1" t="str">
        <f t="shared" si="35"/>
        <v/>
      </c>
      <c r="Q240" s="1">
        <f>IF($N240="",0,INDEX(TAHSILAT!$F$7:$F$2503,$T240))</f>
        <v>0</v>
      </c>
      <c r="R240" s="1">
        <v>0</v>
      </c>
      <c r="S240" s="1">
        <f t="shared" si="42"/>
        <v>10000000000</v>
      </c>
      <c r="T240" s="1">
        <f>IFERROR(MATCH($C$36&amp;"|167",TAHSILAT!$U$7:$U$2503,0),0)</f>
        <v>0</v>
      </c>
      <c r="V240" s="1">
        <f t="shared" si="43"/>
        <v>10000000000</v>
      </c>
      <c r="W240" s="1">
        <f t="shared" si="44"/>
        <v>9</v>
      </c>
    </row>
    <row r="241" spans="2:23" ht="14.25" customHeight="1" x14ac:dyDescent="0.3">
      <c r="B241" s="65" t="str">
        <f t="shared" si="36"/>
        <v/>
      </c>
      <c r="C241" s="70" t="str">
        <f t="shared" si="37"/>
        <v/>
      </c>
      <c r="D241" s="74" t="str">
        <f t="shared" si="38"/>
        <v/>
      </c>
      <c r="F241" s="65" t="str">
        <f t="shared" si="39"/>
        <v/>
      </c>
      <c r="G241" s="68" t="str">
        <f t="shared" si="40"/>
        <v/>
      </c>
      <c r="H241" s="68" t="str">
        <f t="shared" si="41"/>
        <v/>
      </c>
      <c r="I241" s="68" t="str">
        <f t="shared" si="45"/>
        <v/>
      </c>
      <c r="M241" s="1">
        <v>204</v>
      </c>
      <c r="N241" s="1" t="str">
        <f>IF($T241=0,"",INDEX(TAHSILAT!$E$7:$E$2503,$T241))</f>
        <v/>
      </c>
      <c r="O241" s="1" t="str">
        <f>IF($N241="","",$C$36&amp;" – müşteriden tahsilat: "&amp;INDEX(TAHSILAT!$N$7:$N$2503,$T241)&amp;IF(INDEX(TAHSILAT!$J$7:$J$2503,$T241)="",""," – "&amp;INDEX(TAHSILAT!$J$7:$J$2503,$T241)))</f>
        <v/>
      </c>
      <c r="P241" s="1" t="str">
        <f t="shared" si="35"/>
        <v/>
      </c>
      <c r="Q241" s="1">
        <f>IF($N241="",0,INDEX(TAHSILAT!$F$7:$F$2503,$T241))</f>
        <v>0</v>
      </c>
      <c r="R241" s="1">
        <v>0</v>
      </c>
      <c r="S241" s="1">
        <f t="shared" si="42"/>
        <v>10000000000</v>
      </c>
      <c r="T241" s="1">
        <f>IFERROR(MATCH($C$36&amp;"|168",TAHSILAT!$U$7:$U$2503,0),0)</f>
        <v>0</v>
      </c>
      <c r="V241" s="1">
        <f t="shared" si="43"/>
        <v>10000000000</v>
      </c>
      <c r="W241" s="1">
        <f t="shared" si="44"/>
        <v>9</v>
      </c>
    </row>
    <row r="242" spans="2:23" ht="14.25" customHeight="1" x14ac:dyDescent="0.3">
      <c r="B242" s="65" t="str">
        <f t="shared" si="36"/>
        <v/>
      </c>
      <c r="C242" s="70" t="str">
        <f t="shared" si="37"/>
        <v/>
      </c>
      <c r="D242" s="74" t="str">
        <f t="shared" si="38"/>
        <v/>
      </c>
      <c r="F242" s="65" t="str">
        <f t="shared" si="39"/>
        <v/>
      </c>
      <c r="G242" s="68" t="str">
        <f t="shared" si="40"/>
        <v/>
      </c>
      <c r="H242" s="68" t="str">
        <f t="shared" si="41"/>
        <v/>
      </c>
      <c r="I242" s="68" t="str">
        <f t="shared" si="45"/>
        <v/>
      </c>
      <c r="M242" s="1">
        <v>205</v>
      </c>
      <c r="N242" s="1" t="str">
        <f>IF($T242=0,"",INDEX(TAHSILAT!$E$7:$E$2503,$T242))</f>
        <v/>
      </c>
      <c r="O242" s="1" t="str">
        <f>IF($N242="","",$C$36&amp;" – müşteriden tahsilat: "&amp;INDEX(TAHSILAT!$N$7:$N$2503,$T242)&amp;IF(INDEX(TAHSILAT!$J$7:$J$2503,$T242)="",""," – "&amp;INDEX(TAHSILAT!$J$7:$J$2503,$T242)))</f>
        <v/>
      </c>
      <c r="P242" s="1" t="str">
        <f t="shared" si="35"/>
        <v/>
      </c>
      <c r="Q242" s="1">
        <f>IF($N242="",0,INDEX(TAHSILAT!$F$7:$F$2503,$T242))</f>
        <v>0</v>
      </c>
      <c r="R242" s="1">
        <v>0</v>
      </c>
      <c r="S242" s="1">
        <f t="shared" si="42"/>
        <v>10000000000</v>
      </c>
      <c r="T242" s="1">
        <f>IFERROR(MATCH($C$36&amp;"|169",TAHSILAT!$U$7:$U$2503,0),0)</f>
        <v>0</v>
      </c>
      <c r="V242" s="1">
        <f t="shared" si="43"/>
        <v>10000000000</v>
      </c>
      <c r="W242" s="1">
        <f t="shared" si="44"/>
        <v>9</v>
      </c>
    </row>
    <row r="243" spans="2:23" ht="14.25" customHeight="1" x14ac:dyDescent="0.3">
      <c r="B243" s="65" t="str">
        <f t="shared" si="36"/>
        <v/>
      </c>
      <c r="C243" s="70" t="str">
        <f t="shared" si="37"/>
        <v/>
      </c>
      <c r="D243" s="74" t="str">
        <f t="shared" si="38"/>
        <v/>
      </c>
      <c r="F243" s="65" t="str">
        <f t="shared" si="39"/>
        <v/>
      </c>
      <c r="G243" s="68" t="str">
        <f t="shared" si="40"/>
        <v/>
      </c>
      <c r="H243" s="68" t="str">
        <f t="shared" si="41"/>
        <v/>
      </c>
      <c r="I243" s="68" t="str">
        <f t="shared" si="45"/>
        <v/>
      </c>
      <c r="M243" s="1">
        <v>206</v>
      </c>
      <c r="N243" s="1" t="str">
        <f>IF($T243=0,"",INDEX(TAHSILAT!$E$7:$E$2503,$T243))</f>
        <v/>
      </c>
      <c r="O243" s="1" t="str">
        <f>IF($N243="","",$C$36&amp;" – müşteriden tahsilat: "&amp;INDEX(TAHSILAT!$N$7:$N$2503,$T243)&amp;IF(INDEX(TAHSILAT!$J$7:$J$2503,$T243)="",""," – "&amp;INDEX(TAHSILAT!$J$7:$J$2503,$T243)))</f>
        <v/>
      </c>
      <c r="P243" s="1" t="str">
        <f t="shared" si="35"/>
        <v/>
      </c>
      <c r="Q243" s="1">
        <f>IF($N243="",0,INDEX(TAHSILAT!$F$7:$F$2503,$T243))</f>
        <v>0</v>
      </c>
      <c r="R243" s="1">
        <v>0</v>
      </c>
      <c r="S243" s="1">
        <f t="shared" si="42"/>
        <v>10000000000</v>
      </c>
      <c r="T243" s="1">
        <f>IFERROR(MATCH($C$36&amp;"|170",TAHSILAT!$U$7:$U$2503,0),0)</f>
        <v>0</v>
      </c>
      <c r="V243" s="1">
        <f t="shared" si="43"/>
        <v>10000000000</v>
      </c>
      <c r="W243" s="1">
        <f t="shared" si="44"/>
        <v>9</v>
      </c>
    </row>
    <row r="244" spans="2:23" ht="14.25" customHeight="1" x14ac:dyDescent="0.3">
      <c r="B244" s="65" t="str">
        <f t="shared" si="36"/>
        <v/>
      </c>
      <c r="C244" s="70" t="str">
        <f t="shared" si="37"/>
        <v/>
      </c>
      <c r="D244" s="74" t="str">
        <f t="shared" si="38"/>
        <v/>
      </c>
      <c r="F244" s="65" t="str">
        <f t="shared" si="39"/>
        <v/>
      </c>
      <c r="G244" s="68" t="str">
        <f t="shared" si="40"/>
        <v/>
      </c>
      <c r="H244" s="68" t="str">
        <f t="shared" si="41"/>
        <v/>
      </c>
      <c r="I244" s="68" t="str">
        <f t="shared" si="45"/>
        <v/>
      </c>
      <c r="M244" s="1">
        <v>207</v>
      </c>
      <c r="N244" s="1" t="str">
        <f>IF($T244=0,"",INDEX(TAHSILAT!$E$7:$E$2503,$T244))</f>
        <v/>
      </c>
      <c r="O244" s="1" t="str">
        <f>IF($N244="","",$C$36&amp;" – müşteriden tahsilat: "&amp;INDEX(TAHSILAT!$N$7:$N$2503,$T244)&amp;IF(INDEX(TAHSILAT!$J$7:$J$2503,$T244)="",""," – "&amp;INDEX(TAHSILAT!$J$7:$J$2503,$T244)))</f>
        <v/>
      </c>
      <c r="P244" s="1" t="str">
        <f t="shared" si="35"/>
        <v/>
      </c>
      <c r="Q244" s="1">
        <f>IF($N244="",0,INDEX(TAHSILAT!$F$7:$F$2503,$T244))</f>
        <v>0</v>
      </c>
      <c r="R244" s="1">
        <v>0</v>
      </c>
      <c r="S244" s="1">
        <f t="shared" si="42"/>
        <v>10000000000</v>
      </c>
      <c r="T244" s="1">
        <f>IFERROR(MATCH($C$36&amp;"|171",TAHSILAT!$U$7:$U$2503,0),0)</f>
        <v>0</v>
      </c>
      <c r="V244" s="1">
        <f t="shared" si="43"/>
        <v>10000000000</v>
      </c>
      <c r="W244" s="1">
        <f t="shared" si="44"/>
        <v>9</v>
      </c>
    </row>
    <row r="245" spans="2:23" ht="14.25" customHeight="1" x14ac:dyDescent="0.3">
      <c r="B245" s="65" t="str">
        <f t="shared" si="36"/>
        <v/>
      </c>
      <c r="C245" s="70" t="str">
        <f t="shared" si="37"/>
        <v/>
      </c>
      <c r="D245" s="74" t="str">
        <f t="shared" si="38"/>
        <v/>
      </c>
      <c r="F245" s="65" t="str">
        <f t="shared" si="39"/>
        <v/>
      </c>
      <c r="G245" s="68" t="str">
        <f t="shared" si="40"/>
        <v/>
      </c>
      <c r="H245" s="68" t="str">
        <f t="shared" si="41"/>
        <v/>
      </c>
      <c r="I245" s="68" t="str">
        <f t="shared" si="45"/>
        <v/>
      </c>
      <c r="M245" s="1">
        <v>208</v>
      </c>
      <c r="N245" s="1" t="str">
        <f>IF($T245=0,"",INDEX(TAHSILAT!$E$7:$E$2503,$T245))</f>
        <v/>
      </c>
      <c r="O245" s="1" t="str">
        <f>IF($N245="","",$C$36&amp;" – müşteriden tahsilat: "&amp;INDEX(TAHSILAT!$N$7:$N$2503,$T245)&amp;IF(INDEX(TAHSILAT!$J$7:$J$2503,$T245)="",""," – "&amp;INDEX(TAHSILAT!$J$7:$J$2503,$T245)))</f>
        <v/>
      </c>
      <c r="P245" s="1" t="str">
        <f t="shared" si="35"/>
        <v/>
      </c>
      <c r="Q245" s="1">
        <f>IF($N245="",0,INDEX(TAHSILAT!$F$7:$F$2503,$T245))</f>
        <v>0</v>
      </c>
      <c r="R245" s="1">
        <v>0</v>
      </c>
      <c r="S245" s="1">
        <f t="shared" si="42"/>
        <v>10000000000</v>
      </c>
      <c r="T245" s="1">
        <f>IFERROR(MATCH($C$36&amp;"|172",TAHSILAT!$U$7:$U$2503,0),0)</f>
        <v>0</v>
      </c>
      <c r="V245" s="1">
        <f t="shared" si="43"/>
        <v>10000000000</v>
      </c>
      <c r="W245" s="1">
        <f t="shared" si="44"/>
        <v>9</v>
      </c>
    </row>
    <row r="246" spans="2:23" ht="14.25" customHeight="1" x14ac:dyDescent="0.3">
      <c r="B246" s="65" t="str">
        <f t="shared" si="36"/>
        <v/>
      </c>
      <c r="C246" s="70" t="str">
        <f t="shared" si="37"/>
        <v/>
      </c>
      <c r="D246" s="74" t="str">
        <f t="shared" si="38"/>
        <v/>
      </c>
      <c r="F246" s="65" t="str">
        <f t="shared" si="39"/>
        <v/>
      </c>
      <c r="G246" s="68" t="str">
        <f t="shared" si="40"/>
        <v/>
      </c>
      <c r="H246" s="68" t="str">
        <f t="shared" si="41"/>
        <v/>
      </c>
      <c r="I246" s="68" t="str">
        <f t="shared" si="45"/>
        <v/>
      </c>
      <c r="M246" s="1">
        <v>209</v>
      </c>
      <c r="N246" s="1" t="str">
        <f>IF($T246=0,"",INDEX(TAHSILAT!$E$7:$E$2503,$T246))</f>
        <v/>
      </c>
      <c r="O246" s="1" t="str">
        <f>IF($N246="","",$C$36&amp;" – müşteriden tahsilat: "&amp;INDEX(TAHSILAT!$N$7:$N$2503,$T246)&amp;IF(INDEX(TAHSILAT!$J$7:$J$2503,$T246)="",""," – "&amp;INDEX(TAHSILAT!$J$7:$J$2503,$T246)))</f>
        <v/>
      </c>
      <c r="P246" s="1" t="str">
        <f t="shared" si="35"/>
        <v/>
      </c>
      <c r="Q246" s="1">
        <f>IF($N246="",0,INDEX(TAHSILAT!$F$7:$F$2503,$T246))</f>
        <v>0</v>
      </c>
      <c r="R246" s="1">
        <v>0</v>
      </c>
      <c r="S246" s="1">
        <f t="shared" si="42"/>
        <v>10000000000</v>
      </c>
      <c r="T246" s="1">
        <f>IFERROR(MATCH($C$36&amp;"|173",TAHSILAT!$U$7:$U$2503,0),0)</f>
        <v>0</v>
      </c>
      <c r="V246" s="1">
        <f t="shared" si="43"/>
        <v>10000000000</v>
      </c>
      <c r="W246" s="1">
        <f t="shared" si="44"/>
        <v>9</v>
      </c>
    </row>
    <row r="247" spans="2:23" ht="14.25" customHeight="1" x14ac:dyDescent="0.3">
      <c r="B247" s="65" t="str">
        <f t="shared" si="36"/>
        <v/>
      </c>
      <c r="C247" s="70" t="str">
        <f t="shared" si="37"/>
        <v/>
      </c>
      <c r="D247" s="74" t="str">
        <f t="shared" si="38"/>
        <v/>
      </c>
      <c r="F247" s="65" t="str">
        <f t="shared" si="39"/>
        <v/>
      </c>
      <c r="G247" s="68" t="str">
        <f t="shared" si="40"/>
        <v/>
      </c>
      <c r="H247" s="68" t="str">
        <f t="shared" si="41"/>
        <v/>
      </c>
      <c r="I247" s="68" t="str">
        <f t="shared" si="45"/>
        <v/>
      </c>
      <c r="M247" s="1">
        <v>210</v>
      </c>
      <c r="N247" s="1" t="str">
        <f>IF($T247=0,"",INDEX(TAHSILAT!$E$7:$E$2503,$T247))</f>
        <v/>
      </c>
      <c r="O247" s="1" t="str">
        <f>IF($N247="","",$C$36&amp;" – müşteriden tahsilat: "&amp;INDEX(TAHSILAT!$N$7:$N$2503,$T247)&amp;IF(INDEX(TAHSILAT!$J$7:$J$2503,$T247)="",""," – "&amp;INDEX(TAHSILAT!$J$7:$J$2503,$T247)))</f>
        <v/>
      </c>
      <c r="P247" s="1" t="str">
        <f t="shared" si="35"/>
        <v/>
      </c>
      <c r="Q247" s="1">
        <f>IF($N247="",0,INDEX(TAHSILAT!$F$7:$F$2503,$T247))</f>
        <v>0</v>
      </c>
      <c r="R247" s="1">
        <v>0</v>
      </c>
      <c r="S247" s="1">
        <f t="shared" si="42"/>
        <v>10000000000</v>
      </c>
      <c r="T247" s="1">
        <f>IFERROR(MATCH($C$36&amp;"|174",TAHSILAT!$U$7:$U$2503,0),0)</f>
        <v>0</v>
      </c>
      <c r="V247" s="1">
        <f t="shared" si="43"/>
        <v>10000000000</v>
      </c>
      <c r="W247" s="1">
        <f t="shared" si="44"/>
        <v>9</v>
      </c>
    </row>
    <row r="248" spans="2:23" ht="14.25" customHeight="1" x14ac:dyDescent="0.3">
      <c r="B248" s="65" t="str">
        <f t="shared" si="36"/>
        <v/>
      </c>
      <c r="C248" s="70" t="str">
        <f t="shared" si="37"/>
        <v/>
      </c>
      <c r="D248" s="74" t="str">
        <f t="shared" si="38"/>
        <v/>
      </c>
      <c r="F248" s="65" t="str">
        <f t="shared" si="39"/>
        <v/>
      </c>
      <c r="G248" s="68" t="str">
        <f t="shared" si="40"/>
        <v/>
      </c>
      <c r="H248" s="68" t="str">
        <f t="shared" si="41"/>
        <v/>
      </c>
      <c r="I248" s="68" t="str">
        <f t="shared" si="45"/>
        <v/>
      </c>
      <c r="M248" s="1">
        <v>211</v>
      </c>
      <c r="N248" s="1" t="str">
        <f>IF($T248=0,"",INDEX(TAHSILAT!$E$7:$E$2503,$T248))</f>
        <v/>
      </c>
      <c r="O248" s="1" t="str">
        <f>IF($N248="","",$C$36&amp;" – müşteriden tahsilat: "&amp;INDEX(TAHSILAT!$N$7:$N$2503,$T248)&amp;IF(INDEX(TAHSILAT!$J$7:$J$2503,$T248)="",""," – "&amp;INDEX(TAHSILAT!$J$7:$J$2503,$T248)))</f>
        <v/>
      </c>
      <c r="P248" s="1" t="str">
        <f t="shared" si="35"/>
        <v/>
      </c>
      <c r="Q248" s="1">
        <f>IF($N248="",0,INDEX(TAHSILAT!$F$7:$F$2503,$T248))</f>
        <v>0</v>
      </c>
      <c r="R248" s="1">
        <v>0</v>
      </c>
      <c r="S248" s="1">
        <f t="shared" si="42"/>
        <v>10000000000</v>
      </c>
      <c r="T248" s="1">
        <f>IFERROR(MATCH($C$36&amp;"|175",TAHSILAT!$U$7:$U$2503,0),0)</f>
        <v>0</v>
      </c>
      <c r="V248" s="1">
        <f t="shared" si="43"/>
        <v>10000000000</v>
      </c>
      <c r="W248" s="1">
        <f t="shared" si="44"/>
        <v>9</v>
      </c>
    </row>
    <row r="249" spans="2:23" ht="14.25" customHeight="1" x14ac:dyDescent="0.3">
      <c r="B249" s="65" t="str">
        <f t="shared" si="36"/>
        <v/>
      </c>
      <c r="C249" s="70" t="str">
        <f t="shared" si="37"/>
        <v/>
      </c>
      <c r="D249" s="74" t="str">
        <f t="shared" si="38"/>
        <v/>
      </c>
      <c r="F249" s="65" t="str">
        <f t="shared" si="39"/>
        <v/>
      </c>
      <c r="G249" s="68" t="str">
        <f t="shared" si="40"/>
        <v/>
      </c>
      <c r="H249" s="68" t="str">
        <f t="shared" si="41"/>
        <v/>
      </c>
      <c r="I249" s="68" t="str">
        <f t="shared" si="45"/>
        <v/>
      </c>
      <c r="M249" s="1">
        <v>212</v>
      </c>
      <c r="N249" s="1" t="str">
        <f>IF($T249=0,"",INDEX(TAHSILAT!$E$7:$E$2503,$T249))</f>
        <v/>
      </c>
      <c r="O249" s="1" t="str">
        <f>IF($N249="","",$C$36&amp;" – müşteriden tahsilat: "&amp;INDEX(TAHSILAT!$N$7:$N$2503,$T249)&amp;IF(INDEX(TAHSILAT!$J$7:$J$2503,$T249)="",""," – "&amp;INDEX(TAHSILAT!$J$7:$J$2503,$T249)))</f>
        <v/>
      </c>
      <c r="P249" s="1" t="str">
        <f t="shared" si="35"/>
        <v/>
      </c>
      <c r="Q249" s="1">
        <f>IF($N249="",0,INDEX(TAHSILAT!$F$7:$F$2503,$T249))</f>
        <v>0</v>
      </c>
      <c r="R249" s="1">
        <v>0</v>
      </c>
      <c r="S249" s="1">
        <f t="shared" si="42"/>
        <v>10000000000</v>
      </c>
      <c r="T249" s="1">
        <f>IFERROR(MATCH($C$36&amp;"|176",TAHSILAT!$U$7:$U$2503,0),0)</f>
        <v>0</v>
      </c>
      <c r="V249" s="1">
        <f t="shared" si="43"/>
        <v>10000000000</v>
      </c>
      <c r="W249" s="1">
        <f t="shared" si="44"/>
        <v>9</v>
      </c>
    </row>
    <row r="250" spans="2:23" ht="14.25" customHeight="1" x14ac:dyDescent="0.3">
      <c r="B250" s="65" t="str">
        <f t="shared" si="36"/>
        <v/>
      </c>
      <c r="C250" s="70" t="str">
        <f t="shared" si="37"/>
        <v/>
      </c>
      <c r="D250" s="74" t="str">
        <f t="shared" si="38"/>
        <v/>
      </c>
      <c r="F250" s="65" t="str">
        <f t="shared" si="39"/>
        <v/>
      </c>
      <c r="G250" s="68" t="str">
        <f t="shared" si="40"/>
        <v/>
      </c>
      <c r="H250" s="68" t="str">
        <f t="shared" si="41"/>
        <v/>
      </c>
      <c r="I250" s="68" t="str">
        <f t="shared" si="45"/>
        <v/>
      </c>
      <c r="M250" s="1">
        <v>213</v>
      </c>
      <c r="N250" s="1" t="str">
        <f>IF($T250=0,"",INDEX(TAHSILAT!$E$7:$E$2503,$T250))</f>
        <v/>
      </c>
      <c r="O250" s="1" t="str">
        <f>IF($N250="","",$C$36&amp;" – müşteriden tahsilat: "&amp;INDEX(TAHSILAT!$N$7:$N$2503,$T250)&amp;IF(INDEX(TAHSILAT!$J$7:$J$2503,$T250)="",""," – "&amp;INDEX(TAHSILAT!$J$7:$J$2503,$T250)))</f>
        <v/>
      </c>
      <c r="P250" s="1" t="str">
        <f t="shared" si="35"/>
        <v/>
      </c>
      <c r="Q250" s="1">
        <f>IF($N250="",0,INDEX(TAHSILAT!$F$7:$F$2503,$T250))</f>
        <v>0</v>
      </c>
      <c r="R250" s="1">
        <v>0</v>
      </c>
      <c r="S250" s="1">
        <f t="shared" si="42"/>
        <v>10000000000</v>
      </c>
      <c r="T250" s="1">
        <f>IFERROR(MATCH($C$36&amp;"|177",TAHSILAT!$U$7:$U$2503,0),0)</f>
        <v>0</v>
      </c>
      <c r="V250" s="1">
        <f t="shared" si="43"/>
        <v>10000000000</v>
      </c>
      <c r="W250" s="1">
        <f t="shared" si="44"/>
        <v>9</v>
      </c>
    </row>
    <row r="251" spans="2:23" ht="14.25" customHeight="1" x14ac:dyDescent="0.3">
      <c r="B251" s="65" t="str">
        <f t="shared" si="36"/>
        <v/>
      </c>
      <c r="C251" s="70" t="str">
        <f t="shared" si="37"/>
        <v/>
      </c>
      <c r="D251" s="74" t="str">
        <f t="shared" si="38"/>
        <v/>
      </c>
      <c r="F251" s="65" t="str">
        <f t="shared" si="39"/>
        <v/>
      </c>
      <c r="G251" s="68" t="str">
        <f t="shared" si="40"/>
        <v/>
      </c>
      <c r="H251" s="68" t="str">
        <f t="shared" si="41"/>
        <v/>
      </c>
      <c r="I251" s="68" t="str">
        <f t="shared" si="45"/>
        <v/>
      </c>
      <c r="M251" s="1">
        <v>214</v>
      </c>
      <c r="N251" s="1" t="str">
        <f>IF($T251=0,"",INDEX(TAHSILAT!$E$7:$E$2503,$T251))</f>
        <v/>
      </c>
      <c r="O251" s="1" t="str">
        <f>IF($N251="","",$C$36&amp;" – müşteriden tahsilat: "&amp;INDEX(TAHSILAT!$N$7:$N$2503,$T251)&amp;IF(INDEX(TAHSILAT!$J$7:$J$2503,$T251)="",""," – "&amp;INDEX(TAHSILAT!$J$7:$J$2503,$T251)))</f>
        <v/>
      </c>
      <c r="P251" s="1" t="str">
        <f t="shared" si="35"/>
        <v/>
      </c>
      <c r="Q251" s="1">
        <f>IF($N251="",0,INDEX(TAHSILAT!$F$7:$F$2503,$T251))</f>
        <v>0</v>
      </c>
      <c r="R251" s="1">
        <v>0</v>
      </c>
      <c r="S251" s="1">
        <f t="shared" si="42"/>
        <v>10000000000</v>
      </c>
      <c r="T251" s="1">
        <f>IFERROR(MATCH($C$36&amp;"|178",TAHSILAT!$U$7:$U$2503,0),0)</f>
        <v>0</v>
      </c>
      <c r="V251" s="1">
        <f t="shared" si="43"/>
        <v>10000000000</v>
      </c>
      <c r="W251" s="1">
        <f t="shared" si="44"/>
        <v>9</v>
      </c>
    </row>
    <row r="252" spans="2:23" ht="14.25" customHeight="1" x14ac:dyDescent="0.3">
      <c r="B252" s="65" t="str">
        <f t="shared" si="36"/>
        <v/>
      </c>
      <c r="C252" s="70" t="str">
        <f t="shared" si="37"/>
        <v/>
      </c>
      <c r="D252" s="74" t="str">
        <f t="shared" si="38"/>
        <v/>
      </c>
      <c r="F252" s="65" t="str">
        <f t="shared" si="39"/>
        <v/>
      </c>
      <c r="G252" s="68" t="str">
        <f t="shared" si="40"/>
        <v/>
      </c>
      <c r="H252" s="68" t="str">
        <f t="shared" si="41"/>
        <v/>
      </c>
      <c r="I252" s="68" t="str">
        <f t="shared" si="45"/>
        <v/>
      </c>
      <c r="M252" s="1">
        <v>215</v>
      </c>
      <c r="N252" s="1" t="str">
        <f>IF($T252=0,"",INDEX(TAHSILAT!$E$7:$E$2503,$T252))</f>
        <v/>
      </c>
      <c r="O252" s="1" t="str">
        <f>IF($N252="","",$C$36&amp;" – müşteriden tahsilat: "&amp;INDEX(TAHSILAT!$N$7:$N$2503,$T252)&amp;IF(INDEX(TAHSILAT!$J$7:$J$2503,$T252)="",""," – "&amp;INDEX(TAHSILAT!$J$7:$J$2503,$T252)))</f>
        <v/>
      </c>
      <c r="P252" s="1" t="str">
        <f t="shared" si="35"/>
        <v/>
      </c>
      <c r="Q252" s="1">
        <f>IF($N252="",0,INDEX(TAHSILAT!$F$7:$F$2503,$T252))</f>
        <v>0</v>
      </c>
      <c r="R252" s="1">
        <v>0</v>
      </c>
      <c r="S252" s="1">
        <f t="shared" si="42"/>
        <v>10000000000</v>
      </c>
      <c r="T252" s="1">
        <f>IFERROR(MATCH($C$36&amp;"|179",TAHSILAT!$U$7:$U$2503,0),0)</f>
        <v>0</v>
      </c>
      <c r="V252" s="1">
        <f t="shared" si="43"/>
        <v>10000000000</v>
      </c>
      <c r="W252" s="1">
        <f t="shared" si="44"/>
        <v>9</v>
      </c>
    </row>
    <row r="253" spans="2:23" ht="14.25" customHeight="1" x14ac:dyDescent="0.3">
      <c r="B253" s="65" t="str">
        <f t="shared" si="36"/>
        <v/>
      </c>
      <c r="C253" s="70" t="str">
        <f t="shared" si="37"/>
        <v/>
      </c>
      <c r="D253" s="74" t="str">
        <f t="shared" si="38"/>
        <v/>
      </c>
      <c r="F253" s="65" t="str">
        <f t="shared" si="39"/>
        <v/>
      </c>
      <c r="G253" s="68" t="str">
        <f t="shared" si="40"/>
        <v/>
      </c>
      <c r="H253" s="68" t="str">
        <f t="shared" si="41"/>
        <v/>
      </c>
      <c r="I253" s="68" t="str">
        <f t="shared" si="45"/>
        <v/>
      </c>
      <c r="M253" s="1">
        <v>216</v>
      </c>
      <c r="N253" s="1" t="str">
        <f>IF($T253=0,"",INDEX(TAHSILAT!$E$7:$E$2503,$T253))</f>
        <v/>
      </c>
      <c r="O253" s="1" t="str">
        <f>IF($N253="","",$C$36&amp;" – müşteriden tahsilat: "&amp;INDEX(TAHSILAT!$N$7:$N$2503,$T253)&amp;IF(INDEX(TAHSILAT!$J$7:$J$2503,$T253)="",""," – "&amp;INDEX(TAHSILAT!$J$7:$J$2503,$T253)))</f>
        <v/>
      </c>
      <c r="P253" s="1" t="str">
        <f t="shared" si="35"/>
        <v/>
      </c>
      <c r="Q253" s="1">
        <f>IF($N253="",0,INDEX(TAHSILAT!$F$7:$F$2503,$T253))</f>
        <v>0</v>
      </c>
      <c r="R253" s="1">
        <v>0</v>
      </c>
      <c r="S253" s="1">
        <f t="shared" si="42"/>
        <v>10000000000</v>
      </c>
      <c r="T253" s="1">
        <f>IFERROR(MATCH($C$36&amp;"|180",TAHSILAT!$U$7:$U$2503,0),0)</f>
        <v>0</v>
      </c>
      <c r="V253" s="1">
        <f t="shared" si="43"/>
        <v>10000000000</v>
      </c>
      <c r="W253" s="1">
        <f t="shared" si="44"/>
        <v>9</v>
      </c>
    </row>
    <row r="254" spans="2:23" ht="14.25" customHeight="1" x14ac:dyDescent="0.3">
      <c r="B254" s="65" t="str">
        <f t="shared" si="36"/>
        <v/>
      </c>
      <c r="C254" s="70" t="str">
        <f t="shared" si="37"/>
        <v/>
      </c>
      <c r="D254" s="74" t="str">
        <f t="shared" si="38"/>
        <v/>
      </c>
      <c r="F254" s="65" t="str">
        <f t="shared" si="39"/>
        <v/>
      </c>
      <c r="G254" s="68" t="str">
        <f t="shared" si="40"/>
        <v/>
      </c>
      <c r="H254" s="68" t="str">
        <f t="shared" si="41"/>
        <v/>
      </c>
      <c r="I254" s="68" t="str">
        <f t="shared" si="45"/>
        <v/>
      </c>
      <c r="M254" s="1">
        <v>217</v>
      </c>
      <c r="N254" s="1" t="str">
        <f>IF($T254=0,"",INDEX(TAHSILAT!$E$7:$E$2503,$T254))</f>
        <v/>
      </c>
      <c r="O254" s="1" t="str">
        <f>IF($N254="","",$C$36&amp;" – müşteriden tahsilat: "&amp;INDEX(TAHSILAT!$N$7:$N$2503,$T254)&amp;IF(INDEX(TAHSILAT!$J$7:$J$2503,$T254)="",""," – "&amp;INDEX(TAHSILAT!$J$7:$J$2503,$T254)))</f>
        <v/>
      </c>
      <c r="P254" s="1" t="str">
        <f t="shared" si="35"/>
        <v/>
      </c>
      <c r="Q254" s="1">
        <f>IF($N254="",0,INDEX(TAHSILAT!$F$7:$F$2503,$T254))</f>
        <v>0</v>
      </c>
      <c r="R254" s="1">
        <v>0</v>
      </c>
      <c r="S254" s="1">
        <f t="shared" si="42"/>
        <v>10000000000</v>
      </c>
      <c r="T254" s="1">
        <f>IFERROR(MATCH($C$36&amp;"|181",TAHSILAT!$U$7:$U$2503,0),0)</f>
        <v>0</v>
      </c>
      <c r="V254" s="1">
        <f t="shared" si="43"/>
        <v>10000000000</v>
      </c>
      <c r="W254" s="1">
        <f t="shared" si="44"/>
        <v>9</v>
      </c>
    </row>
    <row r="255" spans="2:23" ht="14.25" customHeight="1" x14ac:dyDescent="0.3">
      <c r="B255" s="65" t="str">
        <f t="shared" si="36"/>
        <v/>
      </c>
      <c r="C255" s="70" t="str">
        <f t="shared" si="37"/>
        <v/>
      </c>
      <c r="D255" s="74" t="str">
        <f t="shared" si="38"/>
        <v/>
      </c>
      <c r="F255" s="65" t="str">
        <f t="shared" si="39"/>
        <v/>
      </c>
      <c r="G255" s="68" t="str">
        <f t="shared" si="40"/>
        <v/>
      </c>
      <c r="H255" s="68" t="str">
        <f t="shared" si="41"/>
        <v/>
      </c>
      <c r="I255" s="68" t="str">
        <f t="shared" si="45"/>
        <v/>
      </c>
      <c r="M255" s="1">
        <v>218</v>
      </c>
      <c r="N255" s="1" t="str">
        <f>IF($T255=0,"",INDEX(TAHSILAT!$E$7:$E$2503,$T255))</f>
        <v/>
      </c>
      <c r="O255" s="1" t="str">
        <f>IF($N255="","",$C$36&amp;" – müşteriden tahsilat: "&amp;INDEX(TAHSILAT!$N$7:$N$2503,$T255)&amp;IF(INDEX(TAHSILAT!$J$7:$J$2503,$T255)="",""," – "&amp;INDEX(TAHSILAT!$J$7:$J$2503,$T255)))</f>
        <v/>
      </c>
      <c r="P255" s="1" t="str">
        <f t="shared" si="35"/>
        <v/>
      </c>
      <c r="Q255" s="1">
        <f>IF($N255="",0,INDEX(TAHSILAT!$F$7:$F$2503,$T255))</f>
        <v>0</v>
      </c>
      <c r="R255" s="1">
        <v>0</v>
      </c>
      <c r="S255" s="1">
        <f t="shared" si="42"/>
        <v>10000000000</v>
      </c>
      <c r="T255" s="1">
        <f>IFERROR(MATCH($C$36&amp;"|182",TAHSILAT!$U$7:$U$2503,0),0)</f>
        <v>0</v>
      </c>
      <c r="V255" s="1">
        <f t="shared" si="43"/>
        <v>10000000000</v>
      </c>
      <c r="W255" s="1">
        <f t="shared" si="44"/>
        <v>9</v>
      </c>
    </row>
    <row r="256" spans="2:23" ht="14.25" customHeight="1" x14ac:dyDescent="0.3">
      <c r="B256" s="65" t="str">
        <f t="shared" si="36"/>
        <v/>
      </c>
      <c r="C256" s="70" t="str">
        <f t="shared" si="37"/>
        <v/>
      </c>
      <c r="D256" s="74" t="str">
        <f t="shared" si="38"/>
        <v/>
      </c>
      <c r="F256" s="65" t="str">
        <f t="shared" si="39"/>
        <v/>
      </c>
      <c r="G256" s="68" t="str">
        <f t="shared" si="40"/>
        <v/>
      </c>
      <c r="H256" s="68" t="str">
        <f t="shared" si="41"/>
        <v/>
      </c>
      <c r="I256" s="68" t="str">
        <f t="shared" si="45"/>
        <v/>
      </c>
      <c r="M256" s="1">
        <v>219</v>
      </c>
      <c r="N256" s="1" t="str">
        <f>IF($T256=0,"",INDEX(TAHSILAT!$E$7:$E$2503,$T256))</f>
        <v/>
      </c>
      <c r="O256" s="1" t="str">
        <f>IF($N256="","",$C$36&amp;" – müşteriden tahsilat: "&amp;INDEX(TAHSILAT!$N$7:$N$2503,$T256)&amp;IF(INDEX(TAHSILAT!$J$7:$J$2503,$T256)="",""," – "&amp;INDEX(TAHSILAT!$J$7:$J$2503,$T256)))</f>
        <v/>
      </c>
      <c r="P256" s="1" t="str">
        <f t="shared" si="35"/>
        <v/>
      </c>
      <c r="Q256" s="1">
        <f>IF($N256="",0,INDEX(TAHSILAT!$F$7:$F$2503,$T256))</f>
        <v>0</v>
      </c>
      <c r="R256" s="1">
        <v>0</v>
      </c>
      <c r="S256" s="1">
        <f t="shared" si="42"/>
        <v>10000000000</v>
      </c>
      <c r="T256" s="1">
        <f>IFERROR(MATCH($C$36&amp;"|183",TAHSILAT!$U$7:$U$2503,0),0)</f>
        <v>0</v>
      </c>
      <c r="V256" s="1">
        <f t="shared" si="43"/>
        <v>10000000000</v>
      </c>
      <c r="W256" s="1">
        <f t="shared" si="44"/>
        <v>9</v>
      </c>
    </row>
    <row r="257" spans="2:23" ht="14.25" customHeight="1" x14ac:dyDescent="0.3">
      <c r="B257" s="65" t="str">
        <f t="shared" si="36"/>
        <v/>
      </c>
      <c r="C257" s="70" t="str">
        <f t="shared" si="37"/>
        <v/>
      </c>
      <c r="D257" s="74" t="str">
        <f t="shared" si="38"/>
        <v/>
      </c>
      <c r="F257" s="65" t="str">
        <f t="shared" si="39"/>
        <v/>
      </c>
      <c r="G257" s="68" t="str">
        <f t="shared" si="40"/>
        <v/>
      </c>
      <c r="H257" s="68" t="str">
        <f t="shared" si="41"/>
        <v/>
      </c>
      <c r="I257" s="68" t="str">
        <f t="shared" si="45"/>
        <v/>
      </c>
      <c r="M257" s="1">
        <v>220</v>
      </c>
      <c r="N257" s="1" t="str">
        <f>IF($T257=0,"",INDEX(TAHSILAT!$E$7:$E$2503,$T257))</f>
        <v/>
      </c>
      <c r="O257" s="1" t="str">
        <f>IF($N257="","",$C$36&amp;" – müşteriden tahsilat: "&amp;INDEX(TAHSILAT!$N$7:$N$2503,$T257)&amp;IF(INDEX(TAHSILAT!$J$7:$J$2503,$T257)="",""," – "&amp;INDEX(TAHSILAT!$J$7:$J$2503,$T257)))</f>
        <v/>
      </c>
      <c r="P257" s="1" t="str">
        <f t="shared" si="35"/>
        <v/>
      </c>
      <c r="Q257" s="1">
        <f>IF($N257="",0,INDEX(TAHSILAT!$F$7:$F$2503,$T257))</f>
        <v>0</v>
      </c>
      <c r="R257" s="1">
        <v>0</v>
      </c>
      <c r="S257" s="1">
        <f t="shared" si="42"/>
        <v>10000000000</v>
      </c>
      <c r="T257" s="1">
        <f>IFERROR(MATCH($C$36&amp;"|184",TAHSILAT!$U$7:$U$2503,0),0)</f>
        <v>0</v>
      </c>
      <c r="V257" s="1">
        <f t="shared" si="43"/>
        <v>10000000000</v>
      </c>
      <c r="W257" s="1">
        <f t="shared" si="44"/>
        <v>9</v>
      </c>
    </row>
    <row r="258" spans="2:23" ht="14.25" customHeight="1" x14ac:dyDescent="0.3">
      <c r="B258" s="65" t="str">
        <f t="shared" si="36"/>
        <v/>
      </c>
      <c r="C258" s="70" t="str">
        <f t="shared" si="37"/>
        <v/>
      </c>
      <c r="D258" s="74" t="str">
        <f t="shared" si="38"/>
        <v/>
      </c>
      <c r="F258" s="65" t="str">
        <f t="shared" si="39"/>
        <v/>
      </c>
      <c r="G258" s="68" t="str">
        <f t="shared" si="40"/>
        <v/>
      </c>
      <c r="H258" s="68" t="str">
        <f t="shared" si="41"/>
        <v/>
      </c>
      <c r="I258" s="68" t="str">
        <f t="shared" si="45"/>
        <v/>
      </c>
      <c r="M258" s="1">
        <v>221</v>
      </c>
      <c r="N258" s="1" t="str">
        <f>IF($T258=0,"",INDEX(TAHSILAT!$E$7:$E$2503,$T258))</f>
        <v/>
      </c>
      <c r="O258" s="1" t="str">
        <f>IF($N258="","",$C$36&amp;" – müşteriden tahsilat: "&amp;INDEX(TAHSILAT!$N$7:$N$2503,$T258)&amp;IF(INDEX(TAHSILAT!$J$7:$J$2503,$T258)="",""," – "&amp;INDEX(TAHSILAT!$J$7:$J$2503,$T258)))</f>
        <v/>
      </c>
      <c r="P258" s="1" t="str">
        <f t="shared" si="35"/>
        <v/>
      </c>
      <c r="Q258" s="1">
        <f>IF($N258="",0,INDEX(TAHSILAT!$F$7:$F$2503,$T258))</f>
        <v>0</v>
      </c>
      <c r="R258" s="1">
        <v>0</v>
      </c>
      <c r="S258" s="1">
        <f t="shared" si="42"/>
        <v>10000000000</v>
      </c>
      <c r="T258" s="1">
        <f>IFERROR(MATCH($C$36&amp;"|185",TAHSILAT!$U$7:$U$2503,0),0)</f>
        <v>0</v>
      </c>
      <c r="V258" s="1">
        <f t="shared" si="43"/>
        <v>10000000000</v>
      </c>
      <c r="W258" s="1">
        <f t="shared" si="44"/>
        <v>9</v>
      </c>
    </row>
    <row r="259" spans="2:23" ht="14.25" customHeight="1" x14ac:dyDescent="0.3">
      <c r="B259" s="65" t="str">
        <f t="shared" si="36"/>
        <v/>
      </c>
      <c r="C259" s="70" t="str">
        <f t="shared" si="37"/>
        <v/>
      </c>
      <c r="D259" s="74" t="str">
        <f t="shared" si="38"/>
        <v/>
      </c>
      <c r="F259" s="65" t="str">
        <f t="shared" si="39"/>
        <v/>
      </c>
      <c r="G259" s="68" t="str">
        <f t="shared" si="40"/>
        <v/>
      </c>
      <c r="H259" s="68" t="str">
        <f t="shared" si="41"/>
        <v/>
      </c>
      <c r="I259" s="68" t="str">
        <f t="shared" si="45"/>
        <v/>
      </c>
      <c r="M259" s="1">
        <v>222</v>
      </c>
      <c r="N259" s="1" t="str">
        <f>IF($T259=0,"",INDEX(TAHSILAT!$E$7:$E$2503,$T259))</f>
        <v/>
      </c>
      <c r="O259" s="1" t="str">
        <f>IF($N259="","",$C$36&amp;" – müşteriden tahsilat: "&amp;INDEX(TAHSILAT!$N$7:$N$2503,$T259)&amp;IF(INDEX(TAHSILAT!$J$7:$J$2503,$T259)="",""," – "&amp;INDEX(TAHSILAT!$J$7:$J$2503,$T259)))</f>
        <v/>
      </c>
      <c r="P259" s="1" t="str">
        <f t="shared" si="35"/>
        <v/>
      </c>
      <c r="Q259" s="1">
        <f>IF($N259="",0,INDEX(TAHSILAT!$F$7:$F$2503,$T259))</f>
        <v>0</v>
      </c>
      <c r="R259" s="1">
        <v>0</v>
      </c>
      <c r="S259" s="1">
        <f t="shared" si="42"/>
        <v>10000000000</v>
      </c>
      <c r="T259" s="1">
        <f>IFERROR(MATCH($C$36&amp;"|186",TAHSILAT!$U$7:$U$2503,0),0)</f>
        <v>0</v>
      </c>
      <c r="V259" s="1">
        <f t="shared" si="43"/>
        <v>10000000000</v>
      </c>
      <c r="W259" s="1">
        <f t="shared" si="44"/>
        <v>9</v>
      </c>
    </row>
    <row r="260" spans="2:23" ht="14.25" customHeight="1" x14ac:dyDescent="0.3">
      <c r="B260" s="65" t="str">
        <f t="shared" si="36"/>
        <v/>
      </c>
      <c r="C260" s="70" t="str">
        <f t="shared" si="37"/>
        <v/>
      </c>
      <c r="D260" s="74" t="str">
        <f t="shared" si="38"/>
        <v/>
      </c>
      <c r="F260" s="65" t="str">
        <f t="shared" si="39"/>
        <v/>
      </c>
      <c r="G260" s="68" t="str">
        <f t="shared" si="40"/>
        <v/>
      </c>
      <c r="H260" s="68" t="str">
        <f t="shared" si="41"/>
        <v/>
      </c>
      <c r="I260" s="68" t="str">
        <f t="shared" si="45"/>
        <v/>
      </c>
      <c r="M260" s="1">
        <v>223</v>
      </c>
      <c r="N260" s="1" t="str">
        <f>IF($T260=0,"",INDEX(TAHSILAT!$E$7:$E$2503,$T260))</f>
        <v/>
      </c>
      <c r="O260" s="1" t="str">
        <f>IF($N260="","",$C$36&amp;" – müşteriden tahsilat: "&amp;INDEX(TAHSILAT!$N$7:$N$2503,$T260)&amp;IF(INDEX(TAHSILAT!$J$7:$J$2503,$T260)="",""," – "&amp;INDEX(TAHSILAT!$J$7:$J$2503,$T260)))</f>
        <v/>
      </c>
      <c r="P260" s="1" t="str">
        <f t="shared" si="35"/>
        <v/>
      </c>
      <c r="Q260" s="1">
        <f>IF($N260="",0,INDEX(TAHSILAT!$F$7:$F$2503,$T260))</f>
        <v>0</v>
      </c>
      <c r="R260" s="1">
        <v>0</v>
      </c>
      <c r="S260" s="1">
        <f t="shared" si="42"/>
        <v>10000000000</v>
      </c>
      <c r="T260" s="1">
        <f>IFERROR(MATCH($C$36&amp;"|187",TAHSILAT!$U$7:$U$2503,0),0)</f>
        <v>0</v>
      </c>
      <c r="V260" s="1">
        <f t="shared" si="43"/>
        <v>10000000000</v>
      </c>
      <c r="W260" s="1">
        <f t="shared" si="44"/>
        <v>9</v>
      </c>
    </row>
    <row r="261" spans="2:23" ht="14.25" customHeight="1" x14ac:dyDescent="0.3">
      <c r="B261" s="65" t="str">
        <f t="shared" si="36"/>
        <v/>
      </c>
      <c r="C261" s="70" t="str">
        <f t="shared" si="37"/>
        <v/>
      </c>
      <c r="D261" s="74" t="str">
        <f t="shared" si="38"/>
        <v/>
      </c>
      <c r="F261" s="65" t="str">
        <f t="shared" si="39"/>
        <v/>
      </c>
      <c r="G261" s="68" t="str">
        <f t="shared" si="40"/>
        <v/>
      </c>
      <c r="H261" s="68" t="str">
        <f t="shared" si="41"/>
        <v/>
      </c>
      <c r="I261" s="68" t="str">
        <f t="shared" si="45"/>
        <v/>
      </c>
      <c r="M261" s="1">
        <v>224</v>
      </c>
      <c r="N261" s="1" t="str">
        <f>IF($T261=0,"",INDEX(TAHSILAT!$E$7:$E$2503,$T261))</f>
        <v/>
      </c>
      <c r="O261" s="1" t="str">
        <f>IF($N261="","",$C$36&amp;" – müşteriden tahsilat: "&amp;INDEX(TAHSILAT!$N$7:$N$2503,$T261)&amp;IF(INDEX(TAHSILAT!$J$7:$J$2503,$T261)="",""," – "&amp;INDEX(TAHSILAT!$J$7:$J$2503,$T261)))</f>
        <v/>
      </c>
      <c r="P261" s="1" t="str">
        <f t="shared" si="35"/>
        <v/>
      </c>
      <c r="Q261" s="1">
        <f>IF($N261="",0,INDEX(TAHSILAT!$F$7:$F$2503,$T261))</f>
        <v>0</v>
      </c>
      <c r="R261" s="1">
        <v>0</v>
      </c>
      <c r="S261" s="1">
        <f t="shared" si="42"/>
        <v>10000000000</v>
      </c>
      <c r="T261" s="1">
        <f>IFERROR(MATCH($C$36&amp;"|188",TAHSILAT!$U$7:$U$2503,0),0)</f>
        <v>0</v>
      </c>
      <c r="V261" s="1">
        <f t="shared" si="43"/>
        <v>10000000000</v>
      </c>
      <c r="W261" s="1">
        <f t="shared" si="44"/>
        <v>9</v>
      </c>
    </row>
    <row r="262" spans="2:23" ht="14.25" customHeight="1" x14ac:dyDescent="0.3">
      <c r="B262" s="65" t="str">
        <f t="shared" si="36"/>
        <v/>
      </c>
      <c r="C262" s="70" t="str">
        <f t="shared" si="37"/>
        <v/>
      </c>
      <c r="D262" s="74" t="str">
        <f t="shared" si="38"/>
        <v/>
      </c>
      <c r="F262" s="65" t="str">
        <f t="shared" si="39"/>
        <v/>
      </c>
      <c r="G262" s="68" t="str">
        <f t="shared" si="40"/>
        <v/>
      </c>
      <c r="H262" s="68" t="str">
        <f t="shared" si="41"/>
        <v/>
      </c>
      <c r="I262" s="68" t="str">
        <f t="shared" si="45"/>
        <v/>
      </c>
      <c r="M262" s="1">
        <v>225</v>
      </c>
      <c r="N262" s="1" t="str">
        <f>IF($T262=0,"",INDEX(TAHSILAT!$E$7:$E$2503,$T262))</f>
        <v/>
      </c>
      <c r="O262" s="1" t="str">
        <f>IF($N262="","",$C$36&amp;" – müşteriden tahsilat: "&amp;INDEX(TAHSILAT!$N$7:$N$2503,$T262)&amp;IF(INDEX(TAHSILAT!$J$7:$J$2503,$T262)="",""," – "&amp;INDEX(TAHSILAT!$J$7:$J$2503,$T262)))</f>
        <v/>
      </c>
      <c r="P262" s="1" t="str">
        <f t="shared" si="35"/>
        <v/>
      </c>
      <c r="Q262" s="1">
        <f>IF($N262="",0,INDEX(TAHSILAT!$F$7:$F$2503,$T262))</f>
        <v>0</v>
      </c>
      <c r="R262" s="1">
        <v>0</v>
      </c>
      <c r="S262" s="1">
        <f t="shared" si="42"/>
        <v>10000000000</v>
      </c>
      <c r="T262" s="1">
        <f>IFERROR(MATCH($C$36&amp;"|189",TAHSILAT!$U$7:$U$2503,0),0)</f>
        <v>0</v>
      </c>
      <c r="V262" s="1">
        <f t="shared" si="43"/>
        <v>10000000000</v>
      </c>
      <c r="W262" s="1">
        <f t="shared" si="44"/>
        <v>9</v>
      </c>
    </row>
    <row r="263" spans="2:23" ht="14.25" customHeight="1" x14ac:dyDescent="0.3">
      <c r="B263" s="65" t="str">
        <f t="shared" si="36"/>
        <v/>
      </c>
      <c r="C263" s="70" t="str">
        <f t="shared" si="37"/>
        <v/>
      </c>
      <c r="D263" s="74" t="str">
        <f t="shared" si="38"/>
        <v/>
      </c>
      <c r="F263" s="65" t="str">
        <f t="shared" si="39"/>
        <v/>
      </c>
      <c r="G263" s="68" t="str">
        <f t="shared" si="40"/>
        <v/>
      </c>
      <c r="H263" s="68" t="str">
        <f t="shared" si="41"/>
        <v/>
      </c>
      <c r="I263" s="68" t="str">
        <f t="shared" si="45"/>
        <v/>
      </c>
      <c r="M263" s="1">
        <v>226</v>
      </c>
      <c r="N263" s="1" t="str">
        <f>IF($T263=0,"",INDEX(TAHSILAT!$E$7:$E$2503,$T263))</f>
        <v/>
      </c>
      <c r="O263" s="1" t="str">
        <f>IF($N263="","",$C$36&amp;" – müşteriden tahsilat: "&amp;INDEX(TAHSILAT!$N$7:$N$2503,$T263)&amp;IF(INDEX(TAHSILAT!$J$7:$J$2503,$T263)="",""," – "&amp;INDEX(TAHSILAT!$J$7:$J$2503,$T263)))</f>
        <v/>
      </c>
      <c r="P263" s="1" t="str">
        <f t="shared" si="35"/>
        <v/>
      </c>
      <c r="Q263" s="1">
        <f>IF($N263="",0,INDEX(TAHSILAT!$F$7:$F$2503,$T263))</f>
        <v>0</v>
      </c>
      <c r="R263" s="1">
        <v>0</v>
      </c>
      <c r="S263" s="1">
        <f t="shared" si="42"/>
        <v>10000000000</v>
      </c>
      <c r="T263" s="1">
        <f>IFERROR(MATCH($C$36&amp;"|190",TAHSILAT!$U$7:$U$2503,0),0)</f>
        <v>0</v>
      </c>
      <c r="V263" s="1">
        <f t="shared" si="43"/>
        <v>10000000000</v>
      </c>
      <c r="W263" s="1">
        <f t="shared" si="44"/>
        <v>9</v>
      </c>
    </row>
    <row r="264" spans="2:23" ht="14.25" customHeight="1" x14ac:dyDescent="0.3">
      <c r="B264" s="65" t="str">
        <f t="shared" si="36"/>
        <v/>
      </c>
      <c r="C264" s="70" t="str">
        <f t="shared" si="37"/>
        <v/>
      </c>
      <c r="D264" s="74" t="str">
        <f t="shared" si="38"/>
        <v/>
      </c>
      <c r="F264" s="65" t="str">
        <f t="shared" si="39"/>
        <v/>
      </c>
      <c r="G264" s="68" t="str">
        <f t="shared" si="40"/>
        <v/>
      </c>
      <c r="H264" s="68" t="str">
        <f t="shared" si="41"/>
        <v/>
      </c>
      <c r="I264" s="68" t="str">
        <f t="shared" si="45"/>
        <v/>
      </c>
      <c r="M264" s="1">
        <v>227</v>
      </c>
      <c r="N264" s="1" t="str">
        <f>IF($T264=0,"",INDEX(TAHSILAT!$E$7:$E$2503,$T264))</f>
        <v/>
      </c>
      <c r="O264" s="1" t="str">
        <f>IF($N264="","",$C$36&amp;" – müşteriden tahsilat: "&amp;INDEX(TAHSILAT!$N$7:$N$2503,$T264)&amp;IF(INDEX(TAHSILAT!$J$7:$J$2503,$T264)="",""," – "&amp;INDEX(TAHSILAT!$J$7:$J$2503,$T264)))</f>
        <v/>
      </c>
      <c r="P264" s="1" t="str">
        <f t="shared" si="35"/>
        <v/>
      </c>
      <c r="Q264" s="1">
        <f>IF($N264="",0,INDEX(TAHSILAT!$F$7:$F$2503,$T264))</f>
        <v>0</v>
      </c>
      <c r="R264" s="1">
        <v>0</v>
      </c>
      <c r="S264" s="1">
        <f t="shared" si="42"/>
        <v>10000000000</v>
      </c>
      <c r="T264" s="1">
        <f>IFERROR(MATCH($C$36&amp;"|191",TAHSILAT!$U$7:$U$2503,0),0)</f>
        <v>0</v>
      </c>
      <c r="V264" s="1">
        <f t="shared" si="43"/>
        <v>10000000000</v>
      </c>
      <c r="W264" s="1">
        <f t="shared" si="44"/>
        <v>9</v>
      </c>
    </row>
    <row r="265" spans="2:23" ht="14.25" customHeight="1" x14ac:dyDescent="0.3">
      <c r="B265" s="65" t="str">
        <f t="shared" si="36"/>
        <v/>
      </c>
      <c r="C265" s="70" t="str">
        <f t="shared" si="37"/>
        <v/>
      </c>
      <c r="D265" s="74" t="str">
        <f t="shared" si="38"/>
        <v/>
      </c>
      <c r="F265" s="65" t="str">
        <f t="shared" si="39"/>
        <v/>
      </c>
      <c r="G265" s="68" t="str">
        <f t="shared" si="40"/>
        <v/>
      </c>
      <c r="H265" s="68" t="str">
        <f t="shared" si="41"/>
        <v/>
      </c>
      <c r="I265" s="68" t="str">
        <f t="shared" si="45"/>
        <v/>
      </c>
      <c r="M265" s="1">
        <v>228</v>
      </c>
      <c r="N265" s="1" t="str">
        <f>IF($T265=0,"",INDEX(TAHSILAT!$E$7:$E$2503,$T265))</f>
        <v/>
      </c>
      <c r="O265" s="1" t="str">
        <f>IF($N265="","",$C$36&amp;" – müşteriden tahsilat: "&amp;INDEX(TAHSILAT!$N$7:$N$2503,$T265)&amp;IF(INDEX(TAHSILAT!$J$7:$J$2503,$T265)="",""," – "&amp;INDEX(TAHSILAT!$J$7:$J$2503,$T265)))</f>
        <v/>
      </c>
      <c r="P265" s="1" t="str">
        <f t="shared" si="35"/>
        <v/>
      </c>
      <c r="Q265" s="1">
        <f>IF($N265="",0,INDEX(TAHSILAT!$F$7:$F$2503,$T265))</f>
        <v>0</v>
      </c>
      <c r="R265" s="1">
        <v>0</v>
      </c>
      <c r="S265" s="1">
        <f t="shared" si="42"/>
        <v>10000000000</v>
      </c>
      <c r="T265" s="1">
        <f>IFERROR(MATCH($C$36&amp;"|192",TAHSILAT!$U$7:$U$2503,0),0)</f>
        <v>0</v>
      </c>
      <c r="V265" s="1">
        <f t="shared" si="43"/>
        <v>10000000000</v>
      </c>
      <c r="W265" s="1">
        <f t="shared" si="44"/>
        <v>9</v>
      </c>
    </row>
    <row r="266" spans="2:23" ht="14.25" customHeight="1" x14ac:dyDescent="0.3">
      <c r="B266" s="65" t="str">
        <f t="shared" si="36"/>
        <v/>
      </c>
      <c r="C266" s="70" t="str">
        <f t="shared" si="37"/>
        <v/>
      </c>
      <c r="D266" s="74" t="str">
        <f t="shared" si="38"/>
        <v/>
      </c>
      <c r="F266" s="65" t="str">
        <f t="shared" si="39"/>
        <v/>
      </c>
      <c r="G266" s="68" t="str">
        <f t="shared" si="40"/>
        <v/>
      </c>
      <c r="H266" s="68" t="str">
        <f t="shared" si="41"/>
        <v/>
      </c>
      <c r="I266" s="68" t="str">
        <f t="shared" si="45"/>
        <v/>
      </c>
      <c r="M266" s="1">
        <v>229</v>
      </c>
      <c r="N266" s="1" t="str">
        <f>IF($T266=0,"",INDEX(TAHSILAT!$E$7:$E$2503,$T266))</f>
        <v/>
      </c>
      <c r="O266" s="1" t="str">
        <f>IF($N266="","",$C$36&amp;" – müşteriden tahsilat: "&amp;INDEX(TAHSILAT!$N$7:$N$2503,$T266)&amp;IF(INDEX(TAHSILAT!$J$7:$J$2503,$T266)="",""," – "&amp;INDEX(TAHSILAT!$J$7:$J$2503,$T266)))</f>
        <v/>
      </c>
      <c r="P266" s="1" t="str">
        <f t="shared" ref="P266:P329" si="46">IF($N266="","","MÜŞTERİDEN ALDI")</f>
        <v/>
      </c>
      <c r="Q266" s="1">
        <f>IF($N266="",0,INDEX(TAHSILAT!$F$7:$F$2503,$T266))</f>
        <v>0</v>
      </c>
      <c r="R266" s="1">
        <v>0</v>
      </c>
      <c r="S266" s="1">
        <f t="shared" si="42"/>
        <v>10000000000</v>
      </c>
      <c r="T266" s="1">
        <f>IFERROR(MATCH($C$36&amp;"|193",TAHSILAT!$U$7:$U$2503,0),0)</f>
        <v>0</v>
      </c>
      <c r="V266" s="1">
        <f t="shared" si="43"/>
        <v>10000000000</v>
      </c>
      <c r="W266" s="1">
        <f t="shared" si="44"/>
        <v>9</v>
      </c>
    </row>
    <row r="267" spans="2:23" ht="14.25" customHeight="1" x14ac:dyDescent="0.3">
      <c r="B267" s="65" t="str">
        <f t="shared" si="36"/>
        <v/>
      </c>
      <c r="C267" s="70" t="str">
        <f t="shared" si="37"/>
        <v/>
      </c>
      <c r="D267" s="74" t="str">
        <f t="shared" si="38"/>
        <v/>
      </c>
      <c r="F267" s="65" t="str">
        <f t="shared" si="39"/>
        <v/>
      </c>
      <c r="G267" s="68" t="str">
        <f t="shared" si="40"/>
        <v/>
      </c>
      <c r="H267" s="68" t="str">
        <f t="shared" si="41"/>
        <v/>
      </c>
      <c r="I267" s="68" t="str">
        <f t="shared" si="45"/>
        <v/>
      </c>
      <c r="M267" s="1">
        <v>230</v>
      </c>
      <c r="N267" s="1" t="str">
        <f>IF($T267=0,"",INDEX(TAHSILAT!$E$7:$E$2503,$T267))</f>
        <v/>
      </c>
      <c r="O267" s="1" t="str">
        <f>IF($N267="","",$C$36&amp;" – müşteriden tahsilat: "&amp;INDEX(TAHSILAT!$N$7:$N$2503,$T267)&amp;IF(INDEX(TAHSILAT!$J$7:$J$2503,$T267)="",""," – "&amp;INDEX(TAHSILAT!$J$7:$J$2503,$T267)))</f>
        <v/>
      </c>
      <c r="P267" s="1" t="str">
        <f t="shared" si="46"/>
        <v/>
      </c>
      <c r="Q267" s="1">
        <f>IF($N267="",0,INDEX(TAHSILAT!$F$7:$F$2503,$T267))</f>
        <v>0</v>
      </c>
      <c r="R267" s="1">
        <v>0</v>
      </c>
      <c r="S267" s="1">
        <f t="shared" si="42"/>
        <v>10000000000</v>
      </c>
      <c r="T267" s="1">
        <f>IFERROR(MATCH($C$36&amp;"|194",TAHSILAT!$U$7:$U$2503,0),0)</f>
        <v>0</v>
      </c>
      <c r="V267" s="1">
        <f t="shared" si="43"/>
        <v>10000000000</v>
      </c>
      <c r="W267" s="1">
        <f t="shared" si="44"/>
        <v>9</v>
      </c>
    </row>
    <row r="268" spans="2:23" ht="14.25" customHeight="1" x14ac:dyDescent="0.3">
      <c r="B268" s="65" t="str">
        <f t="shared" si="36"/>
        <v/>
      </c>
      <c r="C268" s="70" t="str">
        <f t="shared" si="37"/>
        <v/>
      </c>
      <c r="D268" s="74" t="str">
        <f t="shared" si="38"/>
        <v/>
      </c>
      <c r="F268" s="65" t="str">
        <f t="shared" si="39"/>
        <v/>
      </c>
      <c r="G268" s="68" t="str">
        <f t="shared" si="40"/>
        <v/>
      </c>
      <c r="H268" s="68" t="str">
        <f t="shared" si="41"/>
        <v/>
      </c>
      <c r="I268" s="68" t="str">
        <f t="shared" si="45"/>
        <v/>
      </c>
      <c r="M268" s="1">
        <v>231</v>
      </c>
      <c r="N268" s="1" t="str">
        <f>IF($T268=0,"",INDEX(TAHSILAT!$E$7:$E$2503,$T268))</f>
        <v/>
      </c>
      <c r="O268" s="1" t="str">
        <f>IF($N268="","",$C$36&amp;" – müşteriden tahsilat: "&amp;INDEX(TAHSILAT!$N$7:$N$2503,$T268)&amp;IF(INDEX(TAHSILAT!$J$7:$J$2503,$T268)="",""," – "&amp;INDEX(TAHSILAT!$J$7:$J$2503,$T268)))</f>
        <v/>
      </c>
      <c r="P268" s="1" t="str">
        <f t="shared" si="46"/>
        <v/>
      </c>
      <c r="Q268" s="1">
        <f>IF($N268="",0,INDEX(TAHSILAT!$F$7:$F$2503,$T268))</f>
        <v>0</v>
      </c>
      <c r="R268" s="1">
        <v>0</v>
      </c>
      <c r="S268" s="1">
        <f t="shared" si="42"/>
        <v>10000000000</v>
      </c>
      <c r="T268" s="1">
        <f>IFERROR(MATCH($C$36&amp;"|195",TAHSILAT!$U$7:$U$2503,0),0)</f>
        <v>0</v>
      </c>
      <c r="V268" s="1">
        <f t="shared" si="43"/>
        <v>10000000000</v>
      </c>
      <c r="W268" s="1">
        <f t="shared" si="44"/>
        <v>9</v>
      </c>
    </row>
    <row r="269" spans="2:23" ht="14.25" customHeight="1" x14ac:dyDescent="0.3">
      <c r="B269" s="65" t="str">
        <f t="shared" si="36"/>
        <v/>
      </c>
      <c r="C269" s="70" t="str">
        <f t="shared" si="37"/>
        <v/>
      </c>
      <c r="D269" s="74" t="str">
        <f t="shared" si="38"/>
        <v/>
      </c>
      <c r="F269" s="65" t="str">
        <f t="shared" si="39"/>
        <v/>
      </c>
      <c r="G269" s="68" t="str">
        <f t="shared" si="40"/>
        <v/>
      </c>
      <c r="H269" s="68" t="str">
        <f t="shared" si="41"/>
        <v/>
      </c>
      <c r="I269" s="68" t="str">
        <f t="shared" si="45"/>
        <v/>
      </c>
      <c r="M269" s="1">
        <v>232</v>
      </c>
      <c r="N269" s="1" t="str">
        <f>IF($T269=0,"",INDEX(TAHSILAT!$E$7:$E$2503,$T269))</f>
        <v/>
      </c>
      <c r="O269" s="1" t="str">
        <f>IF($N269="","",$C$36&amp;" – müşteriden tahsilat: "&amp;INDEX(TAHSILAT!$N$7:$N$2503,$T269)&amp;IF(INDEX(TAHSILAT!$J$7:$J$2503,$T269)="",""," – "&amp;INDEX(TAHSILAT!$J$7:$J$2503,$T269)))</f>
        <v/>
      </c>
      <c r="P269" s="1" t="str">
        <f t="shared" si="46"/>
        <v/>
      </c>
      <c r="Q269" s="1">
        <f>IF($N269="",0,INDEX(TAHSILAT!$F$7:$F$2503,$T269))</f>
        <v>0</v>
      </c>
      <c r="R269" s="1">
        <v>0</v>
      </c>
      <c r="S269" s="1">
        <f t="shared" si="42"/>
        <v>10000000000</v>
      </c>
      <c r="T269" s="1">
        <f>IFERROR(MATCH($C$36&amp;"|196",TAHSILAT!$U$7:$U$2503,0),0)</f>
        <v>0</v>
      </c>
      <c r="V269" s="1">
        <f t="shared" si="43"/>
        <v>10000000000</v>
      </c>
      <c r="W269" s="1">
        <f t="shared" si="44"/>
        <v>9</v>
      </c>
    </row>
    <row r="270" spans="2:23" ht="14.25" customHeight="1" x14ac:dyDescent="0.3">
      <c r="B270" s="65" t="str">
        <f t="shared" si="36"/>
        <v/>
      </c>
      <c r="C270" s="70" t="str">
        <f t="shared" si="37"/>
        <v/>
      </c>
      <c r="D270" s="74" t="str">
        <f t="shared" si="38"/>
        <v/>
      </c>
      <c r="F270" s="65" t="str">
        <f t="shared" si="39"/>
        <v/>
      </c>
      <c r="G270" s="68" t="str">
        <f t="shared" si="40"/>
        <v/>
      </c>
      <c r="H270" s="68" t="str">
        <f t="shared" si="41"/>
        <v/>
      </c>
      <c r="I270" s="68" t="str">
        <f t="shared" si="45"/>
        <v/>
      </c>
      <c r="M270" s="1">
        <v>233</v>
      </c>
      <c r="N270" s="1" t="str">
        <f>IF($T270=0,"",INDEX(TAHSILAT!$E$7:$E$2503,$T270))</f>
        <v/>
      </c>
      <c r="O270" s="1" t="str">
        <f>IF($N270="","",$C$36&amp;" – müşteriden tahsilat: "&amp;INDEX(TAHSILAT!$N$7:$N$2503,$T270)&amp;IF(INDEX(TAHSILAT!$J$7:$J$2503,$T270)="",""," – "&amp;INDEX(TAHSILAT!$J$7:$J$2503,$T270)))</f>
        <v/>
      </c>
      <c r="P270" s="1" t="str">
        <f t="shared" si="46"/>
        <v/>
      </c>
      <c r="Q270" s="1">
        <f>IF($N270="",0,INDEX(TAHSILAT!$F$7:$F$2503,$T270))</f>
        <v>0</v>
      </c>
      <c r="R270" s="1">
        <v>0</v>
      </c>
      <c r="S270" s="1">
        <f t="shared" si="42"/>
        <v>10000000000</v>
      </c>
      <c r="T270" s="1">
        <f>IFERROR(MATCH($C$36&amp;"|197",TAHSILAT!$U$7:$U$2503,0),0)</f>
        <v>0</v>
      </c>
      <c r="V270" s="1">
        <f t="shared" si="43"/>
        <v>10000000000</v>
      </c>
      <c r="W270" s="1">
        <f t="shared" si="44"/>
        <v>9</v>
      </c>
    </row>
    <row r="271" spans="2:23" ht="14.25" customHeight="1" x14ac:dyDescent="0.3">
      <c r="B271" s="65" t="str">
        <f t="shared" si="36"/>
        <v/>
      </c>
      <c r="C271" s="70" t="str">
        <f t="shared" si="37"/>
        <v/>
      </c>
      <c r="D271" s="74" t="str">
        <f t="shared" si="38"/>
        <v/>
      </c>
      <c r="F271" s="65" t="str">
        <f t="shared" si="39"/>
        <v/>
      </c>
      <c r="G271" s="68" t="str">
        <f t="shared" si="40"/>
        <v/>
      </c>
      <c r="H271" s="68" t="str">
        <f t="shared" si="41"/>
        <v/>
      </c>
      <c r="I271" s="68" t="str">
        <f t="shared" si="45"/>
        <v/>
      </c>
      <c r="M271" s="1">
        <v>234</v>
      </c>
      <c r="N271" s="1" t="str">
        <f>IF($T271=0,"",INDEX(TAHSILAT!$E$7:$E$2503,$T271))</f>
        <v/>
      </c>
      <c r="O271" s="1" t="str">
        <f>IF($N271="","",$C$36&amp;" – müşteriden tahsilat: "&amp;INDEX(TAHSILAT!$N$7:$N$2503,$T271)&amp;IF(INDEX(TAHSILAT!$J$7:$J$2503,$T271)="",""," – "&amp;INDEX(TAHSILAT!$J$7:$J$2503,$T271)))</f>
        <v/>
      </c>
      <c r="P271" s="1" t="str">
        <f t="shared" si="46"/>
        <v/>
      </c>
      <c r="Q271" s="1">
        <f>IF($N271="",0,INDEX(TAHSILAT!$F$7:$F$2503,$T271))</f>
        <v>0</v>
      </c>
      <c r="R271" s="1">
        <v>0</v>
      </c>
      <c r="S271" s="1">
        <f t="shared" si="42"/>
        <v>10000000000</v>
      </c>
      <c r="T271" s="1">
        <f>IFERROR(MATCH($C$36&amp;"|198",TAHSILAT!$U$7:$U$2503,0),0)</f>
        <v>0</v>
      </c>
      <c r="V271" s="1">
        <f t="shared" si="43"/>
        <v>10000000000</v>
      </c>
      <c r="W271" s="1">
        <f t="shared" si="44"/>
        <v>9</v>
      </c>
    </row>
    <row r="272" spans="2:23" ht="14.25" customHeight="1" x14ac:dyDescent="0.3">
      <c r="B272" s="65" t="str">
        <f t="shared" si="36"/>
        <v/>
      </c>
      <c r="C272" s="70" t="str">
        <f t="shared" si="37"/>
        <v/>
      </c>
      <c r="D272" s="74" t="str">
        <f t="shared" si="38"/>
        <v/>
      </c>
      <c r="F272" s="65" t="str">
        <f t="shared" si="39"/>
        <v/>
      </c>
      <c r="G272" s="68" t="str">
        <f t="shared" si="40"/>
        <v/>
      </c>
      <c r="H272" s="68" t="str">
        <f t="shared" si="41"/>
        <v/>
      </c>
      <c r="I272" s="68" t="str">
        <f t="shared" si="45"/>
        <v/>
      </c>
      <c r="M272" s="1">
        <v>235</v>
      </c>
      <c r="N272" s="1" t="str">
        <f>IF($T272=0,"",INDEX(TAHSILAT!$E$7:$E$2503,$T272))</f>
        <v/>
      </c>
      <c r="O272" s="1" t="str">
        <f>IF($N272="","",$C$36&amp;" – müşteriden tahsilat: "&amp;INDEX(TAHSILAT!$N$7:$N$2503,$T272)&amp;IF(INDEX(TAHSILAT!$J$7:$J$2503,$T272)="",""," – "&amp;INDEX(TAHSILAT!$J$7:$J$2503,$T272)))</f>
        <v/>
      </c>
      <c r="P272" s="1" t="str">
        <f t="shared" si="46"/>
        <v/>
      </c>
      <c r="Q272" s="1">
        <f>IF($N272="",0,INDEX(TAHSILAT!$F$7:$F$2503,$T272))</f>
        <v>0</v>
      </c>
      <c r="R272" s="1">
        <v>0</v>
      </c>
      <c r="S272" s="1">
        <f t="shared" si="42"/>
        <v>10000000000</v>
      </c>
      <c r="T272" s="1">
        <f>IFERROR(MATCH($C$36&amp;"|199",TAHSILAT!$U$7:$U$2503,0),0)</f>
        <v>0</v>
      </c>
      <c r="V272" s="1">
        <f t="shared" si="43"/>
        <v>10000000000</v>
      </c>
      <c r="W272" s="1">
        <f t="shared" si="44"/>
        <v>9</v>
      </c>
    </row>
    <row r="273" spans="2:23" ht="14.25" customHeight="1" x14ac:dyDescent="0.3">
      <c r="B273" s="65" t="str">
        <f t="shared" si="36"/>
        <v/>
      </c>
      <c r="C273" s="70" t="str">
        <f t="shared" si="37"/>
        <v/>
      </c>
      <c r="D273" s="74" t="str">
        <f t="shared" si="38"/>
        <v/>
      </c>
      <c r="F273" s="65" t="str">
        <f t="shared" si="39"/>
        <v/>
      </c>
      <c r="G273" s="68" t="str">
        <f t="shared" si="40"/>
        <v/>
      </c>
      <c r="H273" s="68" t="str">
        <f t="shared" si="41"/>
        <v/>
      </c>
      <c r="I273" s="68" t="str">
        <f t="shared" si="45"/>
        <v/>
      </c>
      <c r="M273" s="1">
        <v>236</v>
      </c>
      <c r="N273" s="1" t="str">
        <f>IF($T273=0,"",INDEX(TAHSILAT!$E$7:$E$2503,$T273))</f>
        <v/>
      </c>
      <c r="O273" s="1" t="str">
        <f>IF($N273="","",$C$36&amp;" – müşteriden tahsilat: "&amp;INDEX(TAHSILAT!$N$7:$N$2503,$T273)&amp;IF(INDEX(TAHSILAT!$J$7:$J$2503,$T273)="",""," – "&amp;INDEX(TAHSILAT!$J$7:$J$2503,$T273)))</f>
        <v/>
      </c>
      <c r="P273" s="1" t="str">
        <f t="shared" si="46"/>
        <v/>
      </c>
      <c r="Q273" s="1">
        <f>IF($N273="",0,INDEX(TAHSILAT!$F$7:$F$2503,$T273))</f>
        <v>0</v>
      </c>
      <c r="R273" s="1">
        <v>0</v>
      </c>
      <c r="S273" s="1">
        <f t="shared" si="42"/>
        <v>10000000000</v>
      </c>
      <c r="T273" s="1">
        <f>IFERROR(MATCH($C$36&amp;"|200",TAHSILAT!$U$7:$U$2503,0),0)</f>
        <v>0</v>
      </c>
      <c r="V273" s="1">
        <f t="shared" si="43"/>
        <v>10000000000</v>
      </c>
      <c r="W273" s="1">
        <f t="shared" si="44"/>
        <v>9</v>
      </c>
    </row>
    <row r="274" spans="2:23" ht="14.25" customHeight="1" x14ac:dyDescent="0.3">
      <c r="B274" s="65" t="str">
        <f t="shared" si="36"/>
        <v/>
      </c>
      <c r="C274" s="70" t="str">
        <f t="shared" si="37"/>
        <v/>
      </c>
      <c r="D274" s="74" t="str">
        <f t="shared" si="38"/>
        <v/>
      </c>
      <c r="F274" s="65" t="str">
        <f t="shared" si="39"/>
        <v/>
      </c>
      <c r="G274" s="68" t="str">
        <f t="shared" si="40"/>
        <v/>
      </c>
      <c r="H274" s="68" t="str">
        <f t="shared" si="41"/>
        <v/>
      </c>
      <c r="I274" s="68" t="str">
        <f t="shared" si="45"/>
        <v/>
      </c>
      <c r="M274" s="1">
        <v>237</v>
      </c>
      <c r="N274" s="1" t="str">
        <f>IF($T274=0,"",INDEX(TAHSILAT!$E$7:$E$2503,$T274))</f>
        <v/>
      </c>
      <c r="O274" s="1" t="str">
        <f>IF($N274="","",$C$36&amp;" – müşteriden tahsilat: "&amp;INDEX(TAHSILAT!$N$7:$N$2503,$T274)&amp;IF(INDEX(TAHSILAT!$J$7:$J$2503,$T274)="",""," – "&amp;INDEX(TAHSILAT!$J$7:$J$2503,$T274)))</f>
        <v/>
      </c>
      <c r="P274" s="1" t="str">
        <f t="shared" si="46"/>
        <v/>
      </c>
      <c r="Q274" s="1">
        <f>IF($N274="",0,INDEX(TAHSILAT!$F$7:$F$2503,$T274))</f>
        <v>0</v>
      </c>
      <c r="R274" s="1">
        <v>0</v>
      </c>
      <c r="S274" s="1">
        <f t="shared" si="42"/>
        <v>10000000000</v>
      </c>
      <c r="T274" s="1">
        <f>IFERROR(MATCH($C$36&amp;"|201",TAHSILAT!$U$7:$U$2503,0),0)</f>
        <v>0</v>
      </c>
      <c r="V274" s="1">
        <f t="shared" si="43"/>
        <v>10000000000</v>
      </c>
      <c r="W274" s="1">
        <f t="shared" si="44"/>
        <v>9</v>
      </c>
    </row>
    <row r="275" spans="2:23" ht="14.25" customHeight="1" x14ac:dyDescent="0.3">
      <c r="B275" s="65" t="str">
        <f t="shared" si="36"/>
        <v/>
      </c>
      <c r="C275" s="70" t="str">
        <f t="shared" si="37"/>
        <v/>
      </c>
      <c r="D275" s="74" t="str">
        <f t="shared" si="38"/>
        <v/>
      </c>
      <c r="F275" s="65" t="str">
        <f t="shared" si="39"/>
        <v/>
      </c>
      <c r="G275" s="68" t="str">
        <f t="shared" si="40"/>
        <v/>
      </c>
      <c r="H275" s="68" t="str">
        <f t="shared" si="41"/>
        <v/>
      </c>
      <c r="I275" s="68" t="str">
        <f t="shared" si="45"/>
        <v/>
      </c>
      <c r="M275" s="1">
        <v>238</v>
      </c>
      <c r="N275" s="1" t="str">
        <f>IF($T275=0,"",INDEX(TAHSILAT!$E$7:$E$2503,$T275))</f>
        <v/>
      </c>
      <c r="O275" s="1" t="str">
        <f>IF($N275="","",$C$36&amp;" – müşteriden tahsilat: "&amp;INDEX(TAHSILAT!$N$7:$N$2503,$T275)&amp;IF(INDEX(TAHSILAT!$J$7:$J$2503,$T275)="",""," – "&amp;INDEX(TAHSILAT!$J$7:$J$2503,$T275)))</f>
        <v/>
      </c>
      <c r="P275" s="1" t="str">
        <f t="shared" si="46"/>
        <v/>
      </c>
      <c r="Q275" s="1">
        <f>IF($N275="",0,INDEX(TAHSILAT!$F$7:$F$2503,$T275))</f>
        <v>0</v>
      </c>
      <c r="R275" s="1">
        <v>0</v>
      </c>
      <c r="S275" s="1">
        <f t="shared" si="42"/>
        <v>10000000000</v>
      </c>
      <c r="T275" s="1">
        <f>IFERROR(MATCH($C$36&amp;"|202",TAHSILAT!$U$7:$U$2503,0),0)</f>
        <v>0</v>
      </c>
      <c r="V275" s="1">
        <f t="shared" si="43"/>
        <v>10000000000</v>
      </c>
      <c r="W275" s="1">
        <f t="shared" si="44"/>
        <v>9</v>
      </c>
    </row>
    <row r="276" spans="2:23" ht="14.25" customHeight="1" x14ac:dyDescent="0.3">
      <c r="B276" s="65" t="str">
        <f t="shared" si="36"/>
        <v/>
      </c>
      <c r="C276" s="70" t="str">
        <f t="shared" si="37"/>
        <v/>
      </c>
      <c r="D276" s="74" t="str">
        <f t="shared" si="38"/>
        <v/>
      </c>
      <c r="F276" s="65" t="str">
        <f t="shared" si="39"/>
        <v/>
      </c>
      <c r="G276" s="68" t="str">
        <f t="shared" si="40"/>
        <v/>
      </c>
      <c r="H276" s="68" t="str">
        <f t="shared" si="41"/>
        <v/>
      </c>
      <c r="I276" s="68" t="str">
        <f t="shared" si="45"/>
        <v/>
      </c>
      <c r="M276" s="1">
        <v>239</v>
      </c>
      <c r="N276" s="1" t="str">
        <f>IF($T276=0,"",INDEX(TAHSILAT!$E$7:$E$2503,$T276))</f>
        <v/>
      </c>
      <c r="O276" s="1" t="str">
        <f>IF($N276="","",$C$36&amp;" – müşteriden tahsilat: "&amp;INDEX(TAHSILAT!$N$7:$N$2503,$T276)&amp;IF(INDEX(TAHSILAT!$J$7:$J$2503,$T276)="",""," – "&amp;INDEX(TAHSILAT!$J$7:$J$2503,$T276)))</f>
        <v/>
      </c>
      <c r="P276" s="1" t="str">
        <f t="shared" si="46"/>
        <v/>
      </c>
      <c r="Q276" s="1">
        <f>IF($N276="",0,INDEX(TAHSILAT!$F$7:$F$2503,$T276))</f>
        <v>0</v>
      </c>
      <c r="R276" s="1">
        <v>0</v>
      </c>
      <c r="S276" s="1">
        <f t="shared" si="42"/>
        <v>10000000000</v>
      </c>
      <c r="T276" s="1">
        <f>IFERROR(MATCH($C$36&amp;"|203",TAHSILAT!$U$7:$U$2503,0),0)</f>
        <v>0</v>
      </c>
      <c r="V276" s="1">
        <f t="shared" si="43"/>
        <v>10000000000</v>
      </c>
      <c r="W276" s="1">
        <f t="shared" si="44"/>
        <v>9</v>
      </c>
    </row>
    <row r="277" spans="2:23" ht="14.25" customHeight="1" x14ac:dyDescent="0.3">
      <c r="B277" s="65" t="str">
        <f t="shared" si="36"/>
        <v/>
      </c>
      <c r="C277" s="70" t="str">
        <f t="shared" si="37"/>
        <v/>
      </c>
      <c r="D277" s="74" t="str">
        <f t="shared" si="38"/>
        <v/>
      </c>
      <c r="F277" s="65" t="str">
        <f t="shared" si="39"/>
        <v/>
      </c>
      <c r="G277" s="68" t="str">
        <f t="shared" si="40"/>
        <v/>
      </c>
      <c r="H277" s="68" t="str">
        <f t="shared" si="41"/>
        <v/>
      </c>
      <c r="I277" s="68" t="str">
        <f t="shared" si="45"/>
        <v/>
      </c>
      <c r="M277" s="1">
        <v>240</v>
      </c>
      <c r="N277" s="1" t="str">
        <f>IF($T277=0,"",INDEX(TAHSILAT!$E$7:$E$2503,$T277))</f>
        <v/>
      </c>
      <c r="O277" s="1" t="str">
        <f>IF($N277="","",$C$36&amp;" – müşteriden tahsilat: "&amp;INDEX(TAHSILAT!$N$7:$N$2503,$T277)&amp;IF(INDEX(TAHSILAT!$J$7:$J$2503,$T277)="",""," – "&amp;INDEX(TAHSILAT!$J$7:$J$2503,$T277)))</f>
        <v/>
      </c>
      <c r="P277" s="1" t="str">
        <f t="shared" si="46"/>
        <v/>
      </c>
      <c r="Q277" s="1">
        <f>IF($N277="",0,INDEX(TAHSILAT!$F$7:$F$2503,$T277))</f>
        <v>0</v>
      </c>
      <c r="R277" s="1">
        <v>0</v>
      </c>
      <c r="S277" s="1">
        <f t="shared" si="42"/>
        <v>10000000000</v>
      </c>
      <c r="T277" s="1">
        <f>IFERROR(MATCH($C$36&amp;"|204",TAHSILAT!$U$7:$U$2503,0),0)</f>
        <v>0</v>
      </c>
      <c r="V277" s="1">
        <f t="shared" si="43"/>
        <v>10000000000</v>
      </c>
      <c r="W277" s="1">
        <f t="shared" si="44"/>
        <v>9</v>
      </c>
    </row>
    <row r="278" spans="2:23" ht="14.25" customHeight="1" x14ac:dyDescent="0.3">
      <c r="B278" s="65" t="str">
        <f t="shared" si="36"/>
        <v/>
      </c>
      <c r="C278" s="70" t="str">
        <f t="shared" si="37"/>
        <v/>
      </c>
      <c r="D278" s="74" t="str">
        <f t="shared" si="38"/>
        <v/>
      </c>
      <c r="F278" s="65" t="str">
        <f t="shared" si="39"/>
        <v/>
      </c>
      <c r="G278" s="68" t="str">
        <f t="shared" si="40"/>
        <v/>
      </c>
      <c r="H278" s="68" t="str">
        <f t="shared" si="41"/>
        <v/>
      </c>
      <c r="I278" s="68" t="str">
        <f t="shared" si="45"/>
        <v/>
      </c>
      <c r="M278" s="1">
        <v>241</v>
      </c>
      <c r="N278" s="1" t="str">
        <f>IF($T278=0,"",INDEX(TAHSILAT!$E$7:$E$2503,$T278))</f>
        <v/>
      </c>
      <c r="O278" s="1" t="str">
        <f>IF($N278="","",$C$36&amp;" – müşteriden tahsilat: "&amp;INDEX(TAHSILAT!$N$7:$N$2503,$T278)&amp;IF(INDEX(TAHSILAT!$J$7:$J$2503,$T278)="",""," – "&amp;INDEX(TAHSILAT!$J$7:$J$2503,$T278)))</f>
        <v/>
      </c>
      <c r="P278" s="1" t="str">
        <f t="shared" si="46"/>
        <v/>
      </c>
      <c r="Q278" s="1">
        <f>IF($N278="",0,INDEX(TAHSILAT!$F$7:$F$2503,$T278))</f>
        <v>0</v>
      </c>
      <c r="R278" s="1">
        <v>0</v>
      </c>
      <c r="S278" s="1">
        <f t="shared" si="42"/>
        <v>10000000000</v>
      </c>
      <c r="T278" s="1">
        <f>IFERROR(MATCH($C$36&amp;"|205",TAHSILAT!$U$7:$U$2503,0),0)</f>
        <v>0</v>
      </c>
      <c r="V278" s="1">
        <f t="shared" si="43"/>
        <v>10000000000</v>
      </c>
      <c r="W278" s="1">
        <f t="shared" si="44"/>
        <v>9</v>
      </c>
    </row>
    <row r="279" spans="2:23" ht="14.25" customHeight="1" x14ac:dyDescent="0.3">
      <c r="B279" s="65" t="str">
        <f t="shared" si="36"/>
        <v/>
      </c>
      <c r="C279" s="70" t="str">
        <f t="shared" si="37"/>
        <v/>
      </c>
      <c r="D279" s="74" t="str">
        <f t="shared" si="38"/>
        <v/>
      </c>
      <c r="F279" s="65" t="str">
        <f t="shared" si="39"/>
        <v/>
      </c>
      <c r="G279" s="68" t="str">
        <f t="shared" si="40"/>
        <v/>
      </c>
      <c r="H279" s="68" t="str">
        <f t="shared" si="41"/>
        <v/>
      </c>
      <c r="I279" s="68" t="str">
        <f t="shared" si="45"/>
        <v/>
      </c>
      <c r="M279" s="1">
        <v>242</v>
      </c>
      <c r="N279" s="1" t="str">
        <f>IF($T279=0,"",INDEX(TAHSILAT!$E$7:$E$2503,$T279))</f>
        <v/>
      </c>
      <c r="O279" s="1" t="str">
        <f>IF($N279="","",$C$36&amp;" – müşteriden tahsilat: "&amp;INDEX(TAHSILAT!$N$7:$N$2503,$T279)&amp;IF(INDEX(TAHSILAT!$J$7:$J$2503,$T279)="",""," – "&amp;INDEX(TAHSILAT!$J$7:$J$2503,$T279)))</f>
        <v/>
      </c>
      <c r="P279" s="1" t="str">
        <f t="shared" si="46"/>
        <v/>
      </c>
      <c r="Q279" s="1">
        <f>IF($N279="",0,INDEX(TAHSILAT!$F$7:$F$2503,$T279))</f>
        <v>0</v>
      </c>
      <c r="R279" s="1">
        <v>0</v>
      </c>
      <c r="S279" s="1">
        <f t="shared" si="42"/>
        <v>10000000000</v>
      </c>
      <c r="T279" s="1">
        <f>IFERROR(MATCH($C$36&amp;"|206",TAHSILAT!$U$7:$U$2503,0),0)</f>
        <v>0</v>
      </c>
      <c r="V279" s="1">
        <f t="shared" si="43"/>
        <v>10000000000</v>
      </c>
      <c r="W279" s="1">
        <f t="shared" si="44"/>
        <v>9</v>
      </c>
    </row>
    <row r="280" spans="2:23" ht="14.25" customHeight="1" x14ac:dyDescent="0.3">
      <c r="B280" s="65" t="str">
        <f t="shared" si="36"/>
        <v/>
      </c>
      <c r="C280" s="70" t="str">
        <f t="shared" si="37"/>
        <v/>
      </c>
      <c r="D280" s="74" t="str">
        <f t="shared" si="38"/>
        <v/>
      </c>
      <c r="F280" s="65" t="str">
        <f t="shared" si="39"/>
        <v/>
      </c>
      <c r="G280" s="68" t="str">
        <f t="shared" si="40"/>
        <v/>
      </c>
      <c r="H280" s="68" t="str">
        <f t="shared" si="41"/>
        <v/>
      </c>
      <c r="I280" s="68" t="str">
        <f t="shared" si="45"/>
        <v/>
      </c>
      <c r="M280" s="1">
        <v>243</v>
      </c>
      <c r="N280" s="1" t="str">
        <f>IF($T280=0,"",INDEX(TAHSILAT!$E$7:$E$2503,$T280))</f>
        <v/>
      </c>
      <c r="O280" s="1" t="str">
        <f>IF($N280="","",$C$36&amp;" – müşteriden tahsilat: "&amp;INDEX(TAHSILAT!$N$7:$N$2503,$T280)&amp;IF(INDEX(TAHSILAT!$J$7:$J$2503,$T280)="",""," – "&amp;INDEX(TAHSILAT!$J$7:$J$2503,$T280)))</f>
        <v/>
      </c>
      <c r="P280" s="1" t="str">
        <f t="shared" si="46"/>
        <v/>
      </c>
      <c r="Q280" s="1">
        <f>IF($N280="",0,INDEX(TAHSILAT!$F$7:$F$2503,$T280))</f>
        <v>0</v>
      </c>
      <c r="R280" s="1">
        <v>0</v>
      </c>
      <c r="S280" s="1">
        <f t="shared" si="42"/>
        <v>10000000000</v>
      </c>
      <c r="T280" s="1">
        <f>IFERROR(MATCH($C$36&amp;"|207",TAHSILAT!$U$7:$U$2503,0),0)</f>
        <v>0</v>
      </c>
      <c r="V280" s="1">
        <f t="shared" si="43"/>
        <v>10000000000</v>
      </c>
      <c r="W280" s="1">
        <f t="shared" si="44"/>
        <v>9</v>
      </c>
    </row>
    <row r="281" spans="2:23" ht="14.25" customHeight="1" x14ac:dyDescent="0.3">
      <c r="B281" s="65" t="str">
        <f t="shared" si="36"/>
        <v/>
      </c>
      <c r="C281" s="70" t="str">
        <f t="shared" si="37"/>
        <v/>
      </c>
      <c r="D281" s="74" t="str">
        <f t="shared" si="38"/>
        <v/>
      </c>
      <c r="F281" s="65" t="str">
        <f t="shared" si="39"/>
        <v/>
      </c>
      <c r="G281" s="68" t="str">
        <f t="shared" si="40"/>
        <v/>
      </c>
      <c r="H281" s="68" t="str">
        <f t="shared" si="41"/>
        <v/>
      </c>
      <c r="I281" s="68" t="str">
        <f t="shared" si="45"/>
        <v/>
      </c>
      <c r="M281" s="1">
        <v>244</v>
      </c>
      <c r="N281" s="1" t="str">
        <f>IF($T281=0,"",INDEX(TAHSILAT!$E$7:$E$2503,$T281))</f>
        <v/>
      </c>
      <c r="O281" s="1" t="str">
        <f>IF($N281="","",$C$36&amp;" – müşteriden tahsilat: "&amp;INDEX(TAHSILAT!$N$7:$N$2503,$T281)&amp;IF(INDEX(TAHSILAT!$J$7:$J$2503,$T281)="",""," – "&amp;INDEX(TAHSILAT!$J$7:$J$2503,$T281)))</f>
        <v/>
      </c>
      <c r="P281" s="1" t="str">
        <f t="shared" si="46"/>
        <v/>
      </c>
      <c r="Q281" s="1">
        <f>IF($N281="",0,INDEX(TAHSILAT!$F$7:$F$2503,$T281))</f>
        <v>0</v>
      </c>
      <c r="R281" s="1">
        <v>0</v>
      </c>
      <c r="S281" s="1">
        <f t="shared" si="42"/>
        <v>10000000000</v>
      </c>
      <c r="T281" s="1">
        <f>IFERROR(MATCH($C$36&amp;"|208",TAHSILAT!$U$7:$U$2503,0),0)</f>
        <v>0</v>
      </c>
      <c r="V281" s="1">
        <f t="shared" si="43"/>
        <v>10000000000</v>
      </c>
      <c r="W281" s="1">
        <f t="shared" si="44"/>
        <v>9</v>
      </c>
    </row>
    <row r="282" spans="2:23" ht="14.25" customHeight="1" x14ac:dyDescent="0.3">
      <c r="B282" s="65" t="str">
        <f t="shared" si="36"/>
        <v/>
      </c>
      <c r="C282" s="70" t="str">
        <f t="shared" si="37"/>
        <v/>
      </c>
      <c r="D282" s="74" t="str">
        <f t="shared" si="38"/>
        <v/>
      </c>
      <c r="F282" s="65" t="str">
        <f t="shared" si="39"/>
        <v/>
      </c>
      <c r="G282" s="68" t="str">
        <f t="shared" si="40"/>
        <v/>
      </c>
      <c r="H282" s="68" t="str">
        <f t="shared" si="41"/>
        <v/>
      </c>
      <c r="I282" s="68" t="str">
        <f t="shared" si="45"/>
        <v/>
      </c>
      <c r="M282" s="1">
        <v>245</v>
      </c>
      <c r="N282" s="1" t="str">
        <f>IF($T282=0,"",INDEX(TAHSILAT!$E$7:$E$2503,$T282))</f>
        <v/>
      </c>
      <c r="O282" s="1" t="str">
        <f>IF($N282="","",$C$36&amp;" – müşteriden tahsilat: "&amp;INDEX(TAHSILAT!$N$7:$N$2503,$T282)&amp;IF(INDEX(TAHSILAT!$J$7:$J$2503,$T282)="",""," – "&amp;INDEX(TAHSILAT!$J$7:$J$2503,$T282)))</f>
        <v/>
      </c>
      <c r="P282" s="1" t="str">
        <f t="shared" si="46"/>
        <v/>
      </c>
      <c r="Q282" s="1">
        <f>IF($N282="",0,INDEX(TAHSILAT!$F$7:$F$2503,$T282))</f>
        <v>0</v>
      </c>
      <c r="R282" s="1">
        <v>0</v>
      </c>
      <c r="S282" s="1">
        <f t="shared" si="42"/>
        <v>10000000000</v>
      </c>
      <c r="T282" s="1">
        <f>IFERROR(MATCH($C$36&amp;"|209",TAHSILAT!$U$7:$U$2503,0),0)</f>
        <v>0</v>
      </c>
      <c r="V282" s="1">
        <f t="shared" si="43"/>
        <v>10000000000</v>
      </c>
      <c r="W282" s="1">
        <f t="shared" si="44"/>
        <v>9</v>
      </c>
    </row>
    <row r="283" spans="2:23" ht="14.25" customHeight="1" x14ac:dyDescent="0.3">
      <c r="B283" s="65" t="str">
        <f t="shared" si="36"/>
        <v/>
      </c>
      <c r="C283" s="70" t="str">
        <f t="shared" si="37"/>
        <v/>
      </c>
      <c r="D283" s="74" t="str">
        <f t="shared" si="38"/>
        <v/>
      </c>
      <c r="F283" s="65" t="str">
        <f t="shared" si="39"/>
        <v/>
      </c>
      <c r="G283" s="68" t="str">
        <f t="shared" si="40"/>
        <v/>
      </c>
      <c r="H283" s="68" t="str">
        <f t="shared" si="41"/>
        <v/>
      </c>
      <c r="I283" s="68" t="str">
        <f t="shared" si="45"/>
        <v/>
      </c>
      <c r="M283" s="1">
        <v>246</v>
      </c>
      <c r="N283" s="1" t="str">
        <f>IF($T283=0,"",INDEX(TAHSILAT!$E$7:$E$2503,$T283))</f>
        <v/>
      </c>
      <c r="O283" s="1" t="str">
        <f>IF($N283="","",$C$36&amp;" – müşteriden tahsilat: "&amp;INDEX(TAHSILAT!$N$7:$N$2503,$T283)&amp;IF(INDEX(TAHSILAT!$J$7:$J$2503,$T283)="",""," – "&amp;INDEX(TAHSILAT!$J$7:$J$2503,$T283)))</f>
        <v/>
      </c>
      <c r="P283" s="1" t="str">
        <f t="shared" si="46"/>
        <v/>
      </c>
      <c r="Q283" s="1">
        <f>IF($N283="",0,INDEX(TAHSILAT!$F$7:$F$2503,$T283))</f>
        <v>0</v>
      </c>
      <c r="R283" s="1">
        <v>0</v>
      </c>
      <c r="S283" s="1">
        <f t="shared" si="42"/>
        <v>10000000000</v>
      </c>
      <c r="T283" s="1">
        <f>IFERROR(MATCH($C$36&amp;"|210",TAHSILAT!$U$7:$U$2503,0),0)</f>
        <v>0</v>
      </c>
      <c r="V283" s="1">
        <f t="shared" si="43"/>
        <v>10000000000</v>
      </c>
      <c r="W283" s="1">
        <f t="shared" si="44"/>
        <v>9</v>
      </c>
    </row>
    <row r="284" spans="2:23" ht="14.25" customHeight="1" x14ac:dyDescent="0.3">
      <c r="B284" s="65" t="str">
        <f t="shared" si="36"/>
        <v/>
      </c>
      <c r="C284" s="70" t="str">
        <f t="shared" si="37"/>
        <v/>
      </c>
      <c r="D284" s="74" t="str">
        <f t="shared" si="38"/>
        <v/>
      </c>
      <c r="F284" s="65" t="str">
        <f t="shared" si="39"/>
        <v/>
      </c>
      <c r="G284" s="68" t="str">
        <f t="shared" si="40"/>
        <v/>
      </c>
      <c r="H284" s="68" t="str">
        <f t="shared" si="41"/>
        <v/>
      </c>
      <c r="I284" s="68" t="str">
        <f t="shared" si="45"/>
        <v/>
      </c>
      <c r="M284" s="1">
        <v>247</v>
      </c>
      <c r="N284" s="1" t="str">
        <f>IF($T284=0,"",INDEX(TAHSILAT!$E$7:$E$2503,$T284))</f>
        <v/>
      </c>
      <c r="O284" s="1" t="str">
        <f>IF($N284="","",$C$36&amp;" – müşteriden tahsilat: "&amp;INDEX(TAHSILAT!$N$7:$N$2503,$T284)&amp;IF(INDEX(TAHSILAT!$J$7:$J$2503,$T284)="",""," – "&amp;INDEX(TAHSILAT!$J$7:$J$2503,$T284)))</f>
        <v/>
      </c>
      <c r="P284" s="1" t="str">
        <f t="shared" si="46"/>
        <v/>
      </c>
      <c r="Q284" s="1">
        <f>IF($N284="",0,INDEX(TAHSILAT!$F$7:$F$2503,$T284))</f>
        <v>0</v>
      </c>
      <c r="R284" s="1">
        <v>0</v>
      </c>
      <c r="S284" s="1">
        <f t="shared" si="42"/>
        <v>10000000000</v>
      </c>
      <c r="T284" s="1">
        <f>IFERROR(MATCH($C$36&amp;"|211",TAHSILAT!$U$7:$U$2503,0),0)</f>
        <v>0</v>
      </c>
      <c r="V284" s="1">
        <f t="shared" si="43"/>
        <v>10000000000</v>
      </c>
      <c r="W284" s="1">
        <f t="shared" si="44"/>
        <v>9</v>
      </c>
    </row>
    <row r="285" spans="2:23" ht="14.25" customHeight="1" x14ac:dyDescent="0.3">
      <c r="B285" s="65" t="str">
        <f t="shared" si="36"/>
        <v/>
      </c>
      <c r="C285" s="70" t="str">
        <f t="shared" si="37"/>
        <v/>
      </c>
      <c r="D285" s="74" t="str">
        <f t="shared" si="38"/>
        <v/>
      </c>
      <c r="F285" s="65" t="str">
        <f t="shared" si="39"/>
        <v/>
      </c>
      <c r="G285" s="68" t="str">
        <f t="shared" si="40"/>
        <v/>
      </c>
      <c r="H285" s="68" t="str">
        <f t="shared" si="41"/>
        <v/>
      </c>
      <c r="I285" s="68" t="str">
        <f t="shared" si="45"/>
        <v/>
      </c>
      <c r="M285" s="1">
        <v>248</v>
      </c>
      <c r="N285" s="1" t="str">
        <f>IF($T285=0,"",INDEX(TAHSILAT!$E$7:$E$2503,$T285))</f>
        <v/>
      </c>
      <c r="O285" s="1" t="str">
        <f>IF($N285="","",$C$36&amp;" – müşteriden tahsilat: "&amp;INDEX(TAHSILAT!$N$7:$N$2503,$T285)&amp;IF(INDEX(TAHSILAT!$J$7:$J$2503,$T285)="",""," – "&amp;INDEX(TAHSILAT!$J$7:$J$2503,$T285)))</f>
        <v/>
      </c>
      <c r="P285" s="1" t="str">
        <f t="shared" si="46"/>
        <v/>
      </c>
      <c r="Q285" s="1">
        <f>IF($N285="",0,INDEX(TAHSILAT!$F$7:$F$2503,$T285))</f>
        <v>0</v>
      </c>
      <c r="R285" s="1">
        <v>0</v>
      </c>
      <c r="S285" s="1">
        <f t="shared" si="42"/>
        <v>10000000000</v>
      </c>
      <c r="T285" s="1">
        <f>IFERROR(MATCH($C$36&amp;"|212",TAHSILAT!$U$7:$U$2503,0),0)</f>
        <v>0</v>
      </c>
      <c r="V285" s="1">
        <f t="shared" si="43"/>
        <v>10000000000</v>
      </c>
      <c r="W285" s="1">
        <f t="shared" si="44"/>
        <v>9</v>
      </c>
    </row>
    <row r="286" spans="2:23" ht="14.25" customHeight="1" x14ac:dyDescent="0.3">
      <c r="B286" s="65" t="str">
        <f t="shared" si="36"/>
        <v/>
      </c>
      <c r="C286" s="70" t="str">
        <f t="shared" si="37"/>
        <v/>
      </c>
      <c r="D286" s="74" t="str">
        <f t="shared" si="38"/>
        <v/>
      </c>
      <c r="F286" s="65" t="str">
        <f t="shared" si="39"/>
        <v/>
      </c>
      <c r="G286" s="68" t="str">
        <f t="shared" si="40"/>
        <v/>
      </c>
      <c r="H286" s="68" t="str">
        <f t="shared" si="41"/>
        <v/>
      </c>
      <c r="I286" s="68" t="str">
        <f t="shared" si="45"/>
        <v/>
      </c>
      <c r="M286" s="1">
        <v>249</v>
      </c>
      <c r="N286" s="1" t="str">
        <f>IF($T286=0,"",INDEX(TAHSILAT!$E$7:$E$2503,$T286))</f>
        <v/>
      </c>
      <c r="O286" s="1" t="str">
        <f>IF($N286="","",$C$36&amp;" – müşteriden tahsilat: "&amp;INDEX(TAHSILAT!$N$7:$N$2503,$T286)&amp;IF(INDEX(TAHSILAT!$J$7:$J$2503,$T286)="",""," – "&amp;INDEX(TAHSILAT!$J$7:$J$2503,$T286)))</f>
        <v/>
      </c>
      <c r="P286" s="1" t="str">
        <f t="shared" si="46"/>
        <v/>
      </c>
      <c r="Q286" s="1">
        <f>IF($N286="",0,INDEX(TAHSILAT!$F$7:$F$2503,$T286))</f>
        <v>0</v>
      </c>
      <c r="R286" s="1">
        <v>0</v>
      </c>
      <c r="S286" s="1">
        <f t="shared" si="42"/>
        <v>10000000000</v>
      </c>
      <c r="T286" s="1">
        <f>IFERROR(MATCH($C$36&amp;"|213",TAHSILAT!$U$7:$U$2503,0),0)</f>
        <v>0</v>
      </c>
      <c r="V286" s="1">
        <f t="shared" si="43"/>
        <v>10000000000</v>
      </c>
      <c r="W286" s="1">
        <f t="shared" si="44"/>
        <v>9</v>
      </c>
    </row>
    <row r="287" spans="2:23" ht="14.25" customHeight="1" x14ac:dyDescent="0.3">
      <c r="B287" s="65" t="str">
        <f t="shared" si="36"/>
        <v/>
      </c>
      <c r="C287" s="70" t="str">
        <f t="shared" si="37"/>
        <v/>
      </c>
      <c r="D287" s="74" t="str">
        <f t="shared" si="38"/>
        <v/>
      </c>
      <c r="F287" s="65" t="str">
        <f t="shared" si="39"/>
        <v/>
      </c>
      <c r="G287" s="68" t="str">
        <f t="shared" si="40"/>
        <v/>
      </c>
      <c r="H287" s="68" t="str">
        <f t="shared" si="41"/>
        <v/>
      </c>
      <c r="I287" s="68" t="str">
        <f t="shared" si="45"/>
        <v/>
      </c>
      <c r="M287" s="1">
        <v>250</v>
      </c>
      <c r="N287" s="1" t="str">
        <f>IF($T287=0,"",INDEX(TAHSILAT!$E$7:$E$2503,$T287))</f>
        <v/>
      </c>
      <c r="O287" s="1" t="str">
        <f>IF($N287="","",$C$36&amp;" – müşteriden tahsilat: "&amp;INDEX(TAHSILAT!$N$7:$N$2503,$T287)&amp;IF(INDEX(TAHSILAT!$J$7:$J$2503,$T287)="",""," – "&amp;INDEX(TAHSILAT!$J$7:$J$2503,$T287)))</f>
        <v/>
      </c>
      <c r="P287" s="1" t="str">
        <f t="shared" si="46"/>
        <v/>
      </c>
      <c r="Q287" s="1">
        <f>IF($N287="",0,INDEX(TAHSILAT!$F$7:$F$2503,$T287))</f>
        <v>0</v>
      </c>
      <c r="R287" s="1">
        <v>0</v>
      </c>
      <c r="S287" s="1">
        <f t="shared" si="42"/>
        <v>10000000000</v>
      </c>
      <c r="T287" s="1">
        <f>IFERROR(MATCH($C$36&amp;"|214",TAHSILAT!$U$7:$U$2503,0),0)</f>
        <v>0</v>
      </c>
      <c r="V287" s="1">
        <f t="shared" si="43"/>
        <v>10000000000</v>
      </c>
      <c r="W287" s="1">
        <f t="shared" si="44"/>
        <v>9</v>
      </c>
    </row>
    <row r="288" spans="2:23" ht="14.25" customHeight="1" x14ac:dyDescent="0.3">
      <c r="B288" s="65" t="str">
        <f t="shared" si="36"/>
        <v/>
      </c>
      <c r="C288" s="70" t="str">
        <f t="shared" si="37"/>
        <v/>
      </c>
      <c r="D288" s="74" t="str">
        <f t="shared" si="38"/>
        <v/>
      </c>
      <c r="F288" s="65" t="str">
        <f t="shared" si="39"/>
        <v/>
      </c>
      <c r="G288" s="68" t="str">
        <f t="shared" si="40"/>
        <v/>
      </c>
      <c r="H288" s="68" t="str">
        <f t="shared" si="41"/>
        <v/>
      </c>
      <c r="I288" s="68" t="str">
        <f t="shared" si="45"/>
        <v/>
      </c>
      <c r="M288" s="1">
        <v>251</v>
      </c>
      <c r="N288" s="1" t="str">
        <f>IF($T288=0,"",INDEX(TAHSILAT!$E$7:$E$2503,$T288))</f>
        <v/>
      </c>
      <c r="O288" s="1" t="str">
        <f>IF($N288="","",$C$36&amp;" – müşteriden tahsilat: "&amp;INDEX(TAHSILAT!$N$7:$N$2503,$T288)&amp;IF(INDEX(TAHSILAT!$J$7:$J$2503,$T288)="",""," – "&amp;INDEX(TAHSILAT!$J$7:$J$2503,$T288)))</f>
        <v/>
      </c>
      <c r="P288" s="1" t="str">
        <f t="shared" si="46"/>
        <v/>
      </c>
      <c r="Q288" s="1">
        <f>IF($N288="",0,INDEX(TAHSILAT!$F$7:$F$2503,$T288))</f>
        <v>0</v>
      </c>
      <c r="R288" s="1">
        <v>0</v>
      </c>
      <c r="S288" s="1">
        <f t="shared" si="42"/>
        <v>10000000000</v>
      </c>
      <c r="T288" s="1">
        <f>IFERROR(MATCH($C$36&amp;"|215",TAHSILAT!$U$7:$U$2503,0),0)</f>
        <v>0</v>
      </c>
      <c r="V288" s="1">
        <f t="shared" si="43"/>
        <v>10000000000</v>
      </c>
      <c r="W288" s="1">
        <f t="shared" si="44"/>
        <v>9</v>
      </c>
    </row>
    <row r="289" spans="2:23" ht="14.25" customHeight="1" x14ac:dyDescent="0.3">
      <c r="B289" s="65" t="str">
        <f t="shared" si="36"/>
        <v/>
      </c>
      <c r="C289" s="70" t="str">
        <f t="shared" si="37"/>
        <v/>
      </c>
      <c r="D289" s="74" t="str">
        <f t="shared" si="38"/>
        <v/>
      </c>
      <c r="F289" s="65" t="str">
        <f t="shared" si="39"/>
        <v/>
      </c>
      <c r="G289" s="68" t="str">
        <f t="shared" si="40"/>
        <v/>
      </c>
      <c r="H289" s="68" t="str">
        <f t="shared" si="41"/>
        <v/>
      </c>
      <c r="I289" s="68" t="str">
        <f t="shared" si="45"/>
        <v/>
      </c>
      <c r="M289" s="1">
        <v>252</v>
      </c>
      <c r="N289" s="1" t="str">
        <f>IF($T289=0,"",INDEX(TAHSILAT!$E$7:$E$2503,$T289))</f>
        <v/>
      </c>
      <c r="O289" s="1" t="str">
        <f>IF($N289="","",$C$36&amp;" – müşteriden tahsilat: "&amp;INDEX(TAHSILAT!$N$7:$N$2503,$T289)&amp;IF(INDEX(TAHSILAT!$J$7:$J$2503,$T289)="",""," – "&amp;INDEX(TAHSILAT!$J$7:$J$2503,$T289)))</f>
        <v/>
      </c>
      <c r="P289" s="1" t="str">
        <f t="shared" si="46"/>
        <v/>
      </c>
      <c r="Q289" s="1">
        <f>IF($N289="",0,INDEX(TAHSILAT!$F$7:$F$2503,$T289))</f>
        <v>0</v>
      </c>
      <c r="R289" s="1">
        <v>0</v>
      </c>
      <c r="S289" s="1">
        <f t="shared" si="42"/>
        <v>10000000000</v>
      </c>
      <c r="T289" s="1">
        <f>IFERROR(MATCH($C$36&amp;"|216",TAHSILAT!$U$7:$U$2503,0),0)</f>
        <v>0</v>
      </c>
      <c r="V289" s="1">
        <f t="shared" si="43"/>
        <v>10000000000</v>
      </c>
      <c r="W289" s="1">
        <f t="shared" si="44"/>
        <v>9</v>
      </c>
    </row>
    <row r="290" spans="2:23" ht="14.25" customHeight="1" x14ac:dyDescent="0.3">
      <c r="B290" s="65" t="str">
        <f t="shared" si="36"/>
        <v/>
      </c>
      <c r="C290" s="70" t="str">
        <f t="shared" si="37"/>
        <v/>
      </c>
      <c r="D290" s="74" t="str">
        <f t="shared" si="38"/>
        <v/>
      </c>
      <c r="F290" s="65" t="str">
        <f t="shared" si="39"/>
        <v/>
      </c>
      <c r="G290" s="68" t="str">
        <f t="shared" si="40"/>
        <v/>
      </c>
      <c r="H290" s="68" t="str">
        <f t="shared" si="41"/>
        <v/>
      </c>
      <c r="I290" s="68" t="str">
        <f t="shared" si="45"/>
        <v/>
      </c>
      <c r="M290" s="1">
        <v>253</v>
      </c>
      <c r="N290" s="1" t="str">
        <f>IF($T290=0,"",INDEX(TAHSILAT!$E$7:$E$2503,$T290))</f>
        <v/>
      </c>
      <c r="O290" s="1" t="str">
        <f>IF($N290="","",$C$36&amp;" – müşteriden tahsilat: "&amp;INDEX(TAHSILAT!$N$7:$N$2503,$T290)&amp;IF(INDEX(TAHSILAT!$J$7:$J$2503,$T290)="",""," – "&amp;INDEX(TAHSILAT!$J$7:$J$2503,$T290)))</f>
        <v/>
      </c>
      <c r="P290" s="1" t="str">
        <f t="shared" si="46"/>
        <v/>
      </c>
      <c r="Q290" s="1">
        <f>IF($N290="",0,INDEX(TAHSILAT!$F$7:$F$2503,$T290))</f>
        <v>0</v>
      </c>
      <c r="R290" s="1">
        <v>0</v>
      </c>
      <c r="S290" s="1">
        <f t="shared" si="42"/>
        <v>10000000000</v>
      </c>
      <c r="T290" s="1">
        <f>IFERROR(MATCH($C$36&amp;"|217",TAHSILAT!$U$7:$U$2503,0),0)</f>
        <v>0</v>
      </c>
      <c r="V290" s="1">
        <f t="shared" si="43"/>
        <v>10000000000</v>
      </c>
      <c r="W290" s="1">
        <f t="shared" si="44"/>
        <v>9</v>
      </c>
    </row>
    <row r="291" spans="2:23" ht="14.25" customHeight="1" x14ac:dyDescent="0.3">
      <c r="B291" s="65" t="str">
        <f t="shared" si="36"/>
        <v/>
      </c>
      <c r="C291" s="70" t="str">
        <f t="shared" si="37"/>
        <v/>
      </c>
      <c r="D291" s="74" t="str">
        <f t="shared" si="38"/>
        <v/>
      </c>
      <c r="F291" s="65" t="str">
        <f t="shared" si="39"/>
        <v/>
      </c>
      <c r="G291" s="68" t="str">
        <f t="shared" si="40"/>
        <v/>
      </c>
      <c r="H291" s="68" t="str">
        <f t="shared" si="41"/>
        <v/>
      </c>
      <c r="I291" s="68" t="str">
        <f t="shared" si="45"/>
        <v/>
      </c>
      <c r="M291" s="1">
        <v>254</v>
      </c>
      <c r="N291" s="1" t="str">
        <f>IF($T291=0,"",INDEX(TAHSILAT!$E$7:$E$2503,$T291))</f>
        <v/>
      </c>
      <c r="O291" s="1" t="str">
        <f>IF($N291="","",$C$36&amp;" – müşteriden tahsilat: "&amp;INDEX(TAHSILAT!$N$7:$N$2503,$T291)&amp;IF(INDEX(TAHSILAT!$J$7:$J$2503,$T291)="",""," – "&amp;INDEX(TAHSILAT!$J$7:$J$2503,$T291)))</f>
        <v/>
      </c>
      <c r="P291" s="1" t="str">
        <f t="shared" si="46"/>
        <v/>
      </c>
      <c r="Q291" s="1">
        <f>IF($N291="",0,INDEX(TAHSILAT!$F$7:$F$2503,$T291))</f>
        <v>0</v>
      </c>
      <c r="R291" s="1">
        <v>0</v>
      </c>
      <c r="S291" s="1">
        <f t="shared" si="42"/>
        <v>10000000000</v>
      </c>
      <c r="T291" s="1">
        <f>IFERROR(MATCH($C$36&amp;"|218",TAHSILAT!$U$7:$U$2503,0),0)</f>
        <v>0</v>
      </c>
      <c r="V291" s="1">
        <f t="shared" si="43"/>
        <v>10000000000</v>
      </c>
      <c r="W291" s="1">
        <f t="shared" si="44"/>
        <v>9</v>
      </c>
    </row>
    <row r="292" spans="2:23" ht="14.25" customHeight="1" x14ac:dyDescent="0.3">
      <c r="B292" s="65" t="str">
        <f t="shared" si="36"/>
        <v/>
      </c>
      <c r="C292" s="70" t="str">
        <f t="shared" si="37"/>
        <v/>
      </c>
      <c r="D292" s="74" t="str">
        <f t="shared" si="38"/>
        <v/>
      </c>
      <c r="F292" s="65" t="str">
        <f t="shared" si="39"/>
        <v/>
      </c>
      <c r="G292" s="68" t="str">
        <f t="shared" si="40"/>
        <v/>
      </c>
      <c r="H292" s="68" t="str">
        <f t="shared" si="41"/>
        <v/>
      </c>
      <c r="I292" s="68" t="str">
        <f t="shared" si="45"/>
        <v/>
      </c>
      <c r="M292" s="1">
        <v>255</v>
      </c>
      <c r="N292" s="1" t="str">
        <f>IF($T292=0,"",INDEX(TAHSILAT!$E$7:$E$2503,$T292))</f>
        <v/>
      </c>
      <c r="O292" s="1" t="str">
        <f>IF($N292="","",$C$36&amp;" – müşteriden tahsilat: "&amp;INDEX(TAHSILAT!$N$7:$N$2503,$T292)&amp;IF(INDEX(TAHSILAT!$J$7:$J$2503,$T292)="",""," – "&amp;INDEX(TAHSILAT!$J$7:$J$2503,$T292)))</f>
        <v/>
      </c>
      <c r="P292" s="1" t="str">
        <f t="shared" si="46"/>
        <v/>
      </c>
      <c r="Q292" s="1">
        <f>IF($N292="",0,INDEX(TAHSILAT!$F$7:$F$2503,$T292))</f>
        <v>0</v>
      </c>
      <c r="R292" s="1">
        <v>0</v>
      </c>
      <c r="S292" s="1">
        <f t="shared" si="42"/>
        <v>10000000000</v>
      </c>
      <c r="T292" s="1">
        <f>IFERROR(MATCH($C$36&amp;"|219",TAHSILAT!$U$7:$U$2503,0),0)</f>
        <v>0</v>
      </c>
      <c r="V292" s="1">
        <f t="shared" si="43"/>
        <v>10000000000</v>
      </c>
      <c r="W292" s="1">
        <f t="shared" si="44"/>
        <v>9</v>
      </c>
    </row>
    <row r="293" spans="2:23" ht="14.25" customHeight="1" x14ac:dyDescent="0.3">
      <c r="B293" s="65" t="str">
        <f t="shared" si="36"/>
        <v/>
      </c>
      <c r="C293" s="70" t="str">
        <f t="shared" si="37"/>
        <v/>
      </c>
      <c r="D293" s="74" t="str">
        <f t="shared" si="38"/>
        <v/>
      </c>
      <c r="F293" s="65" t="str">
        <f t="shared" si="39"/>
        <v/>
      </c>
      <c r="G293" s="68" t="str">
        <f t="shared" si="40"/>
        <v/>
      </c>
      <c r="H293" s="68" t="str">
        <f t="shared" si="41"/>
        <v/>
      </c>
      <c r="I293" s="68" t="str">
        <f t="shared" si="45"/>
        <v/>
      </c>
      <c r="M293" s="1">
        <v>256</v>
      </c>
      <c r="N293" s="1" t="str">
        <f>IF($T293=0,"",INDEX(TAHSILAT!$E$7:$E$2503,$T293))</f>
        <v/>
      </c>
      <c r="O293" s="1" t="str">
        <f>IF($N293="","",$C$36&amp;" – müşteriden tahsilat: "&amp;INDEX(TAHSILAT!$N$7:$N$2503,$T293)&amp;IF(INDEX(TAHSILAT!$J$7:$J$2503,$T293)="",""," – "&amp;INDEX(TAHSILAT!$J$7:$J$2503,$T293)))</f>
        <v/>
      </c>
      <c r="P293" s="1" t="str">
        <f t="shared" si="46"/>
        <v/>
      </c>
      <c r="Q293" s="1">
        <f>IF($N293="",0,INDEX(TAHSILAT!$F$7:$F$2503,$T293))</f>
        <v>0</v>
      </c>
      <c r="R293" s="1">
        <v>0</v>
      </c>
      <c r="S293" s="1">
        <f t="shared" si="42"/>
        <v>10000000000</v>
      </c>
      <c r="T293" s="1">
        <f>IFERROR(MATCH($C$36&amp;"|220",TAHSILAT!$U$7:$U$2503,0),0)</f>
        <v>0</v>
      </c>
      <c r="V293" s="1">
        <f t="shared" si="43"/>
        <v>10000000000</v>
      </c>
      <c r="W293" s="1">
        <f t="shared" si="44"/>
        <v>9</v>
      </c>
    </row>
    <row r="294" spans="2:23" ht="14.25" customHeight="1" x14ac:dyDescent="0.3">
      <c r="B294" s="65" t="str">
        <f t="shared" ref="B294:B357" si="47">IF($C294="","",ROW()-37)</f>
        <v/>
      </c>
      <c r="C294" s="70" t="str">
        <f t="shared" ref="C294:C357" si="48">IF($W294="","",IF(INDEX($N$38:$N$953,$W294)="","",INDEX($N$38:$N$953,$W294)))</f>
        <v/>
      </c>
      <c r="D294" s="74" t="str">
        <f t="shared" ref="D294:D357" si="49">IF($C294="","",INDEX($O$38:$O$953,$W294))</f>
        <v/>
      </c>
      <c r="F294" s="65" t="str">
        <f t="shared" ref="F294:F357" si="50">IF($C294="","",INDEX($P$38:$P$953,$W294))</f>
        <v/>
      </c>
      <c r="G294" s="68" t="str">
        <f t="shared" ref="G294:G357" si="51">IF($C294="","",INDEX($Q$38:$Q$953,$W294))</f>
        <v/>
      </c>
      <c r="H294" s="68" t="str">
        <f t="shared" ref="H294:H357" si="52">IF($C294="","",INDEX($R$38:$R$953,$W294))</f>
        <v/>
      </c>
      <c r="I294" s="68" t="str">
        <f t="shared" si="45"/>
        <v/>
      </c>
      <c r="M294" s="1">
        <v>257</v>
      </c>
      <c r="N294" s="1" t="str">
        <f>IF($T294=0,"",INDEX(TAHSILAT!$E$7:$E$2503,$T294))</f>
        <v/>
      </c>
      <c r="O294" s="1" t="str">
        <f>IF($N294="","",$C$36&amp;" – müşteriden tahsilat: "&amp;INDEX(TAHSILAT!$N$7:$N$2503,$T294)&amp;IF(INDEX(TAHSILAT!$J$7:$J$2503,$T294)="",""," – "&amp;INDEX(TAHSILAT!$J$7:$J$2503,$T294)))</f>
        <v/>
      </c>
      <c r="P294" s="1" t="str">
        <f t="shared" si="46"/>
        <v/>
      </c>
      <c r="Q294" s="1">
        <f>IF($N294="",0,INDEX(TAHSILAT!$F$7:$F$2503,$T294))</f>
        <v>0</v>
      </c>
      <c r="R294" s="1">
        <v>0</v>
      </c>
      <c r="S294" s="1">
        <f t="shared" ref="S294:S357" si="53">IF($N294="",10000000000,$N294*100000+$M294)</f>
        <v>10000000000</v>
      </c>
      <c r="T294" s="1">
        <f>IFERROR(MATCH($C$36&amp;"|221",TAHSILAT!$U$7:$U$2503,0),0)</f>
        <v>0</v>
      </c>
      <c r="V294" s="1">
        <f t="shared" ref="V294:V357" si="54">IFERROR(SMALL($S$38:$S$953,ROW()-37),"")</f>
        <v>10000000000</v>
      </c>
      <c r="W294" s="1">
        <f t="shared" ref="W294:W357" si="55">IFERROR(MATCH($V294,$S$38:$S$953,0),"")</f>
        <v>9</v>
      </c>
    </row>
    <row r="295" spans="2:23" ht="14.25" customHeight="1" x14ac:dyDescent="0.3">
      <c r="B295" s="65" t="str">
        <f t="shared" si="47"/>
        <v/>
      </c>
      <c r="C295" s="70" t="str">
        <f t="shared" si="48"/>
        <v/>
      </c>
      <c r="D295" s="74" t="str">
        <f t="shared" si="49"/>
        <v/>
      </c>
      <c r="F295" s="65" t="str">
        <f t="shared" si="50"/>
        <v/>
      </c>
      <c r="G295" s="68" t="str">
        <f t="shared" si="51"/>
        <v/>
      </c>
      <c r="H295" s="68" t="str">
        <f t="shared" si="52"/>
        <v/>
      </c>
      <c r="I295" s="68" t="str">
        <f t="shared" ref="I295:I358" si="56">IF($C295="","",N($I294)+$G295-$H295)</f>
        <v/>
      </c>
      <c r="M295" s="1">
        <v>258</v>
      </c>
      <c r="N295" s="1" t="str">
        <f>IF($T295=0,"",INDEX(TAHSILAT!$E$7:$E$2503,$T295))</f>
        <v/>
      </c>
      <c r="O295" s="1" t="str">
        <f>IF($N295="","",$C$36&amp;" – müşteriden tahsilat: "&amp;INDEX(TAHSILAT!$N$7:$N$2503,$T295)&amp;IF(INDEX(TAHSILAT!$J$7:$J$2503,$T295)="",""," – "&amp;INDEX(TAHSILAT!$J$7:$J$2503,$T295)))</f>
        <v/>
      </c>
      <c r="P295" s="1" t="str">
        <f t="shared" si="46"/>
        <v/>
      </c>
      <c r="Q295" s="1">
        <f>IF($N295="",0,INDEX(TAHSILAT!$F$7:$F$2503,$T295))</f>
        <v>0</v>
      </c>
      <c r="R295" s="1">
        <v>0</v>
      </c>
      <c r="S295" s="1">
        <f t="shared" si="53"/>
        <v>10000000000</v>
      </c>
      <c r="T295" s="1">
        <f>IFERROR(MATCH($C$36&amp;"|222",TAHSILAT!$U$7:$U$2503,0),0)</f>
        <v>0</v>
      </c>
      <c r="V295" s="1">
        <f t="shared" si="54"/>
        <v>10000000000</v>
      </c>
      <c r="W295" s="1">
        <f t="shared" si="55"/>
        <v>9</v>
      </c>
    </row>
    <row r="296" spans="2:23" ht="14.25" customHeight="1" x14ac:dyDescent="0.3">
      <c r="B296" s="65" t="str">
        <f t="shared" si="47"/>
        <v/>
      </c>
      <c r="C296" s="70" t="str">
        <f t="shared" si="48"/>
        <v/>
      </c>
      <c r="D296" s="74" t="str">
        <f t="shared" si="49"/>
        <v/>
      </c>
      <c r="F296" s="65" t="str">
        <f t="shared" si="50"/>
        <v/>
      </c>
      <c r="G296" s="68" t="str">
        <f t="shared" si="51"/>
        <v/>
      </c>
      <c r="H296" s="68" t="str">
        <f t="shared" si="52"/>
        <v/>
      </c>
      <c r="I296" s="68" t="str">
        <f t="shared" si="56"/>
        <v/>
      </c>
      <c r="M296" s="1">
        <v>259</v>
      </c>
      <c r="N296" s="1" t="str">
        <f>IF($T296=0,"",INDEX(TAHSILAT!$E$7:$E$2503,$T296))</f>
        <v/>
      </c>
      <c r="O296" s="1" t="str">
        <f>IF($N296="","",$C$36&amp;" – müşteriden tahsilat: "&amp;INDEX(TAHSILAT!$N$7:$N$2503,$T296)&amp;IF(INDEX(TAHSILAT!$J$7:$J$2503,$T296)="",""," – "&amp;INDEX(TAHSILAT!$J$7:$J$2503,$T296)))</f>
        <v/>
      </c>
      <c r="P296" s="1" t="str">
        <f t="shared" si="46"/>
        <v/>
      </c>
      <c r="Q296" s="1">
        <f>IF($N296="",0,INDEX(TAHSILAT!$F$7:$F$2503,$T296))</f>
        <v>0</v>
      </c>
      <c r="R296" s="1">
        <v>0</v>
      </c>
      <c r="S296" s="1">
        <f t="shared" si="53"/>
        <v>10000000000</v>
      </c>
      <c r="T296" s="1">
        <f>IFERROR(MATCH($C$36&amp;"|223",TAHSILAT!$U$7:$U$2503,0),0)</f>
        <v>0</v>
      </c>
      <c r="V296" s="1">
        <f t="shared" si="54"/>
        <v>10000000000</v>
      </c>
      <c r="W296" s="1">
        <f t="shared" si="55"/>
        <v>9</v>
      </c>
    </row>
    <row r="297" spans="2:23" ht="14.25" customHeight="1" x14ac:dyDescent="0.3">
      <c r="B297" s="65" t="str">
        <f t="shared" si="47"/>
        <v/>
      </c>
      <c r="C297" s="70" t="str">
        <f t="shared" si="48"/>
        <v/>
      </c>
      <c r="D297" s="74" t="str">
        <f t="shared" si="49"/>
        <v/>
      </c>
      <c r="F297" s="65" t="str">
        <f t="shared" si="50"/>
        <v/>
      </c>
      <c r="G297" s="68" t="str">
        <f t="shared" si="51"/>
        <v/>
      </c>
      <c r="H297" s="68" t="str">
        <f t="shared" si="52"/>
        <v/>
      </c>
      <c r="I297" s="68" t="str">
        <f t="shared" si="56"/>
        <v/>
      </c>
      <c r="M297" s="1">
        <v>260</v>
      </c>
      <c r="N297" s="1" t="str">
        <f>IF($T297=0,"",INDEX(TAHSILAT!$E$7:$E$2503,$T297))</f>
        <v/>
      </c>
      <c r="O297" s="1" t="str">
        <f>IF($N297="","",$C$36&amp;" – müşteriden tahsilat: "&amp;INDEX(TAHSILAT!$N$7:$N$2503,$T297)&amp;IF(INDEX(TAHSILAT!$J$7:$J$2503,$T297)="",""," – "&amp;INDEX(TAHSILAT!$J$7:$J$2503,$T297)))</f>
        <v/>
      </c>
      <c r="P297" s="1" t="str">
        <f t="shared" si="46"/>
        <v/>
      </c>
      <c r="Q297" s="1">
        <f>IF($N297="",0,INDEX(TAHSILAT!$F$7:$F$2503,$T297))</f>
        <v>0</v>
      </c>
      <c r="R297" s="1">
        <v>0</v>
      </c>
      <c r="S297" s="1">
        <f t="shared" si="53"/>
        <v>10000000000</v>
      </c>
      <c r="T297" s="1">
        <f>IFERROR(MATCH($C$36&amp;"|224",TAHSILAT!$U$7:$U$2503,0),0)</f>
        <v>0</v>
      </c>
      <c r="V297" s="1">
        <f t="shared" si="54"/>
        <v>10000000000</v>
      </c>
      <c r="W297" s="1">
        <f t="shared" si="55"/>
        <v>9</v>
      </c>
    </row>
    <row r="298" spans="2:23" ht="14.25" customHeight="1" x14ac:dyDescent="0.3">
      <c r="B298" s="65" t="str">
        <f t="shared" si="47"/>
        <v/>
      </c>
      <c r="C298" s="70" t="str">
        <f t="shared" si="48"/>
        <v/>
      </c>
      <c r="D298" s="74" t="str">
        <f t="shared" si="49"/>
        <v/>
      </c>
      <c r="F298" s="65" t="str">
        <f t="shared" si="50"/>
        <v/>
      </c>
      <c r="G298" s="68" t="str">
        <f t="shared" si="51"/>
        <v/>
      </c>
      <c r="H298" s="68" t="str">
        <f t="shared" si="52"/>
        <v/>
      </c>
      <c r="I298" s="68" t="str">
        <f t="shared" si="56"/>
        <v/>
      </c>
      <c r="M298" s="1">
        <v>261</v>
      </c>
      <c r="N298" s="1" t="str">
        <f>IF($T298=0,"",INDEX(TAHSILAT!$E$7:$E$2503,$T298))</f>
        <v/>
      </c>
      <c r="O298" s="1" t="str">
        <f>IF($N298="","",$C$36&amp;" – müşteriden tahsilat: "&amp;INDEX(TAHSILAT!$N$7:$N$2503,$T298)&amp;IF(INDEX(TAHSILAT!$J$7:$J$2503,$T298)="",""," – "&amp;INDEX(TAHSILAT!$J$7:$J$2503,$T298)))</f>
        <v/>
      </c>
      <c r="P298" s="1" t="str">
        <f t="shared" si="46"/>
        <v/>
      </c>
      <c r="Q298" s="1">
        <f>IF($N298="",0,INDEX(TAHSILAT!$F$7:$F$2503,$T298))</f>
        <v>0</v>
      </c>
      <c r="R298" s="1">
        <v>0</v>
      </c>
      <c r="S298" s="1">
        <f t="shared" si="53"/>
        <v>10000000000</v>
      </c>
      <c r="T298" s="1">
        <f>IFERROR(MATCH($C$36&amp;"|225",TAHSILAT!$U$7:$U$2503,0),0)</f>
        <v>0</v>
      </c>
      <c r="V298" s="1">
        <f t="shared" si="54"/>
        <v>10000000000</v>
      </c>
      <c r="W298" s="1">
        <f t="shared" si="55"/>
        <v>9</v>
      </c>
    </row>
    <row r="299" spans="2:23" ht="14.25" customHeight="1" x14ac:dyDescent="0.3">
      <c r="B299" s="65" t="str">
        <f t="shared" si="47"/>
        <v/>
      </c>
      <c r="C299" s="70" t="str">
        <f t="shared" si="48"/>
        <v/>
      </c>
      <c r="D299" s="74" t="str">
        <f t="shared" si="49"/>
        <v/>
      </c>
      <c r="F299" s="65" t="str">
        <f t="shared" si="50"/>
        <v/>
      </c>
      <c r="G299" s="68" t="str">
        <f t="shared" si="51"/>
        <v/>
      </c>
      <c r="H299" s="68" t="str">
        <f t="shared" si="52"/>
        <v/>
      </c>
      <c r="I299" s="68" t="str">
        <f t="shared" si="56"/>
        <v/>
      </c>
      <c r="M299" s="1">
        <v>262</v>
      </c>
      <c r="N299" s="1" t="str">
        <f>IF($T299=0,"",INDEX(TAHSILAT!$E$7:$E$2503,$T299))</f>
        <v/>
      </c>
      <c r="O299" s="1" t="str">
        <f>IF($N299="","",$C$36&amp;" – müşteriden tahsilat: "&amp;INDEX(TAHSILAT!$N$7:$N$2503,$T299)&amp;IF(INDEX(TAHSILAT!$J$7:$J$2503,$T299)="",""," – "&amp;INDEX(TAHSILAT!$J$7:$J$2503,$T299)))</f>
        <v/>
      </c>
      <c r="P299" s="1" t="str">
        <f t="shared" si="46"/>
        <v/>
      </c>
      <c r="Q299" s="1">
        <f>IF($N299="",0,INDEX(TAHSILAT!$F$7:$F$2503,$T299))</f>
        <v>0</v>
      </c>
      <c r="R299" s="1">
        <v>0</v>
      </c>
      <c r="S299" s="1">
        <f t="shared" si="53"/>
        <v>10000000000</v>
      </c>
      <c r="T299" s="1">
        <f>IFERROR(MATCH($C$36&amp;"|226",TAHSILAT!$U$7:$U$2503,0),0)</f>
        <v>0</v>
      </c>
      <c r="V299" s="1">
        <f t="shared" si="54"/>
        <v>10000000000</v>
      </c>
      <c r="W299" s="1">
        <f t="shared" si="55"/>
        <v>9</v>
      </c>
    </row>
    <row r="300" spans="2:23" ht="14.25" customHeight="1" x14ac:dyDescent="0.3">
      <c r="B300" s="65" t="str">
        <f t="shared" si="47"/>
        <v/>
      </c>
      <c r="C300" s="70" t="str">
        <f t="shared" si="48"/>
        <v/>
      </c>
      <c r="D300" s="74" t="str">
        <f t="shared" si="49"/>
        <v/>
      </c>
      <c r="F300" s="65" t="str">
        <f t="shared" si="50"/>
        <v/>
      </c>
      <c r="G300" s="68" t="str">
        <f t="shared" si="51"/>
        <v/>
      </c>
      <c r="H300" s="68" t="str">
        <f t="shared" si="52"/>
        <v/>
      </c>
      <c r="I300" s="68" t="str">
        <f t="shared" si="56"/>
        <v/>
      </c>
      <c r="M300" s="1">
        <v>263</v>
      </c>
      <c r="N300" s="1" t="str">
        <f>IF($T300=0,"",INDEX(TAHSILAT!$E$7:$E$2503,$T300))</f>
        <v/>
      </c>
      <c r="O300" s="1" t="str">
        <f>IF($N300="","",$C$36&amp;" – müşteriden tahsilat: "&amp;INDEX(TAHSILAT!$N$7:$N$2503,$T300)&amp;IF(INDEX(TAHSILAT!$J$7:$J$2503,$T300)="",""," – "&amp;INDEX(TAHSILAT!$J$7:$J$2503,$T300)))</f>
        <v/>
      </c>
      <c r="P300" s="1" t="str">
        <f t="shared" si="46"/>
        <v/>
      </c>
      <c r="Q300" s="1">
        <f>IF($N300="",0,INDEX(TAHSILAT!$F$7:$F$2503,$T300))</f>
        <v>0</v>
      </c>
      <c r="R300" s="1">
        <v>0</v>
      </c>
      <c r="S300" s="1">
        <f t="shared" si="53"/>
        <v>10000000000</v>
      </c>
      <c r="T300" s="1">
        <f>IFERROR(MATCH($C$36&amp;"|227",TAHSILAT!$U$7:$U$2503,0),0)</f>
        <v>0</v>
      </c>
      <c r="V300" s="1">
        <f t="shared" si="54"/>
        <v>10000000000</v>
      </c>
      <c r="W300" s="1">
        <f t="shared" si="55"/>
        <v>9</v>
      </c>
    </row>
    <row r="301" spans="2:23" ht="14.25" customHeight="1" x14ac:dyDescent="0.3">
      <c r="B301" s="65" t="str">
        <f t="shared" si="47"/>
        <v/>
      </c>
      <c r="C301" s="70" t="str">
        <f t="shared" si="48"/>
        <v/>
      </c>
      <c r="D301" s="74" t="str">
        <f t="shared" si="49"/>
        <v/>
      </c>
      <c r="F301" s="65" t="str">
        <f t="shared" si="50"/>
        <v/>
      </c>
      <c r="G301" s="68" t="str">
        <f t="shared" si="51"/>
        <v/>
      </c>
      <c r="H301" s="68" t="str">
        <f t="shared" si="52"/>
        <v/>
      </c>
      <c r="I301" s="68" t="str">
        <f t="shared" si="56"/>
        <v/>
      </c>
      <c r="M301" s="1">
        <v>264</v>
      </c>
      <c r="N301" s="1" t="str">
        <f>IF($T301=0,"",INDEX(TAHSILAT!$E$7:$E$2503,$T301))</f>
        <v/>
      </c>
      <c r="O301" s="1" t="str">
        <f>IF($N301="","",$C$36&amp;" – müşteriden tahsilat: "&amp;INDEX(TAHSILAT!$N$7:$N$2503,$T301)&amp;IF(INDEX(TAHSILAT!$J$7:$J$2503,$T301)="",""," – "&amp;INDEX(TAHSILAT!$J$7:$J$2503,$T301)))</f>
        <v/>
      </c>
      <c r="P301" s="1" t="str">
        <f t="shared" si="46"/>
        <v/>
      </c>
      <c r="Q301" s="1">
        <f>IF($N301="",0,INDEX(TAHSILAT!$F$7:$F$2503,$T301))</f>
        <v>0</v>
      </c>
      <c r="R301" s="1">
        <v>0</v>
      </c>
      <c r="S301" s="1">
        <f t="shared" si="53"/>
        <v>10000000000</v>
      </c>
      <c r="T301" s="1">
        <f>IFERROR(MATCH($C$36&amp;"|228",TAHSILAT!$U$7:$U$2503,0),0)</f>
        <v>0</v>
      </c>
      <c r="V301" s="1">
        <f t="shared" si="54"/>
        <v>10000000000</v>
      </c>
      <c r="W301" s="1">
        <f t="shared" si="55"/>
        <v>9</v>
      </c>
    </row>
    <row r="302" spans="2:23" ht="14.25" customHeight="1" x14ac:dyDescent="0.3">
      <c r="B302" s="65" t="str">
        <f t="shared" si="47"/>
        <v/>
      </c>
      <c r="C302" s="70" t="str">
        <f t="shared" si="48"/>
        <v/>
      </c>
      <c r="D302" s="74" t="str">
        <f t="shared" si="49"/>
        <v/>
      </c>
      <c r="F302" s="65" t="str">
        <f t="shared" si="50"/>
        <v/>
      </c>
      <c r="G302" s="68" t="str">
        <f t="shared" si="51"/>
        <v/>
      </c>
      <c r="H302" s="68" t="str">
        <f t="shared" si="52"/>
        <v/>
      </c>
      <c r="I302" s="68" t="str">
        <f t="shared" si="56"/>
        <v/>
      </c>
      <c r="M302" s="1">
        <v>265</v>
      </c>
      <c r="N302" s="1" t="str">
        <f>IF($T302=0,"",INDEX(TAHSILAT!$E$7:$E$2503,$T302))</f>
        <v/>
      </c>
      <c r="O302" s="1" t="str">
        <f>IF($N302="","",$C$36&amp;" – müşteriden tahsilat: "&amp;INDEX(TAHSILAT!$N$7:$N$2503,$T302)&amp;IF(INDEX(TAHSILAT!$J$7:$J$2503,$T302)="",""," – "&amp;INDEX(TAHSILAT!$J$7:$J$2503,$T302)))</f>
        <v/>
      </c>
      <c r="P302" s="1" t="str">
        <f t="shared" si="46"/>
        <v/>
      </c>
      <c r="Q302" s="1">
        <f>IF($N302="",0,INDEX(TAHSILAT!$F$7:$F$2503,$T302))</f>
        <v>0</v>
      </c>
      <c r="R302" s="1">
        <v>0</v>
      </c>
      <c r="S302" s="1">
        <f t="shared" si="53"/>
        <v>10000000000</v>
      </c>
      <c r="T302" s="1">
        <f>IFERROR(MATCH($C$36&amp;"|229",TAHSILAT!$U$7:$U$2503,0),0)</f>
        <v>0</v>
      </c>
      <c r="V302" s="1">
        <f t="shared" si="54"/>
        <v>10000000000</v>
      </c>
      <c r="W302" s="1">
        <f t="shared" si="55"/>
        <v>9</v>
      </c>
    </row>
    <row r="303" spans="2:23" ht="14.25" customHeight="1" x14ac:dyDescent="0.3">
      <c r="B303" s="65" t="str">
        <f t="shared" si="47"/>
        <v/>
      </c>
      <c r="C303" s="70" t="str">
        <f t="shared" si="48"/>
        <v/>
      </c>
      <c r="D303" s="74" t="str">
        <f t="shared" si="49"/>
        <v/>
      </c>
      <c r="F303" s="65" t="str">
        <f t="shared" si="50"/>
        <v/>
      </c>
      <c r="G303" s="68" t="str">
        <f t="shared" si="51"/>
        <v/>
      </c>
      <c r="H303" s="68" t="str">
        <f t="shared" si="52"/>
        <v/>
      </c>
      <c r="I303" s="68" t="str">
        <f t="shared" si="56"/>
        <v/>
      </c>
      <c r="M303" s="1">
        <v>266</v>
      </c>
      <c r="N303" s="1" t="str">
        <f>IF($T303=0,"",INDEX(TAHSILAT!$E$7:$E$2503,$T303))</f>
        <v/>
      </c>
      <c r="O303" s="1" t="str">
        <f>IF($N303="","",$C$36&amp;" – müşteriden tahsilat: "&amp;INDEX(TAHSILAT!$N$7:$N$2503,$T303)&amp;IF(INDEX(TAHSILAT!$J$7:$J$2503,$T303)="",""," – "&amp;INDEX(TAHSILAT!$J$7:$J$2503,$T303)))</f>
        <v/>
      </c>
      <c r="P303" s="1" t="str">
        <f t="shared" si="46"/>
        <v/>
      </c>
      <c r="Q303" s="1">
        <f>IF($N303="",0,INDEX(TAHSILAT!$F$7:$F$2503,$T303))</f>
        <v>0</v>
      </c>
      <c r="R303" s="1">
        <v>0</v>
      </c>
      <c r="S303" s="1">
        <f t="shared" si="53"/>
        <v>10000000000</v>
      </c>
      <c r="T303" s="1">
        <f>IFERROR(MATCH($C$36&amp;"|230",TAHSILAT!$U$7:$U$2503,0),0)</f>
        <v>0</v>
      </c>
      <c r="V303" s="1">
        <f t="shared" si="54"/>
        <v>10000000000</v>
      </c>
      <c r="W303" s="1">
        <f t="shared" si="55"/>
        <v>9</v>
      </c>
    </row>
    <row r="304" spans="2:23" ht="14.25" customHeight="1" x14ac:dyDescent="0.3">
      <c r="B304" s="65" t="str">
        <f t="shared" si="47"/>
        <v/>
      </c>
      <c r="C304" s="70" t="str">
        <f t="shared" si="48"/>
        <v/>
      </c>
      <c r="D304" s="74" t="str">
        <f t="shared" si="49"/>
        <v/>
      </c>
      <c r="F304" s="65" t="str">
        <f t="shared" si="50"/>
        <v/>
      </c>
      <c r="G304" s="68" t="str">
        <f t="shared" si="51"/>
        <v/>
      </c>
      <c r="H304" s="68" t="str">
        <f t="shared" si="52"/>
        <v/>
      </c>
      <c r="I304" s="68" t="str">
        <f t="shared" si="56"/>
        <v/>
      </c>
      <c r="M304" s="1">
        <v>267</v>
      </c>
      <c r="N304" s="1" t="str">
        <f>IF($T304=0,"",INDEX(TAHSILAT!$E$7:$E$2503,$T304))</f>
        <v/>
      </c>
      <c r="O304" s="1" t="str">
        <f>IF($N304="","",$C$36&amp;" – müşteriden tahsilat: "&amp;INDEX(TAHSILAT!$N$7:$N$2503,$T304)&amp;IF(INDEX(TAHSILAT!$J$7:$J$2503,$T304)="",""," – "&amp;INDEX(TAHSILAT!$J$7:$J$2503,$T304)))</f>
        <v/>
      </c>
      <c r="P304" s="1" t="str">
        <f t="shared" si="46"/>
        <v/>
      </c>
      <c r="Q304" s="1">
        <f>IF($N304="",0,INDEX(TAHSILAT!$F$7:$F$2503,$T304))</f>
        <v>0</v>
      </c>
      <c r="R304" s="1">
        <v>0</v>
      </c>
      <c r="S304" s="1">
        <f t="shared" si="53"/>
        <v>10000000000</v>
      </c>
      <c r="T304" s="1">
        <f>IFERROR(MATCH($C$36&amp;"|231",TAHSILAT!$U$7:$U$2503,0),0)</f>
        <v>0</v>
      </c>
      <c r="V304" s="1">
        <f t="shared" si="54"/>
        <v>10000000000</v>
      </c>
      <c r="W304" s="1">
        <f t="shared" si="55"/>
        <v>9</v>
      </c>
    </row>
    <row r="305" spans="2:23" ht="14.25" customHeight="1" x14ac:dyDescent="0.3">
      <c r="B305" s="65" t="str">
        <f t="shared" si="47"/>
        <v/>
      </c>
      <c r="C305" s="70" t="str">
        <f t="shared" si="48"/>
        <v/>
      </c>
      <c r="D305" s="74" t="str">
        <f t="shared" si="49"/>
        <v/>
      </c>
      <c r="F305" s="65" t="str">
        <f t="shared" si="50"/>
        <v/>
      </c>
      <c r="G305" s="68" t="str">
        <f t="shared" si="51"/>
        <v/>
      </c>
      <c r="H305" s="68" t="str">
        <f t="shared" si="52"/>
        <v/>
      </c>
      <c r="I305" s="68" t="str">
        <f t="shared" si="56"/>
        <v/>
      </c>
      <c r="M305" s="1">
        <v>268</v>
      </c>
      <c r="N305" s="1" t="str">
        <f>IF($T305=0,"",INDEX(TAHSILAT!$E$7:$E$2503,$T305))</f>
        <v/>
      </c>
      <c r="O305" s="1" t="str">
        <f>IF($N305="","",$C$36&amp;" – müşteriden tahsilat: "&amp;INDEX(TAHSILAT!$N$7:$N$2503,$T305)&amp;IF(INDEX(TAHSILAT!$J$7:$J$2503,$T305)="",""," – "&amp;INDEX(TAHSILAT!$J$7:$J$2503,$T305)))</f>
        <v/>
      </c>
      <c r="P305" s="1" t="str">
        <f t="shared" si="46"/>
        <v/>
      </c>
      <c r="Q305" s="1">
        <f>IF($N305="",0,INDEX(TAHSILAT!$F$7:$F$2503,$T305))</f>
        <v>0</v>
      </c>
      <c r="R305" s="1">
        <v>0</v>
      </c>
      <c r="S305" s="1">
        <f t="shared" si="53"/>
        <v>10000000000</v>
      </c>
      <c r="T305" s="1">
        <f>IFERROR(MATCH($C$36&amp;"|232",TAHSILAT!$U$7:$U$2503,0),0)</f>
        <v>0</v>
      </c>
      <c r="V305" s="1">
        <f t="shared" si="54"/>
        <v>10000000000</v>
      </c>
      <c r="W305" s="1">
        <f t="shared" si="55"/>
        <v>9</v>
      </c>
    </row>
    <row r="306" spans="2:23" ht="14.25" customHeight="1" x14ac:dyDescent="0.3">
      <c r="B306" s="65" t="str">
        <f t="shared" si="47"/>
        <v/>
      </c>
      <c r="C306" s="70" t="str">
        <f t="shared" si="48"/>
        <v/>
      </c>
      <c r="D306" s="74" t="str">
        <f t="shared" si="49"/>
        <v/>
      </c>
      <c r="F306" s="65" t="str">
        <f t="shared" si="50"/>
        <v/>
      </c>
      <c r="G306" s="68" t="str">
        <f t="shared" si="51"/>
        <v/>
      </c>
      <c r="H306" s="68" t="str">
        <f t="shared" si="52"/>
        <v/>
      </c>
      <c r="I306" s="68" t="str">
        <f t="shared" si="56"/>
        <v/>
      </c>
      <c r="M306" s="1">
        <v>269</v>
      </c>
      <c r="N306" s="1" t="str">
        <f>IF($T306=0,"",INDEX(TAHSILAT!$E$7:$E$2503,$T306))</f>
        <v/>
      </c>
      <c r="O306" s="1" t="str">
        <f>IF($N306="","",$C$36&amp;" – müşteriden tahsilat: "&amp;INDEX(TAHSILAT!$N$7:$N$2503,$T306)&amp;IF(INDEX(TAHSILAT!$J$7:$J$2503,$T306)="",""," – "&amp;INDEX(TAHSILAT!$J$7:$J$2503,$T306)))</f>
        <v/>
      </c>
      <c r="P306" s="1" t="str">
        <f t="shared" si="46"/>
        <v/>
      </c>
      <c r="Q306" s="1">
        <f>IF($N306="",0,INDEX(TAHSILAT!$F$7:$F$2503,$T306))</f>
        <v>0</v>
      </c>
      <c r="R306" s="1">
        <v>0</v>
      </c>
      <c r="S306" s="1">
        <f t="shared" si="53"/>
        <v>10000000000</v>
      </c>
      <c r="T306" s="1">
        <f>IFERROR(MATCH($C$36&amp;"|233",TAHSILAT!$U$7:$U$2503,0),0)</f>
        <v>0</v>
      </c>
      <c r="V306" s="1">
        <f t="shared" si="54"/>
        <v>10000000000</v>
      </c>
      <c r="W306" s="1">
        <f t="shared" si="55"/>
        <v>9</v>
      </c>
    </row>
    <row r="307" spans="2:23" ht="14.25" customHeight="1" x14ac:dyDescent="0.3">
      <c r="B307" s="65" t="str">
        <f t="shared" si="47"/>
        <v/>
      </c>
      <c r="C307" s="70" t="str">
        <f t="shared" si="48"/>
        <v/>
      </c>
      <c r="D307" s="74" t="str">
        <f t="shared" si="49"/>
        <v/>
      </c>
      <c r="F307" s="65" t="str">
        <f t="shared" si="50"/>
        <v/>
      </c>
      <c r="G307" s="68" t="str">
        <f t="shared" si="51"/>
        <v/>
      </c>
      <c r="H307" s="68" t="str">
        <f t="shared" si="52"/>
        <v/>
      </c>
      <c r="I307" s="68" t="str">
        <f t="shared" si="56"/>
        <v/>
      </c>
      <c r="M307" s="1">
        <v>270</v>
      </c>
      <c r="N307" s="1" t="str">
        <f>IF($T307=0,"",INDEX(TAHSILAT!$E$7:$E$2503,$T307))</f>
        <v/>
      </c>
      <c r="O307" s="1" t="str">
        <f>IF($N307="","",$C$36&amp;" – müşteriden tahsilat: "&amp;INDEX(TAHSILAT!$N$7:$N$2503,$T307)&amp;IF(INDEX(TAHSILAT!$J$7:$J$2503,$T307)="",""," – "&amp;INDEX(TAHSILAT!$J$7:$J$2503,$T307)))</f>
        <v/>
      </c>
      <c r="P307" s="1" t="str">
        <f t="shared" si="46"/>
        <v/>
      </c>
      <c r="Q307" s="1">
        <f>IF($N307="",0,INDEX(TAHSILAT!$F$7:$F$2503,$T307))</f>
        <v>0</v>
      </c>
      <c r="R307" s="1">
        <v>0</v>
      </c>
      <c r="S307" s="1">
        <f t="shared" si="53"/>
        <v>10000000000</v>
      </c>
      <c r="T307" s="1">
        <f>IFERROR(MATCH($C$36&amp;"|234",TAHSILAT!$U$7:$U$2503,0),0)</f>
        <v>0</v>
      </c>
      <c r="V307" s="1">
        <f t="shared" si="54"/>
        <v>10000000000</v>
      </c>
      <c r="W307" s="1">
        <f t="shared" si="55"/>
        <v>9</v>
      </c>
    </row>
    <row r="308" spans="2:23" ht="14.25" customHeight="1" x14ac:dyDescent="0.3">
      <c r="B308" s="65" t="str">
        <f t="shared" si="47"/>
        <v/>
      </c>
      <c r="C308" s="70" t="str">
        <f t="shared" si="48"/>
        <v/>
      </c>
      <c r="D308" s="74" t="str">
        <f t="shared" si="49"/>
        <v/>
      </c>
      <c r="F308" s="65" t="str">
        <f t="shared" si="50"/>
        <v/>
      </c>
      <c r="G308" s="68" t="str">
        <f t="shared" si="51"/>
        <v/>
      </c>
      <c r="H308" s="68" t="str">
        <f t="shared" si="52"/>
        <v/>
      </c>
      <c r="I308" s="68" t="str">
        <f t="shared" si="56"/>
        <v/>
      </c>
      <c r="M308" s="1">
        <v>271</v>
      </c>
      <c r="N308" s="1" t="str">
        <f>IF($T308=0,"",INDEX(TAHSILAT!$E$7:$E$2503,$T308))</f>
        <v/>
      </c>
      <c r="O308" s="1" t="str">
        <f>IF($N308="","",$C$36&amp;" – müşteriden tahsilat: "&amp;INDEX(TAHSILAT!$N$7:$N$2503,$T308)&amp;IF(INDEX(TAHSILAT!$J$7:$J$2503,$T308)="",""," – "&amp;INDEX(TAHSILAT!$J$7:$J$2503,$T308)))</f>
        <v/>
      </c>
      <c r="P308" s="1" t="str">
        <f t="shared" si="46"/>
        <v/>
      </c>
      <c r="Q308" s="1">
        <f>IF($N308="",0,INDEX(TAHSILAT!$F$7:$F$2503,$T308))</f>
        <v>0</v>
      </c>
      <c r="R308" s="1">
        <v>0</v>
      </c>
      <c r="S308" s="1">
        <f t="shared" si="53"/>
        <v>10000000000</v>
      </c>
      <c r="T308" s="1">
        <f>IFERROR(MATCH($C$36&amp;"|235",TAHSILAT!$U$7:$U$2503,0),0)</f>
        <v>0</v>
      </c>
      <c r="V308" s="1">
        <f t="shared" si="54"/>
        <v>10000000000</v>
      </c>
      <c r="W308" s="1">
        <f t="shared" si="55"/>
        <v>9</v>
      </c>
    </row>
    <row r="309" spans="2:23" ht="14.25" customHeight="1" x14ac:dyDescent="0.3">
      <c r="B309" s="65" t="str">
        <f t="shared" si="47"/>
        <v/>
      </c>
      <c r="C309" s="70" t="str">
        <f t="shared" si="48"/>
        <v/>
      </c>
      <c r="D309" s="74" t="str">
        <f t="shared" si="49"/>
        <v/>
      </c>
      <c r="F309" s="65" t="str">
        <f t="shared" si="50"/>
        <v/>
      </c>
      <c r="G309" s="68" t="str">
        <f t="shared" si="51"/>
        <v/>
      </c>
      <c r="H309" s="68" t="str">
        <f t="shared" si="52"/>
        <v/>
      </c>
      <c r="I309" s="68" t="str">
        <f t="shared" si="56"/>
        <v/>
      </c>
      <c r="M309" s="1">
        <v>272</v>
      </c>
      <c r="N309" s="1" t="str">
        <f>IF($T309=0,"",INDEX(TAHSILAT!$E$7:$E$2503,$T309))</f>
        <v/>
      </c>
      <c r="O309" s="1" t="str">
        <f>IF($N309="","",$C$36&amp;" – müşteriden tahsilat: "&amp;INDEX(TAHSILAT!$N$7:$N$2503,$T309)&amp;IF(INDEX(TAHSILAT!$J$7:$J$2503,$T309)="",""," – "&amp;INDEX(TAHSILAT!$J$7:$J$2503,$T309)))</f>
        <v/>
      </c>
      <c r="P309" s="1" t="str">
        <f t="shared" si="46"/>
        <v/>
      </c>
      <c r="Q309" s="1">
        <f>IF($N309="",0,INDEX(TAHSILAT!$F$7:$F$2503,$T309))</f>
        <v>0</v>
      </c>
      <c r="R309" s="1">
        <v>0</v>
      </c>
      <c r="S309" s="1">
        <f t="shared" si="53"/>
        <v>10000000000</v>
      </c>
      <c r="T309" s="1">
        <f>IFERROR(MATCH($C$36&amp;"|236",TAHSILAT!$U$7:$U$2503,0),0)</f>
        <v>0</v>
      </c>
      <c r="V309" s="1">
        <f t="shared" si="54"/>
        <v>10000000000</v>
      </c>
      <c r="W309" s="1">
        <f t="shared" si="55"/>
        <v>9</v>
      </c>
    </row>
    <row r="310" spans="2:23" ht="14.25" customHeight="1" x14ac:dyDescent="0.3">
      <c r="B310" s="65" t="str">
        <f t="shared" si="47"/>
        <v/>
      </c>
      <c r="C310" s="70" t="str">
        <f t="shared" si="48"/>
        <v/>
      </c>
      <c r="D310" s="74" t="str">
        <f t="shared" si="49"/>
        <v/>
      </c>
      <c r="F310" s="65" t="str">
        <f t="shared" si="50"/>
        <v/>
      </c>
      <c r="G310" s="68" t="str">
        <f t="shared" si="51"/>
        <v/>
      </c>
      <c r="H310" s="68" t="str">
        <f t="shared" si="52"/>
        <v/>
      </c>
      <c r="I310" s="68" t="str">
        <f t="shared" si="56"/>
        <v/>
      </c>
      <c r="M310" s="1">
        <v>273</v>
      </c>
      <c r="N310" s="1" t="str">
        <f>IF($T310=0,"",INDEX(TAHSILAT!$E$7:$E$2503,$T310))</f>
        <v/>
      </c>
      <c r="O310" s="1" t="str">
        <f>IF($N310="","",$C$36&amp;" – müşteriden tahsilat: "&amp;INDEX(TAHSILAT!$N$7:$N$2503,$T310)&amp;IF(INDEX(TAHSILAT!$J$7:$J$2503,$T310)="",""," – "&amp;INDEX(TAHSILAT!$J$7:$J$2503,$T310)))</f>
        <v/>
      </c>
      <c r="P310" s="1" t="str">
        <f t="shared" si="46"/>
        <v/>
      </c>
      <c r="Q310" s="1">
        <f>IF($N310="",0,INDEX(TAHSILAT!$F$7:$F$2503,$T310))</f>
        <v>0</v>
      </c>
      <c r="R310" s="1">
        <v>0</v>
      </c>
      <c r="S310" s="1">
        <f t="shared" si="53"/>
        <v>10000000000</v>
      </c>
      <c r="T310" s="1">
        <f>IFERROR(MATCH($C$36&amp;"|237",TAHSILAT!$U$7:$U$2503,0),0)</f>
        <v>0</v>
      </c>
      <c r="V310" s="1">
        <f t="shared" si="54"/>
        <v>10000000000</v>
      </c>
      <c r="W310" s="1">
        <f t="shared" si="55"/>
        <v>9</v>
      </c>
    </row>
    <row r="311" spans="2:23" ht="14.25" customHeight="1" x14ac:dyDescent="0.3">
      <c r="B311" s="65" t="str">
        <f t="shared" si="47"/>
        <v/>
      </c>
      <c r="C311" s="70" t="str">
        <f t="shared" si="48"/>
        <v/>
      </c>
      <c r="D311" s="74" t="str">
        <f t="shared" si="49"/>
        <v/>
      </c>
      <c r="F311" s="65" t="str">
        <f t="shared" si="50"/>
        <v/>
      </c>
      <c r="G311" s="68" t="str">
        <f t="shared" si="51"/>
        <v/>
      </c>
      <c r="H311" s="68" t="str">
        <f t="shared" si="52"/>
        <v/>
      </c>
      <c r="I311" s="68" t="str">
        <f t="shared" si="56"/>
        <v/>
      </c>
      <c r="M311" s="1">
        <v>274</v>
      </c>
      <c r="N311" s="1" t="str">
        <f>IF($T311=0,"",INDEX(TAHSILAT!$E$7:$E$2503,$T311))</f>
        <v/>
      </c>
      <c r="O311" s="1" t="str">
        <f>IF($N311="","",$C$36&amp;" – müşteriden tahsilat: "&amp;INDEX(TAHSILAT!$N$7:$N$2503,$T311)&amp;IF(INDEX(TAHSILAT!$J$7:$J$2503,$T311)="",""," – "&amp;INDEX(TAHSILAT!$J$7:$J$2503,$T311)))</f>
        <v/>
      </c>
      <c r="P311" s="1" t="str">
        <f t="shared" si="46"/>
        <v/>
      </c>
      <c r="Q311" s="1">
        <f>IF($N311="",0,INDEX(TAHSILAT!$F$7:$F$2503,$T311))</f>
        <v>0</v>
      </c>
      <c r="R311" s="1">
        <v>0</v>
      </c>
      <c r="S311" s="1">
        <f t="shared" si="53"/>
        <v>10000000000</v>
      </c>
      <c r="T311" s="1">
        <f>IFERROR(MATCH($C$36&amp;"|238",TAHSILAT!$U$7:$U$2503,0),0)</f>
        <v>0</v>
      </c>
      <c r="V311" s="1">
        <f t="shared" si="54"/>
        <v>10000000000</v>
      </c>
      <c r="W311" s="1">
        <f t="shared" si="55"/>
        <v>9</v>
      </c>
    </row>
    <row r="312" spans="2:23" ht="14.25" customHeight="1" x14ac:dyDescent="0.3">
      <c r="B312" s="65" t="str">
        <f t="shared" si="47"/>
        <v/>
      </c>
      <c r="C312" s="70" t="str">
        <f t="shared" si="48"/>
        <v/>
      </c>
      <c r="D312" s="74" t="str">
        <f t="shared" si="49"/>
        <v/>
      </c>
      <c r="F312" s="65" t="str">
        <f t="shared" si="50"/>
        <v/>
      </c>
      <c r="G312" s="68" t="str">
        <f t="shared" si="51"/>
        <v/>
      </c>
      <c r="H312" s="68" t="str">
        <f t="shared" si="52"/>
        <v/>
      </c>
      <c r="I312" s="68" t="str">
        <f t="shared" si="56"/>
        <v/>
      </c>
      <c r="M312" s="1">
        <v>275</v>
      </c>
      <c r="N312" s="1" t="str">
        <f>IF($T312=0,"",INDEX(TAHSILAT!$E$7:$E$2503,$T312))</f>
        <v/>
      </c>
      <c r="O312" s="1" t="str">
        <f>IF($N312="","",$C$36&amp;" – müşteriden tahsilat: "&amp;INDEX(TAHSILAT!$N$7:$N$2503,$T312)&amp;IF(INDEX(TAHSILAT!$J$7:$J$2503,$T312)="",""," – "&amp;INDEX(TAHSILAT!$J$7:$J$2503,$T312)))</f>
        <v/>
      </c>
      <c r="P312" s="1" t="str">
        <f t="shared" si="46"/>
        <v/>
      </c>
      <c r="Q312" s="1">
        <f>IF($N312="",0,INDEX(TAHSILAT!$F$7:$F$2503,$T312))</f>
        <v>0</v>
      </c>
      <c r="R312" s="1">
        <v>0</v>
      </c>
      <c r="S312" s="1">
        <f t="shared" si="53"/>
        <v>10000000000</v>
      </c>
      <c r="T312" s="1">
        <f>IFERROR(MATCH($C$36&amp;"|239",TAHSILAT!$U$7:$U$2503,0),0)</f>
        <v>0</v>
      </c>
      <c r="V312" s="1">
        <f t="shared" si="54"/>
        <v>10000000000</v>
      </c>
      <c r="W312" s="1">
        <f t="shared" si="55"/>
        <v>9</v>
      </c>
    </row>
    <row r="313" spans="2:23" ht="14.25" customHeight="1" x14ac:dyDescent="0.3">
      <c r="B313" s="65" t="str">
        <f t="shared" si="47"/>
        <v/>
      </c>
      <c r="C313" s="70" t="str">
        <f t="shared" si="48"/>
        <v/>
      </c>
      <c r="D313" s="74" t="str">
        <f t="shared" si="49"/>
        <v/>
      </c>
      <c r="F313" s="65" t="str">
        <f t="shared" si="50"/>
        <v/>
      </c>
      <c r="G313" s="68" t="str">
        <f t="shared" si="51"/>
        <v/>
      </c>
      <c r="H313" s="68" t="str">
        <f t="shared" si="52"/>
        <v/>
      </c>
      <c r="I313" s="68" t="str">
        <f t="shared" si="56"/>
        <v/>
      </c>
      <c r="M313" s="1">
        <v>276</v>
      </c>
      <c r="N313" s="1" t="str">
        <f>IF($T313=0,"",INDEX(TAHSILAT!$E$7:$E$2503,$T313))</f>
        <v/>
      </c>
      <c r="O313" s="1" t="str">
        <f>IF($N313="","",$C$36&amp;" – müşteriden tahsilat: "&amp;INDEX(TAHSILAT!$N$7:$N$2503,$T313)&amp;IF(INDEX(TAHSILAT!$J$7:$J$2503,$T313)="",""," – "&amp;INDEX(TAHSILAT!$J$7:$J$2503,$T313)))</f>
        <v/>
      </c>
      <c r="P313" s="1" t="str">
        <f t="shared" si="46"/>
        <v/>
      </c>
      <c r="Q313" s="1">
        <f>IF($N313="",0,INDEX(TAHSILAT!$F$7:$F$2503,$T313))</f>
        <v>0</v>
      </c>
      <c r="R313" s="1">
        <v>0</v>
      </c>
      <c r="S313" s="1">
        <f t="shared" si="53"/>
        <v>10000000000</v>
      </c>
      <c r="T313" s="1">
        <f>IFERROR(MATCH($C$36&amp;"|240",TAHSILAT!$U$7:$U$2503,0),0)</f>
        <v>0</v>
      </c>
      <c r="V313" s="1">
        <f t="shared" si="54"/>
        <v>10000000000</v>
      </c>
      <c r="W313" s="1">
        <f t="shared" si="55"/>
        <v>9</v>
      </c>
    </row>
    <row r="314" spans="2:23" ht="14.25" customHeight="1" x14ac:dyDescent="0.3">
      <c r="B314" s="65" t="str">
        <f t="shared" si="47"/>
        <v/>
      </c>
      <c r="C314" s="70" t="str">
        <f t="shared" si="48"/>
        <v/>
      </c>
      <c r="D314" s="74" t="str">
        <f t="shared" si="49"/>
        <v/>
      </c>
      <c r="F314" s="65" t="str">
        <f t="shared" si="50"/>
        <v/>
      </c>
      <c r="G314" s="68" t="str">
        <f t="shared" si="51"/>
        <v/>
      </c>
      <c r="H314" s="68" t="str">
        <f t="shared" si="52"/>
        <v/>
      </c>
      <c r="I314" s="68" t="str">
        <f t="shared" si="56"/>
        <v/>
      </c>
      <c r="M314" s="1">
        <v>277</v>
      </c>
      <c r="N314" s="1" t="str">
        <f>IF($T314=0,"",INDEX(TAHSILAT!$E$7:$E$2503,$T314))</f>
        <v/>
      </c>
      <c r="O314" s="1" t="str">
        <f>IF($N314="","",$C$36&amp;" – müşteriden tahsilat: "&amp;INDEX(TAHSILAT!$N$7:$N$2503,$T314)&amp;IF(INDEX(TAHSILAT!$J$7:$J$2503,$T314)="",""," – "&amp;INDEX(TAHSILAT!$J$7:$J$2503,$T314)))</f>
        <v/>
      </c>
      <c r="P314" s="1" t="str">
        <f t="shared" si="46"/>
        <v/>
      </c>
      <c r="Q314" s="1">
        <f>IF($N314="",0,INDEX(TAHSILAT!$F$7:$F$2503,$T314))</f>
        <v>0</v>
      </c>
      <c r="R314" s="1">
        <v>0</v>
      </c>
      <c r="S314" s="1">
        <f t="shared" si="53"/>
        <v>10000000000</v>
      </c>
      <c r="T314" s="1">
        <f>IFERROR(MATCH($C$36&amp;"|241",TAHSILAT!$U$7:$U$2503,0),0)</f>
        <v>0</v>
      </c>
      <c r="V314" s="1">
        <f t="shared" si="54"/>
        <v>10000000000</v>
      </c>
      <c r="W314" s="1">
        <f t="shared" si="55"/>
        <v>9</v>
      </c>
    </row>
    <row r="315" spans="2:23" ht="14.25" customHeight="1" x14ac:dyDescent="0.3">
      <c r="B315" s="65" t="str">
        <f t="shared" si="47"/>
        <v/>
      </c>
      <c r="C315" s="70" t="str">
        <f t="shared" si="48"/>
        <v/>
      </c>
      <c r="D315" s="74" t="str">
        <f t="shared" si="49"/>
        <v/>
      </c>
      <c r="F315" s="65" t="str">
        <f t="shared" si="50"/>
        <v/>
      </c>
      <c r="G315" s="68" t="str">
        <f t="shared" si="51"/>
        <v/>
      </c>
      <c r="H315" s="68" t="str">
        <f t="shared" si="52"/>
        <v/>
      </c>
      <c r="I315" s="68" t="str">
        <f t="shared" si="56"/>
        <v/>
      </c>
      <c r="M315" s="1">
        <v>278</v>
      </c>
      <c r="N315" s="1" t="str">
        <f>IF($T315=0,"",INDEX(TAHSILAT!$E$7:$E$2503,$T315))</f>
        <v/>
      </c>
      <c r="O315" s="1" t="str">
        <f>IF($N315="","",$C$36&amp;" – müşteriden tahsilat: "&amp;INDEX(TAHSILAT!$N$7:$N$2503,$T315)&amp;IF(INDEX(TAHSILAT!$J$7:$J$2503,$T315)="",""," – "&amp;INDEX(TAHSILAT!$J$7:$J$2503,$T315)))</f>
        <v/>
      </c>
      <c r="P315" s="1" t="str">
        <f t="shared" si="46"/>
        <v/>
      </c>
      <c r="Q315" s="1">
        <f>IF($N315="",0,INDEX(TAHSILAT!$F$7:$F$2503,$T315))</f>
        <v>0</v>
      </c>
      <c r="R315" s="1">
        <v>0</v>
      </c>
      <c r="S315" s="1">
        <f t="shared" si="53"/>
        <v>10000000000</v>
      </c>
      <c r="T315" s="1">
        <f>IFERROR(MATCH($C$36&amp;"|242",TAHSILAT!$U$7:$U$2503,0),0)</f>
        <v>0</v>
      </c>
      <c r="V315" s="1">
        <f t="shared" si="54"/>
        <v>10000000000</v>
      </c>
      <c r="W315" s="1">
        <f t="shared" si="55"/>
        <v>9</v>
      </c>
    </row>
    <row r="316" spans="2:23" ht="14.25" customHeight="1" x14ac:dyDescent="0.3">
      <c r="B316" s="65" t="str">
        <f t="shared" si="47"/>
        <v/>
      </c>
      <c r="C316" s="70" t="str">
        <f t="shared" si="48"/>
        <v/>
      </c>
      <c r="D316" s="74" t="str">
        <f t="shared" si="49"/>
        <v/>
      </c>
      <c r="F316" s="65" t="str">
        <f t="shared" si="50"/>
        <v/>
      </c>
      <c r="G316" s="68" t="str">
        <f t="shared" si="51"/>
        <v/>
      </c>
      <c r="H316" s="68" t="str">
        <f t="shared" si="52"/>
        <v/>
      </c>
      <c r="I316" s="68" t="str">
        <f t="shared" si="56"/>
        <v/>
      </c>
      <c r="M316" s="1">
        <v>279</v>
      </c>
      <c r="N316" s="1" t="str">
        <f>IF($T316=0,"",INDEX(TAHSILAT!$E$7:$E$2503,$T316))</f>
        <v/>
      </c>
      <c r="O316" s="1" t="str">
        <f>IF($N316="","",$C$36&amp;" – müşteriden tahsilat: "&amp;INDEX(TAHSILAT!$N$7:$N$2503,$T316)&amp;IF(INDEX(TAHSILAT!$J$7:$J$2503,$T316)="",""," – "&amp;INDEX(TAHSILAT!$J$7:$J$2503,$T316)))</f>
        <v/>
      </c>
      <c r="P316" s="1" t="str">
        <f t="shared" si="46"/>
        <v/>
      </c>
      <c r="Q316" s="1">
        <f>IF($N316="",0,INDEX(TAHSILAT!$F$7:$F$2503,$T316))</f>
        <v>0</v>
      </c>
      <c r="R316" s="1">
        <v>0</v>
      </c>
      <c r="S316" s="1">
        <f t="shared" si="53"/>
        <v>10000000000</v>
      </c>
      <c r="T316" s="1">
        <f>IFERROR(MATCH($C$36&amp;"|243",TAHSILAT!$U$7:$U$2503,0),0)</f>
        <v>0</v>
      </c>
      <c r="V316" s="1">
        <f t="shared" si="54"/>
        <v>10000000000</v>
      </c>
      <c r="W316" s="1">
        <f t="shared" si="55"/>
        <v>9</v>
      </c>
    </row>
    <row r="317" spans="2:23" ht="14.25" customHeight="1" x14ac:dyDescent="0.3">
      <c r="B317" s="65" t="str">
        <f t="shared" si="47"/>
        <v/>
      </c>
      <c r="C317" s="70" t="str">
        <f t="shared" si="48"/>
        <v/>
      </c>
      <c r="D317" s="74" t="str">
        <f t="shared" si="49"/>
        <v/>
      </c>
      <c r="F317" s="65" t="str">
        <f t="shared" si="50"/>
        <v/>
      </c>
      <c r="G317" s="68" t="str">
        <f t="shared" si="51"/>
        <v/>
      </c>
      <c r="H317" s="68" t="str">
        <f t="shared" si="52"/>
        <v/>
      </c>
      <c r="I317" s="68" t="str">
        <f t="shared" si="56"/>
        <v/>
      </c>
      <c r="M317" s="1">
        <v>280</v>
      </c>
      <c r="N317" s="1" t="str">
        <f>IF($T317=0,"",INDEX(TAHSILAT!$E$7:$E$2503,$T317))</f>
        <v/>
      </c>
      <c r="O317" s="1" t="str">
        <f>IF($N317="","",$C$36&amp;" – müşteriden tahsilat: "&amp;INDEX(TAHSILAT!$N$7:$N$2503,$T317)&amp;IF(INDEX(TAHSILAT!$J$7:$J$2503,$T317)="",""," – "&amp;INDEX(TAHSILAT!$J$7:$J$2503,$T317)))</f>
        <v/>
      </c>
      <c r="P317" s="1" t="str">
        <f t="shared" si="46"/>
        <v/>
      </c>
      <c r="Q317" s="1">
        <f>IF($N317="",0,INDEX(TAHSILAT!$F$7:$F$2503,$T317))</f>
        <v>0</v>
      </c>
      <c r="R317" s="1">
        <v>0</v>
      </c>
      <c r="S317" s="1">
        <f t="shared" si="53"/>
        <v>10000000000</v>
      </c>
      <c r="T317" s="1">
        <f>IFERROR(MATCH($C$36&amp;"|244",TAHSILAT!$U$7:$U$2503,0),0)</f>
        <v>0</v>
      </c>
      <c r="V317" s="1">
        <f t="shared" si="54"/>
        <v>10000000000</v>
      </c>
      <c r="W317" s="1">
        <f t="shared" si="55"/>
        <v>9</v>
      </c>
    </row>
    <row r="318" spans="2:23" ht="14.25" customHeight="1" x14ac:dyDescent="0.3">
      <c r="B318" s="65" t="str">
        <f t="shared" si="47"/>
        <v/>
      </c>
      <c r="C318" s="70" t="str">
        <f t="shared" si="48"/>
        <v/>
      </c>
      <c r="D318" s="74" t="str">
        <f t="shared" si="49"/>
        <v/>
      </c>
      <c r="F318" s="65" t="str">
        <f t="shared" si="50"/>
        <v/>
      </c>
      <c r="G318" s="68" t="str">
        <f t="shared" si="51"/>
        <v/>
      </c>
      <c r="H318" s="68" t="str">
        <f t="shared" si="52"/>
        <v/>
      </c>
      <c r="I318" s="68" t="str">
        <f t="shared" si="56"/>
        <v/>
      </c>
      <c r="M318" s="1">
        <v>281</v>
      </c>
      <c r="N318" s="1" t="str">
        <f>IF($T318=0,"",INDEX(TAHSILAT!$E$7:$E$2503,$T318))</f>
        <v/>
      </c>
      <c r="O318" s="1" t="str">
        <f>IF($N318="","",$C$36&amp;" – müşteriden tahsilat: "&amp;INDEX(TAHSILAT!$N$7:$N$2503,$T318)&amp;IF(INDEX(TAHSILAT!$J$7:$J$2503,$T318)="",""," – "&amp;INDEX(TAHSILAT!$J$7:$J$2503,$T318)))</f>
        <v/>
      </c>
      <c r="P318" s="1" t="str">
        <f t="shared" si="46"/>
        <v/>
      </c>
      <c r="Q318" s="1">
        <f>IF($N318="",0,INDEX(TAHSILAT!$F$7:$F$2503,$T318))</f>
        <v>0</v>
      </c>
      <c r="R318" s="1">
        <v>0</v>
      </c>
      <c r="S318" s="1">
        <f t="shared" si="53"/>
        <v>10000000000</v>
      </c>
      <c r="T318" s="1">
        <f>IFERROR(MATCH($C$36&amp;"|245",TAHSILAT!$U$7:$U$2503,0),0)</f>
        <v>0</v>
      </c>
      <c r="V318" s="1">
        <f t="shared" si="54"/>
        <v>10000000000</v>
      </c>
      <c r="W318" s="1">
        <f t="shared" si="55"/>
        <v>9</v>
      </c>
    </row>
    <row r="319" spans="2:23" ht="14.25" customHeight="1" x14ac:dyDescent="0.3">
      <c r="B319" s="65" t="str">
        <f t="shared" si="47"/>
        <v/>
      </c>
      <c r="C319" s="70" t="str">
        <f t="shared" si="48"/>
        <v/>
      </c>
      <c r="D319" s="74" t="str">
        <f t="shared" si="49"/>
        <v/>
      </c>
      <c r="F319" s="65" t="str">
        <f t="shared" si="50"/>
        <v/>
      </c>
      <c r="G319" s="68" t="str">
        <f t="shared" si="51"/>
        <v/>
      </c>
      <c r="H319" s="68" t="str">
        <f t="shared" si="52"/>
        <v/>
      </c>
      <c r="I319" s="68" t="str">
        <f t="shared" si="56"/>
        <v/>
      </c>
      <c r="M319" s="1">
        <v>282</v>
      </c>
      <c r="N319" s="1" t="str">
        <f>IF($T319=0,"",INDEX(TAHSILAT!$E$7:$E$2503,$T319))</f>
        <v/>
      </c>
      <c r="O319" s="1" t="str">
        <f>IF($N319="","",$C$36&amp;" – müşteriden tahsilat: "&amp;INDEX(TAHSILAT!$N$7:$N$2503,$T319)&amp;IF(INDEX(TAHSILAT!$J$7:$J$2503,$T319)="",""," – "&amp;INDEX(TAHSILAT!$J$7:$J$2503,$T319)))</f>
        <v/>
      </c>
      <c r="P319" s="1" t="str">
        <f t="shared" si="46"/>
        <v/>
      </c>
      <c r="Q319" s="1">
        <f>IF($N319="",0,INDEX(TAHSILAT!$F$7:$F$2503,$T319))</f>
        <v>0</v>
      </c>
      <c r="R319" s="1">
        <v>0</v>
      </c>
      <c r="S319" s="1">
        <f t="shared" si="53"/>
        <v>10000000000</v>
      </c>
      <c r="T319" s="1">
        <f>IFERROR(MATCH($C$36&amp;"|246",TAHSILAT!$U$7:$U$2503,0),0)</f>
        <v>0</v>
      </c>
      <c r="V319" s="1">
        <f t="shared" si="54"/>
        <v>10000000000</v>
      </c>
      <c r="W319" s="1">
        <f t="shared" si="55"/>
        <v>9</v>
      </c>
    </row>
    <row r="320" spans="2:23" ht="14.25" customHeight="1" x14ac:dyDescent="0.3">
      <c r="B320" s="65" t="str">
        <f t="shared" si="47"/>
        <v/>
      </c>
      <c r="C320" s="70" t="str">
        <f t="shared" si="48"/>
        <v/>
      </c>
      <c r="D320" s="74" t="str">
        <f t="shared" si="49"/>
        <v/>
      </c>
      <c r="F320" s="65" t="str">
        <f t="shared" si="50"/>
        <v/>
      </c>
      <c r="G320" s="68" t="str">
        <f t="shared" si="51"/>
        <v/>
      </c>
      <c r="H320" s="68" t="str">
        <f t="shared" si="52"/>
        <v/>
      </c>
      <c r="I320" s="68" t="str">
        <f t="shared" si="56"/>
        <v/>
      </c>
      <c r="M320" s="1">
        <v>283</v>
      </c>
      <c r="N320" s="1" t="str">
        <f>IF($T320=0,"",INDEX(TAHSILAT!$E$7:$E$2503,$T320))</f>
        <v/>
      </c>
      <c r="O320" s="1" t="str">
        <f>IF($N320="","",$C$36&amp;" – müşteriden tahsilat: "&amp;INDEX(TAHSILAT!$N$7:$N$2503,$T320)&amp;IF(INDEX(TAHSILAT!$J$7:$J$2503,$T320)="",""," – "&amp;INDEX(TAHSILAT!$J$7:$J$2503,$T320)))</f>
        <v/>
      </c>
      <c r="P320" s="1" t="str">
        <f t="shared" si="46"/>
        <v/>
      </c>
      <c r="Q320" s="1">
        <f>IF($N320="",0,INDEX(TAHSILAT!$F$7:$F$2503,$T320))</f>
        <v>0</v>
      </c>
      <c r="R320" s="1">
        <v>0</v>
      </c>
      <c r="S320" s="1">
        <f t="shared" si="53"/>
        <v>10000000000</v>
      </c>
      <c r="T320" s="1">
        <f>IFERROR(MATCH($C$36&amp;"|247",TAHSILAT!$U$7:$U$2503,0),0)</f>
        <v>0</v>
      </c>
      <c r="V320" s="1">
        <f t="shared" si="54"/>
        <v>10000000000</v>
      </c>
      <c r="W320" s="1">
        <f t="shared" si="55"/>
        <v>9</v>
      </c>
    </row>
    <row r="321" spans="2:23" ht="14.25" customHeight="1" x14ac:dyDescent="0.3">
      <c r="B321" s="65" t="str">
        <f t="shared" si="47"/>
        <v/>
      </c>
      <c r="C321" s="70" t="str">
        <f t="shared" si="48"/>
        <v/>
      </c>
      <c r="D321" s="74" t="str">
        <f t="shared" si="49"/>
        <v/>
      </c>
      <c r="F321" s="65" t="str">
        <f t="shared" si="50"/>
        <v/>
      </c>
      <c r="G321" s="68" t="str">
        <f t="shared" si="51"/>
        <v/>
      </c>
      <c r="H321" s="68" t="str">
        <f t="shared" si="52"/>
        <v/>
      </c>
      <c r="I321" s="68" t="str">
        <f t="shared" si="56"/>
        <v/>
      </c>
      <c r="M321" s="1">
        <v>284</v>
      </c>
      <c r="N321" s="1" t="str">
        <f>IF($T321=0,"",INDEX(TAHSILAT!$E$7:$E$2503,$T321))</f>
        <v/>
      </c>
      <c r="O321" s="1" t="str">
        <f>IF($N321="","",$C$36&amp;" – müşteriden tahsilat: "&amp;INDEX(TAHSILAT!$N$7:$N$2503,$T321)&amp;IF(INDEX(TAHSILAT!$J$7:$J$2503,$T321)="",""," – "&amp;INDEX(TAHSILAT!$J$7:$J$2503,$T321)))</f>
        <v/>
      </c>
      <c r="P321" s="1" t="str">
        <f t="shared" si="46"/>
        <v/>
      </c>
      <c r="Q321" s="1">
        <f>IF($N321="",0,INDEX(TAHSILAT!$F$7:$F$2503,$T321))</f>
        <v>0</v>
      </c>
      <c r="R321" s="1">
        <v>0</v>
      </c>
      <c r="S321" s="1">
        <f t="shared" si="53"/>
        <v>10000000000</v>
      </c>
      <c r="T321" s="1">
        <f>IFERROR(MATCH($C$36&amp;"|248",TAHSILAT!$U$7:$U$2503,0),0)</f>
        <v>0</v>
      </c>
      <c r="V321" s="1">
        <f t="shared" si="54"/>
        <v>10000000000</v>
      </c>
      <c r="W321" s="1">
        <f t="shared" si="55"/>
        <v>9</v>
      </c>
    </row>
    <row r="322" spans="2:23" ht="14.25" customHeight="1" x14ac:dyDescent="0.3">
      <c r="B322" s="65" t="str">
        <f t="shared" si="47"/>
        <v/>
      </c>
      <c r="C322" s="70" t="str">
        <f t="shared" si="48"/>
        <v/>
      </c>
      <c r="D322" s="74" t="str">
        <f t="shared" si="49"/>
        <v/>
      </c>
      <c r="F322" s="65" t="str">
        <f t="shared" si="50"/>
        <v/>
      </c>
      <c r="G322" s="68" t="str">
        <f t="shared" si="51"/>
        <v/>
      </c>
      <c r="H322" s="68" t="str">
        <f t="shared" si="52"/>
        <v/>
      </c>
      <c r="I322" s="68" t="str">
        <f t="shared" si="56"/>
        <v/>
      </c>
      <c r="M322" s="1">
        <v>285</v>
      </c>
      <c r="N322" s="1" t="str">
        <f>IF($T322=0,"",INDEX(TAHSILAT!$E$7:$E$2503,$T322))</f>
        <v/>
      </c>
      <c r="O322" s="1" t="str">
        <f>IF($N322="","",$C$36&amp;" – müşteriden tahsilat: "&amp;INDEX(TAHSILAT!$N$7:$N$2503,$T322)&amp;IF(INDEX(TAHSILAT!$J$7:$J$2503,$T322)="",""," – "&amp;INDEX(TAHSILAT!$J$7:$J$2503,$T322)))</f>
        <v/>
      </c>
      <c r="P322" s="1" t="str">
        <f t="shared" si="46"/>
        <v/>
      </c>
      <c r="Q322" s="1">
        <f>IF($N322="",0,INDEX(TAHSILAT!$F$7:$F$2503,$T322))</f>
        <v>0</v>
      </c>
      <c r="R322" s="1">
        <v>0</v>
      </c>
      <c r="S322" s="1">
        <f t="shared" si="53"/>
        <v>10000000000</v>
      </c>
      <c r="T322" s="1">
        <f>IFERROR(MATCH($C$36&amp;"|249",TAHSILAT!$U$7:$U$2503,0),0)</f>
        <v>0</v>
      </c>
      <c r="V322" s="1">
        <f t="shared" si="54"/>
        <v>10000000000</v>
      </c>
      <c r="W322" s="1">
        <f t="shared" si="55"/>
        <v>9</v>
      </c>
    </row>
    <row r="323" spans="2:23" ht="14.25" customHeight="1" x14ac:dyDescent="0.3">
      <c r="B323" s="65" t="str">
        <f t="shared" si="47"/>
        <v/>
      </c>
      <c r="C323" s="70" t="str">
        <f t="shared" si="48"/>
        <v/>
      </c>
      <c r="D323" s="74" t="str">
        <f t="shared" si="49"/>
        <v/>
      </c>
      <c r="F323" s="65" t="str">
        <f t="shared" si="50"/>
        <v/>
      </c>
      <c r="G323" s="68" t="str">
        <f t="shared" si="51"/>
        <v/>
      </c>
      <c r="H323" s="68" t="str">
        <f t="shared" si="52"/>
        <v/>
      </c>
      <c r="I323" s="68" t="str">
        <f t="shared" si="56"/>
        <v/>
      </c>
      <c r="M323" s="1">
        <v>286</v>
      </c>
      <c r="N323" s="1" t="str">
        <f>IF($T323=0,"",INDEX(TAHSILAT!$E$7:$E$2503,$T323))</f>
        <v/>
      </c>
      <c r="O323" s="1" t="str">
        <f>IF($N323="","",$C$36&amp;" – müşteriden tahsilat: "&amp;INDEX(TAHSILAT!$N$7:$N$2503,$T323)&amp;IF(INDEX(TAHSILAT!$J$7:$J$2503,$T323)="",""," – "&amp;INDEX(TAHSILAT!$J$7:$J$2503,$T323)))</f>
        <v/>
      </c>
      <c r="P323" s="1" t="str">
        <f t="shared" si="46"/>
        <v/>
      </c>
      <c r="Q323" s="1">
        <f>IF($N323="",0,INDEX(TAHSILAT!$F$7:$F$2503,$T323))</f>
        <v>0</v>
      </c>
      <c r="R323" s="1">
        <v>0</v>
      </c>
      <c r="S323" s="1">
        <f t="shared" si="53"/>
        <v>10000000000</v>
      </c>
      <c r="T323" s="1">
        <f>IFERROR(MATCH($C$36&amp;"|250",TAHSILAT!$U$7:$U$2503,0),0)</f>
        <v>0</v>
      </c>
      <c r="V323" s="1">
        <f t="shared" si="54"/>
        <v>10000000000</v>
      </c>
      <c r="W323" s="1">
        <f t="shared" si="55"/>
        <v>9</v>
      </c>
    </row>
    <row r="324" spans="2:23" ht="14.25" customHeight="1" x14ac:dyDescent="0.3">
      <c r="B324" s="65" t="str">
        <f t="shared" si="47"/>
        <v/>
      </c>
      <c r="C324" s="70" t="str">
        <f t="shared" si="48"/>
        <v/>
      </c>
      <c r="D324" s="74" t="str">
        <f t="shared" si="49"/>
        <v/>
      </c>
      <c r="F324" s="65" t="str">
        <f t="shared" si="50"/>
        <v/>
      </c>
      <c r="G324" s="68" t="str">
        <f t="shared" si="51"/>
        <v/>
      </c>
      <c r="H324" s="68" t="str">
        <f t="shared" si="52"/>
        <v/>
      </c>
      <c r="I324" s="68" t="str">
        <f t="shared" si="56"/>
        <v/>
      </c>
      <c r="M324" s="1">
        <v>287</v>
      </c>
      <c r="N324" s="1" t="str">
        <f>IF($T324=0,"",INDEX(TAHSILAT!$E$7:$E$2503,$T324))</f>
        <v/>
      </c>
      <c r="O324" s="1" t="str">
        <f>IF($N324="","",$C$36&amp;" – müşteriden tahsilat: "&amp;INDEX(TAHSILAT!$N$7:$N$2503,$T324)&amp;IF(INDEX(TAHSILAT!$J$7:$J$2503,$T324)="",""," – "&amp;INDEX(TAHSILAT!$J$7:$J$2503,$T324)))</f>
        <v/>
      </c>
      <c r="P324" s="1" t="str">
        <f t="shared" si="46"/>
        <v/>
      </c>
      <c r="Q324" s="1">
        <f>IF($N324="",0,INDEX(TAHSILAT!$F$7:$F$2503,$T324))</f>
        <v>0</v>
      </c>
      <c r="R324" s="1">
        <v>0</v>
      </c>
      <c r="S324" s="1">
        <f t="shared" si="53"/>
        <v>10000000000</v>
      </c>
      <c r="T324" s="1">
        <f>IFERROR(MATCH($C$36&amp;"|251",TAHSILAT!$U$7:$U$2503,0),0)</f>
        <v>0</v>
      </c>
      <c r="V324" s="1">
        <f t="shared" si="54"/>
        <v>10000000000</v>
      </c>
      <c r="W324" s="1">
        <f t="shared" si="55"/>
        <v>9</v>
      </c>
    </row>
    <row r="325" spans="2:23" ht="14.25" customHeight="1" x14ac:dyDescent="0.3">
      <c r="B325" s="65" t="str">
        <f t="shared" si="47"/>
        <v/>
      </c>
      <c r="C325" s="70" t="str">
        <f t="shared" si="48"/>
        <v/>
      </c>
      <c r="D325" s="74" t="str">
        <f t="shared" si="49"/>
        <v/>
      </c>
      <c r="F325" s="65" t="str">
        <f t="shared" si="50"/>
        <v/>
      </c>
      <c r="G325" s="68" t="str">
        <f t="shared" si="51"/>
        <v/>
      </c>
      <c r="H325" s="68" t="str">
        <f t="shared" si="52"/>
        <v/>
      </c>
      <c r="I325" s="68" t="str">
        <f t="shared" si="56"/>
        <v/>
      </c>
      <c r="M325" s="1">
        <v>288</v>
      </c>
      <c r="N325" s="1" t="str">
        <f>IF($T325=0,"",INDEX(TAHSILAT!$E$7:$E$2503,$T325))</f>
        <v/>
      </c>
      <c r="O325" s="1" t="str">
        <f>IF($N325="","",$C$36&amp;" – müşteriden tahsilat: "&amp;INDEX(TAHSILAT!$N$7:$N$2503,$T325)&amp;IF(INDEX(TAHSILAT!$J$7:$J$2503,$T325)="",""," – "&amp;INDEX(TAHSILAT!$J$7:$J$2503,$T325)))</f>
        <v/>
      </c>
      <c r="P325" s="1" t="str">
        <f t="shared" si="46"/>
        <v/>
      </c>
      <c r="Q325" s="1">
        <f>IF($N325="",0,INDEX(TAHSILAT!$F$7:$F$2503,$T325))</f>
        <v>0</v>
      </c>
      <c r="R325" s="1">
        <v>0</v>
      </c>
      <c r="S325" s="1">
        <f t="shared" si="53"/>
        <v>10000000000</v>
      </c>
      <c r="T325" s="1">
        <f>IFERROR(MATCH($C$36&amp;"|252",TAHSILAT!$U$7:$U$2503,0),0)</f>
        <v>0</v>
      </c>
      <c r="V325" s="1">
        <f t="shared" si="54"/>
        <v>10000000000</v>
      </c>
      <c r="W325" s="1">
        <f t="shared" si="55"/>
        <v>9</v>
      </c>
    </row>
    <row r="326" spans="2:23" ht="14.25" customHeight="1" x14ac:dyDescent="0.3">
      <c r="B326" s="65" t="str">
        <f t="shared" si="47"/>
        <v/>
      </c>
      <c r="C326" s="70" t="str">
        <f t="shared" si="48"/>
        <v/>
      </c>
      <c r="D326" s="74" t="str">
        <f t="shared" si="49"/>
        <v/>
      </c>
      <c r="F326" s="65" t="str">
        <f t="shared" si="50"/>
        <v/>
      </c>
      <c r="G326" s="68" t="str">
        <f t="shared" si="51"/>
        <v/>
      </c>
      <c r="H326" s="68" t="str">
        <f t="shared" si="52"/>
        <v/>
      </c>
      <c r="I326" s="68" t="str">
        <f t="shared" si="56"/>
        <v/>
      </c>
      <c r="M326" s="1">
        <v>289</v>
      </c>
      <c r="N326" s="1" t="str">
        <f>IF($T326=0,"",INDEX(TAHSILAT!$E$7:$E$2503,$T326))</f>
        <v/>
      </c>
      <c r="O326" s="1" t="str">
        <f>IF($N326="","",$C$36&amp;" – müşteriden tahsilat: "&amp;INDEX(TAHSILAT!$N$7:$N$2503,$T326)&amp;IF(INDEX(TAHSILAT!$J$7:$J$2503,$T326)="",""," – "&amp;INDEX(TAHSILAT!$J$7:$J$2503,$T326)))</f>
        <v/>
      </c>
      <c r="P326" s="1" t="str">
        <f t="shared" si="46"/>
        <v/>
      </c>
      <c r="Q326" s="1">
        <f>IF($N326="",0,INDEX(TAHSILAT!$F$7:$F$2503,$T326))</f>
        <v>0</v>
      </c>
      <c r="R326" s="1">
        <v>0</v>
      </c>
      <c r="S326" s="1">
        <f t="shared" si="53"/>
        <v>10000000000</v>
      </c>
      <c r="T326" s="1">
        <f>IFERROR(MATCH($C$36&amp;"|253",TAHSILAT!$U$7:$U$2503,0),0)</f>
        <v>0</v>
      </c>
      <c r="V326" s="1">
        <f t="shared" si="54"/>
        <v>10000000000</v>
      </c>
      <c r="W326" s="1">
        <f t="shared" si="55"/>
        <v>9</v>
      </c>
    </row>
    <row r="327" spans="2:23" ht="14.25" customHeight="1" x14ac:dyDescent="0.3">
      <c r="B327" s="65" t="str">
        <f t="shared" si="47"/>
        <v/>
      </c>
      <c r="C327" s="70" t="str">
        <f t="shared" si="48"/>
        <v/>
      </c>
      <c r="D327" s="74" t="str">
        <f t="shared" si="49"/>
        <v/>
      </c>
      <c r="F327" s="65" t="str">
        <f t="shared" si="50"/>
        <v/>
      </c>
      <c r="G327" s="68" t="str">
        <f t="shared" si="51"/>
        <v/>
      </c>
      <c r="H327" s="68" t="str">
        <f t="shared" si="52"/>
        <v/>
      </c>
      <c r="I327" s="68" t="str">
        <f t="shared" si="56"/>
        <v/>
      </c>
      <c r="M327" s="1">
        <v>290</v>
      </c>
      <c r="N327" s="1" t="str">
        <f>IF($T327=0,"",INDEX(TAHSILAT!$E$7:$E$2503,$T327))</f>
        <v/>
      </c>
      <c r="O327" s="1" t="str">
        <f>IF($N327="","",$C$36&amp;" – müşteriden tahsilat: "&amp;INDEX(TAHSILAT!$N$7:$N$2503,$T327)&amp;IF(INDEX(TAHSILAT!$J$7:$J$2503,$T327)="",""," – "&amp;INDEX(TAHSILAT!$J$7:$J$2503,$T327)))</f>
        <v/>
      </c>
      <c r="P327" s="1" t="str">
        <f t="shared" si="46"/>
        <v/>
      </c>
      <c r="Q327" s="1">
        <f>IF($N327="",0,INDEX(TAHSILAT!$F$7:$F$2503,$T327))</f>
        <v>0</v>
      </c>
      <c r="R327" s="1">
        <v>0</v>
      </c>
      <c r="S327" s="1">
        <f t="shared" si="53"/>
        <v>10000000000</v>
      </c>
      <c r="T327" s="1">
        <f>IFERROR(MATCH($C$36&amp;"|254",TAHSILAT!$U$7:$U$2503,0),0)</f>
        <v>0</v>
      </c>
      <c r="V327" s="1">
        <f t="shared" si="54"/>
        <v>10000000000</v>
      </c>
      <c r="W327" s="1">
        <f t="shared" si="55"/>
        <v>9</v>
      </c>
    </row>
    <row r="328" spans="2:23" ht="14.25" customHeight="1" x14ac:dyDescent="0.3">
      <c r="B328" s="65" t="str">
        <f t="shared" si="47"/>
        <v/>
      </c>
      <c r="C328" s="70" t="str">
        <f t="shared" si="48"/>
        <v/>
      </c>
      <c r="D328" s="74" t="str">
        <f t="shared" si="49"/>
        <v/>
      </c>
      <c r="F328" s="65" t="str">
        <f t="shared" si="50"/>
        <v/>
      </c>
      <c r="G328" s="68" t="str">
        <f t="shared" si="51"/>
        <v/>
      </c>
      <c r="H328" s="68" t="str">
        <f t="shared" si="52"/>
        <v/>
      </c>
      <c r="I328" s="68" t="str">
        <f t="shared" si="56"/>
        <v/>
      </c>
      <c r="M328" s="1">
        <v>291</v>
      </c>
      <c r="N328" s="1" t="str">
        <f>IF($T328=0,"",INDEX(TAHSILAT!$E$7:$E$2503,$T328))</f>
        <v/>
      </c>
      <c r="O328" s="1" t="str">
        <f>IF($N328="","",$C$36&amp;" – müşteriden tahsilat: "&amp;INDEX(TAHSILAT!$N$7:$N$2503,$T328)&amp;IF(INDEX(TAHSILAT!$J$7:$J$2503,$T328)="",""," – "&amp;INDEX(TAHSILAT!$J$7:$J$2503,$T328)))</f>
        <v/>
      </c>
      <c r="P328" s="1" t="str">
        <f t="shared" si="46"/>
        <v/>
      </c>
      <c r="Q328" s="1">
        <f>IF($N328="",0,INDEX(TAHSILAT!$F$7:$F$2503,$T328))</f>
        <v>0</v>
      </c>
      <c r="R328" s="1">
        <v>0</v>
      </c>
      <c r="S328" s="1">
        <f t="shared" si="53"/>
        <v>10000000000</v>
      </c>
      <c r="T328" s="1">
        <f>IFERROR(MATCH($C$36&amp;"|255",TAHSILAT!$U$7:$U$2503,0),0)</f>
        <v>0</v>
      </c>
      <c r="V328" s="1">
        <f t="shared" si="54"/>
        <v>10000000000</v>
      </c>
      <c r="W328" s="1">
        <f t="shared" si="55"/>
        <v>9</v>
      </c>
    </row>
    <row r="329" spans="2:23" ht="14.25" customHeight="1" x14ac:dyDescent="0.3">
      <c r="B329" s="65" t="str">
        <f t="shared" si="47"/>
        <v/>
      </c>
      <c r="C329" s="70" t="str">
        <f t="shared" si="48"/>
        <v/>
      </c>
      <c r="D329" s="74" t="str">
        <f t="shared" si="49"/>
        <v/>
      </c>
      <c r="F329" s="65" t="str">
        <f t="shared" si="50"/>
        <v/>
      </c>
      <c r="G329" s="68" t="str">
        <f t="shared" si="51"/>
        <v/>
      </c>
      <c r="H329" s="68" t="str">
        <f t="shared" si="52"/>
        <v/>
      </c>
      <c r="I329" s="68" t="str">
        <f t="shared" si="56"/>
        <v/>
      </c>
      <c r="M329" s="1">
        <v>292</v>
      </c>
      <c r="N329" s="1" t="str">
        <f>IF($T329=0,"",INDEX(TAHSILAT!$E$7:$E$2503,$T329))</f>
        <v/>
      </c>
      <c r="O329" s="1" t="str">
        <f>IF($N329="","",$C$36&amp;" – müşteriden tahsilat: "&amp;INDEX(TAHSILAT!$N$7:$N$2503,$T329)&amp;IF(INDEX(TAHSILAT!$J$7:$J$2503,$T329)="",""," – "&amp;INDEX(TAHSILAT!$J$7:$J$2503,$T329)))</f>
        <v/>
      </c>
      <c r="P329" s="1" t="str">
        <f t="shared" si="46"/>
        <v/>
      </c>
      <c r="Q329" s="1">
        <f>IF($N329="",0,INDEX(TAHSILAT!$F$7:$F$2503,$T329))</f>
        <v>0</v>
      </c>
      <c r="R329" s="1">
        <v>0</v>
      </c>
      <c r="S329" s="1">
        <f t="shared" si="53"/>
        <v>10000000000</v>
      </c>
      <c r="T329" s="1">
        <f>IFERROR(MATCH($C$36&amp;"|256",TAHSILAT!$U$7:$U$2503,0),0)</f>
        <v>0</v>
      </c>
      <c r="V329" s="1">
        <f t="shared" si="54"/>
        <v>10000000000</v>
      </c>
      <c r="W329" s="1">
        <f t="shared" si="55"/>
        <v>9</v>
      </c>
    </row>
    <row r="330" spans="2:23" ht="14.25" customHeight="1" x14ac:dyDescent="0.3">
      <c r="B330" s="65" t="str">
        <f t="shared" si="47"/>
        <v/>
      </c>
      <c r="C330" s="70" t="str">
        <f t="shared" si="48"/>
        <v/>
      </c>
      <c r="D330" s="74" t="str">
        <f t="shared" si="49"/>
        <v/>
      </c>
      <c r="F330" s="65" t="str">
        <f t="shared" si="50"/>
        <v/>
      </c>
      <c r="G330" s="68" t="str">
        <f t="shared" si="51"/>
        <v/>
      </c>
      <c r="H330" s="68" t="str">
        <f t="shared" si="52"/>
        <v/>
      </c>
      <c r="I330" s="68" t="str">
        <f t="shared" si="56"/>
        <v/>
      </c>
      <c r="M330" s="1">
        <v>293</v>
      </c>
      <c r="N330" s="1" t="str">
        <f>IF($T330=0,"",INDEX(TAHSILAT!$E$7:$E$2503,$T330))</f>
        <v/>
      </c>
      <c r="O330" s="1" t="str">
        <f>IF($N330="","",$C$36&amp;" – müşteriden tahsilat: "&amp;INDEX(TAHSILAT!$N$7:$N$2503,$T330)&amp;IF(INDEX(TAHSILAT!$J$7:$J$2503,$T330)="",""," – "&amp;INDEX(TAHSILAT!$J$7:$J$2503,$T330)))</f>
        <v/>
      </c>
      <c r="P330" s="1" t="str">
        <f t="shared" ref="P330:P393" si="57">IF($N330="","","MÜŞTERİDEN ALDI")</f>
        <v/>
      </c>
      <c r="Q330" s="1">
        <f>IF($N330="",0,INDEX(TAHSILAT!$F$7:$F$2503,$T330))</f>
        <v>0</v>
      </c>
      <c r="R330" s="1">
        <v>0</v>
      </c>
      <c r="S330" s="1">
        <f t="shared" si="53"/>
        <v>10000000000</v>
      </c>
      <c r="T330" s="1">
        <f>IFERROR(MATCH($C$36&amp;"|257",TAHSILAT!$U$7:$U$2503,0),0)</f>
        <v>0</v>
      </c>
      <c r="V330" s="1">
        <f t="shared" si="54"/>
        <v>10000000000</v>
      </c>
      <c r="W330" s="1">
        <f t="shared" si="55"/>
        <v>9</v>
      </c>
    </row>
    <row r="331" spans="2:23" ht="14.25" customHeight="1" x14ac:dyDescent="0.3">
      <c r="B331" s="65" t="str">
        <f t="shared" si="47"/>
        <v/>
      </c>
      <c r="C331" s="70" t="str">
        <f t="shared" si="48"/>
        <v/>
      </c>
      <c r="D331" s="74" t="str">
        <f t="shared" si="49"/>
        <v/>
      </c>
      <c r="F331" s="65" t="str">
        <f t="shared" si="50"/>
        <v/>
      </c>
      <c r="G331" s="68" t="str">
        <f t="shared" si="51"/>
        <v/>
      </c>
      <c r="H331" s="68" t="str">
        <f t="shared" si="52"/>
        <v/>
      </c>
      <c r="I331" s="68" t="str">
        <f t="shared" si="56"/>
        <v/>
      </c>
      <c r="M331" s="1">
        <v>294</v>
      </c>
      <c r="N331" s="1" t="str">
        <f>IF($T331=0,"",INDEX(TAHSILAT!$E$7:$E$2503,$T331))</f>
        <v/>
      </c>
      <c r="O331" s="1" t="str">
        <f>IF($N331="","",$C$36&amp;" – müşteriden tahsilat: "&amp;INDEX(TAHSILAT!$N$7:$N$2503,$T331)&amp;IF(INDEX(TAHSILAT!$J$7:$J$2503,$T331)="",""," – "&amp;INDEX(TAHSILAT!$J$7:$J$2503,$T331)))</f>
        <v/>
      </c>
      <c r="P331" s="1" t="str">
        <f t="shared" si="57"/>
        <v/>
      </c>
      <c r="Q331" s="1">
        <f>IF($N331="",0,INDEX(TAHSILAT!$F$7:$F$2503,$T331))</f>
        <v>0</v>
      </c>
      <c r="R331" s="1">
        <v>0</v>
      </c>
      <c r="S331" s="1">
        <f t="shared" si="53"/>
        <v>10000000000</v>
      </c>
      <c r="T331" s="1">
        <f>IFERROR(MATCH($C$36&amp;"|258",TAHSILAT!$U$7:$U$2503,0),0)</f>
        <v>0</v>
      </c>
      <c r="V331" s="1">
        <f t="shared" si="54"/>
        <v>10000000000</v>
      </c>
      <c r="W331" s="1">
        <f t="shared" si="55"/>
        <v>9</v>
      </c>
    </row>
    <row r="332" spans="2:23" ht="14.25" customHeight="1" x14ac:dyDescent="0.3">
      <c r="B332" s="65" t="str">
        <f t="shared" si="47"/>
        <v/>
      </c>
      <c r="C332" s="70" t="str">
        <f t="shared" si="48"/>
        <v/>
      </c>
      <c r="D332" s="74" t="str">
        <f t="shared" si="49"/>
        <v/>
      </c>
      <c r="F332" s="65" t="str">
        <f t="shared" si="50"/>
        <v/>
      </c>
      <c r="G332" s="68" t="str">
        <f t="shared" si="51"/>
        <v/>
      </c>
      <c r="H332" s="68" t="str">
        <f t="shared" si="52"/>
        <v/>
      </c>
      <c r="I332" s="68" t="str">
        <f t="shared" si="56"/>
        <v/>
      </c>
      <c r="M332" s="1">
        <v>295</v>
      </c>
      <c r="N332" s="1" t="str">
        <f>IF($T332=0,"",INDEX(TAHSILAT!$E$7:$E$2503,$T332))</f>
        <v/>
      </c>
      <c r="O332" s="1" t="str">
        <f>IF($N332="","",$C$36&amp;" – müşteriden tahsilat: "&amp;INDEX(TAHSILAT!$N$7:$N$2503,$T332)&amp;IF(INDEX(TAHSILAT!$J$7:$J$2503,$T332)="",""," – "&amp;INDEX(TAHSILAT!$J$7:$J$2503,$T332)))</f>
        <v/>
      </c>
      <c r="P332" s="1" t="str">
        <f t="shared" si="57"/>
        <v/>
      </c>
      <c r="Q332" s="1">
        <f>IF($N332="",0,INDEX(TAHSILAT!$F$7:$F$2503,$T332))</f>
        <v>0</v>
      </c>
      <c r="R332" s="1">
        <v>0</v>
      </c>
      <c r="S332" s="1">
        <f t="shared" si="53"/>
        <v>10000000000</v>
      </c>
      <c r="T332" s="1">
        <f>IFERROR(MATCH($C$36&amp;"|259",TAHSILAT!$U$7:$U$2503,0),0)</f>
        <v>0</v>
      </c>
      <c r="V332" s="1">
        <f t="shared" si="54"/>
        <v>10000000000</v>
      </c>
      <c r="W332" s="1">
        <f t="shared" si="55"/>
        <v>9</v>
      </c>
    </row>
    <row r="333" spans="2:23" ht="14.25" customHeight="1" x14ac:dyDescent="0.3">
      <c r="B333" s="65" t="str">
        <f t="shared" si="47"/>
        <v/>
      </c>
      <c r="C333" s="70" t="str">
        <f t="shared" si="48"/>
        <v/>
      </c>
      <c r="D333" s="74" t="str">
        <f t="shared" si="49"/>
        <v/>
      </c>
      <c r="F333" s="65" t="str">
        <f t="shared" si="50"/>
        <v/>
      </c>
      <c r="G333" s="68" t="str">
        <f t="shared" si="51"/>
        <v/>
      </c>
      <c r="H333" s="68" t="str">
        <f t="shared" si="52"/>
        <v/>
      </c>
      <c r="I333" s="68" t="str">
        <f t="shared" si="56"/>
        <v/>
      </c>
      <c r="M333" s="1">
        <v>296</v>
      </c>
      <c r="N333" s="1" t="str">
        <f>IF($T333=0,"",INDEX(TAHSILAT!$E$7:$E$2503,$T333))</f>
        <v/>
      </c>
      <c r="O333" s="1" t="str">
        <f>IF($N333="","",$C$36&amp;" – müşteriden tahsilat: "&amp;INDEX(TAHSILAT!$N$7:$N$2503,$T333)&amp;IF(INDEX(TAHSILAT!$J$7:$J$2503,$T333)="",""," – "&amp;INDEX(TAHSILAT!$J$7:$J$2503,$T333)))</f>
        <v/>
      </c>
      <c r="P333" s="1" t="str">
        <f t="shared" si="57"/>
        <v/>
      </c>
      <c r="Q333" s="1">
        <f>IF($N333="",0,INDEX(TAHSILAT!$F$7:$F$2503,$T333))</f>
        <v>0</v>
      </c>
      <c r="R333" s="1">
        <v>0</v>
      </c>
      <c r="S333" s="1">
        <f t="shared" si="53"/>
        <v>10000000000</v>
      </c>
      <c r="T333" s="1">
        <f>IFERROR(MATCH($C$36&amp;"|260",TAHSILAT!$U$7:$U$2503,0),0)</f>
        <v>0</v>
      </c>
      <c r="V333" s="1">
        <f t="shared" si="54"/>
        <v>10000000000</v>
      </c>
      <c r="W333" s="1">
        <f t="shared" si="55"/>
        <v>9</v>
      </c>
    </row>
    <row r="334" spans="2:23" ht="14.25" customHeight="1" x14ac:dyDescent="0.3">
      <c r="B334" s="65" t="str">
        <f t="shared" si="47"/>
        <v/>
      </c>
      <c r="C334" s="70" t="str">
        <f t="shared" si="48"/>
        <v/>
      </c>
      <c r="D334" s="74" t="str">
        <f t="shared" si="49"/>
        <v/>
      </c>
      <c r="F334" s="65" t="str">
        <f t="shared" si="50"/>
        <v/>
      </c>
      <c r="G334" s="68" t="str">
        <f t="shared" si="51"/>
        <v/>
      </c>
      <c r="H334" s="68" t="str">
        <f t="shared" si="52"/>
        <v/>
      </c>
      <c r="I334" s="68" t="str">
        <f t="shared" si="56"/>
        <v/>
      </c>
      <c r="M334" s="1">
        <v>297</v>
      </c>
      <c r="N334" s="1" t="str">
        <f>IF($T334=0,"",INDEX(TAHSILAT!$E$7:$E$2503,$T334))</f>
        <v/>
      </c>
      <c r="O334" s="1" t="str">
        <f>IF($N334="","",$C$36&amp;" – müşteriden tahsilat: "&amp;INDEX(TAHSILAT!$N$7:$N$2503,$T334)&amp;IF(INDEX(TAHSILAT!$J$7:$J$2503,$T334)="",""," – "&amp;INDEX(TAHSILAT!$J$7:$J$2503,$T334)))</f>
        <v/>
      </c>
      <c r="P334" s="1" t="str">
        <f t="shared" si="57"/>
        <v/>
      </c>
      <c r="Q334" s="1">
        <f>IF($N334="",0,INDEX(TAHSILAT!$F$7:$F$2503,$T334))</f>
        <v>0</v>
      </c>
      <c r="R334" s="1">
        <v>0</v>
      </c>
      <c r="S334" s="1">
        <f t="shared" si="53"/>
        <v>10000000000</v>
      </c>
      <c r="T334" s="1">
        <f>IFERROR(MATCH($C$36&amp;"|261",TAHSILAT!$U$7:$U$2503,0),0)</f>
        <v>0</v>
      </c>
      <c r="V334" s="1">
        <f t="shared" si="54"/>
        <v>10000000000</v>
      </c>
      <c r="W334" s="1">
        <f t="shared" si="55"/>
        <v>9</v>
      </c>
    </row>
    <row r="335" spans="2:23" ht="14.25" customHeight="1" x14ac:dyDescent="0.3">
      <c r="B335" s="65" t="str">
        <f t="shared" si="47"/>
        <v/>
      </c>
      <c r="C335" s="70" t="str">
        <f t="shared" si="48"/>
        <v/>
      </c>
      <c r="D335" s="74" t="str">
        <f t="shared" si="49"/>
        <v/>
      </c>
      <c r="F335" s="65" t="str">
        <f t="shared" si="50"/>
        <v/>
      </c>
      <c r="G335" s="68" t="str">
        <f t="shared" si="51"/>
        <v/>
      </c>
      <c r="H335" s="68" t="str">
        <f t="shared" si="52"/>
        <v/>
      </c>
      <c r="I335" s="68" t="str">
        <f t="shared" si="56"/>
        <v/>
      </c>
      <c r="M335" s="1">
        <v>298</v>
      </c>
      <c r="N335" s="1" t="str">
        <f>IF($T335=0,"",INDEX(TAHSILAT!$E$7:$E$2503,$T335))</f>
        <v/>
      </c>
      <c r="O335" s="1" t="str">
        <f>IF($N335="","",$C$36&amp;" – müşteriden tahsilat: "&amp;INDEX(TAHSILAT!$N$7:$N$2503,$T335)&amp;IF(INDEX(TAHSILAT!$J$7:$J$2503,$T335)="",""," – "&amp;INDEX(TAHSILAT!$J$7:$J$2503,$T335)))</f>
        <v/>
      </c>
      <c r="P335" s="1" t="str">
        <f t="shared" si="57"/>
        <v/>
      </c>
      <c r="Q335" s="1">
        <f>IF($N335="",0,INDEX(TAHSILAT!$F$7:$F$2503,$T335))</f>
        <v>0</v>
      </c>
      <c r="R335" s="1">
        <v>0</v>
      </c>
      <c r="S335" s="1">
        <f t="shared" si="53"/>
        <v>10000000000</v>
      </c>
      <c r="T335" s="1">
        <f>IFERROR(MATCH($C$36&amp;"|262",TAHSILAT!$U$7:$U$2503,0),0)</f>
        <v>0</v>
      </c>
      <c r="V335" s="1">
        <f t="shared" si="54"/>
        <v>10000000000</v>
      </c>
      <c r="W335" s="1">
        <f t="shared" si="55"/>
        <v>9</v>
      </c>
    </row>
    <row r="336" spans="2:23" ht="14.25" customHeight="1" x14ac:dyDescent="0.3">
      <c r="B336" s="65" t="str">
        <f t="shared" si="47"/>
        <v/>
      </c>
      <c r="C336" s="70" t="str">
        <f t="shared" si="48"/>
        <v/>
      </c>
      <c r="D336" s="74" t="str">
        <f t="shared" si="49"/>
        <v/>
      </c>
      <c r="F336" s="65" t="str">
        <f t="shared" si="50"/>
        <v/>
      </c>
      <c r="G336" s="68" t="str">
        <f t="shared" si="51"/>
        <v/>
      </c>
      <c r="H336" s="68" t="str">
        <f t="shared" si="52"/>
        <v/>
      </c>
      <c r="I336" s="68" t="str">
        <f t="shared" si="56"/>
        <v/>
      </c>
      <c r="M336" s="1">
        <v>299</v>
      </c>
      <c r="N336" s="1" t="str">
        <f>IF($T336=0,"",INDEX(TAHSILAT!$E$7:$E$2503,$T336))</f>
        <v/>
      </c>
      <c r="O336" s="1" t="str">
        <f>IF($N336="","",$C$36&amp;" – müşteriden tahsilat: "&amp;INDEX(TAHSILAT!$N$7:$N$2503,$T336)&amp;IF(INDEX(TAHSILAT!$J$7:$J$2503,$T336)="",""," – "&amp;INDEX(TAHSILAT!$J$7:$J$2503,$T336)))</f>
        <v/>
      </c>
      <c r="P336" s="1" t="str">
        <f t="shared" si="57"/>
        <v/>
      </c>
      <c r="Q336" s="1">
        <f>IF($N336="",0,INDEX(TAHSILAT!$F$7:$F$2503,$T336))</f>
        <v>0</v>
      </c>
      <c r="R336" s="1">
        <v>0</v>
      </c>
      <c r="S336" s="1">
        <f t="shared" si="53"/>
        <v>10000000000</v>
      </c>
      <c r="T336" s="1">
        <f>IFERROR(MATCH($C$36&amp;"|263",TAHSILAT!$U$7:$U$2503,0),0)</f>
        <v>0</v>
      </c>
      <c r="V336" s="1">
        <f t="shared" si="54"/>
        <v>10000000000</v>
      </c>
      <c r="W336" s="1">
        <f t="shared" si="55"/>
        <v>9</v>
      </c>
    </row>
    <row r="337" spans="2:23" ht="14.25" customHeight="1" x14ac:dyDescent="0.3">
      <c r="B337" s="65" t="str">
        <f t="shared" si="47"/>
        <v/>
      </c>
      <c r="C337" s="70" t="str">
        <f t="shared" si="48"/>
        <v/>
      </c>
      <c r="D337" s="74" t="str">
        <f t="shared" si="49"/>
        <v/>
      </c>
      <c r="F337" s="65" t="str">
        <f t="shared" si="50"/>
        <v/>
      </c>
      <c r="G337" s="68" t="str">
        <f t="shared" si="51"/>
        <v/>
      </c>
      <c r="H337" s="68" t="str">
        <f t="shared" si="52"/>
        <v/>
      </c>
      <c r="I337" s="68" t="str">
        <f t="shared" si="56"/>
        <v/>
      </c>
      <c r="M337" s="1">
        <v>300</v>
      </c>
      <c r="N337" s="1" t="str">
        <f>IF($T337=0,"",INDEX(TAHSILAT!$E$7:$E$2503,$T337))</f>
        <v/>
      </c>
      <c r="O337" s="1" t="str">
        <f>IF($N337="","",$C$36&amp;" – müşteriden tahsilat: "&amp;INDEX(TAHSILAT!$N$7:$N$2503,$T337)&amp;IF(INDEX(TAHSILAT!$J$7:$J$2503,$T337)="",""," – "&amp;INDEX(TAHSILAT!$J$7:$J$2503,$T337)))</f>
        <v/>
      </c>
      <c r="P337" s="1" t="str">
        <f t="shared" si="57"/>
        <v/>
      </c>
      <c r="Q337" s="1">
        <f>IF($N337="",0,INDEX(TAHSILAT!$F$7:$F$2503,$T337))</f>
        <v>0</v>
      </c>
      <c r="R337" s="1">
        <v>0</v>
      </c>
      <c r="S337" s="1">
        <f t="shared" si="53"/>
        <v>10000000000</v>
      </c>
      <c r="T337" s="1">
        <f>IFERROR(MATCH($C$36&amp;"|264",TAHSILAT!$U$7:$U$2503,0),0)</f>
        <v>0</v>
      </c>
      <c r="V337" s="1">
        <f t="shared" si="54"/>
        <v>10000000000</v>
      </c>
      <c r="W337" s="1">
        <f t="shared" si="55"/>
        <v>9</v>
      </c>
    </row>
    <row r="338" spans="2:23" ht="14.25" customHeight="1" x14ac:dyDescent="0.3">
      <c r="B338" s="65" t="str">
        <f t="shared" si="47"/>
        <v/>
      </c>
      <c r="C338" s="70" t="str">
        <f t="shared" si="48"/>
        <v/>
      </c>
      <c r="D338" s="74" t="str">
        <f t="shared" si="49"/>
        <v/>
      </c>
      <c r="F338" s="65" t="str">
        <f t="shared" si="50"/>
        <v/>
      </c>
      <c r="G338" s="68" t="str">
        <f t="shared" si="51"/>
        <v/>
      </c>
      <c r="H338" s="68" t="str">
        <f t="shared" si="52"/>
        <v/>
      </c>
      <c r="I338" s="68" t="str">
        <f t="shared" si="56"/>
        <v/>
      </c>
      <c r="M338" s="1">
        <v>301</v>
      </c>
      <c r="N338" s="1" t="str">
        <f>IF($T338=0,"",INDEX(TAHSILAT!$E$7:$E$2503,$T338))</f>
        <v/>
      </c>
      <c r="O338" s="1" t="str">
        <f>IF($N338="","",$C$36&amp;" – müşteriden tahsilat: "&amp;INDEX(TAHSILAT!$N$7:$N$2503,$T338)&amp;IF(INDEX(TAHSILAT!$J$7:$J$2503,$T338)="",""," – "&amp;INDEX(TAHSILAT!$J$7:$J$2503,$T338)))</f>
        <v/>
      </c>
      <c r="P338" s="1" t="str">
        <f t="shared" si="57"/>
        <v/>
      </c>
      <c r="Q338" s="1">
        <f>IF($N338="",0,INDEX(TAHSILAT!$F$7:$F$2503,$T338))</f>
        <v>0</v>
      </c>
      <c r="R338" s="1">
        <v>0</v>
      </c>
      <c r="S338" s="1">
        <f t="shared" si="53"/>
        <v>10000000000</v>
      </c>
      <c r="T338" s="1">
        <f>IFERROR(MATCH($C$36&amp;"|265",TAHSILAT!$U$7:$U$2503,0),0)</f>
        <v>0</v>
      </c>
      <c r="V338" s="1">
        <f t="shared" si="54"/>
        <v>10000000000</v>
      </c>
      <c r="W338" s="1">
        <f t="shared" si="55"/>
        <v>9</v>
      </c>
    </row>
    <row r="339" spans="2:23" ht="14.25" customHeight="1" x14ac:dyDescent="0.3">
      <c r="B339" s="65" t="str">
        <f t="shared" si="47"/>
        <v/>
      </c>
      <c r="C339" s="70" t="str">
        <f t="shared" si="48"/>
        <v/>
      </c>
      <c r="D339" s="74" t="str">
        <f t="shared" si="49"/>
        <v/>
      </c>
      <c r="F339" s="65" t="str">
        <f t="shared" si="50"/>
        <v/>
      </c>
      <c r="G339" s="68" t="str">
        <f t="shared" si="51"/>
        <v/>
      </c>
      <c r="H339" s="68" t="str">
        <f t="shared" si="52"/>
        <v/>
      </c>
      <c r="I339" s="68" t="str">
        <f t="shared" si="56"/>
        <v/>
      </c>
      <c r="M339" s="1">
        <v>302</v>
      </c>
      <c r="N339" s="1" t="str">
        <f>IF($T339=0,"",INDEX(TAHSILAT!$E$7:$E$2503,$T339))</f>
        <v/>
      </c>
      <c r="O339" s="1" t="str">
        <f>IF($N339="","",$C$36&amp;" – müşteriden tahsilat: "&amp;INDEX(TAHSILAT!$N$7:$N$2503,$T339)&amp;IF(INDEX(TAHSILAT!$J$7:$J$2503,$T339)="",""," – "&amp;INDEX(TAHSILAT!$J$7:$J$2503,$T339)))</f>
        <v/>
      </c>
      <c r="P339" s="1" t="str">
        <f t="shared" si="57"/>
        <v/>
      </c>
      <c r="Q339" s="1">
        <f>IF($N339="",0,INDEX(TAHSILAT!$F$7:$F$2503,$T339))</f>
        <v>0</v>
      </c>
      <c r="R339" s="1">
        <v>0</v>
      </c>
      <c r="S339" s="1">
        <f t="shared" si="53"/>
        <v>10000000000</v>
      </c>
      <c r="T339" s="1">
        <f>IFERROR(MATCH($C$36&amp;"|266",TAHSILAT!$U$7:$U$2503,0),0)</f>
        <v>0</v>
      </c>
      <c r="V339" s="1">
        <f t="shared" si="54"/>
        <v>10000000000</v>
      </c>
      <c r="W339" s="1">
        <f t="shared" si="55"/>
        <v>9</v>
      </c>
    </row>
    <row r="340" spans="2:23" ht="14.25" customHeight="1" x14ac:dyDescent="0.3">
      <c r="B340" s="65" t="str">
        <f t="shared" si="47"/>
        <v/>
      </c>
      <c r="C340" s="70" t="str">
        <f t="shared" si="48"/>
        <v/>
      </c>
      <c r="D340" s="74" t="str">
        <f t="shared" si="49"/>
        <v/>
      </c>
      <c r="F340" s="65" t="str">
        <f t="shared" si="50"/>
        <v/>
      </c>
      <c r="G340" s="68" t="str">
        <f t="shared" si="51"/>
        <v/>
      </c>
      <c r="H340" s="68" t="str">
        <f t="shared" si="52"/>
        <v/>
      </c>
      <c r="I340" s="68" t="str">
        <f t="shared" si="56"/>
        <v/>
      </c>
      <c r="M340" s="1">
        <v>303</v>
      </c>
      <c r="N340" s="1" t="str">
        <f>IF($T340=0,"",INDEX(TAHSILAT!$E$7:$E$2503,$T340))</f>
        <v/>
      </c>
      <c r="O340" s="1" t="str">
        <f>IF($N340="","",$C$36&amp;" – müşteriden tahsilat: "&amp;INDEX(TAHSILAT!$N$7:$N$2503,$T340)&amp;IF(INDEX(TAHSILAT!$J$7:$J$2503,$T340)="",""," – "&amp;INDEX(TAHSILAT!$J$7:$J$2503,$T340)))</f>
        <v/>
      </c>
      <c r="P340" s="1" t="str">
        <f t="shared" si="57"/>
        <v/>
      </c>
      <c r="Q340" s="1">
        <f>IF($N340="",0,INDEX(TAHSILAT!$F$7:$F$2503,$T340))</f>
        <v>0</v>
      </c>
      <c r="R340" s="1">
        <v>0</v>
      </c>
      <c r="S340" s="1">
        <f t="shared" si="53"/>
        <v>10000000000</v>
      </c>
      <c r="T340" s="1">
        <f>IFERROR(MATCH($C$36&amp;"|267",TAHSILAT!$U$7:$U$2503,0),0)</f>
        <v>0</v>
      </c>
      <c r="V340" s="1">
        <f t="shared" si="54"/>
        <v>10000000000</v>
      </c>
      <c r="W340" s="1">
        <f t="shared" si="55"/>
        <v>9</v>
      </c>
    </row>
    <row r="341" spans="2:23" ht="14.25" customHeight="1" x14ac:dyDescent="0.3">
      <c r="B341" s="65" t="str">
        <f t="shared" si="47"/>
        <v/>
      </c>
      <c r="C341" s="70" t="str">
        <f t="shared" si="48"/>
        <v/>
      </c>
      <c r="D341" s="74" t="str">
        <f t="shared" si="49"/>
        <v/>
      </c>
      <c r="F341" s="65" t="str">
        <f t="shared" si="50"/>
        <v/>
      </c>
      <c r="G341" s="68" t="str">
        <f t="shared" si="51"/>
        <v/>
      </c>
      <c r="H341" s="68" t="str">
        <f t="shared" si="52"/>
        <v/>
      </c>
      <c r="I341" s="68" t="str">
        <f t="shared" si="56"/>
        <v/>
      </c>
      <c r="M341" s="1">
        <v>304</v>
      </c>
      <c r="N341" s="1" t="str">
        <f>IF($T341=0,"",INDEX(TAHSILAT!$E$7:$E$2503,$T341))</f>
        <v/>
      </c>
      <c r="O341" s="1" t="str">
        <f>IF($N341="","",$C$36&amp;" – müşteriden tahsilat: "&amp;INDEX(TAHSILAT!$N$7:$N$2503,$T341)&amp;IF(INDEX(TAHSILAT!$J$7:$J$2503,$T341)="",""," – "&amp;INDEX(TAHSILAT!$J$7:$J$2503,$T341)))</f>
        <v/>
      </c>
      <c r="P341" s="1" t="str">
        <f t="shared" si="57"/>
        <v/>
      </c>
      <c r="Q341" s="1">
        <f>IF($N341="",0,INDEX(TAHSILAT!$F$7:$F$2503,$T341))</f>
        <v>0</v>
      </c>
      <c r="R341" s="1">
        <v>0</v>
      </c>
      <c r="S341" s="1">
        <f t="shared" si="53"/>
        <v>10000000000</v>
      </c>
      <c r="T341" s="1">
        <f>IFERROR(MATCH($C$36&amp;"|268",TAHSILAT!$U$7:$U$2503,0),0)</f>
        <v>0</v>
      </c>
      <c r="V341" s="1">
        <f t="shared" si="54"/>
        <v>10000000000</v>
      </c>
      <c r="W341" s="1">
        <f t="shared" si="55"/>
        <v>9</v>
      </c>
    </row>
    <row r="342" spans="2:23" ht="14.25" customHeight="1" x14ac:dyDescent="0.3">
      <c r="B342" s="65" t="str">
        <f t="shared" si="47"/>
        <v/>
      </c>
      <c r="C342" s="70" t="str">
        <f t="shared" si="48"/>
        <v/>
      </c>
      <c r="D342" s="74" t="str">
        <f t="shared" si="49"/>
        <v/>
      </c>
      <c r="F342" s="65" t="str">
        <f t="shared" si="50"/>
        <v/>
      </c>
      <c r="G342" s="68" t="str">
        <f t="shared" si="51"/>
        <v/>
      </c>
      <c r="H342" s="68" t="str">
        <f t="shared" si="52"/>
        <v/>
      </c>
      <c r="I342" s="68" t="str">
        <f t="shared" si="56"/>
        <v/>
      </c>
      <c r="M342" s="1">
        <v>305</v>
      </c>
      <c r="N342" s="1" t="str">
        <f>IF($T342=0,"",INDEX(TAHSILAT!$E$7:$E$2503,$T342))</f>
        <v/>
      </c>
      <c r="O342" s="1" t="str">
        <f>IF($N342="","",$C$36&amp;" – müşteriden tahsilat: "&amp;INDEX(TAHSILAT!$N$7:$N$2503,$T342)&amp;IF(INDEX(TAHSILAT!$J$7:$J$2503,$T342)="",""," – "&amp;INDEX(TAHSILAT!$J$7:$J$2503,$T342)))</f>
        <v/>
      </c>
      <c r="P342" s="1" t="str">
        <f t="shared" si="57"/>
        <v/>
      </c>
      <c r="Q342" s="1">
        <f>IF($N342="",0,INDEX(TAHSILAT!$F$7:$F$2503,$T342))</f>
        <v>0</v>
      </c>
      <c r="R342" s="1">
        <v>0</v>
      </c>
      <c r="S342" s="1">
        <f t="shared" si="53"/>
        <v>10000000000</v>
      </c>
      <c r="T342" s="1">
        <f>IFERROR(MATCH($C$36&amp;"|269",TAHSILAT!$U$7:$U$2503,0),0)</f>
        <v>0</v>
      </c>
      <c r="V342" s="1">
        <f t="shared" si="54"/>
        <v>10000000000</v>
      </c>
      <c r="W342" s="1">
        <f t="shared" si="55"/>
        <v>9</v>
      </c>
    </row>
    <row r="343" spans="2:23" ht="14.25" customHeight="1" x14ac:dyDescent="0.3">
      <c r="B343" s="65" t="str">
        <f t="shared" si="47"/>
        <v/>
      </c>
      <c r="C343" s="70" t="str">
        <f t="shared" si="48"/>
        <v/>
      </c>
      <c r="D343" s="74" t="str">
        <f t="shared" si="49"/>
        <v/>
      </c>
      <c r="F343" s="65" t="str">
        <f t="shared" si="50"/>
        <v/>
      </c>
      <c r="G343" s="68" t="str">
        <f t="shared" si="51"/>
        <v/>
      </c>
      <c r="H343" s="68" t="str">
        <f t="shared" si="52"/>
        <v/>
      </c>
      <c r="I343" s="68" t="str">
        <f t="shared" si="56"/>
        <v/>
      </c>
      <c r="M343" s="1">
        <v>306</v>
      </c>
      <c r="N343" s="1" t="str">
        <f>IF($T343=0,"",INDEX(TAHSILAT!$E$7:$E$2503,$T343))</f>
        <v/>
      </c>
      <c r="O343" s="1" t="str">
        <f>IF($N343="","",$C$36&amp;" – müşteriden tahsilat: "&amp;INDEX(TAHSILAT!$N$7:$N$2503,$T343)&amp;IF(INDEX(TAHSILAT!$J$7:$J$2503,$T343)="",""," – "&amp;INDEX(TAHSILAT!$J$7:$J$2503,$T343)))</f>
        <v/>
      </c>
      <c r="P343" s="1" t="str">
        <f t="shared" si="57"/>
        <v/>
      </c>
      <c r="Q343" s="1">
        <f>IF($N343="",0,INDEX(TAHSILAT!$F$7:$F$2503,$T343))</f>
        <v>0</v>
      </c>
      <c r="R343" s="1">
        <v>0</v>
      </c>
      <c r="S343" s="1">
        <f t="shared" si="53"/>
        <v>10000000000</v>
      </c>
      <c r="T343" s="1">
        <f>IFERROR(MATCH($C$36&amp;"|270",TAHSILAT!$U$7:$U$2503,0),0)</f>
        <v>0</v>
      </c>
      <c r="V343" s="1">
        <f t="shared" si="54"/>
        <v>10000000000</v>
      </c>
      <c r="W343" s="1">
        <f t="shared" si="55"/>
        <v>9</v>
      </c>
    </row>
    <row r="344" spans="2:23" ht="14.25" customHeight="1" x14ac:dyDescent="0.3">
      <c r="B344" s="65" t="str">
        <f t="shared" si="47"/>
        <v/>
      </c>
      <c r="C344" s="70" t="str">
        <f t="shared" si="48"/>
        <v/>
      </c>
      <c r="D344" s="74" t="str">
        <f t="shared" si="49"/>
        <v/>
      </c>
      <c r="F344" s="65" t="str">
        <f t="shared" si="50"/>
        <v/>
      </c>
      <c r="G344" s="68" t="str">
        <f t="shared" si="51"/>
        <v/>
      </c>
      <c r="H344" s="68" t="str">
        <f t="shared" si="52"/>
        <v/>
      </c>
      <c r="I344" s="68" t="str">
        <f t="shared" si="56"/>
        <v/>
      </c>
      <c r="M344" s="1">
        <v>307</v>
      </c>
      <c r="N344" s="1" t="str">
        <f>IF($T344=0,"",INDEX(TAHSILAT!$E$7:$E$2503,$T344))</f>
        <v/>
      </c>
      <c r="O344" s="1" t="str">
        <f>IF($N344="","",$C$36&amp;" – müşteriden tahsilat: "&amp;INDEX(TAHSILAT!$N$7:$N$2503,$T344)&amp;IF(INDEX(TAHSILAT!$J$7:$J$2503,$T344)="",""," – "&amp;INDEX(TAHSILAT!$J$7:$J$2503,$T344)))</f>
        <v/>
      </c>
      <c r="P344" s="1" t="str">
        <f t="shared" si="57"/>
        <v/>
      </c>
      <c r="Q344" s="1">
        <f>IF($N344="",0,INDEX(TAHSILAT!$F$7:$F$2503,$T344))</f>
        <v>0</v>
      </c>
      <c r="R344" s="1">
        <v>0</v>
      </c>
      <c r="S344" s="1">
        <f t="shared" si="53"/>
        <v>10000000000</v>
      </c>
      <c r="T344" s="1">
        <f>IFERROR(MATCH($C$36&amp;"|271",TAHSILAT!$U$7:$U$2503,0),0)</f>
        <v>0</v>
      </c>
      <c r="V344" s="1">
        <f t="shared" si="54"/>
        <v>10000000000</v>
      </c>
      <c r="W344" s="1">
        <f t="shared" si="55"/>
        <v>9</v>
      </c>
    </row>
    <row r="345" spans="2:23" ht="14.25" customHeight="1" x14ac:dyDescent="0.3">
      <c r="B345" s="65" t="str">
        <f t="shared" si="47"/>
        <v/>
      </c>
      <c r="C345" s="70" t="str">
        <f t="shared" si="48"/>
        <v/>
      </c>
      <c r="D345" s="74" t="str">
        <f t="shared" si="49"/>
        <v/>
      </c>
      <c r="F345" s="65" t="str">
        <f t="shared" si="50"/>
        <v/>
      </c>
      <c r="G345" s="68" t="str">
        <f t="shared" si="51"/>
        <v/>
      </c>
      <c r="H345" s="68" t="str">
        <f t="shared" si="52"/>
        <v/>
      </c>
      <c r="I345" s="68" t="str">
        <f t="shared" si="56"/>
        <v/>
      </c>
      <c r="M345" s="1">
        <v>308</v>
      </c>
      <c r="N345" s="1" t="str">
        <f>IF($T345=0,"",INDEX(TAHSILAT!$E$7:$E$2503,$T345))</f>
        <v/>
      </c>
      <c r="O345" s="1" t="str">
        <f>IF($N345="","",$C$36&amp;" – müşteriden tahsilat: "&amp;INDEX(TAHSILAT!$N$7:$N$2503,$T345)&amp;IF(INDEX(TAHSILAT!$J$7:$J$2503,$T345)="",""," – "&amp;INDEX(TAHSILAT!$J$7:$J$2503,$T345)))</f>
        <v/>
      </c>
      <c r="P345" s="1" t="str">
        <f t="shared" si="57"/>
        <v/>
      </c>
      <c r="Q345" s="1">
        <f>IF($N345="",0,INDEX(TAHSILAT!$F$7:$F$2503,$T345))</f>
        <v>0</v>
      </c>
      <c r="R345" s="1">
        <v>0</v>
      </c>
      <c r="S345" s="1">
        <f t="shared" si="53"/>
        <v>10000000000</v>
      </c>
      <c r="T345" s="1">
        <f>IFERROR(MATCH($C$36&amp;"|272",TAHSILAT!$U$7:$U$2503,0),0)</f>
        <v>0</v>
      </c>
      <c r="V345" s="1">
        <f t="shared" si="54"/>
        <v>10000000000</v>
      </c>
      <c r="W345" s="1">
        <f t="shared" si="55"/>
        <v>9</v>
      </c>
    </row>
    <row r="346" spans="2:23" ht="14.25" customHeight="1" x14ac:dyDescent="0.3">
      <c r="B346" s="65" t="str">
        <f t="shared" si="47"/>
        <v/>
      </c>
      <c r="C346" s="70" t="str">
        <f t="shared" si="48"/>
        <v/>
      </c>
      <c r="D346" s="74" t="str">
        <f t="shared" si="49"/>
        <v/>
      </c>
      <c r="F346" s="65" t="str">
        <f t="shared" si="50"/>
        <v/>
      </c>
      <c r="G346" s="68" t="str">
        <f t="shared" si="51"/>
        <v/>
      </c>
      <c r="H346" s="68" t="str">
        <f t="shared" si="52"/>
        <v/>
      </c>
      <c r="I346" s="68" t="str">
        <f t="shared" si="56"/>
        <v/>
      </c>
      <c r="M346" s="1">
        <v>309</v>
      </c>
      <c r="N346" s="1" t="str">
        <f>IF($T346=0,"",INDEX(TAHSILAT!$E$7:$E$2503,$T346))</f>
        <v/>
      </c>
      <c r="O346" s="1" t="str">
        <f>IF($N346="","",$C$36&amp;" – müşteriden tahsilat: "&amp;INDEX(TAHSILAT!$N$7:$N$2503,$T346)&amp;IF(INDEX(TAHSILAT!$J$7:$J$2503,$T346)="",""," – "&amp;INDEX(TAHSILAT!$J$7:$J$2503,$T346)))</f>
        <v/>
      </c>
      <c r="P346" s="1" t="str">
        <f t="shared" si="57"/>
        <v/>
      </c>
      <c r="Q346" s="1">
        <f>IF($N346="",0,INDEX(TAHSILAT!$F$7:$F$2503,$T346))</f>
        <v>0</v>
      </c>
      <c r="R346" s="1">
        <v>0</v>
      </c>
      <c r="S346" s="1">
        <f t="shared" si="53"/>
        <v>10000000000</v>
      </c>
      <c r="T346" s="1">
        <f>IFERROR(MATCH($C$36&amp;"|273",TAHSILAT!$U$7:$U$2503,0),0)</f>
        <v>0</v>
      </c>
      <c r="V346" s="1">
        <f t="shared" si="54"/>
        <v>10000000000</v>
      </c>
      <c r="W346" s="1">
        <f t="shared" si="55"/>
        <v>9</v>
      </c>
    </row>
    <row r="347" spans="2:23" ht="14.25" customHeight="1" x14ac:dyDescent="0.3">
      <c r="B347" s="65" t="str">
        <f t="shared" si="47"/>
        <v/>
      </c>
      <c r="C347" s="70" t="str">
        <f t="shared" si="48"/>
        <v/>
      </c>
      <c r="D347" s="74" t="str">
        <f t="shared" si="49"/>
        <v/>
      </c>
      <c r="F347" s="65" t="str">
        <f t="shared" si="50"/>
        <v/>
      </c>
      <c r="G347" s="68" t="str">
        <f t="shared" si="51"/>
        <v/>
      </c>
      <c r="H347" s="68" t="str">
        <f t="shared" si="52"/>
        <v/>
      </c>
      <c r="I347" s="68" t="str">
        <f t="shared" si="56"/>
        <v/>
      </c>
      <c r="M347" s="1">
        <v>310</v>
      </c>
      <c r="N347" s="1" t="str">
        <f>IF($T347=0,"",INDEX(TAHSILAT!$E$7:$E$2503,$T347))</f>
        <v/>
      </c>
      <c r="O347" s="1" t="str">
        <f>IF($N347="","",$C$36&amp;" – müşteriden tahsilat: "&amp;INDEX(TAHSILAT!$N$7:$N$2503,$T347)&amp;IF(INDEX(TAHSILAT!$J$7:$J$2503,$T347)="",""," – "&amp;INDEX(TAHSILAT!$J$7:$J$2503,$T347)))</f>
        <v/>
      </c>
      <c r="P347" s="1" t="str">
        <f t="shared" si="57"/>
        <v/>
      </c>
      <c r="Q347" s="1">
        <f>IF($N347="",0,INDEX(TAHSILAT!$F$7:$F$2503,$T347))</f>
        <v>0</v>
      </c>
      <c r="R347" s="1">
        <v>0</v>
      </c>
      <c r="S347" s="1">
        <f t="shared" si="53"/>
        <v>10000000000</v>
      </c>
      <c r="T347" s="1">
        <f>IFERROR(MATCH($C$36&amp;"|274",TAHSILAT!$U$7:$U$2503,0),0)</f>
        <v>0</v>
      </c>
      <c r="V347" s="1">
        <f t="shared" si="54"/>
        <v>10000000000</v>
      </c>
      <c r="W347" s="1">
        <f t="shared" si="55"/>
        <v>9</v>
      </c>
    </row>
    <row r="348" spans="2:23" ht="14.25" customHeight="1" x14ac:dyDescent="0.3">
      <c r="B348" s="65" t="str">
        <f t="shared" si="47"/>
        <v/>
      </c>
      <c r="C348" s="70" t="str">
        <f t="shared" si="48"/>
        <v/>
      </c>
      <c r="D348" s="74" t="str">
        <f t="shared" si="49"/>
        <v/>
      </c>
      <c r="F348" s="65" t="str">
        <f t="shared" si="50"/>
        <v/>
      </c>
      <c r="G348" s="68" t="str">
        <f t="shared" si="51"/>
        <v/>
      </c>
      <c r="H348" s="68" t="str">
        <f t="shared" si="52"/>
        <v/>
      </c>
      <c r="I348" s="68" t="str">
        <f t="shared" si="56"/>
        <v/>
      </c>
      <c r="M348" s="1">
        <v>311</v>
      </c>
      <c r="N348" s="1" t="str">
        <f>IF($T348=0,"",INDEX(TAHSILAT!$E$7:$E$2503,$T348))</f>
        <v/>
      </c>
      <c r="O348" s="1" t="str">
        <f>IF($N348="","",$C$36&amp;" – müşteriden tahsilat: "&amp;INDEX(TAHSILAT!$N$7:$N$2503,$T348)&amp;IF(INDEX(TAHSILAT!$J$7:$J$2503,$T348)="",""," – "&amp;INDEX(TAHSILAT!$J$7:$J$2503,$T348)))</f>
        <v/>
      </c>
      <c r="P348" s="1" t="str">
        <f t="shared" si="57"/>
        <v/>
      </c>
      <c r="Q348" s="1">
        <f>IF($N348="",0,INDEX(TAHSILAT!$F$7:$F$2503,$T348))</f>
        <v>0</v>
      </c>
      <c r="R348" s="1">
        <v>0</v>
      </c>
      <c r="S348" s="1">
        <f t="shared" si="53"/>
        <v>10000000000</v>
      </c>
      <c r="T348" s="1">
        <f>IFERROR(MATCH($C$36&amp;"|275",TAHSILAT!$U$7:$U$2503,0),0)</f>
        <v>0</v>
      </c>
      <c r="V348" s="1">
        <f t="shared" si="54"/>
        <v>10000000000</v>
      </c>
      <c r="W348" s="1">
        <f t="shared" si="55"/>
        <v>9</v>
      </c>
    </row>
    <row r="349" spans="2:23" ht="14.25" customHeight="1" x14ac:dyDescent="0.3">
      <c r="B349" s="65" t="str">
        <f t="shared" si="47"/>
        <v/>
      </c>
      <c r="C349" s="70" t="str">
        <f t="shared" si="48"/>
        <v/>
      </c>
      <c r="D349" s="74" t="str">
        <f t="shared" si="49"/>
        <v/>
      </c>
      <c r="F349" s="65" t="str">
        <f t="shared" si="50"/>
        <v/>
      </c>
      <c r="G349" s="68" t="str">
        <f t="shared" si="51"/>
        <v/>
      </c>
      <c r="H349" s="68" t="str">
        <f t="shared" si="52"/>
        <v/>
      </c>
      <c r="I349" s="68" t="str">
        <f t="shared" si="56"/>
        <v/>
      </c>
      <c r="M349" s="1">
        <v>312</v>
      </c>
      <c r="N349" s="1" t="str">
        <f>IF($T349=0,"",INDEX(TAHSILAT!$E$7:$E$2503,$T349))</f>
        <v/>
      </c>
      <c r="O349" s="1" t="str">
        <f>IF($N349="","",$C$36&amp;" – müşteriden tahsilat: "&amp;INDEX(TAHSILAT!$N$7:$N$2503,$T349)&amp;IF(INDEX(TAHSILAT!$J$7:$J$2503,$T349)="",""," – "&amp;INDEX(TAHSILAT!$J$7:$J$2503,$T349)))</f>
        <v/>
      </c>
      <c r="P349" s="1" t="str">
        <f t="shared" si="57"/>
        <v/>
      </c>
      <c r="Q349" s="1">
        <f>IF($N349="",0,INDEX(TAHSILAT!$F$7:$F$2503,$T349))</f>
        <v>0</v>
      </c>
      <c r="R349" s="1">
        <v>0</v>
      </c>
      <c r="S349" s="1">
        <f t="shared" si="53"/>
        <v>10000000000</v>
      </c>
      <c r="T349" s="1">
        <f>IFERROR(MATCH($C$36&amp;"|276",TAHSILAT!$U$7:$U$2503,0),0)</f>
        <v>0</v>
      </c>
      <c r="V349" s="1">
        <f t="shared" si="54"/>
        <v>10000000000</v>
      </c>
      <c r="W349" s="1">
        <f t="shared" si="55"/>
        <v>9</v>
      </c>
    </row>
    <row r="350" spans="2:23" ht="14.25" customHeight="1" x14ac:dyDescent="0.3">
      <c r="B350" s="65" t="str">
        <f t="shared" si="47"/>
        <v/>
      </c>
      <c r="C350" s="70" t="str">
        <f t="shared" si="48"/>
        <v/>
      </c>
      <c r="D350" s="74" t="str">
        <f t="shared" si="49"/>
        <v/>
      </c>
      <c r="F350" s="65" t="str">
        <f t="shared" si="50"/>
        <v/>
      </c>
      <c r="G350" s="68" t="str">
        <f t="shared" si="51"/>
        <v/>
      </c>
      <c r="H350" s="68" t="str">
        <f t="shared" si="52"/>
        <v/>
      </c>
      <c r="I350" s="68" t="str">
        <f t="shared" si="56"/>
        <v/>
      </c>
      <c r="M350" s="1">
        <v>313</v>
      </c>
      <c r="N350" s="1" t="str">
        <f>IF($T350=0,"",INDEX(TAHSILAT!$E$7:$E$2503,$T350))</f>
        <v/>
      </c>
      <c r="O350" s="1" t="str">
        <f>IF($N350="","",$C$36&amp;" – müşteriden tahsilat: "&amp;INDEX(TAHSILAT!$N$7:$N$2503,$T350)&amp;IF(INDEX(TAHSILAT!$J$7:$J$2503,$T350)="",""," – "&amp;INDEX(TAHSILAT!$J$7:$J$2503,$T350)))</f>
        <v/>
      </c>
      <c r="P350" s="1" t="str">
        <f t="shared" si="57"/>
        <v/>
      </c>
      <c r="Q350" s="1">
        <f>IF($N350="",0,INDEX(TAHSILAT!$F$7:$F$2503,$T350))</f>
        <v>0</v>
      </c>
      <c r="R350" s="1">
        <v>0</v>
      </c>
      <c r="S350" s="1">
        <f t="shared" si="53"/>
        <v>10000000000</v>
      </c>
      <c r="T350" s="1">
        <f>IFERROR(MATCH($C$36&amp;"|277",TAHSILAT!$U$7:$U$2503,0),0)</f>
        <v>0</v>
      </c>
      <c r="V350" s="1">
        <f t="shared" si="54"/>
        <v>10000000000</v>
      </c>
      <c r="W350" s="1">
        <f t="shared" si="55"/>
        <v>9</v>
      </c>
    </row>
    <row r="351" spans="2:23" ht="14.25" customHeight="1" x14ac:dyDescent="0.3">
      <c r="B351" s="65" t="str">
        <f t="shared" si="47"/>
        <v/>
      </c>
      <c r="C351" s="70" t="str">
        <f t="shared" si="48"/>
        <v/>
      </c>
      <c r="D351" s="74" t="str">
        <f t="shared" si="49"/>
        <v/>
      </c>
      <c r="F351" s="65" t="str">
        <f t="shared" si="50"/>
        <v/>
      </c>
      <c r="G351" s="68" t="str">
        <f t="shared" si="51"/>
        <v/>
      </c>
      <c r="H351" s="68" t="str">
        <f t="shared" si="52"/>
        <v/>
      </c>
      <c r="I351" s="68" t="str">
        <f t="shared" si="56"/>
        <v/>
      </c>
      <c r="M351" s="1">
        <v>314</v>
      </c>
      <c r="N351" s="1" t="str">
        <f>IF($T351=0,"",INDEX(TAHSILAT!$E$7:$E$2503,$T351))</f>
        <v/>
      </c>
      <c r="O351" s="1" t="str">
        <f>IF($N351="","",$C$36&amp;" – müşteriden tahsilat: "&amp;INDEX(TAHSILAT!$N$7:$N$2503,$T351)&amp;IF(INDEX(TAHSILAT!$J$7:$J$2503,$T351)="",""," – "&amp;INDEX(TAHSILAT!$J$7:$J$2503,$T351)))</f>
        <v/>
      </c>
      <c r="P351" s="1" t="str">
        <f t="shared" si="57"/>
        <v/>
      </c>
      <c r="Q351" s="1">
        <f>IF($N351="",0,INDEX(TAHSILAT!$F$7:$F$2503,$T351))</f>
        <v>0</v>
      </c>
      <c r="R351" s="1">
        <v>0</v>
      </c>
      <c r="S351" s="1">
        <f t="shared" si="53"/>
        <v>10000000000</v>
      </c>
      <c r="T351" s="1">
        <f>IFERROR(MATCH($C$36&amp;"|278",TAHSILAT!$U$7:$U$2503,0),0)</f>
        <v>0</v>
      </c>
      <c r="V351" s="1">
        <f t="shared" si="54"/>
        <v>10000000000</v>
      </c>
      <c r="W351" s="1">
        <f t="shared" si="55"/>
        <v>9</v>
      </c>
    </row>
    <row r="352" spans="2:23" ht="14.25" customHeight="1" x14ac:dyDescent="0.3">
      <c r="B352" s="65" t="str">
        <f t="shared" si="47"/>
        <v/>
      </c>
      <c r="C352" s="70" t="str">
        <f t="shared" si="48"/>
        <v/>
      </c>
      <c r="D352" s="74" t="str">
        <f t="shared" si="49"/>
        <v/>
      </c>
      <c r="F352" s="65" t="str">
        <f t="shared" si="50"/>
        <v/>
      </c>
      <c r="G352" s="68" t="str">
        <f t="shared" si="51"/>
        <v/>
      </c>
      <c r="H352" s="68" t="str">
        <f t="shared" si="52"/>
        <v/>
      </c>
      <c r="I352" s="68" t="str">
        <f t="shared" si="56"/>
        <v/>
      </c>
      <c r="M352" s="1">
        <v>315</v>
      </c>
      <c r="N352" s="1" t="str">
        <f>IF($T352=0,"",INDEX(TAHSILAT!$E$7:$E$2503,$T352))</f>
        <v/>
      </c>
      <c r="O352" s="1" t="str">
        <f>IF($N352="","",$C$36&amp;" – müşteriden tahsilat: "&amp;INDEX(TAHSILAT!$N$7:$N$2503,$T352)&amp;IF(INDEX(TAHSILAT!$J$7:$J$2503,$T352)="",""," – "&amp;INDEX(TAHSILAT!$J$7:$J$2503,$T352)))</f>
        <v/>
      </c>
      <c r="P352" s="1" t="str">
        <f t="shared" si="57"/>
        <v/>
      </c>
      <c r="Q352" s="1">
        <f>IF($N352="",0,INDEX(TAHSILAT!$F$7:$F$2503,$T352))</f>
        <v>0</v>
      </c>
      <c r="R352" s="1">
        <v>0</v>
      </c>
      <c r="S352" s="1">
        <f t="shared" si="53"/>
        <v>10000000000</v>
      </c>
      <c r="T352" s="1">
        <f>IFERROR(MATCH($C$36&amp;"|279",TAHSILAT!$U$7:$U$2503,0),0)</f>
        <v>0</v>
      </c>
      <c r="V352" s="1">
        <f t="shared" si="54"/>
        <v>10000000000</v>
      </c>
      <c r="W352" s="1">
        <f t="shared" si="55"/>
        <v>9</v>
      </c>
    </row>
    <row r="353" spans="2:23" ht="14.25" customHeight="1" x14ac:dyDescent="0.3">
      <c r="B353" s="65" t="str">
        <f t="shared" si="47"/>
        <v/>
      </c>
      <c r="C353" s="70" t="str">
        <f t="shared" si="48"/>
        <v/>
      </c>
      <c r="D353" s="74" t="str">
        <f t="shared" si="49"/>
        <v/>
      </c>
      <c r="F353" s="65" t="str">
        <f t="shared" si="50"/>
        <v/>
      </c>
      <c r="G353" s="68" t="str">
        <f t="shared" si="51"/>
        <v/>
      </c>
      <c r="H353" s="68" t="str">
        <f t="shared" si="52"/>
        <v/>
      </c>
      <c r="I353" s="68" t="str">
        <f t="shared" si="56"/>
        <v/>
      </c>
      <c r="M353" s="1">
        <v>316</v>
      </c>
      <c r="N353" s="1" t="str">
        <f>IF($T353=0,"",INDEX(TAHSILAT!$E$7:$E$2503,$T353))</f>
        <v/>
      </c>
      <c r="O353" s="1" t="str">
        <f>IF($N353="","",$C$36&amp;" – müşteriden tahsilat: "&amp;INDEX(TAHSILAT!$N$7:$N$2503,$T353)&amp;IF(INDEX(TAHSILAT!$J$7:$J$2503,$T353)="",""," – "&amp;INDEX(TAHSILAT!$J$7:$J$2503,$T353)))</f>
        <v/>
      </c>
      <c r="P353" s="1" t="str">
        <f t="shared" si="57"/>
        <v/>
      </c>
      <c r="Q353" s="1">
        <f>IF($N353="",0,INDEX(TAHSILAT!$F$7:$F$2503,$T353))</f>
        <v>0</v>
      </c>
      <c r="R353" s="1">
        <v>0</v>
      </c>
      <c r="S353" s="1">
        <f t="shared" si="53"/>
        <v>10000000000</v>
      </c>
      <c r="T353" s="1">
        <f>IFERROR(MATCH($C$36&amp;"|280",TAHSILAT!$U$7:$U$2503,0),0)</f>
        <v>0</v>
      </c>
      <c r="V353" s="1">
        <f t="shared" si="54"/>
        <v>10000000000</v>
      </c>
      <c r="W353" s="1">
        <f t="shared" si="55"/>
        <v>9</v>
      </c>
    </row>
    <row r="354" spans="2:23" ht="14.25" customHeight="1" x14ac:dyDescent="0.3">
      <c r="B354" s="65" t="str">
        <f t="shared" si="47"/>
        <v/>
      </c>
      <c r="C354" s="70" t="str">
        <f t="shared" si="48"/>
        <v/>
      </c>
      <c r="D354" s="74" t="str">
        <f t="shared" si="49"/>
        <v/>
      </c>
      <c r="F354" s="65" t="str">
        <f t="shared" si="50"/>
        <v/>
      </c>
      <c r="G354" s="68" t="str">
        <f t="shared" si="51"/>
        <v/>
      </c>
      <c r="H354" s="68" t="str">
        <f t="shared" si="52"/>
        <v/>
      </c>
      <c r="I354" s="68" t="str">
        <f t="shared" si="56"/>
        <v/>
      </c>
      <c r="M354" s="1">
        <v>317</v>
      </c>
      <c r="N354" s="1" t="str">
        <f>IF($T354=0,"",INDEX(TAHSILAT!$E$7:$E$2503,$T354))</f>
        <v/>
      </c>
      <c r="O354" s="1" t="str">
        <f>IF($N354="","",$C$36&amp;" – müşteriden tahsilat: "&amp;INDEX(TAHSILAT!$N$7:$N$2503,$T354)&amp;IF(INDEX(TAHSILAT!$J$7:$J$2503,$T354)="",""," – "&amp;INDEX(TAHSILAT!$J$7:$J$2503,$T354)))</f>
        <v/>
      </c>
      <c r="P354" s="1" t="str">
        <f t="shared" si="57"/>
        <v/>
      </c>
      <c r="Q354" s="1">
        <f>IF($N354="",0,INDEX(TAHSILAT!$F$7:$F$2503,$T354))</f>
        <v>0</v>
      </c>
      <c r="R354" s="1">
        <v>0</v>
      </c>
      <c r="S354" s="1">
        <f t="shared" si="53"/>
        <v>10000000000</v>
      </c>
      <c r="T354" s="1">
        <f>IFERROR(MATCH($C$36&amp;"|281",TAHSILAT!$U$7:$U$2503,0),0)</f>
        <v>0</v>
      </c>
      <c r="V354" s="1">
        <f t="shared" si="54"/>
        <v>10000000000</v>
      </c>
      <c r="W354" s="1">
        <f t="shared" si="55"/>
        <v>9</v>
      </c>
    </row>
    <row r="355" spans="2:23" ht="14.25" customHeight="1" x14ac:dyDescent="0.3">
      <c r="B355" s="65" t="str">
        <f t="shared" si="47"/>
        <v/>
      </c>
      <c r="C355" s="70" t="str">
        <f t="shared" si="48"/>
        <v/>
      </c>
      <c r="D355" s="74" t="str">
        <f t="shared" si="49"/>
        <v/>
      </c>
      <c r="F355" s="65" t="str">
        <f t="shared" si="50"/>
        <v/>
      </c>
      <c r="G355" s="68" t="str">
        <f t="shared" si="51"/>
        <v/>
      </c>
      <c r="H355" s="68" t="str">
        <f t="shared" si="52"/>
        <v/>
      </c>
      <c r="I355" s="68" t="str">
        <f t="shared" si="56"/>
        <v/>
      </c>
      <c r="M355" s="1">
        <v>318</v>
      </c>
      <c r="N355" s="1" t="str">
        <f>IF($T355=0,"",INDEX(TAHSILAT!$E$7:$E$2503,$T355))</f>
        <v/>
      </c>
      <c r="O355" s="1" t="str">
        <f>IF($N355="","",$C$36&amp;" – müşteriden tahsilat: "&amp;INDEX(TAHSILAT!$N$7:$N$2503,$T355)&amp;IF(INDEX(TAHSILAT!$J$7:$J$2503,$T355)="",""," – "&amp;INDEX(TAHSILAT!$J$7:$J$2503,$T355)))</f>
        <v/>
      </c>
      <c r="P355" s="1" t="str">
        <f t="shared" si="57"/>
        <v/>
      </c>
      <c r="Q355" s="1">
        <f>IF($N355="",0,INDEX(TAHSILAT!$F$7:$F$2503,$T355))</f>
        <v>0</v>
      </c>
      <c r="R355" s="1">
        <v>0</v>
      </c>
      <c r="S355" s="1">
        <f t="shared" si="53"/>
        <v>10000000000</v>
      </c>
      <c r="T355" s="1">
        <f>IFERROR(MATCH($C$36&amp;"|282",TAHSILAT!$U$7:$U$2503,0),0)</f>
        <v>0</v>
      </c>
      <c r="V355" s="1">
        <f t="shared" si="54"/>
        <v>10000000000</v>
      </c>
      <c r="W355" s="1">
        <f t="shared" si="55"/>
        <v>9</v>
      </c>
    </row>
    <row r="356" spans="2:23" ht="14.25" customHeight="1" x14ac:dyDescent="0.3">
      <c r="B356" s="65" t="str">
        <f t="shared" si="47"/>
        <v/>
      </c>
      <c r="C356" s="70" t="str">
        <f t="shared" si="48"/>
        <v/>
      </c>
      <c r="D356" s="74" t="str">
        <f t="shared" si="49"/>
        <v/>
      </c>
      <c r="F356" s="65" t="str">
        <f t="shared" si="50"/>
        <v/>
      </c>
      <c r="G356" s="68" t="str">
        <f t="shared" si="51"/>
        <v/>
      </c>
      <c r="H356" s="68" t="str">
        <f t="shared" si="52"/>
        <v/>
      </c>
      <c r="I356" s="68" t="str">
        <f t="shared" si="56"/>
        <v/>
      </c>
      <c r="M356" s="1">
        <v>319</v>
      </c>
      <c r="N356" s="1" t="str">
        <f>IF($T356=0,"",INDEX(TAHSILAT!$E$7:$E$2503,$T356))</f>
        <v/>
      </c>
      <c r="O356" s="1" t="str">
        <f>IF($N356="","",$C$36&amp;" – müşteriden tahsilat: "&amp;INDEX(TAHSILAT!$N$7:$N$2503,$T356)&amp;IF(INDEX(TAHSILAT!$J$7:$J$2503,$T356)="",""," – "&amp;INDEX(TAHSILAT!$J$7:$J$2503,$T356)))</f>
        <v/>
      </c>
      <c r="P356" s="1" t="str">
        <f t="shared" si="57"/>
        <v/>
      </c>
      <c r="Q356" s="1">
        <f>IF($N356="",0,INDEX(TAHSILAT!$F$7:$F$2503,$T356))</f>
        <v>0</v>
      </c>
      <c r="R356" s="1">
        <v>0</v>
      </c>
      <c r="S356" s="1">
        <f t="shared" si="53"/>
        <v>10000000000</v>
      </c>
      <c r="T356" s="1">
        <f>IFERROR(MATCH($C$36&amp;"|283",TAHSILAT!$U$7:$U$2503,0),0)</f>
        <v>0</v>
      </c>
      <c r="V356" s="1">
        <f t="shared" si="54"/>
        <v>10000000000</v>
      </c>
      <c r="W356" s="1">
        <f t="shared" si="55"/>
        <v>9</v>
      </c>
    </row>
    <row r="357" spans="2:23" ht="14.25" customHeight="1" x14ac:dyDescent="0.3">
      <c r="B357" s="65" t="str">
        <f t="shared" si="47"/>
        <v/>
      </c>
      <c r="C357" s="70" t="str">
        <f t="shared" si="48"/>
        <v/>
      </c>
      <c r="D357" s="74" t="str">
        <f t="shared" si="49"/>
        <v/>
      </c>
      <c r="F357" s="65" t="str">
        <f t="shared" si="50"/>
        <v/>
      </c>
      <c r="G357" s="68" t="str">
        <f t="shared" si="51"/>
        <v/>
      </c>
      <c r="H357" s="68" t="str">
        <f t="shared" si="52"/>
        <v/>
      </c>
      <c r="I357" s="68" t="str">
        <f t="shared" si="56"/>
        <v/>
      </c>
      <c r="M357" s="1">
        <v>320</v>
      </c>
      <c r="N357" s="1" t="str">
        <f>IF($T357=0,"",INDEX(TAHSILAT!$E$7:$E$2503,$T357))</f>
        <v/>
      </c>
      <c r="O357" s="1" t="str">
        <f>IF($N357="","",$C$36&amp;" – müşteriden tahsilat: "&amp;INDEX(TAHSILAT!$N$7:$N$2503,$T357)&amp;IF(INDEX(TAHSILAT!$J$7:$J$2503,$T357)="",""," – "&amp;INDEX(TAHSILAT!$J$7:$J$2503,$T357)))</f>
        <v/>
      </c>
      <c r="P357" s="1" t="str">
        <f t="shared" si="57"/>
        <v/>
      </c>
      <c r="Q357" s="1">
        <f>IF($N357="",0,INDEX(TAHSILAT!$F$7:$F$2503,$T357))</f>
        <v>0</v>
      </c>
      <c r="R357" s="1">
        <v>0</v>
      </c>
      <c r="S357" s="1">
        <f t="shared" si="53"/>
        <v>10000000000</v>
      </c>
      <c r="T357" s="1">
        <f>IFERROR(MATCH($C$36&amp;"|284",TAHSILAT!$U$7:$U$2503,0),0)</f>
        <v>0</v>
      </c>
      <c r="V357" s="1">
        <f t="shared" si="54"/>
        <v>10000000000</v>
      </c>
      <c r="W357" s="1">
        <f t="shared" si="55"/>
        <v>9</v>
      </c>
    </row>
    <row r="358" spans="2:23" ht="14.25" customHeight="1" x14ac:dyDescent="0.3">
      <c r="B358" s="65" t="str">
        <f t="shared" ref="B358:B421" si="58">IF($C358="","",ROW()-37)</f>
        <v/>
      </c>
      <c r="C358" s="70" t="str">
        <f t="shared" ref="C358:C421" si="59">IF($W358="","",IF(INDEX($N$38:$N$953,$W358)="","",INDEX($N$38:$N$953,$W358)))</f>
        <v/>
      </c>
      <c r="D358" s="74" t="str">
        <f t="shared" ref="D358:D421" si="60">IF($C358="","",INDEX($O$38:$O$953,$W358))</f>
        <v/>
      </c>
      <c r="F358" s="65" t="str">
        <f t="shared" ref="F358:F421" si="61">IF($C358="","",INDEX($P$38:$P$953,$W358))</f>
        <v/>
      </c>
      <c r="G358" s="68" t="str">
        <f t="shared" ref="G358:G421" si="62">IF($C358="","",INDEX($Q$38:$Q$953,$W358))</f>
        <v/>
      </c>
      <c r="H358" s="68" t="str">
        <f t="shared" ref="H358:H421" si="63">IF($C358="","",INDEX($R$38:$R$953,$W358))</f>
        <v/>
      </c>
      <c r="I358" s="68" t="str">
        <f t="shared" si="56"/>
        <v/>
      </c>
      <c r="M358" s="1">
        <v>321</v>
      </c>
      <c r="N358" s="1" t="str">
        <f>IF($T358=0,"",INDEX(TAHSILAT!$E$7:$E$2503,$T358))</f>
        <v/>
      </c>
      <c r="O358" s="1" t="str">
        <f>IF($N358="","",$C$36&amp;" – müşteriden tahsilat: "&amp;INDEX(TAHSILAT!$N$7:$N$2503,$T358)&amp;IF(INDEX(TAHSILAT!$J$7:$J$2503,$T358)="",""," – "&amp;INDEX(TAHSILAT!$J$7:$J$2503,$T358)))</f>
        <v/>
      </c>
      <c r="P358" s="1" t="str">
        <f t="shared" si="57"/>
        <v/>
      </c>
      <c r="Q358" s="1">
        <f>IF($N358="",0,INDEX(TAHSILAT!$F$7:$F$2503,$T358))</f>
        <v>0</v>
      </c>
      <c r="R358" s="1">
        <v>0</v>
      </c>
      <c r="S358" s="1">
        <f t="shared" ref="S358:S421" si="64">IF($N358="",10000000000,$N358*100000+$M358)</f>
        <v>10000000000</v>
      </c>
      <c r="T358" s="1">
        <f>IFERROR(MATCH($C$36&amp;"|285",TAHSILAT!$U$7:$U$2503,0),0)</f>
        <v>0</v>
      </c>
      <c r="V358" s="1">
        <f t="shared" ref="V358:V421" si="65">IFERROR(SMALL($S$38:$S$953,ROW()-37),"")</f>
        <v>10000000000</v>
      </c>
      <c r="W358" s="1">
        <f t="shared" ref="W358:W421" si="66">IFERROR(MATCH($V358,$S$38:$S$953,0),"")</f>
        <v>9</v>
      </c>
    </row>
    <row r="359" spans="2:23" ht="14.25" customHeight="1" x14ac:dyDescent="0.3">
      <c r="B359" s="65" t="str">
        <f t="shared" si="58"/>
        <v/>
      </c>
      <c r="C359" s="70" t="str">
        <f t="shared" si="59"/>
        <v/>
      </c>
      <c r="D359" s="74" t="str">
        <f t="shared" si="60"/>
        <v/>
      </c>
      <c r="F359" s="65" t="str">
        <f t="shared" si="61"/>
        <v/>
      </c>
      <c r="G359" s="68" t="str">
        <f t="shared" si="62"/>
        <v/>
      </c>
      <c r="H359" s="68" t="str">
        <f t="shared" si="63"/>
        <v/>
      </c>
      <c r="I359" s="68" t="str">
        <f t="shared" ref="I359:I422" si="67">IF($C359="","",N($I358)+$G359-$H359)</f>
        <v/>
      </c>
      <c r="M359" s="1">
        <v>322</v>
      </c>
      <c r="N359" s="1" t="str">
        <f>IF($T359=0,"",INDEX(TAHSILAT!$E$7:$E$2503,$T359))</f>
        <v/>
      </c>
      <c r="O359" s="1" t="str">
        <f>IF($N359="","",$C$36&amp;" – müşteriden tahsilat: "&amp;INDEX(TAHSILAT!$N$7:$N$2503,$T359)&amp;IF(INDEX(TAHSILAT!$J$7:$J$2503,$T359)="",""," – "&amp;INDEX(TAHSILAT!$J$7:$J$2503,$T359)))</f>
        <v/>
      </c>
      <c r="P359" s="1" t="str">
        <f t="shared" si="57"/>
        <v/>
      </c>
      <c r="Q359" s="1">
        <f>IF($N359="",0,INDEX(TAHSILAT!$F$7:$F$2503,$T359))</f>
        <v>0</v>
      </c>
      <c r="R359" s="1">
        <v>0</v>
      </c>
      <c r="S359" s="1">
        <f t="shared" si="64"/>
        <v>10000000000</v>
      </c>
      <c r="T359" s="1">
        <f>IFERROR(MATCH($C$36&amp;"|286",TAHSILAT!$U$7:$U$2503,0),0)</f>
        <v>0</v>
      </c>
      <c r="V359" s="1">
        <f t="shared" si="65"/>
        <v>10000000000</v>
      </c>
      <c r="W359" s="1">
        <f t="shared" si="66"/>
        <v>9</v>
      </c>
    </row>
    <row r="360" spans="2:23" ht="14.25" customHeight="1" x14ac:dyDescent="0.3">
      <c r="B360" s="65" t="str">
        <f t="shared" si="58"/>
        <v/>
      </c>
      <c r="C360" s="70" t="str">
        <f t="shared" si="59"/>
        <v/>
      </c>
      <c r="D360" s="74" t="str">
        <f t="shared" si="60"/>
        <v/>
      </c>
      <c r="F360" s="65" t="str">
        <f t="shared" si="61"/>
        <v/>
      </c>
      <c r="G360" s="68" t="str">
        <f t="shared" si="62"/>
        <v/>
      </c>
      <c r="H360" s="68" t="str">
        <f t="shared" si="63"/>
        <v/>
      </c>
      <c r="I360" s="68" t="str">
        <f t="shared" si="67"/>
        <v/>
      </c>
      <c r="M360" s="1">
        <v>323</v>
      </c>
      <c r="N360" s="1" t="str">
        <f>IF($T360=0,"",INDEX(TAHSILAT!$E$7:$E$2503,$T360))</f>
        <v/>
      </c>
      <c r="O360" s="1" t="str">
        <f>IF($N360="","",$C$36&amp;" – müşteriden tahsilat: "&amp;INDEX(TAHSILAT!$N$7:$N$2503,$T360)&amp;IF(INDEX(TAHSILAT!$J$7:$J$2503,$T360)="",""," – "&amp;INDEX(TAHSILAT!$J$7:$J$2503,$T360)))</f>
        <v/>
      </c>
      <c r="P360" s="1" t="str">
        <f t="shared" si="57"/>
        <v/>
      </c>
      <c r="Q360" s="1">
        <f>IF($N360="",0,INDEX(TAHSILAT!$F$7:$F$2503,$T360))</f>
        <v>0</v>
      </c>
      <c r="R360" s="1">
        <v>0</v>
      </c>
      <c r="S360" s="1">
        <f t="shared" si="64"/>
        <v>10000000000</v>
      </c>
      <c r="T360" s="1">
        <f>IFERROR(MATCH($C$36&amp;"|287",TAHSILAT!$U$7:$U$2503,0),0)</f>
        <v>0</v>
      </c>
      <c r="V360" s="1">
        <f t="shared" si="65"/>
        <v>10000000000</v>
      </c>
      <c r="W360" s="1">
        <f t="shared" si="66"/>
        <v>9</v>
      </c>
    </row>
    <row r="361" spans="2:23" ht="14.25" customHeight="1" x14ac:dyDescent="0.3">
      <c r="B361" s="65" t="str">
        <f t="shared" si="58"/>
        <v/>
      </c>
      <c r="C361" s="70" t="str">
        <f t="shared" si="59"/>
        <v/>
      </c>
      <c r="D361" s="74" t="str">
        <f t="shared" si="60"/>
        <v/>
      </c>
      <c r="F361" s="65" t="str">
        <f t="shared" si="61"/>
        <v/>
      </c>
      <c r="G361" s="68" t="str">
        <f t="shared" si="62"/>
        <v/>
      </c>
      <c r="H361" s="68" t="str">
        <f t="shared" si="63"/>
        <v/>
      </c>
      <c r="I361" s="68" t="str">
        <f t="shared" si="67"/>
        <v/>
      </c>
      <c r="M361" s="1">
        <v>324</v>
      </c>
      <c r="N361" s="1" t="str">
        <f>IF($T361=0,"",INDEX(TAHSILAT!$E$7:$E$2503,$T361))</f>
        <v/>
      </c>
      <c r="O361" s="1" t="str">
        <f>IF($N361="","",$C$36&amp;" – müşteriden tahsilat: "&amp;INDEX(TAHSILAT!$N$7:$N$2503,$T361)&amp;IF(INDEX(TAHSILAT!$J$7:$J$2503,$T361)="",""," – "&amp;INDEX(TAHSILAT!$J$7:$J$2503,$T361)))</f>
        <v/>
      </c>
      <c r="P361" s="1" t="str">
        <f t="shared" si="57"/>
        <v/>
      </c>
      <c r="Q361" s="1">
        <f>IF($N361="",0,INDEX(TAHSILAT!$F$7:$F$2503,$T361))</f>
        <v>0</v>
      </c>
      <c r="R361" s="1">
        <v>0</v>
      </c>
      <c r="S361" s="1">
        <f t="shared" si="64"/>
        <v>10000000000</v>
      </c>
      <c r="T361" s="1">
        <f>IFERROR(MATCH($C$36&amp;"|288",TAHSILAT!$U$7:$U$2503,0),0)</f>
        <v>0</v>
      </c>
      <c r="V361" s="1">
        <f t="shared" si="65"/>
        <v>10000000000</v>
      </c>
      <c r="W361" s="1">
        <f t="shared" si="66"/>
        <v>9</v>
      </c>
    </row>
    <row r="362" spans="2:23" ht="14.25" customHeight="1" x14ac:dyDescent="0.3">
      <c r="B362" s="65" t="str">
        <f t="shared" si="58"/>
        <v/>
      </c>
      <c r="C362" s="70" t="str">
        <f t="shared" si="59"/>
        <v/>
      </c>
      <c r="D362" s="74" t="str">
        <f t="shared" si="60"/>
        <v/>
      </c>
      <c r="F362" s="65" t="str">
        <f t="shared" si="61"/>
        <v/>
      </c>
      <c r="G362" s="68" t="str">
        <f t="shared" si="62"/>
        <v/>
      </c>
      <c r="H362" s="68" t="str">
        <f t="shared" si="63"/>
        <v/>
      </c>
      <c r="I362" s="68" t="str">
        <f t="shared" si="67"/>
        <v/>
      </c>
      <c r="M362" s="1">
        <v>325</v>
      </c>
      <c r="N362" s="1" t="str">
        <f>IF($T362=0,"",INDEX(TAHSILAT!$E$7:$E$2503,$T362))</f>
        <v/>
      </c>
      <c r="O362" s="1" t="str">
        <f>IF($N362="","",$C$36&amp;" – müşteriden tahsilat: "&amp;INDEX(TAHSILAT!$N$7:$N$2503,$T362)&amp;IF(INDEX(TAHSILAT!$J$7:$J$2503,$T362)="",""," – "&amp;INDEX(TAHSILAT!$J$7:$J$2503,$T362)))</f>
        <v/>
      </c>
      <c r="P362" s="1" t="str">
        <f t="shared" si="57"/>
        <v/>
      </c>
      <c r="Q362" s="1">
        <f>IF($N362="",0,INDEX(TAHSILAT!$F$7:$F$2503,$T362))</f>
        <v>0</v>
      </c>
      <c r="R362" s="1">
        <v>0</v>
      </c>
      <c r="S362" s="1">
        <f t="shared" si="64"/>
        <v>10000000000</v>
      </c>
      <c r="T362" s="1">
        <f>IFERROR(MATCH($C$36&amp;"|289",TAHSILAT!$U$7:$U$2503,0),0)</f>
        <v>0</v>
      </c>
      <c r="V362" s="1">
        <f t="shared" si="65"/>
        <v>10000000000</v>
      </c>
      <c r="W362" s="1">
        <f t="shared" si="66"/>
        <v>9</v>
      </c>
    </row>
    <row r="363" spans="2:23" ht="14.25" customHeight="1" x14ac:dyDescent="0.3">
      <c r="B363" s="65" t="str">
        <f t="shared" si="58"/>
        <v/>
      </c>
      <c r="C363" s="70" t="str">
        <f t="shared" si="59"/>
        <v/>
      </c>
      <c r="D363" s="74" t="str">
        <f t="shared" si="60"/>
        <v/>
      </c>
      <c r="F363" s="65" t="str">
        <f t="shared" si="61"/>
        <v/>
      </c>
      <c r="G363" s="68" t="str">
        <f t="shared" si="62"/>
        <v/>
      </c>
      <c r="H363" s="68" t="str">
        <f t="shared" si="63"/>
        <v/>
      </c>
      <c r="I363" s="68" t="str">
        <f t="shared" si="67"/>
        <v/>
      </c>
      <c r="M363" s="1">
        <v>326</v>
      </c>
      <c r="N363" s="1" t="str">
        <f>IF($T363=0,"",INDEX(TAHSILAT!$E$7:$E$2503,$T363))</f>
        <v/>
      </c>
      <c r="O363" s="1" t="str">
        <f>IF($N363="","",$C$36&amp;" – müşteriden tahsilat: "&amp;INDEX(TAHSILAT!$N$7:$N$2503,$T363)&amp;IF(INDEX(TAHSILAT!$J$7:$J$2503,$T363)="",""," – "&amp;INDEX(TAHSILAT!$J$7:$J$2503,$T363)))</f>
        <v/>
      </c>
      <c r="P363" s="1" t="str">
        <f t="shared" si="57"/>
        <v/>
      </c>
      <c r="Q363" s="1">
        <f>IF($N363="",0,INDEX(TAHSILAT!$F$7:$F$2503,$T363))</f>
        <v>0</v>
      </c>
      <c r="R363" s="1">
        <v>0</v>
      </c>
      <c r="S363" s="1">
        <f t="shared" si="64"/>
        <v>10000000000</v>
      </c>
      <c r="T363" s="1">
        <f>IFERROR(MATCH($C$36&amp;"|290",TAHSILAT!$U$7:$U$2503,0),0)</f>
        <v>0</v>
      </c>
      <c r="V363" s="1">
        <f t="shared" si="65"/>
        <v>10000000000</v>
      </c>
      <c r="W363" s="1">
        <f t="shared" si="66"/>
        <v>9</v>
      </c>
    </row>
    <row r="364" spans="2:23" ht="14.25" customHeight="1" x14ac:dyDescent="0.3">
      <c r="B364" s="65" t="str">
        <f t="shared" si="58"/>
        <v/>
      </c>
      <c r="C364" s="70" t="str">
        <f t="shared" si="59"/>
        <v/>
      </c>
      <c r="D364" s="74" t="str">
        <f t="shared" si="60"/>
        <v/>
      </c>
      <c r="F364" s="65" t="str">
        <f t="shared" si="61"/>
        <v/>
      </c>
      <c r="G364" s="68" t="str">
        <f t="shared" si="62"/>
        <v/>
      </c>
      <c r="H364" s="68" t="str">
        <f t="shared" si="63"/>
        <v/>
      </c>
      <c r="I364" s="68" t="str">
        <f t="shared" si="67"/>
        <v/>
      </c>
      <c r="M364" s="1">
        <v>327</v>
      </c>
      <c r="N364" s="1" t="str">
        <f>IF($T364=0,"",INDEX(TAHSILAT!$E$7:$E$2503,$T364))</f>
        <v/>
      </c>
      <c r="O364" s="1" t="str">
        <f>IF($N364="","",$C$36&amp;" – müşteriden tahsilat: "&amp;INDEX(TAHSILAT!$N$7:$N$2503,$T364)&amp;IF(INDEX(TAHSILAT!$J$7:$J$2503,$T364)="",""," – "&amp;INDEX(TAHSILAT!$J$7:$J$2503,$T364)))</f>
        <v/>
      </c>
      <c r="P364" s="1" t="str">
        <f t="shared" si="57"/>
        <v/>
      </c>
      <c r="Q364" s="1">
        <f>IF($N364="",0,INDEX(TAHSILAT!$F$7:$F$2503,$T364))</f>
        <v>0</v>
      </c>
      <c r="R364" s="1">
        <v>0</v>
      </c>
      <c r="S364" s="1">
        <f t="shared" si="64"/>
        <v>10000000000</v>
      </c>
      <c r="T364" s="1">
        <f>IFERROR(MATCH($C$36&amp;"|291",TAHSILAT!$U$7:$U$2503,0),0)</f>
        <v>0</v>
      </c>
      <c r="V364" s="1">
        <f t="shared" si="65"/>
        <v>10000000000</v>
      </c>
      <c r="W364" s="1">
        <f t="shared" si="66"/>
        <v>9</v>
      </c>
    </row>
    <row r="365" spans="2:23" ht="14.25" customHeight="1" x14ac:dyDescent="0.3">
      <c r="B365" s="65" t="str">
        <f t="shared" si="58"/>
        <v/>
      </c>
      <c r="C365" s="70" t="str">
        <f t="shared" si="59"/>
        <v/>
      </c>
      <c r="D365" s="74" t="str">
        <f t="shared" si="60"/>
        <v/>
      </c>
      <c r="F365" s="65" t="str">
        <f t="shared" si="61"/>
        <v/>
      </c>
      <c r="G365" s="68" t="str">
        <f t="shared" si="62"/>
        <v/>
      </c>
      <c r="H365" s="68" t="str">
        <f t="shared" si="63"/>
        <v/>
      </c>
      <c r="I365" s="68" t="str">
        <f t="shared" si="67"/>
        <v/>
      </c>
      <c r="M365" s="1">
        <v>328</v>
      </c>
      <c r="N365" s="1" t="str">
        <f>IF($T365=0,"",INDEX(TAHSILAT!$E$7:$E$2503,$T365))</f>
        <v/>
      </c>
      <c r="O365" s="1" t="str">
        <f>IF($N365="","",$C$36&amp;" – müşteriden tahsilat: "&amp;INDEX(TAHSILAT!$N$7:$N$2503,$T365)&amp;IF(INDEX(TAHSILAT!$J$7:$J$2503,$T365)="",""," – "&amp;INDEX(TAHSILAT!$J$7:$J$2503,$T365)))</f>
        <v/>
      </c>
      <c r="P365" s="1" t="str">
        <f t="shared" si="57"/>
        <v/>
      </c>
      <c r="Q365" s="1">
        <f>IF($N365="",0,INDEX(TAHSILAT!$F$7:$F$2503,$T365))</f>
        <v>0</v>
      </c>
      <c r="R365" s="1">
        <v>0</v>
      </c>
      <c r="S365" s="1">
        <f t="shared" si="64"/>
        <v>10000000000</v>
      </c>
      <c r="T365" s="1">
        <f>IFERROR(MATCH($C$36&amp;"|292",TAHSILAT!$U$7:$U$2503,0),0)</f>
        <v>0</v>
      </c>
      <c r="V365" s="1">
        <f t="shared" si="65"/>
        <v>10000000000</v>
      </c>
      <c r="W365" s="1">
        <f t="shared" si="66"/>
        <v>9</v>
      </c>
    </row>
    <row r="366" spans="2:23" ht="14.25" customHeight="1" x14ac:dyDescent="0.3">
      <c r="B366" s="65" t="str">
        <f t="shared" si="58"/>
        <v/>
      </c>
      <c r="C366" s="70" t="str">
        <f t="shared" si="59"/>
        <v/>
      </c>
      <c r="D366" s="74" t="str">
        <f t="shared" si="60"/>
        <v/>
      </c>
      <c r="F366" s="65" t="str">
        <f t="shared" si="61"/>
        <v/>
      </c>
      <c r="G366" s="68" t="str">
        <f t="shared" si="62"/>
        <v/>
      </c>
      <c r="H366" s="68" t="str">
        <f t="shared" si="63"/>
        <v/>
      </c>
      <c r="I366" s="68" t="str">
        <f t="shared" si="67"/>
        <v/>
      </c>
      <c r="M366" s="1">
        <v>329</v>
      </c>
      <c r="N366" s="1" t="str">
        <f>IF($T366=0,"",INDEX(TAHSILAT!$E$7:$E$2503,$T366))</f>
        <v/>
      </c>
      <c r="O366" s="1" t="str">
        <f>IF($N366="","",$C$36&amp;" – müşteriden tahsilat: "&amp;INDEX(TAHSILAT!$N$7:$N$2503,$T366)&amp;IF(INDEX(TAHSILAT!$J$7:$J$2503,$T366)="",""," – "&amp;INDEX(TAHSILAT!$J$7:$J$2503,$T366)))</f>
        <v/>
      </c>
      <c r="P366" s="1" t="str">
        <f t="shared" si="57"/>
        <v/>
      </c>
      <c r="Q366" s="1">
        <f>IF($N366="",0,INDEX(TAHSILAT!$F$7:$F$2503,$T366))</f>
        <v>0</v>
      </c>
      <c r="R366" s="1">
        <v>0</v>
      </c>
      <c r="S366" s="1">
        <f t="shared" si="64"/>
        <v>10000000000</v>
      </c>
      <c r="T366" s="1">
        <f>IFERROR(MATCH($C$36&amp;"|293",TAHSILAT!$U$7:$U$2503,0),0)</f>
        <v>0</v>
      </c>
      <c r="V366" s="1">
        <f t="shared" si="65"/>
        <v>10000000000</v>
      </c>
      <c r="W366" s="1">
        <f t="shared" si="66"/>
        <v>9</v>
      </c>
    </row>
    <row r="367" spans="2:23" ht="14.25" customHeight="1" x14ac:dyDescent="0.3">
      <c r="B367" s="65" t="str">
        <f t="shared" si="58"/>
        <v/>
      </c>
      <c r="C367" s="70" t="str">
        <f t="shared" si="59"/>
        <v/>
      </c>
      <c r="D367" s="74" t="str">
        <f t="shared" si="60"/>
        <v/>
      </c>
      <c r="F367" s="65" t="str">
        <f t="shared" si="61"/>
        <v/>
      </c>
      <c r="G367" s="68" t="str">
        <f t="shared" si="62"/>
        <v/>
      </c>
      <c r="H367" s="68" t="str">
        <f t="shared" si="63"/>
        <v/>
      </c>
      <c r="I367" s="68" t="str">
        <f t="shared" si="67"/>
        <v/>
      </c>
      <c r="M367" s="1">
        <v>330</v>
      </c>
      <c r="N367" s="1" t="str">
        <f>IF($T367=0,"",INDEX(TAHSILAT!$E$7:$E$2503,$T367))</f>
        <v/>
      </c>
      <c r="O367" s="1" t="str">
        <f>IF($N367="","",$C$36&amp;" – müşteriden tahsilat: "&amp;INDEX(TAHSILAT!$N$7:$N$2503,$T367)&amp;IF(INDEX(TAHSILAT!$J$7:$J$2503,$T367)="",""," – "&amp;INDEX(TAHSILAT!$J$7:$J$2503,$T367)))</f>
        <v/>
      </c>
      <c r="P367" s="1" t="str">
        <f t="shared" si="57"/>
        <v/>
      </c>
      <c r="Q367" s="1">
        <f>IF($N367="",0,INDEX(TAHSILAT!$F$7:$F$2503,$T367))</f>
        <v>0</v>
      </c>
      <c r="R367" s="1">
        <v>0</v>
      </c>
      <c r="S367" s="1">
        <f t="shared" si="64"/>
        <v>10000000000</v>
      </c>
      <c r="T367" s="1">
        <f>IFERROR(MATCH($C$36&amp;"|294",TAHSILAT!$U$7:$U$2503,0),0)</f>
        <v>0</v>
      </c>
      <c r="V367" s="1">
        <f t="shared" si="65"/>
        <v>10000000000</v>
      </c>
      <c r="W367" s="1">
        <f t="shared" si="66"/>
        <v>9</v>
      </c>
    </row>
    <row r="368" spans="2:23" ht="14.25" customHeight="1" x14ac:dyDescent="0.3">
      <c r="B368" s="65" t="str">
        <f t="shared" si="58"/>
        <v/>
      </c>
      <c r="C368" s="70" t="str">
        <f t="shared" si="59"/>
        <v/>
      </c>
      <c r="D368" s="74" t="str">
        <f t="shared" si="60"/>
        <v/>
      </c>
      <c r="F368" s="65" t="str">
        <f t="shared" si="61"/>
        <v/>
      </c>
      <c r="G368" s="68" t="str">
        <f t="shared" si="62"/>
        <v/>
      </c>
      <c r="H368" s="68" t="str">
        <f t="shared" si="63"/>
        <v/>
      </c>
      <c r="I368" s="68" t="str">
        <f t="shared" si="67"/>
        <v/>
      </c>
      <c r="M368" s="1">
        <v>331</v>
      </c>
      <c r="N368" s="1" t="str">
        <f>IF($T368=0,"",INDEX(TAHSILAT!$E$7:$E$2503,$T368))</f>
        <v/>
      </c>
      <c r="O368" s="1" t="str">
        <f>IF($N368="","",$C$36&amp;" – müşteriden tahsilat: "&amp;INDEX(TAHSILAT!$N$7:$N$2503,$T368)&amp;IF(INDEX(TAHSILAT!$J$7:$J$2503,$T368)="",""," – "&amp;INDEX(TAHSILAT!$J$7:$J$2503,$T368)))</f>
        <v/>
      </c>
      <c r="P368" s="1" t="str">
        <f t="shared" si="57"/>
        <v/>
      </c>
      <c r="Q368" s="1">
        <f>IF($N368="",0,INDEX(TAHSILAT!$F$7:$F$2503,$T368))</f>
        <v>0</v>
      </c>
      <c r="R368" s="1">
        <v>0</v>
      </c>
      <c r="S368" s="1">
        <f t="shared" si="64"/>
        <v>10000000000</v>
      </c>
      <c r="T368" s="1">
        <f>IFERROR(MATCH($C$36&amp;"|295",TAHSILAT!$U$7:$U$2503,0),0)</f>
        <v>0</v>
      </c>
      <c r="V368" s="1">
        <f t="shared" si="65"/>
        <v>10000000000</v>
      </c>
      <c r="W368" s="1">
        <f t="shared" si="66"/>
        <v>9</v>
      </c>
    </row>
    <row r="369" spans="2:23" ht="14.25" customHeight="1" x14ac:dyDescent="0.3">
      <c r="B369" s="65" t="str">
        <f t="shared" si="58"/>
        <v/>
      </c>
      <c r="C369" s="70" t="str">
        <f t="shared" si="59"/>
        <v/>
      </c>
      <c r="D369" s="74" t="str">
        <f t="shared" si="60"/>
        <v/>
      </c>
      <c r="F369" s="65" t="str">
        <f t="shared" si="61"/>
        <v/>
      </c>
      <c r="G369" s="68" t="str">
        <f t="shared" si="62"/>
        <v/>
      </c>
      <c r="H369" s="68" t="str">
        <f t="shared" si="63"/>
        <v/>
      </c>
      <c r="I369" s="68" t="str">
        <f t="shared" si="67"/>
        <v/>
      </c>
      <c r="M369" s="1">
        <v>332</v>
      </c>
      <c r="N369" s="1" t="str">
        <f>IF($T369=0,"",INDEX(TAHSILAT!$E$7:$E$2503,$T369))</f>
        <v/>
      </c>
      <c r="O369" s="1" t="str">
        <f>IF($N369="","",$C$36&amp;" – müşteriden tahsilat: "&amp;INDEX(TAHSILAT!$N$7:$N$2503,$T369)&amp;IF(INDEX(TAHSILAT!$J$7:$J$2503,$T369)="",""," – "&amp;INDEX(TAHSILAT!$J$7:$J$2503,$T369)))</f>
        <v/>
      </c>
      <c r="P369" s="1" t="str">
        <f t="shared" si="57"/>
        <v/>
      </c>
      <c r="Q369" s="1">
        <f>IF($N369="",0,INDEX(TAHSILAT!$F$7:$F$2503,$T369))</f>
        <v>0</v>
      </c>
      <c r="R369" s="1">
        <v>0</v>
      </c>
      <c r="S369" s="1">
        <f t="shared" si="64"/>
        <v>10000000000</v>
      </c>
      <c r="T369" s="1">
        <f>IFERROR(MATCH($C$36&amp;"|296",TAHSILAT!$U$7:$U$2503,0),0)</f>
        <v>0</v>
      </c>
      <c r="V369" s="1">
        <f t="shared" si="65"/>
        <v>10000000000</v>
      </c>
      <c r="W369" s="1">
        <f t="shared" si="66"/>
        <v>9</v>
      </c>
    </row>
    <row r="370" spans="2:23" ht="14.25" customHeight="1" x14ac:dyDescent="0.3">
      <c r="B370" s="65" t="str">
        <f t="shared" si="58"/>
        <v/>
      </c>
      <c r="C370" s="70" t="str">
        <f t="shared" si="59"/>
        <v/>
      </c>
      <c r="D370" s="74" t="str">
        <f t="shared" si="60"/>
        <v/>
      </c>
      <c r="F370" s="65" t="str">
        <f t="shared" si="61"/>
        <v/>
      </c>
      <c r="G370" s="68" t="str">
        <f t="shared" si="62"/>
        <v/>
      </c>
      <c r="H370" s="68" t="str">
        <f t="shared" si="63"/>
        <v/>
      </c>
      <c r="I370" s="68" t="str">
        <f t="shared" si="67"/>
        <v/>
      </c>
      <c r="M370" s="1">
        <v>333</v>
      </c>
      <c r="N370" s="1" t="str">
        <f>IF($T370=0,"",INDEX(TAHSILAT!$E$7:$E$2503,$T370))</f>
        <v/>
      </c>
      <c r="O370" s="1" t="str">
        <f>IF($N370="","",$C$36&amp;" – müşteriden tahsilat: "&amp;INDEX(TAHSILAT!$N$7:$N$2503,$T370)&amp;IF(INDEX(TAHSILAT!$J$7:$J$2503,$T370)="",""," – "&amp;INDEX(TAHSILAT!$J$7:$J$2503,$T370)))</f>
        <v/>
      </c>
      <c r="P370" s="1" t="str">
        <f t="shared" si="57"/>
        <v/>
      </c>
      <c r="Q370" s="1">
        <f>IF($N370="",0,INDEX(TAHSILAT!$F$7:$F$2503,$T370))</f>
        <v>0</v>
      </c>
      <c r="R370" s="1">
        <v>0</v>
      </c>
      <c r="S370" s="1">
        <f t="shared" si="64"/>
        <v>10000000000</v>
      </c>
      <c r="T370" s="1">
        <f>IFERROR(MATCH($C$36&amp;"|297",TAHSILAT!$U$7:$U$2503,0),0)</f>
        <v>0</v>
      </c>
      <c r="V370" s="1">
        <f t="shared" si="65"/>
        <v>10000000000</v>
      </c>
      <c r="W370" s="1">
        <f t="shared" si="66"/>
        <v>9</v>
      </c>
    </row>
    <row r="371" spans="2:23" ht="14.25" customHeight="1" x14ac:dyDescent="0.3">
      <c r="B371" s="65" t="str">
        <f t="shared" si="58"/>
        <v/>
      </c>
      <c r="C371" s="70" t="str">
        <f t="shared" si="59"/>
        <v/>
      </c>
      <c r="D371" s="74" t="str">
        <f t="shared" si="60"/>
        <v/>
      </c>
      <c r="F371" s="65" t="str">
        <f t="shared" si="61"/>
        <v/>
      </c>
      <c r="G371" s="68" t="str">
        <f t="shared" si="62"/>
        <v/>
      </c>
      <c r="H371" s="68" t="str">
        <f t="shared" si="63"/>
        <v/>
      </c>
      <c r="I371" s="68" t="str">
        <f t="shared" si="67"/>
        <v/>
      </c>
      <c r="M371" s="1">
        <v>334</v>
      </c>
      <c r="N371" s="1" t="str">
        <f>IF($T371=0,"",INDEX(TAHSILAT!$E$7:$E$2503,$T371))</f>
        <v/>
      </c>
      <c r="O371" s="1" t="str">
        <f>IF($N371="","",$C$36&amp;" – müşteriden tahsilat: "&amp;INDEX(TAHSILAT!$N$7:$N$2503,$T371)&amp;IF(INDEX(TAHSILAT!$J$7:$J$2503,$T371)="",""," – "&amp;INDEX(TAHSILAT!$J$7:$J$2503,$T371)))</f>
        <v/>
      </c>
      <c r="P371" s="1" t="str">
        <f t="shared" si="57"/>
        <v/>
      </c>
      <c r="Q371" s="1">
        <f>IF($N371="",0,INDEX(TAHSILAT!$F$7:$F$2503,$T371))</f>
        <v>0</v>
      </c>
      <c r="R371" s="1">
        <v>0</v>
      </c>
      <c r="S371" s="1">
        <f t="shared" si="64"/>
        <v>10000000000</v>
      </c>
      <c r="T371" s="1">
        <f>IFERROR(MATCH($C$36&amp;"|298",TAHSILAT!$U$7:$U$2503,0),0)</f>
        <v>0</v>
      </c>
      <c r="V371" s="1">
        <f t="shared" si="65"/>
        <v>10000000000</v>
      </c>
      <c r="W371" s="1">
        <f t="shared" si="66"/>
        <v>9</v>
      </c>
    </row>
    <row r="372" spans="2:23" ht="14.25" customHeight="1" x14ac:dyDescent="0.3">
      <c r="B372" s="65" t="str">
        <f t="shared" si="58"/>
        <v/>
      </c>
      <c r="C372" s="70" t="str">
        <f t="shared" si="59"/>
        <v/>
      </c>
      <c r="D372" s="74" t="str">
        <f t="shared" si="60"/>
        <v/>
      </c>
      <c r="F372" s="65" t="str">
        <f t="shared" si="61"/>
        <v/>
      </c>
      <c r="G372" s="68" t="str">
        <f t="shared" si="62"/>
        <v/>
      </c>
      <c r="H372" s="68" t="str">
        <f t="shared" si="63"/>
        <v/>
      </c>
      <c r="I372" s="68" t="str">
        <f t="shared" si="67"/>
        <v/>
      </c>
      <c r="M372" s="1">
        <v>335</v>
      </c>
      <c r="N372" s="1" t="str">
        <f>IF($T372=0,"",INDEX(TAHSILAT!$E$7:$E$2503,$T372))</f>
        <v/>
      </c>
      <c r="O372" s="1" t="str">
        <f>IF($N372="","",$C$36&amp;" – müşteriden tahsilat: "&amp;INDEX(TAHSILAT!$N$7:$N$2503,$T372)&amp;IF(INDEX(TAHSILAT!$J$7:$J$2503,$T372)="",""," – "&amp;INDEX(TAHSILAT!$J$7:$J$2503,$T372)))</f>
        <v/>
      </c>
      <c r="P372" s="1" t="str">
        <f t="shared" si="57"/>
        <v/>
      </c>
      <c r="Q372" s="1">
        <f>IF($N372="",0,INDEX(TAHSILAT!$F$7:$F$2503,$T372))</f>
        <v>0</v>
      </c>
      <c r="R372" s="1">
        <v>0</v>
      </c>
      <c r="S372" s="1">
        <f t="shared" si="64"/>
        <v>10000000000</v>
      </c>
      <c r="T372" s="1">
        <f>IFERROR(MATCH($C$36&amp;"|299",TAHSILAT!$U$7:$U$2503,0),0)</f>
        <v>0</v>
      </c>
      <c r="V372" s="1">
        <f t="shared" si="65"/>
        <v>10000000000</v>
      </c>
      <c r="W372" s="1">
        <f t="shared" si="66"/>
        <v>9</v>
      </c>
    </row>
    <row r="373" spans="2:23" ht="14.25" customHeight="1" x14ac:dyDescent="0.3">
      <c r="B373" s="65" t="str">
        <f t="shared" si="58"/>
        <v/>
      </c>
      <c r="C373" s="70" t="str">
        <f t="shared" si="59"/>
        <v/>
      </c>
      <c r="D373" s="74" t="str">
        <f t="shared" si="60"/>
        <v/>
      </c>
      <c r="F373" s="65" t="str">
        <f t="shared" si="61"/>
        <v/>
      </c>
      <c r="G373" s="68" t="str">
        <f t="shared" si="62"/>
        <v/>
      </c>
      <c r="H373" s="68" t="str">
        <f t="shared" si="63"/>
        <v/>
      </c>
      <c r="I373" s="68" t="str">
        <f t="shared" si="67"/>
        <v/>
      </c>
      <c r="M373" s="1">
        <v>336</v>
      </c>
      <c r="N373" s="1" t="str">
        <f>IF($T373=0,"",INDEX(TAHSILAT!$E$7:$E$2503,$T373))</f>
        <v/>
      </c>
      <c r="O373" s="1" t="str">
        <f>IF($N373="","",$C$36&amp;" – müşteriden tahsilat: "&amp;INDEX(TAHSILAT!$N$7:$N$2503,$T373)&amp;IF(INDEX(TAHSILAT!$J$7:$J$2503,$T373)="",""," – "&amp;INDEX(TAHSILAT!$J$7:$J$2503,$T373)))</f>
        <v/>
      </c>
      <c r="P373" s="1" t="str">
        <f t="shared" si="57"/>
        <v/>
      </c>
      <c r="Q373" s="1">
        <f>IF($N373="",0,INDEX(TAHSILAT!$F$7:$F$2503,$T373))</f>
        <v>0</v>
      </c>
      <c r="R373" s="1">
        <v>0</v>
      </c>
      <c r="S373" s="1">
        <f t="shared" si="64"/>
        <v>10000000000</v>
      </c>
      <c r="T373" s="1">
        <f>IFERROR(MATCH($C$36&amp;"|300",TAHSILAT!$U$7:$U$2503,0),0)</f>
        <v>0</v>
      </c>
      <c r="V373" s="1">
        <f t="shared" si="65"/>
        <v>10000000000</v>
      </c>
      <c r="W373" s="1">
        <f t="shared" si="66"/>
        <v>9</v>
      </c>
    </row>
    <row r="374" spans="2:23" ht="14.25" customHeight="1" x14ac:dyDescent="0.3">
      <c r="B374" s="65" t="str">
        <f t="shared" si="58"/>
        <v/>
      </c>
      <c r="C374" s="70" t="str">
        <f t="shared" si="59"/>
        <v/>
      </c>
      <c r="D374" s="74" t="str">
        <f t="shared" si="60"/>
        <v/>
      </c>
      <c r="F374" s="65" t="str">
        <f t="shared" si="61"/>
        <v/>
      </c>
      <c r="G374" s="68" t="str">
        <f t="shared" si="62"/>
        <v/>
      </c>
      <c r="H374" s="68" t="str">
        <f t="shared" si="63"/>
        <v/>
      </c>
      <c r="I374" s="68" t="str">
        <f t="shared" si="67"/>
        <v/>
      </c>
      <c r="M374" s="1">
        <v>337</v>
      </c>
      <c r="N374" s="1" t="str">
        <f>IF($T374=0,"",INDEX(TAHSILAT!$E$7:$E$2503,$T374))</f>
        <v/>
      </c>
      <c r="O374" s="1" t="str">
        <f>IF($N374="","",$C$36&amp;" – müşteriden tahsilat: "&amp;INDEX(TAHSILAT!$N$7:$N$2503,$T374)&amp;IF(INDEX(TAHSILAT!$J$7:$J$2503,$T374)="",""," – "&amp;INDEX(TAHSILAT!$J$7:$J$2503,$T374)))</f>
        <v/>
      </c>
      <c r="P374" s="1" t="str">
        <f t="shared" si="57"/>
        <v/>
      </c>
      <c r="Q374" s="1">
        <f>IF($N374="",0,INDEX(TAHSILAT!$F$7:$F$2503,$T374))</f>
        <v>0</v>
      </c>
      <c r="R374" s="1">
        <v>0</v>
      </c>
      <c r="S374" s="1">
        <f t="shared" si="64"/>
        <v>10000000000</v>
      </c>
      <c r="T374" s="1">
        <f>IFERROR(MATCH($C$36&amp;"|301",TAHSILAT!$U$7:$U$2503,0),0)</f>
        <v>0</v>
      </c>
      <c r="V374" s="1">
        <f t="shared" si="65"/>
        <v>10000000000</v>
      </c>
      <c r="W374" s="1">
        <f t="shared" si="66"/>
        <v>9</v>
      </c>
    </row>
    <row r="375" spans="2:23" ht="14.25" customHeight="1" x14ac:dyDescent="0.3">
      <c r="B375" s="65" t="str">
        <f t="shared" si="58"/>
        <v/>
      </c>
      <c r="C375" s="70" t="str">
        <f t="shared" si="59"/>
        <v/>
      </c>
      <c r="D375" s="74" t="str">
        <f t="shared" si="60"/>
        <v/>
      </c>
      <c r="F375" s="65" t="str">
        <f t="shared" si="61"/>
        <v/>
      </c>
      <c r="G375" s="68" t="str">
        <f t="shared" si="62"/>
        <v/>
      </c>
      <c r="H375" s="68" t="str">
        <f t="shared" si="63"/>
        <v/>
      </c>
      <c r="I375" s="68" t="str">
        <f t="shared" si="67"/>
        <v/>
      </c>
      <c r="M375" s="1">
        <v>338</v>
      </c>
      <c r="N375" s="1" t="str">
        <f>IF($T375=0,"",INDEX(TAHSILAT!$E$7:$E$2503,$T375))</f>
        <v/>
      </c>
      <c r="O375" s="1" t="str">
        <f>IF($N375="","",$C$36&amp;" – müşteriden tahsilat: "&amp;INDEX(TAHSILAT!$N$7:$N$2503,$T375)&amp;IF(INDEX(TAHSILAT!$J$7:$J$2503,$T375)="",""," – "&amp;INDEX(TAHSILAT!$J$7:$J$2503,$T375)))</f>
        <v/>
      </c>
      <c r="P375" s="1" t="str">
        <f t="shared" si="57"/>
        <v/>
      </c>
      <c r="Q375" s="1">
        <f>IF($N375="",0,INDEX(TAHSILAT!$F$7:$F$2503,$T375))</f>
        <v>0</v>
      </c>
      <c r="R375" s="1">
        <v>0</v>
      </c>
      <c r="S375" s="1">
        <f t="shared" si="64"/>
        <v>10000000000</v>
      </c>
      <c r="T375" s="1">
        <f>IFERROR(MATCH($C$36&amp;"|302",TAHSILAT!$U$7:$U$2503,0),0)</f>
        <v>0</v>
      </c>
      <c r="V375" s="1">
        <f t="shared" si="65"/>
        <v>10000000000</v>
      </c>
      <c r="W375" s="1">
        <f t="shared" si="66"/>
        <v>9</v>
      </c>
    </row>
    <row r="376" spans="2:23" ht="14.25" customHeight="1" x14ac:dyDescent="0.3">
      <c r="B376" s="65" t="str">
        <f t="shared" si="58"/>
        <v/>
      </c>
      <c r="C376" s="70" t="str">
        <f t="shared" si="59"/>
        <v/>
      </c>
      <c r="D376" s="74" t="str">
        <f t="shared" si="60"/>
        <v/>
      </c>
      <c r="F376" s="65" t="str">
        <f t="shared" si="61"/>
        <v/>
      </c>
      <c r="G376" s="68" t="str">
        <f t="shared" si="62"/>
        <v/>
      </c>
      <c r="H376" s="68" t="str">
        <f t="shared" si="63"/>
        <v/>
      </c>
      <c r="I376" s="68" t="str">
        <f t="shared" si="67"/>
        <v/>
      </c>
      <c r="M376" s="1">
        <v>339</v>
      </c>
      <c r="N376" s="1" t="str">
        <f>IF($T376=0,"",INDEX(TAHSILAT!$E$7:$E$2503,$T376))</f>
        <v/>
      </c>
      <c r="O376" s="1" t="str">
        <f>IF($N376="","",$C$36&amp;" – müşteriden tahsilat: "&amp;INDEX(TAHSILAT!$N$7:$N$2503,$T376)&amp;IF(INDEX(TAHSILAT!$J$7:$J$2503,$T376)="",""," – "&amp;INDEX(TAHSILAT!$J$7:$J$2503,$T376)))</f>
        <v/>
      </c>
      <c r="P376" s="1" t="str">
        <f t="shared" si="57"/>
        <v/>
      </c>
      <c r="Q376" s="1">
        <f>IF($N376="",0,INDEX(TAHSILAT!$F$7:$F$2503,$T376))</f>
        <v>0</v>
      </c>
      <c r="R376" s="1">
        <v>0</v>
      </c>
      <c r="S376" s="1">
        <f t="shared" si="64"/>
        <v>10000000000</v>
      </c>
      <c r="T376" s="1">
        <f>IFERROR(MATCH($C$36&amp;"|303",TAHSILAT!$U$7:$U$2503,0),0)</f>
        <v>0</v>
      </c>
      <c r="V376" s="1">
        <f t="shared" si="65"/>
        <v>10000000000</v>
      </c>
      <c r="W376" s="1">
        <f t="shared" si="66"/>
        <v>9</v>
      </c>
    </row>
    <row r="377" spans="2:23" ht="14.25" customHeight="1" x14ac:dyDescent="0.3">
      <c r="B377" s="65" t="str">
        <f t="shared" si="58"/>
        <v/>
      </c>
      <c r="C377" s="70" t="str">
        <f t="shared" si="59"/>
        <v/>
      </c>
      <c r="D377" s="74" t="str">
        <f t="shared" si="60"/>
        <v/>
      </c>
      <c r="F377" s="65" t="str">
        <f t="shared" si="61"/>
        <v/>
      </c>
      <c r="G377" s="68" t="str">
        <f t="shared" si="62"/>
        <v/>
      </c>
      <c r="H377" s="68" t="str">
        <f t="shared" si="63"/>
        <v/>
      </c>
      <c r="I377" s="68" t="str">
        <f t="shared" si="67"/>
        <v/>
      </c>
      <c r="M377" s="1">
        <v>340</v>
      </c>
      <c r="N377" s="1" t="str">
        <f>IF($T377=0,"",INDEX(TAHSILAT!$E$7:$E$2503,$T377))</f>
        <v/>
      </c>
      <c r="O377" s="1" t="str">
        <f>IF($N377="","",$C$36&amp;" – müşteriden tahsilat: "&amp;INDEX(TAHSILAT!$N$7:$N$2503,$T377)&amp;IF(INDEX(TAHSILAT!$J$7:$J$2503,$T377)="",""," – "&amp;INDEX(TAHSILAT!$J$7:$J$2503,$T377)))</f>
        <v/>
      </c>
      <c r="P377" s="1" t="str">
        <f t="shared" si="57"/>
        <v/>
      </c>
      <c r="Q377" s="1">
        <f>IF($N377="",0,INDEX(TAHSILAT!$F$7:$F$2503,$T377))</f>
        <v>0</v>
      </c>
      <c r="R377" s="1">
        <v>0</v>
      </c>
      <c r="S377" s="1">
        <f t="shared" si="64"/>
        <v>10000000000</v>
      </c>
      <c r="T377" s="1">
        <f>IFERROR(MATCH($C$36&amp;"|304",TAHSILAT!$U$7:$U$2503,0),0)</f>
        <v>0</v>
      </c>
      <c r="V377" s="1">
        <f t="shared" si="65"/>
        <v>10000000000</v>
      </c>
      <c r="W377" s="1">
        <f t="shared" si="66"/>
        <v>9</v>
      </c>
    </row>
    <row r="378" spans="2:23" ht="14.25" customHeight="1" x14ac:dyDescent="0.3">
      <c r="B378" s="65" t="str">
        <f t="shared" si="58"/>
        <v/>
      </c>
      <c r="C378" s="70" t="str">
        <f t="shared" si="59"/>
        <v/>
      </c>
      <c r="D378" s="74" t="str">
        <f t="shared" si="60"/>
        <v/>
      </c>
      <c r="F378" s="65" t="str">
        <f t="shared" si="61"/>
        <v/>
      </c>
      <c r="G378" s="68" t="str">
        <f t="shared" si="62"/>
        <v/>
      </c>
      <c r="H378" s="68" t="str">
        <f t="shared" si="63"/>
        <v/>
      </c>
      <c r="I378" s="68" t="str">
        <f t="shared" si="67"/>
        <v/>
      </c>
      <c r="M378" s="1">
        <v>341</v>
      </c>
      <c r="N378" s="1" t="str">
        <f>IF($T378=0,"",INDEX(TAHSILAT!$E$7:$E$2503,$T378))</f>
        <v/>
      </c>
      <c r="O378" s="1" t="str">
        <f>IF($N378="","",$C$36&amp;" – müşteriden tahsilat: "&amp;INDEX(TAHSILAT!$N$7:$N$2503,$T378)&amp;IF(INDEX(TAHSILAT!$J$7:$J$2503,$T378)="",""," – "&amp;INDEX(TAHSILAT!$J$7:$J$2503,$T378)))</f>
        <v/>
      </c>
      <c r="P378" s="1" t="str">
        <f t="shared" si="57"/>
        <v/>
      </c>
      <c r="Q378" s="1">
        <f>IF($N378="",0,INDEX(TAHSILAT!$F$7:$F$2503,$T378))</f>
        <v>0</v>
      </c>
      <c r="R378" s="1">
        <v>0</v>
      </c>
      <c r="S378" s="1">
        <f t="shared" si="64"/>
        <v>10000000000</v>
      </c>
      <c r="T378" s="1">
        <f>IFERROR(MATCH($C$36&amp;"|305",TAHSILAT!$U$7:$U$2503,0),0)</f>
        <v>0</v>
      </c>
      <c r="V378" s="1">
        <f t="shared" si="65"/>
        <v>10000000000</v>
      </c>
      <c r="W378" s="1">
        <f t="shared" si="66"/>
        <v>9</v>
      </c>
    </row>
    <row r="379" spans="2:23" ht="14.25" customHeight="1" x14ac:dyDescent="0.3">
      <c r="B379" s="65" t="str">
        <f t="shared" si="58"/>
        <v/>
      </c>
      <c r="C379" s="70" t="str">
        <f t="shared" si="59"/>
        <v/>
      </c>
      <c r="D379" s="74" t="str">
        <f t="shared" si="60"/>
        <v/>
      </c>
      <c r="F379" s="65" t="str">
        <f t="shared" si="61"/>
        <v/>
      </c>
      <c r="G379" s="68" t="str">
        <f t="shared" si="62"/>
        <v/>
      </c>
      <c r="H379" s="68" t="str">
        <f t="shared" si="63"/>
        <v/>
      </c>
      <c r="I379" s="68" t="str">
        <f t="shared" si="67"/>
        <v/>
      </c>
      <c r="M379" s="1">
        <v>342</v>
      </c>
      <c r="N379" s="1" t="str">
        <f>IF($T379=0,"",INDEX(TAHSILAT!$E$7:$E$2503,$T379))</f>
        <v/>
      </c>
      <c r="O379" s="1" t="str">
        <f>IF($N379="","",$C$36&amp;" – müşteriden tahsilat: "&amp;INDEX(TAHSILAT!$N$7:$N$2503,$T379)&amp;IF(INDEX(TAHSILAT!$J$7:$J$2503,$T379)="",""," – "&amp;INDEX(TAHSILAT!$J$7:$J$2503,$T379)))</f>
        <v/>
      </c>
      <c r="P379" s="1" t="str">
        <f t="shared" si="57"/>
        <v/>
      </c>
      <c r="Q379" s="1">
        <f>IF($N379="",0,INDEX(TAHSILAT!$F$7:$F$2503,$T379))</f>
        <v>0</v>
      </c>
      <c r="R379" s="1">
        <v>0</v>
      </c>
      <c r="S379" s="1">
        <f t="shared" si="64"/>
        <v>10000000000</v>
      </c>
      <c r="T379" s="1">
        <f>IFERROR(MATCH($C$36&amp;"|306",TAHSILAT!$U$7:$U$2503,0),0)</f>
        <v>0</v>
      </c>
      <c r="V379" s="1">
        <f t="shared" si="65"/>
        <v>10000000000</v>
      </c>
      <c r="W379" s="1">
        <f t="shared" si="66"/>
        <v>9</v>
      </c>
    </row>
    <row r="380" spans="2:23" ht="14.25" customHeight="1" x14ac:dyDescent="0.3">
      <c r="B380" s="65" t="str">
        <f t="shared" si="58"/>
        <v/>
      </c>
      <c r="C380" s="70" t="str">
        <f t="shared" si="59"/>
        <v/>
      </c>
      <c r="D380" s="74" t="str">
        <f t="shared" si="60"/>
        <v/>
      </c>
      <c r="F380" s="65" t="str">
        <f t="shared" si="61"/>
        <v/>
      </c>
      <c r="G380" s="68" t="str">
        <f t="shared" si="62"/>
        <v/>
      </c>
      <c r="H380" s="68" t="str">
        <f t="shared" si="63"/>
        <v/>
      </c>
      <c r="I380" s="68" t="str">
        <f t="shared" si="67"/>
        <v/>
      </c>
      <c r="M380" s="1">
        <v>343</v>
      </c>
      <c r="N380" s="1" t="str">
        <f>IF($T380=0,"",INDEX(TAHSILAT!$E$7:$E$2503,$T380))</f>
        <v/>
      </c>
      <c r="O380" s="1" t="str">
        <f>IF($N380="","",$C$36&amp;" – müşteriden tahsilat: "&amp;INDEX(TAHSILAT!$N$7:$N$2503,$T380)&amp;IF(INDEX(TAHSILAT!$J$7:$J$2503,$T380)="",""," – "&amp;INDEX(TAHSILAT!$J$7:$J$2503,$T380)))</f>
        <v/>
      </c>
      <c r="P380" s="1" t="str">
        <f t="shared" si="57"/>
        <v/>
      </c>
      <c r="Q380" s="1">
        <f>IF($N380="",0,INDEX(TAHSILAT!$F$7:$F$2503,$T380))</f>
        <v>0</v>
      </c>
      <c r="R380" s="1">
        <v>0</v>
      </c>
      <c r="S380" s="1">
        <f t="shared" si="64"/>
        <v>10000000000</v>
      </c>
      <c r="T380" s="1">
        <f>IFERROR(MATCH($C$36&amp;"|307",TAHSILAT!$U$7:$U$2503,0),0)</f>
        <v>0</v>
      </c>
      <c r="V380" s="1">
        <f t="shared" si="65"/>
        <v>10000000000</v>
      </c>
      <c r="W380" s="1">
        <f t="shared" si="66"/>
        <v>9</v>
      </c>
    </row>
    <row r="381" spans="2:23" ht="14.25" customHeight="1" x14ac:dyDescent="0.3">
      <c r="B381" s="65" t="str">
        <f t="shared" si="58"/>
        <v/>
      </c>
      <c r="C381" s="70" t="str">
        <f t="shared" si="59"/>
        <v/>
      </c>
      <c r="D381" s="74" t="str">
        <f t="shared" si="60"/>
        <v/>
      </c>
      <c r="F381" s="65" t="str">
        <f t="shared" si="61"/>
        <v/>
      </c>
      <c r="G381" s="68" t="str">
        <f t="shared" si="62"/>
        <v/>
      </c>
      <c r="H381" s="68" t="str">
        <f t="shared" si="63"/>
        <v/>
      </c>
      <c r="I381" s="68" t="str">
        <f t="shared" si="67"/>
        <v/>
      </c>
      <c r="M381" s="1">
        <v>344</v>
      </c>
      <c r="N381" s="1" t="str">
        <f>IF($T381=0,"",INDEX(TAHSILAT!$E$7:$E$2503,$T381))</f>
        <v/>
      </c>
      <c r="O381" s="1" t="str">
        <f>IF($N381="","",$C$36&amp;" – müşteriden tahsilat: "&amp;INDEX(TAHSILAT!$N$7:$N$2503,$T381)&amp;IF(INDEX(TAHSILAT!$J$7:$J$2503,$T381)="",""," – "&amp;INDEX(TAHSILAT!$J$7:$J$2503,$T381)))</f>
        <v/>
      </c>
      <c r="P381" s="1" t="str">
        <f t="shared" si="57"/>
        <v/>
      </c>
      <c r="Q381" s="1">
        <f>IF($N381="",0,INDEX(TAHSILAT!$F$7:$F$2503,$T381))</f>
        <v>0</v>
      </c>
      <c r="R381" s="1">
        <v>0</v>
      </c>
      <c r="S381" s="1">
        <f t="shared" si="64"/>
        <v>10000000000</v>
      </c>
      <c r="T381" s="1">
        <f>IFERROR(MATCH($C$36&amp;"|308",TAHSILAT!$U$7:$U$2503,0),0)</f>
        <v>0</v>
      </c>
      <c r="V381" s="1">
        <f t="shared" si="65"/>
        <v>10000000000</v>
      </c>
      <c r="W381" s="1">
        <f t="shared" si="66"/>
        <v>9</v>
      </c>
    </row>
    <row r="382" spans="2:23" ht="14.25" customHeight="1" x14ac:dyDescent="0.3">
      <c r="B382" s="65" t="str">
        <f t="shared" si="58"/>
        <v/>
      </c>
      <c r="C382" s="70" t="str">
        <f t="shared" si="59"/>
        <v/>
      </c>
      <c r="D382" s="74" t="str">
        <f t="shared" si="60"/>
        <v/>
      </c>
      <c r="F382" s="65" t="str">
        <f t="shared" si="61"/>
        <v/>
      </c>
      <c r="G382" s="68" t="str">
        <f t="shared" si="62"/>
        <v/>
      </c>
      <c r="H382" s="68" t="str">
        <f t="shared" si="63"/>
        <v/>
      </c>
      <c r="I382" s="68" t="str">
        <f t="shared" si="67"/>
        <v/>
      </c>
      <c r="M382" s="1">
        <v>345</v>
      </c>
      <c r="N382" s="1" t="str">
        <f>IF($T382=0,"",INDEX(TAHSILAT!$E$7:$E$2503,$T382))</f>
        <v/>
      </c>
      <c r="O382" s="1" t="str">
        <f>IF($N382="","",$C$36&amp;" – müşteriden tahsilat: "&amp;INDEX(TAHSILAT!$N$7:$N$2503,$T382)&amp;IF(INDEX(TAHSILAT!$J$7:$J$2503,$T382)="",""," – "&amp;INDEX(TAHSILAT!$J$7:$J$2503,$T382)))</f>
        <v/>
      </c>
      <c r="P382" s="1" t="str">
        <f t="shared" si="57"/>
        <v/>
      </c>
      <c r="Q382" s="1">
        <f>IF($N382="",0,INDEX(TAHSILAT!$F$7:$F$2503,$T382))</f>
        <v>0</v>
      </c>
      <c r="R382" s="1">
        <v>0</v>
      </c>
      <c r="S382" s="1">
        <f t="shared" si="64"/>
        <v>10000000000</v>
      </c>
      <c r="T382" s="1">
        <f>IFERROR(MATCH($C$36&amp;"|309",TAHSILAT!$U$7:$U$2503,0),0)</f>
        <v>0</v>
      </c>
      <c r="V382" s="1">
        <f t="shared" si="65"/>
        <v>10000000000</v>
      </c>
      <c r="W382" s="1">
        <f t="shared" si="66"/>
        <v>9</v>
      </c>
    </row>
    <row r="383" spans="2:23" ht="14.25" customHeight="1" x14ac:dyDescent="0.3">
      <c r="B383" s="65" t="str">
        <f t="shared" si="58"/>
        <v/>
      </c>
      <c r="C383" s="70" t="str">
        <f t="shared" si="59"/>
        <v/>
      </c>
      <c r="D383" s="74" t="str">
        <f t="shared" si="60"/>
        <v/>
      </c>
      <c r="F383" s="65" t="str">
        <f t="shared" si="61"/>
        <v/>
      </c>
      <c r="G383" s="68" t="str">
        <f t="shared" si="62"/>
        <v/>
      </c>
      <c r="H383" s="68" t="str">
        <f t="shared" si="63"/>
        <v/>
      </c>
      <c r="I383" s="68" t="str">
        <f t="shared" si="67"/>
        <v/>
      </c>
      <c r="M383" s="1">
        <v>346</v>
      </c>
      <c r="N383" s="1" t="str">
        <f>IF($T383=0,"",INDEX(TAHSILAT!$E$7:$E$2503,$T383))</f>
        <v/>
      </c>
      <c r="O383" s="1" t="str">
        <f>IF($N383="","",$C$36&amp;" – müşteriden tahsilat: "&amp;INDEX(TAHSILAT!$N$7:$N$2503,$T383)&amp;IF(INDEX(TAHSILAT!$J$7:$J$2503,$T383)="",""," – "&amp;INDEX(TAHSILAT!$J$7:$J$2503,$T383)))</f>
        <v/>
      </c>
      <c r="P383" s="1" t="str">
        <f t="shared" si="57"/>
        <v/>
      </c>
      <c r="Q383" s="1">
        <f>IF($N383="",0,INDEX(TAHSILAT!$F$7:$F$2503,$T383))</f>
        <v>0</v>
      </c>
      <c r="R383" s="1">
        <v>0</v>
      </c>
      <c r="S383" s="1">
        <f t="shared" si="64"/>
        <v>10000000000</v>
      </c>
      <c r="T383" s="1">
        <f>IFERROR(MATCH($C$36&amp;"|310",TAHSILAT!$U$7:$U$2503,0),0)</f>
        <v>0</v>
      </c>
      <c r="V383" s="1">
        <f t="shared" si="65"/>
        <v>10000000000</v>
      </c>
      <c r="W383" s="1">
        <f t="shared" si="66"/>
        <v>9</v>
      </c>
    </row>
    <row r="384" spans="2:23" ht="14.25" customHeight="1" x14ac:dyDescent="0.3">
      <c r="B384" s="65" t="str">
        <f t="shared" si="58"/>
        <v/>
      </c>
      <c r="C384" s="70" t="str">
        <f t="shared" si="59"/>
        <v/>
      </c>
      <c r="D384" s="74" t="str">
        <f t="shared" si="60"/>
        <v/>
      </c>
      <c r="F384" s="65" t="str">
        <f t="shared" si="61"/>
        <v/>
      </c>
      <c r="G384" s="68" t="str">
        <f t="shared" si="62"/>
        <v/>
      </c>
      <c r="H384" s="68" t="str">
        <f t="shared" si="63"/>
        <v/>
      </c>
      <c r="I384" s="68" t="str">
        <f t="shared" si="67"/>
        <v/>
      </c>
      <c r="M384" s="1">
        <v>347</v>
      </c>
      <c r="N384" s="1" t="str">
        <f>IF($T384=0,"",INDEX(TAHSILAT!$E$7:$E$2503,$T384))</f>
        <v/>
      </c>
      <c r="O384" s="1" t="str">
        <f>IF($N384="","",$C$36&amp;" – müşteriden tahsilat: "&amp;INDEX(TAHSILAT!$N$7:$N$2503,$T384)&amp;IF(INDEX(TAHSILAT!$J$7:$J$2503,$T384)="",""," – "&amp;INDEX(TAHSILAT!$J$7:$J$2503,$T384)))</f>
        <v/>
      </c>
      <c r="P384" s="1" t="str">
        <f t="shared" si="57"/>
        <v/>
      </c>
      <c r="Q384" s="1">
        <f>IF($N384="",0,INDEX(TAHSILAT!$F$7:$F$2503,$T384))</f>
        <v>0</v>
      </c>
      <c r="R384" s="1">
        <v>0</v>
      </c>
      <c r="S384" s="1">
        <f t="shared" si="64"/>
        <v>10000000000</v>
      </c>
      <c r="T384" s="1">
        <f>IFERROR(MATCH($C$36&amp;"|311",TAHSILAT!$U$7:$U$2503,0),0)</f>
        <v>0</v>
      </c>
      <c r="V384" s="1">
        <f t="shared" si="65"/>
        <v>10000000000</v>
      </c>
      <c r="W384" s="1">
        <f t="shared" si="66"/>
        <v>9</v>
      </c>
    </row>
    <row r="385" spans="2:23" ht="14.25" customHeight="1" x14ac:dyDescent="0.3">
      <c r="B385" s="65" t="str">
        <f t="shared" si="58"/>
        <v/>
      </c>
      <c r="C385" s="70" t="str">
        <f t="shared" si="59"/>
        <v/>
      </c>
      <c r="D385" s="74" t="str">
        <f t="shared" si="60"/>
        <v/>
      </c>
      <c r="F385" s="65" t="str">
        <f t="shared" si="61"/>
        <v/>
      </c>
      <c r="G385" s="68" t="str">
        <f t="shared" si="62"/>
        <v/>
      </c>
      <c r="H385" s="68" t="str">
        <f t="shared" si="63"/>
        <v/>
      </c>
      <c r="I385" s="68" t="str">
        <f t="shared" si="67"/>
        <v/>
      </c>
      <c r="M385" s="1">
        <v>348</v>
      </c>
      <c r="N385" s="1" t="str">
        <f>IF($T385=0,"",INDEX(TAHSILAT!$E$7:$E$2503,$T385))</f>
        <v/>
      </c>
      <c r="O385" s="1" t="str">
        <f>IF($N385="","",$C$36&amp;" – müşteriden tahsilat: "&amp;INDEX(TAHSILAT!$N$7:$N$2503,$T385)&amp;IF(INDEX(TAHSILAT!$J$7:$J$2503,$T385)="",""," – "&amp;INDEX(TAHSILAT!$J$7:$J$2503,$T385)))</f>
        <v/>
      </c>
      <c r="P385" s="1" t="str">
        <f t="shared" si="57"/>
        <v/>
      </c>
      <c r="Q385" s="1">
        <f>IF($N385="",0,INDEX(TAHSILAT!$F$7:$F$2503,$T385))</f>
        <v>0</v>
      </c>
      <c r="R385" s="1">
        <v>0</v>
      </c>
      <c r="S385" s="1">
        <f t="shared" si="64"/>
        <v>10000000000</v>
      </c>
      <c r="T385" s="1">
        <f>IFERROR(MATCH($C$36&amp;"|312",TAHSILAT!$U$7:$U$2503,0),0)</f>
        <v>0</v>
      </c>
      <c r="V385" s="1">
        <f t="shared" si="65"/>
        <v>10000000000</v>
      </c>
      <c r="W385" s="1">
        <f t="shared" si="66"/>
        <v>9</v>
      </c>
    </row>
    <row r="386" spans="2:23" ht="14.25" customHeight="1" x14ac:dyDescent="0.3">
      <c r="B386" s="65" t="str">
        <f t="shared" si="58"/>
        <v/>
      </c>
      <c r="C386" s="70" t="str">
        <f t="shared" si="59"/>
        <v/>
      </c>
      <c r="D386" s="74" t="str">
        <f t="shared" si="60"/>
        <v/>
      </c>
      <c r="F386" s="65" t="str">
        <f t="shared" si="61"/>
        <v/>
      </c>
      <c r="G386" s="68" t="str">
        <f t="shared" si="62"/>
        <v/>
      </c>
      <c r="H386" s="68" t="str">
        <f t="shared" si="63"/>
        <v/>
      </c>
      <c r="I386" s="68" t="str">
        <f t="shared" si="67"/>
        <v/>
      </c>
      <c r="M386" s="1">
        <v>349</v>
      </c>
      <c r="N386" s="1" t="str">
        <f>IF($T386=0,"",INDEX(TAHSILAT!$E$7:$E$2503,$T386))</f>
        <v/>
      </c>
      <c r="O386" s="1" t="str">
        <f>IF($N386="","",$C$36&amp;" – müşteriden tahsilat: "&amp;INDEX(TAHSILAT!$N$7:$N$2503,$T386)&amp;IF(INDEX(TAHSILAT!$J$7:$J$2503,$T386)="",""," – "&amp;INDEX(TAHSILAT!$J$7:$J$2503,$T386)))</f>
        <v/>
      </c>
      <c r="P386" s="1" t="str">
        <f t="shared" si="57"/>
        <v/>
      </c>
      <c r="Q386" s="1">
        <f>IF($N386="",0,INDEX(TAHSILAT!$F$7:$F$2503,$T386))</f>
        <v>0</v>
      </c>
      <c r="R386" s="1">
        <v>0</v>
      </c>
      <c r="S386" s="1">
        <f t="shared" si="64"/>
        <v>10000000000</v>
      </c>
      <c r="T386" s="1">
        <f>IFERROR(MATCH($C$36&amp;"|313",TAHSILAT!$U$7:$U$2503,0),0)</f>
        <v>0</v>
      </c>
      <c r="V386" s="1">
        <f t="shared" si="65"/>
        <v>10000000000</v>
      </c>
      <c r="W386" s="1">
        <f t="shared" si="66"/>
        <v>9</v>
      </c>
    </row>
    <row r="387" spans="2:23" ht="14.25" customHeight="1" x14ac:dyDescent="0.3">
      <c r="B387" s="65" t="str">
        <f t="shared" si="58"/>
        <v/>
      </c>
      <c r="C387" s="70" t="str">
        <f t="shared" si="59"/>
        <v/>
      </c>
      <c r="D387" s="74" t="str">
        <f t="shared" si="60"/>
        <v/>
      </c>
      <c r="F387" s="65" t="str">
        <f t="shared" si="61"/>
        <v/>
      </c>
      <c r="G387" s="68" t="str">
        <f t="shared" si="62"/>
        <v/>
      </c>
      <c r="H387" s="68" t="str">
        <f t="shared" si="63"/>
        <v/>
      </c>
      <c r="I387" s="68" t="str">
        <f t="shared" si="67"/>
        <v/>
      </c>
      <c r="M387" s="1">
        <v>350</v>
      </c>
      <c r="N387" s="1" t="str">
        <f>IF($T387=0,"",INDEX(TAHSILAT!$E$7:$E$2503,$T387))</f>
        <v/>
      </c>
      <c r="O387" s="1" t="str">
        <f>IF($N387="","",$C$36&amp;" – müşteriden tahsilat: "&amp;INDEX(TAHSILAT!$N$7:$N$2503,$T387)&amp;IF(INDEX(TAHSILAT!$J$7:$J$2503,$T387)="",""," – "&amp;INDEX(TAHSILAT!$J$7:$J$2503,$T387)))</f>
        <v/>
      </c>
      <c r="P387" s="1" t="str">
        <f t="shared" si="57"/>
        <v/>
      </c>
      <c r="Q387" s="1">
        <f>IF($N387="",0,INDEX(TAHSILAT!$F$7:$F$2503,$T387))</f>
        <v>0</v>
      </c>
      <c r="R387" s="1">
        <v>0</v>
      </c>
      <c r="S387" s="1">
        <f t="shared" si="64"/>
        <v>10000000000</v>
      </c>
      <c r="T387" s="1">
        <f>IFERROR(MATCH($C$36&amp;"|314",TAHSILAT!$U$7:$U$2503,0),0)</f>
        <v>0</v>
      </c>
      <c r="V387" s="1">
        <f t="shared" si="65"/>
        <v>10000000000</v>
      </c>
      <c r="W387" s="1">
        <f t="shared" si="66"/>
        <v>9</v>
      </c>
    </row>
    <row r="388" spans="2:23" ht="14.25" customHeight="1" x14ac:dyDescent="0.3">
      <c r="B388" s="65" t="str">
        <f t="shared" si="58"/>
        <v/>
      </c>
      <c r="C388" s="70" t="str">
        <f t="shared" si="59"/>
        <v/>
      </c>
      <c r="D388" s="74" t="str">
        <f t="shared" si="60"/>
        <v/>
      </c>
      <c r="F388" s="65" t="str">
        <f t="shared" si="61"/>
        <v/>
      </c>
      <c r="G388" s="68" t="str">
        <f t="shared" si="62"/>
        <v/>
      </c>
      <c r="H388" s="68" t="str">
        <f t="shared" si="63"/>
        <v/>
      </c>
      <c r="I388" s="68" t="str">
        <f t="shared" si="67"/>
        <v/>
      </c>
      <c r="M388" s="1">
        <v>351</v>
      </c>
      <c r="N388" s="1" t="str">
        <f>IF($T388=0,"",INDEX(TAHSILAT!$E$7:$E$2503,$T388))</f>
        <v/>
      </c>
      <c r="O388" s="1" t="str">
        <f>IF($N388="","",$C$36&amp;" – müşteriden tahsilat: "&amp;INDEX(TAHSILAT!$N$7:$N$2503,$T388)&amp;IF(INDEX(TAHSILAT!$J$7:$J$2503,$T388)="",""," – "&amp;INDEX(TAHSILAT!$J$7:$J$2503,$T388)))</f>
        <v/>
      </c>
      <c r="P388" s="1" t="str">
        <f t="shared" si="57"/>
        <v/>
      </c>
      <c r="Q388" s="1">
        <f>IF($N388="",0,INDEX(TAHSILAT!$F$7:$F$2503,$T388))</f>
        <v>0</v>
      </c>
      <c r="R388" s="1">
        <v>0</v>
      </c>
      <c r="S388" s="1">
        <f t="shared" si="64"/>
        <v>10000000000</v>
      </c>
      <c r="T388" s="1">
        <f>IFERROR(MATCH($C$36&amp;"|315",TAHSILAT!$U$7:$U$2503,0),0)</f>
        <v>0</v>
      </c>
      <c r="V388" s="1">
        <f t="shared" si="65"/>
        <v>10000000000</v>
      </c>
      <c r="W388" s="1">
        <f t="shared" si="66"/>
        <v>9</v>
      </c>
    </row>
    <row r="389" spans="2:23" ht="14.25" customHeight="1" x14ac:dyDescent="0.3">
      <c r="B389" s="65" t="str">
        <f t="shared" si="58"/>
        <v/>
      </c>
      <c r="C389" s="70" t="str">
        <f t="shared" si="59"/>
        <v/>
      </c>
      <c r="D389" s="74" t="str">
        <f t="shared" si="60"/>
        <v/>
      </c>
      <c r="F389" s="65" t="str">
        <f t="shared" si="61"/>
        <v/>
      </c>
      <c r="G389" s="68" t="str">
        <f t="shared" si="62"/>
        <v/>
      </c>
      <c r="H389" s="68" t="str">
        <f t="shared" si="63"/>
        <v/>
      </c>
      <c r="I389" s="68" t="str">
        <f t="shared" si="67"/>
        <v/>
      </c>
      <c r="M389" s="1">
        <v>352</v>
      </c>
      <c r="N389" s="1" t="str">
        <f>IF($T389=0,"",INDEX(TAHSILAT!$E$7:$E$2503,$T389))</f>
        <v/>
      </c>
      <c r="O389" s="1" t="str">
        <f>IF($N389="","",$C$36&amp;" – müşteriden tahsilat: "&amp;INDEX(TAHSILAT!$N$7:$N$2503,$T389)&amp;IF(INDEX(TAHSILAT!$J$7:$J$2503,$T389)="",""," – "&amp;INDEX(TAHSILAT!$J$7:$J$2503,$T389)))</f>
        <v/>
      </c>
      <c r="P389" s="1" t="str">
        <f t="shared" si="57"/>
        <v/>
      </c>
      <c r="Q389" s="1">
        <f>IF($N389="",0,INDEX(TAHSILAT!$F$7:$F$2503,$T389))</f>
        <v>0</v>
      </c>
      <c r="R389" s="1">
        <v>0</v>
      </c>
      <c r="S389" s="1">
        <f t="shared" si="64"/>
        <v>10000000000</v>
      </c>
      <c r="T389" s="1">
        <f>IFERROR(MATCH($C$36&amp;"|316",TAHSILAT!$U$7:$U$2503,0),0)</f>
        <v>0</v>
      </c>
      <c r="V389" s="1">
        <f t="shared" si="65"/>
        <v>10000000000</v>
      </c>
      <c r="W389" s="1">
        <f t="shared" si="66"/>
        <v>9</v>
      </c>
    </row>
    <row r="390" spans="2:23" ht="14.25" customHeight="1" x14ac:dyDescent="0.3">
      <c r="B390" s="65" t="str">
        <f t="shared" si="58"/>
        <v/>
      </c>
      <c r="C390" s="70" t="str">
        <f t="shared" si="59"/>
        <v/>
      </c>
      <c r="D390" s="74" t="str">
        <f t="shared" si="60"/>
        <v/>
      </c>
      <c r="F390" s="65" t="str">
        <f t="shared" si="61"/>
        <v/>
      </c>
      <c r="G390" s="68" t="str">
        <f t="shared" si="62"/>
        <v/>
      </c>
      <c r="H390" s="68" t="str">
        <f t="shared" si="63"/>
        <v/>
      </c>
      <c r="I390" s="68" t="str">
        <f t="shared" si="67"/>
        <v/>
      </c>
      <c r="M390" s="1">
        <v>353</v>
      </c>
      <c r="N390" s="1" t="str">
        <f>IF($T390=0,"",INDEX(TAHSILAT!$E$7:$E$2503,$T390))</f>
        <v/>
      </c>
      <c r="O390" s="1" t="str">
        <f>IF($N390="","",$C$36&amp;" – müşteriden tahsilat: "&amp;INDEX(TAHSILAT!$N$7:$N$2503,$T390)&amp;IF(INDEX(TAHSILAT!$J$7:$J$2503,$T390)="",""," – "&amp;INDEX(TAHSILAT!$J$7:$J$2503,$T390)))</f>
        <v/>
      </c>
      <c r="P390" s="1" t="str">
        <f t="shared" si="57"/>
        <v/>
      </c>
      <c r="Q390" s="1">
        <f>IF($N390="",0,INDEX(TAHSILAT!$F$7:$F$2503,$T390))</f>
        <v>0</v>
      </c>
      <c r="R390" s="1">
        <v>0</v>
      </c>
      <c r="S390" s="1">
        <f t="shared" si="64"/>
        <v>10000000000</v>
      </c>
      <c r="T390" s="1">
        <f>IFERROR(MATCH($C$36&amp;"|317",TAHSILAT!$U$7:$U$2503,0),0)</f>
        <v>0</v>
      </c>
      <c r="V390" s="1">
        <f t="shared" si="65"/>
        <v>10000000000</v>
      </c>
      <c r="W390" s="1">
        <f t="shared" si="66"/>
        <v>9</v>
      </c>
    </row>
    <row r="391" spans="2:23" ht="14.25" customHeight="1" x14ac:dyDescent="0.3">
      <c r="B391" s="65" t="str">
        <f t="shared" si="58"/>
        <v/>
      </c>
      <c r="C391" s="70" t="str">
        <f t="shared" si="59"/>
        <v/>
      </c>
      <c r="D391" s="74" t="str">
        <f t="shared" si="60"/>
        <v/>
      </c>
      <c r="F391" s="65" t="str">
        <f t="shared" si="61"/>
        <v/>
      </c>
      <c r="G391" s="68" t="str">
        <f t="shared" si="62"/>
        <v/>
      </c>
      <c r="H391" s="68" t="str">
        <f t="shared" si="63"/>
        <v/>
      </c>
      <c r="I391" s="68" t="str">
        <f t="shared" si="67"/>
        <v/>
      </c>
      <c r="M391" s="1">
        <v>354</v>
      </c>
      <c r="N391" s="1" t="str">
        <f>IF($T391=0,"",INDEX(TAHSILAT!$E$7:$E$2503,$T391))</f>
        <v/>
      </c>
      <c r="O391" s="1" t="str">
        <f>IF($N391="","",$C$36&amp;" – müşteriden tahsilat: "&amp;INDEX(TAHSILAT!$N$7:$N$2503,$T391)&amp;IF(INDEX(TAHSILAT!$J$7:$J$2503,$T391)="",""," – "&amp;INDEX(TAHSILAT!$J$7:$J$2503,$T391)))</f>
        <v/>
      </c>
      <c r="P391" s="1" t="str">
        <f t="shared" si="57"/>
        <v/>
      </c>
      <c r="Q391" s="1">
        <f>IF($N391="",0,INDEX(TAHSILAT!$F$7:$F$2503,$T391))</f>
        <v>0</v>
      </c>
      <c r="R391" s="1">
        <v>0</v>
      </c>
      <c r="S391" s="1">
        <f t="shared" si="64"/>
        <v>10000000000</v>
      </c>
      <c r="T391" s="1">
        <f>IFERROR(MATCH($C$36&amp;"|318",TAHSILAT!$U$7:$U$2503,0),0)</f>
        <v>0</v>
      </c>
      <c r="V391" s="1">
        <f t="shared" si="65"/>
        <v>10000000000</v>
      </c>
      <c r="W391" s="1">
        <f t="shared" si="66"/>
        <v>9</v>
      </c>
    </row>
    <row r="392" spans="2:23" ht="14.25" customHeight="1" x14ac:dyDescent="0.3">
      <c r="B392" s="65" t="str">
        <f t="shared" si="58"/>
        <v/>
      </c>
      <c r="C392" s="70" t="str">
        <f t="shared" si="59"/>
        <v/>
      </c>
      <c r="D392" s="74" t="str">
        <f t="shared" si="60"/>
        <v/>
      </c>
      <c r="F392" s="65" t="str">
        <f t="shared" si="61"/>
        <v/>
      </c>
      <c r="G392" s="68" t="str">
        <f t="shared" si="62"/>
        <v/>
      </c>
      <c r="H392" s="68" t="str">
        <f t="shared" si="63"/>
        <v/>
      </c>
      <c r="I392" s="68" t="str">
        <f t="shared" si="67"/>
        <v/>
      </c>
      <c r="M392" s="1">
        <v>355</v>
      </c>
      <c r="N392" s="1" t="str">
        <f>IF($T392=0,"",INDEX(TAHSILAT!$E$7:$E$2503,$T392))</f>
        <v/>
      </c>
      <c r="O392" s="1" t="str">
        <f>IF($N392="","",$C$36&amp;" – müşteriden tahsilat: "&amp;INDEX(TAHSILAT!$N$7:$N$2503,$T392)&amp;IF(INDEX(TAHSILAT!$J$7:$J$2503,$T392)="",""," – "&amp;INDEX(TAHSILAT!$J$7:$J$2503,$T392)))</f>
        <v/>
      </c>
      <c r="P392" s="1" t="str">
        <f t="shared" si="57"/>
        <v/>
      </c>
      <c r="Q392" s="1">
        <f>IF($N392="",0,INDEX(TAHSILAT!$F$7:$F$2503,$T392))</f>
        <v>0</v>
      </c>
      <c r="R392" s="1">
        <v>0</v>
      </c>
      <c r="S392" s="1">
        <f t="shared" si="64"/>
        <v>10000000000</v>
      </c>
      <c r="T392" s="1">
        <f>IFERROR(MATCH($C$36&amp;"|319",TAHSILAT!$U$7:$U$2503,0),0)</f>
        <v>0</v>
      </c>
      <c r="V392" s="1">
        <f t="shared" si="65"/>
        <v>10000000000</v>
      </c>
      <c r="W392" s="1">
        <f t="shared" si="66"/>
        <v>9</v>
      </c>
    </row>
    <row r="393" spans="2:23" ht="14.25" customHeight="1" x14ac:dyDescent="0.3">
      <c r="B393" s="65" t="str">
        <f t="shared" si="58"/>
        <v/>
      </c>
      <c r="C393" s="70" t="str">
        <f t="shared" si="59"/>
        <v/>
      </c>
      <c r="D393" s="74" t="str">
        <f t="shared" si="60"/>
        <v/>
      </c>
      <c r="F393" s="65" t="str">
        <f t="shared" si="61"/>
        <v/>
      </c>
      <c r="G393" s="68" t="str">
        <f t="shared" si="62"/>
        <v/>
      </c>
      <c r="H393" s="68" t="str">
        <f t="shared" si="63"/>
        <v/>
      </c>
      <c r="I393" s="68" t="str">
        <f t="shared" si="67"/>
        <v/>
      </c>
      <c r="M393" s="1">
        <v>356</v>
      </c>
      <c r="N393" s="1" t="str">
        <f>IF($T393=0,"",INDEX(TAHSILAT!$E$7:$E$2503,$T393))</f>
        <v/>
      </c>
      <c r="O393" s="1" t="str">
        <f>IF($N393="","",$C$36&amp;" – müşteriden tahsilat: "&amp;INDEX(TAHSILAT!$N$7:$N$2503,$T393)&amp;IF(INDEX(TAHSILAT!$J$7:$J$2503,$T393)="",""," – "&amp;INDEX(TAHSILAT!$J$7:$J$2503,$T393)))</f>
        <v/>
      </c>
      <c r="P393" s="1" t="str">
        <f t="shared" si="57"/>
        <v/>
      </c>
      <c r="Q393" s="1">
        <f>IF($N393="",0,INDEX(TAHSILAT!$F$7:$F$2503,$T393))</f>
        <v>0</v>
      </c>
      <c r="R393" s="1">
        <v>0</v>
      </c>
      <c r="S393" s="1">
        <f t="shared" si="64"/>
        <v>10000000000</v>
      </c>
      <c r="T393" s="1">
        <f>IFERROR(MATCH($C$36&amp;"|320",TAHSILAT!$U$7:$U$2503,0),0)</f>
        <v>0</v>
      </c>
      <c r="V393" s="1">
        <f t="shared" si="65"/>
        <v>10000000000</v>
      </c>
      <c r="W393" s="1">
        <f t="shared" si="66"/>
        <v>9</v>
      </c>
    </row>
    <row r="394" spans="2:23" ht="14.25" customHeight="1" x14ac:dyDescent="0.3">
      <c r="B394" s="65" t="str">
        <f t="shared" si="58"/>
        <v/>
      </c>
      <c r="C394" s="70" t="str">
        <f t="shared" si="59"/>
        <v/>
      </c>
      <c r="D394" s="74" t="str">
        <f t="shared" si="60"/>
        <v/>
      </c>
      <c r="F394" s="65" t="str">
        <f t="shared" si="61"/>
        <v/>
      </c>
      <c r="G394" s="68" t="str">
        <f t="shared" si="62"/>
        <v/>
      </c>
      <c r="H394" s="68" t="str">
        <f t="shared" si="63"/>
        <v/>
      </c>
      <c r="I394" s="68" t="str">
        <f t="shared" si="67"/>
        <v/>
      </c>
      <c r="M394" s="1">
        <v>357</v>
      </c>
      <c r="N394" s="1" t="str">
        <f>IF($T394=0,"",INDEX(TAHSILAT!$E$7:$E$2503,$T394))</f>
        <v/>
      </c>
      <c r="O394" s="1" t="str">
        <f>IF($N394="","",$C$36&amp;" – müşteriden tahsilat: "&amp;INDEX(TAHSILAT!$N$7:$N$2503,$T394)&amp;IF(INDEX(TAHSILAT!$J$7:$J$2503,$T394)="",""," – "&amp;INDEX(TAHSILAT!$J$7:$J$2503,$T394)))</f>
        <v/>
      </c>
      <c r="P394" s="1" t="str">
        <f t="shared" ref="P394:P457" si="68">IF($N394="","","MÜŞTERİDEN ALDI")</f>
        <v/>
      </c>
      <c r="Q394" s="1">
        <f>IF($N394="",0,INDEX(TAHSILAT!$F$7:$F$2503,$T394))</f>
        <v>0</v>
      </c>
      <c r="R394" s="1">
        <v>0</v>
      </c>
      <c r="S394" s="1">
        <f t="shared" si="64"/>
        <v>10000000000</v>
      </c>
      <c r="T394" s="1">
        <f>IFERROR(MATCH($C$36&amp;"|321",TAHSILAT!$U$7:$U$2503,0),0)</f>
        <v>0</v>
      </c>
      <c r="V394" s="1">
        <f t="shared" si="65"/>
        <v>10000000000</v>
      </c>
      <c r="W394" s="1">
        <f t="shared" si="66"/>
        <v>9</v>
      </c>
    </row>
    <row r="395" spans="2:23" ht="14.25" customHeight="1" x14ac:dyDescent="0.3">
      <c r="B395" s="65" t="str">
        <f t="shared" si="58"/>
        <v/>
      </c>
      <c r="C395" s="70" t="str">
        <f t="shared" si="59"/>
        <v/>
      </c>
      <c r="D395" s="74" t="str">
        <f t="shared" si="60"/>
        <v/>
      </c>
      <c r="F395" s="65" t="str">
        <f t="shared" si="61"/>
        <v/>
      </c>
      <c r="G395" s="68" t="str">
        <f t="shared" si="62"/>
        <v/>
      </c>
      <c r="H395" s="68" t="str">
        <f t="shared" si="63"/>
        <v/>
      </c>
      <c r="I395" s="68" t="str">
        <f t="shared" si="67"/>
        <v/>
      </c>
      <c r="M395" s="1">
        <v>358</v>
      </c>
      <c r="N395" s="1" t="str">
        <f>IF($T395=0,"",INDEX(TAHSILAT!$E$7:$E$2503,$T395))</f>
        <v/>
      </c>
      <c r="O395" s="1" t="str">
        <f>IF($N395="","",$C$36&amp;" – müşteriden tahsilat: "&amp;INDEX(TAHSILAT!$N$7:$N$2503,$T395)&amp;IF(INDEX(TAHSILAT!$J$7:$J$2503,$T395)="",""," – "&amp;INDEX(TAHSILAT!$J$7:$J$2503,$T395)))</f>
        <v/>
      </c>
      <c r="P395" s="1" t="str">
        <f t="shared" si="68"/>
        <v/>
      </c>
      <c r="Q395" s="1">
        <f>IF($N395="",0,INDEX(TAHSILAT!$F$7:$F$2503,$T395))</f>
        <v>0</v>
      </c>
      <c r="R395" s="1">
        <v>0</v>
      </c>
      <c r="S395" s="1">
        <f t="shared" si="64"/>
        <v>10000000000</v>
      </c>
      <c r="T395" s="1">
        <f>IFERROR(MATCH($C$36&amp;"|322",TAHSILAT!$U$7:$U$2503,0),0)</f>
        <v>0</v>
      </c>
      <c r="V395" s="1">
        <f t="shared" si="65"/>
        <v>10000000000</v>
      </c>
      <c r="W395" s="1">
        <f t="shared" si="66"/>
        <v>9</v>
      </c>
    </row>
    <row r="396" spans="2:23" ht="14.25" customHeight="1" x14ac:dyDescent="0.3">
      <c r="B396" s="65" t="str">
        <f t="shared" si="58"/>
        <v/>
      </c>
      <c r="C396" s="70" t="str">
        <f t="shared" si="59"/>
        <v/>
      </c>
      <c r="D396" s="74" t="str">
        <f t="shared" si="60"/>
        <v/>
      </c>
      <c r="F396" s="65" t="str">
        <f t="shared" si="61"/>
        <v/>
      </c>
      <c r="G396" s="68" t="str">
        <f t="shared" si="62"/>
        <v/>
      </c>
      <c r="H396" s="68" t="str">
        <f t="shared" si="63"/>
        <v/>
      </c>
      <c r="I396" s="68" t="str">
        <f t="shared" si="67"/>
        <v/>
      </c>
      <c r="M396" s="1">
        <v>359</v>
      </c>
      <c r="N396" s="1" t="str">
        <f>IF($T396=0,"",INDEX(TAHSILAT!$E$7:$E$2503,$T396))</f>
        <v/>
      </c>
      <c r="O396" s="1" t="str">
        <f>IF($N396="","",$C$36&amp;" – müşteriden tahsilat: "&amp;INDEX(TAHSILAT!$N$7:$N$2503,$T396)&amp;IF(INDEX(TAHSILAT!$J$7:$J$2503,$T396)="",""," – "&amp;INDEX(TAHSILAT!$J$7:$J$2503,$T396)))</f>
        <v/>
      </c>
      <c r="P396" s="1" t="str">
        <f t="shared" si="68"/>
        <v/>
      </c>
      <c r="Q396" s="1">
        <f>IF($N396="",0,INDEX(TAHSILAT!$F$7:$F$2503,$T396))</f>
        <v>0</v>
      </c>
      <c r="R396" s="1">
        <v>0</v>
      </c>
      <c r="S396" s="1">
        <f t="shared" si="64"/>
        <v>10000000000</v>
      </c>
      <c r="T396" s="1">
        <f>IFERROR(MATCH($C$36&amp;"|323",TAHSILAT!$U$7:$U$2503,0),0)</f>
        <v>0</v>
      </c>
      <c r="V396" s="1">
        <f t="shared" si="65"/>
        <v>10000000000</v>
      </c>
      <c r="W396" s="1">
        <f t="shared" si="66"/>
        <v>9</v>
      </c>
    </row>
    <row r="397" spans="2:23" ht="14.25" customHeight="1" x14ac:dyDescent="0.3">
      <c r="B397" s="65" t="str">
        <f t="shared" si="58"/>
        <v/>
      </c>
      <c r="C397" s="70" t="str">
        <f t="shared" si="59"/>
        <v/>
      </c>
      <c r="D397" s="74" t="str">
        <f t="shared" si="60"/>
        <v/>
      </c>
      <c r="F397" s="65" t="str">
        <f t="shared" si="61"/>
        <v/>
      </c>
      <c r="G397" s="68" t="str">
        <f t="shared" si="62"/>
        <v/>
      </c>
      <c r="H397" s="68" t="str">
        <f t="shared" si="63"/>
        <v/>
      </c>
      <c r="I397" s="68" t="str">
        <f t="shared" si="67"/>
        <v/>
      </c>
      <c r="M397" s="1">
        <v>360</v>
      </c>
      <c r="N397" s="1" t="str">
        <f>IF($T397=0,"",INDEX(TAHSILAT!$E$7:$E$2503,$T397))</f>
        <v/>
      </c>
      <c r="O397" s="1" t="str">
        <f>IF($N397="","",$C$36&amp;" – müşteriden tahsilat: "&amp;INDEX(TAHSILAT!$N$7:$N$2503,$T397)&amp;IF(INDEX(TAHSILAT!$J$7:$J$2503,$T397)="",""," – "&amp;INDEX(TAHSILAT!$J$7:$J$2503,$T397)))</f>
        <v/>
      </c>
      <c r="P397" s="1" t="str">
        <f t="shared" si="68"/>
        <v/>
      </c>
      <c r="Q397" s="1">
        <f>IF($N397="",0,INDEX(TAHSILAT!$F$7:$F$2503,$T397))</f>
        <v>0</v>
      </c>
      <c r="R397" s="1">
        <v>0</v>
      </c>
      <c r="S397" s="1">
        <f t="shared" si="64"/>
        <v>10000000000</v>
      </c>
      <c r="T397" s="1">
        <f>IFERROR(MATCH($C$36&amp;"|324",TAHSILAT!$U$7:$U$2503,0),0)</f>
        <v>0</v>
      </c>
      <c r="V397" s="1">
        <f t="shared" si="65"/>
        <v>10000000000</v>
      </c>
      <c r="W397" s="1">
        <f t="shared" si="66"/>
        <v>9</v>
      </c>
    </row>
    <row r="398" spans="2:23" ht="14.25" customHeight="1" x14ac:dyDescent="0.3">
      <c r="B398" s="65" t="str">
        <f t="shared" si="58"/>
        <v/>
      </c>
      <c r="C398" s="70" t="str">
        <f t="shared" si="59"/>
        <v/>
      </c>
      <c r="D398" s="74" t="str">
        <f t="shared" si="60"/>
        <v/>
      </c>
      <c r="F398" s="65" t="str">
        <f t="shared" si="61"/>
        <v/>
      </c>
      <c r="G398" s="68" t="str">
        <f t="shared" si="62"/>
        <v/>
      </c>
      <c r="H398" s="68" t="str">
        <f t="shared" si="63"/>
        <v/>
      </c>
      <c r="I398" s="68" t="str">
        <f t="shared" si="67"/>
        <v/>
      </c>
      <c r="M398" s="1">
        <v>361</v>
      </c>
      <c r="N398" s="1" t="str">
        <f>IF($T398=0,"",INDEX(TAHSILAT!$E$7:$E$2503,$T398))</f>
        <v/>
      </c>
      <c r="O398" s="1" t="str">
        <f>IF($N398="","",$C$36&amp;" – müşteriden tahsilat: "&amp;INDEX(TAHSILAT!$N$7:$N$2503,$T398)&amp;IF(INDEX(TAHSILAT!$J$7:$J$2503,$T398)="",""," – "&amp;INDEX(TAHSILAT!$J$7:$J$2503,$T398)))</f>
        <v/>
      </c>
      <c r="P398" s="1" t="str">
        <f t="shared" si="68"/>
        <v/>
      </c>
      <c r="Q398" s="1">
        <f>IF($N398="",0,INDEX(TAHSILAT!$F$7:$F$2503,$T398))</f>
        <v>0</v>
      </c>
      <c r="R398" s="1">
        <v>0</v>
      </c>
      <c r="S398" s="1">
        <f t="shared" si="64"/>
        <v>10000000000</v>
      </c>
      <c r="T398" s="1">
        <f>IFERROR(MATCH($C$36&amp;"|325",TAHSILAT!$U$7:$U$2503,0),0)</f>
        <v>0</v>
      </c>
      <c r="V398" s="1">
        <f t="shared" si="65"/>
        <v>10000000000</v>
      </c>
      <c r="W398" s="1">
        <f t="shared" si="66"/>
        <v>9</v>
      </c>
    </row>
    <row r="399" spans="2:23" ht="14.25" customHeight="1" x14ac:dyDescent="0.3">
      <c r="B399" s="65" t="str">
        <f t="shared" si="58"/>
        <v/>
      </c>
      <c r="C399" s="70" t="str">
        <f t="shared" si="59"/>
        <v/>
      </c>
      <c r="D399" s="74" t="str">
        <f t="shared" si="60"/>
        <v/>
      </c>
      <c r="F399" s="65" t="str">
        <f t="shared" si="61"/>
        <v/>
      </c>
      <c r="G399" s="68" t="str">
        <f t="shared" si="62"/>
        <v/>
      </c>
      <c r="H399" s="68" t="str">
        <f t="shared" si="63"/>
        <v/>
      </c>
      <c r="I399" s="68" t="str">
        <f t="shared" si="67"/>
        <v/>
      </c>
      <c r="M399" s="1">
        <v>362</v>
      </c>
      <c r="N399" s="1" t="str">
        <f>IF($T399=0,"",INDEX(TAHSILAT!$E$7:$E$2503,$T399))</f>
        <v/>
      </c>
      <c r="O399" s="1" t="str">
        <f>IF($N399="","",$C$36&amp;" – müşteriden tahsilat: "&amp;INDEX(TAHSILAT!$N$7:$N$2503,$T399)&amp;IF(INDEX(TAHSILAT!$J$7:$J$2503,$T399)="",""," – "&amp;INDEX(TAHSILAT!$J$7:$J$2503,$T399)))</f>
        <v/>
      </c>
      <c r="P399" s="1" t="str">
        <f t="shared" si="68"/>
        <v/>
      </c>
      <c r="Q399" s="1">
        <f>IF($N399="",0,INDEX(TAHSILAT!$F$7:$F$2503,$T399))</f>
        <v>0</v>
      </c>
      <c r="R399" s="1">
        <v>0</v>
      </c>
      <c r="S399" s="1">
        <f t="shared" si="64"/>
        <v>10000000000</v>
      </c>
      <c r="T399" s="1">
        <f>IFERROR(MATCH($C$36&amp;"|326",TAHSILAT!$U$7:$U$2503,0),0)</f>
        <v>0</v>
      </c>
      <c r="V399" s="1">
        <f t="shared" si="65"/>
        <v>10000000000</v>
      </c>
      <c r="W399" s="1">
        <f t="shared" si="66"/>
        <v>9</v>
      </c>
    </row>
    <row r="400" spans="2:23" ht="14.25" customHeight="1" x14ac:dyDescent="0.3">
      <c r="B400" s="65" t="str">
        <f t="shared" si="58"/>
        <v/>
      </c>
      <c r="C400" s="70" t="str">
        <f t="shared" si="59"/>
        <v/>
      </c>
      <c r="D400" s="74" t="str">
        <f t="shared" si="60"/>
        <v/>
      </c>
      <c r="F400" s="65" t="str">
        <f t="shared" si="61"/>
        <v/>
      </c>
      <c r="G400" s="68" t="str">
        <f t="shared" si="62"/>
        <v/>
      </c>
      <c r="H400" s="68" t="str">
        <f t="shared" si="63"/>
        <v/>
      </c>
      <c r="I400" s="68" t="str">
        <f t="shared" si="67"/>
        <v/>
      </c>
      <c r="M400" s="1">
        <v>363</v>
      </c>
      <c r="N400" s="1" t="str">
        <f>IF($T400=0,"",INDEX(TAHSILAT!$E$7:$E$2503,$T400))</f>
        <v/>
      </c>
      <c r="O400" s="1" t="str">
        <f>IF($N400="","",$C$36&amp;" – müşteriden tahsilat: "&amp;INDEX(TAHSILAT!$N$7:$N$2503,$T400)&amp;IF(INDEX(TAHSILAT!$J$7:$J$2503,$T400)="",""," – "&amp;INDEX(TAHSILAT!$J$7:$J$2503,$T400)))</f>
        <v/>
      </c>
      <c r="P400" s="1" t="str">
        <f t="shared" si="68"/>
        <v/>
      </c>
      <c r="Q400" s="1">
        <f>IF($N400="",0,INDEX(TAHSILAT!$F$7:$F$2503,$T400))</f>
        <v>0</v>
      </c>
      <c r="R400" s="1">
        <v>0</v>
      </c>
      <c r="S400" s="1">
        <f t="shared" si="64"/>
        <v>10000000000</v>
      </c>
      <c r="T400" s="1">
        <f>IFERROR(MATCH($C$36&amp;"|327",TAHSILAT!$U$7:$U$2503,0),0)</f>
        <v>0</v>
      </c>
      <c r="V400" s="1">
        <f t="shared" si="65"/>
        <v>10000000000</v>
      </c>
      <c r="W400" s="1">
        <f t="shared" si="66"/>
        <v>9</v>
      </c>
    </row>
    <row r="401" spans="2:23" ht="14.25" customHeight="1" x14ac:dyDescent="0.3">
      <c r="B401" s="65" t="str">
        <f t="shared" si="58"/>
        <v/>
      </c>
      <c r="C401" s="70" t="str">
        <f t="shared" si="59"/>
        <v/>
      </c>
      <c r="D401" s="74" t="str">
        <f t="shared" si="60"/>
        <v/>
      </c>
      <c r="F401" s="65" t="str">
        <f t="shared" si="61"/>
        <v/>
      </c>
      <c r="G401" s="68" t="str">
        <f t="shared" si="62"/>
        <v/>
      </c>
      <c r="H401" s="68" t="str">
        <f t="shared" si="63"/>
        <v/>
      </c>
      <c r="I401" s="68" t="str">
        <f t="shared" si="67"/>
        <v/>
      </c>
      <c r="M401" s="1">
        <v>364</v>
      </c>
      <c r="N401" s="1" t="str">
        <f>IF($T401=0,"",INDEX(TAHSILAT!$E$7:$E$2503,$T401))</f>
        <v/>
      </c>
      <c r="O401" s="1" t="str">
        <f>IF($N401="","",$C$36&amp;" – müşteriden tahsilat: "&amp;INDEX(TAHSILAT!$N$7:$N$2503,$T401)&amp;IF(INDEX(TAHSILAT!$J$7:$J$2503,$T401)="",""," – "&amp;INDEX(TAHSILAT!$J$7:$J$2503,$T401)))</f>
        <v/>
      </c>
      <c r="P401" s="1" t="str">
        <f t="shared" si="68"/>
        <v/>
      </c>
      <c r="Q401" s="1">
        <f>IF($N401="",0,INDEX(TAHSILAT!$F$7:$F$2503,$T401))</f>
        <v>0</v>
      </c>
      <c r="R401" s="1">
        <v>0</v>
      </c>
      <c r="S401" s="1">
        <f t="shared" si="64"/>
        <v>10000000000</v>
      </c>
      <c r="T401" s="1">
        <f>IFERROR(MATCH($C$36&amp;"|328",TAHSILAT!$U$7:$U$2503,0),0)</f>
        <v>0</v>
      </c>
      <c r="V401" s="1">
        <f t="shared" si="65"/>
        <v>10000000000</v>
      </c>
      <c r="W401" s="1">
        <f t="shared" si="66"/>
        <v>9</v>
      </c>
    </row>
    <row r="402" spans="2:23" ht="14.25" customHeight="1" x14ac:dyDescent="0.3">
      <c r="B402" s="65" t="str">
        <f t="shared" si="58"/>
        <v/>
      </c>
      <c r="C402" s="70" t="str">
        <f t="shared" si="59"/>
        <v/>
      </c>
      <c r="D402" s="74" t="str">
        <f t="shared" si="60"/>
        <v/>
      </c>
      <c r="F402" s="65" t="str">
        <f t="shared" si="61"/>
        <v/>
      </c>
      <c r="G402" s="68" t="str">
        <f t="shared" si="62"/>
        <v/>
      </c>
      <c r="H402" s="68" t="str">
        <f t="shared" si="63"/>
        <v/>
      </c>
      <c r="I402" s="68" t="str">
        <f t="shared" si="67"/>
        <v/>
      </c>
      <c r="M402" s="1">
        <v>365</v>
      </c>
      <c r="N402" s="1" t="str">
        <f>IF($T402=0,"",INDEX(TAHSILAT!$E$7:$E$2503,$T402))</f>
        <v/>
      </c>
      <c r="O402" s="1" t="str">
        <f>IF($N402="","",$C$36&amp;" – müşteriden tahsilat: "&amp;INDEX(TAHSILAT!$N$7:$N$2503,$T402)&amp;IF(INDEX(TAHSILAT!$J$7:$J$2503,$T402)="",""," – "&amp;INDEX(TAHSILAT!$J$7:$J$2503,$T402)))</f>
        <v/>
      </c>
      <c r="P402" s="1" t="str">
        <f t="shared" si="68"/>
        <v/>
      </c>
      <c r="Q402" s="1">
        <f>IF($N402="",0,INDEX(TAHSILAT!$F$7:$F$2503,$T402))</f>
        <v>0</v>
      </c>
      <c r="R402" s="1">
        <v>0</v>
      </c>
      <c r="S402" s="1">
        <f t="shared" si="64"/>
        <v>10000000000</v>
      </c>
      <c r="T402" s="1">
        <f>IFERROR(MATCH($C$36&amp;"|329",TAHSILAT!$U$7:$U$2503,0),0)</f>
        <v>0</v>
      </c>
      <c r="V402" s="1">
        <f t="shared" si="65"/>
        <v>10000000000</v>
      </c>
      <c r="W402" s="1">
        <f t="shared" si="66"/>
        <v>9</v>
      </c>
    </row>
    <row r="403" spans="2:23" ht="14.25" customHeight="1" x14ac:dyDescent="0.3">
      <c r="B403" s="65" t="str">
        <f t="shared" si="58"/>
        <v/>
      </c>
      <c r="C403" s="70" t="str">
        <f t="shared" si="59"/>
        <v/>
      </c>
      <c r="D403" s="74" t="str">
        <f t="shared" si="60"/>
        <v/>
      </c>
      <c r="F403" s="65" t="str">
        <f t="shared" si="61"/>
        <v/>
      </c>
      <c r="G403" s="68" t="str">
        <f t="shared" si="62"/>
        <v/>
      </c>
      <c r="H403" s="68" t="str">
        <f t="shared" si="63"/>
        <v/>
      </c>
      <c r="I403" s="68" t="str">
        <f t="shared" si="67"/>
        <v/>
      </c>
      <c r="M403" s="1">
        <v>366</v>
      </c>
      <c r="N403" s="1" t="str">
        <f>IF($T403=0,"",INDEX(TAHSILAT!$E$7:$E$2503,$T403))</f>
        <v/>
      </c>
      <c r="O403" s="1" t="str">
        <f>IF($N403="","",$C$36&amp;" – müşteriden tahsilat: "&amp;INDEX(TAHSILAT!$N$7:$N$2503,$T403)&amp;IF(INDEX(TAHSILAT!$J$7:$J$2503,$T403)="",""," – "&amp;INDEX(TAHSILAT!$J$7:$J$2503,$T403)))</f>
        <v/>
      </c>
      <c r="P403" s="1" t="str">
        <f t="shared" si="68"/>
        <v/>
      </c>
      <c r="Q403" s="1">
        <f>IF($N403="",0,INDEX(TAHSILAT!$F$7:$F$2503,$T403))</f>
        <v>0</v>
      </c>
      <c r="R403" s="1">
        <v>0</v>
      </c>
      <c r="S403" s="1">
        <f t="shared" si="64"/>
        <v>10000000000</v>
      </c>
      <c r="T403" s="1">
        <f>IFERROR(MATCH($C$36&amp;"|330",TAHSILAT!$U$7:$U$2503,0),0)</f>
        <v>0</v>
      </c>
      <c r="V403" s="1">
        <f t="shared" si="65"/>
        <v>10000000000</v>
      </c>
      <c r="W403" s="1">
        <f t="shared" si="66"/>
        <v>9</v>
      </c>
    </row>
    <row r="404" spans="2:23" ht="14.25" customHeight="1" x14ac:dyDescent="0.3">
      <c r="B404" s="65" t="str">
        <f t="shared" si="58"/>
        <v/>
      </c>
      <c r="C404" s="70" t="str">
        <f t="shared" si="59"/>
        <v/>
      </c>
      <c r="D404" s="74" t="str">
        <f t="shared" si="60"/>
        <v/>
      </c>
      <c r="F404" s="65" t="str">
        <f t="shared" si="61"/>
        <v/>
      </c>
      <c r="G404" s="68" t="str">
        <f t="shared" si="62"/>
        <v/>
      </c>
      <c r="H404" s="68" t="str">
        <f t="shared" si="63"/>
        <v/>
      </c>
      <c r="I404" s="68" t="str">
        <f t="shared" si="67"/>
        <v/>
      </c>
      <c r="M404" s="1">
        <v>367</v>
      </c>
      <c r="N404" s="1" t="str">
        <f>IF($T404=0,"",INDEX(TAHSILAT!$E$7:$E$2503,$T404))</f>
        <v/>
      </c>
      <c r="O404" s="1" t="str">
        <f>IF($N404="","",$C$36&amp;" – müşteriden tahsilat: "&amp;INDEX(TAHSILAT!$N$7:$N$2503,$T404)&amp;IF(INDEX(TAHSILAT!$J$7:$J$2503,$T404)="",""," – "&amp;INDEX(TAHSILAT!$J$7:$J$2503,$T404)))</f>
        <v/>
      </c>
      <c r="P404" s="1" t="str">
        <f t="shared" si="68"/>
        <v/>
      </c>
      <c r="Q404" s="1">
        <f>IF($N404="",0,INDEX(TAHSILAT!$F$7:$F$2503,$T404))</f>
        <v>0</v>
      </c>
      <c r="R404" s="1">
        <v>0</v>
      </c>
      <c r="S404" s="1">
        <f t="shared" si="64"/>
        <v>10000000000</v>
      </c>
      <c r="T404" s="1">
        <f>IFERROR(MATCH($C$36&amp;"|331",TAHSILAT!$U$7:$U$2503,0),0)</f>
        <v>0</v>
      </c>
      <c r="V404" s="1">
        <f t="shared" si="65"/>
        <v>10000000000</v>
      </c>
      <c r="W404" s="1">
        <f t="shared" si="66"/>
        <v>9</v>
      </c>
    </row>
    <row r="405" spans="2:23" ht="14.25" customHeight="1" x14ac:dyDescent="0.3">
      <c r="B405" s="65" t="str">
        <f t="shared" si="58"/>
        <v/>
      </c>
      <c r="C405" s="70" t="str">
        <f t="shared" si="59"/>
        <v/>
      </c>
      <c r="D405" s="74" t="str">
        <f t="shared" si="60"/>
        <v/>
      </c>
      <c r="F405" s="65" t="str">
        <f t="shared" si="61"/>
        <v/>
      </c>
      <c r="G405" s="68" t="str">
        <f t="shared" si="62"/>
        <v/>
      </c>
      <c r="H405" s="68" t="str">
        <f t="shared" si="63"/>
        <v/>
      </c>
      <c r="I405" s="68" t="str">
        <f t="shared" si="67"/>
        <v/>
      </c>
      <c r="M405" s="1">
        <v>368</v>
      </c>
      <c r="N405" s="1" t="str">
        <f>IF($T405=0,"",INDEX(TAHSILAT!$E$7:$E$2503,$T405))</f>
        <v/>
      </c>
      <c r="O405" s="1" t="str">
        <f>IF($N405="","",$C$36&amp;" – müşteriden tahsilat: "&amp;INDEX(TAHSILAT!$N$7:$N$2503,$T405)&amp;IF(INDEX(TAHSILAT!$J$7:$J$2503,$T405)="",""," – "&amp;INDEX(TAHSILAT!$J$7:$J$2503,$T405)))</f>
        <v/>
      </c>
      <c r="P405" s="1" t="str">
        <f t="shared" si="68"/>
        <v/>
      </c>
      <c r="Q405" s="1">
        <f>IF($N405="",0,INDEX(TAHSILAT!$F$7:$F$2503,$T405))</f>
        <v>0</v>
      </c>
      <c r="R405" s="1">
        <v>0</v>
      </c>
      <c r="S405" s="1">
        <f t="shared" si="64"/>
        <v>10000000000</v>
      </c>
      <c r="T405" s="1">
        <f>IFERROR(MATCH($C$36&amp;"|332",TAHSILAT!$U$7:$U$2503,0),0)</f>
        <v>0</v>
      </c>
      <c r="V405" s="1">
        <f t="shared" si="65"/>
        <v>10000000000</v>
      </c>
      <c r="W405" s="1">
        <f t="shared" si="66"/>
        <v>9</v>
      </c>
    </row>
    <row r="406" spans="2:23" ht="14.25" customHeight="1" x14ac:dyDescent="0.3">
      <c r="B406" s="65" t="str">
        <f t="shared" si="58"/>
        <v/>
      </c>
      <c r="C406" s="70" t="str">
        <f t="shared" si="59"/>
        <v/>
      </c>
      <c r="D406" s="74" t="str">
        <f t="shared" si="60"/>
        <v/>
      </c>
      <c r="F406" s="65" t="str">
        <f t="shared" si="61"/>
        <v/>
      </c>
      <c r="G406" s="68" t="str">
        <f t="shared" si="62"/>
        <v/>
      </c>
      <c r="H406" s="68" t="str">
        <f t="shared" si="63"/>
        <v/>
      </c>
      <c r="I406" s="68" t="str">
        <f t="shared" si="67"/>
        <v/>
      </c>
      <c r="M406" s="1">
        <v>369</v>
      </c>
      <c r="N406" s="1" t="str">
        <f>IF($T406=0,"",INDEX(TAHSILAT!$E$7:$E$2503,$T406))</f>
        <v/>
      </c>
      <c r="O406" s="1" t="str">
        <f>IF($N406="","",$C$36&amp;" – müşteriden tahsilat: "&amp;INDEX(TAHSILAT!$N$7:$N$2503,$T406)&amp;IF(INDEX(TAHSILAT!$J$7:$J$2503,$T406)="",""," – "&amp;INDEX(TAHSILAT!$J$7:$J$2503,$T406)))</f>
        <v/>
      </c>
      <c r="P406" s="1" t="str">
        <f t="shared" si="68"/>
        <v/>
      </c>
      <c r="Q406" s="1">
        <f>IF($N406="",0,INDEX(TAHSILAT!$F$7:$F$2503,$T406))</f>
        <v>0</v>
      </c>
      <c r="R406" s="1">
        <v>0</v>
      </c>
      <c r="S406" s="1">
        <f t="shared" si="64"/>
        <v>10000000000</v>
      </c>
      <c r="T406" s="1">
        <f>IFERROR(MATCH($C$36&amp;"|333",TAHSILAT!$U$7:$U$2503,0),0)</f>
        <v>0</v>
      </c>
      <c r="V406" s="1">
        <f t="shared" si="65"/>
        <v>10000000000</v>
      </c>
      <c r="W406" s="1">
        <f t="shared" si="66"/>
        <v>9</v>
      </c>
    </row>
    <row r="407" spans="2:23" ht="14.25" customHeight="1" x14ac:dyDescent="0.3">
      <c r="B407" s="65" t="str">
        <f t="shared" si="58"/>
        <v/>
      </c>
      <c r="C407" s="70" t="str">
        <f t="shared" si="59"/>
        <v/>
      </c>
      <c r="D407" s="74" t="str">
        <f t="shared" si="60"/>
        <v/>
      </c>
      <c r="F407" s="65" t="str">
        <f t="shared" si="61"/>
        <v/>
      </c>
      <c r="G407" s="68" t="str">
        <f t="shared" si="62"/>
        <v/>
      </c>
      <c r="H407" s="68" t="str">
        <f t="shared" si="63"/>
        <v/>
      </c>
      <c r="I407" s="68" t="str">
        <f t="shared" si="67"/>
        <v/>
      </c>
      <c r="M407" s="1">
        <v>370</v>
      </c>
      <c r="N407" s="1" t="str">
        <f>IF($T407=0,"",INDEX(TAHSILAT!$E$7:$E$2503,$T407))</f>
        <v/>
      </c>
      <c r="O407" s="1" t="str">
        <f>IF($N407="","",$C$36&amp;" – müşteriden tahsilat: "&amp;INDEX(TAHSILAT!$N$7:$N$2503,$T407)&amp;IF(INDEX(TAHSILAT!$J$7:$J$2503,$T407)="",""," – "&amp;INDEX(TAHSILAT!$J$7:$J$2503,$T407)))</f>
        <v/>
      </c>
      <c r="P407" s="1" t="str">
        <f t="shared" si="68"/>
        <v/>
      </c>
      <c r="Q407" s="1">
        <f>IF($N407="",0,INDEX(TAHSILAT!$F$7:$F$2503,$T407))</f>
        <v>0</v>
      </c>
      <c r="R407" s="1">
        <v>0</v>
      </c>
      <c r="S407" s="1">
        <f t="shared" si="64"/>
        <v>10000000000</v>
      </c>
      <c r="T407" s="1">
        <f>IFERROR(MATCH($C$36&amp;"|334",TAHSILAT!$U$7:$U$2503,0),0)</f>
        <v>0</v>
      </c>
      <c r="V407" s="1">
        <f t="shared" si="65"/>
        <v>10000000000</v>
      </c>
      <c r="W407" s="1">
        <f t="shared" si="66"/>
        <v>9</v>
      </c>
    </row>
    <row r="408" spans="2:23" ht="14.25" customHeight="1" x14ac:dyDescent="0.3">
      <c r="B408" s="65" t="str">
        <f t="shared" si="58"/>
        <v/>
      </c>
      <c r="C408" s="70" t="str">
        <f t="shared" si="59"/>
        <v/>
      </c>
      <c r="D408" s="74" t="str">
        <f t="shared" si="60"/>
        <v/>
      </c>
      <c r="F408" s="65" t="str">
        <f t="shared" si="61"/>
        <v/>
      </c>
      <c r="G408" s="68" t="str">
        <f t="shared" si="62"/>
        <v/>
      </c>
      <c r="H408" s="68" t="str">
        <f t="shared" si="63"/>
        <v/>
      </c>
      <c r="I408" s="68" t="str">
        <f t="shared" si="67"/>
        <v/>
      </c>
      <c r="M408" s="1">
        <v>371</v>
      </c>
      <c r="N408" s="1" t="str">
        <f>IF($T408=0,"",INDEX(TAHSILAT!$E$7:$E$2503,$T408))</f>
        <v/>
      </c>
      <c r="O408" s="1" t="str">
        <f>IF($N408="","",$C$36&amp;" – müşteriden tahsilat: "&amp;INDEX(TAHSILAT!$N$7:$N$2503,$T408)&amp;IF(INDEX(TAHSILAT!$J$7:$J$2503,$T408)="",""," – "&amp;INDEX(TAHSILAT!$J$7:$J$2503,$T408)))</f>
        <v/>
      </c>
      <c r="P408" s="1" t="str">
        <f t="shared" si="68"/>
        <v/>
      </c>
      <c r="Q408" s="1">
        <f>IF($N408="",0,INDEX(TAHSILAT!$F$7:$F$2503,$T408))</f>
        <v>0</v>
      </c>
      <c r="R408" s="1">
        <v>0</v>
      </c>
      <c r="S408" s="1">
        <f t="shared" si="64"/>
        <v>10000000000</v>
      </c>
      <c r="T408" s="1">
        <f>IFERROR(MATCH($C$36&amp;"|335",TAHSILAT!$U$7:$U$2503,0),0)</f>
        <v>0</v>
      </c>
      <c r="V408" s="1">
        <f t="shared" si="65"/>
        <v>10000000000</v>
      </c>
      <c r="W408" s="1">
        <f t="shared" si="66"/>
        <v>9</v>
      </c>
    </row>
    <row r="409" spans="2:23" ht="14.25" customHeight="1" x14ac:dyDescent="0.3">
      <c r="B409" s="65" t="str">
        <f t="shared" si="58"/>
        <v/>
      </c>
      <c r="C409" s="70" t="str">
        <f t="shared" si="59"/>
        <v/>
      </c>
      <c r="D409" s="74" t="str">
        <f t="shared" si="60"/>
        <v/>
      </c>
      <c r="F409" s="65" t="str">
        <f t="shared" si="61"/>
        <v/>
      </c>
      <c r="G409" s="68" t="str">
        <f t="shared" si="62"/>
        <v/>
      </c>
      <c r="H409" s="68" t="str">
        <f t="shared" si="63"/>
        <v/>
      </c>
      <c r="I409" s="68" t="str">
        <f t="shared" si="67"/>
        <v/>
      </c>
      <c r="M409" s="1">
        <v>372</v>
      </c>
      <c r="N409" s="1" t="str">
        <f>IF($T409=0,"",INDEX(TAHSILAT!$E$7:$E$2503,$T409))</f>
        <v/>
      </c>
      <c r="O409" s="1" t="str">
        <f>IF($N409="","",$C$36&amp;" – müşteriden tahsilat: "&amp;INDEX(TAHSILAT!$N$7:$N$2503,$T409)&amp;IF(INDEX(TAHSILAT!$J$7:$J$2503,$T409)="",""," – "&amp;INDEX(TAHSILAT!$J$7:$J$2503,$T409)))</f>
        <v/>
      </c>
      <c r="P409" s="1" t="str">
        <f t="shared" si="68"/>
        <v/>
      </c>
      <c r="Q409" s="1">
        <f>IF($N409="",0,INDEX(TAHSILAT!$F$7:$F$2503,$T409))</f>
        <v>0</v>
      </c>
      <c r="R409" s="1">
        <v>0</v>
      </c>
      <c r="S409" s="1">
        <f t="shared" si="64"/>
        <v>10000000000</v>
      </c>
      <c r="T409" s="1">
        <f>IFERROR(MATCH($C$36&amp;"|336",TAHSILAT!$U$7:$U$2503,0),0)</f>
        <v>0</v>
      </c>
      <c r="V409" s="1">
        <f t="shared" si="65"/>
        <v>10000000000</v>
      </c>
      <c r="W409" s="1">
        <f t="shared" si="66"/>
        <v>9</v>
      </c>
    </row>
    <row r="410" spans="2:23" ht="14.25" customHeight="1" x14ac:dyDescent="0.3">
      <c r="B410" s="65" t="str">
        <f t="shared" si="58"/>
        <v/>
      </c>
      <c r="C410" s="70" t="str">
        <f t="shared" si="59"/>
        <v/>
      </c>
      <c r="D410" s="74" t="str">
        <f t="shared" si="60"/>
        <v/>
      </c>
      <c r="F410" s="65" t="str">
        <f t="shared" si="61"/>
        <v/>
      </c>
      <c r="G410" s="68" t="str">
        <f t="shared" si="62"/>
        <v/>
      </c>
      <c r="H410" s="68" t="str">
        <f t="shared" si="63"/>
        <v/>
      </c>
      <c r="I410" s="68" t="str">
        <f t="shared" si="67"/>
        <v/>
      </c>
      <c r="M410" s="1">
        <v>373</v>
      </c>
      <c r="N410" s="1" t="str">
        <f>IF($T410=0,"",INDEX(TAHSILAT!$E$7:$E$2503,$T410))</f>
        <v/>
      </c>
      <c r="O410" s="1" t="str">
        <f>IF($N410="","",$C$36&amp;" – müşteriden tahsilat: "&amp;INDEX(TAHSILAT!$N$7:$N$2503,$T410)&amp;IF(INDEX(TAHSILAT!$J$7:$J$2503,$T410)="",""," – "&amp;INDEX(TAHSILAT!$J$7:$J$2503,$T410)))</f>
        <v/>
      </c>
      <c r="P410" s="1" t="str">
        <f t="shared" si="68"/>
        <v/>
      </c>
      <c r="Q410" s="1">
        <f>IF($N410="",0,INDEX(TAHSILAT!$F$7:$F$2503,$T410))</f>
        <v>0</v>
      </c>
      <c r="R410" s="1">
        <v>0</v>
      </c>
      <c r="S410" s="1">
        <f t="shared" si="64"/>
        <v>10000000000</v>
      </c>
      <c r="T410" s="1">
        <f>IFERROR(MATCH($C$36&amp;"|337",TAHSILAT!$U$7:$U$2503,0),0)</f>
        <v>0</v>
      </c>
      <c r="V410" s="1">
        <f t="shared" si="65"/>
        <v>10000000000</v>
      </c>
      <c r="W410" s="1">
        <f t="shared" si="66"/>
        <v>9</v>
      </c>
    </row>
    <row r="411" spans="2:23" ht="14.25" customHeight="1" x14ac:dyDescent="0.3">
      <c r="B411" s="65" t="str">
        <f t="shared" si="58"/>
        <v/>
      </c>
      <c r="C411" s="70" t="str">
        <f t="shared" si="59"/>
        <v/>
      </c>
      <c r="D411" s="74" t="str">
        <f t="shared" si="60"/>
        <v/>
      </c>
      <c r="F411" s="65" t="str">
        <f t="shared" si="61"/>
        <v/>
      </c>
      <c r="G411" s="68" t="str">
        <f t="shared" si="62"/>
        <v/>
      </c>
      <c r="H411" s="68" t="str">
        <f t="shared" si="63"/>
        <v/>
      </c>
      <c r="I411" s="68" t="str">
        <f t="shared" si="67"/>
        <v/>
      </c>
      <c r="M411" s="1">
        <v>374</v>
      </c>
      <c r="N411" s="1" t="str">
        <f>IF($T411=0,"",INDEX(TAHSILAT!$E$7:$E$2503,$T411))</f>
        <v/>
      </c>
      <c r="O411" s="1" t="str">
        <f>IF($N411="","",$C$36&amp;" – müşteriden tahsilat: "&amp;INDEX(TAHSILAT!$N$7:$N$2503,$T411)&amp;IF(INDEX(TAHSILAT!$J$7:$J$2503,$T411)="",""," – "&amp;INDEX(TAHSILAT!$J$7:$J$2503,$T411)))</f>
        <v/>
      </c>
      <c r="P411" s="1" t="str">
        <f t="shared" si="68"/>
        <v/>
      </c>
      <c r="Q411" s="1">
        <f>IF($N411="",0,INDEX(TAHSILAT!$F$7:$F$2503,$T411))</f>
        <v>0</v>
      </c>
      <c r="R411" s="1">
        <v>0</v>
      </c>
      <c r="S411" s="1">
        <f t="shared" si="64"/>
        <v>10000000000</v>
      </c>
      <c r="T411" s="1">
        <f>IFERROR(MATCH($C$36&amp;"|338",TAHSILAT!$U$7:$U$2503,0),0)</f>
        <v>0</v>
      </c>
      <c r="V411" s="1">
        <f t="shared" si="65"/>
        <v>10000000000</v>
      </c>
      <c r="W411" s="1">
        <f t="shared" si="66"/>
        <v>9</v>
      </c>
    </row>
    <row r="412" spans="2:23" ht="14.25" customHeight="1" x14ac:dyDescent="0.3">
      <c r="B412" s="65" t="str">
        <f t="shared" si="58"/>
        <v/>
      </c>
      <c r="C412" s="70" t="str">
        <f t="shared" si="59"/>
        <v/>
      </c>
      <c r="D412" s="74" t="str">
        <f t="shared" si="60"/>
        <v/>
      </c>
      <c r="F412" s="65" t="str">
        <f t="shared" si="61"/>
        <v/>
      </c>
      <c r="G412" s="68" t="str">
        <f t="shared" si="62"/>
        <v/>
      </c>
      <c r="H412" s="68" t="str">
        <f t="shared" si="63"/>
        <v/>
      </c>
      <c r="I412" s="68" t="str">
        <f t="shared" si="67"/>
        <v/>
      </c>
      <c r="M412" s="1">
        <v>375</v>
      </c>
      <c r="N412" s="1" t="str">
        <f>IF($T412=0,"",INDEX(TAHSILAT!$E$7:$E$2503,$T412))</f>
        <v/>
      </c>
      <c r="O412" s="1" t="str">
        <f>IF($N412="","",$C$36&amp;" – müşteriden tahsilat: "&amp;INDEX(TAHSILAT!$N$7:$N$2503,$T412)&amp;IF(INDEX(TAHSILAT!$J$7:$J$2503,$T412)="",""," – "&amp;INDEX(TAHSILAT!$J$7:$J$2503,$T412)))</f>
        <v/>
      </c>
      <c r="P412" s="1" t="str">
        <f t="shared" si="68"/>
        <v/>
      </c>
      <c r="Q412" s="1">
        <f>IF($N412="",0,INDEX(TAHSILAT!$F$7:$F$2503,$T412))</f>
        <v>0</v>
      </c>
      <c r="R412" s="1">
        <v>0</v>
      </c>
      <c r="S412" s="1">
        <f t="shared" si="64"/>
        <v>10000000000</v>
      </c>
      <c r="T412" s="1">
        <f>IFERROR(MATCH($C$36&amp;"|339",TAHSILAT!$U$7:$U$2503,0),0)</f>
        <v>0</v>
      </c>
      <c r="V412" s="1">
        <f t="shared" si="65"/>
        <v>10000000000</v>
      </c>
      <c r="W412" s="1">
        <f t="shared" si="66"/>
        <v>9</v>
      </c>
    </row>
    <row r="413" spans="2:23" ht="14.25" customHeight="1" x14ac:dyDescent="0.3">
      <c r="B413" s="65" t="str">
        <f t="shared" si="58"/>
        <v/>
      </c>
      <c r="C413" s="70" t="str">
        <f t="shared" si="59"/>
        <v/>
      </c>
      <c r="D413" s="74" t="str">
        <f t="shared" si="60"/>
        <v/>
      </c>
      <c r="F413" s="65" t="str">
        <f t="shared" si="61"/>
        <v/>
      </c>
      <c r="G413" s="68" t="str">
        <f t="shared" si="62"/>
        <v/>
      </c>
      <c r="H413" s="68" t="str">
        <f t="shared" si="63"/>
        <v/>
      </c>
      <c r="I413" s="68" t="str">
        <f t="shared" si="67"/>
        <v/>
      </c>
      <c r="M413" s="1">
        <v>376</v>
      </c>
      <c r="N413" s="1" t="str">
        <f>IF($T413=0,"",INDEX(TAHSILAT!$E$7:$E$2503,$T413))</f>
        <v/>
      </c>
      <c r="O413" s="1" t="str">
        <f>IF($N413="","",$C$36&amp;" – müşteriden tahsilat: "&amp;INDEX(TAHSILAT!$N$7:$N$2503,$T413)&amp;IF(INDEX(TAHSILAT!$J$7:$J$2503,$T413)="",""," – "&amp;INDEX(TAHSILAT!$J$7:$J$2503,$T413)))</f>
        <v/>
      </c>
      <c r="P413" s="1" t="str">
        <f t="shared" si="68"/>
        <v/>
      </c>
      <c r="Q413" s="1">
        <f>IF($N413="",0,INDEX(TAHSILAT!$F$7:$F$2503,$T413))</f>
        <v>0</v>
      </c>
      <c r="R413" s="1">
        <v>0</v>
      </c>
      <c r="S413" s="1">
        <f t="shared" si="64"/>
        <v>10000000000</v>
      </c>
      <c r="T413" s="1">
        <f>IFERROR(MATCH($C$36&amp;"|340",TAHSILAT!$U$7:$U$2503,0),0)</f>
        <v>0</v>
      </c>
      <c r="V413" s="1">
        <f t="shared" si="65"/>
        <v>10000000000</v>
      </c>
      <c r="W413" s="1">
        <f t="shared" si="66"/>
        <v>9</v>
      </c>
    </row>
    <row r="414" spans="2:23" ht="14.25" customHeight="1" x14ac:dyDescent="0.3">
      <c r="B414" s="65" t="str">
        <f t="shared" si="58"/>
        <v/>
      </c>
      <c r="C414" s="70" t="str">
        <f t="shared" si="59"/>
        <v/>
      </c>
      <c r="D414" s="74" t="str">
        <f t="shared" si="60"/>
        <v/>
      </c>
      <c r="F414" s="65" t="str">
        <f t="shared" si="61"/>
        <v/>
      </c>
      <c r="G414" s="68" t="str">
        <f t="shared" si="62"/>
        <v/>
      </c>
      <c r="H414" s="68" t="str">
        <f t="shared" si="63"/>
        <v/>
      </c>
      <c r="I414" s="68" t="str">
        <f t="shared" si="67"/>
        <v/>
      </c>
      <c r="M414" s="1">
        <v>377</v>
      </c>
      <c r="N414" s="1" t="str">
        <f>IF($T414=0,"",INDEX(TAHSILAT!$E$7:$E$2503,$T414))</f>
        <v/>
      </c>
      <c r="O414" s="1" t="str">
        <f>IF($N414="","",$C$36&amp;" – müşteriden tahsilat: "&amp;INDEX(TAHSILAT!$N$7:$N$2503,$T414)&amp;IF(INDEX(TAHSILAT!$J$7:$J$2503,$T414)="",""," – "&amp;INDEX(TAHSILAT!$J$7:$J$2503,$T414)))</f>
        <v/>
      </c>
      <c r="P414" s="1" t="str">
        <f t="shared" si="68"/>
        <v/>
      </c>
      <c r="Q414" s="1">
        <f>IF($N414="",0,INDEX(TAHSILAT!$F$7:$F$2503,$T414))</f>
        <v>0</v>
      </c>
      <c r="R414" s="1">
        <v>0</v>
      </c>
      <c r="S414" s="1">
        <f t="shared" si="64"/>
        <v>10000000000</v>
      </c>
      <c r="T414" s="1">
        <f>IFERROR(MATCH($C$36&amp;"|341",TAHSILAT!$U$7:$U$2503,0),0)</f>
        <v>0</v>
      </c>
      <c r="V414" s="1">
        <f t="shared" si="65"/>
        <v>10000000000</v>
      </c>
      <c r="W414" s="1">
        <f t="shared" si="66"/>
        <v>9</v>
      </c>
    </row>
    <row r="415" spans="2:23" ht="14.25" customHeight="1" x14ac:dyDescent="0.3">
      <c r="B415" s="65" t="str">
        <f t="shared" si="58"/>
        <v/>
      </c>
      <c r="C415" s="70" t="str">
        <f t="shared" si="59"/>
        <v/>
      </c>
      <c r="D415" s="74" t="str">
        <f t="shared" si="60"/>
        <v/>
      </c>
      <c r="F415" s="65" t="str">
        <f t="shared" si="61"/>
        <v/>
      </c>
      <c r="G415" s="68" t="str">
        <f t="shared" si="62"/>
        <v/>
      </c>
      <c r="H415" s="68" t="str">
        <f t="shared" si="63"/>
        <v/>
      </c>
      <c r="I415" s="68" t="str">
        <f t="shared" si="67"/>
        <v/>
      </c>
      <c r="M415" s="1">
        <v>378</v>
      </c>
      <c r="N415" s="1" t="str">
        <f>IF($T415=0,"",INDEX(TAHSILAT!$E$7:$E$2503,$T415))</f>
        <v/>
      </c>
      <c r="O415" s="1" t="str">
        <f>IF($N415="","",$C$36&amp;" – müşteriden tahsilat: "&amp;INDEX(TAHSILAT!$N$7:$N$2503,$T415)&amp;IF(INDEX(TAHSILAT!$J$7:$J$2503,$T415)="",""," – "&amp;INDEX(TAHSILAT!$J$7:$J$2503,$T415)))</f>
        <v/>
      </c>
      <c r="P415" s="1" t="str">
        <f t="shared" si="68"/>
        <v/>
      </c>
      <c r="Q415" s="1">
        <f>IF($N415="",0,INDEX(TAHSILAT!$F$7:$F$2503,$T415))</f>
        <v>0</v>
      </c>
      <c r="R415" s="1">
        <v>0</v>
      </c>
      <c r="S415" s="1">
        <f t="shared" si="64"/>
        <v>10000000000</v>
      </c>
      <c r="T415" s="1">
        <f>IFERROR(MATCH($C$36&amp;"|342",TAHSILAT!$U$7:$U$2503,0),0)</f>
        <v>0</v>
      </c>
      <c r="V415" s="1">
        <f t="shared" si="65"/>
        <v>10000000000</v>
      </c>
      <c r="W415" s="1">
        <f t="shared" si="66"/>
        <v>9</v>
      </c>
    </row>
    <row r="416" spans="2:23" ht="14.25" customHeight="1" x14ac:dyDescent="0.3">
      <c r="B416" s="65" t="str">
        <f t="shared" si="58"/>
        <v/>
      </c>
      <c r="C416" s="70" t="str">
        <f t="shared" si="59"/>
        <v/>
      </c>
      <c r="D416" s="74" t="str">
        <f t="shared" si="60"/>
        <v/>
      </c>
      <c r="F416" s="65" t="str">
        <f t="shared" si="61"/>
        <v/>
      </c>
      <c r="G416" s="68" t="str">
        <f t="shared" si="62"/>
        <v/>
      </c>
      <c r="H416" s="68" t="str">
        <f t="shared" si="63"/>
        <v/>
      </c>
      <c r="I416" s="68" t="str">
        <f t="shared" si="67"/>
        <v/>
      </c>
      <c r="M416" s="1">
        <v>379</v>
      </c>
      <c r="N416" s="1" t="str">
        <f>IF($T416=0,"",INDEX(TAHSILAT!$E$7:$E$2503,$T416))</f>
        <v/>
      </c>
      <c r="O416" s="1" t="str">
        <f>IF($N416="","",$C$36&amp;" – müşteriden tahsilat: "&amp;INDEX(TAHSILAT!$N$7:$N$2503,$T416)&amp;IF(INDEX(TAHSILAT!$J$7:$J$2503,$T416)="",""," – "&amp;INDEX(TAHSILAT!$J$7:$J$2503,$T416)))</f>
        <v/>
      </c>
      <c r="P416" s="1" t="str">
        <f t="shared" si="68"/>
        <v/>
      </c>
      <c r="Q416" s="1">
        <f>IF($N416="",0,INDEX(TAHSILAT!$F$7:$F$2503,$T416))</f>
        <v>0</v>
      </c>
      <c r="R416" s="1">
        <v>0</v>
      </c>
      <c r="S416" s="1">
        <f t="shared" si="64"/>
        <v>10000000000</v>
      </c>
      <c r="T416" s="1">
        <f>IFERROR(MATCH($C$36&amp;"|343",TAHSILAT!$U$7:$U$2503,0),0)</f>
        <v>0</v>
      </c>
      <c r="V416" s="1">
        <f t="shared" si="65"/>
        <v>10000000000</v>
      </c>
      <c r="W416" s="1">
        <f t="shared" si="66"/>
        <v>9</v>
      </c>
    </row>
    <row r="417" spans="2:23" ht="14.25" customHeight="1" x14ac:dyDescent="0.3">
      <c r="B417" s="65" t="str">
        <f t="shared" si="58"/>
        <v/>
      </c>
      <c r="C417" s="70" t="str">
        <f t="shared" si="59"/>
        <v/>
      </c>
      <c r="D417" s="74" t="str">
        <f t="shared" si="60"/>
        <v/>
      </c>
      <c r="F417" s="65" t="str">
        <f t="shared" si="61"/>
        <v/>
      </c>
      <c r="G417" s="68" t="str">
        <f t="shared" si="62"/>
        <v/>
      </c>
      <c r="H417" s="68" t="str">
        <f t="shared" si="63"/>
        <v/>
      </c>
      <c r="I417" s="68" t="str">
        <f t="shared" si="67"/>
        <v/>
      </c>
      <c r="M417" s="1">
        <v>380</v>
      </c>
      <c r="N417" s="1" t="str">
        <f>IF($T417=0,"",INDEX(TAHSILAT!$E$7:$E$2503,$T417))</f>
        <v/>
      </c>
      <c r="O417" s="1" t="str">
        <f>IF($N417="","",$C$36&amp;" – müşteriden tahsilat: "&amp;INDEX(TAHSILAT!$N$7:$N$2503,$T417)&amp;IF(INDEX(TAHSILAT!$J$7:$J$2503,$T417)="",""," – "&amp;INDEX(TAHSILAT!$J$7:$J$2503,$T417)))</f>
        <v/>
      </c>
      <c r="P417" s="1" t="str">
        <f t="shared" si="68"/>
        <v/>
      </c>
      <c r="Q417" s="1">
        <f>IF($N417="",0,INDEX(TAHSILAT!$F$7:$F$2503,$T417))</f>
        <v>0</v>
      </c>
      <c r="R417" s="1">
        <v>0</v>
      </c>
      <c r="S417" s="1">
        <f t="shared" si="64"/>
        <v>10000000000</v>
      </c>
      <c r="T417" s="1">
        <f>IFERROR(MATCH($C$36&amp;"|344",TAHSILAT!$U$7:$U$2503,0),0)</f>
        <v>0</v>
      </c>
      <c r="V417" s="1">
        <f t="shared" si="65"/>
        <v>10000000000</v>
      </c>
      <c r="W417" s="1">
        <f t="shared" si="66"/>
        <v>9</v>
      </c>
    </row>
    <row r="418" spans="2:23" ht="14.25" customHeight="1" x14ac:dyDescent="0.3">
      <c r="B418" s="65" t="str">
        <f t="shared" si="58"/>
        <v/>
      </c>
      <c r="C418" s="70" t="str">
        <f t="shared" si="59"/>
        <v/>
      </c>
      <c r="D418" s="74" t="str">
        <f t="shared" si="60"/>
        <v/>
      </c>
      <c r="F418" s="65" t="str">
        <f t="shared" si="61"/>
        <v/>
      </c>
      <c r="G418" s="68" t="str">
        <f t="shared" si="62"/>
        <v/>
      </c>
      <c r="H418" s="68" t="str">
        <f t="shared" si="63"/>
        <v/>
      </c>
      <c r="I418" s="68" t="str">
        <f t="shared" si="67"/>
        <v/>
      </c>
      <c r="M418" s="1">
        <v>381</v>
      </c>
      <c r="N418" s="1" t="str">
        <f>IF($T418=0,"",INDEX(TAHSILAT!$E$7:$E$2503,$T418))</f>
        <v/>
      </c>
      <c r="O418" s="1" t="str">
        <f>IF($N418="","",$C$36&amp;" – müşteriden tahsilat: "&amp;INDEX(TAHSILAT!$N$7:$N$2503,$T418)&amp;IF(INDEX(TAHSILAT!$J$7:$J$2503,$T418)="",""," – "&amp;INDEX(TAHSILAT!$J$7:$J$2503,$T418)))</f>
        <v/>
      </c>
      <c r="P418" s="1" t="str">
        <f t="shared" si="68"/>
        <v/>
      </c>
      <c r="Q418" s="1">
        <f>IF($N418="",0,INDEX(TAHSILAT!$F$7:$F$2503,$T418))</f>
        <v>0</v>
      </c>
      <c r="R418" s="1">
        <v>0</v>
      </c>
      <c r="S418" s="1">
        <f t="shared" si="64"/>
        <v>10000000000</v>
      </c>
      <c r="T418" s="1">
        <f>IFERROR(MATCH($C$36&amp;"|345",TAHSILAT!$U$7:$U$2503,0),0)</f>
        <v>0</v>
      </c>
      <c r="V418" s="1">
        <f t="shared" si="65"/>
        <v>10000000000</v>
      </c>
      <c r="W418" s="1">
        <f t="shared" si="66"/>
        <v>9</v>
      </c>
    </row>
    <row r="419" spans="2:23" ht="14.25" customHeight="1" x14ac:dyDescent="0.3">
      <c r="B419" s="65" t="str">
        <f t="shared" si="58"/>
        <v/>
      </c>
      <c r="C419" s="70" t="str">
        <f t="shared" si="59"/>
        <v/>
      </c>
      <c r="D419" s="74" t="str">
        <f t="shared" si="60"/>
        <v/>
      </c>
      <c r="F419" s="65" t="str">
        <f t="shared" si="61"/>
        <v/>
      </c>
      <c r="G419" s="68" t="str">
        <f t="shared" si="62"/>
        <v/>
      </c>
      <c r="H419" s="68" t="str">
        <f t="shared" si="63"/>
        <v/>
      </c>
      <c r="I419" s="68" t="str">
        <f t="shared" si="67"/>
        <v/>
      </c>
      <c r="M419" s="1">
        <v>382</v>
      </c>
      <c r="N419" s="1" t="str">
        <f>IF($T419=0,"",INDEX(TAHSILAT!$E$7:$E$2503,$T419))</f>
        <v/>
      </c>
      <c r="O419" s="1" t="str">
        <f>IF($N419="","",$C$36&amp;" – müşteriden tahsilat: "&amp;INDEX(TAHSILAT!$N$7:$N$2503,$T419)&amp;IF(INDEX(TAHSILAT!$J$7:$J$2503,$T419)="",""," – "&amp;INDEX(TAHSILAT!$J$7:$J$2503,$T419)))</f>
        <v/>
      </c>
      <c r="P419" s="1" t="str">
        <f t="shared" si="68"/>
        <v/>
      </c>
      <c r="Q419" s="1">
        <f>IF($N419="",0,INDEX(TAHSILAT!$F$7:$F$2503,$T419))</f>
        <v>0</v>
      </c>
      <c r="R419" s="1">
        <v>0</v>
      </c>
      <c r="S419" s="1">
        <f t="shared" si="64"/>
        <v>10000000000</v>
      </c>
      <c r="T419" s="1">
        <f>IFERROR(MATCH($C$36&amp;"|346",TAHSILAT!$U$7:$U$2503,0),0)</f>
        <v>0</v>
      </c>
      <c r="V419" s="1">
        <f t="shared" si="65"/>
        <v>10000000000</v>
      </c>
      <c r="W419" s="1">
        <f t="shared" si="66"/>
        <v>9</v>
      </c>
    </row>
    <row r="420" spans="2:23" ht="14.25" customHeight="1" x14ac:dyDescent="0.3">
      <c r="B420" s="65" t="str">
        <f t="shared" si="58"/>
        <v/>
      </c>
      <c r="C420" s="70" t="str">
        <f t="shared" si="59"/>
        <v/>
      </c>
      <c r="D420" s="74" t="str">
        <f t="shared" si="60"/>
        <v/>
      </c>
      <c r="F420" s="65" t="str">
        <f t="shared" si="61"/>
        <v/>
      </c>
      <c r="G420" s="68" t="str">
        <f t="shared" si="62"/>
        <v/>
      </c>
      <c r="H420" s="68" t="str">
        <f t="shared" si="63"/>
        <v/>
      </c>
      <c r="I420" s="68" t="str">
        <f t="shared" si="67"/>
        <v/>
      </c>
      <c r="M420" s="1">
        <v>383</v>
      </c>
      <c r="N420" s="1" t="str">
        <f>IF($T420=0,"",INDEX(TAHSILAT!$E$7:$E$2503,$T420))</f>
        <v/>
      </c>
      <c r="O420" s="1" t="str">
        <f>IF($N420="","",$C$36&amp;" – müşteriden tahsilat: "&amp;INDEX(TAHSILAT!$N$7:$N$2503,$T420)&amp;IF(INDEX(TAHSILAT!$J$7:$J$2503,$T420)="",""," – "&amp;INDEX(TAHSILAT!$J$7:$J$2503,$T420)))</f>
        <v/>
      </c>
      <c r="P420" s="1" t="str">
        <f t="shared" si="68"/>
        <v/>
      </c>
      <c r="Q420" s="1">
        <f>IF($N420="",0,INDEX(TAHSILAT!$F$7:$F$2503,$T420))</f>
        <v>0</v>
      </c>
      <c r="R420" s="1">
        <v>0</v>
      </c>
      <c r="S420" s="1">
        <f t="shared" si="64"/>
        <v>10000000000</v>
      </c>
      <c r="T420" s="1">
        <f>IFERROR(MATCH($C$36&amp;"|347",TAHSILAT!$U$7:$U$2503,0),0)</f>
        <v>0</v>
      </c>
      <c r="V420" s="1">
        <f t="shared" si="65"/>
        <v>10000000000</v>
      </c>
      <c r="W420" s="1">
        <f t="shared" si="66"/>
        <v>9</v>
      </c>
    </row>
    <row r="421" spans="2:23" ht="14.25" customHeight="1" x14ac:dyDescent="0.3">
      <c r="B421" s="65" t="str">
        <f t="shared" si="58"/>
        <v/>
      </c>
      <c r="C421" s="70" t="str">
        <f t="shared" si="59"/>
        <v/>
      </c>
      <c r="D421" s="74" t="str">
        <f t="shared" si="60"/>
        <v/>
      </c>
      <c r="F421" s="65" t="str">
        <f t="shared" si="61"/>
        <v/>
      </c>
      <c r="G421" s="68" t="str">
        <f t="shared" si="62"/>
        <v/>
      </c>
      <c r="H421" s="68" t="str">
        <f t="shared" si="63"/>
        <v/>
      </c>
      <c r="I421" s="68" t="str">
        <f t="shared" si="67"/>
        <v/>
      </c>
      <c r="M421" s="1">
        <v>384</v>
      </c>
      <c r="N421" s="1" t="str">
        <f>IF($T421=0,"",INDEX(TAHSILAT!$E$7:$E$2503,$T421))</f>
        <v/>
      </c>
      <c r="O421" s="1" t="str">
        <f>IF($N421="","",$C$36&amp;" – müşteriden tahsilat: "&amp;INDEX(TAHSILAT!$N$7:$N$2503,$T421)&amp;IF(INDEX(TAHSILAT!$J$7:$J$2503,$T421)="",""," – "&amp;INDEX(TAHSILAT!$J$7:$J$2503,$T421)))</f>
        <v/>
      </c>
      <c r="P421" s="1" t="str">
        <f t="shared" si="68"/>
        <v/>
      </c>
      <c r="Q421" s="1">
        <f>IF($N421="",0,INDEX(TAHSILAT!$F$7:$F$2503,$T421))</f>
        <v>0</v>
      </c>
      <c r="R421" s="1">
        <v>0</v>
      </c>
      <c r="S421" s="1">
        <f t="shared" si="64"/>
        <v>10000000000</v>
      </c>
      <c r="T421" s="1">
        <f>IFERROR(MATCH($C$36&amp;"|348",TAHSILAT!$U$7:$U$2503,0),0)</f>
        <v>0</v>
      </c>
      <c r="V421" s="1">
        <f t="shared" si="65"/>
        <v>10000000000</v>
      </c>
      <c r="W421" s="1">
        <f t="shared" si="66"/>
        <v>9</v>
      </c>
    </row>
    <row r="422" spans="2:23" ht="14.25" customHeight="1" x14ac:dyDescent="0.3">
      <c r="B422" s="65" t="str">
        <f t="shared" ref="B422:B485" si="69">IF($C422="","",ROW()-37)</f>
        <v/>
      </c>
      <c r="C422" s="70" t="str">
        <f t="shared" ref="C422:C485" si="70">IF($W422="","",IF(INDEX($N$38:$N$953,$W422)="","",INDEX($N$38:$N$953,$W422)))</f>
        <v/>
      </c>
      <c r="D422" s="74" t="str">
        <f t="shared" ref="D422:D485" si="71">IF($C422="","",INDEX($O$38:$O$953,$W422))</f>
        <v/>
      </c>
      <c r="F422" s="65" t="str">
        <f t="shared" ref="F422:F485" si="72">IF($C422="","",INDEX($P$38:$P$953,$W422))</f>
        <v/>
      </c>
      <c r="G422" s="68" t="str">
        <f t="shared" ref="G422:G485" si="73">IF($C422="","",INDEX($Q$38:$Q$953,$W422))</f>
        <v/>
      </c>
      <c r="H422" s="68" t="str">
        <f t="shared" ref="H422:H485" si="74">IF($C422="","",INDEX($R$38:$R$953,$W422))</f>
        <v/>
      </c>
      <c r="I422" s="68" t="str">
        <f t="shared" si="67"/>
        <v/>
      </c>
      <c r="M422" s="1">
        <v>385</v>
      </c>
      <c r="N422" s="1" t="str">
        <f>IF($T422=0,"",INDEX(TAHSILAT!$E$7:$E$2503,$T422))</f>
        <v/>
      </c>
      <c r="O422" s="1" t="str">
        <f>IF($N422="","",$C$36&amp;" – müşteriden tahsilat: "&amp;INDEX(TAHSILAT!$N$7:$N$2503,$T422)&amp;IF(INDEX(TAHSILAT!$J$7:$J$2503,$T422)="",""," – "&amp;INDEX(TAHSILAT!$J$7:$J$2503,$T422)))</f>
        <v/>
      </c>
      <c r="P422" s="1" t="str">
        <f t="shared" si="68"/>
        <v/>
      </c>
      <c r="Q422" s="1">
        <f>IF($N422="",0,INDEX(TAHSILAT!$F$7:$F$2503,$T422))</f>
        <v>0</v>
      </c>
      <c r="R422" s="1">
        <v>0</v>
      </c>
      <c r="S422" s="1">
        <f t="shared" ref="S422:S485" si="75">IF($N422="",10000000000,$N422*100000+$M422)</f>
        <v>10000000000</v>
      </c>
      <c r="T422" s="1">
        <f>IFERROR(MATCH($C$36&amp;"|349",TAHSILAT!$U$7:$U$2503,0),0)</f>
        <v>0</v>
      </c>
      <c r="V422" s="1">
        <f t="shared" ref="V422:V485" si="76">IFERROR(SMALL($S$38:$S$953,ROW()-37),"")</f>
        <v>10000000000</v>
      </c>
      <c r="W422" s="1">
        <f t="shared" ref="W422:W485" si="77">IFERROR(MATCH($V422,$S$38:$S$953,0),"")</f>
        <v>9</v>
      </c>
    </row>
    <row r="423" spans="2:23" ht="14.25" customHeight="1" x14ac:dyDescent="0.3">
      <c r="B423" s="65" t="str">
        <f t="shared" si="69"/>
        <v/>
      </c>
      <c r="C423" s="70" t="str">
        <f t="shared" si="70"/>
        <v/>
      </c>
      <c r="D423" s="74" t="str">
        <f t="shared" si="71"/>
        <v/>
      </c>
      <c r="F423" s="65" t="str">
        <f t="shared" si="72"/>
        <v/>
      </c>
      <c r="G423" s="68" t="str">
        <f t="shared" si="73"/>
        <v/>
      </c>
      <c r="H423" s="68" t="str">
        <f t="shared" si="74"/>
        <v/>
      </c>
      <c r="I423" s="68" t="str">
        <f t="shared" ref="I423:I486" si="78">IF($C423="","",N($I422)+$G423-$H423)</f>
        <v/>
      </c>
      <c r="M423" s="1">
        <v>386</v>
      </c>
      <c r="N423" s="1" t="str">
        <f>IF($T423=0,"",INDEX(TAHSILAT!$E$7:$E$2503,$T423))</f>
        <v/>
      </c>
      <c r="O423" s="1" t="str">
        <f>IF($N423="","",$C$36&amp;" – müşteriden tahsilat: "&amp;INDEX(TAHSILAT!$N$7:$N$2503,$T423)&amp;IF(INDEX(TAHSILAT!$J$7:$J$2503,$T423)="",""," – "&amp;INDEX(TAHSILAT!$J$7:$J$2503,$T423)))</f>
        <v/>
      </c>
      <c r="P423" s="1" t="str">
        <f t="shared" si="68"/>
        <v/>
      </c>
      <c r="Q423" s="1">
        <f>IF($N423="",0,INDEX(TAHSILAT!$F$7:$F$2503,$T423))</f>
        <v>0</v>
      </c>
      <c r="R423" s="1">
        <v>0</v>
      </c>
      <c r="S423" s="1">
        <f t="shared" si="75"/>
        <v>10000000000</v>
      </c>
      <c r="T423" s="1">
        <f>IFERROR(MATCH($C$36&amp;"|350",TAHSILAT!$U$7:$U$2503,0),0)</f>
        <v>0</v>
      </c>
      <c r="V423" s="1">
        <f t="shared" si="76"/>
        <v>10000000000</v>
      </c>
      <c r="W423" s="1">
        <f t="shared" si="77"/>
        <v>9</v>
      </c>
    </row>
    <row r="424" spans="2:23" ht="14.25" customHeight="1" x14ac:dyDescent="0.3">
      <c r="B424" s="65" t="str">
        <f t="shared" si="69"/>
        <v/>
      </c>
      <c r="C424" s="70" t="str">
        <f t="shared" si="70"/>
        <v/>
      </c>
      <c r="D424" s="74" t="str">
        <f t="shared" si="71"/>
        <v/>
      </c>
      <c r="F424" s="65" t="str">
        <f t="shared" si="72"/>
        <v/>
      </c>
      <c r="G424" s="68" t="str">
        <f t="shared" si="73"/>
        <v/>
      </c>
      <c r="H424" s="68" t="str">
        <f t="shared" si="74"/>
        <v/>
      </c>
      <c r="I424" s="68" t="str">
        <f t="shared" si="78"/>
        <v/>
      </c>
      <c r="M424" s="1">
        <v>387</v>
      </c>
      <c r="N424" s="1" t="str">
        <f>IF($T424=0,"",INDEX(TAHSILAT!$E$7:$E$2503,$T424))</f>
        <v/>
      </c>
      <c r="O424" s="1" t="str">
        <f>IF($N424="","",$C$36&amp;" – müşteriden tahsilat: "&amp;INDEX(TAHSILAT!$N$7:$N$2503,$T424)&amp;IF(INDEX(TAHSILAT!$J$7:$J$2503,$T424)="",""," – "&amp;INDEX(TAHSILAT!$J$7:$J$2503,$T424)))</f>
        <v/>
      </c>
      <c r="P424" s="1" t="str">
        <f t="shared" si="68"/>
        <v/>
      </c>
      <c r="Q424" s="1">
        <f>IF($N424="",0,INDEX(TAHSILAT!$F$7:$F$2503,$T424))</f>
        <v>0</v>
      </c>
      <c r="R424" s="1">
        <v>0</v>
      </c>
      <c r="S424" s="1">
        <f t="shared" si="75"/>
        <v>10000000000</v>
      </c>
      <c r="T424" s="1">
        <f>IFERROR(MATCH($C$36&amp;"|351",TAHSILAT!$U$7:$U$2503,0),0)</f>
        <v>0</v>
      </c>
      <c r="V424" s="1">
        <f t="shared" si="76"/>
        <v>10000000000</v>
      </c>
      <c r="W424" s="1">
        <f t="shared" si="77"/>
        <v>9</v>
      </c>
    </row>
    <row r="425" spans="2:23" ht="14.25" customHeight="1" x14ac:dyDescent="0.3">
      <c r="B425" s="65" t="str">
        <f t="shared" si="69"/>
        <v/>
      </c>
      <c r="C425" s="70" t="str">
        <f t="shared" si="70"/>
        <v/>
      </c>
      <c r="D425" s="74" t="str">
        <f t="shared" si="71"/>
        <v/>
      </c>
      <c r="F425" s="65" t="str">
        <f t="shared" si="72"/>
        <v/>
      </c>
      <c r="G425" s="68" t="str">
        <f t="shared" si="73"/>
        <v/>
      </c>
      <c r="H425" s="68" t="str">
        <f t="shared" si="74"/>
        <v/>
      </c>
      <c r="I425" s="68" t="str">
        <f t="shared" si="78"/>
        <v/>
      </c>
      <c r="M425" s="1">
        <v>388</v>
      </c>
      <c r="N425" s="1" t="str">
        <f>IF($T425=0,"",INDEX(TAHSILAT!$E$7:$E$2503,$T425))</f>
        <v/>
      </c>
      <c r="O425" s="1" t="str">
        <f>IF($N425="","",$C$36&amp;" – müşteriden tahsilat: "&amp;INDEX(TAHSILAT!$N$7:$N$2503,$T425)&amp;IF(INDEX(TAHSILAT!$J$7:$J$2503,$T425)="",""," – "&amp;INDEX(TAHSILAT!$J$7:$J$2503,$T425)))</f>
        <v/>
      </c>
      <c r="P425" s="1" t="str">
        <f t="shared" si="68"/>
        <v/>
      </c>
      <c r="Q425" s="1">
        <f>IF($N425="",0,INDEX(TAHSILAT!$F$7:$F$2503,$T425))</f>
        <v>0</v>
      </c>
      <c r="R425" s="1">
        <v>0</v>
      </c>
      <c r="S425" s="1">
        <f t="shared" si="75"/>
        <v>10000000000</v>
      </c>
      <c r="T425" s="1">
        <f>IFERROR(MATCH($C$36&amp;"|352",TAHSILAT!$U$7:$U$2503,0),0)</f>
        <v>0</v>
      </c>
      <c r="V425" s="1">
        <f t="shared" si="76"/>
        <v>10000000000</v>
      </c>
      <c r="W425" s="1">
        <f t="shared" si="77"/>
        <v>9</v>
      </c>
    </row>
    <row r="426" spans="2:23" ht="14.25" customHeight="1" x14ac:dyDescent="0.3">
      <c r="B426" s="65" t="str">
        <f t="shared" si="69"/>
        <v/>
      </c>
      <c r="C426" s="70" t="str">
        <f t="shared" si="70"/>
        <v/>
      </c>
      <c r="D426" s="74" t="str">
        <f t="shared" si="71"/>
        <v/>
      </c>
      <c r="F426" s="65" t="str">
        <f t="shared" si="72"/>
        <v/>
      </c>
      <c r="G426" s="68" t="str">
        <f t="shared" si="73"/>
        <v/>
      </c>
      <c r="H426" s="68" t="str">
        <f t="shared" si="74"/>
        <v/>
      </c>
      <c r="I426" s="68" t="str">
        <f t="shared" si="78"/>
        <v/>
      </c>
      <c r="M426" s="1">
        <v>389</v>
      </c>
      <c r="N426" s="1" t="str">
        <f>IF($T426=0,"",INDEX(TAHSILAT!$E$7:$E$2503,$T426))</f>
        <v/>
      </c>
      <c r="O426" s="1" t="str">
        <f>IF($N426="","",$C$36&amp;" – müşteriden tahsilat: "&amp;INDEX(TAHSILAT!$N$7:$N$2503,$T426)&amp;IF(INDEX(TAHSILAT!$J$7:$J$2503,$T426)="",""," – "&amp;INDEX(TAHSILAT!$J$7:$J$2503,$T426)))</f>
        <v/>
      </c>
      <c r="P426" s="1" t="str">
        <f t="shared" si="68"/>
        <v/>
      </c>
      <c r="Q426" s="1">
        <f>IF($N426="",0,INDEX(TAHSILAT!$F$7:$F$2503,$T426))</f>
        <v>0</v>
      </c>
      <c r="R426" s="1">
        <v>0</v>
      </c>
      <c r="S426" s="1">
        <f t="shared" si="75"/>
        <v>10000000000</v>
      </c>
      <c r="T426" s="1">
        <f>IFERROR(MATCH($C$36&amp;"|353",TAHSILAT!$U$7:$U$2503,0),0)</f>
        <v>0</v>
      </c>
      <c r="V426" s="1">
        <f t="shared" si="76"/>
        <v>10000000000</v>
      </c>
      <c r="W426" s="1">
        <f t="shared" si="77"/>
        <v>9</v>
      </c>
    </row>
    <row r="427" spans="2:23" ht="14.25" customHeight="1" x14ac:dyDescent="0.3">
      <c r="B427" s="65" t="str">
        <f t="shared" si="69"/>
        <v/>
      </c>
      <c r="C427" s="70" t="str">
        <f t="shared" si="70"/>
        <v/>
      </c>
      <c r="D427" s="74" t="str">
        <f t="shared" si="71"/>
        <v/>
      </c>
      <c r="F427" s="65" t="str">
        <f t="shared" si="72"/>
        <v/>
      </c>
      <c r="G427" s="68" t="str">
        <f t="shared" si="73"/>
        <v/>
      </c>
      <c r="H427" s="68" t="str">
        <f t="shared" si="74"/>
        <v/>
      </c>
      <c r="I427" s="68" t="str">
        <f t="shared" si="78"/>
        <v/>
      </c>
      <c r="M427" s="1">
        <v>390</v>
      </c>
      <c r="N427" s="1" t="str">
        <f>IF($T427=0,"",INDEX(TAHSILAT!$E$7:$E$2503,$T427))</f>
        <v/>
      </c>
      <c r="O427" s="1" t="str">
        <f>IF($N427="","",$C$36&amp;" – müşteriden tahsilat: "&amp;INDEX(TAHSILAT!$N$7:$N$2503,$T427)&amp;IF(INDEX(TAHSILAT!$J$7:$J$2503,$T427)="",""," – "&amp;INDEX(TAHSILAT!$J$7:$J$2503,$T427)))</f>
        <v/>
      </c>
      <c r="P427" s="1" t="str">
        <f t="shared" si="68"/>
        <v/>
      </c>
      <c r="Q427" s="1">
        <f>IF($N427="",0,INDEX(TAHSILAT!$F$7:$F$2503,$T427))</f>
        <v>0</v>
      </c>
      <c r="R427" s="1">
        <v>0</v>
      </c>
      <c r="S427" s="1">
        <f t="shared" si="75"/>
        <v>10000000000</v>
      </c>
      <c r="T427" s="1">
        <f>IFERROR(MATCH($C$36&amp;"|354",TAHSILAT!$U$7:$U$2503,0),0)</f>
        <v>0</v>
      </c>
      <c r="V427" s="1">
        <f t="shared" si="76"/>
        <v>10000000000</v>
      </c>
      <c r="W427" s="1">
        <f t="shared" si="77"/>
        <v>9</v>
      </c>
    </row>
    <row r="428" spans="2:23" ht="14.25" customHeight="1" x14ac:dyDescent="0.3">
      <c r="B428" s="65" t="str">
        <f t="shared" si="69"/>
        <v/>
      </c>
      <c r="C428" s="70" t="str">
        <f t="shared" si="70"/>
        <v/>
      </c>
      <c r="D428" s="74" t="str">
        <f t="shared" si="71"/>
        <v/>
      </c>
      <c r="F428" s="65" t="str">
        <f t="shared" si="72"/>
        <v/>
      </c>
      <c r="G428" s="68" t="str">
        <f t="shared" si="73"/>
        <v/>
      </c>
      <c r="H428" s="68" t="str">
        <f t="shared" si="74"/>
        <v/>
      </c>
      <c r="I428" s="68" t="str">
        <f t="shared" si="78"/>
        <v/>
      </c>
      <c r="M428" s="1">
        <v>391</v>
      </c>
      <c r="N428" s="1" t="str">
        <f>IF($T428=0,"",INDEX(TAHSILAT!$E$7:$E$2503,$T428))</f>
        <v/>
      </c>
      <c r="O428" s="1" t="str">
        <f>IF($N428="","",$C$36&amp;" – müşteriden tahsilat: "&amp;INDEX(TAHSILAT!$N$7:$N$2503,$T428)&amp;IF(INDEX(TAHSILAT!$J$7:$J$2503,$T428)="",""," – "&amp;INDEX(TAHSILAT!$J$7:$J$2503,$T428)))</f>
        <v/>
      </c>
      <c r="P428" s="1" t="str">
        <f t="shared" si="68"/>
        <v/>
      </c>
      <c r="Q428" s="1">
        <f>IF($N428="",0,INDEX(TAHSILAT!$F$7:$F$2503,$T428))</f>
        <v>0</v>
      </c>
      <c r="R428" s="1">
        <v>0</v>
      </c>
      <c r="S428" s="1">
        <f t="shared" si="75"/>
        <v>10000000000</v>
      </c>
      <c r="T428" s="1">
        <f>IFERROR(MATCH($C$36&amp;"|355",TAHSILAT!$U$7:$U$2503,0),0)</f>
        <v>0</v>
      </c>
      <c r="V428" s="1">
        <f t="shared" si="76"/>
        <v>10000000000</v>
      </c>
      <c r="W428" s="1">
        <f t="shared" si="77"/>
        <v>9</v>
      </c>
    </row>
    <row r="429" spans="2:23" ht="14.25" customHeight="1" x14ac:dyDescent="0.3">
      <c r="B429" s="65" t="str">
        <f t="shared" si="69"/>
        <v/>
      </c>
      <c r="C429" s="70" t="str">
        <f t="shared" si="70"/>
        <v/>
      </c>
      <c r="D429" s="74" t="str">
        <f t="shared" si="71"/>
        <v/>
      </c>
      <c r="F429" s="65" t="str">
        <f t="shared" si="72"/>
        <v/>
      </c>
      <c r="G429" s="68" t="str">
        <f t="shared" si="73"/>
        <v/>
      </c>
      <c r="H429" s="68" t="str">
        <f t="shared" si="74"/>
        <v/>
      </c>
      <c r="I429" s="68" t="str">
        <f t="shared" si="78"/>
        <v/>
      </c>
      <c r="M429" s="1">
        <v>392</v>
      </c>
      <c r="N429" s="1" t="str">
        <f>IF($T429=0,"",INDEX(TAHSILAT!$E$7:$E$2503,$T429))</f>
        <v/>
      </c>
      <c r="O429" s="1" t="str">
        <f>IF($N429="","",$C$36&amp;" – müşteriden tahsilat: "&amp;INDEX(TAHSILAT!$N$7:$N$2503,$T429)&amp;IF(INDEX(TAHSILAT!$J$7:$J$2503,$T429)="",""," – "&amp;INDEX(TAHSILAT!$J$7:$J$2503,$T429)))</f>
        <v/>
      </c>
      <c r="P429" s="1" t="str">
        <f t="shared" si="68"/>
        <v/>
      </c>
      <c r="Q429" s="1">
        <f>IF($N429="",0,INDEX(TAHSILAT!$F$7:$F$2503,$T429))</f>
        <v>0</v>
      </c>
      <c r="R429" s="1">
        <v>0</v>
      </c>
      <c r="S429" s="1">
        <f t="shared" si="75"/>
        <v>10000000000</v>
      </c>
      <c r="T429" s="1">
        <f>IFERROR(MATCH($C$36&amp;"|356",TAHSILAT!$U$7:$U$2503,0),0)</f>
        <v>0</v>
      </c>
      <c r="V429" s="1">
        <f t="shared" si="76"/>
        <v>10000000000</v>
      </c>
      <c r="W429" s="1">
        <f t="shared" si="77"/>
        <v>9</v>
      </c>
    </row>
    <row r="430" spans="2:23" ht="14.25" customHeight="1" x14ac:dyDescent="0.3">
      <c r="B430" s="65" t="str">
        <f t="shared" si="69"/>
        <v/>
      </c>
      <c r="C430" s="70" t="str">
        <f t="shared" si="70"/>
        <v/>
      </c>
      <c r="D430" s="74" t="str">
        <f t="shared" si="71"/>
        <v/>
      </c>
      <c r="F430" s="65" t="str">
        <f t="shared" si="72"/>
        <v/>
      </c>
      <c r="G430" s="68" t="str">
        <f t="shared" si="73"/>
        <v/>
      </c>
      <c r="H430" s="68" t="str">
        <f t="shared" si="74"/>
        <v/>
      </c>
      <c r="I430" s="68" t="str">
        <f t="shared" si="78"/>
        <v/>
      </c>
      <c r="M430" s="1">
        <v>393</v>
      </c>
      <c r="N430" s="1" t="str">
        <f>IF($T430=0,"",INDEX(TAHSILAT!$E$7:$E$2503,$T430))</f>
        <v/>
      </c>
      <c r="O430" s="1" t="str">
        <f>IF($N430="","",$C$36&amp;" – müşteriden tahsilat: "&amp;INDEX(TAHSILAT!$N$7:$N$2503,$T430)&amp;IF(INDEX(TAHSILAT!$J$7:$J$2503,$T430)="",""," – "&amp;INDEX(TAHSILAT!$J$7:$J$2503,$T430)))</f>
        <v/>
      </c>
      <c r="P430" s="1" t="str">
        <f t="shared" si="68"/>
        <v/>
      </c>
      <c r="Q430" s="1">
        <f>IF($N430="",0,INDEX(TAHSILAT!$F$7:$F$2503,$T430))</f>
        <v>0</v>
      </c>
      <c r="R430" s="1">
        <v>0</v>
      </c>
      <c r="S430" s="1">
        <f t="shared" si="75"/>
        <v>10000000000</v>
      </c>
      <c r="T430" s="1">
        <f>IFERROR(MATCH($C$36&amp;"|357",TAHSILAT!$U$7:$U$2503,0),0)</f>
        <v>0</v>
      </c>
      <c r="V430" s="1">
        <f t="shared" si="76"/>
        <v>10000000000</v>
      </c>
      <c r="W430" s="1">
        <f t="shared" si="77"/>
        <v>9</v>
      </c>
    </row>
    <row r="431" spans="2:23" ht="14.25" customHeight="1" x14ac:dyDescent="0.3">
      <c r="B431" s="65" t="str">
        <f t="shared" si="69"/>
        <v/>
      </c>
      <c r="C431" s="70" t="str">
        <f t="shared" si="70"/>
        <v/>
      </c>
      <c r="D431" s="74" t="str">
        <f t="shared" si="71"/>
        <v/>
      </c>
      <c r="F431" s="65" t="str">
        <f t="shared" si="72"/>
        <v/>
      </c>
      <c r="G431" s="68" t="str">
        <f t="shared" si="73"/>
        <v/>
      </c>
      <c r="H431" s="68" t="str">
        <f t="shared" si="74"/>
        <v/>
      </c>
      <c r="I431" s="68" t="str">
        <f t="shared" si="78"/>
        <v/>
      </c>
      <c r="M431" s="1">
        <v>394</v>
      </c>
      <c r="N431" s="1" t="str">
        <f>IF($T431=0,"",INDEX(TAHSILAT!$E$7:$E$2503,$T431))</f>
        <v/>
      </c>
      <c r="O431" s="1" t="str">
        <f>IF($N431="","",$C$36&amp;" – müşteriden tahsilat: "&amp;INDEX(TAHSILAT!$N$7:$N$2503,$T431)&amp;IF(INDEX(TAHSILAT!$J$7:$J$2503,$T431)="",""," – "&amp;INDEX(TAHSILAT!$J$7:$J$2503,$T431)))</f>
        <v/>
      </c>
      <c r="P431" s="1" t="str">
        <f t="shared" si="68"/>
        <v/>
      </c>
      <c r="Q431" s="1">
        <f>IF($N431="",0,INDEX(TAHSILAT!$F$7:$F$2503,$T431))</f>
        <v>0</v>
      </c>
      <c r="R431" s="1">
        <v>0</v>
      </c>
      <c r="S431" s="1">
        <f t="shared" si="75"/>
        <v>10000000000</v>
      </c>
      <c r="T431" s="1">
        <f>IFERROR(MATCH($C$36&amp;"|358",TAHSILAT!$U$7:$U$2503,0),0)</f>
        <v>0</v>
      </c>
      <c r="V431" s="1">
        <f t="shared" si="76"/>
        <v>10000000000</v>
      </c>
      <c r="W431" s="1">
        <f t="shared" si="77"/>
        <v>9</v>
      </c>
    </row>
    <row r="432" spans="2:23" ht="14.25" customHeight="1" x14ac:dyDescent="0.3">
      <c r="B432" s="65" t="str">
        <f t="shared" si="69"/>
        <v/>
      </c>
      <c r="C432" s="70" t="str">
        <f t="shared" si="70"/>
        <v/>
      </c>
      <c r="D432" s="74" t="str">
        <f t="shared" si="71"/>
        <v/>
      </c>
      <c r="F432" s="65" t="str">
        <f t="shared" si="72"/>
        <v/>
      </c>
      <c r="G432" s="68" t="str">
        <f t="shared" si="73"/>
        <v/>
      </c>
      <c r="H432" s="68" t="str">
        <f t="shared" si="74"/>
        <v/>
      </c>
      <c r="I432" s="68" t="str">
        <f t="shared" si="78"/>
        <v/>
      </c>
      <c r="M432" s="1">
        <v>395</v>
      </c>
      <c r="N432" s="1" t="str">
        <f>IF($T432=0,"",INDEX(TAHSILAT!$E$7:$E$2503,$T432))</f>
        <v/>
      </c>
      <c r="O432" s="1" t="str">
        <f>IF($N432="","",$C$36&amp;" – müşteriden tahsilat: "&amp;INDEX(TAHSILAT!$N$7:$N$2503,$T432)&amp;IF(INDEX(TAHSILAT!$J$7:$J$2503,$T432)="",""," – "&amp;INDEX(TAHSILAT!$J$7:$J$2503,$T432)))</f>
        <v/>
      </c>
      <c r="P432" s="1" t="str">
        <f t="shared" si="68"/>
        <v/>
      </c>
      <c r="Q432" s="1">
        <f>IF($N432="",0,INDEX(TAHSILAT!$F$7:$F$2503,$T432))</f>
        <v>0</v>
      </c>
      <c r="R432" s="1">
        <v>0</v>
      </c>
      <c r="S432" s="1">
        <f t="shared" si="75"/>
        <v>10000000000</v>
      </c>
      <c r="T432" s="1">
        <f>IFERROR(MATCH($C$36&amp;"|359",TAHSILAT!$U$7:$U$2503,0),0)</f>
        <v>0</v>
      </c>
      <c r="V432" s="1">
        <f t="shared" si="76"/>
        <v>10000000000</v>
      </c>
      <c r="W432" s="1">
        <f t="shared" si="77"/>
        <v>9</v>
      </c>
    </row>
    <row r="433" spans="2:23" ht="14.25" customHeight="1" x14ac:dyDescent="0.3">
      <c r="B433" s="65" t="str">
        <f t="shared" si="69"/>
        <v/>
      </c>
      <c r="C433" s="70" t="str">
        <f t="shared" si="70"/>
        <v/>
      </c>
      <c r="D433" s="74" t="str">
        <f t="shared" si="71"/>
        <v/>
      </c>
      <c r="F433" s="65" t="str">
        <f t="shared" si="72"/>
        <v/>
      </c>
      <c r="G433" s="68" t="str">
        <f t="shared" si="73"/>
        <v/>
      </c>
      <c r="H433" s="68" t="str">
        <f t="shared" si="74"/>
        <v/>
      </c>
      <c r="I433" s="68" t="str">
        <f t="shared" si="78"/>
        <v/>
      </c>
      <c r="M433" s="1">
        <v>396</v>
      </c>
      <c r="N433" s="1" t="str">
        <f>IF($T433=0,"",INDEX(TAHSILAT!$E$7:$E$2503,$T433))</f>
        <v/>
      </c>
      <c r="O433" s="1" t="str">
        <f>IF($N433="","",$C$36&amp;" – müşteriden tahsilat: "&amp;INDEX(TAHSILAT!$N$7:$N$2503,$T433)&amp;IF(INDEX(TAHSILAT!$J$7:$J$2503,$T433)="",""," – "&amp;INDEX(TAHSILAT!$J$7:$J$2503,$T433)))</f>
        <v/>
      </c>
      <c r="P433" s="1" t="str">
        <f t="shared" si="68"/>
        <v/>
      </c>
      <c r="Q433" s="1">
        <f>IF($N433="",0,INDEX(TAHSILAT!$F$7:$F$2503,$T433))</f>
        <v>0</v>
      </c>
      <c r="R433" s="1">
        <v>0</v>
      </c>
      <c r="S433" s="1">
        <f t="shared" si="75"/>
        <v>10000000000</v>
      </c>
      <c r="T433" s="1">
        <f>IFERROR(MATCH($C$36&amp;"|360",TAHSILAT!$U$7:$U$2503,0),0)</f>
        <v>0</v>
      </c>
      <c r="V433" s="1">
        <f t="shared" si="76"/>
        <v>10000000000</v>
      </c>
      <c r="W433" s="1">
        <f t="shared" si="77"/>
        <v>9</v>
      </c>
    </row>
    <row r="434" spans="2:23" ht="14.25" customHeight="1" x14ac:dyDescent="0.3">
      <c r="B434" s="65" t="str">
        <f t="shared" si="69"/>
        <v/>
      </c>
      <c r="C434" s="70" t="str">
        <f t="shared" si="70"/>
        <v/>
      </c>
      <c r="D434" s="74" t="str">
        <f t="shared" si="71"/>
        <v/>
      </c>
      <c r="F434" s="65" t="str">
        <f t="shared" si="72"/>
        <v/>
      </c>
      <c r="G434" s="68" t="str">
        <f t="shared" si="73"/>
        <v/>
      </c>
      <c r="H434" s="68" t="str">
        <f t="shared" si="74"/>
        <v/>
      </c>
      <c r="I434" s="68" t="str">
        <f t="shared" si="78"/>
        <v/>
      </c>
      <c r="M434" s="1">
        <v>397</v>
      </c>
      <c r="N434" s="1" t="str">
        <f>IF($T434=0,"",INDEX(TAHSILAT!$E$7:$E$2503,$T434))</f>
        <v/>
      </c>
      <c r="O434" s="1" t="str">
        <f>IF($N434="","",$C$36&amp;" – müşteriden tahsilat: "&amp;INDEX(TAHSILAT!$N$7:$N$2503,$T434)&amp;IF(INDEX(TAHSILAT!$J$7:$J$2503,$T434)="",""," – "&amp;INDEX(TAHSILAT!$J$7:$J$2503,$T434)))</f>
        <v/>
      </c>
      <c r="P434" s="1" t="str">
        <f t="shared" si="68"/>
        <v/>
      </c>
      <c r="Q434" s="1">
        <f>IF($N434="",0,INDEX(TAHSILAT!$F$7:$F$2503,$T434))</f>
        <v>0</v>
      </c>
      <c r="R434" s="1">
        <v>0</v>
      </c>
      <c r="S434" s="1">
        <f t="shared" si="75"/>
        <v>10000000000</v>
      </c>
      <c r="T434" s="1">
        <f>IFERROR(MATCH($C$36&amp;"|361",TAHSILAT!$U$7:$U$2503,0),0)</f>
        <v>0</v>
      </c>
      <c r="V434" s="1">
        <f t="shared" si="76"/>
        <v>10000000000</v>
      </c>
      <c r="W434" s="1">
        <f t="shared" si="77"/>
        <v>9</v>
      </c>
    </row>
    <row r="435" spans="2:23" ht="14.25" customHeight="1" x14ac:dyDescent="0.3">
      <c r="B435" s="65" t="str">
        <f t="shared" si="69"/>
        <v/>
      </c>
      <c r="C435" s="70" t="str">
        <f t="shared" si="70"/>
        <v/>
      </c>
      <c r="D435" s="74" t="str">
        <f t="shared" si="71"/>
        <v/>
      </c>
      <c r="F435" s="65" t="str">
        <f t="shared" si="72"/>
        <v/>
      </c>
      <c r="G435" s="68" t="str">
        <f t="shared" si="73"/>
        <v/>
      </c>
      <c r="H435" s="68" t="str">
        <f t="shared" si="74"/>
        <v/>
      </c>
      <c r="I435" s="68" t="str">
        <f t="shared" si="78"/>
        <v/>
      </c>
      <c r="M435" s="1">
        <v>398</v>
      </c>
      <c r="N435" s="1" t="str">
        <f>IF($T435=0,"",INDEX(TAHSILAT!$E$7:$E$2503,$T435))</f>
        <v/>
      </c>
      <c r="O435" s="1" t="str">
        <f>IF($N435="","",$C$36&amp;" – müşteriden tahsilat: "&amp;INDEX(TAHSILAT!$N$7:$N$2503,$T435)&amp;IF(INDEX(TAHSILAT!$J$7:$J$2503,$T435)="",""," – "&amp;INDEX(TAHSILAT!$J$7:$J$2503,$T435)))</f>
        <v/>
      </c>
      <c r="P435" s="1" t="str">
        <f t="shared" si="68"/>
        <v/>
      </c>
      <c r="Q435" s="1">
        <f>IF($N435="",0,INDEX(TAHSILAT!$F$7:$F$2503,$T435))</f>
        <v>0</v>
      </c>
      <c r="R435" s="1">
        <v>0</v>
      </c>
      <c r="S435" s="1">
        <f t="shared" si="75"/>
        <v>10000000000</v>
      </c>
      <c r="T435" s="1">
        <f>IFERROR(MATCH($C$36&amp;"|362",TAHSILAT!$U$7:$U$2503,0),0)</f>
        <v>0</v>
      </c>
      <c r="V435" s="1">
        <f t="shared" si="76"/>
        <v>10000000000</v>
      </c>
      <c r="W435" s="1">
        <f t="shared" si="77"/>
        <v>9</v>
      </c>
    </row>
    <row r="436" spans="2:23" ht="14.25" customHeight="1" x14ac:dyDescent="0.3">
      <c r="B436" s="65" t="str">
        <f t="shared" si="69"/>
        <v/>
      </c>
      <c r="C436" s="70" t="str">
        <f t="shared" si="70"/>
        <v/>
      </c>
      <c r="D436" s="74" t="str">
        <f t="shared" si="71"/>
        <v/>
      </c>
      <c r="F436" s="65" t="str">
        <f t="shared" si="72"/>
        <v/>
      </c>
      <c r="G436" s="68" t="str">
        <f t="shared" si="73"/>
        <v/>
      </c>
      <c r="H436" s="68" t="str">
        <f t="shared" si="74"/>
        <v/>
      </c>
      <c r="I436" s="68" t="str">
        <f t="shared" si="78"/>
        <v/>
      </c>
      <c r="M436" s="1">
        <v>399</v>
      </c>
      <c r="N436" s="1" t="str">
        <f>IF($T436=0,"",INDEX(TAHSILAT!$E$7:$E$2503,$T436))</f>
        <v/>
      </c>
      <c r="O436" s="1" t="str">
        <f>IF($N436="","",$C$36&amp;" – müşteriden tahsilat: "&amp;INDEX(TAHSILAT!$N$7:$N$2503,$T436)&amp;IF(INDEX(TAHSILAT!$J$7:$J$2503,$T436)="",""," – "&amp;INDEX(TAHSILAT!$J$7:$J$2503,$T436)))</f>
        <v/>
      </c>
      <c r="P436" s="1" t="str">
        <f t="shared" si="68"/>
        <v/>
      </c>
      <c r="Q436" s="1">
        <f>IF($N436="",0,INDEX(TAHSILAT!$F$7:$F$2503,$T436))</f>
        <v>0</v>
      </c>
      <c r="R436" s="1">
        <v>0</v>
      </c>
      <c r="S436" s="1">
        <f t="shared" si="75"/>
        <v>10000000000</v>
      </c>
      <c r="T436" s="1">
        <f>IFERROR(MATCH($C$36&amp;"|363",TAHSILAT!$U$7:$U$2503,0),0)</f>
        <v>0</v>
      </c>
      <c r="V436" s="1">
        <f t="shared" si="76"/>
        <v>10000000000</v>
      </c>
      <c r="W436" s="1">
        <f t="shared" si="77"/>
        <v>9</v>
      </c>
    </row>
    <row r="437" spans="2:23" ht="14.25" customHeight="1" x14ac:dyDescent="0.3">
      <c r="B437" s="65" t="str">
        <f t="shared" si="69"/>
        <v/>
      </c>
      <c r="C437" s="70" t="str">
        <f t="shared" si="70"/>
        <v/>
      </c>
      <c r="D437" s="74" t="str">
        <f t="shared" si="71"/>
        <v/>
      </c>
      <c r="F437" s="65" t="str">
        <f t="shared" si="72"/>
        <v/>
      </c>
      <c r="G437" s="68" t="str">
        <f t="shared" si="73"/>
        <v/>
      </c>
      <c r="H437" s="68" t="str">
        <f t="shared" si="74"/>
        <v/>
      </c>
      <c r="I437" s="68" t="str">
        <f t="shared" si="78"/>
        <v/>
      </c>
      <c r="M437" s="1">
        <v>400</v>
      </c>
      <c r="N437" s="1" t="str">
        <f>IF($T437=0,"",INDEX(TAHSILAT!$E$7:$E$2503,$T437))</f>
        <v/>
      </c>
      <c r="O437" s="1" t="str">
        <f>IF($N437="","",$C$36&amp;" – müşteriden tahsilat: "&amp;INDEX(TAHSILAT!$N$7:$N$2503,$T437)&amp;IF(INDEX(TAHSILAT!$J$7:$J$2503,$T437)="",""," – "&amp;INDEX(TAHSILAT!$J$7:$J$2503,$T437)))</f>
        <v/>
      </c>
      <c r="P437" s="1" t="str">
        <f t="shared" si="68"/>
        <v/>
      </c>
      <c r="Q437" s="1">
        <f>IF($N437="",0,INDEX(TAHSILAT!$F$7:$F$2503,$T437))</f>
        <v>0</v>
      </c>
      <c r="R437" s="1">
        <v>0</v>
      </c>
      <c r="S437" s="1">
        <f t="shared" si="75"/>
        <v>10000000000</v>
      </c>
      <c r="T437" s="1">
        <f>IFERROR(MATCH($C$36&amp;"|364",TAHSILAT!$U$7:$U$2503,0),0)</f>
        <v>0</v>
      </c>
      <c r="V437" s="1">
        <f t="shared" si="76"/>
        <v>10000000000</v>
      </c>
      <c r="W437" s="1">
        <f t="shared" si="77"/>
        <v>9</v>
      </c>
    </row>
    <row r="438" spans="2:23" ht="14.25" customHeight="1" x14ac:dyDescent="0.3">
      <c r="B438" s="65" t="str">
        <f t="shared" si="69"/>
        <v/>
      </c>
      <c r="C438" s="70" t="str">
        <f t="shared" si="70"/>
        <v/>
      </c>
      <c r="D438" s="74" t="str">
        <f t="shared" si="71"/>
        <v/>
      </c>
      <c r="F438" s="65" t="str">
        <f t="shared" si="72"/>
        <v/>
      </c>
      <c r="G438" s="68" t="str">
        <f t="shared" si="73"/>
        <v/>
      </c>
      <c r="H438" s="68" t="str">
        <f t="shared" si="74"/>
        <v/>
      </c>
      <c r="I438" s="68" t="str">
        <f t="shared" si="78"/>
        <v/>
      </c>
      <c r="M438" s="1">
        <v>401</v>
      </c>
      <c r="N438" s="1" t="str">
        <f>IF($T438=0,"",INDEX(TAHSILAT!$E$7:$E$2503,$T438))</f>
        <v/>
      </c>
      <c r="O438" s="1" t="str">
        <f>IF($N438="","",$C$36&amp;" – müşteriden tahsilat: "&amp;INDEX(TAHSILAT!$N$7:$N$2503,$T438)&amp;IF(INDEX(TAHSILAT!$J$7:$J$2503,$T438)="",""," – "&amp;INDEX(TAHSILAT!$J$7:$J$2503,$T438)))</f>
        <v/>
      </c>
      <c r="P438" s="1" t="str">
        <f t="shared" si="68"/>
        <v/>
      </c>
      <c r="Q438" s="1">
        <f>IF($N438="",0,INDEX(TAHSILAT!$F$7:$F$2503,$T438))</f>
        <v>0</v>
      </c>
      <c r="R438" s="1">
        <v>0</v>
      </c>
      <c r="S438" s="1">
        <f t="shared" si="75"/>
        <v>10000000000</v>
      </c>
      <c r="T438" s="1">
        <f>IFERROR(MATCH($C$36&amp;"|365",TAHSILAT!$U$7:$U$2503,0),0)</f>
        <v>0</v>
      </c>
      <c r="V438" s="1">
        <f t="shared" si="76"/>
        <v>10000000000</v>
      </c>
      <c r="W438" s="1">
        <f t="shared" si="77"/>
        <v>9</v>
      </c>
    </row>
    <row r="439" spans="2:23" ht="14.25" customHeight="1" x14ac:dyDescent="0.3">
      <c r="B439" s="65" t="str">
        <f t="shared" si="69"/>
        <v/>
      </c>
      <c r="C439" s="70" t="str">
        <f t="shared" si="70"/>
        <v/>
      </c>
      <c r="D439" s="74" t="str">
        <f t="shared" si="71"/>
        <v/>
      </c>
      <c r="F439" s="65" t="str">
        <f t="shared" si="72"/>
        <v/>
      </c>
      <c r="G439" s="68" t="str">
        <f t="shared" si="73"/>
        <v/>
      </c>
      <c r="H439" s="68" t="str">
        <f t="shared" si="74"/>
        <v/>
      </c>
      <c r="I439" s="68" t="str">
        <f t="shared" si="78"/>
        <v/>
      </c>
      <c r="M439" s="1">
        <v>402</v>
      </c>
      <c r="N439" s="1" t="str">
        <f>IF($T439=0,"",INDEX(TAHSILAT!$E$7:$E$2503,$T439))</f>
        <v/>
      </c>
      <c r="O439" s="1" t="str">
        <f>IF($N439="","",$C$36&amp;" – müşteriden tahsilat: "&amp;INDEX(TAHSILAT!$N$7:$N$2503,$T439)&amp;IF(INDEX(TAHSILAT!$J$7:$J$2503,$T439)="",""," – "&amp;INDEX(TAHSILAT!$J$7:$J$2503,$T439)))</f>
        <v/>
      </c>
      <c r="P439" s="1" t="str">
        <f t="shared" si="68"/>
        <v/>
      </c>
      <c r="Q439" s="1">
        <f>IF($N439="",0,INDEX(TAHSILAT!$F$7:$F$2503,$T439))</f>
        <v>0</v>
      </c>
      <c r="R439" s="1">
        <v>0</v>
      </c>
      <c r="S439" s="1">
        <f t="shared" si="75"/>
        <v>10000000000</v>
      </c>
      <c r="T439" s="1">
        <f>IFERROR(MATCH($C$36&amp;"|366",TAHSILAT!$U$7:$U$2503,0),0)</f>
        <v>0</v>
      </c>
      <c r="V439" s="1">
        <f t="shared" si="76"/>
        <v>10000000000</v>
      </c>
      <c r="W439" s="1">
        <f t="shared" si="77"/>
        <v>9</v>
      </c>
    </row>
    <row r="440" spans="2:23" ht="14.25" customHeight="1" x14ac:dyDescent="0.3">
      <c r="B440" s="65" t="str">
        <f t="shared" si="69"/>
        <v/>
      </c>
      <c r="C440" s="70" t="str">
        <f t="shared" si="70"/>
        <v/>
      </c>
      <c r="D440" s="74" t="str">
        <f t="shared" si="71"/>
        <v/>
      </c>
      <c r="F440" s="65" t="str">
        <f t="shared" si="72"/>
        <v/>
      </c>
      <c r="G440" s="68" t="str">
        <f t="shared" si="73"/>
        <v/>
      </c>
      <c r="H440" s="68" t="str">
        <f t="shared" si="74"/>
        <v/>
      </c>
      <c r="I440" s="68" t="str">
        <f t="shared" si="78"/>
        <v/>
      </c>
      <c r="M440" s="1">
        <v>403</v>
      </c>
      <c r="N440" s="1" t="str">
        <f>IF($T440=0,"",INDEX(TAHSILAT!$E$7:$E$2503,$T440))</f>
        <v/>
      </c>
      <c r="O440" s="1" t="str">
        <f>IF($N440="","",$C$36&amp;" – müşteriden tahsilat: "&amp;INDEX(TAHSILAT!$N$7:$N$2503,$T440)&amp;IF(INDEX(TAHSILAT!$J$7:$J$2503,$T440)="",""," – "&amp;INDEX(TAHSILAT!$J$7:$J$2503,$T440)))</f>
        <v/>
      </c>
      <c r="P440" s="1" t="str">
        <f t="shared" si="68"/>
        <v/>
      </c>
      <c r="Q440" s="1">
        <f>IF($N440="",0,INDEX(TAHSILAT!$F$7:$F$2503,$T440))</f>
        <v>0</v>
      </c>
      <c r="R440" s="1">
        <v>0</v>
      </c>
      <c r="S440" s="1">
        <f t="shared" si="75"/>
        <v>10000000000</v>
      </c>
      <c r="T440" s="1">
        <f>IFERROR(MATCH($C$36&amp;"|367",TAHSILAT!$U$7:$U$2503,0),0)</f>
        <v>0</v>
      </c>
      <c r="V440" s="1">
        <f t="shared" si="76"/>
        <v>10000000000</v>
      </c>
      <c r="W440" s="1">
        <f t="shared" si="77"/>
        <v>9</v>
      </c>
    </row>
    <row r="441" spans="2:23" ht="14.25" customHeight="1" x14ac:dyDescent="0.3">
      <c r="B441" s="65" t="str">
        <f t="shared" si="69"/>
        <v/>
      </c>
      <c r="C441" s="70" t="str">
        <f t="shared" si="70"/>
        <v/>
      </c>
      <c r="D441" s="74" t="str">
        <f t="shared" si="71"/>
        <v/>
      </c>
      <c r="F441" s="65" t="str">
        <f t="shared" si="72"/>
        <v/>
      </c>
      <c r="G441" s="68" t="str">
        <f t="shared" si="73"/>
        <v/>
      </c>
      <c r="H441" s="68" t="str">
        <f t="shared" si="74"/>
        <v/>
      </c>
      <c r="I441" s="68" t="str">
        <f t="shared" si="78"/>
        <v/>
      </c>
      <c r="M441" s="1">
        <v>404</v>
      </c>
      <c r="N441" s="1" t="str">
        <f>IF($T441=0,"",INDEX(TAHSILAT!$E$7:$E$2503,$T441))</f>
        <v/>
      </c>
      <c r="O441" s="1" t="str">
        <f>IF($N441="","",$C$36&amp;" – müşteriden tahsilat: "&amp;INDEX(TAHSILAT!$N$7:$N$2503,$T441)&amp;IF(INDEX(TAHSILAT!$J$7:$J$2503,$T441)="",""," – "&amp;INDEX(TAHSILAT!$J$7:$J$2503,$T441)))</f>
        <v/>
      </c>
      <c r="P441" s="1" t="str">
        <f t="shared" si="68"/>
        <v/>
      </c>
      <c r="Q441" s="1">
        <f>IF($N441="",0,INDEX(TAHSILAT!$F$7:$F$2503,$T441))</f>
        <v>0</v>
      </c>
      <c r="R441" s="1">
        <v>0</v>
      </c>
      <c r="S441" s="1">
        <f t="shared" si="75"/>
        <v>10000000000</v>
      </c>
      <c r="T441" s="1">
        <f>IFERROR(MATCH($C$36&amp;"|368",TAHSILAT!$U$7:$U$2503,0),0)</f>
        <v>0</v>
      </c>
      <c r="V441" s="1">
        <f t="shared" si="76"/>
        <v>10000000000</v>
      </c>
      <c r="W441" s="1">
        <f t="shared" si="77"/>
        <v>9</v>
      </c>
    </row>
    <row r="442" spans="2:23" ht="14.25" customHeight="1" x14ac:dyDescent="0.3">
      <c r="B442" s="65" t="str">
        <f t="shared" si="69"/>
        <v/>
      </c>
      <c r="C442" s="70" t="str">
        <f t="shared" si="70"/>
        <v/>
      </c>
      <c r="D442" s="74" t="str">
        <f t="shared" si="71"/>
        <v/>
      </c>
      <c r="F442" s="65" t="str">
        <f t="shared" si="72"/>
        <v/>
      </c>
      <c r="G442" s="68" t="str">
        <f t="shared" si="73"/>
        <v/>
      </c>
      <c r="H442" s="68" t="str">
        <f t="shared" si="74"/>
        <v/>
      </c>
      <c r="I442" s="68" t="str">
        <f t="shared" si="78"/>
        <v/>
      </c>
      <c r="M442" s="1">
        <v>405</v>
      </c>
      <c r="N442" s="1" t="str">
        <f>IF($T442=0,"",INDEX(TAHSILAT!$E$7:$E$2503,$T442))</f>
        <v/>
      </c>
      <c r="O442" s="1" t="str">
        <f>IF($N442="","",$C$36&amp;" – müşteriden tahsilat: "&amp;INDEX(TAHSILAT!$N$7:$N$2503,$T442)&amp;IF(INDEX(TAHSILAT!$J$7:$J$2503,$T442)="",""," – "&amp;INDEX(TAHSILAT!$J$7:$J$2503,$T442)))</f>
        <v/>
      </c>
      <c r="P442" s="1" t="str">
        <f t="shared" si="68"/>
        <v/>
      </c>
      <c r="Q442" s="1">
        <f>IF($N442="",0,INDEX(TAHSILAT!$F$7:$F$2503,$T442))</f>
        <v>0</v>
      </c>
      <c r="R442" s="1">
        <v>0</v>
      </c>
      <c r="S442" s="1">
        <f t="shared" si="75"/>
        <v>10000000000</v>
      </c>
      <c r="T442" s="1">
        <f>IFERROR(MATCH($C$36&amp;"|369",TAHSILAT!$U$7:$U$2503,0),0)</f>
        <v>0</v>
      </c>
      <c r="V442" s="1">
        <f t="shared" si="76"/>
        <v>10000000000</v>
      </c>
      <c r="W442" s="1">
        <f t="shared" si="77"/>
        <v>9</v>
      </c>
    </row>
    <row r="443" spans="2:23" ht="14.25" customHeight="1" x14ac:dyDescent="0.3">
      <c r="B443" s="65" t="str">
        <f t="shared" si="69"/>
        <v/>
      </c>
      <c r="C443" s="70" t="str">
        <f t="shared" si="70"/>
        <v/>
      </c>
      <c r="D443" s="74" t="str">
        <f t="shared" si="71"/>
        <v/>
      </c>
      <c r="F443" s="65" t="str">
        <f t="shared" si="72"/>
        <v/>
      </c>
      <c r="G443" s="68" t="str">
        <f t="shared" si="73"/>
        <v/>
      </c>
      <c r="H443" s="68" t="str">
        <f t="shared" si="74"/>
        <v/>
      </c>
      <c r="I443" s="68" t="str">
        <f t="shared" si="78"/>
        <v/>
      </c>
      <c r="M443" s="1">
        <v>406</v>
      </c>
      <c r="N443" s="1" t="str">
        <f>IF($T443=0,"",INDEX(TAHSILAT!$E$7:$E$2503,$T443))</f>
        <v/>
      </c>
      <c r="O443" s="1" t="str">
        <f>IF($N443="","",$C$36&amp;" – müşteriden tahsilat: "&amp;INDEX(TAHSILAT!$N$7:$N$2503,$T443)&amp;IF(INDEX(TAHSILAT!$J$7:$J$2503,$T443)="",""," – "&amp;INDEX(TAHSILAT!$J$7:$J$2503,$T443)))</f>
        <v/>
      </c>
      <c r="P443" s="1" t="str">
        <f t="shared" si="68"/>
        <v/>
      </c>
      <c r="Q443" s="1">
        <f>IF($N443="",0,INDEX(TAHSILAT!$F$7:$F$2503,$T443))</f>
        <v>0</v>
      </c>
      <c r="R443" s="1">
        <v>0</v>
      </c>
      <c r="S443" s="1">
        <f t="shared" si="75"/>
        <v>10000000000</v>
      </c>
      <c r="T443" s="1">
        <f>IFERROR(MATCH($C$36&amp;"|370",TAHSILAT!$U$7:$U$2503,0),0)</f>
        <v>0</v>
      </c>
      <c r="V443" s="1">
        <f t="shared" si="76"/>
        <v>10000000000</v>
      </c>
      <c r="W443" s="1">
        <f t="shared" si="77"/>
        <v>9</v>
      </c>
    </row>
    <row r="444" spans="2:23" ht="14.25" customHeight="1" x14ac:dyDescent="0.3">
      <c r="B444" s="65" t="str">
        <f t="shared" si="69"/>
        <v/>
      </c>
      <c r="C444" s="70" t="str">
        <f t="shared" si="70"/>
        <v/>
      </c>
      <c r="D444" s="74" t="str">
        <f t="shared" si="71"/>
        <v/>
      </c>
      <c r="F444" s="65" t="str">
        <f t="shared" si="72"/>
        <v/>
      </c>
      <c r="G444" s="68" t="str">
        <f t="shared" si="73"/>
        <v/>
      </c>
      <c r="H444" s="68" t="str">
        <f t="shared" si="74"/>
        <v/>
      </c>
      <c r="I444" s="68" t="str">
        <f t="shared" si="78"/>
        <v/>
      </c>
      <c r="M444" s="1">
        <v>407</v>
      </c>
      <c r="N444" s="1" t="str">
        <f>IF($T444=0,"",INDEX(TAHSILAT!$E$7:$E$2503,$T444))</f>
        <v/>
      </c>
      <c r="O444" s="1" t="str">
        <f>IF($N444="","",$C$36&amp;" – müşteriden tahsilat: "&amp;INDEX(TAHSILAT!$N$7:$N$2503,$T444)&amp;IF(INDEX(TAHSILAT!$J$7:$J$2503,$T444)="",""," – "&amp;INDEX(TAHSILAT!$J$7:$J$2503,$T444)))</f>
        <v/>
      </c>
      <c r="P444" s="1" t="str">
        <f t="shared" si="68"/>
        <v/>
      </c>
      <c r="Q444" s="1">
        <f>IF($N444="",0,INDEX(TAHSILAT!$F$7:$F$2503,$T444))</f>
        <v>0</v>
      </c>
      <c r="R444" s="1">
        <v>0</v>
      </c>
      <c r="S444" s="1">
        <f t="shared" si="75"/>
        <v>10000000000</v>
      </c>
      <c r="T444" s="1">
        <f>IFERROR(MATCH($C$36&amp;"|371",TAHSILAT!$U$7:$U$2503,0),0)</f>
        <v>0</v>
      </c>
      <c r="V444" s="1">
        <f t="shared" si="76"/>
        <v>10000000000</v>
      </c>
      <c r="W444" s="1">
        <f t="shared" si="77"/>
        <v>9</v>
      </c>
    </row>
    <row r="445" spans="2:23" ht="14.25" customHeight="1" x14ac:dyDescent="0.3">
      <c r="B445" s="65" t="str">
        <f t="shared" si="69"/>
        <v/>
      </c>
      <c r="C445" s="70" t="str">
        <f t="shared" si="70"/>
        <v/>
      </c>
      <c r="D445" s="74" t="str">
        <f t="shared" si="71"/>
        <v/>
      </c>
      <c r="F445" s="65" t="str">
        <f t="shared" si="72"/>
        <v/>
      </c>
      <c r="G445" s="68" t="str">
        <f t="shared" si="73"/>
        <v/>
      </c>
      <c r="H445" s="68" t="str">
        <f t="shared" si="74"/>
        <v/>
      </c>
      <c r="I445" s="68" t="str">
        <f t="shared" si="78"/>
        <v/>
      </c>
      <c r="M445" s="1">
        <v>408</v>
      </c>
      <c r="N445" s="1" t="str">
        <f>IF($T445=0,"",INDEX(TAHSILAT!$E$7:$E$2503,$T445))</f>
        <v/>
      </c>
      <c r="O445" s="1" t="str">
        <f>IF($N445="","",$C$36&amp;" – müşteriden tahsilat: "&amp;INDEX(TAHSILAT!$N$7:$N$2503,$T445)&amp;IF(INDEX(TAHSILAT!$J$7:$J$2503,$T445)="",""," – "&amp;INDEX(TAHSILAT!$J$7:$J$2503,$T445)))</f>
        <v/>
      </c>
      <c r="P445" s="1" t="str">
        <f t="shared" si="68"/>
        <v/>
      </c>
      <c r="Q445" s="1">
        <f>IF($N445="",0,INDEX(TAHSILAT!$F$7:$F$2503,$T445))</f>
        <v>0</v>
      </c>
      <c r="R445" s="1">
        <v>0</v>
      </c>
      <c r="S445" s="1">
        <f t="shared" si="75"/>
        <v>10000000000</v>
      </c>
      <c r="T445" s="1">
        <f>IFERROR(MATCH($C$36&amp;"|372",TAHSILAT!$U$7:$U$2503,0),0)</f>
        <v>0</v>
      </c>
      <c r="V445" s="1">
        <f t="shared" si="76"/>
        <v>10000000000</v>
      </c>
      <c r="W445" s="1">
        <f t="shared" si="77"/>
        <v>9</v>
      </c>
    </row>
    <row r="446" spans="2:23" ht="14.25" customHeight="1" x14ac:dyDescent="0.3">
      <c r="B446" s="65" t="str">
        <f t="shared" si="69"/>
        <v/>
      </c>
      <c r="C446" s="70" t="str">
        <f t="shared" si="70"/>
        <v/>
      </c>
      <c r="D446" s="74" t="str">
        <f t="shared" si="71"/>
        <v/>
      </c>
      <c r="F446" s="65" t="str">
        <f t="shared" si="72"/>
        <v/>
      </c>
      <c r="G446" s="68" t="str">
        <f t="shared" si="73"/>
        <v/>
      </c>
      <c r="H446" s="68" t="str">
        <f t="shared" si="74"/>
        <v/>
      </c>
      <c r="I446" s="68" t="str">
        <f t="shared" si="78"/>
        <v/>
      </c>
      <c r="M446" s="1">
        <v>409</v>
      </c>
      <c r="N446" s="1" t="str">
        <f>IF($T446=0,"",INDEX(TAHSILAT!$E$7:$E$2503,$T446))</f>
        <v/>
      </c>
      <c r="O446" s="1" t="str">
        <f>IF($N446="","",$C$36&amp;" – müşteriden tahsilat: "&amp;INDEX(TAHSILAT!$N$7:$N$2503,$T446)&amp;IF(INDEX(TAHSILAT!$J$7:$J$2503,$T446)="",""," – "&amp;INDEX(TAHSILAT!$J$7:$J$2503,$T446)))</f>
        <v/>
      </c>
      <c r="P446" s="1" t="str">
        <f t="shared" si="68"/>
        <v/>
      </c>
      <c r="Q446" s="1">
        <f>IF($N446="",0,INDEX(TAHSILAT!$F$7:$F$2503,$T446))</f>
        <v>0</v>
      </c>
      <c r="R446" s="1">
        <v>0</v>
      </c>
      <c r="S446" s="1">
        <f t="shared" si="75"/>
        <v>10000000000</v>
      </c>
      <c r="T446" s="1">
        <f>IFERROR(MATCH($C$36&amp;"|373",TAHSILAT!$U$7:$U$2503,0),0)</f>
        <v>0</v>
      </c>
      <c r="V446" s="1">
        <f t="shared" si="76"/>
        <v>10000000000</v>
      </c>
      <c r="W446" s="1">
        <f t="shared" si="77"/>
        <v>9</v>
      </c>
    </row>
    <row r="447" spans="2:23" ht="14.25" customHeight="1" x14ac:dyDescent="0.3">
      <c r="B447" s="65" t="str">
        <f t="shared" si="69"/>
        <v/>
      </c>
      <c r="C447" s="70" t="str">
        <f t="shared" si="70"/>
        <v/>
      </c>
      <c r="D447" s="74" t="str">
        <f t="shared" si="71"/>
        <v/>
      </c>
      <c r="F447" s="65" t="str">
        <f t="shared" si="72"/>
        <v/>
      </c>
      <c r="G447" s="68" t="str">
        <f t="shared" si="73"/>
        <v/>
      </c>
      <c r="H447" s="68" t="str">
        <f t="shared" si="74"/>
        <v/>
      </c>
      <c r="I447" s="68" t="str">
        <f t="shared" si="78"/>
        <v/>
      </c>
      <c r="M447" s="1">
        <v>410</v>
      </c>
      <c r="N447" s="1" t="str">
        <f>IF($T447=0,"",INDEX(TAHSILAT!$E$7:$E$2503,$T447))</f>
        <v/>
      </c>
      <c r="O447" s="1" t="str">
        <f>IF($N447="","",$C$36&amp;" – müşteriden tahsilat: "&amp;INDEX(TAHSILAT!$N$7:$N$2503,$T447)&amp;IF(INDEX(TAHSILAT!$J$7:$J$2503,$T447)="",""," – "&amp;INDEX(TAHSILAT!$J$7:$J$2503,$T447)))</f>
        <v/>
      </c>
      <c r="P447" s="1" t="str">
        <f t="shared" si="68"/>
        <v/>
      </c>
      <c r="Q447" s="1">
        <f>IF($N447="",0,INDEX(TAHSILAT!$F$7:$F$2503,$T447))</f>
        <v>0</v>
      </c>
      <c r="R447" s="1">
        <v>0</v>
      </c>
      <c r="S447" s="1">
        <f t="shared" si="75"/>
        <v>10000000000</v>
      </c>
      <c r="T447" s="1">
        <f>IFERROR(MATCH($C$36&amp;"|374",TAHSILAT!$U$7:$U$2503,0),0)</f>
        <v>0</v>
      </c>
      <c r="V447" s="1">
        <f t="shared" si="76"/>
        <v>10000000000</v>
      </c>
      <c r="W447" s="1">
        <f t="shared" si="77"/>
        <v>9</v>
      </c>
    </row>
    <row r="448" spans="2:23" ht="14.25" customHeight="1" x14ac:dyDescent="0.3">
      <c r="B448" s="65" t="str">
        <f t="shared" si="69"/>
        <v/>
      </c>
      <c r="C448" s="70" t="str">
        <f t="shared" si="70"/>
        <v/>
      </c>
      <c r="D448" s="74" t="str">
        <f t="shared" si="71"/>
        <v/>
      </c>
      <c r="F448" s="65" t="str">
        <f t="shared" si="72"/>
        <v/>
      </c>
      <c r="G448" s="68" t="str">
        <f t="shared" si="73"/>
        <v/>
      </c>
      <c r="H448" s="68" t="str">
        <f t="shared" si="74"/>
        <v/>
      </c>
      <c r="I448" s="68" t="str">
        <f t="shared" si="78"/>
        <v/>
      </c>
      <c r="M448" s="1">
        <v>411</v>
      </c>
      <c r="N448" s="1" t="str">
        <f>IF($T448=0,"",INDEX(TAHSILAT!$E$7:$E$2503,$T448))</f>
        <v/>
      </c>
      <c r="O448" s="1" t="str">
        <f>IF($N448="","",$C$36&amp;" – müşteriden tahsilat: "&amp;INDEX(TAHSILAT!$N$7:$N$2503,$T448)&amp;IF(INDEX(TAHSILAT!$J$7:$J$2503,$T448)="",""," – "&amp;INDEX(TAHSILAT!$J$7:$J$2503,$T448)))</f>
        <v/>
      </c>
      <c r="P448" s="1" t="str">
        <f t="shared" si="68"/>
        <v/>
      </c>
      <c r="Q448" s="1">
        <f>IF($N448="",0,INDEX(TAHSILAT!$F$7:$F$2503,$T448))</f>
        <v>0</v>
      </c>
      <c r="R448" s="1">
        <v>0</v>
      </c>
      <c r="S448" s="1">
        <f t="shared" si="75"/>
        <v>10000000000</v>
      </c>
      <c r="T448" s="1">
        <f>IFERROR(MATCH($C$36&amp;"|375",TAHSILAT!$U$7:$U$2503,0),0)</f>
        <v>0</v>
      </c>
      <c r="V448" s="1">
        <f t="shared" si="76"/>
        <v>10000000000</v>
      </c>
      <c r="W448" s="1">
        <f t="shared" si="77"/>
        <v>9</v>
      </c>
    </row>
    <row r="449" spans="2:23" ht="14.25" customHeight="1" x14ac:dyDescent="0.3">
      <c r="B449" s="65" t="str">
        <f t="shared" si="69"/>
        <v/>
      </c>
      <c r="C449" s="70" t="str">
        <f t="shared" si="70"/>
        <v/>
      </c>
      <c r="D449" s="74" t="str">
        <f t="shared" si="71"/>
        <v/>
      </c>
      <c r="F449" s="65" t="str">
        <f t="shared" si="72"/>
        <v/>
      </c>
      <c r="G449" s="68" t="str">
        <f t="shared" si="73"/>
        <v/>
      </c>
      <c r="H449" s="68" t="str">
        <f t="shared" si="74"/>
        <v/>
      </c>
      <c r="I449" s="68" t="str">
        <f t="shared" si="78"/>
        <v/>
      </c>
      <c r="M449" s="1">
        <v>412</v>
      </c>
      <c r="N449" s="1" t="str">
        <f>IF($T449=0,"",INDEX(TAHSILAT!$E$7:$E$2503,$T449))</f>
        <v/>
      </c>
      <c r="O449" s="1" t="str">
        <f>IF($N449="","",$C$36&amp;" – müşteriden tahsilat: "&amp;INDEX(TAHSILAT!$N$7:$N$2503,$T449)&amp;IF(INDEX(TAHSILAT!$J$7:$J$2503,$T449)="",""," – "&amp;INDEX(TAHSILAT!$J$7:$J$2503,$T449)))</f>
        <v/>
      </c>
      <c r="P449" s="1" t="str">
        <f t="shared" si="68"/>
        <v/>
      </c>
      <c r="Q449" s="1">
        <f>IF($N449="",0,INDEX(TAHSILAT!$F$7:$F$2503,$T449))</f>
        <v>0</v>
      </c>
      <c r="R449" s="1">
        <v>0</v>
      </c>
      <c r="S449" s="1">
        <f t="shared" si="75"/>
        <v>10000000000</v>
      </c>
      <c r="T449" s="1">
        <f>IFERROR(MATCH($C$36&amp;"|376",TAHSILAT!$U$7:$U$2503,0),0)</f>
        <v>0</v>
      </c>
      <c r="V449" s="1">
        <f t="shared" si="76"/>
        <v>10000000000</v>
      </c>
      <c r="W449" s="1">
        <f t="shared" si="77"/>
        <v>9</v>
      </c>
    </row>
    <row r="450" spans="2:23" ht="14.25" customHeight="1" x14ac:dyDescent="0.3">
      <c r="B450" s="65" t="str">
        <f t="shared" si="69"/>
        <v/>
      </c>
      <c r="C450" s="70" t="str">
        <f t="shared" si="70"/>
        <v/>
      </c>
      <c r="D450" s="74" t="str">
        <f t="shared" si="71"/>
        <v/>
      </c>
      <c r="F450" s="65" t="str">
        <f t="shared" si="72"/>
        <v/>
      </c>
      <c r="G450" s="68" t="str">
        <f t="shared" si="73"/>
        <v/>
      </c>
      <c r="H450" s="68" t="str">
        <f t="shared" si="74"/>
        <v/>
      </c>
      <c r="I450" s="68" t="str">
        <f t="shared" si="78"/>
        <v/>
      </c>
      <c r="M450" s="1">
        <v>413</v>
      </c>
      <c r="N450" s="1" t="str">
        <f>IF($T450=0,"",INDEX(TAHSILAT!$E$7:$E$2503,$T450))</f>
        <v/>
      </c>
      <c r="O450" s="1" t="str">
        <f>IF($N450="","",$C$36&amp;" – müşteriden tahsilat: "&amp;INDEX(TAHSILAT!$N$7:$N$2503,$T450)&amp;IF(INDEX(TAHSILAT!$J$7:$J$2503,$T450)="",""," – "&amp;INDEX(TAHSILAT!$J$7:$J$2503,$T450)))</f>
        <v/>
      </c>
      <c r="P450" s="1" t="str">
        <f t="shared" si="68"/>
        <v/>
      </c>
      <c r="Q450" s="1">
        <f>IF($N450="",0,INDEX(TAHSILAT!$F$7:$F$2503,$T450))</f>
        <v>0</v>
      </c>
      <c r="R450" s="1">
        <v>0</v>
      </c>
      <c r="S450" s="1">
        <f t="shared" si="75"/>
        <v>10000000000</v>
      </c>
      <c r="T450" s="1">
        <f>IFERROR(MATCH($C$36&amp;"|377",TAHSILAT!$U$7:$U$2503,0),0)</f>
        <v>0</v>
      </c>
      <c r="V450" s="1">
        <f t="shared" si="76"/>
        <v>10000000000</v>
      </c>
      <c r="W450" s="1">
        <f t="shared" si="77"/>
        <v>9</v>
      </c>
    </row>
    <row r="451" spans="2:23" ht="14.25" customHeight="1" x14ac:dyDescent="0.3">
      <c r="B451" s="65" t="str">
        <f t="shared" si="69"/>
        <v/>
      </c>
      <c r="C451" s="70" t="str">
        <f t="shared" si="70"/>
        <v/>
      </c>
      <c r="D451" s="74" t="str">
        <f t="shared" si="71"/>
        <v/>
      </c>
      <c r="F451" s="65" t="str">
        <f t="shared" si="72"/>
        <v/>
      </c>
      <c r="G451" s="68" t="str">
        <f t="shared" si="73"/>
        <v/>
      </c>
      <c r="H451" s="68" t="str">
        <f t="shared" si="74"/>
        <v/>
      </c>
      <c r="I451" s="68" t="str">
        <f t="shared" si="78"/>
        <v/>
      </c>
      <c r="M451" s="1">
        <v>414</v>
      </c>
      <c r="N451" s="1" t="str">
        <f>IF($T451=0,"",INDEX(TAHSILAT!$E$7:$E$2503,$T451))</f>
        <v/>
      </c>
      <c r="O451" s="1" t="str">
        <f>IF($N451="","",$C$36&amp;" – müşteriden tahsilat: "&amp;INDEX(TAHSILAT!$N$7:$N$2503,$T451)&amp;IF(INDEX(TAHSILAT!$J$7:$J$2503,$T451)="",""," – "&amp;INDEX(TAHSILAT!$J$7:$J$2503,$T451)))</f>
        <v/>
      </c>
      <c r="P451" s="1" t="str">
        <f t="shared" si="68"/>
        <v/>
      </c>
      <c r="Q451" s="1">
        <f>IF($N451="",0,INDEX(TAHSILAT!$F$7:$F$2503,$T451))</f>
        <v>0</v>
      </c>
      <c r="R451" s="1">
        <v>0</v>
      </c>
      <c r="S451" s="1">
        <f t="shared" si="75"/>
        <v>10000000000</v>
      </c>
      <c r="T451" s="1">
        <f>IFERROR(MATCH($C$36&amp;"|378",TAHSILAT!$U$7:$U$2503,0),0)</f>
        <v>0</v>
      </c>
      <c r="V451" s="1">
        <f t="shared" si="76"/>
        <v>10000000000</v>
      </c>
      <c r="W451" s="1">
        <f t="shared" si="77"/>
        <v>9</v>
      </c>
    </row>
    <row r="452" spans="2:23" ht="14.25" customHeight="1" x14ac:dyDescent="0.3">
      <c r="B452" s="65" t="str">
        <f t="shared" si="69"/>
        <v/>
      </c>
      <c r="C452" s="70" t="str">
        <f t="shared" si="70"/>
        <v/>
      </c>
      <c r="D452" s="74" t="str">
        <f t="shared" si="71"/>
        <v/>
      </c>
      <c r="F452" s="65" t="str">
        <f t="shared" si="72"/>
        <v/>
      </c>
      <c r="G452" s="68" t="str">
        <f t="shared" si="73"/>
        <v/>
      </c>
      <c r="H452" s="68" t="str">
        <f t="shared" si="74"/>
        <v/>
      </c>
      <c r="I452" s="68" t="str">
        <f t="shared" si="78"/>
        <v/>
      </c>
      <c r="M452" s="1">
        <v>415</v>
      </c>
      <c r="N452" s="1" t="str">
        <f>IF($T452=0,"",INDEX(TAHSILAT!$E$7:$E$2503,$T452))</f>
        <v/>
      </c>
      <c r="O452" s="1" t="str">
        <f>IF($N452="","",$C$36&amp;" – müşteriden tahsilat: "&amp;INDEX(TAHSILAT!$N$7:$N$2503,$T452)&amp;IF(INDEX(TAHSILAT!$J$7:$J$2503,$T452)="",""," – "&amp;INDEX(TAHSILAT!$J$7:$J$2503,$T452)))</f>
        <v/>
      </c>
      <c r="P452" s="1" t="str">
        <f t="shared" si="68"/>
        <v/>
      </c>
      <c r="Q452" s="1">
        <f>IF($N452="",0,INDEX(TAHSILAT!$F$7:$F$2503,$T452))</f>
        <v>0</v>
      </c>
      <c r="R452" s="1">
        <v>0</v>
      </c>
      <c r="S452" s="1">
        <f t="shared" si="75"/>
        <v>10000000000</v>
      </c>
      <c r="T452" s="1">
        <f>IFERROR(MATCH($C$36&amp;"|379",TAHSILAT!$U$7:$U$2503,0),0)</f>
        <v>0</v>
      </c>
      <c r="V452" s="1">
        <f t="shared" si="76"/>
        <v>10000000000</v>
      </c>
      <c r="W452" s="1">
        <f t="shared" si="77"/>
        <v>9</v>
      </c>
    </row>
    <row r="453" spans="2:23" ht="14.25" customHeight="1" x14ac:dyDescent="0.3">
      <c r="B453" s="65" t="str">
        <f t="shared" si="69"/>
        <v/>
      </c>
      <c r="C453" s="70" t="str">
        <f t="shared" si="70"/>
        <v/>
      </c>
      <c r="D453" s="74" t="str">
        <f t="shared" si="71"/>
        <v/>
      </c>
      <c r="F453" s="65" t="str">
        <f t="shared" si="72"/>
        <v/>
      </c>
      <c r="G453" s="68" t="str">
        <f t="shared" si="73"/>
        <v/>
      </c>
      <c r="H453" s="68" t="str">
        <f t="shared" si="74"/>
        <v/>
      </c>
      <c r="I453" s="68" t="str">
        <f t="shared" si="78"/>
        <v/>
      </c>
      <c r="M453" s="1">
        <v>416</v>
      </c>
      <c r="N453" s="1" t="str">
        <f>IF($T453=0,"",INDEX(TAHSILAT!$E$7:$E$2503,$T453))</f>
        <v/>
      </c>
      <c r="O453" s="1" t="str">
        <f>IF($N453="","",$C$36&amp;" – müşteriden tahsilat: "&amp;INDEX(TAHSILAT!$N$7:$N$2503,$T453)&amp;IF(INDEX(TAHSILAT!$J$7:$J$2503,$T453)="",""," – "&amp;INDEX(TAHSILAT!$J$7:$J$2503,$T453)))</f>
        <v/>
      </c>
      <c r="P453" s="1" t="str">
        <f t="shared" si="68"/>
        <v/>
      </c>
      <c r="Q453" s="1">
        <f>IF($N453="",0,INDEX(TAHSILAT!$F$7:$F$2503,$T453))</f>
        <v>0</v>
      </c>
      <c r="R453" s="1">
        <v>0</v>
      </c>
      <c r="S453" s="1">
        <f t="shared" si="75"/>
        <v>10000000000</v>
      </c>
      <c r="T453" s="1">
        <f>IFERROR(MATCH($C$36&amp;"|380",TAHSILAT!$U$7:$U$2503,0),0)</f>
        <v>0</v>
      </c>
      <c r="V453" s="1">
        <f t="shared" si="76"/>
        <v>10000000000</v>
      </c>
      <c r="W453" s="1">
        <f t="shared" si="77"/>
        <v>9</v>
      </c>
    </row>
    <row r="454" spans="2:23" ht="14.25" customHeight="1" x14ac:dyDescent="0.3">
      <c r="B454" s="65" t="str">
        <f t="shared" si="69"/>
        <v/>
      </c>
      <c r="C454" s="70" t="str">
        <f t="shared" si="70"/>
        <v/>
      </c>
      <c r="D454" s="74" t="str">
        <f t="shared" si="71"/>
        <v/>
      </c>
      <c r="F454" s="65" t="str">
        <f t="shared" si="72"/>
        <v/>
      </c>
      <c r="G454" s="68" t="str">
        <f t="shared" si="73"/>
        <v/>
      </c>
      <c r="H454" s="68" t="str">
        <f t="shared" si="74"/>
        <v/>
      </c>
      <c r="I454" s="68" t="str">
        <f t="shared" si="78"/>
        <v/>
      </c>
      <c r="M454" s="1">
        <v>417</v>
      </c>
      <c r="N454" s="1" t="str">
        <f>IF($T454=0,"",INDEX(TAHSILAT!$E$7:$E$2503,$T454))</f>
        <v/>
      </c>
      <c r="O454" s="1" t="str">
        <f>IF($N454="","",$C$36&amp;" – müşteriden tahsilat: "&amp;INDEX(TAHSILAT!$N$7:$N$2503,$T454)&amp;IF(INDEX(TAHSILAT!$J$7:$J$2503,$T454)="",""," – "&amp;INDEX(TAHSILAT!$J$7:$J$2503,$T454)))</f>
        <v/>
      </c>
      <c r="P454" s="1" t="str">
        <f t="shared" si="68"/>
        <v/>
      </c>
      <c r="Q454" s="1">
        <f>IF($N454="",0,INDEX(TAHSILAT!$F$7:$F$2503,$T454))</f>
        <v>0</v>
      </c>
      <c r="R454" s="1">
        <v>0</v>
      </c>
      <c r="S454" s="1">
        <f t="shared" si="75"/>
        <v>10000000000</v>
      </c>
      <c r="T454" s="1">
        <f>IFERROR(MATCH($C$36&amp;"|381",TAHSILAT!$U$7:$U$2503,0),0)</f>
        <v>0</v>
      </c>
      <c r="V454" s="1">
        <f t="shared" si="76"/>
        <v>10000000000</v>
      </c>
      <c r="W454" s="1">
        <f t="shared" si="77"/>
        <v>9</v>
      </c>
    </row>
    <row r="455" spans="2:23" ht="14.25" customHeight="1" x14ac:dyDescent="0.3">
      <c r="B455" s="65" t="str">
        <f t="shared" si="69"/>
        <v/>
      </c>
      <c r="C455" s="70" t="str">
        <f t="shared" si="70"/>
        <v/>
      </c>
      <c r="D455" s="74" t="str">
        <f t="shared" si="71"/>
        <v/>
      </c>
      <c r="F455" s="65" t="str">
        <f t="shared" si="72"/>
        <v/>
      </c>
      <c r="G455" s="68" t="str">
        <f t="shared" si="73"/>
        <v/>
      </c>
      <c r="H455" s="68" t="str">
        <f t="shared" si="74"/>
        <v/>
      </c>
      <c r="I455" s="68" t="str">
        <f t="shared" si="78"/>
        <v/>
      </c>
      <c r="M455" s="1">
        <v>418</v>
      </c>
      <c r="N455" s="1" t="str">
        <f>IF($T455=0,"",INDEX(TAHSILAT!$E$7:$E$2503,$T455))</f>
        <v/>
      </c>
      <c r="O455" s="1" t="str">
        <f>IF($N455="","",$C$36&amp;" – müşteriden tahsilat: "&amp;INDEX(TAHSILAT!$N$7:$N$2503,$T455)&amp;IF(INDEX(TAHSILAT!$J$7:$J$2503,$T455)="",""," – "&amp;INDEX(TAHSILAT!$J$7:$J$2503,$T455)))</f>
        <v/>
      </c>
      <c r="P455" s="1" t="str">
        <f t="shared" si="68"/>
        <v/>
      </c>
      <c r="Q455" s="1">
        <f>IF($N455="",0,INDEX(TAHSILAT!$F$7:$F$2503,$T455))</f>
        <v>0</v>
      </c>
      <c r="R455" s="1">
        <v>0</v>
      </c>
      <c r="S455" s="1">
        <f t="shared" si="75"/>
        <v>10000000000</v>
      </c>
      <c r="T455" s="1">
        <f>IFERROR(MATCH($C$36&amp;"|382",TAHSILAT!$U$7:$U$2503,0),0)</f>
        <v>0</v>
      </c>
      <c r="V455" s="1">
        <f t="shared" si="76"/>
        <v>10000000000</v>
      </c>
      <c r="W455" s="1">
        <f t="shared" si="77"/>
        <v>9</v>
      </c>
    </row>
    <row r="456" spans="2:23" ht="14.25" customHeight="1" x14ac:dyDescent="0.3">
      <c r="B456" s="65" t="str">
        <f t="shared" si="69"/>
        <v/>
      </c>
      <c r="C456" s="70" t="str">
        <f t="shared" si="70"/>
        <v/>
      </c>
      <c r="D456" s="74" t="str">
        <f t="shared" si="71"/>
        <v/>
      </c>
      <c r="F456" s="65" t="str">
        <f t="shared" si="72"/>
        <v/>
      </c>
      <c r="G456" s="68" t="str">
        <f t="shared" si="73"/>
        <v/>
      </c>
      <c r="H456" s="68" t="str">
        <f t="shared" si="74"/>
        <v/>
      </c>
      <c r="I456" s="68" t="str">
        <f t="shared" si="78"/>
        <v/>
      </c>
      <c r="M456" s="1">
        <v>419</v>
      </c>
      <c r="N456" s="1" t="str">
        <f>IF($T456=0,"",INDEX(TAHSILAT!$E$7:$E$2503,$T456))</f>
        <v/>
      </c>
      <c r="O456" s="1" t="str">
        <f>IF($N456="","",$C$36&amp;" – müşteriden tahsilat: "&amp;INDEX(TAHSILAT!$N$7:$N$2503,$T456)&amp;IF(INDEX(TAHSILAT!$J$7:$J$2503,$T456)="",""," – "&amp;INDEX(TAHSILAT!$J$7:$J$2503,$T456)))</f>
        <v/>
      </c>
      <c r="P456" s="1" t="str">
        <f t="shared" si="68"/>
        <v/>
      </c>
      <c r="Q456" s="1">
        <f>IF($N456="",0,INDEX(TAHSILAT!$F$7:$F$2503,$T456))</f>
        <v>0</v>
      </c>
      <c r="R456" s="1">
        <v>0</v>
      </c>
      <c r="S456" s="1">
        <f t="shared" si="75"/>
        <v>10000000000</v>
      </c>
      <c r="T456" s="1">
        <f>IFERROR(MATCH($C$36&amp;"|383",TAHSILAT!$U$7:$U$2503,0),0)</f>
        <v>0</v>
      </c>
      <c r="V456" s="1">
        <f t="shared" si="76"/>
        <v>10000000000</v>
      </c>
      <c r="W456" s="1">
        <f t="shared" si="77"/>
        <v>9</v>
      </c>
    </row>
    <row r="457" spans="2:23" ht="14.25" customHeight="1" x14ac:dyDescent="0.3">
      <c r="B457" s="65" t="str">
        <f t="shared" si="69"/>
        <v/>
      </c>
      <c r="C457" s="70" t="str">
        <f t="shared" si="70"/>
        <v/>
      </c>
      <c r="D457" s="74" t="str">
        <f t="shared" si="71"/>
        <v/>
      </c>
      <c r="F457" s="65" t="str">
        <f t="shared" si="72"/>
        <v/>
      </c>
      <c r="G457" s="68" t="str">
        <f t="shared" si="73"/>
        <v/>
      </c>
      <c r="H457" s="68" t="str">
        <f t="shared" si="74"/>
        <v/>
      </c>
      <c r="I457" s="68" t="str">
        <f t="shared" si="78"/>
        <v/>
      </c>
      <c r="M457" s="1">
        <v>420</v>
      </c>
      <c r="N457" s="1" t="str">
        <f>IF($T457=0,"",INDEX(TAHSILAT!$E$7:$E$2503,$T457))</f>
        <v/>
      </c>
      <c r="O457" s="1" t="str">
        <f>IF($N457="","",$C$36&amp;" – müşteriden tahsilat: "&amp;INDEX(TAHSILAT!$N$7:$N$2503,$T457)&amp;IF(INDEX(TAHSILAT!$J$7:$J$2503,$T457)="",""," – "&amp;INDEX(TAHSILAT!$J$7:$J$2503,$T457)))</f>
        <v/>
      </c>
      <c r="P457" s="1" t="str">
        <f t="shared" si="68"/>
        <v/>
      </c>
      <c r="Q457" s="1">
        <f>IF($N457="",0,INDEX(TAHSILAT!$F$7:$F$2503,$T457))</f>
        <v>0</v>
      </c>
      <c r="R457" s="1">
        <v>0</v>
      </c>
      <c r="S457" s="1">
        <f t="shared" si="75"/>
        <v>10000000000</v>
      </c>
      <c r="T457" s="1">
        <f>IFERROR(MATCH($C$36&amp;"|384",TAHSILAT!$U$7:$U$2503,0),0)</f>
        <v>0</v>
      </c>
      <c r="V457" s="1">
        <f t="shared" si="76"/>
        <v>10000000000</v>
      </c>
      <c r="W457" s="1">
        <f t="shared" si="77"/>
        <v>9</v>
      </c>
    </row>
    <row r="458" spans="2:23" ht="14.25" customHeight="1" x14ac:dyDescent="0.3">
      <c r="B458" s="65" t="str">
        <f t="shared" si="69"/>
        <v/>
      </c>
      <c r="C458" s="70" t="str">
        <f t="shared" si="70"/>
        <v/>
      </c>
      <c r="D458" s="74" t="str">
        <f t="shared" si="71"/>
        <v/>
      </c>
      <c r="F458" s="65" t="str">
        <f t="shared" si="72"/>
        <v/>
      </c>
      <c r="G458" s="68" t="str">
        <f t="shared" si="73"/>
        <v/>
      </c>
      <c r="H458" s="68" t="str">
        <f t="shared" si="74"/>
        <v/>
      </c>
      <c r="I458" s="68" t="str">
        <f t="shared" si="78"/>
        <v/>
      </c>
      <c r="M458" s="1">
        <v>421</v>
      </c>
      <c r="N458" s="1" t="str">
        <f>IF($T458=0,"",INDEX(TAHSILAT!$E$7:$E$2503,$T458))</f>
        <v/>
      </c>
      <c r="O458" s="1" t="str">
        <f>IF($N458="","",$C$36&amp;" – müşteriden tahsilat: "&amp;INDEX(TAHSILAT!$N$7:$N$2503,$T458)&amp;IF(INDEX(TAHSILAT!$J$7:$J$2503,$T458)="",""," – "&amp;INDEX(TAHSILAT!$J$7:$J$2503,$T458)))</f>
        <v/>
      </c>
      <c r="P458" s="1" t="str">
        <f t="shared" ref="P458:P521" si="79">IF($N458="","","MÜŞTERİDEN ALDI")</f>
        <v/>
      </c>
      <c r="Q458" s="1">
        <f>IF($N458="",0,INDEX(TAHSILAT!$F$7:$F$2503,$T458))</f>
        <v>0</v>
      </c>
      <c r="R458" s="1">
        <v>0</v>
      </c>
      <c r="S458" s="1">
        <f t="shared" si="75"/>
        <v>10000000000</v>
      </c>
      <c r="T458" s="1">
        <f>IFERROR(MATCH($C$36&amp;"|385",TAHSILAT!$U$7:$U$2503,0),0)</f>
        <v>0</v>
      </c>
      <c r="V458" s="1">
        <f t="shared" si="76"/>
        <v>10000000000</v>
      </c>
      <c r="W458" s="1">
        <f t="shared" si="77"/>
        <v>9</v>
      </c>
    </row>
    <row r="459" spans="2:23" ht="14.25" customHeight="1" x14ac:dyDescent="0.3">
      <c r="B459" s="65" t="str">
        <f t="shared" si="69"/>
        <v/>
      </c>
      <c r="C459" s="70" t="str">
        <f t="shared" si="70"/>
        <v/>
      </c>
      <c r="D459" s="74" t="str">
        <f t="shared" si="71"/>
        <v/>
      </c>
      <c r="F459" s="65" t="str">
        <f t="shared" si="72"/>
        <v/>
      </c>
      <c r="G459" s="68" t="str">
        <f t="shared" si="73"/>
        <v/>
      </c>
      <c r="H459" s="68" t="str">
        <f t="shared" si="74"/>
        <v/>
      </c>
      <c r="I459" s="68" t="str">
        <f t="shared" si="78"/>
        <v/>
      </c>
      <c r="M459" s="1">
        <v>422</v>
      </c>
      <c r="N459" s="1" t="str">
        <f>IF($T459=0,"",INDEX(TAHSILAT!$E$7:$E$2503,$T459))</f>
        <v/>
      </c>
      <c r="O459" s="1" t="str">
        <f>IF($N459="","",$C$36&amp;" – müşteriden tahsilat: "&amp;INDEX(TAHSILAT!$N$7:$N$2503,$T459)&amp;IF(INDEX(TAHSILAT!$J$7:$J$2503,$T459)="",""," – "&amp;INDEX(TAHSILAT!$J$7:$J$2503,$T459)))</f>
        <v/>
      </c>
      <c r="P459" s="1" t="str">
        <f t="shared" si="79"/>
        <v/>
      </c>
      <c r="Q459" s="1">
        <f>IF($N459="",0,INDEX(TAHSILAT!$F$7:$F$2503,$T459))</f>
        <v>0</v>
      </c>
      <c r="R459" s="1">
        <v>0</v>
      </c>
      <c r="S459" s="1">
        <f t="shared" si="75"/>
        <v>10000000000</v>
      </c>
      <c r="T459" s="1">
        <f>IFERROR(MATCH($C$36&amp;"|386",TAHSILAT!$U$7:$U$2503,0),0)</f>
        <v>0</v>
      </c>
      <c r="V459" s="1">
        <f t="shared" si="76"/>
        <v>10000000000</v>
      </c>
      <c r="W459" s="1">
        <f t="shared" si="77"/>
        <v>9</v>
      </c>
    </row>
    <row r="460" spans="2:23" ht="14.25" customHeight="1" x14ac:dyDescent="0.3">
      <c r="B460" s="65" t="str">
        <f t="shared" si="69"/>
        <v/>
      </c>
      <c r="C460" s="70" t="str">
        <f t="shared" si="70"/>
        <v/>
      </c>
      <c r="D460" s="74" t="str">
        <f t="shared" si="71"/>
        <v/>
      </c>
      <c r="F460" s="65" t="str">
        <f t="shared" si="72"/>
        <v/>
      </c>
      <c r="G460" s="68" t="str">
        <f t="shared" si="73"/>
        <v/>
      </c>
      <c r="H460" s="68" t="str">
        <f t="shared" si="74"/>
        <v/>
      </c>
      <c r="I460" s="68" t="str">
        <f t="shared" si="78"/>
        <v/>
      </c>
      <c r="M460" s="1">
        <v>423</v>
      </c>
      <c r="N460" s="1" t="str">
        <f>IF($T460=0,"",INDEX(TAHSILAT!$E$7:$E$2503,$T460))</f>
        <v/>
      </c>
      <c r="O460" s="1" t="str">
        <f>IF($N460="","",$C$36&amp;" – müşteriden tahsilat: "&amp;INDEX(TAHSILAT!$N$7:$N$2503,$T460)&amp;IF(INDEX(TAHSILAT!$J$7:$J$2503,$T460)="",""," – "&amp;INDEX(TAHSILAT!$J$7:$J$2503,$T460)))</f>
        <v/>
      </c>
      <c r="P460" s="1" t="str">
        <f t="shared" si="79"/>
        <v/>
      </c>
      <c r="Q460" s="1">
        <f>IF($N460="",0,INDEX(TAHSILAT!$F$7:$F$2503,$T460))</f>
        <v>0</v>
      </c>
      <c r="R460" s="1">
        <v>0</v>
      </c>
      <c r="S460" s="1">
        <f t="shared" si="75"/>
        <v>10000000000</v>
      </c>
      <c r="T460" s="1">
        <f>IFERROR(MATCH($C$36&amp;"|387",TAHSILAT!$U$7:$U$2503,0),0)</f>
        <v>0</v>
      </c>
      <c r="V460" s="1">
        <f t="shared" si="76"/>
        <v>10000000000</v>
      </c>
      <c r="W460" s="1">
        <f t="shared" si="77"/>
        <v>9</v>
      </c>
    </row>
    <row r="461" spans="2:23" ht="14.25" customHeight="1" x14ac:dyDescent="0.3">
      <c r="B461" s="65" t="str">
        <f t="shared" si="69"/>
        <v/>
      </c>
      <c r="C461" s="70" t="str">
        <f t="shared" si="70"/>
        <v/>
      </c>
      <c r="D461" s="74" t="str">
        <f t="shared" si="71"/>
        <v/>
      </c>
      <c r="F461" s="65" t="str">
        <f t="shared" si="72"/>
        <v/>
      </c>
      <c r="G461" s="68" t="str">
        <f t="shared" si="73"/>
        <v/>
      </c>
      <c r="H461" s="68" t="str">
        <f t="shared" si="74"/>
        <v/>
      </c>
      <c r="I461" s="68" t="str">
        <f t="shared" si="78"/>
        <v/>
      </c>
      <c r="M461" s="1">
        <v>424</v>
      </c>
      <c r="N461" s="1" t="str">
        <f>IF($T461=0,"",INDEX(TAHSILAT!$E$7:$E$2503,$T461))</f>
        <v/>
      </c>
      <c r="O461" s="1" t="str">
        <f>IF($N461="","",$C$36&amp;" – müşteriden tahsilat: "&amp;INDEX(TAHSILAT!$N$7:$N$2503,$T461)&amp;IF(INDEX(TAHSILAT!$J$7:$J$2503,$T461)="",""," – "&amp;INDEX(TAHSILAT!$J$7:$J$2503,$T461)))</f>
        <v/>
      </c>
      <c r="P461" s="1" t="str">
        <f t="shared" si="79"/>
        <v/>
      </c>
      <c r="Q461" s="1">
        <f>IF($N461="",0,INDEX(TAHSILAT!$F$7:$F$2503,$T461))</f>
        <v>0</v>
      </c>
      <c r="R461" s="1">
        <v>0</v>
      </c>
      <c r="S461" s="1">
        <f t="shared" si="75"/>
        <v>10000000000</v>
      </c>
      <c r="T461" s="1">
        <f>IFERROR(MATCH($C$36&amp;"|388",TAHSILAT!$U$7:$U$2503,0),0)</f>
        <v>0</v>
      </c>
      <c r="V461" s="1">
        <f t="shared" si="76"/>
        <v>10000000000</v>
      </c>
      <c r="W461" s="1">
        <f t="shared" si="77"/>
        <v>9</v>
      </c>
    </row>
    <row r="462" spans="2:23" ht="14.25" customHeight="1" x14ac:dyDescent="0.3">
      <c r="B462" s="65" t="str">
        <f t="shared" si="69"/>
        <v/>
      </c>
      <c r="C462" s="70" t="str">
        <f t="shared" si="70"/>
        <v/>
      </c>
      <c r="D462" s="74" t="str">
        <f t="shared" si="71"/>
        <v/>
      </c>
      <c r="F462" s="65" t="str">
        <f t="shared" si="72"/>
        <v/>
      </c>
      <c r="G462" s="68" t="str">
        <f t="shared" si="73"/>
        <v/>
      </c>
      <c r="H462" s="68" t="str">
        <f t="shared" si="74"/>
        <v/>
      </c>
      <c r="I462" s="68" t="str">
        <f t="shared" si="78"/>
        <v/>
      </c>
      <c r="M462" s="1">
        <v>425</v>
      </c>
      <c r="N462" s="1" t="str">
        <f>IF($T462=0,"",INDEX(TAHSILAT!$E$7:$E$2503,$T462))</f>
        <v/>
      </c>
      <c r="O462" s="1" t="str">
        <f>IF($N462="","",$C$36&amp;" – müşteriden tahsilat: "&amp;INDEX(TAHSILAT!$N$7:$N$2503,$T462)&amp;IF(INDEX(TAHSILAT!$J$7:$J$2503,$T462)="",""," – "&amp;INDEX(TAHSILAT!$J$7:$J$2503,$T462)))</f>
        <v/>
      </c>
      <c r="P462" s="1" t="str">
        <f t="shared" si="79"/>
        <v/>
      </c>
      <c r="Q462" s="1">
        <f>IF($N462="",0,INDEX(TAHSILAT!$F$7:$F$2503,$T462))</f>
        <v>0</v>
      </c>
      <c r="R462" s="1">
        <v>0</v>
      </c>
      <c r="S462" s="1">
        <f t="shared" si="75"/>
        <v>10000000000</v>
      </c>
      <c r="T462" s="1">
        <f>IFERROR(MATCH($C$36&amp;"|389",TAHSILAT!$U$7:$U$2503,0),0)</f>
        <v>0</v>
      </c>
      <c r="V462" s="1">
        <f t="shared" si="76"/>
        <v>10000000000</v>
      </c>
      <c r="W462" s="1">
        <f t="shared" si="77"/>
        <v>9</v>
      </c>
    </row>
    <row r="463" spans="2:23" ht="14.25" customHeight="1" x14ac:dyDescent="0.3">
      <c r="B463" s="65" t="str">
        <f t="shared" si="69"/>
        <v/>
      </c>
      <c r="C463" s="70" t="str">
        <f t="shared" si="70"/>
        <v/>
      </c>
      <c r="D463" s="74" t="str">
        <f t="shared" si="71"/>
        <v/>
      </c>
      <c r="F463" s="65" t="str">
        <f t="shared" si="72"/>
        <v/>
      </c>
      <c r="G463" s="68" t="str">
        <f t="shared" si="73"/>
        <v/>
      </c>
      <c r="H463" s="68" t="str">
        <f t="shared" si="74"/>
        <v/>
      </c>
      <c r="I463" s="68" t="str">
        <f t="shared" si="78"/>
        <v/>
      </c>
      <c r="M463" s="1">
        <v>426</v>
      </c>
      <c r="N463" s="1" t="str">
        <f>IF($T463=0,"",INDEX(TAHSILAT!$E$7:$E$2503,$T463))</f>
        <v/>
      </c>
      <c r="O463" s="1" t="str">
        <f>IF($N463="","",$C$36&amp;" – müşteriden tahsilat: "&amp;INDEX(TAHSILAT!$N$7:$N$2503,$T463)&amp;IF(INDEX(TAHSILAT!$J$7:$J$2503,$T463)="",""," – "&amp;INDEX(TAHSILAT!$J$7:$J$2503,$T463)))</f>
        <v/>
      </c>
      <c r="P463" s="1" t="str">
        <f t="shared" si="79"/>
        <v/>
      </c>
      <c r="Q463" s="1">
        <f>IF($N463="",0,INDEX(TAHSILAT!$F$7:$F$2503,$T463))</f>
        <v>0</v>
      </c>
      <c r="R463" s="1">
        <v>0</v>
      </c>
      <c r="S463" s="1">
        <f t="shared" si="75"/>
        <v>10000000000</v>
      </c>
      <c r="T463" s="1">
        <f>IFERROR(MATCH($C$36&amp;"|390",TAHSILAT!$U$7:$U$2503,0),0)</f>
        <v>0</v>
      </c>
      <c r="V463" s="1">
        <f t="shared" si="76"/>
        <v>10000000000</v>
      </c>
      <c r="W463" s="1">
        <f t="shared" si="77"/>
        <v>9</v>
      </c>
    </row>
    <row r="464" spans="2:23" ht="14.25" customHeight="1" x14ac:dyDescent="0.3">
      <c r="B464" s="65" t="str">
        <f t="shared" si="69"/>
        <v/>
      </c>
      <c r="C464" s="70" t="str">
        <f t="shared" si="70"/>
        <v/>
      </c>
      <c r="D464" s="74" t="str">
        <f t="shared" si="71"/>
        <v/>
      </c>
      <c r="F464" s="65" t="str">
        <f t="shared" si="72"/>
        <v/>
      </c>
      <c r="G464" s="68" t="str">
        <f t="shared" si="73"/>
        <v/>
      </c>
      <c r="H464" s="68" t="str">
        <f t="shared" si="74"/>
        <v/>
      </c>
      <c r="I464" s="68" t="str">
        <f t="shared" si="78"/>
        <v/>
      </c>
      <c r="M464" s="1">
        <v>427</v>
      </c>
      <c r="N464" s="1" t="str">
        <f>IF($T464=0,"",INDEX(TAHSILAT!$E$7:$E$2503,$T464))</f>
        <v/>
      </c>
      <c r="O464" s="1" t="str">
        <f>IF($N464="","",$C$36&amp;" – müşteriden tahsilat: "&amp;INDEX(TAHSILAT!$N$7:$N$2503,$T464)&amp;IF(INDEX(TAHSILAT!$J$7:$J$2503,$T464)="",""," – "&amp;INDEX(TAHSILAT!$J$7:$J$2503,$T464)))</f>
        <v/>
      </c>
      <c r="P464" s="1" t="str">
        <f t="shared" si="79"/>
        <v/>
      </c>
      <c r="Q464" s="1">
        <f>IF($N464="",0,INDEX(TAHSILAT!$F$7:$F$2503,$T464))</f>
        <v>0</v>
      </c>
      <c r="R464" s="1">
        <v>0</v>
      </c>
      <c r="S464" s="1">
        <f t="shared" si="75"/>
        <v>10000000000</v>
      </c>
      <c r="T464" s="1">
        <f>IFERROR(MATCH($C$36&amp;"|391",TAHSILAT!$U$7:$U$2503,0),0)</f>
        <v>0</v>
      </c>
      <c r="V464" s="1">
        <f t="shared" si="76"/>
        <v>10000000000</v>
      </c>
      <c r="W464" s="1">
        <f t="shared" si="77"/>
        <v>9</v>
      </c>
    </row>
    <row r="465" spans="2:23" ht="14.25" customHeight="1" x14ac:dyDescent="0.3">
      <c r="B465" s="65" t="str">
        <f t="shared" si="69"/>
        <v/>
      </c>
      <c r="C465" s="70" t="str">
        <f t="shared" si="70"/>
        <v/>
      </c>
      <c r="D465" s="74" t="str">
        <f t="shared" si="71"/>
        <v/>
      </c>
      <c r="F465" s="65" t="str">
        <f t="shared" si="72"/>
        <v/>
      </c>
      <c r="G465" s="68" t="str">
        <f t="shared" si="73"/>
        <v/>
      </c>
      <c r="H465" s="68" t="str">
        <f t="shared" si="74"/>
        <v/>
      </c>
      <c r="I465" s="68" t="str">
        <f t="shared" si="78"/>
        <v/>
      </c>
      <c r="M465" s="1">
        <v>428</v>
      </c>
      <c r="N465" s="1" t="str">
        <f>IF($T465=0,"",INDEX(TAHSILAT!$E$7:$E$2503,$T465))</f>
        <v/>
      </c>
      <c r="O465" s="1" t="str">
        <f>IF($N465="","",$C$36&amp;" – müşteriden tahsilat: "&amp;INDEX(TAHSILAT!$N$7:$N$2503,$T465)&amp;IF(INDEX(TAHSILAT!$J$7:$J$2503,$T465)="",""," – "&amp;INDEX(TAHSILAT!$J$7:$J$2503,$T465)))</f>
        <v/>
      </c>
      <c r="P465" s="1" t="str">
        <f t="shared" si="79"/>
        <v/>
      </c>
      <c r="Q465" s="1">
        <f>IF($N465="",0,INDEX(TAHSILAT!$F$7:$F$2503,$T465))</f>
        <v>0</v>
      </c>
      <c r="R465" s="1">
        <v>0</v>
      </c>
      <c r="S465" s="1">
        <f t="shared" si="75"/>
        <v>10000000000</v>
      </c>
      <c r="T465" s="1">
        <f>IFERROR(MATCH($C$36&amp;"|392",TAHSILAT!$U$7:$U$2503,0),0)</f>
        <v>0</v>
      </c>
      <c r="V465" s="1">
        <f t="shared" si="76"/>
        <v>10000000000</v>
      </c>
      <c r="W465" s="1">
        <f t="shared" si="77"/>
        <v>9</v>
      </c>
    </row>
    <row r="466" spans="2:23" ht="14.25" customHeight="1" x14ac:dyDescent="0.3">
      <c r="B466" s="65" t="str">
        <f t="shared" si="69"/>
        <v/>
      </c>
      <c r="C466" s="70" t="str">
        <f t="shared" si="70"/>
        <v/>
      </c>
      <c r="D466" s="74" t="str">
        <f t="shared" si="71"/>
        <v/>
      </c>
      <c r="F466" s="65" t="str">
        <f t="shared" si="72"/>
        <v/>
      </c>
      <c r="G466" s="68" t="str">
        <f t="shared" si="73"/>
        <v/>
      </c>
      <c r="H466" s="68" t="str">
        <f t="shared" si="74"/>
        <v/>
      </c>
      <c r="I466" s="68" t="str">
        <f t="shared" si="78"/>
        <v/>
      </c>
      <c r="M466" s="1">
        <v>429</v>
      </c>
      <c r="N466" s="1" t="str">
        <f>IF($T466=0,"",INDEX(TAHSILAT!$E$7:$E$2503,$T466))</f>
        <v/>
      </c>
      <c r="O466" s="1" t="str">
        <f>IF($N466="","",$C$36&amp;" – müşteriden tahsilat: "&amp;INDEX(TAHSILAT!$N$7:$N$2503,$T466)&amp;IF(INDEX(TAHSILAT!$J$7:$J$2503,$T466)="",""," – "&amp;INDEX(TAHSILAT!$J$7:$J$2503,$T466)))</f>
        <v/>
      </c>
      <c r="P466" s="1" t="str">
        <f t="shared" si="79"/>
        <v/>
      </c>
      <c r="Q466" s="1">
        <f>IF($N466="",0,INDEX(TAHSILAT!$F$7:$F$2503,$T466))</f>
        <v>0</v>
      </c>
      <c r="R466" s="1">
        <v>0</v>
      </c>
      <c r="S466" s="1">
        <f t="shared" si="75"/>
        <v>10000000000</v>
      </c>
      <c r="T466" s="1">
        <f>IFERROR(MATCH($C$36&amp;"|393",TAHSILAT!$U$7:$U$2503,0),0)</f>
        <v>0</v>
      </c>
      <c r="V466" s="1">
        <f t="shared" si="76"/>
        <v>10000000000</v>
      </c>
      <c r="W466" s="1">
        <f t="shared" si="77"/>
        <v>9</v>
      </c>
    </row>
    <row r="467" spans="2:23" ht="14.25" customHeight="1" x14ac:dyDescent="0.3">
      <c r="B467" s="65" t="str">
        <f t="shared" si="69"/>
        <v/>
      </c>
      <c r="C467" s="70" t="str">
        <f t="shared" si="70"/>
        <v/>
      </c>
      <c r="D467" s="74" t="str">
        <f t="shared" si="71"/>
        <v/>
      </c>
      <c r="F467" s="65" t="str">
        <f t="shared" si="72"/>
        <v/>
      </c>
      <c r="G467" s="68" t="str">
        <f t="shared" si="73"/>
        <v/>
      </c>
      <c r="H467" s="68" t="str">
        <f t="shared" si="74"/>
        <v/>
      </c>
      <c r="I467" s="68" t="str">
        <f t="shared" si="78"/>
        <v/>
      </c>
      <c r="M467" s="1">
        <v>430</v>
      </c>
      <c r="N467" s="1" t="str">
        <f>IF($T467=0,"",INDEX(TAHSILAT!$E$7:$E$2503,$T467))</f>
        <v/>
      </c>
      <c r="O467" s="1" t="str">
        <f>IF($N467="","",$C$36&amp;" – müşteriden tahsilat: "&amp;INDEX(TAHSILAT!$N$7:$N$2503,$T467)&amp;IF(INDEX(TAHSILAT!$J$7:$J$2503,$T467)="",""," – "&amp;INDEX(TAHSILAT!$J$7:$J$2503,$T467)))</f>
        <v/>
      </c>
      <c r="P467" s="1" t="str">
        <f t="shared" si="79"/>
        <v/>
      </c>
      <c r="Q467" s="1">
        <f>IF($N467="",0,INDEX(TAHSILAT!$F$7:$F$2503,$T467))</f>
        <v>0</v>
      </c>
      <c r="R467" s="1">
        <v>0</v>
      </c>
      <c r="S467" s="1">
        <f t="shared" si="75"/>
        <v>10000000000</v>
      </c>
      <c r="T467" s="1">
        <f>IFERROR(MATCH($C$36&amp;"|394",TAHSILAT!$U$7:$U$2503,0),0)</f>
        <v>0</v>
      </c>
      <c r="V467" s="1">
        <f t="shared" si="76"/>
        <v>10000000000</v>
      </c>
      <c r="W467" s="1">
        <f t="shared" si="77"/>
        <v>9</v>
      </c>
    </row>
    <row r="468" spans="2:23" ht="14.25" customHeight="1" x14ac:dyDescent="0.3">
      <c r="B468" s="65" t="str">
        <f t="shared" si="69"/>
        <v/>
      </c>
      <c r="C468" s="70" t="str">
        <f t="shared" si="70"/>
        <v/>
      </c>
      <c r="D468" s="74" t="str">
        <f t="shared" si="71"/>
        <v/>
      </c>
      <c r="F468" s="65" t="str">
        <f t="shared" si="72"/>
        <v/>
      </c>
      <c r="G468" s="68" t="str">
        <f t="shared" si="73"/>
        <v/>
      </c>
      <c r="H468" s="68" t="str">
        <f t="shared" si="74"/>
        <v/>
      </c>
      <c r="I468" s="68" t="str">
        <f t="shared" si="78"/>
        <v/>
      </c>
      <c r="M468" s="1">
        <v>431</v>
      </c>
      <c r="N468" s="1" t="str">
        <f>IF($T468=0,"",INDEX(TAHSILAT!$E$7:$E$2503,$T468))</f>
        <v/>
      </c>
      <c r="O468" s="1" t="str">
        <f>IF($N468="","",$C$36&amp;" – müşteriden tahsilat: "&amp;INDEX(TAHSILAT!$N$7:$N$2503,$T468)&amp;IF(INDEX(TAHSILAT!$J$7:$J$2503,$T468)="",""," – "&amp;INDEX(TAHSILAT!$J$7:$J$2503,$T468)))</f>
        <v/>
      </c>
      <c r="P468" s="1" t="str">
        <f t="shared" si="79"/>
        <v/>
      </c>
      <c r="Q468" s="1">
        <f>IF($N468="",0,INDEX(TAHSILAT!$F$7:$F$2503,$T468))</f>
        <v>0</v>
      </c>
      <c r="R468" s="1">
        <v>0</v>
      </c>
      <c r="S468" s="1">
        <f t="shared" si="75"/>
        <v>10000000000</v>
      </c>
      <c r="T468" s="1">
        <f>IFERROR(MATCH($C$36&amp;"|395",TAHSILAT!$U$7:$U$2503,0),0)</f>
        <v>0</v>
      </c>
      <c r="V468" s="1">
        <f t="shared" si="76"/>
        <v>10000000000</v>
      </c>
      <c r="W468" s="1">
        <f t="shared" si="77"/>
        <v>9</v>
      </c>
    </row>
    <row r="469" spans="2:23" ht="14.25" customHeight="1" x14ac:dyDescent="0.3">
      <c r="B469" s="65" t="str">
        <f t="shared" si="69"/>
        <v/>
      </c>
      <c r="C469" s="70" t="str">
        <f t="shared" si="70"/>
        <v/>
      </c>
      <c r="D469" s="74" t="str">
        <f t="shared" si="71"/>
        <v/>
      </c>
      <c r="F469" s="65" t="str">
        <f t="shared" si="72"/>
        <v/>
      </c>
      <c r="G469" s="68" t="str">
        <f t="shared" si="73"/>
        <v/>
      </c>
      <c r="H469" s="68" t="str">
        <f t="shared" si="74"/>
        <v/>
      </c>
      <c r="I469" s="68" t="str">
        <f t="shared" si="78"/>
        <v/>
      </c>
      <c r="M469" s="1">
        <v>432</v>
      </c>
      <c r="N469" s="1" t="str">
        <f>IF($T469=0,"",INDEX(TAHSILAT!$E$7:$E$2503,$T469))</f>
        <v/>
      </c>
      <c r="O469" s="1" t="str">
        <f>IF($N469="","",$C$36&amp;" – müşteriden tahsilat: "&amp;INDEX(TAHSILAT!$N$7:$N$2503,$T469)&amp;IF(INDEX(TAHSILAT!$J$7:$J$2503,$T469)="",""," – "&amp;INDEX(TAHSILAT!$J$7:$J$2503,$T469)))</f>
        <v/>
      </c>
      <c r="P469" s="1" t="str">
        <f t="shared" si="79"/>
        <v/>
      </c>
      <c r="Q469" s="1">
        <f>IF($N469="",0,INDEX(TAHSILAT!$F$7:$F$2503,$T469))</f>
        <v>0</v>
      </c>
      <c r="R469" s="1">
        <v>0</v>
      </c>
      <c r="S469" s="1">
        <f t="shared" si="75"/>
        <v>10000000000</v>
      </c>
      <c r="T469" s="1">
        <f>IFERROR(MATCH($C$36&amp;"|396",TAHSILAT!$U$7:$U$2503,0),0)</f>
        <v>0</v>
      </c>
      <c r="V469" s="1">
        <f t="shared" si="76"/>
        <v>10000000000</v>
      </c>
      <c r="W469" s="1">
        <f t="shared" si="77"/>
        <v>9</v>
      </c>
    </row>
    <row r="470" spans="2:23" ht="14.25" customHeight="1" x14ac:dyDescent="0.3">
      <c r="B470" s="65" t="str">
        <f t="shared" si="69"/>
        <v/>
      </c>
      <c r="C470" s="70" t="str">
        <f t="shared" si="70"/>
        <v/>
      </c>
      <c r="D470" s="74" t="str">
        <f t="shared" si="71"/>
        <v/>
      </c>
      <c r="F470" s="65" t="str">
        <f t="shared" si="72"/>
        <v/>
      </c>
      <c r="G470" s="68" t="str">
        <f t="shared" si="73"/>
        <v/>
      </c>
      <c r="H470" s="68" t="str">
        <f t="shared" si="74"/>
        <v/>
      </c>
      <c r="I470" s="68" t="str">
        <f t="shared" si="78"/>
        <v/>
      </c>
      <c r="M470" s="1">
        <v>433</v>
      </c>
      <c r="N470" s="1" t="str">
        <f>IF($T470=0,"",INDEX(TAHSILAT!$E$7:$E$2503,$T470))</f>
        <v/>
      </c>
      <c r="O470" s="1" t="str">
        <f>IF($N470="","",$C$36&amp;" – müşteriden tahsilat: "&amp;INDEX(TAHSILAT!$N$7:$N$2503,$T470)&amp;IF(INDEX(TAHSILAT!$J$7:$J$2503,$T470)="",""," – "&amp;INDEX(TAHSILAT!$J$7:$J$2503,$T470)))</f>
        <v/>
      </c>
      <c r="P470" s="1" t="str">
        <f t="shared" si="79"/>
        <v/>
      </c>
      <c r="Q470" s="1">
        <f>IF($N470="",0,INDEX(TAHSILAT!$F$7:$F$2503,$T470))</f>
        <v>0</v>
      </c>
      <c r="R470" s="1">
        <v>0</v>
      </c>
      <c r="S470" s="1">
        <f t="shared" si="75"/>
        <v>10000000000</v>
      </c>
      <c r="T470" s="1">
        <f>IFERROR(MATCH($C$36&amp;"|397",TAHSILAT!$U$7:$U$2503,0),0)</f>
        <v>0</v>
      </c>
      <c r="V470" s="1">
        <f t="shared" si="76"/>
        <v>10000000000</v>
      </c>
      <c r="W470" s="1">
        <f t="shared" si="77"/>
        <v>9</v>
      </c>
    </row>
    <row r="471" spans="2:23" ht="14.25" customHeight="1" x14ac:dyDescent="0.3">
      <c r="B471" s="65" t="str">
        <f t="shared" si="69"/>
        <v/>
      </c>
      <c r="C471" s="70" t="str">
        <f t="shared" si="70"/>
        <v/>
      </c>
      <c r="D471" s="74" t="str">
        <f t="shared" si="71"/>
        <v/>
      </c>
      <c r="F471" s="65" t="str">
        <f t="shared" si="72"/>
        <v/>
      </c>
      <c r="G471" s="68" t="str">
        <f t="shared" si="73"/>
        <v/>
      </c>
      <c r="H471" s="68" t="str">
        <f t="shared" si="74"/>
        <v/>
      </c>
      <c r="I471" s="68" t="str">
        <f t="shared" si="78"/>
        <v/>
      </c>
      <c r="M471" s="1">
        <v>434</v>
      </c>
      <c r="N471" s="1" t="str">
        <f>IF($T471=0,"",INDEX(TAHSILAT!$E$7:$E$2503,$T471))</f>
        <v/>
      </c>
      <c r="O471" s="1" t="str">
        <f>IF($N471="","",$C$36&amp;" – müşteriden tahsilat: "&amp;INDEX(TAHSILAT!$N$7:$N$2503,$T471)&amp;IF(INDEX(TAHSILAT!$J$7:$J$2503,$T471)="",""," – "&amp;INDEX(TAHSILAT!$J$7:$J$2503,$T471)))</f>
        <v/>
      </c>
      <c r="P471" s="1" t="str">
        <f t="shared" si="79"/>
        <v/>
      </c>
      <c r="Q471" s="1">
        <f>IF($N471="",0,INDEX(TAHSILAT!$F$7:$F$2503,$T471))</f>
        <v>0</v>
      </c>
      <c r="R471" s="1">
        <v>0</v>
      </c>
      <c r="S471" s="1">
        <f t="shared" si="75"/>
        <v>10000000000</v>
      </c>
      <c r="T471" s="1">
        <f>IFERROR(MATCH($C$36&amp;"|398",TAHSILAT!$U$7:$U$2503,0),0)</f>
        <v>0</v>
      </c>
      <c r="V471" s="1">
        <f t="shared" si="76"/>
        <v>10000000000</v>
      </c>
      <c r="W471" s="1">
        <f t="shared" si="77"/>
        <v>9</v>
      </c>
    </row>
    <row r="472" spans="2:23" ht="14.25" customHeight="1" x14ac:dyDescent="0.3">
      <c r="B472" s="65" t="str">
        <f t="shared" si="69"/>
        <v/>
      </c>
      <c r="C472" s="70" t="str">
        <f t="shared" si="70"/>
        <v/>
      </c>
      <c r="D472" s="74" t="str">
        <f t="shared" si="71"/>
        <v/>
      </c>
      <c r="F472" s="65" t="str">
        <f t="shared" si="72"/>
        <v/>
      </c>
      <c r="G472" s="68" t="str">
        <f t="shared" si="73"/>
        <v/>
      </c>
      <c r="H472" s="68" t="str">
        <f t="shared" si="74"/>
        <v/>
      </c>
      <c r="I472" s="68" t="str">
        <f t="shared" si="78"/>
        <v/>
      </c>
      <c r="M472" s="1">
        <v>435</v>
      </c>
      <c r="N472" s="1" t="str">
        <f>IF($T472=0,"",INDEX(TAHSILAT!$E$7:$E$2503,$T472))</f>
        <v/>
      </c>
      <c r="O472" s="1" t="str">
        <f>IF($N472="","",$C$36&amp;" – müşteriden tahsilat: "&amp;INDEX(TAHSILAT!$N$7:$N$2503,$T472)&amp;IF(INDEX(TAHSILAT!$J$7:$J$2503,$T472)="",""," – "&amp;INDEX(TAHSILAT!$J$7:$J$2503,$T472)))</f>
        <v/>
      </c>
      <c r="P472" s="1" t="str">
        <f t="shared" si="79"/>
        <v/>
      </c>
      <c r="Q472" s="1">
        <f>IF($N472="",0,INDEX(TAHSILAT!$F$7:$F$2503,$T472))</f>
        <v>0</v>
      </c>
      <c r="R472" s="1">
        <v>0</v>
      </c>
      <c r="S472" s="1">
        <f t="shared" si="75"/>
        <v>10000000000</v>
      </c>
      <c r="T472" s="1">
        <f>IFERROR(MATCH($C$36&amp;"|399",TAHSILAT!$U$7:$U$2503,0),0)</f>
        <v>0</v>
      </c>
      <c r="V472" s="1">
        <f t="shared" si="76"/>
        <v>10000000000</v>
      </c>
      <c r="W472" s="1">
        <f t="shared" si="77"/>
        <v>9</v>
      </c>
    </row>
    <row r="473" spans="2:23" ht="14.25" customHeight="1" x14ac:dyDescent="0.3">
      <c r="B473" s="65" t="str">
        <f t="shared" si="69"/>
        <v/>
      </c>
      <c r="C473" s="70" t="str">
        <f t="shared" si="70"/>
        <v/>
      </c>
      <c r="D473" s="74" t="str">
        <f t="shared" si="71"/>
        <v/>
      </c>
      <c r="F473" s="65" t="str">
        <f t="shared" si="72"/>
        <v/>
      </c>
      <c r="G473" s="68" t="str">
        <f t="shared" si="73"/>
        <v/>
      </c>
      <c r="H473" s="68" t="str">
        <f t="shared" si="74"/>
        <v/>
      </c>
      <c r="I473" s="68" t="str">
        <f t="shared" si="78"/>
        <v/>
      </c>
      <c r="M473" s="1">
        <v>436</v>
      </c>
      <c r="N473" s="1" t="str">
        <f>IF($T473=0,"",INDEX(TAHSILAT!$E$7:$E$2503,$T473))</f>
        <v/>
      </c>
      <c r="O473" s="1" t="str">
        <f>IF($N473="","",$C$36&amp;" – müşteriden tahsilat: "&amp;INDEX(TAHSILAT!$N$7:$N$2503,$T473)&amp;IF(INDEX(TAHSILAT!$J$7:$J$2503,$T473)="",""," – "&amp;INDEX(TAHSILAT!$J$7:$J$2503,$T473)))</f>
        <v/>
      </c>
      <c r="P473" s="1" t="str">
        <f t="shared" si="79"/>
        <v/>
      </c>
      <c r="Q473" s="1">
        <f>IF($N473="",0,INDEX(TAHSILAT!$F$7:$F$2503,$T473))</f>
        <v>0</v>
      </c>
      <c r="R473" s="1">
        <v>0</v>
      </c>
      <c r="S473" s="1">
        <f t="shared" si="75"/>
        <v>10000000000</v>
      </c>
      <c r="T473" s="1">
        <f>IFERROR(MATCH($C$36&amp;"|400",TAHSILAT!$U$7:$U$2503,0),0)</f>
        <v>0</v>
      </c>
      <c r="V473" s="1">
        <f t="shared" si="76"/>
        <v>10000000000</v>
      </c>
      <c r="W473" s="1">
        <f t="shared" si="77"/>
        <v>9</v>
      </c>
    </row>
    <row r="474" spans="2:23" ht="14.25" customHeight="1" x14ac:dyDescent="0.3">
      <c r="B474" s="65" t="str">
        <f t="shared" si="69"/>
        <v/>
      </c>
      <c r="C474" s="70" t="str">
        <f t="shared" si="70"/>
        <v/>
      </c>
      <c r="D474" s="74" t="str">
        <f t="shared" si="71"/>
        <v/>
      </c>
      <c r="F474" s="65" t="str">
        <f t="shared" si="72"/>
        <v/>
      </c>
      <c r="G474" s="68" t="str">
        <f t="shared" si="73"/>
        <v/>
      </c>
      <c r="H474" s="68" t="str">
        <f t="shared" si="74"/>
        <v/>
      </c>
      <c r="I474" s="68" t="str">
        <f t="shared" si="78"/>
        <v/>
      </c>
      <c r="M474" s="1">
        <v>437</v>
      </c>
      <c r="N474" s="1" t="str">
        <f>IF($T474=0,"",INDEX(TAHSILAT!$E$7:$E$2503,$T474))</f>
        <v/>
      </c>
      <c r="O474" s="1" t="str">
        <f>IF($N474="","",$C$36&amp;" – müşteriden tahsilat: "&amp;INDEX(TAHSILAT!$N$7:$N$2503,$T474)&amp;IF(INDEX(TAHSILAT!$J$7:$J$2503,$T474)="",""," – "&amp;INDEX(TAHSILAT!$J$7:$J$2503,$T474)))</f>
        <v/>
      </c>
      <c r="P474" s="1" t="str">
        <f t="shared" si="79"/>
        <v/>
      </c>
      <c r="Q474" s="1">
        <f>IF($N474="",0,INDEX(TAHSILAT!$F$7:$F$2503,$T474))</f>
        <v>0</v>
      </c>
      <c r="R474" s="1">
        <v>0</v>
      </c>
      <c r="S474" s="1">
        <f t="shared" si="75"/>
        <v>10000000000</v>
      </c>
      <c r="T474" s="1">
        <f>IFERROR(MATCH($C$36&amp;"|401",TAHSILAT!$U$7:$U$2503,0),0)</f>
        <v>0</v>
      </c>
      <c r="V474" s="1">
        <f t="shared" si="76"/>
        <v>10000000000</v>
      </c>
      <c r="W474" s="1">
        <f t="shared" si="77"/>
        <v>9</v>
      </c>
    </row>
    <row r="475" spans="2:23" ht="14.25" customHeight="1" x14ac:dyDescent="0.3">
      <c r="B475" s="65" t="str">
        <f t="shared" si="69"/>
        <v/>
      </c>
      <c r="C475" s="70" t="str">
        <f t="shared" si="70"/>
        <v/>
      </c>
      <c r="D475" s="74" t="str">
        <f t="shared" si="71"/>
        <v/>
      </c>
      <c r="F475" s="65" t="str">
        <f t="shared" si="72"/>
        <v/>
      </c>
      <c r="G475" s="68" t="str">
        <f t="shared" si="73"/>
        <v/>
      </c>
      <c r="H475" s="68" t="str">
        <f t="shared" si="74"/>
        <v/>
      </c>
      <c r="I475" s="68" t="str">
        <f t="shared" si="78"/>
        <v/>
      </c>
      <c r="M475" s="1">
        <v>438</v>
      </c>
      <c r="N475" s="1" t="str">
        <f>IF($T475=0,"",INDEX(TAHSILAT!$E$7:$E$2503,$T475))</f>
        <v/>
      </c>
      <c r="O475" s="1" t="str">
        <f>IF($N475="","",$C$36&amp;" – müşteriden tahsilat: "&amp;INDEX(TAHSILAT!$N$7:$N$2503,$T475)&amp;IF(INDEX(TAHSILAT!$J$7:$J$2503,$T475)="",""," – "&amp;INDEX(TAHSILAT!$J$7:$J$2503,$T475)))</f>
        <v/>
      </c>
      <c r="P475" s="1" t="str">
        <f t="shared" si="79"/>
        <v/>
      </c>
      <c r="Q475" s="1">
        <f>IF($N475="",0,INDEX(TAHSILAT!$F$7:$F$2503,$T475))</f>
        <v>0</v>
      </c>
      <c r="R475" s="1">
        <v>0</v>
      </c>
      <c r="S475" s="1">
        <f t="shared" si="75"/>
        <v>10000000000</v>
      </c>
      <c r="T475" s="1">
        <f>IFERROR(MATCH($C$36&amp;"|402",TAHSILAT!$U$7:$U$2503,0),0)</f>
        <v>0</v>
      </c>
      <c r="V475" s="1">
        <f t="shared" si="76"/>
        <v>10000000000</v>
      </c>
      <c r="W475" s="1">
        <f t="shared" si="77"/>
        <v>9</v>
      </c>
    </row>
    <row r="476" spans="2:23" ht="14.25" customHeight="1" x14ac:dyDescent="0.3">
      <c r="B476" s="65" t="str">
        <f t="shared" si="69"/>
        <v/>
      </c>
      <c r="C476" s="70" t="str">
        <f t="shared" si="70"/>
        <v/>
      </c>
      <c r="D476" s="74" t="str">
        <f t="shared" si="71"/>
        <v/>
      </c>
      <c r="F476" s="65" t="str">
        <f t="shared" si="72"/>
        <v/>
      </c>
      <c r="G476" s="68" t="str">
        <f t="shared" si="73"/>
        <v/>
      </c>
      <c r="H476" s="68" t="str">
        <f t="shared" si="74"/>
        <v/>
      </c>
      <c r="I476" s="68" t="str">
        <f t="shared" si="78"/>
        <v/>
      </c>
      <c r="M476" s="1">
        <v>439</v>
      </c>
      <c r="N476" s="1" t="str">
        <f>IF($T476=0,"",INDEX(TAHSILAT!$E$7:$E$2503,$T476))</f>
        <v/>
      </c>
      <c r="O476" s="1" t="str">
        <f>IF($N476="","",$C$36&amp;" – müşteriden tahsilat: "&amp;INDEX(TAHSILAT!$N$7:$N$2503,$T476)&amp;IF(INDEX(TAHSILAT!$J$7:$J$2503,$T476)="",""," – "&amp;INDEX(TAHSILAT!$J$7:$J$2503,$T476)))</f>
        <v/>
      </c>
      <c r="P476" s="1" t="str">
        <f t="shared" si="79"/>
        <v/>
      </c>
      <c r="Q476" s="1">
        <f>IF($N476="",0,INDEX(TAHSILAT!$F$7:$F$2503,$T476))</f>
        <v>0</v>
      </c>
      <c r="R476" s="1">
        <v>0</v>
      </c>
      <c r="S476" s="1">
        <f t="shared" si="75"/>
        <v>10000000000</v>
      </c>
      <c r="T476" s="1">
        <f>IFERROR(MATCH($C$36&amp;"|403",TAHSILAT!$U$7:$U$2503,0),0)</f>
        <v>0</v>
      </c>
      <c r="V476" s="1">
        <f t="shared" si="76"/>
        <v>10000000000</v>
      </c>
      <c r="W476" s="1">
        <f t="shared" si="77"/>
        <v>9</v>
      </c>
    </row>
    <row r="477" spans="2:23" ht="14.25" customHeight="1" x14ac:dyDescent="0.3">
      <c r="B477" s="65" t="str">
        <f t="shared" si="69"/>
        <v/>
      </c>
      <c r="C477" s="70" t="str">
        <f t="shared" si="70"/>
        <v/>
      </c>
      <c r="D477" s="74" t="str">
        <f t="shared" si="71"/>
        <v/>
      </c>
      <c r="F477" s="65" t="str">
        <f t="shared" si="72"/>
        <v/>
      </c>
      <c r="G477" s="68" t="str">
        <f t="shared" si="73"/>
        <v/>
      </c>
      <c r="H477" s="68" t="str">
        <f t="shared" si="74"/>
        <v/>
      </c>
      <c r="I477" s="68" t="str">
        <f t="shared" si="78"/>
        <v/>
      </c>
      <c r="M477" s="1">
        <v>440</v>
      </c>
      <c r="N477" s="1" t="str">
        <f>IF($T477=0,"",INDEX(TAHSILAT!$E$7:$E$2503,$T477))</f>
        <v/>
      </c>
      <c r="O477" s="1" t="str">
        <f>IF($N477="","",$C$36&amp;" – müşteriden tahsilat: "&amp;INDEX(TAHSILAT!$N$7:$N$2503,$T477)&amp;IF(INDEX(TAHSILAT!$J$7:$J$2503,$T477)="",""," – "&amp;INDEX(TAHSILAT!$J$7:$J$2503,$T477)))</f>
        <v/>
      </c>
      <c r="P477" s="1" t="str">
        <f t="shared" si="79"/>
        <v/>
      </c>
      <c r="Q477" s="1">
        <f>IF($N477="",0,INDEX(TAHSILAT!$F$7:$F$2503,$T477))</f>
        <v>0</v>
      </c>
      <c r="R477" s="1">
        <v>0</v>
      </c>
      <c r="S477" s="1">
        <f t="shared" si="75"/>
        <v>10000000000</v>
      </c>
      <c r="T477" s="1">
        <f>IFERROR(MATCH($C$36&amp;"|404",TAHSILAT!$U$7:$U$2503,0),0)</f>
        <v>0</v>
      </c>
      <c r="V477" s="1">
        <f t="shared" si="76"/>
        <v>10000000000</v>
      </c>
      <c r="W477" s="1">
        <f t="shared" si="77"/>
        <v>9</v>
      </c>
    </row>
    <row r="478" spans="2:23" ht="14.25" customHeight="1" x14ac:dyDescent="0.3">
      <c r="B478" s="65" t="str">
        <f t="shared" si="69"/>
        <v/>
      </c>
      <c r="C478" s="70" t="str">
        <f t="shared" si="70"/>
        <v/>
      </c>
      <c r="D478" s="74" t="str">
        <f t="shared" si="71"/>
        <v/>
      </c>
      <c r="F478" s="65" t="str">
        <f t="shared" si="72"/>
        <v/>
      </c>
      <c r="G478" s="68" t="str">
        <f t="shared" si="73"/>
        <v/>
      </c>
      <c r="H478" s="68" t="str">
        <f t="shared" si="74"/>
        <v/>
      </c>
      <c r="I478" s="68" t="str">
        <f t="shared" si="78"/>
        <v/>
      </c>
      <c r="M478" s="1">
        <v>441</v>
      </c>
      <c r="N478" s="1" t="str">
        <f>IF($T478=0,"",INDEX(TAHSILAT!$E$7:$E$2503,$T478))</f>
        <v/>
      </c>
      <c r="O478" s="1" t="str">
        <f>IF($N478="","",$C$36&amp;" – müşteriden tahsilat: "&amp;INDEX(TAHSILAT!$N$7:$N$2503,$T478)&amp;IF(INDEX(TAHSILAT!$J$7:$J$2503,$T478)="",""," – "&amp;INDEX(TAHSILAT!$J$7:$J$2503,$T478)))</f>
        <v/>
      </c>
      <c r="P478" s="1" t="str">
        <f t="shared" si="79"/>
        <v/>
      </c>
      <c r="Q478" s="1">
        <f>IF($N478="",0,INDEX(TAHSILAT!$F$7:$F$2503,$T478))</f>
        <v>0</v>
      </c>
      <c r="R478" s="1">
        <v>0</v>
      </c>
      <c r="S478" s="1">
        <f t="shared" si="75"/>
        <v>10000000000</v>
      </c>
      <c r="T478" s="1">
        <f>IFERROR(MATCH($C$36&amp;"|405",TAHSILAT!$U$7:$U$2503,0),0)</f>
        <v>0</v>
      </c>
      <c r="V478" s="1">
        <f t="shared" si="76"/>
        <v>10000000000</v>
      </c>
      <c r="W478" s="1">
        <f t="shared" si="77"/>
        <v>9</v>
      </c>
    </row>
    <row r="479" spans="2:23" ht="14.25" customHeight="1" x14ac:dyDescent="0.3">
      <c r="B479" s="65" t="str">
        <f t="shared" si="69"/>
        <v/>
      </c>
      <c r="C479" s="70" t="str">
        <f t="shared" si="70"/>
        <v/>
      </c>
      <c r="D479" s="74" t="str">
        <f t="shared" si="71"/>
        <v/>
      </c>
      <c r="F479" s="65" t="str">
        <f t="shared" si="72"/>
        <v/>
      </c>
      <c r="G479" s="68" t="str">
        <f t="shared" si="73"/>
        <v/>
      </c>
      <c r="H479" s="68" t="str">
        <f t="shared" si="74"/>
        <v/>
      </c>
      <c r="I479" s="68" t="str">
        <f t="shared" si="78"/>
        <v/>
      </c>
      <c r="M479" s="1">
        <v>442</v>
      </c>
      <c r="N479" s="1" t="str">
        <f>IF($T479=0,"",INDEX(TAHSILAT!$E$7:$E$2503,$T479))</f>
        <v/>
      </c>
      <c r="O479" s="1" t="str">
        <f>IF($N479="","",$C$36&amp;" – müşteriden tahsilat: "&amp;INDEX(TAHSILAT!$N$7:$N$2503,$T479)&amp;IF(INDEX(TAHSILAT!$J$7:$J$2503,$T479)="",""," – "&amp;INDEX(TAHSILAT!$J$7:$J$2503,$T479)))</f>
        <v/>
      </c>
      <c r="P479" s="1" t="str">
        <f t="shared" si="79"/>
        <v/>
      </c>
      <c r="Q479" s="1">
        <f>IF($N479="",0,INDEX(TAHSILAT!$F$7:$F$2503,$T479))</f>
        <v>0</v>
      </c>
      <c r="R479" s="1">
        <v>0</v>
      </c>
      <c r="S479" s="1">
        <f t="shared" si="75"/>
        <v>10000000000</v>
      </c>
      <c r="T479" s="1">
        <f>IFERROR(MATCH($C$36&amp;"|406",TAHSILAT!$U$7:$U$2503,0),0)</f>
        <v>0</v>
      </c>
      <c r="V479" s="1">
        <f t="shared" si="76"/>
        <v>10000000000</v>
      </c>
      <c r="W479" s="1">
        <f t="shared" si="77"/>
        <v>9</v>
      </c>
    </row>
    <row r="480" spans="2:23" ht="14.25" customHeight="1" x14ac:dyDescent="0.3">
      <c r="B480" s="65" t="str">
        <f t="shared" si="69"/>
        <v/>
      </c>
      <c r="C480" s="70" t="str">
        <f t="shared" si="70"/>
        <v/>
      </c>
      <c r="D480" s="74" t="str">
        <f t="shared" si="71"/>
        <v/>
      </c>
      <c r="F480" s="65" t="str">
        <f t="shared" si="72"/>
        <v/>
      </c>
      <c r="G480" s="68" t="str">
        <f t="shared" si="73"/>
        <v/>
      </c>
      <c r="H480" s="68" t="str">
        <f t="shared" si="74"/>
        <v/>
      </c>
      <c r="I480" s="68" t="str">
        <f t="shared" si="78"/>
        <v/>
      </c>
      <c r="M480" s="1">
        <v>443</v>
      </c>
      <c r="N480" s="1" t="str">
        <f>IF($T480=0,"",INDEX(TAHSILAT!$E$7:$E$2503,$T480))</f>
        <v/>
      </c>
      <c r="O480" s="1" t="str">
        <f>IF($N480="","",$C$36&amp;" – müşteriden tahsilat: "&amp;INDEX(TAHSILAT!$N$7:$N$2503,$T480)&amp;IF(INDEX(TAHSILAT!$J$7:$J$2503,$T480)="",""," – "&amp;INDEX(TAHSILAT!$J$7:$J$2503,$T480)))</f>
        <v/>
      </c>
      <c r="P480" s="1" t="str">
        <f t="shared" si="79"/>
        <v/>
      </c>
      <c r="Q480" s="1">
        <f>IF($N480="",0,INDEX(TAHSILAT!$F$7:$F$2503,$T480))</f>
        <v>0</v>
      </c>
      <c r="R480" s="1">
        <v>0</v>
      </c>
      <c r="S480" s="1">
        <f t="shared" si="75"/>
        <v>10000000000</v>
      </c>
      <c r="T480" s="1">
        <f>IFERROR(MATCH($C$36&amp;"|407",TAHSILAT!$U$7:$U$2503,0),0)</f>
        <v>0</v>
      </c>
      <c r="V480" s="1">
        <f t="shared" si="76"/>
        <v>10000000000</v>
      </c>
      <c r="W480" s="1">
        <f t="shared" si="77"/>
        <v>9</v>
      </c>
    </row>
    <row r="481" spans="2:23" ht="14.25" customHeight="1" x14ac:dyDescent="0.3">
      <c r="B481" s="65" t="str">
        <f t="shared" si="69"/>
        <v/>
      </c>
      <c r="C481" s="70" t="str">
        <f t="shared" si="70"/>
        <v/>
      </c>
      <c r="D481" s="74" t="str">
        <f t="shared" si="71"/>
        <v/>
      </c>
      <c r="F481" s="65" t="str">
        <f t="shared" si="72"/>
        <v/>
      </c>
      <c r="G481" s="68" t="str">
        <f t="shared" si="73"/>
        <v/>
      </c>
      <c r="H481" s="68" t="str">
        <f t="shared" si="74"/>
        <v/>
      </c>
      <c r="I481" s="68" t="str">
        <f t="shared" si="78"/>
        <v/>
      </c>
      <c r="M481" s="1">
        <v>444</v>
      </c>
      <c r="N481" s="1" t="str">
        <f>IF($T481=0,"",INDEX(TAHSILAT!$E$7:$E$2503,$T481))</f>
        <v/>
      </c>
      <c r="O481" s="1" t="str">
        <f>IF($N481="","",$C$36&amp;" – müşteriden tahsilat: "&amp;INDEX(TAHSILAT!$N$7:$N$2503,$T481)&amp;IF(INDEX(TAHSILAT!$J$7:$J$2503,$T481)="",""," – "&amp;INDEX(TAHSILAT!$J$7:$J$2503,$T481)))</f>
        <v/>
      </c>
      <c r="P481" s="1" t="str">
        <f t="shared" si="79"/>
        <v/>
      </c>
      <c r="Q481" s="1">
        <f>IF($N481="",0,INDEX(TAHSILAT!$F$7:$F$2503,$T481))</f>
        <v>0</v>
      </c>
      <c r="R481" s="1">
        <v>0</v>
      </c>
      <c r="S481" s="1">
        <f t="shared" si="75"/>
        <v>10000000000</v>
      </c>
      <c r="T481" s="1">
        <f>IFERROR(MATCH($C$36&amp;"|408",TAHSILAT!$U$7:$U$2503,0),0)</f>
        <v>0</v>
      </c>
      <c r="V481" s="1">
        <f t="shared" si="76"/>
        <v>10000000000</v>
      </c>
      <c r="W481" s="1">
        <f t="shared" si="77"/>
        <v>9</v>
      </c>
    </row>
    <row r="482" spans="2:23" ht="14.25" customHeight="1" x14ac:dyDescent="0.3">
      <c r="B482" s="65" t="str">
        <f t="shared" si="69"/>
        <v/>
      </c>
      <c r="C482" s="70" t="str">
        <f t="shared" si="70"/>
        <v/>
      </c>
      <c r="D482" s="74" t="str">
        <f t="shared" si="71"/>
        <v/>
      </c>
      <c r="F482" s="65" t="str">
        <f t="shared" si="72"/>
        <v/>
      </c>
      <c r="G482" s="68" t="str">
        <f t="shared" si="73"/>
        <v/>
      </c>
      <c r="H482" s="68" t="str">
        <f t="shared" si="74"/>
        <v/>
      </c>
      <c r="I482" s="68" t="str">
        <f t="shared" si="78"/>
        <v/>
      </c>
      <c r="M482" s="1">
        <v>445</v>
      </c>
      <c r="N482" s="1" t="str">
        <f>IF($T482=0,"",INDEX(TAHSILAT!$E$7:$E$2503,$T482))</f>
        <v/>
      </c>
      <c r="O482" s="1" t="str">
        <f>IF($N482="","",$C$36&amp;" – müşteriden tahsilat: "&amp;INDEX(TAHSILAT!$N$7:$N$2503,$T482)&amp;IF(INDEX(TAHSILAT!$J$7:$J$2503,$T482)="",""," – "&amp;INDEX(TAHSILAT!$J$7:$J$2503,$T482)))</f>
        <v/>
      </c>
      <c r="P482" s="1" t="str">
        <f t="shared" si="79"/>
        <v/>
      </c>
      <c r="Q482" s="1">
        <f>IF($N482="",0,INDEX(TAHSILAT!$F$7:$F$2503,$T482))</f>
        <v>0</v>
      </c>
      <c r="R482" s="1">
        <v>0</v>
      </c>
      <c r="S482" s="1">
        <f t="shared" si="75"/>
        <v>10000000000</v>
      </c>
      <c r="T482" s="1">
        <f>IFERROR(MATCH($C$36&amp;"|409",TAHSILAT!$U$7:$U$2503,0),0)</f>
        <v>0</v>
      </c>
      <c r="V482" s="1">
        <f t="shared" si="76"/>
        <v>10000000000</v>
      </c>
      <c r="W482" s="1">
        <f t="shared" si="77"/>
        <v>9</v>
      </c>
    </row>
    <row r="483" spans="2:23" ht="14.25" customHeight="1" x14ac:dyDescent="0.3">
      <c r="B483" s="65" t="str">
        <f t="shared" si="69"/>
        <v/>
      </c>
      <c r="C483" s="70" t="str">
        <f t="shared" si="70"/>
        <v/>
      </c>
      <c r="D483" s="74" t="str">
        <f t="shared" si="71"/>
        <v/>
      </c>
      <c r="F483" s="65" t="str">
        <f t="shared" si="72"/>
        <v/>
      </c>
      <c r="G483" s="68" t="str">
        <f t="shared" si="73"/>
        <v/>
      </c>
      <c r="H483" s="68" t="str">
        <f t="shared" si="74"/>
        <v/>
      </c>
      <c r="I483" s="68" t="str">
        <f t="shared" si="78"/>
        <v/>
      </c>
      <c r="M483" s="1">
        <v>446</v>
      </c>
      <c r="N483" s="1" t="str">
        <f>IF($T483=0,"",INDEX(TAHSILAT!$E$7:$E$2503,$T483))</f>
        <v/>
      </c>
      <c r="O483" s="1" t="str">
        <f>IF($N483="","",$C$36&amp;" – müşteriden tahsilat: "&amp;INDEX(TAHSILAT!$N$7:$N$2503,$T483)&amp;IF(INDEX(TAHSILAT!$J$7:$J$2503,$T483)="",""," – "&amp;INDEX(TAHSILAT!$J$7:$J$2503,$T483)))</f>
        <v/>
      </c>
      <c r="P483" s="1" t="str">
        <f t="shared" si="79"/>
        <v/>
      </c>
      <c r="Q483" s="1">
        <f>IF($N483="",0,INDEX(TAHSILAT!$F$7:$F$2503,$T483))</f>
        <v>0</v>
      </c>
      <c r="R483" s="1">
        <v>0</v>
      </c>
      <c r="S483" s="1">
        <f t="shared" si="75"/>
        <v>10000000000</v>
      </c>
      <c r="T483" s="1">
        <f>IFERROR(MATCH($C$36&amp;"|410",TAHSILAT!$U$7:$U$2503,0),0)</f>
        <v>0</v>
      </c>
      <c r="V483" s="1">
        <f t="shared" si="76"/>
        <v>10000000000</v>
      </c>
      <c r="W483" s="1">
        <f t="shared" si="77"/>
        <v>9</v>
      </c>
    </row>
    <row r="484" spans="2:23" ht="14.25" customHeight="1" x14ac:dyDescent="0.3">
      <c r="B484" s="65" t="str">
        <f t="shared" si="69"/>
        <v/>
      </c>
      <c r="C484" s="70" t="str">
        <f t="shared" si="70"/>
        <v/>
      </c>
      <c r="D484" s="74" t="str">
        <f t="shared" si="71"/>
        <v/>
      </c>
      <c r="F484" s="65" t="str">
        <f t="shared" si="72"/>
        <v/>
      </c>
      <c r="G484" s="68" t="str">
        <f t="shared" si="73"/>
        <v/>
      </c>
      <c r="H484" s="68" t="str">
        <f t="shared" si="74"/>
        <v/>
      </c>
      <c r="I484" s="68" t="str">
        <f t="shared" si="78"/>
        <v/>
      </c>
      <c r="M484" s="1">
        <v>447</v>
      </c>
      <c r="N484" s="1" t="str">
        <f>IF($T484=0,"",INDEX(TAHSILAT!$E$7:$E$2503,$T484))</f>
        <v/>
      </c>
      <c r="O484" s="1" t="str">
        <f>IF($N484="","",$C$36&amp;" – müşteriden tahsilat: "&amp;INDEX(TAHSILAT!$N$7:$N$2503,$T484)&amp;IF(INDEX(TAHSILAT!$J$7:$J$2503,$T484)="",""," – "&amp;INDEX(TAHSILAT!$J$7:$J$2503,$T484)))</f>
        <v/>
      </c>
      <c r="P484" s="1" t="str">
        <f t="shared" si="79"/>
        <v/>
      </c>
      <c r="Q484" s="1">
        <f>IF($N484="",0,INDEX(TAHSILAT!$F$7:$F$2503,$T484))</f>
        <v>0</v>
      </c>
      <c r="R484" s="1">
        <v>0</v>
      </c>
      <c r="S484" s="1">
        <f t="shared" si="75"/>
        <v>10000000000</v>
      </c>
      <c r="T484" s="1">
        <f>IFERROR(MATCH($C$36&amp;"|411",TAHSILAT!$U$7:$U$2503,0),0)</f>
        <v>0</v>
      </c>
      <c r="V484" s="1">
        <f t="shared" si="76"/>
        <v>10000000000</v>
      </c>
      <c r="W484" s="1">
        <f t="shared" si="77"/>
        <v>9</v>
      </c>
    </row>
    <row r="485" spans="2:23" ht="14.25" customHeight="1" x14ac:dyDescent="0.3">
      <c r="B485" s="65" t="str">
        <f t="shared" si="69"/>
        <v/>
      </c>
      <c r="C485" s="70" t="str">
        <f t="shared" si="70"/>
        <v/>
      </c>
      <c r="D485" s="74" t="str">
        <f t="shared" si="71"/>
        <v/>
      </c>
      <c r="F485" s="65" t="str">
        <f t="shared" si="72"/>
        <v/>
      </c>
      <c r="G485" s="68" t="str">
        <f t="shared" si="73"/>
        <v/>
      </c>
      <c r="H485" s="68" t="str">
        <f t="shared" si="74"/>
        <v/>
      </c>
      <c r="I485" s="68" t="str">
        <f t="shared" si="78"/>
        <v/>
      </c>
      <c r="M485" s="1">
        <v>448</v>
      </c>
      <c r="N485" s="1" t="str">
        <f>IF($T485=0,"",INDEX(TAHSILAT!$E$7:$E$2503,$T485))</f>
        <v/>
      </c>
      <c r="O485" s="1" t="str">
        <f>IF($N485="","",$C$36&amp;" – müşteriden tahsilat: "&amp;INDEX(TAHSILAT!$N$7:$N$2503,$T485)&amp;IF(INDEX(TAHSILAT!$J$7:$J$2503,$T485)="",""," – "&amp;INDEX(TAHSILAT!$J$7:$J$2503,$T485)))</f>
        <v/>
      </c>
      <c r="P485" s="1" t="str">
        <f t="shared" si="79"/>
        <v/>
      </c>
      <c r="Q485" s="1">
        <f>IF($N485="",0,INDEX(TAHSILAT!$F$7:$F$2503,$T485))</f>
        <v>0</v>
      </c>
      <c r="R485" s="1">
        <v>0</v>
      </c>
      <c r="S485" s="1">
        <f t="shared" si="75"/>
        <v>10000000000</v>
      </c>
      <c r="T485" s="1">
        <f>IFERROR(MATCH($C$36&amp;"|412",TAHSILAT!$U$7:$U$2503,0),0)</f>
        <v>0</v>
      </c>
      <c r="V485" s="1">
        <f t="shared" si="76"/>
        <v>10000000000</v>
      </c>
      <c r="W485" s="1">
        <f t="shared" si="77"/>
        <v>9</v>
      </c>
    </row>
    <row r="486" spans="2:23" ht="14.25" customHeight="1" x14ac:dyDescent="0.3">
      <c r="B486" s="65" t="str">
        <f t="shared" ref="B486:B549" si="80">IF($C486="","",ROW()-37)</f>
        <v/>
      </c>
      <c r="C486" s="70" t="str">
        <f t="shared" ref="C486:C549" si="81">IF($W486="","",IF(INDEX($N$38:$N$953,$W486)="","",INDEX($N$38:$N$953,$W486)))</f>
        <v/>
      </c>
      <c r="D486" s="74" t="str">
        <f t="shared" ref="D486:D549" si="82">IF($C486="","",INDEX($O$38:$O$953,$W486))</f>
        <v/>
      </c>
      <c r="F486" s="65" t="str">
        <f t="shared" ref="F486:F549" si="83">IF($C486="","",INDEX($P$38:$P$953,$W486))</f>
        <v/>
      </c>
      <c r="G486" s="68" t="str">
        <f t="shared" ref="G486:G549" si="84">IF($C486="","",INDEX($Q$38:$Q$953,$W486))</f>
        <v/>
      </c>
      <c r="H486" s="68" t="str">
        <f t="shared" ref="H486:H549" si="85">IF($C486="","",INDEX($R$38:$R$953,$W486))</f>
        <v/>
      </c>
      <c r="I486" s="68" t="str">
        <f t="shared" si="78"/>
        <v/>
      </c>
      <c r="M486" s="1">
        <v>449</v>
      </c>
      <c r="N486" s="1" t="str">
        <f>IF($T486=0,"",INDEX(TAHSILAT!$E$7:$E$2503,$T486))</f>
        <v/>
      </c>
      <c r="O486" s="1" t="str">
        <f>IF($N486="","",$C$36&amp;" – müşteriden tahsilat: "&amp;INDEX(TAHSILAT!$N$7:$N$2503,$T486)&amp;IF(INDEX(TAHSILAT!$J$7:$J$2503,$T486)="",""," – "&amp;INDEX(TAHSILAT!$J$7:$J$2503,$T486)))</f>
        <v/>
      </c>
      <c r="P486" s="1" t="str">
        <f t="shared" si="79"/>
        <v/>
      </c>
      <c r="Q486" s="1">
        <f>IF($N486="",0,INDEX(TAHSILAT!$F$7:$F$2503,$T486))</f>
        <v>0</v>
      </c>
      <c r="R486" s="1">
        <v>0</v>
      </c>
      <c r="S486" s="1">
        <f t="shared" ref="S486:S549" si="86">IF($N486="",10000000000,$N486*100000+$M486)</f>
        <v>10000000000</v>
      </c>
      <c r="T486" s="1">
        <f>IFERROR(MATCH($C$36&amp;"|413",TAHSILAT!$U$7:$U$2503,0),0)</f>
        <v>0</v>
      </c>
      <c r="V486" s="1">
        <f t="shared" ref="V486:V549" si="87">IFERROR(SMALL($S$38:$S$953,ROW()-37),"")</f>
        <v>10000000000</v>
      </c>
      <c r="W486" s="1">
        <f t="shared" ref="W486:W549" si="88">IFERROR(MATCH($V486,$S$38:$S$953,0),"")</f>
        <v>9</v>
      </c>
    </row>
    <row r="487" spans="2:23" ht="14.25" customHeight="1" x14ac:dyDescent="0.3">
      <c r="B487" s="65" t="str">
        <f t="shared" si="80"/>
        <v/>
      </c>
      <c r="C487" s="70" t="str">
        <f t="shared" si="81"/>
        <v/>
      </c>
      <c r="D487" s="74" t="str">
        <f t="shared" si="82"/>
        <v/>
      </c>
      <c r="F487" s="65" t="str">
        <f t="shared" si="83"/>
        <v/>
      </c>
      <c r="G487" s="68" t="str">
        <f t="shared" si="84"/>
        <v/>
      </c>
      <c r="H487" s="68" t="str">
        <f t="shared" si="85"/>
        <v/>
      </c>
      <c r="I487" s="68" t="str">
        <f t="shared" ref="I487:I550" si="89">IF($C487="","",N($I486)+$G487-$H487)</f>
        <v/>
      </c>
      <c r="M487" s="1">
        <v>450</v>
      </c>
      <c r="N487" s="1" t="str">
        <f>IF($T487=0,"",INDEX(TAHSILAT!$E$7:$E$2503,$T487))</f>
        <v/>
      </c>
      <c r="O487" s="1" t="str">
        <f>IF($N487="","",$C$36&amp;" – müşteriden tahsilat: "&amp;INDEX(TAHSILAT!$N$7:$N$2503,$T487)&amp;IF(INDEX(TAHSILAT!$J$7:$J$2503,$T487)="",""," – "&amp;INDEX(TAHSILAT!$J$7:$J$2503,$T487)))</f>
        <v/>
      </c>
      <c r="P487" s="1" t="str">
        <f t="shared" si="79"/>
        <v/>
      </c>
      <c r="Q487" s="1">
        <f>IF($N487="",0,INDEX(TAHSILAT!$F$7:$F$2503,$T487))</f>
        <v>0</v>
      </c>
      <c r="R487" s="1">
        <v>0</v>
      </c>
      <c r="S487" s="1">
        <f t="shared" si="86"/>
        <v>10000000000</v>
      </c>
      <c r="T487" s="1">
        <f>IFERROR(MATCH($C$36&amp;"|414",TAHSILAT!$U$7:$U$2503,0),0)</f>
        <v>0</v>
      </c>
      <c r="V487" s="1">
        <f t="shared" si="87"/>
        <v>10000000000</v>
      </c>
      <c r="W487" s="1">
        <f t="shared" si="88"/>
        <v>9</v>
      </c>
    </row>
    <row r="488" spans="2:23" ht="14.25" customHeight="1" x14ac:dyDescent="0.3">
      <c r="B488" s="65" t="str">
        <f t="shared" si="80"/>
        <v/>
      </c>
      <c r="C488" s="70" t="str">
        <f t="shared" si="81"/>
        <v/>
      </c>
      <c r="D488" s="74" t="str">
        <f t="shared" si="82"/>
        <v/>
      </c>
      <c r="F488" s="65" t="str">
        <f t="shared" si="83"/>
        <v/>
      </c>
      <c r="G488" s="68" t="str">
        <f t="shared" si="84"/>
        <v/>
      </c>
      <c r="H488" s="68" t="str">
        <f t="shared" si="85"/>
        <v/>
      </c>
      <c r="I488" s="68" t="str">
        <f t="shared" si="89"/>
        <v/>
      </c>
      <c r="M488" s="1">
        <v>451</v>
      </c>
      <c r="N488" s="1" t="str">
        <f>IF($T488=0,"",INDEX(TAHSILAT!$E$7:$E$2503,$T488))</f>
        <v/>
      </c>
      <c r="O488" s="1" t="str">
        <f>IF($N488="","",$C$36&amp;" – müşteriden tahsilat: "&amp;INDEX(TAHSILAT!$N$7:$N$2503,$T488)&amp;IF(INDEX(TAHSILAT!$J$7:$J$2503,$T488)="",""," – "&amp;INDEX(TAHSILAT!$J$7:$J$2503,$T488)))</f>
        <v/>
      </c>
      <c r="P488" s="1" t="str">
        <f t="shared" si="79"/>
        <v/>
      </c>
      <c r="Q488" s="1">
        <f>IF($N488="",0,INDEX(TAHSILAT!$F$7:$F$2503,$T488))</f>
        <v>0</v>
      </c>
      <c r="R488" s="1">
        <v>0</v>
      </c>
      <c r="S488" s="1">
        <f t="shared" si="86"/>
        <v>10000000000</v>
      </c>
      <c r="T488" s="1">
        <f>IFERROR(MATCH($C$36&amp;"|415",TAHSILAT!$U$7:$U$2503,0),0)</f>
        <v>0</v>
      </c>
      <c r="V488" s="1">
        <f t="shared" si="87"/>
        <v>10000000000</v>
      </c>
      <c r="W488" s="1">
        <f t="shared" si="88"/>
        <v>9</v>
      </c>
    </row>
    <row r="489" spans="2:23" ht="14.25" customHeight="1" x14ac:dyDescent="0.3">
      <c r="B489" s="65" t="str">
        <f t="shared" si="80"/>
        <v/>
      </c>
      <c r="C489" s="70" t="str">
        <f t="shared" si="81"/>
        <v/>
      </c>
      <c r="D489" s="74" t="str">
        <f t="shared" si="82"/>
        <v/>
      </c>
      <c r="F489" s="65" t="str">
        <f t="shared" si="83"/>
        <v/>
      </c>
      <c r="G489" s="68" t="str">
        <f t="shared" si="84"/>
        <v/>
      </c>
      <c r="H489" s="68" t="str">
        <f t="shared" si="85"/>
        <v/>
      </c>
      <c r="I489" s="68" t="str">
        <f t="shared" si="89"/>
        <v/>
      </c>
      <c r="M489" s="1">
        <v>452</v>
      </c>
      <c r="N489" s="1" t="str">
        <f>IF($T489=0,"",INDEX(TAHSILAT!$E$7:$E$2503,$T489))</f>
        <v/>
      </c>
      <c r="O489" s="1" t="str">
        <f>IF($N489="","",$C$36&amp;" – müşteriden tahsilat: "&amp;INDEX(TAHSILAT!$N$7:$N$2503,$T489)&amp;IF(INDEX(TAHSILAT!$J$7:$J$2503,$T489)="",""," – "&amp;INDEX(TAHSILAT!$J$7:$J$2503,$T489)))</f>
        <v/>
      </c>
      <c r="P489" s="1" t="str">
        <f t="shared" si="79"/>
        <v/>
      </c>
      <c r="Q489" s="1">
        <f>IF($N489="",0,INDEX(TAHSILAT!$F$7:$F$2503,$T489))</f>
        <v>0</v>
      </c>
      <c r="R489" s="1">
        <v>0</v>
      </c>
      <c r="S489" s="1">
        <f t="shared" si="86"/>
        <v>10000000000</v>
      </c>
      <c r="T489" s="1">
        <f>IFERROR(MATCH($C$36&amp;"|416",TAHSILAT!$U$7:$U$2503,0),0)</f>
        <v>0</v>
      </c>
      <c r="V489" s="1">
        <f t="shared" si="87"/>
        <v>10000000000</v>
      </c>
      <c r="W489" s="1">
        <f t="shared" si="88"/>
        <v>9</v>
      </c>
    </row>
    <row r="490" spans="2:23" ht="14.25" customHeight="1" x14ac:dyDescent="0.3">
      <c r="B490" s="65" t="str">
        <f t="shared" si="80"/>
        <v/>
      </c>
      <c r="C490" s="70" t="str">
        <f t="shared" si="81"/>
        <v/>
      </c>
      <c r="D490" s="74" t="str">
        <f t="shared" si="82"/>
        <v/>
      </c>
      <c r="F490" s="65" t="str">
        <f t="shared" si="83"/>
        <v/>
      </c>
      <c r="G490" s="68" t="str">
        <f t="shared" si="84"/>
        <v/>
      </c>
      <c r="H490" s="68" t="str">
        <f t="shared" si="85"/>
        <v/>
      </c>
      <c r="I490" s="68" t="str">
        <f t="shared" si="89"/>
        <v/>
      </c>
      <c r="M490" s="1">
        <v>453</v>
      </c>
      <c r="N490" s="1" t="str">
        <f>IF($T490=0,"",INDEX(TAHSILAT!$E$7:$E$2503,$T490))</f>
        <v/>
      </c>
      <c r="O490" s="1" t="str">
        <f>IF($N490="","",$C$36&amp;" – müşteriden tahsilat: "&amp;INDEX(TAHSILAT!$N$7:$N$2503,$T490)&amp;IF(INDEX(TAHSILAT!$J$7:$J$2503,$T490)="",""," – "&amp;INDEX(TAHSILAT!$J$7:$J$2503,$T490)))</f>
        <v/>
      </c>
      <c r="P490" s="1" t="str">
        <f t="shared" si="79"/>
        <v/>
      </c>
      <c r="Q490" s="1">
        <f>IF($N490="",0,INDEX(TAHSILAT!$F$7:$F$2503,$T490))</f>
        <v>0</v>
      </c>
      <c r="R490" s="1">
        <v>0</v>
      </c>
      <c r="S490" s="1">
        <f t="shared" si="86"/>
        <v>10000000000</v>
      </c>
      <c r="T490" s="1">
        <f>IFERROR(MATCH($C$36&amp;"|417",TAHSILAT!$U$7:$U$2503,0),0)</f>
        <v>0</v>
      </c>
      <c r="V490" s="1">
        <f t="shared" si="87"/>
        <v>10000000000</v>
      </c>
      <c r="W490" s="1">
        <f t="shared" si="88"/>
        <v>9</v>
      </c>
    </row>
    <row r="491" spans="2:23" ht="14.25" customHeight="1" x14ac:dyDescent="0.3">
      <c r="B491" s="65" t="str">
        <f t="shared" si="80"/>
        <v/>
      </c>
      <c r="C491" s="70" t="str">
        <f t="shared" si="81"/>
        <v/>
      </c>
      <c r="D491" s="74" t="str">
        <f t="shared" si="82"/>
        <v/>
      </c>
      <c r="F491" s="65" t="str">
        <f t="shared" si="83"/>
        <v/>
      </c>
      <c r="G491" s="68" t="str">
        <f t="shared" si="84"/>
        <v/>
      </c>
      <c r="H491" s="68" t="str">
        <f t="shared" si="85"/>
        <v/>
      </c>
      <c r="I491" s="68" t="str">
        <f t="shared" si="89"/>
        <v/>
      </c>
      <c r="M491" s="1">
        <v>454</v>
      </c>
      <c r="N491" s="1" t="str">
        <f>IF($T491=0,"",INDEX(TAHSILAT!$E$7:$E$2503,$T491))</f>
        <v/>
      </c>
      <c r="O491" s="1" t="str">
        <f>IF($N491="","",$C$36&amp;" – müşteriden tahsilat: "&amp;INDEX(TAHSILAT!$N$7:$N$2503,$T491)&amp;IF(INDEX(TAHSILAT!$J$7:$J$2503,$T491)="",""," – "&amp;INDEX(TAHSILAT!$J$7:$J$2503,$T491)))</f>
        <v/>
      </c>
      <c r="P491" s="1" t="str">
        <f t="shared" si="79"/>
        <v/>
      </c>
      <c r="Q491" s="1">
        <f>IF($N491="",0,INDEX(TAHSILAT!$F$7:$F$2503,$T491))</f>
        <v>0</v>
      </c>
      <c r="R491" s="1">
        <v>0</v>
      </c>
      <c r="S491" s="1">
        <f t="shared" si="86"/>
        <v>10000000000</v>
      </c>
      <c r="T491" s="1">
        <f>IFERROR(MATCH($C$36&amp;"|418",TAHSILAT!$U$7:$U$2503,0),0)</f>
        <v>0</v>
      </c>
      <c r="V491" s="1">
        <f t="shared" si="87"/>
        <v>10000000000</v>
      </c>
      <c r="W491" s="1">
        <f t="shared" si="88"/>
        <v>9</v>
      </c>
    </row>
    <row r="492" spans="2:23" ht="14.25" customHeight="1" x14ac:dyDescent="0.3">
      <c r="B492" s="65" t="str">
        <f t="shared" si="80"/>
        <v/>
      </c>
      <c r="C492" s="70" t="str">
        <f t="shared" si="81"/>
        <v/>
      </c>
      <c r="D492" s="74" t="str">
        <f t="shared" si="82"/>
        <v/>
      </c>
      <c r="F492" s="65" t="str">
        <f t="shared" si="83"/>
        <v/>
      </c>
      <c r="G492" s="68" t="str">
        <f t="shared" si="84"/>
        <v/>
      </c>
      <c r="H492" s="68" t="str">
        <f t="shared" si="85"/>
        <v/>
      </c>
      <c r="I492" s="68" t="str">
        <f t="shared" si="89"/>
        <v/>
      </c>
      <c r="M492" s="1">
        <v>455</v>
      </c>
      <c r="N492" s="1" t="str">
        <f>IF($T492=0,"",INDEX(TAHSILAT!$E$7:$E$2503,$T492))</f>
        <v/>
      </c>
      <c r="O492" s="1" t="str">
        <f>IF($N492="","",$C$36&amp;" – müşteriden tahsilat: "&amp;INDEX(TAHSILAT!$N$7:$N$2503,$T492)&amp;IF(INDEX(TAHSILAT!$J$7:$J$2503,$T492)="",""," – "&amp;INDEX(TAHSILAT!$J$7:$J$2503,$T492)))</f>
        <v/>
      </c>
      <c r="P492" s="1" t="str">
        <f t="shared" si="79"/>
        <v/>
      </c>
      <c r="Q492" s="1">
        <f>IF($N492="",0,INDEX(TAHSILAT!$F$7:$F$2503,$T492))</f>
        <v>0</v>
      </c>
      <c r="R492" s="1">
        <v>0</v>
      </c>
      <c r="S492" s="1">
        <f t="shared" si="86"/>
        <v>10000000000</v>
      </c>
      <c r="T492" s="1">
        <f>IFERROR(MATCH($C$36&amp;"|419",TAHSILAT!$U$7:$U$2503,0),0)</f>
        <v>0</v>
      </c>
      <c r="V492" s="1">
        <f t="shared" si="87"/>
        <v>10000000000</v>
      </c>
      <c r="W492" s="1">
        <f t="shared" si="88"/>
        <v>9</v>
      </c>
    </row>
    <row r="493" spans="2:23" ht="14.25" customHeight="1" x14ac:dyDescent="0.3">
      <c r="B493" s="65" t="str">
        <f t="shared" si="80"/>
        <v/>
      </c>
      <c r="C493" s="70" t="str">
        <f t="shared" si="81"/>
        <v/>
      </c>
      <c r="D493" s="74" t="str">
        <f t="shared" si="82"/>
        <v/>
      </c>
      <c r="F493" s="65" t="str">
        <f t="shared" si="83"/>
        <v/>
      </c>
      <c r="G493" s="68" t="str">
        <f t="shared" si="84"/>
        <v/>
      </c>
      <c r="H493" s="68" t="str">
        <f t="shared" si="85"/>
        <v/>
      </c>
      <c r="I493" s="68" t="str">
        <f t="shared" si="89"/>
        <v/>
      </c>
      <c r="M493" s="1">
        <v>456</v>
      </c>
      <c r="N493" s="1" t="str">
        <f>IF($T493=0,"",INDEX(TAHSILAT!$E$7:$E$2503,$T493))</f>
        <v/>
      </c>
      <c r="O493" s="1" t="str">
        <f>IF($N493="","",$C$36&amp;" – müşteriden tahsilat: "&amp;INDEX(TAHSILAT!$N$7:$N$2503,$T493)&amp;IF(INDEX(TAHSILAT!$J$7:$J$2503,$T493)="",""," – "&amp;INDEX(TAHSILAT!$J$7:$J$2503,$T493)))</f>
        <v/>
      </c>
      <c r="P493" s="1" t="str">
        <f t="shared" si="79"/>
        <v/>
      </c>
      <c r="Q493" s="1">
        <f>IF($N493="",0,INDEX(TAHSILAT!$F$7:$F$2503,$T493))</f>
        <v>0</v>
      </c>
      <c r="R493" s="1">
        <v>0</v>
      </c>
      <c r="S493" s="1">
        <f t="shared" si="86"/>
        <v>10000000000</v>
      </c>
      <c r="T493" s="1">
        <f>IFERROR(MATCH($C$36&amp;"|420",TAHSILAT!$U$7:$U$2503,0),0)</f>
        <v>0</v>
      </c>
      <c r="V493" s="1">
        <f t="shared" si="87"/>
        <v>10000000000</v>
      </c>
      <c r="W493" s="1">
        <f t="shared" si="88"/>
        <v>9</v>
      </c>
    </row>
    <row r="494" spans="2:23" ht="14.25" customHeight="1" x14ac:dyDescent="0.3">
      <c r="B494" s="65" t="str">
        <f t="shared" si="80"/>
        <v/>
      </c>
      <c r="C494" s="70" t="str">
        <f t="shared" si="81"/>
        <v/>
      </c>
      <c r="D494" s="74" t="str">
        <f t="shared" si="82"/>
        <v/>
      </c>
      <c r="F494" s="65" t="str">
        <f t="shared" si="83"/>
        <v/>
      </c>
      <c r="G494" s="68" t="str">
        <f t="shared" si="84"/>
        <v/>
      </c>
      <c r="H494" s="68" t="str">
        <f t="shared" si="85"/>
        <v/>
      </c>
      <c r="I494" s="68" t="str">
        <f t="shared" si="89"/>
        <v/>
      </c>
      <c r="M494" s="1">
        <v>457</v>
      </c>
      <c r="N494" s="1" t="str">
        <f>IF($T494=0,"",INDEX(TAHSILAT!$E$7:$E$2503,$T494))</f>
        <v/>
      </c>
      <c r="O494" s="1" t="str">
        <f>IF($N494="","",$C$36&amp;" – müşteriden tahsilat: "&amp;INDEX(TAHSILAT!$N$7:$N$2503,$T494)&amp;IF(INDEX(TAHSILAT!$J$7:$J$2503,$T494)="",""," – "&amp;INDEX(TAHSILAT!$J$7:$J$2503,$T494)))</f>
        <v/>
      </c>
      <c r="P494" s="1" t="str">
        <f t="shared" si="79"/>
        <v/>
      </c>
      <c r="Q494" s="1">
        <f>IF($N494="",0,INDEX(TAHSILAT!$F$7:$F$2503,$T494))</f>
        <v>0</v>
      </c>
      <c r="R494" s="1">
        <v>0</v>
      </c>
      <c r="S494" s="1">
        <f t="shared" si="86"/>
        <v>10000000000</v>
      </c>
      <c r="T494" s="1">
        <f>IFERROR(MATCH($C$36&amp;"|421",TAHSILAT!$U$7:$U$2503,0),0)</f>
        <v>0</v>
      </c>
      <c r="V494" s="1">
        <f t="shared" si="87"/>
        <v>10000000000</v>
      </c>
      <c r="W494" s="1">
        <f t="shared" si="88"/>
        <v>9</v>
      </c>
    </row>
    <row r="495" spans="2:23" ht="14.25" customHeight="1" x14ac:dyDescent="0.3">
      <c r="B495" s="65" t="str">
        <f t="shared" si="80"/>
        <v/>
      </c>
      <c r="C495" s="70" t="str">
        <f t="shared" si="81"/>
        <v/>
      </c>
      <c r="D495" s="74" t="str">
        <f t="shared" si="82"/>
        <v/>
      </c>
      <c r="F495" s="65" t="str">
        <f t="shared" si="83"/>
        <v/>
      </c>
      <c r="G495" s="68" t="str">
        <f t="shared" si="84"/>
        <v/>
      </c>
      <c r="H495" s="68" t="str">
        <f t="shared" si="85"/>
        <v/>
      </c>
      <c r="I495" s="68" t="str">
        <f t="shared" si="89"/>
        <v/>
      </c>
      <c r="M495" s="1">
        <v>458</v>
      </c>
      <c r="N495" s="1" t="str">
        <f>IF($T495=0,"",INDEX(TAHSILAT!$E$7:$E$2503,$T495))</f>
        <v/>
      </c>
      <c r="O495" s="1" t="str">
        <f>IF($N495="","",$C$36&amp;" – müşteriden tahsilat: "&amp;INDEX(TAHSILAT!$N$7:$N$2503,$T495)&amp;IF(INDEX(TAHSILAT!$J$7:$J$2503,$T495)="",""," – "&amp;INDEX(TAHSILAT!$J$7:$J$2503,$T495)))</f>
        <v/>
      </c>
      <c r="P495" s="1" t="str">
        <f t="shared" si="79"/>
        <v/>
      </c>
      <c r="Q495" s="1">
        <f>IF($N495="",0,INDEX(TAHSILAT!$F$7:$F$2503,$T495))</f>
        <v>0</v>
      </c>
      <c r="R495" s="1">
        <v>0</v>
      </c>
      <c r="S495" s="1">
        <f t="shared" si="86"/>
        <v>10000000000</v>
      </c>
      <c r="T495" s="1">
        <f>IFERROR(MATCH($C$36&amp;"|422",TAHSILAT!$U$7:$U$2503,0),0)</f>
        <v>0</v>
      </c>
      <c r="V495" s="1">
        <f t="shared" si="87"/>
        <v>10000000000</v>
      </c>
      <c r="W495" s="1">
        <f t="shared" si="88"/>
        <v>9</v>
      </c>
    </row>
    <row r="496" spans="2:23" ht="14.25" customHeight="1" x14ac:dyDescent="0.3">
      <c r="B496" s="65" t="str">
        <f t="shared" si="80"/>
        <v/>
      </c>
      <c r="C496" s="70" t="str">
        <f t="shared" si="81"/>
        <v/>
      </c>
      <c r="D496" s="74" t="str">
        <f t="shared" si="82"/>
        <v/>
      </c>
      <c r="F496" s="65" t="str">
        <f t="shared" si="83"/>
        <v/>
      </c>
      <c r="G496" s="68" t="str">
        <f t="shared" si="84"/>
        <v/>
      </c>
      <c r="H496" s="68" t="str">
        <f t="shared" si="85"/>
        <v/>
      </c>
      <c r="I496" s="68" t="str">
        <f t="shared" si="89"/>
        <v/>
      </c>
      <c r="M496" s="1">
        <v>459</v>
      </c>
      <c r="N496" s="1" t="str">
        <f>IF($T496=0,"",INDEX(TAHSILAT!$E$7:$E$2503,$T496))</f>
        <v/>
      </c>
      <c r="O496" s="1" t="str">
        <f>IF($N496="","",$C$36&amp;" – müşteriden tahsilat: "&amp;INDEX(TAHSILAT!$N$7:$N$2503,$T496)&amp;IF(INDEX(TAHSILAT!$J$7:$J$2503,$T496)="",""," – "&amp;INDEX(TAHSILAT!$J$7:$J$2503,$T496)))</f>
        <v/>
      </c>
      <c r="P496" s="1" t="str">
        <f t="shared" si="79"/>
        <v/>
      </c>
      <c r="Q496" s="1">
        <f>IF($N496="",0,INDEX(TAHSILAT!$F$7:$F$2503,$T496))</f>
        <v>0</v>
      </c>
      <c r="R496" s="1">
        <v>0</v>
      </c>
      <c r="S496" s="1">
        <f t="shared" si="86"/>
        <v>10000000000</v>
      </c>
      <c r="T496" s="1">
        <f>IFERROR(MATCH($C$36&amp;"|423",TAHSILAT!$U$7:$U$2503,0),0)</f>
        <v>0</v>
      </c>
      <c r="V496" s="1">
        <f t="shared" si="87"/>
        <v>10000000000</v>
      </c>
      <c r="W496" s="1">
        <f t="shared" si="88"/>
        <v>9</v>
      </c>
    </row>
    <row r="497" spans="2:23" ht="14.25" customHeight="1" x14ac:dyDescent="0.3">
      <c r="B497" s="65" t="str">
        <f t="shared" si="80"/>
        <v/>
      </c>
      <c r="C497" s="70" t="str">
        <f t="shared" si="81"/>
        <v/>
      </c>
      <c r="D497" s="74" t="str">
        <f t="shared" si="82"/>
        <v/>
      </c>
      <c r="F497" s="65" t="str">
        <f t="shared" si="83"/>
        <v/>
      </c>
      <c r="G497" s="68" t="str">
        <f t="shared" si="84"/>
        <v/>
      </c>
      <c r="H497" s="68" t="str">
        <f t="shared" si="85"/>
        <v/>
      </c>
      <c r="I497" s="68" t="str">
        <f t="shared" si="89"/>
        <v/>
      </c>
      <c r="M497" s="1">
        <v>460</v>
      </c>
      <c r="N497" s="1" t="str">
        <f>IF($T497=0,"",INDEX(TAHSILAT!$E$7:$E$2503,$T497))</f>
        <v/>
      </c>
      <c r="O497" s="1" t="str">
        <f>IF($N497="","",$C$36&amp;" – müşteriden tahsilat: "&amp;INDEX(TAHSILAT!$N$7:$N$2503,$T497)&amp;IF(INDEX(TAHSILAT!$J$7:$J$2503,$T497)="",""," – "&amp;INDEX(TAHSILAT!$J$7:$J$2503,$T497)))</f>
        <v/>
      </c>
      <c r="P497" s="1" t="str">
        <f t="shared" si="79"/>
        <v/>
      </c>
      <c r="Q497" s="1">
        <f>IF($N497="",0,INDEX(TAHSILAT!$F$7:$F$2503,$T497))</f>
        <v>0</v>
      </c>
      <c r="R497" s="1">
        <v>0</v>
      </c>
      <c r="S497" s="1">
        <f t="shared" si="86"/>
        <v>10000000000</v>
      </c>
      <c r="T497" s="1">
        <f>IFERROR(MATCH($C$36&amp;"|424",TAHSILAT!$U$7:$U$2503,0),0)</f>
        <v>0</v>
      </c>
      <c r="V497" s="1">
        <f t="shared" si="87"/>
        <v>10000000000</v>
      </c>
      <c r="W497" s="1">
        <f t="shared" si="88"/>
        <v>9</v>
      </c>
    </row>
    <row r="498" spans="2:23" ht="14.25" customHeight="1" x14ac:dyDescent="0.3">
      <c r="B498" s="65" t="str">
        <f t="shared" si="80"/>
        <v/>
      </c>
      <c r="C498" s="70" t="str">
        <f t="shared" si="81"/>
        <v/>
      </c>
      <c r="D498" s="74" t="str">
        <f t="shared" si="82"/>
        <v/>
      </c>
      <c r="F498" s="65" t="str">
        <f t="shared" si="83"/>
        <v/>
      </c>
      <c r="G498" s="68" t="str">
        <f t="shared" si="84"/>
        <v/>
      </c>
      <c r="H498" s="68" t="str">
        <f t="shared" si="85"/>
        <v/>
      </c>
      <c r="I498" s="68" t="str">
        <f t="shared" si="89"/>
        <v/>
      </c>
      <c r="M498" s="1">
        <v>461</v>
      </c>
      <c r="N498" s="1" t="str">
        <f>IF($T498=0,"",INDEX(TAHSILAT!$E$7:$E$2503,$T498))</f>
        <v/>
      </c>
      <c r="O498" s="1" t="str">
        <f>IF($N498="","",$C$36&amp;" – müşteriden tahsilat: "&amp;INDEX(TAHSILAT!$N$7:$N$2503,$T498)&amp;IF(INDEX(TAHSILAT!$J$7:$J$2503,$T498)="",""," – "&amp;INDEX(TAHSILAT!$J$7:$J$2503,$T498)))</f>
        <v/>
      </c>
      <c r="P498" s="1" t="str">
        <f t="shared" si="79"/>
        <v/>
      </c>
      <c r="Q498" s="1">
        <f>IF($N498="",0,INDEX(TAHSILAT!$F$7:$F$2503,$T498))</f>
        <v>0</v>
      </c>
      <c r="R498" s="1">
        <v>0</v>
      </c>
      <c r="S498" s="1">
        <f t="shared" si="86"/>
        <v>10000000000</v>
      </c>
      <c r="T498" s="1">
        <f>IFERROR(MATCH($C$36&amp;"|425",TAHSILAT!$U$7:$U$2503,0),0)</f>
        <v>0</v>
      </c>
      <c r="V498" s="1">
        <f t="shared" si="87"/>
        <v>10000000000</v>
      </c>
      <c r="W498" s="1">
        <f t="shared" si="88"/>
        <v>9</v>
      </c>
    </row>
    <row r="499" spans="2:23" ht="14.25" customHeight="1" x14ac:dyDescent="0.3">
      <c r="B499" s="65" t="str">
        <f t="shared" si="80"/>
        <v/>
      </c>
      <c r="C499" s="70" t="str">
        <f t="shared" si="81"/>
        <v/>
      </c>
      <c r="D499" s="74" t="str">
        <f t="shared" si="82"/>
        <v/>
      </c>
      <c r="F499" s="65" t="str">
        <f t="shared" si="83"/>
        <v/>
      </c>
      <c r="G499" s="68" t="str">
        <f t="shared" si="84"/>
        <v/>
      </c>
      <c r="H499" s="68" t="str">
        <f t="shared" si="85"/>
        <v/>
      </c>
      <c r="I499" s="68" t="str">
        <f t="shared" si="89"/>
        <v/>
      </c>
      <c r="M499" s="1">
        <v>462</v>
      </c>
      <c r="N499" s="1" t="str">
        <f>IF($T499=0,"",INDEX(TAHSILAT!$E$7:$E$2503,$T499))</f>
        <v/>
      </c>
      <c r="O499" s="1" t="str">
        <f>IF($N499="","",$C$36&amp;" – müşteriden tahsilat: "&amp;INDEX(TAHSILAT!$N$7:$N$2503,$T499)&amp;IF(INDEX(TAHSILAT!$J$7:$J$2503,$T499)="",""," – "&amp;INDEX(TAHSILAT!$J$7:$J$2503,$T499)))</f>
        <v/>
      </c>
      <c r="P499" s="1" t="str">
        <f t="shared" si="79"/>
        <v/>
      </c>
      <c r="Q499" s="1">
        <f>IF($N499="",0,INDEX(TAHSILAT!$F$7:$F$2503,$T499))</f>
        <v>0</v>
      </c>
      <c r="R499" s="1">
        <v>0</v>
      </c>
      <c r="S499" s="1">
        <f t="shared" si="86"/>
        <v>10000000000</v>
      </c>
      <c r="T499" s="1">
        <f>IFERROR(MATCH($C$36&amp;"|426",TAHSILAT!$U$7:$U$2503,0),0)</f>
        <v>0</v>
      </c>
      <c r="V499" s="1">
        <f t="shared" si="87"/>
        <v>10000000000</v>
      </c>
      <c r="W499" s="1">
        <f t="shared" si="88"/>
        <v>9</v>
      </c>
    </row>
    <row r="500" spans="2:23" ht="14.25" customHeight="1" x14ac:dyDescent="0.3">
      <c r="B500" s="65" t="str">
        <f t="shared" si="80"/>
        <v/>
      </c>
      <c r="C500" s="70" t="str">
        <f t="shared" si="81"/>
        <v/>
      </c>
      <c r="D500" s="74" t="str">
        <f t="shared" si="82"/>
        <v/>
      </c>
      <c r="F500" s="65" t="str">
        <f t="shared" si="83"/>
        <v/>
      </c>
      <c r="G500" s="68" t="str">
        <f t="shared" si="84"/>
        <v/>
      </c>
      <c r="H500" s="68" t="str">
        <f t="shared" si="85"/>
        <v/>
      </c>
      <c r="I500" s="68" t="str">
        <f t="shared" si="89"/>
        <v/>
      </c>
      <c r="M500" s="1">
        <v>463</v>
      </c>
      <c r="N500" s="1" t="str">
        <f>IF($T500=0,"",INDEX(TAHSILAT!$E$7:$E$2503,$T500))</f>
        <v/>
      </c>
      <c r="O500" s="1" t="str">
        <f>IF($N500="","",$C$36&amp;" – müşteriden tahsilat: "&amp;INDEX(TAHSILAT!$N$7:$N$2503,$T500)&amp;IF(INDEX(TAHSILAT!$J$7:$J$2503,$T500)="",""," – "&amp;INDEX(TAHSILAT!$J$7:$J$2503,$T500)))</f>
        <v/>
      </c>
      <c r="P500" s="1" t="str">
        <f t="shared" si="79"/>
        <v/>
      </c>
      <c r="Q500" s="1">
        <f>IF($N500="",0,INDEX(TAHSILAT!$F$7:$F$2503,$T500))</f>
        <v>0</v>
      </c>
      <c r="R500" s="1">
        <v>0</v>
      </c>
      <c r="S500" s="1">
        <f t="shared" si="86"/>
        <v>10000000000</v>
      </c>
      <c r="T500" s="1">
        <f>IFERROR(MATCH($C$36&amp;"|427",TAHSILAT!$U$7:$U$2503,0),0)</f>
        <v>0</v>
      </c>
      <c r="V500" s="1">
        <f t="shared" si="87"/>
        <v>10000000000</v>
      </c>
      <c r="W500" s="1">
        <f t="shared" si="88"/>
        <v>9</v>
      </c>
    </row>
    <row r="501" spans="2:23" ht="14.25" customHeight="1" x14ac:dyDescent="0.3">
      <c r="B501" s="65" t="str">
        <f t="shared" si="80"/>
        <v/>
      </c>
      <c r="C501" s="70" t="str">
        <f t="shared" si="81"/>
        <v/>
      </c>
      <c r="D501" s="74" t="str">
        <f t="shared" si="82"/>
        <v/>
      </c>
      <c r="F501" s="65" t="str">
        <f t="shared" si="83"/>
        <v/>
      </c>
      <c r="G501" s="68" t="str">
        <f t="shared" si="84"/>
        <v/>
      </c>
      <c r="H501" s="68" t="str">
        <f t="shared" si="85"/>
        <v/>
      </c>
      <c r="I501" s="68" t="str">
        <f t="shared" si="89"/>
        <v/>
      </c>
      <c r="M501" s="1">
        <v>464</v>
      </c>
      <c r="N501" s="1" t="str">
        <f>IF($T501=0,"",INDEX(TAHSILAT!$E$7:$E$2503,$T501))</f>
        <v/>
      </c>
      <c r="O501" s="1" t="str">
        <f>IF($N501="","",$C$36&amp;" – müşteriden tahsilat: "&amp;INDEX(TAHSILAT!$N$7:$N$2503,$T501)&amp;IF(INDEX(TAHSILAT!$J$7:$J$2503,$T501)="",""," – "&amp;INDEX(TAHSILAT!$J$7:$J$2503,$T501)))</f>
        <v/>
      </c>
      <c r="P501" s="1" t="str">
        <f t="shared" si="79"/>
        <v/>
      </c>
      <c r="Q501" s="1">
        <f>IF($N501="",0,INDEX(TAHSILAT!$F$7:$F$2503,$T501))</f>
        <v>0</v>
      </c>
      <c r="R501" s="1">
        <v>0</v>
      </c>
      <c r="S501" s="1">
        <f t="shared" si="86"/>
        <v>10000000000</v>
      </c>
      <c r="T501" s="1">
        <f>IFERROR(MATCH($C$36&amp;"|428",TAHSILAT!$U$7:$U$2503,0),0)</f>
        <v>0</v>
      </c>
      <c r="V501" s="1">
        <f t="shared" si="87"/>
        <v>10000000000</v>
      </c>
      <c r="W501" s="1">
        <f t="shared" si="88"/>
        <v>9</v>
      </c>
    </row>
    <row r="502" spans="2:23" ht="14.25" customHeight="1" x14ac:dyDescent="0.3">
      <c r="B502" s="65" t="str">
        <f t="shared" si="80"/>
        <v/>
      </c>
      <c r="C502" s="70" t="str">
        <f t="shared" si="81"/>
        <v/>
      </c>
      <c r="D502" s="74" t="str">
        <f t="shared" si="82"/>
        <v/>
      </c>
      <c r="F502" s="65" t="str">
        <f t="shared" si="83"/>
        <v/>
      </c>
      <c r="G502" s="68" t="str">
        <f t="shared" si="84"/>
        <v/>
      </c>
      <c r="H502" s="68" t="str">
        <f t="shared" si="85"/>
        <v/>
      </c>
      <c r="I502" s="68" t="str">
        <f t="shared" si="89"/>
        <v/>
      </c>
      <c r="M502" s="1">
        <v>465</v>
      </c>
      <c r="N502" s="1" t="str">
        <f>IF($T502=0,"",INDEX(TAHSILAT!$E$7:$E$2503,$T502))</f>
        <v/>
      </c>
      <c r="O502" s="1" t="str">
        <f>IF($N502="","",$C$36&amp;" – müşteriden tahsilat: "&amp;INDEX(TAHSILAT!$N$7:$N$2503,$T502)&amp;IF(INDEX(TAHSILAT!$J$7:$J$2503,$T502)="",""," – "&amp;INDEX(TAHSILAT!$J$7:$J$2503,$T502)))</f>
        <v/>
      </c>
      <c r="P502" s="1" t="str">
        <f t="shared" si="79"/>
        <v/>
      </c>
      <c r="Q502" s="1">
        <f>IF($N502="",0,INDEX(TAHSILAT!$F$7:$F$2503,$T502))</f>
        <v>0</v>
      </c>
      <c r="R502" s="1">
        <v>0</v>
      </c>
      <c r="S502" s="1">
        <f t="shared" si="86"/>
        <v>10000000000</v>
      </c>
      <c r="T502" s="1">
        <f>IFERROR(MATCH($C$36&amp;"|429",TAHSILAT!$U$7:$U$2503,0),0)</f>
        <v>0</v>
      </c>
      <c r="V502" s="1">
        <f t="shared" si="87"/>
        <v>10000000000</v>
      </c>
      <c r="W502" s="1">
        <f t="shared" si="88"/>
        <v>9</v>
      </c>
    </row>
    <row r="503" spans="2:23" ht="14.25" customHeight="1" x14ac:dyDescent="0.3">
      <c r="B503" s="65" t="str">
        <f t="shared" si="80"/>
        <v/>
      </c>
      <c r="C503" s="70" t="str">
        <f t="shared" si="81"/>
        <v/>
      </c>
      <c r="D503" s="74" t="str">
        <f t="shared" si="82"/>
        <v/>
      </c>
      <c r="F503" s="65" t="str">
        <f t="shared" si="83"/>
        <v/>
      </c>
      <c r="G503" s="68" t="str">
        <f t="shared" si="84"/>
        <v/>
      </c>
      <c r="H503" s="68" t="str">
        <f t="shared" si="85"/>
        <v/>
      </c>
      <c r="I503" s="68" t="str">
        <f t="shared" si="89"/>
        <v/>
      </c>
      <c r="M503" s="1">
        <v>466</v>
      </c>
      <c r="N503" s="1" t="str">
        <f>IF($T503=0,"",INDEX(TAHSILAT!$E$7:$E$2503,$T503))</f>
        <v/>
      </c>
      <c r="O503" s="1" t="str">
        <f>IF($N503="","",$C$36&amp;" – müşteriden tahsilat: "&amp;INDEX(TAHSILAT!$N$7:$N$2503,$T503)&amp;IF(INDEX(TAHSILAT!$J$7:$J$2503,$T503)="",""," – "&amp;INDEX(TAHSILAT!$J$7:$J$2503,$T503)))</f>
        <v/>
      </c>
      <c r="P503" s="1" t="str">
        <f t="shared" si="79"/>
        <v/>
      </c>
      <c r="Q503" s="1">
        <f>IF($N503="",0,INDEX(TAHSILAT!$F$7:$F$2503,$T503))</f>
        <v>0</v>
      </c>
      <c r="R503" s="1">
        <v>0</v>
      </c>
      <c r="S503" s="1">
        <f t="shared" si="86"/>
        <v>10000000000</v>
      </c>
      <c r="T503" s="1">
        <f>IFERROR(MATCH($C$36&amp;"|430",TAHSILAT!$U$7:$U$2503,0),0)</f>
        <v>0</v>
      </c>
      <c r="V503" s="1">
        <f t="shared" si="87"/>
        <v>10000000000</v>
      </c>
      <c r="W503" s="1">
        <f t="shared" si="88"/>
        <v>9</v>
      </c>
    </row>
    <row r="504" spans="2:23" ht="14.25" customHeight="1" x14ac:dyDescent="0.3">
      <c r="B504" s="65" t="str">
        <f t="shared" si="80"/>
        <v/>
      </c>
      <c r="C504" s="70" t="str">
        <f t="shared" si="81"/>
        <v/>
      </c>
      <c r="D504" s="74" t="str">
        <f t="shared" si="82"/>
        <v/>
      </c>
      <c r="F504" s="65" t="str">
        <f t="shared" si="83"/>
        <v/>
      </c>
      <c r="G504" s="68" t="str">
        <f t="shared" si="84"/>
        <v/>
      </c>
      <c r="H504" s="68" t="str">
        <f t="shared" si="85"/>
        <v/>
      </c>
      <c r="I504" s="68" t="str">
        <f t="shared" si="89"/>
        <v/>
      </c>
      <c r="M504" s="1">
        <v>467</v>
      </c>
      <c r="N504" s="1" t="str">
        <f>IF($T504=0,"",INDEX(TAHSILAT!$E$7:$E$2503,$T504))</f>
        <v/>
      </c>
      <c r="O504" s="1" t="str">
        <f>IF($N504="","",$C$36&amp;" – müşteriden tahsilat: "&amp;INDEX(TAHSILAT!$N$7:$N$2503,$T504)&amp;IF(INDEX(TAHSILAT!$J$7:$J$2503,$T504)="",""," – "&amp;INDEX(TAHSILAT!$J$7:$J$2503,$T504)))</f>
        <v/>
      </c>
      <c r="P504" s="1" t="str">
        <f t="shared" si="79"/>
        <v/>
      </c>
      <c r="Q504" s="1">
        <f>IF($N504="",0,INDEX(TAHSILAT!$F$7:$F$2503,$T504))</f>
        <v>0</v>
      </c>
      <c r="R504" s="1">
        <v>0</v>
      </c>
      <c r="S504" s="1">
        <f t="shared" si="86"/>
        <v>10000000000</v>
      </c>
      <c r="T504" s="1">
        <f>IFERROR(MATCH($C$36&amp;"|431",TAHSILAT!$U$7:$U$2503,0),0)</f>
        <v>0</v>
      </c>
      <c r="V504" s="1">
        <f t="shared" si="87"/>
        <v>10000000000</v>
      </c>
      <c r="W504" s="1">
        <f t="shared" si="88"/>
        <v>9</v>
      </c>
    </row>
    <row r="505" spans="2:23" ht="14.25" customHeight="1" x14ac:dyDescent="0.3">
      <c r="B505" s="65" t="str">
        <f t="shared" si="80"/>
        <v/>
      </c>
      <c r="C505" s="70" t="str">
        <f t="shared" si="81"/>
        <v/>
      </c>
      <c r="D505" s="74" t="str">
        <f t="shared" si="82"/>
        <v/>
      </c>
      <c r="F505" s="65" t="str">
        <f t="shared" si="83"/>
        <v/>
      </c>
      <c r="G505" s="68" t="str">
        <f t="shared" si="84"/>
        <v/>
      </c>
      <c r="H505" s="68" t="str">
        <f t="shared" si="85"/>
        <v/>
      </c>
      <c r="I505" s="68" t="str">
        <f t="shared" si="89"/>
        <v/>
      </c>
      <c r="M505" s="1">
        <v>468</v>
      </c>
      <c r="N505" s="1" t="str">
        <f>IF($T505=0,"",INDEX(TAHSILAT!$E$7:$E$2503,$T505))</f>
        <v/>
      </c>
      <c r="O505" s="1" t="str">
        <f>IF($N505="","",$C$36&amp;" – müşteriden tahsilat: "&amp;INDEX(TAHSILAT!$N$7:$N$2503,$T505)&amp;IF(INDEX(TAHSILAT!$J$7:$J$2503,$T505)="",""," – "&amp;INDEX(TAHSILAT!$J$7:$J$2503,$T505)))</f>
        <v/>
      </c>
      <c r="P505" s="1" t="str">
        <f t="shared" si="79"/>
        <v/>
      </c>
      <c r="Q505" s="1">
        <f>IF($N505="",0,INDEX(TAHSILAT!$F$7:$F$2503,$T505))</f>
        <v>0</v>
      </c>
      <c r="R505" s="1">
        <v>0</v>
      </c>
      <c r="S505" s="1">
        <f t="shared" si="86"/>
        <v>10000000000</v>
      </c>
      <c r="T505" s="1">
        <f>IFERROR(MATCH($C$36&amp;"|432",TAHSILAT!$U$7:$U$2503,0),0)</f>
        <v>0</v>
      </c>
      <c r="V505" s="1">
        <f t="shared" si="87"/>
        <v>10000000000</v>
      </c>
      <c r="W505" s="1">
        <f t="shared" si="88"/>
        <v>9</v>
      </c>
    </row>
    <row r="506" spans="2:23" ht="14.25" customHeight="1" x14ac:dyDescent="0.3">
      <c r="B506" s="65" t="str">
        <f t="shared" si="80"/>
        <v/>
      </c>
      <c r="C506" s="70" t="str">
        <f t="shared" si="81"/>
        <v/>
      </c>
      <c r="D506" s="74" t="str">
        <f t="shared" si="82"/>
        <v/>
      </c>
      <c r="F506" s="65" t="str">
        <f t="shared" si="83"/>
        <v/>
      </c>
      <c r="G506" s="68" t="str">
        <f t="shared" si="84"/>
        <v/>
      </c>
      <c r="H506" s="68" t="str">
        <f t="shared" si="85"/>
        <v/>
      </c>
      <c r="I506" s="68" t="str">
        <f t="shared" si="89"/>
        <v/>
      </c>
      <c r="M506" s="1">
        <v>469</v>
      </c>
      <c r="N506" s="1" t="str">
        <f>IF($T506=0,"",INDEX(TAHSILAT!$E$7:$E$2503,$T506))</f>
        <v/>
      </c>
      <c r="O506" s="1" t="str">
        <f>IF($N506="","",$C$36&amp;" – müşteriden tahsilat: "&amp;INDEX(TAHSILAT!$N$7:$N$2503,$T506)&amp;IF(INDEX(TAHSILAT!$J$7:$J$2503,$T506)="",""," – "&amp;INDEX(TAHSILAT!$J$7:$J$2503,$T506)))</f>
        <v/>
      </c>
      <c r="P506" s="1" t="str">
        <f t="shared" si="79"/>
        <v/>
      </c>
      <c r="Q506" s="1">
        <f>IF($N506="",0,INDEX(TAHSILAT!$F$7:$F$2503,$T506))</f>
        <v>0</v>
      </c>
      <c r="R506" s="1">
        <v>0</v>
      </c>
      <c r="S506" s="1">
        <f t="shared" si="86"/>
        <v>10000000000</v>
      </c>
      <c r="T506" s="1">
        <f>IFERROR(MATCH($C$36&amp;"|433",TAHSILAT!$U$7:$U$2503,0),0)</f>
        <v>0</v>
      </c>
      <c r="V506" s="1">
        <f t="shared" si="87"/>
        <v>10000000000</v>
      </c>
      <c r="W506" s="1">
        <f t="shared" si="88"/>
        <v>9</v>
      </c>
    </row>
    <row r="507" spans="2:23" ht="14.25" customHeight="1" x14ac:dyDescent="0.3">
      <c r="B507" s="65" t="str">
        <f t="shared" si="80"/>
        <v/>
      </c>
      <c r="C507" s="70" t="str">
        <f t="shared" si="81"/>
        <v/>
      </c>
      <c r="D507" s="74" t="str">
        <f t="shared" si="82"/>
        <v/>
      </c>
      <c r="F507" s="65" t="str">
        <f t="shared" si="83"/>
        <v/>
      </c>
      <c r="G507" s="68" t="str">
        <f t="shared" si="84"/>
        <v/>
      </c>
      <c r="H507" s="68" t="str">
        <f t="shared" si="85"/>
        <v/>
      </c>
      <c r="I507" s="68" t="str">
        <f t="shared" si="89"/>
        <v/>
      </c>
      <c r="M507" s="1">
        <v>470</v>
      </c>
      <c r="N507" s="1" t="str">
        <f>IF($T507=0,"",INDEX(TAHSILAT!$E$7:$E$2503,$T507))</f>
        <v/>
      </c>
      <c r="O507" s="1" t="str">
        <f>IF($N507="","",$C$36&amp;" – müşteriden tahsilat: "&amp;INDEX(TAHSILAT!$N$7:$N$2503,$T507)&amp;IF(INDEX(TAHSILAT!$J$7:$J$2503,$T507)="",""," – "&amp;INDEX(TAHSILAT!$J$7:$J$2503,$T507)))</f>
        <v/>
      </c>
      <c r="P507" s="1" t="str">
        <f t="shared" si="79"/>
        <v/>
      </c>
      <c r="Q507" s="1">
        <f>IF($N507="",0,INDEX(TAHSILAT!$F$7:$F$2503,$T507))</f>
        <v>0</v>
      </c>
      <c r="R507" s="1">
        <v>0</v>
      </c>
      <c r="S507" s="1">
        <f t="shared" si="86"/>
        <v>10000000000</v>
      </c>
      <c r="T507" s="1">
        <f>IFERROR(MATCH($C$36&amp;"|434",TAHSILAT!$U$7:$U$2503,0),0)</f>
        <v>0</v>
      </c>
      <c r="V507" s="1">
        <f t="shared" si="87"/>
        <v>10000000000</v>
      </c>
      <c r="W507" s="1">
        <f t="shared" si="88"/>
        <v>9</v>
      </c>
    </row>
    <row r="508" spans="2:23" ht="14.25" customHeight="1" x14ac:dyDescent="0.3">
      <c r="B508" s="65" t="str">
        <f t="shared" si="80"/>
        <v/>
      </c>
      <c r="C508" s="70" t="str">
        <f t="shared" si="81"/>
        <v/>
      </c>
      <c r="D508" s="74" t="str">
        <f t="shared" si="82"/>
        <v/>
      </c>
      <c r="F508" s="65" t="str">
        <f t="shared" si="83"/>
        <v/>
      </c>
      <c r="G508" s="68" t="str">
        <f t="shared" si="84"/>
        <v/>
      </c>
      <c r="H508" s="68" t="str">
        <f t="shared" si="85"/>
        <v/>
      </c>
      <c r="I508" s="68" t="str">
        <f t="shared" si="89"/>
        <v/>
      </c>
      <c r="M508" s="1">
        <v>471</v>
      </c>
      <c r="N508" s="1" t="str">
        <f>IF($T508=0,"",INDEX(TAHSILAT!$E$7:$E$2503,$T508))</f>
        <v/>
      </c>
      <c r="O508" s="1" t="str">
        <f>IF($N508="","",$C$36&amp;" – müşteriden tahsilat: "&amp;INDEX(TAHSILAT!$N$7:$N$2503,$T508)&amp;IF(INDEX(TAHSILAT!$J$7:$J$2503,$T508)="",""," – "&amp;INDEX(TAHSILAT!$J$7:$J$2503,$T508)))</f>
        <v/>
      </c>
      <c r="P508" s="1" t="str">
        <f t="shared" si="79"/>
        <v/>
      </c>
      <c r="Q508" s="1">
        <f>IF($N508="",0,INDEX(TAHSILAT!$F$7:$F$2503,$T508))</f>
        <v>0</v>
      </c>
      <c r="R508" s="1">
        <v>0</v>
      </c>
      <c r="S508" s="1">
        <f t="shared" si="86"/>
        <v>10000000000</v>
      </c>
      <c r="T508" s="1">
        <f>IFERROR(MATCH($C$36&amp;"|435",TAHSILAT!$U$7:$U$2503,0),0)</f>
        <v>0</v>
      </c>
      <c r="V508" s="1">
        <f t="shared" si="87"/>
        <v>10000000000</v>
      </c>
      <c r="W508" s="1">
        <f t="shared" si="88"/>
        <v>9</v>
      </c>
    </row>
    <row r="509" spans="2:23" ht="14.25" customHeight="1" x14ac:dyDescent="0.3">
      <c r="B509" s="65" t="str">
        <f t="shared" si="80"/>
        <v/>
      </c>
      <c r="C509" s="70" t="str">
        <f t="shared" si="81"/>
        <v/>
      </c>
      <c r="D509" s="74" t="str">
        <f t="shared" si="82"/>
        <v/>
      </c>
      <c r="F509" s="65" t="str">
        <f t="shared" si="83"/>
        <v/>
      </c>
      <c r="G509" s="68" t="str">
        <f t="shared" si="84"/>
        <v/>
      </c>
      <c r="H509" s="68" t="str">
        <f t="shared" si="85"/>
        <v/>
      </c>
      <c r="I509" s="68" t="str">
        <f t="shared" si="89"/>
        <v/>
      </c>
      <c r="M509" s="1">
        <v>472</v>
      </c>
      <c r="N509" s="1" t="str">
        <f>IF($T509=0,"",INDEX(TAHSILAT!$E$7:$E$2503,$T509))</f>
        <v/>
      </c>
      <c r="O509" s="1" t="str">
        <f>IF($N509="","",$C$36&amp;" – müşteriden tahsilat: "&amp;INDEX(TAHSILAT!$N$7:$N$2503,$T509)&amp;IF(INDEX(TAHSILAT!$J$7:$J$2503,$T509)="",""," – "&amp;INDEX(TAHSILAT!$J$7:$J$2503,$T509)))</f>
        <v/>
      </c>
      <c r="P509" s="1" t="str">
        <f t="shared" si="79"/>
        <v/>
      </c>
      <c r="Q509" s="1">
        <f>IF($N509="",0,INDEX(TAHSILAT!$F$7:$F$2503,$T509))</f>
        <v>0</v>
      </c>
      <c r="R509" s="1">
        <v>0</v>
      </c>
      <c r="S509" s="1">
        <f t="shared" si="86"/>
        <v>10000000000</v>
      </c>
      <c r="T509" s="1">
        <f>IFERROR(MATCH($C$36&amp;"|436",TAHSILAT!$U$7:$U$2503,0),0)</f>
        <v>0</v>
      </c>
      <c r="V509" s="1">
        <f t="shared" si="87"/>
        <v>10000000000</v>
      </c>
      <c r="W509" s="1">
        <f t="shared" si="88"/>
        <v>9</v>
      </c>
    </row>
    <row r="510" spans="2:23" ht="14.25" customHeight="1" x14ac:dyDescent="0.3">
      <c r="B510" s="65" t="str">
        <f t="shared" si="80"/>
        <v/>
      </c>
      <c r="C510" s="70" t="str">
        <f t="shared" si="81"/>
        <v/>
      </c>
      <c r="D510" s="74" t="str">
        <f t="shared" si="82"/>
        <v/>
      </c>
      <c r="F510" s="65" t="str">
        <f t="shared" si="83"/>
        <v/>
      </c>
      <c r="G510" s="68" t="str">
        <f t="shared" si="84"/>
        <v/>
      </c>
      <c r="H510" s="68" t="str">
        <f t="shared" si="85"/>
        <v/>
      </c>
      <c r="I510" s="68" t="str">
        <f t="shared" si="89"/>
        <v/>
      </c>
      <c r="M510" s="1">
        <v>473</v>
      </c>
      <c r="N510" s="1" t="str">
        <f>IF($T510=0,"",INDEX(TAHSILAT!$E$7:$E$2503,$T510))</f>
        <v/>
      </c>
      <c r="O510" s="1" t="str">
        <f>IF($N510="","",$C$36&amp;" – müşteriden tahsilat: "&amp;INDEX(TAHSILAT!$N$7:$N$2503,$T510)&amp;IF(INDEX(TAHSILAT!$J$7:$J$2503,$T510)="",""," – "&amp;INDEX(TAHSILAT!$J$7:$J$2503,$T510)))</f>
        <v/>
      </c>
      <c r="P510" s="1" t="str">
        <f t="shared" si="79"/>
        <v/>
      </c>
      <c r="Q510" s="1">
        <f>IF($N510="",0,INDEX(TAHSILAT!$F$7:$F$2503,$T510))</f>
        <v>0</v>
      </c>
      <c r="R510" s="1">
        <v>0</v>
      </c>
      <c r="S510" s="1">
        <f t="shared" si="86"/>
        <v>10000000000</v>
      </c>
      <c r="T510" s="1">
        <f>IFERROR(MATCH($C$36&amp;"|437",TAHSILAT!$U$7:$U$2503,0),0)</f>
        <v>0</v>
      </c>
      <c r="V510" s="1">
        <f t="shared" si="87"/>
        <v>10000000000</v>
      </c>
      <c r="W510" s="1">
        <f t="shared" si="88"/>
        <v>9</v>
      </c>
    </row>
    <row r="511" spans="2:23" ht="14.25" customHeight="1" x14ac:dyDescent="0.3">
      <c r="B511" s="65" t="str">
        <f t="shared" si="80"/>
        <v/>
      </c>
      <c r="C511" s="70" t="str">
        <f t="shared" si="81"/>
        <v/>
      </c>
      <c r="D511" s="74" t="str">
        <f t="shared" si="82"/>
        <v/>
      </c>
      <c r="F511" s="65" t="str">
        <f t="shared" si="83"/>
        <v/>
      </c>
      <c r="G511" s="68" t="str">
        <f t="shared" si="84"/>
        <v/>
      </c>
      <c r="H511" s="68" t="str">
        <f t="shared" si="85"/>
        <v/>
      </c>
      <c r="I511" s="68" t="str">
        <f t="shared" si="89"/>
        <v/>
      </c>
      <c r="M511" s="1">
        <v>474</v>
      </c>
      <c r="N511" s="1" t="str">
        <f>IF($T511=0,"",INDEX(TAHSILAT!$E$7:$E$2503,$T511))</f>
        <v/>
      </c>
      <c r="O511" s="1" t="str">
        <f>IF($N511="","",$C$36&amp;" – müşteriden tahsilat: "&amp;INDEX(TAHSILAT!$N$7:$N$2503,$T511)&amp;IF(INDEX(TAHSILAT!$J$7:$J$2503,$T511)="",""," – "&amp;INDEX(TAHSILAT!$J$7:$J$2503,$T511)))</f>
        <v/>
      </c>
      <c r="P511" s="1" t="str">
        <f t="shared" si="79"/>
        <v/>
      </c>
      <c r="Q511" s="1">
        <f>IF($N511="",0,INDEX(TAHSILAT!$F$7:$F$2503,$T511))</f>
        <v>0</v>
      </c>
      <c r="R511" s="1">
        <v>0</v>
      </c>
      <c r="S511" s="1">
        <f t="shared" si="86"/>
        <v>10000000000</v>
      </c>
      <c r="T511" s="1">
        <f>IFERROR(MATCH($C$36&amp;"|438",TAHSILAT!$U$7:$U$2503,0),0)</f>
        <v>0</v>
      </c>
      <c r="V511" s="1">
        <f t="shared" si="87"/>
        <v>10000000000</v>
      </c>
      <c r="W511" s="1">
        <f t="shared" si="88"/>
        <v>9</v>
      </c>
    </row>
    <row r="512" spans="2:23" ht="14.25" customHeight="1" x14ac:dyDescent="0.3">
      <c r="B512" s="65" t="str">
        <f t="shared" si="80"/>
        <v/>
      </c>
      <c r="C512" s="70" t="str">
        <f t="shared" si="81"/>
        <v/>
      </c>
      <c r="D512" s="74" t="str">
        <f t="shared" si="82"/>
        <v/>
      </c>
      <c r="F512" s="65" t="str">
        <f t="shared" si="83"/>
        <v/>
      </c>
      <c r="G512" s="68" t="str">
        <f t="shared" si="84"/>
        <v/>
      </c>
      <c r="H512" s="68" t="str">
        <f t="shared" si="85"/>
        <v/>
      </c>
      <c r="I512" s="68" t="str">
        <f t="shared" si="89"/>
        <v/>
      </c>
      <c r="M512" s="1">
        <v>475</v>
      </c>
      <c r="N512" s="1" t="str">
        <f>IF($T512=0,"",INDEX(TAHSILAT!$E$7:$E$2503,$T512))</f>
        <v/>
      </c>
      <c r="O512" s="1" t="str">
        <f>IF($N512="","",$C$36&amp;" – müşteriden tahsilat: "&amp;INDEX(TAHSILAT!$N$7:$N$2503,$T512)&amp;IF(INDEX(TAHSILAT!$J$7:$J$2503,$T512)="",""," – "&amp;INDEX(TAHSILAT!$J$7:$J$2503,$T512)))</f>
        <v/>
      </c>
      <c r="P512" s="1" t="str">
        <f t="shared" si="79"/>
        <v/>
      </c>
      <c r="Q512" s="1">
        <f>IF($N512="",0,INDEX(TAHSILAT!$F$7:$F$2503,$T512))</f>
        <v>0</v>
      </c>
      <c r="R512" s="1">
        <v>0</v>
      </c>
      <c r="S512" s="1">
        <f t="shared" si="86"/>
        <v>10000000000</v>
      </c>
      <c r="T512" s="1">
        <f>IFERROR(MATCH($C$36&amp;"|439",TAHSILAT!$U$7:$U$2503,0),0)</f>
        <v>0</v>
      </c>
      <c r="V512" s="1">
        <f t="shared" si="87"/>
        <v>10000000000</v>
      </c>
      <c r="W512" s="1">
        <f t="shared" si="88"/>
        <v>9</v>
      </c>
    </row>
    <row r="513" spans="2:23" ht="14.25" customHeight="1" x14ac:dyDescent="0.3">
      <c r="B513" s="65" t="str">
        <f t="shared" si="80"/>
        <v/>
      </c>
      <c r="C513" s="70" t="str">
        <f t="shared" si="81"/>
        <v/>
      </c>
      <c r="D513" s="74" t="str">
        <f t="shared" si="82"/>
        <v/>
      </c>
      <c r="F513" s="65" t="str">
        <f t="shared" si="83"/>
        <v/>
      </c>
      <c r="G513" s="68" t="str">
        <f t="shared" si="84"/>
        <v/>
      </c>
      <c r="H513" s="68" t="str">
        <f t="shared" si="85"/>
        <v/>
      </c>
      <c r="I513" s="68" t="str">
        <f t="shared" si="89"/>
        <v/>
      </c>
      <c r="M513" s="1">
        <v>476</v>
      </c>
      <c r="N513" s="1" t="str">
        <f>IF($T513=0,"",INDEX(TAHSILAT!$E$7:$E$2503,$T513))</f>
        <v/>
      </c>
      <c r="O513" s="1" t="str">
        <f>IF($N513="","",$C$36&amp;" – müşteriden tahsilat: "&amp;INDEX(TAHSILAT!$N$7:$N$2503,$T513)&amp;IF(INDEX(TAHSILAT!$J$7:$J$2503,$T513)="",""," – "&amp;INDEX(TAHSILAT!$J$7:$J$2503,$T513)))</f>
        <v/>
      </c>
      <c r="P513" s="1" t="str">
        <f t="shared" si="79"/>
        <v/>
      </c>
      <c r="Q513" s="1">
        <f>IF($N513="",0,INDEX(TAHSILAT!$F$7:$F$2503,$T513))</f>
        <v>0</v>
      </c>
      <c r="R513" s="1">
        <v>0</v>
      </c>
      <c r="S513" s="1">
        <f t="shared" si="86"/>
        <v>10000000000</v>
      </c>
      <c r="T513" s="1">
        <f>IFERROR(MATCH($C$36&amp;"|440",TAHSILAT!$U$7:$U$2503,0),0)</f>
        <v>0</v>
      </c>
      <c r="V513" s="1">
        <f t="shared" si="87"/>
        <v>10000000000</v>
      </c>
      <c r="W513" s="1">
        <f t="shared" si="88"/>
        <v>9</v>
      </c>
    </row>
    <row r="514" spans="2:23" ht="14.25" customHeight="1" x14ac:dyDescent="0.3">
      <c r="B514" s="65" t="str">
        <f t="shared" si="80"/>
        <v/>
      </c>
      <c r="C514" s="70" t="str">
        <f t="shared" si="81"/>
        <v/>
      </c>
      <c r="D514" s="74" t="str">
        <f t="shared" si="82"/>
        <v/>
      </c>
      <c r="F514" s="65" t="str">
        <f t="shared" si="83"/>
        <v/>
      </c>
      <c r="G514" s="68" t="str">
        <f t="shared" si="84"/>
        <v/>
      </c>
      <c r="H514" s="68" t="str">
        <f t="shared" si="85"/>
        <v/>
      </c>
      <c r="I514" s="68" t="str">
        <f t="shared" si="89"/>
        <v/>
      </c>
      <c r="M514" s="1">
        <v>477</v>
      </c>
      <c r="N514" s="1" t="str">
        <f>IF($T514=0,"",INDEX(TAHSILAT!$E$7:$E$2503,$T514))</f>
        <v/>
      </c>
      <c r="O514" s="1" t="str">
        <f>IF($N514="","",$C$36&amp;" – müşteriden tahsilat: "&amp;INDEX(TAHSILAT!$N$7:$N$2503,$T514)&amp;IF(INDEX(TAHSILAT!$J$7:$J$2503,$T514)="",""," – "&amp;INDEX(TAHSILAT!$J$7:$J$2503,$T514)))</f>
        <v/>
      </c>
      <c r="P514" s="1" t="str">
        <f t="shared" si="79"/>
        <v/>
      </c>
      <c r="Q514" s="1">
        <f>IF($N514="",0,INDEX(TAHSILAT!$F$7:$F$2503,$T514))</f>
        <v>0</v>
      </c>
      <c r="R514" s="1">
        <v>0</v>
      </c>
      <c r="S514" s="1">
        <f t="shared" si="86"/>
        <v>10000000000</v>
      </c>
      <c r="T514" s="1">
        <f>IFERROR(MATCH($C$36&amp;"|441",TAHSILAT!$U$7:$U$2503,0),0)</f>
        <v>0</v>
      </c>
      <c r="V514" s="1">
        <f t="shared" si="87"/>
        <v>10000000000</v>
      </c>
      <c r="W514" s="1">
        <f t="shared" si="88"/>
        <v>9</v>
      </c>
    </row>
    <row r="515" spans="2:23" ht="14.25" customHeight="1" x14ac:dyDescent="0.3">
      <c r="B515" s="65" t="str">
        <f t="shared" si="80"/>
        <v/>
      </c>
      <c r="C515" s="70" t="str">
        <f t="shared" si="81"/>
        <v/>
      </c>
      <c r="D515" s="74" t="str">
        <f t="shared" si="82"/>
        <v/>
      </c>
      <c r="F515" s="65" t="str">
        <f t="shared" si="83"/>
        <v/>
      </c>
      <c r="G515" s="68" t="str">
        <f t="shared" si="84"/>
        <v/>
      </c>
      <c r="H515" s="68" t="str">
        <f t="shared" si="85"/>
        <v/>
      </c>
      <c r="I515" s="68" t="str">
        <f t="shared" si="89"/>
        <v/>
      </c>
      <c r="M515" s="1">
        <v>478</v>
      </c>
      <c r="N515" s="1" t="str">
        <f>IF($T515=0,"",INDEX(TAHSILAT!$E$7:$E$2503,$T515))</f>
        <v/>
      </c>
      <c r="O515" s="1" t="str">
        <f>IF($N515="","",$C$36&amp;" – müşteriden tahsilat: "&amp;INDEX(TAHSILAT!$N$7:$N$2503,$T515)&amp;IF(INDEX(TAHSILAT!$J$7:$J$2503,$T515)="",""," – "&amp;INDEX(TAHSILAT!$J$7:$J$2503,$T515)))</f>
        <v/>
      </c>
      <c r="P515" s="1" t="str">
        <f t="shared" si="79"/>
        <v/>
      </c>
      <c r="Q515" s="1">
        <f>IF($N515="",0,INDEX(TAHSILAT!$F$7:$F$2503,$T515))</f>
        <v>0</v>
      </c>
      <c r="R515" s="1">
        <v>0</v>
      </c>
      <c r="S515" s="1">
        <f t="shared" si="86"/>
        <v>10000000000</v>
      </c>
      <c r="T515" s="1">
        <f>IFERROR(MATCH($C$36&amp;"|442",TAHSILAT!$U$7:$U$2503,0),0)</f>
        <v>0</v>
      </c>
      <c r="V515" s="1">
        <f t="shared" si="87"/>
        <v>10000000000</v>
      </c>
      <c r="W515" s="1">
        <f t="shared" si="88"/>
        <v>9</v>
      </c>
    </row>
    <row r="516" spans="2:23" ht="14.25" customHeight="1" x14ac:dyDescent="0.3">
      <c r="B516" s="65" t="str">
        <f t="shared" si="80"/>
        <v/>
      </c>
      <c r="C516" s="70" t="str">
        <f t="shared" si="81"/>
        <v/>
      </c>
      <c r="D516" s="74" t="str">
        <f t="shared" si="82"/>
        <v/>
      </c>
      <c r="F516" s="65" t="str">
        <f t="shared" si="83"/>
        <v/>
      </c>
      <c r="G516" s="68" t="str">
        <f t="shared" si="84"/>
        <v/>
      </c>
      <c r="H516" s="68" t="str">
        <f t="shared" si="85"/>
        <v/>
      </c>
      <c r="I516" s="68" t="str">
        <f t="shared" si="89"/>
        <v/>
      </c>
      <c r="M516" s="1">
        <v>479</v>
      </c>
      <c r="N516" s="1" t="str">
        <f>IF($T516=0,"",INDEX(TAHSILAT!$E$7:$E$2503,$T516))</f>
        <v/>
      </c>
      <c r="O516" s="1" t="str">
        <f>IF($N516="","",$C$36&amp;" – müşteriden tahsilat: "&amp;INDEX(TAHSILAT!$N$7:$N$2503,$T516)&amp;IF(INDEX(TAHSILAT!$J$7:$J$2503,$T516)="",""," – "&amp;INDEX(TAHSILAT!$J$7:$J$2503,$T516)))</f>
        <v/>
      </c>
      <c r="P516" s="1" t="str">
        <f t="shared" si="79"/>
        <v/>
      </c>
      <c r="Q516" s="1">
        <f>IF($N516="",0,INDEX(TAHSILAT!$F$7:$F$2503,$T516))</f>
        <v>0</v>
      </c>
      <c r="R516" s="1">
        <v>0</v>
      </c>
      <c r="S516" s="1">
        <f t="shared" si="86"/>
        <v>10000000000</v>
      </c>
      <c r="T516" s="1">
        <f>IFERROR(MATCH($C$36&amp;"|443",TAHSILAT!$U$7:$U$2503,0),0)</f>
        <v>0</v>
      </c>
      <c r="V516" s="1">
        <f t="shared" si="87"/>
        <v>10000000000</v>
      </c>
      <c r="W516" s="1">
        <f t="shared" si="88"/>
        <v>9</v>
      </c>
    </row>
    <row r="517" spans="2:23" ht="14.25" customHeight="1" x14ac:dyDescent="0.3">
      <c r="B517" s="65" t="str">
        <f t="shared" si="80"/>
        <v/>
      </c>
      <c r="C517" s="70" t="str">
        <f t="shared" si="81"/>
        <v/>
      </c>
      <c r="D517" s="74" t="str">
        <f t="shared" si="82"/>
        <v/>
      </c>
      <c r="F517" s="65" t="str">
        <f t="shared" si="83"/>
        <v/>
      </c>
      <c r="G517" s="68" t="str">
        <f t="shared" si="84"/>
        <v/>
      </c>
      <c r="H517" s="68" t="str">
        <f t="shared" si="85"/>
        <v/>
      </c>
      <c r="I517" s="68" t="str">
        <f t="shared" si="89"/>
        <v/>
      </c>
      <c r="M517" s="1">
        <v>480</v>
      </c>
      <c r="N517" s="1" t="str">
        <f>IF($T517=0,"",INDEX(TAHSILAT!$E$7:$E$2503,$T517))</f>
        <v/>
      </c>
      <c r="O517" s="1" t="str">
        <f>IF($N517="","",$C$36&amp;" – müşteriden tahsilat: "&amp;INDEX(TAHSILAT!$N$7:$N$2503,$T517)&amp;IF(INDEX(TAHSILAT!$J$7:$J$2503,$T517)="",""," – "&amp;INDEX(TAHSILAT!$J$7:$J$2503,$T517)))</f>
        <v/>
      </c>
      <c r="P517" s="1" t="str">
        <f t="shared" si="79"/>
        <v/>
      </c>
      <c r="Q517" s="1">
        <f>IF($N517="",0,INDEX(TAHSILAT!$F$7:$F$2503,$T517))</f>
        <v>0</v>
      </c>
      <c r="R517" s="1">
        <v>0</v>
      </c>
      <c r="S517" s="1">
        <f t="shared" si="86"/>
        <v>10000000000</v>
      </c>
      <c r="T517" s="1">
        <f>IFERROR(MATCH($C$36&amp;"|444",TAHSILAT!$U$7:$U$2503,0),0)</f>
        <v>0</v>
      </c>
      <c r="V517" s="1">
        <f t="shared" si="87"/>
        <v>10000000000</v>
      </c>
      <c r="W517" s="1">
        <f t="shared" si="88"/>
        <v>9</v>
      </c>
    </row>
    <row r="518" spans="2:23" ht="14.25" customHeight="1" x14ac:dyDescent="0.3">
      <c r="B518" s="65" t="str">
        <f t="shared" si="80"/>
        <v/>
      </c>
      <c r="C518" s="70" t="str">
        <f t="shared" si="81"/>
        <v/>
      </c>
      <c r="D518" s="74" t="str">
        <f t="shared" si="82"/>
        <v/>
      </c>
      <c r="F518" s="65" t="str">
        <f t="shared" si="83"/>
        <v/>
      </c>
      <c r="G518" s="68" t="str">
        <f t="shared" si="84"/>
        <v/>
      </c>
      <c r="H518" s="68" t="str">
        <f t="shared" si="85"/>
        <v/>
      </c>
      <c r="I518" s="68" t="str">
        <f t="shared" si="89"/>
        <v/>
      </c>
      <c r="M518" s="1">
        <v>481</v>
      </c>
      <c r="N518" s="1" t="str">
        <f>IF($T518=0,"",INDEX(TAHSILAT!$E$7:$E$2503,$T518))</f>
        <v/>
      </c>
      <c r="O518" s="1" t="str">
        <f>IF($N518="","",$C$36&amp;" – müşteriden tahsilat: "&amp;INDEX(TAHSILAT!$N$7:$N$2503,$T518)&amp;IF(INDEX(TAHSILAT!$J$7:$J$2503,$T518)="",""," – "&amp;INDEX(TAHSILAT!$J$7:$J$2503,$T518)))</f>
        <v/>
      </c>
      <c r="P518" s="1" t="str">
        <f t="shared" si="79"/>
        <v/>
      </c>
      <c r="Q518" s="1">
        <f>IF($N518="",0,INDEX(TAHSILAT!$F$7:$F$2503,$T518))</f>
        <v>0</v>
      </c>
      <c r="R518" s="1">
        <v>0</v>
      </c>
      <c r="S518" s="1">
        <f t="shared" si="86"/>
        <v>10000000000</v>
      </c>
      <c r="T518" s="1">
        <f>IFERROR(MATCH($C$36&amp;"|445",TAHSILAT!$U$7:$U$2503,0),0)</f>
        <v>0</v>
      </c>
      <c r="V518" s="1">
        <f t="shared" si="87"/>
        <v>10000000000</v>
      </c>
      <c r="W518" s="1">
        <f t="shared" si="88"/>
        <v>9</v>
      </c>
    </row>
    <row r="519" spans="2:23" ht="14.25" customHeight="1" x14ac:dyDescent="0.3">
      <c r="B519" s="65" t="str">
        <f t="shared" si="80"/>
        <v/>
      </c>
      <c r="C519" s="70" t="str">
        <f t="shared" si="81"/>
        <v/>
      </c>
      <c r="D519" s="74" t="str">
        <f t="shared" si="82"/>
        <v/>
      </c>
      <c r="F519" s="65" t="str">
        <f t="shared" si="83"/>
        <v/>
      </c>
      <c r="G519" s="68" t="str">
        <f t="shared" si="84"/>
        <v/>
      </c>
      <c r="H519" s="68" t="str">
        <f t="shared" si="85"/>
        <v/>
      </c>
      <c r="I519" s="68" t="str">
        <f t="shared" si="89"/>
        <v/>
      </c>
      <c r="M519" s="1">
        <v>482</v>
      </c>
      <c r="N519" s="1" t="str">
        <f>IF($T519=0,"",INDEX(TAHSILAT!$E$7:$E$2503,$T519))</f>
        <v/>
      </c>
      <c r="O519" s="1" t="str">
        <f>IF($N519="","",$C$36&amp;" – müşteriden tahsilat: "&amp;INDEX(TAHSILAT!$N$7:$N$2503,$T519)&amp;IF(INDEX(TAHSILAT!$J$7:$J$2503,$T519)="",""," – "&amp;INDEX(TAHSILAT!$J$7:$J$2503,$T519)))</f>
        <v/>
      </c>
      <c r="P519" s="1" t="str">
        <f t="shared" si="79"/>
        <v/>
      </c>
      <c r="Q519" s="1">
        <f>IF($N519="",0,INDEX(TAHSILAT!$F$7:$F$2503,$T519))</f>
        <v>0</v>
      </c>
      <c r="R519" s="1">
        <v>0</v>
      </c>
      <c r="S519" s="1">
        <f t="shared" si="86"/>
        <v>10000000000</v>
      </c>
      <c r="T519" s="1">
        <f>IFERROR(MATCH($C$36&amp;"|446",TAHSILAT!$U$7:$U$2503,0),0)</f>
        <v>0</v>
      </c>
      <c r="V519" s="1">
        <f t="shared" si="87"/>
        <v>10000000000</v>
      </c>
      <c r="W519" s="1">
        <f t="shared" si="88"/>
        <v>9</v>
      </c>
    </row>
    <row r="520" spans="2:23" ht="14.25" customHeight="1" x14ac:dyDescent="0.3">
      <c r="B520" s="65" t="str">
        <f t="shared" si="80"/>
        <v/>
      </c>
      <c r="C520" s="70" t="str">
        <f t="shared" si="81"/>
        <v/>
      </c>
      <c r="D520" s="74" t="str">
        <f t="shared" si="82"/>
        <v/>
      </c>
      <c r="F520" s="65" t="str">
        <f t="shared" si="83"/>
        <v/>
      </c>
      <c r="G520" s="68" t="str">
        <f t="shared" si="84"/>
        <v/>
      </c>
      <c r="H520" s="68" t="str">
        <f t="shared" si="85"/>
        <v/>
      </c>
      <c r="I520" s="68" t="str">
        <f t="shared" si="89"/>
        <v/>
      </c>
      <c r="M520" s="1">
        <v>483</v>
      </c>
      <c r="N520" s="1" t="str">
        <f>IF($T520=0,"",INDEX(TAHSILAT!$E$7:$E$2503,$T520))</f>
        <v/>
      </c>
      <c r="O520" s="1" t="str">
        <f>IF($N520="","",$C$36&amp;" – müşteriden tahsilat: "&amp;INDEX(TAHSILAT!$N$7:$N$2503,$T520)&amp;IF(INDEX(TAHSILAT!$J$7:$J$2503,$T520)="",""," – "&amp;INDEX(TAHSILAT!$J$7:$J$2503,$T520)))</f>
        <v/>
      </c>
      <c r="P520" s="1" t="str">
        <f t="shared" si="79"/>
        <v/>
      </c>
      <c r="Q520" s="1">
        <f>IF($N520="",0,INDEX(TAHSILAT!$F$7:$F$2503,$T520))</f>
        <v>0</v>
      </c>
      <c r="R520" s="1">
        <v>0</v>
      </c>
      <c r="S520" s="1">
        <f t="shared" si="86"/>
        <v>10000000000</v>
      </c>
      <c r="T520" s="1">
        <f>IFERROR(MATCH($C$36&amp;"|447",TAHSILAT!$U$7:$U$2503,0),0)</f>
        <v>0</v>
      </c>
      <c r="V520" s="1">
        <f t="shared" si="87"/>
        <v>10000000000</v>
      </c>
      <c r="W520" s="1">
        <f t="shared" si="88"/>
        <v>9</v>
      </c>
    </row>
    <row r="521" spans="2:23" ht="14.25" customHeight="1" x14ac:dyDescent="0.3">
      <c r="B521" s="65" t="str">
        <f t="shared" si="80"/>
        <v/>
      </c>
      <c r="C521" s="70" t="str">
        <f t="shared" si="81"/>
        <v/>
      </c>
      <c r="D521" s="74" t="str">
        <f t="shared" si="82"/>
        <v/>
      </c>
      <c r="F521" s="65" t="str">
        <f t="shared" si="83"/>
        <v/>
      </c>
      <c r="G521" s="68" t="str">
        <f t="shared" si="84"/>
        <v/>
      </c>
      <c r="H521" s="68" t="str">
        <f t="shared" si="85"/>
        <v/>
      </c>
      <c r="I521" s="68" t="str">
        <f t="shared" si="89"/>
        <v/>
      </c>
      <c r="M521" s="1">
        <v>484</v>
      </c>
      <c r="N521" s="1" t="str">
        <f>IF($T521=0,"",INDEX(TAHSILAT!$E$7:$E$2503,$T521))</f>
        <v/>
      </c>
      <c r="O521" s="1" t="str">
        <f>IF($N521="","",$C$36&amp;" – müşteriden tahsilat: "&amp;INDEX(TAHSILAT!$N$7:$N$2503,$T521)&amp;IF(INDEX(TAHSILAT!$J$7:$J$2503,$T521)="",""," – "&amp;INDEX(TAHSILAT!$J$7:$J$2503,$T521)))</f>
        <v/>
      </c>
      <c r="P521" s="1" t="str">
        <f t="shared" si="79"/>
        <v/>
      </c>
      <c r="Q521" s="1">
        <f>IF($N521="",0,INDEX(TAHSILAT!$F$7:$F$2503,$T521))</f>
        <v>0</v>
      </c>
      <c r="R521" s="1">
        <v>0</v>
      </c>
      <c r="S521" s="1">
        <f t="shared" si="86"/>
        <v>10000000000</v>
      </c>
      <c r="T521" s="1">
        <f>IFERROR(MATCH($C$36&amp;"|448",TAHSILAT!$U$7:$U$2503,0),0)</f>
        <v>0</v>
      </c>
      <c r="V521" s="1">
        <f t="shared" si="87"/>
        <v>10000000000</v>
      </c>
      <c r="W521" s="1">
        <f t="shared" si="88"/>
        <v>9</v>
      </c>
    </row>
    <row r="522" spans="2:23" ht="14.25" customHeight="1" x14ac:dyDescent="0.3">
      <c r="B522" s="65" t="str">
        <f t="shared" si="80"/>
        <v/>
      </c>
      <c r="C522" s="70" t="str">
        <f t="shared" si="81"/>
        <v/>
      </c>
      <c r="D522" s="74" t="str">
        <f t="shared" si="82"/>
        <v/>
      </c>
      <c r="F522" s="65" t="str">
        <f t="shared" si="83"/>
        <v/>
      </c>
      <c r="G522" s="68" t="str">
        <f t="shared" si="84"/>
        <v/>
      </c>
      <c r="H522" s="68" t="str">
        <f t="shared" si="85"/>
        <v/>
      </c>
      <c r="I522" s="68" t="str">
        <f t="shared" si="89"/>
        <v/>
      </c>
      <c r="M522" s="1">
        <v>485</v>
      </c>
      <c r="N522" s="1" t="str">
        <f>IF($T522=0,"",INDEX(TAHSILAT!$E$7:$E$2503,$T522))</f>
        <v/>
      </c>
      <c r="O522" s="1" t="str">
        <f>IF($N522="","",$C$36&amp;" – müşteriden tahsilat: "&amp;INDEX(TAHSILAT!$N$7:$N$2503,$T522)&amp;IF(INDEX(TAHSILAT!$J$7:$J$2503,$T522)="",""," – "&amp;INDEX(TAHSILAT!$J$7:$J$2503,$T522)))</f>
        <v/>
      </c>
      <c r="P522" s="1" t="str">
        <f t="shared" ref="P522:P573" si="90">IF($N522="","","MÜŞTERİDEN ALDI")</f>
        <v/>
      </c>
      <c r="Q522" s="1">
        <f>IF($N522="",0,INDEX(TAHSILAT!$F$7:$F$2503,$T522))</f>
        <v>0</v>
      </c>
      <c r="R522" s="1">
        <v>0</v>
      </c>
      <c r="S522" s="1">
        <f t="shared" si="86"/>
        <v>10000000000</v>
      </c>
      <c r="T522" s="1">
        <f>IFERROR(MATCH($C$36&amp;"|449",TAHSILAT!$U$7:$U$2503,0),0)</f>
        <v>0</v>
      </c>
      <c r="V522" s="1">
        <f t="shared" si="87"/>
        <v>10000000000</v>
      </c>
      <c r="W522" s="1">
        <f t="shared" si="88"/>
        <v>9</v>
      </c>
    </row>
    <row r="523" spans="2:23" ht="14.25" customHeight="1" x14ac:dyDescent="0.3">
      <c r="B523" s="65" t="str">
        <f t="shared" si="80"/>
        <v/>
      </c>
      <c r="C523" s="70" t="str">
        <f t="shared" si="81"/>
        <v/>
      </c>
      <c r="D523" s="74" t="str">
        <f t="shared" si="82"/>
        <v/>
      </c>
      <c r="F523" s="65" t="str">
        <f t="shared" si="83"/>
        <v/>
      </c>
      <c r="G523" s="68" t="str">
        <f t="shared" si="84"/>
        <v/>
      </c>
      <c r="H523" s="68" t="str">
        <f t="shared" si="85"/>
        <v/>
      </c>
      <c r="I523" s="68" t="str">
        <f t="shared" si="89"/>
        <v/>
      </c>
      <c r="M523" s="1">
        <v>486</v>
      </c>
      <c r="N523" s="1" t="str">
        <f>IF($T523=0,"",INDEX(TAHSILAT!$E$7:$E$2503,$T523))</f>
        <v/>
      </c>
      <c r="O523" s="1" t="str">
        <f>IF($N523="","",$C$36&amp;" – müşteriden tahsilat: "&amp;INDEX(TAHSILAT!$N$7:$N$2503,$T523)&amp;IF(INDEX(TAHSILAT!$J$7:$J$2503,$T523)="",""," – "&amp;INDEX(TAHSILAT!$J$7:$J$2503,$T523)))</f>
        <v/>
      </c>
      <c r="P523" s="1" t="str">
        <f t="shared" si="90"/>
        <v/>
      </c>
      <c r="Q523" s="1">
        <f>IF($N523="",0,INDEX(TAHSILAT!$F$7:$F$2503,$T523))</f>
        <v>0</v>
      </c>
      <c r="R523" s="1">
        <v>0</v>
      </c>
      <c r="S523" s="1">
        <f t="shared" si="86"/>
        <v>10000000000</v>
      </c>
      <c r="T523" s="1">
        <f>IFERROR(MATCH($C$36&amp;"|450",TAHSILAT!$U$7:$U$2503,0),0)</f>
        <v>0</v>
      </c>
      <c r="V523" s="1">
        <f t="shared" si="87"/>
        <v>10000000000</v>
      </c>
      <c r="W523" s="1">
        <f t="shared" si="88"/>
        <v>9</v>
      </c>
    </row>
    <row r="524" spans="2:23" ht="14.25" customHeight="1" x14ac:dyDescent="0.3">
      <c r="B524" s="65" t="str">
        <f t="shared" si="80"/>
        <v/>
      </c>
      <c r="C524" s="70" t="str">
        <f t="shared" si="81"/>
        <v/>
      </c>
      <c r="D524" s="74" t="str">
        <f t="shared" si="82"/>
        <v/>
      </c>
      <c r="F524" s="65" t="str">
        <f t="shared" si="83"/>
        <v/>
      </c>
      <c r="G524" s="68" t="str">
        <f t="shared" si="84"/>
        <v/>
      </c>
      <c r="H524" s="68" t="str">
        <f t="shared" si="85"/>
        <v/>
      </c>
      <c r="I524" s="68" t="str">
        <f t="shared" si="89"/>
        <v/>
      </c>
      <c r="M524" s="1">
        <v>487</v>
      </c>
      <c r="N524" s="1" t="str">
        <f>IF($T524=0,"",INDEX(TAHSILAT!$E$7:$E$2503,$T524))</f>
        <v/>
      </c>
      <c r="O524" s="1" t="str">
        <f>IF($N524="","",$C$36&amp;" – müşteriden tahsilat: "&amp;INDEX(TAHSILAT!$N$7:$N$2503,$T524)&amp;IF(INDEX(TAHSILAT!$J$7:$J$2503,$T524)="",""," – "&amp;INDEX(TAHSILAT!$J$7:$J$2503,$T524)))</f>
        <v/>
      </c>
      <c r="P524" s="1" t="str">
        <f t="shared" si="90"/>
        <v/>
      </c>
      <c r="Q524" s="1">
        <f>IF($N524="",0,INDEX(TAHSILAT!$F$7:$F$2503,$T524))</f>
        <v>0</v>
      </c>
      <c r="R524" s="1">
        <v>0</v>
      </c>
      <c r="S524" s="1">
        <f t="shared" si="86"/>
        <v>10000000000</v>
      </c>
      <c r="T524" s="1">
        <f>IFERROR(MATCH($C$36&amp;"|451",TAHSILAT!$U$7:$U$2503,0),0)</f>
        <v>0</v>
      </c>
      <c r="V524" s="1">
        <f t="shared" si="87"/>
        <v>10000000000</v>
      </c>
      <c r="W524" s="1">
        <f t="shared" si="88"/>
        <v>9</v>
      </c>
    </row>
    <row r="525" spans="2:23" ht="14.25" customHeight="1" x14ac:dyDescent="0.3">
      <c r="B525" s="65" t="str">
        <f t="shared" si="80"/>
        <v/>
      </c>
      <c r="C525" s="70" t="str">
        <f t="shared" si="81"/>
        <v/>
      </c>
      <c r="D525" s="74" t="str">
        <f t="shared" si="82"/>
        <v/>
      </c>
      <c r="F525" s="65" t="str">
        <f t="shared" si="83"/>
        <v/>
      </c>
      <c r="G525" s="68" t="str">
        <f t="shared" si="84"/>
        <v/>
      </c>
      <c r="H525" s="68" t="str">
        <f t="shared" si="85"/>
        <v/>
      </c>
      <c r="I525" s="68" t="str">
        <f t="shared" si="89"/>
        <v/>
      </c>
      <c r="M525" s="1">
        <v>488</v>
      </c>
      <c r="N525" s="1" t="str">
        <f>IF($T525=0,"",INDEX(TAHSILAT!$E$7:$E$2503,$T525))</f>
        <v/>
      </c>
      <c r="O525" s="1" t="str">
        <f>IF($N525="","",$C$36&amp;" – müşteriden tahsilat: "&amp;INDEX(TAHSILAT!$N$7:$N$2503,$T525)&amp;IF(INDEX(TAHSILAT!$J$7:$J$2503,$T525)="",""," – "&amp;INDEX(TAHSILAT!$J$7:$J$2503,$T525)))</f>
        <v/>
      </c>
      <c r="P525" s="1" t="str">
        <f t="shared" si="90"/>
        <v/>
      </c>
      <c r="Q525" s="1">
        <f>IF($N525="",0,INDEX(TAHSILAT!$F$7:$F$2503,$T525))</f>
        <v>0</v>
      </c>
      <c r="R525" s="1">
        <v>0</v>
      </c>
      <c r="S525" s="1">
        <f t="shared" si="86"/>
        <v>10000000000</v>
      </c>
      <c r="T525" s="1">
        <f>IFERROR(MATCH($C$36&amp;"|452",TAHSILAT!$U$7:$U$2503,0),0)</f>
        <v>0</v>
      </c>
      <c r="V525" s="1">
        <f t="shared" si="87"/>
        <v>10000000000</v>
      </c>
      <c r="W525" s="1">
        <f t="shared" si="88"/>
        <v>9</v>
      </c>
    </row>
    <row r="526" spans="2:23" ht="14.25" customHeight="1" x14ac:dyDescent="0.3">
      <c r="B526" s="65" t="str">
        <f t="shared" si="80"/>
        <v/>
      </c>
      <c r="C526" s="70" t="str">
        <f t="shared" si="81"/>
        <v/>
      </c>
      <c r="D526" s="74" t="str">
        <f t="shared" si="82"/>
        <v/>
      </c>
      <c r="F526" s="65" t="str">
        <f t="shared" si="83"/>
        <v/>
      </c>
      <c r="G526" s="68" t="str">
        <f t="shared" si="84"/>
        <v/>
      </c>
      <c r="H526" s="68" t="str">
        <f t="shared" si="85"/>
        <v/>
      </c>
      <c r="I526" s="68" t="str">
        <f t="shared" si="89"/>
        <v/>
      </c>
      <c r="M526" s="1">
        <v>489</v>
      </c>
      <c r="N526" s="1" t="str">
        <f>IF($T526=0,"",INDEX(TAHSILAT!$E$7:$E$2503,$T526))</f>
        <v/>
      </c>
      <c r="O526" s="1" t="str">
        <f>IF($N526="","",$C$36&amp;" – müşteriden tahsilat: "&amp;INDEX(TAHSILAT!$N$7:$N$2503,$T526)&amp;IF(INDEX(TAHSILAT!$J$7:$J$2503,$T526)="",""," – "&amp;INDEX(TAHSILAT!$J$7:$J$2503,$T526)))</f>
        <v/>
      </c>
      <c r="P526" s="1" t="str">
        <f t="shared" si="90"/>
        <v/>
      </c>
      <c r="Q526" s="1">
        <f>IF($N526="",0,INDEX(TAHSILAT!$F$7:$F$2503,$T526))</f>
        <v>0</v>
      </c>
      <c r="R526" s="1">
        <v>0</v>
      </c>
      <c r="S526" s="1">
        <f t="shared" si="86"/>
        <v>10000000000</v>
      </c>
      <c r="T526" s="1">
        <f>IFERROR(MATCH($C$36&amp;"|453",TAHSILAT!$U$7:$U$2503,0),0)</f>
        <v>0</v>
      </c>
      <c r="V526" s="1">
        <f t="shared" si="87"/>
        <v>10000000000</v>
      </c>
      <c r="W526" s="1">
        <f t="shared" si="88"/>
        <v>9</v>
      </c>
    </row>
    <row r="527" spans="2:23" ht="14.25" customHeight="1" x14ac:dyDescent="0.3">
      <c r="B527" s="65" t="str">
        <f t="shared" si="80"/>
        <v/>
      </c>
      <c r="C527" s="70" t="str">
        <f t="shared" si="81"/>
        <v/>
      </c>
      <c r="D527" s="74" t="str">
        <f t="shared" si="82"/>
        <v/>
      </c>
      <c r="F527" s="65" t="str">
        <f t="shared" si="83"/>
        <v/>
      </c>
      <c r="G527" s="68" t="str">
        <f t="shared" si="84"/>
        <v/>
      </c>
      <c r="H527" s="68" t="str">
        <f t="shared" si="85"/>
        <v/>
      </c>
      <c r="I527" s="68" t="str">
        <f t="shared" si="89"/>
        <v/>
      </c>
      <c r="M527" s="1">
        <v>490</v>
      </c>
      <c r="N527" s="1" t="str">
        <f>IF($T527=0,"",INDEX(TAHSILAT!$E$7:$E$2503,$T527))</f>
        <v/>
      </c>
      <c r="O527" s="1" t="str">
        <f>IF($N527="","",$C$36&amp;" – müşteriden tahsilat: "&amp;INDEX(TAHSILAT!$N$7:$N$2503,$T527)&amp;IF(INDEX(TAHSILAT!$J$7:$J$2503,$T527)="",""," – "&amp;INDEX(TAHSILAT!$J$7:$J$2503,$T527)))</f>
        <v/>
      </c>
      <c r="P527" s="1" t="str">
        <f t="shared" si="90"/>
        <v/>
      </c>
      <c r="Q527" s="1">
        <f>IF($N527="",0,INDEX(TAHSILAT!$F$7:$F$2503,$T527))</f>
        <v>0</v>
      </c>
      <c r="R527" s="1">
        <v>0</v>
      </c>
      <c r="S527" s="1">
        <f t="shared" si="86"/>
        <v>10000000000</v>
      </c>
      <c r="T527" s="1">
        <f>IFERROR(MATCH($C$36&amp;"|454",TAHSILAT!$U$7:$U$2503,0),0)</f>
        <v>0</v>
      </c>
      <c r="V527" s="1">
        <f t="shared" si="87"/>
        <v>10000000000</v>
      </c>
      <c r="W527" s="1">
        <f t="shared" si="88"/>
        <v>9</v>
      </c>
    </row>
    <row r="528" spans="2:23" ht="14.25" customHeight="1" x14ac:dyDescent="0.3">
      <c r="B528" s="65" t="str">
        <f t="shared" si="80"/>
        <v/>
      </c>
      <c r="C528" s="70" t="str">
        <f t="shared" si="81"/>
        <v/>
      </c>
      <c r="D528" s="74" t="str">
        <f t="shared" si="82"/>
        <v/>
      </c>
      <c r="F528" s="65" t="str">
        <f t="shared" si="83"/>
        <v/>
      </c>
      <c r="G528" s="68" t="str">
        <f t="shared" si="84"/>
        <v/>
      </c>
      <c r="H528" s="68" t="str">
        <f t="shared" si="85"/>
        <v/>
      </c>
      <c r="I528" s="68" t="str">
        <f t="shared" si="89"/>
        <v/>
      </c>
      <c r="M528" s="1">
        <v>491</v>
      </c>
      <c r="N528" s="1" t="str">
        <f>IF($T528=0,"",INDEX(TAHSILAT!$E$7:$E$2503,$T528))</f>
        <v/>
      </c>
      <c r="O528" s="1" t="str">
        <f>IF($N528="","",$C$36&amp;" – müşteriden tahsilat: "&amp;INDEX(TAHSILAT!$N$7:$N$2503,$T528)&amp;IF(INDEX(TAHSILAT!$J$7:$J$2503,$T528)="",""," – "&amp;INDEX(TAHSILAT!$J$7:$J$2503,$T528)))</f>
        <v/>
      </c>
      <c r="P528" s="1" t="str">
        <f t="shared" si="90"/>
        <v/>
      </c>
      <c r="Q528" s="1">
        <f>IF($N528="",0,INDEX(TAHSILAT!$F$7:$F$2503,$T528))</f>
        <v>0</v>
      </c>
      <c r="R528" s="1">
        <v>0</v>
      </c>
      <c r="S528" s="1">
        <f t="shared" si="86"/>
        <v>10000000000</v>
      </c>
      <c r="T528" s="1">
        <f>IFERROR(MATCH($C$36&amp;"|455",TAHSILAT!$U$7:$U$2503,0),0)</f>
        <v>0</v>
      </c>
      <c r="V528" s="1">
        <f t="shared" si="87"/>
        <v>10000000000</v>
      </c>
      <c r="W528" s="1">
        <f t="shared" si="88"/>
        <v>9</v>
      </c>
    </row>
    <row r="529" spans="2:23" ht="14.25" customHeight="1" x14ac:dyDescent="0.3">
      <c r="B529" s="65" t="str">
        <f t="shared" si="80"/>
        <v/>
      </c>
      <c r="C529" s="70" t="str">
        <f t="shared" si="81"/>
        <v/>
      </c>
      <c r="D529" s="74" t="str">
        <f t="shared" si="82"/>
        <v/>
      </c>
      <c r="F529" s="65" t="str">
        <f t="shared" si="83"/>
        <v/>
      </c>
      <c r="G529" s="68" t="str">
        <f t="shared" si="84"/>
        <v/>
      </c>
      <c r="H529" s="68" t="str">
        <f t="shared" si="85"/>
        <v/>
      </c>
      <c r="I529" s="68" t="str">
        <f t="shared" si="89"/>
        <v/>
      </c>
      <c r="M529" s="1">
        <v>492</v>
      </c>
      <c r="N529" s="1" t="str">
        <f>IF($T529=0,"",INDEX(TAHSILAT!$E$7:$E$2503,$T529))</f>
        <v/>
      </c>
      <c r="O529" s="1" t="str">
        <f>IF($N529="","",$C$36&amp;" – müşteriden tahsilat: "&amp;INDEX(TAHSILAT!$N$7:$N$2503,$T529)&amp;IF(INDEX(TAHSILAT!$J$7:$J$2503,$T529)="",""," – "&amp;INDEX(TAHSILAT!$J$7:$J$2503,$T529)))</f>
        <v/>
      </c>
      <c r="P529" s="1" t="str">
        <f t="shared" si="90"/>
        <v/>
      </c>
      <c r="Q529" s="1">
        <f>IF($N529="",0,INDEX(TAHSILAT!$F$7:$F$2503,$T529))</f>
        <v>0</v>
      </c>
      <c r="R529" s="1">
        <v>0</v>
      </c>
      <c r="S529" s="1">
        <f t="shared" si="86"/>
        <v>10000000000</v>
      </c>
      <c r="T529" s="1">
        <f>IFERROR(MATCH($C$36&amp;"|456",TAHSILAT!$U$7:$U$2503,0),0)</f>
        <v>0</v>
      </c>
      <c r="V529" s="1">
        <f t="shared" si="87"/>
        <v>10000000000</v>
      </c>
      <c r="W529" s="1">
        <f t="shared" si="88"/>
        <v>9</v>
      </c>
    </row>
    <row r="530" spans="2:23" ht="14.25" customHeight="1" x14ac:dyDescent="0.3">
      <c r="B530" s="65" t="str">
        <f t="shared" si="80"/>
        <v/>
      </c>
      <c r="C530" s="70" t="str">
        <f t="shared" si="81"/>
        <v/>
      </c>
      <c r="D530" s="74" t="str">
        <f t="shared" si="82"/>
        <v/>
      </c>
      <c r="F530" s="65" t="str">
        <f t="shared" si="83"/>
        <v/>
      </c>
      <c r="G530" s="68" t="str">
        <f t="shared" si="84"/>
        <v/>
      </c>
      <c r="H530" s="68" t="str">
        <f t="shared" si="85"/>
        <v/>
      </c>
      <c r="I530" s="68" t="str">
        <f t="shared" si="89"/>
        <v/>
      </c>
      <c r="M530" s="1">
        <v>493</v>
      </c>
      <c r="N530" s="1" t="str">
        <f>IF($T530=0,"",INDEX(TAHSILAT!$E$7:$E$2503,$T530))</f>
        <v/>
      </c>
      <c r="O530" s="1" t="str">
        <f>IF($N530="","",$C$36&amp;" – müşteriden tahsilat: "&amp;INDEX(TAHSILAT!$N$7:$N$2503,$T530)&amp;IF(INDEX(TAHSILAT!$J$7:$J$2503,$T530)="",""," – "&amp;INDEX(TAHSILAT!$J$7:$J$2503,$T530)))</f>
        <v/>
      </c>
      <c r="P530" s="1" t="str">
        <f t="shared" si="90"/>
        <v/>
      </c>
      <c r="Q530" s="1">
        <f>IF($N530="",0,INDEX(TAHSILAT!$F$7:$F$2503,$T530))</f>
        <v>0</v>
      </c>
      <c r="R530" s="1">
        <v>0</v>
      </c>
      <c r="S530" s="1">
        <f t="shared" si="86"/>
        <v>10000000000</v>
      </c>
      <c r="T530" s="1">
        <f>IFERROR(MATCH($C$36&amp;"|457",TAHSILAT!$U$7:$U$2503,0),0)</f>
        <v>0</v>
      </c>
      <c r="V530" s="1">
        <f t="shared" si="87"/>
        <v>10000000000</v>
      </c>
      <c r="W530" s="1">
        <f t="shared" si="88"/>
        <v>9</v>
      </c>
    </row>
    <row r="531" spans="2:23" ht="14.25" customHeight="1" x14ac:dyDescent="0.3">
      <c r="B531" s="65" t="str">
        <f t="shared" si="80"/>
        <v/>
      </c>
      <c r="C531" s="70" t="str">
        <f t="shared" si="81"/>
        <v/>
      </c>
      <c r="D531" s="74" t="str">
        <f t="shared" si="82"/>
        <v/>
      </c>
      <c r="F531" s="65" t="str">
        <f t="shared" si="83"/>
        <v/>
      </c>
      <c r="G531" s="68" t="str">
        <f t="shared" si="84"/>
        <v/>
      </c>
      <c r="H531" s="68" t="str">
        <f t="shared" si="85"/>
        <v/>
      </c>
      <c r="I531" s="68" t="str">
        <f t="shared" si="89"/>
        <v/>
      </c>
      <c r="M531" s="1">
        <v>494</v>
      </c>
      <c r="N531" s="1" t="str">
        <f>IF($T531=0,"",INDEX(TAHSILAT!$E$7:$E$2503,$T531))</f>
        <v/>
      </c>
      <c r="O531" s="1" t="str">
        <f>IF($N531="","",$C$36&amp;" – müşteriden tahsilat: "&amp;INDEX(TAHSILAT!$N$7:$N$2503,$T531)&amp;IF(INDEX(TAHSILAT!$J$7:$J$2503,$T531)="",""," – "&amp;INDEX(TAHSILAT!$J$7:$J$2503,$T531)))</f>
        <v/>
      </c>
      <c r="P531" s="1" t="str">
        <f t="shared" si="90"/>
        <v/>
      </c>
      <c r="Q531" s="1">
        <f>IF($N531="",0,INDEX(TAHSILAT!$F$7:$F$2503,$T531))</f>
        <v>0</v>
      </c>
      <c r="R531" s="1">
        <v>0</v>
      </c>
      <c r="S531" s="1">
        <f t="shared" si="86"/>
        <v>10000000000</v>
      </c>
      <c r="T531" s="1">
        <f>IFERROR(MATCH($C$36&amp;"|458",TAHSILAT!$U$7:$U$2503,0),0)</f>
        <v>0</v>
      </c>
      <c r="V531" s="1">
        <f t="shared" si="87"/>
        <v>10000000000</v>
      </c>
      <c r="W531" s="1">
        <f t="shared" si="88"/>
        <v>9</v>
      </c>
    </row>
    <row r="532" spans="2:23" ht="14.25" customHeight="1" x14ac:dyDescent="0.3">
      <c r="B532" s="65" t="str">
        <f t="shared" si="80"/>
        <v/>
      </c>
      <c r="C532" s="70" t="str">
        <f t="shared" si="81"/>
        <v/>
      </c>
      <c r="D532" s="74" t="str">
        <f t="shared" si="82"/>
        <v/>
      </c>
      <c r="F532" s="65" t="str">
        <f t="shared" si="83"/>
        <v/>
      </c>
      <c r="G532" s="68" t="str">
        <f t="shared" si="84"/>
        <v/>
      </c>
      <c r="H532" s="68" t="str">
        <f t="shared" si="85"/>
        <v/>
      </c>
      <c r="I532" s="68" t="str">
        <f t="shared" si="89"/>
        <v/>
      </c>
      <c r="M532" s="1">
        <v>495</v>
      </c>
      <c r="N532" s="1" t="str">
        <f>IF($T532=0,"",INDEX(TAHSILAT!$E$7:$E$2503,$T532))</f>
        <v/>
      </c>
      <c r="O532" s="1" t="str">
        <f>IF($N532="","",$C$36&amp;" – müşteriden tahsilat: "&amp;INDEX(TAHSILAT!$N$7:$N$2503,$T532)&amp;IF(INDEX(TAHSILAT!$J$7:$J$2503,$T532)="",""," – "&amp;INDEX(TAHSILAT!$J$7:$J$2503,$T532)))</f>
        <v/>
      </c>
      <c r="P532" s="1" t="str">
        <f t="shared" si="90"/>
        <v/>
      </c>
      <c r="Q532" s="1">
        <f>IF($N532="",0,INDEX(TAHSILAT!$F$7:$F$2503,$T532))</f>
        <v>0</v>
      </c>
      <c r="R532" s="1">
        <v>0</v>
      </c>
      <c r="S532" s="1">
        <f t="shared" si="86"/>
        <v>10000000000</v>
      </c>
      <c r="T532" s="1">
        <f>IFERROR(MATCH($C$36&amp;"|459",TAHSILAT!$U$7:$U$2503,0),0)</f>
        <v>0</v>
      </c>
      <c r="V532" s="1">
        <f t="shared" si="87"/>
        <v>10000000000</v>
      </c>
      <c r="W532" s="1">
        <f t="shared" si="88"/>
        <v>9</v>
      </c>
    </row>
    <row r="533" spans="2:23" ht="14.25" customHeight="1" x14ac:dyDescent="0.3">
      <c r="B533" s="65" t="str">
        <f t="shared" si="80"/>
        <v/>
      </c>
      <c r="C533" s="70" t="str">
        <f t="shared" si="81"/>
        <v/>
      </c>
      <c r="D533" s="74" t="str">
        <f t="shared" si="82"/>
        <v/>
      </c>
      <c r="F533" s="65" t="str">
        <f t="shared" si="83"/>
        <v/>
      </c>
      <c r="G533" s="68" t="str">
        <f t="shared" si="84"/>
        <v/>
      </c>
      <c r="H533" s="68" t="str">
        <f t="shared" si="85"/>
        <v/>
      </c>
      <c r="I533" s="68" t="str">
        <f t="shared" si="89"/>
        <v/>
      </c>
      <c r="M533" s="1">
        <v>496</v>
      </c>
      <c r="N533" s="1" t="str">
        <f>IF($T533=0,"",INDEX(TAHSILAT!$E$7:$E$2503,$T533))</f>
        <v/>
      </c>
      <c r="O533" s="1" t="str">
        <f>IF($N533="","",$C$36&amp;" – müşteriden tahsilat: "&amp;INDEX(TAHSILAT!$N$7:$N$2503,$T533)&amp;IF(INDEX(TAHSILAT!$J$7:$J$2503,$T533)="",""," – "&amp;INDEX(TAHSILAT!$J$7:$J$2503,$T533)))</f>
        <v/>
      </c>
      <c r="P533" s="1" t="str">
        <f t="shared" si="90"/>
        <v/>
      </c>
      <c r="Q533" s="1">
        <f>IF($N533="",0,INDEX(TAHSILAT!$F$7:$F$2503,$T533))</f>
        <v>0</v>
      </c>
      <c r="R533" s="1">
        <v>0</v>
      </c>
      <c r="S533" s="1">
        <f t="shared" si="86"/>
        <v>10000000000</v>
      </c>
      <c r="T533" s="1">
        <f>IFERROR(MATCH($C$36&amp;"|460",TAHSILAT!$U$7:$U$2503,0),0)</f>
        <v>0</v>
      </c>
      <c r="V533" s="1">
        <f t="shared" si="87"/>
        <v>10000000000</v>
      </c>
      <c r="W533" s="1">
        <f t="shared" si="88"/>
        <v>9</v>
      </c>
    </row>
    <row r="534" spans="2:23" ht="14.25" customHeight="1" x14ac:dyDescent="0.3">
      <c r="B534" s="65" t="str">
        <f t="shared" si="80"/>
        <v/>
      </c>
      <c r="C534" s="70" t="str">
        <f t="shared" si="81"/>
        <v/>
      </c>
      <c r="D534" s="74" t="str">
        <f t="shared" si="82"/>
        <v/>
      </c>
      <c r="F534" s="65" t="str">
        <f t="shared" si="83"/>
        <v/>
      </c>
      <c r="G534" s="68" t="str">
        <f t="shared" si="84"/>
        <v/>
      </c>
      <c r="H534" s="68" t="str">
        <f t="shared" si="85"/>
        <v/>
      </c>
      <c r="I534" s="68" t="str">
        <f t="shared" si="89"/>
        <v/>
      </c>
      <c r="M534" s="1">
        <v>497</v>
      </c>
      <c r="N534" s="1" t="str">
        <f>IF($T534=0,"",INDEX(TAHSILAT!$E$7:$E$2503,$T534))</f>
        <v/>
      </c>
      <c r="O534" s="1" t="str">
        <f>IF($N534="","",$C$36&amp;" – müşteriden tahsilat: "&amp;INDEX(TAHSILAT!$N$7:$N$2503,$T534)&amp;IF(INDEX(TAHSILAT!$J$7:$J$2503,$T534)="",""," – "&amp;INDEX(TAHSILAT!$J$7:$J$2503,$T534)))</f>
        <v/>
      </c>
      <c r="P534" s="1" t="str">
        <f t="shared" si="90"/>
        <v/>
      </c>
      <c r="Q534" s="1">
        <f>IF($N534="",0,INDEX(TAHSILAT!$F$7:$F$2503,$T534))</f>
        <v>0</v>
      </c>
      <c r="R534" s="1">
        <v>0</v>
      </c>
      <c r="S534" s="1">
        <f t="shared" si="86"/>
        <v>10000000000</v>
      </c>
      <c r="T534" s="1">
        <f>IFERROR(MATCH($C$36&amp;"|461",TAHSILAT!$U$7:$U$2503,0),0)</f>
        <v>0</v>
      </c>
      <c r="V534" s="1">
        <f t="shared" si="87"/>
        <v>10000000000</v>
      </c>
      <c r="W534" s="1">
        <f t="shared" si="88"/>
        <v>9</v>
      </c>
    </row>
    <row r="535" spans="2:23" ht="14.25" customHeight="1" x14ac:dyDescent="0.3">
      <c r="B535" s="65" t="str">
        <f t="shared" si="80"/>
        <v/>
      </c>
      <c r="C535" s="70" t="str">
        <f t="shared" si="81"/>
        <v/>
      </c>
      <c r="D535" s="74" t="str">
        <f t="shared" si="82"/>
        <v/>
      </c>
      <c r="F535" s="65" t="str">
        <f t="shared" si="83"/>
        <v/>
      </c>
      <c r="G535" s="68" t="str">
        <f t="shared" si="84"/>
        <v/>
      </c>
      <c r="H535" s="68" t="str">
        <f t="shared" si="85"/>
        <v/>
      </c>
      <c r="I535" s="68" t="str">
        <f t="shared" si="89"/>
        <v/>
      </c>
      <c r="M535" s="1">
        <v>498</v>
      </c>
      <c r="N535" s="1" t="str">
        <f>IF($T535=0,"",INDEX(TAHSILAT!$E$7:$E$2503,$T535))</f>
        <v/>
      </c>
      <c r="O535" s="1" t="str">
        <f>IF($N535="","",$C$36&amp;" – müşteriden tahsilat: "&amp;INDEX(TAHSILAT!$N$7:$N$2503,$T535)&amp;IF(INDEX(TAHSILAT!$J$7:$J$2503,$T535)="",""," – "&amp;INDEX(TAHSILAT!$J$7:$J$2503,$T535)))</f>
        <v/>
      </c>
      <c r="P535" s="1" t="str">
        <f t="shared" si="90"/>
        <v/>
      </c>
      <c r="Q535" s="1">
        <f>IF($N535="",0,INDEX(TAHSILAT!$F$7:$F$2503,$T535))</f>
        <v>0</v>
      </c>
      <c r="R535" s="1">
        <v>0</v>
      </c>
      <c r="S535" s="1">
        <f t="shared" si="86"/>
        <v>10000000000</v>
      </c>
      <c r="T535" s="1">
        <f>IFERROR(MATCH($C$36&amp;"|462",TAHSILAT!$U$7:$U$2503,0),0)</f>
        <v>0</v>
      </c>
      <c r="V535" s="1">
        <f t="shared" si="87"/>
        <v>10000000000</v>
      </c>
      <c r="W535" s="1">
        <f t="shared" si="88"/>
        <v>9</v>
      </c>
    </row>
    <row r="536" spans="2:23" ht="14.25" customHeight="1" x14ac:dyDescent="0.3">
      <c r="B536" s="65" t="str">
        <f t="shared" si="80"/>
        <v/>
      </c>
      <c r="C536" s="70" t="str">
        <f t="shared" si="81"/>
        <v/>
      </c>
      <c r="D536" s="74" t="str">
        <f t="shared" si="82"/>
        <v/>
      </c>
      <c r="F536" s="65" t="str">
        <f t="shared" si="83"/>
        <v/>
      </c>
      <c r="G536" s="68" t="str">
        <f t="shared" si="84"/>
        <v/>
      </c>
      <c r="H536" s="68" t="str">
        <f t="shared" si="85"/>
        <v/>
      </c>
      <c r="I536" s="68" t="str">
        <f t="shared" si="89"/>
        <v/>
      </c>
      <c r="M536" s="1">
        <v>499</v>
      </c>
      <c r="N536" s="1" t="str">
        <f>IF($T536=0,"",INDEX(TAHSILAT!$E$7:$E$2503,$T536))</f>
        <v/>
      </c>
      <c r="O536" s="1" t="str">
        <f>IF($N536="","",$C$36&amp;" – müşteriden tahsilat: "&amp;INDEX(TAHSILAT!$N$7:$N$2503,$T536)&amp;IF(INDEX(TAHSILAT!$J$7:$J$2503,$T536)="",""," – "&amp;INDEX(TAHSILAT!$J$7:$J$2503,$T536)))</f>
        <v/>
      </c>
      <c r="P536" s="1" t="str">
        <f t="shared" si="90"/>
        <v/>
      </c>
      <c r="Q536" s="1">
        <f>IF($N536="",0,INDEX(TAHSILAT!$F$7:$F$2503,$T536))</f>
        <v>0</v>
      </c>
      <c r="R536" s="1">
        <v>0</v>
      </c>
      <c r="S536" s="1">
        <f t="shared" si="86"/>
        <v>10000000000</v>
      </c>
      <c r="T536" s="1">
        <f>IFERROR(MATCH($C$36&amp;"|463",TAHSILAT!$U$7:$U$2503,0),0)</f>
        <v>0</v>
      </c>
      <c r="V536" s="1">
        <f t="shared" si="87"/>
        <v>10000000000</v>
      </c>
      <c r="W536" s="1">
        <f t="shared" si="88"/>
        <v>9</v>
      </c>
    </row>
    <row r="537" spans="2:23" ht="14.25" customHeight="1" x14ac:dyDescent="0.3">
      <c r="B537" s="65" t="str">
        <f t="shared" si="80"/>
        <v/>
      </c>
      <c r="C537" s="70" t="str">
        <f t="shared" si="81"/>
        <v/>
      </c>
      <c r="D537" s="74" t="str">
        <f t="shared" si="82"/>
        <v/>
      </c>
      <c r="F537" s="65" t="str">
        <f t="shared" si="83"/>
        <v/>
      </c>
      <c r="G537" s="68" t="str">
        <f t="shared" si="84"/>
        <v/>
      </c>
      <c r="H537" s="68" t="str">
        <f t="shared" si="85"/>
        <v/>
      </c>
      <c r="I537" s="68" t="str">
        <f t="shared" si="89"/>
        <v/>
      </c>
      <c r="M537" s="1">
        <v>500</v>
      </c>
      <c r="N537" s="1" t="str">
        <f>IF($T537=0,"",INDEX(TAHSILAT!$E$7:$E$2503,$T537))</f>
        <v/>
      </c>
      <c r="O537" s="1" t="str">
        <f>IF($N537="","",$C$36&amp;" – müşteriden tahsilat: "&amp;INDEX(TAHSILAT!$N$7:$N$2503,$T537)&amp;IF(INDEX(TAHSILAT!$J$7:$J$2503,$T537)="",""," – "&amp;INDEX(TAHSILAT!$J$7:$J$2503,$T537)))</f>
        <v/>
      </c>
      <c r="P537" s="1" t="str">
        <f t="shared" si="90"/>
        <v/>
      </c>
      <c r="Q537" s="1">
        <f>IF($N537="",0,INDEX(TAHSILAT!$F$7:$F$2503,$T537))</f>
        <v>0</v>
      </c>
      <c r="R537" s="1">
        <v>0</v>
      </c>
      <c r="S537" s="1">
        <f t="shared" si="86"/>
        <v>10000000000</v>
      </c>
      <c r="T537" s="1">
        <f>IFERROR(MATCH($C$36&amp;"|464",TAHSILAT!$U$7:$U$2503,0),0)</f>
        <v>0</v>
      </c>
      <c r="V537" s="1">
        <f t="shared" si="87"/>
        <v>10000000000</v>
      </c>
      <c r="W537" s="1">
        <f t="shared" si="88"/>
        <v>9</v>
      </c>
    </row>
    <row r="538" spans="2:23" ht="14.25" customHeight="1" x14ac:dyDescent="0.3">
      <c r="B538" s="65" t="str">
        <f t="shared" si="80"/>
        <v/>
      </c>
      <c r="C538" s="70" t="str">
        <f t="shared" si="81"/>
        <v/>
      </c>
      <c r="D538" s="74" t="str">
        <f t="shared" si="82"/>
        <v/>
      </c>
      <c r="F538" s="65" t="str">
        <f t="shared" si="83"/>
        <v/>
      </c>
      <c r="G538" s="68" t="str">
        <f t="shared" si="84"/>
        <v/>
      </c>
      <c r="H538" s="68" t="str">
        <f t="shared" si="85"/>
        <v/>
      </c>
      <c r="I538" s="68" t="str">
        <f t="shared" si="89"/>
        <v/>
      </c>
      <c r="M538" s="1">
        <v>501</v>
      </c>
      <c r="N538" s="1" t="str">
        <f>IF($T538=0,"",INDEX(TAHSILAT!$E$7:$E$2503,$T538))</f>
        <v/>
      </c>
      <c r="O538" s="1" t="str">
        <f>IF($N538="","",$C$36&amp;" – müşteriden tahsilat: "&amp;INDEX(TAHSILAT!$N$7:$N$2503,$T538)&amp;IF(INDEX(TAHSILAT!$J$7:$J$2503,$T538)="",""," – "&amp;INDEX(TAHSILAT!$J$7:$J$2503,$T538)))</f>
        <v/>
      </c>
      <c r="P538" s="1" t="str">
        <f t="shared" si="90"/>
        <v/>
      </c>
      <c r="Q538" s="1">
        <f>IF($N538="",0,INDEX(TAHSILAT!$F$7:$F$2503,$T538))</f>
        <v>0</v>
      </c>
      <c r="R538" s="1">
        <v>0</v>
      </c>
      <c r="S538" s="1">
        <f t="shared" si="86"/>
        <v>10000000000</v>
      </c>
      <c r="T538" s="1">
        <f>IFERROR(MATCH($C$36&amp;"|465",TAHSILAT!$U$7:$U$2503,0),0)</f>
        <v>0</v>
      </c>
      <c r="V538" s="1">
        <f t="shared" si="87"/>
        <v>10000000000</v>
      </c>
      <c r="W538" s="1">
        <f t="shared" si="88"/>
        <v>9</v>
      </c>
    </row>
    <row r="539" spans="2:23" ht="14.25" customHeight="1" x14ac:dyDescent="0.3">
      <c r="B539" s="65" t="str">
        <f t="shared" si="80"/>
        <v/>
      </c>
      <c r="C539" s="70" t="str">
        <f t="shared" si="81"/>
        <v/>
      </c>
      <c r="D539" s="74" t="str">
        <f t="shared" si="82"/>
        <v/>
      </c>
      <c r="F539" s="65" t="str">
        <f t="shared" si="83"/>
        <v/>
      </c>
      <c r="G539" s="68" t="str">
        <f t="shared" si="84"/>
        <v/>
      </c>
      <c r="H539" s="68" t="str">
        <f t="shared" si="85"/>
        <v/>
      </c>
      <c r="I539" s="68" t="str">
        <f t="shared" si="89"/>
        <v/>
      </c>
      <c r="M539" s="1">
        <v>502</v>
      </c>
      <c r="N539" s="1" t="str">
        <f>IF($T539=0,"",INDEX(TAHSILAT!$E$7:$E$2503,$T539))</f>
        <v/>
      </c>
      <c r="O539" s="1" t="str">
        <f>IF($N539="","",$C$36&amp;" – müşteriden tahsilat: "&amp;INDEX(TAHSILAT!$N$7:$N$2503,$T539)&amp;IF(INDEX(TAHSILAT!$J$7:$J$2503,$T539)="",""," – "&amp;INDEX(TAHSILAT!$J$7:$J$2503,$T539)))</f>
        <v/>
      </c>
      <c r="P539" s="1" t="str">
        <f t="shared" si="90"/>
        <v/>
      </c>
      <c r="Q539" s="1">
        <f>IF($N539="",0,INDEX(TAHSILAT!$F$7:$F$2503,$T539))</f>
        <v>0</v>
      </c>
      <c r="R539" s="1">
        <v>0</v>
      </c>
      <c r="S539" s="1">
        <f t="shared" si="86"/>
        <v>10000000000</v>
      </c>
      <c r="T539" s="1">
        <f>IFERROR(MATCH($C$36&amp;"|466",TAHSILAT!$U$7:$U$2503,0),0)</f>
        <v>0</v>
      </c>
      <c r="V539" s="1">
        <f t="shared" si="87"/>
        <v>10000000000</v>
      </c>
      <c r="W539" s="1">
        <f t="shared" si="88"/>
        <v>9</v>
      </c>
    </row>
    <row r="540" spans="2:23" ht="14.25" customHeight="1" x14ac:dyDescent="0.3">
      <c r="B540" s="65" t="str">
        <f t="shared" si="80"/>
        <v/>
      </c>
      <c r="C540" s="70" t="str">
        <f t="shared" si="81"/>
        <v/>
      </c>
      <c r="D540" s="74" t="str">
        <f t="shared" si="82"/>
        <v/>
      </c>
      <c r="F540" s="65" t="str">
        <f t="shared" si="83"/>
        <v/>
      </c>
      <c r="G540" s="68" t="str">
        <f t="shared" si="84"/>
        <v/>
      </c>
      <c r="H540" s="68" t="str">
        <f t="shared" si="85"/>
        <v/>
      </c>
      <c r="I540" s="68" t="str">
        <f t="shared" si="89"/>
        <v/>
      </c>
      <c r="M540" s="1">
        <v>503</v>
      </c>
      <c r="N540" s="1" t="str">
        <f>IF($T540=0,"",INDEX(TAHSILAT!$E$7:$E$2503,$T540))</f>
        <v/>
      </c>
      <c r="O540" s="1" t="str">
        <f>IF($N540="","",$C$36&amp;" – müşteriden tahsilat: "&amp;INDEX(TAHSILAT!$N$7:$N$2503,$T540)&amp;IF(INDEX(TAHSILAT!$J$7:$J$2503,$T540)="",""," – "&amp;INDEX(TAHSILAT!$J$7:$J$2503,$T540)))</f>
        <v/>
      </c>
      <c r="P540" s="1" t="str">
        <f t="shared" si="90"/>
        <v/>
      </c>
      <c r="Q540" s="1">
        <f>IF($N540="",0,INDEX(TAHSILAT!$F$7:$F$2503,$T540))</f>
        <v>0</v>
      </c>
      <c r="R540" s="1">
        <v>0</v>
      </c>
      <c r="S540" s="1">
        <f t="shared" si="86"/>
        <v>10000000000</v>
      </c>
      <c r="T540" s="1">
        <f>IFERROR(MATCH($C$36&amp;"|467",TAHSILAT!$U$7:$U$2503,0),0)</f>
        <v>0</v>
      </c>
      <c r="V540" s="1">
        <f t="shared" si="87"/>
        <v>10000000000</v>
      </c>
      <c r="W540" s="1">
        <f t="shared" si="88"/>
        <v>9</v>
      </c>
    </row>
    <row r="541" spans="2:23" ht="14.25" customHeight="1" x14ac:dyDescent="0.3">
      <c r="B541" s="65" t="str">
        <f t="shared" si="80"/>
        <v/>
      </c>
      <c r="C541" s="70" t="str">
        <f t="shared" si="81"/>
        <v/>
      </c>
      <c r="D541" s="74" t="str">
        <f t="shared" si="82"/>
        <v/>
      </c>
      <c r="F541" s="65" t="str">
        <f t="shared" si="83"/>
        <v/>
      </c>
      <c r="G541" s="68" t="str">
        <f t="shared" si="84"/>
        <v/>
      </c>
      <c r="H541" s="68" t="str">
        <f t="shared" si="85"/>
        <v/>
      </c>
      <c r="I541" s="68" t="str">
        <f t="shared" si="89"/>
        <v/>
      </c>
      <c r="M541" s="1">
        <v>504</v>
      </c>
      <c r="N541" s="1" t="str">
        <f>IF($T541=0,"",INDEX(TAHSILAT!$E$7:$E$2503,$T541))</f>
        <v/>
      </c>
      <c r="O541" s="1" t="str">
        <f>IF($N541="","",$C$36&amp;" – müşteriden tahsilat: "&amp;INDEX(TAHSILAT!$N$7:$N$2503,$T541)&amp;IF(INDEX(TAHSILAT!$J$7:$J$2503,$T541)="",""," – "&amp;INDEX(TAHSILAT!$J$7:$J$2503,$T541)))</f>
        <v/>
      </c>
      <c r="P541" s="1" t="str">
        <f t="shared" si="90"/>
        <v/>
      </c>
      <c r="Q541" s="1">
        <f>IF($N541="",0,INDEX(TAHSILAT!$F$7:$F$2503,$T541))</f>
        <v>0</v>
      </c>
      <c r="R541" s="1">
        <v>0</v>
      </c>
      <c r="S541" s="1">
        <f t="shared" si="86"/>
        <v>10000000000</v>
      </c>
      <c r="T541" s="1">
        <f>IFERROR(MATCH($C$36&amp;"|468",TAHSILAT!$U$7:$U$2503,0),0)</f>
        <v>0</v>
      </c>
      <c r="V541" s="1">
        <f t="shared" si="87"/>
        <v>10000000000</v>
      </c>
      <c r="W541" s="1">
        <f t="shared" si="88"/>
        <v>9</v>
      </c>
    </row>
    <row r="542" spans="2:23" ht="14.25" customHeight="1" x14ac:dyDescent="0.3">
      <c r="B542" s="65" t="str">
        <f t="shared" si="80"/>
        <v/>
      </c>
      <c r="C542" s="70" t="str">
        <f t="shared" si="81"/>
        <v/>
      </c>
      <c r="D542" s="74" t="str">
        <f t="shared" si="82"/>
        <v/>
      </c>
      <c r="F542" s="65" t="str">
        <f t="shared" si="83"/>
        <v/>
      </c>
      <c r="G542" s="68" t="str">
        <f t="shared" si="84"/>
        <v/>
      </c>
      <c r="H542" s="68" t="str">
        <f t="shared" si="85"/>
        <v/>
      </c>
      <c r="I542" s="68" t="str">
        <f t="shared" si="89"/>
        <v/>
      </c>
      <c r="M542" s="1">
        <v>505</v>
      </c>
      <c r="N542" s="1" t="str">
        <f>IF($T542=0,"",INDEX(TAHSILAT!$E$7:$E$2503,$T542))</f>
        <v/>
      </c>
      <c r="O542" s="1" t="str">
        <f>IF($N542="","",$C$36&amp;" – müşteriden tahsilat: "&amp;INDEX(TAHSILAT!$N$7:$N$2503,$T542)&amp;IF(INDEX(TAHSILAT!$J$7:$J$2503,$T542)="",""," – "&amp;INDEX(TAHSILAT!$J$7:$J$2503,$T542)))</f>
        <v/>
      </c>
      <c r="P542" s="1" t="str">
        <f t="shared" si="90"/>
        <v/>
      </c>
      <c r="Q542" s="1">
        <f>IF($N542="",0,INDEX(TAHSILAT!$F$7:$F$2503,$T542))</f>
        <v>0</v>
      </c>
      <c r="R542" s="1">
        <v>0</v>
      </c>
      <c r="S542" s="1">
        <f t="shared" si="86"/>
        <v>10000000000</v>
      </c>
      <c r="T542" s="1">
        <f>IFERROR(MATCH($C$36&amp;"|469",TAHSILAT!$U$7:$U$2503,0),0)</f>
        <v>0</v>
      </c>
      <c r="V542" s="1">
        <f t="shared" si="87"/>
        <v>10000000000</v>
      </c>
      <c r="W542" s="1">
        <f t="shared" si="88"/>
        <v>9</v>
      </c>
    </row>
    <row r="543" spans="2:23" ht="14.25" customHeight="1" x14ac:dyDescent="0.3">
      <c r="B543" s="65" t="str">
        <f t="shared" si="80"/>
        <v/>
      </c>
      <c r="C543" s="70" t="str">
        <f t="shared" si="81"/>
        <v/>
      </c>
      <c r="D543" s="74" t="str">
        <f t="shared" si="82"/>
        <v/>
      </c>
      <c r="F543" s="65" t="str">
        <f t="shared" si="83"/>
        <v/>
      </c>
      <c r="G543" s="68" t="str">
        <f t="shared" si="84"/>
        <v/>
      </c>
      <c r="H543" s="68" t="str">
        <f t="shared" si="85"/>
        <v/>
      </c>
      <c r="I543" s="68" t="str">
        <f t="shared" si="89"/>
        <v/>
      </c>
      <c r="M543" s="1">
        <v>506</v>
      </c>
      <c r="N543" s="1" t="str">
        <f>IF($T543=0,"",INDEX(TAHSILAT!$E$7:$E$2503,$T543))</f>
        <v/>
      </c>
      <c r="O543" s="1" t="str">
        <f>IF($N543="","",$C$36&amp;" – müşteriden tahsilat: "&amp;INDEX(TAHSILAT!$N$7:$N$2503,$T543)&amp;IF(INDEX(TAHSILAT!$J$7:$J$2503,$T543)="",""," – "&amp;INDEX(TAHSILAT!$J$7:$J$2503,$T543)))</f>
        <v/>
      </c>
      <c r="P543" s="1" t="str">
        <f t="shared" si="90"/>
        <v/>
      </c>
      <c r="Q543" s="1">
        <f>IF($N543="",0,INDEX(TAHSILAT!$F$7:$F$2503,$T543))</f>
        <v>0</v>
      </c>
      <c r="R543" s="1">
        <v>0</v>
      </c>
      <c r="S543" s="1">
        <f t="shared" si="86"/>
        <v>10000000000</v>
      </c>
      <c r="T543" s="1">
        <f>IFERROR(MATCH($C$36&amp;"|470",TAHSILAT!$U$7:$U$2503,0),0)</f>
        <v>0</v>
      </c>
      <c r="V543" s="1">
        <f t="shared" si="87"/>
        <v>10000000000</v>
      </c>
      <c r="W543" s="1">
        <f t="shared" si="88"/>
        <v>9</v>
      </c>
    </row>
    <row r="544" spans="2:23" ht="14.25" customHeight="1" x14ac:dyDescent="0.3">
      <c r="B544" s="65" t="str">
        <f t="shared" si="80"/>
        <v/>
      </c>
      <c r="C544" s="70" t="str">
        <f t="shared" si="81"/>
        <v/>
      </c>
      <c r="D544" s="74" t="str">
        <f t="shared" si="82"/>
        <v/>
      </c>
      <c r="F544" s="65" t="str">
        <f t="shared" si="83"/>
        <v/>
      </c>
      <c r="G544" s="68" t="str">
        <f t="shared" si="84"/>
        <v/>
      </c>
      <c r="H544" s="68" t="str">
        <f t="shared" si="85"/>
        <v/>
      </c>
      <c r="I544" s="68" t="str">
        <f t="shared" si="89"/>
        <v/>
      </c>
      <c r="M544" s="1">
        <v>507</v>
      </c>
      <c r="N544" s="1" t="str">
        <f>IF($T544=0,"",INDEX(TAHSILAT!$E$7:$E$2503,$T544))</f>
        <v/>
      </c>
      <c r="O544" s="1" t="str">
        <f>IF($N544="","",$C$36&amp;" – müşteriden tahsilat: "&amp;INDEX(TAHSILAT!$N$7:$N$2503,$T544)&amp;IF(INDEX(TAHSILAT!$J$7:$J$2503,$T544)="",""," – "&amp;INDEX(TAHSILAT!$J$7:$J$2503,$T544)))</f>
        <v/>
      </c>
      <c r="P544" s="1" t="str">
        <f t="shared" si="90"/>
        <v/>
      </c>
      <c r="Q544" s="1">
        <f>IF($N544="",0,INDEX(TAHSILAT!$F$7:$F$2503,$T544))</f>
        <v>0</v>
      </c>
      <c r="R544" s="1">
        <v>0</v>
      </c>
      <c r="S544" s="1">
        <f t="shared" si="86"/>
        <v>10000000000</v>
      </c>
      <c r="T544" s="1">
        <f>IFERROR(MATCH($C$36&amp;"|471",TAHSILAT!$U$7:$U$2503,0),0)</f>
        <v>0</v>
      </c>
      <c r="V544" s="1">
        <f t="shared" si="87"/>
        <v>10000000000</v>
      </c>
      <c r="W544" s="1">
        <f t="shared" si="88"/>
        <v>9</v>
      </c>
    </row>
    <row r="545" spans="2:23" ht="14.25" customHeight="1" x14ac:dyDescent="0.3">
      <c r="B545" s="65" t="str">
        <f t="shared" si="80"/>
        <v/>
      </c>
      <c r="C545" s="70" t="str">
        <f t="shared" si="81"/>
        <v/>
      </c>
      <c r="D545" s="74" t="str">
        <f t="shared" si="82"/>
        <v/>
      </c>
      <c r="F545" s="65" t="str">
        <f t="shared" si="83"/>
        <v/>
      </c>
      <c r="G545" s="68" t="str">
        <f t="shared" si="84"/>
        <v/>
      </c>
      <c r="H545" s="68" t="str">
        <f t="shared" si="85"/>
        <v/>
      </c>
      <c r="I545" s="68" t="str">
        <f t="shared" si="89"/>
        <v/>
      </c>
      <c r="M545" s="1">
        <v>508</v>
      </c>
      <c r="N545" s="1" t="str">
        <f>IF($T545=0,"",INDEX(TAHSILAT!$E$7:$E$2503,$T545))</f>
        <v/>
      </c>
      <c r="O545" s="1" t="str">
        <f>IF($N545="","",$C$36&amp;" – müşteriden tahsilat: "&amp;INDEX(TAHSILAT!$N$7:$N$2503,$T545)&amp;IF(INDEX(TAHSILAT!$J$7:$J$2503,$T545)="",""," – "&amp;INDEX(TAHSILAT!$J$7:$J$2503,$T545)))</f>
        <v/>
      </c>
      <c r="P545" s="1" t="str">
        <f t="shared" si="90"/>
        <v/>
      </c>
      <c r="Q545" s="1">
        <f>IF($N545="",0,INDEX(TAHSILAT!$F$7:$F$2503,$T545))</f>
        <v>0</v>
      </c>
      <c r="R545" s="1">
        <v>0</v>
      </c>
      <c r="S545" s="1">
        <f t="shared" si="86"/>
        <v>10000000000</v>
      </c>
      <c r="T545" s="1">
        <f>IFERROR(MATCH($C$36&amp;"|472",TAHSILAT!$U$7:$U$2503,0),0)</f>
        <v>0</v>
      </c>
      <c r="V545" s="1">
        <f t="shared" si="87"/>
        <v>10000000000</v>
      </c>
      <c r="W545" s="1">
        <f t="shared" si="88"/>
        <v>9</v>
      </c>
    </row>
    <row r="546" spans="2:23" ht="14.25" customHeight="1" x14ac:dyDescent="0.3">
      <c r="B546" s="65" t="str">
        <f t="shared" si="80"/>
        <v/>
      </c>
      <c r="C546" s="70" t="str">
        <f t="shared" si="81"/>
        <v/>
      </c>
      <c r="D546" s="74" t="str">
        <f t="shared" si="82"/>
        <v/>
      </c>
      <c r="F546" s="65" t="str">
        <f t="shared" si="83"/>
        <v/>
      </c>
      <c r="G546" s="68" t="str">
        <f t="shared" si="84"/>
        <v/>
      </c>
      <c r="H546" s="68" t="str">
        <f t="shared" si="85"/>
        <v/>
      </c>
      <c r="I546" s="68" t="str">
        <f t="shared" si="89"/>
        <v/>
      </c>
      <c r="M546" s="1">
        <v>509</v>
      </c>
      <c r="N546" s="1" t="str">
        <f>IF($T546=0,"",INDEX(TAHSILAT!$E$7:$E$2503,$T546))</f>
        <v/>
      </c>
      <c r="O546" s="1" t="str">
        <f>IF($N546="","",$C$36&amp;" – müşteriden tahsilat: "&amp;INDEX(TAHSILAT!$N$7:$N$2503,$T546)&amp;IF(INDEX(TAHSILAT!$J$7:$J$2503,$T546)="",""," – "&amp;INDEX(TAHSILAT!$J$7:$J$2503,$T546)))</f>
        <v/>
      </c>
      <c r="P546" s="1" t="str">
        <f t="shared" si="90"/>
        <v/>
      </c>
      <c r="Q546" s="1">
        <f>IF($N546="",0,INDEX(TAHSILAT!$F$7:$F$2503,$T546))</f>
        <v>0</v>
      </c>
      <c r="R546" s="1">
        <v>0</v>
      </c>
      <c r="S546" s="1">
        <f t="shared" si="86"/>
        <v>10000000000</v>
      </c>
      <c r="T546" s="1">
        <f>IFERROR(MATCH($C$36&amp;"|473",TAHSILAT!$U$7:$U$2503,0),0)</f>
        <v>0</v>
      </c>
      <c r="V546" s="1">
        <f t="shared" si="87"/>
        <v>10000000000</v>
      </c>
      <c r="W546" s="1">
        <f t="shared" si="88"/>
        <v>9</v>
      </c>
    </row>
    <row r="547" spans="2:23" ht="14.25" customHeight="1" x14ac:dyDescent="0.3">
      <c r="B547" s="65" t="str">
        <f t="shared" si="80"/>
        <v/>
      </c>
      <c r="C547" s="70" t="str">
        <f t="shared" si="81"/>
        <v/>
      </c>
      <c r="D547" s="74" t="str">
        <f t="shared" si="82"/>
        <v/>
      </c>
      <c r="F547" s="65" t="str">
        <f t="shared" si="83"/>
        <v/>
      </c>
      <c r="G547" s="68" t="str">
        <f t="shared" si="84"/>
        <v/>
      </c>
      <c r="H547" s="68" t="str">
        <f t="shared" si="85"/>
        <v/>
      </c>
      <c r="I547" s="68" t="str">
        <f t="shared" si="89"/>
        <v/>
      </c>
      <c r="M547" s="1">
        <v>510</v>
      </c>
      <c r="N547" s="1" t="str">
        <f>IF($T547=0,"",INDEX(TAHSILAT!$E$7:$E$2503,$T547))</f>
        <v/>
      </c>
      <c r="O547" s="1" t="str">
        <f>IF($N547="","",$C$36&amp;" – müşteriden tahsilat: "&amp;INDEX(TAHSILAT!$N$7:$N$2503,$T547)&amp;IF(INDEX(TAHSILAT!$J$7:$J$2503,$T547)="",""," – "&amp;INDEX(TAHSILAT!$J$7:$J$2503,$T547)))</f>
        <v/>
      </c>
      <c r="P547" s="1" t="str">
        <f t="shared" si="90"/>
        <v/>
      </c>
      <c r="Q547" s="1">
        <f>IF($N547="",0,INDEX(TAHSILAT!$F$7:$F$2503,$T547))</f>
        <v>0</v>
      </c>
      <c r="R547" s="1">
        <v>0</v>
      </c>
      <c r="S547" s="1">
        <f t="shared" si="86"/>
        <v>10000000000</v>
      </c>
      <c r="T547" s="1">
        <f>IFERROR(MATCH($C$36&amp;"|474",TAHSILAT!$U$7:$U$2503,0),0)</f>
        <v>0</v>
      </c>
      <c r="V547" s="1">
        <f t="shared" si="87"/>
        <v>10000000000</v>
      </c>
      <c r="W547" s="1">
        <f t="shared" si="88"/>
        <v>9</v>
      </c>
    </row>
    <row r="548" spans="2:23" ht="14.25" customHeight="1" x14ac:dyDescent="0.3">
      <c r="B548" s="65" t="str">
        <f t="shared" si="80"/>
        <v/>
      </c>
      <c r="C548" s="70" t="str">
        <f t="shared" si="81"/>
        <v/>
      </c>
      <c r="D548" s="74" t="str">
        <f t="shared" si="82"/>
        <v/>
      </c>
      <c r="F548" s="65" t="str">
        <f t="shared" si="83"/>
        <v/>
      </c>
      <c r="G548" s="68" t="str">
        <f t="shared" si="84"/>
        <v/>
      </c>
      <c r="H548" s="68" t="str">
        <f t="shared" si="85"/>
        <v/>
      </c>
      <c r="I548" s="68" t="str">
        <f t="shared" si="89"/>
        <v/>
      </c>
      <c r="M548" s="1">
        <v>511</v>
      </c>
      <c r="N548" s="1" t="str">
        <f>IF($T548=0,"",INDEX(TAHSILAT!$E$7:$E$2503,$T548))</f>
        <v/>
      </c>
      <c r="O548" s="1" t="str">
        <f>IF($N548="","",$C$36&amp;" – müşteriden tahsilat: "&amp;INDEX(TAHSILAT!$N$7:$N$2503,$T548)&amp;IF(INDEX(TAHSILAT!$J$7:$J$2503,$T548)="",""," – "&amp;INDEX(TAHSILAT!$J$7:$J$2503,$T548)))</f>
        <v/>
      </c>
      <c r="P548" s="1" t="str">
        <f t="shared" si="90"/>
        <v/>
      </c>
      <c r="Q548" s="1">
        <f>IF($N548="",0,INDEX(TAHSILAT!$F$7:$F$2503,$T548))</f>
        <v>0</v>
      </c>
      <c r="R548" s="1">
        <v>0</v>
      </c>
      <c r="S548" s="1">
        <f t="shared" si="86"/>
        <v>10000000000</v>
      </c>
      <c r="T548" s="1">
        <f>IFERROR(MATCH($C$36&amp;"|475",TAHSILAT!$U$7:$U$2503,0),0)</f>
        <v>0</v>
      </c>
      <c r="V548" s="1">
        <f t="shared" si="87"/>
        <v>10000000000</v>
      </c>
      <c r="W548" s="1">
        <f t="shared" si="88"/>
        <v>9</v>
      </c>
    </row>
    <row r="549" spans="2:23" ht="14.25" customHeight="1" x14ac:dyDescent="0.3">
      <c r="B549" s="65" t="str">
        <f t="shared" si="80"/>
        <v/>
      </c>
      <c r="C549" s="70" t="str">
        <f t="shared" si="81"/>
        <v/>
      </c>
      <c r="D549" s="74" t="str">
        <f t="shared" si="82"/>
        <v/>
      </c>
      <c r="F549" s="65" t="str">
        <f t="shared" si="83"/>
        <v/>
      </c>
      <c r="G549" s="68" t="str">
        <f t="shared" si="84"/>
        <v/>
      </c>
      <c r="H549" s="68" t="str">
        <f t="shared" si="85"/>
        <v/>
      </c>
      <c r="I549" s="68" t="str">
        <f t="shared" si="89"/>
        <v/>
      </c>
      <c r="M549" s="1">
        <v>512</v>
      </c>
      <c r="N549" s="1" t="str">
        <f>IF($T549=0,"",INDEX(TAHSILAT!$E$7:$E$2503,$T549))</f>
        <v/>
      </c>
      <c r="O549" s="1" t="str">
        <f>IF($N549="","",$C$36&amp;" – müşteriden tahsilat: "&amp;INDEX(TAHSILAT!$N$7:$N$2503,$T549)&amp;IF(INDEX(TAHSILAT!$J$7:$J$2503,$T549)="",""," – "&amp;INDEX(TAHSILAT!$J$7:$J$2503,$T549)))</f>
        <v/>
      </c>
      <c r="P549" s="1" t="str">
        <f t="shared" si="90"/>
        <v/>
      </c>
      <c r="Q549" s="1">
        <f>IF($N549="",0,INDEX(TAHSILAT!$F$7:$F$2503,$T549))</f>
        <v>0</v>
      </c>
      <c r="R549" s="1">
        <v>0</v>
      </c>
      <c r="S549" s="1">
        <f t="shared" si="86"/>
        <v>10000000000</v>
      </c>
      <c r="T549" s="1">
        <f>IFERROR(MATCH($C$36&amp;"|476",TAHSILAT!$U$7:$U$2503,0),0)</f>
        <v>0</v>
      </c>
      <c r="V549" s="1">
        <f t="shared" si="87"/>
        <v>10000000000</v>
      </c>
      <c r="W549" s="1">
        <f t="shared" si="88"/>
        <v>9</v>
      </c>
    </row>
    <row r="550" spans="2:23" ht="14.25" customHeight="1" x14ac:dyDescent="0.3">
      <c r="B550" s="65" t="str">
        <f t="shared" ref="B550:B613" si="91">IF($C550="","",ROW()-37)</f>
        <v/>
      </c>
      <c r="C550" s="70" t="str">
        <f t="shared" ref="C550:C613" si="92">IF($W550="","",IF(INDEX($N$38:$N$953,$W550)="","",INDEX($N$38:$N$953,$W550)))</f>
        <v/>
      </c>
      <c r="D550" s="74" t="str">
        <f t="shared" ref="D550:D613" si="93">IF($C550="","",INDEX($O$38:$O$953,$W550))</f>
        <v/>
      </c>
      <c r="F550" s="65" t="str">
        <f t="shared" ref="F550:F613" si="94">IF($C550="","",INDEX($P$38:$P$953,$W550))</f>
        <v/>
      </c>
      <c r="G550" s="68" t="str">
        <f t="shared" ref="G550:G613" si="95">IF($C550="","",INDEX($Q$38:$Q$953,$W550))</f>
        <v/>
      </c>
      <c r="H550" s="68" t="str">
        <f t="shared" ref="H550:H613" si="96">IF($C550="","",INDEX($R$38:$R$953,$W550))</f>
        <v/>
      </c>
      <c r="I550" s="68" t="str">
        <f t="shared" si="89"/>
        <v/>
      </c>
      <c r="M550" s="1">
        <v>513</v>
      </c>
      <c r="N550" s="1" t="str">
        <f>IF($T550=0,"",INDEX(TAHSILAT!$E$7:$E$2503,$T550))</f>
        <v/>
      </c>
      <c r="O550" s="1" t="str">
        <f>IF($N550="","",$C$36&amp;" – müşteriden tahsilat: "&amp;INDEX(TAHSILAT!$N$7:$N$2503,$T550)&amp;IF(INDEX(TAHSILAT!$J$7:$J$2503,$T550)="",""," – "&amp;INDEX(TAHSILAT!$J$7:$J$2503,$T550)))</f>
        <v/>
      </c>
      <c r="P550" s="1" t="str">
        <f t="shared" si="90"/>
        <v/>
      </c>
      <c r="Q550" s="1">
        <f>IF($N550="",0,INDEX(TAHSILAT!$F$7:$F$2503,$T550))</f>
        <v>0</v>
      </c>
      <c r="R550" s="1">
        <v>0</v>
      </c>
      <c r="S550" s="1">
        <f t="shared" ref="S550:S613" si="97">IF($N550="",10000000000,$N550*100000+$M550)</f>
        <v>10000000000</v>
      </c>
      <c r="T550" s="1">
        <f>IFERROR(MATCH($C$36&amp;"|477",TAHSILAT!$U$7:$U$2503,0),0)</f>
        <v>0</v>
      </c>
      <c r="V550" s="1">
        <f t="shared" ref="V550:V613" si="98">IFERROR(SMALL($S$38:$S$953,ROW()-37),"")</f>
        <v>10000000000</v>
      </c>
      <c r="W550" s="1">
        <f t="shared" ref="W550:W613" si="99">IFERROR(MATCH($V550,$S$38:$S$953,0),"")</f>
        <v>9</v>
      </c>
    </row>
    <row r="551" spans="2:23" ht="14.25" customHeight="1" x14ac:dyDescent="0.3">
      <c r="B551" s="65" t="str">
        <f t="shared" si="91"/>
        <v/>
      </c>
      <c r="C551" s="70" t="str">
        <f t="shared" si="92"/>
        <v/>
      </c>
      <c r="D551" s="74" t="str">
        <f t="shared" si="93"/>
        <v/>
      </c>
      <c r="F551" s="65" t="str">
        <f t="shared" si="94"/>
        <v/>
      </c>
      <c r="G551" s="68" t="str">
        <f t="shared" si="95"/>
        <v/>
      </c>
      <c r="H551" s="68" t="str">
        <f t="shared" si="96"/>
        <v/>
      </c>
      <c r="I551" s="68" t="str">
        <f t="shared" ref="I551:I614" si="100">IF($C551="","",N($I550)+$G551-$H551)</f>
        <v/>
      </c>
      <c r="M551" s="1">
        <v>514</v>
      </c>
      <c r="N551" s="1" t="str">
        <f>IF($T551=0,"",INDEX(TAHSILAT!$E$7:$E$2503,$T551))</f>
        <v/>
      </c>
      <c r="O551" s="1" t="str">
        <f>IF($N551="","",$C$36&amp;" – müşteriden tahsilat: "&amp;INDEX(TAHSILAT!$N$7:$N$2503,$T551)&amp;IF(INDEX(TAHSILAT!$J$7:$J$2503,$T551)="",""," – "&amp;INDEX(TAHSILAT!$J$7:$J$2503,$T551)))</f>
        <v/>
      </c>
      <c r="P551" s="1" t="str">
        <f t="shared" si="90"/>
        <v/>
      </c>
      <c r="Q551" s="1">
        <f>IF($N551="",0,INDEX(TAHSILAT!$F$7:$F$2503,$T551))</f>
        <v>0</v>
      </c>
      <c r="R551" s="1">
        <v>0</v>
      </c>
      <c r="S551" s="1">
        <f t="shared" si="97"/>
        <v>10000000000</v>
      </c>
      <c r="T551" s="1">
        <f>IFERROR(MATCH($C$36&amp;"|478",TAHSILAT!$U$7:$U$2503,0),0)</f>
        <v>0</v>
      </c>
      <c r="V551" s="1">
        <f t="shared" si="98"/>
        <v>10000000000</v>
      </c>
      <c r="W551" s="1">
        <f t="shared" si="99"/>
        <v>9</v>
      </c>
    </row>
    <row r="552" spans="2:23" ht="14.25" customHeight="1" x14ac:dyDescent="0.3">
      <c r="B552" s="65" t="str">
        <f t="shared" si="91"/>
        <v/>
      </c>
      <c r="C552" s="70" t="str">
        <f t="shared" si="92"/>
        <v/>
      </c>
      <c r="D552" s="74" t="str">
        <f t="shared" si="93"/>
        <v/>
      </c>
      <c r="F552" s="65" t="str">
        <f t="shared" si="94"/>
        <v/>
      </c>
      <c r="G552" s="68" t="str">
        <f t="shared" si="95"/>
        <v/>
      </c>
      <c r="H552" s="68" t="str">
        <f t="shared" si="96"/>
        <v/>
      </c>
      <c r="I552" s="68" t="str">
        <f t="shared" si="100"/>
        <v/>
      </c>
      <c r="M552" s="1">
        <v>515</v>
      </c>
      <c r="N552" s="1" t="str">
        <f>IF($T552=0,"",INDEX(TAHSILAT!$E$7:$E$2503,$T552))</f>
        <v/>
      </c>
      <c r="O552" s="1" t="str">
        <f>IF($N552="","",$C$36&amp;" – müşteriden tahsilat: "&amp;INDEX(TAHSILAT!$N$7:$N$2503,$T552)&amp;IF(INDEX(TAHSILAT!$J$7:$J$2503,$T552)="",""," – "&amp;INDEX(TAHSILAT!$J$7:$J$2503,$T552)))</f>
        <v/>
      </c>
      <c r="P552" s="1" t="str">
        <f t="shared" si="90"/>
        <v/>
      </c>
      <c r="Q552" s="1">
        <f>IF($N552="",0,INDEX(TAHSILAT!$F$7:$F$2503,$T552))</f>
        <v>0</v>
      </c>
      <c r="R552" s="1">
        <v>0</v>
      </c>
      <c r="S552" s="1">
        <f t="shared" si="97"/>
        <v>10000000000</v>
      </c>
      <c r="T552" s="1">
        <f>IFERROR(MATCH($C$36&amp;"|479",TAHSILAT!$U$7:$U$2503,0),0)</f>
        <v>0</v>
      </c>
      <c r="V552" s="1">
        <f t="shared" si="98"/>
        <v>10000000000</v>
      </c>
      <c r="W552" s="1">
        <f t="shared" si="99"/>
        <v>9</v>
      </c>
    </row>
    <row r="553" spans="2:23" ht="14.25" customHeight="1" x14ac:dyDescent="0.3">
      <c r="B553" s="65" t="str">
        <f t="shared" si="91"/>
        <v/>
      </c>
      <c r="C553" s="70" t="str">
        <f t="shared" si="92"/>
        <v/>
      </c>
      <c r="D553" s="74" t="str">
        <f t="shared" si="93"/>
        <v/>
      </c>
      <c r="F553" s="65" t="str">
        <f t="shared" si="94"/>
        <v/>
      </c>
      <c r="G553" s="68" t="str">
        <f t="shared" si="95"/>
        <v/>
      </c>
      <c r="H553" s="68" t="str">
        <f t="shared" si="96"/>
        <v/>
      </c>
      <c r="I553" s="68" t="str">
        <f t="shared" si="100"/>
        <v/>
      </c>
      <c r="M553" s="1">
        <v>516</v>
      </c>
      <c r="N553" s="1" t="str">
        <f>IF($T553=0,"",INDEX(TAHSILAT!$E$7:$E$2503,$T553))</f>
        <v/>
      </c>
      <c r="O553" s="1" t="str">
        <f>IF($N553="","",$C$36&amp;" – müşteriden tahsilat: "&amp;INDEX(TAHSILAT!$N$7:$N$2503,$T553)&amp;IF(INDEX(TAHSILAT!$J$7:$J$2503,$T553)="",""," – "&amp;INDEX(TAHSILAT!$J$7:$J$2503,$T553)))</f>
        <v/>
      </c>
      <c r="P553" s="1" t="str">
        <f t="shared" si="90"/>
        <v/>
      </c>
      <c r="Q553" s="1">
        <f>IF($N553="",0,INDEX(TAHSILAT!$F$7:$F$2503,$T553))</f>
        <v>0</v>
      </c>
      <c r="R553" s="1">
        <v>0</v>
      </c>
      <c r="S553" s="1">
        <f t="shared" si="97"/>
        <v>10000000000</v>
      </c>
      <c r="T553" s="1">
        <f>IFERROR(MATCH($C$36&amp;"|480",TAHSILAT!$U$7:$U$2503,0),0)</f>
        <v>0</v>
      </c>
      <c r="V553" s="1">
        <f t="shared" si="98"/>
        <v>10000000000</v>
      </c>
      <c r="W553" s="1">
        <f t="shared" si="99"/>
        <v>9</v>
      </c>
    </row>
    <row r="554" spans="2:23" ht="14.25" customHeight="1" x14ac:dyDescent="0.3">
      <c r="B554" s="65" t="str">
        <f t="shared" si="91"/>
        <v/>
      </c>
      <c r="C554" s="70" t="str">
        <f t="shared" si="92"/>
        <v/>
      </c>
      <c r="D554" s="74" t="str">
        <f t="shared" si="93"/>
        <v/>
      </c>
      <c r="F554" s="65" t="str">
        <f t="shared" si="94"/>
        <v/>
      </c>
      <c r="G554" s="68" t="str">
        <f t="shared" si="95"/>
        <v/>
      </c>
      <c r="H554" s="68" t="str">
        <f t="shared" si="96"/>
        <v/>
      </c>
      <c r="I554" s="68" t="str">
        <f t="shared" si="100"/>
        <v/>
      </c>
      <c r="M554" s="1">
        <v>517</v>
      </c>
      <c r="N554" s="1" t="str">
        <f>IF($T554=0,"",INDEX(TAHSILAT!$E$7:$E$2503,$T554))</f>
        <v/>
      </c>
      <c r="O554" s="1" t="str">
        <f>IF($N554="","",$C$36&amp;" – müşteriden tahsilat: "&amp;INDEX(TAHSILAT!$N$7:$N$2503,$T554)&amp;IF(INDEX(TAHSILAT!$J$7:$J$2503,$T554)="",""," – "&amp;INDEX(TAHSILAT!$J$7:$J$2503,$T554)))</f>
        <v/>
      </c>
      <c r="P554" s="1" t="str">
        <f t="shared" si="90"/>
        <v/>
      </c>
      <c r="Q554" s="1">
        <f>IF($N554="",0,INDEX(TAHSILAT!$F$7:$F$2503,$T554))</f>
        <v>0</v>
      </c>
      <c r="R554" s="1">
        <v>0</v>
      </c>
      <c r="S554" s="1">
        <f t="shared" si="97"/>
        <v>10000000000</v>
      </c>
      <c r="T554" s="1">
        <f>IFERROR(MATCH($C$36&amp;"|481",TAHSILAT!$U$7:$U$2503,0),0)</f>
        <v>0</v>
      </c>
      <c r="V554" s="1">
        <f t="shared" si="98"/>
        <v>10000000000</v>
      </c>
      <c r="W554" s="1">
        <f t="shared" si="99"/>
        <v>9</v>
      </c>
    </row>
    <row r="555" spans="2:23" ht="14.25" customHeight="1" x14ac:dyDescent="0.3">
      <c r="B555" s="65" t="str">
        <f t="shared" si="91"/>
        <v/>
      </c>
      <c r="C555" s="70" t="str">
        <f t="shared" si="92"/>
        <v/>
      </c>
      <c r="D555" s="74" t="str">
        <f t="shared" si="93"/>
        <v/>
      </c>
      <c r="F555" s="65" t="str">
        <f t="shared" si="94"/>
        <v/>
      </c>
      <c r="G555" s="68" t="str">
        <f t="shared" si="95"/>
        <v/>
      </c>
      <c r="H555" s="68" t="str">
        <f t="shared" si="96"/>
        <v/>
      </c>
      <c r="I555" s="68" t="str">
        <f t="shared" si="100"/>
        <v/>
      </c>
      <c r="M555" s="1">
        <v>518</v>
      </c>
      <c r="N555" s="1" t="str">
        <f>IF($T555=0,"",INDEX(TAHSILAT!$E$7:$E$2503,$T555))</f>
        <v/>
      </c>
      <c r="O555" s="1" t="str">
        <f>IF($N555="","",$C$36&amp;" – müşteriden tahsilat: "&amp;INDEX(TAHSILAT!$N$7:$N$2503,$T555)&amp;IF(INDEX(TAHSILAT!$J$7:$J$2503,$T555)="",""," – "&amp;INDEX(TAHSILAT!$J$7:$J$2503,$T555)))</f>
        <v/>
      </c>
      <c r="P555" s="1" t="str">
        <f t="shared" si="90"/>
        <v/>
      </c>
      <c r="Q555" s="1">
        <f>IF($N555="",0,INDEX(TAHSILAT!$F$7:$F$2503,$T555))</f>
        <v>0</v>
      </c>
      <c r="R555" s="1">
        <v>0</v>
      </c>
      <c r="S555" s="1">
        <f t="shared" si="97"/>
        <v>10000000000</v>
      </c>
      <c r="T555" s="1">
        <f>IFERROR(MATCH($C$36&amp;"|482",TAHSILAT!$U$7:$U$2503,0),0)</f>
        <v>0</v>
      </c>
      <c r="V555" s="1">
        <f t="shared" si="98"/>
        <v>10000000000</v>
      </c>
      <c r="W555" s="1">
        <f t="shared" si="99"/>
        <v>9</v>
      </c>
    </row>
    <row r="556" spans="2:23" ht="14.25" customHeight="1" x14ac:dyDescent="0.3">
      <c r="B556" s="65" t="str">
        <f t="shared" si="91"/>
        <v/>
      </c>
      <c r="C556" s="70" t="str">
        <f t="shared" si="92"/>
        <v/>
      </c>
      <c r="D556" s="74" t="str">
        <f t="shared" si="93"/>
        <v/>
      </c>
      <c r="F556" s="65" t="str">
        <f t="shared" si="94"/>
        <v/>
      </c>
      <c r="G556" s="68" t="str">
        <f t="shared" si="95"/>
        <v/>
      </c>
      <c r="H556" s="68" t="str">
        <f t="shared" si="96"/>
        <v/>
      </c>
      <c r="I556" s="68" t="str">
        <f t="shared" si="100"/>
        <v/>
      </c>
      <c r="M556" s="1">
        <v>519</v>
      </c>
      <c r="N556" s="1" t="str">
        <f>IF($T556=0,"",INDEX(TAHSILAT!$E$7:$E$2503,$T556))</f>
        <v/>
      </c>
      <c r="O556" s="1" t="str">
        <f>IF($N556="","",$C$36&amp;" – müşteriden tahsilat: "&amp;INDEX(TAHSILAT!$N$7:$N$2503,$T556)&amp;IF(INDEX(TAHSILAT!$J$7:$J$2503,$T556)="",""," – "&amp;INDEX(TAHSILAT!$J$7:$J$2503,$T556)))</f>
        <v/>
      </c>
      <c r="P556" s="1" t="str">
        <f t="shared" si="90"/>
        <v/>
      </c>
      <c r="Q556" s="1">
        <f>IF($N556="",0,INDEX(TAHSILAT!$F$7:$F$2503,$T556))</f>
        <v>0</v>
      </c>
      <c r="R556" s="1">
        <v>0</v>
      </c>
      <c r="S556" s="1">
        <f t="shared" si="97"/>
        <v>10000000000</v>
      </c>
      <c r="T556" s="1">
        <f>IFERROR(MATCH($C$36&amp;"|483",TAHSILAT!$U$7:$U$2503,0),0)</f>
        <v>0</v>
      </c>
      <c r="V556" s="1">
        <f t="shared" si="98"/>
        <v>10000000000</v>
      </c>
      <c r="W556" s="1">
        <f t="shared" si="99"/>
        <v>9</v>
      </c>
    </row>
    <row r="557" spans="2:23" ht="14.25" customHeight="1" x14ac:dyDescent="0.3">
      <c r="B557" s="65" t="str">
        <f t="shared" si="91"/>
        <v/>
      </c>
      <c r="C557" s="70" t="str">
        <f t="shared" si="92"/>
        <v/>
      </c>
      <c r="D557" s="74" t="str">
        <f t="shared" si="93"/>
        <v/>
      </c>
      <c r="F557" s="65" t="str">
        <f t="shared" si="94"/>
        <v/>
      </c>
      <c r="G557" s="68" t="str">
        <f t="shared" si="95"/>
        <v/>
      </c>
      <c r="H557" s="68" t="str">
        <f t="shared" si="96"/>
        <v/>
      </c>
      <c r="I557" s="68" t="str">
        <f t="shared" si="100"/>
        <v/>
      </c>
      <c r="M557" s="1">
        <v>520</v>
      </c>
      <c r="N557" s="1" t="str">
        <f>IF($T557=0,"",INDEX(TAHSILAT!$E$7:$E$2503,$T557))</f>
        <v/>
      </c>
      <c r="O557" s="1" t="str">
        <f>IF($N557="","",$C$36&amp;" – müşteriden tahsilat: "&amp;INDEX(TAHSILAT!$N$7:$N$2503,$T557)&amp;IF(INDEX(TAHSILAT!$J$7:$J$2503,$T557)="",""," – "&amp;INDEX(TAHSILAT!$J$7:$J$2503,$T557)))</f>
        <v/>
      </c>
      <c r="P557" s="1" t="str">
        <f t="shared" si="90"/>
        <v/>
      </c>
      <c r="Q557" s="1">
        <f>IF($N557="",0,INDEX(TAHSILAT!$F$7:$F$2503,$T557))</f>
        <v>0</v>
      </c>
      <c r="R557" s="1">
        <v>0</v>
      </c>
      <c r="S557" s="1">
        <f t="shared" si="97"/>
        <v>10000000000</v>
      </c>
      <c r="T557" s="1">
        <f>IFERROR(MATCH($C$36&amp;"|484",TAHSILAT!$U$7:$U$2503,0),0)</f>
        <v>0</v>
      </c>
      <c r="V557" s="1">
        <f t="shared" si="98"/>
        <v>10000000000</v>
      </c>
      <c r="W557" s="1">
        <f t="shared" si="99"/>
        <v>9</v>
      </c>
    </row>
    <row r="558" spans="2:23" ht="14.25" customHeight="1" x14ac:dyDescent="0.3">
      <c r="B558" s="65" t="str">
        <f t="shared" si="91"/>
        <v/>
      </c>
      <c r="C558" s="70" t="str">
        <f t="shared" si="92"/>
        <v/>
      </c>
      <c r="D558" s="74" t="str">
        <f t="shared" si="93"/>
        <v/>
      </c>
      <c r="F558" s="65" t="str">
        <f t="shared" si="94"/>
        <v/>
      </c>
      <c r="G558" s="68" t="str">
        <f t="shared" si="95"/>
        <v/>
      </c>
      <c r="H558" s="68" t="str">
        <f t="shared" si="96"/>
        <v/>
      </c>
      <c r="I558" s="68" t="str">
        <f t="shared" si="100"/>
        <v/>
      </c>
      <c r="M558" s="1">
        <v>521</v>
      </c>
      <c r="N558" s="1" t="str">
        <f>IF($T558=0,"",INDEX(TAHSILAT!$E$7:$E$2503,$T558))</f>
        <v/>
      </c>
      <c r="O558" s="1" t="str">
        <f>IF($N558="","",$C$36&amp;" – müşteriden tahsilat: "&amp;INDEX(TAHSILAT!$N$7:$N$2503,$T558)&amp;IF(INDEX(TAHSILAT!$J$7:$J$2503,$T558)="",""," – "&amp;INDEX(TAHSILAT!$J$7:$J$2503,$T558)))</f>
        <v/>
      </c>
      <c r="P558" s="1" t="str">
        <f t="shared" si="90"/>
        <v/>
      </c>
      <c r="Q558" s="1">
        <f>IF($N558="",0,INDEX(TAHSILAT!$F$7:$F$2503,$T558))</f>
        <v>0</v>
      </c>
      <c r="R558" s="1">
        <v>0</v>
      </c>
      <c r="S558" s="1">
        <f t="shared" si="97"/>
        <v>10000000000</v>
      </c>
      <c r="T558" s="1">
        <f>IFERROR(MATCH($C$36&amp;"|485",TAHSILAT!$U$7:$U$2503,0),0)</f>
        <v>0</v>
      </c>
      <c r="V558" s="1">
        <f t="shared" si="98"/>
        <v>10000000000</v>
      </c>
      <c r="W558" s="1">
        <f t="shared" si="99"/>
        <v>9</v>
      </c>
    </row>
    <row r="559" spans="2:23" ht="14.25" customHeight="1" x14ac:dyDescent="0.3">
      <c r="B559" s="65" t="str">
        <f t="shared" si="91"/>
        <v/>
      </c>
      <c r="C559" s="70" t="str">
        <f t="shared" si="92"/>
        <v/>
      </c>
      <c r="D559" s="74" t="str">
        <f t="shared" si="93"/>
        <v/>
      </c>
      <c r="F559" s="65" t="str">
        <f t="shared" si="94"/>
        <v/>
      </c>
      <c r="G559" s="68" t="str">
        <f t="shared" si="95"/>
        <v/>
      </c>
      <c r="H559" s="68" t="str">
        <f t="shared" si="96"/>
        <v/>
      </c>
      <c r="I559" s="68" t="str">
        <f t="shared" si="100"/>
        <v/>
      </c>
      <c r="M559" s="1">
        <v>522</v>
      </c>
      <c r="N559" s="1" t="str">
        <f>IF($T559=0,"",INDEX(TAHSILAT!$E$7:$E$2503,$T559))</f>
        <v/>
      </c>
      <c r="O559" s="1" t="str">
        <f>IF($N559="","",$C$36&amp;" – müşteriden tahsilat: "&amp;INDEX(TAHSILAT!$N$7:$N$2503,$T559)&amp;IF(INDEX(TAHSILAT!$J$7:$J$2503,$T559)="",""," – "&amp;INDEX(TAHSILAT!$J$7:$J$2503,$T559)))</f>
        <v/>
      </c>
      <c r="P559" s="1" t="str">
        <f t="shared" si="90"/>
        <v/>
      </c>
      <c r="Q559" s="1">
        <f>IF($N559="",0,INDEX(TAHSILAT!$F$7:$F$2503,$T559))</f>
        <v>0</v>
      </c>
      <c r="R559" s="1">
        <v>0</v>
      </c>
      <c r="S559" s="1">
        <f t="shared" si="97"/>
        <v>10000000000</v>
      </c>
      <c r="T559" s="1">
        <f>IFERROR(MATCH($C$36&amp;"|486",TAHSILAT!$U$7:$U$2503,0),0)</f>
        <v>0</v>
      </c>
      <c r="V559" s="1">
        <f t="shared" si="98"/>
        <v>10000000000</v>
      </c>
      <c r="W559" s="1">
        <f t="shared" si="99"/>
        <v>9</v>
      </c>
    </row>
    <row r="560" spans="2:23" ht="14.25" customHeight="1" x14ac:dyDescent="0.3">
      <c r="B560" s="65" t="str">
        <f t="shared" si="91"/>
        <v/>
      </c>
      <c r="C560" s="70" t="str">
        <f t="shared" si="92"/>
        <v/>
      </c>
      <c r="D560" s="74" t="str">
        <f t="shared" si="93"/>
        <v/>
      </c>
      <c r="F560" s="65" t="str">
        <f t="shared" si="94"/>
        <v/>
      </c>
      <c r="G560" s="68" t="str">
        <f t="shared" si="95"/>
        <v/>
      </c>
      <c r="H560" s="68" t="str">
        <f t="shared" si="96"/>
        <v/>
      </c>
      <c r="I560" s="68" t="str">
        <f t="shared" si="100"/>
        <v/>
      </c>
      <c r="M560" s="1">
        <v>523</v>
      </c>
      <c r="N560" s="1" t="str">
        <f>IF($T560=0,"",INDEX(TAHSILAT!$E$7:$E$2503,$T560))</f>
        <v/>
      </c>
      <c r="O560" s="1" t="str">
        <f>IF($N560="","",$C$36&amp;" – müşteriden tahsilat: "&amp;INDEX(TAHSILAT!$N$7:$N$2503,$T560)&amp;IF(INDEX(TAHSILAT!$J$7:$J$2503,$T560)="",""," – "&amp;INDEX(TAHSILAT!$J$7:$J$2503,$T560)))</f>
        <v/>
      </c>
      <c r="P560" s="1" t="str">
        <f t="shared" si="90"/>
        <v/>
      </c>
      <c r="Q560" s="1">
        <f>IF($N560="",0,INDEX(TAHSILAT!$F$7:$F$2503,$T560))</f>
        <v>0</v>
      </c>
      <c r="R560" s="1">
        <v>0</v>
      </c>
      <c r="S560" s="1">
        <f t="shared" si="97"/>
        <v>10000000000</v>
      </c>
      <c r="T560" s="1">
        <f>IFERROR(MATCH($C$36&amp;"|487",TAHSILAT!$U$7:$U$2503,0),0)</f>
        <v>0</v>
      </c>
      <c r="V560" s="1">
        <f t="shared" si="98"/>
        <v>10000000000</v>
      </c>
      <c r="W560" s="1">
        <f t="shared" si="99"/>
        <v>9</v>
      </c>
    </row>
    <row r="561" spans="2:23" ht="14.25" customHeight="1" x14ac:dyDescent="0.3">
      <c r="B561" s="65" t="str">
        <f t="shared" si="91"/>
        <v/>
      </c>
      <c r="C561" s="70" t="str">
        <f t="shared" si="92"/>
        <v/>
      </c>
      <c r="D561" s="74" t="str">
        <f t="shared" si="93"/>
        <v/>
      </c>
      <c r="F561" s="65" t="str">
        <f t="shared" si="94"/>
        <v/>
      </c>
      <c r="G561" s="68" t="str">
        <f t="shared" si="95"/>
        <v/>
      </c>
      <c r="H561" s="68" t="str">
        <f t="shared" si="96"/>
        <v/>
      </c>
      <c r="I561" s="68" t="str">
        <f t="shared" si="100"/>
        <v/>
      </c>
      <c r="M561" s="1">
        <v>524</v>
      </c>
      <c r="N561" s="1" t="str">
        <f>IF($T561=0,"",INDEX(TAHSILAT!$E$7:$E$2503,$T561))</f>
        <v/>
      </c>
      <c r="O561" s="1" t="str">
        <f>IF($N561="","",$C$36&amp;" – müşteriden tahsilat: "&amp;INDEX(TAHSILAT!$N$7:$N$2503,$T561)&amp;IF(INDEX(TAHSILAT!$J$7:$J$2503,$T561)="",""," – "&amp;INDEX(TAHSILAT!$J$7:$J$2503,$T561)))</f>
        <v/>
      </c>
      <c r="P561" s="1" t="str">
        <f t="shared" si="90"/>
        <v/>
      </c>
      <c r="Q561" s="1">
        <f>IF($N561="",0,INDEX(TAHSILAT!$F$7:$F$2503,$T561))</f>
        <v>0</v>
      </c>
      <c r="R561" s="1">
        <v>0</v>
      </c>
      <c r="S561" s="1">
        <f t="shared" si="97"/>
        <v>10000000000</v>
      </c>
      <c r="T561" s="1">
        <f>IFERROR(MATCH($C$36&amp;"|488",TAHSILAT!$U$7:$U$2503,0),0)</f>
        <v>0</v>
      </c>
      <c r="V561" s="1">
        <f t="shared" si="98"/>
        <v>10000000000</v>
      </c>
      <c r="W561" s="1">
        <f t="shared" si="99"/>
        <v>9</v>
      </c>
    </row>
    <row r="562" spans="2:23" ht="14.25" customHeight="1" x14ac:dyDescent="0.3">
      <c r="B562" s="65" t="str">
        <f t="shared" si="91"/>
        <v/>
      </c>
      <c r="C562" s="70" t="str">
        <f t="shared" si="92"/>
        <v/>
      </c>
      <c r="D562" s="74" t="str">
        <f t="shared" si="93"/>
        <v/>
      </c>
      <c r="F562" s="65" t="str">
        <f t="shared" si="94"/>
        <v/>
      </c>
      <c r="G562" s="68" t="str">
        <f t="shared" si="95"/>
        <v/>
      </c>
      <c r="H562" s="68" t="str">
        <f t="shared" si="96"/>
        <v/>
      </c>
      <c r="I562" s="68" t="str">
        <f t="shared" si="100"/>
        <v/>
      </c>
      <c r="M562" s="1">
        <v>525</v>
      </c>
      <c r="N562" s="1" t="str">
        <f>IF($T562=0,"",INDEX(TAHSILAT!$E$7:$E$2503,$T562))</f>
        <v/>
      </c>
      <c r="O562" s="1" t="str">
        <f>IF($N562="","",$C$36&amp;" – müşteriden tahsilat: "&amp;INDEX(TAHSILAT!$N$7:$N$2503,$T562)&amp;IF(INDEX(TAHSILAT!$J$7:$J$2503,$T562)="",""," – "&amp;INDEX(TAHSILAT!$J$7:$J$2503,$T562)))</f>
        <v/>
      </c>
      <c r="P562" s="1" t="str">
        <f t="shared" si="90"/>
        <v/>
      </c>
      <c r="Q562" s="1">
        <f>IF($N562="",0,INDEX(TAHSILAT!$F$7:$F$2503,$T562))</f>
        <v>0</v>
      </c>
      <c r="R562" s="1">
        <v>0</v>
      </c>
      <c r="S562" s="1">
        <f t="shared" si="97"/>
        <v>10000000000</v>
      </c>
      <c r="T562" s="1">
        <f>IFERROR(MATCH($C$36&amp;"|489",TAHSILAT!$U$7:$U$2503,0),0)</f>
        <v>0</v>
      </c>
      <c r="V562" s="1">
        <f t="shared" si="98"/>
        <v>10000000000</v>
      </c>
      <c r="W562" s="1">
        <f t="shared" si="99"/>
        <v>9</v>
      </c>
    </row>
    <row r="563" spans="2:23" ht="14.25" customHeight="1" x14ac:dyDescent="0.3">
      <c r="B563" s="65" t="str">
        <f t="shared" si="91"/>
        <v/>
      </c>
      <c r="C563" s="70" t="str">
        <f t="shared" si="92"/>
        <v/>
      </c>
      <c r="D563" s="74" t="str">
        <f t="shared" si="93"/>
        <v/>
      </c>
      <c r="F563" s="65" t="str">
        <f t="shared" si="94"/>
        <v/>
      </c>
      <c r="G563" s="68" t="str">
        <f t="shared" si="95"/>
        <v/>
      </c>
      <c r="H563" s="68" t="str">
        <f t="shared" si="96"/>
        <v/>
      </c>
      <c r="I563" s="68" t="str">
        <f t="shared" si="100"/>
        <v/>
      </c>
      <c r="M563" s="1">
        <v>526</v>
      </c>
      <c r="N563" s="1" t="str">
        <f>IF($T563=0,"",INDEX(TAHSILAT!$E$7:$E$2503,$T563))</f>
        <v/>
      </c>
      <c r="O563" s="1" t="str">
        <f>IF($N563="","",$C$36&amp;" – müşteriden tahsilat: "&amp;INDEX(TAHSILAT!$N$7:$N$2503,$T563)&amp;IF(INDEX(TAHSILAT!$J$7:$J$2503,$T563)="",""," – "&amp;INDEX(TAHSILAT!$J$7:$J$2503,$T563)))</f>
        <v/>
      </c>
      <c r="P563" s="1" t="str">
        <f t="shared" si="90"/>
        <v/>
      </c>
      <c r="Q563" s="1">
        <f>IF($N563="",0,INDEX(TAHSILAT!$F$7:$F$2503,$T563))</f>
        <v>0</v>
      </c>
      <c r="R563" s="1">
        <v>0</v>
      </c>
      <c r="S563" s="1">
        <f t="shared" si="97"/>
        <v>10000000000</v>
      </c>
      <c r="T563" s="1">
        <f>IFERROR(MATCH($C$36&amp;"|490",TAHSILAT!$U$7:$U$2503,0),0)</f>
        <v>0</v>
      </c>
      <c r="V563" s="1">
        <f t="shared" si="98"/>
        <v>10000000000</v>
      </c>
      <c r="W563" s="1">
        <f t="shared" si="99"/>
        <v>9</v>
      </c>
    </row>
    <row r="564" spans="2:23" ht="14.25" customHeight="1" x14ac:dyDescent="0.3">
      <c r="B564" s="65" t="str">
        <f t="shared" si="91"/>
        <v/>
      </c>
      <c r="C564" s="70" t="str">
        <f t="shared" si="92"/>
        <v/>
      </c>
      <c r="D564" s="74" t="str">
        <f t="shared" si="93"/>
        <v/>
      </c>
      <c r="F564" s="65" t="str">
        <f t="shared" si="94"/>
        <v/>
      </c>
      <c r="G564" s="68" t="str">
        <f t="shared" si="95"/>
        <v/>
      </c>
      <c r="H564" s="68" t="str">
        <f t="shared" si="96"/>
        <v/>
      </c>
      <c r="I564" s="68" t="str">
        <f t="shared" si="100"/>
        <v/>
      </c>
      <c r="M564" s="1">
        <v>527</v>
      </c>
      <c r="N564" s="1" t="str">
        <f>IF($T564=0,"",INDEX(TAHSILAT!$E$7:$E$2503,$T564))</f>
        <v/>
      </c>
      <c r="O564" s="1" t="str">
        <f>IF($N564="","",$C$36&amp;" – müşteriden tahsilat: "&amp;INDEX(TAHSILAT!$N$7:$N$2503,$T564)&amp;IF(INDEX(TAHSILAT!$J$7:$J$2503,$T564)="",""," – "&amp;INDEX(TAHSILAT!$J$7:$J$2503,$T564)))</f>
        <v/>
      </c>
      <c r="P564" s="1" t="str">
        <f t="shared" si="90"/>
        <v/>
      </c>
      <c r="Q564" s="1">
        <f>IF($N564="",0,INDEX(TAHSILAT!$F$7:$F$2503,$T564))</f>
        <v>0</v>
      </c>
      <c r="R564" s="1">
        <v>0</v>
      </c>
      <c r="S564" s="1">
        <f t="shared" si="97"/>
        <v>10000000000</v>
      </c>
      <c r="T564" s="1">
        <f>IFERROR(MATCH($C$36&amp;"|491",TAHSILAT!$U$7:$U$2503,0),0)</f>
        <v>0</v>
      </c>
      <c r="V564" s="1">
        <f t="shared" si="98"/>
        <v>10000000000</v>
      </c>
      <c r="W564" s="1">
        <f t="shared" si="99"/>
        <v>9</v>
      </c>
    </row>
    <row r="565" spans="2:23" ht="14.25" customHeight="1" x14ac:dyDescent="0.3">
      <c r="B565" s="65" t="str">
        <f t="shared" si="91"/>
        <v/>
      </c>
      <c r="C565" s="70" t="str">
        <f t="shared" si="92"/>
        <v/>
      </c>
      <c r="D565" s="74" t="str">
        <f t="shared" si="93"/>
        <v/>
      </c>
      <c r="F565" s="65" t="str">
        <f t="shared" si="94"/>
        <v/>
      </c>
      <c r="G565" s="68" t="str">
        <f t="shared" si="95"/>
        <v/>
      </c>
      <c r="H565" s="68" t="str">
        <f t="shared" si="96"/>
        <v/>
      </c>
      <c r="I565" s="68" t="str">
        <f t="shared" si="100"/>
        <v/>
      </c>
      <c r="M565" s="1">
        <v>528</v>
      </c>
      <c r="N565" s="1" t="str">
        <f>IF($T565=0,"",INDEX(TAHSILAT!$E$7:$E$2503,$T565))</f>
        <v/>
      </c>
      <c r="O565" s="1" t="str">
        <f>IF($N565="","",$C$36&amp;" – müşteriden tahsilat: "&amp;INDEX(TAHSILAT!$N$7:$N$2503,$T565)&amp;IF(INDEX(TAHSILAT!$J$7:$J$2503,$T565)="",""," – "&amp;INDEX(TAHSILAT!$J$7:$J$2503,$T565)))</f>
        <v/>
      </c>
      <c r="P565" s="1" t="str">
        <f t="shared" si="90"/>
        <v/>
      </c>
      <c r="Q565" s="1">
        <f>IF($N565="",0,INDEX(TAHSILAT!$F$7:$F$2503,$T565))</f>
        <v>0</v>
      </c>
      <c r="R565" s="1">
        <v>0</v>
      </c>
      <c r="S565" s="1">
        <f t="shared" si="97"/>
        <v>10000000000</v>
      </c>
      <c r="T565" s="1">
        <f>IFERROR(MATCH($C$36&amp;"|492",TAHSILAT!$U$7:$U$2503,0),0)</f>
        <v>0</v>
      </c>
      <c r="V565" s="1">
        <f t="shared" si="98"/>
        <v>10000000000</v>
      </c>
      <c r="W565" s="1">
        <f t="shared" si="99"/>
        <v>9</v>
      </c>
    </row>
    <row r="566" spans="2:23" ht="14.25" customHeight="1" x14ac:dyDescent="0.3">
      <c r="B566" s="65" t="str">
        <f t="shared" si="91"/>
        <v/>
      </c>
      <c r="C566" s="70" t="str">
        <f t="shared" si="92"/>
        <v/>
      </c>
      <c r="D566" s="74" t="str">
        <f t="shared" si="93"/>
        <v/>
      </c>
      <c r="F566" s="65" t="str">
        <f t="shared" si="94"/>
        <v/>
      </c>
      <c r="G566" s="68" t="str">
        <f t="shared" si="95"/>
        <v/>
      </c>
      <c r="H566" s="68" t="str">
        <f t="shared" si="96"/>
        <v/>
      </c>
      <c r="I566" s="68" t="str">
        <f t="shared" si="100"/>
        <v/>
      </c>
      <c r="M566" s="1">
        <v>529</v>
      </c>
      <c r="N566" s="1" t="str">
        <f>IF($T566=0,"",INDEX(TAHSILAT!$E$7:$E$2503,$T566))</f>
        <v/>
      </c>
      <c r="O566" s="1" t="str">
        <f>IF($N566="","",$C$36&amp;" – müşteriden tahsilat: "&amp;INDEX(TAHSILAT!$N$7:$N$2503,$T566)&amp;IF(INDEX(TAHSILAT!$J$7:$J$2503,$T566)="",""," – "&amp;INDEX(TAHSILAT!$J$7:$J$2503,$T566)))</f>
        <v/>
      </c>
      <c r="P566" s="1" t="str">
        <f t="shared" si="90"/>
        <v/>
      </c>
      <c r="Q566" s="1">
        <f>IF($N566="",0,INDEX(TAHSILAT!$F$7:$F$2503,$T566))</f>
        <v>0</v>
      </c>
      <c r="R566" s="1">
        <v>0</v>
      </c>
      <c r="S566" s="1">
        <f t="shared" si="97"/>
        <v>10000000000</v>
      </c>
      <c r="T566" s="1">
        <f>IFERROR(MATCH($C$36&amp;"|493",TAHSILAT!$U$7:$U$2503,0),0)</f>
        <v>0</v>
      </c>
      <c r="V566" s="1">
        <f t="shared" si="98"/>
        <v>10000000000</v>
      </c>
      <c r="W566" s="1">
        <f t="shared" si="99"/>
        <v>9</v>
      </c>
    </row>
    <row r="567" spans="2:23" ht="14.25" customHeight="1" x14ac:dyDescent="0.3">
      <c r="B567" s="65" t="str">
        <f t="shared" si="91"/>
        <v/>
      </c>
      <c r="C567" s="70" t="str">
        <f t="shared" si="92"/>
        <v/>
      </c>
      <c r="D567" s="74" t="str">
        <f t="shared" si="93"/>
        <v/>
      </c>
      <c r="F567" s="65" t="str">
        <f t="shared" si="94"/>
        <v/>
      </c>
      <c r="G567" s="68" t="str">
        <f t="shared" si="95"/>
        <v/>
      </c>
      <c r="H567" s="68" t="str">
        <f t="shared" si="96"/>
        <v/>
      </c>
      <c r="I567" s="68" t="str">
        <f t="shared" si="100"/>
        <v/>
      </c>
      <c r="M567" s="1">
        <v>530</v>
      </c>
      <c r="N567" s="1" t="str">
        <f>IF($T567=0,"",INDEX(TAHSILAT!$E$7:$E$2503,$T567))</f>
        <v/>
      </c>
      <c r="O567" s="1" t="str">
        <f>IF($N567="","",$C$36&amp;" – müşteriden tahsilat: "&amp;INDEX(TAHSILAT!$N$7:$N$2503,$T567)&amp;IF(INDEX(TAHSILAT!$J$7:$J$2503,$T567)="",""," – "&amp;INDEX(TAHSILAT!$J$7:$J$2503,$T567)))</f>
        <v/>
      </c>
      <c r="P567" s="1" t="str">
        <f t="shared" si="90"/>
        <v/>
      </c>
      <c r="Q567" s="1">
        <f>IF($N567="",0,INDEX(TAHSILAT!$F$7:$F$2503,$T567))</f>
        <v>0</v>
      </c>
      <c r="R567" s="1">
        <v>0</v>
      </c>
      <c r="S567" s="1">
        <f t="shared" si="97"/>
        <v>10000000000</v>
      </c>
      <c r="T567" s="1">
        <f>IFERROR(MATCH($C$36&amp;"|494",TAHSILAT!$U$7:$U$2503,0),0)</f>
        <v>0</v>
      </c>
      <c r="V567" s="1">
        <f t="shared" si="98"/>
        <v>10000000000</v>
      </c>
      <c r="W567" s="1">
        <f t="shared" si="99"/>
        <v>9</v>
      </c>
    </row>
    <row r="568" spans="2:23" ht="14.25" customHeight="1" x14ac:dyDescent="0.3">
      <c r="B568" s="65" t="str">
        <f t="shared" si="91"/>
        <v/>
      </c>
      <c r="C568" s="70" t="str">
        <f t="shared" si="92"/>
        <v/>
      </c>
      <c r="D568" s="74" t="str">
        <f t="shared" si="93"/>
        <v/>
      </c>
      <c r="F568" s="65" t="str">
        <f t="shared" si="94"/>
        <v/>
      </c>
      <c r="G568" s="68" t="str">
        <f t="shared" si="95"/>
        <v/>
      </c>
      <c r="H568" s="68" t="str">
        <f t="shared" si="96"/>
        <v/>
      </c>
      <c r="I568" s="68" t="str">
        <f t="shared" si="100"/>
        <v/>
      </c>
      <c r="M568" s="1">
        <v>531</v>
      </c>
      <c r="N568" s="1" t="str">
        <f>IF($T568=0,"",INDEX(TAHSILAT!$E$7:$E$2503,$T568))</f>
        <v/>
      </c>
      <c r="O568" s="1" t="str">
        <f>IF($N568="","",$C$36&amp;" – müşteriden tahsilat: "&amp;INDEX(TAHSILAT!$N$7:$N$2503,$T568)&amp;IF(INDEX(TAHSILAT!$J$7:$J$2503,$T568)="",""," – "&amp;INDEX(TAHSILAT!$J$7:$J$2503,$T568)))</f>
        <v/>
      </c>
      <c r="P568" s="1" t="str">
        <f t="shared" si="90"/>
        <v/>
      </c>
      <c r="Q568" s="1">
        <f>IF($N568="",0,INDEX(TAHSILAT!$F$7:$F$2503,$T568))</f>
        <v>0</v>
      </c>
      <c r="R568" s="1">
        <v>0</v>
      </c>
      <c r="S568" s="1">
        <f t="shared" si="97"/>
        <v>10000000000</v>
      </c>
      <c r="T568" s="1">
        <f>IFERROR(MATCH($C$36&amp;"|495",TAHSILAT!$U$7:$U$2503,0),0)</f>
        <v>0</v>
      </c>
      <c r="V568" s="1">
        <f t="shared" si="98"/>
        <v>10000000000</v>
      </c>
      <c r="W568" s="1">
        <f t="shared" si="99"/>
        <v>9</v>
      </c>
    </row>
    <row r="569" spans="2:23" ht="14.25" customHeight="1" x14ac:dyDescent="0.3">
      <c r="B569" s="65" t="str">
        <f t="shared" si="91"/>
        <v/>
      </c>
      <c r="C569" s="70" t="str">
        <f t="shared" si="92"/>
        <v/>
      </c>
      <c r="D569" s="74" t="str">
        <f t="shared" si="93"/>
        <v/>
      </c>
      <c r="F569" s="65" t="str">
        <f t="shared" si="94"/>
        <v/>
      </c>
      <c r="G569" s="68" t="str">
        <f t="shared" si="95"/>
        <v/>
      </c>
      <c r="H569" s="68" t="str">
        <f t="shared" si="96"/>
        <v/>
      </c>
      <c r="I569" s="68" t="str">
        <f t="shared" si="100"/>
        <v/>
      </c>
      <c r="M569" s="1">
        <v>532</v>
      </c>
      <c r="N569" s="1" t="str">
        <f>IF($T569=0,"",INDEX(TAHSILAT!$E$7:$E$2503,$T569))</f>
        <v/>
      </c>
      <c r="O569" s="1" t="str">
        <f>IF($N569="","",$C$36&amp;" – müşteriden tahsilat: "&amp;INDEX(TAHSILAT!$N$7:$N$2503,$T569)&amp;IF(INDEX(TAHSILAT!$J$7:$J$2503,$T569)="",""," – "&amp;INDEX(TAHSILAT!$J$7:$J$2503,$T569)))</f>
        <v/>
      </c>
      <c r="P569" s="1" t="str">
        <f t="shared" si="90"/>
        <v/>
      </c>
      <c r="Q569" s="1">
        <f>IF($N569="",0,INDEX(TAHSILAT!$F$7:$F$2503,$T569))</f>
        <v>0</v>
      </c>
      <c r="R569" s="1">
        <v>0</v>
      </c>
      <c r="S569" s="1">
        <f t="shared" si="97"/>
        <v>10000000000</v>
      </c>
      <c r="T569" s="1">
        <f>IFERROR(MATCH($C$36&amp;"|496",TAHSILAT!$U$7:$U$2503,0),0)</f>
        <v>0</v>
      </c>
      <c r="V569" s="1">
        <f t="shared" si="98"/>
        <v>10000000000</v>
      </c>
      <c r="W569" s="1">
        <f t="shared" si="99"/>
        <v>9</v>
      </c>
    </row>
    <row r="570" spans="2:23" ht="14.25" customHeight="1" x14ac:dyDescent="0.3">
      <c r="B570" s="65" t="str">
        <f t="shared" si="91"/>
        <v/>
      </c>
      <c r="C570" s="70" t="str">
        <f t="shared" si="92"/>
        <v/>
      </c>
      <c r="D570" s="74" t="str">
        <f t="shared" si="93"/>
        <v/>
      </c>
      <c r="F570" s="65" t="str">
        <f t="shared" si="94"/>
        <v/>
      </c>
      <c r="G570" s="68" t="str">
        <f t="shared" si="95"/>
        <v/>
      </c>
      <c r="H570" s="68" t="str">
        <f t="shared" si="96"/>
        <v/>
      </c>
      <c r="I570" s="68" t="str">
        <f t="shared" si="100"/>
        <v/>
      </c>
      <c r="M570" s="1">
        <v>533</v>
      </c>
      <c r="N570" s="1" t="str">
        <f>IF($T570=0,"",INDEX(TAHSILAT!$E$7:$E$2503,$T570))</f>
        <v/>
      </c>
      <c r="O570" s="1" t="str">
        <f>IF($N570="","",$C$36&amp;" – müşteriden tahsilat: "&amp;INDEX(TAHSILAT!$N$7:$N$2503,$T570)&amp;IF(INDEX(TAHSILAT!$J$7:$J$2503,$T570)="",""," – "&amp;INDEX(TAHSILAT!$J$7:$J$2503,$T570)))</f>
        <v/>
      </c>
      <c r="P570" s="1" t="str">
        <f t="shared" si="90"/>
        <v/>
      </c>
      <c r="Q570" s="1">
        <f>IF($N570="",0,INDEX(TAHSILAT!$F$7:$F$2503,$T570))</f>
        <v>0</v>
      </c>
      <c r="R570" s="1">
        <v>0</v>
      </c>
      <c r="S570" s="1">
        <f t="shared" si="97"/>
        <v>10000000000</v>
      </c>
      <c r="T570" s="1">
        <f>IFERROR(MATCH($C$36&amp;"|497",TAHSILAT!$U$7:$U$2503,0),0)</f>
        <v>0</v>
      </c>
      <c r="V570" s="1">
        <f t="shared" si="98"/>
        <v>10000000000</v>
      </c>
      <c r="W570" s="1">
        <f t="shared" si="99"/>
        <v>9</v>
      </c>
    </row>
    <row r="571" spans="2:23" ht="14.25" customHeight="1" x14ac:dyDescent="0.3">
      <c r="B571" s="65" t="str">
        <f t="shared" si="91"/>
        <v/>
      </c>
      <c r="C571" s="70" t="str">
        <f t="shared" si="92"/>
        <v/>
      </c>
      <c r="D571" s="74" t="str">
        <f t="shared" si="93"/>
        <v/>
      </c>
      <c r="F571" s="65" t="str">
        <f t="shared" si="94"/>
        <v/>
      </c>
      <c r="G571" s="68" t="str">
        <f t="shared" si="95"/>
        <v/>
      </c>
      <c r="H571" s="68" t="str">
        <f t="shared" si="96"/>
        <v/>
      </c>
      <c r="I571" s="68" t="str">
        <f t="shared" si="100"/>
        <v/>
      </c>
      <c r="M571" s="1">
        <v>534</v>
      </c>
      <c r="N571" s="1" t="str">
        <f>IF($T571=0,"",INDEX(TAHSILAT!$E$7:$E$2503,$T571))</f>
        <v/>
      </c>
      <c r="O571" s="1" t="str">
        <f>IF($N571="","",$C$36&amp;" – müşteriden tahsilat: "&amp;INDEX(TAHSILAT!$N$7:$N$2503,$T571)&amp;IF(INDEX(TAHSILAT!$J$7:$J$2503,$T571)="",""," – "&amp;INDEX(TAHSILAT!$J$7:$J$2503,$T571)))</f>
        <v/>
      </c>
      <c r="P571" s="1" t="str">
        <f t="shared" si="90"/>
        <v/>
      </c>
      <c r="Q571" s="1">
        <f>IF($N571="",0,INDEX(TAHSILAT!$F$7:$F$2503,$T571))</f>
        <v>0</v>
      </c>
      <c r="R571" s="1">
        <v>0</v>
      </c>
      <c r="S571" s="1">
        <f t="shared" si="97"/>
        <v>10000000000</v>
      </c>
      <c r="T571" s="1">
        <f>IFERROR(MATCH($C$36&amp;"|498",TAHSILAT!$U$7:$U$2503,0),0)</f>
        <v>0</v>
      </c>
      <c r="V571" s="1">
        <f t="shared" si="98"/>
        <v>10000000000</v>
      </c>
      <c r="W571" s="1">
        <f t="shared" si="99"/>
        <v>9</v>
      </c>
    </row>
    <row r="572" spans="2:23" ht="14.25" customHeight="1" x14ac:dyDescent="0.3">
      <c r="B572" s="65" t="str">
        <f t="shared" si="91"/>
        <v/>
      </c>
      <c r="C572" s="70" t="str">
        <f t="shared" si="92"/>
        <v/>
      </c>
      <c r="D572" s="74" t="str">
        <f t="shared" si="93"/>
        <v/>
      </c>
      <c r="F572" s="65" t="str">
        <f t="shared" si="94"/>
        <v/>
      </c>
      <c r="G572" s="68" t="str">
        <f t="shared" si="95"/>
        <v/>
      </c>
      <c r="H572" s="68" t="str">
        <f t="shared" si="96"/>
        <v/>
      </c>
      <c r="I572" s="68" t="str">
        <f t="shared" si="100"/>
        <v/>
      </c>
      <c r="M572" s="1">
        <v>535</v>
      </c>
      <c r="N572" s="1" t="str">
        <f>IF($T572=0,"",INDEX(TAHSILAT!$E$7:$E$2503,$T572))</f>
        <v/>
      </c>
      <c r="O572" s="1" t="str">
        <f>IF($N572="","",$C$36&amp;" – müşteriden tahsilat: "&amp;INDEX(TAHSILAT!$N$7:$N$2503,$T572)&amp;IF(INDEX(TAHSILAT!$J$7:$J$2503,$T572)="",""," – "&amp;INDEX(TAHSILAT!$J$7:$J$2503,$T572)))</f>
        <v/>
      </c>
      <c r="P572" s="1" t="str">
        <f t="shared" si="90"/>
        <v/>
      </c>
      <c r="Q572" s="1">
        <f>IF($N572="",0,INDEX(TAHSILAT!$F$7:$F$2503,$T572))</f>
        <v>0</v>
      </c>
      <c r="R572" s="1">
        <v>0</v>
      </c>
      <c r="S572" s="1">
        <f t="shared" si="97"/>
        <v>10000000000</v>
      </c>
      <c r="T572" s="1">
        <f>IFERROR(MATCH($C$36&amp;"|499",TAHSILAT!$U$7:$U$2503,0),0)</f>
        <v>0</v>
      </c>
      <c r="V572" s="1">
        <f t="shared" si="98"/>
        <v>10000000000</v>
      </c>
      <c r="W572" s="1">
        <f t="shared" si="99"/>
        <v>9</v>
      </c>
    </row>
    <row r="573" spans="2:23" ht="14.25" customHeight="1" x14ac:dyDescent="0.3">
      <c r="B573" s="65" t="str">
        <f t="shared" si="91"/>
        <v/>
      </c>
      <c r="C573" s="70" t="str">
        <f t="shared" si="92"/>
        <v/>
      </c>
      <c r="D573" s="74" t="str">
        <f t="shared" si="93"/>
        <v/>
      </c>
      <c r="F573" s="65" t="str">
        <f t="shared" si="94"/>
        <v/>
      </c>
      <c r="G573" s="68" t="str">
        <f t="shared" si="95"/>
        <v/>
      </c>
      <c r="H573" s="68" t="str">
        <f t="shared" si="96"/>
        <v/>
      </c>
      <c r="I573" s="68" t="str">
        <f t="shared" si="100"/>
        <v/>
      </c>
      <c r="M573" s="1">
        <v>536</v>
      </c>
      <c r="N573" s="1" t="str">
        <f>IF($T573=0,"",INDEX(TAHSILAT!$E$7:$E$2503,$T573))</f>
        <v/>
      </c>
      <c r="O573" s="1" t="str">
        <f>IF($N573="","",$C$36&amp;" – müşteriden tahsilat: "&amp;INDEX(TAHSILAT!$N$7:$N$2503,$T573)&amp;IF(INDEX(TAHSILAT!$J$7:$J$2503,$T573)="",""," – "&amp;INDEX(TAHSILAT!$J$7:$J$2503,$T573)))</f>
        <v/>
      </c>
      <c r="P573" s="1" t="str">
        <f t="shared" si="90"/>
        <v/>
      </c>
      <c r="Q573" s="1">
        <f>IF($N573="",0,INDEX(TAHSILAT!$F$7:$F$2503,$T573))</f>
        <v>0</v>
      </c>
      <c r="R573" s="1">
        <v>0</v>
      </c>
      <c r="S573" s="1">
        <f t="shared" si="97"/>
        <v>10000000000</v>
      </c>
      <c r="T573" s="1">
        <f>IFERROR(MATCH($C$36&amp;"|500",TAHSILAT!$U$7:$U$2503,0),0)</f>
        <v>0</v>
      </c>
      <c r="V573" s="1">
        <f t="shared" si="98"/>
        <v>10000000000</v>
      </c>
      <c r="W573" s="1">
        <f t="shared" si="99"/>
        <v>9</v>
      </c>
    </row>
    <row r="574" spans="2:23" ht="14.25" customHeight="1" x14ac:dyDescent="0.3">
      <c r="B574" s="65" t="str">
        <f t="shared" si="91"/>
        <v/>
      </c>
      <c r="C574" s="70" t="str">
        <f t="shared" si="92"/>
        <v/>
      </c>
      <c r="D574" s="74" t="str">
        <f t="shared" si="93"/>
        <v/>
      </c>
      <c r="F574" s="65" t="str">
        <f t="shared" si="94"/>
        <v/>
      </c>
      <c r="G574" s="68" t="str">
        <f t="shared" si="95"/>
        <v/>
      </c>
      <c r="H574" s="68" t="str">
        <f t="shared" si="96"/>
        <v/>
      </c>
      <c r="I574" s="68" t="str">
        <f t="shared" si="100"/>
        <v/>
      </c>
      <c r="M574" s="1">
        <v>537</v>
      </c>
      <c r="N574" s="71">
        <f>IF($T574=0,"",INDEX(VIRMAN!$C$7:$C$406,$T574))</f>
        <v>46034</v>
      </c>
      <c r="O574" s="1" t="str">
        <f>IF($N574="","",INDEX(VIRMAN!$D$7:$D$406,$T574)&amp;" → "&amp;$C$36&amp;IF(INDEX(VIRMAN!$G$7:$G$406,$T574)="",""," – "&amp;INDEX(VIRMAN!$G$7:$G$406,$T574)))</f>
        <v>MERKEZ KASA → ÖMER KARTAL – GAZİNO TAHSİLATLARINDAN KALAN BAKİYE</v>
      </c>
      <c r="P574" s="1" t="str">
        <f t="shared" ref="P574:P605" si="101">IF($N574="","","VİRMAN GELDİ")</f>
        <v>VİRMAN GELDİ</v>
      </c>
      <c r="Q574" s="79">
        <f>IF($N574="",0,INDEX(VIRMAN!$F$7:$F$406,$T574))</f>
        <v>15000</v>
      </c>
      <c r="R574" s="1">
        <v>0</v>
      </c>
      <c r="S574" s="1">
        <f t="shared" si="97"/>
        <v>4603400537</v>
      </c>
      <c r="T574" s="1">
        <f>IFERROR(MATCH($C$36&amp;"|1",VIRMAN!$K$7:$K$406,0),0)</f>
        <v>1</v>
      </c>
      <c r="V574" s="1">
        <f t="shared" si="98"/>
        <v>10000000000</v>
      </c>
      <c r="W574" s="1">
        <f t="shared" si="99"/>
        <v>9</v>
      </c>
    </row>
    <row r="575" spans="2:23" ht="14.25" customHeight="1" x14ac:dyDescent="0.3">
      <c r="B575" s="65" t="str">
        <f t="shared" si="91"/>
        <v/>
      </c>
      <c r="C575" s="70" t="str">
        <f t="shared" si="92"/>
        <v/>
      </c>
      <c r="D575" s="74" t="str">
        <f t="shared" si="93"/>
        <v/>
      </c>
      <c r="F575" s="65" t="str">
        <f t="shared" si="94"/>
        <v/>
      </c>
      <c r="G575" s="68" t="str">
        <f t="shared" si="95"/>
        <v/>
      </c>
      <c r="H575" s="68" t="str">
        <f t="shared" si="96"/>
        <v/>
      </c>
      <c r="I575" s="68" t="str">
        <f t="shared" si="100"/>
        <v/>
      </c>
      <c r="M575" s="1">
        <v>538</v>
      </c>
      <c r="N575" s="71">
        <f>IF($T575=0,"",INDEX(VIRMAN!$C$7:$C$406,$T575))</f>
        <v>46053</v>
      </c>
      <c r="O575" s="1" t="str">
        <f>IF($N575="","",INDEX(VIRMAN!$D$7:$D$406,$T575)&amp;" → "&amp;$C$36&amp;IF(INDEX(VIRMAN!$G$7:$G$406,$T575)="",""," – "&amp;INDEX(VIRMAN!$G$7:$G$406,$T575)))</f>
        <v>MERKEZ KASA → ÖMER KARTAL – PARİS GAZİNOSU SGK'LAR</v>
      </c>
      <c r="P575" s="1" t="str">
        <f t="shared" si="101"/>
        <v>VİRMAN GELDİ</v>
      </c>
      <c r="Q575" s="79">
        <f>IF($N575="",0,INDEX(VIRMAN!$F$7:$F$406,$T575))</f>
        <v>12000</v>
      </c>
      <c r="R575" s="1">
        <v>0</v>
      </c>
      <c r="S575" s="1">
        <f t="shared" si="97"/>
        <v>4605300538</v>
      </c>
      <c r="T575" s="1">
        <f>IFERROR(MATCH($C$36&amp;"|2",VIRMAN!$K$7:$K$406,0),0)</f>
        <v>2</v>
      </c>
      <c r="V575" s="1">
        <f t="shared" si="98"/>
        <v>10000000000</v>
      </c>
      <c r="W575" s="1">
        <f t="shared" si="99"/>
        <v>9</v>
      </c>
    </row>
    <row r="576" spans="2:23" ht="14.25" customHeight="1" x14ac:dyDescent="0.3">
      <c r="B576" s="65" t="str">
        <f t="shared" si="91"/>
        <v/>
      </c>
      <c r="C576" s="70" t="str">
        <f t="shared" si="92"/>
        <v/>
      </c>
      <c r="D576" s="74" t="str">
        <f t="shared" si="93"/>
        <v/>
      </c>
      <c r="F576" s="65" t="str">
        <f t="shared" si="94"/>
        <v/>
      </c>
      <c r="G576" s="68" t="str">
        <f t="shared" si="95"/>
        <v/>
      </c>
      <c r="H576" s="68" t="str">
        <f t="shared" si="96"/>
        <v/>
      </c>
      <c r="I576" s="68" t="str">
        <f t="shared" si="100"/>
        <v/>
      </c>
      <c r="M576" s="1">
        <v>539</v>
      </c>
      <c r="N576" s="71">
        <f>IF($T576=0,"",INDEX(VIRMAN!$C$7:$C$406,$T576))</f>
        <v>46053</v>
      </c>
      <c r="O576" s="1" t="str">
        <f>IF($N576="","",INDEX(VIRMAN!$D$7:$D$406,$T576)&amp;" → "&amp;$C$36&amp;IF(INDEX(VIRMAN!$G$7:$G$406,$T576)="",""," – "&amp;INDEX(VIRMAN!$G$7:$G$406,$T576)))</f>
        <v>MERKEZ KASA → ÖMER KARTAL – HÜSEYİN ŞİMŞEK MUHASEBE ÜCRETİ</v>
      </c>
      <c r="P576" s="1" t="str">
        <f t="shared" si="101"/>
        <v>VİRMAN GELDİ</v>
      </c>
      <c r="Q576" s="79">
        <f>IF($N576="",0,INDEX(VIRMAN!$F$7:$F$406,$T576))</f>
        <v>3000</v>
      </c>
      <c r="R576" s="1">
        <v>0</v>
      </c>
      <c r="S576" s="1">
        <f t="shared" si="97"/>
        <v>4605300539</v>
      </c>
      <c r="T576" s="1">
        <f>IFERROR(MATCH($C$36&amp;"|3",VIRMAN!$K$7:$K$406,0),0)</f>
        <v>3</v>
      </c>
      <c r="V576" s="1">
        <f t="shared" si="98"/>
        <v>10000000000</v>
      </c>
      <c r="W576" s="1">
        <f t="shared" si="99"/>
        <v>9</v>
      </c>
    </row>
    <row r="577" spans="2:23" ht="14.25" customHeight="1" x14ac:dyDescent="0.3">
      <c r="B577" s="65" t="str">
        <f t="shared" si="91"/>
        <v/>
      </c>
      <c r="C577" s="70" t="str">
        <f t="shared" si="92"/>
        <v/>
      </c>
      <c r="D577" s="74" t="str">
        <f t="shared" si="93"/>
        <v/>
      </c>
      <c r="F577" s="65" t="str">
        <f t="shared" si="94"/>
        <v/>
      </c>
      <c r="G577" s="68" t="str">
        <f t="shared" si="95"/>
        <v/>
      </c>
      <c r="H577" s="68" t="str">
        <f t="shared" si="96"/>
        <v/>
      </c>
      <c r="I577" s="68" t="str">
        <f t="shared" si="100"/>
        <v/>
      </c>
      <c r="M577" s="1">
        <v>540</v>
      </c>
      <c r="N577" s="71">
        <f>IF($T577=0,"",INDEX(VIRMAN!$C$7:$C$406,$T577))</f>
        <v>46053</v>
      </c>
      <c r="O577" s="1" t="str">
        <f>IF($N577="","",INDEX(VIRMAN!$D$7:$D$406,$T577)&amp;" → "&amp;$C$36&amp;IF(INDEX(VIRMAN!$G$7:$G$406,$T577)="",""," – "&amp;INDEX(VIRMAN!$G$7:$G$406,$T577)))</f>
        <v>MERKEZ KASA → ÖMER KARTAL – FADİME HORUZCU MUHASEBE ÜCRETİ</v>
      </c>
      <c r="P577" s="1" t="str">
        <f t="shared" si="101"/>
        <v>VİRMAN GELDİ</v>
      </c>
      <c r="Q577" s="79">
        <f>IF($N577="",0,INDEX(VIRMAN!$F$7:$F$406,$T577))</f>
        <v>2000</v>
      </c>
      <c r="R577" s="1">
        <v>0</v>
      </c>
      <c r="S577" s="1">
        <f t="shared" si="97"/>
        <v>4605300540</v>
      </c>
      <c r="T577" s="1">
        <f>IFERROR(MATCH($C$36&amp;"|4",VIRMAN!$K$7:$K$406,0),0)</f>
        <v>4</v>
      </c>
      <c r="V577" s="1">
        <f t="shared" si="98"/>
        <v>10000000000</v>
      </c>
      <c r="W577" s="1">
        <f t="shared" si="99"/>
        <v>9</v>
      </c>
    </row>
    <row r="578" spans="2:23" ht="14.25" customHeight="1" x14ac:dyDescent="0.3">
      <c r="B578" s="65" t="str">
        <f t="shared" si="91"/>
        <v/>
      </c>
      <c r="C578" s="70" t="str">
        <f t="shared" si="92"/>
        <v/>
      </c>
      <c r="D578" s="74" t="str">
        <f t="shared" si="93"/>
        <v/>
      </c>
      <c r="F578" s="65" t="str">
        <f t="shared" si="94"/>
        <v/>
      </c>
      <c r="G578" s="68" t="str">
        <f t="shared" si="95"/>
        <v/>
      </c>
      <c r="H578" s="68" t="str">
        <f t="shared" si="96"/>
        <v/>
      </c>
      <c r="I578" s="68" t="str">
        <f t="shared" si="100"/>
        <v/>
      </c>
      <c r="M578" s="1">
        <v>541</v>
      </c>
      <c r="N578" s="71">
        <f>IF($T578=0,"",INDEX(VIRMAN!$C$7:$C$406,$T578))</f>
        <v>46053</v>
      </c>
      <c r="O578" s="1" t="str">
        <f>IF($N578="","",INDEX(VIRMAN!$D$7:$D$406,$T578)&amp;" → "&amp;$C$36&amp;IF(INDEX(VIRMAN!$G$7:$G$406,$T578)="",""," – "&amp;INDEX(VIRMAN!$G$7:$G$406,$T578)))</f>
        <v>MERKEZ KASA → ÖMER KARTAL – Onur'un Ömerden Alacağı Bakiye</v>
      </c>
      <c r="P578" s="1" t="str">
        <f t="shared" si="101"/>
        <v>VİRMAN GELDİ</v>
      </c>
      <c r="Q578" s="79">
        <f>IF($N578="",0,INDEX(VIRMAN!$F$7:$F$406,$T578))</f>
        <v>15000</v>
      </c>
      <c r="R578" s="1">
        <v>0</v>
      </c>
      <c r="S578" s="1">
        <f t="shared" si="97"/>
        <v>4605300541</v>
      </c>
      <c r="T578" s="1">
        <f>IFERROR(MATCH($C$36&amp;"|5",VIRMAN!$K$7:$K$406,0),0)</f>
        <v>5</v>
      </c>
      <c r="V578" s="1">
        <f t="shared" si="98"/>
        <v>10000000000</v>
      </c>
      <c r="W578" s="1">
        <f t="shared" si="99"/>
        <v>9</v>
      </c>
    </row>
    <row r="579" spans="2:23" ht="14.25" customHeight="1" x14ac:dyDescent="0.3">
      <c r="B579" s="65" t="str">
        <f t="shared" si="91"/>
        <v/>
      </c>
      <c r="C579" s="70" t="str">
        <f t="shared" si="92"/>
        <v/>
      </c>
      <c r="D579" s="74" t="str">
        <f t="shared" si="93"/>
        <v/>
      </c>
      <c r="F579" s="65" t="str">
        <f t="shared" si="94"/>
        <v/>
      </c>
      <c r="G579" s="68" t="str">
        <f t="shared" si="95"/>
        <v/>
      </c>
      <c r="H579" s="68" t="str">
        <f t="shared" si="96"/>
        <v/>
      </c>
      <c r="I579" s="68" t="str">
        <f t="shared" si="100"/>
        <v/>
      </c>
      <c r="M579" s="1">
        <v>542</v>
      </c>
      <c r="N579" s="71">
        <f>IF($T579=0,"",INDEX(VIRMAN!$C$7:$C$406,$T579))</f>
        <v>46053</v>
      </c>
      <c r="O579" s="1" t="str">
        <f>IF($N579="","",INDEX(VIRMAN!$D$7:$D$406,$T579)&amp;" → "&amp;$C$36&amp;IF(INDEX(VIRMAN!$G$7:$G$406,$T579)="",""," – "&amp;INDEX(VIRMAN!$G$7:$G$406,$T579)))</f>
        <v>MERKEZ KASA → ÖMER KARTAL – ALİ KILIÇ TARAFINDAN HAVALE</v>
      </c>
      <c r="P579" s="1" t="str">
        <f t="shared" si="101"/>
        <v>VİRMAN GELDİ</v>
      </c>
      <c r="Q579" s="79">
        <f>IF($N579="",0,INDEX(VIRMAN!$F$7:$F$406,$T579))</f>
        <v>5000</v>
      </c>
      <c r="R579" s="1">
        <v>0</v>
      </c>
      <c r="S579" s="1">
        <f t="shared" si="97"/>
        <v>4605300542</v>
      </c>
      <c r="T579" s="1">
        <f>IFERROR(MATCH($C$36&amp;"|6",VIRMAN!$K$7:$K$406,0),0)</f>
        <v>6</v>
      </c>
      <c r="V579" s="1">
        <f t="shared" si="98"/>
        <v>10000000000</v>
      </c>
      <c r="W579" s="1">
        <f t="shared" si="99"/>
        <v>9</v>
      </c>
    </row>
    <row r="580" spans="2:23" ht="14.25" customHeight="1" x14ac:dyDescent="0.3">
      <c r="B580" s="65" t="str">
        <f t="shared" si="91"/>
        <v/>
      </c>
      <c r="C580" s="70" t="str">
        <f t="shared" si="92"/>
        <v/>
      </c>
      <c r="D580" s="74" t="str">
        <f t="shared" si="93"/>
        <v/>
      </c>
      <c r="F580" s="65" t="str">
        <f t="shared" si="94"/>
        <v/>
      </c>
      <c r="G580" s="68" t="str">
        <f t="shared" si="95"/>
        <v/>
      </c>
      <c r="H580" s="68" t="str">
        <f t="shared" si="96"/>
        <v/>
      </c>
      <c r="I580" s="68" t="str">
        <f t="shared" si="100"/>
        <v/>
      </c>
      <c r="M580" s="1">
        <v>543</v>
      </c>
      <c r="N580" s="71">
        <f>IF($T580=0,"",INDEX(VIRMAN!$C$7:$C$406,$T580))</f>
        <v>46081</v>
      </c>
      <c r="O580" s="1" t="str">
        <f>IF($N580="","",INDEX(VIRMAN!$D$7:$D$406,$T580)&amp;" → "&amp;$C$36&amp;IF(INDEX(VIRMAN!$G$7:$G$406,$T580)="",""," – "&amp;INDEX(VIRMAN!$G$7:$G$406,$T580)))</f>
        <v>MERKEZ KASA → ÖMER KARTAL – PARİS GAZİNOSU SGK'LAR</v>
      </c>
      <c r="P580" s="1" t="str">
        <f t="shared" si="101"/>
        <v>VİRMAN GELDİ</v>
      </c>
      <c r="Q580" s="79">
        <f>IF($N580="",0,INDEX(VIRMAN!$F$7:$F$406,$T580))</f>
        <v>12000</v>
      </c>
      <c r="R580" s="1">
        <v>0</v>
      </c>
      <c r="S580" s="1">
        <f t="shared" si="97"/>
        <v>4608100543</v>
      </c>
      <c r="T580" s="1">
        <f>IFERROR(MATCH($C$36&amp;"|7",VIRMAN!$K$7:$K$406,0),0)</f>
        <v>7</v>
      </c>
      <c r="V580" s="1">
        <f t="shared" si="98"/>
        <v>10000000000</v>
      </c>
      <c r="W580" s="1">
        <f t="shared" si="99"/>
        <v>9</v>
      </c>
    </row>
    <row r="581" spans="2:23" ht="14.25" customHeight="1" x14ac:dyDescent="0.3">
      <c r="B581" s="65" t="str">
        <f t="shared" si="91"/>
        <v/>
      </c>
      <c r="C581" s="70" t="str">
        <f t="shared" si="92"/>
        <v/>
      </c>
      <c r="D581" s="74" t="str">
        <f t="shared" si="93"/>
        <v/>
      </c>
      <c r="F581" s="65" t="str">
        <f t="shared" si="94"/>
        <v/>
      </c>
      <c r="G581" s="68" t="str">
        <f t="shared" si="95"/>
        <v/>
      </c>
      <c r="H581" s="68" t="str">
        <f t="shared" si="96"/>
        <v/>
      </c>
      <c r="I581" s="68" t="str">
        <f t="shared" si="100"/>
        <v/>
      </c>
      <c r="M581" s="1">
        <v>544</v>
      </c>
      <c r="N581" s="71">
        <f>IF($T581=0,"",INDEX(VIRMAN!$C$7:$C$406,$T581))</f>
        <v>46081</v>
      </c>
      <c r="O581" s="1" t="str">
        <f>IF($N581="","",INDEX(VIRMAN!$D$7:$D$406,$T581)&amp;" → "&amp;$C$36&amp;IF(INDEX(VIRMAN!$G$7:$G$406,$T581)="",""," – "&amp;INDEX(VIRMAN!$G$7:$G$406,$T581)))</f>
        <v>MERKEZ KASA → ÖMER KARTAL – HÜSEYİN ŞİMŞEK MUHASEBE ÜCRETİ</v>
      </c>
      <c r="P581" s="1" t="str">
        <f t="shared" si="101"/>
        <v>VİRMAN GELDİ</v>
      </c>
      <c r="Q581" s="79">
        <f>IF($N581="",0,INDEX(VIRMAN!$F$7:$F$406,$T581))</f>
        <v>3000</v>
      </c>
      <c r="R581" s="1">
        <v>0</v>
      </c>
      <c r="S581" s="1">
        <f t="shared" si="97"/>
        <v>4608100544</v>
      </c>
      <c r="T581" s="1">
        <f>IFERROR(MATCH($C$36&amp;"|8",VIRMAN!$K$7:$K$406,0),0)</f>
        <v>8</v>
      </c>
      <c r="V581" s="1">
        <f t="shared" si="98"/>
        <v>10000000000</v>
      </c>
      <c r="W581" s="1">
        <f t="shared" si="99"/>
        <v>9</v>
      </c>
    </row>
    <row r="582" spans="2:23" ht="14.25" customHeight="1" x14ac:dyDescent="0.3">
      <c r="B582" s="65" t="str">
        <f t="shared" si="91"/>
        <v/>
      </c>
      <c r="C582" s="70" t="str">
        <f t="shared" si="92"/>
        <v/>
      </c>
      <c r="D582" s="74" t="str">
        <f t="shared" si="93"/>
        <v/>
      </c>
      <c r="F582" s="65" t="str">
        <f t="shared" si="94"/>
        <v/>
      </c>
      <c r="G582" s="68" t="str">
        <f t="shared" si="95"/>
        <v/>
      </c>
      <c r="H582" s="68" t="str">
        <f t="shared" si="96"/>
        <v/>
      </c>
      <c r="I582" s="68" t="str">
        <f t="shared" si="100"/>
        <v/>
      </c>
      <c r="M582" s="1">
        <v>545</v>
      </c>
      <c r="N582" s="71">
        <f>IF($T582=0,"",INDEX(VIRMAN!$C$7:$C$406,$T582))</f>
        <v>46081</v>
      </c>
      <c r="O582" s="1" t="str">
        <f>IF($N582="","",INDEX(VIRMAN!$D$7:$D$406,$T582)&amp;" → "&amp;$C$36&amp;IF(INDEX(VIRMAN!$G$7:$G$406,$T582)="",""," – "&amp;INDEX(VIRMAN!$G$7:$G$406,$T582)))</f>
        <v>MERKEZ KASA → ÖMER KARTAL – FADİME HORUZCU MUHASEBE ÜCRETİ</v>
      </c>
      <c r="P582" s="1" t="str">
        <f t="shared" si="101"/>
        <v>VİRMAN GELDİ</v>
      </c>
      <c r="Q582" s="79">
        <f>IF($N582="",0,INDEX(VIRMAN!$F$7:$F$406,$T582))</f>
        <v>2000</v>
      </c>
      <c r="R582" s="1">
        <v>0</v>
      </c>
      <c r="S582" s="1">
        <f t="shared" si="97"/>
        <v>4608100545</v>
      </c>
      <c r="T582" s="1">
        <f>IFERROR(MATCH($C$36&amp;"|9",VIRMAN!$K$7:$K$406,0),0)</f>
        <v>9</v>
      </c>
      <c r="V582" s="1">
        <f t="shared" si="98"/>
        <v>10000000000</v>
      </c>
      <c r="W582" s="1">
        <f t="shared" si="99"/>
        <v>9</v>
      </c>
    </row>
    <row r="583" spans="2:23" ht="14.25" customHeight="1" x14ac:dyDescent="0.3">
      <c r="B583" s="65" t="str">
        <f t="shared" si="91"/>
        <v/>
      </c>
      <c r="C583" s="70" t="str">
        <f t="shared" si="92"/>
        <v/>
      </c>
      <c r="D583" s="74" t="str">
        <f t="shared" si="93"/>
        <v/>
      </c>
      <c r="F583" s="65" t="str">
        <f t="shared" si="94"/>
        <v/>
      </c>
      <c r="G583" s="68" t="str">
        <f t="shared" si="95"/>
        <v/>
      </c>
      <c r="H583" s="68" t="str">
        <f t="shared" si="96"/>
        <v/>
      </c>
      <c r="I583" s="68" t="str">
        <f t="shared" si="100"/>
        <v/>
      </c>
      <c r="M583" s="1">
        <v>546</v>
      </c>
      <c r="N583" s="71">
        <f>IF($T583=0,"",INDEX(VIRMAN!$C$7:$C$406,$T583))</f>
        <v>46112</v>
      </c>
      <c r="O583" s="1" t="str">
        <f>IF($N583="","",INDEX(VIRMAN!$D$7:$D$406,$T583)&amp;" → "&amp;$C$36&amp;IF(INDEX(VIRMAN!$G$7:$G$406,$T583)="",""," – "&amp;INDEX(VIRMAN!$G$7:$G$406,$T583)))</f>
        <v>MERKEZ KASA → ÖMER KARTAL – PARİS GAZİNOSU SGK'LAR</v>
      </c>
      <c r="P583" s="1" t="str">
        <f t="shared" si="101"/>
        <v>VİRMAN GELDİ</v>
      </c>
      <c r="Q583" s="79">
        <f>IF($N583="",0,INDEX(VIRMAN!$F$7:$F$406,$T583))</f>
        <v>12000</v>
      </c>
      <c r="R583" s="1">
        <v>0</v>
      </c>
      <c r="S583" s="1">
        <f t="shared" si="97"/>
        <v>4611200546</v>
      </c>
      <c r="T583" s="1">
        <f>IFERROR(MATCH($C$36&amp;"|10",VIRMAN!$K$7:$K$406,0),0)</f>
        <v>11</v>
      </c>
      <c r="V583" s="1">
        <f t="shared" si="98"/>
        <v>10000000000</v>
      </c>
      <c r="W583" s="1">
        <f t="shared" si="99"/>
        <v>9</v>
      </c>
    </row>
    <row r="584" spans="2:23" ht="14.25" customHeight="1" x14ac:dyDescent="0.3">
      <c r="B584" s="65" t="str">
        <f t="shared" si="91"/>
        <v/>
      </c>
      <c r="C584" s="70" t="str">
        <f t="shared" si="92"/>
        <v/>
      </c>
      <c r="D584" s="74" t="str">
        <f t="shared" si="93"/>
        <v/>
      </c>
      <c r="F584" s="65" t="str">
        <f t="shared" si="94"/>
        <v/>
      </c>
      <c r="G584" s="68" t="str">
        <f t="shared" si="95"/>
        <v/>
      </c>
      <c r="H584" s="68" t="str">
        <f t="shared" si="96"/>
        <v/>
      </c>
      <c r="I584" s="68" t="str">
        <f t="shared" si="100"/>
        <v/>
      </c>
      <c r="M584" s="1">
        <v>547</v>
      </c>
      <c r="N584" s="71">
        <f>IF($T584=0,"",INDEX(VIRMAN!$C$7:$C$406,$T584))</f>
        <v>46112</v>
      </c>
      <c r="O584" s="1" t="str">
        <f>IF($N584="","",INDEX(VIRMAN!$D$7:$D$406,$T584)&amp;" → "&amp;$C$36&amp;IF(INDEX(VIRMAN!$G$7:$G$406,$T584)="",""," – "&amp;INDEX(VIRMAN!$G$7:$G$406,$T584)))</f>
        <v>MERKEZ KASA → ÖMER KARTAL – FADİME HORUZCU MUHASEBE ÜCRETİ</v>
      </c>
      <c r="P584" s="1" t="str">
        <f t="shared" si="101"/>
        <v>VİRMAN GELDİ</v>
      </c>
      <c r="Q584" s="79">
        <f>IF($N584="",0,INDEX(VIRMAN!$F$7:$F$406,$T584))</f>
        <v>2000</v>
      </c>
      <c r="R584" s="1">
        <v>0</v>
      </c>
      <c r="S584" s="1">
        <f t="shared" si="97"/>
        <v>4611200547</v>
      </c>
      <c r="T584" s="1">
        <f>IFERROR(MATCH($C$36&amp;"|11",VIRMAN!$K$7:$K$406,0),0)</f>
        <v>12</v>
      </c>
      <c r="V584" s="1">
        <f t="shared" si="98"/>
        <v>10000000000</v>
      </c>
      <c r="W584" s="1">
        <f t="shared" si="99"/>
        <v>9</v>
      </c>
    </row>
    <row r="585" spans="2:23" ht="14.25" customHeight="1" x14ac:dyDescent="0.3">
      <c r="B585" s="65" t="str">
        <f t="shared" si="91"/>
        <v/>
      </c>
      <c r="C585" s="70" t="str">
        <f t="shared" si="92"/>
        <v/>
      </c>
      <c r="D585" s="74" t="str">
        <f t="shared" si="93"/>
        <v/>
      </c>
      <c r="F585" s="65" t="str">
        <f t="shared" si="94"/>
        <v/>
      </c>
      <c r="G585" s="68" t="str">
        <f t="shared" si="95"/>
        <v/>
      </c>
      <c r="H585" s="68" t="str">
        <f t="shared" si="96"/>
        <v/>
      </c>
      <c r="I585" s="68" t="str">
        <f t="shared" si="100"/>
        <v/>
      </c>
      <c r="M585" s="1">
        <v>548</v>
      </c>
      <c r="N585" s="71">
        <f>IF($T585=0,"",INDEX(VIRMAN!$C$7:$C$406,$T585))</f>
        <v>46137</v>
      </c>
      <c r="O585" s="1" t="str">
        <f>IF($N585="","",INDEX(VIRMAN!$D$7:$D$406,$T585)&amp;" → "&amp;$C$36&amp;IF(INDEX(VIRMAN!$G$7:$G$406,$T585)="",""," – "&amp;INDEX(VIRMAN!$G$7:$G$406,$T585)))</f>
        <v>MERKEZ KASA → ÖMER KARTAL – DAMLA SABANCI HAVALE</v>
      </c>
      <c r="P585" s="1" t="str">
        <f t="shared" si="101"/>
        <v>VİRMAN GELDİ</v>
      </c>
      <c r="Q585" s="79">
        <f>IF($N585="",0,INDEX(VIRMAN!$F$7:$F$406,$T585))</f>
        <v>20000</v>
      </c>
      <c r="R585" s="1">
        <v>0</v>
      </c>
      <c r="S585" s="1">
        <f t="shared" si="97"/>
        <v>4613700548</v>
      </c>
      <c r="T585" s="1">
        <f>IFERROR(MATCH($C$36&amp;"|12",VIRMAN!$K$7:$K$406,0),0)</f>
        <v>13</v>
      </c>
      <c r="V585" s="1">
        <f t="shared" si="98"/>
        <v>10000000000</v>
      </c>
      <c r="W585" s="1">
        <f t="shared" si="99"/>
        <v>9</v>
      </c>
    </row>
    <row r="586" spans="2:23" ht="14.25" customHeight="1" x14ac:dyDescent="0.3">
      <c r="B586" s="65" t="str">
        <f t="shared" si="91"/>
        <v/>
      </c>
      <c r="C586" s="70" t="str">
        <f t="shared" si="92"/>
        <v/>
      </c>
      <c r="D586" s="74" t="str">
        <f t="shared" si="93"/>
        <v/>
      </c>
      <c r="F586" s="65" t="str">
        <f t="shared" si="94"/>
        <v/>
      </c>
      <c r="G586" s="68" t="str">
        <f t="shared" si="95"/>
        <v/>
      </c>
      <c r="H586" s="68" t="str">
        <f t="shared" si="96"/>
        <v/>
      </c>
      <c r="I586" s="68" t="str">
        <f t="shared" si="100"/>
        <v/>
      </c>
      <c r="M586" s="1">
        <v>549</v>
      </c>
      <c r="N586" s="71">
        <f>IF($T586=0,"",INDEX(VIRMAN!$C$7:$C$406,$T586))</f>
        <v>46142</v>
      </c>
      <c r="O586" s="1" t="str">
        <f>IF($N586="","",INDEX(VIRMAN!$D$7:$D$406,$T586)&amp;" → "&amp;$C$36&amp;IF(INDEX(VIRMAN!$G$7:$G$406,$T586)="",""," – "&amp;INDEX(VIRMAN!$G$7:$G$406,$T586)))</f>
        <v>MERKEZ KASA → ÖMER KARTAL – PARİS GAZİNOSU SGK'LAR</v>
      </c>
      <c r="P586" s="1" t="str">
        <f t="shared" si="101"/>
        <v>VİRMAN GELDİ</v>
      </c>
      <c r="Q586" s="79">
        <f>IF($N586="",0,INDEX(VIRMAN!$F$7:$F$406,$T586))</f>
        <v>12000</v>
      </c>
      <c r="R586" s="1">
        <v>0</v>
      </c>
      <c r="S586" s="1">
        <f t="shared" si="97"/>
        <v>4614200549</v>
      </c>
      <c r="T586" s="1">
        <f>IFERROR(MATCH($C$36&amp;"|13",VIRMAN!$K$7:$K$406,0),0)</f>
        <v>14</v>
      </c>
      <c r="V586" s="1">
        <f t="shared" si="98"/>
        <v>10000000000</v>
      </c>
      <c r="W586" s="1">
        <f t="shared" si="99"/>
        <v>9</v>
      </c>
    </row>
    <row r="587" spans="2:23" ht="14.25" customHeight="1" x14ac:dyDescent="0.3">
      <c r="B587" s="65" t="str">
        <f t="shared" si="91"/>
        <v/>
      </c>
      <c r="C587" s="70" t="str">
        <f t="shared" si="92"/>
        <v/>
      </c>
      <c r="D587" s="74" t="str">
        <f t="shared" si="93"/>
        <v/>
      </c>
      <c r="F587" s="65" t="str">
        <f t="shared" si="94"/>
        <v/>
      </c>
      <c r="G587" s="68" t="str">
        <f t="shared" si="95"/>
        <v/>
      </c>
      <c r="H587" s="68" t="str">
        <f t="shared" si="96"/>
        <v/>
      </c>
      <c r="I587" s="68" t="str">
        <f t="shared" si="100"/>
        <v/>
      </c>
      <c r="M587" s="1">
        <v>550</v>
      </c>
      <c r="N587" s="71">
        <f>IF($T587=0,"",INDEX(VIRMAN!$C$7:$C$406,$T587))</f>
        <v>46142</v>
      </c>
      <c r="O587" s="1" t="str">
        <f>IF($N587="","",INDEX(VIRMAN!$D$7:$D$406,$T587)&amp;" → "&amp;$C$36&amp;IF(INDEX(VIRMAN!$G$7:$G$406,$T587)="",""," – "&amp;INDEX(VIRMAN!$G$7:$G$406,$T587)))</f>
        <v>MERKEZ KASA → ÖMER KARTAL – FADİME HORUZCU MUHASEBE ÜCRETİ</v>
      </c>
      <c r="P587" s="1" t="str">
        <f t="shared" si="101"/>
        <v>VİRMAN GELDİ</v>
      </c>
      <c r="Q587" s="79">
        <f>IF($N587="",0,INDEX(VIRMAN!$F$7:$F$406,$T587))</f>
        <v>2000</v>
      </c>
      <c r="R587" s="1">
        <v>0</v>
      </c>
      <c r="S587" s="1">
        <f t="shared" si="97"/>
        <v>4614200550</v>
      </c>
      <c r="T587" s="1">
        <f>IFERROR(MATCH($C$36&amp;"|14",VIRMAN!$K$7:$K$406,0),0)</f>
        <v>15</v>
      </c>
      <c r="V587" s="1">
        <f t="shared" si="98"/>
        <v>10000000000</v>
      </c>
      <c r="W587" s="1">
        <f t="shared" si="99"/>
        <v>9</v>
      </c>
    </row>
    <row r="588" spans="2:23" ht="14.25" customHeight="1" x14ac:dyDescent="0.3">
      <c r="B588" s="65" t="str">
        <f t="shared" si="91"/>
        <v/>
      </c>
      <c r="C588" s="70" t="str">
        <f t="shared" si="92"/>
        <v/>
      </c>
      <c r="D588" s="74" t="str">
        <f t="shared" si="93"/>
        <v/>
      </c>
      <c r="F588" s="65" t="str">
        <f t="shared" si="94"/>
        <v/>
      </c>
      <c r="G588" s="68" t="str">
        <f t="shared" si="95"/>
        <v/>
      </c>
      <c r="H588" s="68" t="str">
        <f t="shared" si="96"/>
        <v/>
      </c>
      <c r="I588" s="68" t="str">
        <f t="shared" si="100"/>
        <v/>
      </c>
      <c r="M588" s="1">
        <v>551</v>
      </c>
      <c r="N588" s="71">
        <f>IF($T588=0,"",INDEX(VIRMAN!$C$7:$C$406,$T588))</f>
        <v>46144</v>
      </c>
      <c r="O588" s="1" t="str">
        <f>IF($N588="","",INDEX(VIRMAN!$D$7:$D$406,$T588)&amp;" → "&amp;$C$36&amp;IF(INDEX(VIRMAN!$G$7:$G$406,$T588)="",""," – "&amp;INDEX(VIRMAN!$G$7:$G$406,$T588)))</f>
        <v>MERKEZ KASA → ÖMER KARTAL – ÖMER NAKİT ÖDENEN ATO</v>
      </c>
      <c r="P588" s="1" t="str">
        <f t="shared" si="101"/>
        <v>VİRMAN GELDİ</v>
      </c>
      <c r="Q588" s="79">
        <f>IF($N588="",0,INDEX(VIRMAN!$F$7:$F$406,$T588))</f>
        <v>1000</v>
      </c>
      <c r="R588" s="1">
        <v>0</v>
      </c>
      <c r="S588" s="1">
        <f t="shared" si="97"/>
        <v>4614400551</v>
      </c>
      <c r="T588" s="1">
        <f>IFERROR(MATCH($C$36&amp;"|15",VIRMAN!$K$7:$K$406,0),0)</f>
        <v>16</v>
      </c>
      <c r="V588" s="1">
        <f t="shared" si="98"/>
        <v>10000000000</v>
      </c>
      <c r="W588" s="1">
        <f t="shared" si="99"/>
        <v>9</v>
      </c>
    </row>
    <row r="589" spans="2:23" ht="14.25" customHeight="1" x14ac:dyDescent="0.3">
      <c r="B589" s="65" t="str">
        <f t="shared" si="91"/>
        <v/>
      </c>
      <c r="C589" s="70" t="str">
        <f t="shared" si="92"/>
        <v/>
      </c>
      <c r="D589" s="74" t="str">
        <f t="shared" si="93"/>
        <v/>
      </c>
      <c r="F589" s="65" t="str">
        <f t="shared" si="94"/>
        <v/>
      </c>
      <c r="G589" s="68" t="str">
        <f t="shared" si="95"/>
        <v/>
      </c>
      <c r="H589" s="68" t="str">
        <f t="shared" si="96"/>
        <v/>
      </c>
      <c r="I589" s="68" t="str">
        <f t="shared" si="100"/>
        <v/>
      </c>
      <c r="M589" s="1">
        <v>552</v>
      </c>
      <c r="N589" s="71">
        <f>IF($T589=0,"",INDEX(VIRMAN!$C$7:$C$406,$T589))</f>
        <v>46147</v>
      </c>
      <c r="O589" s="1" t="str">
        <f>IF($N589="","",INDEX(VIRMAN!$D$7:$D$406,$T589)&amp;" → "&amp;$C$36&amp;IF(INDEX(VIRMAN!$G$7:$G$406,$T589)="",""," – "&amp;INDEX(VIRMAN!$G$7:$G$406,$T589)))</f>
        <v>MERKEZ KASA → ÖMER KARTAL – GRAND 06 HASAN &amp; ÖMER BAKİYE</v>
      </c>
      <c r="P589" s="1" t="str">
        <f t="shared" si="101"/>
        <v>VİRMAN GELDİ</v>
      </c>
      <c r="Q589" s="79">
        <f>IF($N589="",0,INDEX(VIRMAN!$F$7:$F$406,$T589))</f>
        <v>23600</v>
      </c>
      <c r="R589" s="1">
        <v>0</v>
      </c>
      <c r="S589" s="1">
        <f t="shared" si="97"/>
        <v>4614700552</v>
      </c>
      <c r="T589" s="1">
        <f>IFERROR(MATCH($C$36&amp;"|16",VIRMAN!$K$7:$K$406,0),0)</f>
        <v>17</v>
      </c>
      <c r="V589" s="1">
        <f t="shared" si="98"/>
        <v>10000000000</v>
      </c>
      <c r="W589" s="1">
        <f t="shared" si="99"/>
        <v>9</v>
      </c>
    </row>
    <row r="590" spans="2:23" ht="14.25" customHeight="1" x14ac:dyDescent="0.3">
      <c r="B590" s="65" t="str">
        <f t="shared" si="91"/>
        <v/>
      </c>
      <c r="C590" s="70" t="str">
        <f t="shared" si="92"/>
        <v/>
      </c>
      <c r="D590" s="74" t="str">
        <f t="shared" si="93"/>
        <v/>
      </c>
      <c r="F590" s="65" t="str">
        <f t="shared" si="94"/>
        <v/>
      </c>
      <c r="G590" s="68" t="str">
        <f t="shared" si="95"/>
        <v/>
      </c>
      <c r="H590" s="68" t="str">
        <f t="shared" si="96"/>
        <v/>
      </c>
      <c r="I590" s="68" t="str">
        <f t="shared" si="100"/>
        <v/>
      </c>
      <c r="M590" s="1">
        <v>553</v>
      </c>
      <c r="N590" s="71">
        <f>IF($T590=0,"",INDEX(VIRMAN!$C$7:$C$406,$T590))</f>
        <v>46173</v>
      </c>
      <c r="O590" s="1" t="str">
        <f>IF($N590="","",INDEX(VIRMAN!$D$7:$D$406,$T590)&amp;" → "&amp;$C$36&amp;IF(INDEX(VIRMAN!$G$7:$G$406,$T590)="",""," – "&amp;INDEX(VIRMAN!$G$7:$G$406,$T590)))</f>
        <v xml:space="preserve">MERKEZ KASA → ÖMER KARTAL – ÖMER TATİLDEYKEN HAVALE </v>
      </c>
      <c r="P590" s="1" t="str">
        <f t="shared" si="101"/>
        <v>VİRMAN GELDİ</v>
      </c>
      <c r="Q590" s="79">
        <f>IF($N590="",0,INDEX(VIRMAN!$F$7:$F$406,$T590))</f>
        <v>17000</v>
      </c>
      <c r="R590" s="1">
        <v>0</v>
      </c>
      <c r="S590" s="1">
        <f t="shared" si="97"/>
        <v>4617300553</v>
      </c>
      <c r="T590" s="1">
        <f>IFERROR(MATCH($C$36&amp;"|17",VIRMAN!$K$7:$K$406,0),0)</f>
        <v>18</v>
      </c>
      <c r="V590" s="1">
        <f t="shared" si="98"/>
        <v>10000000000</v>
      </c>
      <c r="W590" s="1">
        <f t="shared" si="99"/>
        <v>9</v>
      </c>
    </row>
    <row r="591" spans="2:23" ht="14.25" customHeight="1" x14ac:dyDescent="0.3">
      <c r="B591" s="65" t="str">
        <f t="shared" si="91"/>
        <v/>
      </c>
      <c r="C591" s="70" t="str">
        <f t="shared" si="92"/>
        <v/>
      </c>
      <c r="D591" s="74" t="str">
        <f t="shared" si="93"/>
        <v/>
      </c>
      <c r="F591" s="65" t="str">
        <f t="shared" si="94"/>
        <v/>
      </c>
      <c r="G591" s="68" t="str">
        <f t="shared" si="95"/>
        <v/>
      </c>
      <c r="H591" s="68" t="str">
        <f t="shared" si="96"/>
        <v/>
      </c>
      <c r="I591" s="68" t="str">
        <f t="shared" si="100"/>
        <v/>
      </c>
      <c r="M591" s="1">
        <v>554</v>
      </c>
      <c r="N591" s="71">
        <f>IF($T591=0,"",INDEX(VIRMAN!$C$7:$C$406,$T591))</f>
        <v>46173</v>
      </c>
      <c r="O591" s="1" t="str">
        <f>IF($N591="","",INDEX(VIRMAN!$D$7:$D$406,$T591)&amp;" → "&amp;$C$36&amp;IF(INDEX(VIRMAN!$G$7:$G$406,$T591)="",""," – "&amp;INDEX(VIRMAN!$G$7:$G$406,$T591)))</f>
        <v>MERKEZ KASA → ÖMER KARTAL – PARİS GAZİNOSU SGK'LAR</v>
      </c>
      <c r="P591" s="1" t="str">
        <f t="shared" si="101"/>
        <v>VİRMAN GELDİ</v>
      </c>
      <c r="Q591" s="79">
        <f>IF($N591="",0,INDEX(VIRMAN!$F$7:$F$406,$T591))</f>
        <v>12000</v>
      </c>
      <c r="R591" s="1">
        <v>0</v>
      </c>
      <c r="S591" s="1">
        <f t="shared" si="97"/>
        <v>4617300554</v>
      </c>
      <c r="T591" s="1">
        <f>IFERROR(MATCH($C$36&amp;"|18",VIRMAN!$K$7:$K$406,0),0)</f>
        <v>19</v>
      </c>
      <c r="V591" s="1">
        <f t="shared" si="98"/>
        <v>10000000000</v>
      </c>
      <c r="W591" s="1">
        <f t="shared" si="99"/>
        <v>9</v>
      </c>
    </row>
    <row r="592" spans="2:23" ht="14.25" customHeight="1" x14ac:dyDescent="0.3">
      <c r="B592" s="65" t="str">
        <f t="shared" si="91"/>
        <v/>
      </c>
      <c r="C592" s="70" t="str">
        <f t="shared" si="92"/>
        <v/>
      </c>
      <c r="D592" s="74" t="str">
        <f t="shared" si="93"/>
        <v/>
      </c>
      <c r="F592" s="65" t="str">
        <f t="shared" si="94"/>
        <v/>
      </c>
      <c r="G592" s="68" t="str">
        <f t="shared" si="95"/>
        <v/>
      </c>
      <c r="H592" s="68" t="str">
        <f t="shared" si="96"/>
        <v/>
      </c>
      <c r="I592" s="68" t="str">
        <f t="shared" si="100"/>
        <v/>
      </c>
      <c r="M592" s="1">
        <v>555</v>
      </c>
      <c r="N592" s="71">
        <f>IF($T592=0,"",INDEX(VIRMAN!$C$7:$C$406,$T592))</f>
        <v>46173</v>
      </c>
      <c r="O592" s="1" t="str">
        <f>IF($N592="","",INDEX(VIRMAN!$D$7:$D$406,$T592)&amp;" → "&amp;$C$36&amp;IF(INDEX(VIRMAN!$G$7:$G$406,$T592)="",""," – "&amp;INDEX(VIRMAN!$G$7:$G$406,$T592)))</f>
        <v>MERKEZ KASA → ÖMER KARTAL – FADİME HORUZCU MUHASEBE ÜCRETİ</v>
      </c>
      <c r="P592" s="1" t="str">
        <f t="shared" si="101"/>
        <v>VİRMAN GELDİ</v>
      </c>
      <c r="Q592" s="79">
        <f>IF($N592="",0,INDEX(VIRMAN!$F$7:$F$406,$T592))</f>
        <v>2000</v>
      </c>
      <c r="R592" s="1">
        <v>0</v>
      </c>
      <c r="S592" s="1">
        <f t="shared" si="97"/>
        <v>4617300555</v>
      </c>
      <c r="T592" s="1">
        <f>IFERROR(MATCH($C$36&amp;"|19",VIRMAN!$K$7:$K$406,0),0)</f>
        <v>20</v>
      </c>
      <c r="V592" s="1">
        <f t="shared" si="98"/>
        <v>10000000000</v>
      </c>
      <c r="W592" s="1">
        <f t="shared" si="99"/>
        <v>9</v>
      </c>
    </row>
    <row r="593" spans="2:23" ht="14.25" customHeight="1" x14ac:dyDescent="0.3">
      <c r="B593" s="65" t="str">
        <f t="shared" si="91"/>
        <v/>
      </c>
      <c r="C593" s="70" t="str">
        <f t="shared" si="92"/>
        <v/>
      </c>
      <c r="D593" s="74" t="str">
        <f t="shared" si="93"/>
        <v/>
      </c>
      <c r="F593" s="65" t="str">
        <f t="shared" si="94"/>
        <v/>
      </c>
      <c r="G593" s="68" t="str">
        <f t="shared" si="95"/>
        <v/>
      </c>
      <c r="H593" s="68" t="str">
        <f t="shared" si="96"/>
        <v/>
      </c>
      <c r="I593" s="68" t="str">
        <f t="shared" si="100"/>
        <v/>
      </c>
      <c r="M593" s="1">
        <v>556</v>
      </c>
      <c r="N593" s="71">
        <f>IF($T593=0,"",INDEX(VIRMAN!$C$7:$C$406,$T593))</f>
        <v>46203</v>
      </c>
      <c r="O593" s="1" t="str">
        <f>IF($N593="","",INDEX(VIRMAN!$D$7:$D$406,$T593)&amp;" → "&amp;$C$36&amp;IF(INDEX(VIRMAN!$G$7:$G$406,$T593)="",""," – "&amp;INDEX(VIRMAN!$G$7:$G$406,$T593)))</f>
        <v>MERKEZ KASA → ÖMER KARTAL – PARİS GAZİNOSU SGK'LAR</v>
      </c>
      <c r="P593" s="1" t="str">
        <f t="shared" si="101"/>
        <v>VİRMAN GELDİ</v>
      </c>
      <c r="Q593" s="79">
        <f>IF($N593="",0,INDEX(VIRMAN!$F$7:$F$406,$T593))</f>
        <v>12000</v>
      </c>
      <c r="R593" s="1">
        <v>0</v>
      </c>
      <c r="S593" s="1">
        <f t="shared" si="97"/>
        <v>4620300556</v>
      </c>
      <c r="T593" s="1">
        <f>IFERROR(MATCH($C$36&amp;"|20",VIRMAN!$K$7:$K$406,0),0)</f>
        <v>21</v>
      </c>
      <c r="V593" s="1">
        <f t="shared" si="98"/>
        <v>10000000000</v>
      </c>
      <c r="W593" s="1">
        <f t="shared" si="99"/>
        <v>9</v>
      </c>
    </row>
    <row r="594" spans="2:23" ht="14.25" customHeight="1" x14ac:dyDescent="0.3">
      <c r="B594" s="65" t="str">
        <f t="shared" si="91"/>
        <v/>
      </c>
      <c r="C594" s="70" t="str">
        <f t="shared" si="92"/>
        <v/>
      </c>
      <c r="D594" s="74" t="str">
        <f t="shared" si="93"/>
        <v/>
      </c>
      <c r="F594" s="65" t="str">
        <f t="shared" si="94"/>
        <v/>
      </c>
      <c r="G594" s="68" t="str">
        <f t="shared" si="95"/>
        <v/>
      </c>
      <c r="H594" s="68" t="str">
        <f t="shared" si="96"/>
        <v/>
      </c>
      <c r="I594" s="68" t="str">
        <f t="shared" si="100"/>
        <v/>
      </c>
      <c r="M594" s="1">
        <v>557</v>
      </c>
      <c r="N594" s="71">
        <f>IF($T594=0,"",INDEX(VIRMAN!$C$7:$C$406,$T594))</f>
        <v>46203</v>
      </c>
      <c r="O594" s="1" t="str">
        <f>IF($N594="","",INDEX(VIRMAN!$D$7:$D$406,$T594)&amp;" → "&amp;$C$36&amp;IF(INDEX(VIRMAN!$G$7:$G$406,$T594)="",""," – "&amp;INDEX(VIRMAN!$G$7:$G$406,$T594)))</f>
        <v>MERKEZ KASA → ÖMER KARTAL – FADİME HORUZCU MUHASEBE ÜCRETİ</v>
      </c>
      <c r="P594" s="1" t="str">
        <f t="shared" si="101"/>
        <v>VİRMAN GELDİ</v>
      </c>
      <c r="Q594" s="79">
        <f>IF($N594="",0,INDEX(VIRMAN!$F$7:$F$406,$T594))</f>
        <v>2000</v>
      </c>
      <c r="R594" s="1">
        <v>0</v>
      </c>
      <c r="S594" s="1">
        <f t="shared" si="97"/>
        <v>4620300557</v>
      </c>
      <c r="T594" s="1">
        <f>IFERROR(MATCH($C$36&amp;"|21",VIRMAN!$K$7:$K$406,0),0)</f>
        <v>22</v>
      </c>
      <c r="V594" s="1">
        <f t="shared" si="98"/>
        <v>10000000000</v>
      </c>
      <c r="W594" s="1">
        <f t="shared" si="99"/>
        <v>9</v>
      </c>
    </row>
    <row r="595" spans="2:23" ht="14.25" customHeight="1" x14ac:dyDescent="0.3">
      <c r="B595" s="65" t="str">
        <f t="shared" si="91"/>
        <v/>
      </c>
      <c r="C595" s="70" t="str">
        <f t="shared" si="92"/>
        <v/>
      </c>
      <c r="D595" s="74" t="str">
        <f t="shared" si="93"/>
        <v/>
      </c>
      <c r="F595" s="65" t="str">
        <f t="shared" si="94"/>
        <v/>
      </c>
      <c r="G595" s="68" t="str">
        <f t="shared" si="95"/>
        <v/>
      </c>
      <c r="H595" s="68" t="str">
        <f t="shared" si="96"/>
        <v/>
      </c>
      <c r="I595" s="68" t="str">
        <f t="shared" si="100"/>
        <v/>
      </c>
      <c r="M595" s="1">
        <v>558</v>
      </c>
      <c r="N595" s="71">
        <f>IF($T595=0,"",INDEX(VIRMAN!$C$7:$C$406,$T595))</f>
        <v>46207</v>
      </c>
      <c r="O595" s="1" t="str">
        <f>IF($N595="","",INDEX(VIRMAN!$D$7:$D$406,$T595)&amp;" → "&amp;$C$36&amp;IF(INDEX(VIRMAN!$G$7:$G$406,$T595)="",""," – "&amp;INDEX(VIRMAN!$G$7:$G$406,$T595)))</f>
        <v>MERKEZ KASA → ÖMER KARTAL – YALIKENT HAFTALIK MENDERES MAHSUP</v>
      </c>
      <c r="P595" s="1" t="str">
        <f t="shared" si="101"/>
        <v>VİRMAN GELDİ</v>
      </c>
      <c r="Q595" s="79">
        <f>IF($N595="",0,INDEX(VIRMAN!$F$7:$F$406,$T595))</f>
        <v>5000</v>
      </c>
      <c r="R595" s="1">
        <v>0</v>
      </c>
      <c r="S595" s="1">
        <f t="shared" si="97"/>
        <v>4620700558</v>
      </c>
      <c r="T595" s="1">
        <f>IFERROR(MATCH($C$36&amp;"|22",VIRMAN!$K$7:$K$406,0),0)</f>
        <v>23</v>
      </c>
      <c r="V595" s="1">
        <f t="shared" si="98"/>
        <v>10000000000</v>
      </c>
      <c r="W595" s="1">
        <f t="shared" si="99"/>
        <v>9</v>
      </c>
    </row>
    <row r="596" spans="2:23" ht="14.25" customHeight="1" x14ac:dyDescent="0.3">
      <c r="B596" s="65" t="str">
        <f t="shared" si="91"/>
        <v/>
      </c>
      <c r="C596" s="70" t="str">
        <f t="shared" si="92"/>
        <v/>
      </c>
      <c r="D596" s="74" t="str">
        <f t="shared" si="93"/>
        <v/>
      </c>
      <c r="F596" s="65" t="str">
        <f t="shared" si="94"/>
        <v/>
      </c>
      <c r="G596" s="68" t="str">
        <f t="shared" si="95"/>
        <v/>
      </c>
      <c r="H596" s="68" t="str">
        <f t="shared" si="96"/>
        <v/>
      </c>
      <c r="I596" s="68" t="str">
        <f t="shared" si="100"/>
        <v/>
      </c>
      <c r="M596" s="1">
        <v>559</v>
      </c>
      <c r="N596" s="71">
        <f>IF($T596=0,"",INDEX(VIRMAN!$C$7:$C$406,$T596))</f>
        <v>46214</v>
      </c>
      <c r="O596" s="1" t="str">
        <f>IF($N596="","",INDEX(VIRMAN!$D$7:$D$406,$T596)&amp;" → "&amp;$C$36&amp;IF(INDEX(VIRMAN!$G$7:$G$406,$T596)="",""," – "&amp;INDEX(VIRMAN!$G$7:$G$406,$T596)))</f>
        <v>MERKEZ KASA → ÖMER KARTAL – YALIKENT HAFTALIK MENDERES MAHSUP</v>
      </c>
      <c r="P596" s="1" t="str">
        <f t="shared" si="101"/>
        <v>VİRMAN GELDİ</v>
      </c>
      <c r="Q596" s="79">
        <f>IF($N596="",0,INDEX(VIRMAN!$F$7:$F$406,$T596))</f>
        <v>5000</v>
      </c>
      <c r="R596" s="1">
        <v>0</v>
      </c>
      <c r="S596" s="1">
        <f t="shared" si="97"/>
        <v>4621400559</v>
      </c>
      <c r="T596" s="1">
        <f>IFERROR(MATCH($C$36&amp;"|23",VIRMAN!$K$7:$K$406,0),0)</f>
        <v>24</v>
      </c>
      <c r="V596" s="1">
        <f t="shared" si="98"/>
        <v>10000000000</v>
      </c>
      <c r="W596" s="1">
        <f t="shared" si="99"/>
        <v>9</v>
      </c>
    </row>
    <row r="597" spans="2:23" ht="14.25" customHeight="1" x14ac:dyDescent="0.3">
      <c r="B597" s="65" t="str">
        <f t="shared" si="91"/>
        <v/>
      </c>
      <c r="C597" s="70" t="str">
        <f t="shared" si="92"/>
        <v/>
      </c>
      <c r="D597" s="74" t="str">
        <f t="shared" si="93"/>
        <v/>
      </c>
      <c r="F597" s="65" t="str">
        <f t="shared" si="94"/>
        <v/>
      </c>
      <c r="G597" s="68" t="str">
        <f t="shared" si="95"/>
        <v/>
      </c>
      <c r="H597" s="68" t="str">
        <f t="shared" si="96"/>
        <v/>
      </c>
      <c r="I597" s="68" t="str">
        <f t="shared" si="100"/>
        <v/>
      </c>
      <c r="M597" s="1">
        <v>560</v>
      </c>
      <c r="N597" s="71">
        <f>IF($T597=0,"",INDEX(VIRMAN!$C$7:$C$406,$T597))</f>
        <v>46221</v>
      </c>
      <c r="O597" s="1" t="str">
        <f>IF($N597="","",INDEX(VIRMAN!$D$7:$D$406,$T597)&amp;" → "&amp;$C$36&amp;IF(INDEX(VIRMAN!$G$7:$G$406,$T597)="",""," – "&amp;INDEX(VIRMAN!$G$7:$G$406,$T597)))</f>
        <v>MERKEZ KASA → ÖMER KARTAL – YALIKENT HAFTALIK MENDERES MAHSUP</v>
      </c>
      <c r="P597" s="1" t="str">
        <f t="shared" si="101"/>
        <v>VİRMAN GELDİ</v>
      </c>
      <c r="Q597" s="79">
        <f>IF($N597="",0,INDEX(VIRMAN!$F$7:$F$406,$T597))</f>
        <v>5000</v>
      </c>
      <c r="R597" s="1">
        <v>0</v>
      </c>
      <c r="S597" s="1">
        <f t="shared" si="97"/>
        <v>4622100560</v>
      </c>
      <c r="T597" s="1">
        <f>IFERROR(MATCH($C$36&amp;"|24",VIRMAN!$K$7:$K$406,0),0)</f>
        <v>25</v>
      </c>
      <c r="V597" s="1">
        <f t="shared" si="98"/>
        <v>10000000000</v>
      </c>
      <c r="W597" s="1">
        <f t="shared" si="99"/>
        <v>9</v>
      </c>
    </row>
    <row r="598" spans="2:23" ht="14.25" customHeight="1" x14ac:dyDescent="0.3">
      <c r="B598" s="65" t="str">
        <f t="shared" si="91"/>
        <v/>
      </c>
      <c r="C598" s="70" t="str">
        <f t="shared" si="92"/>
        <v/>
      </c>
      <c r="D598" s="74" t="str">
        <f t="shared" si="93"/>
        <v/>
      </c>
      <c r="F598" s="65" t="str">
        <f t="shared" si="94"/>
        <v/>
      </c>
      <c r="G598" s="68" t="str">
        <f t="shared" si="95"/>
        <v/>
      </c>
      <c r="H598" s="68" t="str">
        <f t="shared" si="96"/>
        <v/>
      </c>
      <c r="I598" s="68" t="str">
        <f t="shared" si="100"/>
        <v/>
      </c>
      <c r="M598" s="1">
        <v>561</v>
      </c>
      <c r="N598" s="71">
        <f>IF($T598=0,"",INDEX(VIRMAN!$C$7:$C$406,$T598))</f>
        <v>46228</v>
      </c>
      <c r="O598" s="1" t="str">
        <f>IF($N598="","",INDEX(VIRMAN!$D$7:$D$406,$T598)&amp;" → "&amp;$C$36&amp;IF(INDEX(VIRMAN!$G$7:$G$406,$T598)="",""," – "&amp;INDEX(VIRMAN!$G$7:$G$406,$T598)))</f>
        <v>MERKEZ KASA → ÖMER KARTAL – YALIKENT HAFTALIK MENDERES MAHSUP</v>
      </c>
      <c r="P598" s="1" t="str">
        <f t="shared" si="101"/>
        <v>VİRMAN GELDİ</v>
      </c>
      <c r="Q598" s="79">
        <f>IF($N598="",0,INDEX(VIRMAN!$F$7:$F$406,$T598))</f>
        <v>5000</v>
      </c>
      <c r="R598" s="1">
        <v>0</v>
      </c>
      <c r="S598" s="1">
        <f t="shared" si="97"/>
        <v>4622800561</v>
      </c>
      <c r="T598" s="1">
        <f>IFERROR(MATCH($C$36&amp;"|25",VIRMAN!$K$7:$K$406,0),0)</f>
        <v>26</v>
      </c>
      <c r="V598" s="1">
        <f t="shared" si="98"/>
        <v>10000000000</v>
      </c>
      <c r="W598" s="1">
        <f t="shared" si="99"/>
        <v>9</v>
      </c>
    </row>
    <row r="599" spans="2:23" ht="14.25" customHeight="1" x14ac:dyDescent="0.3">
      <c r="B599" s="65" t="str">
        <f t="shared" si="91"/>
        <v/>
      </c>
      <c r="C599" s="70" t="str">
        <f t="shared" si="92"/>
        <v/>
      </c>
      <c r="D599" s="74" t="str">
        <f t="shared" si="93"/>
        <v/>
      </c>
      <c r="F599" s="65" t="str">
        <f t="shared" si="94"/>
        <v/>
      </c>
      <c r="G599" s="68" t="str">
        <f t="shared" si="95"/>
        <v/>
      </c>
      <c r="H599" s="68" t="str">
        <f t="shared" si="96"/>
        <v/>
      </c>
      <c r="I599" s="68" t="str">
        <f t="shared" si="100"/>
        <v/>
      </c>
      <c r="M599" s="1">
        <v>562</v>
      </c>
      <c r="N599" s="71">
        <f>IF($T599=0,"",INDEX(VIRMAN!$C$7:$C$406,$T599))</f>
        <v>46234</v>
      </c>
      <c r="O599" s="1" t="str">
        <f>IF($N599="","",INDEX(VIRMAN!$D$7:$D$406,$T599)&amp;" → "&amp;$C$36&amp;IF(INDEX(VIRMAN!$G$7:$G$406,$T599)="",""," – "&amp;INDEX(VIRMAN!$G$7:$G$406,$T599)))</f>
        <v>MERKEZ KASA → ÖMER KARTAL – PARİS GAZİNOSU SGK'LAR</v>
      </c>
      <c r="P599" s="1" t="str">
        <f t="shared" si="101"/>
        <v>VİRMAN GELDİ</v>
      </c>
      <c r="Q599" s="79">
        <f>IF($N599="",0,INDEX(VIRMAN!$F$7:$F$406,$T599))</f>
        <v>12000</v>
      </c>
      <c r="R599" s="1">
        <v>0</v>
      </c>
      <c r="S599" s="1">
        <f t="shared" si="97"/>
        <v>4623400562</v>
      </c>
      <c r="T599" s="1">
        <f>IFERROR(MATCH($C$36&amp;"|26",VIRMAN!$K$7:$K$406,0),0)</f>
        <v>27</v>
      </c>
      <c r="V599" s="1">
        <f t="shared" si="98"/>
        <v>10000000000</v>
      </c>
      <c r="W599" s="1">
        <f t="shared" si="99"/>
        <v>9</v>
      </c>
    </row>
    <row r="600" spans="2:23" ht="14.25" customHeight="1" x14ac:dyDescent="0.3">
      <c r="B600" s="65" t="str">
        <f t="shared" si="91"/>
        <v/>
      </c>
      <c r="C600" s="70" t="str">
        <f t="shared" si="92"/>
        <v/>
      </c>
      <c r="D600" s="74" t="str">
        <f t="shared" si="93"/>
        <v/>
      </c>
      <c r="F600" s="65" t="str">
        <f t="shared" si="94"/>
        <v/>
      </c>
      <c r="G600" s="68" t="str">
        <f t="shared" si="95"/>
        <v/>
      </c>
      <c r="H600" s="68" t="str">
        <f t="shared" si="96"/>
        <v/>
      </c>
      <c r="I600" s="68" t="str">
        <f t="shared" si="100"/>
        <v/>
      </c>
      <c r="M600" s="1">
        <v>563</v>
      </c>
      <c r="N600" s="71">
        <f>IF($T600=0,"",INDEX(VIRMAN!$C$7:$C$406,$T600))</f>
        <v>46235</v>
      </c>
      <c r="O600" s="1" t="str">
        <f>IF($N600="","",INDEX(VIRMAN!$D$7:$D$406,$T600)&amp;" → "&amp;$C$36&amp;IF(INDEX(VIRMAN!$G$7:$G$406,$T600)="",""," – "&amp;INDEX(VIRMAN!$G$7:$G$406,$T600)))</f>
        <v>MERKEZ KASA → ÖMER KARTAL – YALIKENT HAFTALIK MENDERES MAHSUP</v>
      </c>
      <c r="P600" s="1" t="str">
        <f t="shared" si="101"/>
        <v>VİRMAN GELDİ</v>
      </c>
      <c r="Q600" s="79">
        <f>IF($N600="",0,INDEX(VIRMAN!$F$7:$F$406,$T600))</f>
        <v>5000</v>
      </c>
      <c r="R600" s="1">
        <v>0</v>
      </c>
      <c r="S600" s="1">
        <f t="shared" si="97"/>
        <v>4623500563</v>
      </c>
      <c r="T600" s="1">
        <f>IFERROR(MATCH($C$36&amp;"|27",VIRMAN!$K$7:$K$406,0),0)</f>
        <v>28</v>
      </c>
      <c r="V600" s="1">
        <f t="shared" si="98"/>
        <v>10000000000</v>
      </c>
      <c r="W600" s="1">
        <f t="shared" si="99"/>
        <v>9</v>
      </c>
    </row>
    <row r="601" spans="2:23" ht="14.25" customHeight="1" x14ac:dyDescent="0.3">
      <c r="B601" s="65" t="str">
        <f t="shared" si="91"/>
        <v/>
      </c>
      <c r="C601" s="70" t="str">
        <f t="shared" si="92"/>
        <v/>
      </c>
      <c r="D601" s="74" t="str">
        <f t="shared" si="93"/>
        <v/>
      </c>
      <c r="F601" s="65" t="str">
        <f t="shared" si="94"/>
        <v/>
      </c>
      <c r="G601" s="68" t="str">
        <f t="shared" si="95"/>
        <v/>
      </c>
      <c r="H601" s="68" t="str">
        <f t="shared" si="96"/>
        <v/>
      </c>
      <c r="I601" s="68" t="str">
        <f t="shared" si="100"/>
        <v/>
      </c>
      <c r="M601" s="1">
        <v>564</v>
      </c>
      <c r="N601" s="71">
        <f>IF($T601=0,"",INDEX(VIRMAN!$C$7:$C$406,$T601))</f>
        <v>46243</v>
      </c>
      <c r="O601" s="1" t="str">
        <f>IF($N601="","",INDEX(VIRMAN!$D$7:$D$406,$T601)&amp;" → "&amp;$C$36&amp;IF(INDEX(VIRMAN!$G$7:$G$406,$T601)="",""," – "&amp;INDEX(VIRMAN!$G$7:$G$406,$T601)))</f>
        <v>MERKEZ KASA → ÖMER KARTAL – GRAND 06 ÖMER BAKİYE</v>
      </c>
      <c r="P601" s="1" t="str">
        <f t="shared" si="101"/>
        <v>VİRMAN GELDİ</v>
      </c>
      <c r="Q601" s="79">
        <f>IF($N601="",0,INDEX(VIRMAN!$F$7:$F$406,$T601))</f>
        <v>9400</v>
      </c>
      <c r="R601" s="1">
        <v>0</v>
      </c>
      <c r="S601" s="1">
        <f t="shared" si="97"/>
        <v>4624300564</v>
      </c>
      <c r="T601" s="1">
        <f>IFERROR(MATCH($C$36&amp;"|28",VIRMAN!$K$7:$K$406,0),0)</f>
        <v>29</v>
      </c>
      <c r="V601" s="1">
        <f t="shared" si="98"/>
        <v>10000000000</v>
      </c>
      <c r="W601" s="1">
        <f t="shared" si="99"/>
        <v>9</v>
      </c>
    </row>
    <row r="602" spans="2:23" ht="14.25" customHeight="1" x14ac:dyDescent="0.3">
      <c r="B602" s="65" t="str">
        <f t="shared" si="91"/>
        <v/>
      </c>
      <c r="C602" s="70" t="str">
        <f t="shared" si="92"/>
        <v/>
      </c>
      <c r="D602" s="74" t="str">
        <f t="shared" si="93"/>
        <v/>
      </c>
      <c r="F602" s="65" t="str">
        <f t="shared" si="94"/>
        <v/>
      </c>
      <c r="G602" s="68" t="str">
        <f t="shared" si="95"/>
        <v/>
      </c>
      <c r="H602" s="68" t="str">
        <f t="shared" si="96"/>
        <v/>
      </c>
      <c r="I602" s="68" t="str">
        <f t="shared" si="100"/>
        <v/>
      </c>
      <c r="M602" s="1">
        <v>565</v>
      </c>
      <c r="N602" s="71">
        <f>IF($T602=0,"",INDEX(VIRMAN!$C$7:$C$406,$T602))</f>
        <v>46265</v>
      </c>
      <c r="O602" s="1" t="str">
        <f>IF($N602="","",INDEX(VIRMAN!$D$7:$D$406,$T602)&amp;" → "&amp;$C$36&amp;IF(INDEX(VIRMAN!$G$7:$G$406,$T602)="",""," – "&amp;INDEX(VIRMAN!$G$7:$G$406,$T602)))</f>
        <v>MERKEZ KASA → ÖMER KARTAL – PARİS GAZİNOSU SGK'LAR</v>
      </c>
      <c r="P602" s="1" t="str">
        <f t="shared" si="101"/>
        <v>VİRMAN GELDİ</v>
      </c>
      <c r="Q602" s="79">
        <f>IF($N602="",0,INDEX(VIRMAN!$F$7:$F$406,$T602))</f>
        <v>12000</v>
      </c>
      <c r="R602" s="1">
        <v>0</v>
      </c>
      <c r="S602" s="1">
        <f t="shared" si="97"/>
        <v>4626500565</v>
      </c>
      <c r="T602" s="1">
        <f>IFERROR(MATCH($C$36&amp;"|29",VIRMAN!$K$7:$K$406,0),0)</f>
        <v>30</v>
      </c>
      <c r="V602" s="1">
        <f t="shared" si="98"/>
        <v>10000000000</v>
      </c>
      <c r="W602" s="1">
        <f t="shared" si="99"/>
        <v>9</v>
      </c>
    </row>
    <row r="603" spans="2:23" ht="14.25" customHeight="1" x14ac:dyDescent="0.3">
      <c r="B603" s="65" t="str">
        <f t="shared" si="91"/>
        <v/>
      </c>
      <c r="C603" s="70" t="str">
        <f t="shared" si="92"/>
        <v/>
      </c>
      <c r="D603" s="74" t="str">
        <f t="shared" si="93"/>
        <v/>
      </c>
      <c r="F603" s="65" t="str">
        <f t="shared" si="94"/>
        <v/>
      </c>
      <c r="G603" s="68" t="str">
        <f t="shared" si="95"/>
        <v/>
      </c>
      <c r="H603" s="68" t="str">
        <f t="shared" si="96"/>
        <v/>
      </c>
      <c r="I603" s="68" t="str">
        <f t="shared" si="100"/>
        <v/>
      </c>
      <c r="M603" s="1">
        <v>566</v>
      </c>
      <c r="N603" s="1">
        <f>IF($T603=0,"",INDEX(VIRMAN!$C$7:$C$406,$T603))</f>
        <v>46053</v>
      </c>
      <c r="O603" s="1" t="str">
        <f>IF($N603="","",INDEX(VIRMAN!$D$7:$D$406,$T603)&amp;" → "&amp;$C$36&amp;IF(INDEX(VIRMAN!$G$7:$G$406,$T603)="",""," – "&amp;INDEX(VIRMAN!$G$7:$G$406,$T603)))</f>
        <v>MERKEZ KASA → ÖMER KARTAL – KÂR PAYI / AVANS ÇEKİŞİ — Ocak Ayı Kâr Payı Ödemesi — eski GELIR_GIDER satır 26</v>
      </c>
      <c r="P603" s="1" t="str">
        <f t="shared" si="101"/>
        <v>VİRMAN GELDİ</v>
      </c>
      <c r="Q603" s="1">
        <f>IF($N603="",0,INDEX(VIRMAN!$F$7:$F$406,$T603))</f>
        <v>127783.09</v>
      </c>
      <c r="R603" s="1">
        <v>0</v>
      </c>
      <c r="S603" s="1">
        <f t="shared" si="97"/>
        <v>4605300566</v>
      </c>
      <c r="T603" s="1">
        <f>IFERROR(MATCH($C$36&amp;"|30",VIRMAN!$K$7:$K$406,0),0)</f>
        <v>32</v>
      </c>
      <c r="V603" s="1">
        <f t="shared" si="98"/>
        <v>10000000000</v>
      </c>
      <c r="W603" s="1">
        <f t="shared" si="99"/>
        <v>9</v>
      </c>
    </row>
    <row r="604" spans="2:23" ht="14.25" customHeight="1" x14ac:dyDescent="0.3">
      <c r="B604" s="65" t="str">
        <f t="shared" si="91"/>
        <v/>
      </c>
      <c r="C604" s="70" t="str">
        <f t="shared" si="92"/>
        <v/>
      </c>
      <c r="D604" s="74" t="str">
        <f t="shared" si="93"/>
        <v/>
      </c>
      <c r="F604" s="65" t="str">
        <f t="shared" si="94"/>
        <v/>
      </c>
      <c r="G604" s="68" t="str">
        <f t="shared" si="95"/>
        <v/>
      </c>
      <c r="H604" s="68" t="str">
        <f t="shared" si="96"/>
        <v/>
      </c>
      <c r="I604" s="68" t="str">
        <f t="shared" si="100"/>
        <v/>
      </c>
      <c r="M604" s="1">
        <v>567</v>
      </c>
      <c r="N604" s="1">
        <f>IF($T604=0,"",INDEX(VIRMAN!$C$7:$C$406,$T604))</f>
        <v>46081</v>
      </c>
      <c r="O604" s="1" t="str">
        <f>IF($N604="","",INDEX(VIRMAN!$D$7:$D$406,$T604)&amp;" → "&amp;$C$36&amp;IF(INDEX(VIRMAN!$G$7:$G$406,$T604)="",""," – "&amp;INDEX(VIRMAN!$G$7:$G$406,$T604)))</f>
        <v>MERKEZ KASA → ÖMER KARTAL – KÂR PAYI / AVANS ÇEKİŞİ — Şubat Ayı Kâr Payı Ödemesi — eski GELIR_GIDER satır 66</v>
      </c>
      <c r="P604" s="1" t="str">
        <f t="shared" si="101"/>
        <v>VİRMAN GELDİ</v>
      </c>
      <c r="Q604" s="1">
        <f>IF($N604="",0,INDEX(VIRMAN!$F$7:$F$406,$T604))</f>
        <v>10310.91</v>
      </c>
      <c r="R604" s="1">
        <v>0</v>
      </c>
      <c r="S604" s="1">
        <f t="shared" si="97"/>
        <v>4608100567</v>
      </c>
      <c r="T604" s="1">
        <f>IFERROR(MATCH($C$36&amp;"|31",VIRMAN!$K$7:$K$406,0),0)</f>
        <v>34</v>
      </c>
      <c r="V604" s="1">
        <f t="shared" si="98"/>
        <v>10000000000</v>
      </c>
      <c r="W604" s="1">
        <f t="shared" si="99"/>
        <v>9</v>
      </c>
    </row>
    <row r="605" spans="2:23" ht="14.25" customHeight="1" x14ac:dyDescent="0.3">
      <c r="B605" s="65" t="str">
        <f t="shared" si="91"/>
        <v/>
      </c>
      <c r="C605" s="70" t="str">
        <f t="shared" si="92"/>
        <v/>
      </c>
      <c r="D605" s="74" t="str">
        <f t="shared" si="93"/>
        <v/>
      </c>
      <c r="F605" s="65" t="str">
        <f t="shared" si="94"/>
        <v/>
      </c>
      <c r="G605" s="68" t="str">
        <f t="shared" si="95"/>
        <v/>
      </c>
      <c r="H605" s="68" t="str">
        <f t="shared" si="96"/>
        <v/>
      </c>
      <c r="I605" s="68" t="str">
        <f t="shared" si="100"/>
        <v/>
      </c>
      <c r="M605" s="1">
        <v>568</v>
      </c>
      <c r="N605" s="1">
        <f>IF($T605=0,"",INDEX(VIRMAN!$C$7:$C$406,$T605))</f>
        <v>46112</v>
      </c>
      <c r="O605" s="1" t="str">
        <f>IF($N605="","",INDEX(VIRMAN!$D$7:$D$406,$T605)&amp;" → "&amp;$C$36&amp;IF(INDEX(VIRMAN!$G$7:$G$406,$T605)="",""," – "&amp;INDEX(VIRMAN!$G$7:$G$406,$T605)))</f>
        <v>MERKEZ KASA → ÖMER KARTAL – KÂR PAYI / AVANS ÇEKİŞİ — Mart Ayı Kâr Payı Ödemesi — eski GELIR_GIDER satır 94</v>
      </c>
      <c r="P605" s="1" t="str">
        <f t="shared" si="101"/>
        <v>VİRMAN GELDİ</v>
      </c>
      <c r="Q605" s="1">
        <f>IF($N605="",0,INDEX(VIRMAN!$F$7:$F$406,$T605))</f>
        <v>77421.02</v>
      </c>
      <c r="R605" s="1">
        <v>0</v>
      </c>
      <c r="S605" s="1">
        <f t="shared" si="97"/>
        <v>4611200568</v>
      </c>
      <c r="T605" s="1">
        <f>IFERROR(MATCH($C$36&amp;"|32",VIRMAN!$K$7:$K$406,0),0)</f>
        <v>36</v>
      </c>
      <c r="V605" s="1">
        <f t="shared" si="98"/>
        <v>10000000000</v>
      </c>
      <c r="W605" s="1">
        <f t="shared" si="99"/>
        <v>9</v>
      </c>
    </row>
    <row r="606" spans="2:23" ht="14.25" customHeight="1" x14ac:dyDescent="0.3">
      <c r="B606" s="65" t="str">
        <f t="shared" si="91"/>
        <v/>
      </c>
      <c r="C606" s="70" t="str">
        <f t="shared" si="92"/>
        <v/>
      </c>
      <c r="D606" s="74" t="str">
        <f t="shared" si="93"/>
        <v/>
      </c>
      <c r="F606" s="65" t="str">
        <f t="shared" si="94"/>
        <v/>
      </c>
      <c r="G606" s="68" t="str">
        <f t="shared" si="95"/>
        <v/>
      </c>
      <c r="H606" s="68" t="str">
        <f t="shared" si="96"/>
        <v/>
      </c>
      <c r="I606" s="68" t="str">
        <f t="shared" si="100"/>
        <v/>
      </c>
      <c r="M606" s="1">
        <v>569</v>
      </c>
      <c r="N606" s="1">
        <f>IF($T606=0,"",INDEX(VIRMAN!$C$7:$C$406,$T606))</f>
        <v>46142</v>
      </c>
      <c r="O606" s="1" t="str">
        <f>IF($N606="","",INDEX(VIRMAN!$D$7:$D$406,$T606)&amp;" → "&amp;$C$36&amp;IF(INDEX(VIRMAN!$G$7:$G$406,$T606)="",""," – "&amp;INDEX(VIRMAN!$G$7:$G$406,$T606)))</f>
        <v>MERKEZ KASA → ÖMER KARTAL – KÂR PAYI / AVANS ÇEKİŞİ — Nisan Ayı Kâr Payı Ödemesi — eski GELIR_GIDER satır 134</v>
      </c>
      <c r="P606" s="1" t="str">
        <f t="shared" ref="P606:P637" si="102">IF($N606="","","VİRMAN GELDİ")</f>
        <v>VİRMAN GELDİ</v>
      </c>
      <c r="Q606" s="1">
        <f>IF($N606="",0,INDEX(VIRMAN!$F$7:$F$406,$T606))</f>
        <v>137353</v>
      </c>
      <c r="R606" s="1">
        <v>0</v>
      </c>
      <c r="S606" s="1">
        <f t="shared" si="97"/>
        <v>4614200569</v>
      </c>
      <c r="T606" s="1">
        <f>IFERROR(MATCH($C$36&amp;"|33",VIRMAN!$K$7:$K$406,0),0)</f>
        <v>38</v>
      </c>
      <c r="V606" s="1">
        <f t="shared" si="98"/>
        <v>10000000000</v>
      </c>
      <c r="W606" s="1">
        <f t="shared" si="99"/>
        <v>9</v>
      </c>
    </row>
    <row r="607" spans="2:23" ht="14.25" customHeight="1" x14ac:dyDescent="0.3">
      <c r="B607" s="65" t="str">
        <f t="shared" si="91"/>
        <v/>
      </c>
      <c r="C607" s="70" t="str">
        <f t="shared" si="92"/>
        <v/>
      </c>
      <c r="D607" s="74" t="str">
        <f t="shared" si="93"/>
        <v/>
      </c>
      <c r="F607" s="65" t="str">
        <f t="shared" si="94"/>
        <v/>
      </c>
      <c r="G607" s="68" t="str">
        <f t="shared" si="95"/>
        <v/>
      </c>
      <c r="H607" s="68" t="str">
        <f t="shared" si="96"/>
        <v/>
      </c>
      <c r="I607" s="68" t="str">
        <f t="shared" si="100"/>
        <v/>
      </c>
      <c r="M607" s="1">
        <v>570</v>
      </c>
      <c r="N607" s="1">
        <f>IF($T607=0,"",INDEX(VIRMAN!$C$7:$C$406,$T607))</f>
        <v>46173</v>
      </c>
      <c r="O607" s="1" t="str">
        <f>IF($N607="","",INDEX(VIRMAN!$D$7:$D$406,$T607)&amp;" → "&amp;$C$36&amp;IF(INDEX(VIRMAN!$G$7:$G$406,$T607)="",""," – "&amp;INDEX(VIRMAN!$G$7:$G$406,$T607)))</f>
        <v>MERKEZ KASA → ÖMER KARTAL – KÂR PAYI / AVANS ÇEKİŞİ — Mayıs Ayı Kâr Payı Ödemesi — eski GELIR_GIDER satır 167</v>
      </c>
      <c r="P607" s="1" t="str">
        <f t="shared" si="102"/>
        <v>VİRMAN GELDİ</v>
      </c>
      <c r="Q607" s="1">
        <f>IF($N607="",0,INDEX(VIRMAN!$F$7:$F$406,$T607))</f>
        <v>109773</v>
      </c>
      <c r="R607" s="1">
        <v>0</v>
      </c>
      <c r="S607" s="1">
        <f t="shared" si="97"/>
        <v>4617300570</v>
      </c>
      <c r="T607" s="1">
        <f>IFERROR(MATCH($C$36&amp;"|34",VIRMAN!$K$7:$K$406,0),0)</f>
        <v>40</v>
      </c>
      <c r="V607" s="1">
        <f t="shared" si="98"/>
        <v>10000000000</v>
      </c>
      <c r="W607" s="1">
        <f t="shared" si="99"/>
        <v>9</v>
      </c>
    </row>
    <row r="608" spans="2:23" ht="14.25" customHeight="1" x14ac:dyDescent="0.3">
      <c r="B608" s="65" t="str">
        <f t="shared" si="91"/>
        <v/>
      </c>
      <c r="C608" s="70" t="str">
        <f t="shared" si="92"/>
        <v/>
      </c>
      <c r="D608" s="74" t="str">
        <f t="shared" si="93"/>
        <v/>
      </c>
      <c r="F608" s="65" t="str">
        <f t="shared" si="94"/>
        <v/>
      </c>
      <c r="G608" s="68" t="str">
        <f t="shared" si="95"/>
        <v/>
      </c>
      <c r="H608" s="68" t="str">
        <f t="shared" si="96"/>
        <v/>
      </c>
      <c r="I608" s="68" t="str">
        <f t="shared" si="100"/>
        <v/>
      </c>
      <c r="M608" s="1">
        <v>571</v>
      </c>
      <c r="N608" s="1">
        <f>IF($T608=0,"",INDEX(VIRMAN!$C$7:$C$406,$T608))</f>
        <v>46203</v>
      </c>
      <c r="O608" s="1" t="str">
        <f>IF($N608="","",INDEX(VIRMAN!$D$7:$D$406,$T608)&amp;" → "&amp;$C$36&amp;IF(INDEX(VIRMAN!$G$7:$G$406,$T608)="",""," – "&amp;INDEX(VIRMAN!$G$7:$G$406,$T608)))</f>
        <v>MERKEZ KASA → ÖMER KARTAL – KÂR PAYI / AVANS ÇEKİŞİ — Haziran Ayı Kâr Payı Ödemesi — eski GELIR_GIDER satır 184</v>
      </c>
      <c r="P608" s="1" t="str">
        <f t="shared" si="102"/>
        <v>VİRMAN GELDİ</v>
      </c>
      <c r="Q608" s="1">
        <f>IF($N608="",0,INDEX(VIRMAN!$F$7:$F$406,$T608))</f>
        <v>113720</v>
      </c>
      <c r="R608" s="1">
        <v>0</v>
      </c>
      <c r="S608" s="1">
        <f t="shared" si="97"/>
        <v>4620300571</v>
      </c>
      <c r="T608" s="1">
        <f>IFERROR(MATCH($C$36&amp;"|35",VIRMAN!$K$7:$K$406,0),0)</f>
        <v>42</v>
      </c>
      <c r="V608" s="1">
        <f t="shared" si="98"/>
        <v>10000000000</v>
      </c>
      <c r="W608" s="1">
        <f t="shared" si="99"/>
        <v>9</v>
      </c>
    </row>
    <row r="609" spans="2:23" ht="14.25" customHeight="1" x14ac:dyDescent="0.3">
      <c r="B609" s="65" t="str">
        <f t="shared" si="91"/>
        <v/>
      </c>
      <c r="C609" s="70" t="str">
        <f t="shared" si="92"/>
        <v/>
      </c>
      <c r="D609" s="74" t="str">
        <f t="shared" si="93"/>
        <v/>
      </c>
      <c r="F609" s="65" t="str">
        <f t="shared" si="94"/>
        <v/>
      </c>
      <c r="G609" s="68" t="str">
        <f t="shared" si="95"/>
        <v/>
      </c>
      <c r="H609" s="68" t="str">
        <f t="shared" si="96"/>
        <v/>
      </c>
      <c r="I609" s="68" t="str">
        <f t="shared" si="100"/>
        <v/>
      </c>
      <c r="M609" s="1">
        <v>572</v>
      </c>
      <c r="N609" s="1">
        <f>IF($T609=0,"",INDEX(VIRMAN!$C$7:$C$406,$T609))</f>
        <v>46234</v>
      </c>
      <c r="O609" s="1" t="str">
        <f>IF($N609="","",INDEX(VIRMAN!$D$7:$D$406,$T609)&amp;" → "&amp;$C$36&amp;IF(INDEX(VIRMAN!$G$7:$G$406,$T609)="",""," – "&amp;INDEX(VIRMAN!$G$7:$G$406,$T609)))</f>
        <v>MERKEZ KASA → ÖMER KARTAL – KÂR PAYI / AVANS ÇEKİŞİ — Temmuz Ayı Kâr Payı Ödemesi — eski GELIR_GIDER satır 196</v>
      </c>
      <c r="P609" s="1" t="str">
        <f t="shared" si="102"/>
        <v>VİRMAN GELDİ</v>
      </c>
      <c r="Q609" s="1">
        <f>IF($N609="",0,INDEX(VIRMAN!$F$7:$F$406,$T609))</f>
        <v>58370</v>
      </c>
      <c r="R609" s="1">
        <v>0</v>
      </c>
      <c r="S609" s="1">
        <f t="shared" si="97"/>
        <v>4623400572</v>
      </c>
      <c r="T609" s="1">
        <f>IFERROR(MATCH($C$36&amp;"|36",VIRMAN!$K$7:$K$406,0),0)</f>
        <v>44</v>
      </c>
      <c r="V609" s="1">
        <f t="shared" si="98"/>
        <v>10000000000</v>
      </c>
      <c r="W609" s="1">
        <f t="shared" si="99"/>
        <v>9</v>
      </c>
    </row>
    <row r="610" spans="2:23" ht="14.25" customHeight="1" x14ac:dyDescent="0.3">
      <c r="B610" s="65" t="str">
        <f t="shared" si="91"/>
        <v/>
      </c>
      <c r="C610" s="70" t="str">
        <f t="shared" si="92"/>
        <v/>
      </c>
      <c r="D610" s="74" t="str">
        <f t="shared" si="93"/>
        <v/>
      </c>
      <c r="F610" s="65" t="str">
        <f t="shared" si="94"/>
        <v/>
      </c>
      <c r="G610" s="68" t="str">
        <f t="shared" si="95"/>
        <v/>
      </c>
      <c r="H610" s="68" t="str">
        <f t="shared" si="96"/>
        <v/>
      </c>
      <c r="I610" s="68" t="str">
        <f t="shared" si="100"/>
        <v/>
      </c>
      <c r="M610" s="1">
        <v>573</v>
      </c>
      <c r="N610" s="1" t="str">
        <f>IF($T610=0,"",INDEX(VIRMAN!$C$7:$C$406,$T610))</f>
        <v/>
      </c>
      <c r="O610" s="1" t="str">
        <f>IF($N610="","",INDEX(VIRMAN!$D$7:$D$406,$T610)&amp;" → "&amp;$C$36&amp;IF(INDEX(VIRMAN!$G$7:$G$406,$T610)="",""," – "&amp;INDEX(VIRMAN!$G$7:$G$406,$T610)))</f>
        <v/>
      </c>
      <c r="P610" s="1" t="str">
        <f t="shared" si="102"/>
        <v/>
      </c>
      <c r="Q610" s="1">
        <f>IF($N610="",0,INDEX(VIRMAN!$F$7:$F$406,$T610))</f>
        <v>0</v>
      </c>
      <c r="R610" s="1">
        <v>0</v>
      </c>
      <c r="S610" s="1">
        <f t="shared" si="97"/>
        <v>10000000000</v>
      </c>
      <c r="T610" s="1">
        <f>IFERROR(MATCH($C$36&amp;"|37",VIRMAN!$K$7:$K$406,0),0)</f>
        <v>0</v>
      </c>
      <c r="V610" s="1">
        <f t="shared" si="98"/>
        <v>10000000000</v>
      </c>
      <c r="W610" s="1">
        <f t="shared" si="99"/>
        <v>9</v>
      </c>
    </row>
    <row r="611" spans="2:23" ht="14.25" customHeight="1" x14ac:dyDescent="0.3">
      <c r="B611" s="65" t="str">
        <f t="shared" si="91"/>
        <v/>
      </c>
      <c r="C611" s="70" t="str">
        <f t="shared" si="92"/>
        <v/>
      </c>
      <c r="D611" s="74" t="str">
        <f t="shared" si="93"/>
        <v/>
      </c>
      <c r="F611" s="65" t="str">
        <f t="shared" si="94"/>
        <v/>
      </c>
      <c r="G611" s="68" t="str">
        <f t="shared" si="95"/>
        <v/>
      </c>
      <c r="H611" s="68" t="str">
        <f t="shared" si="96"/>
        <v/>
      </c>
      <c r="I611" s="68" t="str">
        <f t="shared" si="100"/>
        <v/>
      </c>
      <c r="M611" s="1">
        <v>574</v>
      </c>
      <c r="N611" s="1" t="str">
        <f>IF($T611=0,"",INDEX(VIRMAN!$C$7:$C$406,$T611))</f>
        <v/>
      </c>
      <c r="O611" s="1" t="str">
        <f>IF($N611="","",INDEX(VIRMAN!$D$7:$D$406,$T611)&amp;" → "&amp;$C$36&amp;IF(INDEX(VIRMAN!$G$7:$G$406,$T611)="",""," – "&amp;INDEX(VIRMAN!$G$7:$G$406,$T611)))</f>
        <v/>
      </c>
      <c r="P611" s="1" t="str">
        <f t="shared" si="102"/>
        <v/>
      </c>
      <c r="Q611" s="1">
        <f>IF($N611="",0,INDEX(VIRMAN!$F$7:$F$406,$T611))</f>
        <v>0</v>
      </c>
      <c r="R611" s="1">
        <v>0</v>
      </c>
      <c r="S611" s="1">
        <f t="shared" si="97"/>
        <v>10000000000</v>
      </c>
      <c r="T611" s="1">
        <f>IFERROR(MATCH($C$36&amp;"|38",VIRMAN!$K$7:$K$406,0),0)</f>
        <v>0</v>
      </c>
      <c r="V611" s="1">
        <f t="shared" si="98"/>
        <v>10000000000</v>
      </c>
      <c r="W611" s="1">
        <f t="shared" si="99"/>
        <v>9</v>
      </c>
    </row>
    <row r="612" spans="2:23" ht="14.25" customHeight="1" x14ac:dyDescent="0.3">
      <c r="B612" s="65" t="str">
        <f t="shared" si="91"/>
        <v/>
      </c>
      <c r="C612" s="70" t="str">
        <f t="shared" si="92"/>
        <v/>
      </c>
      <c r="D612" s="74" t="str">
        <f t="shared" si="93"/>
        <v/>
      </c>
      <c r="F612" s="65" t="str">
        <f t="shared" si="94"/>
        <v/>
      </c>
      <c r="G612" s="68" t="str">
        <f t="shared" si="95"/>
        <v/>
      </c>
      <c r="H612" s="68" t="str">
        <f t="shared" si="96"/>
        <v/>
      </c>
      <c r="I612" s="68" t="str">
        <f t="shared" si="100"/>
        <v/>
      </c>
      <c r="M612" s="1">
        <v>575</v>
      </c>
      <c r="N612" s="1" t="str">
        <f>IF($T612=0,"",INDEX(VIRMAN!$C$7:$C$406,$T612))</f>
        <v/>
      </c>
      <c r="O612" s="1" t="str">
        <f>IF($N612="","",INDEX(VIRMAN!$D$7:$D$406,$T612)&amp;" → "&amp;$C$36&amp;IF(INDEX(VIRMAN!$G$7:$G$406,$T612)="",""," – "&amp;INDEX(VIRMAN!$G$7:$G$406,$T612)))</f>
        <v/>
      </c>
      <c r="P612" s="1" t="str">
        <f t="shared" si="102"/>
        <v/>
      </c>
      <c r="Q612" s="1">
        <f>IF($N612="",0,INDEX(VIRMAN!$F$7:$F$406,$T612))</f>
        <v>0</v>
      </c>
      <c r="R612" s="1">
        <v>0</v>
      </c>
      <c r="S612" s="1">
        <f t="shared" si="97"/>
        <v>10000000000</v>
      </c>
      <c r="T612" s="1">
        <f>IFERROR(MATCH($C$36&amp;"|39",VIRMAN!$K$7:$K$406,0),0)</f>
        <v>0</v>
      </c>
      <c r="V612" s="1">
        <f t="shared" si="98"/>
        <v>10000000000</v>
      </c>
      <c r="W612" s="1">
        <f t="shared" si="99"/>
        <v>9</v>
      </c>
    </row>
    <row r="613" spans="2:23" ht="14.25" customHeight="1" x14ac:dyDescent="0.3">
      <c r="B613" s="65" t="str">
        <f t="shared" si="91"/>
        <v/>
      </c>
      <c r="C613" s="70" t="str">
        <f t="shared" si="92"/>
        <v/>
      </c>
      <c r="D613" s="74" t="str">
        <f t="shared" si="93"/>
        <v/>
      </c>
      <c r="F613" s="65" t="str">
        <f t="shared" si="94"/>
        <v/>
      </c>
      <c r="G613" s="68" t="str">
        <f t="shared" si="95"/>
        <v/>
      </c>
      <c r="H613" s="68" t="str">
        <f t="shared" si="96"/>
        <v/>
      </c>
      <c r="I613" s="68" t="str">
        <f t="shared" si="100"/>
        <v/>
      </c>
      <c r="M613" s="1">
        <v>576</v>
      </c>
      <c r="N613" s="1" t="str">
        <f>IF($T613=0,"",INDEX(VIRMAN!$C$7:$C$406,$T613))</f>
        <v/>
      </c>
      <c r="O613" s="1" t="str">
        <f>IF($N613="","",INDEX(VIRMAN!$D$7:$D$406,$T613)&amp;" → "&amp;$C$36&amp;IF(INDEX(VIRMAN!$G$7:$G$406,$T613)="",""," – "&amp;INDEX(VIRMAN!$G$7:$G$406,$T613)))</f>
        <v/>
      </c>
      <c r="P613" s="1" t="str">
        <f t="shared" si="102"/>
        <v/>
      </c>
      <c r="Q613" s="1">
        <f>IF($N613="",0,INDEX(VIRMAN!$F$7:$F$406,$T613))</f>
        <v>0</v>
      </c>
      <c r="R613" s="1">
        <v>0</v>
      </c>
      <c r="S613" s="1">
        <f t="shared" si="97"/>
        <v>10000000000</v>
      </c>
      <c r="T613" s="1">
        <f>IFERROR(MATCH($C$36&amp;"|40",VIRMAN!$K$7:$K$406,0),0)</f>
        <v>0</v>
      </c>
      <c r="V613" s="1">
        <f t="shared" si="98"/>
        <v>10000000000</v>
      </c>
      <c r="W613" s="1">
        <f t="shared" si="99"/>
        <v>9</v>
      </c>
    </row>
    <row r="614" spans="2:23" ht="14.25" customHeight="1" x14ac:dyDescent="0.3">
      <c r="B614" s="65" t="str">
        <f t="shared" ref="B614:B677" si="103">IF($C614="","",ROW()-37)</f>
        <v/>
      </c>
      <c r="C614" s="70" t="str">
        <f t="shared" ref="C614:C677" si="104">IF($W614="","",IF(INDEX($N$38:$N$953,$W614)="","",INDEX($N$38:$N$953,$W614)))</f>
        <v/>
      </c>
      <c r="D614" s="74" t="str">
        <f t="shared" ref="D614:D677" si="105">IF($C614="","",INDEX($O$38:$O$953,$W614))</f>
        <v/>
      </c>
      <c r="F614" s="65" t="str">
        <f t="shared" ref="F614:F677" si="106">IF($C614="","",INDEX($P$38:$P$953,$W614))</f>
        <v/>
      </c>
      <c r="G614" s="68" t="str">
        <f t="shared" ref="G614:G677" si="107">IF($C614="","",INDEX($Q$38:$Q$953,$W614))</f>
        <v/>
      </c>
      <c r="H614" s="68" t="str">
        <f t="shared" ref="H614:H677" si="108">IF($C614="","",INDEX($R$38:$R$953,$W614))</f>
        <v/>
      </c>
      <c r="I614" s="68" t="str">
        <f t="shared" si="100"/>
        <v/>
      </c>
      <c r="M614" s="1">
        <v>577</v>
      </c>
      <c r="N614" s="1" t="str">
        <f>IF($T614=0,"",INDEX(VIRMAN!$C$7:$C$406,$T614))</f>
        <v/>
      </c>
      <c r="O614" s="1" t="str">
        <f>IF($N614="","",INDEX(VIRMAN!$D$7:$D$406,$T614)&amp;" → "&amp;$C$36&amp;IF(INDEX(VIRMAN!$G$7:$G$406,$T614)="",""," – "&amp;INDEX(VIRMAN!$G$7:$G$406,$T614)))</f>
        <v/>
      </c>
      <c r="P614" s="1" t="str">
        <f t="shared" si="102"/>
        <v/>
      </c>
      <c r="Q614" s="1">
        <f>IF($N614="",0,INDEX(VIRMAN!$F$7:$F$406,$T614))</f>
        <v>0</v>
      </c>
      <c r="R614" s="1">
        <v>0</v>
      </c>
      <c r="S614" s="1">
        <f t="shared" ref="S614:S677" si="109">IF($N614="",10000000000,$N614*100000+$M614)</f>
        <v>10000000000</v>
      </c>
      <c r="T614" s="1">
        <f>IFERROR(MATCH($C$36&amp;"|41",VIRMAN!$K$7:$K$406,0),0)</f>
        <v>0</v>
      </c>
      <c r="V614" s="1">
        <f t="shared" ref="V614:V677" si="110">IFERROR(SMALL($S$38:$S$953,ROW()-37),"")</f>
        <v>10000000000</v>
      </c>
      <c r="W614" s="1">
        <f t="shared" ref="W614:W677" si="111">IFERROR(MATCH($V614,$S$38:$S$953,0),"")</f>
        <v>9</v>
      </c>
    </row>
    <row r="615" spans="2:23" ht="14.25" customHeight="1" x14ac:dyDescent="0.3">
      <c r="B615" s="65" t="str">
        <f t="shared" si="103"/>
        <v/>
      </c>
      <c r="C615" s="70" t="str">
        <f t="shared" si="104"/>
        <v/>
      </c>
      <c r="D615" s="74" t="str">
        <f t="shared" si="105"/>
        <v/>
      </c>
      <c r="F615" s="65" t="str">
        <f t="shared" si="106"/>
        <v/>
      </c>
      <c r="G615" s="68" t="str">
        <f t="shared" si="107"/>
        <v/>
      </c>
      <c r="H615" s="68" t="str">
        <f t="shared" si="108"/>
        <v/>
      </c>
      <c r="I615" s="68" t="str">
        <f t="shared" ref="I615:I678" si="112">IF($C615="","",N($I614)+$G615-$H615)</f>
        <v/>
      </c>
      <c r="M615" s="1">
        <v>578</v>
      </c>
      <c r="N615" s="1" t="str">
        <f>IF($T615=0,"",INDEX(VIRMAN!$C$7:$C$406,$T615))</f>
        <v/>
      </c>
      <c r="O615" s="1" t="str">
        <f>IF($N615="","",INDEX(VIRMAN!$D$7:$D$406,$T615)&amp;" → "&amp;$C$36&amp;IF(INDEX(VIRMAN!$G$7:$G$406,$T615)="",""," – "&amp;INDEX(VIRMAN!$G$7:$G$406,$T615)))</f>
        <v/>
      </c>
      <c r="P615" s="1" t="str">
        <f t="shared" si="102"/>
        <v/>
      </c>
      <c r="Q615" s="1">
        <f>IF($N615="",0,INDEX(VIRMAN!$F$7:$F$406,$T615))</f>
        <v>0</v>
      </c>
      <c r="R615" s="1">
        <v>0</v>
      </c>
      <c r="S615" s="1">
        <f t="shared" si="109"/>
        <v>10000000000</v>
      </c>
      <c r="T615" s="1">
        <f>IFERROR(MATCH($C$36&amp;"|42",VIRMAN!$K$7:$K$406,0),0)</f>
        <v>0</v>
      </c>
      <c r="V615" s="1">
        <f t="shared" si="110"/>
        <v>10000000000</v>
      </c>
      <c r="W615" s="1">
        <f t="shared" si="111"/>
        <v>9</v>
      </c>
    </row>
    <row r="616" spans="2:23" ht="14.25" customHeight="1" x14ac:dyDescent="0.3">
      <c r="B616" s="65" t="str">
        <f t="shared" si="103"/>
        <v/>
      </c>
      <c r="C616" s="70" t="str">
        <f t="shared" si="104"/>
        <v/>
      </c>
      <c r="D616" s="74" t="str">
        <f t="shared" si="105"/>
        <v/>
      </c>
      <c r="F616" s="65" t="str">
        <f t="shared" si="106"/>
        <v/>
      </c>
      <c r="G616" s="68" t="str">
        <f t="shared" si="107"/>
        <v/>
      </c>
      <c r="H616" s="68" t="str">
        <f t="shared" si="108"/>
        <v/>
      </c>
      <c r="I616" s="68" t="str">
        <f t="shared" si="112"/>
        <v/>
      </c>
      <c r="M616" s="1">
        <v>579</v>
      </c>
      <c r="N616" s="1" t="str">
        <f>IF($T616=0,"",INDEX(VIRMAN!$C$7:$C$406,$T616))</f>
        <v/>
      </c>
      <c r="O616" s="1" t="str">
        <f>IF($N616="","",INDEX(VIRMAN!$D$7:$D$406,$T616)&amp;" → "&amp;$C$36&amp;IF(INDEX(VIRMAN!$G$7:$G$406,$T616)="",""," – "&amp;INDEX(VIRMAN!$G$7:$G$406,$T616)))</f>
        <v/>
      </c>
      <c r="P616" s="1" t="str">
        <f t="shared" si="102"/>
        <v/>
      </c>
      <c r="Q616" s="1">
        <f>IF($N616="",0,INDEX(VIRMAN!$F$7:$F$406,$T616))</f>
        <v>0</v>
      </c>
      <c r="R616" s="1">
        <v>0</v>
      </c>
      <c r="S616" s="1">
        <f t="shared" si="109"/>
        <v>10000000000</v>
      </c>
      <c r="T616" s="1">
        <f>IFERROR(MATCH($C$36&amp;"|43",VIRMAN!$K$7:$K$406,0),0)</f>
        <v>0</v>
      </c>
      <c r="V616" s="1">
        <f t="shared" si="110"/>
        <v>10000000000</v>
      </c>
      <c r="W616" s="1">
        <f t="shared" si="111"/>
        <v>9</v>
      </c>
    </row>
    <row r="617" spans="2:23" ht="14.25" customHeight="1" x14ac:dyDescent="0.3">
      <c r="B617" s="65" t="str">
        <f t="shared" si="103"/>
        <v/>
      </c>
      <c r="C617" s="70" t="str">
        <f t="shared" si="104"/>
        <v/>
      </c>
      <c r="D617" s="74" t="str">
        <f t="shared" si="105"/>
        <v/>
      </c>
      <c r="F617" s="65" t="str">
        <f t="shared" si="106"/>
        <v/>
      </c>
      <c r="G617" s="68" t="str">
        <f t="shared" si="107"/>
        <v/>
      </c>
      <c r="H617" s="68" t="str">
        <f t="shared" si="108"/>
        <v/>
      </c>
      <c r="I617" s="68" t="str">
        <f t="shared" si="112"/>
        <v/>
      </c>
      <c r="M617" s="1">
        <v>580</v>
      </c>
      <c r="N617" s="1" t="str">
        <f>IF($T617=0,"",INDEX(VIRMAN!$C$7:$C$406,$T617))</f>
        <v/>
      </c>
      <c r="O617" s="1" t="str">
        <f>IF($N617="","",INDEX(VIRMAN!$D$7:$D$406,$T617)&amp;" → "&amp;$C$36&amp;IF(INDEX(VIRMAN!$G$7:$G$406,$T617)="",""," – "&amp;INDEX(VIRMAN!$G$7:$G$406,$T617)))</f>
        <v/>
      </c>
      <c r="P617" s="1" t="str">
        <f t="shared" si="102"/>
        <v/>
      </c>
      <c r="Q617" s="1">
        <f>IF($N617="",0,INDEX(VIRMAN!$F$7:$F$406,$T617))</f>
        <v>0</v>
      </c>
      <c r="R617" s="1">
        <v>0</v>
      </c>
      <c r="S617" s="1">
        <f t="shared" si="109"/>
        <v>10000000000</v>
      </c>
      <c r="T617" s="1">
        <f>IFERROR(MATCH($C$36&amp;"|44",VIRMAN!$K$7:$K$406,0),0)</f>
        <v>0</v>
      </c>
      <c r="V617" s="1">
        <f t="shared" si="110"/>
        <v>10000000000</v>
      </c>
      <c r="W617" s="1">
        <f t="shared" si="111"/>
        <v>9</v>
      </c>
    </row>
    <row r="618" spans="2:23" ht="14.25" customHeight="1" x14ac:dyDescent="0.3">
      <c r="B618" s="65" t="str">
        <f t="shared" si="103"/>
        <v/>
      </c>
      <c r="C618" s="70" t="str">
        <f t="shared" si="104"/>
        <v/>
      </c>
      <c r="D618" s="74" t="str">
        <f t="shared" si="105"/>
        <v/>
      </c>
      <c r="F618" s="65" t="str">
        <f t="shared" si="106"/>
        <v/>
      </c>
      <c r="G618" s="68" t="str">
        <f t="shared" si="107"/>
        <v/>
      </c>
      <c r="H618" s="68" t="str">
        <f t="shared" si="108"/>
        <v/>
      </c>
      <c r="I618" s="68" t="str">
        <f t="shared" si="112"/>
        <v/>
      </c>
      <c r="M618" s="1">
        <v>581</v>
      </c>
      <c r="N618" s="1" t="str">
        <f>IF($T618=0,"",INDEX(VIRMAN!$C$7:$C$406,$T618))</f>
        <v/>
      </c>
      <c r="O618" s="1" t="str">
        <f>IF($N618="","",INDEX(VIRMAN!$D$7:$D$406,$T618)&amp;" → "&amp;$C$36&amp;IF(INDEX(VIRMAN!$G$7:$G$406,$T618)="",""," – "&amp;INDEX(VIRMAN!$G$7:$G$406,$T618)))</f>
        <v/>
      </c>
      <c r="P618" s="1" t="str">
        <f t="shared" si="102"/>
        <v/>
      </c>
      <c r="Q618" s="1">
        <f>IF($N618="",0,INDEX(VIRMAN!$F$7:$F$406,$T618))</f>
        <v>0</v>
      </c>
      <c r="R618" s="1">
        <v>0</v>
      </c>
      <c r="S618" s="1">
        <f t="shared" si="109"/>
        <v>10000000000</v>
      </c>
      <c r="T618" s="1">
        <f>IFERROR(MATCH($C$36&amp;"|45",VIRMAN!$K$7:$K$406,0),0)</f>
        <v>0</v>
      </c>
      <c r="V618" s="1">
        <f t="shared" si="110"/>
        <v>10000000000</v>
      </c>
      <c r="W618" s="1">
        <f t="shared" si="111"/>
        <v>9</v>
      </c>
    </row>
    <row r="619" spans="2:23" ht="14.25" customHeight="1" x14ac:dyDescent="0.3">
      <c r="B619" s="65" t="str">
        <f t="shared" si="103"/>
        <v/>
      </c>
      <c r="C619" s="70" t="str">
        <f t="shared" si="104"/>
        <v/>
      </c>
      <c r="D619" s="74" t="str">
        <f t="shared" si="105"/>
        <v/>
      </c>
      <c r="F619" s="65" t="str">
        <f t="shared" si="106"/>
        <v/>
      </c>
      <c r="G619" s="68" t="str">
        <f t="shared" si="107"/>
        <v/>
      </c>
      <c r="H619" s="68" t="str">
        <f t="shared" si="108"/>
        <v/>
      </c>
      <c r="I619" s="68" t="str">
        <f t="shared" si="112"/>
        <v/>
      </c>
      <c r="M619" s="1">
        <v>582</v>
      </c>
      <c r="N619" s="1" t="str">
        <f>IF($T619=0,"",INDEX(VIRMAN!$C$7:$C$406,$T619))</f>
        <v/>
      </c>
      <c r="O619" s="1" t="str">
        <f>IF($N619="","",INDEX(VIRMAN!$D$7:$D$406,$T619)&amp;" → "&amp;$C$36&amp;IF(INDEX(VIRMAN!$G$7:$G$406,$T619)="",""," – "&amp;INDEX(VIRMAN!$G$7:$G$406,$T619)))</f>
        <v/>
      </c>
      <c r="P619" s="1" t="str">
        <f t="shared" si="102"/>
        <v/>
      </c>
      <c r="Q619" s="1">
        <f>IF($N619="",0,INDEX(VIRMAN!$F$7:$F$406,$T619))</f>
        <v>0</v>
      </c>
      <c r="R619" s="1">
        <v>0</v>
      </c>
      <c r="S619" s="1">
        <f t="shared" si="109"/>
        <v>10000000000</v>
      </c>
      <c r="T619" s="1">
        <f>IFERROR(MATCH($C$36&amp;"|46",VIRMAN!$K$7:$K$406,0),0)</f>
        <v>0</v>
      </c>
      <c r="V619" s="1">
        <f t="shared" si="110"/>
        <v>10000000000</v>
      </c>
      <c r="W619" s="1">
        <f t="shared" si="111"/>
        <v>9</v>
      </c>
    </row>
    <row r="620" spans="2:23" ht="14.25" customHeight="1" x14ac:dyDescent="0.3">
      <c r="B620" s="65" t="str">
        <f t="shared" si="103"/>
        <v/>
      </c>
      <c r="C620" s="70" t="str">
        <f t="shared" si="104"/>
        <v/>
      </c>
      <c r="D620" s="74" t="str">
        <f t="shared" si="105"/>
        <v/>
      </c>
      <c r="F620" s="65" t="str">
        <f t="shared" si="106"/>
        <v/>
      </c>
      <c r="G620" s="68" t="str">
        <f t="shared" si="107"/>
        <v/>
      </c>
      <c r="H620" s="68" t="str">
        <f t="shared" si="108"/>
        <v/>
      </c>
      <c r="I620" s="68" t="str">
        <f t="shared" si="112"/>
        <v/>
      </c>
      <c r="M620" s="1">
        <v>583</v>
      </c>
      <c r="N620" s="1" t="str">
        <f>IF($T620=0,"",INDEX(VIRMAN!$C$7:$C$406,$T620))</f>
        <v/>
      </c>
      <c r="O620" s="1" t="str">
        <f>IF($N620="","",INDEX(VIRMAN!$D$7:$D$406,$T620)&amp;" → "&amp;$C$36&amp;IF(INDEX(VIRMAN!$G$7:$G$406,$T620)="",""," – "&amp;INDEX(VIRMAN!$G$7:$G$406,$T620)))</f>
        <v/>
      </c>
      <c r="P620" s="1" t="str">
        <f t="shared" si="102"/>
        <v/>
      </c>
      <c r="Q620" s="1">
        <f>IF($N620="",0,INDEX(VIRMAN!$F$7:$F$406,$T620))</f>
        <v>0</v>
      </c>
      <c r="R620" s="1">
        <v>0</v>
      </c>
      <c r="S620" s="1">
        <f t="shared" si="109"/>
        <v>10000000000</v>
      </c>
      <c r="T620" s="1">
        <f>IFERROR(MATCH($C$36&amp;"|47",VIRMAN!$K$7:$K$406,0),0)</f>
        <v>0</v>
      </c>
      <c r="V620" s="1">
        <f t="shared" si="110"/>
        <v>10000000000</v>
      </c>
      <c r="W620" s="1">
        <f t="shared" si="111"/>
        <v>9</v>
      </c>
    </row>
    <row r="621" spans="2:23" ht="14.25" customHeight="1" x14ac:dyDescent="0.3">
      <c r="B621" s="65" t="str">
        <f t="shared" si="103"/>
        <v/>
      </c>
      <c r="C621" s="70" t="str">
        <f t="shared" si="104"/>
        <v/>
      </c>
      <c r="D621" s="74" t="str">
        <f t="shared" si="105"/>
        <v/>
      </c>
      <c r="F621" s="65" t="str">
        <f t="shared" si="106"/>
        <v/>
      </c>
      <c r="G621" s="68" t="str">
        <f t="shared" si="107"/>
        <v/>
      </c>
      <c r="H621" s="68" t="str">
        <f t="shared" si="108"/>
        <v/>
      </c>
      <c r="I621" s="68" t="str">
        <f t="shared" si="112"/>
        <v/>
      </c>
      <c r="M621" s="1">
        <v>584</v>
      </c>
      <c r="N621" s="1" t="str">
        <f>IF($T621=0,"",INDEX(VIRMAN!$C$7:$C$406,$T621))</f>
        <v/>
      </c>
      <c r="O621" s="1" t="str">
        <f>IF($N621="","",INDEX(VIRMAN!$D$7:$D$406,$T621)&amp;" → "&amp;$C$36&amp;IF(INDEX(VIRMAN!$G$7:$G$406,$T621)="",""," – "&amp;INDEX(VIRMAN!$G$7:$G$406,$T621)))</f>
        <v/>
      </c>
      <c r="P621" s="1" t="str">
        <f t="shared" si="102"/>
        <v/>
      </c>
      <c r="Q621" s="1">
        <f>IF($N621="",0,INDEX(VIRMAN!$F$7:$F$406,$T621))</f>
        <v>0</v>
      </c>
      <c r="R621" s="1">
        <v>0</v>
      </c>
      <c r="S621" s="1">
        <f t="shared" si="109"/>
        <v>10000000000</v>
      </c>
      <c r="T621" s="1">
        <f>IFERROR(MATCH($C$36&amp;"|48",VIRMAN!$K$7:$K$406,0),0)</f>
        <v>0</v>
      </c>
      <c r="V621" s="1">
        <f t="shared" si="110"/>
        <v>10000000000</v>
      </c>
      <c r="W621" s="1">
        <f t="shared" si="111"/>
        <v>9</v>
      </c>
    </row>
    <row r="622" spans="2:23" ht="14.25" customHeight="1" x14ac:dyDescent="0.3">
      <c r="B622" s="65" t="str">
        <f t="shared" si="103"/>
        <v/>
      </c>
      <c r="C622" s="70" t="str">
        <f t="shared" si="104"/>
        <v/>
      </c>
      <c r="D622" s="74" t="str">
        <f t="shared" si="105"/>
        <v/>
      </c>
      <c r="F622" s="65" t="str">
        <f t="shared" si="106"/>
        <v/>
      </c>
      <c r="G622" s="68" t="str">
        <f t="shared" si="107"/>
        <v/>
      </c>
      <c r="H622" s="68" t="str">
        <f t="shared" si="108"/>
        <v/>
      </c>
      <c r="I622" s="68" t="str">
        <f t="shared" si="112"/>
        <v/>
      </c>
      <c r="M622" s="1">
        <v>585</v>
      </c>
      <c r="N622" s="1" t="str">
        <f>IF($T622=0,"",INDEX(VIRMAN!$C$7:$C$406,$T622))</f>
        <v/>
      </c>
      <c r="O622" s="1" t="str">
        <f>IF($N622="","",INDEX(VIRMAN!$D$7:$D$406,$T622)&amp;" → "&amp;$C$36&amp;IF(INDEX(VIRMAN!$G$7:$G$406,$T622)="",""," – "&amp;INDEX(VIRMAN!$G$7:$G$406,$T622)))</f>
        <v/>
      </c>
      <c r="P622" s="1" t="str">
        <f t="shared" si="102"/>
        <v/>
      </c>
      <c r="Q622" s="1">
        <f>IF($N622="",0,INDEX(VIRMAN!$F$7:$F$406,$T622))</f>
        <v>0</v>
      </c>
      <c r="R622" s="1">
        <v>0</v>
      </c>
      <c r="S622" s="1">
        <f t="shared" si="109"/>
        <v>10000000000</v>
      </c>
      <c r="T622" s="1">
        <f>IFERROR(MATCH($C$36&amp;"|49",VIRMAN!$K$7:$K$406,0),0)</f>
        <v>0</v>
      </c>
      <c r="V622" s="1">
        <f t="shared" si="110"/>
        <v>10000000000</v>
      </c>
      <c r="W622" s="1">
        <f t="shared" si="111"/>
        <v>9</v>
      </c>
    </row>
    <row r="623" spans="2:23" ht="14.25" customHeight="1" x14ac:dyDescent="0.3">
      <c r="B623" s="65" t="str">
        <f t="shared" si="103"/>
        <v/>
      </c>
      <c r="C623" s="70" t="str">
        <f t="shared" si="104"/>
        <v/>
      </c>
      <c r="D623" s="74" t="str">
        <f t="shared" si="105"/>
        <v/>
      </c>
      <c r="F623" s="65" t="str">
        <f t="shared" si="106"/>
        <v/>
      </c>
      <c r="G623" s="68" t="str">
        <f t="shared" si="107"/>
        <v/>
      </c>
      <c r="H623" s="68" t="str">
        <f t="shared" si="108"/>
        <v/>
      </c>
      <c r="I623" s="68" t="str">
        <f t="shared" si="112"/>
        <v/>
      </c>
      <c r="M623" s="1">
        <v>586</v>
      </c>
      <c r="N623" s="1" t="str">
        <f>IF($T623=0,"",INDEX(VIRMAN!$C$7:$C$406,$T623))</f>
        <v/>
      </c>
      <c r="O623" s="1" t="str">
        <f>IF($N623="","",INDEX(VIRMAN!$D$7:$D$406,$T623)&amp;" → "&amp;$C$36&amp;IF(INDEX(VIRMAN!$G$7:$G$406,$T623)="",""," – "&amp;INDEX(VIRMAN!$G$7:$G$406,$T623)))</f>
        <v/>
      </c>
      <c r="P623" s="1" t="str">
        <f t="shared" si="102"/>
        <v/>
      </c>
      <c r="Q623" s="1">
        <f>IF($N623="",0,INDEX(VIRMAN!$F$7:$F$406,$T623))</f>
        <v>0</v>
      </c>
      <c r="R623" s="1">
        <v>0</v>
      </c>
      <c r="S623" s="1">
        <f t="shared" si="109"/>
        <v>10000000000</v>
      </c>
      <c r="T623" s="1">
        <f>IFERROR(MATCH($C$36&amp;"|50",VIRMAN!$K$7:$K$406,0),0)</f>
        <v>0</v>
      </c>
      <c r="V623" s="1">
        <f t="shared" si="110"/>
        <v>10000000000</v>
      </c>
      <c r="W623" s="1">
        <f t="shared" si="111"/>
        <v>9</v>
      </c>
    </row>
    <row r="624" spans="2:23" ht="14.25" customHeight="1" x14ac:dyDescent="0.3">
      <c r="B624" s="65" t="str">
        <f t="shared" si="103"/>
        <v/>
      </c>
      <c r="C624" s="70" t="str">
        <f t="shared" si="104"/>
        <v/>
      </c>
      <c r="D624" s="74" t="str">
        <f t="shared" si="105"/>
        <v/>
      </c>
      <c r="F624" s="65" t="str">
        <f t="shared" si="106"/>
        <v/>
      </c>
      <c r="G624" s="68" t="str">
        <f t="shared" si="107"/>
        <v/>
      </c>
      <c r="H624" s="68" t="str">
        <f t="shared" si="108"/>
        <v/>
      </c>
      <c r="I624" s="68" t="str">
        <f t="shared" si="112"/>
        <v/>
      </c>
      <c r="M624" s="1">
        <v>587</v>
      </c>
      <c r="N624" s="1" t="str">
        <f>IF($T624=0,"",INDEX(VIRMAN!$C$7:$C$406,$T624))</f>
        <v/>
      </c>
      <c r="O624" s="1" t="str">
        <f>IF($N624="","",INDEX(VIRMAN!$D$7:$D$406,$T624)&amp;" → "&amp;$C$36&amp;IF(INDEX(VIRMAN!$G$7:$G$406,$T624)="",""," – "&amp;INDEX(VIRMAN!$G$7:$G$406,$T624)))</f>
        <v/>
      </c>
      <c r="P624" s="1" t="str">
        <f t="shared" si="102"/>
        <v/>
      </c>
      <c r="Q624" s="1">
        <f>IF($N624="",0,INDEX(VIRMAN!$F$7:$F$406,$T624))</f>
        <v>0</v>
      </c>
      <c r="R624" s="1">
        <v>0</v>
      </c>
      <c r="S624" s="1">
        <f t="shared" si="109"/>
        <v>10000000000</v>
      </c>
      <c r="T624" s="1">
        <f>IFERROR(MATCH($C$36&amp;"|51",VIRMAN!$K$7:$K$406,0),0)</f>
        <v>0</v>
      </c>
      <c r="V624" s="1">
        <f t="shared" si="110"/>
        <v>10000000000</v>
      </c>
      <c r="W624" s="1">
        <f t="shared" si="111"/>
        <v>9</v>
      </c>
    </row>
    <row r="625" spans="2:23" ht="14.25" customHeight="1" x14ac:dyDescent="0.3">
      <c r="B625" s="65" t="str">
        <f t="shared" si="103"/>
        <v/>
      </c>
      <c r="C625" s="70" t="str">
        <f t="shared" si="104"/>
        <v/>
      </c>
      <c r="D625" s="74" t="str">
        <f t="shared" si="105"/>
        <v/>
      </c>
      <c r="F625" s="65" t="str">
        <f t="shared" si="106"/>
        <v/>
      </c>
      <c r="G625" s="68" t="str">
        <f t="shared" si="107"/>
        <v/>
      </c>
      <c r="H625" s="68" t="str">
        <f t="shared" si="108"/>
        <v/>
      </c>
      <c r="I625" s="68" t="str">
        <f t="shared" si="112"/>
        <v/>
      </c>
      <c r="M625" s="1">
        <v>588</v>
      </c>
      <c r="N625" s="1" t="str">
        <f>IF($T625=0,"",INDEX(VIRMAN!$C$7:$C$406,$T625))</f>
        <v/>
      </c>
      <c r="O625" s="1" t="str">
        <f>IF($N625="","",INDEX(VIRMAN!$D$7:$D$406,$T625)&amp;" → "&amp;$C$36&amp;IF(INDEX(VIRMAN!$G$7:$G$406,$T625)="",""," – "&amp;INDEX(VIRMAN!$G$7:$G$406,$T625)))</f>
        <v/>
      </c>
      <c r="P625" s="1" t="str">
        <f t="shared" si="102"/>
        <v/>
      </c>
      <c r="Q625" s="1">
        <f>IF($N625="",0,INDEX(VIRMAN!$F$7:$F$406,$T625))</f>
        <v>0</v>
      </c>
      <c r="R625" s="1">
        <v>0</v>
      </c>
      <c r="S625" s="1">
        <f t="shared" si="109"/>
        <v>10000000000</v>
      </c>
      <c r="T625" s="1">
        <f>IFERROR(MATCH($C$36&amp;"|52",VIRMAN!$K$7:$K$406,0),0)</f>
        <v>0</v>
      </c>
      <c r="V625" s="1">
        <f t="shared" si="110"/>
        <v>10000000000</v>
      </c>
      <c r="W625" s="1">
        <f t="shared" si="111"/>
        <v>9</v>
      </c>
    </row>
    <row r="626" spans="2:23" ht="14.25" customHeight="1" x14ac:dyDescent="0.3">
      <c r="B626" s="65" t="str">
        <f t="shared" si="103"/>
        <v/>
      </c>
      <c r="C626" s="70" t="str">
        <f t="shared" si="104"/>
        <v/>
      </c>
      <c r="D626" s="74" t="str">
        <f t="shared" si="105"/>
        <v/>
      </c>
      <c r="F626" s="65" t="str">
        <f t="shared" si="106"/>
        <v/>
      </c>
      <c r="G626" s="68" t="str">
        <f t="shared" si="107"/>
        <v/>
      </c>
      <c r="H626" s="68" t="str">
        <f t="shared" si="108"/>
        <v/>
      </c>
      <c r="I626" s="68" t="str">
        <f t="shared" si="112"/>
        <v/>
      </c>
      <c r="M626" s="1">
        <v>589</v>
      </c>
      <c r="N626" s="1" t="str">
        <f>IF($T626=0,"",INDEX(VIRMAN!$C$7:$C$406,$T626))</f>
        <v/>
      </c>
      <c r="O626" s="1" t="str">
        <f>IF($N626="","",INDEX(VIRMAN!$D$7:$D$406,$T626)&amp;" → "&amp;$C$36&amp;IF(INDEX(VIRMAN!$G$7:$G$406,$T626)="",""," – "&amp;INDEX(VIRMAN!$G$7:$G$406,$T626)))</f>
        <v/>
      </c>
      <c r="P626" s="1" t="str">
        <f t="shared" si="102"/>
        <v/>
      </c>
      <c r="Q626" s="1">
        <f>IF($N626="",0,INDEX(VIRMAN!$F$7:$F$406,$T626))</f>
        <v>0</v>
      </c>
      <c r="R626" s="1">
        <v>0</v>
      </c>
      <c r="S626" s="1">
        <f t="shared" si="109"/>
        <v>10000000000</v>
      </c>
      <c r="T626" s="1">
        <f>IFERROR(MATCH($C$36&amp;"|53",VIRMAN!$K$7:$K$406,0),0)</f>
        <v>0</v>
      </c>
      <c r="V626" s="1">
        <f t="shared" si="110"/>
        <v>10000000000</v>
      </c>
      <c r="W626" s="1">
        <f t="shared" si="111"/>
        <v>9</v>
      </c>
    </row>
    <row r="627" spans="2:23" ht="14.25" customHeight="1" x14ac:dyDescent="0.3">
      <c r="B627" s="65" t="str">
        <f t="shared" si="103"/>
        <v/>
      </c>
      <c r="C627" s="70" t="str">
        <f t="shared" si="104"/>
        <v/>
      </c>
      <c r="D627" s="74" t="str">
        <f t="shared" si="105"/>
        <v/>
      </c>
      <c r="F627" s="65" t="str">
        <f t="shared" si="106"/>
        <v/>
      </c>
      <c r="G627" s="68" t="str">
        <f t="shared" si="107"/>
        <v/>
      </c>
      <c r="H627" s="68" t="str">
        <f t="shared" si="108"/>
        <v/>
      </c>
      <c r="I627" s="68" t="str">
        <f t="shared" si="112"/>
        <v/>
      </c>
      <c r="M627" s="1">
        <v>590</v>
      </c>
      <c r="N627" s="1" t="str">
        <f>IF($T627=0,"",INDEX(VIRMAN!$C$7:$C$406,$T627))</f>
        <v/>
      </c>
      <c r="O627" s="1" t="str">
        <f>IF($N627="","",INDEX(VIRMAN!$D$7:$D$406,$T627)&amp;" → "&amp;$C$36&amp;IF(INDEX(VIRMAN!$G$7:$G$406,$T627)="",""," – "&amp;INDEX(VIRMAN!$G$7:$G$406,$T627)))</f>
        <v/>
      </c>
      <c r="P627" s="1" t="str">
        <f t="shared" si="102"/>
        <v/>
      </c>
      <c r="Q627" s="1">
        <f>IF($N627="",0,INDEX(VIRMAN!$F$7:$F$406,$T627))</f>
        <v>0</v>
      </c>
      <c r="R627" s="1">
        <v>0</v>
      </c>
      <c r="S627" s="1">
        <f t="shared" si="109"/>
        <v>10000000000</v>
      </c>
      <c r="T627" s="1">
        <f>IFERROR(MATCH($C$36&amp;"|54",VIRMAN!$K$7:$K$406,0),0)</f>
        <v>0</v>
      </c>
      <c r="V627" s="1">
        <f t="shared" si="110"/>
        <v>10000000000</v>
      </c>
      <c r="W627" s="1">
        <f t="shared" si="111"/>
        <v>9</v>
      </c>
    </row>
    <row r="628" spans="2:23" ht="14.25" customHeight="1" x14ac:dyDescent="0.3">
      <c r="B628" s="65" t="str">
        <f t="shared" si="103"/>
        <v/>
      </c>
      <c r="C628" s="70" t="str">
        <f t="shared" si="104"/>
        <v/>
      </c>
      <c r="D628" s="74" t="str">
        <f t="shared" si="105"/>
        <v/>
      </c>
      <c r="F628" s="65" t="str">
        <f t="shared" si="106"/>
        <v/>
      </c>
      <c r="G628" s="68" t="str">
        <f t="shared" si="107"/>
        <v/>
      </c>
      <c r="H628" s="68" t="str">
        <f t="shared" si="108"/>
        <v/>
      </c>
      <c r="I628" s="68" t="str">
        <f t="shared" si="112"/>
        <v/>
      </c>
      <c r="M628" s="1">
        <v>591</v>
      </c>
      <c r="N628" s="1" t="str">
        <f>IF($T628=0,"",INDEX(VIRMAN!$C$7:$C$406,$T628))</f>
        <v/>
      </c>
      <c r="O628" s="1" t="str">
        <f>IF($N628="","",INDEX(VIRMAN!$D$7:$D$406,$T628)&amp;" → "&amp;$C$36&amp;IF(INDEX(VIRMAN!$G$7:$G$406,$T628)="",""," – "&amp;INDEX(VIRMAN!$G$7:$G$406,$T628)))</f>
        <v/>
      </c>
      <c r="P628" s="1" t="str">
        <f t="shared" si="102"/>
        <v/>
      </c>
      <c r="Q628" s="1">
        <f>IF($N628="",0,INDEX(VIRMAN!$F$7:$F$406,$T628))</f>
        <v>0</v>
      </c>
      <c r="R628" s="1">
        <v>0</v>
      </c>
      <c r="S628" s="1">
        <f t="shared" si="109"/>
        <v>10000000000</v>
      </c>
      <c r="T628" s="1">
        <f>IFERROR(MATCH($C$36&amp;"|55",VIRMAN!$K$7:$K$406,0),0)</f>
        <v>0</v>
      </c>
      <c r="V628" s="1">
        <f t="shared" si="110"/>
        <v>10000000000</v>
      </c>
      <c r="W628" s="1">
        <f t="shared" si="111"/>
        <v>9</v>
      </c>
    </row>
    <row r="629" spans="2:23" ht="14.25" customHeight="1" x14ac:dyDescent="0.3">
      <c r="B629" s="65" t="str">
        <f t="shared" si="103"/>
        <v/>
      </c>
      <c r="C629" s="70" t="str">
        <f t="shared" si="104"/>
        <v/>
      </c>
      <c r="D629" s="74" t="str">
        <f t="shared" si="105"/>
        <v/>
      </c>
      <c r="F629" s="65" t="str">
        <f t="shared" si="106"/>
        <v/>
      </c>
      <c r="G629" s="68" t="str">
        <f t="shared" si="107"/>
        <v/>
      </c>
      <c r="H629" s="68" t="str">
        <f t="shared" si="108"/>
        <v/>
      </c>
      <c r="I629" s="68" t="str">
        <f t="shared" si="112"/>
        <v/>
      </c>
      <c r="M629" s="1">
        <v>592</v>
      </c>
      <c r="N629" s="1" t="str">
        <f>IF($T629=0,"",INDEX(VIRMAN!$C$7:$C$406,$T629))</f>
        <v/>
      </c>
      <c r="O629" s="1" t="str">
        <f>IF($N629="","",INDEX(VIRMAN!$D$7:$D$406,$T629)&amp;" → "&amp;$C$36&amp;IF(INDEX(VIRMAN!$G$7:$G$406,$T629)="",""," – "&amp;INDEX(VIRMAN!$G$7:$G$406,$T629)))</f>
        <v/>
      </c>
      <c r="P629" s="1" t="str">
        <f t="shared" si="102"/>
        <v/>
      </c>
      <c r="Q629" s="1">
        <f>IF($N629="",0,INDEX(VIRMAN!$F$7:$F$406,$T629))</f>
        <v>0</v>
      </c>
      <c r="R629" s="1">
        <v>0</v>
      </c>
      <c r="S629" s="1">
        <f t="shared" si="109"/>
        <v>10000000000</v>
      </c>
      <c r="T629" s="1">
        <f>IFERROR(MATCH($C$36&amp;"|56",VIRMAN!$K$7:$K$406,0),0)</f>
        <v>0</v>
      </c>
      <c r="V629" s="1">
        <f t="shared" si="110"/>
        <v>10000000000</v>
      </c>
      <c r="W629" s="1">
        <f t="shared" si="111"/>
        <v>9</v>
      </c>
    </row>
    <row r="630" spans="2:23" ht="14.25" customHeight="1" x14ac:dyDescent="0.3">
      <c r="B630" s="65" t="str">
        <f t="shared" si="103"/>
        <v/>
      </c>
      <c r="C630" s="70" t="str">
        <f t="shared" si="104"/>
        <v/>
      </c>
      <c r="D630" s="74" t="str">
        <f t="shared" si="105"/>
        <v/>
      </c>
      <c r="F630" s="65" t="str">
        <f t="shared" si="106"/>
        <v/>
      </c>
      <c r="G630" s="68" t="str">
        <f t="shared" si="107"/>
        <v/>
      </c>
      <c r="H630" s="68" t="str">
        <f t="shared" si="108"/>
        <v/>
      </c>
      <c r="I630" s="68" t="str">
        <f t="shared" si="112"/>
        <v/>
      </c>
      <c r="M630" s="1">
        <v>593</v>
      </c>
      <c r="N630" s="1" t="str">
        <f>IF($T630=0,"",INDEX(VIRMAN!$C$7:$C$406,$T630))</f>
        <v/>
      </c>
      <c r="O630" s="1" t="str">
        <f>IF($N630="","",INDEX(VIRMAN!$D$7:$D$406,$T630)&amp;" → "&amp;$C$36&amp;IF(INDEX(VIRMAN!$G$7:$G$406,$T630)="",""," – "&amp;INDEX(VIRMAN!$G$7:$G$406,$T630)))</f>
        <v/>
      </c>
      <c r="P630" s="1" t="str">
        <f t="shared" si="102"/>
        <v/>
      </c>
      <c r="Q630" s="1">
        <f>IF($N630="",0,INDEX(VIRMAN!$F$7:$F$406,$T630))</f>
        <v>0</v>
      </c>
      <c r="R630" s="1">
        <v>0</v>
      </c>
      <c r="S630" s="1">
        <f t="shared" si="109"/>
        <v>10000000000</v>
      </c>
      <c r="T630" s="1">
        <f>IFERROR(MATCH($C$36&amp;"|57",VIRMAN!$K$7:$K$406,0),0)</f>
        <v>0</v>
      </c>
      <c r="V630" s="1">
        <f t="shared" si="110"/>
        <v>10000000000</v>
      </c>
      <c r="W630" s="1">
        <f t="shared" si="111"/>
        <v>9</v>
      </c>
    </row>
    <row r="631" spans="2:23" ht="14.25" customHeight="1" x14ac:dyDescent="0.3">
      <c r="B631" s="65" t="str">
        <f t="shared" si="103"/>
        <v/>
      </c>
      <c r="C631" s="70" t="str">
        <f t="shared" si="104"/>
        <v/>
      </c>
      <c r="D631" s="74" t="str">
        <f t="shared" si="105"/>
        <v/>
      </c>
      <c r="F631" s="65" t="str">
        <f t="shared" si="106"/>
        <v/>
      </c>
      <c r="G631" s="68" t="str">
        <f t="shared" si="107"/>
        <v/>
      </c>
      <c r="H631" s="68" t="str">
        <f t="shared" si="108"/>
        <v/>
      </c>
      <c r="I631" s="68" t="str">
        <f t="shared" si="112"/>
        <v/>
      </c>
      <c r="M631" s="1">
        <v>594</v>
      </c>
      <c r="N631" s="1" t="str">
        <f>IF($T631=0,"",INDEX(VIRMAN!$C$7:$C$406,$T631))</f>
        <v/>
      </c>
      <c r="O631" s="1" t="str">
        <f>IF($N631="","",INDEX(VIRMAN!$D$7:$D$406,$T631)&amp;" → "&amp;$C$36&amp;IF(INDEX(VIRMAN!$G$7:$G$406,$T631)="",""," – "&amp;INDEX(VIRMAN!$G$7:$G$406,$T631)))</f>
        <v/>
      </c>
      <c r="P631" s="1" t="str">
        <f t="shared" si="102"/>
        <v/>
      </c>
      <c r="Q631" s="1">
        <f>IF($N631="",0,INDEX(VIRMAN!$F$7:$F$406,$T631))</f>
        <v>0</v>
      </c>
      <c r="R631" s="1">
        <v>0</v>
      </c>
      <c r="S631" s="1">
        <f t="shared" si="109"/>
        <v>10000000000</v>
      </c>
      <c r="T631" s="1">
        <f>IFERROR(MATCH($C$36&amp;"|58",VIRMAN!$K$7:$K$406,0),0)</f>
        <v>0</v>
      </c>
      <c r="V631" s="1">
        <f t="shared" si="110"/>
        <v>10000000000</v>
      </c>
      <c r="W631" s="1">
        <f t="shared" si="111"/>
        <v>9</v>
      </c>
    </row>
    <row r="632" spans="2:23" ht="14.25" customHeight="1" x14ac:dyDescent="0.3">
      <c r="B632" s="65" t="str">
        <f t="shared" si="103"/>
        <v/>
      </c>
      <c r="C632" s="70" t="str">
        <f t="shared" si="104"/>
        <v/>
      </c>
      <c r="D632" s="74" t="str">
        <f t="shared" si="105"/>
        <v/>
      </c>
      <c r="F632" s="65" t="str">
        <f t="shared" si="106"/>
        <v/>
      </c>
      <c r="G632" s="68" t="str">
        <f t="shared" si="107"/>
        <v/>
      </c>
      <c r="H632" s="68" t="str">
        <f t="shared" si="108"/>
        <v/>
      </c>
      <c r="I632" s="68" t="str">
        <f t="shared" si="112"/>
        <v/>
      </c>
      <c r="M632" s="1">
        <v>595</v>
      </c>
      <c r="N632" s="1" t="str">
        <f>IF($T632=0,"",INDEX(VIRMAN!$C$7:$C$406,$T632))</f>
        <v/>
      </c>
      <c r="O632" s="1" t="str">
        <f>IF($N632="","",INDEX(VIRMAN!$D$7:$D$406,$T632)&amp;" → "&amp;$C$36&amp;IF(INDEX(VIRMAN!$G$7:$G$406,$T632)="",""," – "&amp;INDEX(VIRMAN!$G$7:$G$406,$T632)))</f>
        <v/>
      </c>
      <c r="P632" s="1" t="str">
        <f t="shared" si="102"/>
        <v/>
      </c>
      <c r="Q632" s="1">
        <f>IF($N632="",0,INDEX(VIRMAN!$F$7:$F$406,$T632))</f>
        <v>0</v>
      </c>
      <c r="R632" s="1">
        <v>0</v>
      </c>
      <c r="S632" s="1">
        <f t="shared" si="109"/>
        <v>10000000000</v>
      </c>
      <c r="T632" s="1">
        <f>IFERROR(MATCH($C$36&amp;"|59",VIRMAN!$K$7:$K$406,0),0)</f>
        <v>0</v>
      </c>
      <c r="V632" s="1">
        <f t="shared" si="110"/>
        <v>10000000000</v>
      </c>
      <c r="W632" s="1">
        <f t="shared" si="111"/>
        <v>9</v>
      </c>
    </row>
    <row r="633" spans="2:23" ht="14.25" customHeight="1" x14ac:dyDescent="0.3">
      <c r="B633" s="65" t="str">
        <f t="shared" si="103"/>
        <v/>
      </c>
      <c r="C633" s="70" t="str">
        <f t="shared" si="104"/>
        <v/>
      </c>
      <c r="D633" s="74" t="str">
        <f t="shared" si="105"/>
        <v/>
      </c>
      <c r="F633" s="65" t="str">
        <f t="shared" si="106"/>
        <v/>
      </c>
      <c r="G633" s="68" t="str">
        <f t="shared" si="107"/>
        <v/>
      </c>
      <c r="H633" s="68" t="str">
        <f t="shared" si="108"/>
        <v/>
      </c>
      <c r="I633" s="68" t="str">
        <f t="shared" si="112"/>
        <v/>
      </c>
      <c r="M633" s="1">
        <v>596</v>
      </c>
      <c r="N633" s="1" t="str">
        <f>IF($T633=0,"",INDEX(VIRMAN!$C$7:$C$406,$T633))</f>
        <v/>
      </c>
      <c r="O633" s="1" t="str">
        <f>IF($N633="","",INDEX(VIRMAN!$D$7:$D$406,$T633)&amp;" → "&amp;$C$36&amp;IF(INDEX(VIRMAN!$G$7:$G$406,$T633)="",""," – "&amp;INDEX(VIRMAN!$G$7:$G$406,$T633)))</f>
        <v/>
      </c>
      <c r="P633" s="1" t="str">
        <f t="shared" si="102"/>
        <v/>
      </c>
      <c r="Q633" s="1">
        <f>IF($N633="",0,INDEX(VIRMAN!$F$7:$F$406,$T633))</f>
        <v>0</v>
      </c>
      <c r="R633" s="1">
        <v>0</v>
      </c>
      <c r="S633" s="1">
        <f t="shared" si="109"/>
        <v>10000000000</v>
      </c>
      <c r="T633" s="1">
        <f>IFERROR(MATCH($C$36&amp;"|60",VIRMAN!$K$7:$K$406,0),0)</f>
        <v>0</v>
      </c>
      <c r="V633" s="1">
        <f t="shared" si="110"/>
        <v>10000000000</v>
      </c>
      <c r="W633" s="1">
        <f t="shared" si="111"/>
        <v>9</v>
      </c>
    </row>
    <row r="634" spans="2:23" ht="14.25" customHeight="1" x14ac:dyDescent="0.3">
      <c r="B634" s="65" t="str">
        <f t="shared" si="103"/>
        <v/>
      </c>
      <c r="C634" s="70" t="str">
        <f t="shared" si="104"/>
        <v/>
      </c>
      <c r="D634" s="74" t="str">
        <f t="shared" si="105"/>
        <v/>
      </c>
      <c r="F634" s="65" t="str">
        <f t="shared" si="106"/>
        <v/>
      </c>
      <c r="G634" s="68" t="str">
        <f t="shared" si="107"/>
        <v/>
      </c>
      <c r="H634" s="68" t="str">
        <f t="shared" si="108"/>
        <v/>
      </c>
      <c r="I634" s="68" t="str">
        <f t="shared" si="112"/>
        <v/>
      </c>
      <c r="M634" s="1">
        <v>597</v>
      </c>
      <c r="N634" s="1" t="str">
        <f>IF($T634=0,"",INDEX(VIRMAN!$C$7:$C$406,$T634))</f>
        <v/>
      </c>
      <c r="O634" s="1" t="str">
        <f>IF($N634="","",INDEX(VIRMAN!$D$7:$D$406,$T634)&amp;" → "&amp;$C$36&amp;IF(INDEX(VIRMAN!$G$7:$G$406,$T634)="",""," – "&amp;INDEX(VIRMAN!$G$7:$G$406,$T634)))</f>
        <v/>
      </c>
      <c r="P634" s="1" t="str">
        <f t="shared" si="102"/>
        <v/>
      </c>
      <c r="Q634" s="1">
        <f>IF($N634="",0,INDEX(VIRMAN!$F$7:$F$406,$T634))</f>
        <v>0</v>
      </c>
      <c r="R634" s="1">
        <v>0</v>
      </c>
      <c r="S634" s="1">
        <f t="shared" si="109"/>
        <v>10000000000</v>
      </c>
      <c r="T634" s="1">
        <f>IFERROR(MATCH($C$36&amp;"|61",VIRMAN!$K$7:$K$406,0),0)</f>
        <v>0</v>
      </c>
      <c r="V634" s="1">
        <f t="shared" si="110"/>
        <v>10000000000</v>
      </c>
      <c r="W634" s="1">
        <f t="shared" si="111"/>
        <v>9</v>
      </c>
    </row>
    <row r="635" spans="2:23" ht="14.25" customHeight="1" x14ac:dyDescent="0.3">
      <c r="B635" s="65" t="str">
        <f t="shared" si="103"/>
        <v/>
      </c>
      <c r="C635" s="70" t="str">
        <f t="shared" si="104"/>
        <v/>
      </c>
      <c r="D635" s="74" t="str">
        <f t="shared" si="105"/>
        <v/>
      </c>
      <c r="F635" s="65" t="str">
        <f t="shared" si="106"/>
        <v/>
      </c>
      <c r="G635" s="68" t="str">
        <f t="shared" si="107"/>
        <v/>
      </c>
      <c r="H635" s="68" t="str">
        <f t="shared" si="108"/>
        <v/>
      </c>
      <c r="I635" s="68" t="str">
        <f t="shared" si="112"/>
        <v/>
      </c>
      <c r="M635" s="1">
        <v>598</v>
      </c>
      <c r="N635" s="1" t="str">
        <f>IF($T635=0,"",INDEX(VIRMAN!$C$7:$C$406,$T635))</f>
        <v/>
      </c>
      <c r="O635" s="1" t="str">
        <f>IF($N635="","",INDEX(VIRMAN!$D$7:$D$406,$T635)&amp;" → "&amp;$C$36&amp;IF(INDEX(VIRMAN!$G$7:$G$406,$T635)="",""," – "&amp;INDEX(VIRMAN!$G$7:$G$406,$T635)))</f>
        <v/>
      </c>
      <c r="P635" s="1" t="str">
        <f t="shared" si="102"/>
        <v/>
      </c>
      <c r="Q635" s="1">
        <f>IF($N635="",0,INDEX(VIRMAN!$F$7:$F$406,$T635))</f>
        <v>0</v>
      </c>
      <c r="R635" s="1">
        <v>0</v>
      </c>
      <c r="S635" s="1">
        <f t="shared" si="109"/>
        <v>10000000000</v>
      </c>
      <c r="T635" s="1">
        <f>IFERROR(MATCH($C$36&amp;"|62",VIRMAN!$K$7:$K$406,0),0)</f>
        <v>0</v>
      </c>
      <c r="V635" s="1">
        <f t="shared" si="110"/>
        <v>10000000000</v>
      </c>
      <c r="W635" s="1">
        <f t="shared" si="111"/>
        <v>9</v>
      </c>
    </row>
    <row r="636" spans="2:23" ht="14.25" customHeight="1" x14ac:dyDescent="0.3">
      <c r="B636" s="65" t="str">
        <f t="shared" si="103"/>
        <v/>
      </c>
      <c r="C636" s="70" t="str">
        <f t="shared" si="104"/>
        <v/>
      </c>
      <c r="D636" s="74" t="str">
        <f t="shared" si="105"/>
        <v/>
      </c>
      <c r="F636" s="65" t="str">
        <f t="shared" si="106"/>
        <v/>
      </c>
      <c r="G636" s="68" t="str">
        <f t="shared" si="107"/>
        <v/>
      </c>
      <c r="H636" s="68" t="str">
        <f t="shared" si="108"/>
        <v/>
      </c>
      <c r="I636" s="68" t="str">
        <f t="shared" si="112"/>
        <v/>
      </c>
      <c r="M636" s="1">
        <v>599</v>
      </c>
      <c r="N636" s="1" t="str">
        <f>IF($T636=0,"",INDEX(VIRMAN!$C$7:$C$406,$T636))</f>
        <v/>
      </c>
      <c r="O636" s="1" t="str">
        <f>IF($N636="","",INDEX(VIRMAN!$D$7:$D$406,$T636)&amp;" → "&amp;$C$36&amp;IF(INDEX(VIRMAN!$G$7:$G$406,$T636)="",""," – "&amp;INDEX(VIRMAN!$G$7:$G$406,$T636)))</f>
        <v/>
      </c>
      <c r="P636" s="1" t="str">
        <f t="shared" si="102"/>
        <v/>
      </c>
      <c r="Q636" s="1">
        <f>IF($N636="",0,INDEX(VIRMAN!$F$7:$F$406,$T636))</f>
        <v>0</v>
      </c>
      <c r="R636" s="1">
        <v>0</v>
      </c>
      <c r="S636" s="1">
        <f t="shared" si="109"/>
        <v>10000000000</v>
      </c>
      <c r="T636" s="1">
        <f>IFERROR(MATCH($C$36&amp;"|63",VIRMAN!$K$7:$K$406,0),0)</f>
        <v>0</v>
      </c>
      <c r="V636" s="1">
        <f t="shared" si="110"/>
        <v>10000000000</v>
      </c>
      <c r="W636" s="1">
        <f t="shared" si="111"/>
        <v>9</v>
      </c>
    </row>
    <row r="637" spans="2:23" ht="14.25" customHeight="1" x14ac:dyDescent="0.3">
      <c r="B637" s="65" t="str">
        <f t="shared" si="103"/>
        <v/>
      </c>
      <c r="C637" s="70" t="str">
        <f t="shared" si="104"/>
        <v/>
      </c>
      <c r="D637" s="74" t="str">
        <f t="shared" si="105"/>
        <v/>
      </c>
      <c r="F637" s="65" t="str">
        <f t="shared" si="106"/>
        <v/>
      </c>
      <c r="G637" s="68" t="str">
        <f t="shared" si="107"/>
        <v/>
      </c>
      <c r="H637" s="68" t="str">
        <f t="shared" si="108"/>
        <v/>
      </c>
      <c r="I637" s="68" t="str">
        <f t="shared" si="112"/>
        <v/>
      </c>
      <c r="M637" s="1">
        <v>600</v>
      </c>
      <c r="N637" s="1" t="str">
        <f>IF($T637=0,"",INDEX(VIRMAN!$C$7:$C$406,$T637))</f>
        <v/>
      </c>
      <c r="O637" s="1" t="str">
        <f>IF($N637="","",INDEX(VIRMAN!$D$7:$D$406,$T637)&amp;" → "&amp;$C$36&amp;IF(INDEX(VIRMAN!$G$7:$G$406,$T637)="",""," – "&amp;INDEX(VIRMAN!$G$7:$G$406,$T637)))</f>
        <v/>
      </c>
      <c r="P637" s="1" t="str">
        <f t="shared" si="102"/>
        <v/>
      </c>
      <c r="Q637" s="1">
        <f>IF($N637="",0,INDEX(VIRMAN!$F$7:$F$406,$T637))</f>
        <v>0</v>
      </c>
      <c r="R637" s="1">
        <v>0</v>
      </c>
      <c r="S637" s="1">
        <f t="shared" si="109"/>
        <v>10000000000</v>
      </c>
      <c r="T637" s="1">
        <f>IFERROR(MATCH($C$36&amp;"|64",VIRMAN!$K$7:$K$406,0),0)</f>
        <v>0</v>
      </c>
      <c r="V637" s="1">
        <f t="shared" si="110"/>
        <v>10000000000</v>
      </c>
      <c r="W637" s="1">
        <f t="shared" si="111"/>
        <v>9</v>
      </c>
    </row>
    <row r="638" spans="2:23" ht="14.25" customHeight="1" x14ac:dyDescent="0.3">
      <c r="B638" s="65" t="str">
        <f t="shared" si="103"/>
        <v/>
      </c>
      <c r="C638" s="70" t="str">
        <f t="shared" si="104"/>
        <v/>
      </c>
      <c r="D638" s="74" t="str">
        <f t="shared" si="105"/>
        <v/>
      </c>
      <c r="F638" s="65" t="str">
        <f t="shared" si="106"/>
        <v/>
      </c>
      <c r="G638" s="68" t="str">
        <f t="shared" si="107"/>
        <v/>
      </c>
      <c r="H638" s="68" t="str">
        <f t="shared" si="108"/>
        <v/>
      </c>
      <c r="I638" s="68" t="str">
        <f t="shared" si="112"/>
        <v/>
      </c>
      <c r="M638" s="1">
        <v>601</v>
      </c>
      <c r="N638" s="1" t="str">
        <f>IF($T638=0,"",INDEX(VIRMAN!$C$7:$C$406,$T638))</f>
        <v/>
      </c>
      <c r="O638" s="1" t="str">
        <f>IF($N638="","",INDEX(VIRMAN!$D$7:$D$406,$T638)&amp;" → "&amp;$C$36&amp;IF(INDEX(VIRMAN!$G$7:$G$406,$T638)="",""," – "&amp;INDEX(VIRMAN!$G$7:$G$406,$T638)))</f>
        <v/>
      </c>
      <c r="P638" s="1" t="str">
        <f t="shared" ref="P638:P669" si="113">IF($N638="","","VİRMAN GELDİ")</f>
        <v/>
      </c>
      <c r="Q638" s="1">
        <f>IF($N638="",0,INDEX(VIRMAN!$F$7:$F$406,$T638))</f>
        <v>0</v>
      </c>
      <c r="R638" s="1">
        <v>0</v>
      </c>
      <c r="S638" s="1">
        <f t="shared" si="109"/>
        <v>10000000000</v>
      </c>
      <c r="T638" s="1">
        <f>IFERROR(MATCH($C$36&amp;"|65",VIRMAN!$K$7:$K$406,0),0)</f>
        <v>0</v>
      </c>
      <c r="V638" s="1">
        <f t="shared" si="110"/>
        <v>10000000000</v>
      </c>
      <c r="W638" s="1">
        <f t="shared" si="111"/>
        <v>9</v>
      </c>
    </row>
    <row r="639" spans="2:23" ht="14.25" customHeight="1" x14ac:dyDescent="0.3">
      <c r="B639" s="65" t="str">
        <f t="shared" si="103"/>
        <v/>
      </c>
      <c r="C639" s="70" t="str">
        <f t="shared" si="104"/>
        <v/>
      </c>
      <c r="D639" s="74" t="str">
        <f t="shared" si="105"/>
        <v/>
      </c>
      <c r="F639" s="65" t="str">
        <f t="shared" si="106"/>
        <v/>
      </c>
      <c r="G639" s="68" t="str">
        <f t="shared" si="107"/>
        <v/>
      </c>
      <c r="H639" s="68" t="str">
        <f t="shared" si="108"/>
        <v/>
      </c>
      <c r="I639" s="68" t="str">
        <f t="shared" si="112"/>
        <v/>
      </c>
      <c r="M639" s="1">
        <v>602</v>
      </c>
      <c r="N639" s="1" t="str">
        <f>IF($T639=0,"",INDEX(VIRMAN!$C$7:$C$406,$T639))</f>
        <v/>
      </c>
      <c r="O639" s="1" t="str">
        <f>IF($N639="","",INDEX(VIRMAN!$D$7:$D$406,$T639)&amp;" → "&amp;$C$36&amp;IF(INDEX(VIRMAN!$G$7:$G$406,$T639)="",""," – "&amp;INDEX(VIRMAN!$G$7:$G$406,$T639)))</f>
        <v/>
      </c>
      <c r="P639" s="1" t="str">
        <f t="shared" si="113"/>
        <v/>
      </c>
      <c r="Q639" s="1">
        <f>IF($N639="",0,INDEX(VIRMAN!$F$7:$F$406,$T639))</f>
        <v>0</v>
      </c>
      <c r="R639" s="1">
        <v>0</v>
      </c>
      <c r="S639" s="1">
        <f t="shared" si="109"/>
        <v>10000000000</v>
      </c>
      <c r="T639" s="1">
        <f>IFERROR(MATCH($C$36&amp;"|66",VIRMAN!$K$7:$K$406,0),0)</f>
        <v>0</v>
      </c>
      <c r="V639" s="1">
        <f t="shared" si="110"/>
        <v>10000000000</v>
      </c>
      <c r="W639" s="1">
        <f t="shared" si="111"/>
        <v>9</v>
      </c>
    </row>
    <row r="640" spans="2:23" ht="14.25" customHeight="1" x14ac:dyDescent="0.3">
      <c r="B640" s="65" t="str">
        <f t="shared" si="103"/>
        <v/>
      </c>
      <c r="C640" s="70" t="str">
        <f t="shared" si="104"/>
        <v/>
      </c>
      <c r="D640" s="74" t="str">
        <f t="shared" si="105"/>
        <v/>
      </c>
      <c r="F640" s="65" t="str">
        <f t="shared" si="106"/>
        <v/>
      </c>
      <c r="G640" s="68" t="str">
        <f t="shared" si="107"/>
        <v/>
      </c>
      <c r="H640" s="68" t="str">
        <f t="shared" si="108"/>
        <v/>
      </c>
      <c r="I640" s="68" t="str">
        <f t="shared" si="112"/>
        <v/>
      </c>
      <c r="M640" s="1">
        <v>603</v>
      </c>
      <c r="N640" s="1" t="str">
        <f>IF($T640=0,"",INDEX(VIRMAN!$C$7:$C$406,$T640))</f>
        <v/>
      </c>
      <c r="O640" s="1" t="str">
        <f>IF($N640="","",INDEX(VIRMAN!$D$7:$D$406,$T640)&amp;" → "&amp;$C$36&amp;IF(INDEX(VIRMAN!$G$7:$G$406,$T640)="",""," – "&amp;INDEX(VIRMAN!$G$7:$G$406,$T640)))</f>
        <v/>
      </c>
      <c r="P640" s="1" t="str">
        <f t="shared" si="113"/>
        <v/>
      </c>
      <c r="Q640" s="1">
        <f>IF($N640="",0,INDEX(VIRMAN!$F$7:$F$406,$T640))</f>
        <v>0</v>
      </c>
      <c r="R640" s="1">
        <v>0</v>
      </c>
      <c r="S640" s="1">
        <f t="shared" si="109"/>
        <v>10000000000</v>
      </c>
      <c r="T640" s="1">
        <f>IFERROR(MATCH($C$36&amp;"|67",VIRMAN!$K$7:$K$406,0),0)</f>
        <v>0</v>
      </c>
      <c r="V640" s="1">
        <f t="shared" si="110"/>
        <v>10000000000</v>
      </c>
      <c r="W640" s="1">
        <f t="shared" si="111"/>
        <v>9</v>
      </c>
    </row>
    <row r="641" spans="2:23" ht="14.25" customHeight="1" x14ac:dyDescent="0.3">
      <c r="B641" s="65" t="str">
        <f t="shared" si="103"/>
        <v/>
      </c>
      <c r="C641" s="70" t="str">
        <f t="shared" si="104"/>
        <v/>
      </c>
      <c r="D641" s="74" t="str">
        <f t="shared" si="105"/>
        <v/>
      </c>
      <c r="F641" s="65" t="str">
        <f t="shared" si="106"/>
        <v/>
      </c>
      <c r="G641" s="68" t="str">
        <f t="shared" si="107"/>
        <v/>
      </c>
      <c r="H641" s="68" t="str">
        <f t="shared" si="108"/>
        <v/>
      </c>
      <c r="I641" s="68" t="str">
        <f t="shared" si="112"/>
        <v/>
      </c>
      <c r="M641" s="1">
        <v>604</v>
      </c>
      <c r="N641" s="1" t="str">
        <f>IF($T641=0,"",INDEX(VIRMAN!$C$7:$C$406,$T641))</f>
        <v/>
      </c>
      <c r="O641" s="1" t="str">
        <f>IF($N641="","",INDEX(VIRMAN!$D$7:$D$406,$T641)&amp;" → "&amp;$C$36&amp;IF(INDEX(VIRMAN!$G$7:$G$406,$T641)="",""," – "&amp;INDEX(VIRMAN!$G$7:$G$406,$T641)))</f>
        <v/>
      </c>
      <c r="P641" s="1" t="str">
        <f t="shared" si="113"/>
        <v/>
      </c>
      <c r="Q641" s="1">
        <f>IF($N641="",0,INDEX(VIRMAN!$F$7:$F$406,$T641))</f>
        <v>0</v>
      </c>
      <c r="R641" s="1">
        <v>0</v>
      </c>
      <c r="S641" s="1">
        <f t="shared" si="109"/>
        <v>10000000000</v>
      </c>
      <c r="T641" s="1">
        <f>IFERROR(MATCH($C$36&amp;"|68",VIRMAN!$K$7:$K$406,0),0)</f>
        <v>0</v>
      </c>
      <c r="V641" s="1">
        <f t="shared" si="110"/>
        <v>10000000000</v>
      </c>
      <c r="W641" s="1">
        <f t="shared" si="111"/>
        <v>9</v>
      </c>
    </row>
    <row r="642" spans="2:23" ht="14.25" customHeight="1" x14ac:dyDescent="0.3">
      <c r="B642" s="65" t="str">
        <f t="shared" si="103"/>
        <v/>
      </c>
      <c r="C642" s="70" t="str">
        <f t="shared" si="104"/>
        <v/>
      </c>
      <c r="D642" s="74" t="str">
        <f t="shared" si="105"/>
        <v/>
      </c>
      <c r="F642" s="65" t="str">
        <f t="shared" si="106"/>
        <v/>
      </c>
      <c r="G642" s="68" t="str">
        <f t="shared" si="107"/>
        <v/>
      </c>
      <c r="H642" s="68" t="str">
        <f t="shared" si="108"/>
        <v/>
      </c>
      <c r="I642" s="68" t="str">
        <f t="shared" si="112"/>
        <v/>
      </c>
      <c r="M642" s="1">
        <v>605</v>
      </c>
      <c r="N642" s="1" t="str">
        <f>IF($T642=0,"",INDEX(VIRMAN!$C$7:$C$406,$T642))</f>
        <v/>
      </c>
      <c r="O642" s="1" t="str">
        <f>IF($N642="","",INDEX(VIRMAN!$D$7:$D$406,$T642)&amp;" → "&amp;$C$36&amp;IF(INDEX(VIRMAN!$G$7:$G$406,$T642)="",""," – "&amp;INDEX(VIRMAN!$G$7:$G$406,$T642)))</f>
        <v/>
      </c>
      <c r="P642" s="1" t="str">
        <f t="shared" si="113"/>
        <v/>
      </c>
      <c r="Q642" s="1">
        <f>IF($N642="",0,INDEX(VIRMAN!$F$7:$F$406,$T642))</f>
        <v>0</v>
      </c>
      <c r="R642" s="1">
        <v>0</v>
      </c>
      <c r="S642" s="1">
        <f t="shared" si="109"/>
        <v>10000000000</v>
      </c>
      <c r="T642" s="1">
        <f>IFERROR(MATCH($C$36&amp;"|69",VIRMAN!$K$7:$K$406,0),0)</f>
        <v>0</v>
      </c>
      <c r="V642" s="1">
        <f t="shared" si="110"/>
        <v>10000000000</v>
      </c>
      <c r="W642" s="1">
        <f t="shared" si="111"/>
        <v>9</v>
      </c>
    </row>
    <row r="643" spans="2:23" ht="14.25" customHeight="1" x14ac:dyDescent="0.3">
      <c r="B643" s="65" t="str">
        <f t="shared" si="103"/>
        <v/>
      </c>
      <c r="C643" s="70" t="str">
        <f t="shared" si="104"/>
        <v/>
      </c>
      <c r="D643" s="74" t="str">
        <f t="shared" si="105"/>
        <v/>
      </c>
      <c r="F643" s="65" t="str">
        <f t="shared" si="106"/>
        <v/>
      </c>
      <c r="G643" s="68" t="str">
        <f t="shared" si="107"/>
        <v/>
      </c>
      <c r="H643" s="68" t="str">
        <f t="shared" si="108"/>
        <v/>
      </c>
      <c r="I643" s="68" t="str">
        <f t="shared" si="112"/>
        <v/>
      </c>
      <c r="M643" s="1">
        <v>606</v>
      </c>
      <c r="N643" s="1" t="str">
        <f>IF($T643=0,"",INDEX(VIRMAN!$C$7:$C$406,$T643))</f>
        <v/>
      </c>
      <c r="O643" s="1" t="str">
        <f>IF($N643="","",INDEX(VIRMAN!$D$7:$D$406,$T643)&amp;" → "&amp;$C$36&amp;IF(INDEX(VIRMAN!$G$7:$G$406,$T643)="",""," – "&amp;INDEX(VIRMAN!$G$7:$G$406,$T643)))</f>
        <v/>
      </c>
      <c r="P643" s="1" t="str">
        <f t="shared" si="113"/>
        <v/>
      </c>
      <c r="Q643" s="1">
        <f>IF($N643="",0,INDEX(VIRMAN!$F$7:$F$406,$T643))</f>
        <v>0</v>
      </c>
      <c r="R643" s="1">
        <v>0</v>
      </c>
      <c r="S643" s="1">
        <f t="shared" si="109"/>
        <v>10000000000</v>
      </c>
      <c r="T643" s="1">
        <f>IFERROR(MATCH($C$36&amp;"|70",VIRMAN!$K$7:$K$406,0),0)</f>
        <v>0</v>
      </c>
      <c r="V643" s="1">
        <f t="shared" si="110"/>
        <v>10000000000</v>
      </c>
      <c r="W643" s="1">
        <f t="shared" si="111"/>
        <v>9</v>
      </c>
    </row>
    <row r="644" spans="2:23" ht="14.25" customHeight="1" x14ac:dyDescent="0.3">
      <c r="B644" s="65" t="str">
        <f t="shared" si="103"/>
        <v/>
      </c>
      <c r="C644" s="70" t="str">
        <f t="shared" si="104"/>
        <v/>
      </c>
      <c r="D644" s="74" t="str">
        <f t="shared" si="105"/>
        <v/>
      </c>
      <c r="F644" s="65" t="str">
        <f t="shared" si="106"/>
        <v/>
      </c>
      <c r="G644" s="68" t="str">
        <f t="shared" si="107"/>
        <v/>
      </c>
      <c r="H644" s="68" t="str">
        <f t="shared" si="108"/>
        <v/>
      </c>
      <c r="I644" s="68" t="str">
        <f t="shared" si="112"/>
        <v/>
      </c>
      <c r="M644" s="1">
        <v>607</v>
      </c>
      <c r="N644" s="1" t="str">
        <f>IF($T644=0,"",INDEX(VIRMAN!$C$7:$C$406,$T644))</f>
        <v/>
      </c>
      <c r="O644" s="1" t="str">
        <f>IF($N644="","",INDEX(VIRMAN!$D$7:$D$406,$T644)&amp;" → "&amp;$C$36&amp;IF(INDEX(VIRMAN!$G$7:$G$406,$T644)="",""," – "&amp;INDEX(VIRMAN!$G$7:$G$406,$T644)))</f>
        <v/>
      </c>
      <c r="P644" s="1" t="str">
        <f t="shared" si="113"/>
        <v/>
      </c>
      <c r="Q644" s="1">
        <f>IF($N644="",0,INDEX(VIRMAN!$F$7:$F$406,$T644))</f>
        <v>0</v>
      </c>
      <c r="R644" s="1">
        <v>0</v>
      </c>
      <c r="S644" s="1">
        <f t="shared" si="109"/>
        <v>10000000000</v>
      </c>
      <c r="T644" s="1">
        <f>IFERROR(MATCH($C$36&amp;"|71",VIRMAN!$K$7:$K$406,0),0)</f>
        <v>0</v>
      </c>
      <c r="V644" s="1">
        <f t="shared" si="110"/>
        <v>10000000000</v>
      </c>
      <c r="W644" s="1">
        <f t="shared" si="111"/>
        <v>9</v>
      </c>
    </row>
    <row r="645" spans="2:23" ht="14.25" customHeight="1" x14ac:dyDescent="0.3">
      <c r="B645" s="65" t="str">
        <f t="shared" si="103"/>
        <v/>
      </c>
      <c r="C645" s="70" t="str">
        <f t="shared" si="104"/>
        <v/>
      </c>
      <c r="D645" s="74" t="str">
        <f t="shared" si="105"/>
        <v/>
      </c>
      <c r="F645" s="65" t="str">
        <f t="shared" si="106"/>
        <v/>
      </c>
      <c r="G645" s="68" t="str">
        <f t="shared" si="107"/>
        <v/>
      </c>
      <c r="H645" s="68" t="str">
        <f t="shared" si="108"/>
        <v/>
      </c>
      <c r="I645" s="68" t="str">
        <f t="shared" si="112"/>
        <v/>
      </c>
      <c r="M645" s="1">
        <v>608</v>
      </c>
      <c r="N645" s="1" t="str">
        <f>IF($T645=0,"",INDEX(VIRMAN!$C$7:$C$406,$T645))</f>
        <v/>
      </c>
      <c r="O645" s="1" t="str">
        <f>IF($N645="","",INDEX(VIRMAN!$D$7:$D$406,$T645)&amp;" → "&amp;$C$36&amp;IF(INDEX(VIRMAN!$G$7:$G$406,$T645)="",""," – "&amp;INDEX(VIRMAN!$G$7:$G$406,$T645)))</f>
        <v/>
      </c>
      <c r="P645" s="1" t="str">
        <f t="shared" si="113"/>
        <v/>
      </c>
      <c r="Q645" s="1">
        <f>IF($N645="",0,INDEX(VIRMAN!$F$7:$F$406,$T645))</f>
        <v>0</v>
      </c>
      <c r="R645" s="1">
        <v>0</v>
      </c>
      <c r="S645" s="1">
        <f t="shared" si="109"/>
        <v>10000000000</v>
      </c>
      <c r="T645" s="1">
        <f>IFERROR(MATCH($C$36&amp;"|72",VIRMAN!$K$7:$K$406,0),0)</f>
        <v>0</v>
      </c>
      <c r="V645" s="1">
        <f t="shared" si="110"/>
        <v>10000000000</v>
      </c>
      <c r="W645" s="1">
        <f t="shared" si="111"/>
        <v>9</v>
      </c>
    </row>
    <row r="646" spans="2:23" ht="14.25" customHeight="1" x14ac:dyDescent="0.3">
      <c r="B646" s="65" t="str">
        <f t="shared" si="103"/>
        <v/>
      </c>
      <c r="C646" s="70" t="str">
        <f t="shared" si="104"/>
        <v/>
      </c>
      <c r="D646" s="74" t="str">
        <f t="shared" si="105"/>
        <v/>
      </c>
      <c r="F646" s="65" t="str">
        <f t="shared" si="106"/>
        <v/>
      </c>
      <c r="G646" s="68" t="str">
        <f t="shared" si="107"/>
        <v/>
      </c>
      <c r="H646" s="68" t="str">
        <f t="shared" si="108"/>
        <v/>
      </c>
      <c r="I646" s="68" t="str">
        <f t="shared" si="112"/>
        <v/>
      </c>
      <c r="M646" s="1">
        <v>609</v>
      </c>
      <c r="N646" s="1" t="str">
        <f>IF($T646=0,"",INDEX(VIRMAN!$C$7:$C$406,$T646))</f>
        <v/>
      </c>
      <c r="O646" s="1" t="str">
        <f>IF($N646="","",INDEX(VIRMAN!$D$7:$D$406,$T646)&amp;" → "&amp;$C$36&amp;IF(INDEX(VIRMAN!$G$7:$G$406,$T646)="",""," – "&amp;INDEX(VIRMAN!$G$7:$G$406,$T646)))</f>
        <v/>
      </c>
      <c r="P646" s="1" t="str">
        <f t="shared" si="113"/>
        <v/>
      </c>
      <c r="Q646" s="1">
        <f>IF($N646="",0,INDEX(VIRMAN!$F$7:$F$406,$T646))</f>
        <v>0</v>
      </c>
      <c r="R646" s="1">
        <v>0</v>
      </c>
      <c r="S646" s="1">
        <f t="shared" si="109"/>
        <v>10000000000</v>
      </c>
      <c r="T646" s="1">
        <f>IFERROR(MATCH($C$36&amp;"|73",VIRMAN!$K$7:$K$406,0),0)</f>
        <v>0</v>
      </c>
      <c r="V646" s="1">
        <f t="shared" si="110"/>
        <v>10000000000</v>
      </c>
      <c r="W646" s="1">
        <f t="shared" si="111"/>
        <v>9</v>
      </c>
    </row>
    <row r="647" spans="2:23" ht="14.25" customHeight="1" x14ac:dyDescent="0.3">
      <c r="B647" s="65" t="str">
        <f t="shared" si="103"/>
        <v/>
      </c>
      <c r="C647" s="70" t="str">
        <f t="shared" si="104"/>
        <v/>
      </c>
      <c r="D647" s="74" t="str">
        <f t="shared" si="105"/>
        <v/>
      </c>
      <c r="F647" s="65" t="str">
        <f t="shared" si="106"/>
        <v/>
      </c>
      <c r="G647" s="68" t="str">
        <f t="shared" si="107"/>
        <v/>
      </c>
      <c r="H647" s="68" t="str">
        <f t="shared" si="108"/>
        <v/>
      </c>
      <c r="I647" s="68" t="str">
        <f t="shared" si="112"/>
        <v/>
      </c>
      <c r="M647" s="1">
        <v>610</v>
      </c>
      <c r="N647" s="1" t="str">
        <f>IF($T647=0,"",INDEX(VIRMAN!$C$7:$C$406,$T647))</f>
        <v/>
      </c>
      <c r="O647" s="1" t="str">
        <f>IF($N647="","",INDEX(VIRMAN!$D$7:$D$406,$T647)&amp;" → "&amp;$C$36&amp;IF(INDEX(VIRMAN!$G$7:$G$406,$T647)="",""," – "&amp;INDEX(VIRMAN!$G$7:$G$406,$T647)))</f>
        <v/>
      </c>
      <c r="P647" s="1" t="str">
        <f t="shared" si="113"/>
        <v/>
      </c>
      <c r="Q647" s="1">
        <f>IF($N647="",0,INDEX(VIRMAN!$F$7:$F$406,$T647))</f>
        <v>0</v>
      </c>
      <c r="R647" s="1">
        <v>0</v>
      </c>
      <c r="S647" s="1">
        <f t="shared" si="109"/>
        <v>10000000000</v>
      </c>
      <c r="T647" s="1">
        <f>IFERROR(MATCH($C$36&amp;"|74",VIRMAN!$K$7:$K$406,0),0)</f>
        <v>0</v>
      </c>
      <c r="V647" s="1">
        <f t="shared" si="110"/>
        <v>10000000000</v>
      </c>
      <c r="W647" s="1">
        <f t="shared" si="111"/>
        <v>9</v>
      </c>
    </row>
    <row r="648" spans="2:23" ht="14.25" customHeight="1" x14ac:dyDescent="0.3">
      <c r="B648" s="65" t="str">
        <f t="shared" si="103"/>
        <v/>
      </c>
      <c r="C648" s="70" t="str">
        <f t="shared" si="104"/>
        <v/>
      </c>
      <c r="D648" s="74" t="str">
        <f t="shared" si="105"/>
        <v/>
      </c>
      <c r="F648" s="65" t="str">
        <f t="shared" si="106"/>
        <v/>
      </c>
      <c r="G648" s="68" t="str">
        <f t="shared" si="107"/>
        <v/>
      </c>
      <c r="H648" s="68" t="str">
        <f t="shared" si="108"/>
        <v/>
      </c>
      <c r="I648" s="68" t="str">
        <f t="shared" si="112"/>
        <v/>
      </c>
      <c r="M648" s="1">
        <v>611</v>
      </c>
      <c r="N648" s="1" t="str">
        <f>IF($T648=0,"",INDEX(VIRMAN!$C$7:$C$406,$T648))</f>
        <v/>
      </c>
      <c r="O648" s="1" t="str">
        <f>IF($N648="","",INDEX(VIRMAN!$D$7:$D$406,$T648)&amp;" → "&amp;$C$36&amp;IF(INDEX(VIRMAN!$G$7:$G$406,$T648)="",""," – "&amp;INDEX(VIRMAN!$G$7:$G$406,$T648)))</f>
        <v/>
      </c>
      <c r="P648" s="1" t="str">
        <f t="shared" si="113"/>
        <v/>
      </c>
      <c r="Q648" s="1">
        <f>IF($N648="",0,INDEX(VIRMAN!$F$7:$F$406,$T648))</f>
        <v>0</v>
      </c>
      <c r="R648" s="1">
        <v>0</v>
      </c>
      <c r="S648" s="1">
        <f t="shared" si="109"/>
        <v>10000000000</v>
      </c>
      <c r="T648" s="1">
        <f>IFERROR(MATCH($C$36&amp;"|75",VIRMAN!$K$7:$K$406,0),0)</f>
        <v>0</v>
      </c>
      <c r="V648" s="1">
        <f t="shared" si="110"/>
        <v>10000000000</v>
      </c>
      <c r="W648" s="1">
        <f t="shared" si="111"/>
        <v>9</v>
      </c>
    </row>
    <row r="649" spans="2:23" ht="14.25" customHeight="1" x14ac:dyDescent="0.3">
      <c r="B649" s="65" t="str">
        <f t="shared" si="103"/>
        <v/>
      </c>
      <c r="C649" s="70" t="str">
        <f t="shared" si="104"/>
        <v/>
      </c>
      <c r="D649" s="74" t="str">
        <f t="shared" si="105"/>
        <v/>
      </c>
      <c r="F649" s="65" t="str">
        <f t="shared" si="106"/>
        <v/>
      </c>
      <c r="G649" s="68" t="str">
        <f t="shared" si="107"/>
        <v/>
      </c>
      <c r="H649" s="68" t="str">
        <f t="shared" si="108"/>
        <v/>
      </c>
      <c r="I649" s="68" t="str">
        <f t="shared" si="112"/>
        <v/>
      </c>
      <c r="M649" s="1">
        <v>612</v>
      </c>
      <c r="N649" s="1" t="str">
        <f>IF($T649=0,"",INDEX(VIRMAN!$C$7:$C$406,$T649))</f>
        <v/>
      </c>
      <c r="O649" s="1" t="str">
        <f>IF($N649="","",INDEX(VIRMAN!$D$7:$D$406,$T649)&amp;" → "&amp;$C$36&amp;IF(INDEX(VIRMAN!$G$7:$G$406,$T649)="",""," – "&amp;INDEX(VIRMAN!$G$7:$G$406,$T649)))</f>
        <v/>
      </c>
      <c r="P649" s="1" t="str">
        <f t="shared" si="113"/>
        <v/>
      </c>
      <c r="Q649" s="1">
        <f>IF($N649="",0,INDEX(VIRMAN!$F$7:$F$406,$T649))</f>
        <v>0</v>
      </c>
      <c r="R649" s="1">
        <v>0</v>
      </c>
      <c r="S649" s="1">
        <f t="shared" si="109"/>
        <v>10000000000</v>
      </c>
      <c r="T649" s="1">
        <f>IFERROR(MATCH($C$36&amp;"|76",VIRMAN!$K$7:$K$406,0),0)</f>
        <v>0</v>
      </c>
      <c r="V649" s="1">
        <f t="shared" si="110"/>
        <v>10000000000</v>
      </c>
      <c r="W649" s="1">
        <f t="shared" si="111"/>
        <v>9</v>
      </c>
    </row>
    <row r="650" spans="2:23" ht="14.25" customHeight="1" x14ac:dyDescent="0.3">
      <c r="B650" s="65" t="str">
        <f t="shared" si="103"/>
        <v/>
      </c>
      <c r="C650" s="70" t="str">
        <f t="shared" si="104"/>
        <v/>
      </c>
      <c r="D650" s="74" t="str">
        <f t="shared" si="105"/>
        <v/>
      </c>
      <c r="F650" s="65" t="str">
        <f t="shared" si="106"/>
        <v/>
      </c>
      <c r="G650" s="68" t="str">
        <f t="shared" si="107"/>
        <v/>
      </c>
      <c r="H650" s="68" t="str">
        <f t="shared" si="108"/>
        <v/>
      </c>
      <c r="I650" s="68" t="str">
        <f t="shared" si="112"/>
        <v/>
      </c>
      <c r="M650" s="1">
        <v>613</v>
      </c>
      <c r="N650" s="1" t="str">
        <f>IF($T650=0,"",INDEX(VIRMAN!$C$7:$C$406,$T650))</f>
        <v/>
      </c>
      <c r="O650" s="1" t="str">
        <f>IF($N650="","",INDEX(VIRMAN!$D$7:$D$406,$T650)&amp;" → "&amp;$C$36&amp;IF(INDEX(VIRMAN!$G$7:$G$406,$T650)="",""," – "&amp;INDEX(VIRMAN!$G$7:$G$406,$T650)))</f>
        <v/>
      </c>
      <c r="P650" s="1" t="str">
        <f t="shared" si="113"/>
        <v/>
      </c>
      <c r="Q650" s="1">
        <f>IF($N650="",0,INDEX(VIRMAN!$F$7:$F$406,$T650))</f>
        <v>0</v>
      </c>
      <c r="R650" s="1">
        <v>0</v>
      </c>
      <c r="S650" s="1">
        <f t="shared" si="109"/>
        <v>10000000000</v>
      </c>
      <c r="T650" s="1">
        <f>IFERROR(MATCH($C$36&amp;"|77",VIRMAN!$K$7:$K$406,0),0)</f>
        <v>0</v>
      </c>
      <c r="V650" s="1">
        <f t="shared" si="110"/>
        <v>10000000000</v>
      </c>
      <c r="W650" s="1">
        <f t="shared" si="111"/>
        <v>9</v>
      </c>
    </row>
    <row r="651" spans="2:23" ht="14.25" customHeight="1" x14ac:dyDescent="0.3">
      <c r="B651" s="65" t="str">
        <f t="shared" si="103"/>
        <v/>
      </c>
      <c r="C651" s="70" t="str">
        <f t="shared" si="104"/>
        <v/>
      </c>
      <c r="D651" s="74" t="str">
        <f t="shared" si="105"/>
        <v/>
      </c>
      <c r="F651" s="65" t="str">
        <f t="shared" si="106"/>
        <v/>
      </c>
      <c r="G651" s="68" t="str">
        <f t="shared" si="107"/>
        <v/>
      </c>
      <c r="H651" s="68" t="str">
        <f t="shared" si="108"/>
        <v/>
      </c>
      <c r="I651" s="68" t="str">
        <f t="shared" si="112"/>
        <v/>
      </c>
      <c r="M651" s="1">
        <v>614</v>
      </c>
      <c r="N651" s="1" t="str">
        <f>IF($T651=0,"",INDEX(VIRMAN!$C$7:$C$406,$T651))</f>
        <v/>
      </c>
      <c r="O651" s="1" t="str">
        <f>IF($N651="","",INDEX(VIRMAN!$D$7:$D$406,$T651)&amp;" → "&amp;$C$36&amp;IF(INDEX(VIRMAN!$G$7:$G$406,$T651)="",""," – "&amp;INDEX(VIRMAN!$G$7:$G$406,$T651)))</f>
        <v/>
      </c>
      <c r="P651" s="1" t="str">
        <f t="shared" si="113"/>
        <v/>
      </c>
      <c r="Q651" s="1">
        <f>IF($N651="",0,INDEX(VIRMAN!$F$7:$F$406,$T651))</f>
        <v>0</v>
      </c>
      <c r="R651" s="1">
        <v>0</v>
      </c>
      <c r="S651" s="1">
        <f t="shared" si="109"/>
        <v>10000000000</v>
      </c>
      <c r="T651" s="1">
        <f>IFERROR(MATCH($C$36&amp;"|78",VIRMAN!$K$7:$K$406,0),0)</f>
        <v>0</v>
      </c>
      <c r="V651" s="1">
        <f t="shared" si="110"/>
        <v>10000000000</v>
      </c>
      <c r="W651" s="1">
        <f t="shared" si="111"/>
        <v>9</v>
      </c>
    </row>
    <row r="652" spans="2:23" ht="14.25" customHeight="1" x14ac:dyDescent="0.3">
      <c r="B652" s="65" t="str">
        <f t="shared" si="103"/>
        <v/>
      </c>
      <c r="C652" s="70" t="str">
        <f t="shared" si="104"/>
        <v/>
      </c>
      <c r="D652" s="74" t="str">
        <f t="shared" si="105"/>
        <v/>
      </c>
      <c r="F652" s="65" t="str">
        <f t="shared" si="106"/>
        <v/>
      </c>
      <c r="G652" s="68" t="str">
        <f t="shared" si="107"/>
        <v/>
      </c>
      <c r="H652" s="68" t="str">
        <f t="shared" si="108"/>
        <v/>
      </c>
      <c r="I652" s="68" t="str">
        <f t="shared" si="112"/>
        <v/>
      </c>
      <c r="M652" s="1">
        <v>615</v>
      </c>
      <c r="N652" s="1" t="str">
        <f>IF($T652=0,"",INDEX(VIRMAN!$C$7:$C$406,$T652))</f>
        <v/>
      </c>
      <c r="O652" s="1" t="str">
        <f>IF($N652="","",INDEX(VIRMAN!$D$7:$D$406,$T652)&amp;" → "&amp;$C$36&amp;IF(INDEX(VIRMAN!$G$7:$G$406,$T652)="",""," – "&amp;INDEX(VIRMAN!$G$7:$G$406,$T652)))</f>
        <v/>
      </c>
      <c r="P652" s="1" t="str">
        <f t="shared" si="113"/>
        <v/>
      </c>
      <c r="Q652" s="1">
        <f>IF($N652="",0,INDEX(VIRMAN!$F$7:$F$406,$T652))</f>
        <v>0</v>
      </c>
      <c r="R652" s="1">
        <v>0</v>
      </c>
      <c r="S652" s="1">
        <f t="shared" si="109"/>
        <v>10000000000</v>
      </c>
      <c r="T652" s="1">
        <f>IFERROR(MATCH($C$36&amp;"|79",VIRMAN!$K$7:$K$406,0),0)</f>
        <v>0</v>
      </c>
      <c r="V652" s="1">
        <f t="shared" si="110"/>
        <v>10000000000</v>
      </c>
      <c r="W652" s="1">
        <f t="shared" si="111"/>
        <v>9</v>
      </c>
    </row>
    <row r="653" spans="2:23" ht="14.25" customHeight="1" x14ac:dyDescent="0.3">
      <c r="B653" s="65" t="str">
        <f t="shared" si="103"/>
        <v/>
      </c>
      <c r="C653" s="70" t="str">
        <f t="shared" si="104"/>
        <v/>
      </c>
      <c r="D653" s="74" t="str">
        <f t="shared" si="105"/>
        <v/>
      </c>
      <c r="F653" s="65" t="str">
        <f t="shared" si="106"/>
        <v/>
      </c>
      <c r="G653" s="68" t="str">
        <f t="shared" si="107"/>
        <v/>
      </c>
      <c r="H653" s="68" t="str">
        <f t="shared" si="108"/>
        <v/>
      </c>
      <c r="I653" s="68" t="str">
        <f t="shared" si="112"/>
        <v/>
      </c>
      <c r="M653" s="1">
        <v>616</v>
      </c>
      <c r="N653" s="1" t="str">
        <f>IF($T653=0,"",INDEX(VIRMAN!$C$7:$C$406,$T653))</f>
        <v/>
      </c>
      <c r="O653" s="1" t="str">
        <f>IF($N653="","",INDEX(VIRMAN!$D$7:$D$406,$T653)&amp;" → "&amp;$C$36&amp;IF(INDEX(VIRMAN!$G$7:$G$406,$T653)="",""," – "&amp;INDEX(VIRMAN!$G$7:$G$406,$T653)))</f>
        <v/>
      </c>
      <c r="P653" s="1" t="str">
        <f t="shared" si="113"/>
        <v/>
      </c>
      <c r="Q653" s="1">
        <f>IF($N653="",0,INDEX(VIRMAN!$F$7:$F$406,$T653))</f>
        <v>0</v>
      </c>
      <c r="R653" s="1">
        <v>0</v>
      </c>
      <c r="S653" s="1">
        <f t="shared" si="109"/>
        <v>10000000000</v>
      </c>
      <c r="T653" s="1">
        <f>IFERROR(MATCH($C$36&amp;"|80",VIRMAN!$K$7:$K$406,0),0)</f>
        <v>0</v>
      </c>
      <c r="V653" s="1">
        <f t="shared" si="110"/>
        <v>10000000000</v>
      </c>
      <c r="W653" s="1">
        <f t="shared" si="111"/>
        <v>9</v>
      </c>
    </row>
    <row r="654" spans="2:23" ht="14.25" customHeight="1" x14ac:dyDescent="0.3">
      <c r="B654" s="65" t="str">
        <f t="shared" si="103"/>
        <v/>
      </c>
      <c r="C654" s="70" t="str">
        <f t="shared" si="104"/>
        <v/>
      </c>
      <c r="D654" s="74" t="str">
        <f t="shared" si="105"/>
        <v/>
      </c>
      <c r="F654" s="65" t="str">
        <f t="shared" si="106"/>
        <v/>
      </c>
      <c r="G654" s="68" t="str">
        <f t="shared" si="107"/>
        <v/>
      </c>
      <c r="H654" s="68" t="str">
        <f t="shared" si="108"/>
        <v/>
      </c>
      <c r="I654" s="68" t="str">
        <f t="shared" si="112"/>
        <v/>
      </c>
      <c r="M654" s="1">
        <v>617</v>
      </c>
      <c r="N654" s="1" t="str">
        <f>IF($T654=0,"",INDEX(VIRMAN!$C$7:$C$406,$T654))</f>
        <v/>
      </c>
      <c r="O654" s="1" t="str">
        <f>IF($N654="","",INDEX(VIRMAN!$D$7:$D$406,$T654)&amp;" → "&amp;$C$36&amp;IF(INDEX(VIRMAN!$G$7:$G$406,$T654)="",""," – "&amp;INDEX(VIRMAN!$G$7:$G$406,$T654)))</f>
        <v/>
      </c>
      <c r="P654" s="1" t="str">
        <f t="shared" si="113"/>
        <v/>
      </c>
      <c r="Q654" s="1">
        <f>IF($N654="",0,INDEX(VIRMAN!$F$7:$F$406,$T654))</f>
        <v>0</v>
      </c>
      <c r="R654" s="1">
        <v>0</v>
      </c>
      <c r="S654" s="1">
        <f t="shared" si="109"/>
        <v>10000000000</v>
      </c>
      <c r="T654" s="1">
        <f>IFERROR(MATCH($C$36&amp;"|81",VIRMAN!$K$7:$K$406,0),0)</f>
        <v>0</v>
      </c>
      <c r="V654" s="1">
        <f t="shared" si="110"/>
        <v>10000000000</v>
      </c>
      <c r="W654" s="1">
        <f t="shared" si="111"/>
        <v>9</v>
      </c>
    </row>
    <row r="655" spans="2:23" ht="14.25" customHeight="1" x14ac:dyDescent="0.3">
      <c r="B655" s="65" t="str">
        <f t="shared" si="103"/>
        <v/>
      </c>
      <c r="C655" s="70" t="str">
        <f t="shared" si="104"/>
        <v/>
      </c>
      <c r="D655" s="74" t="str">
        <f t="shared" si="105"/>
        <v/>
      </c>
      <c r="F655" s="65" t="str">
        <f t="shared" si="106"/>
        <v/>
      </c>
      <c r="G655" s="68" t="str">
        <f t="shared" si="107"/>
        <v/>
      </c>
      <c r="H655" s="68" t="str">
        <f t="shared" si="108"/>
        <v/>
      </c>
      <c r="I655" s="68" t="str">
        <f t="shared" si="112"/>
        <v/>
      </c>
      <c r="M655" s="1">
        <v>618</v>
      </c>
      <c r="N655" s="1" t="str">
        <f>IF($T655=0,"",INDEX(VIRMAN!$C$7:$C$406,$T655))</f>
        <v/>
      </c>
      <c r="O655" s="1" t="str">
        <f>IF($N655="","",INDEX(VIRMAN!$D$7:$D$406,$T655)&amp;" → "&amp;$C$36&amp;IF(INDEX(VIRMAN!$G$7:$G$406,$T655)="",""," – "&amp;INDEX(VIRMAN!$G$7:$G$406,$T655)))</f>
        <v/>
      </c>
      <c r="P655" s="1" t="str">
        <f t="shared" si="113"/>
        <v/>
      </c>
      <c r="Q655" s="1">
        <f>IF($N655="",0,INDEX(VIRMAN!$F$7:$F$406,$T655))</f>
        <v>0</v>
      </c>
      <c r="R655" s="1">
        <v>0</v>
      </c>
      <c r="S655" s="1">
        <f t="shared" si="109"/>
        <v>10000000000</v>
      </c>
      <c r="T655" s="1">
        <f>IFERROR(MATCH($C$36&amp;"|82",VIRMAN!$K$7:$K$406,0),0)</f>
        <v>0</v>
      </c>
      <c r="V655" s="1">
        <f t="shared" si="110"/>
        <v>10000000000</v>
      </c>
      <c r="W655" s="1">
        <f t="shared" si="111"/>
        <v>9</v>
      </c>
    </row>
    <row r="656" spans="2:23" ht="14.25" customHeight="1" x14ac:dyDescent="0.3">
      <c r="B656" s="65" t="str">
        <f t="shared" si="103"/>
        <v/>
      </c>
      <c r="C656" s="70" t="str">
        <f t="shared" si="104"/>
        <v/>
      </c>
      <c r="D656" s="74" t="str">
        <f t="shared" si="105"/>
        <v/>
      </c>
      <c r="F656" s="65" t="str">
        <f t="shared" si="106"/>
        <v/>
      </c>
      <c r="G656" s="68" t="str">
        <f t="shared" si="107"/>
        <v/>
      </c>
      <c r="H656" s="68" t="str">
        <f t="shared" si="108"/>
        <v/>
      </c>
      <c r="I656" s="68" t="str">
        <f t="shared" si="112"/>
        <v/>
      </c>
      <c r="M656" s="1">
        <v>619</v>
      </c>
      <c r="N656" s="1" t="str">
        <f>IF($T656=0,"",INDEX(VIRMAN!$C$7:$C$406,$T656))</f>
        <v/>
      </c>
      <c r="O656" s="1" t="str">
        <f>IF($N656="","",INDEX(VIRMAN!$D$7:$D$406,$T656)&amp;" → "&amp;$C$36&amp;IF(INDEX(VIRMAN!$G$7:$G$406,$T656)="",""," – "&amp;INDEX(VIRMAN!$G$7:$G$406,$T656)))</f>
        <v/>
      </c>
      <c r="P656" s="1" t="str">
        <f t="shared" si="113"/>
        <v/>
      </c>
      <c r="Q656" s="1">
        <f>IF($N656="",0,INDEX(VIRMAN!$F$7:$F$406,$T656))</f>
        <v>0</v>
      </c>
      <c r="R656" s="1">
        <v>0</v>
      </c>
      <c r="S656" s="1">
        <f t="shared" si="109"/>
        <v>10000000000</v>
      </c>
      <c r="T656" s="1">
        <f>IFERROR(MATCH($C$36&amp;"|83",VIRMAN!$K$7:$K$406,0),0)</f>
        <v>0</v>
      </c>
      <c r="V656" s="1">
        <f t="shared" si="110"/>
        <v>10000000000</v>
      </c>
      <c r="W656" s="1">
        <f t="shared" si="111"/>
        <v>9</v>
      </c>
    </row>
    <row r="657" spans="2:23" ht="14.25" customHeight="1" x14ac:dyDescent="0.3">
      <c r="B657" s="65" t="str">
        <f t="shared" si="103"/>
        <v/>
      </c>
      <c r="C657" s="70" t="str">
        <f t="shared" si="104"/>
        <v/>
      </c>
      <c r="D657" s="74" t="str">
        <f t="shared" si="105"/>
        <v/>
      </c>
      <c r="F657" s="65" t="str">
        <f t="shared" si="106"/>
        <v/>
      </c>
      <c r="G657" s="68" t="str">
        <f t="shared" si="107"/>
        <v/>
      </c>
      <c r="H657" s="68" t="str">
        <f t="shared" si="108"/>
        <v/>
      </c>
      <c r="I657" s="68" t="str">
        <f t="shared" si="112"/>
        <v/>
      </c>
      <c r="M657" s="1">
        <v>620</v>
      </c>
      <c r="N657" s="1" t="str">
        <f>IF($T657=0,"",INDEX(VIRMAN!$C$7:$C$406,$T657))</f>
        <v/>
      </c>
      <c r="O657" s="1" t="str">
        <f>IF($N657="","",INDEX(VIRMAN!$D$7:$D$406,$T657)&amp;" → "&amp;$C$36&amp;IF(INDEX(VIRMAN!$G$7:$G$406,$T657)="",""," – "&amp;INDEX(VIRMAN!$G$7:$G$406,$T657)))</f>
        <v/>
      </c>
      <c r="P657" s="1" t="str">
        <f t="shared" si="113"/>
        <v/>
      </c>
      <c r="Q657" s="1">
        <f>IF($N657="",0,INDEX(VIRMAN!$F$7:$F$406,$T657))</f>
        <v>0</v>
      </c>
      <c r="R657" s="1">
        <v>0</v>
      </c>
      <c r="S657" s="1">
        <f t="shared" si="109"/>
        <v>10000000000</v>
      </c>
      <c r="T657" s="1">
        <f>IFERROR(MATCH($C$36&amp;"|84",VIRMAN!$K$7:$K$406,0),0)</f>
        <v>0</v>
      </c>
      <c r="V657" s="1">
        <f t="shared" si="110"/>
        <v>10000000000</v>
      </c>
      <c r="W657" s="1">
        <f t="shared" si="111"/>
        <v>9</v>
      </c>
    </row>
    <row r="658" spans="2:23" ht="14.25" customHeight="1" x14ac:dyDescent="0.3">
      <c r="B658" s="65" t="str">
        <f t="shared" si="103"/>
        <v/>
      </c>
      <c r="C658" s="70" t="str">
        <f t="shared" si="104"/>
        <v/>
      </c>
      <c r="D658" s="74" t="str">
        <f t="shared" si="105"/>
        <v/>
      </c>
      <c r="F658" s="65" t="str">
        <f t="shared" si="106"/>
        <v/>
      </c>
      <c r="G658" s="68" t="str">
        <f t="shared" si="107"/>
        <v/>
      </c>
      <c r="H658" s="68" t="str">
        <f t="shared" si="108"/>
        <v/>
      </c>
      <c r="I658" s="68" t="str">
        <f t="shared" si="112"/>
        <v/>
      </c>
      <c r="M658" s="1">
        <v>621</v>
      </c>
      <c r="N658" s="1" t="str">
        <f>IF($T658=0,"",INDEX(VIRMAN!$C$7:$C$406,$T658))</f>
        <v/>
      </c>
      <c r="O658" s="1" t="str">
        <f>IF($N658="","",INDEX(VIRMAN!$D$7:$D$406,$T658)&amp;" → "&amp;$C$36&amp;IF(INDEX(VIRMAN!$G$7:$G$406,$T658)="",""," – "&amp;INDEX(VIRMAN!$G$7:$G$406,$T658)))</f>
        <v/>
      </c>
      <c r="P658" s="1" t="str">
        <f t="shared" si="113"/>
        <v/>
      </c>
      <c r="Q658" s="1">
        <f>IF($N658="",0,INDEX(VIRMAN!$F$7:$F$406,$T658))</f>
        <v>0</v>
      </c>
      <c r="R658" s="1">
        <v>0</v>
      </c>
      <c r="S658" s="1">
        <f t="shared" si="109"/>
        <v>10000000000</v>
      </c>
      <c r="T658" s="1">
        <f>IFERROR(MATCH($C$36&amp;"|85",VIRMAN!$K$7:$K$406,0),0)</f>
        <v>0</v>
      </c>
      <c r="V658" s="1">
        <f t="shared" si="110"/>
        <v>10000000000</v>
      </c>
      <c r="W658" s="1">
        <f t="shared" si="111"/>
        <v>9</v>
      </c>
    </row>
    <row r="659" spans="2:23" ht="14.25" customHeight="1" x14ac:dyDescent="0.3">
      <c r="B659" s="65" t="str">
        <f t="shared" si="103"/>
        <v/>
      </c>
      <c r="C659" s="70" t="str">
        <f t="shared" si="104"/>
        <v/>
      </c>
      <c r="D659" s="74" t="str">
        <f t="shared" si="105"/>
        <v/>
      </c>
      <c r="F659" s="65" t="str">
        <f t="shared" si="106"/>
        <v/>
      </c>
      <c r="G659" s="68" t="str">
        <f t="shared" si="107"/>
        <v/>
      </c>
      <c r="H659" s="68" t="str">
        <f t="shared" si="108"/>
        <v/>
      </c>
      <c r="I659" s="68" t="str">
        <f t="shared" si="112"/>
        <v/>
      </c>
      <c r="M659" s="1">
        <v>622</v>
      </c>
      <c r="N659" s="1" t="str">
        <f>IF($T659=0,"",INDEX(VIRMAN!$C$7:$C$406,$T659))</f>
        <v/>
      </c>
      <c r="O659" s="1" t="str">
        <f>IF($N659="","",INDEX(VIRMAN!$D$7:$D$406,$T659)&amp;" → "&amp;$C$36&amp;IF(INDEX(VIRMAN!$G$7:$G$406,$T659)="",""," – "&amp;INDEX(VIRMAN!$G$7:$G$406,$T659)))</f>
        <v/>
      </c>
      <c r="P659" s="1" t="str">
        <f t="shared" si="113"/>
        <v/>
      </c>
      <c r="Q659" s="1">
        <f>IF($N659="",0,INDEX(VIRMAN!$F$7:$F$406,$T659))</f>
        <v>0</v>
      </c>
      <c r="R659" s="1">
        <v>0</v>
      </c>
      <c r="S659" s="1">
        <f t="shared" si="109"/>
        <v>10000000000</v>
      </c>
      <c r="T659" s="1">
        <f>IFERROR(MATCH($C$36&amp;"|86",VIRMAN!$K$7:$K$406,0),0)</f>
        <v>0</v>
      </c>
      <c r="V659" s="1">
        <f t="shared" si="110"/>
        <v>10000000000</v>
      </c>
      <c r="W659" s="1">
        <f t="shared" si="111"/>
        <v>9</v>
      </c>
    </row>
    <row r="660" spans="2:23" ht="14.25" customHeight="1" x14ac:dyDescent="0.3">
      <c r="B660" s="65" t="str">
        <f t="shared" si="103"/>
        <v/>
      </c>
      <c r="C660" s="70" t="str">
        <f t="shared" si="104"/>
        <v/>
      </c>
      <c r="D660" s="74" t="str">
        <f t="shared" si="105"/>
        <v/>
      </c>
      <c r="F660" s="65" t="str">
        <f t="shared" si="106"/>
        <v/>
      </c>
      <c r="G660" s="68" t="str">
        <f t="shared" si="107"/>
        <v/>
      </c>
      <c r="H660" s="68" t="str">
        <f t="shared" si="108"/>
        <v/>
      </c>
      <c r="I660" s="68" t="str">
        <f t="shared" si="112"/>
        <v/>
      </c>
      <c r="M660" s="1">
        <v>623</v>
      </c>
      <c r="N660" s="1" t="str">
        <f>IF($T660=0,"",INDEX(VIRMAN!$C$7:$C$406,$T660))</f>
        <v/>
      </c>
      <c r="O660" s="1" t="str">
        <f>IF($N660="","",INDEX(VIRMAN!$D$7:$D$406,$T660)&amp;" → "&amp;$C$36&amp;IF(INDEX(VIRMAN!$G$7:$G$406,$T660)="",""," – "&amp;INDEX(VIRMAN!$G$7:$G$406,$T660)))</f>
        <v/>
      </c>
      <c r="P660" s="1" t="str">
        <f t="shared" si="113"/>
        <v/>
      </c>
      <c r="Q660" s="1">
        <f>IF($N660="",0,INDEX(VIRMAN!$F$7:$F$406,$T660))</f>
        <v>0</v>
      </c>
      <c r="R660" s="1">
        <v>0</v>
      </c>
      <c r="S660" s="1">
        <f t="shared" si="109"/>
        <v>10000000000</v>
      </c>
      <c r="T660" s="1">
        <f>IFERROR(MATCH($C$36&amp;"|87",VIRMAN!$K$7:$K$406,0),0)</f>
        <v>0</v>
      </c>
      <c r="V660" s="1">
        <f t="shared" si="110"/>
        <v>10000000000</v>
      </c>
      <c r="W660" s="1">
        <f t="shared" si="111"/>
        <v>9</v>
      </c>
    </row>
    <row r="661" spans="2:23" ht="14.25" customHeight="1" x14ac:dyDescent="0.3">
      <c r="B661" s="65" t="str">
        <f t="shared" si="103"/>
        <v/>
      </c>
      <c r="C661" s="70" t="str">
        <f t="shared" si="104"/>
        <v/>
      </c>
      <c r="D661" s="74" t="str">
        <f t="shared" si="105"/>
        <v/>
      </c>
      <c r="F661" s="65" t="str">
        <f t="shared" si="106"/>
        <v/>
      </c>
      <c r="G661" s="68" t="str">
        <f t="shared" si="107"/>
        <v/>
      </c>
      <c r="H661" s="68" t="str">
        <f t="shared" si="108"/>
        <v/>
      </c>
      <c r="I661" s="68" t="str">
        <f t="shared" si="112"/>
        <v/>
      </c>
      <c r="M661" s="1">
        <v>624</v>
      </c>
      <c r="N661" s="1" t="str">
        <f>IF($T661=0,"",INDEX(VIRMAN!$C$7:$C$406,$T661))</f>
        <v/>
      </c>
      <c r="O661" s="1" t="str">
        <f>IF($N661="","",INDEX(VIRMAN!$D$7:$D$406,$T661)&amp;" → "&amp;$C$36&amp;IF(INDEX(VIRMAN!$G$7:$G$406,$T661)="",""," – "&amp;INDEX(VIRMAN!$G$7:$G$406,$T661)))</f>
        <v/>
      </c>
      <c r="P661" s="1" t="str">
        <f t="shared" si="113"/>
        <v/>
      </c>
      <c r="Q661" s="1">
        <f>IF($N661="",0,INDEX(VIRMAN!$F$7:$F$406,$T661))</f>
        <v>0</v>
      </c>
      <c r="R661" s="1">
        <v>0</v>
      </c>
      <c r="S661" s="1">
        <f t="shared" si="109"/>
        <v>10000000000</v>
      </c>
      <c r="T661" s="1">
        <f>IFERROR(MATCH($C$36&amp;"|88",VIRMAN!$K$7:$K$406,0),0)</f>
        <v>0</v>
      </c>
      <c r="V661" s="1">
        <f t="shared" si="110"/>
        <v>10000000000</v>
      </c>
      <c r="W661" s="1">
        <f t="shared" si="111"/>
        <v>9</v>
      </c>
    </row>
    <row r="662" spans="2:23" ht="14.25" customHeight="1" x14ac:dyDescent="0.3">
      <c r="B662" s="65" t="str">
        <f t="shared" si="103"/>
        <v/>
      </c>
      <c r="C662" s="70" t="str">
        <f t="shared" si="104"/>
        <v/>
      </c>
      <c r="D662" s="74" t="str">
        <f t="shared" si="105"/>
        <v/>
      </c>
      <c r="F662" s="65" t="str">
        <f t="shared" si="106"/>
        <v/>
      </c>
      <c r="G662" s="68" t="str">
        <f t="shared" si="107"/>
        <v/>
      </c>
      <c r="H662" s="68" t="str">
        <f t="shared" si="108"/>
        <v/>
      </c>
      <c r="I662" s="68" t="str">
        <f t="shared" si="112"/>
        <v/>
      </c>
      <c r="M662" s="1">
        <v>625</v>
      </c>
      <c r="N662" s="1" t="str">
        <f>IF($T662=0,"",INDEX(VIRMAN!$C$7:$C$406,$T662))</f>
        <v/>
      </c>
      <c r="O662" s="1" t="str">
        <f>IF($N662="","",INDEX(VIRMAN!$D$7:$D$406,$T662)&amp;" → "&amp;$C$36&amp;IF(INDEX(VIRMAN!$G$7:$G$406,$T662)="",""," – "&amp;INDEX(VIRMAN!$G$7:$G$406,$T662)))</f>
        <v/>
      </c>
      <c r="P662" s="1" t="str">
        <f t="shared" si="113"/>
        <v/>
      </c>
      <c r="Q662" s="1">
        <f>IF($N662="",0,INDEX(VIRMAN!$F$7:$F$406,$T662))</f>
        <v>0</v>
      </c>
      <c r="R662" s="1">
        <v>0</v>
      </c>
      <c r="S662" s="1">
        <f t="shared" si="109"/>
        <v>10000000000</v>
      </c>
      <c r="T662" s="1">
        <f>IFERROR(MATCH($C$36&amp;"|89",VIRMAN!$K$7:$K$406,0),0)</f>
        <v>0</v>
      </c>
      <c r="V662" s="1">
        <f t="shared" si="110"/>
        <v>10000000000</v>
      </c>
      <c r="W662" s="1">
        <f t="shared" si="111"/>
        <v>9</v>
      </c>
    </row>
    <row r="663" spans="2:23" ht="14.25" customHeight="1" x14ac:dyDescent="0.3">
      <c r="B663" s="65" t="str">
        <f t="shared" si="103"/>
        <v/>
      </c>
      <c r="C663" s="70" t="str">
        <f t="shared" si="104"/>
        <v/>
      </c>
      <c r="D663" s="74" t="str">
        <f t="shared" si="105"/>
        <v/>
      </c>
      <c r="F663" s="65" t="str">
        <f t="shared" si="106"/>
        <v/>
      </c>
      <c r="G663" s="68" t="str">
        <f t="shared" si="107"/>
        <v/>
      </c>
      <c r="H663" s="68" t="str">
        <f t="shared" si="108"/>
        <v/>
      </c>
      <c r="I663" s="68" t="str">
        <f t="shared" si="112"/>
        <v/>
      </c>
      <c r="M663" s="1">
        <v>626</v>
      </c>
      <c r="N663" s="1" t="str">
        <f>IF($T663=0,"",INDEX(VIRMAN!$C$7:$C$406,$T663))</f>
        <v/>
      </c>
      <c r="O663" s="1" t="str">
        <f>IF($N663="","",INDEX(VIRMAN!$D$7:$D$406,$T663)&amp;" → "&amp;$C$36&amp;IF(INDEX(VIRMAN!$G$7:$G$406,$T663)="",""," – "&amp;INDEX(VIRMAN!$G$7:$G$406,$T663)))</f>
        <v/>
      </c>
      <c r="P663" s="1" t="str">
        <f t="shared" si="113"/>
        <v/>
      </c>
      <c r="Q663" s="1">
        <f>IF($N663="",0,INDEX(VIRMAN!$F$7:$F$406,$T663))</f>
        <v>0</v>
      </c>
      <c r="R663" s="1">
        <v>0</v>
      </c>
      <c r="S663" s="1">
        <f t="shared" si="109"/>
        <v>10000000000</v>
      </c>
      <c r="T663" s="1">
        <f>IFERROR(MATCH($C$36&amp;"|90",VIRMAN!$K$7:$K$406,0),0)</f>
        <v>0</v>
      </c>
      <c r="V663" s="1">
        <f t="shared" si="110"/>
        <v>10000000000</v>
      </c>
      <c r="W663" s="1">
        <f t="shared" si="111"/>
        <v>9</v>
      </c>
    </row>
    <row r="664" spans="2:23" ht="14.25" customHeight="1" x14ac:dyDescent="0.3">
      <c r="B664" s="65" t="str">
        <f t="shared" si="103"/>
        <v/>
      </c>
      <c r="C664" s="70" t="str">
        <f t="shared" si="104"/>
        <v/>
      </c>
      <c r="D664" s="74" t="str">
        <f t="shared" si="105"/>
        <v/>
      </c>
      <c r="F664" s="65" t="str">
        <f t="shared" si="106"/>
        <v/>
      </c>
      <c r="G664" s="68" t="str">
        <f t="shared" si="107"/>
        <v/>
      </c>
      <c r="H664" s="68" t="str">
        <f t="shared" si="108"/>
        <v/>
      </c>
      <c r="I664" s="68" t="str">
        <f t="shared" si="112"/>
        <v/>
      </c>
      <c r="M664" s="1">
        <v>627</v>
      </c>
      <c r="N664" s="1" t="str">
        <f>IF($T664=0,"",INDEX(VIRMAN!$C$7:$C$406,$T664))</f>
        <v/>
      </c>
      <c r="O664" s="1" t="str">
        <f>IF($N664="","",INDEX(VIRMAN!$D$7:$D$406,$T664)&amp;" → "&amp;$C$36&amp;IF(INDEX(VIRMAN!$G$7:$G$406,$T664)="",""," – "&amp;INDEX(VIRMAN!$G$7:$G$406,$T664)))</f>
        <v/>
      </c>
      <c r="P664" s="1" t="str">
        <f t="shared" si="113"/>
        <v/>
      </c>
      <c r="Q664" s="1">
        <f>IF($N664="",0,INDEX(VIRMAN!$F$7:$F$406,$T664))</f>
        <v>0</v>
      </c>
      <c r="R664" s="1">
        <v>0</v>
      </c>
      <c r="S664" s="1">
        <f t="shared" si="109"/>
        <v>10000000000</v>
      </c>
      <c r="T664" s="1">
        <f>IFERROR(MATCH($C$36&amp;"|91",VIRMAN!$K$7:$K$406,0),0)</f>
        <v>0</v>
      </c>
      <c r="V664" s="1">
        <f t="shared" si="110"/>
        <v>10000000000</v>
      </c>
      <c r="W664" s="1">
        <f t="shared" si="111"/>
        <v>9</v>
      </c>
    </row>
    <row r="665" spans="2:23" ht="14.25" customHeight="1" x14ac:dyDescent="0.3">
      <c r="B665" s="65" t="str">
        <f t="shared" si="103"/>
        <v/>
      </c>
      <c r="C665" s="70" t="str">
        <f t="shared" si="104"/>
        <v/>
      </c>
      <c r="D665" s="74" t="str">
        <f t="shared" si="105"/>
        <v/>
      </c>
      <c r="F665" s="65" t="str">
        <f t="shared" si="106"/>
        <v/>
      </c>
      <c r="G665" s="68" t="str">
        <f t="shared" si="107"/>
        <v/>
      </c>
      <c r="H665" s="68" t="str">
        <f t="shared" si="108"/>
        <v/>
      </c>
      <c r="I665" s="68" t="str">
        <f t="shared" si="112"/>
        <v/>
      </c>
      <c r="M665" s="1">
        <v>628</v>
      </c>
      <c r="N665" s="1" t="str">
        <f>IF($T665=0,"",INDEX(VIRMAN!$C$7:$C$406,$T665))</f>
        <v/>
      </c>
      <c r="O665" s="1" t="str">
        <f>IF($N665="","",INDEX(VIRMAN!$D$7:$D$406,$T665)&amp;" → "&amp;$C$36&amp;IF(INDEX(VIRMAN!$G$7:$G$406,$T665)="",""," – "&amp;INDEX(VIRMAN!$G$7:$G$406,$T665)))</f>
        <v/>
      </c>
      <c r="P665" s="1" t="str">
        <f t="shared" si="113"/>
        <v/>
      </c>
      <c r="Q665" s="1">
        <f>IF($N665="",0,INDEX(VIRMAN!$F$7:$F$406,$T665))</f>
        <v>0</v>
      </c>
      <c r="R665" s="1">
        <v>0</v>
      </c>
      <c r="S665" s="1">
        <f t="shared" si="109"/>
        <v>10000000000</v>
      </c>
      <c r="T665" s="1">
        <f>IFERROR(MATCH($C$36&amp;"|92",VIRMAN!$K$7:$K$406,0),0)</f>
        <v>0</v>
      </c>
      <c r="V665" s="1">
        <f t="shared" si="110"/>
        <v>10000000000</v>
      </c>
      <c r="W665" s="1">
        <f t="shared" si="111"/>
        <v>9</v>
      </c>
    </row>
    <row r="666" spans="2:23" ht="14.25" customHeight="1" x14ac:dyDescent="0.3">
      <c r="B666" s="65" t="str">
        <f t="shared" si="103"/>
        <v/>
      </c>
      <c r="C666" s="70" t="str">
        <f t="shared" si="104"/>
        <v/>
      </c>
      <c r="D666" s="74" t="str">
        <f t="shared" si="105"/>
        <v/>
      </c>
      <c r="F666" s="65" t="str">
        <f t="shared" si="106"/>
        <v/>
      </c>
      <c r="G666" s="68" t="str">
        <f t="shared" si="107"/>
        <v/>
      </c>
      <c r="H666" s="68" t="str">
        <f t="shared" si="108"/>
        <v/>
      </c>
      <c r="I666" s="68" t="str">
        <f t="shared" si="112"/>
        <v/>
      </c>
      <c r="M666" s="1">
        <v>629</v>
      </c>
      <c r="N666" s="1" t="str">
        <f>IF($T666=0,"",INDEX(VIRMAN!$C$7:$C$406,$T666))</f>
        <v/>
      </c>
      <c r="O666" s="1" t="str">
        <f>IF($N666="","",INDEX(VIRMAN!$D$7:$D$406,$T666)&amp;" → "&amp;$C$36&amp;IF(INDEX(VIRMAN!$G$7:$G$406,$T666)="",""," – "&amp;INDEX(VIRMAN!$G$7:$G$406,$T666)))</f>
        <v/>
      </c>
      <c r="P666" s="1" t="str">
        <f t="shared" si="113"/>
        <v/>
      </c>
      <c r="Q666" s="1">
        <f>IF($N666="",0,INDEX(VIRMAN!$F$7:$F$406,$T666))</f>
        <v>0</v>
      </c>
      <c r="R666" s="1">
        <v>0</v>
      </c>
      <c r="S666" s="1">
        <f t="shared" si="109"/>
        <v>10000000000</v>
      </c>
      <c r="T666" s="1">
        <f>IFERROR(MATCH($C$36&amp;"|93",VIRMAN!$K$7:$K$406,0),0)</f>
        <v>0</v>
      </c>
      <c r="V666" s="1">
        <f t="shared" si="110"/>
        <v>10000000000</v>
      </c>
      <c r="W666" s="1">
        <f t="shared" si="111"/>
        <v>9</v>
      </c>
    </row>
    <row r="667" spans="2:23" ht="14.25" customHeight="1" x14ac:dyDescent="0.3">
      <c r="B667" s="65" t="str">
        <f t="shared" si="103"/>
        <v/>
      </c>
      <c r="C667" s="70" t="str">
        <f t="shared" si="104"/>
        <v/>
      </c>
      <c r="D667" s="74" t="str">
        <f t="shared" si="105"/>
        <v/>
      </c>
      <c r="F667" s="65" t="str">
        <f t="shared" si="106"/>
        <v/>
      </c>
      <c r="G667" s="68" t="str">
        <f t="shared" si="107"/>
        <v/>
      </c>
      <c r="H667" s="68" t="str">
        <f t="shared" si="108"/>
        <v/>
      </c>
      <c r="I667" s="68" t="str">
        <f t="shared" si="112"/>
        <v/>
      </c>
      <c r="M667" s="1">
        <v>630</v>
      </c>
      <c r="N667" s="1" t="str">
        <f>IF($T667=0,"",INDEX(VIRMAN!$C$7:$C$406,$T667))</f>
        <v/>
      </c>
      <c r="O667" s="1" t="str">
        <f>IF($N667="","",INDEX(VIRMAN!$D$7:$D$406,$T667)&amp;" → "&amp;$C$36&amp;IF(INDEX(VIRMAN!$G$7:$G$406,$T667)="",""," – "&amp;INDEX(VIRMAN!$G$7:$G$406,$T667)))</f>
        <v/>
      </c>
      <c r="P667" s="1" t="str">
        <f t="shared" si="113"/>
        <v/>
      </c>
      <c r="Q667" s="1">
        <f>IF($N667="",0,INDEX(VIRMAN!$F$7:$F$406,$T667))</f>
        <v>0</v>
      </c>
      <c r="R667" s="1">
        <v>0</v>
      </c>
      <c r="S667" s="1">
        <f t="shared" si="109"/>
        <v>10000000000</v>
      </c>
      <c r="T667" s="1">
        <f>IFERROR(MATCH($C$36&amp;"|94",VIRMAN!$K$7:$K$406,0),0)</f>
        <v>0</v>
      </c>
      <c r="V667" s="1">
        <f t="shared" si="110"/>
        <v>10000000000</v>
      </c>
      <c r="W667" s="1">
        <f t="shared" si="111"/>
        <v>9</v>
      </c>
    </row>
    <row r="668" spans="2:23" ht="14.25" customHeight="1" x14ac:dyDescent="0.3">
      <c r="B668" s="65" t="str">
        <f t="shared" si="103"/>
        <v/>
      </c>
      <c r="C668" s="70" t="str">
        <f t="shared" si="104"/>
        <v/>
      </c>
      <c r="D668" s="74" t="str">
        <f t="shared" si="105"/>
        <v/>
      </c>
      <c r="F668" s="65" t="str">
        <f t="shared" si="106"/>
        <v/>
      </c>
      <c r="G668" s="68" t="str">
        <f t="shared" si="107"/>
        <v/>
      </c>
      <c r="H668" s="68" t="str">
        <f t="shared" si="108"/>
        <v/>
      </c>
      <c r="I668" s="68" t="str">
        <f t="shared" si="112"/>
        <v/>
      </c>
      <c r="M668" s="1">
        <v>631</v>
      </c>
      <c r="N668" s="1" t="str">
        <f>IF($T668=0,"",INDEX(VIRMAN!$C$7:$C$406,$T668))</f>
        <v/>
      </c>
      <c r="O668" s="1" t="str">
        <f>IF($N668="","",INDEX(VIRMAN!$D$7:$D$406,$T668)&amp;" → "&amp;$C$36&amp;IF(INDEX(VIRMAN!$G$7:$G$406,$T668)="",""," – "&amp;INDEX(VIRMAN!$G$7:$G$406,$T668)))</f>
        <v/>
      </c>
      <c r="P668" s="1" t="str">
        <f t="shared" si="113"/>
        <v/>
      </c>
      <c r="Q668" s="1">
        <f>IF($N668="",0,INDEX(VIRMAN!$F$7:$F$406,$T668))</f>
        <v>0</v>
      </c>
      <c r="R668" s="1">
        <v>0</v>
      </c>
      <c r="S668" s="1">
        <f t="shared" si="109"/>
        <v>10000000000</v>
      </c>
      <c r="T668" s="1">
        <f>IFERROR(MATCH($C$36&amp;"|95",VIRMAN!$K$7:$K$406,0),0)</f>
        <v>0</v>
      </c>
      <c r="V668" s="1">
        <f t="shared" si="110"/>
        <v>10000000000</v>
      </c>
      <c r="W668" s="1">
        <f t="shared" si="111"/>
        <v>9</v>
      </c>
    </row>
    <row r="669" spans="2:23" ht="14.25" customHeight="1" x14ac:dyDescent="0.3">
      <c r="B669" s="65" t="str">
        <f t="shared" si="103"/>
        <v/>
      </c>
      <c r="C669" s="70" t="str">
        <f t="shared" si="104"/>
        <v/>
      </c>
      <c r="D669" s="74" t="str">
        <f t="shared" si="105"/>
        <v/>
      </c>
      <c r="F669" s="65" t="str">
        <f t="shared" si="106"/>
        <v/>
      </c>
      <c r="G669" s="68" t="str">
        <f t="shared" si="107"/>
        <v/>
      </c>
      <c r="H669" s="68" t="str">
        <f t="shared" si="108"/>
        <v/>
      </c>
      <c r="I669" s="68" t="str">
        <f t="shared" si="112"/>
        <v/>
      </c>
      <c r="M669" s="1">
        <v>632</v>
      </c>
      <c r="N669" s="1" t="str">
        <f>IF($T669=0,"",INDEX(VIRMAN!$C$7:$C$406,$T669))</f>
        <v/>
      </c>
      <c r="O669" s="1" t="str">
        <f>IF($N669="","",INDEX(VIRMAN!$D$7:$D$406,$T669)&amp;" → "&amp;$C$36&amp;IF(INDEX(VIRMAN!$G$7:$G$406,$T669)="",""," – "&amp;INDEX(VIRMAN!$G$7:$G$406,$T669)))</f>
        <v/>
      </c>
      <c r="P669" s="1" t="str">
        <f t="shared" si="113"/>
        <v/>
      </c>
      <c r="Q669" s="1">
        <f>IF($N669="",0,INDEX(VIRMAN!$F$7:$F$406,$T669))</f>
        <v>0</v>
      </c>
      <c r="R669" s="1">
        <v>0</v>
      </c>
      <c r="S669" s="1">
        <f t="shared" si="109"/>
        <v>10000000000</v>
      </c>
      <c r="T669" s="1">
        <f>IFERROR(MATCH($C$36&amp;"|96",VIRMAN!$K$7:$K$406,0),0)</f>
        <v>0</v>
      </c>
      <c r="V669" s="1">
        <f t="shared" si="110"/>
        <v>10000000000</v>
      </c>
      <c r="W669" s="1">
        <f t="shared" si="111"/>
        <v>9</v>
      </c>
    </row>
    <row r="670" spans="2:23" ht="14.25" customHeight="1" x14ac:dyDescent="0.3">
      <c r="B670" s="65" t="str">
        <f t="shared" si="103"/>
        <v/>
      </c>
      <c r="C670" s="70" t="str">
        <f t="shared" si="104"/>
        <v/>
      </c>
      <c r="D670" s="74" t="str">
        <f t="shared" si="105"/>
        <v/>
      </c>
      <c r="F670" s="65" t="str">
        <f t="shared" si="106"/>
        <v/>
      </c>
      <c r="G670" s="68" t="str">
        <f t="shared" si="107"/>
        <v/>
      </c>
      <c r="H670" s="68" t="str">
        <f t="shared" si="108"/>
        <v/>
      </c>
      <c r="I670" s="68" t="str">
        <f t="shared" si="112"/>
        <v/>
      </c>
      <c r="M670" s="1">
        <v>633</v>
      </c>
      <c r="N670" s="1" t="str">
        <f>IF($T670=0,"",INDEX(VIRMAN!$C$7:$C$406,$T670))</f>
        <v/>
      </c>
      <c r="O670" s="1" t="str">
        <f>IF($N670="","",INDEX(VIRMAN!$D$7:$D$406,$T670)&amp;" → "&amp;$C$36&amp;IF(INDEX(VIRMAN!$G$7:$G$406,$T670)="",""," – "&amp;INDEX(VIRMAN!$G$7:$G$406,$T670)))</f>
        <v/>
      </c>
      <c r="P670" s="1" t="str">
        <f t="shared" ref="P670:P701" si="114">IF($N670="","","VİRMAN GELDİ")</f>
        <v/>
      </c>
      <c r="Q670" s="1">
        <f>IF($N670="",0,INDEX(VIRMAN!$F$7:$F$406,$T670))</f>
        <v>0</v>
      </c>
      <c r="R670" s="1">
        <v>0</v>
      </c>
      <c r="S670" s="1">
        <f t="shared" si="109"/>
        <v>10000000000</v>
      </c>
      <c r="T670" s="1">
        <f>IFERROR(MATCH($C$36&amp;"|97",VIRMAN!$K$7:$K$406,0),0)</f>
        <v>0</v>
      </c>
      <c r="V670" s="1">
        <f t="shared" si="110"/>
        <v>10000000000</v>
      </c>
      <c r="W670" s="1">
        <f t="shared" si="111"/>
        <v>9</v>
      </c>
    </row>
    <row r="671" spans="2:23" ht="14.25" customHeight="1" x14ac:dyDescent="0.3">
      <c r="B671" s="65" t="str">
        <f t="shared" si="103"/>
        <v/>
      </c>
      <c r="C671" s="70" t="str">
        <f t="shared" si="104"/>
        <v/>
      </c>
      <c r="D671" s="74" t="str">
        <f t="shared" si="105"/>
        <v/>
      </c>
      <c r="F671" s="65" t="str">
        <f t="shared" si="106"/>
        <v/>
      </c>
      <c r="G671" s="68" t="str">
        <f t="shared" si="107"/>
        <v/>
      </c>
      <c r="H671" s="68" t="str">
        <f t="shared" si="108"/>
        <v/>
      </c>
      <c r="I671" s="68" t="str">
        <f t="shared" si="112"/>
        <v/>
      </c>
      <c r="M671" s="1">
        <v>634</v>
      </c>
      <c r="N671" s="1" t="str">
        <f>IF($T671=0,"",INDEX(VIRMAN!$C$7:$C$406,$T671))</f>
        <v/>
      </c>
      <c r="O671" s="1" t="str">
        <f>IF($N671="","",INDEX(VIRMAN!$D$7:$D$406,$T671)&amp;" → "&amp;$C$36&amp;IF(INDEX(VIRMAN!$G$7:$G$406,$T671)="",""," – "&amp;INDEX(VIRMAN!$G$7:$G$406,$T671)))</f>
        <v/>
      </c>
      <c r="P671" s="1" t="str">
        <f t="shared" si="114"/>
        <v/>
      </c>
      <c r="Q671" s="1">
        <f>IF($N671="",0,INDEX(VIRMAN!$F$7:$F$406,$T671))</f>
        <v>0</v>
      </c>
      <c r="R671" s="1">
        <v>0</v>
      </c>
      <c r="S671" s="1">
        <f t="shared" si="109"/>
        <v>10000000000</v>
      </c>
      <c r="T671" s="1">
        <f>IFERROR(MATCH($C$36&amp;"|98",VIRMAN!$K$7:$K$406,0),0)</f>
        <v>0</v>
      </c>
      <c r="V671" s="1">
        <f t="shared" si="110"/>
        <v>10000000000</v>
      </c>
      <c r="W671" s="1">
        <f t="shared" si="111"/>
        <v>9</v>
      </c>
    </row>
    <row r="672" spans="2:23" ht="14.25" customHeight="1" x14ac:dyDescent="0.3">
      <c r="B672" s="65" t="str">
        <f t="shared" si="103"/>
        <v/>
      </c>
      <c r="C672" s="70" t="str">
        <f t="shared" si="104"/>
        <v/>
      </c>
      <c r="D672" s="74" t="str">
        <f t="shared" si="105"/>
        <v/>
      </c>
      <c r="F672" s="65" t="str">
        <f t="shared" si="106"/>
        <v/>
      </c>
      <c r="G672" s="68" t="str">
        <f t="shared" si="107"/>
        <v/>
      </c>
      <c r="H672" s="68" t="str">
        <f t="shared" si="108"/>
        <v/>
      </c>
      <c r="I672" s="68" t="str">
        <f t="shared" si="112"/>
        <v/>
      </c>
      <c r="M672" s="1">
        <v>635</v>
      </c>
      <c r="N672" s="1" t="str">
        <f>IF($T672=0,"",INDEX(VIRMAN!$C$7:$C$406,$T672))</f>
        <v/>
      </c>
      <c r="O672" s="1" t="str">
        <f>IF($N672="","",INDEX(VIRMAN!$D$7:$D$406,$T672)&amp;" → "&amp;$C$36&amp;IF(INDEX(VIRMAN!$G$7:$G$406,$T672)="",""," – "&amp;INDEX(VIRMAN!$G$7:$G$406,$T672)))</f>
        <v/>
      </c>
      <c r="P672" s="1" t="str">
        <f t="shared" si="114"/>
        <v/>
      </c>
      <c r="Q672" s="1">
        <f>IF($N672="",0,INDEX(VIRMAN!$F$7:$F$406,$T672))</f>
        <v>0</v>
      </c>
      <c r="R672" s="1">
        <v>0</v>
      </c>
      <c r="S672" s="1">
        <f t="shared" si="109"/>
        <v>10000000000</v>
      </c>
      <c r="T672" s="1">
        <f>IFERROR(MATCH($C$36&amp;"|99",VIRMAN!$K$7:$K$406,0),0)</f>
        <v>0</v>
      </c>
      <c r="V672" s="1">
        <f t="shared" si="110"/>
        <v>10000000000</v>
      </c>
      <c r="W672" s="1">
        <f t="shared" si="111"/>
        <v>9</v>
      </c>
    </row>
    <row r="673" spans="2:23" ht="14.25" customHeight="1" x14ac:dyDescent="0.3">
      <c r="B673" s="65" t="str">
        <f t="shared" si="103"/>
        <v/>
      </c>
      <c r="C673" s="70" t="str">
        <f t="shared" si="104"/>
        <v/>
      </c>
      <c r="D673" s="74" t="str">
        <f t="shared" si="105"/>
        <v/>
      </c>
      <c r="F673" s="65" t="str">
        <f t="shared" si="106"/>
        <v/>
      </c>
      <c r="G673" s="68" t="str">
        <f t="shared" si="107"/>
        <v/>
      </c>
      <c r="H673" s="68" t="str">
        <f t="shared" si="108"/>
        <v/>
      </c>
      <c r="I673" s="68" t="str">
        <f t="shared" si="112"/>
        <v/>
      </c>
      <c r="M673" s="1">
        <v>636</v>
      </c>
      <c r="N673" s="1" t="str">
        <f>IF($T673=0,"",INDEX(VIRMAN!$C$7:$C$406,$T673))</f>
        <v/>
      </c>
      <c r="O673" s="1" t="str">
        <f>IF($N673="","",INDEX(VIRMAN!$D$7:$D$406,$T673)&amp;" → "&amp;$C$36&amp;IF(INDEX(VIRMAN!$G$7:$G$406,$T673)="",""," – "&amp;INDEX(VIRMAN!$G$7:$G$406,$T673)))</f>
        <v/>
      </c>
      <c r="P673" s="1" t="str">
        <f t="shared" si="114"/>
        <v/>
      </c>
      <c r="Q673" s="1">
        <f>IF($N673="",0,INDEX(VIRMAN!$F$7:$F$406,$T673))</f>
        <v>0</v>
      </c>
      <c r="R673" s="1">
        <v>0</v>
      </c>
      <c r="S673" s="1">
        <f t="shared" si="109"/>
        <v>10000000000</v>
      </c>
      <c r="T673" s="1">
        <f>IFERROR(MATCH($C$36&amp;"|100",VIRMAN!$K$7:$K$406,0),0)</f>
        <v>0</v>
      </c>
      <c r="V673" s="1">
        <f t="shared" si="110"/>
        <v>10000000000</v>
      </c>
      <c r="W673" s="1">
        <f t="shared" si="111"/>
        <v>9</v>
      </c>
    </row>
    <row r="674" spans="2:23" ht="14.25" customHeight="1" x14ac:dyDescent="0.3">
      <c r="B674" s="65" t="str">
        <f t="shared" si="103"/>
        <v/>
      </c>
      <c r="C674" s="70" t="str">
        <f t="shared" si="104"/>
        <v/>
      </c>
      <c r="D674" s="74" t="str">
        <f t="shared" si="105"/>
        <v/>
      </c>
      <c r="F674" s="65" t="str">
        <f t="shared" si="106"/>
        <v/>
      </c>
      <c r="G674" s="68" t="str">
        <f t="shared" si="107"/>
        <v/>
      </c>
      <c r="H674" s="68" t="str">
        <f t="shared" si="108"/>
        <v/>
      </c>
      <c r="I674" s="68" t="str">
        <f t="shared" si="112"/>
        <v/>
      </c>
      <c r="M674" s="1">
        <v>637</v>
      </c>
      <c r="N674" s="1" t="str">
        <f>IF($T674=0,"",INDEX(VIRMAN!$C$7:$C$406,$T674))</f>
        <v/>
      </c>
      <c r="O674" s="1" t="str">
        <f>IF($N674="","",INDEX(VIRMAN!$D$7:$D$406,$T674)&amp;" → "&amp;$C$36&amp;IF(INDEX(VIRMAN!$G$7:$G$406,$T674)="",""," – "&amp;INDEX(VIRMAN!$G$7:$G$406,$T674)))</f>
        <v/>
      </c>
      <c r="P674" s="1" t="str">
        <f t="shared" si="114"/>
        <v/>
      </c>
      <c r="Q674" s="1">
        <f>IF($N674="",0,INDEX(VIRMAN!$F$7:$F$406,$T674))</f>
        <v>0</v>
      </c>
      <c r="R674" s="1">
        <v>0</v>
      </c>
      <c r="S674" s="1">
        <f t="shared" si="109"/>
        <v>10000000000</v>
      </c>
      <c r="T674" s="1">
        <f>IFERROR(MATCH($C$36&amp;"|101",VIRMAN!$K$7:$K$406,0),0)</f>
        <v>0</v>
      </c>
      <c r="V674" s="1">
        <f t="shared" si="110"/>
        <v>10000000000</v>
      </c>
      <c r="W674" s="1">
        <f t="shared" si="111"/>
        <v>9</v>
      </c>
    </row>
    <row r="675" spans="2:23" ht="14.25" customHeight="1" x14ac:dyDescent="0.3">
      <c r="B675" s="65" t="str">
        <f t="shared" si="103"/>
        <v/>
      </c>
      <c r="C675" s="70" t="str">
        <f t="shared" si="104"/>
        <v/>
      </c>
      <c r="D675" s="74" t="str">
        <f t="shared" si="105"/>
        <v/>
      </c>
      <c r="F675" s="65" t="str">
        <f t="shared" si="106"/>
        <v/>
      </c>
      <c r="G675" s="68" t="str">
        <f t="shared" si="107"/>
        <v/>
      </c>
      <c r="H675" s="68" t="str">
        <f t="shared" si="108"/>
        <v/>
      </c>
      <c r="I675" s="68" t="str">
        <f t="shared" si="112"/>
        <v/>
      </c>
      <c r="M675" s="1">
        <v>638</v>
      </c>
      <c r="N675" s="1" t="str">
        <f>IF($T675=0,"",INDEX(VIRMAN!$C$7:$C$406,$T675))</f>
        <v/>
      </c>
      <c r="O675" s="1" t="str">
        <f>IF($N675="","",INDEX(VIRMAN!$D$7:$D$406,$T675)&amp;" → "&amp;$C$36&amp;IF(INDEX(VIRMAN!$G$7:$G$406,$T675)="",""," – "&amp;INDEX(VIRMAN!$G$7:$G$406,$T675)))</f>
        <v/>
      </c>
      <c r="P675" s="1" t="str">
        <f t="shared" si="114"/>
        <v/>
      </c>
      <c r="Q675" s="1">
        <f>IF($N675="",0,INDEX(VIRMAN!$F$7:$F$406,$T675))</f>
        <v>0</v>
      </c>
      <c r="R675" s="1">
        <v>0</v>
      </c>
      <c r="S675" s="1">
        <f t="shared" si="109"/>
        <v>10000000000</v>
      </c>
      <c r="T675" s="1">
        <f>IFERROR(MATCH($C$36&amp;"|102",VIRMAN!$K$7:$K$406,0),0)</f>
        <v>0</v>
      </c>
      <c r="V675" s="1">
        <f t="shared" si="110"/>
        <v>10000000000</v>
      </c>
      <c r="W675" s="1">
        <f t="shared" si="111"/>
        <v>9</v>
      </c>
    </row>
    <row r="676" spans="2:23" ht="14.25" customHeight="1" x14ac:dyDescent="0.3">
      <c r="B676" s="65" t="str">
        <f t="shared" si="103"/>
        <v/>
      </c>
      <c r="C676" s="70" t="str">
        <f t="shared" si="104"/>
        <v/>
      </c>
      <c r="D676" s="74" t="str">
        <f t="shared" si="105"/>
        <v/>
      </c>
      <c r="F676" s="65" t="str">
        <f t="shared" si="106"/>
        <v/>
      </c>
      <c r="G676" s="68" t="str">
        <f t="shared" si="107"/>
        <v/>
      </c>
      <c r="H676" s="68" t="str">
        <f t="shared" si="108"/>
        <v/>
      </c>
      <c r="I676" s="68" t="str">
        <f t="shared" si="112"/>
        <v/>
      </c>
      <c r="M676" s="1">
        <v>639</v>
      </c>
      <c r="N676" s="1" t="str">
        <f>IF($T676=0,"",INDEX(VIRMAN!$C$7:$C$406,$T676))</f>
        <v/>
      </c>
      <c r="O676" s="1" t="str">
        <f>IF($N676="","",INDEX(VIRMAN!$D$7:$D$406,$T676)&amp;" → "&amp;$C$36&amp;IF(INDEX(VIRMAN!$G$7:$G$406,$T676)="",""," – "&amp;INDEX(VIRMAN!$G$7:$G$406,$T676)))</f>
        <v/>
      </c>
      <c r="P676" s="1" t="str">
        <f t="shared" si="114"/>
        <v/>
      </c>
      <c r="Q676" s="1">
        <f>IF($N676="",0,INDEX(VIRMAN!$F$7:$F$406,$T676))</f>
        <v>0</v>
      </c>
      <c r="R676" s="1">
        <v>0</v>
      </c>
      <c r="S676" s="1">
        <f t="shared" si="109"/>
        <v>10000000000</v>
      </c>
      <c r="T676" s="1">
        <f>IFERROR(MATCH($C$36&amp;"|103",VIRMAN!$K$7:$K$406,0),0)</f>
        <v>0</v>
      </c>
      <c r="V676" s="1">
        <f t="shared" si="110"/>
        <v>10000000000</v>
      </c>
      <c r="W676" s="1">
        <f t="shared" si="111"/>
        <v>9</v>
      </c>
    </row>
    <row r="677" spans="2:23" ht="14.25" customHeight="1" x14ac:dyDescent="0.3">
      <c r="B677" s="65" t="str">
        <f t="shared" si="103"/>
        <v/>
      </c>
      <c r="C677" s="70" t="str">
        <f t="shared" si="104"/>
        <v/>
      </c>
      <c r="D677" s="74" t="str">
        <f t="shared" si="105"/>
        <v/>
      </c>
      <c r="F677" s="65" t="str">
        <f t="shared" si="106"/>
        <v/>
      </c>
      <c r="G677" s="68" t="str">
        <f t="shared" si="107"/>
        <v/>
      </c>
      <c r="H677" s="68" t="str">
        <f t="shared" si="108"/>
        <v/>
      </c>
      <c r="I677" s="68" t="str">
        <f t="shared" si="112"/>
        <v/>
      </c>
      <c r="M677" s="1">
        <v>640</v>
      </c>
      <c r="N677" s="1" t="str">
        <f>IF($T677=0,"",INDEX(VIRMAN!$C$7:$C$406,$T677))</f>
        <v/>
      </c>
      <c r="O677" s="1" t="str">
        <f>IF($N677="","",INDEX(VIRMAN!$D$7:$D$406,$T677)&amp;" → "&amp;$C$36&amp;IF(INDEX(VIRMAN!$G$7:$G$406,$T677)="",""," – "&amp;INDEX(VIRMAN!$G$7:$G$406,$T677)))</f>
        <v/>
      </c>
      <c r="P677" s="1" t="str">
        <f t="shared" si="114"/>
        <v/>
      </c>
      <c r="Q677" s="1">
        <f>IF($N677="",0,INDEX(VIRMAN!$F$7:$F$406,$T677))</f>
        <v>0</v>
      </c>
      <c r="R677" s="1">
        <v>0</v>
      </c>
      <c r="S677" s="1">
        <f t="shared" si="109"/>
        <v>10000000000</v>
      </c>
      <c r="T677" s="1">
        <f>IFERROR(MATCH($C$36&amp;"|104",VIRMAN!$K$7:$K$406,0),0)</f>
        <v>0</v>
      </c>
      <c r="V677" s="1">
        <f t="shared" si="110"/>
        <v>10000000000</v>
      </c>
      <c r="W677" s="1">
        <f t="shared" si="111"/>
        <v>9</v>
      </c>
    </row>
    <row r="678" spans="2:23" ht="14.25" customHeight="1" x14ac:dyDescent="0.3">
      <c r="B678" s="65" t="str">
        <f t="shared" ref="B678:B741" si="115">IF($C678="","",ROW()-37)</f>
        <v/>
      </c>
      <c r="C678" s="70" t="str">
        <f t="shared" ref="C678:C741" si="116">IF($W678="","",IF(INDEX($N$38:$N$953,$W678)="","",INDEX($N$38:$N$953,$W678)))</f>
        <v/>
      </c>
      <c r="D678" s="74" t="str">
        <f t="shared" ref="D678:D741" si="117">IF($C678="","",INDEX($O$38:$O$953,$W678))</f>
        <v/>
      </c>
      <c r="F678" s="65" t="str">
        <f t="shared" ref="F678:F741" si="118">IF($C678="","",INDEX($P$38:$P$953,$W678))</f>
        <v/>
      </c>
      <c r="G678" s="68" t="str">
        <f t="shared" ref="G678:G741" si="119">IF($C678="","",INDEX($Q$38:$Q$953,$W678))</f>
        <v/>
      </c>
      <c r="H678" s="68" t="str">
        <f t="shared" ref="H678:H741" si="120">IF($C678="","",INDEX($R$38:$R$953,$W678))</f>
        <v/>
      </c>
      <c r="I678" s="68" t="str">
        <f t="shared" si="112"/>
        <v/>
      </c>
      <c r="M678" s="1">
        <v>641</v>
      </c>
      <c r="N678" s="1" t="str">
        <f>IF($T678=0,"",INDEX(VIRMAN!$C$7:$C$406,$T678))</f>
        <v/>
      </c>
      <c r="O678" s="1" t="str">
        <f>IF($N678="","",INDEX(VIRMAN!$D$7:$D$406,$T678)&amp;" → "&amp;$C$36&amp;IF(INDEX(VIRMAN!$G$7:$G$406,$T678)="",""," – "&amp;INDEX(VIRMAN!$G$7:$G$406,$T678)))</f>
        <v/>
      </c>
      <c r="P678" s="1" t="str">
        <f t="shared" si="114"/>
        <v/>
      </c>
      <c r="Q678" s="1">
        <f>IF($N678="",0,INDEX(VIRMAN!$F$7:$F$406,$T678))</f>
        <v>0</v>
      </c>
      <c r="R678" s="1">
        <v>0</v>
      </c>
      <c r="S678" s="1">
        <f t="shared" ref="S678:S741" si="121">IF($N678="",10000000000,$N678*100000+$M678)</f>
        <v>10000000000</v>
      </c>
      <c r="T678" s="1">
        <f>IFERROR(MATCH($C$36&amp;"|105",VIRMAN!$K$7:$K$406,0),0)</f>
        <v>0</v>
      </c>
      <c r="V678" s="1">
        <f t="shared" ref="V678:V741" si="122">IFERROR(SMALL($S$38:$S$953,ROW()-37),"")</f>
        <v>10000000000</v>
      </c>
      <c r="W678" s="1">
        <f t="shared" ref="W678:W741" si="123">IFERROR(MATCH($V678,$S$38:$S$953,0),"")</f>
        <v>9</v>
      </c>
    </row>
    <row r="679" spans="2:23" ht="14.25" customHeight="1" x14ac:dyDescent="0.3">
      <c r="B679" s="65" t="str">
        <f t="shared" si="115"/>
        <v/>
      </c>
      <c r="C679" s="70" t="str">
        <f t="shared" si="116"/>
        <v/>
      </c>
      <c r="D679" s="74" t="str">
        <f t="shared" si="117"/>
        <v/>
      </c>
      <c r="F679" s="65" t="str">
        <f t="shared" si="118"/>
        <v/>
      </c>
      <c r="G679" s="68" t="str">
        <f t="shared" si="119"/>
        <v/>
      </c>
      <c r="H679" s="68" t="str">
        <f t="shared" si="120"/>
        <v/>
      </c>
      <c r="I679" s="68" t="str">
        <f t="shared" ref="I679:I742" si="124">IF($C679="","",N($I678)+$G679-$H679)</f>
        <v/>
      </c>
      <c r="M679" s="1">
        <v>642</v>
      </c>
      <c r="N679" s="1" t="str">
        <f>IF($T679=0,"",INDEX(VIRMAN!$C$7:$C$406,$T679))</f>
        <v/>
      </c>
      <c r="O679" s="1" t="str">
        <f>IF($N679="","",INDEX(VIRMAN!$D$7:$D$406,$T679)&amp;" → "&amp;$C$36&amp;IF(INDEX(VIRMAN!$G$7:$G$406,$T679)="",""," – "&amp;INDEX(VIRMAN!$G$7:$G$406,$T679)))</f>
        <v/>
      </c>
      <c r="P679" s="1" t="str">
        <f t="shared" si="114"/>
        <v/>
      </c>
      <c r="Q679" s="1">
        <f>IF($N679="",0,INDEX(VIRMAN!$F$7:$F$406,$T679))</f>
        <v>0</v>
      </c>
      <c r="R679" s="1">
        <v>0</v>
      </c>
      <c r="S679" s="1">
        <f t="shared" si="121"/>
        <v>10000000000</v>
      </c>
      <c r="T679" s="1">
        <f>IFERROR(MATCH($C$36&amp;"|106",VIRMAN!$K$7:$K$406,0),0)</f>
        <v>0</v>
      </c>
      <c r="V679" s="1">
        <f t="shared" si="122"/>
        <v>10000000000</v>
      </c>
      <c r="W679" s="1">
        <f t="shared" si="123"/>
        <v>9</v>
      </c>
    </row>
    <row r="680" spans="2:23" ht="14.25" customHeight="1" x14ac:dyDescent="0.3">
      <c r="B680" s="65" t="str">
        <f t="shared" si="115"/>
        <v/>
      </c>
      <c r="C680" s="70" t="str">
        <f t="shared" si="116"/>
        <v/>
      </c>
      <c r="D680" s="74" t="str">
        <f t="shared" si="117"/>
        <v/>
      </c>
      <c r="F680" s="65" t="str">
        <f t="shared" si="118"/>
        <v/>
      </c>
      <c r="G680" s="68" t="str">
        <f t="shared" si="119"/>
        <v/>
      </c>
      <c r="H680" s="68" t="str">
        <f t="shared" si="120"/>
        <v/>
      </c>
      <c r="I680" s="68" t="str">
        <f t="shared" si="124"/>
        <v/>
      </c>
      <c r="M680" s="1">
        <v>643</v>
      </c>
      <c r="N680" s="1" t="str">
        <f>IF($T680=0,"",INDEX(VIRMAN!$C$7:$C$406,$T680))</f>
        <v/>
      </c>
      <c r="O680" s="1" t="str">
        <f>IF($N680="","",INDEX(VIRMAN!$D$7:$D$406,$T680)&amp;" → "&amp;$C$36&amp;IF(INDEX(VIRMAN!$G$7:$G$406,$T680)="",""," – "&amp;INDEX(VIRMAN!$G$7:$G$406,$T680)))</f>
        <v/>
      </c>
      <c r="P680" s="1" t="str">
        <f t="shared" si="114"/>
        <v/>
      </c>
      <c r="Q680" s="1">
        <f>IF($N680="",0,INDEX(VIRMAN!$F$7:$F$406,$T680))</f>
        <v>0</v>
      </c>
      <c r="R680" s="1">
        <v>0</v>
      </c>
      <c r="S680" s="1">
        <f t="shared" si="121"/>
        <v>10000000000</v>
      </c>
      <c r="T680" s="1">
        <f>IFERROR(MATCH($C$36&amp;"|107",VIRMAN!$K$7:$K$406,0),0)</f>
        <v>0</v>
      </c>
      <c r="V680" s="1">
        <f t="shared" si="122"/>
        <v>10000000000</v>
      </c>
      <c r="W680" s="1">
        <f t="shared" si="123"/>
        <v>9</v>
      </c>
    </row>
    <row r="681" spans="2:23" ht="14.25" customHeight="1" x14ac:dyDescent="0.3">
      <c r="B681" s="65" t="str">
        <f t="shared" si="115"/>
        <v/>
      </c>
      <c r="C681" s="70" t="str">
        <f t="shared" si="116"/>
        <v/>
      </c>
      <c r="D681" s="74" t="str">
        <f t="shared" si="117"/>
        <v/>
      </c>
      <c r="F681" s="65" t="str">
        <f t="shared" si="118"/>
        <v/>
      </c>
      <c r="G681" s="68" t="str">
        <f t="shared" si="119"/>
        <v/>
      </c>
      <c r="H681" s="68" t="str">
        <f t="shared" si="120"/>
        <v/>
      </c>
      <c r="I681" s="68" t="str">
        <f t="shared" si="124"/>
        <v/>
      </c>
      <c r="M681" s="1">
        <v>644</v>
      </c>
      <c r="N681" s="1" t="str">
        <f>IF($T681=0,"",INDEX(VIRMAN!$C$7:$C$406,$T681))</f>
        <v/>
      </c>
      <c r="O681" s="1" t="str">
        <f>IF($N681="","",INDEX(VIRMAN!$D$7:$D$406,$T681)&amp;" → "&amp;$C$36&amp;IF(INDEX(VIRMAN!$G$7:$G$406,$T681)="",""," – "&amp;INDEX(VIRMAN!$G$7:$G$406,$T681)))</f>
        <v/>
      </c>
      <c r="P681" s="1" t="str">
        <f t="shared" si="114"/>
        <v/>
      </c>
      <c r="Q681" s="1">
        <f>IF($N681="",0,INDEX(VIRMAN!$F$7:$F$406,$T681))</f>
        <v>0</v>
      </c>
      <c r="R681" s="1">
        <v>0</v>
      </c>
      <c r="S681" s="1">
        <f t="shared" si="121"/>
        <v>10000000000</v>
      </c>
      <c r="T681" s="1">
        <f>IFERROR(MATCH($C$36&amp;"|108",VIRMAN!$K$7:$K$406,0),0)</f>
        <v>0</v>
      </c>
      <c r="V681" s="1">
        <f t="shared" si="122"/>
        <v>10000000000</v>
      </c>
      <c r="W681" s="1">
        <f t="shared" si="123"/>
        <v>9</v>
      </c>
    </row>
    <row r="682" spans="2:23" ht="14.25" customHeight="1" x14ac:dyDescent="0.3">
      <c r="B682" s="65" t="str">
        <f t="shared" si="115"/>
        <v/>
      </c>
      <c r="C682" s="70" t="str">
        <f t="shared" si="116"/>
        <v/>
      </c>
      <c r="D682" s="74" t="str">
        <f t="shared" si="117"/>
        <v/>
      </c>
      <c r="F682" s="65" t="str">
        <f t="shared" si="118"/>
        <v/>
      </c>
      <c r="G682" s="68" t="str">
        <f t="shared" si="119"/>
        <v/>
      </c>
      <c r="H682" s="68" t="str">
        <f t="shared" si="120"/>
        <v/>
      </c>
      <c r="I682" s="68" t="str">
        <f t="shared" si="124"/>
        <v/>
      </c>
      <c r="M682" s="1">
        <v>645</v>
      </c>
      <c r="N682" s="1" t="str">
        <f>IF($T682=0,"",INDEX(VIRMAN!$C$7:$C$406,$T682))</f>
        <v/>
      </c>
      <c r="O682" s="1" t="str">
        <f>IF($N682="","",INDEX(VIRMAN!$D$7:$D$406,$T682)&amp;" → "&amp;$C$36&amp;IF(INDEX(VIRMAN!$G$7:$G$406,$T682)="",""," – "&amp;INDEX(VIRMAN!$G$7:$G$406,$T682)))</f>
        <v/>
      </c>
      <c r="P682" s="1" t="str">
        <f t="shared" si="114"/>
        <v/>
      </c>
      <c r="Q682" s="1">
        <f>IF($N682="",0,INDEX(VIRMAN!$F$7:$F$406,$T682))</f>
        <v>0</v>
      </c>
      <c r="R682" s="1">
        <v>0</v>
      </c>
      <c r="S682" s="1">
        <f t="shared" si="121"/>
        <v>10000000000</v>
      </c>
      <c r="T682" s="1">
        <f>IFERROR(MATCH($C$36&amp;"|109",VIRMAN!$K$7:$K$406,0),0)</f>
        <v>0</v>
      </c>
      <c r="V682" s="1">
        <f t="shared" si="122"/>
        <v>10000000000</v>
      </c>
      <c r="W682" s="1">
        <f t="shared" si="123"/>
        <v>9</v>
      </c>
    </row>
    <row r="683" spans="2:23" ht="14.25" customHeight="1" x14ac:dyDescent="0.3">
      <c r="B683" s="65" t="str">
        <f t="shared" si="115"/>
        <v/>
      </c>
      <c r="C683" s="70" t="str">
        <f t="shared" si="116"/>
        <v/>
      </c>
      <c r="D683" s="74" t="str">
        <f t="shared" si="117"/>
        <v/>
      </c>
      <c r="F683" s="65" t="str">
        <f t="shared" si="118"/>
        <v/>
      </c>
      <c r="G683" s="68" t="str">
        <f t="shared" si="119"/>
        <v/>
      </c>
      <c r="H683" s="68" t="str">
        <f t="shared" si="120"/>
        <v/>
      </c>
      <c r="I683" s="68" t="str">
        <f t="shared" si="124"/>
        <v/>
      </c>
      <c r="M683" s="1">
        <v>646</v>
      </c>
      <c r="N683" s="1" t="str">
        <f>IF($T683=0,"",INDEX(VIRMAN!$C$7:$C$406,$T683))</f>
        <v/>
      </c>
      <c r="O683" s="1" t="str">
        <f>IF($N683="","",INDEX(VIRMAN!$D$7:$D$406,$T683)&amp;" → "&amp;$C$36&amp;IF(INDEX(VIRMAN!$G$7:$G$406,$T683)="",""," – "&amp;INDEX(VIRMAN!$G$7:$G$406,$T683)))</f>
        <v/>
      </c>
      <c r="P683" s="1" t="str">
        <f t="shared" si="114"/>
        <v/>
      </c>
      <c r="Q683" s="1">
        <f>IF($N683="",0,INDEX(VIRMAN!$F$7:$F$406,$T683))</f>
        <v>0</v>
      </c>
      <c r="R683" s="1">
        <v>0</v>
      </c>
      <c r="S683" s="1">
        <f t="shared" si="121"/>
        <v>10000000000</v>
      </c>
      <c r="T683" s="1">
        <f>IFERROR(MATCH($C$36&amp;"|110",VIRMAN!$K$7:$K$406,0),0)</f>
        <v>0</v>
      </c>
      <c r="V683" s="1">
        <f t="shared" si="122"/>
        <v>10000000000</v>
      </c>
      <c r="W683" s="1">
        <f t="shared" si="123"/>
        <v>9</v>
      </c>
    </row>
    <row r="684" spans="2:23" ht="14.25" customHeight="1" x14ac:dyDescent="0.3">
      <c r="B684" s="65" t="str">
        <f t="shared" si="115"/>
        <v/>
      </c>
      <c r="C684" s="70" t="str">
        <f t="shared" si="116"/>
        <v/>
      </c>
      <c r="D684" s="74" t="str">
        <f t="shared" si="117"/>
        <v/>
      </c>
      <c r="F684" s="65" t="str">
        <f t="shared" si="118"/>
        <v/>
      </c>
      <c r="G684" s="68" t="str">
        <f t="shared" si="119"/>
        <v/>
      </c>
      <c r="H684" s="68" t="str">
        <f t="shared" si="120"/>
        <v/>
      </c>
      <c r="I684" s="68" t="str">
        <f t="shared" si="124"/>
        <v/>
      </c>
      <c r="M684" s="1">
        <v>647</v>
      </c>
      <c r="N684" s="1" t="str">
        <f>IF($T684=0,"",INDEX(VIRMAN!$C$7:$C$406,$T684))</f>
        <v/>
      </c>
      <c r="O684" s="1" t="str">
        <f>IF($N684="","",INDEX(VIRMAN!$D$7:$D$406,$T684)&amp;" → "&amp;$C$36&amp;IF(INDEX(VIRMAN!$G$7:$G$406,$T684)="",""," – "&amp;INDEX(VIRMAN!$G$7:$G$406,$T684)))</f>
        <v/>
      </c>
      <c r="P684" s="1" t="str">
        <f t="shared" si="114"/>
        <v/>
      </c>
      <c r="Q684" s="1">
        <f>IF($N684="",0,INDEX(VIRMAN!$F$7:$F$406,$T684))</f>
        <v>0</v>
      </c>
      <c r="R684" s="1">
        <v>0</v>
      </c>
      <c r="S684" s="1">
        <f t="shared" si="121"/>
        <v>10000000000</v>
      </c>
      <c r="T684" s="1">
        <f>IFERROR(MATCH($C$36&amp;"|111",VIRMAN!$K$7:$K$406,0),0)</f>
        <v>0</v>
      </c>
      <c r="V684" s="1">
        <f t="shared" si="122"/>
        <v>10000000000</v>
      </c>
      <c r="W684" s="1">
        <f t="shared" si="123"/>
        <v>9</v>
      </c>
    </row>
    <row r="685" spans="2:23" ht="14.25" customHeight="1" x14ac:dyDescent="0.3">
      <c r="B685" s="65" t="str">
        <f t="shared" si="115"/>
        <v/>
      </c>
      <c r="C685" s="70" t="str">
        <f t="shared" si="116"/>
        <v/>
      </c>
      <c r="D685" s="74" t="str">
        <f t="shared" si="117"/>
        <v/>
      </c>
      <c r="F685" s="65" t="str">
        <f t="shared" si="118"/>
        <v/>
      </c>
      <c r="G685" s="68" t="str">
        <f t="shared" si="119"/>
        <v/>
      </c>
      <c r="H685" s="68" t="str">
        <f t="shared" si="120"/>
        <v/>
      </c>
      <c r="I685" s="68" t="str">
        <f t="shared" si="124"/>
        <v/>
      </c>
      <c r="M685" s="1">
        <v>648</v>
      </c>
      <c r="N685" s="1" t="str">
        <f>IF($T685=0,"",INDEX(VIRMAN!$C$7:$C$406,$T685))</f>
        <v/>
      </c>
      <c r="O685" s="1" t="str">
        <f>IF($N685="","",INDEX(VIRMAN!$D$7:$D$406,$T685)&amp;" → "&amp;$C$36&amp;IF(INDEX(VIRMAN!$G$7:$G$406,$T685)="",""," – "&amp;INDEX(VIRMAN!$G$7:$G$406,$T685)))</f>
        <v/>
      </c>
      <c r="P685" s="1" t="str">
        <f t="shared" si="114"/>
        <v/>
      </c>
      <c r="Q685" s="1">
        <f>IF($N685="",0,INDEX(VIRMAN!$F$7:$F$406,$T685))</f>
        <v>0</v>
      </c>
      <c r="R685" s="1">
        <v>0</v>
      </c>
      <c r="S685" s="1">
        <f t="shared" si="121"/>
        <v>10000000000</v>
      </c>
      <c r="T685" s="1">
        <f>IFERROR(MATCH($C$36&amp;"|112",VIRMAN!$K$7:$K$406,0),0)</f>
        <v>0</v>
      </c>
      <c r="V685" s="1">
        <f t="shared" si="122"/>
        <v>10000000000</v>
      </c>
      <c r="W685" s="1">
        <f t="shared" si="123"/>
        <v>9</v>
      </c>
    </row>
    <row r="686" spans="2:23" ht="14.25" customHeight="1" x14ac:dyDescent="0.3">
      <c r="B686" s="65" t="str">
        <f t="shared" si="115"/>
        <v/>
      </c>
      <c r="C686" s="70" t="str">
        <f t="shared" si="116"/>
        <v/>
      </c>
      <c r="D686" s="74" t="str">
        <f t="shared" si="117"/>
        <v/>
      </c>
      <c r="F686" s="65" t="str">
        <f t="shared" si="118"/>
        <v/>
      </c>
      <c r="G686" s="68" t="str">
        <f t="shared" si="119"/>
        <v/>
      </c>
      <c r="H686" s="68" t="str">
        <f t="shared" si="120"/>
        <v/>
      </c>
      <c r="I686" s="68" t="str">
        <f t="shared" si="124"/>
        <v/>
      </c>
      <c r="M686" s="1">
        <v>649</v>
      </c>
      <c r="N686" s="1" t="str">
        <f>IF($T686=0,"",INDEX(VIRMAN!$C$7:$C$406,$T686))</f>
        <v/>
      </c>
      <c r="O686" s="1" t="str">
        <f>IF($N686="","",INDEX(VIRMAN!$D$7:$D$406,$T686)&amp;" → "&amp;$C$36&amp;IF(INDEX(VIRMAN!$G$7:$G$406,$T686)="",""," – "&amp;INDEX(VIRMAN!$G$7:$G$406,$T686)))</f>
        <v/>
      </c>
      <c r="P686" s="1" t="str">
        <f t="shared" si="114"/>
        <v/>
      </c>
      <c r="Q686" s="1">
        <f>IF($N686="",0,INDEX(VIRMAN!$F$7:$F$406,$T686))</f>
        <v>0</v>
      </c>
      <c r="R686" s="1">
        <v>0</v>
      </c>
      <c r="S686" s="1">
        <f t="shared" si="121"/>
        <v>10000000000</v>
      </c>
      <c r="T686" s="1">
        <f>IFERROR(MATCH($C$36&amp;"|113",VIRMAN!$K$7:$K$406,0),0)</f>
        <v>0</v>
      </c>
      <c r="V686" s="1">
        <f t="shared" si="122"/>
        <v>10000000000</v>
      </c>
      <c r="W686" s="1">
        <f t="shared" si="123"/>
        <v>9</v>
      </c>
    </row>
    <row r="687" spans="2:23" ht="14.25" customHeight="1" x14ac:dyDescent="0.3">
      <c r="B687" s="65" t="str">
        <f t="shared" si="115"/>
        <v/>
      </c>
      <c r="C687" s="70" t="str">
        <f t="shared" si="116"/>
        <v/>
      </c>
      <c r="D687" s="74" t="str">
        <f t="shared" si="117"/>
        <v/>
      </c>
      <c r="F687" s="65" t="str">
        <f t="shared" si="118"/>
        <v/>
      </c>
      <c r="G687" s="68" t="str">
        <f t="shared" si="119"/>
        <v/>
      </c>
      <c r="H687" s="68" t="str">
        <f t="shared" si="120"/>
        <v/>
      </c>
      <c r="I687" s="68" t="str">
        <f t="shared" si="124"/>
        <v/>
      </c>
      <c r="M687" s="1">
        <v>650</v>
      </c>
      <c r="N687" s="1" t="str">
        <f>IF($T687=0,"",INDEX(VIRMAN!$C$7:$C$406,$T687))</f>
        <v/>
      </c>
      <c r="O687" s="1" t="str">
        <f>IF($N687="","",INDEX(VIRMAN!$D$7:$D$406,$T687)&amp;" → "&amp;$C$36&amp;IF(INDEX(VIRMAN!$G$7:$G$406,$T687)="",""," – "&amp;INDEX(VIRMAN!$G$7:$G$406,$T687)))</f>
        <v/>
      </c>
      <c r="P687" s="1" t="str">
        <f t="shared" si="114"/>
        <v/>
      </c>
      <c r="Q687" s="1">
        <f>IF($N687="",0,INDEX(VIRMAN!$F$7:$F$406,$T687))</f>
        <v>0</v>
      </c>
      <c r="R687" s="1">
        <v>0</v>
      </c>
      <c r="S687" s="1">
        <f t="shared" si="121"/>
        <v>10000000000</v>
      </c>
      <c r="T687" s="1">
        <f>IFERROR(MATCH($C$36&amp;"|114",VIRMAN!$K$7:$K$406,0),0)</f>
        <v>0</v>
      </c>
      <c r="V687" s="1">
        <f t="shared" si="122"/>
        <v>10000000000</v>
      </c>
      <c r="W687" s="1">
        <f t="shared" si="123"/>
        <v>9</v>
      </c>
    </row>
    <row r="688" spans="2:23" ht="14.25" customHeight="1" x14ac:dyDescent="0.3">
      <c r="B688" s="65" t="str">
        <f t="shared" si="115"/>
        <v/>
      </c>
      <c r="C688" s="70" t="str">
        <f t="shared" si="116"/>
        <v/>
      </c>
      <c r="D688" s="74" t="str">
        <f t="shared" si="117"/>
        <v/>
      </c>
      <c r="F688" s="65" t="str">
        <f t="shared" si="118"/>
        <v/>
      </c>
      <c r="G688" s="68" t="str">
        <f t="shared" si="119"/>
        <v/>
      </c>
      <c r="H688" s="68" t="str">
        <f t="shared" si="120"/>
        <v/>
      </c>
      <c r="I688" s="68" t="str">
        <f t="shared" si="124"/>
        <v/>
      </c>
      <c r="M688" s="1">
        <v>651</v>
      </c>
      <c r="N688" s="1" t="str">
        <f>IF($T688=0,"",INDEX(VIRMAN!$C$7:$C$406,$T688))</f>
        <v/>
      </c>
      <c r="O688" s="1" t="str">
        <f>IF($N688="","",INDEX(VIRMAN!$D$7:$D$406,$T688)&amp;" → "&amp;$C$36&amp;IF(INDEX(VIRMAN!$G$7:$G$406,$T688)="",""," – "&amp;INDEX(VIRMAN!$G$7:$G$406,$T688)))</f>
        <v/>
      </c>
      <c r="P688" s="1" t="str">
        <f t="shared" si="114"/>
        <v/>
      </c>
      <c r="Q688" s="1">
        <f>IF($N688="",0,INDEX(VIRMAN!$F$7:$F$406,$T688))</f>
        <v>0</v>
      </c>
      <c r="R688" s="1">
        <v>0</v>
      </c>
      <c r="S688" s="1">
        <f t="shared" si="121"/>
        <v>10000000000</v>
      </c>
      <c r="T688" s="1">
        <f>IFERROR(MATCH($C$36&amp;"|115",VIRMAN!$K$7:$K$406,0),0)</f>
        <v>0</v>
      </c>
      <c r="V688" s="1">
        <f t="shared" si="122"/>
        <v>10000000000</v>
      </c>
      <c r="W688" s="1">
        <f t="shared" si="123"/>
        <v>9</v>
      </c>
    </row>
    <row r="689" spans="2:23" ht="14.25" customHeight="1" x14ac:dyDescent="0.3">
      <c r="B689" s="65" t="str">
        <f t="shared" si="115"/>
        <v/>
      </c>
      <c r="C689" s="70" t="str">
        <f t="shared" si="116"/>
        <v/>
      </c>
      <c r="D689" s="74" t="str">
        <f t="shared" si="117"/>
        <v/>
      </c>
      <c r="F689" s="65" t="str">
        <f t="shared" si="118"/>
        <v/>
      </c>
      <c r="G689" s="68" t="str">
        <f t="shared" si="119"/>
        <v/>
      </c>
      <c r="H689" s="68" t="str">
        <f t="shared" si="120"/>
        <v/>
      </c>
      <c r="I689" s="68" t="str">
        <f t="shared" si="124"/>
        <v/>
      </c>
      <c r="M689" s="1">
        <v>652</v>
      </c>
      <c r="N689" s="1" t="str">
        <f>IF($T689=0,"",INDEX(VIRMAN!$C$7:$C$406,$T689))</f>
        <v/>
      </c>
      <c r="O689" s="1" t="str">
        <f>IF($N689="","",INDEX(VIRMAN!$D$7:$D$406,$T689)&amp;" → "&amp;$C$36&amp;IF(INDEX(VIRMAN!$G$7:$G$406,$T689)="",""," – "&amp;INDEX(VIRMAN!$G$7:$G$406,$T689)))</f>
        <v/>
      </c>
      <c r="P689" s="1" t="str">
        <f t="shared" si="114"/>
        <v/>
      </c>
      <c r="Q689" s="1">
        <f>IF($N689="",0,INDEX(VIRMAN!$F$7:$F$406,$T689))</f>
        <v>0</v>
      </c>
      <c r="R689" s="1">
        <v>0</v>
      </c>
      <c r="S689" s="1">
        <f t="shared" si="121"/>
        <v>10000000000</v>
      </c>
      <c r="T689" s="1">
        <f>IFERROR(MATCH($C$36&amp;"|116",VIRMAN!$K$7:$K$406,0),0)</f>
        <v>0</v>
      </c>
      <c r="V689" s="1">
        <f t="shared" si="122"/>
        <v>10000000000</v>
      </c>
      <c r="W689" s="1">
        <f t="shared" si="123"/>
        <v>9</v>
      </c>
    </row>
    <row r="690" spans="2:23" ht="14.25" customHeight="1" x14ac:dyDescent="0.3">
      <c r="B690" s="65" t="str">
        <f t="shared" si="115"/>
        <v/>
      </c>
      <c r="C690" s="70" t="str">
        <f t="shared" si="116"/>
        <v/>
      </c>
      <c r="D690" s="74" t="str">
        <f t="shared" si="117"/>
        <v/>
      </c>
      <c r="F690" s="65" t="str">
        <f t="shared" si="118"/>
        <v/>
      </c>
      <c r="G690" s="68" t="str">
        <f t="shared" si="119"/>
        <v/>
      </c>
      <c r="H690" s="68" t="str">
        <f t="shared" si="120"/>
        <v/>
      </c>
      <c r="I690" s="68" t="str">
        <f t="shared" si="124"/>
        <v/>
      </c>
      <c r="M690" s="1">
        <v>653</v>
      </c>
      <c r="N690" s="1" t="str">
        <f>IF($T690=0,"",INDEX(VIRMAN!$C$7:$C$406,$T690))</f>
        <v/>
      </c>
      <c r="O690" s="1" t="str">
        <f>IF($N690="","",INDEX(VIRMAN!$D$7:$D$406,$T690)&amp;" → "&amp;$C$36&amp;IF(INDEX(VIRMAN!$G$7:$G$406,$T690)="",""," – "&amp;INDEX(VIRMAN!$G$7:$G$406,$T690)))</f>
        <v/>
      </c>
      <c r="P690" s="1" t="str">
        <f t="shared" si="114"/>
        <v/>
      </c>
      <c r="Q690" s="1">
        <f>IF($N690="",0,INDEX(VIRMAN!$F$7:$F$406,$T690))</f>
        <v>0</v>
      </c>
      <c r="R690" s="1">
        <v>0</v>
      </c>
      <c r="S690" s="1">
        <f t="shared" si="121"/>
        <v>10000000000</v>
      </c>
      <c r="T690" s="1">
        <f>IFERROR(MATCH($C$36&amp;"|117",VIRMAN!$K$7:$K$406,0),0)</f>
        <v>0</v>
      </c>
      <c r="V690" s="1">
        <f t="shared" si="122"/>
        <v>10000000000</v>
      </c>
      <c r="W690" s="1">
        <f t="shared" si="123"/>
        <v>9</v>
      </c>
    </row>
    <row r="691" spans="2:23" ht="14.25" customHeight="1" x14ac:dyDescent="0.3">
      <c r="B691" s="65" t="str">
        <f t="shared" si="115"/>
        <v/>
      </c>
      <c r="C691" s="70" t="str">
        <f t="shared" si="116"/>
        <v/>
      </c>
      <c r="D691" s="74" t="str">
        <f t="shared" si="117"/>
        <v/>
      </c>
      <c r="F691" s="65" t="str">
        <f t="shared" si="118"/>
        <v/>
      </c>
      <c r="G691" s="68" t="str">
        <f t="shared" si="119"/>
        <v/>
      </c>
      <c r="H691" s="68" t="str">
        <f t="shared" si="120"/>
        <v/>
      </c>
      <c r="I691" s="68" t="str">
        <f t="shared" si="124"/>
        <v/>
      </c>
      <c r="M691" s="1">
        <v>654</v>
      </c>
      <c r="N691" s="1" t="str">
        <f>IF($T691=0,"",INDEX(VIRMAN!$C$7:$C$406,$T691))</f>
        <v/>
      </c>
      <c r="O691" s="1" t="str">
        <f>IF($N691="","",INDEX(VIRMAN!$D$7:$D$406,$T691)&amp;" → "&amp;$C$36&amp;IF(INDEX(VIRMAN!$G$7:$G$406,$T691)="",""," – "&amp;INDEX(VIRMAN!$G$7:$G$406,$T691)))</f>
        <v/>
      </c>
      <c r="P691" s="1" t="str">
        <f t="shared" si="114"/>
        <v/>
      </c>
      <c r="Q691" s="1">
        <f>IF($N691="",0,INDEX(VIRMAN!$F$7:$F$406,$T691))</f>
        <v>0</v>
      </c>
      <c r="R691" s="1">
        <v>0</v>
      </c>
      <c r="S691" s="1">
        <f t="shared" si="121"/>
        <v>10000000000</v>
      </c>
      <c r="T691" s="1">
        <f>IFERROR(MATCH($C$36&amp;"|118",VIRMAN!$K$7:$K$406,0),0)</f>
        <v>0</v>
      </c>
      <c r="V691" s="1">
        <f t="shared" si="122"/>
        <v>10000000000</v>
      </c>
      <c r="W691" s="1">
        <f t="shared" si="123"/>
        <v>9</v>
      </c>
    </row>
    <row r="692" spans="2:23" ht="14.25" customHeight="1" x14ac:dyDescent="0.3">
      <c r="B692" s="65" t="str">
        <f t="shared" si="115"/>
        <v/>
      </c>
      <c r="C692" s="70" t="str">
        <f t="shared" si="116"/>
        <v/>
      </c>
      <c r="D692" s="74" t="str">
        <f t="shared" si="117"/>
        <v/>
      </c>
      <c r="F692" s="65" t="str">
        <f t="shared" si="118"/>
        <v/>
      </c>
      <c r="G692" s="68" t="str">
        <f t="shared" si="119"/>
        <v/>
      </c>
      <c r="H692" s="68" t="str">
        <f t="shared" si="120"/>
        <v/>
      </c>
      <c r="I692" s="68" t="str">
        <f t="shared" si="124"/>
        <v/>
      </c>
      <c r="M692" s="1">
        <v>655</v>
      </c>
      <c r="N692" s="1" t="str">
        <f>IF($T692=0,"",INDEX(VIRMAN!$C$7:$C$406,$T692))</f>
        <v/>
      </c>
      <c r="O692" s="1" t="str">
        <f>IF($N692="","",INDEX(VIRMAN!$D$7:$D$406,$T692)&amp;" → "&amp;$C$36&amp;IF(INDEX(VIRMAN!$G$7:$G$406,$T692)="",""," – "&amp;INDEX(VIRMAN!$G$7:$G$406,$T692)))</f>
        <v/>
      </c>
      <c r="P692" s="1" t="str">
        <f t="shared" si="114"/>
        <v/>
      </c>
      <c r="Q692" s="1">
        <f>IF($N692="",0,INDEX(VIRMAN!$F$7:$F$406,$T692))</f>
        <v>0</v>
      </c>
      <c r="R692" s="1">
        <v>0</v>
      </c>
      <c r="S692" s="1">
        <f t="shared" si="121"/>
        <v>10000000000</v>
      </c>
      <c r="T692" s="1">
        <f>IFERROR(MATCH($C$36&amp;"|119",VIRMAN!$K$7:$K$406,0),0)</f>
        <v>0</v>
      </c>
      <c r="V692" s="1">
        <f t="shared" si="122"/>
        <v>10000000000</v>
      </c>
      <c r="W692" s="1">
        <f t="shared" si="123"/>
        <v>9</v>
      </c>
    </row>
    <row r="693" spans="2:23" ht="14.25" customHeight="1" x14ac:dyDescent="0.3">
      <c r="B693" s="65" t="str">
        <f t="shared" si="115"/>
        <v/>
      </c>
      <c r="C693" s="70" t="str">
        <f t="shared" si="116"/>
        <v/>
      </c>
      <c r="D693" s="74" t="str">
        <f t="shared" si="117"/>
        <v/>
      </c>
      <c r="F693" s="65" t="str">
        <f t="shared" si="118"/>
        <v/>
      </c>
      <c r="G693" s="68" t="str">
        <f t="shared" si="119"/>
        <v/>
      </c>
      <c r="H693" s="68" t="str">
        <f t="shared" si="120"/>
        <v/>
      </c>
      <c r="I693" s="68" t="str">
        <f t="shared" si="124"/>
        <v/>
      </c>
      <c r="M693" s="1">
        <v>656</v>
      </c>
      <c r="N693" s="1" t="str">
        <f>IF($T693=0,"",INDEX(VIRMAN!$C$7:$C$406,$T693))</f>
        <v/>
      </c>
      <c r="O693" s="1" t="str">
        <f>IF($N693="","",INDEX(VIRMAN!$D$7:$D$406,$T693)&amp;" → "&amp;$C$36&amp;IF(INDEX(VIRMAN!$G$7:$G$406,$T693)="",""," – "&amp;INDEX(VIRMAN!$G$7:$G$406,$T693)))</f>
        <v/>
      </c>
      <c r="P693" s="1" t="str">
        <f t="shared" si="114"/>
        <v/>
      </c>
      <c r="Q693" s="1">
        <f>IF($N693="",0,INDEX(VIRMAN!$F$7:$F$406,$T693))</f>
        <v>0</v>
      </c>
      <c r="R693" s="1">
        <v>0</v>
      </c>
      <c r="S693" s="1">
        <f t="shared" si="121"/>
        <v>10000000000</v>
      </c>
      <c r="T693" s="1">
        <f>IFERROR(MATCH($C$36&amp;"|120",VIRMAN!$K$7:$K$406,0),0)</f>
        <v>0</v>
      </c>
      <c r="V693" s="1">
        <f t="shared" si="122"/>
        <v>10000000000</v>
      </c>
      <c r="W693" s="1">
        <f t="shared" si="123"/>
        <v>9</v>
      </c>
    </row>
    <row r="694" spans="2:23" ht="14.25" customHeight="1" x14ac:dyDescent="0.3">
      <c r="B694" s="65" t="str">
        <f t="shared" si="115"/>
        <v/>
      </c>
      <c r="C694" s="70" t="str">
        <f t="shared" si="116"/>
        <v/>
      </c>
      <c r="D694" s="74" t="str">
        <f t="shared" si="117"/>
        <v/>
      </c>
      <c r="F694" s="65" t="str">
        <f t="shared" si="118"/>
        <v/>
      </c>
      <c r="G694" s="68" t="str">
        <f t="shared" si="119"/>
        <v/>
      </c>
      <c r="H694" s="68" t="str">
        <f t="shared" si="120"/>
        <v/>
      </c>
      <c r="I694" s="68" t="str">
        <f t="shared" si="124"/>
        <v/>
      </c>
      <c r="M694" s="1">
        <v>657</v>
      </c>
      <c r="N694" s="1" t="str">
        <f>IF($T694=0,"",INDEX(VIRMAN!$C$7:$C$406,$T694))</f>
        <v/>
      </c>
      <c r="O694" s="1" t="str">
        <f>IF($N694="","",INDEX(VIRMAN!$D$7:$D$406,$T694)&amp;" → "&amp;$C$36&amp;IF(INDEX(VIRMAN!$G$7:$G$406,$T694)="",""," – "&amp;INDEX(VIRMAN!$G$7:$G$406,$T694)))</f>
        <v/>
      </c>
      <c r="P694" s="1" t="str">
        <f t="shared" si="114"/>
        <v/>
      </c>
      <c r="Q694" s="1">
        <f>IF($N694="",0,INDEX(VIRMAN!$F$7:$F$406,$T694))</f>
        <v>0</v>
      </c>
      <c r="R694" s="1">
        <v>0</v>
      </c>
      <c r="S694" s="1">
        <f t="shared" si="121"/>
        <v>10000000000</v>
      </c>
      <c r="T694" s="1">
        <f>IFERROR(MATCH($C$36&amp;"|121",VIRMAN!$K$7:$K$406,0),0)</f>
        <v>0</v>
      </c>
      <c r="V694" s="1">
        <f t="shared" si="122"/>
        <v>10000000000</v>
      </c>
      <c r="W694" s="1">
        <f t="shared" si="123"/>
        <v>9</v>
      </c>
    </row>
    <row r="695" spans="2:23" ht="14.25" customHeight="1" x14ac:dyDescent="0.3">
      <c r="B695" s="65" t="str">
        <f t="shared" si="115"/>
        <v/>
      </c>
      <c r="C695" s="70" t="str">
        <f t="shared" si="116"/>
        <v/>
      </c>
      <c r="D695" s="74" t="str">
        <f t="shared" si="117"/>
        <v/>
      </c>
      <c r="F695" s="65" t="str">
        <f t="shared" si="118"/>
        <v/>
      </c>
      <c r="G695" s="68" t="str">
        <f t="shared" si="119"/>
        <v/>
      </c>
      <c r="H695" s="68" t="str">
        <f t="shared" si="120"/>
        <v/>
      </c>
      <c r="I695" s="68" t="str">
        <f t="shared" si="124"/>
        <v/>
      </c>
      <c r="M695" s="1">
        <v>658</v>
      </c>
      <c r="N695" s="1" t="str">
        <f>IF($T695=0,"",INDEX(VIRMAN!$C$7:$C$406,$T695))</f>
        <v/>
      </c>
      <c r="O695" s="1" t="str">
        <f>IF($N695="","",INDEX(VIRMAN!$D$7:$D$406,$T695)&amp;" → "&amp;$C$36&amp;IF(INDEX(VIRMAN!$G$7:$G$406,$T695)="",""," – "&amp;INDEX(VIRMAN!$G$7:$G$406,$T695)))</f>
        <v/>
      </c>
      <c r="P695" s="1" t="str">
        <f t="shared" si="114"/>
        <v/>
      </c>
      <c r="Q695" s="1">
        <f>IF($N695="",0,INDEX(VIRMAN!$F$7:$F$406,$T695))</f>
        <v>0</v>
      </c>
      <c r="R695" s="1">
        <v>0</v>
      </c>
      <c r="S695" s="1">
        <f t="shared" si="121"/>
        <v>10000000000</v>
      </c>
      <c r="T695" s="1">
        <f>IFERROR(MATCH($C$36&amp;"|122",VIRMAN!$K$7:$K$406,0),0)</f>
        <v>0</v>
      </c>
      <c r="V695" s="1">
        <f t="shared" si="122"/>
        <v>10000000000</v>
      </c>
      <c r="W695" s="1">
        <f t="shared" si="123"/>
        <v>9</v>
      </c>
    </row>
    <row r="696" spans="2:23" ht="14.25" customHeight="1" x14ac:dyDescent="0.3">
      <c r="B696" s="65" t="str">
        <f t="shared" si="115"/>
        <v/>
      </c>
      <c r="C696" s="70" t="str">
        <f t="shared" si="116"/>
        <v/>
      </c>
      <c r="D696" s="74" t="str">
        <f t="shared" si="117"/>
        <v/>
      </c>
      <c r="F696" s="65" t="str">
        <f t="shared" si="118"/>
        <v/>
      </c>
      <c r="G696" s="68" t="str">
        <f t="shared" si="119"/>
        <v/>
      </c>
      <c r="H696" s="68" t="str">
        <f t="shared" si="120"/>
        <v/>
      </c>
      <c r="I696" s="68" t="str">
        <f t="shared" si="124"/>
        <v/>
      </c>
      <c r="M696" s="1">
        <v>659</v>
      </c>
      <c r="N696" s="1" t="str">
        <f>IF($T696=0,"",INDEX(VIRMAN!$C$7:$C$406,$T696))</f>
        <v/>
      </c>
      <c r="O696" s="1" t="str">
        <f>IF($N696="","",INDEX(VIRMAN!$D$7:$D$406,$T696)&amp;" → "&amp;$C$36&amp;IF(INDEX(VIRMAN!$G$7:$G$406,$T696)="",""," – "&amp;INDEX(VIRMAN!$G$7:$G$406,$T696)))</f>
        <v/>
      </c>
      <c r="P696" s="1" t="str">
        <f t="shared" si="114"/>
        <v/>
      </c>
      <c r="Q696" s="1">
        <f>IF($N696="",0,INDEX(VIRMAN!$F$7:$F$406,$T696))</f>
        <v>0</v>
      </c>
      <c r="R696" s="1">
        <v>0</v>
      </c>
      <c r="S696" s="1">
        <f t="shared" si="121"/>
        <v>10000000000</v>
      </c>
      <c r="T696" s="1">
        <f>IFERROR(MATCH($C$36&amp;"|123",VIRMAN!$K$7:$K$406,0),0)</f>
        <v>0</v>
      </c>
      <c r="V696" s="1">
        <f t="shared" si="122"/>
        <v>10000000000</v>
      </c>
      <c r="W696" s="1">
        <f t="shared" si="123"/>
        <v>9</v>
      </c>
    </row>
    <row r="697" spans="2:23" ht="14.25" customHeight="1" x14ac:dyDescent="0.3">
      <c r="B697" s="65" t="str">
        <f t="shared" si="115"/>
        <v/>
      </c>
      <c r="C697" s="70" t="str">
        <f t="shared" si="116"/>
        <v/>
      </c>
      <c r="D697" s="74" t="str">
        <f t="shared" si="117"/>
        <v/>
      </c>
      <c r="F697" s="65" t="str">
        <f t="shared" si="118"/>
        <v/>
      </c>
      <c r="G697" s="68" t="str">
        <f t="shared" si="119"/>
        <v/>
      </c>
      <c r="H697" s="68" t="str">
        <f t="shared" si="120"/>
        <v/>
      </c>
      <c r="I697" s="68" t="str">
        <f t="shared" si="124"/>
        <v/>
      </c>
      <c r="M697" s="1">
        <v>660</v>
      </c>
      <c r="N697" s="1" t="str">
        <f>IF($T697=0,"",INDEX(VIRMAN!$C$7:$C$406,$T697))</f>
        <v/>
      </c>
      <c r="O697" s="1" t="str">
        <f>IF($N697="","",INDEX(VIRMAN!$D$7:$D$406,$T697)&amp;" → "&amp;$C$36&amp;IF(INDEX(VIRMAN!$G$7:$G$406,$T697)="",""," – "&amp;INDEX(VIRMAN!$G$7:$G$406,$T697)))</f>
        <v/>
      </c>
      <c r="P697" s="1" t="str">
        <f t="shared" si="114"/>
        <v/>
      </c>
      <c r="Q697" s="1">
        <f>IF($N697="",0,INDEX(VIRMAN!$F$7:$F$406,$T697))</f>
        <v>0</v>
      </c>
      <c r="R697" s="1">
        <v>0</v>
      </c>
      <c r="S697" s="1">
        <f t="shared" si="121"/>
        <v>10000000000</v>
      </c>
      <c r="T697" s="1">
        <f>IFERROR(MATCH($C$36&amp;"|124",VIRMAN!$K$7:$K$406,0),0)</f>
        <v>0</v>
      </c>
      <c r="V697" s="1">
        <f t="shared" si="122"/>
        <v>10000000000</v>
      </c>
      <c r="W697" s="1">
        <f t="shared" si="123"/>
        <v>9</v>
      </c>
    </row>
    <row r="698" spans="2:23" ht="14.25" customHeight="1" x14ac:dyDescent="0.3">
      <c r="B698" s="65" t="str">
        <f t="shared" si="115"/>
        <v/>
      </c>
      <c r="C698" s="70" t="str">
        <f t="shared" si="116"/>
        <v/>
      </c>
      <c r="D698" s="74" t="str">
        <f t="shared" si="117"/>
        <v/>
      </c>
      <c r="F698" s="65" t="str">
        <f t="shared" si="118"/>
        <v/>
      </c>
      <c r="G698" s="68" t="str">
        <f t="shared" si="119"/>
        <v/>
      </c>
      <c r="H698" s="68" t="str">
        <f t="shared" si="120"/>
        <v/>
      </c>
      <c r="I698" s="68" t="str">
        <f t="shared" si="124"/>
        <v/>
      </c>
      <c r="M698" s="1">
        <v>661</v>
      </c>
      <c r="N698" s="1" t="str">
        <f>IF($T698=0,"",INDEX(VIRMAN!$C$7:$C$406,$T698))</f>
        <v/>
      </c>
      <c r="O698" s="1" t="str">
        <f>IF($N698="","",INDEX(VIRMAN!$D$7:$D$406,$T698)&amp;" → "&amp;$C$36&amp;IF(INDEX(VIRMAN!$G$7:$G$406,$T698)="",""," – "&amp;INDEX(VIRMAN!$G$7:$G$406,$T698)))</f>
        <v/>
      </c>
      <c r="P698" s="1" t="str">
        <f t="shared" si="114"/>
        <v/>
      </c>
      <c r="Q698" s="1">
        <f>IF($N698="",0,INDEX(VIRMAN!$F$7:$F$406,$T698))</f>
        <v>0</v>
      </c>
      <c r="R698" s="1">
        <v>0</v>
      </c>
      <c r="S698" s="1">
        <f t="shared" si="121"/>
        <v>10000000000</v>
      </c>
      <c r="T698" s="1">
        <f>IFERROR(MATCH($C$36&amp;"|125",VIRMAN!$K$7:$K$406,0),0)</f>
        <v>0</v>
      </c>
      <c r="V698" s="1">
        <f t="shared" si="122"/>
        <v>10000000000</v>
      </c>
      <c r="W698" s="1">
        <f t="shared" si="123"/>
        <v>9</v>
      </c>
    </row>
    <row r="699" spans="2:23" ht="14.25" customHeight="1" x14ac:dyDescent="0.3">
      <c r="B699" s="65" t="str">
        <f t="shared" si="115"/>
        <v/>
      </c>
      <c r="C699" s="70" t="str">
        <f t="shared" si="116"/>
        <v/>
      </c>
      <c r="D699" s="74" t="str">
        <f t="shared" si="117"/>
        <v/>
      </c>
      <c r="F699" s="65" t="str">
        <f t="shared" si="118"/>
        <v/>
      </c>
      <c r="G699" s="68" t="str">
        <f t="shared" si="119"/>
        <v/>
      </c>
      <c r="H699" s="68" t="str">
        <f t="shared" si="120"/>
        <v/>
      </c>
      <c r="I699" s="68" t="str">
        <f t="shared" si="124"/>
        <v/>
      </c>
      <c r="M699" s="1">
        <v>662</v>
      </c>
      <c r="N699" s="1" t="str">
        <f>IF($T699=0,"",INDEX(VIRMAN!$C$7:$C$406,$T699))</f>
        <v/>
      </c>
      <c r="O699" s="1" t="str">
        <f>IF($N699="","",INDEX(VIRMAN!$D$7:$D$406,$T699)&amp;" → "&amp;$C$36&amp;IF(INDEX(VIRMAN!$G$7:$G$406,$T699)="",""," – "&amp;INDEX(VIRMAN!$G$7:$G$406,$T699)))</f>
        <v/>
      </c>
      <c r="P699" s="1" t="str">
        <f t="shared" si="114"/>
        <v/>
      </c>
      <c r="Q699" s="1">
        <f>IF($N699="",0,INDEX(VIRMAN!$F$7:$F$406,$T699))</f>
        <v>0</v>
      </c>
      <c r="R699" s="1">
        <v>0</v>
      </c>
      <c r="S699" s="1">
        <f t="shared" si="121"/>
        <v>10000000000</v>
      </c>
      <c r="T699" s="1">
        <f>IFERROR(MATCH($C$36&amp;"|126",VIRMAN!$K$7:$K$406,0),0)</f>
        <v>0</v>
      </c>
      <c r="V699" s="1">
        <f t="shared" si="122"/>
        <v>10000000000</v>
      </c>
      <c r="W699" s="1">
        <f t="shared" si="123"/>
        <v>9</v>
      </c>
    </row>
    <row r="700" spans="2:23" ht="14.25" customHeight="1" x14ac:dyDescent="0.3">
      <c r="B700" s="65" t="str">
        <f t="shared" si="115"/>
        <v/>
      </c>
      <c r="C700" s="70" t="str">
        <f t="shared" si="116"/>
        <v/>
      </c>
      <c r="D700" s="74" t="str">
        <f t="shared" si="117"/>
        <v/>
      </c>
      <c r="F700" s="65" t="str">
        <f t="shared" si="118"/>
        <v/>
      </c>
      <c r="G700" s="68" t="str">
        <f t="shared" si="119"/>
        <v/>
      </c>
      <c r="H700" s="68" t="str">
        <f t="shared" si="120"/>
        <v/>
      </c>
      <c r="I700" s="68" t="str">
        <f t="shared" si="124"/>
        <v/>
      </c>
      <c r="M700" s="1">
        <v>663</v>
      </c>
      <c r="N700" s="1" t="str">
        <f>IF($T700=0,"",INDEX(VIRMAN!$C$7:$C$406,$T700))</f>
        <v/>
      </c>
      <c r="O700" s="1" t="str">
        <f>IF($N700="","",INDEX(VIRMAN!$D$7:$D$406,$T700)&amp;" → "&amp;$C$36&amp;IF(INDEX(VIRMAN!$G$7:$G$406,$T700)="",""," – "&amp;INDEX(VIRMAN!$G$7:$G$406,$T700)))</f>
        <v/>
      </c>
      <c r="P700" s="1" t="str">
        <f t="shared" si="114"/>
        <v/>
      </c>
      <c r="Q700" s="1">
        <f>IF($N700="",0,INDEX(VIRMAN!$F$7:$F$406,$T700))</f>
        <v>0</v>
      </c>
      <c r="R700" s="1">
        <v>0</v>
      </c>
      <c r="S700" s="1">
        <f t="shared" si="121"/>
        <v>10000000000</v>
      </c>
      <c r="T700" s="1">
        <f>IFERROR(MATCH($C$36&amp;"|127",VIRMAN!$K$7:$K$406,0),0)</f>
        <v>0</v>
      </c>
      <c r="V700" s="1">
        <f t="shared" si="122"/>
        <v>10000000000</v>
      </c>
      <c r="W700" s="1">
        <f t="shared" si="123"/>
        <v>9</v>
      </c>
    </row>
    <row r="701" spans="2:23" ht="14.25" customHeight="1" x14ac:dyDescent="0.3">
      <c r="B701" s="65" t="str">
        <f t="shared" si="115"/>
        <v/>
      </c>
      <c r="C701" s="70" t="str">
        <f t="shared" si="116"/>
        <v/>
      </c>
      <c r="D701" s="74" t="str">
        <f t="shared" si="117"/>
        <v/>
      </c>
      <c r="F701" s="65" t="str">
        <f t="shared" si="118"/>
        <v/>
      </c>
      <c r="G701" s="68" t="str">
        <f t="shared" si="119"/>
        <v/>
      </c>
      <c r="H701" s="68" t="str">
        <f t="shared" si="120"/>
        <v/>
      </c>
      <c r="I701" s="68" t="str">
        <f t="shared" si="124"/>
        <v/>
      </c>
      <c r="M701" s="1">
        <v>664</v>
      </c>
      <c r="N701" s="1" t="str">
        <f>IF($T701=0,"",INDEX(VIRMAN!$C$7:$C$406,$T701))</f>
        <v/>
      </c>
      <c r="O701" s="1" t="str">
        <f>IF($N701="","",INDEX(VIRMAN!$D$7:$D$406,$T701)&amp;" → "&amp;$C$36&amp;IF(INDEX(VIRMAN!$G$7:$G$406,$T701)="",""," – "&amp;INDEX(VIRMAN!$G$7:$G$406,$T701)))</f>
        <v/>
      </c>
      <c r="P701" s="1" t="str">
        <f t="shared" si="114"/>
        <v/>
      </c>
      <c r="Q701" s="1">
        <f>IF($N701="",0,INDEX(VIRMAN!$F$7:$F$406,$T701))</f>
        <v>0</v>
      </c>
      <c r="R701" s="1">
        <v>0</v>
      </c>
      <c r="S701" s="1">
        <f t="shared" si="121"/>
        <v>10000000000</v>
      </c>
      <c r="T701" s="1">
        <f>IFERROR(MATCH($C$36&amp;"|128",VIRMAN!$K$7:$K$406,0),0)</f>
        <v>0</v>
      </c>
      <c r="V701" s="1">
        <f t="shared" si="122"/>
        <v>10000000000</v>
      </c>
      <c r="W701" s="1">
        <f t="shared" si="123"/>
        <v>9</v>
      </c>
    </row>
    <row r="702" spans="2:23" ht="14.25" customHeight="1" x14ac:dyDescent="0.3">
      <c r="B702" s="65" t="str">
        <f t="shared" si="115"/>
        <v/>
      </c>
      <c r="C702" s="70" t="str">
        <f t="shared" si="116"/>
        <v/>
      </c>
      <c r="D702" s="74" t="str">
        <f t="shared" si="117"/>
        <v/>
      </c>
      <c r="F702" s="65" t="str">
        <f t="shared" si="118"/>
        <v/>
      </c>
      <c r="G702" s="68" t="str">
        <f t="shared" si="119"/>
        <v/>
      </c>
      <c r="H702" s="68" t="str">
        <f t="shared" si="120"/>
        <v/>
      </c>
      <c r="I702" s="68" t="str">
        <f t="shared" si="124"/>
        <v/>
      </c>
      <c r="M702" s="1">
        <v>665</v>
      </c>
      <c r="N702" s="1" t="str">
        <f>IF($T702=0,"",INDEX(VIRMAN!$C$7:$C$406,$T702))</f>
        <v/>
      </c>
      <c r="O702" s="1" t="str">
        <f>IF($N702="","",INDEX(VIRMAN!$D$7:$D$406,$T702)&amp;" → "&amp;$C$36&amp;IF(INDEX(VIRMAN!$G$7:$G$406,$T702)="",""," – "&amp;INDEX(VIRMAN!$G$7:$G$406,$T702)))</f>
        <v/>
      </c>
      <c r="P702" s="1" t="str">
        <f t="shared" ref="P702:P733" si="125">IF($N702="","","VİRMAN GELDİ")</f>
        <v/>
      </c>
      <c r="Q702" s="1">
        <f>IF($N702="",0,INDEX(VIRMAN!$F$7:$F$406,$T702))</f>
        <v>0</v>
      </c>
      <c r="R702" s="1">
        <v>0</v>
      </c>
      <c r="S702" s="1">
        <f t="shared" si="121"/>
        <v>10000000000</v>
      </c>
      <c r="T702" s="1">
        <f>IFERROR(MATCH($C$36&amp;"|129",VIRMAN!$K$7:$K$406,0),0)</f>
        <v>0</v>
      </c>
      <c r="V702" s="1">
        <f t="shared" si="122"/>
        <v>10000000000</v>
      </c>
      <c r="W702" s="1">
        <f t="shared" si="123"/>
        <v>9</v>
      </c>
    </row>
    <row r="703" spans="2:23" ht="14.25" customHeight="1" x14ac:dyDescent="0.3">
      <c r="B703" s="65" t="str">
        <f t="shared" si="115"/>
        <v/>
      </c>
      <c r="C703" s="70" t="str">
        <f t="shared" si="116"/>
        <v/>
      </c>
      <c r="D703" s="74" t="str">
        <f t="shared" si="117"/>
        <v/>
      </c>
      <c r="F703" s="65" t="str">
        <f t="shared" si="118"/>
        <v/>
      </c>
      <c r="G703" s="68" t="str">
        <f t="shared" si="119"/>
        <v/>
      </c>
      <c r="H703" s="68" t="str">
        <f t="shared" si="120"/>
        <v/>
      </c>
      <c r="I703" s="68" t="str">
        <f t="shared" si="124"/>
        <v/>
      </c>
      <c r="M703" s="1">
        <v>666</v>
      </c>
      <c r="N703" s="1" t="str">
        <f>IF($T703=0,"",INDEX(VIRMAN!$C$7:$C$406,$T703))</f>
        <v/>
      </c>
      <c r="O703" s="1" t="str">
        <f>IF($N703="","",INDEX(VIRMAN!$D$7:$D$406,$T703)&amp;" → "&amp;$C$36&amp;IF(INDEX(VIRMAN!$G$7:$G$406,$T703)="",""," – "&amp;INDEX(VIRMAN!$G$7:$G$406,$T703)))</f>
        <v/>
      </c>
      <c r="P703" s="1" t="str">
        <f t="shared" si="125"/>
        <v/>
      </c>
      <c r="Q703" s="1">
        <f>IF($N703="",0,INDEX(VIRMAN!$F$7:$F$406,$T703))</f>
        <v>0</v>
      </c>
      <c r="R703" s="1">
        <v>0</v>
      </c>
      <c r="S703" s="1">
        <f t="shared" si="121"/>
        <v>10000000000</v>
      </c>
      <c r="T703" s="1">
        <f>IFERROR(MATCH($C$36&amp;"|130",VIRMAN!$K$7:$K$406,0),0)</f>
        <v>0</v>
      </c>
      <c r="V703" s="1">
        <f t="shared" si="122"/>
        <v>10000000000</v>
      </c>
      <c r="W703" s="1">
        <f t="shared" si="123"/>
        <v>9</v>
      </c>
    </row>
    <row r="704" spans="2:23" ht="14.25" customHeight="1" x14ac:dyDescent="0.3">
      <c r="B704" s="65" t="str">
        <f t="shared" si="115"/>
        <v/>
      </c>
      <c r="C704" s="70" t="str">
        <f t="shared" si="116"/>
        <v/>
      </c>
      <c r="D704" s="74" t="str">
        <f t="shared" si="117"/>
        <v/>
      </c>
      <c r="F704" s="65" t="str">
        <f t="shared" si="118"/>
        <v/>
      </c>
      <c r="G704" s="68" t="str">
        <f t="shared" si="119"/>
        <v/>
      </c>
      <c r="H704" s="68" t="str">
        <f t="shared" si="120"/>
        <v/>
      </c>
      <c r="I704" s="68" t="str">
        <f t="shared" si="124"/>
        <v/>
      </c>
      <c r="M704" s="1">
        <v>667</v>
      </c>
      <c r="N704" s="1" t="str">
        <f>IF($T704=0,"",INDEX(VIRMAN!$C$7:$C$406,$T704))</f>
        <v/>
      </c>
      <c r="O704" s="1" t="str">
        <f>IF($N704="","",INDEX(VIRMAN!$D$7:$D$406,$T704)&amp;" → "&amp;$C$36&amp;IF(INDEX(VIRMAN!$G$7:$G$406,$T704)="",""," – "&amp;INDEX(VIRMAN!$G$7:$G$406,$T704)))</f>
        <v/>
      </c>
      <c r="P704" s="1" t="str">
        <f t="shared" si="125"/>
        <v/>
      </c>
      <c r="Q704" s="1">
        <f>IF($N704="",0,INDEX(VIRMAN!$F$7:$F$406,$T704))</f>
        <v>0</v>
      </c>
      <c r="R704" s="1">
        <v>0</v>
      </c>
      <c r="S704" s="1">
        <f t="shared" si="121"/>
        <v>10000000000</v>
      </c>
      <c r="T704" s="1">
        <f>IFERROR(MATCH($C$36&amp;"|131",VIRMAN!$K$7:$K$406,0),0)</f>
        <v>0</v>
      </c>
      <c r="V704" s="1">
        <f t="shared" si="122"/>
        <v>10000000000</v>
      </c>
      <c r="W704" s="1">
        <f t="shared" si="123"/>
        <v>9</v>
      </c>
    </row>
    <row r="705" spans="2:23" ht="14.25" customHeight="1" x14ac:dyDescent="0.3">
      <c r="B705" s="65" t="str">
        <f t="shared" si="115"/>
        <v/>
      </c>
      <c r="C705" s="70" t="str">
        <f t="shared" si="116"/>
        <v/>
      </c>
      <c r="D705" s="74" t="str">
        <f t="shared" si="117"/>
        <v/>
      </c>
      <c r="F705" s="65" t="str">
        <f t="shared" si="118"/>
        <v/>
      </c>
      <c r="G705" s="68" t="str">
        <f t="shared" si="119"/>
        <v/>
      </c>
      <c r="H705" s="68" t="str">
        <f t="shared" si="120"/>
        <v/>
      </c>
      <c r="I705" s="68" t="str">
        <f t="shared" si="124"/>
        <v/>
      </c>
      <c r="M705" s="1">
        <v>668</v>
      </c>
      <c r="N705" s="1" t="str">
        <f>IF($T705=0,"",INDEX(VIRMAN!$C$7:$C$406,$T705))</f>
        <v/>
      </c>
      <c r="O705" s="1" t="str">
        <f>IF($N705="","",INDEX(VIRMAN!$D$7:$D$406,$T705)&amp;" → "&amp;$C$36&amp;IF(INDEX(VIRMAN!$G$7:$G$406,$T705)="",""," – "&amp;INDEX(VIRMAN!$G$7:$G$406,$T705)))</f>
        <v/>
      </c>
      <c r="P705" s="1" t="str">
        <f t="shared" si="125"/>
        <v/>
      </c>
      <c r="Q705" s="1">
        <f>IF($N705="",0,INDEX(VIRMAN!$F$7:$F$406,$T705))</f>
        <v>0</v>
      </c>
      <c r="R705" s="1">
        <v>0</v>
      </c>
      <c r="S705" s="1">
        <f t="shared" si="121"/>
        <v>10000000000</v>
      </c>
      <c r="T705" s="1">
        <f>IFERROR(MATCH($C$36&amp;"|132",VIRMAN!$K$7:$K$406,0),0)</f>
        <v>0</v>
      </c>
      <c r="V705" s="1">
        <f t="shared" si="122"/>
        <v>10000000000</v>
      </c>
      <c r="W705" s="1">
        <f t="shared" si="123"/>
        <v>9</v>
      </c>
    </row>
    <row r="706" spans="2:23" ht="14.25" customHeight="1" x14ac:dyDescent="0.3">
      <c r="B706" s="65" t="str">
        <f t="shared" si="115"/>
        <v/>
      </c>
      <c r="C706" s="70" t="str">
        <f t="shared" si="116"/>
        <v/>
      </c>
      <c r="D706" s="74" t="str">
        <f t="shared" si="117"/>
        <v/>
      </c>
      <c r="F706" s="65" t="str">
        <f t="shared" si="118"/>
        <v/>
      </c>
      <c r="G706" s="68" t="str">
        <f t="shared" si="119"/>
        <v/>
      </c>
      <c r="H706" s="68" t="str">
        <f t="shared" si="120"/>
        <v/>
      </c>
      <c r="I706" s="68" t="str">
        <f t="shared" si="124"/>
        <v/>
      </c>
      <c r="M706" s="1">
        <v>669</v>
      </c>
      <c r="N706" s="1" t="str">
        <f>IF($T706=0,"",INDEX(VIRMAN!$C$7:$C$406,$T706))</f>
        <v/>
      </c>
      <c r="O706" s="1" t="str">
        <f>IF($N706="","",INDEX(VIRMAN!$D$7:$D$406,$T706)&amp;" → "&amp;$C$36&amp;IF(INDEX(VIRMAN!$G$7:$G$406,$T706)="",""," – "&amp;INDEX(VIRMAN!$G$7:$G$406,$T706)))</f>
        <v/>
      </c>
      <c r="P706" s="1" t="str">
        <f t="shared" si="125"/>
        <v/>
      </c>
      <c r="Q706" s="1">
        <f>IF($N706="",0,INDEX(VIRMAN!$F$7:$F$406,$T706))</f>
        <v>0</v>
      </c>
      <c r="R706" s="1">
        <v>0</v>
      </c>
      <c r="S706" s="1">
        <f t="shared" si="121"/>
        <v>10000000000</v>
      </c>
      <c r="T706" s="1">
        <f>IFERROR(MATCH($C$36&amp;"|133",VIRMAN!$K$7:$K$406,0),0)</f>
        <v>0</v>
      </c>
      <c r="V706" s="1">
        <f t="shared" si="122"/>
        <v>10000000000</v>
      </c>
      <c r="W706" s="1">
        <f t="shared" si="123"/>
        <v>9</v>
      </c>
    </row>
    <row r="707" spans="2:23" ht="14.25" customHeight="1" x14ac:dyDescent="0.3">
      <c r="B707" s="65" t="str">
        <f t="shared" si="115"/>
        <v/>
      </c>
      <c r="C707" s="70" t="str">
        <f t="shared" si="116"/>
        <v/>
      </c>
      <c r="D707" s="74" t="str">
        <f t="shared" si="117"/>
        <v/>
      </c>
      <c r="F707" s="65" t="str">
        <f t="shared" si="118"/>
        <v/>
      </c>
      <c r="G707" s="68" t="str">
        <f t="shared" si="119"/>
        <v/>
      </c>
      <c r="H707" s="68" t="str">
        <f t="shared" si="120"/>
        <v/>
      </c>
      <c r="I707" s="68" t="str">
        <f t="shared" si="124"/>
        <v/>
      </c>
      <c r="M707" s="1">
        <v>670</v>
      </c>
      <c r="N707" s="1" t="str">
        <f>IF($T707=0,"",INDEX(VIRMAN!$C$7:$C$406,$T707))</f>
        <v/>
      </c>
      <c r="O707" s="1" t="str">
        <f>IF($N707="","",INDEX(VIRMAN!$D$7:$D$406,$T707)&amp;" → "&amp;$C$36&amp;IF(INDEX(VIRMAN!$G$7:$G$406,$T707)="",""," – "&amp;INDEX(VIRMAN!$G$7:$G$406,$T707)))</f>
        <v/>
      </c>
      <c r="P707" s="1" t="str">
        <f t="shared" si="125"/>
        <v/>
      </c>
      <c r="Q707" s="1">
        <f>IF($N707="",0,INDEX(VIRMAN!$F$7:$F$406,$T707))</f>
        <v>0</v>
      </c>
      <c r="R707" s="1">
        <v>0</v>
      </c>
      <c r="S707" s="1">
        <f t="shared" si="121"/>
        <v>10000000000</v>
      </c>
      <c r="T707" s="1">
        <f>IFERROR(MATCH($C$36&amp;"|134",VIRMAN!$K$7:$K$406,0),0)</f>
        <v>0</v>
      </c>
      <c r="V707" s="1">
        <f t="shared" si="122"/>
        <v>10000000000</v>
      </c>
      <c r="W707" s="1">
        <f t="shared" si="123"/>
        <v>9</v>
      </c>
    </row>
    <row r="708" spans="2:23" ht="14.25" customHeight="1" x14ac:dyDescent="0.3">
      <c r="B708" s="65" t="str">
        <f t="shared" si="115"/>
        <v/>
      </c>
      <c r="C708" s="70" t="str">
        <f t="shared" si="116"/>
        <v/>
      </c>
      <c r="D708" s="74" t="str">
        <f t="shared" si="117"/>
        <v/>
      </c>
      <c r="F708" s="65" t="str">
        <f t="shared" si="118"/>
        <v/>
      </c>
      <c r="G708" s="68" t="str">
        <f t="shared" si="119"/>
        <v/>
      </c>
      <c r="H708" s="68" t="str">
        <f t="shared" si="120"/>
        <v/>
      </c>
      <c r="I708" s="68" t="str">
        <f t="shared" si="124"/>
        <v/>
      </c>
      <c r="M708" s="1">
        <v>671</v>
      </c>
      <c r="N708" s="1" t="str">
        <f>IF($T708=0,"",INDEX(VIRMAN!$C$7:$C$406,$T708))</f>
        <v/>
      </c>
      <c r="O708" s="1" t="str">
        <f>IF($N708="","",INDEX(VIRMAN!$D$7:$D$406,$T708)&amp;" → "&amp;$C$36&amp;IF(INDEX(VIRMAN!$G$7:$G$406,$T708)="",""," – "&amp;INDEX(VIRMAN!$G$7:$G$406,$T708)))</f>
        <v/>
      </c>
      <c r="P708" s="1" t="str">
        <f t="shared" si="125"/>
        <v/>
      </c>
      <c r="Q708" s="1">
        <f>IF($N708="",0,INDEX(VIRMAN!$F$7:$F$406,$T708))</f>
        <v>0</v>
      </c>
      <c r="R708" s="1">
        <v>0</v>
      </c>
      <c r="S708" s="1">
        <f t="shared" si="121"/>
        <v>10000000000</v>
      </c>
      <c r="T708" s="1">
        <f>IFERROR(MATCH($C$36&amp;"|135",VIRMAN!$K$7:$K$406,0),0)</f>
        <v>0</v>
      </c>
      <c r="V708" s="1">
        <f t="shared" si="122"/>
        <v>10000000000</v>
      </c>
      <c r="W708" s="1">
        <f t="shared" si="123"/>
        <v>9</v>
      </c>
    </row>
    <row r="709" spans="2:23" ht="14.25" customHeight="1" x14ac:dyDescent="0.3">
      <c r="B709" s="65" t="str">
        <f t="shared" si="115"/>
        <v/>
      </c>
      <c r="C709" s="70" t="str">
        <f t="shared" si="116"/>
        <v/>
      </c>
      <c r="D709" s="74" t="str">
        <f t="shared" si="117"/>
        <v/>
      </c>
      <c r="F709" s="65" t="str">
        <f t="shared" si="118"/>
        <v/>
      </c>
      <c r="G709" s="68" t="str">
        <f t="shared" si="119"/>
        <v/>
      </c>
      <c r="H709" s="68" t="str">
        <f t="shared" si="120"/>
        <v/>
      </c>
      <c r="I709" s="68" t="str">
        <f t="shared" si="124"/>
        <v/>
      </c>
      <c r="M709" s="1">
        <v>672</v>
      </c>
      <c r="N709" s="1" t="str">
        <f>IF($T709=0,"",INDEX(VIRMAN!$C$7:$C$406,$T709))</f>
        <v/>
      </c>
      <c r="O709" s="1" t="str">
        <f>IF($N709="","",INDEX(VIRMAN!$D$7:$D$406,$T709)&amp;" → "&amp;$C$36&amp;IF(INDEX(VIRMAN!$G$7:$G$406,$T709)="",""," – "&amp;INDEX(VIRMAN!$G$7:$G$406,$T709)))</f>
        <v/>
      </c>
      <c r="P709" s="1" t="str">
        <f t="shared" si="125"/>
        <v/>
      </c>
      <c r="Q709" s="1">
        <f>IF($N709="",0,INDEX(VIRMAN!$F$7:$F$406,$T709))</f>
        <v>0</v>
      </c>
      <c r="R709" s="1">
        <v>0</v>
      </c>
      <c r="S709" s="1">
        <f t="shared" si="121"/>
        <v>10000000000</v>
      </c>
      <c r="T709" s="1">
        <f>IFERROR(MATCH($C$36&amp;"|136",VIRMAN!$K$7:$K$406,0),0)</f>
        <v>0</v>
      </c>
      <c r="V709" s="1">
        <f t="shared" si="122"/>
        <v>10000000000</v>
      </c>
      <c r="W709" s="1">
        <f t="shared" si="123"/>
        <v>9</v>
      </c>
    </row>
    <row r="710" spans="2:23" ht="14.25" customHeight="1" x14ac:dyDescent="0.3">
      <c r="B710" s="65" t="str">
        <f t="shared" si="115"/>
        <v/>
      </c>
      <c r="C710" s="70" t="str">
        <f t="shared" si="116"/>
        <v/>
      </c>
      <c r="D710" s="74" t="str">
        <f t="shared" si="117"/>
        <v/>
      </c>
      <c r="F710" s="65" t="str">
        <f t="shared" si="118"/>
        <v/>
      </c>
      <c r="G710" s="68" t="str">
        <f t="shared" si="119"/>
        <v/>
      </c>
      <c r="H710" s="68" t="str">
        <f t="shared" si="120"/>
        <v/>
      </c>
      <c r="I710" s="68" t="str">
        <f t="shared" si="124"/>
        <v/>
      </c>
      <c r="M710" s="1">
        <v>673</v>
      </c>
      <c r="N710" s="1" t="str">
        <f>IF($T710=0,"",INDEX(VIRMAN!$C$7:$C$406,$T710))</f>
        <v/>
      </c>
      <c r="O710" s="1" t="str">
        <f>IF($N710="","",INDEX(VIRMAN!$D$7:$D$406,$T710)&amp;" → "&amp;$C$36&amp;IF(INDEX(VIRMAN!$G$7:$G$406,$T710)="",""," – "&amp;INDEX(VIRMAN!$G$7:$G$406,$T710)))</f>
        <v/>
      </c>
      <c r="P710" s="1" t="str">
        <f t="shared" si="125"/>
        <v/>
      </c>
      <c r="Q710" s="1">
        <f>IF($N710="",0,INDEX(VIRMAN!$F$7:$F$406,$T710))</f>
        <v>0</v>
      </c>
      <c r="R710" s="1">
        <v>0</v>
      </c>
      <c r="S710" s="1">
        <f t="shared" si="121"/>
        <v>10000000000</v>
      </c>
      <c r="T710" s="1">
        <f>IFERROR(MATCH($C$36&amp;"|137",VIRMAN!$K$7:$K$406,0),0)</f>
        <v>0</v>
      </c>
      <c r="V710" s="1">
        <f t="shared" si="122"/>
        <v>10000000000</v>
      </c>
      <c r="W710" s="1">
        <f t="shared" si="123"/>
        <v>9</v>
      </c>
    </row>
    <row r="711" spans="2:23" ht="14.25" customHeight="1" x14ac:dyDescent="0.3">
      <c r="B711" s="65" t="str">
        <f t="shared" si="115"/>
        <v/>
      </c>
      <c r="C711" s="70" t="str">
        <f t="shared" si="116"/>
        <v/>
      </c>
      <c r="D711" s="74" t="str">
        <f t="shared" si="117"/>
        <v/>
      </c>
      <c r="F711" s="65" t="str">
        <f t="shared" si="118"/>
        <v/>
      </c>
      <c r="G711" s="68" t="str">
        <f t="shared" si="119"/>
        <v/>
      </c>
      <c r="H711" s="68" t="str">
        <f t="shared" si="120"/>
        <v/>
      </c>
      <c r="I711" s="68" t="str">
        <f t="shared" si="124"/>
        <v/>
      </c>
      <c r="M711" s="1">
        <v>674</v>
      </c>
      <c r="N711" s="1" t="str">
        <f>IF($T711=0,"",INDEX(VIRMAN!$C$7:$C$406,$T711))</f>
        <v/>
      </c>
      <c r="O711" s="1" t="str">
        <f>IF($N711="","",INDEX(VIRMAN!$D$7:$D$406,$T711)&amp;" → "&amp;$C$36&amp;IF(INDEX(VIRMAN!$G$7:$G$406,$T711)="",""," – "&amp;INDEX(VIRMAN!$G$7:$G$406,$T711)))</f>
        <v/>
      </c>
      <c r="P711" s="1" t="str">
        <f t="shared" si="125"/>
        <v/>
      </c>
      <c r="Q711" s="1">
        <f>IF($N711="",0,INDEX(VIRMAN!$F$7:$F$406,$T711))</f>
        <v>0</v>
      </c>
      <c r="R711" s="1">
        <v>0</v>
      </c>
      <c r="S711" s="1">
        <f t="shared" si="121"/>
        <v>10000000000</v>
      </c>
      <c r="T711" s="1">
        <f>IFERROR(MATCH($C$36&amp;"|138",VIRMAN!$K$7:$K$406,0),0)</f>
        <v>0</v>
      </c>
      <c r="V711" s="1">
        <f t="shared" si="122"/>
        <v>10000000000</v>
      </c>
      <c r="W711" s="1">
        <f t="shared" si="123"/>
        <v>9</v>
      </c>
    </row>
    <row r="712" spans="2:23" ht="14.25" customHeight="1" x14ac:dyDescent="0.3">
      <c r="B712" s="65" t="str">
        <f t="shared" si="115"/>
        <v/>
      </c>
      <c r="C712" s="70" t="str">
        <f t="shared" si="116"/>
        <v/>
      </c>
      <c r="D712" s="74" t="str">
        <f t="shared" si="117"/>
        <v/>
      </c>
      <c r="F712" s="65" t="str">
        <f t="shared" si="118"/>
        <v/>
      </c>
      <c r="G712" s="68" t="str">
        <f t="shared" si="119"/>
        <v/>
      </c>
      <c r="H712" s="68" t="str">
        <f t="shared" si="120"/>
        <v/>
      </c>
      <c r="I712" s="68" t="str">
        <f t="shared" si="124"/>
        <v/>
      </c>
      <c r="M712" s="1">
        <v>675</v>
      </c>
      <c r="N712" s="1" t="str">
        <f>IF($T712=0,"",INDEX(VIRMAN!$C$7:$C$406,$T712))</f>
        <v/>
      </c>
      <c r="O712" s="1" t="str">
        <f>IF($N712="","",INDEX(VIRMAN!$D$7:$D$406,$T712)&amp;" → "&amp;$C$36&amp;IF(INDEX(VIRMAN!$G$7:$G$406,$T712)="",""," – "&amp;INDEX(VIRMAN!$G$7:$G$406,$T712)))</f>
        <v/>
      </c>
      <c r="P712" s="1" t="str">
        <f t="shared" si="125"/>
        <v/>
      </c>
      <c r="Q712" s="1">
        <f>IF($N712="",0,INDEX(VIRMAN!$F$7:$F$406,$T712))</f>
        <v>0</v>
      </c>
      <c r="R712" s="1">
        <v>0</v>
      </c>
      <c r="S712" s="1">
        <f t="shared" si="121"/>
        <v>10000000000</v>
      </c>
      <c r="T712" s="1">
        <f>IFERROR(MATCH($C$36&amp;"|139",VIRMAN!$K$7:$K$406,0),0)</f>
        <v>0</v>
      </c>
      <c r="V712" s="1">
        <f t="shared" si="122"/>
        <v>10000000000</v>
      </c>
      <c r="W712" s="1">
        <f t="shared" si="123"/>
        <v>9</v>
      </c>
    </row>
    <row r="713" spans="2:23" ht="14.25" customHeight="1" x14ac:dyDescent="0.3">
      <c r="B713" s="65" t="str">
        <f t="shared" si="115"/>
        <v/>
      </c>
      <c r="C713" s="70" t="str">
        <f t="shared" si="116"/>
        <v/>
      </c>
      <c r="D713" s="74" t="str">
        <f t="shared" si="117"/>
        <v/>
      </c>
      <c r="F713" s="65" t="str">
        <f t="shared" si="118"/>
        <v/>
      </c>
      <c r="G713" s="68" t="str">
        <f t="shared" si="119"/>
        <v/>
      </c>
      <c r="H713" s="68" t="str">
        <f t="shared" si="120"/>
        <v/>
      </c>
      <c r="I713" s="68" t="str">
        <f t="shared" si="124"/>
        <v/>
      </c>
      <c r="M713" s="1">
        <v>676</v>
      </c>
      <c r="N713" s="1" t="str">
        <f>IF($T713=0,"",INDEX(VIRMAN!$C$7:$C$406,$T713))</f>
        <v/>
      </c>
      <c r="O713" s="1" t="str">
        <f>IF($N713="","",INDEX(VIRMAN!$D$7:$D$406,$T713)&amp;" → "&amp;$C$36&amp;IF(INDEX(VIRMAN!$G$7:$G$406,$T713)="",""," – "&amp;INDEX(VIRMAN!$G$7:$G$406,$T713)))</f>
        <v/>
      </c>
      <c r="P713" s="1" t="str">
        <f t="shared" si="125"/>
        <v/>
      </c>
      <c r="Q713" s="1">
        <f>IF($N713="",0,INDEX(VIRMAN!$F$7:$F$406,$T713))</f>
        <v>0</v>
      </c>
      <c r="R713" s="1">
        <v>0</v>
      </c>
      <c r="S713" s="1">
        <f t="shared" si="121"/>
        <v>10000000000</v>
      </c>
      <c r="T713" s="1">
        <f>IFERROR(MATCH($C$36&amp;"|140",VIRMAN!$K$7:$K$406,0),0)</f>
        <v>0</v>
      </c>
      <c r="V713" s="1">
        <f t="shared" si="122"/>
        <v>10000000000</v>
      </c>
      <c r="W713" s="1">
        <f t="shared" si="123"/>
        <v>9</v>
      </c>
    </row>
    <row r="714" spans="2:23" ht="14.25" customHeight="1" x14ac:dyDescent="0.3">
      <c r="B714" s="65" t="str">
        <f t="shared" si="115"/>
        <v/>
      </c>
      <c r="C714" s="70" t="str">
        <f t="shared" si="116"/>
        <v/>
      </c>
      <c r="D714" s="74" t="str">
        <f t="shared" si="117"/>
        <v/>
      </c>
      <c r="F714" s="65" t="str">
        <f t="shared" si="118"/>
        <v/>
      </c>
      <c r="G714" s="68" t="str">
        <f t="shared" si="119"/>
        <v/>
      </c>
      <c r="H714" s="68" t="str">
        <f t="shared" si="120"/>
        <v/>
      </c>
      <c r="I714" s="68" t="str">
        <f t="shared" si="124"/>
        <v/>
      </c>
      <c r="M714" s="1">
        <v>677</v>
      </c>
      <c r="N714" s="1" t="str">
        <f>IF($T714=0,"",INDEX(VIRMAN!$C$7:$C$406,$T714))</f>
        <v/>
      </c>
      <c r="O714" s="1" t="str">
        <f>IF($N714="","",INDEX(VIRMAN!$D$7:$D$406,$T714)&amp;" → "&amp;$C$36&amp;IF(INDEX(VIRMAN!$G$7:$G$406,$T714)="",""," – "&amp;INDEX(VIRMAN!$G$7:$G$406,$T714)))</f>
        <v/>
      </c>
      <c r="P714" s="1" t="str">
        <f t="shared" si="125"/>
        <v/>
      </c>
      <c r="Q714" s="1">
        <f>IF($N714="",0,INDEX(VIRMAN!$F$7:$F$406,$T714))</f>
        <v>0</v>
      </c>
      <c r="R714" s="1">
        <v>0</v>
      </c>
      <c r="S714" s="1">
        <f t="shared" si="121"/>
        <v>10000000000</v>
      </c>
      <c r="T714" s="1">
        <f>IFERROR(MATCH($C$36&amp;"|141",VIRMAN!$K$7:$K$406,0),0)</f>
        <v>0</v>
      </c>
      <c r="V714" s="1">
        <f t="shared" si="122"/>
        <v>10000000000</v>
      </c>
      <c r="W714" s="1">
        <f t="shared" si="123"/>
        <v>9</v>
      </c>
    </row>
    <row r="715" spans="2:23" ht="14.25" customHeight="1" x14ac:dyDescent="0.3">
      <c r="B715" s="65" t="str">
        <f t="shared" si="115"/>
        <v/>
      </c>
      <c r="C715" s="70" t="str">
        <f t="shared" si="116"/>
        <v/>
      </c>
      <c r="D715" s="74" t="str">
        <f t="shared" si="117"/>
        <v/>
      </c>
      <c r="F715" s="65" t="str">
        <f t="shared" si="118"/>
        <v/>
      </c>
      <c r="G715" s="68" t="str">
        <f t="shared" si="119"/>
        <v/>
      </c>
      <c r="H715" s="68" t="str">
        <f t="shared" si="120"/>
        <v/>
      </c>
      <c r="I715" s="68" t="str">
        <f t="shared" si="124"/>
        <v/>
      </c>
      <c r="M715" s="1">
        <v>678</v>
      </c>
      <c r="N715" s="1" t="str">
        <f>IF($T715=0,"",INDEX(VIRMAN!$C$7:$C$406,$T715))</f>
        <v/>
      </c>
      <c r="O715" s="1" t="str">
        <f>IF($N715="","",INDEX(VIRMAN!$D$7:$D$406,$T715)&amp;" → "&amp;$C$36&amp;IF(INDEX(VIRMAN!$G$7:$G$406,$T715)="",""," – "&amp;INDEX(VIRMAN!$G$7:$G$406,$T715)))</f>
        <v/>
      </c>
      <c r="P715" s="1" t="str">
        <f t="shared" si="125"/>
        <v/>
      </c>
      <c r="Q715" s="1">
        <f>IF($N715="",0,INDEX(VIRMAN!$F$7:$F$406,$T715))</f>
        <v>0</v>
      </c>
      <c r="R715" s="1">
        <v>0</v>
      </c>
      <c r="S715" s="1">
        <f t="shared" si="121"/>
        <v>10000000000</v>
      </c>
      <c r="T715" s="1">
        <f>IFERROR(MATCH($C$36&amp;"|142",VIRMAN!$K$7:$K$406,0),0)</f>
        <v>0</v>
      </c>
      <c r="V715" s="1">
        <f t="shared" si="122"/>
        <v>10000000000</v>
      </c>
      <c r="W715" s="1">
        <f t="shared" si="123"/>
        <v>9</v>
      </c>
    </row>
    <row r="716" spans="2:23" ht="14.25" customHeight="1" x14ac:dyDescent="0.3">
      <c r="B716" s="65" t="str">
        <f t="shared" si="115"/>
        <v/>
      </c>
      <c r="C716" s="70" t="str">
        <f t="shared" si="116"/>
        <v/>
      </c>
      <c r="D716" s="74" t="str">
        <f t="shared" si="117"/>
        <v/>
      </c>
      <c r="F716" s="65" t="str">
        <f t="shared" si="118"/>
        <v/>
      </c>
      <c r="G716" s="68" t="str">
        <f t="shared" si="119"/>
        <v/>
      </c>
      <c r="H716" s="68" t="str">
        <f t="shared" si="120"/>
        <v/>
      </c>
      <c r="I716" s="68" t="str">
        <f t="shared" si="124"/>
        <v/>
      </c>
      <c r="M716" s="1">
        <v>679</v>
      </c>
      <c r="N716" s="1" t="str">
        <f>IF($T716=0,"",INDEX(VIRMAN!$C$7:$C$406,$T716))</f>
        <v/>
      </c>
      <c r="O716" s="1" t="str">
        <f>IF($N716="","",INDEX(VIRMAN!$D$7:$D$406,$T716)&amp;" → "&amp;$C$36&amp;IF(INDEX(VIRMAN!$G$7:$G$406,$T716)="",""," – "&amp;INDEX(VIRMAN!$G$7:$G$406,$T716)))</f>
        <v/>
      </c>
      <c r="P716" s="1" t="str">
        <f t="shared" si="125"/>
        <v/>
      </c>
      <c r="Q716" s="1">
        <f>IF($N716="",0,INDEX(VIRMAN!$F$7:$F$406,$T716))</f>
        <v>0</v>
      </c>
      <c r="R716" s="1">
        <v>0</v>
      </c>
      <c r="S716" s="1">
        <f t="shared" si="121"/>
        <v>10000000000</v>
      </c>
      <c r="T716" s="1">
        <f>IFERROR(MATCH($C$36&amp;"|143",VIRMAN!$K$7:$K$406,0),0)</f>
        <v>0</v>
      </c>
      <c r="V716" s="1">
        <f t="shared" si="122"/>
        <v>10000000000</v>
      </c>
      <c r="W716" s="1">
        <f t="shared" si="123"/>
        <v>9</v>
      </c>
    </row>
    <row r="717" spans="2:23" ht="14.25" customHeight="1" x14ac:dyDescent="0.3">
      <c r="B717" s="65" t="str">
        <f t="shared" si="115"/>
        <v/>
      </c>
      <c r="C717" s="70" t="str">
        <f t="shared" si="116"/>
        <v/>
      </c>
      <c r="D717" s="74" t="str">
        <f t="shared" si="117"/>
        <v/>
      </c>
      <c r="F717" s="65" t="str">
        <f t="shared" si="118"/>
        <v/>
      </c>
      <c r="G717" s="68" t="str">
        <f t="shared" si="119"/>
        <v/>
      </c>
      <c r="H717" s="68" t="str">
        <f t="shared" si="120"/>
        <v/>
      </c>
      <c r="I717" s="68" t="str">
        <f t="shared" si="124"/>
        <v/>
      </c>
      <c r="M717" s="1">
        <v>680</v>
      </c>
      <c r="N717" s="1" t="str">
        <f>IF($T717=0,"",INDEX(VIRMAN!$C$7:$C$406,$T717))</f>
        <v/>
      </c>
      <c r="O717" s="1" t="str">
        <f>IF($N717="","",INDEX(VIRMAN!$D$7:$D$406,$T717)&amp;" → "&amp;$C$36&amp;IF(INDEX(VIRMAN!$G$7:$G$406,$T717)="",""," – "&amp;INDEX(VIRMAN!$G$7:$G$406,$T717)))</f>
        <v/>
      </c>
      <c r="P717" s="1" t="str">
        <f t="shared" si="125"/>
        <v/>
      </c>
      <c r="Q717" s="1">
        <f>IF($N717="",0,INDEX(VIRMAN!$F$7:$F$406,$T717))</f>
        <v>0</v>
      </c>
      <c r="R717" s="1">
        <v>0</v>
      </c>
      <c r="S717" s="1">
        <f t="shared" si="121"/>
        <v>10000000000</v>
      </c>
      <c r="T717" s="1">
        <f>IFERROR(MATCH($C$36&amp;"|144",VIRMAN!$K$7:$K$406,0),0)</f>
        <v>0</v>
      </c>
      <c r="V717" s="1">
        <f t="shared" si="122"/>
        <v>10000000000</v>
      </c>
      <c r="W717" s="1">
        <f t="shared" si="123"/>
        <v>9</v>
      </c>
    </row>
    <row r="718" spans="2:23" ht="14.25" customHeight="1" x14ac:dyDescent="0.3">
      <c r="B718" s="65" t="str">
        <f t="shared" si="115"/>
        <v/>
      </c>
      <c r="C718" s="70" t="str">
        <f t="shared" si="116"/>
        <v/>
      </c>
      <c r="D718" s="74" t="str">
        <f t="shared" si="117"/>
        <v/>
      </c>
      <c r="F718" s="65" t="str">
        <f t="shared" si="118"/>
        <v/>
      </c>
      <c r="G718" s="68" t="str">
        <f t="shared" si="119"/>
        <v/>
      </c>
      <c r="H718" s="68" t="str">
        <f t="shared" si="120"/>
        <v/>
      </c>
      <c r="I718" s="68" t="str">
        <f t="shared" si="124"/>
        <v/>
      </c>
      <c r="M718" s="1">
        <v>681</v>
      </c>
      <c r="N718" s="1" t="str">
        <f>IF($T718=0,"",INDEX(VIRMAN!$C$7:$C$406,$T718))</f>
        <v/>
      </c>
      <c r="O718" s="1" t="str">
        <f>IF($N718="","",INDEX(VIRMAN!$D$7:$D$406,$T718)&amp;" → "&amp;$C$36&amp;IF(INDEX(VIRMAN!$G$7:$G$406,$T718)="",""," – "&amp;INDEX(VIRMAN!$G$7:$G$406,$T718)))</f>
        <v/>
      </c>
      <c r="P718" s="1" t="str">
        <f t="shared" si="125"/>
        <v/>
      </c>
      <c r="Q718" s="1">
        <f>IF($N718="",0,INDEX(VIRMAN!$F$7:$F$406,$T718))</f>
        <v>0</v>
      </c>
      <c r="R718" s="1">
        <v>0</v>
      </c>
      <c r="S718" s="1">
        <f t="shared" si="121"/>
        <v>10000000000</v>
      </c>
      <c r="T718" s="1">
        <f>IFERROR(MATCH($C$36&amp;"|145",VIRMAN!$K$7:$K$406,0),0)</f>
        <v>0</v>
      </c>
      <c r="V718" s="1">
        <f t="shared" si="122"/>
        <v>10000000000</v>
      </c>
      <c r="W718" s="1">
        <f t="shared" si="123"/>
        <v>9</v>
      </c>
    </row>
    <row r="719" spans="2:23" ht="14.25" customHeight="1" x14ac:dyDescent="0.3">
      <c r="B719" s="65" t="str">
        <f t="shared" si="115"/>
        <v/>
      </c>
      <c r="C719" s="70" t="str">
        <f t="shared" si="116"/>
        <v/>
      </c>
      <c r="D719" s="74" t="str">
        <f t="shared" si="117"/>
        <v/>
      </c>
      <c r="F719" s="65" t="str">
        <f t="shared" si="118"/>
        <v/>
      </c>
      <c r="G719" s="68" t="str">
        <f t="shared" si="119"/>
        <v/>
      </c>
      <c r="H719" s="68" t="str">
        <f t="shared" si="120"/>
        <v/>
      </c>
      <c r="I719" s="68" t="str">
        <f t="shared" si="124"/>
        <v/>
      </c>
      <c r="M719" s="1">
        <v>682</v>
      </c>
      <c r="N719" s="1" t="str">
        <f>IF($T719=0,"",INDEX(VIRMAN!$C$7:$C$406,$T719))</f>
        <v/>
      </c>
      <c r="O719" s="1" t="str">
        <f>IF($N719="","",INDEX(VIRMAN!$D$7:$D$406,$T719)&amp;" → "&amp;$C$36&amp;IF(INDEX(VIRMAN!$G$7:$G$406,$T719)="",""," – "&amp;INDEX(VIRMAN!$G$7:$G$406,$T719)))</f>
        <v/>
      </c>
      <c r="P719" s="1" t="str">
        <f t="shared" si="125"/>
        <v/>
      </c>
      <c r="Q719" s="1">
        <f>IF($N719="",0,INDEX(VIRMAN!$F$7:$F$406,$T719))</f>
        <v>0</v>
      </c>
      <c r="R719" s="1">
        <v>0</v>
      </c>
      <c r="S719" s="1">
        <f t="shared" si="121"/>
        <v>10000000000</v>
      </c>
      <c r="T719" s="1">
        <f>IFERROR(MATCH($C$36&amp;"|146",VIRMAN!$K$7:$K$406,0),0)</f>
        <v>0</v>
      </c>
      <c r="V719" s="1">
        <f t="shared" si="122"/>
        <v>10000000000</v>
      </c>
      <c r="W719" s="1">
        <f t="shared" si="123"/>
        <v>9</v>
      </c>
    </row>
    <row r="720" spans="2:23" ht="14.25" customHeight="1" x14ac:dyDescent="0.3">
      <c r="B720" s="65" t="str">
        <f t="shared" si="115"/>
        <v/>
      </c>
      <c r="C720" s="70" t="str">
        <f t="shared" si="116"/>
        <v/>
      </c>
      <c r="D720" s="74" t="str">
        <f t="shared" si="117"/>
        <v/>
      </c>
      <c r="F720" s="65" t="str">
        <f t="shared" si="118"/>
        <v/>
      </c>
      <c r="G720" s="68" t="str">
        <f t="shared" si="119"/>
        <v/>
      </c>
      <c r="H720" s="68" t="str">
        <f t="shared" si="120"/>
        <v/>
      </c>
      <c r="I720" s="68" t="str">
        <f t="shared" si="124"/>
        <v/>
      </c>
      <c r="M720" s="1">
        <v>683</v>
      </c>
      <c r="N720" s="1" t="str">
        <f>IF($T720=0,"",INDEX(VIRMAN!$C$7:$C$406,$T720))</f>
        <v/>
      </c>
      <c r="O720" s="1" t="str">
        <f>IF($N720="","",INDEX(VIRMAN!$D$7:$D$406,$T720)&amp;" → "&amp;$C$36&amp;IF(INDEX(VIRMAN!$G$7:$G$406,$T720)="",""," – "&amp;INDEX(VIRMAN!$G$7:$G$406,$T720)))</f>
        <v/>
      </c>
      <c r="P720" s="1" t="str">
        <f t="shared" si="125"/>
        <v/>
      </c>
      <c r="Q720" s="1">
        <f>IF($N720="",0,INDEX(VIRMAN!$F$7:$F$406,$T720))</f>
        <v>0</v>
      </c>
      <c r="R720" s="1">
        <v>0</v>
      </c>
      <c r="S720" s="1">
        <f t="shared" si="121"/>
        <v>10000000000</v>
      </c>
      <c r="T720" s="1">
        <f>IFERROR(MATCH($C$36&amp;"|147",VIRMAN!$K$7:$K$406,0),0)</f>
        <v>0</v>
      </c>
      <c r="V720" s="1">
        <f t="shared" si="122"/>
        <v>10000000000</v>
      </c>
      <c r="W720" s="1">
        <f t="shared" si="123"/>
        <v>9</v>
      </c>
    </row>
    <row r="721" spans="2:23" ht="14.25" customHeight="1" x14ac:dyDescent="0.3">
      <c r="B721" s="65" t="str">
        <f t="shared" si="115"/>
        <v/>
      </c>
      <c r="C721" s="70" t="str">
        <f t="shared" si="116"/>
        <v/>
      </c>
      <c r="D721" s="74" t="str">
        <f t="shared" si="117"/>
        <v/>
      </c>
      <c r="F721" s="65" t="str">
        <f t="shared" si="118"/>
        <v/>
      </c>
      <c r="G721" s="68" t="str">
        <f t="shared" si="119"/>
        <v/>
      </c>
      <c r="H721" s="68" t="str">
        <f t="shared" si="120"/>
        <v/>
      </c>
      <c r="I721" s="68" t="str">
        <f t="shared" si="124"/>
        <v/>
      </c>
      <c r="M721" s="1">
        <v>684</v>
      </c>
      <c r="N721" s="1" t="str">
        <f>IF($T721=0,"",INDEX(VIRMAN!$C$7:$C$406,$T721))</f>
        <v/>
      </c>
      <c r="O721" s="1" t="str">
        <f>IF($N721="","",INDEX(VIRMAN!$D$7:$D$406,$T721)&amp;" → "&amp;$C$36&amp;IF(INDEX(VIRMAN!$G$7:$G$406,$T721)="",""," – "&amp;INDEX(VIRMAN!$G$7:$G$406,$T721)))</f>
        <v/>
      </c>
      <c r="P721" s="1" t="str">
        <f t="shared" si="125"/>
        <v/>
      </c>
      <c r="Q721" s="1">
        <f>IF($N721="",0,INDEX(VIRMAN!$F$7:$F$406,$T721))</f>
        <v>0</v>
      </c>
      <c r="R721" s="1">
        <v>0</v>
      </c>
      <c r="S721" s="1">
        <f t="shared" si="121"/>
        <v>10000000000</v>
      </c>
      <c r="T721" s="1">
        <f>IFERROR(MATCH($C$36&amp;"|148",VIRMAN!$K$7:$K$406,0),0)</f>
        <v>0</v>
      </c>
      <c r="V721" s="1">
        <f t="shared" si="122"/>
        <v>10000000000</v>
      </c>
      <c r="W721" s="1">
        <f t="shared" si="123"/>
        <v>9</v>
      </c>
    </row>
    <row r="722" spans="2:23" ht="14.25" customHeight="1" x14ac:dyDescent="0.3">
      <c r="B722" s="65" t="str">
        <f t="shared" si="115"/>
        <v/>
      </c>
      <c r="C722" s="70" t="str">
        <f t="shared" si="116"/>
        <v/>
      </c>
      <c r="D722" s="74" t="str">
        <f t="shared" si="117"/>
        <v/>
      </c>
      <c r="F722" s="65" t="str">
        <f t="shared" si="118"/>
        <v/>
      </c>
      <c r="G722" s="68" t="str">
        <f t="shared" si="119"/>
        <v/>
      </c>
      <c r="H722" s="68" t="str">
        <f t="shared" si="120"/>
        <v/>
      </c>
      <c r="I722" s="68" t="str">
        <f t="shared" si="124"/>
        <v/>
      </c>
      <c r="M722" s="1">
        <v>685</v>
      </c>
      <c r="N722" s="1" t="str">
        <f>IF($T722=0,"",INDEX(VIRMAN!$C$7:$C$406,$T722))</f>
        <v/>
      </c>
      <c r="O722" s="1" t="str">
        <f>IF($N722="","",INDEX(VIRMAN!$D$7:$D$406,$T722)&amp;" → "&amp;$C$36&amp;IF(INDEX(VIRMAN!$G$7:$G$406,$T722)="",""," – "&amp;INDEX(VIRMAN!$G$7:$G$406,$T722)))</f>
        <v/>
      </c>
      <c r="P722" s="1" t="str">
        <f t="shared" si="125"/>
        <v/>
      </c>
      <c r="Q722" s="1">
        <f>IF($N722="",0,INDEX(VIRMAN!$F$7:$F$406,$T722))</f>
        <v>0</v>
      </c>
      <c r="R722" s="1">
        <v>0</v>
      </c>
      <c r="S722" s="1">
        <f t="shared" si="121"/>
        <v>10000000000</v>
      </c>
      <c r="T722" s="1">
        <f>IFERROR(MATCH($C$36&amp;"|149",VIRMAN!$K$7:$K$406,0),0)</f>
        <v>0</v>
      </c>
      <c r="V722" s="1">
        <f t="shared" si="122"/>
        <v>10000000000</v>
      </c>
      <c r="W722" s="1">
        <f t="shared" si="123"/>
        <v>9</v>
      </c>
    </row>
    <row r="723" spans="2:23" ht="14.25" customHeight="1" x14ac:dyDescent="0.3">
      <c r="B723" s="65" t="str">
        <f t="shared" si="115"/>
        <v/>
      </c>
      <c r="C723" s="70" t="str">
        <f t="shared" si="116"/>
        <v/>
      </c>
      <c r="D723" s="74" t="str">
        <f t="shared" si="117"/>
        <v/>
      </c>
      <c r="F723" s="65" t="str">
        <f t="shared" si="118"/>
        <v/>
      </c>
      <c r="G723" s="68" t="str">
        <f t="shared" si="119"/>
        <v/>
      </c>
      <c r="H723" s="68" t="str">
        <f t="shared" si="120"/>
        <v/>
      </c>
      <c r="I723" s="68" t="str">
        <f t="shared" si="124"/>
        <v/>
      </c>
      <c r="M723" s="1">
        <v>686</v>
      </c>
      <c r="N723" s="1" t="str">
        <f>IF($T723=0,"",INDEX(VIRMAN!$C$7:$C$406,$T723))</f>
        <v/>
      </c>
      <c r="O723" s="1" t="str">
        <f>IF($N723="","",INDEX(VIRMAN!$D$7:$D$406,$T723)&amp;" → "&amp;$C$36&amp;IF(INDEX(VIRMAN!$G$7:$G$406,$T723)="",""," – "&amp;INDEX(VIRMAN!$G$7:$G$406,$T723)))</f>
        <v/>
      </c>
      <c r="P723" s="1" t="str">
        <f t="shared" si="125"/>
        <v/>
      </c>
      <c r="Q723" s="1">
        <f>IF($N723="",0,INDEX(VIRMAN!$F$7:$F$406,$T723))</f>
        <v>0</v>
      </c>
      <c r="R723" s="1">
        <v>0</v>
      </c>
      <c r="S723" s="1">
        <f t="shared" si="121"/>
        <v>10000000000</v>
      </c>
      <c r="T723" s="1">
        <f>IFERROR(MATCH($C$36&amp;"|150",VIRMAN!$K$7:$K$406,0),0)</f>
        <v>0</v>
      </c>
      <c r="V723" s="1">
        <f t="shared" si="122"/>
        <v>10000000000</v>
      </c>
      <c r="W723" s="1">
        <f t="shared" si="123"/>
        <v>9</v>
      </c>
    </row>
    <row r="724" spans="2:23" ht="14.25" customHeight="1" x14ac:dyDescent="0.3">
      <c r="B724" s="65" t="str">
        <f t="shared" si="115"/>
        <v/>
      </c>
      <c r="C724" s="70" t="str">
        <f t="shared" si="116"/>
        <v/>
      </c>
      <c r="D724" s="74" t="str">
        <f t="shared" si="117"/>
        <v/>
      </c>
      <c r="F724" s="65" t="str">
        <f t="shared" si="118"/>
        <v/>
      </c>
      <c r="G724" s="68" t="str">
        <f t="shared" si="119"/>
        <v/>
      </c>
      <c r="H724" s="68" t="str">
        <f t="shared" si="120"/>
        <v/>
      </c>
      <c r="I724" s="68" t="str">
        <f t="shared" si="124"/>
        <v/>
      </c>
      <c r="M724" s="1">
        <v>687</v>
      </c>
      <c r="N724" s="1" t="str">
        <f>IF($T724=0,"",INDEX(VIRMAN!$C$7:$C$406,$T724))</f>
        <v/>
      </c>
      <c r="O724" s="1" t="str">
        <f>IF($N724="","",INDEX(VIRMAN!$D$7:$D$406,$T724)&amp;" → "&amp;$C$36&amp;IF(INDEX(VIRMAN!$G$7:$G$406,$T724)="",""," – "&amp;INDEX(VIRMAN!$G$7:$G$406,$T724)))</f>
        <v/>
      </c>
      <c r="P724" s="1" t="str">
        <f t="shared" si="125"/>
        <v/>
      </c>
      <c r="Q724" s="1">
        <f>IF($N724="",0,INDEX(VIRMAN!$F$7:$F$406,$T724))</f>
        <v>0</v>
      </c>
      <c r="R724" s="1">
        <v>0</v>
      </c>
      <c r="S724" s="1">
        <f t="shared" si="121"/>
        <v>10000000000</v>
      </c>
      <c r="T724" s="1">
        <f>IFERROR(MATCH($C$36&amp;"|151",VIRMAN!$K$7:$K$406,0),0)</f>
        <v>0</v>
      </c>
      <c r="V724" s="1">
        <f t="shared" si="122"/>
        <v>10000000000</v>
      </c>
      <c r="W724" s="1">
        <f t="shared" si="123"/>
        <v>9</v>
      </c>
    </row>
    <row r="725" spans="2:23" ht="14.25" customHeight="1" x14ac:dyDescent="0.3">
      <c r="B725" s="65" t="str">
        <f t="shared" si="115"/>
        <v/>
      </c>
      <c r="C725" s="70" t="str">
        <f t="shared" si="116"/>
        <v/>
      </c>
      <c r="D725" s="74" t="str">
        <f t="shared" si="117"/>
        <v/>
      </c>
      <c r="F725" s="65" t="str">
        <f t="shared" si="118"/>
        <v/>
      </c>
      <c r="G725" s="68" t="str">
        <f t="shared" si="119"/>
        <v/>
      </c>
      <c r="H725" s="68" t="str">
        <f t="shared" si="120"/>
        <v/>
      </c>
      <c r="I725" s="68" t="str">
        <f t="shared" si="124"/>
        <v/>
      </c>
      <c r="M725" s="1">
        <v>688</v>
      </c>
      <c r="N725" s="1" t="str">
        <f>IF($T725=0,"",INDEX(VIRMAN!$C$7:$C$406,$T725))</f>
        <v/>
      </c>
      <c r="O725" s="1" t="str">
        <f>IF($N725="","",INDEX(VIRMAN!$D$7:$D$406,$T725)&amp;" → "&amp;$C$36&amp;IF(INDEX(VIRMAN!$G$7:$G$406,$T725)="",""," – "&amp;INDEX(VIRMAN!$G$7:$G$406,$T725)))</f>
        <v/>
      </c>
      <c r="P725" s="1" t="str">
        <f t="shared" si="125"/>
        <v/>
      </c>
      <c r="Q725" s="1">
        <f>IF($N725="",0,INDEX(VIRMAN!$F$7:$F$406,$T725))</f>
        <v>0</v>
      </c>
      <c r="R725" s="1">
        <v>0</v>
      </c>
      <c r="S725" s="1">
        <f t="shared" si="121"/>
        <v>10000000000</v>
      </c>
      <c r="T725" s="1">
        <f>IFERROR(MATCH($C$36&amp;"|152",VIRMAN!$K$7:$K$406,0),0)</f>
        <v>0</v>
      </c>
      <c r="V725" s="1">
        <f t="shared" si="122"/>
        <v>10000000000</v>
      </c>
      <c r="W725" s="1">
        <f t="shared" si="123"/>
        <v>9</v>
      </c>
    </row>
    <row r="726" spans="2:23" ht="14.25" customHeight="1" x14ac:dyDescent="0.3">
      <c r="B726" s="65" t="str">
        <f t="shared" si="115"/>
        <v/>
      </c>
      <c r="C726" s="70" t="str">
        <f t="shared" si="116"/>
        <v/>
      </c>
      <c r="D726" s="74" t="str">
        <f t="shared" si="117"/>
        <v/>
      </c>
      <c r="F726" s="65" t="str">
        <f t="shared" si="118"/>
        <v/>
      </c>
      <c r="G726" s="68" t="str">
        <f t="shared" si="119"/>
        <v/>
      </c>
      <c r="H726" s="68" t="str">
        <f t="shared" si="120"/>
        <v/>
      </c>
      <c r="I726" s="68" t="str">
        <f t="shared" si="124"/>
        <v/>
      </c>
      <c r="M726" s="1">
        <v>689</v>
      </c>
      <c r="N726" s="1" t="str">
        <f>IF($T726=0,"",INDEX(VIRMAN!$C$7:$C$406,$T726))</f>
        <v/>
      </c>
      <c r="O726" s="1" t="str">
        <f>IF($N726="","",INDEX(VIRMAN!$D$7:$D$406,$T726)&amp;" → "&amp;$C$36&amp;IF(INDEX(VIRMAN!$G$7:$G$406,$T726)="",""," – "&amp;INDEX(VIRMAN!$G$7:$G$406,$T726)))</f>
        <v/>
      </c>
      <c r="P726" s="1" t="str">
        <f t="shared" si="125"/>
        <v/>
      </c>
      <c r="Q726" s="1">
        <f>IF($N726="",0,INDEX(VIRMAN!$F$7:$F$406,$T726))</f>
        <v>0</v>
      </c>
      <c r="R726" s="1">
        <v>0</v>
      </c>
      <c r="S726" s="1">
        <f t="shared" si="121"/>
        <v>10000000000</v>
      </c>
      <c r="T726" s="1">
        <f>IFERROR(MATCH($C$36&amp;"|153",VIRMAN!$K$7:$K$406,0),0)</f>
        <v>0</v>
      </c>
      <c r="V726" s="1">
        <f t="shared" si="122"/>
        <v>10000000000</v>
      </c>
      <c r="W726" s="1">
        <f t="shared" si="123"/>
        <v>9</v>
      </c>
    </row>
    <row r="727" spans="2:23" ht="14.25" customHeight="1" x14ac:dyDescent="0.3">
      <c r="B727" s="65" t="str">
        <f t="shared" si="115"/>
        <v/>
      </c>
      <c r="C727" s="70" t="str">
        <f t="shared" si="116"/>
        <v/>
      </c>
      <c r="D727" s="74" t="str">
        <f t="shared" si="117"/>
        <v/>
      </c>
      <c r="F727" s="65" t="str">
        <f t="shared" si="118"/>
        <v/>
      </c>
      <c r="G727" s="68" t="str">
        <f t="shared" si="119"/>
        <v/>
      </c>
      <c r="H727" s="68" t="str">
        <f t="shared" si="120"/>
        <v/>
      </c>
      <c r="I727" s="68" t="str">
        <f t="shared" si="124"/>
        <v/>
      </c>
      <c r="M727" s="1">
        <v>690</v>
      </c>
      <c r="N727" s="1" t="str">
        <f>IF($T727=0,"",INDEX(VIRMAN!$C$7:$C$406,$T727))</f>
        <v/>
      </c>
      <c r="O727" s="1" t="str">
        <f>IF($N727="","",INDEX(VIRMAN!$D$7:$D$406,$T727)&amp;" → "&amp;$C$36&amp;IF(INDEX(VIRMAN!$G$7:$G$406,$T727)="",""," – "&amp;INDEX(VIRMAN!$G$7:$G$406,$T727)))</f>
        <v/>
      </c>
      <c r="P727" s="1" t="str">
        <f t="shared" si="125"/>
        <v/>
      </c>
      <c r="Q727" s="1">
        <f>IF($N727="",0,INDEX(VIRMAN!$F$7:$F$406,$T727))</f>
        <v>0</v>
      </c>
      <c r="R727" s="1">
        <v>0</v>
      </c>
      <c r="S727" s="1">
        <f t="shared" si="121"/>
        <v>10000000000</v>
      </c>
      <c r="T727" s="1">
        <f>IFERROR(MATCH($C$36&amp;"|154",VIRMAN!$K$7:$K$406,0),0)</f>
        <v>0</v>
      </c>
      <c r="V727" s="1">
        <f t="shared" si="122"/>
        <v>10000000000</v>
      </c>
      <c r="W727" s="1">
        <f t="shared" si="123"/>
        <v>9</v>
      </c>
    </row>
    <row r="728" spans="2:23" ht="14.25" customHeight="1" x14ac:dyDescent="0.3">
      <c r="B728" s="65" t="str">
        <f t="shared" si="115"/>
        <v/>
      </c>
      <c r="C728" s="70" t="str">
        <f t="shared" si="116"/>
        <v/>
      </c>
      <c r="D728" s="74" t="str">
        <f t="shared" si="117"/>
        <v/>
      </c>
      <c r="F728" s="65" t="str">
        <f t="shared" si="118"/>
        <v/>
      </c>
      <c r="G728" s="68" t="str">
        <f t="shared" si="119"/>
        <v/>
      </c>
      <c r="H728" s="68" t="str">
        <f t="shared" si="120"/>
        <v/>
      </c>
      <c r="I728" s="68" t="str">
        <f t="shared" si="124"/>
        <v/>
      </c>
      <c r="M728" s="1">
        <v>691</v>
      </c>
      <c r="N728" s="1" t="str">
        <f>IF($T728=0,"",INDEX(VIRMAN!$C$7:$C$406,$T728))</f>
        <v/>
      </c>
      <c r="O728" s="1" t="str">
        <f>IF($N728="","",INDEX(VIRMAN!$D$7:$D$406,$T728)&amp;" → "&amp;$C$36&amp;IF(INDEX(VIRMAN!$G$7:$G$406,$T728)="",""," – "&amp;INDEX(VIRMAN!$G$7:$G$406,$T728)))</f>
        <v/>
      </c>
      <c r="P728" s="1" t="str">
        <f t="shared" si="125"/>
        <v/>
      </c>
      <c r="Q728" s="1">
        <f>IF($N728="",0,INDEX(VIRMAN!$F$7:$F$406,$T728))</f>
        <v>0</v>
      </c>
      <c r="R728" s="1">
        <v>0</v>
      </c>
      <c r="S728" s="1">
        <f t="shared" si="121"/>
        <v>10000000000</v>
      </c>
      <c r="T728" s="1">
        <f>IFERROR(MATCH($C$36&amp;"|155",VIRMAN!$K$7:$K$406,0),0)</f>
        <v>0</v>
      </c>
      <c r="V728" s="1">
        <f t="shared" si="122"/>
        <v>10000000000</v>
      </c>
      <c r="W728" s="1">
        <f t="shared" si="123"/>
        <v>9</v>
      </c>
    </row>
    <row r="729" spans="2:23" ht="14.25" customHeight="1" x14ac:dyDescent="0.3">
      <c r="B729" s="65" t="str">
        <f t="shared" si="115"/>
        <v/>
      </c>
      <c r="C729" s="70" t="str">
        <f t="shared" si="116"/>
        <v/>
      </c>
      <c r="D729" s="74" t="str">
        <f t="shared" si="117"/>
        <v/>
      </c>
      <c r="F729" s="65" t="str">
        <f t="shared" si="118"/>
        <v/>
      </c>
      <c r="G729" s="68" t="str">
        <f t="shared" si="119"/>
        <v/>
      </c>
      <c r="H729" s="68" t="str">
        <f t="shared" si="120"/>
        <v/>
      </c>
      <c r="I729" s="68" t="str">
        <f t="shared" si="124"/>
        <v/>
      </c>
      <c r="M729" s="1">
        <v>692</v>
      </c>
      <c r="N729" s="1" t="str">
        <f>IF($T729=0,"",INDEX(VIRMAN!$C$7:$C$406,$T729))</f>
        <v/>
      </c>
      <c r="O729" s="1" t="str">
        <f>IF($N729="","",INDEX(VIRMAN!$D$7:$D$406,$T729)&amp;" → "&amp;$C$36&amp;IF(INDEX(VIRMAN!$G$7:$G$406,$T729)="",""," – "&amp;INDEX(VIRMAN!$G$7:$G$406,$T729)))</f>
        <v/>
      </c>
      <c r="P729" s="1" t="str">
        <f t="shared" si="125"/>
        <v/>
      </c>
      <c r="Q729" s="1">
        <f>IF($N729="",0,INDEX(VIRMAN!$F$7:$F$406,$T729))</f>
        <v>0</v>
      </c>
      <c r="R729" s="1">
        <v>0</v>
      </c>
      <c r="S729" s="1">
        <f t="shared" si="121"/>
        <v>10000000000</v>
      </c>
      <c r="T729" s="1">
        <f>IFERROR(MATCH($C$36&amp;"|156",VIRMAN!$K$7:$K$406,0),0)</f>
        <v>0</v>
      </c>
      <c r="V729" s="1">
        <f t="shared" si="122"/>
        <v>10000000000</v>
      </c>
      <c r="W729" s="1">
        <f t="shared" si="123"/>
        <v>9</v>
      </c>
    </row>
    <row r="730" spans="2:23" ht="14.25" customHeight="1" x14ac:dyDescent="0.3">
      <c r="B730" s="65" t="str">
        <f t="shared" si="115"/>
        <v/>
      </c>
      <c r="C730" s="70" t="str">
        <f t="shared" si="116"/>
        <v/>
      </c>
      <c r="D730" s="74" t="str">
        <f t="shared" si="117"/>
        <v/>
      </c>
      <c r="F730" s="65" t="str">
        <f t="shared" si="118"/>
        <v/>
      </c>
      <c r="G730" s="68" t="str">
        <f t="shared" si="119"/>
        <v/>
      </c>
      <c r="H730" s="68" t="str">
        <f t="shared" si="120"/>
        <v/>
      </c>
      <c r="I730" s="68" t="str">
        <f t="shared" si="124"/>
        <v/>
      </c>
      <c r="M730" s="1">
        <v>693</v>
      </c>
      <c r="N730" s="1" t="str">
        <f>IF($T730=0,"",INDEX(VIRMAN!$C$7:$C$406,$T730))</f>
        <v/>
      </c>
      <c r="O730" s="1" t="str">
        <f>IF($N730="","",INDEX(VIRMAN!$D$7:$D$406,$T730)&amp;" → "&amp;$C$36&amp;IF(INDEX(VIRMAN!$G$7:$G$406,$T730)="",""," – "&amp;INDEX(VIRMAN!$G$7:$G$406,$T730)))</f>
        <v/>
      </c>
      <c r="P730" s="1" t="str">
        <f t="shared" si="125"/>
        <v/>
      </c>
      <c r="Q730" s="1">
        <f>IF($N730="",0,INDEX(VIRMAN!$F$7:$F$406,$T730))</f>
        <v>0</v>
      </c>
      <c r="R730" s="1">
        <v>0</v>
      </c>
      <c r="S730" s="1">
        <f t="shared" si="121"/>
        <v>10000000000</v>
      </c>
      <c r="T730" s="1">
        <f>IFERROR(MATCH($C$36&amp;"|157",VIRMAN!$K$7:$K$406,0),0)</f>
        <v>0</v>
      </c>
      <c r="V730" s="1">
        <f t="shared" si="122"/>
        <v>10000000000</v>
      </c>
      <c r="W730" s="1">
        <f t="shared" si="123"/>
        <v>9</v>
      </c>
    </row>
    <row r="731" spans="2:23" ht="14.25" customHeight="1" x14ac:dyDescent="0.3">
      <c r="B731" s="65" t="str">
        <f t="shared" si="115"/>
        <v/>
      </c>
      <c r="C731" s="70" t="str">
        <f t="shared" si="116"/>
        <v/>
      </c>
      <c r="D731" s="74" t="str">
        <f t="shared" si="117"/>
        <v/>
      </c>
      <c r="F731" s="65" t="str">
        <f t="shared" si="118"/>
        <v/>
      </c>
      <c r="G731" s="68" t="str">
        <f t="shared" si="119"/>
        <v/>
      </c>
      <c r="H731" s="68" t="str">
        <f t="shared" si="120"/>
        <v/>
      </c>
      <c r="I731" s="68" t="str">
        <f t="shared" si="124"/>
        <v/>
      </c>
      <c r="M731" s="1">
        <v>694</v>
      </c>
      <c r="N731" s="1" t="str">
        <f>IF($T731=0,"",INDEX(VIRMAN!$C$7:$C$406,$T731))</f>
        <v/>
      </c>
      <c r="O731" s="1" t="str">
        <f>IF($N731="","",INDEX(VIRMAN!$D$7:$D$406,$T731)&amp;" → "&amp;$C$36&amp;IF(INDEX(VIRMAN!$G$7:$G$406,$T731)="",""," – "&amp;INDEX(VIRMAN!$G$7:$G$406,$T731)))</f>
        <v/>
      </c>
      <c r="P731" s="1" t="str">
        <f t="shared" si="125"/>
        <v/>
      </c>
      <c r="Q731" s="1">
        <f>IF($N731="",0,INDEX(VIRMAN!$F$7:$F$406,$T731))</f>
        <v>0</v>
      </c>
      <c r="R731" s="1">
        <v>0</v>
      </c>
      <c r="S731" s="1">
        <f t="shared" si="121"/>
        <v>10000000000</v>
      </c>
      <c r="T731" s="1">
        <f>IFERROR(MATCH($C$36&amp;"|158",VIRMAN!$K$7:$K$406,0),0)</f>
        <v>0</v>
      </c>
      <c r="V731" s="1">
        <f t="shared" si="122"/>
        <v>10000000000</v>
      </c>
      <c r="W731" s="1">
        <f t="shared" si="123"/>
        <v>9</v>
      </c>
    </row>
    <row r="732" spans="2:23" ht="14.25" customHeight="1" x14ac:dyDescent="0.3">
      <c r="B732" s="65" t="str">
        <f t="shared" si="115"/>
        <v/>
      </c>
      <c r="C732" s="70" t="str">
        <f t="shared" si="116"/>
        <v/>
      </c>
      <c r="D732" s="74" t="str">
        <f t="shared" si="117"/>
        <v/>
      </c>
      <c r="F732" s="65" t="str">
        <f t="shared" si="118"/>
        <v/>
      </c>
      <c r="G732" s="68" t="str">
        <f t="shared" si="119"/>
        <v/>
      </c>
      <c r="H732" s="68" t="str">
        <f t="shared" si="120"/>
        <v/>
      </c>
      <c r="I732" s="68" t="str">
        <f t="shared" si="124"/>
        <v/>
      </c>
      <c r="M732" s="1">
        <v>695</v>
      </c>
      <c r="N732" s="1" t="str">
        <f>IF($T732=0,"",INDEX(VIRMAN!$C$7:$C$406,$T732))</f>
        <v/>
      </c>
      <c r="O732" s="1" t="str">
        <f>IF($N732="","",INDEX(VIRMAN!$D$7:$D$406,$T732)&amp;" → "&amp;$C$36&amp;IF(INDEX(VIRMAN!$G$7:$G$406,$T732)="",""," – "&amp;INDEX(VIRMAN!$G$7:$G$406,$T732)))</f>
        <v/>
      </c>
      <c r="P732" s="1" t="str">
        <f t="shared" si="125"/>
        <v/>
      </c>
      <c r="Q732" s="1">
        <f>IF($N732="",0,INDEX(VIRMAN!$F$7:$F$406,$T732))</f>
        <v>0</v>
      </c>
      <c r="R732" s="1">
        <v>0</v>
      </c>
      <c r="S732" s="1">
        <f t="shared" si="121"/>
        <v>10000000000</v>
      </c>
      <c r="T732" s="1">
        <f>IFERROR(MATCH($C$36&amp;"|159",VIRMAN!$K$7:$K$406,0),0)</f>
        <v>0</v>
      </c>
      <c r="V732" s="1">
        <f t="shared" si="122"/>
        <v>10000000000</v>
      </c>
      <c r="W732" s="1">
        <f t="shared" si="123"/>
        <v>9</v>
      </c>
    </row>
    <row r="733" spans="2:23" ht="14.25" customHeight="1" x14ac:dyDescent="0.3">
      <c r="B733" s="65" t="str">
        <f t="shared" si="115"/>
        <v/>
      </c>
      <c r="C733" s="70" t="str">
        <f t="shared" si="116"/>
        <v/>
      </c>
      <c r="D733" s="74" t="str">
        <f t="shared" si="117"/>
        <v/>
      </c>
      <c r="F733" s="65" t="str">
        <f t="shared" si="118"/>
        <v/>
      </c>
      <c r="G733" s="68" t="str">
        <f t="shared" si="119"/>
        <v/>
      </c>
      <c r="H733" s="68" t="str">
        <f t="shared" si="120"/>
        <v/>
      </c>
      <c r="I733" s="68" t="str">
        <f t="shared" si="124"/>
        <v/>
      </c>
      <c r="M733" s="1">
        <v>696</v>
      </c>
      <c r="N733" s="1" t="str">
        <f>IF($T733=0,"",INDEX(VIRMAN!$C$7:$C$406,$T733))</f>
        <v/>
      </c>
      <c r="O733" s="1" t="str">
        <f>IF($N733="","",INDEX(VIRMAN!$D$7:$D$406,$T733)&amp;" → "&amp;$C$36&amp;IF(INDEX(VIRMAN!$G$7:$G$406,$T733)="",""," – "&amp;INDEX(VIRMAN!$G$7:$G$406,$T733)))</f>
        <v/>
      </c>
      <c r="P733" s="1" t="str">
        <f t="shared" si="125"/>
        <v/>
      </c>
      <c r="Q733" s="1">
        <f>IF($N733="",0,INDEX(VIRMAN!$F$7:$F$406,$T733))</f>
        <v>0</v>
      </c>
      <c r="R733" s="1">
        <v>0</v>
      </c>
      <c r="S733" s="1">
        <f t="shared" si="121"/>
        <v>10000000000</v>
      </c>
      <c r="T733" s="1">
        <f>IFERROR(MATCH($C$36&amp;"|160",VIRMAN!$K$7:$K$406,0),0)</f>
        <v>0</v>
      </c>
      <c r="V733" s="1">
        <f t="shared" si="122"/>
        <v>10000000000</v>
      </c>
      <c r="W733" s="1">
        <f t="shared" si="123"/>
        <v>9</v>
      </c>
    </row>
    <row r="734" spans="2:23" ht="14.25" customHeight="1" x14ac:dyDescent="0.3">
      <c r="B734" s="65" t="str">
        <f t="shared" si="115"/>
        <v/>
      </c>
      <c r="C734" s="70" t="str">
        <f t="shared" si="116"/>
        <v/>
      </c>
      <c r="D734" s="74" t="str">
        <f t="shared" si="117"/>
        <v/>
      </c>
      <c r="F734" s="65" t="str">
        <f t="shared" si="118"/>
        <v/>
      </c>
      <c r="G734" s="68" t="str">
        <f t="shared" si="119"/>
        <v/>
      </c>
      <c r="H734" s="68" t="str">
        <f t="shared" si="120"/>
        <v/>
      </c>
      <c r="I734" s="68" t="str">
        <f t="shared" si="124"/>
        <v/>
      </c>
      <c r="M734" s="1">
        <v>697</v>
      </c>
      <c r="N734" s="71">
        <f>IF($T734=0,"",INDEX(VIRMAN!$C$7:$C$406,$T734))</f>
        <v>46087</v>
      </c>
      <c r="O734" s="1" t="str">
        <f>IF($N734="","",$C$36&amp;" → "&amp;INDEX(VIRMAN!$E$7:$E$406,$T734)&amp;IF(INDEX(VIRMAN!$G$7:$G$406,$T734)="",""," – "&amp;INDEX(VIRMAN!$G$7:$G$406,$T734)))</f>
        <v xml:space="preserve">ÖMER KARTAL → MERKEZ KASA – KASAYA NAKİT ÖDENEN </v>
      </c>
      <c r="P734" s="1" t="str">
        <f t="shared" ref="P734:P765" si="126">IF($N734="","","OFİSE/KASAYA ÖDEDİ")</f>
        <v>OFİSE/KASAYA ÖDEDİ</v>
      </c>
      <c r="Q734" s="1">
        <v>0</v>
      </c>
      <c r="R734" s="79">
        <f>IF($N734="",0,INDEX(VIRMAN!$F$7:$F$406,$T734))</f>
        <v>15000</v>
      </c>
      <c r="S734" s="1">
        <f t="shared" si="121"/>
        <v>4608700697</v>
      </c>
      <c r="T734" s="1">
        <f>IFERROR(MATCH($C$36&amp;"|1",VIRMAN!$L$7:$L$406,0),0)</f>
        <v>10</v>
      </c>
      <c r="V734" s="1">
        <f t="shared" si="122"/>
        <v>10000000000</v>
      </c>
      <c r="W734" s="1">
        <f t="shared" si="123"/>
        <v>9</v>
      </c>
    </row>
    <row r="735" spans="2:23" ht="14.25" customHeight="1" x14ac:dyDescent="0.3">
      <c r="B735" s="65" t="str">
        <f t="shared" si="115"/>
        <v/>
      </c>
      <c r="C735" s="70" t="str">
        <f t="shared" si="116"/>
        <v/>
      </c>
      <c r="D735" s="74" t="str">
        <f t="shared" si="117"/>
        <v/>
      </c>
      <c r="F735" s="65" t="str">
        <f t="shared" si="118"/>
        <v/>
      </c>
      <c r="G735" s="68" t="str">
        <f t="shared" si="119"/>
        <v/>
      </c>
      <c r="H735" s="68" t="str">
        <f t="shared" si="120"/>
        <v/>
      </c>
      <c r="I735" s="68" t="str">
        <f t="shared" si="124"/>
        <v/>
      </c>
      <c r="M735" s="1">
        <v>698</v>
      </c>
      <c r="N735" s="71">
        <f>IF($T735=0,"",INDEX(VIRMAN!$C$7:$C$406,$T735))</f>
        <v>46054</v>
      </c>
      <c r="O735" s="1" t="str">
        <f>IF($N735="","",$C$36&amp;" → "&amp;INDEX(VIRMAN!$E$7:$E$406,$T735)&amp;IF(INDEX(VIRMAN!$G$7:$G$406,$T735)="",""," – "&amp;INDEX(VIRMAN!$G$7:$G$406,$T735)))</f>
        <v>ÖMER KARTAL → MERKEZ KASA – ÖMER KARTAL CARİ HESAP KASAYA ÖDEDİĞİ</v>
      </c>
      <c r="P735" s="1" t="str">
        <f t="shared" si="126"/>
        <v>OFİSE/KASAYA ÖDEDİ</v>
      </c>
      <c r="Q735" s="1">
        <v>0</v>
      </c>
      <c r="R735" s="79">
        <f>IF($N735="",0,INDEX(VIRMAN!$F$7:$F$406,$T735))</f>
        <v>32000</v>
      </c>
      <c r="S735" s="1">
        <f t="shared" si="121"/>
        <v>4605400698</v>
      </c>
      <c r="T735" s="1">
        <f>IFERROR(MATCH($C$36&amp;"|2",VIRMAN!$L$7:$L$406,0),0)</f>
        <v>31</v>
      </c>
      <c r="V735" s="1">
        <f t="shared" si="122"/>
        <v>10000000000</v>
      </c>
      <c r="W735" s="1">
        <f t="shared" si="123"/>
        <v>9</v>
      </c>
    </row>
    <row r="736" spans="2:23" ht="14.25" customHeight="1" x14ac:dyDescent="0.3">
      <c r="B736" s="65" t="str">
        <f t="shared" si="115"/>
        <v/>
      </c>
      <c r="C736" s="70" t="str">
        <f t="shared" si="116"/>
        <v/>
      </c>
      <c r="D736" s="74" t="str">
        <f t="shared" si="117"/>
        <v/>
      </c>
      <c r="F736" s="65" t="str">
        <f t="shared" si="118"/>
        <v/>
      </c>
      <c r="G736" s="68" t="str">
        <f t="shared" si="119"/>
        <v/>
      </c>
      <c r="H736" s="68" t="str">
        <f t="shared" si="120"/>
        <v/>
      </c>
      <c r="I736" s="68" t="str">
        <f t="shared" si="124"/>
        <v/>
      </c>
      <c r="M736" s="1">
        <v>699</v>
      </c>
      <c r="N736" s="1" t="str">
        <f>IF($T736=0,"",INDEX(VIRMAN!$C$7:$C$406,$T736))</f>
        <v/>
      </c>
      <c r="O736" s="1" t="str">
        <f>IF($N736="","",$C$36&amp;" → "&amp;INDEX(VIRMAN!$E$7:$E$406,$T736)&amp;IF(INDEX(VIRMAN!$G$7:$G$406,$T736)="",""," – "&amp;INDEX(VIRMAN!$G$7:$G$406,$T736)))</f>
        <v/>
      </c>
      <c r="P736" s="1" t="str">
        <f t="shared" si="126"/>
        <v/>
      </c>
      <c r="Q736" s="1">
        <v>0</v>
      </c>
      <c r="R736" s="1">
        <f>IF($N736="",0,INDEX(VIRMAN!$F$7:$F$406,$T736))</f>
        <v>0</v>
      </c>
      <c r="S736" s="1">
        <f t="shared" si="121"/>
        <v>10000000000</v>
      </c>
      <c r="T736" s="1">
        <f>IFERROR(MATCH($C$36&amp;"|3",VIRMAN!$L$7:$L$406,0),0)</f>
        <v>0</v>
      </c>
      <c r="V736" s="1">
        <f t="shared" si="122"/>
        <v>10000000000</v>
      </c>
      <c r="W736" s="1">
        <f t="shared" si="123"/>
        <v>9</v>
      </c>
    </row>
    <row r="737" spans="2:23" ht="14.25" customHeight="1" x14ac:dyDescent="0.3">
      <c r="B737" s="65" t="str">
        <f t="shared" si="115"/>
        <v/>
      </c>
      <c r="C737" s="70" t="str">
        <f t="shared" si="116"/>
        <v/>
      </c>
      <c r="D737" s="74" t="str">
        <f t="shared" si="117"/>
        <v/>
      </c>
      <c r="F737" s="65" t="str">
        <f t="shared" si="118"/>
        <v/>
      </c>
      <c r="G737" s="68" t="str">
        <f t="shared" si="119"/>
        <v/>
      </c>
      <c r="H737" s="68" t="str">
        <f t="shared" si="120"/>
        <v/>
      </c>
      <c r="I737" s="68" t="str">
        <f t="shared" si="124"/>
        <v/>
      </c>
      <c r="M737" s="1">
        <v>700</v>
      </c>
      <c r="N737" s="1" t="str">
        <f>IF($T737=0,"",INDEX(VIRMAN!$C$7:$C$406,$T737))</f>
        <v/>
      </c>
      <c r="O737" s="1" t="str">
        <f>IF($N737="","",$C$36&amp;" → "&amp;INDEX(VIRMAN!$E$7:$E$406,$T737)&amp;IF(INDEX(VIRMAN!$G$7:$G$406,$T737)="",""," – "&amp;INDEX(VIRMAN!$G$7:$G$406,$T737)))</f>
        <v/>
      </c>
      <c r="P737" s="1" t="str">
        <f t="shared" si="126"/>
        <v/>
      </c>
      <c r="Q737" s="1">
        <v>0</v>
      </c>
      <c r="R737" s="1">
        <f>IF($N737="",0,INDEX(VIRMAN!$F$7:$F$406,$T737))</f>
        <v>0</v>
      </c>
      <c r="S737" s="1">
        <f t="shared" si="121"/>
        <v>10000000000</v>
      </c>
      <c r="T737" s="1">
        <f>IFERROR(MATCH($C$36&amp;"|4",VIRMAN!$L$7:$L$406,0),0)</f>
        <v>0</v>
      </c>
      <c r="V737" s="1">
        <f t="shared" si="122"/>
        <v>10000000000</v>
      </c>
      <c r="W737" s="1">
        <f t="shared" si="123"/>
        <v>9</v>
      </c>
    </row>
    <row r="738" spans="2:23" ht="14.25" customHeight="1" x14ac:dyDescent="0.3">
      <c r="B738" s="65" t="str">
        <f t="shared" si="115"/>
        <v/>
      </c>
      <c r="C738" s="70" t="str">
        <f t="shared" si="116"/>
        <v/>
      </c>
      <c r="D738" s="74" t="str">
        <f t="shared" si="117"/>
        <v/>
      </c>
      <c r="F738" s="65" t="str">
        <f t="shared" si="118"/>
        <v/>
      </c>
      <c r="G738" s="68" t="str">
        <f t="shared" si="119"/>
        <v/>
      </c>
      <c r="H738" s="68" t="str">
        <f t="shared" si="120"/>
        <v/>
      </c>
      <c r="I738" s="68" t="str">
        <f t="shared" si="124"/>
        <v/>
      </c>
      <c r="M738" s="1">
        <v>701</v>
      </c>
      <c r="N738" s="1" t="str">
        <f>IF($T738=0,"",INDEX(VIRMAN!$C$7:$C$406,$T738))</f>
        <v/>
      </c>
      <c r="O738" s="1" t="str">
        <f>IF($N738="","",$C$36&amp;" → "&amp;INDEX(VIRMAN!$E$7:$E$406,$T738)&amp;IF(INDEX(VIRMAN!$G$7:$G$406,$T738)="",""," – "&amp;INDEX(VIRMAN!$G$7:$G$406,$T738)))</f>
        <v/>
      </c>
      <c r="P738" s="1" t="str">
        <f t="shared" si="126"/>
        <v/>
      </c>
      <c r="Q738" s="1">
        <v>0</v>
      </c>
      <c r="R738" s="1">
        <f>IF($N738="",0,INDEX(VIRMAN!$F$7:$F$406,$T738))</f>
        <v>0</v>
      </c>
      <c r="S738" s="1">
        <f t="shared" si="121"/>
        <v>10000000000</v>
      </c>
      <c r="T738" s="1">
        <f>IFERROR(MATCH($C$36&amp;"|5",VIRMAN!$L$7:$L$406,0),0)</f>
        <v>0</v>
      </c>
      <c r="V738" s="1">
        <f t="shared" si="122"/>
        <v>10000000000</v>
      </c>
      <c r="W738" s="1">
        <f t="shared" si="123"/>
        <v>9</v>
      </c>
    </row>
    <row r="739" spans="2:23" ht="14.25" customHeight="1" x14ac:dyDescent="0.3">
      <c r="B739" s="65" t="str">
        <f t="shared" si="115"/>
        <v/>
      </c>
      <c r="C739" s="70" t="str">
        <f t="shared" si="116"/>
        <v/>
      </c>
      <c r="D739" s="74" t="str">
        <f t="shared" si="117"/>
        <v/>
      </c>
      <c r="F739" s="65" t="str">
        <f t="shared" si="118"/>
        <v/>
      </c>
      <c r="G739" s="68" t="str">
        <f t="shared" si="119"/>
        <v/>
      </c>
      <c r="H739" s="68" t="str">
        <f t="shared" si="120"/>
        <v/>
      </c>
      <c r="I739" s="68" t="str">
        <f t="shared" si="124"/>
        <v/>
      </c>
      <c r="M739" s="1">
        <v>702</v>
      </c>
      <c r="N739" s="1" t="str">
        <f>IF($T739=0,"",INDEX(VIRMAN!$C$7:$C$406,$T739))</f>
        <v/>
      </c>
      <c r="O739" s="1" t="str">
        <f>IF($N739="","",$C$36&amp;" → "&amp;INDEX(VIRMAN!$E$7:$E$406,$T739)&amp;IF(INDEX(VIRMAN!$G$7:$G$406,$T739)="",""," – "&amp;INDEX(VIRMAN!$G$7:$G$406,$T739)))</f>
        <v/>
      </c>
      <c r="P739" s="1" t="str">
        <f t="shared" si="126"/>
        <v/>
      </c>
      <c r="Q739" s="1">
        <v>0</v>
      </c>
      <c r="R739" s="1">
        <f>IF($N739="",0,INDEX(VIRMAN!$F$7:$F$406,$T739))</f>
        <v>0</v>
      </c>
      <c r="S739" s="1">
        <f t="shared" si="121"/>
        <v>10000000000</v>
      </c>
      <c r="T739" s="1">
        <f>IFERROR(MATCH($C$36&amp;"|6",VIRMAN!$L$7:$L$406,0),0)</f>
        <v>0</v>
      </c>
      <c r="V739" s="1">
        <f t="shared" si="122"/>
        <v>10000000000</v>
      </c>
      <c r="W739" s="1">
        <f t="shared" si="123"/>
        <v>9</v>
      </c>
    </row>
    <row r="740" spans="2:23" ht="14.25" customHeight="1" x14ac:dyDescent="0.3">
      <c r="B740" s="65" t="str">
        <f t="shared" si="115"/>
        <v/>
      </c>
      <c r="C740" s="70" t="str">
        <f t="shared" si="116"/>
        <v/>
      </c>
      <c r="D740" s="74" t="str">
        <f t="shared" si="117"/>
        <v/>
      </c>
      <c r="F740" s="65" t="str">
        <f t="shared" si="118"/>
        <v/>
      </c>
      <c r="G740" s="68" t="str">
        <f t="shared" si="119"/>
        <v/>
      </c>
      <c r="H740" s="68" t="str">
        <f t="shared" si="120"/>
        <v/>
      </c>
      <c r="I740" s="68" t="str">
        <f t="shared" si="124"/>
        <v/>
      </c>
      <c r="M740" s="1">
        <v>703</v>
      </c>
      <c r="N740" s="1" t="str">
        <f>IF($T740=0,"",INDEX(VIRMAN!$C$7:$C$406,$T740))</f>
        <v/>
      </c>
      <c r="O740" s="1" t="str">
        <f>IF($N740="","",$C$36&amp;" → "&amp;INDEX(VIRMAN!$E$7:$E$406,$T740)&amp;IF(INDEX(VIRMAN!$G$7:$G$406,$T740)="",""," – "&amp;INDEX(VIRMAN!$G$7:$G$406,$T740)))</f>
        <v/>
      </c>
      <c r="P740" s="1" t="str">
        <f t="shared" si="126"/>
        <v/>
      </c>
      <c r="Q740" s="1">
        <v>0</v>
      </c>
      <c r="R740" s="1">
        <f>IF($N740="",0,INDEX(VIRMAN!$F$7:$F$406,$T740))</f>
        <v>0</v>
      </c>
      <c r="S740" s="1">
        <f t="shared" si="121"/>
        <v>10000000000</v>
      </c>
      <c r="T740" s="1">
        <f>IFERROR(MATCH($C$36&amp;"|7",VIRMAN!$L$7:$L$406,0),0)</f>
        <v>0</v>
      </c>
      <c r="V740" s="1">
        <f t="shared" si="122"/>
        <v>10000000000</v>
      </c>
      <c r="W740" s="1">
        <f t="shared" si="123"/>
        <v>9</v>
      </c>
    </row>
    <row r="741" spans="2:23" ht="14.25" customHeight="1" x14ac:dyDescent="0.3">
      <c r="B741" s="65" t="str">
        <f t="shared" si="115"/>
        <v/>
      </c>
      <c r="C741" s="70" t="str">
        <f t="shared" si="116"/>
        <v/>
      </c>
      <c r="D741" s="74" t="str">
        <f t="shared" si="117"/>
        <v/>
      </c>
      <c r="F741" s="65" t="str">
        <f t="shared" si="118"/>
        <v/>
      </c>
      <c r="G741" s="68" t="str">
        <f t="shared" si="119"/>
        <v/>
      </c>
      <c r="H741" s="68" t="str">
        <f t="shared" si="120"/>
        <v/>
      </c>
      <c r="I741" s="68" t="str">
        <f t="shared" si="124"/>
        <v/>
      </c>
      <c r="M741" s="1">
        <v>704</v>
      </c>
      <c r="N741" s="1" t="str">
        <f>IF($T741=0,"",INDEX(VIRMAN!$C$7:$C$406,$T741))</f>
        <v/>
      </c>
      <c r="O741" s="1" t="str">
        <f>IF($N741="","",$C$36&amp;" → "&amp;INDEX(VIRMAN!$E$7:$E$406,$T741)&amp;IF(INDEX(VIRMAN!$G$7:$G$406,$T741)="",""," – "&amp;INDEX(VIRMAN!$G$7:$G$406,$T741)))</f>
        <v/>
      </c>
      <c r="P741" s="1" t="str">
        <f t="shared" si="126"/>
        <v/>
      </c>
      <c r="Q741" s="1">
        <v>0</v>
      </c>
      <c r="R741" s="1">
        <f>IF($N741="",0,INDEX(VIRMAN!$F$7:$F$406,$T741))</f>
        <v>0</v>
      </c>
      <c r="S741" s="1">
        <f t="shared" si="121"/>
        <v>10000000000</v>
      </c>
      <c r="T741" s="1">
        <f>IFERROR(MATCH($C$36&amp;"|8",VIRMAN!$L$7:$L$406,0),0)</f>
        <v>0</v>
      </c>
      <c r="V741" s="1">
        <f t="shared" si="122"/>
        <v>10000000000</v>
      </c>
      <c r="W741" s="1">
        <f t="shared" si="123"/>
        <v>9</v>
      </c>
    </row>
    <row r="742" spans="2:23" ht="14.25" customHeight="1" x14ac:dyDescent="0.3">
      <c r="B742" s="65" t="str">
        <f t="shared" ref="B742:B805" si="127">IF($C742="","",ROW()-37)</f>
        <v/>
      </c>
      <c r="C742" s="70" t="str">
        <f t="shared" ref="C742:C805" si="128">IF($W742="","",IF(INDEX($N$38:$N$953,$W742)="","",INDEX($N$38:$N$953,$W742)))</f>
        <v/>
      </c>
      <c r="D742" s="74" t="str">
        <f t="shared" ref="D742:D805" si="129">IF($C742="","",INDEX($O$38:$O$953,$W742))</f>
        <v/>
      </c>
      <c r="F742" s="65" t="str">
        <f t="shared" ref="F742:F805" si="130">IF($C742="","",INDEX($P$38:$P$953,$W742))</f>
        <v/>
      </c>
      <c r="G742" s="68" t="str">
        <f t="shared" ref="G742:G805" si="131">IF($C742="","",INDEX($Q$38:$Q$953,$W742))</f>
        <v/>
      </c>
      <c r="H742" s="68" t="str">
        <f t="shared" ref="H742:H805" si="132">IF($C742="","",INDEX($R$38:$R$953,$W742))</f>
        <v/>
      </c>
      <c r="I742" s="68" t="str">
        <f t="shared" si="124"/>
        <v/>
      </c>
      <c r="M742" s="1">
        <v>705</v>
      </c>
      <c r="N742" s="1" t="str">
        <f>IF($T742=0,"",INDEX(VIRMAN!$C$7:$C$406,$T742))</f>
        <v/>
      </c>
      <c r="O742" s="1" t="str">
        <f>IF($N742="","",$C$36&amp;" → "&amp;INDEX(VIRMAN!$E$7:$E$406,$T742)&amp;IF(INDEX(VIRMAN!$G$7:$G$406,$T742)="",""," – "&amp;INDEX(VIRMAN!$G$7:$G$406,$T742)))</f>
        <v/>
      </c>
      <c r="P742" s="1" t="str">
        <f t="shared" si="126"/>
        <v/>
      </c>
      <c r="Q742" s="1">
        <v>0</v>
      </c>
      <c r="R742" s="1">
        <f>IF($N742="",0,INDEX(VIRMAN!$F$7:$F$406,$T742))</f>
        <v>0</v>
      </c>
      <c r="S742" s="1">
        <f t="shared" ref="S742:S805" si="133">IF($N742="",10000000000,$N742*100000+$M742)</f>
        <v>10000000000</v>
      </c>
      <c r="T742" s="1">
        <f>IFERROR(MATCH($C$36&amp;"|9",VIRMAN!$L$7:$L$406,0),0)</f>
        <v>0</v>
      </c>
      <c r="V742" s="1">
        <f t="shared" ref="V742:V805" si="134">IFERROR(SMALL($S$38:$S$953,ROW()-37),"")</f>
        <v>10000000000</v>
      </c>
      <c r="W742" s="1">
        <f t="shared" ref="W742:W805" si="135">IFERROR(MATCH($V742,$S$38:$S$953,0),"")</f>
        <v>9</v>
      </c>
    </row>
    <row r="743" spans="2:23" ht="14.25" customHeight="1" x14ac:dyDescent="0.3">
      <c r="B743" s="65" t="str">
        <f t="shared" si="127"/>
        <v/>
      </c>
      <c r="C743" s="70" t="str">
        <f t="shared" si="128"/>
        <v/>
      </c>
      <c r="D743" s="74" t="str">
        <f t="shared" si="129"/>
        <v/>
      </c>
      <c r="F743" s="65" t="str">
        <f t="shared" si="130"/>
        <v/>
      </c>
      <c r="G743" s="68" t="str">
        <f t="shared" si="131"/>
        <v/>
      </c>
      <c r="H743" s="68" t="str">
        <f t="shared" si="132"/>
        <v/>
      </c>
      <c r="I743" s="68" t="str">
        <f t="shared" ref="I743:I806" si="136">IF($C743="","",N($I742)+$G743-$H743)</f>
        <v/>
      </c>
      <c r="M743" s="1">
        <v>706</v>
      </c>
      <c r="N743" s="1" t="str">
        <f>IF($T743=0,"",INDEX(VIRMAN!$C$7:$C$406,$T743))</f>
        <v/>
      </c>
      <c r="O743" s="1" t="str">
        <f>IF($N743="","",$C$36&amp;" → "&amp;INDEX(VIRMAN!$E$7:$E$406,$T743)&amp;IF(INDEX(VIRMAN!$G$7:$G$406,$T743)="",""," – "&amp;INDEX(VIRMAN!$G$7:$G$406,$T743)))</f>
        <v/>
      </c>
      <c r="P743" s="1" t="str">
        <f t="shared" si="126"/>
        <v/>
      </c>
      <c r="Q743" s="1">
        <v>0</v>
      </c>
      <c r="R743" s="1">
        <f>IF($N743="",0,INDEX(VIRMAN!$F$7:$F$406,$T743))</f>
        <v>0</v>
      </c>
      <c r="S743" s="1">
        <f t="shared" si="133"/>
        <v>10000000000</v>
      </c>
      <c r="T743" s="1">
        <f>IFERROR(MATCH($C$36&amp;"|10",VIRMAN!$L$7:$L$406,0),0)</f>
        <v>0</v>
      </c>
      <c r="V743" s="1">
        <f t="shared" si="134"/>
        <v>10000000000</v>
      </c>
      <c r="W743" s="1">
        <f t="shared" si="135"/>
        <v>9</v>
      </c>
    </row>
    <row r="744" spans="2:23" ht="14.25" customHeight="1" x14ac:dyDescent="0.3">
      <c r="B744" s="65" t="str">
        <f t="shared" si="127"/>
        <v/>
      </c>
      <c r="C744" s="70" t="str">
        <f t="shared" si="128"/>
        <v/>
      </c>
      <c r="D744" s="74" t="str">
        <f t="shared" si="129"/>
        <v/>
      </c>
      <c r="F744" s="65" t="str">
        <f t="shared" si="130"/>
        <v/>
      </c>
      <c r="G744" s="68" t="str">
        <f t="shared" si="131"/>
        <v/>
      </c>
      <c r="H744" s="68" t="str">
        <f t="shared" si="132"/>
        <v/>
      </c>
      <c r="I744" s="68" t="str">
        <f t="shared" si="136"/>
        <v/>
      </c>
      <c r="M744" s="1">
        <v>707</v>
      </c>
      <c r="N744" s="1" t="str">
        <f>IF($T744=0,"",INDEX(VIRMAN!$C$7:$C$406,$T744))</f>
        <v/>
      </c>
      <c r="O744" s="1" t="str">
        <f>IF($N744="","",$C$36&amp;" → "&amp;INDEX(VIRMAN!$E$7:$E$406,$T744)&amp;IF(INDEX(VIRMAN!$G$7:$G$406,$T744)="",""," – "&amp;INDEX(VIRMAN!$G$7:$G$406,$T744)))</f>
        <v/>
      </c>
      <c r="P744" s="1" t="str">
        <f t="shared" si="126"/>
        <v/>
      </c>
      <c r="Q744" s="1">
        <v>0</v>
      </c>
      <c r="R744" s="1">
        <f>IF($N744="",0,INDEX(VIRMAN!$F$7:$F$406,$T744))</f>
        <v>0</v>
      </c>
      <c r="S744" s="1">
        <f t="shared" si="133"/>
        <v>10000000000</v>
      </c>
      <c r="T744" s="1">
        <f>IFERROR(MATCH($C$36&amp;"|11",VIRMAN!$L$7:$L$406,0),0)</f>
        <v>0</v>
      </c>
      <c r="V744" s="1">
        <f t="shared" si="134"/>
        <v>10000000000</v>
      </c>
      <c r="W744" s="1">
        <f t="shared" si="135"/>
        <v>9</v>
      </c>
    </row>
    <row r="745" spans="2:23" ht="14.25" customHeight="1" x14ac:dyDescent="0.3">
      <c r="B745" s="65" t="str">
        <f t="shared" si="127"/>
        <v/>
      </c>
      <c r="C745" s="70" t="str">
        <f t="shared" si="128"/>
        <v/>
      </c>
      <c r="D745" s="74" t="str">
        <f t="shared" si="129"/>
        <v/>
      </c>
      <c r="F745" s="65" t="str">
        <f t="shared" si="130"/>
        <v/>
      </c>
      <c r="G745" s="68" t="str">
        <f t="shared" si="131"/>
        <v/>
      </c>
      <c r="H745" s="68" t="str">
        <f t="shared" si="132"/>
        <v/>
      </c>
      <c r="I745" s="68" t="str">
        <f t="shared" si="136"/>
        <v/>
      </c>
      <c r="M745" s="1">
        <v>708</v>
      </c>
      <c r="N745" s="1" t="str">
        <f>IF($T745=0,"",INDEX(VIRMAN!$C$7:$C$406,$T745))</f>
        <v/>
      </c>
      <c r="O745" s="1" t="str">
        <f>IF($N745="","",$C$36&amp;" → "&amp;INDEX(VIRMAN!$E$7:$E$406,$T745)&amp;IF(INDEX(VIRMAN!$G$7:$G$406,$T745)="",""," – "&amp;INDEX(VIRMAN!$G$7:$G$406,$T745)))</f>
        <v/>
      </c>
      <c r="P745" s="1" t="str">
        <f t="shared" si="126"/>
        <v/>
      </c>
      <c r="Q745" s="1">
        <v>0</v>
      </c>
      <c r="R745" s="1">
        <f>IF($N745="",0,INDEX(VIRMAN!$F$7:$F$406,$T745))</f>
        <v>0</v>
      </c>
      <c r="S745" s="1">
        <f t="shared" si="133"/>
        <v>10000000000</v>
      </c>
      <c r="T745" s="1">
        <f>IFERROR(MATCH($C$36&amp;"|12",VIRMAN!$L$7:$L$406,0),0)</f>
        <v>0</v>
      </c>
      <c r="V745" s="1">
        <f t="shared" si="134"/>
        <v>10000000000</v>
      </c>
      <c r="W745" s="1">
        <f t="shared" si="135"/>
        <v>9</v>
      </c>
    </row>
    <row r="746" spans="2:23" ht="14.25" customHeight="1" x14ac:dyDescent="0.3">
      <c r="B746" s="65" t="str">
        <f t="shared" si="127"/>
        <v/>
      </c>
      <c r="C746" s="70" t="str">
        <f t="shared" si="128"/>
        <v/>
      </c>
      <c r="D746" s="74" t="str">
        <f t="shared" si="129"/>
        <v/>
      </c>
      <c r="F746" s="65" t="str">
        <f t="shared" si="130"/>
        <v/>
      </c>
      <c r="G746" s="68" t="str">
        <f t="shared" si="131"/>
        <v/>
      </c>
      <c r="H746" s="68" t="str">
        <f t="shared" si="132"/>
        <v/>
      </c>
      <c r="I746" s="68" t="str">
        <f t="shared" si="136"/>
        <v/>
      </c>
      <c r="M746" s="1">
        <v>709</v>
      </c>
      <c r="N746" s="1" t="str">
        <f>IF($T746=0,"",INDEX(VIRMAN!$C$7:$C$406,$T746))</f>
        <v/>
      </c>
      <c r="O746" s="1" t="str">
        <f>IF($N746="","",$C$36&amp;" → "&amp;INDEX(VIRMAN!$E$7:$E$406,$T746)&amp;IF(INDEX(VIRMAN!$G$7:$G$406,$T746)="",""," – "&amp;INDEX(VIRMAN!$G$7:$G$406,$T746)))</f>
        <v/>
      </c>
      <c r="P746" s="1" t="str">
        <f t="shared" si="126"/>
        <v/>
      </c>
      <c r="Q746" s="1">
        <v>0</v>
      </c>
      <c r="R746" s="1">
        <f>IF($N746="",0,INDEX(VIRMAN!$F$7:$F$406,$T746))</f>
        <v>0</v>
      </c>
      <c r="S746" s="1">
        <f t="shared" si="133"/>
        <v>10000000000</v>
      </c>
      <c r="T746" s="1">
        <f>IFERROR(MATCH($C$36&amp;"|13",VIRMAN!$L$7:$L$406,0),0)</f>
        <v>0</v>
      </c>
      <c r="V746" s="1">
        <f t="shared" si="134"/>
        <v>10000000000</v>
      </c>
      <c r="W746" s="1">
        <f t="shared" si="135"/>
        <v>9</v>
      </c>
    </row>
    <row r="747" spans="2:23" ht="14.25" customHeight="1" x14ac:dyDescent="0.3">
      <c r="B747" s="65" t="str">
        <f t="shared" si="127"/>
        <v/>
      </c>
      <c r="C747" s="70" t="str">
        <f t="shared" si="128"/>
        <v/>
      </c>
      <c r="D747" s="74" t="str">
        <f t="shared" si="129"/>
        <v/>
      </c>
      <c r="F747" s="65" t="str">
        <f t="shared" si="130"/>
        <v/>
      </c>
      <c r="G747" s="68" t="str">
        <f t="shared" si="131"/>
        <v/>
      </c>
      <c r="H747" s="68" t="str">
        <f t="shared" si="132"/>
        <v/>
      </c>
      <c r="I747" s="68" t="str">
        <f t="shared" si="136"/>
        <v/>
      </c>
      <c r="M747" s="1">
        <v>710</v>
      </c>
      <c r="N747" s="1" t="str">
        <f>IF($T747=0,"",INDEX(VIRMAN!$C$7:$C$406,$T747))</f>
        <v/>
      </c>
      <c r="O747" s="1" t="str">
        <f>IF($N747="","",$C$36&amp;" → "&amp;INDEX(VIRMAN!$E$7:$E$406,$T747)&amp;IF(INDEX(VIRMAN!$G$7:$G$406,$T747)="",""," – "&amp;INDEX(VIRMAN!$G$7:$G$406,$T747)))</f>
        <v/>
      </c>
      <c r="P747" s="1" t="str">
        <f t="shared" si="126"/>
        <v/>
      </c>
      <c r="Q747" s="1">
        <v>0</v>
      </c>
      <c r="R747" s="1">
        <f>IF($N747="",0,INDEX(VIRMAN!$F$7:$F$406,$T747))</f>
        <v>0</v>
      </c>
      <c r="S747" s="1">
        <f t="shared" si="133"/>
        <v>10000000000</v>
      </c>
      <c r="T747" s="1">
        <f>IFERROR(MATCH($C$36&amp;"|14",VIRMAN!$L$7:$L$406,0),0)</f>
        <v>0</v>
      </c>
      <c r="V747" s="1">
        <f t="shared" si="134"/>
        <v>10000000000</v>
      </c>
      <c r="W747" s="1">
        <f t="shared" si="135"/>
        <v>9</v>
      </c>
    </row>
    <row r="748" spans="2:23" ht="14.25" customHeight="1" x14ac:dyDescent="0.3">
      <c r="B748" s="65" t="str">
        <f t="shared" si="127"/>
        <v/>
      </c>
      <c r="C748" s="70" t="str">
        <f t="shared" si="128"/>
        <v/>
      </c>
      <c r="D748" s="74" t="str">
        <f t="shared" si="129"/>
        <v/>
      </c>
      <c r="F748" s="65" t="str">
        <f t="shared" si="130"/>
        <v/>
      </c>
      <c r="G748" s="68" t="str">
        <f t="shared" si="131"/>
        <v/>
      </c>
      <c r="H748" s="68" t="str">
        <f t="shared" si="132"/>
        <v/>
      </c>
      <c r="I748" s="68" t="str">
        <f t="shared" si="136"/>
        <v/>
      </c>
      <c r="M748" s="1">
        <v>711</v>
      </c>
      <c r="N748" s="1" t="str">
        <f>IF($T748=0,"",INDEX(VIRMAN!$C$7:$C$406,$T748))</f>
        <v/>
      </c>
      <c r="O748" s="1" t="str">
        <f>IF($N748="","",$C$36&amp;" → "&amp;INDEX(VIRMAN!$E$7:$E$406,$T748)&amp;IF(INDEX(VIRMAN!$G$7:$G$406,$T748)="",""," – "&amp;INDEX(VIRMAN!$G$7:$G$406,$T748)))</f>
        <v/>
      </c>
      <c r="P748" s="1" t="str">
        <f t="shared" si="126"/>
        <v/>
      </c>
      <c r="Q748" s="1">
        <v>0</v>
      </c>
      <c r="R748" s="1">
        <f>IF($N748="",0,INDEX(VIRMAN!$F$7:$F$406,$T748))</f>
        <v>0</v>
      </c>
      <c r="S748" s="1">
        <f t="shared" si="133"/>
        <v>10000000000</v>
      </c>
      <c r="T748" s="1">
        <f>IFERROR(MATCH($C$36&amp;"|15",VIRMAN!$L$7:$L$406,0),0)</f>
        <v>0</v>
      </c>
      <c r="V748" s="1">
        <f t="shared" si="134"/>
        <v>10000000000</v>
      </c>
      <c r="W748" s="1">
        <f t="shared" si="135"/>
        <v>9</v>
      </c>
    </row>
    <row r="749" spans="2:23" ht="14.25" customHeight="1" x14ac:dyDescent="0.3">
      <c r="B749" s="65" t="str">
        <f t="shared" si="127"/>
        <v/>
      </c>
      <c r="C749" s="70" t="str">
        <f t="shared" si="128"/>
        <v/>
      </c>
      <c r="D749" s="74" t="str">
        <f t="shared" si="129"/>
        <v/>
      </c>
      <c r="F749" s="65" t="str">
        <f t="shared" si="130"/>
        <v/>
      </c>
      <c r="G749" s="68" t="str">
        <f t="shared" si="131"/>
        <v/>
      </c>
      <c r="H749" s="68" t="str">
        <f t="shared" si="132"/>
        <v/>
      </c>
      <c r="I749" s="68" t="str">
        <f t="shared" si="136"/>
        <v/>
      </c>
      <c r="M749" s="1">
        <v>712</v>
      </c>
      <c r="N749" s="1" t="str">
        <f>IF($T749=0,"",INDEX(VIRMAN!$C$7:$C$406,$T749))</f>
        <v/>
      </c>
      <c r="O749" s="1" t="str">
        <f>IF($N749="","",$C$36&amp;" → "&amp;INDEX(VIRMAN!$E$7:$E$406,$T749)&amp;IF(INDEX(VIRMAN!$G$7:$G$406,$T749)="",""," – "&amp;INDEX(VIRMAN!$G$7:$G$406,$T749)))</f>
        <v/>
      </c>
      <c r="P749" s="1" t="str">
        <f t="shared" si="126"/>
        <v/>
      </c>
      <c r="Q749" s="1">
        <v>0</v>
      </c>
      <c r="R749" s="1">
        <f>IF($N749="",0,INDEX(VIRMAN!$F$7:$F$406,$T749))</f>
        <v>0</v>
      </c>
      <c r="S749" s="1">
        <f t="shared" si="133"/>
        <v>10000000000</v>
      </c>
      <c r="T749" s="1">
        <f>IFERROR(MATCH($C$36&amp;"|16",VIRMAN!$L$7:$L$406,0),0)</f>
        <v>0</v>
      </c>
      <c r="V749" s="1">
        <f t="shared" si="134"/>
        <v>10000000000</v>
      </c>
      <c r="W749" s="1">
        <f t="shared" si="135"/>
        <v>9</v>
      </c>
    </row>
    <row r="750" spans="2:23" ht="14.25" customHeight="1" x14ac:dyDescent="0.3">
      <c r="B750" s="65" t="str">
        <f t="shared" si="127"/>
        <v/>
      </c>
      <c r="C750" s="70" t="str">
        <f t="shared" si="128"/>
        <v/>
      </c>
      <c r="D750" s="74" t="str">
        <f t="shared" si="129"/>
        <v/>
      </c>
      <c r="F750" s="65" t="str">
        <f t="shared" si="130"/>
        <v/>
      </c>
      <c r="G750" s="68" t="str">
        <f t="shared" si="131"/>
        <v/>
      </c>
      <c r="H750" s="68" t="str">
        <f t="shared" si="132"/>
        <v/>
      </c>
      <c r="I750" s="68" t="str">
        <f t="shared" si="136"/>
        <v/>
      </c>
      <c r="M750" s="1">
        <v>713</v>
      </c>
      <c r="N750" s="1" t="str">
        <f>IF($T750=0,"",INDEX(VIRMAN!$C$7:$C$406,$T750))</f>
        <v/>
      </c>
      <c r="O750" s="1" t="str">
        <f>IF($N750="","",$C$36&amp;" → "&amp;INDEX(VIRMAN!$E$7:$E$406,$T750)&amp;IF(INDEX(VIRMAN!$G$7:$G$406,$T750)="",""," – "&amp;INDEX(VIRMAN!$G$7:$G$406,$T750)))</f>
        <v/>
      </c>
      <c r="P750" s="1" t="str">
        <f t="shared" si="126"/>
        <v/>
      </c>
      <c r="Q750" s="1">
        <v>0</v>
      </c>
      <c r="R750" s="1">
        <f>IF($N750="",0,INDEX(VIRMAN!$F$7:$F$406,$T750))</f>
        <v>0</v>
      </c>
      <c r="S750" s="1">
        <f t="shared" si="133"/>
        <v>10000000000</v>
      </c>
      <c r="T750" s="1">
        <f>IFERROR(MATCH($C$36&amp;"|17",VIRMAN!$L$7:$L$406,0),0)</f>
        <v>0</v>
      </c>
      <c r="V750" s="1">
        <f t="shared" si="134"/>
        <v>10000000000</v>
      </c>
      <c r="W750" s="1">
        <f t="shared" si="135"/>
        <v>9</v>
      </c>
    </row>
    <row r="751" spans="2:23" ht="14.25" customHeight="1" x14ac:dyDescent="0.3">
      <c r="B751" s="65" t="str">
        <f t="shared" si="127"/>
        <v/>
      </c>
      <c r="C751" s="70" t="str">
        <f t="shared" si="128"/>
        <v/>
      </c>
      <c r="D751" s="74" t="str">
        <f t="shared" si="129"/>
        <v/>
      </c>
      <c r="F751" s="65" t="str">
        <f t="shared" si="130"/>
        <v/>
      </c>
      <c r="G751" s="68" t="str">
        <f t="shared" si="131"/>
        <v/>
      </c>
      <c r="H751" s="68" t="str">
        <f t="shared" si="132"/>
        <v/>
      </c>
      <c r="I751" s="68" t="str">
        <f t="shared" si="136"/>
        <v/>
      </c>
      <c r="M751" s="1">
        <v>714</v>
      </c>
      <c r="N751" s="1" t="str">
        <f>IF($T751=0,"",INDEX(VIRMAN!$C$7:$C$406,$T751))</f>
        <v/>
      </c>
      <c r="O751" s="1" t="str">
        <f>IF($N751="","",$C$36&amp;" → "&amp;INDEX(VIRMAN!$E$7:$E$406,$T751)&amp;IF(INDEX(VIRMAN!$G$7:$G$406,$T751)="",""," – "&amp;INDEX(VIRMAN!$G$7:$G$406,$T751)))</f>
        <v/>
      </c>
      <c r="P751" s="1" t="str">
        <f t="shared" si="126"/>
        <v/>
      </c>
      <c r="Q751" s="1">
        <v>0</v>
      </c>
      <c r="R751" s="1">
        <f>IF($N751="",0,INDEX(VIRMAN!$F$7:$F$406,$T751))</f>
        <v>0</v>
      </c>
      <c r="S751" s="1">
        <f t="shared" si="133"/>
        <v>10000000000</v>
      </c>
      <c r="T751" s="1">
        <f>IFERROR(MATCH($C$36&amp;"|18",VIRMAN!$L$7:$L$406,0),0)</f>
        <v>0</v>
      </c>
      <c r="V751" s="1">
        <f t="shared" si="134"/>
        <v>10000000000</v>
      </c>
      <c r="W751" s="1">
        <f t="shared" si="135"/>
        <v>9</v>
      </c>
    </row>
    <row r="752" spans="2:23" ht="14.25" customHeight="1" x14ac:dyDescent="0.3">
      <c r="B752" s="65" t="str">
        <f t="shared" si="127"/>
        <v/>
      </c>
      <c r="C752" s="70" t="str">
        <f t="shared" si="128"/>
        <v/>
      </c>
      <c r="D752" s="74" t="str">
        <f t="shared" si="129"/>
        <v/>
      </c>
      <c r="F752" s="65" t="str">
        <f t="shared" si="130"/>
        <v/>
      </c>
      <c r="G752" s="68" t="str">
        <f t="shared" si="131"/>
        <v/>
      </c>
      <c r="H752" s="68" t="str">
        <f t="shared" si="132"/>
        <v/>
      </c>
      <c r="I752" s="68" t="str">
        <f t="shared" si="136"/>
        <v/>
      </c>
      <c r="M752" s="1">
        <v>715</v>
      </c>
      <c r="N752" s="1" t="str">
        <f>IF($T752=0,"",INDEX(VIRMAN!$C$7:$C$406,$T752))</f>
        <v/>
      </c>
      <c r="O752" s="1" t="str">
        <f>IF($N752="","",$C$36&amp;" → "&amp;INDEX(VIRMAN!$E$7:$E$406,$T752)&amp;IF(INDEX(VIRMAN!$G$7:$G$406,$T752)="",""," – "&amp;INDEX(VIRMAN!$G$7:$G$406,$T752)))</f>
        <v/>
      </c>
      <c r="P752" s="1" t="str">
        <f t="shared" si="126"/>
        <v/>
      </c>
      <c r="Q752" s="1">
        <v>0</v>
      </c>
      <c r="R752" s="1">
        <f>IF($N752="",0,INDEX(VIRMAN!$F$7:$F$406,$T752))</f>
        <v>0</v>
      </c>
      <c r="S752" s="1">
        <f t="shared" si="133"/>
        <v>10000000000</v>
      </c>
      <c r="T752" s="1">
        <f>IFERROR(MATCH($C$36&amp;"|19",VIRMAN!$L$7:$L$406,0),0)</f>
        <v>0</v>
      </c>
      <c r="V752" s="1">
        <f t="shared" si="134"/>
        <v>10000000000</v>
      </c>
      <c r="W752" s="1">
        <f t="shared" si="135"/>
        <v>9</v>
      </c>
    </row>
    <row r="753" spans="2:23" ht="14.25" customHeight="1" x14ac:dyDescent="0.3">
      <c r="B753" s="65" t="str">
        <f t="shared" si="127"/>
        <v/>
      </c>
      <c r="C753" s="70" t="str">
        <f t="shared" si="128"/>
        <v/>
      </c>
      <c r="D753" s="74" t="str">
        <f t="shared" si="129"/>
        <v/>
      </c>
      <c r="F753" s="65" t="str">
        <f t="shared" si="130"/>
        <v/>
      </c>
      <c r="G753" s="68" t="str">
        <f t="shared" si="131"/>
        <v/>
      </c>
      <c r="H753" s="68" t="str">
        <f t="shared" si="132"/>
        <v/>
      </c>
      <c r="I753" s="68" t="str">
        <f t="shared" si="136"/>
        <v/>
      </c>
      <c r="M753" s="1">
        <v>716</v>
      </c>
      <c r="N753" s="1" t="str">
        <f>IF($T753=0,"",INDEX(VIRMAN!$C$7:$C$406,$T753))</f>
        <v/>
      </c>
      <c r="O753" s="1" t="str">
        <f>IF($N753="","",$C$36&amp;" → "&amp;INDEX(VIRMAN!$E$7:$E$406,$T753)&amp;IF(INDEX(VIRMAN!$G$7:$G$406,$T753)="",""," – "&amp;INDEX(VIRMAN!$G$7:$G$406,$T753)))</f>
        <v/>
      </c>
      <c r="P753" s="1" t="str">
        <f t="shared" si="126"/>
        <v/>
      </c>
      <c r="Q753" s="1">
        <v>0</v>
      </c>
      <c r="R753" s="1">
        <f>IF($N753="",0,INDEX(VIRMAN!$F$7:$F$406,$T753))</f>
        <v>0</v>
      </c>
      <c r="S753" s="1">
        <f t="shared" si="133"/>
        <v>10000000000</v>
      </c>
      <c r="T753" s="1">
        <f>IFERROR(MATCH($C$36&amp;"|20",VIRMAN!$L$7:$L$406,0),0)</f>
        <v>0</v>
      </c>
      <c r="V753" s="1">
        <f t="shared" si="134"/>
        <v>10000000000</v>
      </c>
      <c r="W753" s="1">
        <f t="shared" si="135"/>
        <v>9</v>
      </c>
    </row>
    <row r="754" spans="2:23" ht="14.25" customHeight="1" x14ac:dyDescent="0.3">
      <c r="B754" s="65" t="str">
        <f t="shared" si="127"/>
        <v/>
      </c>
      <c r="C754" s="70" t="str">
        <f t="shared" si="128"/>
        <v/>
      </c>
      <c r="D754" s="74" t="str">
        <f t="shared" si="129"/>
        <v/>
      </c>
      <c r="F754" s="65" t="str">
        <f t="shared" si="130"/>
        <v/>
      </c>
      <c r="G754" s="68" t="str">
        <f t="shared" si="131"/>
        <v/>
      </c>
      <c r="H754" s="68" t="str">
        <f t="shared" si="132"/>
        <v/>
      </c>
      <c r="I754" s="68" t="str">
        <f t="shared" si="136"/>
        <v/>
      </c>
      <c r="M754" s="1">
        <v>717</v>
      </c>
      <c r="N754" s="1" t="str">
        <f>IF($T754=0,"",INDEX(VIRMAN!$C$7:$C$406,$T754))</f>
        <v/>
      </c>
      <c r="O754" s="1" t="str">
        <f>IF($N754="","",$C$36&amp;" → "&amp;INDEX(VIRMAN!$E$7:$E$406,$T754)&amp;IF(INDEX(VIRMAN!$G$7:$G$406,$T754)="",""," – "&amp;INDEX(VIRMAN!$G$7:$G$406,$T754)))</f>
        <v/>
      </c>
      <c r="P754" s="1" t="str">
        <f t="shared" si="126"/>
        <v/>
      </c>
      <c r="Q754" s="1">
        <v>0</v>
      </c>
      <c r="R754" s="1">
        <f>IF($N754="",0,INDEX(VIRMAN!$F$7:$F$406,$T754))</f>
        <v>0</v>
      </c>
      <c r="S754" s="1">
        <f t="shared" si="133"/>
        <v>10000000000</v>
      </c>
      <c r="T754" s="1">
        <f>IFERROR(MATCH($C$36&amp;"|21",VIRMAN!$L$7:$L$406,0),0)</f>
        <v>0</v>
      </c>
      <c r="V754" s="1">
        <f t="shared" si="134"/>
        <v>10000000000</v>
      </c>
      <c r="W754" s="1">
        <f t="shared" si="135"/>
        <v>9</v>
      </c>
    </row>
    <row r="755" spans="2:23" ht="14.25" customHeight="1" x14ac:dyDescent="0.3">
      <c r="B755" s="65" t="str">
        <f t="shared" si="127"/>
        <v/>
      </c>
      <c r="C755" s="70" t="str">
        <f t="shared" si="128"/>
        <v/>
      </c>
      <c r="D755" s="74" t="str">
        <f t="shared" si="129"/>
        <v/>
      </c>
      <c r="F755" s="65" t="str">
        <f t="shared" si="130"/>
        <v/>
      </c>
      <c r="G755" s="68" t="str">
        <f t="shared" si="131"/>
        <v/>
      </c>
      <c r="H755" s="68" t="str">
        <f t="shared" si="132"/>
        <v/>
      </c>
      <c r="I755" s="68" t="str">
        <f t="shared" si="136"/>
        <v/>
      </c>
      <c r="M755" s="1">
        <v>718</v>
      </c>
      <c r="N755" s="1" t="str">
        <f>IF($T755=0,"",INDEX(VIRMAN!$C$7:$C$406,$T755))</f>
        <v/>
      </c>
      <c r="O755" s="1" t="str">
        <f>IF($N755="","",$C$36&amp;" → "&amp;INDEX(VIRMAN!$E$7:$E$406,$T755)&amp;IF(INDEX(VIRMAN!$G$7:$G$406,$T755)="",""," – "&amp;INDEX(VIRMAN!$G$7:$G$406,$T755)))</f>
        <v/>
      </c>
      <c r="P755" s="1" t="str">
        <f t="shared" si="126"/>
        <v/>
      </c>
      <c r="Q755" s="1">
        <v>0</v>
      </c>
      <c r="R755" s="1">
        <f>IF($N755="",0,INDEX(VIRMAN!$F$7:$F$406,$T755))</f>
        <v>0</v>
      </c>
      <c r="S755" s="1">
        <f t="shared" si="133"/>
        <v>10000000000</v>
      </c>
      <c r="T755" s="1">
        <f>IFERROR(MATCH($C$36&amp;"|22",VIRMAN!$L$7:$L$406,0),0)</f>
        <v>0</v>
      </c>
      <c r="V755" s="1">
        <f t="shared" si="134"/>
        <v>10000000000</v>
      </c>
      <c r="W755" s="1">
        <f t="shared" si="135"/>
        <v>9</v>
      </c>
    </row>
    <row r="756" spans="2:23" ht="14.25" customHeight="1" x14ac:dyDescent="0.3">
      <c r="B756" s="65" t="str">
        <f t="shared" si="127"/>
        <v/>
      </c>
      <c r="C756" s="70" t="str">
        <f t="shared" si="128"/>
        <v/>
      </c>
      <c r="D756" s="74" t="str">
        <f t="shared" si="129"/>
        <v/>
      </c>
      <c r="F756" s="65" t="str">
        <f t="shared" si="130"/>
        <v/>
      </c>
      <c r="G756" s="68" t="str">
        <f t="shared" si="131"/>
        <v/>
      </c>
      <c r="H756" s="68" t="str">
        <f t="shared" si="132"/>
        <v/>
      </c>
      <c r="I756" s="68" t="str">
        <f t="shared" si="136"/>
        <v/>
      </c>
      <c r="M756" s="1">
        <v>719</v>
      </c>
      <c r="N756" s="1" t="str">
        <f>IF($T756=0,"",INDEX(VIRMAN!$C$7:$C$406,$T756))</f>
        <v/>
      </c>
      <c r="O756" s="1" t="str">
        <f>IF($N756="","",$C$36&amp;" → "&amp;INDEX(VIRMAN!$E$7:$E$406,$T756)&amp;IF(INDEX(VIRMAN!$G$7:$G$406,$T756)="",""," – "&amp;INDEX(VIRMAN!$G$7:$G$406,$T756)))</f>
        <v/>
      </c>
      <c r="P756" s="1" t="str">
        <f t="shared" si="126"/>
        <v/>
      </c>
      <c r="Q756" s="1">
        <v>0</v>
      </c>
      <c r="R756" s="1">
        <f>IF($N756="",0,INDEX(VIRMAN!$F$7:$F$406,$T756))</f>
        <v>0</v>
      </c>
      <c r="S756" s="1">
        <f t="shared" si="133"/>
        <v>10000000000</v>
      </c>
      <c r="T756" s="1">
        <f>IFERROR(MATCH($C$36&amp;"|23",VIRMAN!$L$7:$L$406,0),0)</f>
        <v>0</v>
      </c>
      <c r="V756" s="1">
        <f t="shared" si="134"/>
        <v>10000000000</v>
      </c>
      <c r="W756" s="1">
        <f t="shared" si="135"/>
        <v>9</v>
      </c>
    </row>
    <row r="757" spans="2:23" ht="14.25" customHeight="1" x14ac:dyDescent="0.3">
      <c r="B757" s="65" t="str">
        <f t="shared" si="127"/>
        <v/>
      </c>
      <c r="C757" s="70" t="str">
        <f t="shared" si="128"/>
        <v/>
      </c>
      <c r="D757" s="74" t="str">
        <f t="shared" si="129"/>
        <v/>
      </c>
      <c r="F757" s="65" t="str">
        <f t="shared" si="130"/>
        <v/>
      </c>
      <c r="G757" s="68" t="str">
        <f t="shared" si="131"/>
        <v/>
      </c>
      <c r="H757" s="68" t="str">
        <f t="shared" si="132"/>
        <v/>
      </c>
      <c r="I757" s="68" t="str">
        <f t="shared" si="136"/>
        <v/>
      </c>
      <c r="M757" s="1">
        <v>720</v>
      </c>
      <c r="N757" s="1" t="str">
        <f>IF($T757=0,"",INDEX(VIRMAN!$C$7:$C$406,$T757))</f>
        <v/>
      </c>
      <c r="O757" s="1" t="str">
        <f>IF($N757="","",$C$36&amp;" → "&amp;INDEX(VIRMAN!$E$7:$E$406,$T757)&amp;IF(INDEX(VIRMAN!$G$7:$G$406,$T757)="",""," – "&amp;INDEX(VIRMAN!$G$7:$G$406,$T757)))</f>
        <v/>
      </c>
      <c r="P757" s="1" t="str">
        <f t="shared" si="126"/>
        <v/>
      </c>
      <c r="Q757" s="1">
        <v>0</v>
      </c>
      <c r="R757" s="1">
        <f>IF($N757="",0,INDEX(VIRMAN!$F$7:$F$406,$T757))</f>
        <v>0</v>
      </c>
      <c r="S757" s="1">
        <f t="shared" si="133"/>
        <v>10000000000</v>
      </c>
      <c r="T757" s="1">
        <f>IFERROR(MATCH($C$36&amp;"|24",VIRMAN!$L$7:$L$406,0),0)</f>
        <v>0</v>
      </c>
      <c r="V757" s="1">
        <f t="shared" si="134"/>
        <v>10000000000</v>
      </c>
      <c r="W757" s="1">
        <f t="shared" si="135"/>
        <v>9</v>
      </c>
    </row>
    <row r="758" spans="2:23" ht="14.25" customHeight="1" x14ac:dyDescent="0.3">
      <c r="B758" s="65" t="str">
        <f t="shared" si="127"/>
        <v/>
      </c>
      <c r="C758" s="70" t="str">
        <f t="shared" si="128"/>
        <v/>
      </c>
      <c r="D758" s="74" t="str">
        <f t="shared" si="129"/>
        <v/>
      </c>
      <c r="F758" s="65" t="str">
        <f t="shared" si="130"/>
        <v/>
      </c>
      <c r="G758" s="68" t="str">
        <f t="shared" si="131"/>
        <v/>
      </c>
      <c r="H758" s="68" t="str">
        <f t="shared" si="132"/>
        <v/>
      </c>
      <c r="I758" s="68" t="str">
        <f t="shared" si="136"/>
        <v/>
      </c>
      <c r="M758" s="1">
        <v>721</v>
      </c>
      <c r="N758" s="1" t="str">
        <f>IF($T758=0,"",INDEX(VIRMAN!$C$7:$C$406,$T758))</f>
        <v/>
      </c>
      <c r="O758" s="1" t="str">
        <f>IF($N758="","",$C$36&amp;" → "&amp;INDEX(VIRMAN!$E$7:$E$406,$T758)&amp;IF(INDEX(VIRMAN!$G$7:$G$406,$T758)="",""," – "&amp;INDEX(VIRMAN!$G$7:$G$406,$T758)))</f>
        <v/>
      </c>
      <c r="P758" s="1" t="str">
        <f t="shared" si="126"/>
        <v/>
      </c>
      <c r="Q758" s="1">
        <v>0</v>
      </c>
      <c r="R758" s="1">
        <f>IF($N758="",0,INDEX(VIRMAN!$F$7:$F$406,$T758))</f>
        <v>0</v>
      </c>
      <c r="S758" s="1">
        <f t="shared" si="133"/>
        <v>10000000000</v>
      </c>
      <c r="T758" s="1">
        <f>IFERROR(MATCH($C$36&amp;"|25",VIRMAN!$L$7:$L$406,0),0)</f>
        <v>0</v>
      </c>
      <c r="V758" s="1">
        <f t="shared" si="134"/>
        <v>10000000000</v>
      </c>
      <c r="W758" s="1">
        <f t="shared" si="135"/>
        <v>9</v>
      </c>
    </row>
    <row r="759" spans="2:23" ht="14.25" customHeight="1" x14ac:dyDescent="0.3">
      <c r="B759" s="65" t="str">
        <f t="shared" si="127"/>
        <v/>
      </c>
      <c r="C759" s="70" t="str">
        <f t="shared" si="128"/>
        <v/>
      </c>
      <c r="D759" s="74" t="str">
        <f t="shared" si="129"/>
        <v/>
      </c>
      <c r="F759" s="65" t="str">
        <f t="shared" si="130"/>
        <v/>
      </c>
      <c r="G759" s="68" t="str">
        <f t="shared" si="131"/>
        <v/>
      </c>
      <c r="H759" s="68" t="str">
        <f t="shared" si="132"/>
        <v/>
      </c>
      <c r="I759" s="68" t="str">
        <f t="shared" si="136"/>
        <v/>
      </c>
      <c r="M759" s="1">
        <v>722</v>
      </c>
      <c r="N759" s="1" t="str">
        <f>IF($T759=0,"",INDEX(VIRMAN!$C$7:$C$406,$T759))</f>
        <v/>
      </c>
      <c r="O759" s="1" t="str">
        <f>IF($N759="","",$C$36&amp;" → "&amp;INDEX(VIRMAN!$E$7:$E$406,$T759)&amp;IF(INDEX(VIRMAN!$G$7:$G$406,$T759)="",""," – "&amp;INDEX(VIRMAN!$G$7:$G$406,$T759)))</f>
        <v/>
      </c>
      <c r="P759" s="1" t="str">
        <f t="shared" si="126"/>
        <v/>
      </c>
      <c r="Q759" s="1">
        <v>0</v>
      </c>
      <c r="R759" s="1">
        <f>IF($N759="",0,INDEX(VIRMAN!$F$7:$F$406,$T759))</f>
        <v>0</v>
      </c>
      <c r="S759" s="1">
        <f t="shared" si="133"/>
        <v>10000000000</v>
      </c>
      <c r="T759" s="1">
        <f>IFERROR(MATCH($C$36&amp;"|26",VIRMAN!$L$7:$L$406,0),0)</f>
        <v>0</v>
      </c>
      <c r="V759" s="1">
        <f t="shared" si="134"/>
        <v>10000000000</v>
      </c>
      <c r="W759" s="1">
        <f t="shared" si="135"/>
        <v>9</v>
      </c>
    </row>
    <row r="760" spans="2:23" ht="14.25" customHeight="1" x14ac:dyDescent="0.3">
      <c r="B760" s="65" t="str">
        <f t="shared" si="127"/>
        <v/>
      </c>
      <c r="C760" s="70" t="str">
        <f t="shared" si="128"/>
        <v/>
      </c>
      <c r="D760" s="74" t="str">
        <f t="shared" si="129"/>
        <v/>
      </c>
      <c r="F760" s="65" t="str">
        <f t="shared" si="130"/>
        <v/>
      </c>
      <c r="G760" s="68" t="str">
        <f t="shared" si="131"/>
        <v/>
      </c>
      <c r="H760" s="68" t="str">
        <f t="shared" si="132"/>
        <v/>
      </c>
      <c r="I760" s="68" t="str">
        <f t="shared" si="136"/>
        <v/>
      </c>
      <c r="M760" s="1">
        <v>723</v>
      </c>
      <c r="N760" s="1" t="str">
        <f>IF($T760=0,"",INDEX(VIRMAN!$C$7:$C$406,$T760))</f>
        <v/>
      </c>
      <c r="O760" s="1" t="str">
        <f>IF($N760="","",$C$36&amp;" → "&amp;INDEX(VIRMAN!$E$7:$E$406,$T760)&amp;IF(INDEX(VIRMAN!$G$7:$G$406,$T760)="",""," – "&amp;INDEX(VIRMAN!$G$7:$G$406,$T760)))</f>
        <v/>
      </c>
      <c r="P760" s="1" t="str">
        <f t="shared" si="126"/>
        <v/>
      </c>
      <c r="Q760" s="1">
        <v>0</v>
      </c>
      <c r="R760" s="1">
        <f>IF($N760="",0,INDEX(VIRMAN!$F$7:$F$406,$T760))</f>
        <v>0</v>
      </c>
      <c r="S760" s="1">
        <f t="shared" si="133"/>
        <v>10000000000</v>
      </c>
      <c r="T760" s="1">
        <f>IFERROR(MATCH($C$36&amp;"|27",VIRMAN!$L$7:$L$406,0),0)</f>
        <v>0</v>
      </c>
      <c r="V760" s="1">
        <f t="shared" si="134"/>
        <v>10000000000</v>
      </c>
      <c r="W760" s="1">
        <f t="shared" si="135"/>
        <v>9</v>
      </c>
    </row>
    <row r="761" spans="2:23" ht="14.25" customHeight="1" x14ac:dyDescent="0.3">
      <c r="B761" s="65" t="str">
        <f t="shared" si="127"/>
        <v/>
      </c>
      <c r="C761" s="70" t="str">
        <f t="shared" si="128"/>
        <v/>
      </c>
      <c r="D761" s="74" t="str">
        <f t="shared" si="129"/>
        <v/>
      </c>
      <c r="F761" s="65" t="str">
        <f t="shared" si="130"/>
        <v/>
      </c>
      <c r="G761" s="68" t="str">
        <f t="shared" si="131"/>
        <v/>
      </c>
      <c r="H761" s="68" t="str">
        <f t="shared" si="132"/>
        <v/>
      </c>
      <c r="I761" s="68" t="str">
        <f t="shared" si="136"/>
        <v/>
      </c>
      <c r="M761" s="1">
        <v>724</v>
      </c>
      <c r="N761" s="1" t="str">
        <f>IF($T761=0,"",INDEX(VIRMAN!$C$7:$C$406,$T761))</f>
        <v/>
      </c>
      <c r="O761" s="1" t="str">
        <f>IF($N761="","",$C$36&amp;" → "&amp;INDEX(VIRMAN!$E$7:$E$406,$T761)&amp;IF(INDEX(VIRMAN!$G$7:$G$406,$T761)="",""," – "&amp;INDEX(VIRMAN!$G$7:$G$406,$T761)))</f>
        <v/>
      </c>
      <c r="P761" s="1" t="str">
        <f t="shared" si="126"/>
        <v/>
      </c>
      <c r="Q761" s="1">
        <v>0</v>
      </c>
      <c r="R761" s="1">
        <f>IF($N761="",0,INDEX(VIRMAN!$F$7:$F$406,$T761))</f>
        <v>0</v>
      </c>
      <c r="S761" s="1">
        <f t="shared" si="133"/>
        <v>10000000000</v>
      </c>
      <c r="T761" s="1">
        <f>IFERROR(MATCH($C$36&amp;"|28",VIRMAN!$L$7:$L$406,0),0)</f>
        <v>0</v>
      </c>
      <c r="V761" s="1">
        <f t="shared" si="134"/>
        <v>10000000000</v>
      </c>
      <c r="W761" s="1">
        <f t="shared" si="135"/>
        <v>9</v>
      </c>
    </row>
    <row r="762" spans="2:23" ht="14.25" customHeight="1" x14ac:dyDescent="0.3">
      <c r="B762" s="65" t="str">
        <f t="shared" si="127"/>
        <v/>
      </c>
      <c r="C762" s="70" t="str">
        <f t="shared" si="128"/>
        <v/>
      </c>
      <c r="D762" s="74" t="str">
        <f t="shared" si="129"/>
        <v/>
      </c>
      <c r="F762" s="65" t="str">
        <f t="shared" si="130"/>
        <v/>
      </c>
      <c r="G762" s="68" t="str">
        <f t="shared" si="131"/>
        <v/>
      </c>
      <c r="H762" s="68" t="str">
        <f t="shared" si="132"/>
        <v/>
      </c>
      <c r="I762" s="68" t="str">
        <f t="shared" si="136"/>
        <v/>
      </c>
      <c r="M762" s="1">
        <v>725</v>
      </c>
      <c r="N762" s="1" t="str">
        <f>IF($T762=0,"",INDEX(VIRMAN!$C$7:$C$406,$T762))</f>
        <v/>
      </c>
      <c r="O762" s="1" t="str">
        <f>IF($N762="","",$C$36&amp;" → "&amp;INDEX(VIRMAN!$E$7:$E$406,$T762)&amp;IF(INDEX(VIRMAN!$G$7:$G$406,$T762)="",""," – "&amp;INDEX(VIRMAN!$G$7:$G$406,$T762)))</f>
        <v/>
      </c>
      <c r="P762" s="1" t="str">
        <f t="shared" si="126"/>
        <v/>
      </c>
      <c r="Q762" s="1">
        <v>0</v>
      </c>
      <c r="R762" s="1">
        <f>IF($N762="",0,INDEX(VIRMAN!$F$7:$F$406,$T762))</f>
        <v>0</v>
      </c>
      <c r="S762" s="1">
        <f t="shared" si="133"/>
        <v>10000000000</v>
      </c>
      <c r="T762" s="1">
        <f>IFERROR(MATCH($C$36&amp;"|29",VIRMAN!$L$7:$L$406,0),0)</f>
        <v>0</v>
      </c>
      <c r="V762" s="1">
        <f t="shared" si="134"/>
        <v>10000000000</v>
      </c>
      <c r="W762" s="1">
        <f t="shared" si="135"/>
        <v>9</v>
      </c>
    </row>
    <row r="763" spans="2:23" ht="14.25" customHeight="1" x14ac:dyDescent="0.3">
      <c r="B763" s="65" t="str">
        <f t="shared" si="127"/>
        <v/>
      </c>
      <c r="C763" s="70" t="str">
        <f t="shared" si="128"/>
        <v/>
      </c>
      <c r="D763" s="74" t="str">
        <f t="shared" si="129"/>
        <v/>
      </c>
      <c r="F763" s="65" t="str">
        <f t="shared" si="130"/>
        <v/>
      </c>
      <c r="G763" s="68" t="str">
        <f t="shared" si="131"/>
        <v/>
      </c>
      <c r="H763" s="68" t="str">
        <f t="shared" si="132"/>
        <v/>
      </c>
      <c r="I763" s="68" t="str">
        <f t="shared" si="136"/>
        <v/>
      </c>
      <c r="M763" s="1">
        <v>726</v>
      </c>
      <c r="N763" s="1" t="str">
        <f>IF($T763=0,"",INDEX(VIRMAN!$C$7:$C$406,$T763))</f>
        <v/>
      </c>
      <c r="O763" s="1" t="str">
        <f>IF($N763="","",$C$36&amp;" → "&amp;INDEX(VIRMAN!$E$7:$E$406,$T763)&amp;IF(INDEX(VIRMAN!$G$7:$G$406,$T763)="",""," – "&amp;INDEX(VIRMAN!$G$7:$G$406,$T763)))</f>
        <v/>
      </c>
      <c r="P763" s="1" t="str">
        <f t="shared" si="126"/>
        <v/>
      </c>
      <c r="Q763" s="1">
        <v>0</v>
      </c>
      <c r="R763" s="1">
        <f>IF($N763="",0,INDEX(VIRMAN!$F$7:$F$406,$T763))</f>
        <v>0</v>
      </c>
      <c r="S763" s="1">
        <f t="shared" si="133"/>
        <v>10000000000</v>
      </c>
      <c r="T763" s="1">
        <f>IFERROR(MATCH($C$36&amp;"|30",VIRMAN!$L$7:$L$406,0),0)</f>
        <v>0</v>
      </c>
      <c r="V763" s="1">
        <f t="shared" si="134"/>
        <v>10000000000</v>
      </c>
      <c r="W763" s="1">
        <f t="shared" si="135"/>
        <v>9</v>
      </c>
    </row>
    <row r="764" spans="2:23" ht="14.25" customHeight="1" x14ac:dyDescent="0.3">
      <c r="B764" s="65" t="str">
        <f t="shared" si="127"/>
        <v/>
      </c>
      <c r="C764" s="70" t="str">
        <f t="shared" si="128"/>
        <v/>
      </c>
      <c r="D764" s="74" t="str">
        <f t="shared" si="129"/>
        <v/>
      </c>
      <c r="F764" s="65" t="str">
        <f t="shared" si="130"/>
        <v/>
      </c>
      <c r="G764" s="68" t="str">
        <f t="shared" si="131"/>
        <v/>
      </c>
      <c r="H764" s="68" t="str">
        <f t="shared" si="132"/>
        <v/>
      </c>
      <c r="I764" s="68" t="str">
        <f t="shared" si="136"/>
        <v/>
      </c>
      <c r="M764" s="1">
        <v>727</v>
      </c>
      <c r="N764" s="1" t="str">
        <f>IF($T764=0,"",INDEX(VIRMAN!$C$7:$C$406,$T764))</f>
        <v/>
      </c>
      <c r="O764" s="1" t="str">
        <f>IF($N764="","",$C$36&amp;" → "&amp;INDEX(VIRMAN!$E$7:$E$406,$T764)&amp;IF(INDEX(VIRMAN!$G$7:$G$406,$T764)="",""," – "&amp;INDEX(VIRMAN!$G$7:$G$406,$T764)))</f>
        <v/>
      </c>
      <c r="P764" s="1" t="str">
        <f t="shared" si="126"/>
        <v/>
      </c>
      <c r="Q764" s="1">
        <v>0</v>
      </c>
      <c r="R764" s="1">
        <f>IF($N764="",0,INDEX(VIRMAN!$F$7:$F$406,$T764))</f>
        <v>0</v>
      </c>
      <c r="S764" s="1">
        <f t="shared" si="133"/>
        <v>10000000000</v>
      </c>
      <c r="T764" s="1">
        <f>IFERROR(MATCH($C$36&amp;"|31",VIRMAN!$L$7:$L$406,0),0)</f>
        <v>0</v>
      </c>
      <c r="V764" s="1">
        <f t="shared" si="134"/>
        <v>10000000000</v>
      </c>
      <c r="W764" s="1">
        <f t="shared" si="135"/>
        <v>9</v>
      </c>
    </row>
    <row r="765" spans="2:23" ht="14.25" customHeight="1" x14ac:dyDescent="0.3">
      <c r="B765" s="65" t="str">
        <f t="shared" si="127"/>
        <v/>
      </c>
      <c r="C765" s="70" t="str">
        <f t="shared" si="128"/>
        <v/>
      </c>
      <c r="D765" s="74" t="str">
        <f t="shared" si="129"/>
        <v/>
      </c>
      <c r="F765" s="65" t="str">
        <f t="shared" si="130"/>
        <v/>
      </c>
      <c r="G765" s="68" t="str">
        <f t="shared" si="131"/>
        <v/>
      </c>
      <c r="H765" s="68" t="str">
        <f t="shared" si="132"/>
        <v/>
      </c>
      <c r="I765" s="68" t="str">
        <f t="shared" si="136"/>
        <v/>
      </c>
      <c r="M765" s="1">
        <v>728</v>
      </c>
      <c r="N765" s="1" t="str">
        <f>IF($T765=0,"",INDEX(VIRMAN!$C$7:$C$406,$T765))</f>
        <v/>
      </c>
      <c r="O765" s="1" t="str">
        <f>IF($N765="","",$C$36&amp;" → "&amp;INDEX(VIRMAN!$E$7:$E$406,$T765)&amp;IF(INDEX(VIRMAN!$G$7:$G$406,$T765)="",""," – "&amp;INDEX(VIRMAN!$G$7:$G$406,$T765)))</f>
        <v/>
      </c>
      <c r="P765" s="1" t="str">
        <f t="shared" si="126"/>
        <v/>
      </c>
      <c r="Q765" s="1">
        <v>0</v>
      </c>
      <c r="R765" s="1">
        <f>IF($N765="",0,INDEX(VIRMAN!$F$7:$F$406,$T765))</f>
        <v>0</v>
      </c>
      <c r="S765" s="1">
        <f t="shared" si="133"/>
        <v>10000000000</v>
      </c>
      <c r="T765" s="1">
        <f>IFERROR(MATCH($C$36&amp;"|32",VIRMAN!$L$7:$L$406,0),0)</f>
        <v>0</v>
      </c>
      <c r="V765" s="1">
        <f t="shared" si="134"/>
        <v>10000000000</v>
      </c>
      <c r="W765" s="1">
        <f t="shared" si="135"/>
        <v>9</v>
      </c>
    </row>
    <row r="766" spans="2:23" ht="14.25" customHeight="1" x14ac:dyDescent="0.3">
      <c r="B766" s="65" t="str">
        <f t="shared" si="127"/>
        <v/>
      </c>
      <c r="C766" s="70" t="str">
        <f t="shared" si="128"/>
        <v/>
      </c>
      <c r="D766" s="74" t="str">
        <f t="shared" si="129"/>
        <v/>
      </c>
      <c r="F766" s="65" t="str">
        <f t="shared" si="130"/>
        <v/>
      </c>
      <c r="G766" s="68" t="str">
        <f t="shared" si="131"/>
        <v/>
      </c>
      <c r="H766" s="68" t="str">
        <f t="shared" si="132"/>
        <v/>
      </c>
      <c r="I766" s="68" t="str">
        <f t="shared" si="136"/>
        <v/>
      </c>
      <c r="M766" s="1">
        <v>729</v>
      </c>
      <c r="N766" s="1" t="str">
        <f>IF($T766=0,"",INDEX(VIRMAN!$C$7:$C$406,$T766))</f>
        <v/>
      </c>
      <c r="O766" s="1" t="str">
        <f>IF($N766="","",$C$36&amp;" → "&amp;INDEX(VIRMAN!$E$7:$E$406,$T766)&amp;IF(INDEX(VIRMAN!$G$7:$G$406,$T766)="",""," – "&amp;INDEX(VIRMAN!$G$7:$G$406,$T766)))</f>
        <v/>
      </c>
      <c r="P766" s="1" t="str">
        <f t="shared" ref="P766:P797" si="137">IF($N766="","","OFİSE/KASAYA ÖDEDİ")</f>
        <v/>
      </c>
      <c r="Q766" s="1">
        <v>0</v>
      </c>
      <c r="R766" s="1">
        <f>IF($N766="",0,INDEX(VIRMAN!$F$7:$F$406,$T766))</f>
        <v>0</v>
      </c>
      <c r="S766" s="1">
        <f t="shared" si="133"/>
        <v>10000000000</v>
      </c>
      <c r="T766" s="1">
        <f>IFERROR(MATCH($C$36&amp;"|33",VIRMAN!$L$7:$L$406,0),0)</f>
        <v>0</v>
      </c>
      <c r="V766" s="1">
        <f t="shared" si="134"/>
        <v>10000000000</v>
      </c>
      <c r="W766" s="1">
        <f t="shared" si="135"/>
        <v>9</v>
      </c>
    </row>
    <row r="767" spans="2:23" ht="14.25" customHeight="1" x14ac:dyDescent="0.3">
      <c r="B767" s="65" t="str">
        <f t="shared" si="127"/>
        <v/>
      </c>
      <c r="C767" s="70" t="str">
        <f t="shared" si="128"/>
        <v/>
      </c>
      <c r="D767" s="74" t="str">
        <f t="shared" si="129"/>
        <v/>
      </c>
      <c r="F767" s="65" t="str">
        <f t="shared" si="130"/>
        <v/>
      </c>
      <c r="G767" s="68" t="str">
        <f t="shared" si="131"/>
        <v/>
      </c>
      <c r="H767" s="68" t="str">
        <f t="shared" si="132"/>
        <v/>
      </c>
      <c r="I767" s="68" t="str">
        <f t="shared" si="136"/>
        <v/>
      </c>
      <c r="M767" s="1">
        <v>730</v>
      </c>
      <c r="N767" s="1" t="str">
        <f>IF($T767=0,"",INDEX(VIRMAN!$C$7:$C$406,$T767))</f>
        <v/>
      </c>
      <c r="O767" s="1" t="str">
        <f>IF($N767="","",$C$36&amp;" → "&amp;INDEX(VIRMAN!$E$7:$E$406,$T767)&amp;IF(INDEX(VIRMAN!$G$7:$G$406,$T767)="",""," – "&amp;INDEX(VIRMAN!$G$7:$G$406,$T767)))</f>
        <v/>
      </c>
      <c r="P767" s="1" t="str">
        <f t="shared" si="137"/>
        <v/>
      </c>
      <c r="Q767" s="1">
        <v>0</v>
      </c>
      <c r="R767" s="1">
        <f>IF($N767="",0,INDEX(VIRMAN!$F$7:$F$406,$T767))</f>
        <v>0</v>
      </c>
      <c r="S767" s="1">
        <f t="shared" si="133"/>
        <v>10000000000</v>
      </c>
      <c r="T767" s="1">
        <f>IFERROR(MATCH($C$36&amp;"|34",VIRMAN!$L$7:$L$406,0),0)</f>
        <v>0</v>
      </c>
      <c r="V767" s="1">
        <f t="shared" si="134"/>
        <v>10000000000</v>
      </c>
      <c r="W767" s="1">
        <f t="shared" si="135"/>
        <v>9</v>
      </c>
    </row>
    <row r="768" spans="2:23" ht="14.25" customHeight="1" x14ac:dyDescent="0.3">
      <c r="B768" s="65" t="str">
        <f t="shared" si="127"/>
        <v/>
      </c>
      <c r="C768" s="70" t="str">
        <f t="shared" si="128"/>
        <v/>
      </c>
      <c r="D768" s="74" t="str">
        <f t="shared" si="129"/>
        <v/>
      </c>
      <c r="F768" s="65" t="str">
        <f t="shared" si="130"/>
        <v/>
      </c>
      <c r="G768" s="68" t="str">
        <f t="shared" si="131"/>
        <v/>
      </c>
      <c r="H768" s="68" t="str">
        <f t="shared" si="132"/>
        <v/>
      </c>
      <c r="I768" s="68" t="str">
        <f t="shared" si="136"/>
        <v/>
      </c>
      <c r="M768" s="1">
        <v>731</v>
      </c>
      <c r="N768" s="1" t="str">
        <f>IF($T768=0,"",INDEX(VIRMAN!$C$7:$C$406,$T768))</f>
        <v/>
      </c>
      <c r="O768" s="1" t="str">
        <f>IF($N768="","",$C$36&amp;" → "&amp;INDEX(VIRMAN!$E$7:$E$406,$T768)&amp;IF(INDEX(VIRMAN!$G$7:$G$406,$T768)="",""," – "&amp;INDEX(VIRMAN!$G$7:$G$406,$T768)))</f>
        <v/>
      </c>
      <c r="P768" s="1" t="str">
        <f t="shared" si="137"/>
        <v/>
      </c>
      <c r="Q768" s="1">
        <v>0</v>
      </c>
      <c r="R768" s="1">
        <f>IF($N768="",0,INDEX(VIRMAN!$F$7:$F$406,$T768))</f>
        <v>0</v>
      </c>
      <c r="S768" s="1">
        <f t="shared" si="133"/>
        <v>10000000000</v>
      </c>
      <c r="T768" s="1">
        <f>IFERROR(MATCH($C$36&amp;"|35",VIRMAN!$L$7:$L$406,0),0)</f>
        <v>0</v>
      </c>
      <c r="V768" s="1">
        <f t="shared" si="134"/>
        <v>10000000000</v>
      </c>
      <c r="W768" s="1">
        <f t="shared" si="135"/>
        <v>9</v>
      </c>
    </row>
    <row r="769" spans="2:23" ht="14.25" customHeight="1" x14ac:dyDescent="0.3">
      <c r="B769" s="65" t="str">
        <f t="shared" si="127"/>
        <v/>
      </c>
      <c r="C769" s="70" t="str">
        <f t="shared" si="128"/>
        <v/>
      </c>
      <c r="D769" s="74" t="str">
        <f t="shared" si="129"/>
        <v/>
      </c>
      <c r="F769" s="65" t="str">
        <f t="shared" si="130"/>
        <v/>
      </c>
      <c r="G769" s="68" t="str">
        <f t="shared" si="131"/>
        <v/>
      </c>
      <c r="H769" s="68" t="str">
        <f t="shared" si="132"/>
        <v/>
      </c>
      <c r="I769" s="68" t="str">
        <f t="shared" si="136"/>
        <v/>
      </c>
      <c r="M769" s="1">
        <v>732</v>
      </c>
      <c r="N769" s="1" t="str">
        <f>IF($T769=0,"",INDEX(VIRMAN!$C$7:$C$406,$T769))</f>
        <v/>
      </c>
      <c r="O769" s="1" t="str">
        <f>IF($N769="","",$C$36&amp;" → "&amp;INDEX(VIRMAN!$E$7:$E$406,$T769)&amp;IF(INDEX(VIRMAN!$G$7:$G$406,$T769)="",""," – "&amp;INDEX(VIRMAN!$G$7:$G$406,$T769)))</f>
        <v/>
      </c>
      <c r="P769" s="1" t="str">
        <f t="shared" si="137"/>
        <v/>
      </c>
      <c r="Q769" s="1">
        <v>0</v>
      </c>
      <c r="R769" s="1">
        <f>IF($N769="",0,INDEX(VIRMAN!$F$7:$F$406,$T769))</f>
        <v>0</v>
      </c>
      <c r="S769" s="1">
        <f t="shared" si="133"/>
        <v>10000000000</v>
      </c>
      <c r="T769" s="1">
        <f>IFERROR(MATCH($C$36&amp;"|36",VIRMAN!$L$7:$L$406,0),0)</f>
        <v>0</v>
      </c>
      <c r="V769" s="1">
        <f t="shared" si="134"/>
        <v>10000000000</v>
      </c>
      <c r="W769" s="1">
        <f t="shared" si="135"/>
        <v>9</v>
      </c>
    </row>
    <row r="770" spans="2:23" ht="14.25" customHeight="1" x14ac:dyDescent="0.3">
      <c r="B770" s="65" t="str">
        <f t="shared" si="127"/>
        <v/>
      </c>
      <c r="C770" s="70" t="str">
        <f t="shared" si="128"/>
        <v/>
      </c>
      <c r="D770" s="74" t="str">
        <f t="shared" si="129"/>
        <v/>
      </c>
      <c r="F770" s="65" t="str">
        <f t="shared" si="130"/>
        <v/>
      </c>
      <c r="G770" s="68" t="str">
        <f t="shared" si="131"/>
        <v/>
      </c>
      <c r="H770" s="68" t="str">
        <f t="shared" si="132"/>
        <v/>
      </c>
      <c r="I770" s="68" t="str">
        <f t="shared" si="136"/>
        <v/>
      </c>
      <c r="M770" s="1">
        <v>733</v>
      </c>
      <c r="N770" s="1" t="str">
        <f>IF($T770=0,"",INDEX(VIRMAN!$C$7:$C$406,$T770))</f>
        <v/>
      </c>
      <c r="O770" s="1" t="str">
        <f>IF($N770="","",$C$36&amp;" → "&amp;INDEX(VIRMAN!$E$7:$E$406,$T770)&amp;IF(INDEX(VIRMAN!$G$7:$G$406,$T770)="",""," – "&amp;INDEX(VIRMAN!$G$7:$G$406,$T770)))</f>
        <v/>
      </c>
      <c r="P770" s="1" t="str">
        <f t="shared" si="137"/>
        <v/>
      </c>
      <c r="Q770" s="1">
        <v>0</v>
      </c>
      <c r="R770" s="1">
        <f>IF($N770="",0,INDEX(VIRMAN!$F$7:$F$406,$T770))</f>
        <v>0</v>
      </c>
      <c r="S770" s="1">
        <f t="shared" si="133"/>
        <v>10000000000</v>
      </c>
      <c r="T770" s="1">
        <f>IFERROR(MATCH($C$36&amp;"|37",VIRMAN!$L$7:$L$406,0),0)</f>
        <v>0</v>
      </c>
      <c r="V770" s="1">
        <f t="shared" si="134"/>
        <v>10000000000</v>
      </c>
      <c r="W770" s="1">
        <f t="shared" si="135"/>
        <v>9</v>
      </c>
    </row>
    <row r="771" spans="2:23" ht="14.25" customHeight="1" x14ac:dyDescent="0.3">
      <c r="B771" s="65" t="str">
        <f t="shared" si="127"/>
        <v/>
      </c>
      <c r="C771" s="70" t="str">
        <f t="shared" si="128"/>
        <v/>
      </c>
      <c r="D771" s="74" t="str">
        <f t="shared" si="129"/>
        <v/>
      </c>
      <c r="F771" s="65" t="str">
        <f t="shared" si="130"/>
        <v/>
      </c>
      <c r="G771" s="68" t="str">
        <f t="shared" si="131"/>
        <v/>
      </c>
      <c r="H771" s="68" t="str">
        <f t="shared" si="132"/>
        <v/>
      </c>
      <c r="I771" s="68" t="str">
        <f t="shared" si="136"/>
        <v/>
      </c>
      <c r="M771" s="1">
        <v>734</v>
      </c>
      <c r="N771" s="1" t="str">
        <f>IF($T771=0,"",INDEX(VIRMAN!$C$7:$C$406,$T771))</f>
        <v/>
      </c>
      <c r="O771" s="1" t="str">
        <f>IF($N771="","",$C$36&amp;" → "&amp;INDEX(VIRMAN!$E$7:$E$406,$T771)&amp;IF(INDEX(VIRMAN!$G$7:$G$406,$T771)="",""," – "&amp;INDEX(VIRMAN!$G$7:$G$406,$T771)))</f>
        <v/>
      </c>
      <c r="P771" s="1" t="str">
        <f t="shared" si="137"/>
        <v/>
      </c>
      <c r="Q771" s="1">
        <v>0</v>
      </c>
      <c r="R771" s="1">
        <f>IF($N771="",0,INDEX(VIRMAN!$F$7:$F$406,$T771))</f>
        <v>0</v>
      </c>
      <c r="S771" s="1">
        <f t="shared" si="133"/>
        <v>10000000000</v>
      </c>
      <c r="T771" s="1">
        <f>IFERROR(MATCH($C$36&amp;"|38",VIRMAN!$L$7:$L$406,0),0)</f>
        <v>0</v>
      </c>
      <c r="V771" s="1">
        <f t="shared" si="134"/>
        <v>10000000000</v>
      </c>
      <c r="W771" s="1">
        <f t="shared" si="135"/>
        <v>9</v>
      </c>
    </row>
    <row r="772" spans="2:23" ht="14.25" customHeight="1" x14ac:dyDescent="0.3">
      <c r="B772" s="65" t="str">
        <f t="shared" si="127"/>
        <v/>
      </c>
      <c r="C772" s="70" t="str">
        <f t="shared" si="128"/>
        <v/>
      </c>
      <c r="D772" s="74" t="str">
        <f t="shared" si="129"/>
        <v/>
      </c>
      <c r="F772" s="65" t="str">
        <f t="shared" si="130"/>
        <v/>
      </c>
      <c r="G772" s="68" t="str">
        <f t="shared" si="131"/>
        <v/>
      </c>
      <c r="H772" s="68" t="str">
        <f t="shared" si="132"/>
        <v/>
      </c>
      <c r="I772" s="68" t="str">
        <f t="shared" si="136"/>
        <v/>
      </c>
      <c r="M772" s="1">
        <v>735</v>
      </c>
      <c r="N772" s="1" t="str">
        <f>IF($T772=0,"",INDEX(VIRMAN!$C$7:$C$406,$T772))</f>
        <v/>
      </c>
      <c r="O772" s="1" t="str">
        <f>IF($N772="","",$C$36&amp;" → "&amp;INDEX(VIRMAN!$E$7:$E$406,$T772)&amp;IF(INDEX(VIRMAN!$G$7:$G$406,$T772)="",""," – "&amp;INDEX(VIRMAN!$G$7:$G$406,$T772)))</f>
        <v/>
      </c>
      <c r="P772" s="1" t="str">
        <f t="shared" si="137"/>
        <v/>
      </c>
      <c r="Q772" s="1">
        <v>0</v>
      </c>
      <c r="R772" s="1">
        <f>IF($N772="",0,INDEX(VIRMAN!$F$7:$F$406,$T772))</f>
        <v>0</v>
      </c>
      <c r="S772" s="1">
        <f t="shared" si="133"/>
        <v>10000000000</v>
      </c>
      <c r="T772" s="1">
        <f>IFERROR(MATCH($C$36&amp;"|39",VIRMAN!$L$7:$L$406,0),0)</f>
        <v>0</v>
      </c>
      <c r="V772" s="1">
        <f t="shared" si="134"/>
        <v>10000000000</v>
      </c>
      <c r="W772" s="1">
        <f t="shared" si="135"/>
        <v>9</v>
      </c>
    </row>
    <row r="773" spans="2:23" ht="14.25" customHeight="1" x14ac:dyDescent="0.3">
      <c r="B773" s="65" t="str">
        <f t="shared" si="127"/>
        <v/>
      </c>
      <c r="C773" s="70" t="str">
        <f t="shared" si="128"/>
        <v/>
      </c>
      <c r="D773" s="74" t="str">
        <f t="shared" si="129"/>
        <v/>
      </c>
      <c r="F773" s="65" t="str">
        <f t="shared" si="130"/>
        <v/>
      </c>
      <c r="G773" s="68" t="str">
        <f t="shared" si="131"/>
        <v/>
      </c>
      <c r="H773" s="68" t="str">
        <f t="shared" si="132"/>
        <v/>
      </c>
      <c r="I773" s="68" t="str">
        <f t="shared" si="136"/>
        <v/>
      </c>
      <c r="M773" s="1">
        <v>736</v>
      </c>
      <c r="N773" s="1" t="str">
        <f>IF($T773=0,"",INDEX(VIRMAN!$C$7:$C$406,$T773))</f>
        <v/>
      </c>
      <c r="O773" s="1" t="str">
        <f>IF($N773="","",$C$36&amp;" → "&amp;INDEX(VIRMAN!$E$7:$E$406,$T773)&amp;IF(INDEX(VIRMAN!$G$7:$G$406,$T773)="",""," – "&amp;INDEX(VIRMAN!$G$7:$G$406,$T773)))</f>
        <v/>
      </c>
      <c r="P773" s="1" t="str">
        <f t="shared" si="137"/>
        <v/>
      </c>
      <c r="Q773" s="1">
        <v>0</v>
      </c>
      <c r="R773" s="1">
        <f>IF($N773="",0,INDEX(VIRMAN!$F$7:$F$406,$T773))</f>
        <v>0</v>
      </c>
      <c r="S773" s="1">
        <f t="shared" si="133"/>
        <v>10000000000</v>
      </c>
      <c r="T773" s="1">
        <f>IFERROR(MATCH($C$36&amp;"|40",VIRMAN!$L$7:$L$406,0),0)</f>
        <v>0</v>
      </c>
      <c r="V773" s="1">
        <f t="shared" si="134"/>
        <v>10000000000</v>
      </c>
      <c r="W773" s="1">
        <f t="shared" si="135"/>
        <v>9</v>
      </c>
    </row>
    <row r="774" spans="2:23" ht="14.25" customHeight="1" x14ac:dyDescent="0.3">
      <c r="B774" s="65" t="str">
        <f t="shared" si="127"/>
        <v/>
      </c>
      <c r="C774" s="70" t="str">
        <f t="shared" si="128"/>
        <v/>
      </c>
      <c r="D774" s="74" t="str">
        <f t="shared" si="129"/>
        <v/>
      </c>
      <c r="F774" s="65" t="str">
        <f t="shared" si="130"/>
        <v/>
      </c>
      <c r="G774" s="68" t="str">
        <f t="shared" si="131"/>
        <v/>
      </c>
      <c r="H774" s="68" t="str">
        <f t="shared" si="132"/>
        <v/>
      </c>
      <c r="I774" s="68" t="str">
        <f t="shared" si="136"/>
        <v/>
      </c>
      <c r="M774" s="1">
        <v>737</v>
      </c>
      <c r="N774" s="1" t="str">
        <f>IF($T774=0,"",INDEX(VIRMAN!$C$7:$C$406,$T774))</f>
        <v/>
      </c>
      <c r="O774" s="1" t="str">
        <f>IF($N774="","",$C$36&amp;" → "&amp;INDEX(VIRMAN!$E$7:$E$406,$T774)&amp;IF(INDEX(VIRMAN!$G$7:$G$406,$T774)="",""," – "&amp;INDEX(VIRMAN!$G$7:$G$406,$T774)))</f>
        <v/>
      </c>
      <c r="P774" s="1" t="str">
        <f t="shared" si="137"/>
        <v/>
      </c>
      <c r="Q774" s="1">
        <v>0</v>
      </c>
      <c r="R774" s="1">
        <f>IF($N774="",0,INDEX(VIRMAN!$F$7:$F$406,$T774))</f>
        <v>0</v>
      </c>
      <c r="S774" s="1">
        <f t="shared" si="133"/>
        <v>10000000000</v>
      </c>
      <c r="T774" s="1">
        <f>IFERROR(MATCH($C$36&amp;"|41",VIRMAN!$L$7:$L$406,0),0)</f>
        <v>0</v>
      </c>
      <c r="V774" s="1">
        <f t="shared" si="134"/>
        <v>10000000000</v>
      </c>
      <c r="W774" s="1">
        <f t="shared" si="135"/>
        <v>9</v>
      </c>
    </row>
    <row r="775" spans="2:23" ht="14.25" customHeight="1" x14ac:dyDescent="0.3">
      <c r="B775" s="65" t="str">
        <f t="shared" si="127"/>
        <v/>
      </c>
      <c r="C775" s="70" t="str">
        <f t="shared" si="128"/>
        <v/>
      </c>
      <c r="D775" s="74" t="str">
        <f t="shared" si="129"/>
        <v/>
      </c>
      <c r="F775" s="65" t="str">
        <f t="shared" si="130"/>
        <v/>
      </c>
      <c r="G775" s="68" t="str">
        <f t="shared" si="131"/>
        <v/>
      </c>
      <c r="H775" s="68" t="str">
        <f t="shared" si="132"/>
        <v/>
      </c>
      <c r="I775" s="68" t="str">
        <f t="shared" si="136"/>
        <v/>
      </c>
      <c r="M775" s="1">
        <v>738</v>
      </c>
      <c r="N775" s="1" t="str">
        <f>IF($T775=0,"",INDEX(VIRMAN!$C$7:$C$406,$T775))</f>
        <v/>
      </c>
      <c r="O775" s="1" t="str">
        <f>IF($N775="","",$C$36&amp;" → "&amp;INDEX(VIRMAN!$E$7:$E$406,$T775)&amp;IF(INDEX(VIRMAN!$G$7:$G$406,$T775)="",""," – "&amp;INDEX(VIRMAN!$G$7:$G$406,$T775)))</f>
        <v/>
      </c>
      <c r="P775" s="1" t="str">
        <f t="shared" si="137"/>
        <v/>
      </c>
      <c r="Q775" s="1">
        <v>0</v>
      </c>
      <c r="R775" s="1">
        <f>IF($N775="",0,INDEX(VIRMAN!$F$7:$F$406,$T775))</f>
        <v>0</v>
      </c>
      <c r="S775" s="1">
        <f t="shared" si="133"/>
        <v>10000000000</v>
      </c>
      <c r="T775" s="1">
        <f>IFERROR(MATCH($C$36&amp;"|42",VIRMAN!$L$7:$L$406,0),0)</f>
        <v>0</v>
      </c>
      <c r="V775" s="1">
        <f t="shared" si="134"/>
        <v>10000000000</v>
      </c>
      <c r="W775" s="1">
        <f t="shared" si="135"/>
        <v>9</v>
      </c>
    </row>
    <row r="776" spans="2:23" ht="14.25" customHeight="1" x14ac:dyDescent="0.3">
      <c r="B776" s="65" t="str">
        <f t="shared" si="127"/>
        <v/>
      </c>
      <c r="C776" s="70" t="str">
        <f t="shared" si="128"/>
        <v/>
      </c>
      <c r="D776" s="74" t="str">
        <f t="shared" si="129"/>
        <v/>
      </c>
      <c r="F776" s="65" t="str">
        <f t="shared" si="130"/>
        <v/>
      </c>
      <c r="G776" s="68" t="str">
        <f t="shared" si="131"/>
        <v/>
      </c>
      <c r="H776" s="68" t="str">
        <f t="shared" si="132"/>
        <v/>
      </c>
      <c r="I776" s="68" t="str">
        <f t="shared" si="136"/>
        <v/>
      </c>
      <c r="M776" s="1">
        <v>739</v>
      </c>
      <c r="N776" s="1" t="str">
        <f>IF($T776=0,"",INDEX(VIRMAN!$C$7:$C$406,$T776))</f>
        <v/>
      </c>
      <c r="O776" s="1" t="str">
        <f>IF($N776="","",$C$36&amp;" → "&amp;INDEX(VIRMAN!$E$7:$E$406,$T776)&amp;IF(INDEX(VIRMAN!$G$7:$G$406,$T776)="",""," – "&amp;INDEX(VIRMAN!$G$7:$G$406,$T776)))</f>
        <v/>
      </c>
      <c r="P776" s="1" t="str">
        <f t="shared" si="137"/>
        <v/>
      </c>
      <c r="Q776" s="1">
        <v>0</v>
      </c>
      <c r="R776" s="1">
        <f>IF($N776="",0,INDEX(VIRMAN!$F$7:$F$406,$T776))</f>
        <v>0</v>
      </c>
      <c r="S776" s="1">
        <f t="shared" si="133"/>
        <v>10000000000</v>
      </c>
      <c r="T776" s="1">
        <f>IFERROR(MATCH($C$36&amp;"|43",VIRMAN!$L$7:$L$406,0),0)</f>
        <v>0</v>
      </c>
      <c r="V776" s="1">
        <f t="shared" si="134"/>
        <v>10000000000</v>
      </c>
      <c r="W776" s="1">
        <f t="shared" si="135"/>
        <v>9</v>
      </c>
    </row>
    <row r="777" spans="2:23" ht="14.25" customHeight="1" x14ac:dyDescent="0.3">
      <c r="B777" s="65" t="str">
        <f t="shared" si="127"/>
        <v/>
      </c>
      <c r="C777" s="70" t="str">
        <f t="shared" si="128"/>
        <v/>
      </c>
      <c r="D777" s="74" t="str">
        <f t="shared" si="129"/>
        <v/>
      </c>
      <c r="F777" s="65" t="str">
        <f t="shared" si="130"/>
        <v/>
      </c>
      <c r="G777" s="68" t="str">
        <f t="shared" si="131"/>
        <v/>
      </c>
      <c r="H777" s="68" t="str">
        <f t="shared" si="132"/>
        <v/>
      </c>
      <c r="I777" s="68" t="str">
        <f t="shared" si="136"/>
        <v/>
      </c>
      <c r="M777" s="1">
        <v>740</v>
      </c>
      <c r="N777" s="1" t="str">
        <f>IF($T777=0,"",INDEX(VIRMAN!$C$7:$C$406,$T777))</f>
        <v/>
      </c>
      <c r="O777" s="1" t="str">
        <f>IF($N777="","",$C$36&amp;" → "&amp;INDEX(VIRMAN!$E$7:$E$406,$T777)&amp;IF(INDEX(VIRMAN!$G$7:$G$406,$T777)="",""," – "&amp;INDEX(VIRMAN!$G$7:$G$406,$T777)))</f>
        <v/>
      </c>
      <c r="P777" s="1" t="str">
        <f t="shared" si="137"/>
        <v/>
      </c>
      <c r="Q777" s="1">
        <v>0</v>
      </c>
      <c r="R777" s="1">
        <f>IF($N777="",0,INDEX(VIRMAN!$F$7:$F$406,$T777))</f>
        <v>0</v>
      </c>
      <c r="S777" s="1">
        <f t="shared" si="133"/>
        <v>10000000000</v>
      </c>
      <c r="T777" s="1">
        <f>IFERROR(MATCH($C$36&amp;"|44",VIRMAN!$L$7:$L$406,0),0)</f>
        <v>0</v>
      </c>
      <c r="V777" s="1">
        <f t="shared" si="134"/>
        <v>10000000000</v>
      </c>
      <c r="W777" s="1">
        <f t="shared" si="135"/>
        <v>9</v>
      </c>
    </row>
    <row r="778" spans="2:23" ht="14.25" customHeight="1" x14ac:dyDescent="0.3">
      <c r="B778" s="65" t="str">
        <f t="shared" si="127"/>
        <v/>
      </c>
      <c r="C778" s="70" t="str">
        <f t="shared" si="128"/>
        <v/>
      </c>
      <c r="D778" s="74" t="str">
        <f t="shared" si="129"/>
        <v/>
      </c>
      <c r="F778" s="65" t="str">
        <f t="shared" si="130"/>
        <v/>
      </c>
      <c r="G778" s="68" t="str">
        <f t="shared" si="131"/>
        <v/>
      </c>
      <c r="H778" s="68" t="str">
        <f t="shared" si="132"/>
        <v/>
      </c>
      <c r="I778" s="68" t="str">
        <f t="shared" si="136"/>
        <v/>
      </c>
      <c r="M778" s="1">
        <v>741</v>
      </c>
      <c r="N778" s="1" t="str">
        <f>IF($T778=0,"",INDEX(VIRMAN!$C$7:$C$406,$T778))</f>
        <v/>
      </c>
      <c r="O778" s="1" t="str">
        <f>IF($N778="","",$C$36&amp;" → "&amp;INDEX(VIRMAN!$E$7:$E$406,$T778)&amp;IF(INDEX(VIRMAN!$G$7:$G$406,$T778)="",""," – "&amp;INDEX(VIRMAN!$G$7:$G$406,$T778)))</f>
        <v/>
      </c>
      <c r="P778" s="1" t="str">
        <f t="shared" si="137"/>
        <v/>
      </c>
      <c r="Q778" s="1">
        <v>0</v>
      </c>
      <c r="R778" s="1">
        <f>IF($N778="",0,INDEX(VIRMAN!$F$7:$F$406,$T778))</f>
        <v>0</v>
      </c>
      <c r="S778" s="1">
        <f t="shared" si="133"/>
        <v>10000000000</v>
      </c>
      <c r="T778" s="1">
        <f>IFERROR(MATCH($C$36&amp;"|45",VIRMAN!$L$7:$L$406,0),0)</f>
        <v>0</v>
      </c>
      <c r="V778" s="1">
        <f t="shared" si="134"/>
        <v>10000000000</v>
      </c>
      <c r="W778" s="1">
        <f t="shared" si="135"/>
        <v>9</v>
      </c>
    </row>
    <row r="779" spans="2:23" ht="14.25" customHeight="1" x14ac:dyDescent="0.3">
      <c r="B779" s="65" t="str">
        <f t="shared" si="127"/>
        <v/>
      </c>
      <c r="C779" s="70" t="str">
        <f t="shared" si="128"/>
        <v/>
      </c>
      <c r="D779" s="74" t="str">
        <f t="shared" si="129"/>
        <v/>
      </c>
      <c r="F779" s="65" t="str">
        <f t="shared" si="130"/>
        <v/>
      </c>
      <c r="G779" s="68" t="str">
        <f t="shared" si="131"/>
        <v/>
      </c>
      <c r="H779" s="68" t="str">
        <f t="shared" si="132"/>
        <v/>
      </c>
      <c r="I779" s="68" t="str">
        <f t="shared" si="136"/>
        <v/>
      </c>
      <c r="M779" s="1">
        <v>742</v>
      </c>
      <c r="N779" s="1" t="str">
        <f>IF($T779=0,"",INDEX(VIRMAN!$C$7:$C$406,$T779))</f>
        <v/>
      </c>
      <c r="O779" s="1" t="str">
        <f>IF($N779="","",$C$36&amp;" → "&amp;INDEX(VIRMAN!$E$7:$E$406,$T779)&amp;IF(INDEX(VIRMAN!$G$7:$G$406,$T779)="",""," – "&amp;INDEX(VIRMAN!$G$7:$G$406,$T779)))</f>
        <v/>
      </c>
      <c r="P779" s="1" t="str">
        <f t="shared" si="137"/>
        <v/>
      </c>
      <c r="Q779" s="1">
        <v>0</v>
      </c>
      <c r="R779" s="1">
        <f>IF($N779="",0,INDEX(VIRMAN!$F$7:$F$406,$T779))</f>
        <v>0</v>
      </c>
      <c r="S779" s="1">
        <f t="shared" si="133"/>
        <v>10000000000</v>
      </c>
      <c r="T779" s="1">
        <f>IFERROR(MATCH($C$36&amp;"|46",VIRMAN!$L$7:$L$406,0),0)</f>
        <v>0</v>
      </c>
      <c r="V779" s="1">
        <f t="shared" si="134"/>
        <v>10000000000</v>
      </c>
      <c r="W779" s="1">
        <f t="shared" si="135"/>
        <v>9</v>
      </c>
    </row>
    <row r="780" spans="2:23" ht="14.25" customHeight="1" x14ac:dyDescent="0.3">
      <c r="B780" s="65" t="str">
        <f t="shared" si="127"/>
        <v/>
      </c>
      <c r="C780" s="70" t="str">
        <f t="shared" si="128"/>
        <v/>
      </c>
      <c r="D780" s="74" t="str">
        <f t="shared" si="129"/>
        <v/>
      </c>
      <c r="F780" s="65" t="str">
        <f t="shared" si="130"/>
        <v/>
      </c>
      <c r="G780" s="68" t="str">
        <f t="shared" si="131"/>
        <v/>
      </c>
      <c r="H780" s="68" t="str">
        <f t="shared" si="132"/>
        <v/>
      </c>
      <c r="I780" s="68" t="str">
        <f t="shared" si="136"/>
        <v/>
      </c>
      <c r="M780" s="1">
        <v>743</v>
      </c>
      <c r="N780" s="1" t="str">
        <f>IF($T780=0,"",INDEX(VIRMAN!$C$7:$C$406,$T780))</f>
        <v/>
      </c>
      <c r="O780" s="1" t="str">
        <f>IF($N780="","",$C$36&amp;" → "&amp;INDEX(VIRMAN!$E$7:$E$406,$T780)&amp;IF(INDEX(VIRMAN!$G$7:$G$406,$T780)="",""," – "&amp;INDEX(VIRMAN!$G$7:$G$406,$T780)))</f>
        <v/>
      </c>
      <c r="P780" s="1" t="str">
        <f t="shared" si="137"/>
        <v/>
      </c>
      <c r="Q780" s="1">
        <v>0</v>
      </c>
      <c r="R780" s="1">
        <f>IF($N780="",0,INDEX(VIRMAN!$F$7:$F$406,$T780))</f>
        <v>0</v>
      </c>
      <c r="S780" s="1">
        <f t="shared" si="133"/>
        <v>10000000000</v>
      </c>
      <c r="T780" s="1">
        <f>IFERROR(MATCH($C$36&amp;"|47",VIRMAN!$L$7:$L$406,0),0)</f>
        <v>0</v>
      </c>
      <c r="V780" s="1">
        <f t="shared" si="134"/>
        <v>10000000000</v>
      </c>
      <c r="W780" s="1">
        <f t="shared" si="135"/>
        <v>9</v>
      </c>
    </row>
    <row r="781" spans="2:23" ht="14.25" customHeight="1" x14ac:dyDescent="0.3">
      <c r="B781" s="65" t="str">
        <f t="shared" si="127"/>
        <v/>
      </c>
      <c r="C781" s="70" t="str">
        <f t="shared" si="128"/>
        <v/>
      </c>
      <c r="D781" s="74" t="str">
        <f t="shared" si="129"/>
        <v/>
      </c>
      <c r="F781" s="65" t="str">
        <f t="shared" si="130"/>
        <v/>
      </c>
      <c r="G781" s="68" t="str">
        <f t="shared" si="131"/>
        <v/>
      </c>
      <c r="H781" s="68" t="str">
        <f t="shared" si="132"/>
        <v/>
      </c>
      <c r="I781" s="68" t="str">
        <f t="shared" si="136"/>
        <v/>
      </c>
      <c r="M781" s="1">
        <v>744</v>
      </c>
      <c r="N781" s="1" t="str">
        <f>IF($T781=0,"",INDEX(VIRMAN!$C$7:$C$406,$T781))</f>
        <v/>
      </c>
      <c r="O781" s="1" t="str">
        <f>IF($N781="","",$C$36&amp;" → "&amp;INDEX(VIRMAN!$E$7:$E$406,$T781)&amp;IF(INDEX(VIRMAN!$G$7:$G$406,$T781)="",""," – "&amp;INDEX(VIRMAN!$G$7:$G$406,$T781)))</f>
        <v/>
      </c>
      <c r="P781" s="1" t="str">
        <f t="shared" si="137"/>
        <v/>
      </c>
      <c r="Q781" s="1">
        <v>0</v>
      </c>
      <c r="R781" s="1">
        <f>IF($N781="",0,INDEX(VIRMAN!$F$7:$F$406,$T781))</f>
        <v>0</v>
      </c>
      <c r="S781" s="1">
        <f t="shared" si="133"/>
        <v>10000000000</v>
      </c>
      <c r="T781" s="1">
        <f>IFERROR(MATCH($C$36&amp;"|48",VIRMAN!$L$7:$L$406,0),0)</f>
        <v>0</v>
      </c>
      <c r="V781" s="1">
        <f t="shared" si="134"/>
        <v>10000000000</v>
      </c>
      <c r="W781" s="1">
        <f t="shared" si="135"/>
        <v>9</v>
      </c>
    </row>
    <row r="782" spans="2:23" ht="14.25" customHeight="1" x14ac:dyDescent="0.3">
      <c r="B782" s="65" t="str">
        <f t="shared" si="127"/>
        <v/>
      </c>
      <c r="C782" s="70" t="str">
        <f t="shared" si="128"/>
        <v/>
      </c>
      <c r="D782" s="74" t="str">
        <f t="shared" si="129"/>
        <v/>
      </c>
      <c r="F782" s="65" t="str">
        <f t="shared" si="130"/>
        <v/>
      </c>
      <c r="G782" s="68" t="str">
        <f t="shared" si="131"/>
        <v/>
      </c>
      <c r="H782" s="68" t="str">
        <f t="shared" si="132"/>
        <v/>
      </c>
      <c r="I782" s="68" t="str">
        <f t="shared" si="136"/>
        <v/>
      </c>
      <c r="M782" s="1">
        <v>745</v>
      </c>
      <c r="N782" s="1" t="str">
        <f>IF($T782=0,"",INDEX(VIRMAN!$C$7:$C$406,$T782))</f>
        <v/>
      </c>
      <c r="O782" s="1" t="str">
        <f>IF($N782="","",$C$36&amp;" → "&amp;INDEX(VIRMAN!$E$7:$E$406,$T782)&amp;IF(INDEX(VIRMAN!$G$7:$G$406,$T782)="",""," – "&amp;INDEX(VIRMAN!$G$7:$G$406,$T782)))</f>
        <v/>
      </c>
      <c r="P782" s="1" t="str">
        <f t="shared" si="137"/>
        <v/>
      </c>
      <c r="Q782" s="1">
        <v>0</v>
      </c>
      <c r="R782" s="1">
        <f>IF($N782="",0,INDEX(VIRMAN!$F$7:$F$406,$T782))</f>
        <v>0</v>
      </c>
      <c r="S782" s="1">
        <f t="shared" si="133"/>
        <v>10000000000</v>
      </c>
      <c r="T782" s="1">
        <f>IFERROR(MATCH($C$36&amp;"|49",VIRMAN!$L$7:$L$406,0),0)</f>
        <v>0</v>
      </c>
      <c r="V782" s="1">
        <f t="shared" si="134"/>
        <v>10000000000</v>
      </c>
      <c r="W782" s="1">
        <f t="shared" si="135"/>
        <v>9</v>
      </c>
    </row>
    <row r="783" spans="2:23" ht="14.25" customHeight="1" x14ac:dyDescent="0.3">
      <c r="B783" s="65" t="str">
        <f t="shared" si="127"/>
        <v/>
      </c>
      <c r="C783" s="70" t="str">
        <f t="shared" si="128"/>
        <v/>
      </c>
      <c r="D783" s="74" t="str">
        <f t="shared" si="129"/>
        <v/>
      </c>
      <c r="F783" s="65" t="str">
        <f t="shared" si="130"/>
        <v/>
      </c>
      <c r="G783" s="68" t="str">
        <f t="shared" si="131"/>
        <v/>
      </c>
      <c r="H783" s="68" t="str">
        <f t="shared" si="132"/>
        <v/>
      </c>
      <c r="I783" s="68" t="str">
        <f t="shared" si="136"/>
        <v/>
      </c>
      <c r="M783" s="1">
        <v>746</v>
      </c>
      <c r="N783" s="1" t="str">
        <f>IF($T783=0,"",INDEX(VIRMAN!$C$7:$C$406,$T783))</f>
        <v/>
      </c>
      <c r="O783" s="1" t="str">
        <f>IF($N783="","",$C$36&amp;" → "&amp;INDEX(VIRMAN!$E$7:$E$406,$T783)&amp;IF(INDEX(VIRMAN!$G$7:$G$406,$T783)="",""," – "&amp;INDEX(VIRMAN!$G$7:$G$406,$T783)))</f>
        <v/>
      </c>
      <c r="P783" s="1" t="str">
        <f t="shared" si="137"/>
        <v/>
      </c>
      <c r="Q783" s="1">
        <v>0</v>
      </c>
      <c r="R783" s="1">
        <f>IF($N783="",0,INDEX(VIRMAN!$F$7:$F$406,$T783))</f>
        <v>0</v>
      </c>
      <c r="S783" s="1">
        <f t="shared" si="133"/>
        <v>10000000000</v>
      </c>
      <c r="T783" s="1">
        <f>IFERROR(MATCH($C$36&amp;"|50",VIRMAN!$L$7:$L$406,0),0)</f>
        <v>0</v>
      </c>
      <c r="V783" s="1">
        <f t="shared" si="134"/>
        <v>10000000000</v>
      </c>
      <c r="W783" s="1">
        <f t="shared" si="135"/>
        <v>9</v>
      </c>
    </row>
    <row r="784" spans="2:23" ht="14.25" customHeight="1" x14ac:dyDescent="0.3">
      <c r="B784" s="65" t="str">
        <f t="shared" si="127"/>
        <v/>
      </c>
      <c r="C784" s="70" t="str">
        <f t="shared" si="128"/>
        <v/>
      </c>
      <c r="D784" s="74" t="str">
        <f t="shared" si="129"/>
        <v/>
      </c>
      <c r="F784" s="65" t="str">
        <f t="shared" si="130"/>
        <v/>
      </c>
      <c r="G784" s="68" t="str">
        <f t="shared" si="131"/>
        <v/>
      </c>
      <c r="H784" s="68" t="str">
        <f t="shared" si="132"/>
        <v/>
      </c>
      <c r="I784" s="68" t="str">
        <f t="shared" si="136"/>
        <v/>
      </c>
      <c r="M784" s="1">
        <v>747</v>
      </c>
      <c r="N784" s="1" t="str">
        <f>IF($T784=0,"",INDEX(VIRMAN!$C$7:$C$406,$T784))</f>
        <v/>
      </c>
      <c r="O784" s="1" t="str">
        <f>IF($N784="","",$C$36&amp;" → "&amp;INDEX(VIRMAN!$E$7:$E$406,$T784)&amp;IF(INDEX(VIRMAN!$G$7:$G$406,$T784)="",""," – "&amp;INDEX(VIRMAN!$G$7:$G$406,$T784)))</f>
        <v/>
      </c>
      <c r="P784" s="1" t="str">
        <f t="shared" si="137"/>
        <v/>
      </c>
      <c r="Q784" s="1">
        <v>0</v>
      </c>
      <c r="R784" s="1">
        <f>IF($N784="",0,INDEX(VIRMAN!$F$7:$F$406,$T784))</f>
        <v>0</v>
      </c>
      <c r="S784" s="1">
        <f t="shared" si="133"/>
        <v>10000000000</v>
      </c>
      <c r="T784" s="1">
        <f>IFERROR(MATCH($C$36&amp;"|51",VIRMAN!$L$7:$L$406,0),0)</f>
        <v>0</v>
      </c>
      <c r="V784" s="1">
        <f t="shared" si="134"/>
        <v>10000000000</v>
      </c>
      <c r="W784" s="1">
        <f t="shared" si="135"/>
        <v>9</v>
      </c>
    </row>
    <row r="785" spans="2:23" ht="14.25" customHeight="1" x14ac:dyDescent="0.3">
      <c r="B785" s="65" t="str">
        <f t="shared" si="127"/>
        <v/>
      </c>
      <c r="C785" s="70" t="str">
        <f t="shared" si="128"/>
        <v/>
      </c>
      <c r="D785" s="74" t="str">
        <f t="shared" si="129"/>
        <v/>
      </c>
      <c r="F785" s="65" t="str">
        <f t="shared" si="130"/>
        <v/>
      </c>
      <c r="G785" s="68" t="str">
        <f t="shared" si="131"/>
        <v/>
      </c>
      <c r="H785" s="68" t="str">
        <f t="shared" si="132"/>
        <v/>
      </c>
      <c r="I785" s="68" t="str">
        <f t="shared" si="136"/>
        <v/>
      </c>
      <c r="M785" s="1">
        <v>748</v>
      </c>
      <c r="N785" s="1" t="str">
        <f>IF($T785=0,"",INDEX(VIRMAN!$C$7:$C$406,$T785))</f>
        <v/>
      </c>
      <c r="O785" s="1" t="str">
        <f>IF($N785="","",$C$36&amp;" → "&amp;INDEX(VIRMAN!$E$7:$E$406,$T785)&amp;IF(INDEX(VIRMAN!$G$7:$G$406,$T785)="",""," – "&amp;INDEX(VIRMAN!$G$7:$G$406,$T785)))</f>
        <v/>
      </c>
      <c r="P785" s="1" t="str">
        <f t="shared" si="137"/>
        <v/>
      </c>
      <c r="Q785" s="1">
        <v>0</v>
      </c>
      <c r="R785" s="1">
        <f>IF($N785="",0,INDEX(VIRMAN!$F$7:$F$406,$T785))</f>
        <v>0</v>
      </c>
      <c r="S785" s="1">
        <f t="shared" si="133"/>
        <v>10000000000</v>
      </c>
      <c r="T785" s="1">
        <f>IFERROR(MATCH($C$36&amp;"|52",VIRMAN!$L$7:$L$406,0),0)</f>
        <v>0</v>
      </c>
      <c r="V785" s="1">
        <f t="shared" si="134"/>
        <v>10000000000</v>
      </c>
      <c r="W785" s="1">
        <f t="shared" si="135"/>
        <v>9</v>
      </c>
    </row>
    <row r="786" spans="2:23" ht="14.25" customHeight="1" x14ac:dyDescent="0.3">
      <c r="B786" s="65" t="str">
        <f t="shared" si="127"/>
        <v/>
      </c>
      <c r="C786" s="70" t="str">
        <f t="shared" si="128"/>
        <v/>
      </c>
      <c r="D786" s="74" t="str">
        <f t="shared" si="129"/>
        <v/>
      </c>
      <c r="F786" s="65" t="str">
        <f t="shared" si="130"/>
        <v/>
      </c>
      <c r="G786" s="68" t="str">
        <f t="shared" si="131"/>
        <v/>
      </c>
      <c r="H786" s="68" t="str">
        <f t="shared" si="132"/>
        <v/>
      </c>
      <c r="I786" s="68" t="str">
        <f t="shared" si="136"/>
        <v/>
      </c>
      <c r="M786" s="1">
        <v>749</v>
      </c>
      <c r="N786" s="1" t="str">
        <f>IF($T786=0,"",INDEX(VIRMAN!$C$7:$C$406,$T786))</f>
        <v/>
      </c>
      <c r="O786" s="1" t="str">
        <f>IF($N786="","",$C$36&amp;" → "&amp;INDEX(VIRMAN!$E$7:$E$406,$T786)&amp;IF(INDEX(VIRMAN!$G$7:$G$406,$T786)="",""," – "&amp;INDEX(VIRMAN!$G$7:$G$406,$T786)))</f>
        <v/>
      </c>
      <c r="P786" s="1" t="str">
        <f t="shared" si="137"/>
        <v/>
      </c>
      <c r="Q786" s="1">
        <v>0</v>
      </c>
      <c r="R786" s="1">
        <f>IF($N786="",0,INDEX(VIRMAN!$F$7:$F$406,$T786))</f>
        <v>0</v>
      </c>
      <c r="S786" s="1">
        <f t="shared" si="133"/>
        <v>10000000000</v>
      </c>
      <c r="T786" s="1">
        <f>IFERROR(MATCH($C$36&amp;"|53",VIRMAN!$L$7:$L$406,0),0)</f>
        <v>0</v>
      </c>
      <c r="V786" s="1">
        <f t="shared" si="134"/>
        <v>10000000000</v>
      </c>
      <c r="W786" s="1">
        <f t="shared" si="135"/>
        <v>9</v>
      </c>
    </row>
    <row r="787" spans="2:23" ht="14.25" customHeight="1" x14ac:dyDescent="0.3">
      <c r="B787" s="65" t="str">
        <f t="shared" si="127"/>
        <v/>
      </c>
      <c r="C787" s="70" t="str">
        <f t="shared" si="128"/>
        <v/>
      </c>
      <c r="D787" s="74" t="str">
        <f t="shared" si="129"/>
        <v/>
      </c>
      <c r="F787" s="65" t="str">
        <f t="shared" si="130"/>
        <v/>
      </c>
      <c r="G787" s="68" t="str">
        <f t="shared" si="131"/>
        <v/>
      </c>
      <c r="H787" s="68" t="str">
        <f t="shared" si="132"/>
        <v/>
      </c>
      <c r="I787" s="68" t="str">
        <f t="shared" si="136"/>
        <v/>
      </c>
      <c r="M787" s="1">
        <v>750</v>
      </c>
      <c r="N787" s="1" t="str">
        <f>IF($T787=0,"",INDEX(VIRMAN!$C$7:$C$406,$T787))</f>
        <v/>
      </c>
      <c r="O787" s="1" t="str">
        <f>IF($N787="","",$C$36&amp;" → "&amp;INDEX(VIRMAN!$E$7:$E$406,$T787)&amp;IF(INDEX(VIRMAN!$G$7:$G$406,$T787)="",""," – "&amp;INDEX(VIRMAN!$G$7:$G$406,$T787)))</f>
        <v/>
      </c>
      <c r="P787" s="1" t="str">
        <f t="shared" si="137"/>
        <v/>
      </c>
      <c r="Q787" s="1">
        <v>0</v>
      </c>
      <c r="R787" s="1">
        <f>IF($N787="",0,INDEX(VIRMAN!$F$7:$F$406,$T787))</f>
        <v>0</v>
      </c>
      <c r="S787" s="1">
        <f t="shared" si="133"/>
        <v>10000000000</v>
      </c>
      <c r="T787" s="1">
        <f>IFERROR(MATCH($C$36&amp;"|54",VIRMAN!$L$7:$L$406,0),0)</f>
        <v>0</v>
      </c>
      <c r="V787" s="1">
        <f t="shared" si="134"/>
        <v>10000000000</v>
      </c>
      <c r="W787" s="1">
        <f t="shared" si="135"/>
        <v>9</v>
      </c>
    </row>
    <row r="788" spans="2:23" ht="14.25" customHeight="1" x14ac:dyDescent="0.3">
      <c r="B788" s="65" t="str">
        <f t="shared" si="127"/>
        <v/>
      </c>
      <c r="C788" s="70" t="str">
        <f t="shared" si="128"/>
        <v/>
      </c>
      <c r="D788" s="74" t="str">
        <f t="shared" si="129"/>
        <v/>
      </c>
      <c r="F788" s="65" t="str">
        <f t="shared" si="130"/>
        <v/>
      </c>
      <c r="G788" s="68" t="str">
        <f t="shared" si="131"/>
        <v/>
      </c>
      <c r="H788" s="68" t="str">
        <f t="shared" si="132"/>
        <v/>
      </c>
      <c r="I788" s="68" t="str">
        <f t="shared" si="136"/>
        <v/>
      </c>
      <c r="M788" s="1">
        <v>751</v>
      </c>
      <c r="N788" s="1" t="str">
        <f>IF($T788=0,"",INDEX(VIRMAN!$C$7:$C$406,$T788))</f>
        <v/>
      </c>
      <c r="O788" s="1" t="str">
        <f>IF($N788="","",$C$36&amp;" → "&amp;INDEX(VIRMAN!$E$7:$E$406,$T788)&amp;IF(INDEX(VIRMAN!$G$7:$G$406,$T788)="",""," – "&amp;INDEX(VIRMAN!$G$7:$G$406,$T788)))</f>
        <v/>
      </c>
      <c r="P788" s="1" t="str">
        <f t="shared" si="137"/>
        <v/>
      </c>
      <c r="Q788" s="1">
        <v>0</v>
      </c>
      <c r="R788" s="1">
        <f>IF($N788="",0,INDEX(VIRMAN!$F$7:$F$406,$T788))</f>
        <v>0</v>
      </c>
      <c r="S788" s="1">
        <f t="shared" si="133"/>
        <v>10000000000</v>
      </c>
      <c r="T788" s="1">
        <f>IFERROR(MATCH($C$36&amp;"|55",VIRMAN!$L$7:$L$406,0),0)</f>
        <v>0</v>
      </c>
      <c r="V788" s="1">
        <f t="shared" si="134"/>
        <v>10000000000</v>
      </c>
      <c r="W788" s="1">
        <f t="shared" si="135"/>
        <v>9</v>
      </c>
    </row>
    <row r="789" spans="2:23" ht="14.25" customHeight="1" x14ac:dyDescent="0.3">
      <c r="B789" s="65" t="str">
        <f t="shared" si="127"/>
        <v/>
      </c>
      <c r="C789" s="70" t="str">
        <f t="shared" si="128"/>
        <v/>
      </c>
      <c r="D789" s="74" t="str">
        <f t="shared" si="129"/>
        <v/>
      </c>
      <c r="F789" s="65" t="str">
        <f t="shared" si="130"/>
        <v/>
      </c>
      <c r="G789" s="68" t="str">
        <f t="shared" si="131"/>
        <v/>
      </c>
      <c r="H789" s="68" t="str">
        <f t="shared" si="132"/>
        <v/>
      </c>
      <c r="I789" s="68" t="str">
        <f t="shared" si="136"/>
        <v/>
      </c>
      <c r="M789" s="1">
        <v>752</v>
      </c>
      <c r="N789" s="1" t="str">
        <f>IF($T789=0,"",INDEX(VIRMAN!$C$7:$C$406,$T789))</f>
        <v/>
      </c>
      <c r="O789" s="1" t="str">
        <f>IF($N789="","",$C$36&amp;" → "&amp;INDEX(VIRMAN!$E$7:$E$406,$T789)&amp;IF(INDEX(VIRMAN!$G$7:$G$406,$T789)="",""," – "&amp;INDEX(VIRMAN!$G$7:$G$406,$T789)))</f>
        <v/>
      </c>
      <c r="P789" s="1" t="str">
        <f t="shared" si="137"/>
        <v/>
      </c>
      <c r="Q789" s="1">
        <v>0</v>
      </c>
      <c r="R789" s="1">
        <f>IF($N789="",0,INDEX(VIRMAN!$F$7:$F$406,$T789))</f>
        <v>0</v>
      </c>
      <c r="S789" s="1">
        <f t="shared" si="133"/>
        <v>10000000000</v>
      </c>
      <c r="T789" s="1">
        <f>IFERROR(MATCH($C$36&amp;"|56",VIRMAN!$L$7:$L$406,0),0)</f>
        <v>0</v>
      </c>
      <c r="V789" s="1">
        <f t="shared" si="134"/>
        <v>10000000000</v>
      </c>
      <c r="W789" s="1">
        <f t="shared" si="135"/>
        <v>9</v>
      </c>
    </row>
    <row r="790" spans="2:23" ht="14.25" customHeight="1" x14ac:dyDescent="0.3">
      <c r="B790" s="65" t="str">
        <f t="shared" si="127"/>
        <v/>
      </c>
      <c r="C790" s="70" t="str">
        <f t="shared" si="128"/>
        <v/>
      </c>
      <c r="D790" s="74" t="str">
        <f t="shared" si="129"/>
        <v/>
      </c>
      <c r="F790" s="65" t="str">
        <f t="shared" si="130"/>
        <v/>
      </c>
      <c r="G790" s="68" t="str">
        <f t="shared" si="131"/>
        <v/>
      </c>
      <c r="H790" s="68" t="str">
        <f t="shared" si="132"/>
        <v/>
      </c>
      <c r="I790" s="68" t="str">
        <f t="shared" si="136"/>
        <v/>
      </c>
      <c r="M790" s="1">
        <v>753</v>
      </c>
      <c r="N790" s="1" t="str">
        <f>IF($T790=0,"",INDEX(VIRMAN!$C$7:$C$406,$T790))</f>
        <v/>
      </c>
      <c r="O790" s="1" t="str">
        <f>IF($N790="","",$C$36&amp;" → "&amp;INDEX(VIRMAN!$E$7:$E$406,$T790)&amp;IF(INDEX(VIRMAN!$G$7:$G$406,$T790)="",""," – "&amp;INDEX(VIRMAN!$G$7:$G$406,$T790)))</f>
        <v/>
      </c>
      <c r="P790" s="1" t="str">
        <f t="shared" si="137"/>
        <v/>
      </c>
      <c r="Q790" s="1">
        <v>0</v>
      </c>
      <c r="R790" s="1">
        <f>IF($N790="",0,INDEX(VIRMAN!$F$7:$F$406,$T790))</f>
        <v>0</v>
      </c>
      <c r="S790" s="1">
        <f t="shared" si="133"/>
        <v>10000000000</v>
      </c>
      <c r="T790" s="1">
        <f>IFERROR(MATCH($C$36&amp;"|57",VIRMAN!$L$7:$L$406,0),0)</f>
        <v>0</v>
      </c>
      <c r="V790" s="1">
        <f t="shared" si="134"/>
        <v>10000000000</v>
      </c>
      <c r="W790" s="1">
        <f t="shared" si="135"/>
        <v>9</v>
      </c>
    </row>
    <row r="791" spans="2:23" ht="14.25" customHeight="1" x14ac:dyDescent="0.3">
      <c r="B791" s="65" t="str">
        <f t="shared" si="127"/>
        <v/>
      </c>
      <c r="C791" s="70" t="str">
        <f t="shared" si="128"/>
        <v/>
      </c>
      <c r="D791" s="74" t="str">
        <f t="shared" si="129"/>
        <v/>
      </c>
      <c r="F791" s="65" t="str">
        <f t="shared" si="130"/>
        <v/>
      </c>
      <c r="G791" s="68" t="str">
        <f t="shared" si="131"/>
        <v/>
      </c>
      <c r="H791" s="68" t="str">
        <f t="shared" si="132"/>
        <v/>
      </c>
      <c r="I791" s="68" t="str">
        <f t="shared" si="136"/>
        <v/>
      </c>
      <c r="M791" s="1">
        <v>754</v>
      </c>
      <c r="N791" s="1" t="str">
        <f>IF($T791=0,"",INDEX(VIRMAN!$C$7:$C$406,$T791))</f>
        <v/>
      </c>
      <c r="O791" s="1" t="str">
        <f>IF($N791="","",$C$36&amp;" → "&amp;INDEX(VIRMAN!$E$7:$E$406,$T791)&amp;IF(INDEX(VIRMAN!$G$7:$G$406,$T791)="",""," – "&amp;INDEX(VIRMAN!$G$7:$G$406,$T791)))</f>
        <v/>
      </c>
      <c r="P791" s="1" t="str">
        <f t="shared" si="137"/>
        <v/>
      </c>
      <c r="Q791" s="1">
        <v>0</v>
      </c>
      <c r="R791" s="1">
        <f>IF($N791="",0,INDEX(VIRMAN!$F$7:$F$406,$T791))</f>
        <v>0</v>
      </c>
      <c r="S791" s="1">
        <f t="shared" si="133"/>
        <v>10000000000</v>
      </c>
      <c r="T791" s="1">
        <f>IFERROR(MATCH($C$36&amp;"|58",VIRMAN!$L$7:$L$406,0),0)</f>
        <v>0</v>
      </c>
      <c r="V791" s="1">
        <f t="shared" si="134"/>
        <v>10000000000</v>
      </c>
      <c r="W791" s="1">
        <f t="shared" si="135"/>
        <v>9</v>
      </c>
    </row>
    <row r="792" spans="2:23" ht="14.25" customHeight="1" x14ac:dyDescent="0.3">
      <c r="B792" s="65" t="str">
        <f t="shared" si="127"/>
        <v/>
      </c>
      <c r="C792" s="70" t="str">
        <f t="shared" si="128"/>
        <v/>
      </c>
      <c r="D792" s="74" t="str">
        <f t="shared" si="129"/>
        <v/>
      </c>
      <c r="F792" s="65" t="str">
        <f t="shared" si="130"/>
        <v/>
      </c>
      <c r="G792" s="68" t="str">
        <f t="shared" si="131"/>
        <v/>
      </c>
      <c r="H792" s="68" t="str">
        <f t="shared" si="132"/>
        <v/>
      </c>
      <c r="I792" s="68" t="str">
        <f t="shared" si="136"/>
        <v/>
      </c>
      <c r="M792" s="1">
        <v>755</v>
      </c>
      <c r="N792" s="1" t="str">
        <f>IF($T792=0,"",INDEX(VIRMAN!$C$7:$C$406,$T792))</f>
        <v/>
      </c>
      <c r="O792" s="1" t="str">
        <f>IF($N792="","",$C$36&amp;" → "&amp;INDEX(VIRMAN!$E$7:$E$406,$T792)&amp;IF(INDEX(VIRMAN!$G$7:$G$406,$T792)="",""," – "&amp;INDEX(VIRMAN!$G$7:$G$406,$T792)))</f>
        <v/>
      </c>
      <c r="P792" s="1" t="str">
        <f t="shared" si="137"/>
        <v/>
      </c>
      <c r="Q792" s="1">
        <v>0</v>
      </c>
      <c r="R792" s="1">
        <f>IF($N792="",0,INDEX(VIRMAN!$F$7:$F$406,$T792))</f>
        <v>0</v>
      </c>
      <c r="S792" s="1">
        <f t="shared" si="133"/>
        <v>10000000000</v>
      </c>
      <c r="T792" s="1">
        <f>IFERROR(MATCH($C$36&amp;"|59",VIRMAN!$L$7:$L$406,0),0)</f>
        <v>0</v>
      </c>
      <c r="V792" s="1">
        <f t="shared" si="134"/>
        <v>10000000000</v>
      </c>
      <c r="W792" s="1">
        <f t="shared" si="135"/>
        <v>9</v>
      </c>
    </row>
    <row r="793" spans="2:23" ht="14.25" customHeight="1" x14ac:dyDescent="0.3">
      <c r="B793" s="65" t="str">
        <f t="shared" si="127"/>
        <v/>
      </c>
      <c r="C793" s="70" t="str">
        <f t="shared" si="128"/>
        <v/>
      </c>
      <c r="D793" s="74" t="str">
        <f t="shared" si="129"/>
        <v/>
      </c>
      <c r="F793" s="65" t="str">
        <f t="shared" si="130"/>
        <v/>
      </c>
      <c r="G793" s="68" t="str">
        <f t="shared" si="131"/>
        <v/>
      </c>
      <c r="H793" s="68" t="str">
        <f t="shared" si="132"/>
        <v/>
      </c>
      <c r="I793" s="68" t="str">
        <f t="shared" si="136"/>
        <v/>
      </c>
      <c r="M793" s="1">
        <v>756</v>
      </c>
      <c r="N793" s="1" t="str">
        <f>IF($T793=0,"",INDEX(VIRMAN!$C$7:$C$406,$T793))</f>
        <v/>
      </c>
      <c r="O793" s="1" t="str">
        <f>IF($N793="","",$C$36&amp;" → "&amp;INDEX(VIRMAN!$E$7:$E$406,$T793)&amp;IF(INDEX(VIRMAN!$G$7:$G$406,$T793)="",""," – "&amp;INDEX(VIRMAN!$G$7:$G$406,$T793)))</f>
        <v/>
      </c>
      <c r="P793" s="1" t="str">
        <f t="shared" si="137"/>
        <v/>
      </c>
      <c r="Q793" s="1">
        <v>0</v>
      </c>
      <c r="R793" s="1">
        <f>IF($N793="",0,INDEX(VIRMAN!$F$7:$F$406,$T793))</f>
        <v>0</v>
      </c>
      <c r="S793" s="1">
        <f t="shared" si="133"/>
        <v>10000000000</v>
      </c>
      <c r="T793" s="1">
        <f>IFERROR(MATCH($C$36&amp;"|60",VIRMAN!$L$7:$L$406,0),0)</f>
        <v>0</v>
      </c>
      <c r="V793" s="1">
        <f t="shared" si="134"/>
        <v>10000000000</v>
      </c>
      <c r="W793" s="1">
        <f t="shared" si="135"/>
        <v>9</v>
      </c>
    </row>
    <row r="794" spans="2:23" ht="14.25" customHeight="1" x14ac:dyDescent="0.3">
      <c r="B794" s="65" t="str">
        <f t="shared" si="127"/>
        <v/>
      </c>
      <c r="C794" s="70" t="str">
        <f t="shared" si="128"/>
        <v/>
      </c>
      <c r="D794" s="74" t="str">
        <f t="shared" si="129"/>
        <v/>
      </c>
      <c r="F794" s="65" t="str">
        <f t="shared" si="130"/>
        <v/>
      </c>
      <c r="G794" s="68" t="str">
        <f t="shared" si="131"/>
        <v/>
      </c>
      <c r="H794" s="68" t="str">
        <f t="shared" si="132"/>
        <v/>
      </c>
      <c r="I794" s="68" t="str">
        <f t="shared" si="136"/>
        <v/>
      </c>
      <c r="M794" s="1">
        <v>757</v>
      </c>
      <c r="N794" s="1" t="str">
        <f>IF($T794=0,"",INDEX(VIRMAN!$C$7:$C$406,$T794))</f>
        <v/>
      </c>
      <c r="O794" s="1" t="str">
        <f>IF($N794="","",$C$36&amp;" → "&amp;INDEX(VIRMAN!$E$7:$E$406,$T794)&amp;IF(INDEX(VIRMAN!$G$7:$G$406,$T794)="",""," – "&amp;INDEX(VIRMAN!$G$7:$G$406,$T794)))</f>
        <v/>
      </c>
      <c r="P794" s="1" t="str">
        <f t="shared" si="137"/>
        <v/>
      </c>
      <c r="Q794" s="1">
        <v>0</v>
      </c>
      <c r="R794" s="1">
        <f>IF($N794="",0,INDEX(VIRMAN!$F$7:$F$406,$T794))</f>
        <v>0</v>
      </c>
      <c r="S794" s="1">
        <f t="shared" si="133"/>
        <v>10000000000</v>
      </c>
      <c r="T794" s="1">
        <f>IFERROR(MATCH($C$36&amp;"|61",VIRMAN!$L$7:$L$406,0),0)</f>
        <v>0</v>
      </c>
      <c r="V794" s="1">
        <f t="shared" si="134"/>
        <v>10000000000</v>
      </c>
      <c r="W794" s="1">
        <f t="shared" si="135"/>
        <v>9</v>
      </c>
    </row>
    <row r="795" spans="2:23" ht="14.25" customHeight="1" x14ac:dyDescent="0.3">
      <c r="B795" s="65" t="str">
        <f t="shared" si="127"/>
        <v/>
      </c>
      <c r="C795" s="70" t="str">
        <f t="shared" si="128"/>
        <v/>
      </c>
      <c r="D795" s="74" t="str">
        <f t="shared" si="129"/>
        <v/>
      </c>
      <c r="F795" s="65" t="str">
        <f t="shared" si="130"/>
        <v/>
      </c>
      <c r="G795" s="68" t="str">
        <f t="shared" si="131"/>
        <v/>
      </c>
      <c r="H795" s="68" t="str">
        <f t="shared" si="132"/>
        <v/>
      </c>
      <c r="I795" s="68" t="str">
        <f t="shared" si="136"/>
        <v/>
      </c>
      <c r="M795" s="1">
        <v>758</v>
      </c>
      <c r="N795" s="1" t="str">
        <f>IF($T795=0,"",INDEX(VIRMAN!$C$7:$C$406,$T795))</f>
        <v/>
      </c>
      <c r="O795" s="1" t="str">
        <f>IF($N795="","",$C$36&amp;" → "&amp;INDEX(VIRMAN!$E$7:$E$406,$T795)&amp;IF(INDEX(VIRMAN!$G$7:$G$406,$T795)="",""," – "&amp;INDEX(VIRMAN!$G$7:$G$406,$T795)))</f>
        <v/>
      </c>
      <c r="P795" s="1" t="str">
        <f t="shared" si="137"/>
        <v/>
      </c>
      <c r="Q795" s="1">
        <v>0</v>
      </c>
      <c r="R795" s="1">
        <f>IF($N795="",0,INDEX(VIRMAN!$F$7:$F$406,$T795))</f>
        <v>0</v>
      </c>
      <c r="S795" s="1">
        <f t="shared" si="133"/>
        <v>10000000000</v>
      </c>
      <c r="T795" s="1">
        <f>IFERROR(MATCH($C$36&amp;"|62",VIRMAN!$L$7:$L$406,0),0)</f>
        <v>0</v>
      </c>
      <c r="V795" s="1">
        <f t="shared" si="134"/>
        <v>10000000000</v>
      </c>
      <c r="W795" s="1">
        <f t="shared" si="135"/>
        <v>9</v>
      </c>
    </row>
    <row r="796" spans="2:23" ht="14.25" customHeight="1" x14ac:dyDescent="0.3">
      <c r="B796" s="65" t="str">
        <f t="shared" si="127"/>
        <v/>
      </c>
      <c r="C796" s="70" t="str">
        <f t="shared" si="128"/>
        <v/>
      </c>
      <c r="D796" s="74" t="str">
        <f t="shared" si="129"/>
        <v/>
      </c>
      <c r="F796" s="65" t="str">
        <f t="shared" si="130"/>
        <v/>
      </c>
      <c r="G796" s="68" t="str">
        <f t="shared" si="131"/>
        <v/>
      </c>
      <c r="H796" s="68" t="str">
        <f t="shared" si="132"/>
        <v/>
      </c>
      <c r="I796" s="68" t="str">
        <f t="shared" si="136"/>
        <v/>
      </c>
      <c r="M796" s="1">
        <v>759</v>
      </c>
      <c r="N796" s="1" t="str">
        <f>IF($T796=0,"",INDEX(VIRMAN!$C$7:$C$406,$T796))</f>
        <v/>
      </c>
      <c r="O796" s="1" t="str">
        <f>IF($N796="","",$C$36&amp;" → "&amp;INDEX(VIRMAN!$E$7:$E$406,$T796)&amp;IF(INDEX(VIRMAN!$G$7:$G$406,$T796)="",""," – "&amp;INDEX(VIRMAN!$G$7:$G$406,$T796)))</f>
        <v/>
      </c>
      <c r="P796" s="1" t="str">
        <f t="shared" si="137"/>
        <v/>
      </c>
      <c r="Q796" s="1">
        <v>0</v>
      </c>
      <c r="R796" s="1">
        <f>IF($N796="",0,INDEX(VIRMAN!$F$7:$F$406,$T796))</f>
        <v>0</v>
      </c>
      <c r="S796" s="1">
        <f t="shared" si="133"/>
        <v>10000000000</v>
      </c>
      <c r="T796" s="1">
        <f>IFERROR(MATCH($C$36&amp;"|63",VIRMAN!$L$7:$L$406,0),0)</f>
        <v>0</v>
      </c>
      <c r="V796" s="1">
        <f t="shared" si="134"/>
        <v>10000000000</v>
      </c>
      <c r="W796" s="1">
        <f t="shared" si="135"/>
        <v>9</v>
      </c>
    </row>
    <row r="797" spans="2:23" ht="14.25" customHeight="1" x14ac:dyDescent="0.3">
      <c r="B797" s="65" t="str">
        <f t="shared" si="127"/>
        <v/>
      </c>
      <c r="C797" s="70" t="str">
        <f t="shared" si="128"/>
        <v/>
      </c>
      <c r="D797" s="74" t="str">
        <f t="shared" si="129"/>
        <v/>
      </c>
      <c r="F797" s="65" t="str">
        <f t="shared" si="130"/>
        <v/>
      </c>
      <c r="G797" s="68" t="str">
        <f t="shared" si="131"/>
        <v/>
      </c>
      <c r="H797" s="68" t="str">
        <f t="shared" si="132"/>
        <v/>
      </c>
      <c r="I797" s="68" t="str">
        <f t="shared" si="136"/>
        <v/>
      </c>
      <c r="M797" s="1">
        <v>760</v>
      </c>
      <c r="N797" s="1" t="str">
        <f>IF($T797=0,"",INDEX(VIRMAN!$C$7:$C$406,$T797))</f>
        <v/>
      </c>
      <c r="O797" s="1" t="str">
        <f>IF($N797="","",$C$36&amp;" → "&amp;INDEX(VIRMAN!$E$7:$E$406,$T797)&amp;IF(INDEX(VIRMAN!$G$7:$G$406,$T797)="",""," – "&amp;INDEX(VIRMAN!$G$7:$G$406,$T797)))</f>
        <v/>
      </c>
      <c r="P797" s="1" t="str">
        <f t="shared" si="137"/>
        <v/>
      </c>
      <c r="Q797" s="1">
        <v>0</v>
      </c>
      <c r="R797" s="1">
        <f>IF($N797="",0,INDEX(VIRMAN!$F$7:$F$406,$T797))</f>
        <v>0</v>
      </c>
      <c r="S797" s="1">
        <f t="shared" si="133"/>
        <v>10000000000</v>
      </c>
      <c r="T797" s="1">
        <f>IFERROR(MATCH($C$36&amp;"|64",VIRMAN!$L$7:$L$406,0),0)</f>
        <v>0</v>
      </c>
      <c r="V797" s="1">
        <f t="shared" si="134"/>
        <v>10000000000</v>
      </c>
      <c r="W797" s="1">
        <f t="shared" si="135"/>
        <v>9</v>
      </c>
    </row>
    <row r="798" spans="2:23" ht="14.25" customHeight="1" x14ac:dyDescent="0.3">
      <c r="B798" s="65" t="str">
        <f t="shared" si="127"/>
        <v/>
      </c>
      <c r="C798" s="70" t="str">
        <f t="shared" si="128"/>
        <v/>
      </c>
      <c r="D798" s="74" t="str">
        <f t="shared" si="129"/>
        <v/>
      </c>
      <c r="F798" s="65" t="str">
        <f t="shared" si="130"/>
        <v/>
      </c>
      <c r="G798" s="68" t="str">
        <f t="shared" si="131"/>
        <v/>
      </c>
      <c r="H798" s="68" t="str">
        <f t="shared" si="132"/>
        <v/>
      </c>
      <c r="I798" s="68" t="str">
        <f t="shared" si="136"/>
        <v/>
      </c>
      <c r="M798" s="1">
        <v>761</v>
      </c>
      <c r="N798" s="1" t="str">
        <f>IF($T798=0,"",INDEX(VIRMAN!$C$7:$C$406,$T798))</f>
        <v/>
      </c>
      <c r="O798" s="1" t="str">
        <f>IF($N798="","",$C$36&amp;" → "&amp;INDEX(VIRMAN!$E$7:$E$406,$T798)&amp;IF(INDEX(VIRMAN!$G$7:$G$406,$T798)="",""," – "&amp;INDEX(VIRMAN!$G$7:$G$406,$T798)))</f>
        <v/>
      </c>
      <c r="P798" s="1" t="str">
        <f t="shared" ref="P798:P829" si="138">IF($N798="","","OFİSE/KASAYA ÖDEDİ")</f>
        <v/>
      </c>
      <c r="Q798" s="1">
        <v>0</v>
      </c>
      <c r="R798" s="1">
        <f>IF($N798="",0,INDEX(VIRMAN!$F$7:$F$406,$T798))</f>
        <v>0</v>
      </c>
      <c r="S798" s="1">
        <f t="shared" si="133"/>
        <v>10000000000</v>
      </c>
      <c r="T798" s="1">
        <f>IFERROR(MATCH($C$36&amp;"|65",VIRMAN!$L$7:$L$406,0),0)</f>
        <v>0</v>
      </c>
      <c r="V798" s="1">
        <f t="shared" si="134"/>
        <v>10000000000</v>
      </c>
      <c r="W798" s="1">
        <f t="shared" si="135"/>
        <v>9</v>
      </c>
    </row>
    <row r="799" spans="2:23" ht="14.25" customHeight="1" x14ac:dyDescent="0.3">
      <c r="B799" s="65" t="str">
        <f t="shared" si="127"/>
        <v/>
      </c>
      <c r="C799" s="70" t="str">
        <f t="shared" si="128"/>
        <v/>
      </c>
      <c r="D799" s="74" t="str">
        <f t="shared" si="129"/>
        <v/>
      </c>
      <c r="F799" s="65" t="str">
        <f t="shared" si="130"/>
        <v/>
      </c>
      <c r="G799" s="68" t="str">
        <f t="shared" si="131"/>
        <v/>
      </c>
      <c r="H799" s="68" t="str">
        <f t="shared" si="132"/>
        <v/>
      </c>
      <c r="I799" s="68" t="str">
        <f t="shared" si="136"/>
        <v/>
      </c>
      <c r="M799" s="1">
        <v>762</v>
      </c>
      <c r="N799" s="1" t="str">
        <f>IF($T799=0,"",INDEX(VIRMAN!$C$7:$C$406,$T799))</f>
        <v/>
      </c>
      <c r="O799" s="1" t="str">
        <f>IF($N799="","",$C$36&amp;" → "&amp;INDEX(VIRMAN!$E$7:$E$406,$T799)&amp;IF(INDEX(VIRMAN!$G$7:$G$406,$T799)="",""," – "&amp;INDEX(VIRMAN!$G$7:$G$406,$T799)))</f>
        <v/>
      </c>
      <c r="P799" s="1" t="str">
        <f t="shared" si="138"/>
        <v/>
      </c>
      <c r="Q799" s="1">
        <v>0</v>
      </c>
      <c r="R799" s="1">
        <f>IF($N799="",0,INDEX(VIRMAN!$F$7:$F$406,$T799))</f>
        <v>0</v>
      </c>
      <c r="S799" s="1">
        <f t="shared" si="133"/>
        <v>10000000000</v>
      </c>
      <c r="T799" s="1">
        <f>IFERROR(MATCH($C$36&amp;"|66",VIRMAN!$L$7:$L$406,0),0)</f>
        <v>0</v>
      </c>
      <c r="V799" s="1">
        <f t="shared" si="134"/>
        <v>10000000000</v>
      </c>
      <c r="W799" s="1">
        <f t="shared" si="135"/>
        <v>9</v>
      </c>
    </row>
    <row r="800" spans="2:23" ht="14.25" customHeight="1" x14ac:dyDescent="0.3">
      <c r="B800" s="65" t="str">
        <f t="shared" si="127"/>
        <v/>
      </c>
      <c r="C800" s="70" t="str">
        <f t="shared" si="128"/>
        <v/>
      </c>
      <c r="D800" s="74" t="str">
        <f t="shared" si="129"/>
        <v/>
      </c>
      <c r="F800" s="65" t="str">
        <f t="shared" si="130"/>
        <v/>
      </c>
      <c r="G800" s="68" t="str">
        <f t="shared" si="131"/>
        <v/>
      </c>
      <c r="H800" s="68" t="str">
        <f t="shared" si="132"/>
        <v/>
      </c>
      <c r="I800" s="68" t="str">
        <f t="shared" si="136"/>
        <v/>
      </c>
      <c r="M800" s="1">
        <v>763</v>
      </c>
      <c r="N800" s="1" t="str">
        <f>IF($T800=0,"",INDEX(VIRMAN!$C$7:$C$406,$T800))</f>
        <v/>
      </c>
      <c r="O800" s="1" t="str">
        <f>IF($N800="","",$C$36&amp;" → "&amp;INDEX(VIRMAN!$E$7:$E$406,$T800)&amp;IF(INDEX(VIRMAN!$G$7:$G$406,$T800)="",""," – "&amp;INDEX(VIRMAN!$G$7:$G$406,$T800)))</f>
        <v/>
      </c>
      <c r="P800" s="1" t="str">
        <f t="shared" si="138"/>
        <v/>
      </c>
      <c r="Q800" s="1">
        <v>0</v>
      </c>
      <c r="R800" s="1">
        <f>IF($N800="",0,INDEX(VIRMAN!$F$7:$F$406,$T800))</f>
        <v>0</v>
      </c>
      <c r="S800" s="1">
        <f t="shared" si="133"/>
        <v>10000000000</v>
      </c>
      <c r="T800" s="1">
        <f>IFERROR(MATCH($C$36&amp;"|67",VIRMAN!$L$7:$L$406,0),0)</f>
        <v>0</v>
      </c>
      <c r="V800" s="1">
        <f t="shared" si="134"/>
        <v>10000000000</v>
      </c>
      <c r="W800" s="1">
        <f t="shared" si="135"/>
        <v>9</v>
      </c>
    </row>
    <row r="801" spans="2:23" ht="14.25" customHeight="1" x14ac:dyDescent="0.3">
      <c r="B801" s="65" t="str">
        <f t="shared" si="127"/>
        <v/>
      </c>
      <c r="C801" s="70" t="str">
        <f t="shared" si="128"/>
        <v/>
      </c>
      <c r="D801" s="74" t="str">
        <f t="shared" si="129"/>
        <v/>
      </c>
      <c r="F801" s="65" t="str">
        <f t="shared" si="130"/>
        <v/>
      </c>
      <c r="G801" s="68" t="str">
        <f t="shared" si="131"/>
        <v/>
      </c>
      <c r="H801" s="68" t="str">
        <f t="shared" si="132"/>
        <v/>
      </c>
      <c r="I801" s="68" t="str">
        <f t="shared" si="136"/>
        <v/>
      </c>
      <c r="M801" s="1">
        <v>764</v>
      </c>
      <c r="N801" s="1" t="str">
        <f>IF($T801=0,"",INDEX(VIRMAN!$C$7:$C$406,$T801))</f>
        <v/>
      </c>
      <c r="O801" s="1" t="str">
        <f>IF($N801="","",$C$36&amp;" → "&amp;INDEX(VIRMAN!$E$7:$E$406,$T801)&amp;IF(INDEX(VIRMAN!$G$7:$G$406,$T801)="",""," – "&amp;INDEX(VIRMAN!$G$7:$G$406,$T801)))</f>
        <v/>
      </c>
      <c r="P801" s="1" t="str">
        <f t="shared" si="138"/>
        <v/>
      </c>
      <c r="Q801" s="1">
        <v>0</v>
      </c>
      <c r="R801" s="1">
        <f>IF($N801="",0,INDEX(VIRMAN!$F$7:$F$406,$T801))</f>
        <v>0</v>
      </c>
      <c r="S801" s="1">
        <f t="shared" si="133"/>
        <v>10000000000</v>
      </c>
      <c r="T801" s="1">
        <f>IFERROR(MATCH($C$36&amp;"|68",VIRMAN!$L$7:$L$406,0),0)</f>
        <v>0</v>
      </c>
      <c r="V801" s="1">
        <f t="shared" si="134"/>
        <v>10000000000</v>
      </c>
      <c r="W801" s="1">
        <f t="shared" si="135"/>
        <v>9</v>
      </c>
    </row>
    <row r="802" spans="2:23" ht="14.25" customHeight="1" x14ac:dyDescent="0.3">
      <c r="B802" s="65" t="str">
        <f t="shared" si="127"/>
        <v/>
      </c>
      <c r="C802" s="70" t="str">
        <f t="shared" si="128"/>
        <v/>
      </c>
      <c r="D802" s="74" t="str">
        <f t="shared" si="129"/>
        <v/>
      </c>
      <c r="F802" s="65" t="str">
        <f t="shared" si="130"/>
        <v/>
      </c>
      <c r="G802" s="68" t="str">
        <f t="shared" si="131"/>
        <v/>
      </c>
      <c r="H802" s="68" t="str">
        <f t="shared" si="132"/>
        <v/>
      </c>
      <c r="I802" s="68" t="str">
        <f t="shared" si="136"/>
        <v/>
      </c>
      <c r="M802" s="1">
        <v>765</v>
      </c>
      <c r="N802" s="1" t="str">
        <f>IF($T802=0,"",INDEX(VIRMAN!$C$7:$C$406,$T802))</f>
        <v/>
      </c>
      <c r="O802" s="1" t="str">
        <f>IF($N802="","",$C$36&amp;" → "&amp;INDEX(VIRMAN!$E$7:$E$406,$T802)&amp;IF(INDEX(VIRMAN!$G$7:$G$406,$T802)="",""," – "&amp;INDEX(VIRMAN!$G$7:$G$406,$T802)))</f>
        <v/>
      </c>
      <c r="P802" s="1" t="str">
        <f t="shared" si="138"/>
        <v/>
      </c>
      <c r="Q802" s="1">
        <v>0</v>
      </c>
      <c r="R802" s="1">
        <f>IF($N802="",0,INDEX(VIRMAN!$F$7:$F$406,$T802))</f>
        <v>0</v>
      </c>
      <c r="S802" s="1">
        <f t="shared" si="133"/>
        <v>10000000000</v>
      </c>
      <c r="T802" s="1">
        <f>IFERROR(MATCH($C$36&amp;"|69",VIRMAN!$L$7:$L$406,0),0)</f>
        <v>0</v>
      </c>
      <c r="V802" s="1">
        <f t="shared" si="134"/>
        <v>10000000000</v>
      </c>
      <c r="W802" s="1">
        <f t="shared" si="135"/>
        <v>9</v>
      </c>
    </row>
    <row r="803" spans="2:23" ht="14.25" customHeight="1" x14ac:dyDescent="0.3">
      <c r="B803" s="65" t="str">
        <f t="shared" si="127"/>
        <v/>
      </c>
      <c r="C803" s="70" t="str">
        <f t="shared" si="128"/>
        <v/>
      </c>
      <c r="D803" s="74" t="str">
        <f t="shared" si="129"/>
        <v/>
      </c>
      <c r="F803" s="65" t="str">
        <f t="shared" si="130"/>
        <v/>
      </c>
      <c r="G803" s="68" t="str">
        <f t="shared" si="131"/>
        <v/>
      </c>
      <c r="H803" s="68" t="str">
        <f t="shared" si="132"/>
        <v/>
      </c>
      <c r="I803" s="68" t="str">
        <f t="shared" si="136"/>
        <v/>
      </c>
      <c r="M803" s="1">
        <v>766</v>
      </c>
      <c r="N803" s="1" t="str">
        <f>IF($T803=0,"",INDEX(VIRMAN!$C$7:$C$406,$T803))</f>
        <v/>
      </c>
      <c r="O803" s="1" t="str">
        <f>IF($N803="","",$C$36&amp;" → "&amp;INDEX(VIRMAN!$E$7:$E$406,$T803)&amp;IF(INDEX(VIRMAN!$G$7:$G$406,$T803)="",""," – "&amp;INDEX(VIRMAN!$G$7:$G$406,$T803)))</f>
        <v/>
      </c>
      <c r="P803" s="1" t="str">
        <f t="shared" si="138"/>
        <v/>
      </c>
      <c r="Q803" s="1">
        <v>0</v>
      </c>
      <c r="R803" s="1">
        <f>IF($N803="",0,INDEX(VIRMAN!$F$7:$F$406,$T803))</f>
        <v>0</v>
      </c>
      <c r="S803" s="1">
        <f t="shared" si="133"/>
        <v>10000000000</v>
      </c>
      <c r="T803" s="1">
        <f>IFERROR(MATCH($C$36&amp;"|70",VIRMAN!$L$7:$L$406,0),0)</f>
        <v>0</v>
      </c>
      <c r="V803" s="1">
        <f t="shared" si="134"/>
        <v>10000000000</v>
      </c>
      <c r="W803" s="1">
        <f t="shared" si="135"/>
        <v>9</v>
      </c>
    </row>
    <row r="804" spans="2:23" ht="14.25" customHeight="1" x14ac:dyDescent="0.3">
      <c r="B804" s="65" t="str">
        <f t="shared" si="127"/>
        <v/>
      </c>
      <c r="C804" s="70" t="str">
        <f t="shared" si="128"/>
        <v/>
      </c>
      <c r="D804" s="74" t="str">
        <f t="shared" si="129"/>
        <v/>
      </c>
      <c r="F804" s="65" t="str">
        <f t="shared" si="130"/>
        <v/>
      </c>
      <c r="G804" s="68" t="str">
        <f t="shared" si="131"/>
        <v/>
      </c>
      <c r="H804" s="68" t="str">
        <f t="shared" si="132"/>
        <v/>
      </c>
      <c r="I804" s="68" t="str">
        <f t="shared" si="136"/>
        <v/>
      </c>
      <c r="M804" s="1">
        <v>767</v>
      </c>
      <c r="N804" s="1" t="str">
        <f>IF($T804=0,"",INDEX(VIRMAN!$C$7:$C$406,$T804))</f>
        <v/>
      </c>
      <c r="O804" s="1" t="str">
        <f>IF($N804="","",$C$36&amp;" → "&amp;INDEX(VIRMAN!$E$7:$E$406,$T804)&amp;IF(INDEX(VIRMAN!$G$7:$G$406,$T804)="",""," – "&amp;INDEX(VIRMAN!$G$7:$G$406,$T804)))</f>
        <v/>
      </c>
      <c r="P804" s="1" t="str">
        <f t="shared" si="138"/>
        <v/>
      </c>
      <c r="Q804" s="1">
        <v>0</v>
      </c>
      <c r="R804" s="1">
        <f>IF($N804="",0,INDEX(VIRMAN!$F$7:$F$406,$T804))</f>
        <v>0</v>
      </c>
      <c r="S804" s="1">
        <f t="shared" si="133"/>
        <v>10000000000</v>
      </c>
      <c r="T804" s="1">
        <f>IFERROR(MATCH($C$36&amp;"|71",VIRMAN!$L$7:$L$406,0),0)</f>
        <v>0</v>
      </c>
      <c r="V804" s="1">
        <f t="shared" si="134"/>
        <v>10000000000</v>
      </c>
      <c r="W804" s="1">
        <f t="shared" si="135"/>
        <v>9</v>
      </c>
    </row>
    <row r="805" spans="2:23" ht="14.25" customHeight="1" x14ac:dyDescent="0.3">
      <c r="B805" s="65" t="str">
        <f t="shared" si="127"/>
        <v/>
      </c>
      <c r="C805" s="70" t="str">
        <f t="shared" si="128"/>
        <v/>
      </c>
      <c r="D805" s="74" t="str">
        <f t="shared" si="129"/>
        <v/>
      </c>
      <c r="F805" s="65" t="str">
        <f t="shared" si="130"/>
        <v/>
      </c>
      <c r="G805" s="68" t="str">
        <f t="shared" si="131"/>
        <v/>
      </c>
      <c r="H805" s="68" t="str">
        <f t="shared" si="132"/>
        <v/>
      </c>
      <c r="I805" s="68" t="str">
        <f t="shared" si="136"/>
        <v/>
      </c>
      <c r="M805" s="1">
        <v>768</v>
      </c>
      <c r="N805" s="1" t="str">
        <f>IF($T805=0,"",INDEX(VIRMAN!$C$7:$C$406,$T805))</f>
        <v/>
      </c>
      <c r="O805" s="1" t="str">
        <f>IF($N805="","",$C$36&amp;" → "&amp;INDEX(VIRMAN!$E$7:$E$406,$T805)&amp;IF(INDEX(VIRMAN!$G$7:$G$406,$T805)="",""," – "&amp;INDEX(VIRMAN!$G$7:$G$406,$T805)))</f>
        <v/>
      </c>
      <c r="P805" s="1" t="str">
        <f t="shared" si="138"/>
        <v/>
      </c>
      <c r="Q805" s="1">
        <v>0</v>
      </c>
      <c r="R805" s="1">
        <f>IF($N805="",0,INDEX(VIRMAN!$F$7:$F$406,$T805))</f>
        <v>0</v>
      </c>
      <c r="S805" s="1">
        <f t="shared" si="133"/>
        <v>10000000000</v>
      </c>
      <c r="T805" s="1">
        <f>IFERROR(MATCH($C$36&amp;"|72",VIRMAN!$L$7:$L$406,0),0)</f>
        <v>0</v>
      </c>
      <c r="V805" s="1">
        <f t="shared" si="134"/>
        <v>10000000000</v>
      </c>
      <c r="W805" s="1">
        <f t="shared" si="135"/>
        <v>9</v>
      </c>
    </row>
    <row r="806" spans="2:23" ht="14.25" customHeight="1" x14ac:dyDescent="0.3">
      <c r="B806" s="65" t="str">
        <f t="shared" ref="B806:B869" si="139">IF($C806="","",ROW()-37)</f>
        <v/>
      </c>
      <c r="C806" s="70" t="str">
        <f t="shared" ref="C806:C869" si="140">IF($W806="","",IF(INDEX($N$38:$N$953,$W806)="","",INDEX($N$38:$N$953,$W806)))</f>
        <v/>
      </c>
      <c r="D806" s="74" t="str">
        <f t="shared" ref="D806:D869" si="141">IF($C806="","",INDEX($O$38:$O$953,$W806))</f>
        <v/>
      </c>
      <c r="F806" s="65" t="str">
        <f t="shared" ref="F806:F869" si="142">IF($C806="","",INDEX($P$38:$P$953,$W806))</f>
        <v/>
      </c>
      <c r="G806" s="68" t="str">
        <f t="shared" ref="G806:G869" si="143">IF($C806="","",INDEX($Q$38:$Q$953,$W806))</f>
        <v/>
      </c>
      <c r="H806" s="68" t="str">
        <f t="shared" ref="H806:H869" si="144">IF($C806="","",INDEX($R$38:$R$953,$W806))</f>
        <v/>
      </c>
      <c r="I806" s="68" t="str">
        <f t="shared" si="136"/>
        <v/>
      </c>
      <c r="M806" s="1">
        <v>769</v>
      </c>
      <c r="N806" s="1" t="str">
        <f>IF($T806=0,"",INDEX(VIRMAN!$C$7:$C$406,$T806))</f>
        <v/>
      </c>
      <c r="O806" s="1" t="str">
        <f>IF($N806="","",$C$36&amp;" → "&amp;INDEX(VIRMAN!$E$7:$E$406,$T806)&amp;IF(INDEX(VIRMAN!$G$7:$G$406,$T806)="",""," – "&amp;INDEX(VIRMAN!$G$7:$G$406,$T806)))</f>
        <v/>
      </c>
      <c r="P806" s="1" t="str">
        <f t="shared" si="138"/>
        <v/>
      </c>
      <c r="Q806" s="1">
        <v>0</v>
      </c>
      <c r="R806" s="1">
        <f>IF($N806="",0,INDEX(VIRMAN!$F$7:$F$406,$T806))</f>
        <v>0</v>
      </c>
      <c r="S806" s="1">
        <f t="shared" ref="S806:S869" si="145">IF($N806="",10000000000,$N806*100000+$M806)</f>
        <v>10000000000</v>
      </c>
      <c r="T806" s="1">
        <f>IFERROR(MATCH($C$36&amp;"|73",VIRMAN!$L$7:$L$406,0),0)</f>
        <v>0</v>
      </c>
      <c r="V806" s="1">
        <f t="shared" ref="V806:V869" si="146">IFERROR(SMALL($S$38:$S$953,ROW()-37),"")</f>
        <v>10000000000</v>
      </c>
      <c r="W806" s="1">
        <f t="shared" ref="W806:W869" si="147">IFERROR(MATCH($V806,$S$38:$S$953,0),"")</f>
        <v>9</v>
      </c>
    </row>
    <row r="807" spans="2:23" ht="14.25" customHeight="1" x14ac:dyDescent="0.3">
      <c r="B807" s="65" t="str">
        <f t="shared" si="139"/>
        <v/>
      </c>
      <c r="C807" s="70" t="str">
        <f t="shared" si="140"/>
        <v/>
      </c>
      <c r="D807" s="74" t="str">
        <f t="shared" si="141"/>
        <v/>
      </c>
      <c r="F807" s="65" t="str">
        <f t="shared" si="142"/>
        <v/>
      </c>
      <c r="G807" s="68" t="str">
        <f t="shared" si="143"/>
        <v/>
      </c>
      <c r="H807" s="68" t="str">
        <f t="shared" si="144"/>
        <v/>
      </c>
      <c r="I807" s="68" t="str">
        <f t="shared" ref="I807:I870" si="148">IF($C807="","",N($I806)+$G807-$H807)</f>
        <v/>
      </c>
      <c r="M807" s="1">
        <v>770</v>
      </c>
      <c r="N807" s="1" t="str">
        <f>IF($T807=0,"",INDEX(VIRMAN!$C$7:$C$406,$T807))</f>
        <v/>
      </c>
      <c r="O807" s="1" t="str">
        <f>IF($N807="","",$C$36&amp;" → "&amp;INDEX(VIRMAN!$E$7:$E$406,$T807)&amp;IF(INDEX(VIRMAN!$G$7:$G$406,$T807)="",""," – "&amp;INDEX(VIRMAN!$G$7:$G$406,$T807)))</f>
        <v/>
      </c>
      <c r="P807" s="1" t="str">
        <f t="shared" si="138"/>
        <v/>
      </c>
      <c r="Q807" s="1">
        <v>0</v>
      </c>
      <c r="R807" s="1">
        <f>IF($N807="",0,INDEX(VIRMAN!$F$7:$F$406,$T807))</f>
        <v>0</v>
      </c>
      <c r="S807" s="1">
        <f t="shared" si="145"/>
        <v>10000000000</v>
      </c>
      <c r="T807" s="1">
        <f>IFERROR(MATCH($C$36&amp;"|74",VIRMAN!$L$7:$L$406,0),0)</f>
        <v>0</v>
      </c>
      <c r="V807" s="1">
        <f t="shared" si="146"/>
        <v>10000000000</v>
      </c>
      <c r="W807" s="1">
        <f t="shared" si="147"/>
        <v>9</v>
      </c>
    </row>
    <row r="808" spans="2:23" ht="14.25" customHeight="1" x14ac:dyDescent="0.3">
      <c r="B808" s="65" t="str">
        <f t="shared" si="139"/>
        <v/>
      </c>
      <c r="C808" s="70" t="str">
        <f t="shared" si="140"/>
        <v/>
      </c>
      <c r="D808" s="74" t="str">
        <f t="shared" si="141"/>
        <v/>
      </c>
      <c r="F808" s="65" t="str">
        <f t="shared" si="142"/>
        <v/>
      </c>
      <c r="G808" s="68" t="str">
        <f t="shared" si="143"/>
        <v/>
      </c>
      <c r="H808" s="68" t="str">
        <f t="shared" si="144"/>
        <v/>
      </c>
      <c r="I808" s="68" t="str">
        <f t="shared" si="148"/>
        <v/>
      </c>
      <c r="M808" s="1">
        <v>771</v>
      </c>
      <c r="N808" s="1" t="str">
        <f>IF($T808=0,"",INDEX(VIRMAN!$C$7:$C$406,$T808))</f>
        <v/>
      </c>
      <c r="O808" s="1" t="str">
        <f>IF($N808="","",$C$36&amp;" → "&amp;INDEX(VIRMAN!$E$7:$E$406,$T808)&amp;IF(INDEX(VIRMAN!$G$7:$G$406,$T808)="",""," – "&amp;INDEX(VIRMAN!$G$7:$G$406,$T808)))</f>
        <v/>
      </c>
      <c r="P808" s="1" t="str">
        <f t="shared" si="138"/>
        <v/>
      </c>
      <c r="Q808" s="1">
        <v>0</v>
      </c>
      <c r="R808" s="1">
        <f>IF($N808="",0,INDEX(VIRMAN!$F$7:$F$406,$T808))</f>
        <v>0</v>
      </c>
      <c r="S808" s="1">
        <f t="shared" si="145"/>
        <v>10000000000</v>
      </c>
      <c r="T808" s="1">
        <f>IFERROR(MATCH($C$36&amp;"|75",VIRMAN!$L$7:$L$406,0),0)</f>
        <v>0</v>
      </c>
      <c r="V808" s="1">
        <f t="shared" si="146"/>
        <v>10000000000</v>
      </c>
      <c r="W808" s="1">
        <f t="shared" si="147"/>
        <v>9</v>
      </c>
    </row>
    <row r="809" spans="2:23" ht="14.25" customHeight="1" x14ac:dyDescent="0.3">
      <c r="B809" s="65" t="str">
        <f t="shared" si="139"/>
        <v/>
      </c>
      <c r="C809" s="70" t="str">
        <f t="shared" si="140"/>
        <v/>
      </c>
      <c r="D809" s="74" t="str">
        <f t="shared" si="141"/>
        <v/>
      </c>
      <c r="F809" s="65" t="str">
        <f t="shared" si="142"/>
        <v/>
      </c>
      <c r="G809" s="68" t="str">
        <f t="shared" si="143"/>
        <v/>
      </c>
      <c r="H809" s="68" t="str">
        <f t="shared" si="144"/>
        <v/>
      </c>
      <c r="I809" s="68" t="str">
        <f t="shared" si="148"/>
        <v/>
      </c>
      <c r="M809" s="1">
        <v>772</v>
      </c>
      <c r="N809" s="1" t="str">
        <f>IF($T809=0,"",INDEX(VIRMAN!$C$7:$C$406,$T809))</f>
        <v/>
      </c>
      <c r="O809" s="1" t="str">
        <f>IF($N809="","",$C$36&amp;" → "&amp;INDEX(VIRMAN!$E$7:$E$406,$T809)&amp;IF(INDEX(VIRMAN!$G$7:$G$406,$T809)="",""," – "&amp;INDEX(VIRMAN!$G$7:$G$406,$T809)))</f>
        <v/>
      </c>
      <c r="P809" s="1" t="str">
        <f t="shared" si="138"/>
        <v/>
      </c>
      <c r="Q809" s="1">
        <v>0</v>
      </c>
      <c r="R809" s="1">
        <f>IF($N809="",0,INDEX(VIRMAN!$F$7:$F$406,$T809))</f>
        <v>0</v>
      </c>
      <c r="S809" s="1">
        <f t="shared" si="145"/>
        <v>10000000000</v>
      </c>
      <c r="T809" s="1">
        <f>IFERROR(MATCH($C$36&amp;"|76",VIRMAN!$L$7:$L$406,0),0)</f>
        <v>0</v>
      </c>
      <c r="V809" s="1">
        <f t="shared" si="146"/>
        <v>10000000000</v>
      </c>
      <c r="W809" s="1">
        <f t="shared" si="147"/>
        <v>9</v>
      </c>
    </row>
    <row r="810" spans="2:23" ht="14.25" customHeight="1" x14ac:dyDescent="0.3">
      <c r="B810" s="65" t="str">
        <f t="shared" si="139"/>
        <v/>
      </c>
      <c r="C810" s="70" t="str">
        <f t="shared" si="140"/>
        <v/>
      </c>
      <c r="D810" s="74" t="str">
        <f t="shared" si="141"/>
        <v/>
      </c>
      <c r="F810" s="65" t="str">
        <f t="shared" si="142"/>
        <v/>
      </c>
      <c r="G810" s="68" t="str">
        <f t="shared" si="143"/>
        <v/>
      </c>
      <c r="H810" s="68" t="str">
        <f t="shared" si="144"/>
        <v/>
      </c>
      <c r="I810" s="68" t="str">
        <f t="shared" si="148"/>
        <v/>
      </c>
      <c r="M810" s="1">
        <v>773</v>
      </c>
      <c r="N810" s="1" t="str">
        <f>IF($T810=0,"",INDEX(VIRMAN!$C$7:$C$406,$T810))</f>
        <v/>
      </c>
      <c r="O810" s="1" t="str">
        <f>IF($N810="","",$C$36&amp;" → "&amp;INDEX(VIRMAN!$E$7:$E$406,$T810)&amp;IF(INDEX(VIRMAN!$G$7:$G$406,$T810)="",""," – "&amp;INDEX(VIRMAN!$G$7:$G$406,$T810)))</f>
        <v/>
      </c>
      <c r="P810" s="1" t="str">
        <f t="shared" si="138"/>
        <v/>
      </c>
      <c r="Q810" s="1">
        <v>0</v>
      </c>
      <c r="R810" s="1">
        <f>IF($N810="",0,INDEX(VIRMAN!$F$7:$F$406,$T810))</f>
        <v>0</v>
      </c>
      <c r="S810" s="1">
        <f t="shared" si="145"/>
        <v>10000000000</v>
      </c>
      <c r="T810" s="1">
        <f>IFERROR(MATCH($C$36&amp;"|77",VIRMAN!$L$7:$L$406,0),0)</f>
        <v>0</v>
      </c>
      <c r="V810" s="1">
        <f t="shared" si="146"/>
        <v>10000000000</v>
      </c>
      <c r="W810" s="1">
        <f t="shared" si="147"/>
        <v>9</v>
      </c>
    </row>
    <row r="811" spans="2:23" ht="14.25" customHeight="1" x14ac:dyDescent="0.3">
      <c r="B811" s="65" t="str">
        <f t="shared" si="139"/>
        <v/>
      </c>
      <c r="C811" s="70" t="str">
        <f t="shared" si="140"/>
        <v/>
      </c>
      <c r="D811" s="74" t="str">
        <f t="shared" si="141"/>
        <v/>
      </c>
      <c r="F811" s="65" t="str">
        <f t="shared" si="142"/>
        <v/>
      </c>
      <c r="G811" s="68" t="str">
        <f t="shared" si="143"/>
        <v/>
      </c>
      <c r="H811" s="68" t="str">
        <f t="shared" si="144"/>
        <v/>
      </c>
      <c r="I811" s="68" t="str">
        <f t="shared" si="148"/>
        <v/>
      </c>
      <c r="M811" s="1">
        <v>774</v>
      </c>
      <c r="N811" s="1" t="str">
        <f>IF($T811=0,"",INDEX(VIRMAN!$C$7:$C$406,$T811))</f>
        <v/>
      </c>
      <c r="O811" s="1" t="str">
        <f>IF($N811="","",$C$36&amp;" → "&amp;INDEX(VIRMAN!$E$7:$E$406,$T811)&amp;IF(INDEX(VIRMAN!$G$7:$G$406,$T811)="",""," – "&amp;INDEX(VIRMAN!$G$7:$G$406,$T811)))</f>
        <v/>
      </c>
      <c r="P811" s="1" t="str">
        <f t="shared" si="138"/>
        <v/>
      </c>
      <c r="Q811" s="1">
        <v>0</v>
      </c>
      <c r="R811" s="1">
        <f>IF($N811="",0,INDEX(VIRMAN!$F$7:$F$406,$T811))</f>
        <v>0</v>
      </c>
      <c r="S811" s="1">
        <f t="shared" si="145"/>
        <v>10000000000</v>
      </c>
      <c r="T811" s="1">
        <f>IFERROR(MATCH($C$36&amp;"|78",VIRMAN!$L$7:$L$406,0),0)</f>
        <v>0</v>
      </c>
      <c r="V811" s="1">
        <f t="shared" si="146"/>
        <v>10000000000</v>
      </c>
      <c r="W811" s="1">
        <f t="shared" si="147"/>
        <v>9</v>
      </c>
    </row>
    <row r="812" spans="2:23" ht="14.25" customHeight="1" x14ac:dyDescent="0.3">
      <c r="B812" s="65" t="str">
        <f t="shared" si="139"/>
        <v/>
      </c>
      <c r="C812" s="70" t="str">
        <f t="shared" si="140"/>
        <v/>
      </c>
      <c r="D812" s="74" t="str">
        <f t="shared" si="141"/>
        <v/>
      </c>
      <c r="F812" s="65" t="str">
        <f t="shared" si="142"/>
        <v/>
      </c>
      <c r="G812" s="68" t="str">
        <f t="shared" si="143"/>
        <v/>
      </c>
      <c r="H812" s="68" t="str">
        <f t="shared" si="144"/>
        <v/>
      </c>
      <c r="I812" s="68" t="str">
        <f t="shared" si="148"/>
        <v/>
      </c>
      <c r="M812" s="1">
        <v>775</v>
      </c>
      <c r="N812" s="1" t="str">
        <f>IF($T812=0,"",INDEX(VIRMAN!$C$7:$C$406,$T812))</f>
        <v/>
      </c>
      <c r="O812" s="1" t="str">
        <f>IF($N812="","",$C$36&amp;" → "&amp;INDEX(VIRMAN!$E$7:$E$406,$T812)&amp;IF(INDEX(VIRMAN!$G$7:$G$406,$T812)="",""," – "&amp;INDEX(VIRMAN!$G$7:$G$406,$T812)))</f>
        <v/>
      </c>
      <c r="P812" s="1" t="str">
        <f t="shared" si="138"/>
        <v/>
      </c>
      <c r="Q812" s="1">
        <v>0</v>
      </c>
      <c r="R812" s="1">
        <f>IF($N812="",0,INDEX(VIRMAN!$F$7:$F$406,$T812))</f>
        <v>0</v>
      </c>
      <c r="S812" s="1">
        <f t="shared" si="145"/>
        <v>10000000000</v>
      </c>
      <c r="T812" s="1">
        <f>IFERROR(MATCH($C$36&amp;"|79",VIRMAN!$L$7:$L$406,0),0)</f>
        <v>0</v>
      </c>
      <c r="V812" s="1">
        <f t="shared" si="146"/>
        <v>10000000000</v>
      </c>
      <c r="W812" s="1">
        <f t="shared" si="147"/>
        <v>9</v>
      </c>
    </row>
    <row r="813" spans="2:23" ht="14.25" customHeight="1" x14ac:dyDescent="0.3">
      <c r="B813" s="65" t="str">
        <f t="shared" si="139"/>
        <v/>
      </c>
      <c r="C813" s="70" t="str">
        <f t="shared" si="140"/>
        <v/>
      </c>
      <c r="D813" s="74" t="str">
        <f t="shared" si="141"/>
        <v/>
      </c>
      <c r="F813" s="65" t="str">
        <f t="shared" si="142"/>
        <v/>
      </c>
      <c r="G813" s="68" t="str">
        <f t="shared" si="143"/>
        <v/>
      </c>
      <c r="H813" s="68" t="str">
        <f t="shared" si="144"/>
        <v/>
      </c>
      <c r="I813" s="68" t="str">
        <f t="shared" si="148"/>
        <v/>
      </c>
      <c r="M813" s="1">
        <v>776</v>
      </c>
      <c r="N813" s="1" t="str">
        <f>IF($T813=0,"",INDEX(VIRMAN!$C$7:$C$406,$T813))</f>
        <v/>
      </c>
      <c r="O813" s="1" t="str">
        <f>IF($N813="","",$C$36&amp;" → "&amp;INDEX(VIRMAN!$E$7:$E$406,$T813)&amp;IF(INDEX(VIRMAN!$G$7:$G$406,$T813)="",""," – "&amp;INDEX(VIRMAN!$G$7:$G$406,$T813)))</f>
        <v/>
      </c>
      <c r="P813" s="1" t="str">
        <f t="shared" si="138"/>
        <v/>
      </c>
      <c r="Q813" s="1">
        <v>0</v>
      </c>
      <c r="R813" s="1">
        <f>IF($N813="",0,INDEX(VIRMAN!$F$7:$F$406,$T813))</f>
        <v>0</v>
      </c>
      <c r="S813" s="1">
        <f t="shared" si="145"/>
        <v>10000000000</v>
      </c>
      <c r="T813" s="1">
        <f>IFERROR(MATCH($C$36&amp;"|80",VIRMAN!$L$7:$L$406,0),0)</f>
        <v>0</v>
      </c>
      <c r="V813" s="1">
        <f t="shared" si="146"/>
        <v>10000000000</v>
      </c>
      <c r="W813" s="1">
        <f t="shared" si="147"/>
        <v>9</v>
      </c>
    </row>
    <row r="814" spans="2:23" ht="14.25" customHeight="1" x14ac:dyDescent="0.3">
      <c r="B814" s="65" t="str">
        <f t="shared" si="139"/>
        <v/>
      </c>
      <c r="C814" s="70" t="str">
        <f t="shared" si="140"/>
        <v/>
      </c>
      <c r="D814" s="74" t="str">
        <f t="shared" si="141"/>
        <v/>
      </c>
      <c r="F814" s="65" t="str">
        <f t="shared" si="142"/>
        <v/>
      </c>
      <c r="G814" s="68" t="str">
        <f t="shared" si="143"/>
        <v/>
      </c>
      <c r="H814" s="68" t="str">
        <f t="shared" si="144"/>
        <v/>
      </c>
      <c r="I814" s="68" t="str">
        <f t="shared" si="148"/>
        <v/>
      </c>
      <c r="M814" s="1">
        <v>777</v>
      </c>
      <c r="N814" s="1" t="str">
        <f>IF($T814=0,"",INDEX(VIRMAN!$C$7:$C$406,$T814))</f>
        <v/>
      </c>
      <c r="O814" s="1" t="str">
        <f>IF($N814="","",$C$36&amp;" → "&amp;INDEX(VIRMAN!$E$7:$E$406,$T814)&amp;IF(INDEX(VIRMAN!$G$7:$G$406,$T814)="",""," – "&amp;INDEX(VIRMAN!$G$7:$G$406,$T814)))</f>
        <v/>
      </c>
      <c r="P814" s="1" t="str">
        <f t="shared" si="138"/>
        <v/>
      </c>
      <c r="Q814" s="1">
        <v>0</v>
      </c>
      <c r="R814" s="1">
        <f>IF($N814="",0,INDEX(VIRMAN!$F$7:$F$406,$T814))</f>
        <v>0</v>
      </c>
      <c r="S814" s="1">
        <f t="shared" si="145"/>
        <v>10000000000</v>
      </c>
      <c r="T814" s="1">
        <f>IFERROR(MATCH($C$36&amp;"|81",VIRMAN!$L$7:$L$406,0),0)</f>
        <v>0</v>
      </c>
      <c r="V814" s="1">
        <f t="shared" si="146"/>
        <v>10000000000</v>
      </c>
      <c r="W814" s="1">
        <f t="shared" si="147"/>
        <v>9</v>
      </c>
    </row>
    <row r="815" spans="2:23" ht="14.25" customHeight="1" x14ac:dyDescent="0.3">
      <c r="B815" s="65" t="str">
        <f t="shared" si="139"/>
        <v/>
      </c>
      <c r="C815" s="70" t="str">
        <f t="shared" si="140"/>
        <v/>
      </c>
      <c r="D815" s="74" t="str">
        <f t="shared" si="141"/>
        <v/>
      </c>
      <c r="F815" s="65" t="str">
        <f t="shared" si="142"/>
        <v/>
      </c>
      <c r="G815" s="68" t="str">
        <f t="shared" si="143"/>
        <v/>
      </c>
      <c r="H815" s="68" t="str">
        <f t="shared" si="144"/>
        <v/>
      </c>
      <c r="I815" s="68" t="str">
        <f t="shared" si="148"/>
        <v/>
      </c>
      <c r="M815" s="1">
        <v>778</v>
      </c>
      <c r="N815" s="1" t="str">
        <f>IF($T815=0,"",INDEX(VIRMAN!$C$7:$C$406,$T815))</f>
        <v/>
      </c>
      <c r="O815" s="1" t="str">
        <f>IF($N815="","",$C$36&amp;" → "&amp;INDEX(VIRMAN!$E$7:$E$406,$T815)&amp;IF(INDEX(VIRMAN!$G$7:$G$406,$T815)="",""," – "&amp;INDEX(VIRMAN!$G$7:$G$406,$T815)))</f>
        <v/>
      </c>
      <c r="P815" s="1" t="str">
        <f t="shared" si="138"/>
        <v/>
      </c>
      <c r="Q815" s="1">
        <v>0</v>
      </c>
      <c r="R815" s="1">
        <f>IF($N815="",0,INDEX(VIRMAN!$F$7:$F$406,$T815))</f>
        <v>0</v>
      </c>
      <c r="S815" s="1">
        <f t="shared" si="145"/>
        <v>10000000000</v>
      </c>
      <c r="T815" s="1">
        <f>IFERROR(MATCH($C$36&amp;"|82",VIRMAN!$L$7:$L$406,0),0)</f>
        <v>0</v>
      </c>
      <c r="V815" s="1">
        <f t="shared" si="146"/>
        <v>10000000000</v>
      </c>
      <c r="W815" s="1">
        <f t="shared" si="147"/>
        <v>9</v>
      </c>
    </row>
    <row r="816" spans="2:23" ht="14.25" customHeight="1" x14ac:dyDescent="0.3">
      <c r="B816" s="65" t="str">
        <f t="shared" si="139"/>
        <v/>
      </c>
      <c r="C816" s="70" t="str">
        <f t="shared" si="140"/>
        <v/>
      </c>
      <c r="D816" s="74" t="str">
        <f t="shared" si="141"/>
        <v/>
      </c>
      <c r="F816" s="65" t="str">
        <f t="shared" si="142"/>
        <v/>
      </c>
      <c r="G816" s="68" t="str">
        <f t="shared" si="143"/>
        <v/>
      </c>
      <c r="H816" s="68" t="str">
        <f t="shared" si="144"/>
        <v/>
      </c>
      <c r="I816" s="68" t="str">
        <f t="shared" si="148"/>
        <v/>
      </c>
      <c r="M816" s="1">
        <v>779</v>
      </c>
      <c r="N816" s="1" t="str">
        <f>IF($T816=0,"",INDEX(VIRMAN!$C$7:$C$406,$T816))</f>
        <v/>
      </c>
      <c r="O816" s="1" t="str">
        <f>IF($N816="","",$C$36&amp;" → "&amp;INDEX(VIRMAN!$E$7:$E$406,$T816)&amp;IF(INDEX(VIRMAN!$G$7:$G$406,$T816)="",""," – "&amp;INDEX(VIRMAN!$G$7:$G$406,$T816)))</f>
        <v/>
      </c>
      <c r="P816" s="1" t="str">
        <f t="shared" si="138"/>
        <v/>
      </c>
      <c r="Q816" s="1">
        <v>0</v>
      </c>
      <c r="R816" s="1">
        <f>IF($N816="",0,INDEX(VIRMAN!$F$7:$F$406,$T816))</f>
        <v>0</v>
      </c>
      <c r="S816" s="1">
        <f t="shared" si="145"/>
        <v>10000000000</v>
      </c>
      <c r="T816" s="1">
        <f>IFERROR(MATCH($C$36&amp;"|83",VIRMAN!$L$7:$L$406,0),0)</f>
        <v>0</v>
      </c>
      <c r="V816" s="1">
        <f t="shared" si="146"/>
        <v>10000000000</v>
      </c>
      <c r="W816" s="1">
        <f t="shared" si="147"/>
        <v>9</v>
      </c>
    </row>
    <row r="817" spans="2:23" ht="14.25" customHeight="1" x14ac:dyDescent="0.3">
      <c r="B817" s="65" t="str">
        <f t="shared" si="139"/>
        <v/>
      </c>
      <c r="C817" s="70" t="str">
        <f t="shared" si="140"/>
        <v/>
      </c>
      <c r="D817" s="74" t="str">
        <f t="shared" si="141"/>
        <v/>
      </c>
      <c r="F817" s="65" t="str">
        <f t="shared" si="142"/>
        <v/>
      </c>
      <c r="G817" s="68" t="str">
        <f t="shared" si="143"/>
        <v/>
      </c>
      <c r="H817" s="68" t="str">
        <f t="shared" si="144"/>
        <v/>
      </c>
      <c r="I817" s="68" t="str">
        <f t="shared" si="148"/>
        <v/>
      </c>
      <c r="M817" s="1">
        <v>780</v>
      </c>
      <c r="N817" s="1" t="str">
        <f>IF($T817=0,"",INDEX(VIRMAN!$C$7:$C$406,$T817))</f>
        <v/>
      </c>
      <c r="O817" s="1" t="str">
        <f>IF($N817="","",$C$36&amp;" → "&amp;INDEX(VIRMAN!$E$7:$E$406,$T817)&amp;IF(INDEX(VIRMAN!$G$7:$G$406,$T817)="",""," – "&amp;INDEX(VIRMAN!$G$7:$G$406,$T817)))</f>
        <v/>
      </c>
      <c r="P817" s="1" t="str">
        <f t="shared" si="138"/>
        <v/>
      </c>
      <c r="Q817" s="1">
        <v>0</v>
      </c>
      <c r="R817" s="1">
        <f>IF($N817="",0,INDEX(VIRMAN!$F$7:$F$406,$T817))</f>
        <v>0</v>
      </c>
      <c r="S817" s="1">
        <f t="shared" si="145"/>
        <v>10000000000</v>
      </c>
      <c r="T817" s="1">
        <f>IFERROR(MATCH($C$36&amp;"|84",VIRMAN!$L$7:$L$406,0),0)</f>
        <v>0</v>
      </c>
      <c r="V817" s="1">
        <f t="shared" si="146"/>
        <v>10000000000</v>
      </c>
      <c r="W817" s="1">
        <f t="shared" si="147"/>
        <v>9</v>
      </c>
    </row>
    <row r="818" spans="2:23" ht="14.25" customHeight="1" x14ac:dyDescent="0.3">
      <c r="B818" s="65" t="str">
        <f t="shared" si="139"/>
        <v/>
      </c>
      <c r="C818" s="70" t="str">
        <f t="shared" si="140"/>
        <v/>
      </c>
      <c r="D818" s="74" t="str">
        <f t="shared" si="141"/>
        <v/>
      </c>
      <c r="F818" s="65" t="str">
        <f t="shared" si="142"/>
        <v/>
      </c>
      <c r="G818" s="68" t="str">
        <f t="shared" si="143"/>
        <v/>
      </c>
      <c r="H818" s="68" t="str">
        <f t="shared" si="144"/>
        <v/>
      </c>
      <c r="I818" s="68" t="str">
        <f t="shared" si="148"/>
        <v/>
      </c>
      <c r="M818" s="1">
        <v>781</v>
      </c>
      <c r="N818" s="1" t="str">
        <f>IF($T818=0,"",INDEX(VIRMAN!$C$7:$C$406,$T818))</f>
        <v/>
      </c>
      <c r="O818" s="1" t="str">
        <f>IF($N818="","",$C$36&amp;" → "&amp;INDEX(VIRMAN!$E$7:$E$406,$T818)&amp;IF(INDEX(VIRMAN!$G$7:$G$406,$T818)="",""," – "&amp;INDEX(VIRMAN!$G$7:$G$406,$T818)))</f>
        <v/>
      </c>
      <c r="P818" s="1" t="str">
        <f t="shared" si="138"/>
        <v/>
      </c>
      <c r="Q818" s="1">
        <v>0</v>
      </c>
      <c r="R818" s="1">
        <f>IF($N818="",0,INDEX(VIRMAN!$F$7:$F$406,$T818))</f>
        <v>0</v>
      </c>
      <c r="S818" s="1">
        <f t="shared" si="145"/>
        <v>10000000000</v>
      </c>
      <c r="T818" s="1">
        <f>IFERROR(MATCH($C$36&amp;"|85",VIRMAN!$L$7:$L$406,0),0)</f>
        <v>0</v>
      </c>
      <c r="V818" s="1">
        <f t="shared" si="146"/>
        <v>10000000000</v>
      </c>
      <c r="W818" s="1">
        <f t="shared" si="147"/>
        <v>9</v>
      </c>
    </row>
    <row r="819" spans="2:23" ht="14.25" customHeight="1" x14ac:dyDescent="0.3">
      <c r="B819" s="65" t="str">
        <f t="shared" si="139"/>
        <v/>
      </c>
      <c r="C819" s="70" t="str">
        <f t="shared" si="140"/>
        <v/>
      </c>
      <c r="D819" s="74" t="str">
        <f t="shared" si="141"/>
        <v/>
      </c>
      <c r="F819" s="65" t="str">
        <f t="shared" si="142"/>
        <v/>
      </c>
      <c r="G819" s="68" t="str">
        <f t="shared" si="143"/>
        <v/>
      </c>
      <c r="H819" s="68" t="str">
        <f t="shared" si="144"/>
        <v/>
      </c>
      <c r="I819" s="68" t="str">
        <f t="shared" si="148"/>
        <v/>
      </c>
      <c r="M819" s="1">
        <v>782</v>
      </c>
      <c r="N819" s="1" t="str">
        <f>IF($T819=0,"",INDEX(VIRMAN!$C$7:$C$406,$T819))</f>
        <v/>
      </c>
      <c r="O819" s="1" t="str">
        <f>IF($N819="","",$C$36&amp;" → "&amp;INDEX(VIRMAN!$E$7:$E$406,$T819)&amp;IF(INDEX(VIRMAN!$G$7:$G$406,$T819)="",""," – "&amp;INDEX(VIRMAN!$G$7:$G$406,$T819)))</f>
        <v/>
      </c>
      <c r="P819" s="1" t="str">
        <f t="shared" si="138"/>
        <v/>
      </c>
      <c r="Q819" s="1">
        <v>0</v>
      </c>
      <c r="R819" s="1">
        <f>IF($N819="",0,INDEX(VIRMAN!$F$7:$F$406,$T819))</f>
        <v>0</v>
      </c>
      <c r="S819" s="1">
        <f t="shared" si="145"/>
        <v>10000000000</v>
      </c>
      <c r="T819" s="1">
        <f>IFERROR(MATCH($C$36&amp;"|86",VIRMAN!$L$7:$L$406,0),0)</f>
        <v>0</v>
      </c>
      <c r="V819" s="1">
        <f t="shared" si="146"/>
        <v>10000000000</v>
      </c>
      <c r="W819" s="1">
        <f t="shared" si="147"/>
        <v>9</v>
      </c>
    </row>
    <row r="820" spans="2:23" ht="14.25" customHeight="1" x14ac:dyDescent="0.3">
      <c r="B820" s="65" t="str">
        <f t="shared" si="139"/>
        <v/>
      </c>
      <c r="C820" s="70" t="str">
        <f t="shared" si="140"/>
        <v/>
      </c>
      <c r="D820" s="74" t="str">
        <f t="shared" si="141"/>
        <v/>
      </c>
      <c r="F820" s="65" t="str">
        <f t="shared" si="142"/>
        <v/>
      </c>
      <c r="G820" s="68" t="str">
        <f t="shared" si="143"/>
        <v/>
      </c>
      <c r="H820" s="68" t="str">
        <f t="shared" si="144"/>
        <v/>
      </c>
      <c r="I820" s="68" t="str">
        <f t="shared" si="148"/>
        <v/>
      </c>
      <c r="M820" s="1">
        <v>783</v>
      </c>
      <c r="N820" s="1" t="str">
        <f>IF($T820=0,"",INDEX(VIRMAN!$C$7:$C$406,$T820))</f>
        <v/>
      </c>
      <c r="O820" s="1" t="str">
        <f>IF($N820="","",$C$36&amp;" → "&amp;INDEX(VIRMAN!$E$7:$E$406,$T820)&amp;IF(INDEX(VIRMAN!$G$7:$G$406,$T820)="",""," – "&amp;INDEX(VIRMAN!$G$7:$G$406,$T820)))</f>
        <v/>
      </c>
      <c r="P820" s="1" t="str">
        <f t="shared" si="138"/>
        <v/>
      </c>
      <c r="Q820" s="1">
        <v>0</v>
      </c>
      <c r="R820" s="1">
        <f>IF($N820="",0,INDEX(VIRMAN!$F$7:$F$406,$T820))</f>
        <v>0</v>
      </c>
      <c r="S820" s="1">
        <f t="shared" si="145"/>
        <v>10000000000</v>
      </c>
      <c r="T820" s="1">
        <f>IFERROR(MATCH($C$36&amp;"|87",VIRMAN!$L$7:$L$406,0),0)</f>
        <v>0</v>
      </c>
      <c r="V820" s="1">
        <f t="shared" si="146"/>
        <v>10000000000</v>
      </c>
      <c r="W820" s="1">
        <f t="shared" si="147"/>
        <v>9</v>
      </c>
    </row>
    <row r="821" spans="2:23" ht="14.25" customHeight="1" x14ac:dyDescent="0.3">
      <c r="B821" s="65" t="str">
        <f t="shared" si="139"/>
        <v/>
      </c>
      <c r="C821" s="70" t="str">
        <f t="shared" si="140"/>
        <v/>
      </c>
      <c r="D821" s="74" t="str">
        <f t="shared" si="141"/>
        <v/>
      </c>
      <c r="F821" s="65" t="str">
        <f t="shared" si="142"/>
        <v/>
      </c>
      <c r="G821" s="68" t="str">
        <f t="shared" si="143"/>
        <v/>
      </c>
      <c r="H821" s="68" t="str">
        <f t="shared" si="144"/>
        <v/>
      </c>
      <c r="I821" s="68" t="str">
        <f t="shared" si="148"/>
        <v/>
      </c>
      <c r="M821" s="1">
        <v>784</v>
      </c>
      <c r="N821" s="1" t="str">
        <f>IF($T821=0,"",INDEX(VIRMAN!$C$7:$C$406,$T821))</f>
        <v/>
      </c>
      <c r="O821" s="1" t="str">
        <f>IF($N821="","",$C$36&amp;" → "&amp;INDEX(VIRMAN!$E$7:$E$406,$T821)&amp;IF(INDEX(VIRMAN!$G$7:$G$406,$T821)="",""," – "&amp;INDEX(VIRMAN!$G$7:$G$406,$T821)))</f>
        <v/>
      </c>
      <c r="P821" s="1" t="str">
        <f t="shared" si="138"/>
        <v/>
      </c>
      <c r="Q821" s="1">
        <v>0</v>
      </c>
      <c r="R821" s="1">
        <f>IF($N821="",0,INDEX(VIRMAN!$F$7:$F$406,$T821))</f>
        <v>0</v>
      </c>
      <c r="S821" s="1">
        <f t="shared" si="145"/>
        <v>10000000000</v>
      </c>
      <c r="T821" s="1">
        <f>IFERROR(MATCH($C$36&amp;"|88",VIRMAN!$L$7:$L$406,0),0)</f>
        <v>0</v>
      </c>
      <c r="V821" s="1">
        <f t="shared" si="146"/>
        <v>10000000000</v>
      </c>
      <c r="W821" s="1">
        <f t="shared" si="147"/>
        <v>9</v>
      </c>
    </row>
    <row r="822" spans="2:23" ht="14.25" customHeight="1" x14ac:dyDescent="0.3">
      <c r="B822" s="65" t="str">
        <f t="shared" si="139"/>
        <v/>
      </c>
      <c r="C822" s="70" t="str">
        <f t="shared" si="140"/>
        <v/>
      </c>
      <c r="D822" s="74" t="str">
        <f t="shared" si="141"/>
        <v/>
      </c>
      <c r="F822" s="65" t="str">
        <f t="shared" si="142"/>
        <v/>
      </c>
      <c r="G822" s="68" t="str">
        <f t="shared" si="143"/>
        <v/>
      </c>
      <c r="H822" s="68" t="str">
        <f t="shared" si="144"/>
        <v/>
      </c>
      <c r="I822" s="68" t="str">
        <f t="shared" si="148"/>
        <v/>
      </c>
      <c r="M822" s="1">
        <v>785</v>
      </c>
      <c r="N822" s="1" t="str">
        <f>IF($T822=0,"",INDEX(VIRMAN!$C$7:$C$406,$T822))</f>
        <v/>
      </c>
      <c r="O822" s="1" t="str">
        <f>IF($N822="","",$C$36&amp;" → "&amp;INDEX(VIRMAN!$E$7:$E$406,$T822)&amp;IF(INDEX(VIRMAN!$G$7:$G$406,$T822)="",""," – "&amp;INDEX(VIRMAN!$G$7:$G$406,$T822)))</f>
        <v/>
      </c>
      <c r="P822" s="1" t="str">
        <f t="shared" si="138"/>
        <v/>
      </c>
      <c r="Q822" s="1">
        <v>0</v>
      </c>
      <c r="R822" s="1">
        <f>IF($N822="",0,INDEX(VIRMAN!$F$7:$F$406,$T822))</f>
        <v>0</v>
      </c>
      <c r="S822" s="1">
        <f t="shared" si="145"/>
        <v>10000000000</v>
      </c>
      <c r="T822" s="1">
        <f>IFERROR(MATCH($C$36&amp;"|89",VIRMAN!$L$7:$L$406,0),0)</f>
        <v>0</v>
      </c>
      <c r="V822" s="1">
        <f t="shared" si="146"/>
        <v>10000000000</v>
      </c>
      <c r="W822" s="1">
        <f t="shared" si="147"/>
        <v>9</v>
      </c>
    </row>
    <row r="823" spans="2:23" ht="14.25" customHeight="1" x14ac:dyDescent="0.3">
      <c r="B823" s="65" t="str">
        <f t="shared" si="139"/>
        <v/>
      </c>
      <c r="C823" s="70" t="str">
        <f t="shared" si="140"/>
        <v/>
      </c>
      <c r="D823" s="74" t="str">
        <f t="shared" si="141"/>
        <v/>
      </c>
      <c r="F823" s="65" t="str">
        <f t="shared" si="142"/>
        <v/>
      </c>
      <c r="G823" s="68" t="str">
        <f t="shared" si="143"/>
        <v/>
      </c>
      <c r="H823" s="68" t="str">
        <f t="shared" si="144"/>
        <v/>
      </c>
      <c r="I823" s="68" t="str">
        <f t="shared" si="148"/>
        <v/>
      </c>
      <c r="M823" s="1">
        <v>786</v>
      </c>
      <c r="N823" s="1" t="str">
        <f>IF($T823=0,"",INDEX(VIRMAN!$C$7:$C$406,$T823))</f>
        <v/>
      </c>
      <c r="O823" s="1" t="str">
        <f>IF($N823="","",$C$36&amp;" → "&amp;INDEX(VIRMAN!$E$7:$E$406,$T823)&amp;IF(INDEX(VIRMAN!$G$7:$G$406,$T823)="",""," – "&amp;INDEX(VIRMAN!$G$7:$G$406,$T823)))</f>
        <v/>
      </c>
      <c r="P823" s="1" t="str">
        <f t="shared" si="138"/>
        <v/>
      </c>
      <c r="Q823" s="1">
        <v>0</v>
      </c>
      <c r="R823" s="1">
        <f>IF($N823="",0,INDEX(VIRMAN!$F$7:$F$406,$T823))</f>
        <v>0</v>
      </c>
      <c r="S823" s="1">
        <f t="shared" si="145"/>
        <v>10000000000</v>
      </c>
      <c r="T823" s="1">
        <f>IFERROR(MATCH($C$36&amp;"|90",VIRMAN!$L$7:$L$406,0),0)</f>
        <v>0</v>
      </c>
      <c r="V823" s="1">
        <f t="shared" si="146"/>
        <v>10000000000</v>
      </c>
      <c r="W823" s="1">
        <f t="shared" si="147"/>
        <v>9</v>
      </c>
    </row>
    <row r="824" spans="2:23" ht="14.25" customHeight="1" x14ac:dyDescent="0.3">
      <c r="B824" s="65" t="str">
        <f t="shared" si="139"/>
        <v/>
      </c>
      <c r="C824" s="70" t="str">
        <f t="shared" si="140"/>
        <v/>
      </c>
      <c r="D824" s="74" t="str">
        <f t="shared" si="141"/>
        <v/>
      </c>
      <c r="F824" s="65" t="str">
        <f t="shared" si="142"/>
        <v/>
      </c>
      <c r="G824" s="68" t="str">
        <f t="shared" si="143"/>
        <v/>
      </c>
      <c r="H824" s="68" t="str">
        <f t="shared" si="144"/>
        <v/>
      </c>
      <c r="I824" s="68" t="str">
        <f t="shared" si="148"/>
        <v/>
      </c>
      <c r="M824" s="1">
        <v>787</v>
      </c>
      <c r="N824" s="1" t="str">
        <f>IF($T824=0,"",INDEX(VIRMAN!$C$7:$C$406,$T824))</f>
        <v/>
      </c>
      <c r="O824" s="1" t="str">
        <f>IF($N824="","",$C$36&amp;" → "&amp;INDEX(VIRMAN!$E$7:$E$406,$T824)&amp;IF(INDEX(VIRMAN!$G$7:$G$406,$T824)="",""," – "&amp;INDEX(VIRMAN!$G$7:$G$406,$T824)))</f>
        <v/>
      </c>
      <c r="P824" s="1" t="str">
        <f t="shared" si="138"/>
        <v/>
      </c>
      <c r="Q824" s="1">
        <v>0</v>
      </c>
      <c r="R824" s="1">
        <f>IF($N824="",0,INDEX(VIRMAN!$F$7:$F$406,$T824))</f>
        <v>0</v>
      </c>
      <c r="S824" s="1">
        <f t="shared" si="145"/>
        <v>10000000000</v>
      </c>
      <c r="T824" s="1">
        <f>IFERROR(MATCH($C$36&amp;"|91",VIRMAN!$L$7:$L$406,0),0)</f>
        <v>0</v>
      </c>
      <c r="V824" s="1">
        <f t="shared" si="146"/>
        <v>10000000000</v>
      </c>
      <c r="W824" s="1">
        <f t="shared" si="147"/>
        <v>9</v>
      </c>
    </row>
    <row r="825" spans="2:23" ht="14.25" customHeight="1" x14ac:dyDescent="0.3">
      <c r="B825" s="65" t="str">
        <f t="shared" si="139"/>
        <v/>
      </c>
      <c r="C825" s="70" t="str">
        <f t="shared" si="140"/>
        <v/>
      </c>
      <c r="D825" s="74" t="str">
        <f t="shared" si="141"/>
        <v/>
      </c>
      <c r="F825" s="65" t="str">
        <f t="shared" si="142"/>
        <v/>
      </c>
      <c r="G825" s="68" t="str">
        <f t="shared" si="143"/>
        <v/>
      </c>
      <c r="H825" s="68" t="str">
        <f t="shared" si="144"/>
        <v/>
      </c>
      <c r="I825" s="68" t="str">
        <f t="shared" si="148"/>
        <v/>
      </c>
      <c r="M825" s="1">
        <v>788</v>
      </c>
      <c r="N825" s="1" t="str">
        <f>IF($T825=0,"",INDEX(VIRMAN!$C$7:$C$406,$T825))</f>
        <v/>
      </c>
      <c r="O825" s="1" t="str">
        <f>IF($N825="","",$C$36&amp;" → "&amp;INDEX(VIRMAN!$E$7:$E$406,$T825)&amp;IF(INDEX(VIRMAN!$G$7:$G$406,$T825)="",""," – "&amp;INDEX(VIRMAN!$G$7:$G$406,$T825)))</f>
        <v/>
      </c>
      <c r="P825" s="1" t="str">
        <f t="shared" si="138"/>
        <v/>
      </c>
      <c r="Q825" s="1">
        <v>0</v>
      </c>
      <c r="R825" s="1">
        <f>IF($N825="",0,INDEX(VIRMAN!$F$7:$F$406,$T825))</f>
        <v>0</v>
      </c>
      <c r="S825" s="1">
        <f t="shared" si="145"/>
        <v>10000000000</v>
      </c>
      <c r="T825" s="1">
        <f>IFERROR(MATCH($C$36&amp;"|92",VIRMAN!$L$7:$L$406,0),0)</f>
        <v>0</v>
      </c>
      <c r="V825" s="1">
        <f t="shared" si="146"/>
        <v>10000000000</v>
      </c>
      <c r="W825" s="1">
        <f t="shared" si="147"/>
        <v>9</v>
      </c>
    </row>
    <row r="826" spans="2:23" ht="14.25" customHeight="1" x14ac:dyDescent="0.3">
      <c r="B826" s="65" t="str">
        <f t="shared" si="139"/>
        <v/>
      </c>
      <c r="C826" s="70" t="str">
        <f t="shared" si="140"/>
        <v/>
      </c>
      <c r="D826" s="74" t="str">
        <f t="shared" si="141"/>
        <v/>
      </c>
      <c r="F826" s="65" t="str">
        <f t="shared" si="142"/>
        <v/>
      </c>
      <c r="G826" s="68" t="str">
        <f t="shared" si="143"/>
        <v/>
      </c>
      <c r="H826" s="68" t="str">
        <f t="shared" si="144"/>
        <v/>
      </c>
      <c r="I826" s="68" t="str">
        <f t="shared" si="148"/>
        <v/>
      </c>
      <c r="M826" s="1">
        <v>789</v>
      </c>
      <c r="N826" s="1" t="str">
        <f>IF($T826=0,"",INDEX(VIRMAN!$C$7:$C$406,$T826))</f>
        <v/>
      </c>
      <c r="O826" s="1" t="str">
        <f>IF($N826="","",$C$36&amp;" → "&amp;INDEX(VIRMAN!$E$7:$E$406,$T826)&amp;IF(INDEX(VIRMAN!$G$7:$G$406,$T826)="",""," – "&amp;INDEX(VIRMAN!$G$7:$G$406,$T826)))</f>
        <v/>
      </c>
      <c r="P826" s="1" t="str">
        <f t="shared" si="138"/>
        <v/>
      </c>
      <c r="Q826" s="1">
        <v>0</v>
      </c>
      <c r="R826" s="1">
        <f>IF($N826="",0,INDEX(VIRMAN!$F$7:$F$406,$T826))</f>
        <v>0</v>
      </c>
      <c r="S826" s="1">
        <f t="shared" si="145"/>
        <v>10000000000</v>
      </c>
      <c r="T826" s="1">
        <f>IFERROR(MATCH($C$36&amp;"|93",VIRMAN!$L$7:$L$406,0),0)</f>
        <v>0</v>
      </c>
      <c r="V826" s="1">
        <f t="shared" si="146"/>
        <v>10000000000</v>
      </c>
      <c r="W826" s="1">
        <f t="shared" si="147"/>
        <v>9</v>
      </c>
    </row>
    <row r="827" spans="2:23" ht="14.25" customHeight="1" x14ac:dyDescent="0.3">
      <c r="B827" s="65" t="str">
        <f t="shared" si="139"/>
        <v/>
      </c>
      <c r="C827" s="70" t="str">
        <f t="shared" si="140"/>
        <v/>
      </c>
      <c r="D827" s="74" t="str">
        <f t="shared" si="141"/>
        <v/>
      </c>
      <c r="F827" s="65" t="str">
        <f t="shared" si="142"/>
        <v/>
      </c>
      <c r="G827" s="68" t="str">
        <f t="shared" si="143"/>
        <v/>
      </c>
      <c r="H827" s="68" t="str">
        <f t="shared" si="144"/>
        <v/>
      </c>
      <c r="I827" s="68" t="str">
        <f t="shared" si="148"/>
        <v/>
      </c>
      <c r="M827" s="1">
        <v>790</v>
      </c>
      <c r="N827" s="1" t="str">
        <f>IF($T827=0,"",INDEX(VIRMAN!$C$7:$C$406,$T827))</f>
        <v/>
      </c>
      <c r="O827" s="1" t="str">
        <f>IF($N827="","",$C$36&amp;" → "&amp;INDEX(VIRMAN!$E$7:$E$406,$T827)&amp;IF(INDEX(VIRMAN!$G$7:$G$406,$T827)="",""," – "&amp;INDEX(VIRMAN!$G$7:$G$406,$T827)))</f>
        <v/>
      </c>
      <c r="P827" s="1" t="str">
        <f t="shared" si="138"/>
        <v/>
      </c>
      <c r="Q827" s="1">
        <v>0</v>
      </c>
      <c r="R827" s="1">
        <f>IF($N827="",0,INDEX(VIRMAN!$F$7:$F$406,$T827))</f>
        <v>0</v>
      </c>
      <c r="S827" s="1">
        <f t="shared" si="145"/>
        <v>10000000000</v>
      </c>
      <c r="T827" s="1">
        <f>IFERROR(MATCH($C$36&amp;"|94",VIRMAN!$L$7:$L$406,0),0)</f>
        <v>0</v>
      </c>
      <c r="V827" s="1">
        <f t="shared" si="146"/>
        <v>10000000000</v>
      </c>
      <c r="W827" s="1">
        <f t="shared" si="147"/>
        <v>9</v>
      </c>
    </row>
    <row r="828" spans="2:23" ht="14.25" customHeight="1" x14ac:dyDescent="0.3">
      <c r="B828" s="65" t="str">
        <f t="shared" si="139"/>
        <v/>
      </c>
      <c r="C828" s="70" t="str">
        <f t="shared" si="140"/>
        <v/>
      </c>
      <c r="D828" s="74" t="str">
        <f t="shared" si="141"/>
        <v/>
      </c>
      <c r="F828" s="65" t="str">
        <f t="shared" si="142"/>
        <v/>
      </c>
      <c r="G828" s="68" t="str">
        <f t="shared" si="143"/>
        <v/>
      </c>
      <c r="H828" s="68" t="str">
        <f t="shared" si="144"/>
        <v/>
      </c>
      <c r="I828" s="68" t="str">
        <f t="shared" si="148"/>
        <v/>
      </c>
      <c r="M828" s="1">
        <v>791</v>
      </c>
      <c r="N828" s="1" t="str">
        <f>IF($T828=0,"",INDEX(VIRMAN!$C$7:$C$406,$T828))</f>
        <v/>
      </c>
      <c r="O828" s="1" t="str">
        <f>IF($N828="","",$C$36&amp;" → "&amp;INDEX(VIRMAN!$E$7:$E$406,$T828)&amp;IF(INDEX(VIRMAN!$G$7:$G$406,$T828)="",""," – "&amp;INDEX(VIRMAN!$G$7:$G$406,$T828)))</f>
        <v/>
      </c>
      <c r="P828" s="1" t="str">
        <f t="shared" si="138"/>
        <v/>
      </c>
      <c r="Q828" s="1">
        <v>0</v>
      </c>
      <c r="R828" s="1">
        <f>IF($N828="",0,INDEX(VIRMAN!$F$7:$F$406,$T828))</f>
        <v>0</v>
      </c>
      <c r="S828" s="1">
        <f t="shared" si="145"/>
        <v>10000000000</v>
      </c>
      <c r="T828" s="1">
        <f>IFERROR(MATCH($C$36&amp;"|95",VIRMAN!$L$7:$L$406,0),0)</f>
        <v>0</v>
      </c>
      <c r="V828" s="1">
        <f t="shared" si="146"/>
        <v>10000000000</v>
      </c>
      <c r="W828" s="1">
        <f t="shared" si="147"/>
        <v>9</v>
      </c>
    </row>
    <row r="829" spans="2:23" ht="14.25" customHeight="1" x14ac:dyDescent="0.3">
      <c r="B829" s="65" t="str">
        <f t="shared" si="139"/>
        <v/>
      </c>
      <c r="C829" s="70" t="str">
        <f t="shared" si="140"/>
        <v/>
      </c>
      <c r="D829" s="74" t="str">
        <f t="shared" si="141"/>
        <v/>
      </c>
      <c r="F829" s="65" t="str">
        <f t="shared" si="142"/>
        <v/>
      </c>
      <c r="G829" s="68" t="str">
        <f t="shared" si="143"/>
        <v/>
      </c>
      <c r="H829" s="68" t="str">
        <f t="shared" si="144"/>
        <v/>
      </c>
      <c r="I829" s="68" t="str">
        <f t="shared" si="148"/>
        <v/>
      </c>
      <c r="M829" s="1">
        <v>792</v>
      </c>
      <c r="N829" s="1" t="str">
        <f>IF($T829=0,"",INDEX(VIRMAN!$C$7:$C$406,$T829))</f>
        <v/>
      </c>
      <c r="O829" s="1" t="str">
        <f>IF($N829="","",$C$36&amp;" → "&amp;INDEX(VIRMAN!$E$7:$E$406,$T829)&amp;IF(INDEX(VIRMAN!$G$7:$G$406,$T829)="",""," – "&amp;INDEX(VIRMAN!$G$7:$G$406,$T829)))</f>
        <v/>
      </c>
      <c r="P829" s="1" t="str">
        <f t="shared" si="138"/>
        <v/>
      </c>
      <c r="Q829" s="1">
        <v>0</v>
      </c>
      <c r="R829" s="1">
        <f>IF($N829="",0,INDEX(VIRMAN!$F$7:$F$406,$T829))</f>
        <v>0</v>
      </c>
      <c r="S829" s="1">
        <f t="shared" si="145"/>
        <v>10000000000</v>
      </c>
      <c r="T829" s="1">
        <f>IFERROR(MATCH($C$36&amp;"|96",VIRMAN!$L$7:$L$406,0),0)</f>
        <v>0</v>
      </c>
      <c r="V829" s="1">
        <f t="shared" si="146"/>
        <v>10000000000</v>
      </c>
      <c r="W829" s="1">
        <f t="shared" si="147"/>
        <v>9</v>
      </c>
    </row>
    <row r="830" spans="2:23" ht="14.25" customHeight="1" x14ac:dyDescent="0.3">
      <c r="B830" s="65" t="str">
        <f t="shared" si="139"/>
        <v/>
      </c>
      <c r="C830" s="70" t="str">
        <f t="shared" si="140"/>
        <v/>
      </c>
      <c r="D830" s="74" t="str">
        <f t="shared" si="141"/>
        <v/>
      </c>
      <c r="F830" s="65" t="str">
        <f t="shared" si="142"/>
        <v/>
      </c>
      <c r="G830" s="68" t="str">
        <f t="shared" si="143"/>
        <v/>
      </c>
      <c r="H830" s="68" t="str">
        <f t="shared" si="144"/>
        <v/>
      </c>
      <c r="I830" s="68" t="str">
        <f t="shared" si="148"/>
        <v/>
      </c>
      <c r="M830" s="1">
        <v>793</v>
      </c>
      <c r="N830" s="1" t="str">
        <f>IF($T830=0,"",INDEX(VIRMAN!$C$7:$C$406,$T830))</f>
        <v/>
      </c>
      <c r="O830" s="1" t="str">
        <f>IF($N830="","",$C$36&amp;" → "&amp;INDEX(VIRMAN!$E$7:$E$406,$T830)&amp;IF(INDEX(VIRMAN!$G$7:$G$406,$T830)="",""," – "&amp;INDEX(VIRMAN!$G$7:$G$406,$T830)))</f>
        <v/>
      </c>
      <c r="P830" s="1" t="str">
        <f t="shared" ref="P830:P861" si="149">IF($N830="","","OFİSE/KASAYA ÖDEDİ")</f>
        <v/>
      </c>
      <c r="Q830" s="1">
        <v>0</v>
      </c>
      <c r="R830" s="1">
        <f>IF($N830="",0,INDEX(VIRMAN!$F$7:$F$406,$T830))</f>
        <v>0</v>
      </c>
      <c r="S830" s="1">
        <f t="shared" si="145"/>
        <v>10000000000</v>
      </c>
      <c r="T830" s="1">
        <f>IFERROR(MATCH($C$36&amp;"|97",VIRMAN!$L$7:$L$406,0),0)</f>
        <v>0</v>
      </c>
      <c r="V830" s="1">
        <f t="shared" si="146"/>
        <v>10000000000</v>
      </c>
      <c r="W830" s="1">
        <f t="shared" si="147"/>
        <v>9</v>
      </c>
    </row>
    <row r="831" spans="2:23" ht="14.25" customHeight="1" x14ac:dyDescent="0.3">
      <c r="B831" s="65" t="str">
        <f t="shared" si="139"/>
        <v/>
      </c>
      <c r="C831" s="70" t="str">
        <f t="shared" si="140"/>
        <v/>
      </c>
      <c r="D831" s="74" t="str">
        <f t="shared" si="141"/>
        <v/>
      </c>
      <c r="F831" s="65" t="str">
        <f t="shared" si="142"/>
        <v/>
      </c>
      <c r="G831" s="68" t="str">
        <f t="shared" si="143"/>
        <v/>
      </c>
      <c r="H831" s="68" t="str">
        <f t="shared" si="144"/>
        <v/>
      </c>
      <c r="I831" s="68" t="str">
        <f t="shared" si="148"/>
        <v/>
      </c>
      <c r="M831" s="1">
        <v>794</v>
      </c>
      <c r="N831" s="1" t="str">
        <f>IF($T831=0,"",INDEX(VIRMAN!$C$7:$C$406,$T831))</f>
        <v/>
      </c>
      <c r="O831" s="1" t="str">
        <f>IF($N831="","",$C$36&amp;" → "&amp;INDEX(VIRMAN!$E$7:$E$406,$T831)&amp;IF(INDEX(VIRMAN!$G$7:$G$406,$T831)="",""," – "&amp;INDEX(VIRMAN!$G$7:$G$406,$T831)))</f>
        <v/>
      </c>
      <c r="P831" s="1" t="str">
        <f t="shared" si="149"/>
        <v/>
      </c>
      <c r="Q831" s="1">
        <v>0</v>
      </c>
      <c r="R831" s="1">
        <f>IF($N831="",0,INDEX(VIRMAN!$F$7:$F$406,$T831))</f>
        <v>0</v>
      </c>
      <c r="S831" s="1">
        <f t="shared" si="145"/>
        <v>10000000000</v>
      </c>
      <c r="T831" s="1">
        <f>IFERROR(MATCH($C$36&amp;"|98",VIRMAN!$L$7:$L$406,0),0)</f>
        <v>0</v>
      </c>
      <c r="V831" s="1">
        <f t="shared" si="146"/>
        <v>10000000000</v>
      </c>
      <c r="W831" s="1">
        <f t="shared" si="147"/>
        <v>9</v>
      </c>
    </row>
    <row r="832" spans="2:23" ht="14.25" customHeight="1" x14ac:dyDescent="0.3">
      <c r="B832" s="65" t="str">
        <f t="shared" si="139"/>
        <v/>
      </c>
      <c r="C832" s="70" t="str">
        <f t="shared" si="140"/>
        <v/>
      </c>
      <c r="D832" s="74" t="str">
        <f t="shared" si="141"/>
        <v/>
      </c>
      <c r="F832" s="65" t="str">
        <f t="shared" si="142"/>
        <v/>
      </c>
      <c r="G832" s="68" t="str">
        <f t="shared" si="143"/>
        <v/>
      </c>
      <c r="H832" s="68" t="str">
        <f t="shared" si="144"/>
        <v/>
      </c>
      <c r="I832" s="68" t="str">
        <f t="shared" si="148"/>
        <v/>
      </c>
      <c r="M832" s="1">
        <v>795</v>
      </c>
      <c r="N832" s="1" t="str">
        <f>IF($T832=0,"",INDEX(VIRMAN!$C$7:$C$406,$T832))</f>
        <v/>
      </c>
      <c r="O832" s="1" t="str">
        <f>IF($N832="","",$C$36&amp;" → "&amp;INDEX(VIRMAN!$E$7:$E$406,$T832)&amp;IF(INDEX(VIRMAN!$G$7:$G$406,$T832)="",""," – "&amp;INDEX(VIRMAN!$G$7:$G$406,$T832)))</f>
        <v/>
      </c>
      <c r="P832" s="1" t="str">
        <f t="shared" si="149"/>
        <v/>
      </c>
      <c r="Q832" s="1">
        <v>0</v>
      </c>
      <c r="R832" s="1">
        <f>IF($N832="",0,INDEX(VIRMAN!$F$7:$F$406,$T832))</f>
        <v>0</v>
      </c>
      <c r="S832" s="1">
        <f t="shared" si="145"/>
        <v>10000000000</v>
      </c>
      <c r="T832" s="1">
        <f>IFERROR(MATCH($C$36&amp;"|99",VIRMAN!$L$7:$L$406,0),0)</f>
        <v>0</v>
      </c>
      <c r="V832" s="1">
        <f t="shared" si="146"/>
        <v>10000000000</v>
      </c>
      <c r="W832" s="1">
        <f t="shared" si="147"/>
        <v>9</v>
      </c>
    </row>
    <row r="833" spans="2:23" ht="14.25" customHeight="1" x14ac:dyDescent="0.3">
      <c r="B833" s="65" t="str">
        <f t="shared" si="139"/>
        <v/>
      </c>
      <c r="C833" s="70" t="str">
        <f t="shared" si="140"/>
        <v/>
      </c>
      <c r="D833" s="74" t="str">
        <f t="shared" si="141"/>
        <v/>
      </c>
      <c r="F833" s="65" t="str">
        <f t="shared" si="142"/>
        <v/>
      </c>
      <c r="G833" s="68" t="str">
        <f t="shared" si="143"/>
        <v/>
      </c>
      <c r="H833" s="68" t="str">
        <f t="shared" si="144"/>
        <v/>
      </c>
      <c r="I833" s="68" t="str">
        <f t="shared" si="148"/>
        <v/>
      </c>
      <c r="M833" s="1">
        <v>796</v>
      </c>
      <c r="N833" s="1" t="str">
        <f>IF($T833=0,"",INDEX(VIRMAN!$C$7:$C$406,$T833))</f>
        <v/>
      </c>
      <c r="O833" s="1" t="str">
        <f>IF($N833="","",$C$36&amp;" → "&amp;INDEX(VIRMAN!$E$7:$E$406,$T833)&amp;IF(INDEX(VIRMAN!$G$7:$G$406,$T833)="",""," – "&amp;INDEX(VIRMAN!$G$7:$G$406,$T833)))</f>
        <v/>
      </c>
      <c r="P833" s="1" t="str">
        <f t="shared" si="149"/>
        <v/>
      </c>
      <c r="Q833" s="1">
        <v>0</v>
      </c>
      <c r="R833" s="1">
        <f>IF($N833="",0,INDEX(VIRMAN!$F$7:$F$406,$T833))</f>
        <v>0</v>
      </c>
      <c r="S833" s="1">
        <f t="shared" si="145"/>
        <v>10000000000</v>
      </c>
      <c r="T833" s="1">
        <f>IFERROR(MATCH($C$36&amp;"|100",VIRMAN!$L$7:$L$406,0),0)</f>
        <v>0</v>
      </c>
      <c r="V833" s="1">
        <f t="shared" si="146"/>
        <v>10000000000</v>
      </c>
      <c r="W833" s="1">
        <f t="shared" si="147"/>
        <v>9</v>
      </c>
    </row>
    <row r="834" spans="2:23" ht="14.25" customHeight="1" x14ac:dyDescent="0.3">
      <c r="B834" s="65" t="str">
        <f t="shared" si="139"/>
        <v/>
      </c>
      <c r="C834" s="70" t="str">
        <f t="shared" si="140"/>
        <v/>
      </c>
      <c r="D834" s="74" t="str">
        <f t="shared" si="141"/>
        <v/>
      </c>
      <c r="F834" s="65" t="str">
        <f t="shared" si="142"/>
        <v/>
      </c>
      <c r="G834" s="68" t="str">
        <f t="shared" si="143"/>
        <v/>
      </c>
      <c r="H834" s="68" t="str">
        <f t="shared" si="144"/>
        <v/>
      </c>
      <c r="I834" s="68" t="str">
        <f t="shared" si="148"/>
        <v/>
      </c>
      <c r="M834" s="1">
        <v>797</v>
      </c>
      <c r="N834" s="1" t="str">
        <f>IF($T834=0,"",INDEX(VIRMAN!$C$7:$C$406,$T834))</f>
        <v/>
      </c>
      <c r="O834" s="1" t="str">
        <f>IF($N834="","",$C$36&amp;" → "&amp;INDEX(VIRMAN!$E$7:$E$406,$T834)&amp;IF(INDEX(VIRMAN!$G$7:$G$406,$T834)="",""," – "&amp;INDEX(VIRMAN!$G$7:$G$406,$T834)))</f>
        <v/>
      </c>
      <c r="P834" s="1" t="str">
        <f t="shared" si="149"/>
        <v/>
      </c>
      <c r="Q834" s="1">
        <v>0</v>
      </c>
      <c r="R834" s="1">
        <f>IF($N834="",0,INDEX(VIRMAN!$F$7:$F$406,$T834))</f>
        <v>0</v>
      </c>
      <c r="S834" s="1">
        <f t="shared" si="145"/>
        <v>10000000000</v>
      </c>
      <c r="T834" s="1">
        <f>IFERROR(MATCH($C$36&amp;"|101",VIRMAN!$L$7:$L$406,0),0)</f>
        <v>0</v>
      </c>
      <c r="V834" s="1">
        <f t="shared" si="146"/>
        <v>10000000000</v>
      </c>
      <c r="W834" s="1">
        <f t="shared" si="147"/>
        <v>9</v>
      </c>
    </row>
    <row r="835" spans="2:23" ht="14.25" customHeight="1" x14ac:dyDescent="0.3">
      <c r="B835" s="65" t="str">
        <f t="shared" si="139"/>
        <v/>
      </c>
      <c r="C835" s="70" t="str">
        <f t="shared" si="140"/>
        <v/>
      </c>
      <c r="D835" s="74" t="str">
        <f t="shared" si="141"/>
        <v/>
      </c>
      <c r="F835" s="65" t="str">
        <f t="shared" si="142"/>
        <v/>
      </c>
      <c r="G835" s="68" t="str">
        <f t="shared" si="143"/>
        <v/>
      </c>
      <c r="H835" s="68" t="str">
        <f t="shared" si="144"/>
        <v/>
      </c>
      <c r="I835" s="68" t="str">
        <f t="shared" si="148"/>
        <v/>
      </c>
      <c r="M835" s="1">
        <v>798</v>
      </c>
      <c r="N835" s="1" t="str">
        <f>IF($T835=0,"",INDEX(VIRMAN!$C$7:$C$406,$T835))</f>
        <v/>
      </c>
      <c r="O835" s="1" t="str">
        <f>IF($N835="","",$C$36&amp;" → "&amp;INDEX(VIRMAN!$E$7:$E$406,$T835)&amp;IF(INDEX(VIRMAN!$G$7:$G$406,$T835)="",""," – "&amp;INDEX(VIRMAN!$G$7:$G$406,$T835)))</f>
        <v/>
      </c>
      <c r="P835" s="1" t="str">
        <f t="shared" si="149"/>
        <v/>
      </c>
      <c r="Q835" s="1">
        <v>0</v>
      </c>
      <c r="R835" s="1">
        <f>IF($N835="",0,INDEX(VIRMAN!$F$7:$F$406,$T835))</f>
        <v>0</v>
      </c>
      <c r="S835" s="1">
        <f t="shared" si="145"/>
        <v>10000000000</v>
      </c>
      <c r="T835" s="1">
        <f>IFERROR(MATCH($C$36&amp;"|102",VIRMAN!$L$7:$L$406,0),0)</f>
        <v>0</v>
      </c>
      <c r="V835" s="1">
        <f t="shared" si="146"/>
        <v>10000000000</v>
      </c>
      <c r="W835" s="1">
        <f t="shared" si="147"/>
        <v>9</v>
      </c>
    </row>
    <row r="836" spans="2:23" ht="14.25" customHeight="1" x14ac:dyDescent="0.3">
      <c r="B836" s="65" t="str">
        <f t="shared" si="139"/>
        <v/>
      </c>
      <c r="C836" s="70" t="str">
        <f t="shared" si="140"/>
        <v/>
      </c>
      <c r="D836" s="74" t="str">
        <f t="shared" si="141"/>
        <v/>
      </c>
      <c r="F836" s="65" t="str">
        <f t="shared" si="142"/>
        <v/>
      </c>
      <c r="G836" s="68" t="str">
        <f t="shared" si="143"/>
        <v/>
      </c>
      <c r="H836" s="68" t="str">
        <f t="shared" si="144"/>
        <v/>
      </c>
      <c r="I836" s="68" t="str">
        <f t="shared" si="148"/>
        <v/>
      </c>
      <c r="M836" s="1">
        <v>799</v>
      </c>
      <c r="N836" s="1" t="str">
        <f>IF($T836=0,"",INDEX(VIRMAN!$C$7:$C$406,$T836))</f>
        <v/>
      </c>
      <c r="O836" s="1" t="str">
        <f>IF($N836="","",$C$36&amp;" → "&amp;INDEX(VIRMAN!$E$7:$E$406,$T836)&amp;IF(INDEX(VIRMAN!$G$7:$G$406,$T836)="",""," – "&amp;INDEX(VIRMAN!$G$7:$G$406,$T836)))</f>
        <v/>
      </c>
      <c r="P836" s="1" t="str">
        <f t="shared" si="149"/>
        <v/>
      </c>
      <c r="Q836" s="1">
        <v>0</v>
      </c>
      <c r="R836" s="1">
        <f>IF($N836="",0,INDEX(VIRMAN!$F$7:$F$406,$T836))</f>
        <v>0</v>
      </c>
      <c r="S836" s="1">
        <f t="shared" si="145"/>
        <v>10000000000</v>
      </c>
      <c r="T836" s="1">
        <f>IFERROR(MATCH($C$36&amp;"|103",VIRMAN!$L$7:$L$406,0),0)</f>
        <v>0</v>
      </c>
      <c r="V836" s="1">
        <f t="shared" si="146"/>
        <v>10000000000</v>
      </c>
      <c r="W836" s="1">
        <f t="shared" si="147"/>
        <v>9</v>
      </c>
    </row>
    <row r="837" spans="2:23" ht="14.25" customHeight="1" x14ac:dyDescent="0.3">
      <c r="B837" s="65" t="str">
        <f t="shared" si="139"/>
        <v/>
      </c>
      <c r="C837" s="70" t="str">
        <f t="shared" si="140"/>
        <v/>
      </c>
      <c r="D837" s="74" t="str">
        <f t="shared" si="141"/>
        <v/>
      </c>
      <c r="F837" s="65" t="str">
        <f t="shared" si="142"/>
        <v/>
      </c>
      <c r="G837" s="68" t="str">
        <f t="shared" si="143"/>
        <v/>
      </c>
      <c r="H837" s="68" t="str">
        <f t="shared" si="144"/>
        <v/>
      </c>
      <c r="I837" s="68" t="str">
        <f t="shared" si="148"/>
        <v/>
      </c>
      <c r="M837" s="1">
        <v>800</v>
      </c>
      <c r="N837" s="1" t="str">
        <f>IF($T837=0,"",INDEX(VIRMAN!$C$7:$C$406,$T837))</f>
        <v/>
      </c>
      <c r="O837" s="1" t="str">
        <f>IF($N837="","",$C$36&amp;" → "&amp;INDEX(VIRMAN!$E$7:$E$406,$T837)&amp;IF(INDEX(VIRMAN!$G$7:$G$406,$T837)="",""," – "&amp;INDEX(VIRMAN!$G$7:$G$406,$T837)))</f>
        <v/>
      </c>
      <c r="P837" s="1" t="str">
        <f t="shared" si="149"/>
        <v/>
      </c>
      <c r="Q837" s="1">
        <v>0</v>
      </c>
      <c r="R837" s="1">
        <f>IF($N837="",0,INDEX(VIRMAN!$F$7:$F$406,$T837))</f>
        <v>0</v>
      </c>
      <c r="S837" s="1">
        <f t="shared" si="145"/>
        <v>10000000000</v>
      </c>
      <c r="T837" s="1">
        <f>IFERROR(MATCH($C$36&amp;"|104",VIRMAN!$L$7:$L$406,0),0)</f>
        <v>0</v>
      </c>
      <c r="V837" s="1">
        <f t="shared" si="146"/>
        <v>10000000000</v>
      </c>
      <c r="W837" s="1">
        <f t="shared" si="147"/>
        <v>9</v>
      </c>
    </row>
    <row r="838" spans="2:23" ht="14.25" customHeight="1" x14ac:dyDescent="0.3">
      <c r="B838" s="65" t="str">
        <f t="shared" si="139"/>
        <v/>
      </c>
      <c r="C838" s="70" t="str">
        <f t="shared" si="140"/>
        <v/>
      </c>
      <c r="D838" s="74" t="str">
        <f t="shared" si="141"/>
        <v/>
      </c>
      <c r="F838" s="65" t="str">
        <f t="shared" si="142"/>
        <v/>
      </c>
      <c r="G838" s="68" t="str">
        <f t="shared" si="143"/>
        <v/>
      </c>
      <c r="H838" s="68" t="str">
        <f t="shared" si="144"/>
        <v/>
      </c>
      <c r="I838" s="68" t="str">
        <f t="shared" si="148"/>
        <v/>
      </c>
      <c r="M838" s="1">
        <v>801</v>
      </c>
      <c r="N838" s="1" t="str">
        <f>IF($T838=0,"",INDEX(VIRMAN!$C$7:$C$406,$T838))</f>
        <v/>
      </c>
      <c r="O838" s="1" t="str">
        <f>IF($N838="","",$C$36&amp;" → "&amp;INDEX(VIRMAN!$E$7:$E$406,$T838)&amp;IF(INDEX(VIRMAN!$G$7:$G$406,$T838)="",""," – "&amp;INDEX(VIRMAN!$G$7:$G$406,$T838)))</f>
        <v/>
      </c>
      <c r="P838" s="1" t="str">
        <f t="shared" si="149"/>
        <v/>
      </c>
      <c r="Q838" s="1">
        <v>0</v>
      </c>
      <c r="R838" s="1">
        <f>IF($N838="",0,INDEX(VIRMAN!$F$7:$F$406,$T838))</f>
        <v>0</v>
      </c>
      <c r="S838" s="1">
        <f t="shared" si="145"/>
        <v>10000000000</v>
      </c>
      <c r="T838" s="1">
        <f>IFERROR(MATCH($C$36&amp;"|105",VIRMAN!$L$7:$L$406,0),0)</f>
        <v>0</v>
      </c>
      <c r="V838" s="1">
        <f t="shared" si="146"/>
        <v>10000000000</v>
      </c>
      <c r="W838" s="1">
        <f t="shared" si="147"/>
        <v>9</v>
      </c>
    </row>
    <row r="839" spans="2:23" ht="14.25" customHeight="1" x14ac:dyDescent="0.3">
      <c r="B839" s="65" t="str">
        <f t="shared" si="139"/>
        <v/>
      </c>
      <c r="C839" s="70" t="str">
        <f t="shared" si="140"/>
        <v/>
      </c>
      <c r="D839" s="74" t="str">
        <f t="shared" si="141"/>
        <v/>
      </c>
      <c r="F839" s="65" t="str">
        <f t="shared" si="142"/>
        <v/>
      </c>
      <c r="G839" s="68" t="str">
        <f t="shared" si="143"/>
        <v/>
      </c>
      <c r="H839" s="68" t="str">
        <f t="shared" si="144"/>
        <v/>
      </c>
      <c r="I839" s="68" t="str">
        <f t="shared" si="148"/>
        <v/>
      </c>
      <c r="M839" s="1">
        <v>802</v>
      </c>
      <c r="N839" s="1" t="str">
        <f>IF($T839=0,"",INDEX(VIRMAN!$C$7:$C$406,$T839))</f>
        <v/>
      </c>
      <c r="O839" s="1" t="str">
        <f>IF($N839="","",$C$36&amp;" → "&amp;INDEX(VIRMAN!$E$7:$E$406,$T839)&amp;IF(INDEX(VIRMAN!$G$7:$G$406,$T839)="",""," – "&amp;INDEX(VIRMAN!$G$7:$G$406,$T839)))</f>
        <v/>
      </c>
      <c r="P839" s="1" t="str">
        <f t="shared" si="149"/>
        <v/>
      </c>
      <c r="Q839" s="1">
        <v>0</v>
      </c>
      <c r="R839" s="1">
        <f>IF($N839="",0,INDEX(VIRMAN!$F$7:$F$406,$T839))</f>
        <v>0</v>
      </c>
      <c r="S839" s="1">
        <f t="shared" si="145"/>
        <v>10000000000</v>
      </c>
      <c r="T839" s="1">
        <f>IFERROR(MATCH($C$36&amp;"|106",VIRMAN!$L$7:$L$406,0),0)</f>
        <v>0</v>
      </c>
      <c r="V839" s="1">
        <f t="shared" si="146"/>
        <v>10000000000</v>
      </c>
      <c r="W839" s="1">
        <f t="shared" si="147"/>
        <v>9</v>
      </c>
    </row>
    <row r="840" spans="2:23" ht="14.25" customHeight="1" x14ac:dyDescent="0.3">
      <c r="B840" s="65" t="str">
        <f t="shared" si="139"/>
        <v/>
      </c>
      <c r="C840" s="70" t="str">
        <f t="shared" si="140"/>
        <v/>
      </c>
      <c r="D840" s="74" t="str">
        <f t="shared" si="141"/>
        <v/>
      </c>
      <c r="F840" s="65" t="str">
        <f t="shared" si="142"/>
        <v/>
      </c>
      <c r="G840" s="68" t="str">
        <f t="shared" si="143"/>
        <v/>
      </c>
      <c r="H840" s="68" t="str">
        <f t="shared" si="144"/>
        <v/>
      </c>
      <c r="I840" s="68" t="str">
        <f t="shared" si="148"/>
        <v/>
      </c>
      <c r="M840" s="1">
        <v>803</v>
      </c>
      <c r="N840" s="1" t="str">
        <f>IF($T840=0,"",INDEX(VIRMAN!$C$7:$C$406,$T840))</f>
        <v/>
      </c>
      <c r="O840" s="1" t="str">
        <f>IF($N840="","",$C$36&amp;" → "&amp;INDEX(VIRMAN!$E$7:$E$406,$T840)&amp;IF(INDEX(VIRMAN!$G$7:$G$406,$T840)="",""," – "&amp;INDEX(VIRMAN!$G$7:$G$406,$T840)))</f>
        <v/>
      </c>
      <c r="P840" s="1" t="str">
        <f t="shared" si="149"/>
        <v/>
      </c>
      <c r="Q840" s="1">
        <v>0</v>
      </c>
      <c r="R840" s="1">
        <f>IF($N840="",0,INDEX(VIRMAN!$F$7:$F$406,$T840))</f>
        <v>0</v>
      </c>
      <c r="S840" s="1">
        <f t="shared" si="145"/>
        <v>10000000000</v>
      </c>
      <c r="T840" s="1">
        <f>IFERROR(MATCH($C$36&amp;"|107",VIRMAN!$L$7:$L$406,0),0)</f>
        <v>0</v>
      </c>
      <c r="V840" s="1">
        <f t="shared" si="146"/>
        <v>10000000000</v>
      </c>
      <c r="W840" s="1">
        <f t="shared" si="147"/>
        <v>9</v>
      </c>
    </row>
    <row r="841" spans="2:23" ht="14.25" customHeight="1" x14ac:dyDescent="0.3">
      <c r="B841" s="65" t="str">
        <f t="shared" si="139"/>
        <v/>
      </c>
      <c r="C841" s="70" t="str">
        <f t="shared" si="140"/>
        <v/>
      </c>
      <c r="D841" s="74" t="str">
        <f t="shared" si="141"/>
        <v/>
      </c>
      <c r="F841" s="65" t="str">
        <f t="shared" si="142"/>
        <v/>
      </c>
      <c r="G841" s="68" t="str">
        <f t="shared" si="143"/>
        <v/>
      </c>
      <c r="H841" s="68" t="str">
        <f t="shared" si="144"/>
        <v/>
      </c>
      <c r="I841" s="68" t="str">
        <f t="shared" si="148"/>
        <v/>
      </c>
      <c r="M841" s="1">
        <v>804</v>
      </c>
      <c r="N841" s="1" t="str">
        <f>IF($T841=0,"",INDEX(VIRMAN!$C$7:$C$406,$T841))</f>
        <v/>
      </c>
      <c r="O841" s="1" t="str">
        <f>IF($N841="","",$C$36&amp;" → "&amp;INDEX(VIRMAN!$E$7:$E$406,$T841)&amp;IF(INDEX(VIRMAN!$G$7:$G$406,$T841)="",""," – "&amp;INDEX(VIRMAN!$G$7:$G$406,$T841)))</f>
        <v/>
      </c>
      <c r="P841" s="1" t="str">
        <f t="shared" si="149"/>
        <v/>
      </c>
      <c r="Q841" s="1">
        <v>0</v>
      </c>
      <c r="R841" s="1">
        <f>IF($N841="",0,INDEX(VIRMAN!$F$7:$F$406,$T841))</f>
        <v>0</v>
      </c>
      <c r="S841" s="1">
        <f t="shared" si="145"/>
        <v>10000000000</v>
      </c>
      <c r="T841" s="1">
        <f>IFERROR(MATCH($C$36&amp;"|108",VIRMAN!$L$7:$L$406,0),0)</f>
        <v>0</v>
      </c>
      <c r="V841" s="1">
        <f t="shared" si="146"/>
        <v>10000000000</v>
      </c>
      <c r="W841" s="1">
        <f t="shared" si="147"/>
        <v>9</v>
      </c>
    </row>
    <row r="842" spans="2:23" ht="14.25" customHeight="1" x14ac:dyDescent="0.3">
      <c r="B842" s="65" t="str">
        <f t="shared" si="139"/>
        <v/>
      </c>
      <c r="C842" s="70" t="str">
        <f t="shared" si="140"/>
        <v/>
      </c>
      <c r="D842" s="74" t="str">
        <f t="shared" si="141"/>
        <v/>
      </c>
      <c r="F842" s="65" t="str">
        <f t="shared" si="142"/>
        <v/>
      </c>
      <c r="G842" s="68" t="str">
        <f t="shared" si="143"/>
        <v/>
      </c>
      <c r="H842" s="68" t="str">
        <f t="shared" si="144"/>
        <v/>
      </c>
      <c r="I842" s="68" t="str">
        <f t="shared" si="148"/>
        <v/>
      </c>
      <c r="M842" s="1">
        <v>805</v>
      </c>
      <c r="N842" s="1" t="str">
        <f>IF($T842=0,"",INDEX(VIRMAN!$C$7:$C$406,$T842))</f>
        <v/>
      </c>
      <c r="O842" s="1" t="str">
        <f>IF($N842="","",$C$36&amp;" → "&amp;INDEX(VIRMAN!$E$7:$E$406,$T842)&amp;IF(INDEX(VIRMAN!$G$7:$G$406,$T842)="",""," – "&amp;INDEX(VIRMAN!$G$7:$G$406,$T842)))</f>
        <v/>
      </c>
      <c r="P842" s="1" t="str">
        <f t="shared" si="149"/>
        <v/>
      </c>
      <c r="Q842" s="1">
        <v>0</v>
      </c>
      <c r="R842" s="1">
        <f>IF($N842="",0,INDEX(VIRMAN!$F$7:$F$406,$T842))</f>
        <v>0</v>
      </c>
      <c r="S842" s="1">
        <f t="shared" si="145"/>
        <v>10000000000</v>
      </c>
      <c r="T842" s="1">
        <f>IFERROR(MATCH($C$36&amp;"|109",VIRMAN!$L$7:$L$406,0),0)</f>
        <v>0</v>
      </c>
      <c r="V842" s="1">
        <f t="shared" si="146"/>
        <v>10000000000</v>
      </c>
      <c r="W842" s="1">
        <f t="shared" si="147"/>
        <v>9</v>
      </c>
    </row>
    <row r="843" spans="2:23" ht="14.25" customHeight="1" x14ac:dyDescent="0.3">
      <c r="B843" s="65" t="str">
        <f t="shared" si="139"/>
        <v/>
      </c>
      <c r="C843" s="70" t="str">
        <f t="shared" si="140"/>
        <v/>
      </c>
      <c r="D843" s="74" t="str">
        <f t="shared" si="141"/>
        <v/>
      </c>
      <c r="F843" s="65" t="str">
        <f t="shared" si="142"/>
        <v/>
      </c>
      <c r="G843" s="68" t="str">
        <f t="shared" si="143"/>
        <v/>
      </c>
      <c r="H843" s="68" t="str">
        <f t="shared" si="144"/>
        <v/>
      </c>
      <c r="I843" s="68" t="str">
        <f t="shared" si="148"/>
        <v/>
      </c>
      <c r="M843" s="1">
        <v>806</v>
      </c>
      <c r="N843" s="1" t="str">
        <f>IF($T843=0,"",INDEX(VIRMAN!$C$7:$C$406,$T843))</f>
        <v/>
      </c>
      <c r="O843" s="1" t="str">
        <f>IF($N843="","",$C$36&amp;" → "&amp;INDEX(VIRMAN!$E$7:$E$406,$T843)&amp;IF(INDEX(VIRMAN!$G$7:$G$406,$T843)="",""," – "&amp;INDEX(VIRMAN!$G$7:$G$406,$T843)))</f>
        <v/>
      </c>
      <c r="P843" s="1" t="str">
        <f t="shared" si="149"/>
        <v/>
      </c>
      <c r="Q843" s="1">
        <v>0</v>
      </c>
      <c r="R843" s="1">
        <f>IF($N843="",0,INDEX(VIRMAN!$F$7:$F$406,$T843))</f>
        <v>0</v>
      </c>
      <c r="S843" s="1">
        <f t="shared" si="145"/>
        <v>10000000000</v>
      </c>
      <c r="T843" s="1">
        <f>IFERROR(MATCH($C$36&amp;"|110",VIRMAN!$L$7:$L$406,0),0)</f>
        <v>0</v>
      </c>
      <c r="V843" s="1">
        <f t="shared" si="146"/>
        <v>10000000000</v>
      </c>
      <c r="W843" s="1">
        <f t="shared" si="147"/>
        <v>9</v>
      </c>
    </row>
    <row r="844" spans="2:23" ht="14.25" customHeight="1" x14ac:dyDescent="0.3">
      <c r="B844" s="65" t="str">
        <f t="shared" si="139"/>
        <v/>
      </c>
      <c r="C844" s="70" t="str">
        <f t="shared" si="140"/>
        <v/>
      </c>
      <c r="D844" s="74" t="str">
        <f t="shared" si="141"/>
        <v/>
      </c>
      <c r="F844" s="65" t="str">
        <f t="shared" si="142"/>
        <v/>
      </c>
      <c r="G844" s="68" t="str">
        <f t="shared" si="143"/>
        <v/>
      </c>
      <c r="H844" s="68" t="str">
        <f t="shared" si="144"/>
        <v/>
      </c>
      <c r="I844" s="68" t="str">
        <f t="shared" si="148"/>
        <v/>
      </c>
      <c r="M844" s="1">
        <v>807</v>
      </c>
      <c r="N844" s="1" t="str">
        <f>IF($T844=0,"",INDEX(VIRMAN!$C$7:$C$406,$T844))</f>
        <v/>
      </c>
      <c r="O844" s="1" t="str">
        <f>IF($N844="","",$C$36&amp;" → "&amp;INDEX(VIRMAN!$E$7:$E$406,$T844)&amp;IF(INDEX(VIRMAN!$G$7:$G$406,$T844)="",""," – "&amp;INDEX(VIRMAN!$G$7:$G$406,$T844)))</f>
        <v/>
      </c>
      <c r="P844" s="1" t="str">
        <f t="shared" si="149"/>
        <v/>
      </c>
      <c r="Q844" s="1">
        <v>0</v>
      </c>
      <c r="R844" s="1">
        <f>IF($N844="",0,INDEX(VIRMAN!$F$7:$F$406,$T844))</f>
        <v>0</v>
      </c>
      <c r="S844" s="1">
        <f t="shared" si="145"/>
        <v>10000000000</v>
      </c>
      <c r="T844" s="1">
        <f>IFERROR(MATCH($C$36&amp;"|111",VIRMAN!$L$7:$L$406,0),0)</f>
        <v>0</v>
      </c>
      <c r="V844" s="1">
        <f t="shared" si="146"/>
        <v>10000000000</v>
      </c>
      <c r="W844" s="1">
        <f t="shared" si="147"/>
        <v>9</v>
      </c>
    </row>
    <row r="845" spans="2:23" ht="14.25" customHeight="1" x14ac:dyDescent="0.3">
      <c r="B845" s="65" t="str">
        <f t="shared" si="139"/>
        <v/>
      </c>
      <c r="C845" s="70" t="str">
        <f t="shared" si="140"/>
        <v/>
      </c>
      <c r="D845" s="74" t="str">
        <f t="shared" si="141"/>
        <v/>
      </c>
      <c r="F845" s="65" t="str">
        <f t="shared" si="142"/>
        <v/>
      </c>
      <c r="G845" s="68" t="str">
        <f t="shared" si="143"/>
        <v/>
      </c>
      <c r="H845" s="68" t="str">
        <f t="shared" si="144"/>
        <v/>
      </c>
      <c r="I845" s="68" t="str">
        <f t="shared" si="148"/>
        <v/>
      </c>
      <c r="M845" s="1">
        <v>808</v>
      </c>
      <c r="N845" s="1" t="str">
        <f>IF($T845=0,"",INDEX(VIRMAN!$C$7:$C$406,$T845))</f>
        <v/>
      </c>
      <c r="O845" s="1" t="str">
        <f>IF($N845="","",$C$36&amp;" → "&amp;INDEX(VIRMAN!$E$7:$E$406,$T845)&amp;IF(INDEX(VIRMAN!$G$7:$G$406,$T845)="",""," – "&amp;INDEX(VIRMAN!$G$7:$G$406,$T845)))</f>
        <v/>
      </c>
      <c r="P845" s="1" t="str">
        <f t="shared" si="149"/>
        <v/>
      </c>
      <c r="Q845" s="1">
        <v>0</v>
      </c>
      <c r="R845" s="1">
        <f>IF($N845="",0,INDEX(VIRMAN!$F$7:$F$406,$T845))</f>
        <v>0</v>
      </c>
      <c r="S845" s="1">
        <f t="shared" si="145"/>
        <v>10000000000</v>
      </c>
      <c r="T845" s="1">
        <f>IFERROR(MATCH($C$36&amp;"|112",VIRMAN!$L$7:$L$406,0),0)</f>
        <v>0</v>
      </c>
      <c r="V845" s="1">
        <f t="shared" si="146"/>
        <v>10000000000</v>
      </c>
      <c r="W845" s="1">
        <f t="shared" si="147"/>
        <v>9</v>
      </c>
    </row>
    <row r="846" spans="2:23" ht="14.25" customHeight="1" x14ac:dyDescent="0.3">
      <c r="B846" s="65" t="str">
        <f t="shared" si="139"/>
        <v/>
      </c>
      <c r="C846" s="70" t="str">
        <f t="shared" si="140"/>
        <v/>
      </c>
      <c r="D846" s="74" t="str">
        <f t="shared" si="141"/>
        <v/>
      </c>
      <c r="F846" s="65" t="str">
        <f t="shared" si="142"/>
        <v/>
      </c>
      <c r="G846" s="68" t="str">
        <f t="shared" si="143"/>
        <v/>
      </c>
      <c r="H846" s="68" t="str">
        <f t="shared" si="144"/>
        <v/>
      </c>
      <c r="I846" s="68" t="str">
        <f t="shared" si="148"/>
        <v/>
      </c>
      <c r="M846" s="1">
        <v>809</v>
      </c>
      <c r="N846" s="1" t="str">
        <f>IF($T846=0,"",INDEX(VIRMAN!$C$7:$C$406,$T846))</f>
        <v/>
      </c>
      <c r="O846" s="1" t="str">
        <f>IF($N846="","",$C$36&amp;" → "&amp;INDEX(VIRMAN!$E$7:$E$406,$T846)&amp;IF(INDEX(VIRMAN!$G$7:$G$406,$T846)="",""," – "&amp;INDEX(VIRMAN!$G$7:$G$406,$T846)))</f>
        <v/>
      </c>
      <c r="P846" s="1" t="str">
        <f t="shared" si="149"/>
        <v/>
      </c>
      <c r="Q846" s="1">
        <v>0</v>
      </c>
      <c r="R846" s="1">
        <f>IF($N846="",0,INDEX(VIRMAN!$F$7:$F$406,$T846))</f>
        <v>0</v>
      </c>
      <c r="S846" s="1">
        <f t="shared" si="145"/>
        <v>10000000000</v>
      </c>
      <c r="T846" s="1">
        <f>IFERROR(MATCH($C$36&amp;"|113",VIRMAN!$L$7:$L$406,0),0)</f>
        <v>0</v>
      </c>
      <c r="V846" s="1">
        <f t="shared" si="146"/>
        <v>10000000000</v>
      </c>
      <c r="W846" s="1">
        <f t="shared" si="147"/>
        <v>9</v>
      </c>
    </row>
    <row r="847" spans="2:23" ht="14.25" customHeight="1" x14ac:dyDescent="0.3">
      <c r="B847" s="65" t="str">
        <f t="shared" si="139"/>
        <v/>
      </c>
      <c r="C847" s="70" t="str">
        <f t="shared" si="140"/>
        <v/>
      </c>
      <c r="D847" s="74" t="str">
        <f t="shared" si="141"/>
        <v/>
      </c>
      <c r="F847" s="65" t="str">
        <f t="shared" si="142"/>
        <v/>
      </c>
      <c r="G847" s="68" t="str">
        <f t="shared" si="143"/>
        <v/>
      </c>
      <c r="H847" s="68" t="str">
        <f t="shared" si="144"/>
        <v/>
      </c>
      <c r="I847" s="68" t="str">
        <f t="shared" si="148"/>
        <v/>
      </c>
      <c r="M847" s="1">
        <v>810</v>
      </c>
      <c r="N847" s="1" t="str">
        <f>IF($T847=0,"",INDEX(VIRMAN!$C$7:$C$406,$T847))</f>
        <v/>
      </c>
      <c r="O847" s="1" t="str">
        <f>IF($N847="","",$C$36&amp;" → "&amp;INDEX(VIRMAN!$E$7:$E$406,$T847)&amp;IF(INDEX(VIRMAN!$G$7:$G$406,$T847)="",""," – "&amp;INDEX(VIRMAN!$G$7:$G$406,$T847)))</f>
        <v/>
      </c>
      <c r="P847" s="1" t="str">
        <f t="shared" si="149"/>
        <v/>
      </c>
      <c r="Q847" s="1">
        <v>0</v>
      </c>
      <c r="R847" s="1">
        <f>IF($N847="",0,INDEX(VIRMAN!$F$7:$F$406,$T847))</f>
        <v>0</v>
      </c>
      <c r="S847" s="1">
        <f t="shared" si="145"/>
        <v>10000000000</v>
      </c>
      <c r="T847" s="1">
        <f>IFERROR(MATCH($C$36&amp;"|114",VIRMAN!$L$7:$L$406,0),0)</f>
        <v>0</v>
      </c>
      <c r="V847" s="1">
        <f t="shared" si="146"/>
        <v>10000000000</v>
      </c>
      <c r="W847" s="1">
        <f t="shared" si="147"/>
        <v>9</v>
      </c>
    </row>
    <row r="848" spans="2:23" ht="14.25" customHeight="1" x14ac:dyDescent="0.3">
      <c r="B848" s="65" t="str">
        <f t="shared" si="139"/>
        <v/>
      </c>
      <c r="C848" s="70" t="str">
        <f t="shared" si="140"/>
        <v/>
      </c>
      <c r="D848" s="74" t="str">
        <f t="shared" si="141"/>
        <v/>
      </c>
      <c r="F848" s="65" t="str">
        <f t="shared" si="142"/>
        <v/>
      </c>
      <c r="G848" s="68" t="str">
        <f t="shared" si="143"/>
        <v/>
      </c>
      <c r="H848" s="68" t="str">
        <f t="shared" si="144"/>
        <v/>
      </c>
      <c r="I848" s="68" t="str">
        <f t="shared" si="148"/>
        <v/>
      </c>
      <c r="M848" s="1">
        <v>811</v>
      </c>
      <c r="N848" s="1" t="str">
        <f>IF($T848=0,"",INDEX(VIRMAN!$C$7:$C$406,$T848))</f>
        <v/>
      </c>
      <c r="O848" s="1" t="str">
        <f>IF($N848="","",$C$36&amp;" → "&amp;INDEX(VIRMAN!$E$7:$E$406,$T848)&amp;IF(INDEX(VIRMAN!$G$7:$G$406,$T848)="",""," – "&amp;INDEX(VIRMAN!$G$7:$G$406,$T848)))</f>
        <v/>
      </c>
      <c r="P848" s="1" t="str">
        <f t="shared" si="149"/>
        <v/>
      </c>
      <c r="Q848" s="1">
        <v>0</v>
      </c>
      <c r="R848" s="1">
        <f>IF($N848="",0,INDEX(VIRMAN!$F$7:$F$406,$T848))</f>
        <v>0</v>
      </c>
      <c r="S848" s="1">
        <f t="shared" si="145"/>
        <v>10000000000</v>
      </c>
      <c r="T848" s="1">
        <f>IFERROR(MATCH($C$36&amp;"|115",VIRMAN!$L$7:$L$406,0),0)</f>
        <v>0</v>
      </c>
      <c r="V848" s="1">
        <f t="shared" si="146"/>
        <v>10000000000</v>
      </c>
      <c r="W848" s="1">
        <f t="shared" si="147"/>
        <v>9</v>
      </c>
    </row>
    <row r="849" spans="2:23" ht="14.25" customHeight="1" x14ac:dyDescent="0.3">
      <c r="B849" s="65" t="str">
        <f t="shared" si="139"/>
        <v/>
      </c>
      <c r="C849" s="70" t="str">
        <f t="shared" si="140"/>
        <v/>
      </c>
      <c r="D849" s="74" t="str">
        <f t="shared" si="141"/>
        <v/>
      </c>
      <c r="F849" s="65" t="str">
        <f t="shared" si="142"/>
        <v/>
      </c>
      <c r="G849" s="68" t="str">
        <f t="shared" si="143"/>
        <v/>
      </c>
      <c r="H849" s="68" t="str">
        <f t="shared" si="144"/>
        <v/>
      </c>
      <c r="I849" s="68" t="str">
        <f t="shared" si="148"/>
        <v/>
      </c>
      <c r="M849" s="1">
        <v>812</v>
      </c>
      <c r="N849" s="1" t="str">
        <f>IF($T849=0,"",INDEX(VIRMAN!$C$7:$C$406,$T849))</f>
        <v/>
      </c>
      <c r="O849" s="1" t="str">
        <f>IF($N849="","",$C$36&amp;" → "&amp;INDEX(VIRMAN!$E$7:$E$406,$T849)&amp;IF(INDEX(VIRMAN!$G$7:$G$406,$T849)="",""," – "&amp;INDEX(VIRMAN!$G$7:$G$406,$T849)))</f>
        <v/>
      </c>
      <c r="P849" s="1" t="str">
        <f t="shared" si="149"/>
        <v/>
      </c>
      <c r="Q849" s="1">
        <v>0</v>
      </c>
      <c r="R849" s="1">
        <f>IF($N849="",0,INDEX(VIRMAN!$F$7:$F$406,$T849))</f>
        <v>0</v>
      </c>
      <c r="S849" s="1">
        <f t="shared" si="145"/>
        <v>10000000000</v>
      </c>
      <c r="T849" s="1">
        <f>IFERROR(MATCH($C$36&amp;"|116",VIRMAN!$L$7:$L$406,0),0)</f>
        <v>0</v>
      </c>
      <c r="V849" s="1">
        <f t="shared" si="146"/>
        <v>10000000000</v>
      </c>
      <c r="W849" s="1">
        <f t="shared" si="147"/>
        <v>9</v>
      </c>
    </row>
    <row r="850" spans="2:23" ht="14.25" customHeight="1" x14ac:dyDescent="0.3">
      <c r="B850" s="65" t="str">
        <f t="shared" si="139"/>
        <v/>
      </c>
      <c r="C850" s="70" t="str">
        <f t="shared" si="140"/>
        <v/>
      </c>
      <c r="D850" s="74" t="str">
        <f t="shared" si="141"/>
        <v/>
      </c>
      <c r="F850" s="65" t="str">
        <f t="shared" si="142"/>
        <v/>
      </c>
      <c r="G850" s="68" t="str">
        <f t="shared" si="143"/>
        <v/>
      </c>
      <c r="H850" s="68" t="str">
        <f t="shared" si="144"/>
        <v/>
      </c>
      <c r="I850" s="68" t="str">
        <f t="shared" si="148"/>
        <v/>
      </c>
      <c r="M850" s="1">
        <v>813</v>
      </c>
      <c r="N850" s="1" t="str">
        <f>IF($T850=0,"",INDEX(VIRMAN!$C$7:$C$406,$T850))</f>
        <v/>
      </c>
      <c r="O850" s="1" t="str">
        <f>IF($N850="","",$C$36&amp;" → "&amp;INDEX(VIRMAN!$E$7:$E$406,$T850)&amp;IF(INDEX(VIRMAN!$G$7:$G$406,$T850)="",""," – "&amp;INDEX(VIRMAN!$G$7:$G$406,$T850)))</f>
        <v/>
      </c>
      <c r="P850" s="1" t="str">
        <f t="shared" si="149"/>
        <v/>
      </c>
      <c r="Q850" s="1">
        <v>0</v>
      </c>
      <c r="R850" s="1">
        <f>IF($N850="",0,INDEX(VIRMAN!$F$7:$F$406,$T850))</f>
        <v>0</v>
      </c>
      <c r="S850" s="1">
        <f t="shared" si="145"/>
        <v>10000000000</v>
      </c>
      <c r="T850" s="1">
        <f>IFERROR(MATCH($C$36&amp;"|117",VIRMAN!$L$7:$L$406,0),0)</f>
        <v>0</v>
      </c>
      <c r="V850" s="1">
        <f t="shared" si="146"/>
        <v>10000000000</v>
      </c>
      <c r="W850" s="1">
        <f t="shared" si="147"/>
        <v>9</v>
      </c>
    </row>
    <row r="851" spans="2:23" ht="14.25" customHeight="1" x14ac:dyDescent="0.3">
      <c r="B851" s="65" t="str">
        <f t="shared" si="139"/>
        <v/>
      </c>
      <c r="C851" s="70" t="str">
        <f t="shared" si="140"/>
        <v/>
      </c>
      <c r="D851" s="74" t="str">
        <f t="shared" si="141"/>
        <v/>
      </c>
      <c r="F851" s="65" t="str">
        <f t="shared" si="142"/>
        <v/>
      </c>
      <c r="G851" s="68" t="str">
        <f t="shared" si="143"/>
        <v/>
      </c>
      <c r="H851" s="68" t="str">
        <f t="shared" si="144"/>
        <v/>
      </c>
      <c r="I851" s="68" t="str">
        <f t="shared" si="148"/>
        <v/>
      </c>
      <c r="M851" s="1">
        <v>814</v>
      </c>
      <c r="N851" s="1" t="str">
        <f>IF($T851=0,"",INDEX(VIRMAN!$C$7:$C$406,$T851))</f>
        <v/>
      </c>
      <c r="O851" s="1" t="str">
        <f>IF($N851="","",$C$36&amp;" → "&amp;INDEX(VIRMAN!$E$7:$E$406,$T851)&amp;IF(INDEX(VIRMAN!$G$7:$G$406,$T851)="",""," – "&amp;INDEX(VIRMAN!$G$7:$G$406,$T851)))</f>
        <v/>
      </c>
      <c r="P851" s="1" t="str">
        <f t="shared" si="149"/>
        <v/>
      </c>
      <c r="Q851" s="1">
        <v>0</v>
      </c>
      <c r="R851" s="1">
        <f>IF($N851="",0,INDEX(VIRMAN!$F$7:$F$406,$T851))</f>
        <v>0</v>
      </c>
      <c r="S851" s="1">
        <f t="shared" si="145"/>
        <v>10000000000</v>
      </c>
      <c r="T851" s="1">
        <f>IFERROR(MATCH($C$36&amp;"|118",VIRMAN!$L$7:$L$406,0),0)</f>
        <v>0</v>
      </c>
      <c r="V851" s="1">
        <f t="shared" si="146"/>
        <v>10000000000</v>
      </c>
      <c r="W851" s="1">
        <f t="shared" si="147"/>
        <v>9</v>
      </c>
    </row>
    <row r="852" spans="2:23" ht="14.25" customHeight="1" x14ac:dyDescent="0.3">
      <c r="B852" s="65" t="str">
        <f t="shared" si="139"/>
        <v/>
      </c>
      <c r="C852" s="70" t="str">
        <f t="shared" si="140"/>
        <v/>
      </c>
      <c r="D852" s="74" t="str">
        <f t="shared" si="141"/>
        <v/>
      </c>
      <c r="F852" s="65" t="str">
        <f t="shared" si="142"/>
        <v/>
      </c>
      <c r="G852" s="68" t="str">
        <f t="shared" si="143"/>
        <v/>
      </c>
      <c r="H852" s="68" t="str">
        <f t="shared" si="144"/>
        <v/>
      </c>
      <c r="I852" s="68" t="str">
        <f t="shared" si="148"/>
        <v/>
      </c>
      <c r="M852" s="1">
        <v>815</v>
      </c>
      <c r="N852" s="1" t="str">
        <f>IF($T852=0,"",INDEX(VIRMAN!$C$7:$C$406,$T852))</f>
        <v/>
      </c>
      <c r="O852" s="1" t="str">
        <f>IF($N852="","",$C$36&amp;" → "&amp;INDEX(VIRMAN!$E$7:$E$406,$T852)&amp;IF(INDEX(VIRMAN!$G$7:$G$406,$T852)="",""," – "&amp;INDEX(VIRMAN!$G$7:$G$406,$T852)))</f>
        <v/>
      </c>
      <c r="P852" s="1" t="str">
        <f t="shared" si="149"/>
        <v/>
      </c>
      <c r="Q852" s="1">
        <v>0</v>
      </c>
      <c r="R852" s="1">
        <f>IF($N852="",0,INDEX(VIRMAN!$F$7:$F$406,$T852))</f>
        <v>0</v>
      </c>
      <c r="S852" s="1">
        <f t="shared" si="145"/>
        <v>10000000000</v>
      </c>
      <c r="T852" s="1">
        <f>IFERROR(MATCH($C$36&amp;"|119",VIRMAN!$L$7:$L$406,0),0)</f>
        <v>0</v>
      </c>
      <c r="V852" s="1">
        <f t="shared" si="146"/>
        <v>10000000000</v>
      </c>
      <c r="W852" s="1">
        <f t="shared" si="147"/>
        <v>9</v>
      </c>
    </row>
    <row r="853" spans="2:23" ht="14.25" customHeight="1" x14ac:dyDescent="0.3">
      <c r="B853" s="65" t="str">
        <f t="shared" si="139"/>
        <v/>
      </c>
      <c r="C853" s="70" t="str">
        <f t="shared" si="140"/>
        <v/>
      </c>
      <c r="D853" s="74" t="str">
        <f t="shared" si="141"/>
        <v/>
      </c>
      <c r="F853" s="65" t="str">
        <f t="shared" si="142"/>
        <v/>
      </c>
      <c r="G853" s="68" t="str">
        <f t="shared" si="143"/>
        <v/>
      </c>
      <c r="H853" s="68" t="str">
        <f t="shared" si="144"/>
        <v/>
      </c>
      <c r="I853" s="68" t="str">
        <f t="shared" si="148"/>
        <v/>
      </c>
      <c r="M853" s="1">
        <v>816</v>
      </c>
      <c r="N853" s="1" t="str">
        <f>IF($T853=0,"",INDEX(VIRMAN!$C$7:$C$406,$T853))</f>
        <v/>
      </c>
      <c r="O853" s="1" t="str">
        <f>IF($N853="","",$C$36&amp;" → "&amp;INDEX(VIRMAN!$E$7:$E$406,$T853)&amp;IF(INDEX(VIRMAN!$G$7:$G$406,$T853)="",""," – "&amp;INDEX(VIRMAN!$G$7:$G$406,$T853)))</f>
        <v/>
      </c>
      <c r="P853" s="1" t="str">
        <f t="shared" si="149"/>
        <v/>
      </c>
      <c r="Q853" s="1">
        <v>0</v>
      </c>
      <c r="R853" s="1">
        <f>IF($N853="",0,INDEX(VIRMAN!$F$7:$F$406,$T853))</f>
        <v>0</v>
      </c>
      <c r="S853" s="1">
        <f t="shared" si="145"/>
        <v>10000000000</v>
      </c>
      <c r="T853" s="1">
        <f>IFERROR(MATCH($C$36&amp;"|120",VIRMAN!$L$7:$L$406,0),0)</f>
        <v>0</v>
      </c>
      <c r="V853" s="1">
        <f t="shared" si="146"/>
        <v>10000000000</v>
      </c>
      <c r="W853" s="1">
        <f t="shared" si="147"/>
        <v>9</v>
      </c>
    </row>
    <row r="854" spans="2:23" ht="14.25" customHeight="1" x14ac:dyDescent="0.3">
      <c r="B854" s="65" t="str">
        <f t="shared" si="139"/>
        <v/>
      </c>
      <c r="C854" s="70" t="str">
        <f t="shared" si="140"/>
        <v/>
      </c>
      <c r="D854" s="74" t="str">
        <f t="shared" si="141"/>
        <v/>
      </c>
      <c r="F854" s="65" t="str">
        <f t="shared" si="142"/>
        <v/>
      </c>
      <c r="G854" s="68" t="str">
        <f t="shared" si="143"/>
        <v/>
      </c>
      <c r="H854" s="68" t="str">
        <f t="shared" si="144"/>
        <v/>
      </c>
      <c r="I854" s="68" t="str">
        <f t="shared" si="148"/>
        <v/>
      </c>
      <c r="M854" s="1">
        <v>817</v>
      </c>
      <c r="N854" s="1" t="str">
        <f>IF($T854=0,"",INDEX(VIRMAN!$C$7:$C$406,$T854))</f>
        <v/>
      </c>
      <c r="O854" s="1" t="str">
        <f>IF($N854="","",$C$36&amp;" → "&amp;INDEX(VIRMAN!$E$7:$E$406,$T854)&amp;IF(INDEX(VIRMAN!$G$7:$G$406,$T854)="",""," – "&amp;INDEX(VIRMAN!$G$7:$G$406,$T854)))</f>
        <v/>
      </c>
      <c r="P854" s="1" t="str">
        <f t="shared" si="149"/>
        <v/>
      </c>
      <c r="Q854" s="1">
        <v>0</v>
      </c>
      <c r="R854" s="1">
        <f>IF($N854="",0,INDEX(VIRMAN!$F$7:$F$406,$T854))</f>
        <v>0</v>
      </c>
      <c r="S854" s="1">
        <f t="shared" si="145"/>
        <v>10000000000</v>
      </c>
      <c r="T854" s="1">
        <f>IFERROR(MATCH($C$36&amp;"|121",VIRMAN!$L$7:$L$406,0),0)</f>
        <v>0</v>
      </c>
      <c r="V854" s="1">
        <f t="shared" si="146"/>
        <v>10000000000</v>
      </c>
      <c r="W854" s="1">
        <f t="shared" si="147"/>
        <v>9</v>
      </c>
    </row>
    <row r="855" spans="2:23" ht="14.25" customHeight="1" x14ac:dyDescent="0.3">
      <c r="B855" s="65" t="str">
        <f t="shared" si="139"/>
        <v/>
      </c>
      <c r="C855" s="70" t="str">
        <f t="shared" si="140"/>
        <v/>
      </c>
      <c r="D855" s="74" t="str">
        <f t="shared" si="141"/>
        <v/>
      </c>
      <c r="F855" s="65" t="str">
        <f t="shared" si="142"/>
        <v/>
      </c>
      <c r="G855" s="68" t="str">
        <f t="shared" si="143"/>
        <v/>
      </c>
      <c r="H855" s="68" t="str">
        <f t="shared" si="144"/>
        <v/>
      </c>
      <c r="I855" s="68" t="str">
        <f t="shared" si="148"/>
        <v/>
      </c>
      <c r="M855" s="1">
        <v>818</v>
      </c>
      <c r="N855" s="1" t="str">
        <f>IF($T855=0,"",INDEX(VIRMAN!$C$7:$C$406,$T855))</f>
        <v/>
      </c>
      <c r="O855" s="1" t="str">
        <f>IF($N855="","",$C$36&amp;" → "&amp;INDEX(VIRMAN!$E$7:$E$406,$T855)&amp;IF(INDEX(VIRMAN!$G$7:$G$406,$T855)="",""," – "&amp;INDEX(VIRMAN!$G$7:$G$406,$T855)))</f>
        <v/>
      </c>
      <c r="P855" s="1" t="str">
        <f t="shared" si="149"/>
        <v/>
      </c>
      <c r="Q855" s="1">
        <v>0</v>
      </c>
      <c r="R855" s="1">
        <f>IF($N855="",0,INDEX(VIRMAN!$F$7:$F$406,$T855))</f>
        <v>0</v>
      </c>
      <c r="S855" s="1">
        <f t="shared" si="145"/>
        <v>10000000000</v>
      </c>
      <c r="T855" s="1">
        <f>IFERROR(MATCH($C$36&amp;"|122",VIRMAN!$L$7:$L$406,0),0)</f>
        <v>0</v>
      </c>
      <c r="V855" s="1">
        <f t="shared" si="146"/>
        <v>10000000000</v>
      </c>
      <c r="W855" s="1">
        <f t="shared" si="147"/>
        <v>9</v>
      </c>
    </row>
    <row r="856" spans="2:23" ht="14.25" customHeight="1" x14ac:dyDescent="0.3">
      <c r="B856" s="65" t="str">
        <f t="shared" si="139"/>
        <v/>
      </c>
      <c r="C856" s="70" t="str">
        <f t="shared" si="140"/>
        <v/>
      </c>
      <c r="D856" s="74" t="str">
        <f t="shared" si="141"/>
        <v/>
      </c>
      <c r="F856" s="65" t="str">
        <f t="shared" si="142"/>
        <v/>
      </c>
      <c r="G856" s="68" t="str">
        <f t="shared" si="143"/>
        <v/>
      </c>
      <c r="H856" s="68" t="str">
        <f t="shared" si="144"/>
        <v/>
      </c>
      <c r="I856" s="68" t="str">
        <f t="shared" si="148"/>
        <v/>
      </c>
      <c r="M856" s="1">
        <v>819</v>
      </c>
      <c r="N856" s="1" t="str">
        <f>IF($T856=0,"",INDEX(VIRMAN!$C$7:$C$406,$T856))</f>
        <v/>
      </c>
      <c r="O856" s="1" t="str">
        <f>IF($N856="","",$C$36&amp;" → "&amp;INDEX(VIRMAN!$E$7:$E$406,$T856)&amp;IF(INDEX(VIRMAN!$G$7:$G$406,$T856)="",""," – "&amp;INDEX(VIRMAN!$G$7:$G$406,$T856)))</f>
        <v/>
      </c>
      <c r="P856" s="1" t="str">
        <f t="shared" si="149"/>
        <v/>
      </c>
      <c r="Q856" s="1">
        <v>0</v>
      </c>
      <c r="R856" s="1">
        <f>IF($N856="",0,INDEX(VIRMAN!$F$7:$F$406,$T856))</f>
        <v>0</v>
      </c>
      <c r="S856" s="1">
        <f t="shared" si="145"/>
        <v>10000000000</v>
      </c>
      <c r="T856" s="1">
        <f>IFERROR(MATCH($C$36&amp;"|123",VIRMAN!$L$7:$L$406,0),0)</f>
        <v>0</v>
      </c>
      <c r="V856" s="1">
        <f t="shared" si="146"/>
        <v>10000000000</v>
      </c>
      <c r="W856" s="1">
        <f t="shared" si="147"/>
        <v>9</v>
      </c>
    </row>
    <row r="857" spans="2:23" ht="14.25" customHeight="1" x14ac:dyDescent="0.3">
      <c r="B857" s="65" t="str">
        <f t="shared" si="139"/>
        <v/>
      </c>
      <c r="C857" s="70" t="str">
        <f t="shared" si="140"/>
        <v/>
      </c>
      <c r="D857" s="74" t="str">
        <f t="shared" si="141"/>
        <v/>
      </c>
      <c r="F857" s="65" t="str">
        <f t="shared" si="142"/>
        <v/>
      </c>
      <c r="G857" s="68" t="str">
        <f t="shared" si="143"/>
        <v/>
      </c>
      <c r="H857" s="68" t="str">
        <f t="shared" si="144"/>
        <v/>
      </c>
      <c r="I857" s="68" t="str">
        <f t="shared" si="148"/>
        <v/>
      </c>
      <c r="M857" s="1">
        <v>820</v>
      </c>
      <c r="N857" s="1" t="str">
        <f>IF($T857=0,"",INDEX(VIRMAN!$C$7:$C$406,$T857))</f>
        <v/>
      </c>
      <c r="O857" s="1" t="str">
        <f>IF($N857="","",$C$36&amp;" → "&amp;INDEX(VIRMAN!$E$7:$E$406,$T857)&amp;IF(INDEX(VIRMAN!$G$7:$G$406,$T857)="",""," – "&amp;INDEX(VIRMAN!$G$7:$G$406,$T857)))</f>
        <v/>
      </c>
      <c r="P857" s="1" t="str">
        <f t="shared" si="149"/>
        <v/>
      </c>
      <c r="Q857" s="1">
        <v>0</v>
      </c>
      <c r="R857" s="1">
        <f>IF($N857="",0,INDEX(VIRMAN!$F$7:$F$406,$T857))</f>
        <v>0</v>
      </c>
      <c r="S857" s="1">
        <f t="shared" si="145"/>
        <v>10000000000</v>
      </c>
      <c r="T857" s="1">
        <f>IFERROR(MATCH($C$36&amp;"|124",VIRMAN!$L$7:$L$406,0),0)</f>
        <v>0</v>
      </c>
      <c r="V857" s="1">
        <f t="shared" si="146"/>
        <v>10000000000</v>
      </c>
      <c r="W857" s="1">
        <f t="shared" si="147"/>
        <v>9</v>
      </c>
    </row>
    <row r="858" spans="2:23" ht="14.25" customHeight="1" x14ac:dyDescent="0.3">
      <c r="B858" s="65" t="str">
        <f t="shared" si="139"/>
        <v/>
      </c>
      <c r="C858" s="70" t="str">
        <f t="shared" si="140"/>
        <v/>
      </c>
      <c r="D858" s="74" t="str">
        <f t="shared" si="141"/>
        <v/>
      </c>
      <c r="F858" s="65" t="str">
        <f t="shared" si="142"/>
        <v/>
      </c>
      <c r="G858" s="68" t="str">
        <f t="shared" si="143"/>
        <v/>
      </c>
      <c r="H858" s="68" t="str">
        <f t="shared" si="144"/>
        <v/>
      </c>
      <c r="I858" s="68" t="str">
        <f t="shared" si="148"/>
        <v/>
      </c>
      <c r="M858" s="1">
        <v>821</v>
      </c>
      <c r="N858" s="1" t="str">
        <f>IF($T858=0,"",INDEX(VIRMAN!$C$7:$C$406,$T858))</f>
        <v/>
      </c>
      <c r="O858" s="1" t="str">
        <f>IF($N858="","",$C$36&amp;" → "&amp;INDEX(VIRMAN!$E$7:$E$406,$T858)&amp;IF(INDEX(VIRMAN!$G$7:$G$406,$T858)="",""," – "&amp;INDEX(VIRMAN!$G$7:$G$406,$T858)))</f>
        <v/>
      </c>
      <c r="P858" s="1" t="str">
        <f t="shared" si="149"/>
        <v/>
      </c>
      <c r="Q858" s="1">
        <v>0</v>
      </c>
      <c r="R858" s="1">
        <f>IF($N858="",0,INDEX(VIRMAN!$F$7:$F$406,$T858))</f>
        <v>0</v>
      </c>
      <c r="S858" s="1">
        <f t="shared" si="145"/>
        <v>10000000000</v>
      </c>
      <c r="T858" s="1">
        <f>IFERROR(MATCH($C$36&amp;"|125",VIRMAN!$L$7:$L$406,0),0)</f>
        <v>0</v>
      </c>
      <c r="V858" s="1">
        <f t="shared" si="146"/>
        <v>10000000000</v>
      </c>
      <c r="W858" s="1">
        <f t="shared" si="147"/>
        <v>9</v>
      </c>
    </row>
    <row r="859" spans="2:23" ht="14.25" customHeight="1" x14ac:dyDescent="0.3">
      <c r="B859" s="65" t="str">
        <f t="shared" si="139"/>
        <v/>
      </c>
      <c r="C859" s="70" t="str">
        <f t="shared" si="140"/>
        <v/>
      </c>
      <c r="D859" s="74" t="str">
        <f t="shared" si="141"/>
        <v/>
      </c>
      <c r="F859" s="65" t="str">
        <f t="shared" si="142"/>
        <v/>
      </c>
      <c r="G859" s="68" t="str">
        <f t="shared" si="143"/>
        <v/>
      </c>
      <c r="H859" s="68" t="str">
        <f t="shared" si="144"/>
        <v/>
      </c>
      <c r="I859" s="68" t="str">
        <f t="shared" si="148"/>
        <v/>
      </c>
      <c r="M859" s="1">
        <v>822</v>
      </c>
      <c r="N859" s="1" t="str">
        <f>IF($T859=0,"",INDEX(VIRMAN!$C$7:$C$406,$T859))</f>
        <v/>
      </c>
      <c r="O859" s="1" t="str">
        <f>IF($N859="","",$C$36&amp;" → "&amp;INDEX(VIRMAN!$E$7:$E$406,$T859)&amp;IF(INDEX(VIRMAN!$G$7:$G$406,$T859)="",""," – "&amp;INDEX(VIRMAN!$G$7:$G$406,$T859)))</f>
        <v/>
      </c>
      <c r="P859" s="1" t="str">
        <f t="shared" si="149"/>
        <v/>
      </c>
      <c r="Q859" s="1">
        <v>0</v>
      </c>
      <c r="R859" s="1">
        <f>IF($N859="",0,INDEX(VIRMAN!$F$7:$F$406,$T859))</f>
        <v>0</v>
      </c>
      <c r="S859" s="1">
        <f t="shared" si="145"/>
        <v>10000000000</v>
      </c>
      <c r="T859" s="1">
        <f>IFERROR(MATCH($C$36&amp;"|126",VIRMAN!$L$7:$L$406,0),0)</f>
        <v>0</v>
      </c>
      <c r="V859" s="1">
        <f t="shared" si="146"/>
        <v>10000000000</v>
      </c>
      <c r="W859" s="1">
        <f t="shared" si="147"/>
        <v>9</v>
      </c>
    </row>
    <row r="860" spans="2:23" ht="14.25" customHeight="1" x14ac:dyDescent="0.3">
      <c r="B860" s="65" t="str">
        <f t="shared" si="139"/>
        <v/>
      </c>
      <c r="C860" s="70" t="str">
        <f t="shared" si="140"/>
        <v/>
      </c>
      <c r="D860" s="74" t="str">
        <f t="shared" si="141"/>
        <v/>
      </c>
      <c r="F860" s="65" t="str">
        <f t="shared" si="142"/>
        <v/>
      </c>
      <c r="G860" s="68" t="str">
        <f t="shared" si="143"/>
        <v/>
      </c>
      <c r="H860" s="68" t="str">
        <f t="shared" si="144"/>
        <v/>
      </c>
      <c r="I860" s="68" t="str">
        <f t="shared" si="148"/>
        <v/>
      </c>
      <c r="M860" s="1">
        <v>823</v>
      </c>
      <c r="N860" s="1" t="str">
        <f>IF($T860=0,"",INDEX(VIRMAN!$C$7:$C$406,$T860))</f>
        <v/>
      </c>
      <c r="O860" s="1" t="str">
        <f>IF($N860="","",$C$36&amp;" → "&amp;INDEX(VIRMAN!$E$7:$E$406,$T860)&amp;IF(INDEX(VIRMAN!$G$7:$G$406,$T860)="",""," – "&amp;INDEX(VIRMAN!$G$7:$G$406,$T860)))</f>
        <v/>
      </c>
      <c r="P860" s="1" t="str">
        <f t="shared" si="149"/>
        <v/>
      </c>
      <c r="Q860" s="1">
        <v>0</v>
      </c>
      <c r="R860" s="1">
        <f>IF($N860="",0,INDEX(VIRMAN!$F$7:$F$406,$T860))</f>
        <v>0</v>
      </c>
      <c r="S860" s="1">
        <f t="shared" si="145"/>
        <v>10000000000</v>
      </c>
      <c r="T860" s="1">
        <f>IFERROR(MATCH($C$36&amp;"|127",VIRMAN!$L$7:$L$406,0),0)</f>
        <v>0</v>
      </c>
      <c r="V860" s="1">
        <f t="shared" si="146"/>
        <v>10000000000</v>
      </c>
      <c r="W860" s="1">
        <f t="shared" si="147"/>
        <v>9</v>
      </c>
    </row>
    <row r="861" spans="2:23" ht="14.25" customHeight="1" x14ac:dyDescent="0.3">
      <c r="B861" s="65" t="str">
        <f t="shared" si="139"/>
        <v/>
      </c>
      <c r="C861" s="70" t="str">
        <f t="shared" si="140"/>
        <v/>
      </c>
      <c r="D861" s="74" t="str">
        <f t="shared" si="141"/>
        <v/>
      </c>
      <c r="F861" s="65" t="str">
        <f t="shared" si="142"/>
        <v/>
      </c>
      <c r="G861" s="68" t="str">
        <f t="shared" si="143"/>
        <v/>
      </c>
      <c r="H861" s="68" t="str">
        <f t="shared" si="144"/>
        <v/>
      </c>
      <c r="I861" s="68" t="str">
        <f t="shared" si="148"/>
        <v/>
      </c>
      <c r="M861" s="1">
        <v>824</v>
      </c>
      <c r="N861" s="1" t="str">
        <f>IF($T861=0,"",INDEX(VIRMAN!$C$7:$C$406,$T861))</f>
        <v/>
      </c>
      <c r="O861" s="1" t="str">
        <f>IF($N861="","",$C$36&amp;" → "&amp;INDEX(VIRMAN!$E$7:$E$406,$T861)&amp;IF(INDEX(VIRMAN!$G$7:$G$406,$T861)="",""," – "&amp;INDEX(VIRMAN!$G$7:$G$406,$T861)))</f>
        <v/>
      </c>
      <c r="P861" s="1" t="str">
        <f t="shared" si="149"/>
        <v/>
      </c>
      <c r="Q861" s="1">
        <v>0</v>
      </c>
      <c r="R861" s="1">
        <f>IF($N861="",0,INDEX(VIRMAN!$F$7:$F$406,$T861))</f>
        <v>0</v>
      </c>
      <c r="S861" s="1">
        <f t="shared" si="145"/>
        <v>10000000000</v>
      </c>
      <c r="T861" s="1">
        <f>IFERROR(MATCH($C$36&amp;"|128",VIRMAN!$L$7:$L$406,0),0)</f>
        <v>0</v>
      </c>
      <c r="V861" s="1">
        <f t="shared" si="146"/>
        <v>10000000000</v>
      </c>
      <c r="W861" s="1">
        <f t="shared" si="147"/>
        <v>9</v>
      </c>
    </row>
    <row r="862" spans="2:23" ht="14.25" customHeight="1" x14ac:dyDescent="0.3">
      <c r="B862" s="65" t="str">
        <f t="shared" si="139"/>
        <v/>
      </c>
      <c r="C862" s="70" t="str">
        <f t="shared" si="140"/>
        <v/>
      </c>
      <c r="D862" s="74" t="str">
        <f t="shared" si="141"/>
        <v/>
      </c>
      <c r="F862" s="65" t="str">
        <f t="shared" si="142"/>
        <v/>
      </c>
      <c r="G862" s="68" t="str">
        <f t="shared" si="143"/>
        <v/>
      </c>
      <c r="H862" s="68" t="str">
        <f t="shared" si="144"/>
        <v/>
      </c>
      <c r="I862" s="68" t="str">
        <f t="shared" si="148"/>
        <v/>
      </c>
      <c r="M862" s="1">
        <v>825</v>
      </c>
      <c r="N862" s="1" t="str">
        <f>IF($T862=0,"",INDEX(VIRMAN!$C$7:$C$406,$T862))</f>
        <v/>
      </c>
      <c r="O862" s="1" t="str">
        <f>IF($N862="","",$C$36&amp;" → "&amp;INDEX(VIRMAN!$E$7:$E$406,$T862)&amp;IF(INDEX(VIRMAN!$G$7:$G$406,$T862)="",""," – "&amp;INDEX(VIRMAN!$G$7:$G$406,$T862)))</f>
        <v/>
      </c>
      <c r="P862" s="1" t="str">
        <f t="shared" ref="P862:P893" si="150">IF($N862="","","OFİSE/KASAYA ÖDEDİ")</f>
        <v/>
      </c>
      <c r="Q862" s="1">
        <v>0</v>
      </c>
      <c r="R862" s="1">
        <f>IF($N862="",0,INDEX(VIRMAN!$F$7:$F$406,$T862))</f>
        <v>0</v>
      </c>
      <c r="S862" s="1">
        <f t="shared" si="145"/>
        <v>10000000000</v>
      </c>
      <c r="T862" s="1">
        <f>IFERROR(MATCH($C$36&amp;"|129",VIRMAN!$L$7:$L$406,0),0)</f>
        <v>0</v>
      </c>
      <c r="V862" s="1">
        <f t="shared" si="146"/>
        <v>10000000000</v>
      </c>
      <c r="W862" s="1">
        <f t="shared" si="147"/>
        <v>9</v>
      </c>
    </row>
    <row r="863" spans="2:23" ht="14.25" customHeight="1" x14ac:dyDescent="0.3">
      <c r="B863" s="65" t="str">
        <f t="shared" si="139"/>
        <v/>
      </c>
      <c r="C863" s="70" t="str">
        <f t="shared" si="140"/>
        <v/>
      </c>
      <c r="D863" s="74" t="str">
        <f t="shared" si="141"/>
        <v/>
      </c>
      <c r="F863" s="65" t="str">
        <f t="shared" si="142"/>
        <v/>
      </c>
      <c r="G863" s="68" t="str">
        <f t="shared" si="143"/>
        <v/>
      </c>
      <c r="H863" s="68" t="str">
        <f t="shared" si="144"/>
        <v/>
      </c>
      <c r="I863" s="68" t="str">
        <f t="shared" si="148"/>
        <v/>
      </c>
      <c r="M863" s="1">
        <v>826</v>
      </c>
      <c r="N863" s="1" t="str">
        <f>IF($T863=0,"",INDEX(VIRMAN!$C$7:$C$406,$T863))</f>
        <v/>
      </c>
      <c r="O863" s="1" t="str">
        <f>IF($N863="","",$C$36&amp;" → "&amp;INDEX(VIRMAN!$E$7:$E$406,$T863)&amp;IF(INDEX(VIRMAN!$G$7:$G$406,$T863)="",""," – "&amp;INDEX(VIRMAN!$G$7:$G$406,$T863)))</f>
        <v/>
      </c>
      <c r="P863" s="1" t="str">
        <f t="shared" si="150"/>
        <v/>
      </c>
      <c r="Q863" s="1">
        <v>0</v>
      </c>
      <c r="R863" s="1">
        <f>IF($N863="",0,INDEX(VIRMAN!$F$7:$F$406,$T863))</f>
        <v>0</v>
      </c>
      <c r="S863" s="1">
        <f t="shared" si="145"/>
        <v>10000000000</v>
      </c>
      <c r="T863" s="1">
        <f>IFERROR(MATCH($C$36&amp;"|130",VIRMAN!$L$7:$L$406,0),0)</f>
        <v>0</v>
      </c>
      <c r="V863" s="1">
        <f t="shared" si="146"/>
        <v>10000000000</v>
      </c>
      <c r="W863" s="1">
        <f t="shared" si="147"/>
        <v>9</v>
      </c>
    </row>
    <row r="864" spans="2:23" ht="14.25" customHeight="1" x14ac:dyDescent="0.3">
      <c r="B864" s="65" t="str">
        <f t="shared" si="139"/>
        <v/>
      </c>
      <c r="C864" s="70" t="str">
        <f t="shared" si="140"/>
        <v/>
      </c>
      <c r="D864" s="74" t="str">
        <f t="shared" si="141"/>
        <v/>
      </c>
      <c r="F864" s="65" t="str">
        <f t="shared" si="142"/>
        <v/>
      </c>
      <c r="G864" s="68" t="str">
        <f t="shared" si="143"/>
        <v/>
      </c>
      <c r="H864" s="68" t="str">
        <f t="shared" si="144"/>
        <v/>
      </c>
      <c r="I864" s="68" t="str">
        <f t="shared" si="148"/>
        <v/>
      </c>
      <c r="M864" s="1">
        <v>827</v>
      </c>
      <c r="N864" s="1" t="str">
        <f>IF($T864=0,"",INDEX(VIRMAN!$C$7:$C$406,$T864))</f>
        <v/>
      </c>
      <c r="O864" s="1" t="str">
        <f>IF($N864="","",$C$36&amp;" → "&amp;INDEX(VIRMAN!$E$7:$E$406,$T864)&amp;IF(INDEX(VIRMAN!$G$7:$G$406,$T864)="",""," – "&amp;INDEX(VIRMAN!$G$7:$G$406,$T864)))</f>
        <v/>
      </c>
      <c r="P864" s="1" t="str">
        <f t="shared" si="150"/>
        <v/>
      </c>
      <c r="Q864" s="1">
        <v>0</v>
      </c>
      <c r="R864" s="1">
        <f>IF($N864="",0,INDEX(VIRMAN!$F$7:$F$406,$T864))</f>
        <v>0</v>
      </c>
      <c r="S864" s="1">
        <f t="shared" si="145"/>
        <v>10000000000</v>
      </c>
      <c r="T864" s="1">
        <f>IFERROR(MATCH($C$36&amp;"|131",VIRMAN!$L$7:$L$406,0),0)</f>
        <v>0</v>
      </c>
      <c r="V864" s="1">
        <f t="shared" si="146"/>
        <v>10000000000</v>
      </c>
      <c r="W864" s="1">
        <f t="shared" si="147"/>
        <v>9</v>
      </c>
    </row>
    <row r="865" spans="2:23" ht="14.25" customHeight="1" x14ac:dyDescent="0.3">
      <c r="B865" s="65" t="str">
        <f t="shared" si="139"/>
        <v/>
      </c>
      <c r="C865" s="70" t="str">
        <f t="shared" si="140"/>
        <v/>
      </c>
      <c r="D865" s="74" t="str">
        <f t="shared" si="141"/>
        <v/>
      </c>
      <c r="F865" s="65" t="str">
        <f t="shared" si="142"/>
        <v/>
      </c>
      <c r="G865" s="68" t="str">
        <f t="shared" si="143"/>
        <v/>
      </c>
      <c r="H865" s="68" t="str">
        <f t="shared" si="144"/>
        <v/>
      </c>
      <c r="I865" s="68" t="str">
        <f t="shared" si="148"/>
        <v/>
      </c>
      <c r="M865" s="1">
        <v>828</v>
      </c>
      <c r="N865" s="1" t="str">
        <f>IF($T865=0,"",INDEX(VIRMAN!$C$7:$C$406,$T865))</f>
        <v/>
      </c>
      <c r="O865" s="1" t="str">
        <f>IF($N865="","",$C$36&amp;" → "&amp;INDEX(VIRMAN!$E$7:$E$406,$T865)&amp;IF(INDEX(VIRMAN!$G$7:$G$406,$T865)="",""," – "&amp;INDEX(VIRMAN!$G$7:$G$406,$T865)))</f>
        <v/>
      </c>
      <c r="P865" s="1" t="str">
        <f t="shared" si="150"/>
        <v/>
      </c>
      <c r="Q865" s="1">
        <v>0</v>
      </c>
      <c r="R865" s="1">
        <f>IF($N865="",0,INDEX(VIRMAN!$F$7:$F$406,$T865))</f>
        <v>0</v>
      </c>
      <c r="S865" s="1">
        <f t="shared" si="145"/>
        <v>10000000000</v>
      </c>
      <c r="T865" s="1">
        <f>IFERROR(MATCH($C$36&amp;"|132",VIRMAN!$L$7:$L$406,0),0)</f>
        <v>0</v>
      </c>
      <c r="V865" s="1">
        <f t="shared" si="146"/>
        <v>10000000000</v>
      </c>
      <c r="W865" s="1">
        <f t="shared" si="147"/>
        <v>9</v>
      </c>
    </row>
    <row r="866" spans="2:23" ht="14.25" customHeight="1" x14ac:dyDescent="0.3">
      <c r="B866" s="65" t="str">
        <f t="shared" si="139"/>
        <v/>
      </c>
      <c r="C866" s="70" t="str">
        <f t="shared" si="140"/>
        <v/>
      </c>
      <c r="D866" s="74" t="str">
        <f t="shared" si="141"/>
        <v/>
      </c>
      <c r="F866" s="65" t="str">
        <f t="shared" si="142"/>
        <v/>
      </c>
      <c r="G866" s="68" t="str">
        <f t="shared" si="143"/>
        <v/>
      </c>
      <c r="H866" s="68" t="str">
        <f t="shared" si="144"/>
        <v/>
      </c>
      <c r="I866" s="68" t="str">
        <f t="shared" si="148"/>
        <v/>
      </c>
      <c r="M866" s="1">
        <v>829</v>
      </c>
      <c r="N866" s="1" t="str">
        <f>IF($T866=0,"",INDEX(VIRMAN!$C$7:$C$406,$T866))</f>
        <v/>
      </c>
      <c r="O866" s="1" t="str">
        <f>IF($N866="","",$C$36&amp;" → "&amp;INDEX(VIRMAN!$E$7:$E$406,$T866)&amp;IF(INDEX(VIRMAN!$G$7:$G$406,$T866)="",""," – "&amp;INDEX(VIRMAN!$G$7:$G$406,$T866)))</f>
        <v/>
      </c>
      <c r="P866" s="1" t="str">
        <f t="shared" si="150"/>
        <v/>
      </c>
      <c r="Q866" s="1">
        <v>0</v>
      </c>
      <c r="R866" s="1">
        <f>IF($N866="",0,INDEX(VIRMAN!$F$7:$F$406,$T866))</f>
        <v>0</v>
      </c>
      <c r="S866" s="1">
        <f t="shared" si="145"/>
        <v>10000000000</v>
      </c>
      <c r="T866" s="1">
        <f>IFERROR(MATCH($C$36&amp;"|133",VIRMAN!$L$7:$L$406,0),0)</f>
        <v>0</v>
      </c>
      <c r="V866" s="1">
        <f t="shared" si="146"/>
        <v>10000000000</v>
      </c>
      <c r="W866" s="1">
        <f t="shared" si="147"/>
        <v>9</v>
      </c>
    </row>
    <row r="867" spans="2:23" ht="14.25" customHeight="1" x14ac:dyDescent="0.3">
      <c r="B867" s="65" t="str">
        <f t="shared" si="139"/>
        <v/>
      </c>
      <c r="C867" s="70" t="str">
        <f t="shared" si="140"/>
        <v/>
      </c>
      <c r="D867" s="74" t="str">
        <f t="shared" si="141"/>
        <v/>
      </c>
      <c r="F867" s="65" t="str">
        <f t="shared" si="142"/>
        <v/>
      </c>
      <c r="G867" s="68" t="str">
        <f t="shared" si="143"/>
        <v/>
      </c>
      <c r="H867" s="68" t="str">
        <f t="shared" si="144"/>
        <v/>
      </c>
      <c r="I867" s="68" t="str">
        <f t="shared" si="148"/>
        <v/>
      </c>
      <c r="M867" s="1">
        <v>830</v>
      </c>
      <c r="N867" s="1" t="str">
        <f>IF($T867=0,"",INDEX(VIRMAN!$C$7:$C$406,$T867))</f>
        <v/>
      </c>
      <c r="O867" s="1" t="str">
        <f>IF($N867="","",$C$36&amp;" → "&amp;INDEX(VIRMAN!$E$7:$E$406,$T867)&amp;IF(INDEX(VIRMAN!$G$7:$G$406,$T867)="",""," – "&amp;INDEX(VIRMAN!$G$7:$G$406,$T867)))</f>
        <v/>
      </c>
      <c r="P867" s="1" t="str">
        <f t="shared" si="150"/>
        <v/>
      </c>
      <c r="Q867" s="1">
        <v>0</v>
      </c>
      <c r="R867" s="1">
        <f>IF($N867="",0,INDEX(VIRMAN!$F$7:$F$406,$T867))</f>
        <v>0</v>
      </c>
      <c r="S867" s="1">
        <f t="shared" si="145"/>
        <v>10000000000</v>
      </c>
      <c r="T867" s="1">
        <f>IFERROR(MATCH($C$36&amp;"|134",VIRMAN!$L$7:$L$406,0),0)</f>
        <v>0</v>
      </c>
      <c r="V867" s="1">
        <f t="shared" si="146"/>
        <v>10000000000</v>
      </c>
      <c r="W867" s="1">
        <f t="shared" si="147"/>
        <v>9</v>
      </c>
    </row>
    <row r="868" spans="2:23" ht="14.25" customHeight="1" x14ac:dyDescent="0.3">
      <c r="B868" s="65" t="str">
        <f t="shared" si="139"/>
        <v/>
      </c>
      <c r="C868" s="70" t="str">
        <f t="shared" si="140"/>
        <v/>
      </c>
      <c r="D868" s="74" t="str">
        <f t="shared" si="141"/>
        <v/>
      </c>
      <c r="F868" s="65" t="str">
        <f t="shared" si="142"/>
        <v/>
      </c>
      <c r="G868" s="68" t="str">
        <f t="shared" si="143"/>
        <v/>
      </c>
      <c r="H868" s="68" t="str">
        <f t="shared" si="144"/>
        <v/>
      </c>
      <c r="I868" s="68" t="str">
        <f t="shared" si="148"/>
        <v/>
      </c>
      <c r="M868" s="1">
        <v>831</v>
      </c>
      <c r="N868" s="1" t="str">
        <f>IF($T868=0,"",INDEX(VIRMAN!$C$7:$C$406,$T868))</f>
        <v/>
      </c>
      <c r="O868" s="1" t="str">
        <f>IF($N868="","",$C$36&amp;" → "&amp;INDEX(VIRMAN!$E$7:$E$406,$T868)&amp;IF(INDEX(VIRMAN!$G$7:$G$406,$T868)="",""," – "&amp;INDEX(VIRMAN!$G$7:$G$406,$T868)))</f>
        <v/>
      </c>
      <c r="P868" s="1" t="str">
        <f t="shared" si="150"/>
        <v/>
      </c>
      <c r="Q868" s="1">
        <v>0</v>
      </c>
      <c r="R868" s="1">
        <f>IF($N868="",0,INDEX(VIRMAN!$F$7:$F$406,$T868))</f>
        <v>0</v>
      </c>
      <c r="S868" s="1">
        <f t="shared" si="145"/>
        <v>10000000000</v>
      </c>
      <c r="T868" s="1">
        <f>IFERROR(MATCH($C$36&amp;"|135",VIRMAN!$L$7:$L$406,0),0)</f>
        <v>0</v>
      </c>
      <c r="V868" s="1">
        <f t="shared" si="146"/>
        <v>10000000000</v>
      </c>
      <c r="W868" s="1">
        <f t="shared" si="147"/>
        <v>9</v>
      </c>
    </row>
    <row r="869" spans="2:23" ht="14.25" customHeight="1" x14ac:dyDescent="0.3">
      <c r="B869" s="65" t="str">
        <f t="shared" si="139"/>
        <v/>
      </c>
      <c r="C869" s="70" t="str">
        <f t="shared" si="140"/>
        <v/>
      </c>
      <c r="D869" s="74" t="str">
        <f t="shared" si="141"/>
        <v/>
      </c>
      <c r="F869" s="65" t="str">
        <f t="shared" si="142"/>
        <v/>
      </c>
      <c r="G869" s="68" t="str">
        <f t="shared" si="143"/>
        <v/>
      </c>
      <c r="H869" s="68" t="str">
        <f t="shared" si="144"/>
        <v/>
      </c>
      <c r="I869" s="68" t="str">
        <f t="shared" si="148"/>
        <v/>
      </c>
      <c r="M869" s="1">
        <v>832</v>
      </c>
      <c r="N869" s="1" t="str">
        <f>IF($T869=0,"",INDEX(VIRMAN!$C$7:$C$406,$T869))</f>
        <v/>
      </c>
      <c r="O869" s="1" t="str">
        <f>IF($N869="","",$C$36&amp;" → "&amp;INDEX(VIRMAN!$E$7:$E$406,$T869)&amp;IF(INDEX(VIRMAN!$G$7:$G$406,$T869)="",""," – "&amp;INDEX(VIRMAN!$G$7:$G$406,$T869)))</f>
        <v/>
      </c>
      <c r="P869" s="1" t="str">
        <f t="shared" si="150"/>
        <v/>
      </c>
      <c r="Q869" s="1">
        <v>0</v>
      </c>
      <c r="R869" s="1">
        <f>IF($N869="",0,INDEX(VIRMAN!$F$7:$F$406,$T869))</f>
        <v>0</v>
      </c>
      <c r="S869" s="1">
        <f t="shared" si="145"/>
        <v>10000000000</v>
      </c>
      <c r="T869" s="1">
        <f>IFERROR(MATCH($C$36&amp;"|136",VIRMAN!$L$7:$L$406,0),0)</f>
        <v>0</v>
      </c>
      <c r="V869" s="1">
        <f t="shared" si="146"/>
        <v>10000000000</v>
      </c>
      <c r="W869" s="1">
        <f t="shared" si="147"/>
        <v>9</v>
      </c>
    </row>
    <row r="870" spans="2:23" ht="14.25" customHeight="1" x14ac:dyDescent="0.3">
      <c r="B870" s="65" t="str">
        <f t="shared" ref="B870:B933" si="151">IF($C870="","",ROW()-37)</f>
        <v/>
      </c>
      <c r="C870" s="70" t="str">
        <f t="shared" ref="C870:C933" si="152">IF($W870="","",IF(INDEX($N$38:$N$953,$W870)="","",INDEX($N$38:$N$953,$W870)))</f>
        <v/>
      </c>
      <c r="D870" s="74" t="str">
        <f t="shared" ref="D870:D933" si="153">IF($C870="","",INDEX($O$38:$O$953,$W870))</f>
        <v/>
      </c>
      <c r="F870" s="65" t="str">
        <f t="shared" ref="F870:F933" si="154">IF($C870="","",INDEX($P$38:$P$953,$W870))</f>
        <v/>
      </c>
      <c r="G870" s="68" t="str">
        <f t="shared" ref="G870:G933" si="155">IF($C870="","",INDEX($Q$38:$Q$953,$W870))</f>
        <v/>
      </c>
      <c r="H870" s="68" t="str">
        <f t="shared" ref="H870:H933" si="156">IF($C870="","",INDEX($R$38:$R$953,$W870))</f>
        <v/>
      </c>
      <c r="I870" s="68" t="str">
        <f t="shared" si="148"/>
        <v/>
      </c>
      <c r="M870" s="1">
        <v>833</v>
      </c>
      <c r="N870" s="1" t="str">
        <f>IF($T870=0,"",INDEX(VIRMAN!$C$7:$C$406,$T870))</f>
        <v/>
      </c>
      <c r="O870" s="1" t="str">
        <f>IF($N870="","",$C$36&amp;" → "&amp;INDEX(VIRMAN!$E$7:$E$406,$T870)&amp;IF(INDEX(VIRMAN!$G$7:$G$406,$T870)="",""," – "&amp;INDEX(VIRMAN!$G$7:$G$406,$T870)))</f>
        <v/>
      </c>
      <c r="P870" s="1" t="str">
        <f t="shared" si="150"/>
        <v/>
      </c>
      <c r="Q870" s="1">
        <v>0</v>
      </c>
      <c r="R870" s="1">
        <f>IF($N870="",0,INDEX(VIRMAN!$F$7:$F$406,$T870))</f>
        <v>0</v>
      </c>
      <c r="S870" s="1">
        <f t="shared" ref="S870:S893" si="157">IF($N870="",10000000000,$N870*100000+$M870)</f>
        <v>10000000000</v>
      </c>
      <c r="T870" s="1">
        <f>IFERROR(MATCH($C$36&amp;"|137",VIRMAN!$L$7:$L$406,0),0)</f>
        <v>0</v>
      </c>
      <c r="V870" s="1">
        <f t="shared" ref="V870:V933" si="158">IFERROR(SMALL($S$38:$S$953,ROW()-37),"")</f>
        <v>10000000000</v>
      </c>
      <c r="W870" s="1">
        <f t="shared" ref="W870:W933" si="159">IFERROR(MATCH($V870,$S$38:$S$953,0),"")</f>
        <v>9</v>
      </c>
    </row>
    <row r="871" spans="2:23" ht="14.25" customHeight="1" x14ac:dyDescent="0.3">
      <c r="B871" s="65" t="str">
        <f t="shared" si="151"/>
        <v/>
      </c>
      <c r="C871" s="70" t="str">
        <f t="shared" si="152"/>
        <v/>
      </c>
      <c r="D871" s="74" t="str">
        <f t="shared" si="153"/>
        <v/>
      </c>
      <c r="F871" s="65" t="str">
        <f t="shared" si="154"/>
        <v/>
      </c>
      <c r="G871" s="68" t="str">
        <f t="shared" si="155"/>
        <v/>
      </c>
      <c r="H871" s="68" t="str">
        <f t="shared" si="156"/>
        <v/>
      </c>
      <c r="I871" s="68" t="str">
        <f t="shared" ref="I871:I934" si="160">IF($C871="","",N($I870)+$G871-$H871)</f>
        <v/>
      </c>
      <c r="M871" s="1">
        <v>834</v>
      </c>
      <c r="N871" s="1" t="str">
        <f>IF($T871=0,"",INDEX(VIRMAN!$C$7:$C$406,$T871))</f>
        <v/>
      </c>
      <c r="O871" s="1" t="str">
        <f>IF($N871="","",$C$36&amp;" → "&amp;INDEX(VIRMAN!$E$7:$E$406,$T871)&amp;IF(INDEX(VIRMAN!$G$7:$G$406,$T871)="",""," – "&amp;INDEX(VIRMAN!$G$7:$G$406,$T871)))</f>
        <v/>
      </c>
      <c r="P871" s="1" t="str">
        <f t="shared" si="150"/>
        <v/>
      </c>
      <c r="Q871" s="1">
        <v>0</v>
      </c>
      <c r="R871" s="1">
        <f>IF($N871="",0,INDEX(VIRMAN!$F$7:$F$406,$T871))</f>
        <v>0</v>
      </c>
      <c r="S871" s="1">
        <f t="shared" si="157"/>
        <v>10000000000</v>
      </c>
      <c r="T871" s="1">
        <f>IFERROR(MATCH($C$36&amp;"|138",VIRMAN!$L$7:$L$406,0),0)</f>
        <v>0</v>
      </c>
      <c r="V871" s="1">
        <f t="shared" si="158"/>
        <v>10000000000</v>
      </c>
      <c r="W871" s="1">
        <f t="shared" si="159"/>
        <v>9</v>
      </c>
    </row>
    <row r="872" spans="2:23" ht="14.25" customHeight="1" x14ac:dyDescent="0.3">
      <c r="B872" s="65" t="str">
        <f t="shared" si="151"/>
        <v/>
      </c>
      <c r="C872" s="70" t="str">
        <f t="shared" si="152"/>
        <v/>
      </c>
      <c r="D872" s="74" t="str">
        <f t="shared" si="153"/>
        <v/>
      </c>
      <c r="F872" s="65" t="str">
        <f t="shared" si="154"/>
        <v/>
      </c>
      <c r="G872" s="68" t="str">
        <f t="shared" si="155"/>
        <v/>
      </c>
      <c r="H872" s="68" t="str">
        <f t="shared" si="156"/>
        <v/>
      </c>
      <c r="I872" s="68" t="str">
        <f t="shared" si="160"/>
        <v/>
      </c>
      <c r="M872" s="1">
        <v>835</v>
      </c>
      <c r="N872" s="1" t="str">
        <f>IF($T872=0,"",INDEX(VIRMAN!$C$7:$C$406,$T872))</f>
        <v/>
      </c>
      <c r="O872" s="1" t="str">
        <f>IF($N872="","",$C$36&amp;" → "&amp;INDEX(VIRMAN!$E$7:$E$406,$T872)&amp;IF(INDEX(VIRMAN!$G$7:$G$406,$T872)="",""," – "&amp;INDEX(VIRMAN!$G$7:$G$406,$T872)))</f>
        <v/>
      </c>
      <c r="P872" s="1" t="str">
        <f t="shared" si="150"/>
        <v/>
      </c>
      <c r="Q872" s="1">
        <v>0</v>
      </c>
      <c r="R872" s="1">
        <f>IF($N872="",0,INDEX(VIRMAN!$F$7:$F$406,$T872))</f>
        <v>0</v>
      </c>
      <c r="S872" s="1">
        <f t="shared" si="157"/>
        <v>10000000000</v>
      </c>
      <c r="T872" s="1">
        <f>IFERROR(MATCH($C$36&amp;"|139",VIRMAN!$L$7:$L$406,0),0)</f>
        <v>0</v>
      </c>
      <c r="V872" s="1">
        <f t="shared" si="158"/>
        <v>10000000000</v>
      </c>
      <c r="W872" s="1">
        <f t="shared" si="159"/>
        <v>9</v>
      </c>
    </row>
    <row r="873" spans="2:23" ht="14.25" customHeight="1" x14ac:dyDescent="0.3">
      <c r="B873" s="65" t="str">
        <f t="shared" si="151"/>
        <v/>
      </c>
      <c r="C873" s="70" t="str">
        <f t="shared" si="152"/>
        <v/>
      </c>
      <c r="D873" s="74" t="str">
        <f t="shared" si="153"/>
        <v/>
      </c>
      <c r="F873" s="65" t="str">
        <f t="shared" si="154"/>
        <v/>
      </c>
      <c r="G873" s="68" t="str">
        <f t="shared" si="155"/>
        <v/>
      </c>
      <c r="H873" s="68" t="str">
        <f t="shared" si="156"/>
        <v/>
      </c>
      <c r="I873" s="68" t="str">
        <f t="shared" si="160"/>
        <v/>
      </c>
      <c r="M873" s="1">
        <v>836</v>
      </c>
      <c r="N873" s="1" t="str">
        <f>IF($T873=0,"",INDEX(VIRMAN!$C$7:$C$406,$T873))</f>
        <v/>
      </c>
      <c r="O873" s="1" t="str">
        <f>IF($N873="","",$C$36&amp;" → "&amp;INDEX(VIRMAN!$E$7:$E$406,$T873)&amp;IF(INDEX(VIRMAN!$G$7:$G$406,$T873)="",""," – "&amp;INDEX(VIRMAN!$G$7:$G$406,$T873)))</f>
        <v/>
      </c>
      <c r="P873" s="1" t="str">
        <f t="shared" si="150"/>
        <v/>
      </c>
      <c r="Q873" s="1">
        <v>0</v>
      </c>
      <c r="R873" s="1">
        <f>IF($N873="",0,INDEX(VIRMAN!$F$7:$F$406,$T873))</f>
        <v>0</v>
      </c>
      <c r="S873" s="1">
        <f t="shared" si="157"/>
        <v>10000000000</v>
      </c>
      <c r="T873" s="1">
        <f>IFERROR(MATCH($C$36&amp;"|140",VIRMAN!$L$7:$L$406,0),0)</f>
        <v>0</v>
      </c>
      <c r="V873" s="1">
        <f t="shared" si="158"/>
        <v>10000000000</v>
      </c>
      <c r="W873" s="1">
        <f t="shared" si="159"/>
        <v>9</v>
      </c>
    </row>
    <row r="874" spans="2:23" ht="14.25" customHeight="1" x14ac:dyDescent="0.3">
      <c r="B874" s="65" t="str">
        <f t="shared" si="151"/>
        <v/>
      </c>
      <c r="C874" s="70" t="str">
        <f t="shared" si="152"/>
        <v/>
      </c>
      <c r="D874" s="74" t="str">
        <f t="shared" si="153"/>
        <v/>
      </c>
      <c r="F874" s="65" t="str">
        <f t="shared" si="154"/>
        <v/>
      </c>
      <c r="G874" s="68" t="str">
        <f t="shared" si="155"/>
        <v/>
      </c>
      <c r="H874" s="68" t="str">
        <f t="shared" si="156"/>
        <v/>
      </c>
      <c r="I874" s="68" t="str">
        <f t="shared" si="160"/>
        <v/>
      </c>
      <c r="M874" s="1">
        <v>837</v>
      </c>
      <c r="N874" s="1" t="str">
        <f>IF($T874=0,"",INDEX(VIRMAN!$C$7:$C$406,$T874))</f>
        <v/>
      </c>
      <c r="O874" s="1" t="str">
        <f>IF($N874="","",$C$36&amp;" → "&amp;INDEX(VIRMAN!$E$7:$E$406,$T874)&amp;IF(INDEX(VIRMAN!$G$7:$G$406,$T874)="",""," – "&amp;INDEX(VIRMAN!$G$7:$G$406,$T874)))</f>
        <v/>
      </c>
      <c r="P874" s="1" t="str">
        <f t="shared" si="150"/>
        <v/>
      </c>
      <c r="Q874" s="1">
        <v>0</v>
      </c>
      <c r="R874" s="1">
        <f>IF($N874="",0,INDEX(VIRMAN!$F$7:$F$406,$T874))</f>
        <v>0</v>
      </c>
      <c r="S874" s="1">
        <f t="shared" si="157"/>
        <v>10000000000</v>
      </c>
      <c r="T874" s="1">
        <f>IFERROR(MATCH($C$36&amp;"|141",VIRMAN!$L$7:$L$406,0),0)</f>
        <v>0</v>
      </c>
      <c r="V874" s="1">
        <f t="shared" si="158"/>
        <v>10000000000</v>
      </c>
      <c r="W874" s="1">
        <f t="shared" si="159"/>
        <v>9</v>
      </c>
    </row>
    <row r="875" spans="2:23" ht="14.25" customHeight="1" x14ac:dyDescent="0.3">
      <c r="B875" s="65" t="str">
        <f t="shared" si="151"/>
        <v/>
      </c>
      <c r="C875" s="70" t="str">
        <f t="shared" si="152"/>
        <v/>
      </c>
      <c r="D875" s="74" t="str">
        <f t="shared" si="153"/>
        <v/>
      </c>
      <c r="F875" s="65" t="str">
        <f t="shared" si="154"/>
        <v/>
      </c>
      <c r="G875" s="68" t="str">
        <f t="shared" si="155"/>
        <v/>
      </c>
      <c r="H875" s="68" t="str">
        <f t="shared" si="156"/>
        <v/>
      </c>
      <c r="I875" s="68" t="str">
        <f t="shared" si="160"/>
        <v/>
      </c>
      <c r="M875" s="1">
        <v>838</v>
      </c>
      <c r="N875" s="1" t="str">
        <f>IF($T875=0,"",INDEX(VIRMAN!$C$7:$C$406,$T875))</f>
        <v/>
      </c>
      <c r="O875" s="1" t="str">
        <f>IF($N875="","",$C$36&amp;" → "&amp;INDEX(VIRMAN!$E$7:$E$406,$T875)&amp;IF(INDEX(VIRMAN!$G$7:$G$406,$T875)="",""," – "&amp;INDEX(VIRMAN!$G$7:$G$406,$T875)))</f>
        <v/>
      </c>
      <c r="P875" s="1" t="str">
        <f t="shared" si="150"/>
        <v/>
      </c>
      <c r="Q875" s="1">
        <v>0</v>
      </c>
      <c r="R875" s="1">
        <f>IF($N875="",0,INDEX(VIRMAN!$F$7:$F$406,$T875))</f>
        <v>0</v>
      </c>
      <c r="S875" s="1">
        <f t="shared" si="157"/>
        <v>10000000000</v>
      </c>
      <c r="T875" s="1">
        <f>IFERROR(MATCH($C$36&amp;"|142",VIRMAN!$L$7:$L$406,0),0)</f>
        <v>0</v>
      </c>
      <c r="V875" s="1">
        <f t="shared" si="158"/>
        <v>10000000000</v>
      </c>
      <c r="W875" s="1">
        <f t="shared" si="159"/>
        <v>9</v>
      </c>
    </row>
    <row r="876" spans="2:23" ht="14.25" customHeight="1" x14ac:dyDescent="0.3">
      <c r="B876" s="65" t="str">
        <f t="shared" si="151"/>
        <v/>
      </c>
      <c r="C876" s="70" t="str">
        <f t="shared" si="152"/>
        <v/>
      </c>
      <c r="D876" s="74" t="str">
        <f t="shared" si="153"/>
        <v/>
      </c>
      <c r="F876" s="65" t="str">
        <f t="shared" si="154"/>
        <v/>
      </c>
      <c r="G876" s="68" t="str">
        <f t="shared" si="155"/>
        <v/>
      </c>
      <c r="H876" s="68" t="str">
        <f t="shared" si="156"/>
        <v/>
      </c>
      <c r="I876" s="68" t="str">
        <f t="shared" si="160"/>
        <v/>
      </c>
      <c r="M876" s="1">
        <v>839</v>
      </c>
      <c r="N876" s="1" t="str">
        <f>IF($T876=0,"",INDEX(VIRMAN!$C$7:$C$406,$T876))</f>
        <v/>
      </c>
      <c r="O876" s="1" t="str">
        <f>IF($N876="","",$C$36&amp;" → "&amp;INDEX(VIRMAN!$E$7:$E$406,$T876)&amp;IF(INDEX(VIRMAN!$G$7:$G$406,$T876)="",""," – "&amp;INDEX(VIRMAN!$G$7:$G$406,$T876)))</f>
        <v/>
      </c>
      <c r="P876" s="1" t="str">
        <f t="shared" si="150"/>
        <v/>
      </c>
      <c r="Q876" s="1">
        <v>0</v>
      </c>
      <c r="R876" s="1">
        <f>IF($N876="",0,INDEX(VIRMAN!$F$7:$F$406,$T876))</f>
        <v>0</v>
      </c>
      <c r="S876" s="1">
        <f t="shared" si="157"/>
        <v>10000000000</v>
      </c>
      <c r="T876" s="1">
        <f>IFERROR(MATCH($C$36&amp;"|143",VIRMAN!$L$7:$L$406,0),0)</f>
        <v>0</v>
      </c>
      <c r="V876" s="1">
        <f t="shared" si="158"/>
        <v>10000000000</v>
      </c>
      <c r="W876" s="1">
        <f t="shared" si="159"/>
        <v>9</v>
      </c>
    </row>
    <row r="877" spans="2:23" ht="14.25" customHeight="1" x14ac:dyDescent="0.3">
      <c r="B877" s="65" t="str">
        <f t="shared" si="151"/>
        <v/>
      </c>
      <c r="C877" s="70" t="str">
        <f t="shared" si="152"/>
        <v/>
      </c>
      <c r="D877" s="74" t="str">
        <f t="shared" si="153"/>
        <v/>
      </c>
      <c r="F877" s="65" t="str">
        <f t="shared" si="154"/>
        <v/>
      </c>
      <c r="G877" s="68" t="str">
        <f t="shared" si="155"/>
        <v/>
      </c>
      <c r="H877" s="68" t="str">
        <f t="shared" si="156"/>
        <v/>
      </c>
      <c r="I877" s="68" t="str">
        <f t="shared" si="160"/>
        <v/>
      </c>
      <c r="M877" s="1">
        <v>840</v>
      </c>
      <c r="N877" s="1" t="str">
        <f>IF($T877=0,"",INDEX(VIRMAN!$C$7:$C$406,$T877))</f>
        <v/>
      </c>
      <c r="O877" s="1" t="str">
        <f>IF($N877="","",$C$36&amp;" → "&amp;INDEX(VIRMAN!$E$7:$E$406,$T877)&amp;IF(INDEX(VIRMAN!$G$7:$G$406,$T877)="",""," – "&amp;INDEX(VIRMAN!$G$7:$G$406,$T877)))</f>
        <v/>
      </c>
      <c r="P877" s="1" t="str">
        <f t="shared" si="150"/>
        <v/>
      </c>
      <c r="Q877" s="1">
        <v>0</v>
      </c>
      <c r="R877" s="1">
        <f>IF($N877="",0,INDEX(VIRMAN!$F$7:$F$406,$T877))</f>
        <v>0</v>
      </c>
      <c r="S877" s="1">
        <f t="shared" si="157"/>
        <v>10000000000</v>
      </c>
      <c r="T877" s="1">
        <f>IFERROR(MATCH($C$36&amp;"|144",VIRMAN!$L$7:$L$406,0),0)</f>
        <v>0</v>
      </c>
      <c r="V877" s="1">
        <f t="shared" si="158"/>
        <v>10000000000</v>
      </c>
      <c r="W877" s="1">
        <f t="shared" si="159"/>
        <v>9</v>
      </c>
    </row>
    <row r="878" spans="2:23" ht="14.25" customHeight="1" x14ac:dyDescent="0.3">
      <c r="B878" s="65" t="str">
        <f t="shared" si="151"/>
        <v/>
      </c>
      <c r="C878" s="70" t="str">
        <f t="shared" si="152"/>
        <v/>
      </c>
      <c r="D878" s="74" t="str">
        <f t="shared" si="153"/>
        <v/>
      </c>
      <c r="F878" s="65" t="str">
        <f t="shared" si="154"/>
        <v/>
      </c>
      <c r="G878" s="68" t="str">
        <f t="shared" si="155"/>
        <v/>
      </c>
      <c r="H878" s="68" t="str">
        <f t="shared" si="156"/>
        <v/>
      </c>
      <c r="I878" s="68" t="str">
        <f t="shared" si="160"/>
        <v/>
      </c>
      <c r="M878" s="1">
        <v>841</v>
      </c>
      <c r="N878" s="1" t="str">
        <f>IF($T878=0,"",INDEX(VIRMAN!$C$7:$C$406,$T878))</f>
        <v/>
      </c>
      <c r="O878" s="1" t="str">
        <f>IF($N878="","",$C$36&amp;" → "&amp;INDEX(VIRMAN!$E$7:$E$406,$T878)&amp;IF(INDEX(VIRMAN!$G$7:$G$406,$T878)="",""," – "&amp;INDEX(VIRMAN!$G$7:$G$406,$T878)))</f>
        <v/>
      </c>
      <c r="P878" s="1" t="str">
        <f t="shared" si="150"/>
        <v/>
      </c>
      <c r="Q878" s="1">
        <v>0</v>
      </c>
      <c r="R878" s="1">
        <f>IF($N878="",0,INDEX(VIRMAN!$F$7:$F$406,$T878))</f>
        <v>0</v>
      </c>
      <c r="S878" s="1">
        <f t="shared" si="157"/>
        <v>10000000000</v>
      </c>
      <c r="T878" s="1">
        <f>IFERROR(MATCH($C$36&amp;"|145",VIRMAN!$L$7:$L$406,0),0)</f>
        <v>0</v>
      </c>
      <c r="V878" s="1">
        <f t="shared" si="158"/>
        <v>10000000000</v>
      </c>
      <c r="W878" s="1">
        <f t="shared" si="159"/>
        <v>9</v>
      </c>
    </row>
    <row r="879" spans="2:23" ht="14.25" customHeight="1" x14ac:dyDescent="0.3">
      <c r="B879" s="65" t="str">
        <f t="shared" si="151"/>
        <v/>
      </c>
      <c r="C879" s="70" t="str">
        <f t="shared" si="152"/>
        <v/>
      </c>
      <c r="D879" s="74" t="str">
        <f t="shared" si="153"/>
        <v/>
      </c>
      <c r="F879" s="65" t="str">
        <f t="shared" si="154"/>
        <v/>
      </c>
      <c r="G879" s="68" t="str">
        <f t="shared" si="155"/>
        <v/>
      </c>
      <c r="H879" s="68" t="str">
        <f t="shared" si="156"/>
        <v/>
      </c>
      <c r="I879" s="68" t="str">
        <f t="shared" si="160"/>
        <v/>
      </c>
      <c r="M879" s="1">
        <v>842</v>
      </c>
      <c r="N879" s="1" t="str">
        <f>IF($T879=0,"",INDEX(VIRMAN!$C$7:$C$406,$T879))</f>
        <v/>
      </c>
      <c r="O879" s="1" t="str">
        <f>IF($N879="","",$C$36&amp;" → "&amp;INDEX(VIRMAN!$E$7:$E$406,$T879)&amp;IF(INDEX(VIRMAN!$G$7:$G$406,$T879)="",""," – "&amp;INDEX(VIRMAN!$G$7:$G$406,$T879)))</f>
        <v/>
      </c>
      <c r="P879" s="1" t="str">
        <f t="shared" si="150"/>
        <v/>
      </c>
      <c r="Q879" s="1">
        <v>0</v>
      </c>
      <c r="R879" s="1">
        <f>IF($N879="",0,INDEX(VIRMAN!$F$7:$F$406,$T879))</f>
        <v>0</v>
      </c>
      <c r="S879" s="1">
        <f t="shared" si="157"/>
        <v>10000000000</v>
      </c>
      <c r="T879" s="1">
        <f>IFERROR(MATCH($C$36&amp;"|146",VIRMAN!$L$7:$L$406,0),0)</f>
        <v>0</v>
      </c>
      <c r="V879" s="1">
        <f t="shared" si="158"/>
        <v>10000000000</v>
      </c>
      <c r="W879" s="1">
        <f t="shared" si="159"/>
        <v>9</v>
      </c>
    </row>
    <row r="880" spans="2:23" ht="14.25" customHeight="1" x14ac:dyDescent="0.3">
      <c r="B880" s="65" t="str">
        <f t="shared" si="151"/>
        <v/>
      </c>
      <c r="C880" s="70" t="str">
        <f t="shared" si="152"/>
        <v/>
      </c>
      <c r="D880" s="74" t="str">
        <f t="shared" si="153"/>
        <v/>
      </c>
      <c r="F880" s="65" t="str">
        <f t="shared" si="154"/>
        <v/>
      </c>
      <c r="G880" s="68" t="str">
        <f t="shared" si="155"/>
        <v/>
      </c>
      <c r="H880" s="68" t="str">
        <f t="shared" si="156"/>
        <v/>
      </c>
      <c r="I880" s="68" t="str">
        <f t="shared" si="160"/>
        <v/>
      </c>
      <c r="M880" s="1">
        <v>843</v>
      </c>
      <c r="N880" s="1" t="str">
        <f>IF($T880=0,"",INDEX(VIRMAN!$C$7:$C$406,$T880))</f>
        <v/>
      </c>
      <c r="O880" s="1" t="str">
        <f>IF($N880="","",$C$36&amp;" → "&amp;INDEX(VIRMAN!$E$7:$E$406,$T880)&amp;IF(INDEX(VIRMAN!$G$7:$G$406,$T880)="",""," – "&amp;INDEX(VIRMAN!$G$7:$G$406,$T880)))</f>
        <v/>
      </c>
      <c r="P880" s="1" t="str">
        <f t="shared" si="150"/>
        <v/>
      </c>
      <c r="Q880" s="1">
        <v>0</v>
      </c>
      <c r="R880" s="1">
        <f>IF($N880="",0,INDEX(VIRMAN!$F$7:$F$406,$T880))</f>
        <v>0</v>
      </c>
      <c r="S880" s="1">
        <f t="shared" si="157"/>
        <v>10000000000</v>
      </c>
      <c r="T880" s="1">
        <f>IFERROR(MATCH($C$36&amp;"|147",VIRMAN!$L$7:$L$406,0),0)</f>
        <v>0</v>
      </c>
      <c r="V880" s="1">
        <f t="shared" si="158"/>
        <v>10000000000</v>
      </c>
      <c r="W880" s="1">
        <f t="shared" si="159"/>
        <v>9</v>
      </c>
    </row>
    <row r="881" spans="2:23" ht="14.25" customHeight="1" x14ac:dyDescent="0.3">
      <c r="B881" s="65" t="str">
        <f t="shared" si="151"/>
        <v/>
      </c>
      <c r="C881" s="70" t="str">
        <f t="shared" si="152"/>
        <v/>
      </c>
      <c r="D881" s="74" t="str">
        <f t="shared" si="153"/>
        <v/>
      </c>
      <c r="F881" s="65" t="str">
        <f t="shared" si="154"/>
        <v/>
      </c>
      <c r="G881" s="68" t="str">
        <f t="shared" si="155"/>
        <v/>
      </c>
      <c r="H881" s="68" t="str">
        <f t="shared" si="156"/>
        <v/>
      </c>
      <c r="I881" s="68" t="str">
        <f t="shared" si="160"/>
        <v/>
      </c>
      <c r="M881" s="1">
        <v>844</v>
      </c>
      <c r="N881" s="1" t="str">
        <f>IF($T881=0,"",INDEX(VIRMAN!$C$7:$C$406,$T881))</f>
        <v/>
      </c>
      <c r="O881" s="1" t="str">
        <f>IF($N881="","",$C$36&amp;" → "&amp;INDEX(VIRMAN!$E$7:$E$406,$T881)&amp;IF(INDEX(VIRMAN!$G$7:$G$406,$T881)="",""," – "&amp;INDEX(VIRMAN!$G$7:$G$406,$T881)))</f>
        <v/>
      </c>
      <c r="P881" s="1" t="str">
        <f t="shared" si="150"/>
        <v/>
      </c>
      <c r="Q881" s="1">
        <v>0</v>
      </c>
      <c r="R881" s="1">
        <f>IF($N881="",0,INDEX(VIRMAN!$F$7:$F$406,$T881))</f>
        <v>0</v>
      </c>
      <c r="S881" s="1">
        <f t="shared" si="157"/>
        <v>10000000000</v>
      </c>
      <c r="T881" s="1">
        <f>IFERROR(MATCH($C$36&amp;"|148",VIRMAN!$L$7:$L$406,0),0)</f>
        <v>0</v>
      </c>
      <c r="V881" s="1">
        <f t="shared" si="158"/>
        <v>10000000000</v>
      </c>
      <c r="W881" s="1">
        <f t="shared" si="159"/>
        <v>9</v>
      </c>
    </row>
    <row r="882" spans="2:23" ht="14.25" customHeight="1" x14ac:dyDescent="0.3">
      <c r="B882" s="65" t="str">
        <f t="shared" si="151"/>
        <v/>
      </c>
      <c r="C882" s="70" t="str">
        <f t="shared" si="152"/>
        <v/>
      </c>
      <c r="D882" s="74" t="str">
        <f t="shared" si="153"/>
        <v/>
      </c>
      <c r="F882" s="65" t="str">
        <f t="shared" si="154"/>
        <v/>
      </c>
      <c r="G882" s="68" t="str">
        <f t="shared" si="155"/>
        <v/>
      </c>
      <c r="H882" s="68" t="str">
        <f t="shared" si="156"/>
        <v/>
      </c>
      <c r="I882" s="68" t="str">
        <f t="shared" si="160"/>
        <v/>
      </c>
      <c r="M882" s="1">
        <v>845</v>
      </c>
      <c r="N882" s="1" t="str">
        <f>IF($T882=0,"",INDEX(VIRMAN!$C$7:$C$406,$T882))</f>
        <v/>
      </c>
      <c r="O882" s="1" t="str">
        <f>IF($N882="","",$C$36&amp;" → "&amp;INDEX(VIRMAN!$E$7:$E$406,$T882)&amp;IF(INDEX(VIRMAN!$G$7:$G$406,$T882)="",""," – "&amp;INDEX(VIRMAN!$G$7:$G$406,$T882)))</f>
        <v/>
      </c>
      <c r="P882" s="1" t="str">
        <f t="shared" si="150"/>
        <v/>
      </c>
      <c r="Q882" s="1">
        <v>0</v>
      </c>
      <c r="R882" s="1">
        <f>IF($N882="",0,INDEX(VIRMAN!$F$7:$F$406,$T882))</f>
        <v>0</v>
      </c>
      <c r="S882" s="1">
        <f t="shared" si="157"/>
        <v>10000000000</v>
      </c>
      <c r="T882" s="1">
        <f>IFERROR(MATCH($C$36&amp;"|149",VIRMAN!$L$7:$L$406,0),0)</f>
        <v>0</v>
      </c>
      <c r="V882" s="1">
        <f t="shared" si="158"/>
        <v>10000000000</v>
      </c>
      <c r="W882" s="1">
        <f t="shared" si="159"/>
        <v>9</v>
      </c>
    </row>
    <row r="883" spans="2:23" ht="14.25" customHeight="1" x14ac:dyDescent="0.3">
      <c r="B883" s="65" t="str">
        <f t="shared" si="151"/>
        <v/>
      </c>
      <c r="C883" s="70" t="str">
        <f t="shared" si="152"/>
        <v/>
      </c>
      <c r="D883" s="74" t="str">
        <f t="shared" si="153"/>
        <v/>
      </c>
      <c r="F883" s="65" t="str">
        <f t="shared" si="154"/>
        <v/>
      </c>
      <c r="G883" s="68" t="str">
        <f t="shared" si="155"/>
        <v/>
      </c>
      <c r="H883" s="68" t="str">
        <f t="shared" si="156"/>
        <v/>
      </c>
      <c r="I883" s="68" t="str">
        <f t="shared" si="160"/>
        <v/>
      </c>
      <c r="M883" s="1">
        <v>846</v>
      </c>
      <c r="N883" s="1" t="str">
        <f>IF($T883=0,"",INDEX(VIRMAN!$C$7:$C$406,$T883))</f>
        <v/>
      </c>
      <c r="O883" s="1" t="str">
        <f>IF($N883="","",$C$36&amp;" → "&amp;INDEX(VIRMAN!$E$7:$E$406,$T883)&amp;IF(INDEX(VIRMAN!$G$7:$G$406,$T883)="",""," – "&amp;INDEX(VIRMAN!$G$7:$G$406,$T883)))</f>
        <v/>
      </c>
      <c r="P883" s="1" t="str">
        <f t="shared" si="150"/>
        <v/>
      </c>
      <c r="Q883" s="1">
        <v>0</v>
      </c>
      <c r="R883" s="1">
        <f>IF($N883="",0,INDEX(VIRMAN!$F$7:$F$406,$T883))</f>
        <v>0</v>
      </c>
      <c r="S883" s="1">
        <f t="shared" si="157"/>
        <v>10000000000</v>
      </c>
      <c r="T883" s="1">
        <f>IFERROR(MATCH($C$36&amp;"|150",VIRMAN!$L$7:$L$406,0),0)</f>
        <v>0</v>
      </c>
      <c r="V883" s="1">
        <f t="shared" si="158"/>
        <v>10000000000</v>
      </c>
      <c r="W883" s="1">
        <f t="shared" si="159"/>
        <v>9</v>
      </c>
    </row>
    <row r="884" spans="2:23" ht="14.25" customHeight="1" x14ac:dyDescent="0.3">
      <c r="B884" s="65" t="str">
        <f t="shared" si="151"/>
        <v/>
      </c>
      <c r="C884" s="70" t="str">
        <f t="shared" si="152"/>
        <v/>
      </c>
      <c r="D884" s="74" t="str">
        <f t="shared" si="153"/>
        <v/>
      </c>
      <c r="F884" s="65" t="str">
        <f t="shared" si="154"/>
        <v/>
      </c>
      <c r="G884" s="68" t="str">
        <f t="shared" si="155"/>
        <v/>
      </c>
      <c r="H884" s="68" t="str">
        <f t="shared" si="156"/>
        <v/>
      </c>
      <c r="I884" s="68" t="str">
        <f t="shared" si="160"/>
        <v/>
      </c>
      <c r="M884" s="1">
        <v>847</v>
      </c>
      <c r="N884" s="1" t="str">
        <f>IF($T884=0,"",INDEX(VIRMAN!$C$7:$C$406,$T884))</f>
        <v/>
      </c>
      <c r="O884" s="1" t="str">
        <f>IF($N884="","",$C$36&amp;" → "&amp;INDEX(VIRMAN!$E$7:$E$406,$T884)&amp;IF(INDEX(VIRMAN!$G$7:$G$406,$T884)="",""," – "&amp;INDEX(VIRMAN!$G$7:$G$406,$T884)))</f>
        <v/>
      </c>
      <c r="P884" s="1" t="str">
        <f t="shared" si="150"/>
        <v/>
      </c>
      <c r="Q884" s="1">
        <v>0</v>
      </c>
      <c r="R884" s="1">
        <f>IF($N884="",0,INDEX(VIRMAN!$F$7:$F$406,$T884))</f>
        <v>0</v>
      </c>
      <c r="S884" s="1">
        <f t="shared" si="157"/>
        <v>10000000000</v>
      </c>
      <c r="T884" s="1">
        <f>IFERROR(MATCH($C$36&amp;"|151",VIRMAN!$L$7:$L$406,0),0)</f>
        <v>0</v>
      </c>
      <c r="V884" s="1">
        <f t="shared" si="158"/>
        <v>10000000000</v>
      </c>
      <c r="W884" s="1">
        <f t="shared" si="159"/>
        <v>9</v>
      </c>
    </row>
    <row r="885" spans="2:23" ht="14.25" customHeight="1" x14ac:dyDescent="0.3">
      <c r="B885" s="65" t="str">
        <f t="shared" si="151"/>
        <v/>
      </c>
      <c r="C885" s="70" t="str">
        <f t="shared" si="152"/>
        <v/>
      </c>
      <c r="D885" s="74" t="str">
        <f t="shared" si="153"/>
        <v/>
      </c>
      <c r="F885" s="65" t="str">
        <f t="shared" si="154"/>
        <v/>
      </c>
      <c r="G885" s="68" t="str">
        <f t="shared" si="155"/>
        <v/>
      </c>
      <c r="H885" s="68" t="str">
        <f t="shared" si="156"/>
        <v/>
      </c>
      <c r="I885" s="68" t="str">
        <f t="shared" si="160"/>
        <v/>
      </c>
      <c r="M885" s="1">
        <v>848</v>
      </c>
      <c r="N885" s="1" t="str">
        <f>IF($T885=0,"",INDEX(VIRMAN!$C$7:$C$406,$T885))</f>
        <v/>
      </c>
      <c r="O885" s="1" t="str">
        <f>IF($N885="","",$C$36&amp;" → "&amp;INDEX(VIRMAN!$E$7:$E$406,$T885)&amp;IF(INDEX(VIRMAN!$G$7:$G$406,$T885)="",""," – "&amp;INDEX(VIRMAN!$G$7:$G$406,$T885)))</f>
        <v/>
      </c>
      <c r="P885" s="1" t="str">
        <f t="shared" si="150"/>
        <v/>
      </c>
      <c r="Q885" s="1">
        <v>0</v>
      </c>
      <c r="R885" s="1">
        <f>IF($N885="",0,INDEX(VIRMAN!$F$7:$F$406,$T885))</f>
        <v>0</v>
      </c>
      <c r="S885" s="1">
        <f t="shared" si="157"/>
        <v>10000000000</v>
      </c>
      <c r="T885" s="1">
        <f>IFERROR(MATCH($C$36&amp;"|152",VIRMAN!$L$7:$L$406,0),0)</f>
        <v>0</v>
      </c>
      <c r="V885" s="1">
        <f t="shared" si="158"/>
        <v>10000000000</v>
      </c>
      <c r="W885" s="1">
        <f t="shared" si="159"/>
        <v>9</v>
      </c>
    </row>
    <row r="886" spans="2:23" ht="14.25" customHeight="1" x14ac:dyDescent="0.3">
      <c r="B886" s="65" t="str">
        <f t="shared" si="151"/>
        <v/>
      </c>
      <c r="C886" s="70" t="str">
        <f t="shared" si="152"/>
        <v/>
      </c>
      <c r="D886" s="74" t="str">
        <f t="shared" si="153"/>
        <v/>
      </c>
      <c r="F886" s="65" t="str">
        <f t="shared" si="154"/>
        <v/>
      </c>
      <c r="G886" s="68" t="str">
        <f t="shared" si="155"/>
        <v/>
      </c>
      <c r="H886" s="68" t="str">
        <f t="shared" si="156"/>
        <v/>
      </c>
      <c r="I886" s="68" t="str">
        <f t="shared" si="160"/>
        <v/>
      </c>
      <c r="M886" s="1">
        <v>849</v>
      </c>
      <c r="N886" s="1" t="str">
        <f>IF($T886=0,"",INDEX(VIRMAN!$C$7:$C$406,$T886))</f>
        <v/>
      </c>
      <c r="O886" s="1" t="str">
        <f>IF($N886="","",$C$36&amp;" → "&amp;INDEX(VIRMAN!$E$7:$E$406,$T886)&amp;IF(INDEX(VIRMAN!$G$7:$G$406,$T886)="",""," – "&amp;INDEX(VIRMAN!$G$7:$G$406,$T886)))</f>
        <v/>
      </c>
      <c r="P886" s="1" t="str">
        <f t="shared" si="150"/>
        <v/>
      </c>
      <c r="Q886" s="1">
        <v>0</v>
      </c>
      <c r="R886" s="1">
        <f>IF($N886="",0,INDEX(VIRMAN!$F$7:$F$406,$T886))</f>
        <v>0</v>
      </c>
      <c r="S886" s="1">
        <f t="shared" si="157"/>
        <v>10000000000</v>
      </c>
      <c r="T886" s="1">
        <f>IFERROR(MATCH($C$36&amp;"|153",VIRMAN!$L$7:$L$406,0),0)</f>
        <v>0</v>
      </c>
      <c r="V886" s="1">
        <f t="shared" si="158"/>
        <v>10000000000</v>
      </c>
      <c r="W886" s="1">
        <f t="shared" si="159"/>
        <v>9</v>
      </c>
    </row>
    <row r="887" spans="2:23" ht="14.25" customHeight="1" x14ac:dyDescent="0.3">
      <c r="B887" s="65" t="str">
        <f t="shared" si="151"/>
        <v/>
      </c>
      <c r="C887" s="70" t="str">
        <f t="shared" si="152"/>
        <v/>
      </c>
      <c r="D887" s="74" t="str">
        <f t="shared" si="153"/>
        <v/>
      </c>
      <c r="F887" s="65" t="str">
        <f t="shared" si="154"/>
        <v/>
      </c>
      <c r="G887" s="68" t="str">
        <f t="shared" si="155"/>
        <v/>
      </c>
      <c r="H887" s="68" t="str">
        <f t="shared" si="156"/>
        <v/>
      </c>
      <c r="I887" s="68" t="str">
        <f t="shared" si="160"/>
        <v/>
      </c>
      <c r="M887" s="1">
        <v>850</v>
      </c>
      <c r="N887" s="1" t="str">
        <f>IF($T887=0,"",INDEX(VIRMAN!$C$7:$C$406,$T887))</f>
        <v/>
      </c>
      <c r="O887" s="1" t="str">
        <f>IF($N887="","",$C$36&amp;" → "&amp;INDEX(VIRMAN!$E$7:$E$406,$T887)&amp;IF(INDEX(VIRMAN!$G$7:$G$406,$T887)="",""," – "&amp;INDEX(VIRMAN!$G$7:$G$406,$T887)))</f>
        <v/>
      </c>
      <c r="P887" s="1" t="str">
        <f t="shared" si="150"/>
        <v/>
      </c>
      <c r="Q887" s="1">
        <v>0</v>
      </c>
      <c r="R887" s="1">
        <f>IF($N887="",0,INDEX(VIRMAN!$F$7:$F$406,$T887))</f>
        <v>0</v>
      </c>
      <c r="S887" s="1">
        <f t="shared" si="157"/>
        <v>10000000000</v>
      </c>
      <c r="T887" s="1">
        <f>IFERROR(MATCH($C$36&amp;"|154",VIRMAN!$L$7:$L$406,0),0)</f>
        <v>0</v>
      </c>
      <c r="V887" s="1">
        <f t="shared" si="158"/>
        <v>10000000000</v>
      </c>
      <c r="W887" s="1">
        <f t="shared" si="159"/>
        <v>9</v>
      </c>
    </row>
    <row r="888" spans="2:23" ht="14.25" customHeight="1" x14ac:dyDescent="0.3">
      <c r="B888" s="65" t="str">
        <f t="shared" si="151"/>
        <v/>
      </c>
      <c r="C888" s="70" t="str">
        <f t="shared" si="152"/>
        <v/>
      </c>
      <c r="D888" s="74" t="str">
        <f t="shared" si="153"/>
        <v/>
      </c>
      <c r="F888" s="65" t="str">
        <f t="shared" si="154"/>
        <v/>
      </c>
      <c r="G888" s="68" t="str">
        <f t="shared" si="155"/>
        <v/>
      </c>
      <c r="H888" s="68" t="str">
        <f t="shared" si="156"/>
        <v/>
      </c>
      <c r="I888" s="68" t="str">
        <f t="shared" si="160"/>
        <v/>
      </c>
      <c r="M888" s="1">
        <v>851</v>
      </c>
      <c r="N888" s="1" t="str">
        <f>IF($T888=0,"",INDEX(VIRMAN!$C$7:$C$406,$T888))</f>
        <v/>
      </c>
      <c r="O888" s="1" t="str">
        <f>IF($N888="","",$C$36&amp;" → "&amp;INDEX(VIRMAN!$E$7:$E$406,$T888)&amp;IF(INDEX(VIRMAN!$G$7:$G$406,$T888)="",""," – "&amp;INDEX(VIRMAN!$G$7:$G$406,$T888)))</f>
        <v/>
      </c>
      <c r="P888" s="1" t="str">
        <f t="shared" si="150"/>
        <v/>
      </c>
      <c r="Q888" s="1">
        <v>0</v>
      </c>
      <c r="R888" s="1">
        <f>IF($N888="",0,INDEX(VIRMAN!$F$7:$F$406,$T888))</f>
        <v>0</v>
      </c>
      <c r="S888" s="1">
        <f t="shared" si="157"/>
        <v>10000000000</v>
      </c>
      <c r="T888" s="1">
        <f>IFERROR(MATCH($C$36&amp;"|155",VIRMAN!$L$7:$L$406,0),0)</f>
        <v>0</v>
      </c>
      <c r="V888" s="1">
        <f t="shared" si="158"/>
        <v>10000000000</v>
      </c>
      <c r="W888" s="1">
        <f t="shared" si="159"/>
        <v>9</v>
      </c>
    </row>
    <row r="889" spans="2:23" ht="14.25" customHeight="1" x14ac:dyDescent="0.3">
      <c r="B889" s="65" t="str">
        <f t="shared" si="151"/>
        <v/>
      </c>
      <c r="C889" s="70" t="str">
        <f t="shared" si="152"/>
        <v/>
      </c>
      <c r="D889" s="74" t="str">
        <f t="shared" si="153"/>
        <v/>
      </c>
      <c r="F889" s="65" t="str">
        <f t="shared" si="154"/>
        <v/>
      </c>
      <c r="G889" s="68" t="str">
        <f t="shared" si="155"/>
        <v/>
      </c>
      <c r="H889" s="68" t="str">
        <f t="shared" si="156"/>
        <v/>
      </c>
      <c r="I889" s="68" t="str">
        <f t="shared" si="160"/>
        <v/>
      </c>
      <c r="M889" s="1">
        <v>852</v>
      </c>
      <c r="N889" s="1" t="str">
        <f>IF($T889=0,"",INDEX(VIRMAN!$C$7:$C$406,$T889))</f>
        <v/>
      </c>
      <c r="O889" s="1" t="str">
        <f>IF($N889="","",$C$36&amp;" → "&amp;INDEX(VIRMAN!$E$7:$E$406,$T889)&amp;IF(INDEX(VIRMAN!$G$7:$G$406,$T889)="",""," – "&amp;INDEX(VIRMAN!$G$7:$G$406,$T889)))</f>
        <v/>
      </c>
      <c r="P889" s="1" t="str">
        <f t="shared" si="150"/>
        <v/>
      </c>
      <c r="Q889" s="1">
        <v>0</v>
      </c>
      <c r="R889" s="1">
        <f>IF($N889="",0,INDEX(VIRMAN!$F$7:$F$406,$T889))</f>
        <v>0</v>
      </c>
      <c r="S889" s="1">
        <f t="shared" si="157"/>
        <v>10000000000</v>
      </c>
      <c r="T889" s="1">
        <f>IFERROR(MATCH($C$36&amp;"|156",VIRMAN!$L$7:$L$406,0),0)</f>
        <v>0</v>
      </c>
      <c r="V889" s="1">
        <f t="shared" si="158"/>
        <v>10000000000</v>
      </c>
      <c r="W889" s="1">
        <f t="shared" si="159"/>
        <v>9</v>
      </c>
    </row>
    <row r="890" spans="2:23" ht="14.25" customHeight="1" x14ac:dyDescent="0.3">
      <c r="B890" s="65" t="str">
        <f t="shared" si="151"/>
        <v/>
      </c>
      <c r="C890" s="70" t="str">
        <f t="shared" si="152"/>
        <v/>
      </c>
      <c r="D890" s="74" t="str">
        <f t="shared" si="153"/>
        <v/>
      </c>
      <c r="F890" s="65" t="str">
        <f t="shared" si="154"/>
        <v/>
      </c>
      <c r="G890" s="68" t="str">
        <f t="shared" si="155"/>
        <v/>
      </c>
      <c r="H890" s="68" t="str">
        <f t="shared" si="156"/>
        <v/>
      </c>
      <c r="I890" s="68" t="str">
        <f t="shared" si="160"/>
        <v/>
      </c>
      <c r="M890" s="1">
        <v>853</v>
      </c>
      <c r="N890" s="1" t="str">
        <f>IF($T890=0,"",INDEX(VIRMAN!$C$7:$C$406,$T890))</f>
        <v/>
      </c>
      <c r="O890" s="1" t="str">
        <f>IF($N890="","",$C$36&amp;" → "&amp;INDEX(VIRMAN!$E$7:$E$406,$T890)&amp;IF(INDEX(VIRMAN!$G$7:$G$406,$T890)="",""," – "&amp;INDEX(VIRMAN!$G$7:$G$406,$T890)))</f>
        <v/>
      </c>
      <c r="P890" s="1" t="str">
        <f t="shared" si="150"/>
        <v/>
      </c>
      <c r="Q890" s="1">
        <v>0</v>
      </c>
      <c r="R890" s="1">
        <f>IF($N890="",0,INDEX(VIRMAN!$F$7:$F$406,$T890))</f>
        <v>0</v>
      </c>
      <c r="S890" s="1">
        <f t="shared" si="157"/>
        <v>10000000000</v>
      </c>
      <c r="T890" s="1">
        <f>IFERROR(MATCH($C$36&amp;"|157",VIRMAN!$L$7:$L$406,0),0)</f>
        <v>0</v>
      </c>
      <c r="V890" s="1">
        <f t="shared" si="158"/>
        <v>10000000000</v>
      </c>
      <c r="W890" s="1">
        <f t="shared" si="159"/>
        <v>9</v>
      </c>
    </row>
    <row r="891" spans="2:23" ht="14.25" customHeight="1" x14ac:dyDescent="0.3">
      <c r="B891" s="65" t="str">
        <f t="shared" si="151"/>
        <v/>
      </c>
      <c r="C891" s="70" t="str">
        <f t="shared" si="152"/>
        <v/>
      </c>
      <c r="D891" s="74" t="str">
        <f t="shared" si="153"/>
        <v/>
      </c>
      <c r="F891" s="65" t="str">
        <f t="shared" si="154"/>
        <v/>
      </c>
      <c r="G891" s="68" t="str">
        <f t="shared" si="155"/>
        <v/>
      </c>
      <c r="H891" s="68" t="str">
        <f t="shared" si="156"/>
        <v/>
      </c>
      <c r="I891" s="68" t="str">
        <f t="shared" si="160"/>
        <v/>
      </c>
      <c r="M891" s="1">
        <v>854</v>
      </c>
      <c r="N891" s="1" t="str">
        <f>IF($T891=0,"",INDEX(VIRMAN!$C$7:$C$406,$T891))</f>
        <v/>
      </c>
      <c r="O891" s="1" t="str">
        <f>IF($N891="","",$C$36&amp;" → "&amp;INDEX(VIRMAN!$E$7:$E$406,$T891)&amp;IF(INDEX(VIRMAN!$G$7:$G$406,$T891)="",""," – "&amp;INDEX(VIRMAN!$G$7:$G$406,$T891)))</f>
        <v/>
      </c>
      <c r="P891" s="1" t="str">
        <f t="shared" si="150"/>
        <v/>
      </c>
      <c r="Q891" s="1">
        <v>0</v>
      </c>
      <c r="R891" s="1">
        <f>IF($N891="",0,INDEX(VIRMAN!$F$7:$F$406,$T891))</f>
        <v>0</v>
      </c>
      <c r="S891" s="1">
        <f t="shared" si="157"/>
        <v>10000000000</v>
      </c>
      <c r="T891" s="1">
        <f>IFERROR(MATCH($C$36&amp;"|158",VIRMAN!$L$7:$L$406,0),0)</f>
        <v>0</v>
      </c>
      <c r="V891" s="1">
        <f t="shared" si="158"/>
        <v>10000000000</v>
      </c>
      <c r="W891" s="1">
        <f t="shared" si="159"/>
        <v>9</v>
      </c>
    </row>
    <row r="892" spans="2:23" ht="14.25" customHeight="1" x14ac:dyDescent="0.3">
      <c r="B892" s="65" t="str">
        <f t="shared" si="151"/>
        <v/>
      </c>
      <c r="C892" s="70" t="str">
        <f t="shared" si="152"/>
        <v/>
      </c>
      <c r="D892" s="74" t="str">
        <f t="shared" si="153"/>
        <v/>
      </c>
      <c r="F892" s="65" t="str">
        <f t="shared" si="154"/>
        <v/>
      </c>
      <c r="G892" s="68" t="str">
        <f t="shared" si="155"/>
        <v/>
      </c>
      <c r="H892" s="68" t="str">
        <f t="shared" si="156"/>
        <v/>
      </c>
      <c r="I892" s="68" t="str">
        <f t="shared" si="160"/>
        <v/>
      </c>
      <c r="M892" s="1">
        <v>855</v>
      </c>
      <c r="N892" s="1" t="str">
        <f>IF($T892=0,"",INDEX(VIRMAN!$C$7:$C$406,$T892))</f>
        <v/>
      </c>
      <c r="O892" s="1" t="str">
        <f>IF($N892="","",$C$36&amp;" → "&amp;INDEX(VIRMAN!$E$7:$E$406,$T892)&amp;IF(INDEX(VIRMAN!$G$7:$G$406,$T892)="",""," – "&amp;INDEX(VIRMAN!$G$7:$G$406,$T892)))</f>
        <v/>
      </c>
      <c r="P892" s="1" t="str">
        <f t="shared" si="150"/>
        <v/>
      </c>
      <c r="Q892" s="1">
        <v>0</v>
      </c>
      <c r="R892" s="1">
        <f>IF($N892="",0,INDEX(VIRMAN!$F$7:$F$406,$T892))</f>
        <v>0</v>
      </c>
      <c r="S892" s="1">
        <f t="shared" si="157"/>
        <v>10000000000</v>
      </c>
      <c r="T892" s="1">
        <f>IFERROR(MATCH($C$36&amp;"|159",VIRMAN!$L$7:$L$406,0),0)</f>
        <v>0</v>
      </c>
      <c r="V892" s="1">
        <f t="shared" si="158"/>
        <v>10000000000</v>
      </c>
      <c r="W892" s="1">
        <f t="shared" si="159"/>
        <v>9</v>
      </c>
    </row>
    <row r="893" spans="2:23" ht="14.25" customHeight="1" x14ac:dyDescent="0.3">
      <c r="B893" s="65" t="str">
        <f t="shared" si="151"/>
        <v/>
      </c>
      <c r="C893" s="70" t="str">
        <f t="shared" si="152"/>
        <v/>
      </c>
      <c r="D893" s="74" t="str">
        <f t="shared" si="153"/>
        <v/>
      </c>
      <c r="F893" s="65" t="str">
        <f t="shared" si="154"/>
        <v/>
      </c>
      <c r="G893" s="68" t="str">
        <f t="shared" si="155"/>
        <v/>
      </c>
      <c r="H893" s="68" t="str">
        <f t="shared" si="156"/>
        <v/>
      </c>
      <c r="I893" s="68" t="str">
        <f t="shared" si="160"/>
        <v/>
      </c>
      <c r="M893" s="1">
        <v>856</v>
      </c>
      <c r="N893" s="1" t="str">
        <f>IF($T893=0,"",INDEX(VIRMAN!$C$7:$C$406,$T893))</f>
        <v/>
      </c>
      <c r="O893" s="1" t="str">
        <f>IF($N893="","",$C$36&amp;" → "&amp;INDEX(VIRMAN!$E$7:$E$406,$T893)&amp;IF(INDEX(VIRMAN!$G$7:$G$406,$T893)="",""," – "&amp;INDEX(VIRMAN!$G$7:$G$406,$T893)))</f>
        <v/>
      </c>
      <c r="P893" s="1" t="str">
        <f t="shared" si="150"/>
        <v/>
      </c>
      <c r="Q893" s="1">
        <v>0</v>
      </c>
      <c r="R893" s="1">
        <f>IF($N893="",0,INDEX(VIRMAN!$F$7:$F$406,$T893))</f>
        <v>0</v>
      </c>
      <c r="S893" s="1">
        <f t="shared" si="157"/>
        <v>10000000000</v>
      </c>
      <c r="T893" s="1">
        <f>IFERROR(MATCH($C$36&amp;"|160",VIRMAN!$L$7:$L$406,0),0)</f>
        <v>0</v>
      </c>
      <c r="V893" s="1">
        <f t="shared" si="158"/>
        <v>10000000000</v>
      </c>
      <c r="W893" s="1">
        <f t="shared" si="159"/>
        <v>9</v>
      </c>
    </row>
    <row r="894" spans="2:23" ht="14.25" customHeight="1" x14ac:dyDescent="0.3">
      <c r="B894" s="65" t="str">
        <f t="shared" si="151"/>
        <v/>
      </c>
      <c r="C894" s="70" t="str">
        <f t="shared" si="152"/>
        <v/>
      </c>
      <c r="D894" s="74" t="str">
        <f t="shared" si="153"/>
        <v/>
      </c>
      <c r="F894" s="65" t="str">
        <f t="shared" si="154"/>
        <v/>
      </c>
      <c r="G894" s="68" t="str">
        <f t="shared" si="155"/>
        <v/>
      </c>
      <c r="H894" s="68" t="str">
        <f t="shared" si="156"/>
        <v/>
      </c>
      <c r="I894" s="68" t="str">
        <f t="shared" si="160"/>
        <v/>
      </c>
      <c r="M894" s="1">
        <v>857</v>
      </c>
      <c r="N894" s="1"/>
      <c r="O894" s="1"/>
      <c r="P894" s="1"/>
      <c r="Q894" s="1"/>
      <c r="R894" s="1"/>
      <c r="S894" s="1"/>
      <c r="T894" s="1"/>
      <c r="V894" s="1" t="str">
        <f t="shared" si="158"/>
        <v/>
      </c>
      <c r="W894" s="1" t="str">
        <f t="shared" si="159"/>
        <v/>
      </c>
    </row>
    <row r="895" spans="2:23" ht="14.25" customHeight="1" x14ac:dyDescent="0.3">
      <c r="B895" s="65" t="str">
        <f t="shared" si="151"/>
        <v/>
      </c>
      <c r="C895" s="70" t="str">
        <f t="shared" si="152"/>
        <v/>
      </c>
      <c r="D895" s="74" t="str">
        <f t="shared" si="153"/>
        <v/>
      </c>
      <c r="F895" s="65" t="str">
        <f t="shared" si="154"/>
        <v/>
      </c>
      <c r="G895" s="68" t="str">
        <f t="shared" si="155"/>
        <v/>
      </c>
      <c r="H895" s="68" t="str">
        <f t="shared" si="156"/>
        <v/>
      </c>
      <c r="I895" s="68" t="str">
        <f t="shared" si="160"/>
        <v/>
      </c>
      <c r="M895" s="1">
        <v>858</v>
      </c>
      <c r="N895" s="1"/>
      <c r="O895" s="1"/>
      <c r="P895" s="1"/>
      <c r="Q895" s="1"/>
      <c r="R895" s="1"/>
      <c r="S895" s="1"/>
      <c r="T895" s="1"/>
      <c r="V895" s="1" t="str">
        <f t="shared" si="158"/>
        <v/>
      </c>
      <c r="W895" s="1" t="str">
        <f t="shared" si="159"/>
        <v/>
      </c>
    </row>
    <row r="896" spans="2:23" ht="14.25" customHeight="1" x14ac:dyDescent="0.3">
      <c r="B896" s="65" t="str">
        <f t="shared" si="151"/>
        <v/>
      </c>
      <c r="C896" s="70" t="str">
        <f t="shared" si="152"/>
        <v/>
      </c>
      <c r="D896" s="74" t="str">
        <f t="shared" si="153"/>
        <v/>
      </c>
      <c r="F896" s="65" t="str">
        <f t="shared" si="154"/>
        <v/>
      </c>
      <c r="G896" s="68" t="str">
        <f t="shared" si="155"/>
        <v/>
      </c>
      <c r="H896" s="68" t="str">
        <f t="shared" si="156"/>
        <v/>
      </c>
      <c r="I896" s="68" t="str">
        <f t="shared" si="160"/>
        <v/>
      </c>
      <c r="M896" s="1">
        <v>859</v>
      </c>
      <c r="N896" s="1"/>
      <c r="O896" s="1"/>
      <c r="P896" s="1"/>
      <c r="Q896" s="1"/>
      <c r="R896" s="1"/>
      <c r="S896" s="1"/>
      <c r="T896" s="1"/>
      <c r="V896" s="1" t="str">
        <f t="shared" si="158"/>
        <v/>
      </c>
      <c r="W896" s="1" t="str">
        <f t="shared" si="159"/>
        <v/>
      </c>
    </row>
    <row r="897" spans="2:23" ht="14.25" customHeight="1" x14ac:dyDescent="0.3">
      <c r="B897" s="65" t="str">
        <f t="shared" si="151"/>
        <v/>
      </c>
      <c r="C897" s="70" t="str">
        <f t="shared" si="152"/>
        <v/>
      </c>
      <c r="D897" s="74" t="str">
        <f t="shared" si="153"/>
        <v/>
      </c>
      <c r="F897" s="65" t="str">
        <f t="shared" si="154"/>
        <v/>
      </c>
      <c r="G897" s="68" t="str">
        <f t="shared" si="155"/>
        <v/>
      </c>
      <c r="H897" s="68" t="str">
        <f t="shared" si="156"/>
        <v/>
      </c>
      <c r="I897" s="68" t="str">
        <f t="shared" si="160"/>
        <v/>
      </c>
      <c r="M897" s="1">
        <v>860</v>
      </c>
      <c r="N897" s="1"/>
      <c r="O897" s="1"/>
      <c r="P897" s="1"/>
      <c r="Q897" s="1"/>
      <c r="R897" s="1"/>
      <c r="S897" s="1"/>
      <c r="T897" s="1"/>
      <c r="V897" s="1" t="str">
        <f t="shared" si="158"/>
        <v/>
      </c>
      <c r="W897" s="1" t="str">
        <f t="shared" si="159"/>
        <v/>
      </c>
    </row>
    <row r="898" spans="2:23" ht="14.25" customHeight="1" x14ac:dyDescent="0.3">
      <c r="B898" s="65" t="str">
        <f t="shared" si="151"/>
        <v/>
      </c>
      <c r="C898" s="70" t="str">
        <f t="shared" si="152"/>
        <v/>
      </c>
      <c r="D898" s="74" t="str">
        <f t="shared" si="153"/>
        <v/>
      </c>
      <c r="F898" s="65" t="str">
        <f t="shared" si="154"/>
        <v/>
      </c>
      <c r="G898" s="68" t="str">
        <f t="shared" si="155"/>
        <v/>
      </c>
      <c r="H898" s="68" t="str">
        <f t="shared" si="156"/>
        <v/>
      </c>
      <c r="I898" s="68" t="str">
        <f t="shared" si="160"/>
        <v/>
      </c>
      <c r="M898" s="1">
        <v>861</v>
      </c>
      <c r="N898" s="1"/>
      <c r="O898" s="1"/>
      <c r="P898" s="1"/>
      <c r="Q898" s="1"/>
      <c r="R898" s="1"/>
      <c r="S898" s="1"/>
      <c r="T898" s="1"/>
      <c r="V898" s="1" t="str">
        <f t="shared" si="158"/>
        <v/>
      </c>
      <c r="W898" s="1" t="str">
        <f t="shared" si="159"/>
        <v/>
      </c>
    </row>
    <row r="899" spans="2:23" ht="14.25" customHeight="1" x14ac:dyDescent="0.3">
      <c r="B899" s="65" t="str">
        <f t="shared" si="151"/>
        <v/>
      </c>
      <c r="C899" s="70" t="str">
        <f t="shared" si="152"/>
        <v/>
      </c>
      <c r="D899" s="74" t="str">
        <f t="shared" si="153"/>
        <v/>
      </c>
      <c r="F899" s="65" t="str">
        <f t="shared" si="154"/>
        <v/>
      </c>
      <c r="G899" s="68" t="str">
        <f t="shared" si="155"/>
        <v/>
      </c>
      <c r="H899" s="68" t="str">
        <f t="shared" si="156"/>
        <v/>
      </c>
      <c r="I899" s="68" t="str">
        <f t="shared" si="160"/>
        <v/>
      </c>
      <c r="M899" s="1">
        <v>862</v>
      </c>
      <c r="N899" s="1"/>
      <c r="O899" s="1"/>
      <c r="P899" s="1"/>
      <c r="Q899" s="1"/>
      <c r="R899" s="1"/>
      <c r="S899" s="1"/>
      <c r="T899" s="1"/>
      <c r="V899" s="1" t="str">
        <f t="shared" si="158"/>
        <v/>
      </c>
      <c r="W899" s="1" t="str">
        <f t="shared" si="159"/>
        <v/>
      </c>
    </row>
    <row r="900" spans="2:23" ht="14.25" customHeight="1" x14ac:dyDescent="0.3">
      <c r="B900" s="65" t="str">
        <f t="shared" si="151"/>
        <v/>
      </c>
      <c r="C900" s="70" t="str">
        <f t="shared" si="152"/>
        <v/>
      </c>
      <c r="D900" s="74" t="str">
        <f t="shared" si="153"/>
        <v/>
      </c>
      <c r="F900" s="65" t="str">
        <f t="shared" si="154"/>
        <v/>
      </c>
      <c r="G900" s="68" t="str">
        <f t="shared" si="155"/>
        <v/>
      </c>
      <c r="H900" s="68" t="str">
        <f t="shared" si="156"/>
        <v/>
      </c>
      <c r="I900" s="68" t="str">
        <f t="shared" si="160"/>
        <v/>
      </c>
      <c r="M900" s="1">
        <v>863</v>
      </c>
      <c r="N900" s="1"/>
      <c r="O900" s="1"/>
      <c r="P900" s="1"/>
      <c r="Q900" s="1"/>
      <c r="R900" s="1"/>
      <c r="S900" s="1"/>
      <c r="T900" s="1"/>
      <c r="V900" s="1" t="str">
        <f t="shared" si="158"/>
        <v/>
      </c>
      <c r="W900" s="1" t="str">
        <f t="shared" si="159"/>
        <v/>
      </c>
    </row>
    <row r="901" spans="2:23" ht="14.25" customHeight="1" x14ac:dyDescent="0.3">
      <c r="B901" s="65" t="str">
        <f t="shared" si="151"/>
        <v/>
      </c>
      <c r="C901" s="70" t="str">
        <f t="shared" si="152"/>
        <v/>
      </c>
      <c r="D901" s="74" t="str">
        <f t="shared" si="153"/>
        <v/>
      </c>
      <c r="F901" s="65" t="str">
        <f t="shared" si="154"/>
        <v/>
      </c>
      <c r="G901" s="68" t="str">
        <f t="shared" si="155"/>
        <v/>
      </c>
      <c r="H901" s="68" t="str">
        <f t="shared" si="156"/>
        <v/>
      </c>
      <c r="I901" s="68" t="str">
        <f t="shared" si="160"/>
        <v/>
      </c>
      <c r="M901" s="1">
        <v>864</v>
      </c>
      <c r="N901" s="1"/>
      <c r="O901" s="1"/>
      <c r="P901" s="1"/>
      <c r="Q901" s="1"/>
      <c r="R901" s="1"/>
      <c r="S901" s="1"/>
      <c r="T901" s="1"/>
      <c r="V901" s="1" t="str">
        <f t="shared" si="158"/>
        <v/>
      </c>
      <c r="W901" s="1" t="str">
        <f t="shared" si="159"/>
        <v/>
      </c>
    </row>
    <row r="902" spans="2:23" ht="14.25" customHeight="1" x14ac:dyDescent="0.3">
      <c r="B902" s="65" t="str">
        <f t="shared" si="151"/>
        <v/>
      </c>
      <c r="C902" s="70" t="str">
        <f t="shared" si="152"/>
        <v/>
      </c>
      <c r="D902" s="74" t="str">
        <f t="shared" si="153"/>
        <v/>
      </c>
      <c r="F902" s="65" t="str">
        <f t="shared" si="154"/>
        <v/>
      </c>
      <c r="G902" s="68" t="str">
        <f t="shared" si="155"/>
        <v/>
      </c>
      <c r="H902" s="68" t="str">
        <f t="shared" si="156"/>
        <v/>
      </c>
      <c r="I902" s="68" t="str">
        <f t="shared" si="160"/>
        <v/>
      </c>
      <c r="M902" s="1">
        <v>865</v>
      </c>
      <c r="N902" s="1"/>
      <c r="O902" s="1"/>
      <c r="P902" s="1"/>
      <c r="Q902" s="1"/>
      <c r="R902" s="1"/>
      <c r="S902" s="1"/>
      <c r="T902" s="1"/>
      <c r="V902" s="1" t="str">
        <f t="shared" si="158"/>
        <v/>
      </c>
      <c r="W902" s="1" t="str">
        <f t="shared" si="159"/>
        <v/>
      </c>
    </row>
    <row r="903" spans="2:23" ht="14.25" customHeight="1" x14ac:dyDescent="0.3">
      <c r="B903" s="65" t="str">
        <f t="shared" si="151"/>
        <v/>
      </c>
      <c r="C903" s="70" t="str">
        <f t="shared" si="152"/>
        <v/>
      </c>
      <c r="D903" s="74" t="str">
        <f t="shared" si="153"/>
        <v/>
      </c>
      <c r="F903" s="65" t="str">
        <f t="shared" si="154"/>
        <v/>
      </c>
      <c r="G903" s="68" t="str">
        <f t="shared" si="155"/>
        <v/>
      </c>
      <c r="H903" s="68" t="str">
        <f t="shared" si="156"/>
        <v/>
      </c>
      <c r="I903" s="68" t="str">
        <f t="shared" si="160"/>
        <v/>
      </c>
      <c r="M903" s="1">
        <v>866</v>
      </c>
      <c r="N903" s="1"/>
      <c r="O903" s="1"/>
      <c r="P903" s="1"/>
      <c r="Q903" s="1"/>
      <c r="R903" s="1"/>
      <c r="S903" s="1"/>
      <c r="T903" s="1"/>
      <c r="V903" s="1" t="str">
        <f t="shared" si="158"/>
        <v/>
      </c>
      <c r="W903" s="1" t="str">
        <f t="shared" si="159"/>
        <v/>
      </c>
    </row>
    <row r="904" spans="2:23" ht="14.25" customHeight="1" x14ac:dyDescent="0.3">
      <c r="B904" s="65" t="str">
        <f t="shared" si="151"/>
        <v/>
      </c>
      <c r="C904" s="70" t="str">
        <f t="shared" si="152"/>
        <v/>
      </c>
      <c r="D904" s="74" t="str">
        <f t="shared" si="153"/>
        <v/>
      </c>
      <c r="F904" s="65" t="str">
        <f t="shared" si="154"/>
        <v/>
      </c>
      <c r="G904" s="68" t="str">
        <f t="shared" si="155"/>
        <v/>
      </c>
      <c r="H904" s="68" t="str">
        <f t="shared" si="156"/>
        <v/>
      </c>
      <c r="I904" s="68" t="str">
        <f t="shared" si="160"/>
        <v/>
      </c>
      <c r="M904" s="1">
        <v>867</v>
      </c>
      <c r="N904" s="1"/>
      <c r="O904" s="1"/>
      <c r="P904" s="1"/>
      <c r="Q904" s="1"/>
      <c r="R904" s="1"/>
      <c r="S904" s="1"/>
      <c r="T904" s="1"/>
      <c r="V904" s="1" t="str">
        <f t="shared" si="158"/>
        <v/>
      </c>
      <c r="W904" s="1" t="str">
        <f t="shared" si="159"/>
        <v/>
      </c>
    </row>
    <row r="905" spans="2:23" ht="14.25" customHeight="1" x14ac:dyDescent="0.3">
      <c r="B905" s="65" t="str">
        <f t="shared" si="151"/>
        <v/>
      </c>
      <c r="C905" s="70" t="str">
        <f t="shared" si="152"/>
        <v/>
      </c>
      <c r="D905" s="74" t="str">
        <f t="shared" si="153"/>
        <v/>
      </c>
      <c r="F905" s="65" t="str">
        <f t="shared" si="154"/>
        <v/>
      </c>
      <c r="G905" s="68" t="str">
        <f t="shared" si="155"/>
        <v/>
      </c>
      <c r="H905" s="68" t="str">
        <f t="shared" si="156"/>
        <v/>
      </c>
      <c r="I905" s="68" t="str">
        <f t="shared" si="160"/>
        <v/>
      </c>
      <c r="M905" s="1">
        <v>868</v>
      </c>
      <c r="N905" s="1"/>
      <c r="O905" s="1"/>
      <c r="P905" s="1"/>
      <c r="Q905" s="1"/>
      <c r="R905" s="1"/>
      <c r="S905" s="1"/>
      <c r="T905" s="1"/>
      <c r="V905" s="1" t="str">
        <f t="shared" si="158"/>
        <v/>
      </c>
      <c r="W905" s="1" t="str">
        <f t="shared" si="159"/>
        <v/>
      </c>
    </row>
    <row r="906" spans="2:23" ht="14.25" customHeight="1" x14ac:dyDescent="0.3">
      <c r="B906" s="65" t="str">
        <f t="shared" si="151"/>
        <v/>
      </c>
      <c r="C906" s="70" t="str">
        <f t="shared" si="152"/>
        <v/>
      </c>
      <c r="D906" s="74" t="str">
        <f t="shared" si="153"/>
        <v/>
      </c>
      <c r="F906" s="65" t="str">
        <f t="shared" si="154"/>
        <v/>
      </c>
      <c r="G906" s="68" t="str">
        <f t="shared" si="155"/>
        <v/>
      </c>
      <c r="H906" s="68" t="str">
        <f t="shared" si="156"/>
        <v/>
      </c>
      <c r="I906" s="68" t="str">
        <f t="shared" si="160"/>
        <v/>
      </c>
      <c r="M906" s="1">
        <v>869</v>
      </c>
      <c r="N906" s="1"/>
      <c r="O906" s="1"/>
      <c r="P906" s="1"/>
      <c r="Q906" s="1"/>
      <c r="R906" s="1"/>
      <c r="S906" s="1"/>
      <c r="T906" s="1"/>
      <c r="V906" s="1" t="str">
        <f t="shared" si="158"/>
        <v/>
      </c>
      <c r="W906" s="1" t="str">
        <f t="shared" si="159"/>
        <v/>
      </c>
    </row>
    <row r="907" spans="2:23" ht="14.25" customHeight="1" x14ac:dyDescent="0.3">
      <c r="B907" s="65" t="str">
        <f t="shared" si="151"/>
        <v/>
      </c>
      <c r="C907" s="70" t="str">
        <f t="shared" si="152"/>
        <v/>
      </c>
      <c r="D907" s="74" t="str">
        <f t="shared" si="153"/>
        <v/>
      </c>
      <c r="F907" s="65" t="str">
        <f t="shared" si="154"/>
        <v/>
      </c>
      <c r="G907" s="68" t="str">
        <f t="shared" si="155"/>
        <v/>
      </c>
      <c r="H907" s="68" t="str">
        <f t="shared" si="156"/>
        <v/>
      </c>
      <c r="I907" s="68" t="str">
        <f t="shared" si="160"/>
        <v/>
      </c>
      <c r="M907" s="1">
        <v>870</v>
      </c>
      <c r="N907" s="1"/>
      <c r="O907" s="1"/>
      <c r="P907" s="1"/>
      <c r="Q907" s="1"/>
      <c r="R907" s="1"/>
      <c r="S907" s="1"/>
      <c r="T907" s="1"/>
      <c r="V907" s="1" t="str">
        <f t="shared" si="158"/>
        <v/>
      </c>
      <c r="W907" s="1" t="str">
        <f t="shared" si="159"/>
        <v/>
      </c>
    </row>
    <row r="908" spans="2:23" ht="14.25" customHeight="1" x14ac:dyDescent="0.3">
      <c r="B908" s="65" t="str">
        <f t="shared" si="151"/>
        <v/>
      </c>
      <c r="C908" s="70" t="str">
        <f t="shared" si="152"/>
        <v/>
      </c>
      <c r="D908" s="74" t="str">
        <f t="shared" si="153"/>
        <v/>
      </c>
      <c r="F908" s="65" t="str">
        <f t="shared" si="154"/>
        <v/>
      </c>
      <c r="G908" s="68" t="str">
        <f t="shared" si="155"/>
        <v/>
      </c>
      <c r="H908" s="68" t="str">
        <f t="shared" si="156"/>
        <v/>
      </c>
      <c r="I908" s="68" t="str">
        <f t="shared" si="160"/>
        <v/>
      </c>
      <c r="M908" s="1">
        <v>871</v>
      </c>
      <c r="N908" s="1"/>
      <c r="O908" s="1"/>
      <c r="P908" s="1"/>
      <c r="Q908" s="1"/>
      <c r="R908" s="1"/>
      <c r="S908" s="1"/>
      <c r="T908" s="1"/>
      <c r="V908" s="1" t="str">
        <f t="shared" si="158"/>
        <v/>
      </c>
      <c r="W908" s="1" t="str">
        <f t="shared" si="159"/>
        <v/>
      </c>
    </row>
    <row r="909" spans="2:23" ht="14.25" customHeight="1" x14ac:dyDescent="0.3">
      <c r="B909" s="65" t="str">
        <f t="shared" si="151"/>
        <v/>
      </c>
      <c r="C909" s="70" t="str">
        <f t="shared" si="152"/>
        <v/>
      </c>
      <c r="D909" s="74" t="str">
        <f t="shared" si="153"/>
        <v/>
      </c>
      <c r="F909" s="65" t="str">
        <f t="shared" si="154"/>
        <v/>
      </c>
      <c r="G909" s="68" t="str">
        <f t="shared" si="155"/>
        <v/>
      </c>
      <c r="H909" s="68" t="str">
        <f t="shared" si="156"/>
        <v/>
      </c>
      <c r="I909" s="68" t="str">
        <f t="shared" si="160"/>
        <v/>
      </c>
      <c r="M909" s="1">
        <v>872</v>
      </c>
      <c r="N909" s="1"/>
      <c r="O909" s="1"/>
      <c r="P909" s="1"/>
      <c r="Q909" s="1"/>
      <c r="R909" s="1"/>
      <c r="S909" s="1"/>
      <c r="T909" s="1"/>
      <c r="V909" s="1" t="str">
        <f t="shared" si="158"/>
        <v/>
      </c>
      <c r="W909" s="1" t="str">
        <f t="shared" si="159"/>
        <v/>
      </c>
    </row>
    <row r="910" spans="2:23" ht="14.25" customHeight="1" x14ac:dyDescent="0.3">
      <c r="B910" s="65" t="str">
        <f t="shared" si="151"/>
        <v/>
      </c>
      <c r="C910" s="70" t="str">
        <f t="shared" si="152"/>
        <v/>
      </c>
      <c r="D910" s="74" t="str">
        <f t="shared" si="153"/>
        <v/>
      </c>
      <c r="F910" s="65" t="str">
        <f t="shared" si="154"/>
        <v/>
      </c>
      <c r="G910" s="68" t="str">
        <f t="shared" si="155"/>
        <v/>
      </c>
      <c r="H910" s="68" t="str">
        <f t="shared" si="156"/>
        <v/>
      </c>
      <c r="I910" s="68" t="str">
        <f t="shared" si="160"/>
        <v/>
      </c>
      <c r="M910" s="1">
        <v>873</v>
      </c>
      <c r="N910" s="1"/>
      <c r="O910" s="1"/>
      <c r="P910" s="1"/>
      <c r="Q910" s="1"/>
      <c r="R910" s="1"/>
      <c r="S910" s="1"/>
      <c r="T910" s="1"/>
      <c r="V910" s="1" t="str">
        <f t="shared" si="158"/>
        <v/>
      </c>
      <c r="W910" s="1" t="str">
        <f t="shared" si="159"/>
        <v/>
      </c>
    </row>
    <row r="911" spans="2:23" ht="14.25" customHeight="1" x14ac:dyDescent="0.3">
      <c r="B911" s="65" t="str">
        <f t="shared" si="151"/>
        <v/>
      </c>
      <c r="C911" s="70" t="str">
        <f t="shared" si="152"/>
        <v/>
      </c>
      <c r="D911" s="74" t="str">
        <f t="shared" si="153"/>
        <v/>
      </c>
      <c r="F911" s="65" t="str">
        <f t="shared" si="154"/>
        <v/>
      </c>
      <c r="G911" s="68" t="str">
        <f t="shared" si="155"/>
        <v/>
      </c>
      <c r="H911" s="68" t="str">
        <f t="shared" si="156"/>
        <v/>
      </c>
      <c r="I911" s="68" t="str">
        <f t="shared" si="160"/>
        <v/>
      </c>
      <c r="M911" s="1">
        <v>874</v>
      </c>
      <c r="N911" s="1"/>
      <c r="O911" s="1"/>
      <c r="P911" s="1"/>
      <c r="Q911" s="1"/>
      <c r="R911" s="1"/>
      <c r="S911" s="1"/>
      <c r="T911" s="1"/>
      <c r="V911" s="1" t="str">
        <f t="shared" si="158"/>
        <v/>
      </c>
      <c r="W911" s="1" t="str">
        <f t="shared" si="159"/>
        <v/>
      </c>
    </row>
    <row r="912" spans="2:23" ht="14.25" customHeight="1" x14ac:dyDescent="0.3">
      <c r="B912" s="65" t="str">
        <f t="shared" si="151"/>
        <v/>
      </c>
      <c r="C912" s="70" t="str">
        <f t="shared" si="152"/>
        <v/>
      </c>
      <c r="D912" s="74" t="str">
        <f t="shared" si="153"/>
        <v/>
      </c>
      <c r="F912" s="65" t="str">
        <f t="shared" si="154"/>
        <v/>
      </c>
      <c r="G912" s="68" t="str">
        <f t="shared" si="155"/>
        <v/>
      </c>
      <c r="H912" s="68" t="str">
        <f t="shared" si="156"/>
        <v/>
      </c>
      <c r="I912" s="68" t="str">
        <f t="shared" si="160"/>
        <v/>
      </c>
      <c r="M912" s="1">
        <v>875</v>
      </c>
      <c r="N912" s="1"/>
      <c r="O912" s="1"/>
      <c r="P912" s="1"/>
      <c r="Q912" s="1"/>
      <c r="R912" s="1"/>
      <c r="S912" s="1"/>
      <c r="T912" s="1"/>
      <c r="V912" s="1" t="str">
        <f t="shared" si="158"/>
        <v/>
      </c>
      <c r="W912" s="1" t="str">
        <f t="shared" si="159"/>
        <v/>
      </c>
    </row>
    <row r="913" spans="2:23" ht="14.25" customHeight="1" x14ac:dyDescent="0.3">
      <c r="B913" s="65" t="str">
        <f t="shared" si="151"/>
        <v/>
      </c>
      <c r="C913" s="70" t="str">
        <f t="shared" si="152"/>
        <v/>
      </c>
      <c r="D913" s="74" t="str">
        <f t="shared" si="153"/>
        <v/>
      </c>
      <c r="F913" s="65" t="str">
        <f t="shared" si="154"/>
        <v/>
      </c>
      <c r="G913" s="68" t="str">
        <f t="shared" si="155"/>
        <v/>
      </c>
      <c r="H913" s="68" t="str">
        <f t="shared" si="156"/>
        <v/>
      </c>
      <c r="I913" s="68" t="str">
        <f t="shared" si="160"/>
        <v/>
      </c>
      <c r="M913" s="1">
        <v>876</v>
      </c>
      <c r="N913" s="1"/>
      <c r="O913" s="1"/>
      <c r="P913" s="1"/>
      <c r="Q913" s="1"/>
      <c r="R913" s="1"/>
      <c r="S913" s="1"/>
      <c r="T913" s="1"/>
      <c r="V913" s="1" t="str">
        <f t="shared" si="158"/>
        <v/>
      </c>
      <c r="W913" s="1" t="str">
        <f t="shared" si="159"/>
        <v/>
      </c>
    </row>
    <row r="914" spans="2:23" ht="14.25" customHeight="1" x14ac:dyDescent="0.3">
      <c r="B914" s="65" t="str">
        <f t="shared" si="151"/>
        <v/>
      </c>
      <c r="C914" s="70" t="str">
        <f t="shared" si="152"/>
        <v/>
      </c>
      <c r="D914" s="74" t="str">
        <f t="shared" si="153"/>
        <v/>
      </c>
      <c r="F914" s="65" t="str">
        <f t="shared" si="154"/>
        <v/>
      </c>
      <c r="G914" s="68" t="str">
        <f t="shared" si="155"/>
        <v/>
      </c>
      <c r="H914" s="68" t="str">
        <f t="shared" si="156"/>
        <v/>
      </c>
      <c r="I914" s="68" t="str">
        <f t="shared" si="160"/>
        <v/>
      </c>
      <c r="M914" s="1">
        <v>877</v>
      </c>
      <c r="N914" s="1"/>
      <c r="O914" s="1"/>
      <c r="P914" s="1"/>
      <c r="Q914" s="1"/>
      <c r="R914" s="1"/>
      <c r="S914" s="1"/>
      <c r="T914" s="1"/>
      <c r="V914" s="1" t="str">
        <f t="shared" si="158"/>
        <v/>
      </c>
      <c r="W914" s="1" t="str">
        <f t="shared" si="159"/>
        <v/>
      </c>
    </row>
    <row r="915" spans="2:23" ht="14.25" customHeight="1" x14ac:dyDescent="0.3">
      <c r="B915" s="65" t="str">
        <f t="shared" si="151"/>
        <v/>
      </c>
      <c r="C915" s="70" t="str">
        <f t="shared" si="152"/>
        <v/>
      </c>
      <c r="D915" s="74" t="str">
        <f t="shared" si="153"/>
        <v/>
      </c>
      <c r="F915" s="65" t="str">
        <f t="shared" si="154"/>
        <v/>
      </c>
      <c r="G915" s="68" t="str">
        <f t="shared" si="155"/>
        <v/>
      </c>
      <c r="H915" s="68" t="str">
        <f t="shared" si="156"/>
        <v/>
      </c>
      <c r="I915" s="68" t="str">
        <f t="shared" si="160"/>
        <v/>
      </c>
      <c r="M915" s="1">
        <v>878</v>
      </c>
      <c r="N915" s="1"/>
      <c r="O915" s="1"/>
      <c r="P915" s="1"/>
      <c r="Q915" s="1"/>
      <c r="R915" s="1"/>
      <c r="S915" s="1"/>
      <c r="T915" s="1"/>
      <c r="V915" s="1" t="str">
        <f t="shared" si="158"/>
        <v/>
      </c>
      <c r="W915" s="1" t="str">
        <f t="shared" si="159"/>
        <v/>
      </c>
    </row>
    <row r="916" spans="2:23" ht="14.25" customHeight="1" x14ac:dyDescent="0.3">
      <c r="B916" s="65" t="str">
        <f t="shared" si="151"/>
        <v/>
      </c>
      <c r="C916" s="70" t="str">
        <f t="shared" si="152"/>
        <v/>
      </c>
      <c r="D916" s="74" t="str">
        <f t="shared" si="153"/>
        <v/>
      </c>
      <c r="F916" s="65" t="str">
        <f t="shared" si="154"/>
        <v/>
      </c>
      <c r="G916" s="68" t="str">
        <f t="shared" si="155"/>
        <v/>
      </c>
      <c r="H916" s="68" t="str">
        <f t="shared" si="156"/>
        <v/>
      </c>
      <c r="I916" s="68" t="str">
        <f t="shared" si="160"/>
        <v/>
      </c>
      <c r="M916" s="1">
        <v>879</v>
      </c>
      <c r="N916" s="1"/>
      <c r="O916" s="1"/>
      <c r="P916" s="1"/>
      <c r="Q916" s="1"/>
      <c r="R916" s="1"/>
      <c r="S916" s="1"/>
      <c r="T916" s="1"/>
      <c r="V916" s="1" t="str">
        <f t="shared" si="158"/>
        <v/>
      </c>
      <c r="W916" s="1" t="str">
        <f t="shared" si="159"/>
        <v/>
      </c>
    </row>
    <row r="917" spans="2:23" ht="14.25" customHeight="1" x14ac:dyDescent="0.3">
      <c r="B917" s="65" t="str">
        <f t="shared" si="151"/>
        <v/>
      </c>
      <c r="C917" s="70" t="str">
        <f t="shared" si="152"/>
        <v/>
      </c>
      <c r="D917" s="74" t="str">
        <f t="shared" si="153"/>
        <v/>
      </c>
      <c r="F917" s="65" t="str">
        <f t="shared" si="154"/>
        <v/>
      </c>
      <c r="G917" s="68" t="str">
        <f t="shared" si="155"/>
        <v/>
      </c>
      <c r="H917" s="68" t="str">
        <f t="shared" si="156"/>
        <v/>
      </c>
      <c r="I917" s="68" t="str">
        <f t="shared" si="160"/>
        <v/>
      </c>
      <c r="M917" s="1">
        <v>880</v>
      </c>
      <c r="N917" s="1"/>
      <c r="O917" s="1"/>
      <c r="P917" s="1"/>
      <c r="Q917" s="1"/>
      <c r="R917" s="1"/>
      <c r="S917" s="1"/>
      <c r="T917" s="1"/>
      <c r="V917" s="1" t="str">
        <f t="shared" si="158"/>
        <v/>
      </c>
      <c r="W917" s="1" t="str">
        <f t="shared" si="159"/>
        <v/>
      </c>
    </row>
    <row r="918" spans="2:23" ht="14.25" customHeight="1" x14ac:dyDescent="0.3">
      <c r="B918" s="65" t="str">
        <f t="shared" si="151"/>
        <v/>
      </c>
      <c r="C918" s="70" t="str">
        <f t="shared" si="152"/>
        <v/>
      </c>
      <c r="D918" s="74" t="str">
        <f t="shared" si="153"/>
        <v/>
      </c>
      <c r="F918" s="65" t="str">
        <f t="shared" si="154"/>
        <v/>
      </c>
      <c r="G918" s="68" t="str">
        <f t="shared" si="155"/>
        <v/>
      </c>
      <c r="H918" s="68" t="str">
        <f t="shared" si="156"/>
        <v/>
      </c>
      <c r="I918" s="68" t="str">
        <f t="shared" si="160"/>
        <v/>
      </c>
      <c r="M918" s="1">
        <v>881</v>
      </c>
      <c r="N918" s="1"/>
      <c r="O918" s="1"/>
      <c r="P918" s="1"/>
      <c r="Q918" s="1"/>
      <c r="R918" s="1"/>
      <c r="S918" s="1"/>
      <c r="T918" s="1"/>
      <c r="V918" s="1" t="str">
        <f t="shared" si="158"/>
        <v/>
      </c>
      <c r="W918" s="1" t="str">
        <f t="shared" si="159"/>
        <v/>
      </c>
    </row>
    <row r="919" spans="2:23" ht="14.25" customHeight="1" x14ac:dyDescent="0.3">
      <c r="B919" s="65" t="str">
        <f t="shared" si="151"/>
        <v/>
      </c>
      <c r="C919" s="70" t="str">
        <f t="shared" si="152"/>
        <v/>
      </c>
      <c r="D919" s="74" t="str">
        <f t="shared" si="153"/>
        <v/>
      </c>
      <c r="F919" s="65" t="str">
        <f t="shared" si="154"/>
        <v/>
      </c>
      <c r="G919" s="68" t="str">
        <f t="shared" si="155"/>
        <v/>
      </c>
      <c r="H919" s="68" t="str">
        <f t="shared" si="156"/>
        <v/>
      </c>
      <c r="I919" s="68" t="str">
        <f t="shared" si="160"/>
        <v/>
      </c>
      <c r="M919" s="1">
        <v>882</v>
      </c>
      <c r="N919" s="1"/>
      <c r="O919" s="1"/>
      <c r="P919" s="1"/>
      <c r="Q919" s="1"/>
      <c r="R919" s="1"/>
      <c r="S919" s="1"/>
      <c r="T919" s="1"/>
      <c r="V919" s="1" t="str">
        <f t="shared" si="158"/>
        <v/>
      </c>
      <c r="W919" s="1" t="str">
        <f t="shared" si="159"/>
        <v/>
      </c>
    </row>
    <row r="920" spans="2:23" ht="14.25" customHeight="1" x14ac:dyDescent="0.3">
      <c r="B920" s="65" t="str">
        <f t="shared" si="151"/>
        <v/>
      </c>
      <c r="C920" s="70" t="str">
        <f t="shared" si="152"/>
        <v/>
      </c>
      <c r="D920" s="74" t="str">
        <f t="shared" si="153"/>
        <v/>
      </c>
      <c r="F920" s="65" t="str">
        <f t="shared" si="154"/>
        <v/>
      </c>
      <c r="G920" s="68" t="str">
        <f t="shared" si="155"/>
        <v/>
      </c>
      <c r="H920" s="68" t="str">
        <f t="shared" si="156"/>
        <v/>
      </c>
      <c r="I920" s="68" t="str">
        <f t="shared" si="160"/>
        <v/>
      </c>
      <c r="M920" s="1">
        <v>883</v>
      </c>
      <c r="N920" s="1"/>
      <c r="O920" s="1"/>
      <c r="P920" s="1"/>
      <c r="Q920" s="1"/>
      <c r="R920" s="1"/>
      <c r="S920" s="1"/>
      <c r="T920" s="1"/>
      <c r="V920" s="1" t="str">
        <f t="shared" si="158"/>
        <v/>
      </c>
      <c r="W920" s="1" t="str">
        <f t="shared" si="159"/>
        <v/>
      </c>
    </row>
    <row r="921" spans="2:23" ht="14.25" customHeight="1" x14ac:dyDescent="0.3">
      <c r="B921" s="65" t="str">
        <f t="shared" si="151"/>
        <v/>
      </c>
      <c r="C921" s="70" t="str">
        <f t="shared" si="152"/>
        <v/>
      </c>
      <c r="D921" s="74" t="str">
        <f t="shared" si="153"/>
        <v/>
      </c>
      <c r="F921" s="65" t="str">
        <f t="shared" si="154"/>
        <v/>
      </c>
      <c r="G921" s="68" t="str">
        <f t="shared" si="155"/>
        <v/>
      </c>
      <c r="H921" s="68" t="str">
        <f t="shared" si="156"/>
        <v/>
      </c>
      <c r="I921" s="68" t="str">
        <f t="shared" si="160"/>
        <v/>
      </c>
      <c r="M921" s="1">
        <v>884</v>
      </c>
      <c r="N921" s="1"/>
      <c r="O921" s="1"/>
      <c r="P921" s="1"/>
      <c r="Q921" s="1"/>
      <c r="R921" s="1"/>
      <c r="S921" s="1"/>
      <c r="T921" s="1"/>
      <c r="V921" s="1" t="str">
        <f t="shared" si="158"/>
        <v/>
      </c>
      <c r="W921" s="1" t="str">
        <f t="shared" si="159"/>
        <v/>
      </c>
    </row>
    <row r="922" spans="2:23" ht="14.25" customHeight="1" x14ac:dyDescent="0.3">
      <c r="B922" s="65" t="str">
        <f t="shared" si="151"/>
        <v/>
      </c>
      <c r="C922" s="70" t="str">
        <f t="shared" si="152"/>
        <v/>
      </c>
      <c r="D922" s="74" t="str">
        <f t="shared" si="153"/>
        <v/>
      </c>
      <c r="F922" s="65" t="str">
        <f t="shared" si="154"/>
        <v/>
      </c>
      <c r="G922" s="68" t="str">
        <f t="shared" si="155"/>
        <v/>
      </c>
      <c r="H922" s="68" t="str">
        <f t="shared" si="156"/>
        <v/>
      </c>
      <c r="I922" s="68" t="str">
        <f t="shared" si="160"/>
        <v/>
      </c>
      <c r="M922" s="1">
        <v>885</v>
      </c>
      <c r="N922" s="1"/>
      <c r="O922" s="1"/>
      <c r="P922" s="1"/>
      <c r="Q922" s="1"/>
      <c r="R922" s="1"/>
      <c r="S922" s="1"/>
      <c r="T922" s="1"/>
      <c r="V922" s="1" t="str">
        <f t="shared" si="158"/>
        <v/>
      </c>
      <c r="W922" s="1" t="str">
        <f t="shared" si="159"/>
        <v/>
      </c>
    </row>
    <row r="923" spans="2:23" ht="14.25" customHeight="1" x14ac:dyDescent="0.3">
      <c r="B923" s="65" t="str">
        <f t="shared" si="151"/>
        <v/>
      </c>
      <c r="C923" s="70" t="str">
        <f t="shared" si="152"/>
        <v/>
      </c>
      <c r="D923" s="74" t="str">
        <f t="shared" si="153"/>
        <v/>
      </c>
      <c r="F923" s="65" t="str">
        <f t="shared" si="154"/>
        <v/>
      </c>
      <c r="G923" s="68" t="str">
        <f t="shared" si="155"/>
        <v/>
      </c>
      <c r="H923" s="68" t="str">
        <f t="shared" si="156"/>
        <v/>
      </c>
      <c r="I923" s="68" t="str">
        <f t="shared" si="160"/>
        <v/>
      </c>
      <c r="M923" s="1">
        <v>886</v>
      </c>
      <c r="N923" s="1"/>
      <c r="O923" s="1"/>
      <c r="P923" s="1"/>
      <c r="Q923" s="1"/>
      <c r="R923" s="1"/>
      <c r="S923" s="1"/>
      <c r="T923" s="1"/>
      <c r="V923" s="1" t="str">
        <f t="shared" si="158"/>
        <v/>
      </c>
      <c r="W923" s="1" t="str">
        <f t="shared" si="159"/>
        <v/>
      </c>
    </row>
    <row r="924" spans="2:23" ht="14.25" customHeight="1" x14ac:dyDescent="0.3">
      <c r="B924" s="65" t="str">
        <f t="shared" si="151"/>
        <v/>
      </c>
      <c r="C924" s="70" t="str">
        <f t="shared" si="152"/>
        <v/>
      </c>
      <c r="D924" s="74" t="str">
        <f t="shared" si="153"/>
        <v/>
      </c>
      <c r="F924" s="65" t="str">
        <f t="shared" si="154"/>
        <v/>
      </c>
      <c r="G924" s="68" t="str">
        <f t="shared" si="155"/>
        <v/>
      </c>
      <c r="H924" s="68" t="str">
        <f t="shared" si="156"/>
        <v/>
      </c>
      <c r="I924" s="68" t="str">
        <f t="shared" si="160"/>
        <v/>
      </c>
      <c r="M924" s="1">
        <v>887</v>
      </c>
      <c r="N924" s="1"/>
      <c r="O924" s="1"/>
      <c r="P924" s="1"/>
      <c r="Q924" s="1"/>
      <c r="R924" s="1"/>
      <c r="S924" s="1"/>
      <c r="T924" s="1"/>
      <c r="V924" s="1" t="str">
        <f t="shared" si="158"/>
        <v/>
      </c>
      <c r="W924" s="1" t="str">
        <f t="shared" si="159"/>
        <v/>
      </c>
    </row>
    <row r="925" spans="2:23" ht="14.25" customHeight="1" x14ac:dyDescent="0.3">
      <c r="B925" s="65" t="str">
        <f t="shared" si="151"/>
        <v/>
      </c>
      <c r="C925" s="70" t="str">
        <f t="shared" si="152"/>
        <v/>
      </c>
      <c r="D925" s="74" t="str">
        <f t="shared" si="153"/>
        <v/>
      </c>
      <c r="F925" s="65" t="str">
        <f t="shared" si="154"/>
        <v/>
      </c>
      <c r="G925" s="68" t="str">
        <f t="shared" si="155"/>
        <v/>
      </c>
      <c r="H925" s="68" t="str">
        <f t="shared" si="156"/>
        <v/>
      </c>
      <c r="I925" s="68" t="str">
        <f t="shared" si="160"/>
        <v/>
      </c>
      <c r="M925" s="1">
        <v>888</v>
      </c>
      <c r="N925" s="1"/>
      <c r="O925" s="1"/>
      <c r="P925" s="1"/>
      <c r="Q925" s="1"/>
      <c r="R925" s="1"/>
      <c r="S925" s="1"/>
      <c r="T925" s="1"/>
      <c r="V925" s="1" t="str">
        <f t="shared" si="158"/>
        <v/>
      </c>
      <c r="W925" s="1" t="str">
        <f t="shared" si="159"/>
        <v/>
      </c>
    </row>
    <row r="926" spans="2:23" ht="14.25" customHeight="1" x14ac:dyDescent="0.3">
      <c r="B926" s="65" t="str">
        <f t="shared" si="151"/>
        <v/>
      </c>
      <c r="C926" s="70" t="str">
        <f t="shared" si="152"/>
        <v/>
      </c>
      <c r="D926" s="74" t="str">
        <f t="shared" si="153"/>
        <v/>
      </c>
      <c r="F926" s="65" t="str">
        <f t="shared" si="154"/>
        <v/>
      </c>
      <c r="G926" s="68" t="str">
        <f t="shared" si="155"/>
        <v/>
      </c>
      <c r="H926" s="68" t="str">
        <f t="shared" si="156"/>
        <v/>
      </c>
      <c r="I926" s="68" t="str">
        <f t="shared" si="160"/>
        <v/>
      </c>
      <c r="M926" s="1">
        <v>889</v>
      </c>
      <c r="N926" s="1"/>
      <c r="O926" s="1"/>
      <c r="P926" s="1"/>
      <c r="Q926" s="1"/>
      <c r="R926" s="1"/>
      <c r="S926" s="1"/>
      <c r="T926" s="1"/>
      <c r="V926" s="1" t="str">
        <f t="shared" si="158"/>
        <v/>
      </c>
      <c r="W926" s="1" t="str">
        <f t="shared" si="159"/>
        <v/>
      </c>
    </row>
    <row r="927" spans="2:23" ht="14.25" customHeight="1" x14ac:dyDescent="0.3">
      <c r="B927" s="65" t="str">
        <f t="shared" si="151"/>
        <v/>
      </c>
      <c r="C927" s="70" t="str">
        <f t="shared" si="152"/>
        <v/>
      </c>
      <c r="D927" s="74" t="str">
        <f t="shared" si="153"/>
        <v/>
      </c>
      <c r="F927" s="65" t="str">
        <f t="shared" si="154"/>
        <v/>
      </c>
      <c r="G927" s="68" t="str">
        <f t="shared" si="155"/>
        <v/>
      </c>
      <c r="H927" s="68" t="str">
        <f t="shared" si="156"/>
        <v/>
      </c>
      <c r="I927" s="68" t="str">
        <f t="shared" si="160"/>
        <v/>
      </c>
      <c r="M927" s="1">
        <v>890</v>
      </c>
      <c r="N927" s="1"/>
      <c r="O927" s="1"/>
      <c r="P927" s="1"/>
      <c r="Q927" s="1"/>
      <c r="R927" s="1"/>
      <c r="S927" s="1"/>
      <c r="T927" s="1"/>
      <c r="V927" s="1" t="str">
        <f t="shared" si="158"/>
        <v/>
      </c>
      <c r="W927" s="1" t="str">
        <f t="shared" si="159"/>
        <v/>
      </c>
    </row>
    <row r="928" spans="2:23" ht="14.25" customHeight="1" x14ac:dyDescent="0.3">
      <c r="B928" s="65" t="str">
        <f t="shared" si="151"/>
        <v/>
      </c>
      <c r="C928" s="70" t="str">
        <f t="shared" si="152"/>
        <v/>
      </c>
      <c r="D928" s="74" t="str">
        <f t="shared" si="153"/>
        <v/>
      </c>
      <c r="F928" s="65" t="str">
        <f t="shared" si="154"/>
        <v/>
      </c>
      <c r="G928" s="68" t="str">
        <f t="shared" si="155"/>
        <v/>
      </c>
      <c r="H928" s="68" t="str">
        <f t="shared" si="156"/>
        <v/>
      </c>
      <c r="I928" s="68" t="str">
        <f t="shared" si="160"/>
        <v/>
      </c>
      <c r="M928" s="1">
        <v>891</v>
      </c>
      <c r="N928" s="1"/>
      <c r="O928" s="1"/>
      <c r="P928" s="1"/>
      <c r="Q928" s="1"/>
      <c r="R928" s="1"/>
      <c r="S928" s="1"/>
      <c r="T928" s="1"/>
      <c r="V928" s="1" t="str">
        <f t="shared" si="158"/>
        <v/>
      </c>
      <c r="W928" s="1" t="str">
        <f t="shared" si="159"/>
        <v/>
      </c>
    </row>
    <row r="929" spans="2:23" ht="14.25" customHeight="1" x14ac:dyDescent="0.3">
      <c r="B929" s="65" t="str">
        <f t="shared" si="151"/>
        <v/>
      </c>
      <c r="C929" s="70" t="str">
        <f t="shared" si="152"/>
        <v/>
      </c>
      <c r="D929" s="74" t="str">
        <f t="shared" si="153"/>
        <v/>
      </c>
      <c r="F929" s="65" t="str">
        <f t="shared" si="154"/>
        <v/>
      </c>
      <c r="G929" s="68" t="str">
        <f t="shared" si="155"/>
        <v/>
      </c>
      <c r="H929" s="68" t="str">
        <f t="shared" si="156"/>
        <v/>
      </c>
      <c r="I929" s="68" t="str">
        <f t="shared" si="160"/>
        <v/>
      </c>
      <c r="M929" s="1">
        <v>892</v>
      </c>
      <c r="N929" s="1"/>
      <c r="O929" s="1"/>
      <c r="P929" s="1"/>
      <c r="Q929" s="1"/>
      <c r="R929" s="1"/>
      <c r="S929" s="1"/>
      <c r="T929" s="1"/>
      <c r="V929" s="1" t="str">
        <f t="shared" si="158"/>
        <v/>
      </c>
      <c r="W929" s="1" t="str">
        <f t="shared" si="159"/>
        <v/>
      </c>
    </row>
    <row r="930" spans="2:23" ht="14.25" customHeight="1" x14ac:dyDescent="0.3">
      <c r="B930" s="65" t="str">
        <f t="shared" si="151"/>
        <v/>
      </c>
      <c r="C930" s="70" t="str">
        <f t="shared" si="152"/>
        <v/>
      </c>
      <c r="D930" s="74" t="str">
        <f t="shared" si="153"/>
        <v/>
      </c>
      <c r="F930" s="65" t="str">
        <f t="shared" si="154"/>
        <v/>
      </c>
      <c r="G930" s="68" t="str">
        <f t="shared" si="155"/>
        <v/>
      </c>
      <c r="H930" s="68" t="str">
        <f t="shared" si="156"/>
        <v/>
      </c>
      <c r="I930" s="68" t="str">
        <f t="shared" si="160"/>
        <v/>
      </c>
      <c r="M930" s="1">
        <v>893</v>
      </c>
      <c r="N930" s="1"/>
      <c r="O930" s="1"/>
      <c r="P930" s="1"/>
      <c r="Q930" s="1"/>
      <c r="R930" s="1"/>
      <c r="S930" s="1"/>
      <c r="T930" s="1"/>
      <c r="V930" s="1" t="str">
        <f t="shared" si="158"/>
        <v/>
      </c>
      <c r="W930" s="1" t="str">
        <f t="shared" si="159"/>
        <v/>
      </c>
    </row>
    <row r="931" spans="2:23" ht="14.25" customHeight="1" x14ac:dyDescent="0.3">
      <c r="B931" s="65" t="str">
        <f t="shared" si="151"/>
        <v/>
      </c>
      <c r="C931" s="70" t="str">
        <f t="shared" si="152"/>
        <v/>
      </c>
      <c r="D931" s="74" t="str">
        <f t="shared" si="153"/>
        <v/>
      </c>
      <c r="F931" s="65" t="str">
        <f t="shared" si="154"/>
        <v/>
      </c>
      <c r="G931" s="68" t="str">
        <f t="shared" si="155"/>
        <v/>
      </c>
      <c r="H931" s="68" t="str">
        <f t="shared" si="156"/>
        <v/>
      </c>
      <c r="I931" s="68" t="str">
        <f t="shared" si="160"/>
        <v/>
      </c>
      <c r="M931" s="1">
        <v>894</v>
      </c>
      <c r="N931" s="1"/>
      <c r="O931" s="1"/>
      <c r="P931" s="1"/>
      <c r="Q931" s="1"/>
      <c r="R931" s="1"/>
      <c r="S931" s="1"/>
      <c r="T931" s="1"/>
      <c r="V931" s="1" t="str">
        <f t="shared" si="158"/>
        <v/>
      </c>
      <c r="W931" s="1" t="str">
        <f t="shared" si="159"/>
        <v/>
      </c>
    </row>
    <row r="932" spans="2:23" ht="14.25" customHeight="1" x14ac:dyDescent="0.3">
      <c r="B932" s="65" t="str">
        <f t="shared" si="151"/>
        <v/>
      </c>
      <c r="C932" s="70" t="str">
        <f t="shared" si="152"/>
        <v/>
      </c>
      <c r="D932" s="74" t="str">
        <f t="shared" si="153"/>
        <v/>
      </c>
      <c r="F932" s="65" t="str">
        <f t="shared" si="154"/>
        <v/>
      </c>
      <c r="G932" s="68" t="str">
        <f t="shared" si="155"/>
        <v/>
      </c>
      <c r="H932" s="68" t="str">
        <f t="shared" si="156"/>
        <v/>
      </c>
      <c r="I932" s="68" t="str">
        <f t="shared" si="160"/>
        <v/>
      </c>
      <c r="M932" s="1">
        <v>895</v>
      </c>
      <c r="N932" s="1"/>
      <c r="O932" s="1"/>
      <c r="P932" s="1"/>
      <c r="Q932" s="1"/>
      <c r="R932" s="1"/>
      <c r="S932" s="1"/>
      <c r="T932" s="1"/>
      <c r="V932" s="1" t="str">
        <f t="shared" si="158"/>
        <v/>
      </c>
      <c r="W932" s="1" t="str">
        <f t="shared" si="159"/>
        <v/>
      </c>
    </row>
    <row r="933" spans="2:23" ht="14.25" customHeight="1" x14ac:dyDescent="0.3">
      <c r="B933" s="65" t="str">
        <f t="shared" si="151"/>
        <v/>
      </c>
      <c r="C933" s="70" t="str">
        <f t="shared" si="152"/>
        <v/>
      </c>
      <c r="D933" s="74" t="str">
        <f t="shared" si="153"/>
        <v/>
      </c>
      <c r="F933" s="65" t="str">
        <f t="shared" si="154"/>
        <v/>
      </c>
      <c r="G933" s="68" t="str">
        <f t="shared" si="155"/>
        <v/>
      </c>
      <c r="H933" s="68" t="str">
        <f t="shared" si="156"/>
        <v/>
      </c>
      <c r="I933" s="68" t="str">
        <f t="shared" si="160"/>
        <v/>
      </c>
      <c r="M933" s="1">
        <v>896</v>
      </c>
      <c r="N933" s="1"/>
      <c r="O933" s="1"/>
      <c r="P933" s="1"/>
      <c r="Q933" s="1"/>
      <c r="R933" s="1"/>
      <c r="S933" s="1"/>
      <c r="T933" s="1"/>
      <c r="V933" s="1" t="str">
        <f t="shared" si="158"/>
        <v/>
      </c>
      <c r="W933" s="1" t="str">
        <f t="shared" si="159"/>
        <v/>
      </c>
    </row>
    <row r="934" spans="2:23" ht="14.25" customHeight="1" x14ac:dyDescent="0.3">
      <c r="B934" s="65" t="str">
        <f t="shared" ref="B934:B953" si="161">IF($C934="","",ROW()-37)</f>
        <v/>
      </c>
      <c r="C934" s="70" t="str">
        <f t="shared" ref="C934:C953" si="162">IF($W934="","",IF(INDEX($N$38:$N$953,$W934)="","",INDEX($N$38:$N$953,$W934)))</f>
        <v/>
      </c>
      <c r="D934" s="74" t="str">
        <f t="shared" ref="D934:D953" si="163">IF($C934="","",INDEX($O$38:$O$953,$W934))</f>
        <v/>
      </c>
      <c r="F934" s="65" t="str">
        <f t="shared" ref="F934:F953" si="164">IF($C934="","",INDEX($P$38:$P$953,$W934))</f>
        <v/>
      </c>
      <c r="G934" s="68" t="str">
        <f t="shared" ref="G934:G953" si="165">IF($C934="","",INDEX($Q$38:$Q$953,$W934))</f>
        <v/>
      </c>
      <c r="H934" s="68" t="str">
        <f t="shared" ref="H934:H953" si="166">IF($C934="","",INDEX($R$38:$R$953,$W934))</f>
        <v/>
      </c>
      <c r="I934" s="68" t="str">
        <f t="shared" si="160"/>
        <v/>
      </c>
      <c r="M934" s="1">
        <v>897</v>
      </c>
      <c r="N934" s="1"/>
      <c r="O934" s="1"/>
      <c r="P934" s="1"/>
      <c r="Q934" s="1"/>
      <c r="R934" s="1"/>
      <c r="S934" s="1"/>
      <c r="T934" s="1"/>
      <c r="V934" s="1" t="str">
        <f t="shared" ref="V934:V953" si="167">IFERROR(SMALL($S$38:$S$953,ROW()-37),"")</f>
        <v/>
      </c>
      <c r="W934" s="1" t="str">
        <f t="shared" ref="W934:W953" si="168">IFERROR(MATCH($V934,$S$38:$S$953,0),"")</f>
        <v/>
      </c>
    </row>
    <row r="935" spans="2:23" ht="14.25" customHeight="1" x14ac:dyDescent="0.3">
      <c r="B935" s="65" t="str">
        <f t="shared" si="161"/>
        <v/>
      </c>
      <c r="C935" s="70" t="str">
        <f t="shared" si="162"/>
        <v/>
      </c>
      <c r="D935" s="74" t="str">
        <f t="shared" si="163"/>
        <v/>
      </c>
      <c r="F935" s="65" t="str">
        <f t="shared" si="164"/>
        <v/>
      </c>
      <c r="G935" s="68" t="str">
        <f t="shared" si="165"/>
        <v/>
      </c>
      <c r="H935" s="68" t="str">
        <f t="shared" si="166"/>
        <v/>
      </c>
      <c r="I935" s="68" t="str">
        <f t="shared" ref="I935:I953" si="169">IF($C935="","",N($I934)+$G935-$H935)</f>
        <v/>
      </c>
      <c r="M935" s="1">
        <v>898</v>
      </c>
      <c r="N935" s="1"/>
      <c r="O935" s="1"/>
      <c r="P935" s="1"/>
      <c r="Q935" s="1"/>
      <c r="R935" s="1"/>
      <c r="S935" s="1"/>
      <c r="T935" s="1"/>
      <c r="V935" s="1" t="str">
        <f t="shared" si="167"/>
        <v/>
      </c>
      <c r="W935" s="1" t="str">
        <f t="shared" si="168"/>
        <v/>
      </c>
    </row>
    <row r="936" spans="2:23" ht="14.25" customHeight="1" x14ac:dyDescent="0.3">
      <c r="B936" s="65" t="str">
        <f t="shared" si="161"/>
        <v/>
      </c>
      <c r="C936" s="70" t="str">
        <f t="shared" si="162"/>
        <v/>
      </c>
      <c r="D936" s="74" t="str">
        <f t="shared" si="163"/>
        <v/>
      </c>
      <c r="F936" s="65" t="str">
        <f t="shared" si="164"/>
        <v/>
      </c>
      <c r="G936" s="68" t="str">
        <f t="shared" si="165"/>
        <v/>
      </c>
      <c r="H936" s="68" t="str">
        <f t="shared" si="166"/>
        <v/>
      </c>
      <c r="I936" s="68" t="str">
        <f t="shared" si="169"/>
        <v/>
      </c>
      <c r="M936" s="1">
        <v>899</v>
      </c>
      <c r="N936" s="1"/>
      <c r="O936" s="1"/>
      <c r="P936" s="1"/>
      <c r="Q936" s="1"/>
      <c r="R936" s="1"/>
      <c r="S936" s="1"/>
      <c r="T936" s="1"/>
      <c r="V936" s="1" t="str">
        <f t="shared" si="167"/>
        <v/>
      </c>
      <c r="W936" s="1" t="str">
        <f t="shared" si="168"/>
        <v/>
      </c>
    </row>
    <row r="937" spans="2:23" ht="14.25" customHeight="1" x14ac:dyDescent="0.3">
      <c r="B937" s="65" t="str">
        <f t="shared" si="161"/>
        <v/>
      </c>
      <c r="C937" s="70" t="str">
        <f t="shared" si="162"/>
        <v/>
      </c>
      <c r="D937" s="74" t="str">
        <f t="shared" si="163"/>
        <v/>
      </c>
      <c r="F937" s="65" t="str">
        <f t="shared" si="164"/>
        <v/>
      </c>
      <c r="G937" s="68" t="str">
        <f t="shared" si="165"/>
        <v/>
      </c>
      <c r="H937" s="68" t="str">
        <f t="shared" si="166"/>
        <v/>
      </c>
      <c r="I937" s="68" t="str">
        <f t="shared" si="169"/>
        <v/>
      </c>
      <c r="M937" s="1">
        <v>900</v>
      </c>
      <c r="N937" s="1"/>
      <c r="O937" s="1"/>
      <c r="P937" s="1"/>
      <c r="Q937" s="1"/>
      <c r="R937" s="1"/>
      <c r="S937" s="1"/>
      <c r="T937" s="1"/>
      <c r="V937" s="1" t="str">
        <f t="shared" si="167"/>
        <v/>
      </c>
      <c r="W937" s="1" t="str">
        <f t="shared" si="168"/>
        <v/>
      </c>
    </row>
    <row r="938" spans="2:23" ht="14.25" customHeight="1" x14ac:dyDescent="0.3">
      <c r="B938" s="65" t="str">
        <f t="shared" si="161"/>
        <v/>
      </c>
      <c r="C938" s="70" t="str">
        <f t="shared" si="162"/>
        <v/>
      </c>
      <c r="D938" s="74" t="str">
        <f t="shared" si="163"/>
        <v/>
      </c>
      <c r="F938" s="65" t="str">
        <f t="shared" si="164"/>
        <v/>
      </c>
      <c r="G938" s="68" t="str">
        <f t="shared" si="165"/>
        <v/>
      </c>
      <c r="H938" s="68" t="str">
        <f t="shared" si="166"/>
        <v/>
      </c>
      <c r="I938" s="68" t="str">
        <f t="shared" si="169"/>
        <v/>
      </c>
      <c r="M938" s="1">
        <v>901</v>
      </c>
      <c r="N938" s="1"/>
      <c r="O938" s="1"/>
      <c r="P938" s="1"/>
      <c r="Q938" s="1"/>
      <c r="R938" s="1"/>
      <c r="S938" s="1"/>
      <c r="T938" s="1"/>
      <c r="V938" s="1" t="str">
        <f t="shared" si="167"/>
        <v/>
      </c>
      <c r="W938" s="1" t="str">
        <f t="shared" si="168"/>
        <v/>
      </c>
    </row>
    <row r="939" spans="2:23" ht="14.25" customHeight="1" x14ac:dyDescent="0.3">
      <c r="B939" s="65" t="str">
        <f t="shared" si="161"/>
        <v/>
      </c>
      <c r="C939" s="70" t="str">
        <f t="shared" si="162"/>
        <v/>
      </c>
      <c r="D939" s="74" t="str">
        <f t="shared" si="163"/>
        <v/>
      </c>
      <c r="F939" s="65" t="str">
        <f t="shared" si="164"/>
        <v/>
      </c>
      <c r="G939" s="68" t="str">
        <f t="shared" si="165"/>
        <v/>
      </c>
      <c r="H939" s="68" t="str">
        <f t="shared" si="166"/>
        <v/>
      </c>
      <c r="I939" s="68" t="str">
        <f t="shared" si="169"/>
        <v/>
      </c>
      <c r="M939" s="1">
        <v>902</v>
      </c>
      <c r="N939" s="1"/>
      <c r="O939" s="1"/>
      <c r="P939" s="1"/>
      <c r="Q939" s="1"/>
      <c r="R939" s="1"/>
      <c r="S939" s="1"/>
      <c r="T939" s="1"/>
      <c r="V939" s="1" t="str">
        <f t="shared" si="167"/>
        <v/>
      </c>
      <c r="W939" s="1" t="str">
        <f t="shared" si="168"/>
        <v/>
      </c>
    </row>
    <row r="940" spans="2:23" ht="14.25" customHeight="1" x14ac:dyDescent="0.3">
      <c r="B940" s="65" t="str">
        <f t="shared" si="161"/>
        <v/>
      </c>
      <c r="C940" s="70" t="str">
        <f t="shared" si="162"/>
        <v/>
      </c>
      <c r="D940" s="74" t="str">
        <f t="shared" si="163"/>
        <v/>
      </c>
      <c r="F940" s="65" t="str">
        <f t="shared" si="164"/>
        <v/>
      </c>
      <c r="G940" s="68" t="str">
        <f t="shared" si="165"/>
        <v/>
      </c>
      <c r="H940" s="68" t="str">
        <f t="shared" si="166"/>
        <v/>
      </c>
      <c r="I940" s="68" t="str">
        <f t="shared" si="169"/>
        <v/>
      </c>
      <c r="M940" s="1">
        <v>903</v>
      </c>
      <c r="N940" s="1"/>
      <c r="O940" s="1"/>
      <c r="P940" s="1"/>
      <c r="Q940" s="1"/>
      <c r="R940" s="1"/>
      <c r="S940" s="1"/>
      <c r="T940" s="1"/>
      <c r="V940" s="1" t="str">
        <f t="shared" si="167"/>
        <v/>
      </c>
      <c r="W940" s="1" t="str">
        <f t="shared" si="168"/>
        <v/>
      </c>
    </row>
    <row r="941" spans="2:23" ht="14.25" customHeight="1" x14ac:dyDescent="0.3">
      <c r="B941" s="65" t="str">
        <f t="shared" si="161"/>
        <v/>
      </c>
      <c r="C941" s="70" t="str">
        <f t="shared" si="162"/>
        <v/>
      </c>
      <c r="D941" s="74" t="str">
        <f t="shared" si="163"/>
        <v/>
      </c>
      <c r="F941" s="65" t="str">
        <f t="shared" si="164"/>
        <v/>
      </c>
      <c r="G941" s="68" t="str">
        <f t="shared" si="165"/>
        <v/>
      </c>
      <c r="H941" s="68" t="str">
        <f t="shared" si="166"/>
        <v/>
      </c>
      <c r="I941" s="68" t="str">
        <f t="shared" si="169"/>
        <v/>
      </c>
      <c r="M941" s="1">
        <v>904</v>
      </c>
      <c r="N941" s="1"/>
      <c r="O941" s="1"/>
      <c r="P941" s="1"/>
      <c r="Q941" s="1"/>
      <c r="R941" s="1"/>
      <c r="S941" s="1"/>
      <c r="T941" s="1"/>
      <c r="V941" s="1" t="str">
        <f t="shared" si="167"/>
        <v/>
      </c>
      <c r="W941" s="1" t="str">
        <f t="shared" si="168"/>
        <v/>
      </c>
    </row>
    <row r="942" spans="2:23" ht="14.25" customHeight="1" x14ac:dyDescent="0.3">
      <c r="B942" s="65" t="str">
        <f t="shared" si="161"/>
        <v/>
      </c>
      <c r="C942" s="70" t="str">
        <f t="shared" si="162"/>
        <v/>
      </c>
      <c r="D942" s="74" t="str">
        <f t="shared" si="163"/>
        <v/>
      </c>
      <c r="F942" s="65" t="str">
        <f t="shared" si="164"/>
        <v/>
      </c>
      <c r="G942" s="68" t="str">
        <f t="shared" si="165"/>
        <v/>
      </c>
      <c r="H942" s="68" t="str">
        <f t="shared" si="166"/>
        <v/>
      </c>
      <c r="I942" s="68" t="str">
        <f t="shared" si="169"/>
        <v/>
      </c>
      <c r="M942" s="1">
        <v>905</v>
      </c>
      <c r="N942" s="1"/>
      <c r="O942" s="1"/>
      <c r="P942" s="1"/>
      <c r="Q942" s="1"/>
      <c r="R942" s="1"/>
      <c r="S942" s="1"/>
      <c r="T942" s="1"/>
      <c r="V942" s="1" t="str">
        <f t="shared" si="167"/>
        <v/>
      </c>
      <c r="W942" s="1" t="str">
        <f t="shared" si="168"/>
        <v/>
      </c>
    </row>
    <row r="943" spans="2:23" ht="14.25" customHeight="1" x14ac:dyDescent="0.3">
      <c r="B943" s="65" t="str">
        <f t="shared" si="161"/>
        <v/>
      </c>
      <c r="C943" s="70" t="str">
        <f t="shared" si="162"/>
        <v/>
      </c>
      <c r="D943" s="74" t="str">
        <f t="shared" si="163"/>
        <v/>
      </c>
      <c r="F943" s="65" t="str">
        <f t="shared" si="164"/>
        <v/>
      </c>
      <c r="G943" s="68" t="str">
        <f t="shared" si="165"/>
        <v/>
      </c>
      <c r="H943" s="68" t="str">
        <f t="shared" si="166"/>
        <v/>
      </c>
      <c r="I943" s="68" t="str">
        <f t="shared" si="169"/>
        <v/>
      </c>
      <c r="M943" s="1">
        <v>906</v>
      </c>
      <c r="N943" s="1"/>
      <c r="O943" s="1"/>
      <c r="P943" s="1"/>
      <c r="Q943" s="1"/>
      <c r="R943" s="1"/>
      <c r="S943" s="1"/>
      <c r="T943" s="1"/>
      <c r="V943" s="1" t="str">
        <f t="shared" si="167"/>
        <v/>
      </c>
      <c r="W943" s="1" t="str">
        <f t="shared" si="168"/>
        <v/>
      </c>
    </row>
    <row r="944" spans="2:23" ht="14.25" customHeight="1" x14ac:dyDescent="0.3">
      <c r="B944" s="65" t="str">
        <f t="shared" si="161"/>
        <v/>
      </c>
      <c r="C944" s="70" t="str">
        <f t="shared" si="162"/>
        <v/>
      </c>
      <c r="D944" s="74" t="str">
        <f t="shared" si="163"/>
        <v/>
      </c>
      <c r="F944" s="65" t="str">
        <f t="shared" si="164"/>
        <v/>
      </c>
      <c r="G944" s="68" t="str">
        <f t="shared" si="165"/>
        <v/>
      </c>
      <c r="H944" s="68" t="str">
        <f t="shared" si="166"/>
        <v/>
      </c>
      <c r="I944" s="68" t="str">
        <f t="shared" si="169"/>
        <v/>
      </c>
      <c r="M944" s="1">
        <v>907</v>
      </c>
      <c r="N944" s="1"/>
      <c r="O944" s="1"/>
      <c r="P944" s="1"/>
      <c r="Q944" s="1"/>
      <c r="R944" s="1"/>
      <c r="S944" s="1"/>
      <c r="T944" s="1"/>
      <c r="V944" s="1" t="str">
        <f t="shared" si="167"/>
        <v/>
      </c>
      <c r="W944" s="1" t="str">
        <f t="shared" si="168"/>
        <v/>
      </c>
    </row>
    <row r="945" spans="2:23" ht="14.25" customHeight="1" x14ac:dyDescent="0.3">
      <c r="B945" s="65" t="str">
        <f t="shared" si="161"/>
        <v/>
      </c>
      <c r="C945" s="70" t="str">
        <f t="shared" si="162"/>
        <v/>
      </c>
      <c r="D945" s="74" t="str">
        <f t="shared" si="163"/>
        <v/>
      </c>
      <c r="F945" s="65" t="str">
        <f t="shared" si="164"/>
        <v/>
      </c>
      <c r="G945" s="68" t="str">
        <f t="shared" si="165"/>
        <v/>
      </c>
      <c r="H945" s="68" t="str">
        <f t="shared" si="166"/>
        <v/>
      </c>
      <c r="I945" s="68" t="str">
        <f t="shared" si="169"/>
        <v/>
      </c>
      <c r="M945" s="1">
        <v>908</v>
      </c>
      <c r="N945" s="1"/>
      <c r="O945" s="1"/>
      <c r="P945" s="1"/>
      <c r="Q945" s="1"/>
      <c r="R945" s="1"/>
      <c r="S945" s="1"/>
      <c r="T945" s="1"/>
      <c r="V945" s="1" t="str">
        <f t="shared" si="167"/>
        <v/>
      </c>
      <c r="W945" s="1" t="str">
        <f t="shared" si="168"/>
        <v/>
      </c>
    </row>
    <row r="946" spans="2:23" ht="14.25" customHeight="1" x14ac:dyDescent="0.3">
      <c r="B946" s="65" t="str">
        <f t="shared" si="161"/>
        <v/>
      </c>
      <c r="C946" s="70" t="str">
        <f t="shared" si="162"/>
        <v/>
      </c>
      <c r="D946" s="74" t="str">
        <f t="shared" si="163"/>
        <v/>
      </c>
      <c r="F946" s="65" t="str">
        <f t="shared" si="164"/>
        <v/>
      </c>
      <c r="G946" s="68" t="str">
        <f t="shared" si="165"/>
        <v/>
      </c>
      <c r="H946" s="68" t="str">
        <f t="shared" si="166"/>
        <v/>
      </c>
      <c r="I946" s="68" t="str">
        <f t="shared" si="169"/>
        <v/>
      </c>
      <c r="M946" s="1">
        <v>909</v>
      </c>
      <c r="N946" s="1"/>
      <c r="O946" s="1"/>
      <c r="P946" s="1"/>
      <c r="Q946" s="1"/>
      <c r="R946" s="1"/>
      <c r="S946" s="1"/>
      <c r="T946" s="1"/>
      <c r="V946" s="1" t="str">
        <f t="shared" si="167"/>
        <v/>
      </c>
      <c r="W946" s="1" t="str">
        <f t="shared" si="168"/>
        <v/>
      </c>
    </row>
    <row r="947" spans="2:23" ht="14.25" customHeight="1" x14ac:dyDescent="0.3">
      <c r="B947" s="65" t="str">
        <f t="shared" si="161"/>
        <v/>
      </c>
      <c r="C947" s="70" t="str">
        <f t="shared" si="162"/>
        <v/>
      </c>
      <c r="D947" s="74" t="str">
        <f t="shared" si="163"/>
        <v/>
      </c>
      <c r="F947" s="65" t="str">
        <f t="shared" si="164"/>
        <v/>
      </c>
      <c r="G947" s="68" t="str">
        <f t="shared" si="165"/>
        <v/>
      </c>
      <c r="H947" s="68" t="str">
        <f t="shared" si="166"/>
        <v/>
      </c>
      <c r="I947" s="68" t="str">
        <f t="shared" si="169"/>
        <v/>
      </c>
      <c r="M947" s="1">
        <v>910</v>
      </c>
      <c r="N947" s="1"/>
      <c r="O947" s="1"/>
      <c r="P947" s="1"/>
      <c r="Q947" s="1"/>
      <c r="R947" s="1"/>
      <c r="S947" s="1"/>
      <c r="T947" s="1"/>
      <c r="V947" s="1" t="str">
        <f t="shared" si="167"/>
        <v/>
      </c>
      <c r="W947" s="1" t="str">
        <f t="shared" si="168"/>
        <v/>
      </c>
    </row>
    <row r="948" spans="2:23" ht="14.25" customHeight="1" x14ac:dyDescent="0.3">
      <c r="B948" s="65" t="str">
        <f t="shared" si="161"/>
        <v/>
      </c>
      <c r="C948" s="70" t="str">
        <f t="shared" si="162"/>
        <v/>
      </c>
      <c r="D948" s="74" t="str">
        <f t="shared" si="163"/>
        <v/>
      </c>
      <c r="F948" s="65" t="str">
        <f t="shared" si="164"/>
        <v/>
      </c>
      <c r="G948" s="68" t="str">
        <f t="shared" si="165"/>
        <v/>
      </c>
      <c r="H948" s="68" t="str">
        <f t="shared" si="166"/>
        <v/>
      </c>
      <c r="I948" s="68" t="str">
        <f t="shared" si="169"/>
        <v/>
      </c>
      <c r="M948" s="1">
        <v>911</v>
      </c>
      <c r="N948" s="1"/>
      <c r="O948" s="1"/>
      <c r="P948" s="1"/>
      <c r="Q948" s="1"/>
      <c r="R948" s="1"/>
      <c r="S948" s="1"/>
      <c r="T948" s="1"/>
      <c r="V948" s="1" t="str">
        <f t="shared" si="167"/>
        <v/>
      </c>
      <c r="W948" s="1" t="str">
        <f t="shared" si="168"/>
        <v/>
      </c>
    </row>
    <row r="949" spans="2:23" ht="14.25" customHeight="1" x14ac:dyDescent="0.3">
      <c r="B949" s="65" t="str">
        <f t="shared" si="161"/>
        <v/>
      </c>
      <c r="C949" s="70" t="str">
        <f t="shared" si="162"/>
        <v/>
      </c>
      <c r="D949" s="74" t="str">
        <f t="shared" si="163"/>
        <v/>
      </c>
      <c r="F949" s="65" t="str">
        <f t="shared" si="164"/>
        <v/>
      </c>
      <c r="G949" s="68" t="str">
        <f t="shared" si="165"/>
        <v/>
      </c>
      <c r="H949" s="68" t="str">
        <f t="shared" si="166"/>
        <v/>
      </c>
      <c r="I949" s="68" t="str">
        <f t="shared" si="169"/>
        <v/>
      </c>
      <c r="M949" s="1">
        <v>912</v>
      </c>
      <c r="N949" s="1"/>
      <c r="O949" s="1"/>
      <c r="P949" s="1"/>
      <c r="Q949" s="1"/>
      <c r="R949" s="1"/>
      <c r="S949" s="1"/>
      <c r="T949" s="1"/>
      <c r="V949" s="1" t="str">
        <f t="shared" si="167"/>
        <v/>
      </c>
      <c r="W949" s="1" t="str">
        <f t="shared" si="168"/>
        <v/>
      </c>
    </row>
    <row r="950" spans="2:23" ht="14.25" customHeight="1" x14ac:dyDescent="0.3">
      <c r="B950" s="65" t="str">
        <f t="shared" si="161"/>
        <v/>
      </c>
      <c r="C950" s="70" t="str">
        <f t="shared" si="162"/>
        <v/>
      </c>
      <c r="D950" s="74" t="str">
        <f t="shared" si="163"/>
        <v/>
      </c>
      <c r="F950" s="65" t="str">
        <f t="shared" si="164"/>
        <v/>
      </c>
      <c r="G950" s="68" t="str">
        <f t="shared" si="165"/>
        <v/>
      </c>
      <c r="H950" s="68" t="str">
        <f t="shared" si="166"/>
        <v/>
      </c>
      <c r="I950" s="68" t="str">
        <f t="shared" si="169"/>
        <v/>
      </c>
      <c r="M950" s="1">
        <v>913</v>
      </c>
      <c r="N950" s="1"/>
      <c r="O950" s="1"/>
      <c r="P950" s="1"/>
      <c r="Q950" s="1"/>
      <c r="R950" s="1"/>
      <c r="S950" s="1"/>
      <c r="T950" s="1"/>
      <c r="V950" s="1" t="str">
        <f t="shared" si="167"/>
        <v/>
      </c>
      <c r="W950" s="1" t="str">
        <f t="shared" si="168"/>
        <v/>
      </c>
    </row>
    <row r="951" spans="2:23" ht="14.25" customHeight="1" x14ac:dyDescent="0.3">
      <c r="B951" s="65" t="str">
        <f t="shared" si="161"/>
        <v/>
      </c>
      <c r="C951" s="70" t="str">
        <f t="shared" si="162"/>
        <v/>
      </c>
      <c r="D951" s="74" t="str">
        <f t="shared" si="163"/>
        <v/>
      </c>
      <c r="F951" s="65" t="str">
        <f t="shared" si="164"/>
        <v/>
      </c>
      <c r="G951" s="68" t="str">
        <f t="shared" si="165"/>
        <v/>
      </c>
      <c r="H951" s="68" t="str">
        <f t="shared" si="166"/>
        <v/>
      </c>
      <c r="I951" s="68" t="str">
        <f t="shared" si="169"/>
        <v/>
      </c>
      <c r="M951" s="1">
        <v>914</v>
      </c>
      <c r="N951" s="1"/>
      <c r="O951" s="1"/>
      <c r="P951" s="1"/>
      <c r="Q951" s="1"/>
      <c r="R951" s="1"/>
      <c r="S951" s="1"/>
      <c r="T951" s="1"/>
      <c r="V951" s="1" t="str">
        <f t="shared" si="167"/>
        <v/>
      </c>
      <c r="W951" s="1" t="str">
        <f t="shared" si="168"/>
        <v/>
      </c>
    </row>
    <row r="952" spans="2:23" ht="14.25" customHeight="1" x14ac:dyDescent="0.3">
      <c r="B952" s="65" t="str">
        <f t="shared" si="161"/>
        <v/>
      </c>
      <c r="C952" s="70" t="str">
        <f t="shared" si="162"/>
        <v/>
      </c>
      <c r="D952" s="74" t="str">
        <f t="shared" si="163"/>
        <v/>
      </c>
      <c r="F952" s="65" t="str">
        <f t="shared" si="164"/>
        <v/>
      </c>
      <c r="G952" s="68" t="str">
        <f t="shared" si="165"/>
        <v/>
      </c>
      <c r="H952" s="68" t="str">
        <f t="shared" si="166"/>
        <v/>
      </c>
      <c r="I952" s="68" t="str">
        <f t="shared" si="169"/>
        <v/>
      </c>
      <c r="M952" s="1">
        <v>915</v>
      </c>
      <c r="N952" s="1"/>
      <c r="O952" s="1"/>
      <c r="P952" s="1"/>
      <c r="Q952" s="1"/>
      <c r="R952" s="1"/>
      <c r="S952" s="1"/>
      <c r="T952" s="1"/>
      <c r="V952" s="1" t="str">
        <f t="shared" si="167"/>
        <v/>
      </c>
      <c r="W952" s="1" t="str">
        <f t="shared" si="168"/>
        <v/>
      </c>
    </row>
    <row r="953" spans="2:23" ht="14.25" customHeight="1" x14ac:dyDescent="0.3">
      <c r="B953" s="65" t="str">
        <f t="shared" si="161"/>
        <v/>
      </c>
      <c r="C953" s="70" t="str">
        <f t="shared" si="162"/>
        <v/>
      </c>
      <c r="D953" s="74" t="str">
        <f t="shared" si="163"/>
        <v/>
      </c>
      <c r="F953" s="65" t="str">
        <f t="shared" si="164"/>
        <v/>
      </c>
      <c r="G953" s="68" t="str">
        <f t="shared" si="165"/>
        <v/>
      </c>
      <c r="H953" s="68" t="str">
        <f t="shared" si="166"/>
        <v/>
      </c>
      <c r="I953" s="68" t="str">
        <f t="shared" si="169"/>
        <v/>
      </c>
      <c r="M953" s="1">
        <v>916</v>
      </c>
      <c r="N953" s="1"/>
      <c r="O953" s="1"/>
      <c r="P953" s="1"/>
      <c r="Q953" s="1"/>
      <c r="R953" s="1"/>
      <c r="S953" s="1"/>
      <c r="T953" s="1"/>
      <c r="V953" s="1" t="str">
        <f t="shared" si="167"/>
        <v/>
      </c>
      <c r="W953" s="1" t="str">
        <f t="shared" si="168"/>
        <v/>
      </c>
    </row>
  </sheetData>
  <sheetProtection formatCells="0" formatColumns="0" formatRows="0" sort="0" autoFilter="0"/>
  <autoFilter ref="B37:I37" xr:uid="{00000000-0001-0000-0700-000000000000}">
    <filterColumn colId="2" showButton="0"/>
  </autoFilter>
  <mergeCells count="161"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43:E143"/>
    <mergeCell ref="D117:E117"/>
    <mergeCell ref="D92:E92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160:E160"/>
    <mergeCell ref="D61:E61"/>
    <mergeCell ref="D141:E141"/>
    <mergeCell ref="D70:E70"/>
    <mergeCell ref="D135:E135"/>
    <mergeCell ref="D48:E48"/>
  </mergeCells>
  <conditionalFormatting sqref="F38:F187">
    <cfRule type="expression" dxfId="49" priority="10">
      <formula>EXACT($F38,"HAK EDİŞ")</formula>
    </cfRule>
    <cfRule type="expression" dxfId="48" priority="11">
      <formula>EXACT($F38,"ÖDEME")</formula>
    </cfRule>
  </conditionalFormatting>
  <conditionalFormatting sqref="I14:I33">
    <cfRule type="expression" dxfId="47" priority="5">
      <formula>EXACT($I14,"UYGUN")</formula>
    </cfRule>
    <cfRule type="expression" dxfId="46" priority="6">
      <formula>EXACT($I14,"TANIMSIZ ORTAK")</formula>
    </cfRule>
    <cfRule type="expression" dxfId="45" priority="7">
      <formula>EXACT($I14,"BAŞLANGIÇ EKSİK")</formula>
    </cfRule>
    <cfRule type="expression" dxfId="44" priority="8">
      <formula>EXACT($I14,"ORAN EKSİK")</formula>
    </cfRule>
    <cfRule type="expression" dxfId="43" priority="9">
      <formula>EXACT($I14,"TARİH HATASI")</formula>
    </cfRule>
  </conditionalFormatting>
  <conditionalFormatting sqref="I38:I187">
    <cfRule type="cellIs" dxfId="42" priority="12" operator="lessThan">
      <formula>0</formula>
    </cfRule>
  </conditionalFormatting>
  <conditionalFormatting sqref="L7:L10">
    <cfRule type="expression" dxfId="41" priority="2">
      <formula>EXACT($L7,"UYGUN")</formula>
    </cfRule>
    <cfRule type="expression" dxfId="40" priority="3">
      <formula>EXACT($L7,"KALEM SEÇİLMEDİ")</formula>
    </cfRule>
    <cfRule type="expression" dxfId="39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7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7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7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700-000003000000}">
      <formula1>Gider</formula1>
      <formula2>0</formula2>
    </dataValidation>
    <dataValidation type="list" allowBlank="1" sqref="C36" xr:uid="{00000000-0002-0000-0700-000004000000}">
      <formula1>LST_ORTAK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800-000000000000}">
  <sheetPr>
    <tabColor rgb="FF156FA8"/>
    <pageSetUpPr fitToPage="1"/>
  </sheetPr>
  <dimension ref="A1:AD432"/>
  <sheetViews>
    <sheetView showGridLines="0" zoomScaleNormal="100" workbookViewId="0">
      <pane ySplit="11" topLeftCell="A12" activePane="bottomLeft" state="frozen"/>
      <selection pane="bottomLeft" activeCell="E4" sqref="E4:G4"/>
    </sheetView>
  </sheetViews>
  <sheetFormatPr defaultColWidth="8" defaultRowHeight="14.25" customHeight="1" x14ac:dyDescent="0.25"/>
  <cols>
    <col min="1" max="1" width="2.28515625" customWidth="1"/>
    <col min="2" max="2" width="6.42578125" customWidth="1"/>
    <col min="3" max="3" width="15" customWidth="1"/>
    <col min="4" max="4" width="51.85546875" customWidth="1"/>
    <col min="5" max="7" width="16.7109375" customWidth="1"/>
    <col min="8" max="8" width="18.5703125" customWidth="1"/>
    <col min="9" max="10" width="2.28515625" customWidth="1"/>
    <col min="13" max="26" width="12" hidden="1" customWidth="1"/>
    <col min="28" max="30" width="12" hidden="1" customWidth="1"/>
  </cols>
  <sheetData>
    <row r="1" spans="1:30" ht="37.5" customHeight="1" x14ac:dyDescent="0.3">
      <c r="A1" s="149" t="s">
        <v>0</v>
      </c>
      <c r="B1" s="150"/>
      <c r="C1" s="150"/>
      <c r="D1" s="150"/>
      <c r="E1" s="150"/>
      <c r="F1" s="153" t="s">
        <v>1015</v>
      </c>
      <c r="G1" s="150"/>
      <c r="H1" s="150"/>
      <c r="I1" s="13"/>
      <c r="J1" s="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.75" customHeight="1" x14ac:dyDescent="0.3">
      <c r="A2" s="152" t="s">
        <v>1016</v>
      </c>
      <c r="B2" s="142"/>
      <c r="C2" s="142"/>
      <c r="D2" s="142"/>
      <c r="E2" s="142"/>
      <c r="F2" s="142"/>
      <c r="G2" s="142"/>
      <c r="H2" s="142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9.5" customHeight="1" x14ac:dyDescent="0.3">
      <c r="A3" s="2"/>
      <c r="B3" s="50" t="s">
        <v>1017</v>
      </c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84" t="s">
        <v>1018</v>
      </c>
      <c r="E4" s="215" t="s">
        <v>668</v>
      </c>
      <c r="F4" s="216"/>
      <c r="G4" s="217"/>
      <c r="H4" s="85" t="str">
        <f>"Müşteri No:  "&amp;$AC$4</f>
        <v>Müşteri No:  M051</v>
      </c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>
        <f>IFERROR(MATCH($AC$4&amp;"|1",UCRETLER!$S$7:$S$606,0),0)</f>
        <v>49</v>
      </c>
      <c r="AC4" s="1" t="str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>M051</v>
      </c>
      <c r="AD4" s="1" t="str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>UFUKYILMAZ</v>
      </c>
    </row>
    <row r="5" spans="1:30" ht="33.75" customHeight="1" x14ac:dyDescent="0.3">
      <c r="A5" s="2"/>
      <c r="B5" s="232" t="s">
        <v>1019</v>
      </c>
      <c r="C5" s="231"/>
      <c r="D5" s="231"/>
      <c r="E5" s="230" t="str">
        <f>IF($E$4="","",IFERROR(INDEX(MUSTERILER!$C$7:$C$156,MATCH($AC$4,MUSTERILER!$B$7:$B$156,0)),$E$4))</f>
        <v>UFUK YILMAZ</v>
      </c>
      <c r="F5" s="231"/>
      <c r="G5" s="231"/>
      <c r="H5" s="231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f>IFERROR(MATCH($AC$4&amp;"|2",UCRETLER!$S$7:$S$606,0),0)</f>
        <v>0</v>
      </c>
      <c r="AC5" s="1"/>
      <c r="AD5" s="1"/>
    </row>
    <row r="6" spans="1:30" ht="19.5" customHeight="1" x14ac:dyDescent="0.3">
      <c r="A6" s="2"/>
      <c r="B6" s="229" t="str">
        <f ca="1">"KILIÇ MUHASEBE   │   Düzenleme tarihi: "&amp;RIGHT("0"&amp;DAY(TODAY()),2)&amp;"."&amp;RIGHT("0"&amp;MONTH(TODAY()),2)&amp;"."&amp;YEAR(TODAY())</f>
        <v>KILIÇ MUHASEBE   │   Düzenleme tarihi: 26.08.2026</v>
      </c>
      <c r="C6" s="139"/>
      <c r="D6" s="139"/>
      <c r="E6" s="237" t="str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>Vergi No: —   │   Tel: —</v>
      </c>
      <c r="F6" s="139"/>
      <c r="G6" s="139"/>
      <c r="H6" s="139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f>IFERROR(MATCH($AC$4&amp;"|3",UCRETLER!$S$7:$S$606,0),0)</f>
        <v>0</v>
      </c>
      <c r="AC6" s="1"/>
      <c r="AD6" s="1"/>
    </row>
    <row r="7" spans="1:30" ht="7.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 x14ac:dyDescent="0.3">
      <c r="A8" s="2"/>
      <c r="B8" s="228" t="s">
        <v>1020</v>
      </c>
      <c r="C8" s="156"/>
      <c r="D8" s="236" t="s">
        <v>1021</v>
      </c>
      <c r="E8" s="161"/>
      <c r="F8" s="220" t="s">
        <v>1022</v>
      </c>
      <c r="G8" s="171"/>
      <c r="H8" s="172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7.75" customHeight="1" x14ac:dyDescent="0.3">
      <c r="A9" s="2"/>
      <c r="B9" s="233">
        <f ca="1">SUM($F$12:$F$311)</f>
        <v>21000</v>
      </c>
      <c r="C9" s="140"/>
      <c r="D9" s="234">
        <f ca="1">SUM($G$12:$G$311)</f>
        <v>24000</v>
      </c>
      <c r="E9" s="140"/>
      <c r="F9" s="227">
        <f ca="1">$B$9-$D$9</f>
        <v>-3000</v>
      </c>
      <c r="G9" s="139"/>
      <c r="H9" s="140"/>
      <c r="I9" s="2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5.5" customHeight="1" x14ac:dyDescent="0.3">
      <c r="A10" s="2"/>
      <c r="B10" s="225" t="s">
        <v>1023</v>
      </c>
      <c r="C10" s="226"/>
      <c r="D10" s="226"/>
      <c r="E10" s="235" t="s">
        <v>1024</v>
      </c>
      <c r="F10" s="226"/>
      <c r="G10" s="226"/>
      <c r="H10" s="226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7.5" customHeight="1" x14ac:dyDescent="0.3">
      <c r="A11" s="2"/>
      <c r="B11" s="57" t="s">
        <v>1010</v>
      </c>
      <c r="C11" s="57" t="s">
        <v>709</v>
      </c>
      <c r="D11" s="58" t="s">
        <v>54</v>
      </c>
      <c r="E11" s="57" t="s">
        <v>1011</v>
      </c>
      <c r="F11" s="59" t="s">
        <v>1012</v>
      </c>
      <c r="G11" s="59" t="s">
        <v>1025</v>
      </c>
      <c r="H11" s="59" t="s">
        <v>1026</v>
      </c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9.5" customHeight="1" x14ac:dyDescent="0.3">
      <c r="A12" s="2"/>
      <c r="B12" s="86">
        <f t="shared" ref="B12:B75" ca="1" si="0">IF($C12="","",ROW()-11)</f>
        <v>1</v>
      </c>
      <c r="C12" s="87">
        <f t="shared" ref="C12:C75" ca="1" si="1">IF($Z12="","",IF(INDEX($N$12:$N$432,$Z12)="","",INDEX($N$12:$N$432,$Z12)))</f>
        <v>46035</v>
      </c>
      <c r="D12" s="88" t="str">
        <f t="shared" ref="D12:D75" ca="1" si="2">IF($C12="","",INDEX($O$12:$O$432,$Z12))</f>
        <v>Ödeme  –  Nakit  (ÖMER KARTAL) / NAKİT ÖDENEN</v>
      </c>
      <c r="E12" s="86" t="str">
        <f t="shared" ref="E12:E75" ca="1" si="3">IF($C12="","",INDEX($P$12:$P$432,$Z12))</f>
        <v>ÖDEME</v>
      </c>
      <c r="F12" s="89">
        <f t="shared" ref="F12:F75" ca="1" si="4">IF($C12="","",INDEX($R$12:$R$432,$Z12))</f>
        <v>0</v>
      </c>
      <c r="G12" s="89">
        <f t="shared" ref="G12:G75" ca="1" si="5">IF($C12="","",INDEX($S$12:$S$432,$Z12))</f>
        <v>3000</v>
      </c>
      <c r="H12" s="89">
        <f t="shared" ref="H12:H75" ca="1" si="6">IF($C12="","",N($H11)+$F12-$G12)</f>
        <v>-3000</v>
      </c>
      <c r="I12" s="2"/>
      <c r="J12" s="2"/>
      <c r="K12" s="1"/>
      <c r="L12" s="1"/>
      <c r="M12" s="1">
        <v>1</v>
      </c>
      <c r="N12" s="1" t="str">
        <f>IF($X$12&lt;=0,"",IFERROR(IF(INDEX(MUSTERILER!$K$7:$K$156,MATCH($AC$4,MUSTERILER!$B$7:$B$156,0))="",DATE(2020,1,1),INDEX(MUSTERILER!$K$7:$K$156,MATCH($AC$4,MUSTERILER!$B$7:$B$156,0))),""))</f>
        <v/>
      </c>
      <c r="O12" s="1" t="str">
        <f>"Devir alacağı  –  açılış bakiyesi"</f>
        <v>Devir alacağı  –  açılış bakiyesi</v>
      </c>
      <c r="P12" s="1" t="str">
        <f>"DEVİR"</f>
        <v>DEVİR</v>
      </c>
      <c r="Q12" s="1"/>
      <c r="R12" s="1">
        <f>IF($N$12="",0,$X$12)</f>
        <v>0</v>
      </c>
      <c r="S12" s="1">
        <v>0</v>
      </c>
      <c r="T12" s="1">
        <f t="shared" ref="T12:T75" si="7">IF($N12="",10000000000,$N12*100000+$M12)</f>
        <v>10000000000</v>
      </c>
      <c r="U12" s="1"/>
      <c r="V12" s="1"/>
      <c r="W12" s="1"/>
      <c r="X12" s="1">
        <f>IFERROR(SUMIFS(MUSTERILER!$J$7:$J$156,MUSTERILER!$B$7:$B$156,$AC$4),0)</f>
        <v>0</v>
      </c>
      <c r="Y12" s="1">
        <f t="shared" ref="Y12:Y75" ca="1" si="8">IFERROR(SMALL($T$12:$T$432,ROW()-11),"")</f>
        <v>4603500242</v>
      </c>
      <c r="Z12" s="1">
        <f t="shared" ref="Z12:Z75" ca="1" si="9">IFERROR(MATCH($Y12,$T$12:$T$432,0),"")</f>
        <v>242</v>
      </c>
      <c r="AA12" s="1"/>
      <c r="AB12" s="1"/>
      <c r="AC12" s="1"/>
      <c r="AD12" s="1"/>
    </row>
    <row r="13" spans="1:30" ht="19.5" customHeight="1" x14ac:dyDescent="0.3">
      <c r="A13" s="2"/>
      <c r="B13" s="86">
        <f t="shared" ca="1" si="0"/>
        <v>2</v>
      </c>
      <c r="C13" s="87">
        <f t="shared" ca="1" si="1"/>
        <v>46053</v>
      </c>
      <c r="D13" s="88" t="str">
        <f t="shared" ca="1" si="2"/>
        <v>Ocak 2026 aylık muhasebe hizmet ücreti</v>
      </c>
      <c r="E13" s="86" t="str">
        <f t="shared" ca="1" si="3"/>
        <v>TAHAKKUK</v>
      </c>
      <c r="F13" s="89">
        <f t="shared" ca="1" si="4"/>
        <v>3000</v>
      </c>
      <c r="G13" s="89">
        <f t="shared" ca="1" si="5"/>
        <v>0</v>
      </c>
      <c r="H13" s="89">
        <f t="shared" ca="1" si="6"/>
        <v>0</v>
      </c>
      <c r="I13" s="2"/>
      <c r="J13" s="2"/>
      <c r="K13" s="1"/>
      <c r="L13" s="1"/>
      <c r="M13" s="1">
        <v>2</v>
      </c>
      <c r="N13" s="90">
        <f ca="1">IF(OR($U13=0,$W13="",$X13&lt;=0),"",IF($W13&gt;TODAY(),"",IF(AND(INDEX(UCRETLER!$E$7:$E$606,$U13)&lt;&gt;"",$W13&gt;INDEX(UCRETLER!$E$7:$E$606,$U13)),"",$W13)))</f>
        <v>46053</v>
      </c>
      <c r="O13" s="1" t="str">
        <f ca="1"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>Ocak 2026 aylık muhasebe hizmet ücreti</v>
      </c>
      <c r="P13" s="1" t="str">
        <f t="shared" ref="P13:P76" ca="1" si="10">IF($N13="","","TAHAKKUK")</f>
        <v>TAHAKKUK</v>
      </c>
      <c r="Q13" s="1"/>
      <c r="R13" s="79">
        <f t="shared" ref="R13:R76" ca="1" si="11">IF($N13="",0,$X13)</f>
        <v>3000</v>
      </c>
      <c r="S13" s="1">
        <v>0</v>
      </c>
      <c r="T13" s="1">
        <f t="shared" ca="1" si="7"/>
        <v>4605300002</v>
      </c>
      <c r="U13" s="1">
        <f t="shared" ref="U13:U44" si="12">$AB$4</f>
        <v>49</v>
      </c>
      <c r="V13" s="1">
        <v>1</v>
      </c>
      <c r="W13" s="90">
        <f>IF($U13=0,"",IF(INDEX(UCRETLER!$D$7:$D$606,$U13)="","",IF(INDEX(UCRETLER!$F$7:$F$606,$U13)="Aylık",EOMONTH(INDEX(UCRETLER!$D$7:$D$606,$U13),$V13-1),INDEX(UCRETLER!$U$7:$U$606,$U13)+7*($V13-1))))</f>
        <v>46053</v>
      </c>
      <c r="X13" s="79">
        <f>IF($U13=0,0,INDEX(UCRETLER!$G$7:$G$606,$U13))</f>
        <v>3000</v>
      </c>
      <c r="Y13" s="1">
        <f t="shared" ca="1" si="8"/>
        <v>4605300002</v>
      </c>
      <c r="Z13" s="1">
        <f t="shared" ca="1" si="9"/>
        <v>2</v>
      </c>
      <c r="AA13" s="1"/>
      <c r="AB13" s="1"/>
      <c r="AC13" s="1"/>
      <c r="AD13" s="1"/>
    </row>
    <row r="14" spans="1:30" ht="19.5" customHeight="1" x14ac:dyDescent="0.3">
      <c r="A14" s="2"/>
      <c r="B14" s="86">
        <f t="shared" ca="1" si="0"/>
        <v>3</v>
      </c>
      <c r="C14" s="87">
        <f t="shared" ca="1" si="1"/>
        <v>46066</v>
      </c>
      <c r="D14" s="88" t="str">
        <f t="shared" ca="1" si="2"/>
        <v>Ödeme  –  Nakit  (ÖMER KARTAL) / NAKİT ÖDENEN</v>
      </c>
      <c r="E14" s="86" t="str">
        <f t="shared" ca="1" si="3"/>
        <v>ÖDEME</v>
      </c>
      <c r="F14" s="89">
        <f t="shared" ca="1" si="4"/>
        <v>0</v>
      </c>
      <c r="G14" s="89">
        <f t="shared" ca="1" si="5"/>
        <v>3000</v>
      </c>
      <c r="H14" s="89">
        <f t="shared" ca="1" si="6"/>
        <v>-3000</v>
      </c>
      <c r="I14" s="2"/>
      <c r="J14" s="2"/>
      <c r="K14" s="1"/>
      <c r="L14" s="1"/>
      <c r="M14" s="1">
        <v>3</v>
      </c>
      <c r="N14" s="90">
        <f ca="1">IF(OR($U14=0,$W14="",$X14&lt;=0),"",IF($W14&gt;TODAY(),"",IF(AND(INDEX(UCRETLER!$E$7:$E$606,$U14)&lt;&gt;"",$W14&gt;INDEX(UCRETLER!$E$7:$E$606,$U14)),"",$W14)))</f>
        <v>46081</v>
      </c>
      <c r="O14" s="1" t="str">
        <f ca="1"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>Şubat 2026 aylık muhasebe hizmet ücreti</v>
      </c>
      <c r="P14" s="1" t="str">
        <f t="shared" ca="1" si="10"/>
        <v>TAHAKKUK</v>
      </c>
      <c r="Q14" s="1"/>
      <c r="R14" s="79">
        <f t="shared" ca="1" si="11"/>
        <v>3000</v>
      </c>
      <c r="S14" s="1">
        <v>0</v>
      </c>
      <c r="T14" s="1">
        <f t="shared" ca="1" si="7"/>
        <v>4608100003</v>
      </c>
      <c r="U14" s="1">
        <f t="shared" si="12"/>
        <v>49</v>
      </c>
      <c r="V14" s="1">
        <v>2</v>
      </c>
      <c r="W14" s="90">
        <f>IF($U14=0,"",IF(INDEX(UCRETLER!$D$7:$D$606,$U14)="","",IF(INDEX(UCRETLER!$F$7:$F$606,$U14)="Aylık",EOMONTH(INDEX(UCRETLER!$D$7:$D$606,$U14),$V14-1),INDEX(UCRETLER!$U$7:$U$606,$U14)+7*($V14-1))))</f>
        <v>46081</v>
      </c>
      <c r="X14" s="79">
        <f>IF($U14=0,0,INDEX(UCRETLER!$G$7:$G$606,$U14))</f>
        <v>3000</v>
      </c>
      <c r="Y14" s="1">
        <f t="shared" ca="1" si="8"/>
        <v>4606600243</v>
      </c>
      <c r="Z14" s="1">
        <f t="shared" ca="1" si="9"/>
        <v>243</v>
      </c>
      <c r="AA14" s="1"/>
      <c r="AB14" s="1"/>
      <c r="AC14" s="1"/>
      <c r="AD14" s="1"/>
    </row>
    <row r="15" spans="1:30" ht="19.5" customHeight="1" x14ac:dyDescent="0.3">
      <c r="A15" s="2"/>
      <c r="B15" s="86">
        <f t="shared" ca="1" si="0"/>
        <v>4</v>
      </c>
      <c r="C15" s="87">
        <f t="shared" ca="1" si="1"/>
        <v>46081</v>
      </c>
      <c r="D15" s="88" t="str">
        <f t="shared" ca="1" si="2"/>
        <v>Şubat 2026 aylık muhasebe hizmet ücreti</v>
      </c>
      <c r="E15" s="86" t="str">
        <f t="shared" ca="1" si="3"/>
        <v>TAHAKKUK</v>
      </c>
      <c r="F15" s="89">
        <f t="shared" ca="1" si="4"/>
        <v>3000</v>
      </c>
      <c r="G15" s="89">
        <f t="shared" ca="1" si="5"/>
        <v>0</v>
      </c>
      <c r="H15" s="89">
        <f t="shared" ca="1" si="6"/>
        <v>0</v>
      </c>
      <c r="I15" s="2"/>
      <c r="J15" s="2"/>
      <c r="K15" s="1"/>
      <c r="L15" s="1"/>
      <c r="M15" s="1">
        <v>4</v>
      </c>
      <c r="N15" s="90">
        <f ca="1">IF(OR($U15=0,$W15="",$X15&lt;=0),"",IF($W15&gt;TODAY(),"",IF(AND(INDEX(UCRETLER!$E$7:$E$606,$U15)&lt;&gt;"",$W15&gt;INDEX(UCRETLER!$E$7:$E$606,$U15)),"",$W15)))</f>
        <v>46112</v>
      </c>
      <c r="O15" s="1" t="str">
        <f ca="1"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>Mart 2026 aylık muhasebe hizmet ücreti</v>
      </c>
      <c r="P15" s="1" t="str">
        <f t="shared" ca="1" si="10"/>
        <v>TAHAKKUK</v>
      </c>
      <c r="Q15" s="1"/>
      <c r="R15" s="79">
        <f t="shared" ca="1" si="11"/>
        <v>3000</v>
      </c>
      <c r="S15" s="1">
        <v>0</v>
      </c>
      <c r="T15" s="1">
        <f t="shared" ca="1" si="7"/>
        <v>4611200004</v>
      </c>
      <c r="U15" s="1">
        <f t="shared" si="12"/>
        <v>49</v>
      </c>
      <c r="V15" s="1">
        <v>3</v>
      </c>
      <c r="W15" s="90">
        <f>IF($U15=0,"",IF(INDEX(UCRETLER!$D$7:$D$606,$U15)="","",IF(INDEX(UCRETLER!$F$7:$F$606,$U15)="Aylık",EOMONTH(INDEX(UCRETLER!$D$7:$D$606,$U15),$V15-1),INDEX(UCRETLER!$U$7:$U$606,$U15)+7*($V15-1))))</f>
        <v>46112</v>
      </c>
      <c r="X15" s="79">
        <f>IF($U15=0,0,INDEX(UCRETLER!$G$7:$G$606,$U15))</f>
        <v>3000</v>
      </c>
      <c r="Y15" s="1">
        <f t="shared" ca="1" si="8"/>
        <v>4608100003</v>
      </c>
      <c r="Z15" s="1">
        <f t="shared" ca="1" si="9"/>
        <v>3</v>
      </c>
      <c r="AA15" s="1"/>
      <c r="AB15" s="1"/>
      <c r="AC15" s="1"/>
      <c r="AD15" s="1"/>
    </row>
    <row r="16" spans="1:30" ht="19.5" customHeight="1" x14ac:dyDescent="0.3">
      <c r="A16" s="2"/>
      <c r="B16" s="86">
        <f t="shared" ca="1" si="0"/>
        <v>5</v>
      </c>
      <c r="C16" s="87">
        <f t="shared" ca="1" si="1"/>
        <v>46099</v>
      </c>
      <c r="D16" s="88" t="str">
        <f t="shared" ca="1" si="2"/>
        <v>Ödeme  –  Nakit  (MERKEZ KASA) / NAKİT ÖDENEN</v>
      </c>
      <c r="E16" s="86" t="str">
        <f t="shared" ca="1" si="3"/>
        <v>ÖDEME</v>
      </c>
      <c r="F16" s="89">
        <f t="shared" ca="1" si="4"/>
        <v>0</v>
      </c>
      <c r="G16" s="89">
        <f t="shared" ca="1" si="5"/>
        <v>3000</v>
      </c>
      <c r="H16" s="89">
        <f t="shared" ca="1" si="6"/>
        <v>-3000</v>
      </c>
      <c r="I16" s="2"/>
      <c r="J16" s="2"/>
      <c r="K16" s="1"/>
      <c r="L16" s="1"/>
      <c r="M16" s="1">
        <v>5</v>
      </c>
      <c r="N16" s="90">
        <f ca="1">IF(OR($U16=0,$W16="",$X16&lt;=0),"",IF($W16&gt;TODAY(),"",IF(AND(INDEX(UCRETLER!$E$7:$E$606,$U16)&lt;&gt;"",$W16&gt;INDEX(UCRETLER!$E$7:$E$606,$U16)),"",$W16)))</f>
        <v>46142</v>
      </c>
      <c r="O16" s="1" t="str">
        <f ca="1"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>Nisan 2026 aylık muhasebe hizmet ücreti</v>
      </c>
      <c r="P16" s="1" t="str">
        <f t="shared" ca="1" si="10"/>
        <v>TAHAKKUK</v>
      </c>
      <c r="Q16" s="1"/>
      <c r="R16" s="79">
        <f t="shared" ca="1" si="11"/>
        <v>3000</v>
      </c>
      <c r="S16" s="1">
        <v>0</v>
      </c>
      <c r="T16" s="1">
        <f t="shared" ca="1" si="7"/>
        <v>4614200005</v>
      </c>
      <c r="U16" s="1">
        <f t="shared" si="12"/>
        <v>49</v>
      </c>
      <c r="V16" s="1">
        <v>4</v>
      </c>
      <c r="W16" s="90">
        <f>IF($U16=0,"",IF(INDEX(UCRETLER!$D$7:$D$606,$U16)="","",IF(INDEX(UCRETLER!$F$7:$F$606,$U16)="Aylık",EOMONTH(INDEX(UCRETLER!$D$7:$D$606,$U16),$V16-1),INDEX(UCRETLER!$U$7:$U$606,$U16)+7*($V16-1))))</f>
        <v>46142</v>
      </c>
      <c r="X16" s="79">
        <f>IF($U16=0,0,INDEX(UCRETLER!$G$7:$G$606,$U16))</f>
        <v>3000</v>
      </c>
      <c r="Y16" s="1">
        <f t="shared" ca="1" si="8"/>
        <v>4609900244</v>
      </c>
      <c r="Z16" s="1">
        <f t="shared" ca="1" si="9"/>
        <v>244</v>
      </c>
      <c r="AA16" s="1"/>
      <c r="AB16" s="1"/>
      <c r="AC16" s="1"/>
      <c r="AD16" s="1"/>
    </row>
    <row r="17" spans="1:30" ht="19.5" customHeight="1" x14ac:dyDescent="0.3">
      <c r="A17" s="2"/>
      <c r="B17" s="86">
        <f t="shared" ca="1" si="0"/>
        <v>6</v>
      </c>
      <c r="C17" s="87">
        <f t="shared" ca="1" si="1"/>
        <v>46112</v>
      </c>
      <c r="D17" s="88" t="str">
        <f t="shared" ca="1" si="2"/>
        <v>Mart 2026 aylık muhasebe hizmet ücreti</v>
      </c>
      <c r="E17" s="86" t="str">
        <f t="shared" ca="1" si="3"/>
        <v>TAHAKKUK</v>
      </c>
      <c r="F17" s="89">
        <f t="shared" ca="1" si="4"/>
        <v>3000</v>
      </c>
      <c r="G17" s="89">
        <f t="shared" ca="1" si="5"/>
        <v>0</v>
      </c>
      <c r="H17" s="89">
        <f t="shared" ca="1" si="6"/>
        <v>0</v>
      </c>
      <c r="I17" s="2"/>
      <c r="J17" s="2"/>
      <c r="K17" s="1"/>
      <c r="L17" s="1"/>
      <c r="M17" s="1">
        <v>6</v>
      </c>
      <c r="N17" s="90">
        <f ca="1">IF(OR($U17=0,$W17="",$X17&lt;=0),"",IF($W17&gt;TODAY(),"",IF(AND(INDEX(UCRETLER!$E$7:$E$606,$U17)&lt;&gt;"",$W17&gt;INDEX(UCRETLER!$E$7:$E$606,$U17)),"",$W17)))</f>
        <v>46173</v>
      </c>
      <c r="O17" s="1" t="str">
        <f ca="1"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>Mayıs 2026 aylık muhasebe hizmet ücreti</v>
      </c>
      <c r="P17" s="1" t="str">
        <f t="shared" ca="1" si="10"/>
        <v>TAHAKKUK</v>
      </c>
      <c r="Q17" s="1"/>
      <c r="R17" s="79">
        <f t="shared" ca="1" si="11"/>
        <v>3000</v>
      </c>
      <c r="S17" s="1">
        <v>0</v>
      </c>
      <c r="T17" s="1">
        <f t="shared" ca="1" si="7"/>
        <v>4617300006</v>
      </c>
      <c r="U17" s="1">
        <f t="shared" si="12"/>
        <v>49</v>
      </c>
      <c r="V17" s="1">
        <v>5</v>
      </c>
      <c r="W17" s="90">
        <f>IF($U17=0,"",IF(INDEX(UCRETLER!$D$7:$D$606,$U17)="","",IF(INDEX(UCRETLER!$F$7:$F$606,$U17)="Aylık",EOMONTH(INDEX(UCRETLER!$D$7:$D$606,$U17),$V17-1),INDEX(UCRETLER!$U$7:$U$606,$U17)+7*($V17-1))))</f>
        <v>46173</v>
      </c>
      <c r="X17" s="79">
        <f>IF($U17=0,0,INDEX(UCRETLER!$G$7:$G$606,$U17))</f>
        <v>3000</v>
      </c>
      <c r="Y17" s="1">
        <f t="shared" ca="1" si="8"/>
        <v>4611200004</v>
      </c>
      <c r="Z17" s="1">
        <f t="shared" ca="1" si="9"/>
        <v>4</v>
      </c>
      <c r="AA17" s="1"/>
      <c r="AB17" s="1"/>
      <c r="AC17" s="1"/>
      <c r="AD17" s="1"/>
    </row>
    <row r="18" spans="1:30" ht="19.5" customHeight="1" x14ac:dyDescent="0.3">
      <c r="A18" s="2"/>
      <c r="B18" s="86">
        <f t="shared" ca="1" si="0"/>
        <v>7</v>
      </c>
      <c r="C18" s="87">
        <f t="shared" ca="1" si="1"/>
        <v>46126</v>
      </c>
      <c r="D18" s="88" t="str">
        <f t="shared" ca="1" si="2"/>
        <v>Ödeme  –  Nakit  (ÖMER KARTAL) / NAKİT ÖDENEN</v>
      </c>
      <c r="E18" s="86" t="str">
        <f t="shared" ca="1" si="3"/>
        <v>ÖDEME</v>
      </c>
      <c r="F18" s="89">
        <f t="shared" ca="1" si="4"/>
        <v>0</v>
      </c>
      <c r="G18" s="89">
        <f t="shared" ca="1" si="5"/>
        <v>3000</v>
      </c>
      <c r="H18" s="89">
        <f t="shared" ca="1" si="6"/>
        <v>-3000</v>
      </c>
      <c r="I18" s="2"/>
      <c r="J18" s="2"/>
      <c r="K18" s="1"/>
      <c r="L18" s="1"/>
      <c r="M18" s="1">
        <v>7</v>
      </c>
      <c r="N18" s="90">
        <f ca="1">IF(OR($U18=0,$W18="",$X18&lt;=0),"",IF($W18&gt;TODAY(),"",IF(AND(INDEX(UCRETLER!$E$7:$E$606,$U18)&lt;&gt;"",$W18&gt;INDEX(UCRETLER!$E$7:$E$606,$U18)),"",$W18)))</f>
        <v>46203</v>
      </c>
      <c r="O18" s="1" t="str">
        <f ca="1"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>Haziran 2026 aylık muhasebe hizmet ücreti</v>
      </c>
      <c r="P18" s="1" t="str">
        <f t="shared" ca="1" si="10"/>
        <v>TAHAKKUK</v>
      </c>
      <c r="Q18" s="1"/>
      <c r="R18" s="79">
        <f t="shared" ca="1" si="11"/>
        <v>3000</v>
      </c>
      <c r="S18" s="1">
        <v>0</v>
      </c>
      <c r="T18" s="1">
        <f t="shared" ca="1" si="7"/>
        <v>4620300007</v>
      </c>
      <c r="U18" s="1">
        <f t="shared" si="12"/>
        <v>49</v>
      </c>
      <c r="V18" s="1">
        <v>6</v>
      </c>
      <c r="W18" s="90">
        <f>IF($U18=0,"",IF(INDEX(UCRETLER!$D$7:$D$606,$U18)="","",IF(INDEX(UCRETLER!$F$7:$F$606,$U18)="Aylık",EOMONTH(INDEX(UCRETLER!$D$7:$D$606,$U18),$V18-1),INDEX(UCRETLER!$U$7:$U$606,$U18)+7*($V18-1))))</f>
        <v>46203</v>
      </c>
      <c r="X18" s="79">
        <f>IF($U18=0,0,INDEX(UCRETLER!$G$7:$G$606,$U18))</f>
        <v>3000</v>
      </c>
      <c r="Y18" s="1">
        <f t="shared" ca="1" si="8"/>
        <v>4612600245</v>
      </c>
      <c r="Z18" s="1">
        <f t="shared" ca="1" si="9"/>
        <v>245</v>
      </c>
      <c r="AA18" s="1"/>
      <c r="AB18" s="1"/>
      <c r="AC18" s="1"/>
      <c r="AD18" s="1"/>
    </row>
    <row r="19" spans="1:30" ht="19.5" customHeight="1" x14ac:dyDescent="0.3">
      <c r="A19" s="2"/>
      <c r="B19" s="86">
        <f t="shared" ca="1" si="0"/>
        <v>8</v>
      </c>
      <c r="C19" s="87">
        <f t="shared" ca="1" si="1"/>
        <v>46142</v>
      </c>
      <c r="D19" s="88" t="str">
        <f t="shared" ca="1" si="2"/>
        <v>Nisan 2026 aylık muhasebe hizmet ücreti</v>
      </c>
      <c r="E19" s="86" t="str">
        <f t="shared" ca="1" si="3"/>
        <v>TAHAKKUK</v>
      </c>
      <c r="F19" s="89">
        <f t="shared" ca="1" si="4"/>
        <v>3000</v>
      </c>
      <c r="G19" s="89">
        <f t="shared" ca="1" si="5"/>
        <v>0</v>
      </c>
      <c r="H19" s="89">
        <f t="shared" ca="1" si="6"/>
        <v>0</v>
      </c>
      <c r="I19" s="2"/>
      <c r="J19" s="2"/>
      <c r="K19" s="1"/>
      <c r="L19" s="1"/>
      <c r="M19" s="1">
        <v>8</v>
      </c>
      <c r="N19" s="90">
        <f ca="1">IF(OR($U19=0,$W19="",$X19&lt;=0),"",IF($W19&gt;TODAY(),"",IF(AND(INDEX(UCRETLER!$E$7:$E$606,$U19)&lt;&gt;"",$W19&gt;INDEX(UCRETLER!$E$7:$E$606,$U19)),"",$W19)))</f>
        <v>46234</v>
      </c>
      <c r="O19" s="1" t="str">
        <f ca="1"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>Temmuz 2026 aylık muhasebe hizmet ücreti</v>
      </c>
      <c r="P19" s="1" t="str">
        <f t="shared" ca="1" si="10"/>
        <v>TAHAKKUK</v>
      </c>
      <c r="Q19" s="1"/>
      <c r="R19" s="79">
        <f t="shared" ca="1" si="11"/>
        <v>3000</v>
      </c>
      <c r="S19" s="1">
        <v>0</v>
      </c>
      <c r="T19" s="1">
        <f t="shared" ca="1" si="7"/>
        <v>4623400008</v>
      </c>
      <c r="U19" s="1">
        <f t="shared" si="12"/>
        <v>49</v>
      </c>
      <c r="V19" s="1">
        <v>7</v>
      </c>
      <c r="W19" s="90">
        <f>IF($U19=0,"",IF(INDEX(UCRETLER!$D$7:$D$606,$U19)="","",IF(INDEX(UCRETLER!$F$7:$F$606,$U19)="Aylık",EOMONTH(INDEX(UCRETLER!$D$7:$D$606,$U19),$V19-1),INDEX(UCRETLER!$U$7:$U$606,$U19)+7*($V19-1))))</f>
        <v>46234</v>
      </c>
      <c r="X19" s="79">
        <f>IF($U19=0,0,INDEX(UCRETLER!$G$7:$G$606,$U19))</f>
        <v>3000</v>
      </c>
      <c r="Y19" s="1">
        <f t="shared" ca="1" si="8"/>
        <v>4614200005</v>
      </c>
      <c r="Z19" s="1">
        <f t="shared" ca="1" si="9"/>
        <v>5</v>
      </c>
      <c r="AA19" s="1"/>
      <c r="AB19" s="1"/>
      <c r="AC19" s="1"/>
      <c r="AD19" s="1"/>
    </row>
    <row r="20" spans="1:30" ht="19.5" customHeight="1" x14ac:dyDescent="0.3">
      <c r="A20" s="2"/>
      <c r="B20" s="86">
        <f t="shared" ca="1" si="0"/>
        <v>9</v>
      </c>
      <c r="C20" s="87">
        <f t="shared" ca="1" si="1"/>
        <v>46157</v>
      </c>
      <c r="D20" s="88" t="str">
        <f t="shared" ca="1" si="2"/>
        <v>Ödeme  –  Nakit  (ÖMER KARTAL) / NAKİT ÖDENEN</v>
      </c>
      <c r="E20" s="86" t="str">
        <f t="shared" ca="1" si="3"/>
        <v>ÖDEME</v>
      </c>
      <c r="F20" s="89">
        <f t="shared" ca="1" si="4"/>
        <v>0</v>
      </c>
      <c r="G20" s="89">
        <f t="shared" ca="1" si="5"/>
        <v>3000</v>
      </c>
      <c r="H20" s="89">
        <f t="shared" ca="1" si="6"/>
        <v>-3000</v>
      </c>
      <c r="I20" s="2"/>
      <c r="J20" s="2"/>
      <c r="K20" s="1"/>
      <c r="L20" s="1"/>
      <c r="M20" s="1">
        <v>9</v>
      </c>
      <c r="N20" s="90" t="str">
        <f ca="1">IF(OR($U20=0,$W20="",$X20&lt;=0),"",IF($W20&gt;TODAY(),"",IF(AND(INDEX(UCRETLER!$E$7:$E$606,$U20)&lt;&gt;"",$W20&gt;INDEX(UCRETLER!$E$7:$E$606,$U20)),"",$W20)))</f>
        <v/>
      </c>
      <c r="O20" s="1" t="str">
        <f ca="1"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1" t="str">
        <f t="shared" ca="1" si="10"/>
        <v/>
      </c>
      <c r="Q20" s="1"/>
      <c r="R20" s="79">
        <f t="shared" ca="1" si="11"/>
        <v>0</v>
      </c>
      <c r="S20" s="1">
        <v>0</v>
      </c>
      <c r="T20" s="1">
        <f t="shared" ca="1" si="7"/>
        <v>10000000000</v>
      </c>
      <c r="U20" s="1">
        <f t="shared" si="12"/>
        <v>49</v>
      </c>
      <c r="V20" s="1">
        <v>8</v>
      </c>
      <c r="W20" s="90">
        <f>IF($U20=0,"",IF(INDEX(UCRETLER!$D$7:$D$606,$U20)="","",IF(INDEX(UCRETLER!$F$7:$F$606,$U20)="Aylık",EOMONTH(INDEX(UCRETLER!$D$7:$D$606,$U20),$V20-1),INDEX(UCRETLER!$U$7:$U$606,$U20)+7*($V20-1))))</f>
        <v>46265</v>
      </c>
      <c r="X20" s="79">
        <f>IF($U20=0,0,INDEX(UCRETLER!$G$7:$G$606,$U20))</f>
        <v>3000</v>
      </c>
      <c r="Y20" s="1">
        <f t="shared" ca="1" si="8"/>
        <v>4615700246</v>
      </c>
      <c r="Z20" s="1">
        <f t="shared" ca="1" si="9"/>
        <v>246</v>
      </c>
      <c r="AA20" s="1"/>
      <c r="AB20" s="1"/>
      <c r="AC20" s="1"/>
      <c r="AD20" s="1"/>
    </row>
    <row r="21" spans="1:30" ht="19.5" customHeight="1" x14ac:dyDescent="0.3">
      <c r="A21" s="2"/>
      <c r="B21" s="86">
        <f t="shared" ca="1" si="0"/>
        <v>10</v>
      </c>
      <c r="C21" s="87">
        <f t="shared" ca="1" si="1"/>
        <v>46173</v>
      </c>
      <c r="D21" s="88" t="str">
        <f t="shared" ca="1" si="2"/>
        <v>Mayıs 2026 aylık muhasebe hizmet ücreti</v>
      </c>
      <c r="E21" s="86" t="str">
        <f t="shared" ca="1" si="3"/>
        <v>TAHAKKUK</v>
      </c>
      <c r="F21" s="89">
        <f t="shared" ca="1" si="4"/>
        <v>3000</v>
      </c>
      <c r="G21" s="89">
        <f t="shared" ca="1" si="5"/>
        <v>0</v>
      </c>
      <c r="H21" s="89">
        <f t="shared" ca="1" si="6"/>
        <v>0</v>
      </c>
      <c r="I21" s="2"/>
      <c r="J21" s="2"/>
      <c r="K21" s="1"/>
      <c r="L21" s="1"/>
      <c r="M21" s="1">
        <v>10</v>
      </c>
      <c r="N21" s="90" t="str">
        <f ca="1">IF(OR($U21=0,$W21="",$X21&lt;=0),"",IF($W21&gt;TODAY(),"",IF(AND(INDEX(UCRETLER!$E$7:$E$606,$U21)&lt;&gt;"",$W21&gt;INDEX(UCRETLER!$E$7:$E$606,$U21)),"",$W21)))</f>
        <v/>
      </c>
      <c r="O21" s="1" t="str">
        <f ca="1"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1" t="str">
        <f t="shared" ca="1" si="10"/>
        <v/>
      </c>
      <c r="Q21" s="1"/>
      <c r="R21" s="79">
        <f t="shared" ca="1" si="11"/>
        <v>0</v>
      </c>
      <c r="S21" s="1">
        <v>0</v>
      </c>
      <c r="T21" s="1">
        <f t="shared" ca="1" si="7"/>
        <v>10000000000</v>
      </c>
      <c r="U21" s="1">
        <f t="shared" si="12"/>
        <v>49</v>
      </c>
      <c r="V21" s="1">
        <v>9</v>
      </c>
      <c r="W21" s="90">
        <f>IF($U21=0,"",IF(INDEX(UCRETLER!$D$7:$D$606,$U21)="","",IF(INDEX(UCRETLER!$F$7:$F$606,$U21)="Aylık",EOMONTH(INDEX(UCRETLER!$D$7:$D$606,$U21),$V21-1),INDEX(UCRETLER!$U$7:$U$606,$U21)+7*($V21-1))))</f>
        <v>46295</v>
      </c>
      <c r="X21" s="79">
        <f>IF($U21=0,0,INDEX(UCRETLER!$G$7:$G$606,$U21))</f>
        <v>3000</v>
      </c>
      <c r="Y21" s="1">
        <f t="shared" ca="1" si="8"/>
        <v>4617300006</v>
      </c>
      <c r="Z21" s="1">
        <f t="shared" ca="1" si="9"/>
        <v>6</v>
      </c>
      <c r="AA21" s="1"/>
      <c r="AB21" s="1"/>
      <c r="AC21" s="1"/>
      <c r="AD21" s="1"/>
    </row>
    <row r="22" spans="1:30" ht="19.5" customHeight="1" x14ac:dyDescent="0.3">
      <c r="A22" s="2"/>
      <c r="B22" s="86">
        <f t="shared" ca="1" si="0"/>
        <v>11</v>
      </c>
      <c r="C22" s="87">
        <f t="shared" ca="1" si="1"/>
        <v>46188</v>
      </c>
      <c r="D22" s="88" t="str">
        <f t="shared" ca="1" si="2"/>
        <v>Ödeme  –  Nakit  (ÖMER KARTAL) / NAKİT ÖDENEN</v>
      </c>
      <c r="E22" s="86" t="str">
        <f t="shared" ca="1" si="3"/>
        <v>ÖDEME</v>
      </c>
      <c r="F22" s="89">
        <f t="shared" ca="1" si="4"/>
        <v>0</v>
      </c>
      <c r="G22" s="89">
        <f t="shared" ca="1" si="5"/>
        <v>3000</v>
      </c>
      <c r="H22" s="89">
        <f t="shared" ca="1" si="6"/>
        <v>-3000</v>
      </c>
      <c r="I22" s="2"/>
      <c r="J22" s="2"/>
      <c r="K22" s="1"/>
      <c r="L22" s="1"/>
      <c r="M22" s="1">
        <v>11</v>
      </c>
      <c r="N22" s="90" t="str">
        <f ca="1">IF(OR($U22=0,$W22="",$X22&lt;=0),"",IF($W22&gt;TODAY(),"",IF(AND(INDEX(UCRETLER!$E$7:$E$606,$U22)&lt;&gt;"",$W22&gt;INDEX(UCRETLER!$E$7:$E$606,$U22)),"",$W22)))</f>
        <v/>
      </c>
      <c r="O22" s="1" t="str">
        <f ca="1"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1" t="str">
        <f t="shared" ca="1" si="10"/>
        <v/>
      </c>
      <c r="Q22" s="1"/>
      <c r="R22" s="79">
        <f t="shared" ca="1" si="11"/>
        <v>0</v>
      </c>
      <c r="S22" s="1">
        <v>0</v>
      </c>
      <c r="T22" s="1">
        <f t="shared" ca="1" si="7"/>
        <v>10000000000</v>
      </c>
      <c r="U22" s="1">
        <f t="shared" si="12"/>
        <v>49</v>
      </c>
      <c r="V22" s="1">
        <v>10</v>
      </c>
      <c r="W22" s="90">
        <f>IF($U22=0,"",IF(INDEX(UCRETLER!$D$7:$D$606,$U22)="","",IF(INDEX(UCRETLER!$F$7:$F$606,$U22)="Aylık",EOMONTH(INDEX(UCRETLER!$D$7:$D$606,$U22),$V22-1),INDEX(UCRETLER!$U$7:$U$606,$U22)+7*($V22-1))))</f>
        <v>46326</v>
      </c>
      <c r="X22" s="79">
        <f>IF($U22=0,0,INDEX(UCRETLER!$G$7:$G$606,$U22))</f>
        <v>3000</v>
      </c>
      <c r="Y22" s="1">
        <f t="shared" ca="1" si="8"/>
        <v>4618800247</v>
      </c>
      <c r="Z22" s="1">
        <f t="shared" ca="1" si="9"/>
        <v>247</v>
      </c>
      <c r="AA22" s="1"/>
      <c r="AB22" s="1"/>
      <c r="AC22" s="1"/>
      <c r="AD22" s="1"/>
    </row>
    <row r="23" spans="1:30" ht="19.5" customHeight="1" x14ac:dyDescent="0.3">
      <c r="A23" s="2"/>
      <c r="B23" s="86">
        <f t="shared" ca="1" si="0"/>
        <v>12</v>
      </c>
      <c r="C23" s="87">
        <f t="shared" ca="1" si="1"/>
        <v>46203</v>
      </c>
      <c r="D23" s="88" t="str">
        <f t="shared" ca="1" si="2"/>
        <v>Haziran 2026 aylık muhasebe hizmet ücreti</v>
      </c>
      <c r="E23" s="86" t="str">
        <f t="shared" ca="1" si="3"/>
        <v>TAHAKKUK</v>
      </c>
      <c r="F23" s="89">
        <f t="shared" ca="1" si="4"/>
        <v>3000</v>
      </c>
      <c r="G23" s="89">
        <f t="shared" ca="1" si="5"/>
        <v>0</v>
      </c>
      <c r="H23" s="89">
        <f t="shared" ca="1" si="6"/>
        <v>0</v>
      </c>
      <c r="I23" s="2"/>
      <c r="J23" s="2"/>
      <c r="K23" s="1"/>
      <c r="L23" s="1"/>
      <c r="M23" s="1">
        <v>12</v>
      </c>
      <c r="N23" s="90" t="str">
        <f ca="1">IF(OR($U23=0,$W23="",$X23&lt;=0),"",IF($W23&gt;TODAY(),"",IF(AND(INDEX(UCRETLER!$E$7:$E$606,$U23)&lt;&gt;"",$W23&gt;INDEX(UCRETLER!$E$7:$E$606,$U23)),"",$W23)))</f>
        <v/>
      </c>
      <c r="O23" s="1" t="str">
        <f ca="1"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1" t="str">
        <f t="shared" ca="1" si="10"/>
        <v/>
      </c>
      <c r="Q23" s="1"/>
      <c r="R23" s="79">
        <f t="shared" ca="1" si="11"/>
        <v>0</v>
      </c>
      <c r="S23" s="1">
        <v>0</v>
      </c>
      <c r="T23" s="1">
        <f t="shared" ca="1" si="7"/>
        <v>10000000000</v>
      </c>
      <c r="U23" s="1">
        <f t="shared" si="12"/>
        <v>49</v>
      </c>
      <c r="V23" s="1">
        <v>11</v>
      </c>
      <c r="W23" s="90">
        <f>IF($U23=0,"",IF(INDEX(UCRETLER!$D$7:$D$606,$U23)="","",IF(INDEX(UCRETLER!$F$7:$F$606,$U23)="Aylık",EOMONTH(INDEX(UCRETLER!$D$7:$D$606,$U23),$V23-1),INDEX(UCRETLER!$U$7:$U$606,$U23)+7*($V23-1))))</f>
        <v>46356</v>
      </c>
      <c r="X23" s="79">
        <f>IF($U23=0,0,INDEX(UCRETLER!$G$7:$G$606,$U23))</f>
        <v>3000</v>
      </c>
      <c r="Y23" s="1">
        <f t="shared" ca="1" si="8"/>
        <v>4620300007</v>
      </c>
      <c r="Z23" s="1">
        <f t="shared" ca="1" si="9"/>
        <v>7</v>
      </c>
      <c r="AA23" s="1"/>
      <c r="AB23" s="1"/>
      <c r="AC23" s="1"/>
      <c r="AD23" s="1"/>
    </row>
    <row r="24" spans="1:30" ht="19.5" customHeight="1" x14ac:dyDescent="0.3">
      <c r="A24" s="2"/>
      <c r="B24" s="86">
        <f t="shared" ca="1" si="0"/>
        <v>13</v>
      </c>
      <c r="C24" s="87">
        <f t="shared" ca="1" si="1"/>
        <v>46218</v>
      </c>
      <c r="D24" s="88" t="str">
        <f t="shared" ca="1" si="2"/>
        <v>Ödeme  –  Nakit  (ÖMER KARTAL) / NAKİT ÖDENEN</v>
      </c>
      <c r="E24" s="86" t="str">
        <f t="shared" ca="1" si="3"/>
        <v>ÖDEME</v>
      </c>
      <c r="F24" s="89">
        <f t="shared" ca="1" si="4"/>
        <v>0</v>
      </c>
      <c r="G24" s="89">
        <f t="shared" ca="1" si="5"/>
        <v>3000</v>
      </c>
      <c r="H24" s="89">
        <f t="shared" ca="1" si="6"/>
        <v>-3000</v>
      </c>
      <c r="I24" s="2"/>
      <c r="J24" s="2"/>
      <c r="K24" s="1"/>
      <c r="L24" s="1"/>
      <c r="M24" s="1">
        <v>13</v>
      </c>
      <c r="N24" s="90" t="str">
        <f ca="1">IF(OR($U24=0,$W24="",$X24&lt;=0),"",IF($W24&gt;TODAY(),"",IF(AND(INDEX(UCRETLER!$E$7:$E$606,$U24)&lt;&gt;"",$W24&gt;INDEX(UCRETLER!$E$7:$E$606,$U24)),"",$W24)))</f>
        <v/>
      </c>
      <c r="O24" s="1" t="str">
        <f ca="1"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1" t="str">
        <f t="shared" ca="1" si="10"/>
        <v/>
      </c>
      <c r="Q24" s="1"/>
      <c r="R24" s="79">
        <f t="shared" ca="1" si="11"/>
        <v>0</v>
      </c>
      <c r="S24" s="1">
        <v>0</v>
      </c>
      <c r="T24" s="1">
        <f t="shared" ca="1" si="7"/>
        <v>10000000000</v>
      </c>
      <c r="U24" s="1">
        <f t="shared" si="12"/>
        <v>49</v>
      </c>
      <c r="V24" s="1">
        <v>12</v>
      </c>
      <c r="W24" s="90">
        <f>IF($U24=0,"",IF(INDEX(UCRETLER!$D$7:$D$606,$U24)="","",IF(INDEX(UCRETLER!$F$7:$F$606,$U24)="Aylık",EOMONTH(INDEX(UCRETLER!$D$7:$D$606,$U24),$V24-1),INDEX(UCRETLER!$U$7:$U$606,$U24)+7*($V24-1))))</f>
        <v>46387</v>
      </c>
      <c r="X24" s="79">
        <f>IF($U24=0,0,INDEX(UCRETLER!$G$7:$G$606,$U24))</f>
        <v>3000</v>
      </c>
      <c r="Y24" s="1">
        <f t="shared" ca="1" si="8"/>
        <v>4621800248</v>
      </c>
      <c r="Z24" s="1">
        <f t="shared" ca="1" si="9"/>
        <v>248</v>
      </c>
      <c r="AA24" s="1"/>
      <c r="AB24" s="1"/>
      <c r="AC24" s="1"/>
      <c r="AD24" s="1"/>
    </row>
    <row r="25" spans="1:30" ht="19.5" customHeight="1" x14ac:dyDescent="0.3">
      <c r="A25" s="2"/>
      <c r="B25" s="86">
        <f t="shared" ca="1" si="0"/>
        <v>14</v>
      </c>
      <c r="C25" s="87">
        <f t="shared" ca="1" si="1"/>
        <v>46234</v>
      </c>
      <c r="D25" s="88" t="str">
        <f t="shared" ca="1" si="2"/>
        <v>Temmuz 2026 aylık muhasebe hizmet ücreti</v>
      </c>
      <c r="E25" s="86" t="str">
        <f t="shared" ca="1" si="3"/>
        <v>TAHAKKUK</v>
      </c>
      <c r="F25" s="89">
        <f t="shared" ca="1" si="4"/>
        <v>3000</v>
      </c>
      <c r="G25" s="89">
        <f t="shared" ca="1" si="5"/>
        <v>0</v>
      </c>
      <c r="H25" s="89">
        <f t="shared" ca="1" si="6"/>
        <v>0</v>
      </c>
      <c r="I25" s="2"/>
      <c r="J25" s="2"/>
      <c r="K25" s="1"/>
      <c r="L25" s="1"/>
      <c r="M25" s="1">
        <v>14</v>
      </c>
      <c r="N25" s="90" t="str">
        <f ca="1">IF(OR($U25=0,$W25="",$X25&lt;=0),"",IF($W25&gt;TODAY(),"",IF(AND(INDEX(UCRETLER!$E$7:$E$606,$U25)&lt;&gt;"",$W25&gt;INDEX(UCRETLER!$E$7:$E$606,$U25)),"",$W25)))</f>
        <v/>
      </c>
      <c r="O25" s="1" t="str">
        <f ca="1"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1" t="str">
        <f t="shared" ca="1" si="10"/>
        <v/>
      </c>
      <c r="Q25" s="1"/>
      <c r="R25" s="79">
        <f t="shared" ca="1" si="11"/>
        <v>0</v>
      </c>
      <c r="S25" s="1">
        <v>0</v>
      </c>
      <c r="T25" s="1">
        <f t="shared" ca="1" si="7"/>
        <v>10000000000</v>
      </c>
      <c r="U25" s="1">
        <f t="shared" si="12"/>
        <v>49</v>
      </c>
      <c r="V25" s="1">
        <v>13</v>
      </c>
      <c r="W25" s="90">
        <f>IF($U25=0,"",IF(INDEX(UCRETLER!$D$7:$D$606,$U25)="","",IF(INDEX(UCRETLER!$F$7:$F$606,$U25)="Aylık",EOMONTH(INDEX(UCRETLER!$D$7:$D$606,$U25),$V25-1),INDEX(UCRETLER!$U$7:$U$606,$U25)+7*($V25-1))))</f>
        <v>46418</v>
      </c>
      <c r="X25" s="79">
        <f>IF($U25=0,0,INDEX(UCRETLER!$G$7:$G$606,$U25))</f>
        <v>3000</v>
      </c>
      <c r="Y25" s="1">
        <f t="shared" ca="1" si="8"/>
        <v>4623400008</v>
      </c>
      <c r="Z25" s="1">
        <f t="shared" ca="1" si="9"/>
        <v>8</v>
      </c>
      <c r="AA25" s="1"/>
      <c r="AB25" s="1"/>
      <c r="AC25" s="1"/>
      <c r="AD25" s="1"/>
    </row>
    <row r="26" spans="1:30" ht="19.5" customHeight="1" x14ac:dyDescent="0.3">
      <c r="A26" s="2"/>
      <c r="B26" s="86">
        <f t="shared" ca="1" si="0"/>
        <v>15</v>
      </c>
      <c r="C26" s="87">
        <f t="shared" ca="1" si="1"/>
        <v>46249</v>
      </c>
      <c r="D26" s="88" t="str">
        <f t="shared" ca="1" si="2"/>
        <v>Ödeme  –  Nakit  (ÖMER KARTAL) / NAKİT ÖDENEN</v>
      </c>
      <c r="E26" s="86" t="str">
        <f t="shared" ca="1" si="3"/>
        <v>ÖDEME</v>
      </c>
      <c r="F26" s="89">
        <f t="shared" ca="1" si="4"/>
        <v>0</v>
      </c>
      <c r="G26" s="89">
        <f t="shared" ca="1" si="5"/>
        <v>3000</v>
      </c>
      <c r="H26" s="89">
        <f t="shared" ca="1" si="6"/>
        <v>-3000</v>
      </c>
      <c r="I26" s="2"/>
      <c r="J26" s="2"/>
      <c r="K26" s="1"/>
      <c r="L26" s="1"/>
      <c r="M26" s="1">
        <v>15</v>
      </c>
      <c r="N26" s="90" t="str">
        <f ca="1">IF(OR($U26=0,$W26="",$X26&lt;=0),"",IF($W26&gt;TODAY(),"",IF(AND(INDEX(UCRETLER!$E$7:$E$606,$U26)&lt;&gt;"",$W26&gt;INDEX(UCRETLER!$E$7:$E$606,$U26)),"",$W26)))</f>
        <v/>
      </c>
      <c r="O26" s="1" t="str">
        <f ca="1"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1" t="str">
        <f t="shared" ca="1" si="10"/>
        <v/>
      </c>
      <c r="Q26" s="1"/>
      <c r="R26" s="79">
        <f t="shared" ca="1" si="11"/>
        <v>0</v>
      </c>
      <c r="S26" s="1">
        <v>0</v>
      </c>
      <c r="T26" s="1">
        <f t="shared" ca="1" si="7"/>
        <v>10000000000</v>
      </c>
      <c r="U26" s="1">
        <f t="shared" si="12"/>
        <v>49</v>
      </c>
      <c r="V26" s="1">
        <v>14</v>
      </c>
      <c r="W26" s="90">
        <f>IF($U26=0,"",IF(INDEX(UCRETLER!$D$7:$D$606,$U26)="","",IF(INDEX(UCRETLER!$F$7:$F$606,$U26)="Aylık",EOMONTH(INDEX(UCRETLER!$D$7:$D$606,$U26),$V26-1),INDEX(UCRETLER!$U$7:$U$606,$U26)+7*($V26-1))))</f>
        <v>46446</v>
      </c>
      <c r="X26" s="79">
        <f>IF($U26=0,0,INDEX(UCRETLER!$G$7:$G$606,$U26))</f>
        <v>3000</v>
      </c>
      <c r="Y26" s="1">
        <f t="shared" ca="1" si="8"/>
        <v>4624900249</v>
      </c>
      <c r="Z26" s="1">
        <f t="shared" ca="1" si="9"/>
        <v>249</v>
      </c>
      <c r="AA26" s="1"/>
      <c r="AB26" s="1"/>
      <c r="AC26" s="1"/>
      <c r="AD26" s="1"/>
    </row>
    <row r="27" spans="1:30" ht="19.5" customHeight="1" x14ac:dyDescent="0.3">
      <c r="A27" s="2"/>
      <c r="B27" s="86" t="str">
        <f t="shared" ca="1" si="0"/>
        <v/>
      </c>
      <c r="C27" s="87" t="str">
        <f t="shared" ca="1" si="1"/>
        <v/>
      </c>
      <c r="D27" s="88" t="str">
        <f t="shared" ca="1" si="2"/>
        <v/>
      </c>
      <c r="E27" s="86" t="str">
        <f t="shared" ca="1" si="3"/>
        <v/>
      </c>
      <c r="F27" s="89" t="str">
        <f t="shared" ca="1" si="4"/>
        <v/>
      </c>
      <c r="G27" s="89" t="str">
        <f t="shared" ca="1" si="5"/>
        <v/>
      </c>
      <c r="H27" s="89" t="str">
        <f t="shared" ca="1" si="6"/>
        <v/>
      </c>
      <c r="I27" s="2"/>
      <c r="J27" s="2"/>
      <c r="K27" s="1"/>
      <c r="L27" s="1"/>
      <c r="M27" s="1">
        <v>16</v>
      </c>
      <c r="N27" s="90" t="str">
        <f ca="1">IF(OR($U27=0,$W27="",$X27&lt;=0),"",IF($W27&gt;TODAY(),"",IF(AND(INDEX(UCRETLER!$E$7:$E$606,$U27)&lt;&gt;"",$W27&gt;INDEX(UCRETLER!$E$7:$E$606,$U27)),"",$W27)))</f>
        <v/>
      </c>
      <c r="O27" s="1" t="str">
        <f ca="1"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1" t="str">
        <f t="shared" ca="1" si="10"/>
        <v/>
      </c>
      <c r="Q27" s="1"/>
      <c r="R27" s="79">
        <f t="shared" ca="1" si="11"/>
        <v>0</v>
      </c>
      <c r="S27" s="1">
        <v>0</v>
      </c>
      <c r="T27" s="1">
        <f t="shared" ca="1" si="7"/>
        <v>10000000000</v>
      </c>
      <c r="U27" s="1">
        <f t="shared" si="12"/>
        <v>49</v>
      </c>
      <c r="V27" s="1">
        <v>15</v>
      </c>
      <c r="W27" s="90">
        <f>IF($U27=0,"",IF(INDEX(UCRETLER!$D$7:$D$606,$U27)="","",IF(INDEX(UCRETLER!$F$7:$F$606,$U27)="Aylık",EOMONTH(INDEX(UCRETLER!$D$7:$D$606,$U27),$V27-1),INDEX(UCRETLER!$U$7:$U$606,$U27)+7*($V27-1))))</f>
        <v>46477</v>
      </c>
      <c r="X27" s="79">
        <f>IF($U27=0,0,INDEX(UCRETLER!$G$7:$G$606,$U27))</f>
        <v>3000</v>
      </c>
      <c r="Y27" s="1">
        <f t="shared" ca="1" si="8"/>
        <v>10000000000</v>
      </c>
      <c r="Z27" s="1">
        <f t="shared" ca="1" si="9"/>
        <v>1</v>
      </c>
      <c r="AA27" s="1"/>
      <c r="AB27" s="1"/>
      <c r="AC27" s="1"/>
      <c r="AD27" s="1"/>
    </row>
    <row r="28" spans="1:30" ht="19.5" customHeight="1" x14ac:dyDescent="0.3">
      <c r="A28" s="2"/>
      <c r="B28" s="86" t="str">
        <f t="shared" ca="1" si="0"/>
        <v/>
      </c>
      <c r="C28" s="87" t="str">
        <f t="shared" ca="1" si="1"/>
        <v/>
      </c>
      <c r="D28" s="88" t="str">
        <f t="shared" ca="1" si="2"/>
        <v/>
      </c>
      <c r="E28" s="86" t="str">
        <f t="shared" ca="1" si="3"/>
        <v/>
      </c>
      <c r="F28" s="89" t="str">
        <f t="shared" ca="1" si="4"/>
        <v/>
      </c>
      <c r="G28" s="89" t="str">
        <f t="shared" ca="1" si="5"/>
        <v/>
      </c>
      <c r="H28" s="89" t="str">
        <f t="shared" ca="1" si="6"/>
        <v/>
      </c>
      <c r="I28" s="2"/>
      <c r="J28" s="2"/>
      <c r="K28" s="1"/>
      <c r="L28" s="1"/>
      <c r="M28" s="1">
        <v>17</v>
      </c>
      <c r="N28" s="90" t="str">
        <f ca="1">IF(OR($U28=0,$W28="",$X28&lt;=0),"",IF($W28&gt;TODAY(),"",IF(AND(INDEX(UCRETLER!$E$7:$E$606,$U28)&lt;&gt;"",$W28&gt;INDEX(UCRETLER!$E$7:$E$606,$U28)),"",$W28)))</f>
        <v/>
      </c>
      <c r="O28" s="1" t="str">
        <f ca="1"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1" t="str">
        <f t="shared" ca="1" si="10"/>
        <v/>
      </c>
      <c r="Q28" s="1"/>
      <c r="R28" s="79">
        <f t="shared" ca="1" si="11"/>
        <v>0</v>
      </c>
      <c r="S28" s="1">
        <v>0</v>
      </c>
      <c r="T28" s="1">
        <f t="shared" ca="1" si="7"/>
        <v>10000000000</v>
      </c>
      <c r="U28" s="1">
        <f t="shared" si="12"/>
        <v>49</v>
      </c>
      <c r="V28" s="1">
        <v>16</v>
      </c>
      <c r="W28" s="90">
        <f>IF($U28=0,"",IF(INDEX(UCRETLER!$D$7:$D$606,$U28)="","",IF(INDEX(UCRETLER!$F$7:$F$606,$U28)="Aylık",EOMONTH(INDEX(UCRETLER!$D$7:$D$606,$U28),$V28-1),INDEX(UCRETLER!$U$7:$U$606,$U28)+7*($V28-1))))</f>
        <v>46507</v>
      </c>
      <c r="X28" s="79">
        <f>IF($U28=0,0,INDEX(UCRETLER!$G$7:$G$606,$U28))</f>
        <v>3000</v>
      </c>
      <c r="Y28" s="1">
        <f t="shared" ca="1" si="8"/>
        <v>10000000000</v>
      </c>
      <c r="Z28" s="1">
        <f t="shared" ca="1" si="9"/>
        <v>1</v>
      </c>
      <c r="AA28" s="1"/>
      <c r="AB28" s="1"/>
      <c r="AC28" s="1"/>
      <c r="AD28" s="1"/>
    </row>
    <row r="29" spans="1:30" ht="19.5" customHeight="1" x14ac:dyDescent="0.3">
      <c r="A29" s="2"/>
      <c r="B29" s="86" t="str">
        <f t="shared" ca="1" si="0"/>
        <v/>
      </c>
      <c r="C29" s="87" t="str">
        <f t="shared" ca="1" si="1"/>
        <v/>
      </c>
      <c r="D29" s="88" t="str">
        <f t="shared" ca="1" si="2"/>
        <v/>
      </c>
      <c r="E29" s="86" t="str">
        <f t="shared" ca="1" si="3"/>
        <v/>
      </c>
      <c r="F29" s="89" t="str">
        <f t="shared" ca="1" si="4"/>
        <v/>
      </c>
      <c r="G29" s="89" t="str">
        <f t="shared" ca="1" si="5"/>
        <v/>
      </c>
      <c r="H29" s="89" t="str">
        <f t="shared" ca="1" si="6"/>
        <v/>
      </c>
      <c r="I29" s="2"/>
      <c r="J29" s="2"/>
      <c r="K29" s="1"/>
      <c r="L29" s="1"/>
      <c r="M29" s="1">
        <v>18</v>
      </c>
      <c r="N29" s="90" t="str">
        <f ca="1">IF(OR($U29=0,$W29="",$X29&lt;=0),"",IF($W29&gt;TODAY(),"",IF(AND(INDEX(UCRETLER!$E$7:$E$606,$U29)&lt;&gt;"",$W29&gt;INDEX(UCRETLER!$E$7:$E$606,$U29)),"",$W29)))</f>
        <v/>
      </c>
      <c r="O29" s="1" t="str">
        <f ca="1"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1" t="str">
        <f t="shared" ca="1" si="10"/>
        <v/>
      </c>
      <c r="Q29" s="1"/>
      <c r="R29" s="79">
        <f t="shared" ca="1" si="11"/>
        <v>0</v>
      </c>
      <c r="S29" s="1">
        <v>0</v>
      </c>
      <c r="T29" s="1">
        <f t="shared" ca="1" si="7"/>
        <v>10000000000</v>
      </c>
      <c r="U29" s="1">
        <f t="shared" si="12"/>
        <v>49</v>
      </c>
      <c r="V29" s="1">
        <v>17</v>
      </c>
      <c r="W29" s="90">
        <f>IF($U29=0,"",IF(INDEX(UCRETLER!$D$7:$D$606,$U29)="","",IF(INDEX(UCRETLER!$F$7:$F$606,$U29)="Aylık",EOMONTH(INDEX(UCRETLER!$D$7:$D$606,$U29),$V29-1),INDEX(UCRETLER!$U$7:$U$606,$U29)+7*($V29-1))))</f>
        <v>46538</v>
      </c>
      <c r="X29" s="79">
        <f>IF($U29=0,0,INDEX(UCRETLER!$G$7:$G$606,$U29))</f>
        <v>3000</v>
      </c>
      <c r="Y29" s="1">
        <f t="shared" ca="1" si="8"/>
        <v>10000000000</v>
      </c>
      <c r="Z29" s="1">
        <f t="shared" ca="1" si="9"/>
        <v>1</v>
      </c>
      <c r="AA29" s="1"/>
      <c r="AB29" s="1"/>
      <c r="AC29" s="1"/>
      <c r="AD29" s="1"/>
    </row>
    <row r="30" spans="1:30" ht="19.5" customHeight="1" x14ac:dyDescent="0.3">
      <c r="A30" s="2"/>
      <c r="B30" s="86" t="str">
        <f t="shared" ca="1" si="0"/>
        <v/>
      </c>
      <c r="C30" s="87" t="str">
        <f t="shared" ca="1" si="1"/>
        <v/>
      </c>
      <c r="D30" s="88" t="str">
        <f t="shared" ca="1" si="2"/>
        <v/>
      </c>
      <c r="E30" s="86" t="str">
        <f t="shared" ca="1" si="3"/>
        <v/>
      </c>
      <c r="F30" s="89" t="str">
        <f t="shared" ca="1" si="4"/>
        <v/>
      </c>
      <c r="G30" s="89" t="str">
        <f t="shared" ca="1" si="5"/>
        <v/>
      </c>
      <c r="H30" s="89" t="str">
        <f t="shared" ca="1" si="6"/>
        <v/>
      </c>
      <c r="I30" s="2"/>
      <c r="J30" s="2"/>
      <c r="K30" s="1"/>
      <c r="L30" s="1"/>
      <c r="M30" s="1">
        <v>19</v>
      </c>
      <c r="N30" s="90" t="str">
        <f ca="1">IF(OR($U30=0,$W30="",$X30&lt;=0),"",IF($W30&gt;TODAY(),"",IF(AND(INDEX(UCRETLER!$E$7:$E$606,$U30)&lt;&gt;"",$W30&gt;INDEX(UCRETLER!$E$7:$E$606,$U30)),"",$W30)))</f>
        <v/>
      </c>
      <c r="O30" s="1" t="str">
        <f ca="1"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1" t="str">
        <f t="shared" ca="1" si="10"/>
        <v/>
      </c>
      <c r="Q30" s="1"/>
      <c r="R30" s="79">
        <f t="shared" ca="1" si="11"/>
        <v>0</v>
      </c>
      <c r="S30" s="1">
        <v>0</v>
      </c>
      <c r="T30" s="1">
        <f t="shared" ca="1" si="7"/>
        <v>10000000000</v>
      </c>
      <c r="U30" s="1">
        <f t="shared" si="12"/>
        <v>49</v>
      </c>
      <c r="V30" s="1">
        <v>18</v>
      </c>
      <c r="W30" s="90">
        <f>IF($U30=0,"",IF(INDEX(UCRETLER!$D$7:$D$606,$U30)="","",IF(INDEX(UCRETLER!$F$7:$F$606,$U30)="Aylık",EOMONTH(INDEX(UCRETLER!$D$7:$D$606,$U30),$V30-1),INDEX(UCRETLER!$U$7:$U$606,$U30)+7*($V30-1))))</f>
        <v>46568</v>
      </c>
      <c r="X30" s="79">
        <f>IF($U30=0,0,INDEX(UCRETLER!$G$7:$G$606,$U30))</f>
        <v>3000</v>
      </c>
      <c r="Y30" s="1">
        <f t="shared" ca="1" si="8"/>
        <v>10000000000</v>
      </c>
      <c r="Z30" s="1">
        <f t="shared" ca="1" si="9"/>
        <v>1</v>
      </c>
      <c r="AA30" s="1"/>
      <c r="AB30" s="1"/>
      <c r="AC30" s="1"/>
      <c r="AD30" s="1"/>
    </row>
    <row r="31" spans="1:30" ht="19.5" customHeight="1" x14ac:dyDescent="0.3">
      <c r="A31" s="2"/>
      <c r="B31" s="86" t="str">
        <f t="shared" ca="1" si="0"/>
        <v/>
      </c>
      <c r="C31" s="87" t="str">
        <f t="shared" ca="1" si="1"/>
        <v/>
      </c>
      <c r="D31" s="88" t="str">
        <f t="shared" ca="1" si="2"/>
        <v/>
      </c>
      <c r="E31" s="86" t="str">
        <f t="shared" ca="1" si="3"/>
        <v/>
      </c>
      <c r="F31" s="89" t="str">
        <f t="shared" ca="1" si="4"/>
        <v/>
      </c>
      <c r="G31" s="89" t="str">
        <f t="shared" ca="1" si="5"/>
        <v/>
      </c>
      <c r="H31" s="89" t="str">
        <f t="shared" ca="1" si="6"/>
        <v/>
      </c>
      <c r="I31" s="2"/>
      <c r="J31" s="2"/>
      <c r="K31" s="1"/>
      <c r="L31" s="1"/>
      <c r="M31" s="1">
        <v>20</v>
      </c>
      <c r="N31" s="90" t="str">
        <f ca="1">IF(OR($U31=0,$W31="",$X31&lt;=0),"",IF($W31&gt;TODAY(),"",IF(AND(INDEX(UCRETLER!$E$7:$E$606,$U31)&lt;&gt;"",$W31&gt;INDEX(UCRETLER!$E$7:$E$606,$U31)),"",$W31)))</f>
        <v/>
      </c>
      <c r="O31" s="1" t="str">
        <f ca="1"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1" t="str">
        <f t="shared" ca="1" si="10"/>
        <v/>
      </c>
      <c r="Q31" s="1"/>
      <c r="R31" s="79">
        <f t="shared" ca="1" si="11"/>
        <v>0</v>
      </c>
      <c r="S31" s="1">
        <v>0</v>
      </c>
      <c r="T31" s="1">
        <f t="shared" ca="1" si="7"/>
        <v>10000000000</v>
      </c>
      <c r="U31" s="1">
        <f t="shared" si="12"/>
        <v>49</v>
      </c>
      <c r="V31" s="1">
        <v>19</v>
      </c>
      <c r="W31" s="90">
        <f>IF($U31=0,"",IF(INDEX(UCRETLER!$D$7:$D$606,$U31)="","",IF(INDEX(UCRETLER!$F$7:$F$606,$U31)="Aylık",EOMONTH(INDEX(UCRETLER!$D$7:$D$606,$U31),$V31-1),INDEX(UCRETLER!$U$7:$U$606,$U31)+7*($V31-1))))</f>
        <v>46599</v>
      </c>
      <c r="X31" s="79">
        <f>IF($U31=0,0,INDEX(UCRETLER!$G$7:$G$606,$U31))</f>
        <v>3000</v>
      </c>
      <c r="Y31" s="1">
        <f t="shared" ca="1" si="8"/>
        <v>10000000000</v>
      </c>
      <c r="Z31" s="1">
        <f t="shared" ca="1" si="9"/>
        <v>1</v>
      </c>
      <c r="AA31" s="1"/>
      <c r="AB31" s="1"/>
      <c r="AC31" s="1"/>
      <c r="AD31" s="1"/>
    </row>
    <row r="32" spans="1:30" ht="19.5" customHeight="1" x14ac:dyDescent="0.3">
      <c r="A32" s="2"/>
      <c r="B32" s="86" t="str">
        <f t="shared" ca="1" si="0"/>
        <v/>
      </c>
      <c r="C32" s="87" t="str">
        <f t="shared" ca="1" si="1"/>
        <v/>
      </c>
      <c r="D32" s="88" t="str">
        <f t="shared" ca="1" si="2"/>
        <v/>
      </c>
      <c r="E32" s="86" t="str">
        <f t="shared" ca="1" si="3"/>
        <v/>
      </c>
      <c r="F32" s="89" t="str">
        <f t="shared" ca="1" si="4"/>
        <v/>
      </c>
      <c r="G32" s="89" t="str">
        <f t="shared" ca="1" si="5"/>
        <v/>
      </c>
      <c r="H32" s="89" t="str">
        <f t="shared" ca="1" si="6"/>
        <v/>
      </c>
      <c r="I32" s="2"/>
      <c r="J32" s="2"/>
      <c r="K32" s="1"/>
      <c r="L32" s="1"/>
      <c r="M32" s="1">
        <v>21</v>
      </c>
      <c r="N32" s="90" t="str">
        <f ca="1">IF(OR($U32=0,$W32="",$X32&lt;=0),"",IF($W32&gt;TODAY(),"",IF(AND(INDEX(UCRETLER!$E$7:$E$606,$U32)&lt;&gt;"",$W32&gt;INDEX(UCRETLER!$E$7:$E$606,$U32)),"",$W32)))</f>
        <v/>
      </c>
      <c r="O32" s="1" t="str">
        <f ca="1"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1" t="str">
        <f t="shared" ca="1" si="10"/>
        <v/>
      </c>
      <c r="Q32" s="1"/>
      <c r="R32" s="79">
        <f t="shared" ca="1" si="11"/>
        <v>0</v>
      </c>
      <c r="S32" s="1">
        <v>0</v>
      </c>
      <c r="T32" s="1">
        <f t="shared" ca="1" si="7"/>
        <v>10000000000</v>
      </c>
      <c r="U32" s="1">
        <f t="shared" si="12"/>
        <v>49</v>
      </c>
      <c r="V32" s="1">
        <v>20</v>
      </c>
      <c r="W32" s="90">
        <f>IF($U32=0,"",IF(INDEX(UCRETLER!$D$7:$D$606,$U32)="","",IF(INDEX(UCRETLER!$F$7:$F$606,$U32)="Aylık",EOMONTH(INDEX(UCRETLER!$D$7:$D$606,$U32),$V32-1),INDEX(UCRETLER!$U$7:$U$606,$U32)+7*($V32-1))))</f>
        <v>46630</v>
      </c>
      <c r="X32" s="79">
        <f>IF($U32=0,0,INDEX(UCRETLER!$G$7:$G$606,$U32))</f>
        <v>3000</v>
      </c>
      <c r="Y32" s="1">
        <f t="shared" ca="1" si="8"/>
        <v>10000000000</v>
      </c>
      <c r="Z32" s="1">
        <f t="shared" ca="1" si="9"/>
        <v>1</v>
      </c>
      <c r="AA32" s="1"/>
      <c r="AB32" s="1"/>
      <c r="AC32" s="1"/>
      <c r="AD32" s="1"/>
    </row>
    <row r="33" spans="1:30" ht="19.5" customHeight="1" x14ac:dyDescent="0.3">
      <c r="A33" s="2"/>
      <c r="B33" s="86" t="str">
        <f t="shared" ca="1" si="0"/>
        <v/>
      </c>
      <c r="C33" s="87" t="str">
        <f t="shared" ca="1" si="1"/>
        <v/>
      </c>
      <c r="D33" s="88" t="str">
        <f t="shared" ca="1" si="2"/>
        <v/>
      </c>
      <c r="E33" s="86" t="str">
        <f t="shared" ca="1" si="3"/>
        <v/>
      </c>
      <c r="F33" s="89" t="str">
        <f t="shared" ca="1" si="4"/>
        <v/>
      </c>
      <c r="G33" s="89" t="str">
        <f t="shared" ca="1" si="5"/>
        <v/>
      </c>
      <c r="H33" s="89" t="str">
        <f t="shared" ca="1" si="6"/>
        <v/>
      </c>
      <c r="I33" s="2"/>
      <c r="J33" s="2"/>
      <c r="K33" s="1"/>
      <c r="L33" s="1"/>
      <c r="M33" s="1">
        <v>22</v>
      </c>
      <c r="N33" s="90" t="str">
        <f ca="1">IF(OR($U33=0,$W33="",$X33&lt;=0),"",IF($W33&gt;TODAY(),"",IF(AND(INDEX(UCRETLER!$E$7:$E$606,$U33)&lt;&gt;"",$W33&gt;INDEX(UCRETLER!$E$7:$E$606,$U33)),"",$W33)))</f>
        <v/>
      </c>
      <c r="O33" s="1" t="str">
        <f ca="1"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1" t="str">
        <f t="shared" ca="1" si="10"/>
        <v/>
      </c>
      <c r="Q33" s="1"/>
      <c r="R33" s="79">
        <f t="shared" ca="1" si="11"/>
        <v>0</v>
      </c>
      <c r="S33" s="1">
        <v>0</v>
      </c>
      <c r="T33" s="1">
        <f t="shared" ca="1" si="7"/>
        <v>10000000000</v>
      </c>
      <c r="U33" s="1">
        <f t="shared" si="12"/>
        <v>49</v>
      </c>
      <c r="V33" s="1">
        <v>21</v>
      </c>
      <c r="W33" s="90">
        <f>IF($U33=0,"",IF(INDEX(UCRETLER!$D$7:$D$606,$U33)="","",IF(INDEX(UCRETLER!$F$7:$F$606,$U33)="Aylık",EOMONTH(INDEX(UCRETLER!$D$7:$D$606,$U33),$V33-1),INDEX(UCRETLER!$U$7:$U$606,$U33)+7*($V33-1))))</f>
        <v>46660</v>
      </c>
      <c r="X33" s="79">
        <f>IF($U33=0,0,INDEX(UCRETLER!$G$7:$G$606,$U33))</f>
        <v>3000</v>
      </c>
      <c r="Y33" s="1">
        <f t="shared" ca="1" si="8"/>
        <v>10000000000</v>
      </c>
      <c r="Z33" s="1">
        <f t="shared" ca="1" si="9"/>
        <v>1</v>
      </c>
      <c r="AA33" s="1"/>
      <c r="AB33" s="1"/>
      <c r="AC33" s="1"/>
      <c r="AD33" s="1"/>
    </row>
    <row r="34" spans="1:30" ht="19.5" customHeight="1" x14ac:dyDescent="0.3">
      <c r="A34" s="2"/>
      <c r="B34" s="86" t="str">
        <f t="shared" ca="1" si="0"/>
        <v/>
      </c>
      <c r="C34" s="87" t="str">
        <f t="shared" ca="1" si="1"/>
        <v/>
      </c>
      <c r="D34" s="88" t="str">
        <f t="shared" ca="1" si="2"/>
        <v/>
      </c>
      <c r="E34" s="86" t="str">
        <f t="shared" ca="1" si="3"/>
        <v/>
      </c>
      <c r="F34" s="89" t="str">
        <f t="shared" ca="1" si="4"/>
        <v/>
      </c>
      <c r="G34" s="89" t="str">
        <f t="shared" ca="1" si="5"/>
        <v/>
      </c>
      <c r="H34" s="89" t="str">
        <f t="shared" ca="1" si="6"/>
        <v/>
      </c>
      <c r="I34" s="2"/>
      <c r="J34" s="2"/>
      <c r="K34" s="1"/>
      <c r="L34" s="1"/>
      <c r="M34" s="1">
        <v>23</v>
      </c>
      <c r="N34" s="90" t="str">
        <f ca="1">IF(OR($U34=0,$W34="",$X34&lt;=0),"",IF($W34&gt;TODAY(),"",IF(AND(INDEX(UCRETLER!$E$7:$E$606,$U34)&lt;&gt;"",$W34&gt;INDEX(UCRETLER!$E$7:$E$606,$U34)),"",$W34)))</f>
        <v/>
      </c>
      <c r="O34" s="1" t="str">
        <f ca="1"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1" t="str">
        <f t="shared" ca="1" si="10"/>
        <v/>
      </c>
      <c r="Q34" s="1"/>
      <c r="R34" s="79">
        <f t="shared" ca="1" si="11"/>
        <v>0</v>
      </c>
      <c r="S34" s="1">
        <v>0</v>
      </c>
      <c r="T34" s="1">
        <f t="shared" ca="1" si="7"/>
        <v>10000000000</v>
      </c>
      <c r="U34" s="1">
        <f t="shared" si="12"/>
        <v>49</v>
      </c>
      <c r="V34" s="1">
        <v>22</v>
      </c>
      <c r="W34" s="90">
        <f>IF($U34=0,"",IF(INDEX(UCRETLER!$D$7:$D$606,$U34)="","",IF(INDEX(UCRETLER!$F$7:$F$606,$U34)="Aylık",EOMONTH(INDEX(UCRETLER!$D$7:$D$606,$U34),$V34-1),INDEX(UCRETLER!$U$7:$U$606,$U34)+7*($V34-1))))</f>
        <v>46691</v>
      </c>
      <c r="X34" s="79">
        <f>IF($U34=0,0,INDEX(UCRETLER!$G$7:$G$606,$U34))</f>
        <v>3000</v>
      </c>
      <c r="Y34" s="1">
        <f t="shared" ca="1" si="8"/>
        <v>10000000000</v>
      </c>
      <c r="Z34" s="1">
        <f t="shared" ca="1" si="9"/>
        <v>1</v>
      </c>
      <c r="AA34" s="1"/>
      <c r="AB34" s="1"/>
      <c r="AC34" s="1"/>
      <c r="AD34" s="1"/>
    </row>
    <row r="35" spans="1:30" ht="19.5" customHeight="1" x14ac:dyDescent="0.3">
      <c r="A35" s="2"/>
      <c r="B35" s="86" t="str">
        <f t="shared" ca="1" si="0"/>
        <v/>
      </c>
      <c r="C35" s="87" t="str">
        <f t="shared" ca="1" si="1"/>
        <v/>
      </c>
      <c r="D35" s="88" t="str">
        <f t="shared" ca="1" si="2"/>
        <v/>
      </c>
      <c r="E35" s="86" t="str">
        <f t="shared" ca="1" si="3"/>
        <v/>
      </c>
      <c r="F35" s="89" t="str">
        <f t="shared" ca="1" si="4"/>
        <v/>
      </c>
      <c r="G35" s="89" t="str">
        <f t="shared" ca="1" si="5"/>
        <v/>
      </c>
      <c r="H35" s="89" t="str">
        <f t="shared" ca="1" si="6"/>
        <v/>
      </c>
      <c r="I35" s="2"/>
      <c r="J35" s="2"/>
      <c r="K35" s="1"/>
      <c r="L35" s="1"/>
      <c r="M35" s="1">
        <v>24</v>
      </c>
      <c r="N35" s="90" t="str">
        <f ca="1">IF(OR($U35=0,$W35="",$X35&lt;=0),"",IF($W35&gt;TODAY(),"",IF(AND(INDEX(UCRETLER!$E$7:$E$606,$U35)&lt;&gt;"",$W35&gt;INDEX(UCRETLER!$E$7:$E$606,$U35)),"",$W35)))</f>
        <v/>
      </c>
      <c r="O35" s="1" t="str">
        <f ca="1"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1" t="str">
        <f t="shared" ca="1" si="10"/>
        <v/>
      </c>
      <c r="Q35" s="1"/>
      <c r="R35" s="79">
        <f t="shared" ca="1" si="11"/>
        <v>0</v>
      </c>
      <c r="S35" s="1">
        <v>0</v>
      </c>
      <c r="T35" s="1">
        <f t="shared" ca="1" si="7"/>
        <v>10000000000</v>
      </c>
      <c r="U35" s="1">
        <f t="shared" si="12"/>
        <v>49</v>
      </c>
      <c r="V35" s="1">
        <v>23</v>
      </c>
      <c r="W35" s="90">
        <f>IF($U35=0,"",IF(INDEX(UCRETLER!$D$7:$D$606,$U35)="","",IF(INDEX(UCRETLER!$F$7:$F$606,$U35)="Aylık",EOMONTH(INDEX(UCRETLER!$D$7:$D$606,$U35),$V35-1),INDEX(UCRETLER!$U$7:$U$606,$U35)+7*($V35-1))))</f>
        <v>46721</v>
      </c>
      <c r="X35" s="79">
        <f>IF($U35=0,0,INDEX(UCRETLER!$G$7:$G$606,$U35))</f>
        <v>3000</v>
      </c>
      <c r="Y35" s="1">
        <f t="shared" ca="1" si="8"/>
        <v>10000000000</v>
      </c>
      <c r="Z35" s="1">
        <f t="shared" ca="1" si="9"/>
        <v>1</v>
      </c>
      <c r="AA35" s="1"/>
      <c r="AB35" s="1"/>
      <c r="AC35" s="1"/>
      <c r="AD35" s="1"/>
    </row>
    <row r="36" spans="1:30" ht="19.5" customHeight="1" x14ac:dyDescent="0.3">
      <c r="A36" s="2"/>
      <c r="B36" s="86" t="str">
        <f t="shared" ca="1" si="0"/>
        <v/>
      </c>
      <c r="C36" s="87" t="str">
        <f t="shared" ca="1" si="1"/>
        <v/>
      </c>
      <c r="D36" s="88" t="str">
        <f t="shared" ca="1" si="2"/>
        <v/>
      </c>
      <c r="E36" s="86" t="str">
        <f t="shared" ca="1" si="3"/>
        <v/>
      </c>
      <c r="F36" s="89" t="str">
        <f t="shared" ca="1" si="4"/>
        <v/>
      </c>
      <c r="G36" s="89" t="str">
        <f t="shared" ca="1" si="5"/>
        <v/>
      </c>
      <c r="H36" s="89" t="str">
        <f t="shared" ca="1" si="6"/>
        <v/>
      </c>
      <c r="I36" s="2"/>
      <c r="J36" s="2"/>
      <c r="K36" s="1"/>
      <c r="L36" s="1"/>
      <c r="M36" s="1">
        <v>25</v>
      </c>
      <c r="N36" s="90" t="str">
        <f ca="1">IF(OR($U36=0,$W36="",$X36&lt;=0),"",IF($W36&gt;TODAY(),"",IF(AND(INDEX(UCRETLER!$E$7:$E$606,$U36)&lt;&gt;"",$W36&gt;INDEX(UCRETLER!$E$7:$E$606,$U36)),"",$W36)))</f>
        <v/>
      </c>
      <c r="O36" s="1" t="str">
        <f ca="1"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1" t="str">
        <f t="shared" ca="1" si="10"/>
        <v/>
      </c>
      <c r="Q36" s="1"/>
      <c r="R36" s="79">
        <f t="shared" ca="1" si="11"/>
        <v>0</v>
      </c>
      <c r="S36" s="1">
        <v>0</v>
      </c>
      <c r="T36" s="1">
        <f t="shared" ca="1" si="7"/>
        <v>10000000000</v>
      </c>
      <c r="U36" s="1">
        <f t="shared" si="12"/>
        <v>49</v>
      </c>
      <c r="V36" s="1">
        <v>24</v>
      </c>
      <c r="W36" s="90">
        <f>IF($U36=0,"",IF(INDEX(UCRETLER!$D$7:$D$606,$U36)="","",IF(INDEX(UCRETLER!$F$7:$F$606,$U36)="Aylık",EOMONTH(INDEX(UCRETLER!$D$7:$D$606,$U36),$V36-1),INDEX(UCRETLER!$U$7:$U$606,$U36)+7*($V36-1))))</f>
        <v>46752</v>
      </c>
      <c r="X36" s="79">
        <f>IF($U36=0,0,INDEX(UCRETLER!$G$7:$G$606,$U36))</f>
        <v>3000</v>
      </c>
      <c r="Y36" s="1">
        <f t="shared" ca="1" si="8"/>
        <v>10000000000</v>
      </c>
      <c r="Z36" s="1">
        <f t="shared" ca="1" si="9"/>
        <v>1</v>
      </c>
      <c r="AA36" s="1"/>
      <c r="AB36" s="1"/>
      <c r="AC36" s="1"/>
      <c r="AD36" s="1"/>
    </row>
    <row r="37" spans="1:30" ht="19.5" customHeight="1" x14ac:dyDescent="0.3">
      <c r="A37" s="2"/>
      <c r="B37" s="86" t="str">
        <f t="shared" ca="1" si="0"/>
        <v/>
      </c>
      <c r="C37" s="87" t="str">
        <f t="shared" ca="1" si="1"/>
        <v/>
      </c>
      <c r="D37" s="88" t="str">
        <f t="shared" ca="1" si="2"/>
        <v/>
      </c>
      <c r="E37" s="86" t="str">
        <f t="shared" ca="1" si="3"/>
        <v/>
      </c>
      <c r="F37" s="89" t="str">
        <f t="shared" ca="1" si="4"/>
        <v/>
      </c>
      <c r="G37" s="89" t="str">
        <f t="shared" ca="1" si="5"/>
        <v/>
      </c>
      <c r="H37" s="89" t="str">
        <f t="shared" ca="1" si="6"/>
        <v/>
      </c>
      <c r="I37" s="2"/>
      <c r="J37" s="2"/>
      <c r="K37" s="1"/>
      <c r="L37" s="1"/>
      <c r="M37" s="1">
        <v>26</v>
      </c>
      <c r="N37" s="90" t="str">
        <f ca="1">IF(OR($U37=0,$W37="",$X37&lt;=0),"",IF($W37&gt;TODAY(),"",IF(AND(INDEX(UCRETLER!$E$7:$E$606,$U37)&lt;&gt;"",$W37&gt;INDEX(UCRETLER!$E$7:$E$606,$U37)),"",$W37)))</f>
        <v/>
      </c>
      <c r="O37" s="1" t="str">
        <f ca="1"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1" t="str">
        <f t="shared" ca="1" si="10"/>
        <v/>
      </c>
      <c r="Q37" s="1"/>
      <c r="R37" s="79">
        <f t="shared" ca="1" si="11"/>
        <v>0</v>
      </c>
      <c r="S37" s="1">
        <v>0</v>
      </c>
      <c r="T37" s="1">
        <f t="shared" ca="1" si="7"/>
        <v>10000000000</v>
      </c>
      <c r="U37" s="1">
        <f t="shared" si="12"/>
        <v>49</v>
      </c>
      <c r="V37" s="1">
        <v>25</v>
      </c>
      <c r="W37" s="90">
        <f>IF($U37=0,"",IF(INDEX(UCRETLER!$D$7:$D$606,$U37)="","",IF(INDEX(UCRETLER!$F$7:$F$606,$U37)="Aylık",EOMONTH(INDEX(UCRETLER!$D$7:$D$606,$U37),$V37-1),INDEX(UCRETLER!$U$7:$U$606,$U37)+7*($V37-1))))</f>
        <v>46783</v>
      </c>
      <c r="X37" s="79">
        <f>IF($U37=0,0,INDEX(UCRETLER!$G$7:$G$606,$U37))</f>
        <v>3000</v>
      </c>
      <c r="Y37" s="1">
        <f t="shared" ca="1" si="8"/>
        <v>10000000000</v>
      </c>
      <c r="Z37" s="1">
        <f t="shared" ca="1" si="9"/>
        <v>1</v>
      </c>
      <c r="AA37" s="1"/>
      <c r="AB37" s="1"/>
      <c r="AC37" s="1"/>
      <c r="AD37" s="1"/>
    </row>
    <row r="38" spans="1:30" ht="19.5" customHeight="1" x14ac:dyDescent="0.3">
      <c r="A38" s="2"/>
      <c r="B38" s="86" t="str">
        <f t="shared" ca="1" si="0"/>
        <v/>
      </c>
      <c r="C38" s="87" t="str">
        <f t="shared" ca="1" si="1"/>
        <v/>
      </c>
      <c r="D38" s="88" t="str">
        <f t="shared" ca="1" si="2"/>
        <v/>
      </c>
      <c r="E38" s="86" t="str">
        <f t="shared" ca="1" si="3"/>
        <v/>
      </c>
      <c r="F38" s="89" t="str">
        <f t="shared" ca="1" si="4"/>
        <v/>
      </c>
      <c r="G38" s="89" t="str">
        <f t="shared" ca="1" si="5"/>
        <v/>
      </c>
      <c r="H38" s="89" t="str">
        <f t="shared" ca="1" si="6"/>
        <v/>
      </c>
      <c r="I38" s="2"/>
      <c r="J38" s="2"/>
      <c r="K38" s="1"/>
      <c r="L38" s="1"/>
      <c r="M38" s="1">
        <v>27</v>
      </c>
      <c r="N38" s="90" t="str">
        <f ca="1">IF(OR($U38=0,$W38="",$X38&lt;=0),"",IF($W38&gt;TODAY(),"",IF(AND(INDEX(UCRETLER!$E$7:$E$606,$U38)&lt;&gt;"",$W38&gt;INDEX(UCRETLER!$E$7:$E$606,$U38)),"",$W38)))</f>
        <v/>
      </c>
      <c r="O38" s="1" t="str">
        <f ca="1"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1" t="str">
        <f t="shared" ca="1" si="10"/>
        <v/>
      </c>
      <c r="Q38" s="1"/>
      <c r="R38" s="79">
        <f t="shared" ca="1" si="11"/>
        <v>0</v>
      </c>
      <c r="S38" s="1">
        <v>0</v>
      </c>
      <c r="T38" s="1">
        <f t="shared" ca="1" si="7"/>
        <v>10000000000</v>
      </c>
      <c r="U38" s="1">
        <f t="shared" si="12"/>
        <v>49</v>
      </c>
      <c r="V38" s="1">
        <v>26</v>
      </c>
      <c r="W38" s="90">
        <f>IF($U38=0,"",IF(INDEX(UCRETLER!$D$7:$D$606,$U38)="","",IF(INDEX(UCRETLER!$F$7:$F$606,$U38)="Aylık",EOMONTH(INDEX(UCRETLER!$D$7:$D$606,$U38),$V38-1),INDEX(UCRETLER!$U$7:$U$606,$U38)+7*($V38-1))))</f>
        <v>46812</v>
      </c>
      <c r="X38" s="79">
        <f>IF($U38=0,0,INDEX(UCRETLER!$G$7:$G$606,$U38))</f>
        <v>3000</v>
      </c>
      <c r="Y38" s="1">
        <f t="shared" ca="1" si="8"/>
        <v>10000000000</v>
      </c>
      <c r="Z38" s="1">
        <f t="shared" ca="1" si="9"/>
        <v>1</v>
      </c>
      <c r="AA38" s="1"/>
      <c r="AB38" s="1"/>
      <c r="AC38" s="1"/>
      <c r="AD38" s="1"/>
    </row>
    <row r="39" spans="1:30" ht="19.5" customHeight="1" x14ac:dyDescent="0.3">
      <c r="A39" s="2"/>
      <c r="B39" s="86" t="str">
        <f t="shared" ca="1" si="0"/>
        <v/>
      </c>
      <c r="C39" s="87" t="str">
        <f t="shared" ca="1" si="1"/>
        <v/>
      </c>
      <c r="D39" s="88" t="str">
        <f t="shared" ca="1" si="2"/>
        <v/>
      </c>
      <c r="E39" s="86" t="str">
        <f t="shared" ca="1" si="3"/>
        <v/>
      </c>
      <c r="F39" s="89" t="str">
        <f t="shared" ca="1" si="4"/>
        <v/>
      </c>
      <c r="G39" s="89" t="str">
        <f t="shared" ca="1" si="5"/>
        <v/>
      </c>
      <c r="H39" s="89" t="str">
        <f t="shared" ca="1" si="6"/>
        <v/>
      </c>
      <c r="I39" s="2"/>
      <c r="J39" s="2"/>
      <c r="K39" s="1"/>
      <c r="L39" s="1"/>
      <c r="M39" s="1">
        <v>28</v>
      </c>
      <c r="N39" s="90" t="str">
        <f ca="1">IF(OR($U39=0,$W39="",$X39&lt;=0),"",IF($W39&gt;TODAY(),"",IF(AND(INDEX(UCRETLER!$E$7:$E$606,$U39)&lt;&gt;"",$W39&gt;INDEX(UCRETLER!$E$7:$E$606,$U39)),"",$W39)))</f>
        <v/>
      </c>
      <c r="O39" s="1" t="str">
        <f ca="1"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1" t="str">
        <f t="shared" ca="1" si="10"/>
        <v/>
      </c>
      <c r="Q39" s="1"/>
      <c r="R39" s="79">
        <f t="shared" ca="1" si="11"/>
        <v>0</v>
      </c>
      <c r="S39" s="1">
        <v>0</v>
      </c>
      <c r="T39" s="1">
        <f t="shared" ca="1" si="7"/>
        <v>10000000000</v>
      </c>
      <c r="U39" s="1">
        <f t="shared" si="12"/>
        <v>49</v>
      </c>
      <c r="V39" s="1">
        <v>27</v>
      </c>
      <c r="W39" s="90">
        <f>IF($U39=0,"",IF(INDEX(UCRETLER!$D$7:$D$606,$U39)="","",IF(INDEX(UCRETLER!$F$7:$F$606,$U39)="Aylık",EOMONTH(INDEX(UCRETLER!$D$7:$D$606,$U39),$V39-1),INDEX(UCRETLER!$U$7:$U$606,$U39)+7*($V39-1))))</f>
        <v>46843</v>
      </c>
      <c r="X39" s="79">
        <f>IF($U39=0,0,INDEX(UCRETLER!$G$7:$G$606,$U39))</f>
        <v>3000</v>
      </c>
      <c r="Y39" s="1">
        <f t="shared" ca="1" si="8"/>
        <v>10000000000</v>
      </c>
      <c r="Z39" s="1">
        <f t="shared" ca="1" si="9"/>
        <v>1</v>
      </c>
      <c r="AA39" s="1"/>
      <c r="AB39" s="1"/>
      <c r="AC39" s="1"/>
      <c r="AD39" s="1"/>
    </row>
    <row r="40" spans="1:30" ht="19.5" customHeight="1" x14ac:dyDescent="0.3">
      <c r="A40" s="2"/>
      <c r="B40" s="86" t="str">
        <f t="shared" ca="1" si="0"/>
        <v/>
      </c>
      <c r="C40" s="87" t="str">
        <f t="shared" ca="1" si="1"/>
        <v/>
      </c>
      <c r="D40" s="88" t="str">
        <f t="shared" ca="1" si="2"/>
        <v/>
      </c>
      <c r="E40" s="86" t="str">
        <f t="shared" ca="1" si="3"/>
        <v/>
      </c>
      <c r="F40" s="89" t="str">
        <f t="shared" ca="1" si="4"/>
        <v/>
      </c>
      <c r="G40" s="89" t="str">
        <f t="shared" ca="1" si="5"/>
        <v/>
      </c>
      <c r="H40" s="89" t="str">
        <f t="shared" ca="1" si="6"/>
        <v/>
      </c>
      <c r="I40" s="2"/>
      <c r="J40" s="2"/>
      <c r="K40" s="1"/>
      <c r="L40" s="1"/>
      <c r="M40" s="1">
        <v>29</v>
      </c>
      <c r="N40" s="90" t="str">
        <f ca="1">IF(OR($U40=0,$W40="",$X40&lt;=0),"",IF($W40&gt;TODAY(),"",IF(AND(INDEX(UCRETLER!$E$7:$E$606,$U40)&lt;&gt;"",$W40&gt;INDEX(UCRETLER!$E$7:$E$606,$U40)),"",$W40)))</f>
        <v/>
      </c>
      <c r="O40" s="1" t="str">
        <f ca="1"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1" t="str">
        <f t="shared" ca="1" si="10"/>
        <v/>
      </c>
      <c r="Q40" s="1"/>
      <c r="R40" s="79">
        <f t="shared" ca="1" si="11"/>
        <v>0</v>
      </c>
      <c r="S40" s="1">
        <v>0</v>
      </c>
      <c r="T40" s="1">
        <f t="shared" ca="1" si="7"/>
        <v>10000000000</v>
      </c>
      <c r="U40" s="1">
        <f t="shared" si="12"/>
        <v>49</v>
      </c>
      <c r="V40" s="1">
        <v>28</v>
      </c>
      <c r="W40" s="90">
        <f>IF($U40=0,"",IF(INDEX(UCRETLER!$D$7:$D$606,$U40)="","",IF(INDEX(UCRETLER!$F$7:$F$606,$U40)="Aylık",EOMONTH(INDEX(UCRETLER!$D$7:$D$606,$U40),$V40-1),INDEX(UCRETLER!$U$7:$U$606,$U40)+7*($V40-1))))</f>
        <v>46873</v>
      </c>
      <c r="X40" s="79">
        <f>IF($U40=0,0,INDEX(UCRETLER!$G$7:$G$606,$U40))</f>
        <v>3000</v>
      </c>
      <c r="Y40" s="1">
        <f t="shared" ca="1" si="8"/>
        <v>10000000000</v>
      </c>
      <c r="Z40" s="1">
        <f t="shared" ca="1" si="9"/>
        <v>1</v>
      </c>
      <c r="AA40" s="1"/>
      <c r="AB40" s="1"/>
      <c r="AC40" s="1"/>
      <c r="AD40" s="1"/>
    </row>
    <row r="41" spans="1:30" ht="19.5" customHeight="1" x14ac:dyDescent="0.3">
      <c r="A41" s="2"/>
      <c r="B41" s="86" t="str">
        <f t="shared" ca="1" si="0"/>
        <v/>
      </c>
      <c r="C41" s="87" t="str">
        <f t="shared" ca="1" si="1"/>
        <v/>
      </c>
      <c r="D41" s="88" t="str">
        <f t="shared" ca="1" si="2"/>
        <v/>
      </c>
      <c r="E41" s="86" t="str">
        <f t="shared" ca="1" si="3"/>
        <v/>
      </c>
      <c r="F41" s="89" t="str">
        <f t="shared" ca="1" si="4"/>
        <v/>
      </c>
      <c r="G41" s="89" t="str">
        <f t="shared" ca="1" si="5"/>
        <v/>
      </c>
      <c r="H41" s="89" t="str">
        <f t="shared" ca="1" si="6"/>
        <v/>
      </c>
      <c r="I41" s="2"/>
      <c r="J41" s="2"/>
      <c r="K41" s="1"/>
      <c r="L41" s="1"/>
      <c r="M41" s="1">
        <v>30</v>
      </c>
      <c r="N41" s="90" t="str">
        <f ca="1">IF(OR($U41=0,$W41="",$X41&lt;=0),"",IF($W41&gt;TODAY(),"",IF(AND(INDEX(UCRETLER!$E$7:$E$606,$U41)&lt;&gt;"",$W41&gt;INDEX(UCRETLER!$E$7:$E$606,$U41)),"",$W41)))</f>
        <v/>
      </c>
      <c r="O41" s="1" t="str">
        <f ca="1"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1" t="str">
        <f t="shared" ca="1" si="10"/>
        <v/>
      </c>
      <c r="Q41" s="1"/>
      <c r="R41" s="79">
        <f t="shared" ca="1" si="11"/>
        <v>0</v>
      </c>
      <c r="S41" s="1">
        <v>0</v>
      </c>
      <c r="T41" s="1">
        <f t="shared" ca="1" si="7"/>
        <v>10000000000</v>
      </c>
      <c r="U41" s="1">
        <f t="shared" si="12"/>
        <v>49</v>
      </c>
      <c r="V41" s="1">
        <v>29</v>
      </c>
      <c r="W41" s="90">
        <f>IF($U41=0,"",IF(INDEX(UCRETLER!$D$7:$D$606,$U41)="","",IF(INDEX(UCRETLER!$F$7:$F$606,$U41)="Aylık",EOMONTH(INDEX(UCRETLER!$D$7:$D$606,$U41),$V41-1),INDEX(UCRETLER!$U$7:$U$606,$U41)+7*($V41-1))))</f>
        <v>46904</v>
      </c>
      <c r="X41" s="79">
        <f>IF($U41=0,0,INDEX(UCRETLER!$G$7:$G$606,$U41))</f>
        <v>3000</v>
      </c>
      <c r="Y41" s="1">
        <f t="shared" ca="1" si="8"/>
        <v>10000000000</v>
      </c>
      <c r="Z41" s="1">
        <f t="shared" ca="1" si="9"/>
        <v>1</v>
      </c>
      <c r="AA41" s="1"/>
      <c r="AB41" s="1"/>
      <c r="AC41" s="1"/>
      <c r="AD41" s="1"/>
    </row>
    <row r="42" spans="1:30" ht="19.5" customHeight="1" x14ac:dyDescent="0.3">
      <c r="A42" s="2"/>
      <c r="B42" s="86" t="str">
        <f t="shared" ca="1" si="0"/>
        <v/>
      </c>
      <c r="C42" s="87" t="str">
        <f t="shared" ca="1" si="1"/>
        <v/>
      </c>
      <c r="D42" s="88" t="str">
        <f t="shared" ca="1" si="2"/>
        <v/>
      </c>
      <c r="E42" s="86" t="str">
        <f t="shared" ca="1" si="3"/>
        <v/>
      </c>
      <c r="F42" s="89" t="str">
        <f t="shared" ca="1" si="4"/>
        <v/>
      </c>
      <c r="G42" s="89" t="str">
        <f t="shared" ca="1" si="5"/>
        <v/>
      </c>
      <c r="H42" s="89" t="str">
        <f t="shared" ca="1" si="6"/>
        <v/>
      </c>
      <c r="I42" s="2"/>
      <c r="J42" s="2"/>
      <c r="K42" s="1"/>
      <c r="L42" s="1"/>
      <c r="M42" s="1">
        <v>31</v>
      </c>
      <c r="N42" s="90" t="str">
        <f ca="1">IF(OR($U42=0,$W42="",$X42&lt;=0),"",IF($W42&gt;TODAY(),"",IF(AND(INDEX(UCRETLER!$E$7:$E$606,$U42)&lt;&gt;"",$W42&gt;INDEX(UCRETLER!$E$7:$E$606,$U42)),"",$W42)))</f>
        <v/>
      </c>
      <c r="O42" s="1" t="str">
        <f ca="1"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1" t="str">
        <f t="shared" ca="1" si="10"/>
        <v/>
      </c>
      <c r="Q42" s="1"/>
      <c r="R42" s="79">
        <f t="shared" ca="1" si="11"/>
        <v>0</v>
      </c>
      <c r="S42" s="1">
        <v>0</v>
      </c>
      <c r="T42" s="1">
        <f t="shared" ca="1" si="7"/>
        <v>10000000000</v>
      </c>
      <c r="U42" s="1">
        <f t="shared" si="12"/>
        <v>49</v>
      </c>
      <c r="V42" s="1">
        <v>30</v>
      </c>
      <c r="W42" s="90">
        <f>IF($U42=0,"",IF(INDEX(UCRETLER!$D$7:$D$606,$U42)="","",IF(INDEX(UCRETLER!$F$7:$F$606,$U42)="Aylık",EOMONTH(INDEX(UCRETLER!$D$7:$D$606,$U42),$V42-1),INDEX(UCRETLER!$U$7:$U$606,$U42)+7*($V42-1))))</f>
        <v>46934</v>
      </c>
      <c r="X42" s="79">
        <f>IF($U42=0,0,INDEX(UCRETLER!$G$7:$G$606,$U42))</f>
        <v>3000</v>
      </c>
      <c r="Y42" s="1">
        <f t="shared" ca="1" si="8"/>
        <v>10000000000</v>
      </c>
      <c r="Z42" s="1">
        <f t="shared" ca="1" si="9"/>
        <v>1</v>
      </c>
      <c r="AA42" s="1"/>
      <c r="AB42" s="1"/>
      <c r="AC42" s="1"/>
      <c r="AD42" s="1"/>
    </row>
    <row r="43" spans="1:30" ht="19.5" customHeight="1" x14ac:dyDescent="0.3">
      <c r="A43" s="2"/>
      <c r="B43" s="86" t="str">
        <f t="shared" ca="1" si="0"/>
        <v/>
      </c>
      <c r="C43" s="87" t="str">
        <f t="shared" ca="1" si="1"/>
        <v/>
      </c>
      <c r="D43" s="88" t="str">
        <f t="shared" ca="1" si="2"/>
        <v/>
      </c>
      <c r="E43" s="86" t="str">
        <f t="shared" ca="1" si="3"/>
        <v/>
      </c>
      <c r="F43" s="89" t="str">
        <f t="shared" ca="1" si="4"/>
        <v/>
      </c>
      <c r="G43" s="89" t="str">
        <f t="shared" ca="1" si="5"/>
        <v/>
      </c>
      <c r="H43" s="89" t="str">
        <f t="shared" ca="1" si="6"/>
        <v/>
      </c>
      <c r="I43" s="2"/>
      <c r="J43" s="2"/>
      <c r="K43" s="1"/>
      <c r="L43" s="1"/>
      <c r="M43" s="1">
        <v>32</v>
      </c>
      <c r="N43" s="90" t="str">
        <f ca="1">IF(OR($U43=0,$W43="",$X43&lt;=0),"",IF($W43&gt;TODAY(),"",IF(AND(INDEX(UCRETLER!$E$7:$E$606,$U43)&lt;&gt;"",$W43&gt;INDEX(UCRETLER!$E$7:$E$606,$U43)),"",$W43)))</f>
        <v/>
      </c>
      <c r="O43" s="1" t="str">
        <f ca="1"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1" t="str">
        <f t="shared" ca="1" si="10"/>
        <v/>
      </c>
      <c r="Q43" s="1"/>
      <c r="R43" s="79">
        <f t="shared" ca="1" si="11"/>
        <v>0</v>
      </c>
      <c r="S43" s="1">
        <v>0</v>
      </c>
      <c r="T43" s="1">
        <f t="shared" ca="1" si="7"/>
        <v>10000000000</v>
      </c>
      <c r="U43" s="1">
        <f t="shared" si="12"/>
        <v>49</v>
      </c>
      <c r="V43" s="1">
        <v>31</v>
      </c>
      <c r="W43" s="90">
        <f>IF($U43=0,"",IF(INDEX(UCRETLER!$D$7:$D$606,$U43)="","",IF(INDEX(UCRETLER!$F$7:$F$606,$U43)="Aylık",EOMONTH(INDEX(UCRETLER!$D$7:$D$606,$U43),$V43-1),INDEX(UCRETLER!$U$7:$U$606,$U43)+7*($V43-1))))</f>
        <v>46965</v>
      </c>
      <c r="X43" s="79">
        <f>IF($U43=0,0,INDEX(UCRETLER!$G$7:$G$606,$U43))</f>
        <v>3000</v>
      </c>
      <c r="Y43" s="1">
        <f t="shared" ca="1" si="8"/>
        <v>10000000000</v>
      </c>
      <c r="Z43" s="1">
        <f t="shared" ca="1" si="9"/>
        <v>1</v>
      </c>
      <c r="AA43" s="1"/>
      <c r="AB43" s="1"/>
      <c r="AC43" s="1"/>
      <c r="AD43" s="1"/>
    </row>
    <row r="44" spans="1:30" ht="19.5" customHeight="1" x14ac:dyDescent="0.3">
      <c r="A44" s="2"/>
      <c r="B44" s="86" t="str">
        <f t="shared" ca="1" si="0"/>
        <v/>
      </c>
      <c r="C44" s="87" t="str">
        <f t="shared" ca="1" si="1"/>
        <v/>
      </c>
      <c r="D44" s="88" t="str">
        <f t="shared" ca="1" si="2"/>
        <v/>
      </c>
      <c r="E44" s="86" t="str">
        <f t="shared" ca="1" si="3"/>
        <v/>
      </c>
      <c r="F44" s="89" t="str">
        <f t="shared" ca="1" si="4"/>
        <v/>
      </c>
      <c r="G44" s="89" t="str">
        <f t="shared" ca="1" si="5"/>
        <v/>
      </c>
      <c r="H44" s="89" t="str">
        <f t="shared" ca="1" si="6"/>
        <v/>
      </c>
      <c r="I44" s="2"/>
      <c r="J44" s="2"/>
      <c r="K44" s="1"/>
      <c r="L44" s="1"/>
      <c r="M44" s="1">
        <v>33</v>
      </c>
      <c r="N44" s="90" t="str">
        <f ca="1">IF(OR($U44=0,$W44="",$X44&lt;=0),"",IF($W44&gt;TODAY(),"",IF(AND(INDEX(UCRETLER!$E$7:$E$606,$U44)&lt;&gt;"",$W44&gt;INDEX(UCRETLER!$E$7:$E$606,$U44)),"",$W44)))</f>
        <v/>
      </c>
      <c r="O44" s="1" t="str">
        <f ca="1"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1" t="str">
        <f t="shared" ca="1" si="10"/>
        <v/>
      </c>
      <c r="Q44" s="1"/>
      <c r="R44" s="79">
        <f t="shared" ca="1" si="11"/>
        <v>0</v>
      </c>
      <c r="S44" s="1">
        <v>0</v>
      </c>
      <c r="T44" s="1">
        <f t="shared" ca="1" si="7"/>
        <v>10000000000</v>
      </c>
      <c r="U44" s="1">
        <f t="shared" si="12"/>
        <v>49</v>
      </c>
      <c r="V44" s="1">
        <v>32</v>
      </c>
      <c r="W44" s="90">
        <f>IF($U44=0,"",IF(INDEX(UCRETLER!$D$7:$D$606,$U44)="","",IF(INDEX(UCRETLER!$F$7:$F$606,$U44)="Aylık",EOMONTH(INDEX(UCRETLER!$D$7:$D$606,$U44),$V44-1),INDEX(UCRETLER!$U$7:$U$606,$U44)+7*($V44-1))))</f>
        <v>46996</v>
      </c>
      <c r="X44" s="79">
        <f>IF($U44=0,0,INDEX(UCRETLER!$G$7:$G$606,$U44))</f>
        <v>3000</v>
      </c>
      <c r="Y44" s="1">
        <f t="shared" ca="1" si="8"/>
        <v>10000000000</v>
      </c>
      <c r="Z44" s="1">
        <f t="shared" ca="1" si="9"/>
        <v>1</v>
      </c>
      <c r="AA44" s="1"/>
      <c r="AB44" s="1"/>
      <c r="AC44" s="1"/>
      <c r="AD44" s="1"/>
    </row>
    <row r="45" spans="1:30" ht="19.5" customHeight="1" x14ac:dyDescent="0.3">
      <c r="A45" s="2"/>
      <c r="B45" s="86" t="str">
        <f t="shared" ca="1" si="0"/>
        <v/>
      </c>
      <c r="C45" s="87" t="str">
        <f t="shared" ca="1" si="1"/>
        <v/>
      </c>
      <c r="D45" s="88" t="str">
        <f t="shared" ca="1" si="2"/>
        <v/>
      </c>
      <c r="E45" s="86" t="str">
        <f t="shared" ca="1" si="3"/>
        <v/>
      </c>
      <c r="F45" s="89" t="str">
        <f t="shared" ca="1" si="4"/>
        <v/>
      </c>
      <c r="G45" s="89" t="str">
        <f t="shared" ca="1" si="5"/>
        <v/>
      </c>
      <c r="H45" s="89" t="str">
        <f t="shared" ca="1" si="6"/>
        <v/>
      </c>
      <c r="I45" s="2"/>
      <c r="J45" s="2"/>
      <c r="K45" s="1"/>
      <c r="L45" s="1"/>
      <c r="M45" s="1">
        <v>34</v>
      </c>
      <c r="N45" s="90" t="str">
        <f ca="1">IF(OR($U45=0,$W45="",$X45&lt;=0),"",IF($W45&gt;TODAY(),"",IF(AND(INDEX(UCRETLER!$E$7:$E$606,$U45)&lt;&gt;"",$W45&gt;INDEX(UCRETLER!$E$7:$E$606,$U45)),"",$W45)))</f>
        <v/>
      </c>
      <c r="O45" s="1" t="str">
        <f ca="1"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1" t="str">
        <f t="shared" ca="1" si="10"/>
        <v/>
      </c>
      <c r="Q45" s="1"/>
      <c r="R45" s="79">
        <f t="shared" ca="1" si="11"/>
        <v>0</v>
      </c>
      <c r="S45" s="1">
        <v>0</v>
      </c>
      <c r="T45" s="1">
        <f t="shared" ca="1" si="7"/>
        <v>10000000000</v>
      </c>
      <c r="U45" s="1">
        <f t="shared" ref="U45:U76" si="13">$AB$4</f>
        <v>49</v>
      </c>
      <c r="V45" s="1">
        <v>33</v>
      </c>
      <c r="W45" s="90">
        <f>IF($U45=0,"",IF(INDEX(UCRETLER!$D$7:$D$606,$U45)="","",IF(INDEX(UCRETLER!$F$7:$F$606,$U45)="Aylık",EOMONTH(INDEX(UCRETLER!$D$7:$D$606,$U45),$V45-1),INDEX(UCRETLER!$U$7:$U$606,$U45)+7*($V45-1))))</f>
        <v>47026</v>
      </c>
      <c r="X45" s="79">
        <f>IF($U45=0,0,INDEX(UCRETLER!$G$7:$G$606,$U45))</f>
        <v>3000</v>
      </c>
      <c r="Y45" s="1">
        <f t="shared" ca="1" si="8"/>
        <v>10000000000</v>
      </c>
      <c r="Z45" s="1">
        <f t="shared" ca="1" si="9"/>
        <v>1</v>
      </c>
      <c r="AA45" s="1"/>
      <c r="AB45" s="1"/>
      <c r="AC45" s="1"/>
      <c r="AD45" s="1"/>
    </row>
    <row r="46" spans="1:30" ht="19.5" customHeight="1" x14ac:dyDescent="0.3">
      <c r="A46" s="2"/>
      <c r="B46" s="86" t="str">
        <f t="shared" ca="1" si="0"/>
        <v/>
      </c>
      <c r="C46" s="87" t="str">
        <f t="shared" ca="1" si="1"/>
        <v/>
      </c>
      <c r="D46" s="88" t="str">
        <f t="shared" ca="1" si="2"/>
        <v/>
      </c>
      <c r="E46" s="86" t="str">
        <f t="shared" ca="1" si="3"/>
        <v/>
      </c>
      <c r="F46" s="89" t="str">
        <f t="shared" ca="1" si="4"/>
        <v/>
      </c>
      <c r="G46" s="89" t="str">
        <f t="shared" ca="1" si="5"/>
        <v/>
      </c>
      <c r="H46" s="89" t="str">
        <f t="shared" ca="1" si="6"/>
        <v/>
      </c>
      <c r="I46" s="2"/>
      <c r="J46" s="2"/>
      <c r="K46" s="1"/>
      <c r="L46" s="1"/>
      <c r="M46" s="1">
        <v>35</v>
      </c>
      <c r="N46" s="90" t="str">
        <f ca="1">IF(OR($U46=0,$W46="",$X46&lt;=0),"",IF($W46&gt;TODAY(),"",IF(AND(INDEX(UCRETLER!$E$7:$E$606,$U46)&lt;&gt;"",$W46&gt;INDEX(UCRETLER!$E$7:$E$606,$U46)),"",$W46)))</f>
        <v/>
      </c>
      <c r="O46" s="1" t="str">
        <f ca="1"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1" t="str">
        <f t="shared" ca="1" si="10"/>
        <v/>
      </c>
      <c r="Q46" s="1"/>
      <c r="R46" s="79">
        <f t="shared" ca="1" si="11"/>
        <v>0</v>
      </c>
      <c r="S46" s="1">
        <v>0</v>
      </c>
      <c r="T46" s="1">
        <f t="shared" ca="1" si="7"/>
        <v>10000000000</v>
      </c>
      <c r="U46" s="1">
        <f t="shared" si="13"/>
        <v>49</v>
      </c>
      <c r="V46" s="1">
        <v>34</v>
      </c>
      <c r="W46" s="90">
        <f>IF($U46=0,"",IF(INDEX(UCRETLER!$D$7:$D$606,$U46)="","",IF(INDEX(UCRETLER!$F$7:$F$606,$U46)="Aylık",EOMONTH(INDEX(UCRETLER!$D$7:$D$606,$U46),$V46-1),INDEX(UCRETLER!$U$7:$U$606,$U46)+7*($V46-1))))</f>
        <v>47057</v>
      </c>
      <c r="X46" s="79">
        <f>IF($U46=0,0,INDEX(UCRETLER!$G$7:$G$606,$U46))</f>
        <v>3000</v>
      </c>
      <c r="Y46" s="1">
        <f t="shared" ca="1" si="8"/>
        <v>10000000000</v>
      </c>
      <c r="Z46" s="1">
        <f t="shared" ca="1" si="9"/>
        <v>1</v>
      </c>
      <c r="AA46" s="1"/>
      <c r="AB46" s="1"/>
      <c r="AC46" s="1"/>
      <c r="AD46" s="1"/>
    </row>
    <row r="47" spans="1:30" ht="19.5" customHeight="1" x14ac:dyDescent="0.3">
      <c r="A47" s="2"/>
      <c r="B47" s="86" t="str">
        <f t="shared" ca="1" si="0"/>
        <v/>
      </c>
      <c r="C47" s="87" t="str">
        <f t="shared" ca="1" si="1"/>
        <v/>
      </c>
      <c r="D47" s="88" t="str">
        <f t="shared" ca="1" si="2"/>
        <v/>
      </c>
      <c r="E47" s="86" t="str">
        <f t="shared" ca="1" si="3"/>
        <v/>
      </c>
      <c r="F47" s="89" t="str">
        <f t="shared" ca="1" si="4"/>
        <v/>
      </c>
      <c r="G47" s="89" t="str">
        <f t="shared" ca="1" si="5"/>
        <v/>
      </c>
      <c r="H47" s="89" t="str">
        <f t="shared" ca="1" si="6"/>
        <v/>
      </c>
      <c r="I47" s="2"/>
      <c r="J47" s="2"/>
      <c r="K47" s="1"/>
      <c r="L47" s="1"/>
      <c r="M47" s="1">
        <v>36</v>
      </c>
      <c r="N47" s="1" t="str">
        <f ca="1">IF(OR($U47=0,$W47="",$X47&lt;=0),"",IF($W47&gt;TODAY(),"",IF(AND(INDEX(UCRETLER!$E$7:$E$606,$U47)&lt;&gt;"",$W47&gt;INDEX(UCRETLER!$E$7:$E$606,$U47)),"",$W47)))</f>
        <v/>
      </c>
      <c r="O47" s="1" t="str">
        <f ca="1"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" t="str">
        <f t="shared" ca="1" si="10"/>
        <v/>
      </c>
      <c r="Q47" s="1"/>
      <c r="R47" s="1">
        <f t="shared" ca="1" si="11"/>
        <v>0</v>
      </c>
      <c r="S47" s="1">
        <v>0</v>
      </c>
      <c r="T47" s="1">
        <f t="shared" ca="1" si="7"/>
        <v>10000000000</v>
      </c>
      <c r="U47" s="1">
        <f t="shared" si="13"/>
        <v>49</v>
      </c>
      <c r="V47" s="1">
        <v>35</v>
      </c>
      <c r="W47" s="90">
        <f>IF($U47=0,"",IF(INDEX(UCRETLER!$D$7:$D$606,$U47)="","",IF(INDEX(UCRETLER!$F$7:$F$606,$U47)="Aylık",EOMONTH(INDEX(UCRETLER!$D$7:$D$606,$U47),$V47-1),INDEX(UCRETLER!$U$7:$U$606,$U47)+7*($V47-1))))</f>
        <v>47087</v>
      </c>
      <c r="X47" s="79">
        <f>IF($U47=0,0,INDEX(UCRETLER!$G$7:$G$606,$U47))</f>
        <v>3000</v>
      </c>
      <c r="Y47" s="1">
        <f t="shared" ca="1" si="8"/>
        <v>10000000000</v>
      </c>
      <c r="Z47" s="1">
        <f t="shared" ca="1" si="9"/>
        <v>1</v>
      </c>
      <c r="AA47" s="1"/>
      <c r="AB47" s="1"/>
      <c r="AC47" s="1"/>
      <c r="AD47" s="1"/>
    </row>
    <row r="48" spans="1:30" ht="19.5" customHeight="1" x14ac:dyDescent="0.3">
      <c r="A48" s="2"/>
      <c r="B48" s="86" t="str">
        <f t="shared" ca="1" si="0"/>
        <v/>
      </c>
      <c r="C48" s="87" t="str">
        <f t="shared" ca="1" si="1"/>
        <v/>
      </c>
      <c r="D48" s="88" t="str">
        <f t="shared" ca="1" si="2"/>
        <v/>
      </c>
      <c r="E48" s="86" t="str">
        <f t="shared" ca="1" si="3"/>
        <v/>
      </c>
      <c r="F48" s="89" t="str">
        <f t="shared" ca="1" si="4"/>
        <v/>
      </c>
      <c r="G48" s="89" t="str">
        <f t="shared" ca="1" si="5"/>
        <v/>
      </c>
      <c r="H48" s="89" t="str">
        <f t="shared" ca="1" si="6"/>
        <v/>
      </c>
      <c r="I48" s="2"/>
      <c r="J48" s="2"/>
      <c r="K48" s="1"/>
      <c r="L48" s="1"/>
      <c r="M48" s="1">
        <v>37</v>
      </c>
      <c r="N48" s="1" t="str">
        <f ca="1">IF(OR($U48=0,$W48="",$X48&lt;=0),"",IF($W48&gt;TODAY(),"",IF(AND(INDEX(UCRETLER!$E$7:$E$606,$U48)&lt;&gt;"",$W48&gt;INDEX(UCRETLER!$E$7:$E$606,$U48)),"",$W48)))</f>
        <v/>
      </c>
      <c r="O48" s="1" t="str">
        <f ca="1"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" t="str">
        <f t="shared" ca="1" si="10"/>
        <v/>
      </c>
      <c r="Q48" s="1"/>
      <c r="R48" s="1">
        <f t="shared" ca="1" si="11"/>
        <v>0</v>
      </c>
      <c r="S48" s="1">
        <v>0</v>
      </c>
      <c r="T48" s="1">
        <f t="shared" ca="1" si="7"/>
        <v>10000000000</v>
      </c>
      <c r="U48" s="1">
        <f t="shared" si="13"/>
        <v>49</v>
      </c>
      <c r="V48" s="1">
        <v>36</v>
      </c>
      <c r="W48" s="90">
        <f>IF($U48=0,"",IF(INDEX(UCRETLER!$D$7:$D$606,$U48)="","",IF(INDEX(UCRETLER!$F$7:$F$606,$U48)="Aylık",EOMONTH(INDEX(UCRETLER!$D$7:$D$606,$U48),$V48-1),INDEX(UCRETLER!$U$7:$U$606,$U48)+7*($V48-1))))</f>
        <v>47118</v>
      </c>
      <c r="X48" s="79">
        <f>IF($U48=0,0,INDEX(UCRETLER!$G$7:$G$606,$U48))</f>
        <v>3000</v>
      </c>
      <c r="Y48" s="1">
        <f t="shared" ca="1" si="8"/>
        <v>10000000000</v>
      </c>
      <c r="Z48" s="1">
        <f t="shared" ca="1" si="9"/>
        <v>1</v>
      </c>
      <c r="AA48" s="1"/>
      <c r="AB48" s="1"/>
      <c r="AC48" s="1"/>
      <c r="AD48" s="1"/>
    </row>
    <row r="49" spans="1:30" ht="19.5" customHeight="1" x14ac:dyDescent="0.3">
      <c r="A49" s="2"/>
      <c r="B49" s="86" t="str">
        <f t="shared" ca="1" si="0"/>
        <v/>
      </c>
      <c r="C49" s="87" t="str">
        <f t="shared" ca="1" si="1"/>
        <v/>
      </c>
      <c r="D49" s="88" t="str">
        <f t="shared" ca="1" si="2"/>
        <v/>
      </c>
      <c r="E49" s="86" t="str">
        <f t="shared" ca="1" si="3"/>
        <v/>
      </c>
      <c r="F49" s="89" t="str">
        <f t="shared" ca="1" si="4"/>
        <v/>
      </c>
      <c r="G49" s="89" t="str">
        <f t="shared" ca="1" si="5"/>
        <v/>
      </c>
      <c r="H49" s="89" t="str">
        <f t="shared" ca="1" si="6"/>
        <v/>
      </c>
      <c r="I49" s="2"/>
      <c r="J49" s="2"/>
      <c r="K49" s="1"/>
      <c r="L49" s="1"/>
      <c r="M49" s="1">
        <v>38</v>
      </c>
      <c r="N49" s="1" t="str">
        <f ca="1">IF(OR($U49=0,$W49="",$X49&lt;=0),"",IF($W49&gt;TODAY(),"",IF(AND(INDEX(UCRETLER!$E$7:$E$606,$U49)&lt;&gt;"",$W49&gt;INDEX(UCRETLER!$E$7:$E$606,$U49)),"",$W49)))</f>
        <v/>
      </c>
      <c r="O49" s="1" t="str">
        <f ca="1"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" t="str">
        <f t="shared" ca="1" si="10"/>
        <v/>
      </c>
      <c r="Q49" s="1"/>
      <c r="R49" s="1">
        <f t="shared" ca="1" si="11"/>
        <v>0</v>
      </c>
      <c r="S49" s="1">
        <v>0</v>
      </c>
      <c r="T49" s="1">
        <f t="shared" ca="1" si="7"/>
        <v>10000000000</v>
      </c>
      <c r="U49" s="1">
        <f t="shared" si="13"/>
        <v>49</v>
      </c>
      <c r="V49" s="1">
        <v>37</v>
      </c>
      <c r="W49" s="90">
        <f>IF($U49=0,"",IF(INDEX(UCRETLER!$D$7:$D$606,$U49)="","",IF(INDEX(UCRETLER!$F$7:$F$606,$U49)="Aylık",EOMONTH(INDEX(UCRETLER!$D$7:$D$606,$U49),$V49-1),INDEX(UCRETLER!$U$7:$U$606,$U49)+7*($V49-1))))</f>
        <v>47149</v>
      </c>
      <c r="X49" s="79">
        <f>IF($U49=0,0,INDEX(UCRETLER!$G$7:$G$606,$U49))</f>
        <v>3000</v>
      </c>
      <c r="Y49" s="1">
        <f t="shared" ca="1" si="8"/>
        <v>10000000000</v>
      </c>
      <c r="Z49" s="1">
        <f t="shared" ca="1" si="9"/>
        <v>1</v>
      </c>
      <c r="AA49" s="1"/>
      <c r="AB49" s="1"/>
      <c r="AC49" s="1"/>
      <c r="AD49" s="1"/>
    </row>
    <row r="50" spans="1:30" ht="19.5" customHeight="1" x14ac:dyDescent="0.3">
      <c r="A50" s="2"/>
      <c r="B50" s="86" t="str">
        <f t="shared" ca="1" si="0"/>
        <v/>
      </c>
      <c r="C50" s="87" t="str">
        <f t="shared" ca="1" si="1"/>
        <v/>
      </c>
      <c r="D50" s="88" t="str">
        <f t="shared" ca="1" si="2"/>
        <v/>
      </c>
      <c r="E50" s="86" t="str">
        <f t="shared" ca="1" si="3"/>
        <v/>
      </c>
      <c r="F50" s="89" t="str">
        <f t="shared" ca="1" si="4"/>
        <v/>
      </c>
      <c r="G50" s="89" t="str">
        <f t="shared" ca="1" si="5"/>
        <v/>
      </c>
      <c r="H50" s="89" t="str">
        <f t="shared" ca="1" si="6"/>
        <v/>
      </c>
      <c r="I50" s="2"/>
      <c r="J50" s="2"/>
      <c r="K50" s="1"/>
      <c r="L50" s="1"/>
      <c r="M50" s="1">
        <v>39</v>
      </c>
      <c r="N50" s="1" t="str">
        <f ca="1">IF(OR($U50=0,$W50="",$X50&lt;=0),"",IF($W50&gt;TODAY(),"",IF(AND(INDEX(UCRETLER!$E$7:$E$606,$U50)&lt;&gt;"",$W50&gt;INDEX(UCRETLER!$E$7:$E$606,$U50)),"",$W50)))</f>
        <v/>
      </c>
      <c r="O50" s="1" t="str">
        <f ca="1"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" t="str">
        <f t="shared" ca="1" si="10"/>
        <v/>
      </c>
      <c r="Q50" s="1"/>
      <c r="R50" s="1">
        <f t="shared" ca="1" si="11"/>
        <v>0</v>
      </c>
      <c r="S50" s="1">
        <v>0</v>
      </c>
      <c r="T50" s="1">
        <f t="shared" ca="1" si="7"/>
        <v>10000000000</v>
      </c>
      <c r="U50" s="1">
        <f t="shared" si="13"/>
        <v>49</v>
      </c>
      <c r="V50" s="1">
        <v>38</v>
      </c>
      <c r="W50" s="90">
        <f>IF($U50=0,"",IF(INDEX(UCRETLER!$D$7:$D$606,$U50)="","",IF(INDEX(UCRETLER!$F$7:$F$606,$U50)="Aylık",EOMONTH(INDEX(UCRETLER!$D$7:$D$606,$U50),$V50-1),INDEX(UCRETLER!$U$7:$U$606,$U50)+7*($V50-1))))</f>
        <v>47177</v>
      </c>
      <c r="X50" s="79">
        <f>IF($U50=0,0,INDEX(UCRETLER!$G$7:$G$606,$U50))</f>
        <v>3000</v>
      </c>
      <c r="Y50" s="1">
        <f t="shared" ca="1" si="8"/>
        <v>10000000000</v>
      </c>
      <c r="Z50" s="1">
        <f t="shared" ca="1" si="9"/>
        <v>1</v>
      </c>
      <c r="AA50" s="1"/>
      <c r="AB50" s="1"/>
      <c r="AC50" s="1"/>
      <c r="AD50" s="1"/>
    </row>
    <row r="51" spans="1:30" ht="19.5" customHeight="1" x14ac:dyDescent="0.3">
      <c r="A51" s="2"/>
      <c r="B51" s="86" t="str">
        <f t="shared" ca="1" si="0"/>
        <v/>
      </c>
      <c r="C51" s="87" t="str">
        <f t="shared" ca="1" si="1"/>
        <v/>
      </c>
      <c r="D51" s="88" t="str">
        <f t="shared" ca="1" si="2"/>
        <v/>
      </c>
      <c r="E51" s="86" t="str">
        <f t="shared" ca="1" si="3"/>
        <v/>
      </c>
      <c r="F51" s="89" t="str">
        <f t="shared" ca="1" si="4"/>
        <v/>
      </c>
      <c r="G51" s="89" t="str">
        <f t="shared" ca="1" si="5"/>
        <v/>
      </c>
      <c r="H51" s="89" t="str">
        <f t="shared" ca="1" si="6"/>
        <v/>
      </c>
      <c r="I51" s="2"/>
      <c r="J51" s="2"/>
      <c r="K51" s="1"/>
      <c r="L51" s="1"/>
      <c r="M51" s="1">
        <v>40</v>
      </c>
      <c r="N51" s="1" t="str">
        <f ca="1">IF(OR($U51=0,$W51="",$X51&lt;=0),"",IF($W51&gt;TODAY(),"",IF(AND(INDEX(UCRETLER!$E$7:$E$606,$U51)&lt;&gt;"",$W51&gt;INDEX(UCRETLER!$E$7:$E$606,$U51)),"",$W51)))</f>
        <v/>
      </c>
      <c r="O51" s="1" t="str">
        <f ca="1"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" t="str">
        <f t="shared" ca="1" si="10"/>
        <v/>
      </c>
      <c r="Q51" s="1"/>
      <c r="R51" s="1">
        <f t="shared" ca="1" si="11"/>
        <v>0</v>
      </c>
      <c r="S51" s="1">
        <v>0</v>
      </c>
      <c r="T51" s="1">
        <f t="shared" ca="1" si="7"/>
        <v>10000000000</v>
      </c>
      <c r="U51" s="1">
        <f t="shared" si="13"/>
        <v>49</v>
      </c>
      <c r="V51" s="1">
        <v>39</v>
      </c>
      <c r="W51" s="90">
        <f>IF($U51=0,"",IF(INDEX(UCRETLER!$D$7:$D$606,$U51)="","",IF(INDEX(UCRETLER!$F$7:$F$606,$U51)="Aylık",EOMONTH(INDEX(UCRETLER!$D$7:$D$606,$U51),$V51-1),INDEX(UCRETLER!$U$7:$U$606,$U51)+7*($V51-1))))</f>
        <v>47208</v>
      </c>
      <c r="X51" s="79">
        <f>IF($U51=0,0,INDEX(UCRETLER!$G$7:$G$606,$U51))</f>
        <v>3000</v>
      </c>
      <c r="Y51" s="1">
        <f t="shared" ca="1" si="8"/>
        <v>10000000000</v>
      </c>
      <c r="Z51" s="1">
        <f t="shared" ca="1" si="9"/>
        <v>1</v>
      </c>
      <c r="AA51" s="1"/>
      <c r="AB51" s="1"/>
      <c r="AC51" s="1"/>
      <c r="AD51" s="1"/>
    </row>
    <row r="52" spans="1:30" ht="19.5" customHeight="1" x14ac:dyDescent="0.3">
      <c r="A52" s="2"/>
      <c r="B52" s="86" t="str">
        <f t="shared" ca="1" si="0"/>
        <v/>
      </c>
      <c r="C52" s="87" t="str">
        <f t="shared" ca="1" si="1"/>
        <v/>
      </c>
      <c r="D52" s="88" t="str">
        <f t="shared" ca="1" si="2"/>
        <v/>
      </c>
      <c r="E52" s="86" t="str">
        <f t="shared" ca="1" si="3"/>
        <v/>
      </c>
      <c r="F52" s="89" t="str">
        <f t="shared" ca="1" si="4"/>
        <v/>
      </c>
      <c r="G52" s="89" t="str">
        <f t="shared" ca="1" si="5"/>
        <v/>
      </c>
      <c r="H52" s="89" t="str">
        <f t="shared" ca="1" si="6"/>
        <v/>
      </c>
      <c r="I52" s="2"/>
      <c r="J52" s="2"/>
      <c r="K52" s="1"/>
      <c r="L52" s="1"/>
      <c r="M52" s="1">
        <v>41</v>
      </c>
      <c r="N52" s="1" t="str">
        <f ca="1">IF(OR($U52=0,$W52="",$X52&lt;=0),"",IF($W52&gt;TODAY(),"",IF(AND(INDEX(UCRETLER!$E$7:$E$606,$U52)&lt;&gt;"",$W52&gt;INDEX(UCRETLER!$E$7:$E$606,$U52)),"",$W52)))</f>
        <v/>
      </c>
      <c r="O52" s="1" t="str">
        <f ca="1"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" t="str">
        <f t="shared" ca="1" si="10"/>
        <v/>
      </c>
      <c r="Q52" s="1"/>
      <c r="R52" s="1">
        <f t="shared" ca="1" si="11"/>
        <v>0</v>
      </c>
      <c r="S52" s="1">
        <v>0</v>
      </c>
      <c r="T52" s="1">
        <f t="shared" ca="1" si="7"/>
        <v>10000000000</v>
      </c>
      <c r="U52" s="1">
        <f t="shared" si="13"/>
        <v>49</v>
      </c>
      <c r="V52" s="1">
        <v>40</v>
      </c>
      <c r="W52" s="90">
        <f>IF($U52=0,"",IF(INDEX(UCRETLER!$D$7:$D$606,$U52)="","",IF(INDEX(UCRETLER!$F$7:$F$606,$U52)="Aylık",EOMONTH(INDEX(UCRETLER!$D$7:$D$606,$U52),$V52-1),INDEX(UCRETLER!$U$7:$U$606,$U52)+7*($V52-1))))</f>
        <v>47238</v>
      </c>
      <c r="X52" s="79">
        <f>IF($U52=0,0,INDEX(UCRETLER!$G$7:$G$606,$U52))</f>
        <v>3000</v>
      </c>
      <c r="Y52" s="1">
        <f t="shared" ca="1" si="8"/>
        <v>10000000000</v>
      </c>
      <c r="Z52" s="1">
        <f t="shared" ca="1" si="9"/>
        <v>1</v>
      </c>
      <c r="AA52" s="1"/>
      <c r="AB52" s="1"/>
      <c r="AC52" s="1"/>
      <c r="AD52" s="1"/>
    </row>
    <row r="53" spans="1:30" ht="19.5" customHeight="1" x14ac:dyDescent="0.3">
      <c r="A53" s="2"/>
      <c r="B53" s="86" t="str">
        <f t="shared" ca="1" si="0"/>
        <v/>
      </c>
      <c r="C53" s="87" t="str">
        <f t="shared" ca="1" si="1"/>
        <v/>
      </c>
      <c r="D53" s="88" t="str">
        <f t="shared" ca="1" si="2"/>
        <v/>
      </c>
      <c r="E53" s="86" t="str">
        <f t="shared" ca="1" si="3"/>
        <v/>
      </c>
      <c r="F53" s="89" t="str">
        <f t="shared" ca="1" si="4"/>
        <v/>
      </c>
      <c r="G53" s="89" t="str">
        <f t="shared" ca="1" si="5"/>
        <v/>
      </c>
      <c r="H53" s="89" t="str">
        <f t="shared" ca="1" si="6"/>
        <v/>
      </c>
      <c r="I53" s="2"/>
      <c r="J53" s="2"/>
      <c r="K53" s="1"/>
      <c r="L53" s="1"/>
      <c r="M53" s="1">
        <v>42</v>
      </c>
      <c r="N53" s="1" t="str">
        <f ca="1">IF(OR($U53=0,$W53="",$X53&lt;=0),"",IF($W53&gt;TODAY(),"",IF(AND(INDEX(UCRETLER!$E$7:$E$606,$U53)&lt;&gt;"",$W53&gt;INDEX(UCRETLER!$E$7:$E$606,$U53)),"",$W53)))</f>
        <v/>
      </c>
      <c r="O53" s="1" t="str">
        <f ca="1"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" t="str">
        <f t="shared" ca="1" si="10"/>
        <v/>
      </c>
      <c r="Q53" s="1"/>
      <c r="R53" s="1">
        <f t="shared" ca="1" si="11"/>
        <v>0</v>
      </c>
      <c r="S53" s="1">
        <v>0</v>
      </c>
      <c r="T53" s="1">
        <f t="shared" ca="1" si="7"/>
        <v>10000000000</v>
      </c>
      <c r="U53" s="1">
        <f t="shared" si="13"/>
        <v>49</v>
      </c>
      <c r="V53" s="1">
        <v>41</v>
      </c>
      <c r="W53" s="90">
        <f>IF($U53=0,"",IF(INDEX(UCRETLER!$D$7:$D$606,$U53)="","",IF(INDEX(UCRETLER!$F$7:$F$606,$U53)="Aylık",EOMONTH(INDEX(UCRETLER!$D$7:$D$606,$U53),$V53-1),INDEX(UCRETLER!$U$7:$U$606,$U53)+7*($V53-1))))</f>
        <v>47269</v>
      </c>
      <c r="X53" s="79">
        <f>IF($U53=0,0,INDEX(UCRETLER!$G$7:$G$606,$U53))</f>
        <v>3000</v>
      </c>
      <c r="Y53" s="1">
        <f t="shared" ca="1" si="8"/>
        <v>10000000000</v>
      </c>
      <c r="Z53" s="1">
        <f t="shared" ca="1" si="9"/>
        <v>1</v>
      </c>
      <c r="AA53" s="1"/>
      <c r="AB53" s="1"/>
      <c r="AC53" s="1"/>
      <c r="AD53" s="1"/>
    </row>
    <row r="54" spans="1:30" ht="19.5" customHeight="1" x14ac:dyDescent="0.3">
      <c r="A54" s="2"/>
      <c r="B54" s="86" t="str">
        <f t="shared" ca="1" si="0"/>
        <v/>
      </c>
      <c r="C54" s="87" t="str">
        <f t="shared" ca="1" si="1"/>
        <v/>
      </c>
      <c r="D54" s="88" t="str">
        <f t="shared" ca="1" si="2"/>
        <v/>
      </c>
      <c r="E54" s="86" t="str">
        <f t="shared" ca="1" si="3"/>
        <v/>
      </c>
      <c r="F54" s="89" t="str">
        <f t="shared" ca="1" si="4"/>
        <v/>
      </c>
      <c r="G54" s="89" t="str">
        <f t="shared" ca="1" si="5"/>
        <v/>
      </c>
      <c r="H54" s="89" t="str">
        <f t="shared" ca="1" si="6"/>
        <v/>
      </c>
      <c r="I54" s="2"/>
      <c r="J54" s="2"/>
      <c r="K54" s="1"/>
      <c r="L54" s="1"/>
      <c r="M54" s="1">
        <v>43</v>
      </c>
      <c r="N54" s="1" t="str">
        <f ca="1">IF(OR($U54=0,$W54="",$X54&lt;=0),"",IF($W54&gt;TODAY(),"",IF(AND(INDEX(UCRETLER!$E$7:$E$606,$U54)&lt;&gt;"",$W54&gt;INDEX(UCRETLER!$E$7:$E$606,$U54)),"",$W54)))</f>
        <v/>
      </c>
      <c r="O54" s="1" t="str">
        <f ca="1"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" t="str">
        <f t="shared" ca="1" si="10"/>
        <v/>
      </c>
      <c r="Q54" s="1"/>
      <c r="R54" s="1">
        <f t="shared" ca="1" si="11"/>
        <v>0</v>
      </c>
      <c r="S54" s="1">
        <v>0</v>
      </c>
      <c r="T54" s="1">
        <f t="shared" ca="1" si="7"/>
        <v>10000000000</v>
      </c>
      <c r="U54" s="1">
        <f t="shared" si="13"/>
        <v>49</v>
      </c>
      <c r="V54" s="1">
        <v>42</v>
      </c>
      <c r="W54" s="90">
        <f>IF($U54=0,"",IF(INDEX(UCRETLER!$D$7:$D$606,$U54)="","",IF(INDEX(UCRETLER!$F$7:$F$606,$U54)="Aylık",EOMONTH(INDEX(UCRETLER!$D$7:$D$606,$U54),$V54-1),INDEX(UCRETLER!$U$7:$U$606,$U54)+7*($V54-1))))</f>
        <v>47299</v>
      </c>
      <c r="X54" s="79">
        <f>IF($U54=0,0,INDEX(UCRETLER!$G$7:$G$606,$U54))</f>
        <v>3000</v>
      </c>
      <c r="Y54" s="1">
        <f t="shared" ca="1" si="8"/>
        <v>10000000000</v>
      </c>
      <c r="Z54" s="1">
        <f t="shared" ca="1" si="9"/>
        <v>1</v>
      </c>
      <c r="AA54" s="1"/>
      <c r="AB54" s="1"/>
      <c r="AC54" s="1"/>
      <c r="AD54" s="1"/>
    </row>
    <row r="55" spans="1:30" ht="19.5" customHeight="1" x14ac:dyDescent="0.3">
      <c r="A55" s="2"/>
      <c r="B55" s="86" t="str">
        <f t="shared" ca="1" si="0"/>
        <v/>
      </c>
      <c r="C55" s="87" t="str">
        <f t="shared" ca="1" si="1"/>
        <v/>
      </c>
      <c r="D55" s="88" t="str">
        <f t="shared" ca="1" si="2"/>
        <v/>
      </c>
      <c r="E55" s="86" t="str">
        <f t="shared" ca="1" si="3"/>
        <v/>
      </c>
      <c r="F55" s="89" t="str">
        <f t="shared" ca="1" si="4"/>
        <v/>
      </c>
      <c r="G55" s="89" t="str">
        <f t="shared" ca="1" si="5"/>
        <v/>
      </c>
      <c r="H55" s="89" t="str">
        <f t="shared" ca="1" si="6"/>
        <v/>
      </c>
      <c r="I55" s="2"/>
      <c r="J55" s="2"/>
      <c r="K55" s="1"/>
      <c r="L55" s="1"/>
      <c r="M55" s="1">
        <v>44</v>
      </c>
      <c r="N55" s="1" t="str">
        <f ca="1">IF(OR($U55=0,$W55="",$X55&lt;=0),"",IF($W55&gt;TODAY(),"",IF(AND(INDEX(UCRETLER!$E$7:$E$606,$U55)&lt;&gt;"",$W55&gt;INDEX(UCRETLER!$E$7:$E$606,$U55)),"",$W55)))</f>
        <v/>
      </c>
      <c r="O55" s="1" t="str">
        <f ca="1"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" t="str">
        <f t="shared" ca="1" si="10"/>
        <v/>
      </c>
      <c r="Q55" s="1"/>
      <c r="R55" s="1">
        <f t="shared" ca="1" si="11"/>
        <v>0</v>
      </c>
      <c r="S55" s="1">
        <v>0</v>
      </c>
      <c r="T55" s="1">
        <f t="shared" ca="1" si="7"/>
        <v>10000000000</v>
      </c>
      <c r="U55" s="1">
        <f t="shared" si="13"/>
        <v>49</v>
      </c>
      <c r="V55" s="1">
        <v>43</v>
      </c>
      <c r="W55" s="90">
        <f>IF($U55=0,"",IF(INDEX(UCRETLER!$D$7:$D$606,$U55)="","",IF(INDEX(UCRETLER!$F$7:$F$606,$U55)="Aylık",EOMONTH(INDEX(UCRETLER!$D$7:$D$606,$U55),$V55-1),INDEX(UCRETLER!$U$7:$U$606,$U55)+7*($V55-1))))</f>
        <v>47330</v>
      </c>
      <c r="X55" s="79">
        <f>IF($U55=0,0,INDEX(UCRETLER!$G$7:$G$606,$U55))</f>
        <v>3000</v>
      </c>
      <c r="Y55" s="1">
        <f t="shared" ca="1" si="8"/>
        <v>10000000000</v>
      </c>
      <c r="Z55" s="1">
        <f t="shared" ca="1" si="9"/>
        <v>1</v>
      </c>
      <c r="AA55" s="1"/>
      <c r="AB55" s="1"/>
      <c r="AC55" s="1"/>
      <c r="AD55" s="1"/>
    </row>
    <row r="56" spans="1:30" ht="19.5" customHeight="1" x14ac:dyDescent="0.3">
      <c r="A56" s="2"/>
      <c r="B56" s="86" t="str">
        <f t="shared" ca="1" si="0"/>
        <v/>
      </c>
      <c r="C56" s="87" t="str">
        <f t="shared" ca="1" si="1"/>
        <v/>
      </c>
      <c r="D56" s="88" t="str">
        <f t="shared" ca="1" si="2"/>
        <v/>
      </c>
      <c r="E56" s="86" t="str">
        <f t="shared" ca="1" si="3"/>
        <v/>
      </c>
      <c r="F56" s="89" t="str">
        <f t="shared" ca="1" si="4"/>
        <v/>
      </c>
      <c r="G56" s="89" t="str">
        <f t="shared" ca="1" si="5"/>
        <v/>
      </c>
      <c r="H56" s="89" t="str">
        <f t="shared" ca="1" si="6"/>
        <v/>
      </c>
      <c r="I56" s="2"/>
      <c r="J56" s="2"/>
      <c r="K56" s="1"/>
      <c r="L56" s="1"/>
      <c r="M56" s="1">
        <v>45</v>
      </c>
      <c r="N56" s="1" t="str">
        <f ca="1">IF(OR($U56=0,$W56="",$X56&lt;=0),"",IF($W56&gt;TODAY(),"",IF(AND(INDEX(UCRETLER!$E$7:$E$606,$U56)&lt;&gt;"",$W56&gt;INDEX(UCRETLER!$E$7:$E$606,$U56)),"",$W56)))</f>
        <v/>
      </c>
      <c r="O56" s="1" t="str">
        <f ca="1"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" t="str">
        <f t="shared" ca="1" si="10"/>
        <v/>
      </c>
      <c r="Q56" s="1"/>
      <c r="R56" s="1">
        <f t="shared" ca="1" si="11"/>
        <v>0</v>
      </c>
      <c r="S56" s="1">
        <v>0</v>
      </c>
      <c r="T56" s="1">
        <f t="shared" ca="1" si="7"/>
        <v>10000000000</v>
      </c>
      <c r="U56" s="1">
        <f t="shared" si="13"/>
        <v>49</v>
      </c>
      <c r="V56" s="1">
        <v>44</v>
      </c>
      <c r="W56" s="90">
        <f>IF($U56=0,"",IF(INDEX(UCRETLER!$D$7:$D$606,$U56)="","",IF(INDEX(UCRETLER!$F$7:$F$606,$U56)="Aylık",EOMONTH(INDEX(UCRETLER!$D$7:$D$606,$U56),$V56-1),INDEX(UCRETLER!$U$7:$U$606,$U56)+7*($V56-1))))</f>
        <v>47361</v>
      </c>
      <c r="X56" s="79">
        <f>IF($U56=0,0,INDEX(UCRETLER!$G$7:$G$606,$U56))</f>
        <v>3000</v>
      </c>
      <c r="Y56" s="1">
        <f t="shared" ca="1" si="8"/>
        <v>10000000000</v>
      </c>
      <c r="Z56" s="1">
        <f t="shared" ca="1" si="9"/>
        <v>1</v>
      </c>
      <c r="AA56" s="1"/>
      <c r="AB56" s="1"/>
      <c r="AC56" s="1"/>
      <c r="AD56" s="1"/>
    </row>
    <row r="57" spans="1:30" ht="19.5" customHeight="1" x14ac:dyDescent="0.3">
      <c r="A57" s="2"/>
      <c r="B57" s="86" t="str">
        <f t="shared" ca="1" si="0"/>
        <v/>
      </c>
      <c r="C57" s="87" t="str">
        <f t="shared" ca="1" si="1"/>
        <v/>
      </c>
      <c r="D57" s="88" t="str">
        <f t="shared" ca="1" si="2"/>
        <v/>
      </c>
      <c r="E57" s="86" t="str">
        <f t="shared" ca="1" si="3"/>
        <v/>
      </c>
      <c r="F57" s="89" t="str">
        <f t="shared" ca="1" si="4"/>
        <v/>
      </c>
      <c r="G57" s="89" t="str">
        <f t="shared" ca="1" si="5"/>
        <v/>
      </c>
      <c r="H57" s="89" t="str">
        <f t="shared" ca="1" si="6"/>
        <v/>
      </c>
      <c r="I57" s="2"/>
      <c r="J57" s="2"/>
      <c r="K57" s="1"/>
      <c r="L57" s="1"/>
      <c r="M57" s="1">
        <v>46</v>
      </c>
      <c r="N57" s="1" t="str">
        <f ca="1">IF(OR($U57=0,$W57="",$X57&lt;=0),"",IF($W57&gt;TODAY(),"",IF(AND(INDEX(UCRETLER!$E$7:$E$606,$U57)&lt;&gt;"",$W57&gt;INDEX(UCRETLER!$E$7:$E$606,$U57)),"",$W57)))</f>
        <v/>
      </c>
      <c r="O57" s="1" t="str">
        <f ca="1"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" t="str">
        <f t="shared" ca="1" si="10"/>
        <v/>
      </c>
      <c r="Q57" s="1"/>
      <c r="R57" s="1">
        <f t="shared" ca="1" si="11"/>
        <v>0</v>
      </c>
      <c r="S57" s="1">
        <v>0</v>
      </c>
      <c r="T57" s="1">
        <f t="shared" ca="1" si="7"/>
        <v>10000000000</v>
      </c>
      <c r="U57" s="1">
        <f t="shared" si="13"/>
        <v>49</v>
      </c>
      <c r="V57" s="1">
        <v>45</v>
      </c>
      <c r="W57" s="90">
        <f>IF($U57=0,"",IF(INDEX(UCRETLER!$D$7:$D$606,$U57)="","",IF(INDEX(UCRETLER!$F$7:$F$606,$U57)="Aylık",EOMONTH(INDEX(UCRETLER!$D$7:$D$606,$U57),$V57-1),INDEX(UCRETLER!$U$7:$U$606,$U57)+7*($V57-1))))</f>
        <v>47391</v>
      </c>
      <c r="X57" s="79">
        <f>IF($U57=0,0,INDEX(UCRETLER!$G$7:$G$606,$U57))</f>
        <v>3000</v>
      </c>
      <c r="Y57" s="1">
        <f t="shared" ca="1" si="8"/>
        <v>10000000000</v>
      </c>
      <c r="Z57" s="1">
        <f t="shared" ca="1" si="9"/>
        <v>1</v>
      </c>
      <c r="AA57" s="1"/>
      <c r="AB57" s="1"/>
      <c r="AC57" s="1"/>
      <c r="AD57" s="1"/>
    </row>
    <row r="58" spans="1:30" ht="19.5" customHeight="1" x14ac:dyDescent="0.3">
      <c r="A58" s="2"/>
      <c r="B58" s="86" t="str">
        <f t="shared" ca="1" si="0"/>
        <v/>
      </c>
      <c r="C58" s="87" t="str">
        <f t="shared" ca="1" si="1"/>
        <v/>
      </c>
      <c r="D58" s="88" t="str">
        <f t="shared" ca="1" si="2"/>
        <v/>
      </c>
      <c r="E58" s="86" t="str">
        <f t="shared" ca="1" si="3"/>
        <v/>
      </c>
      <c r="F58" s="89" t="str">
        <f t="shared" ca="1" si="4"/>
        <v/>
      </c>
      <c r="G58" s="89" t="str">
        <f t="shared" ca="1" si="5"/>
        <v/>
      </c>
      <c r="H58" s="89" t="str">
        <f t="shared" ca="1" si="6"/>
        <v/>
      </c>
      <c r="I58" s="2"/>
      <c r="J58" s="2"/>
      <c r="K58" s="1"/>
      <c r="L58" s="1"/>
      <c r="M58" s="1">
        <v>47</v>
      </c>
      <c r="N58" s="1" t="str">
        <f ca="1">IF(OR($U58=0,$W58="",$X58&lt;=0),"",IF($W58&gt;TODAY(),"",IF(AND(INDEX(UCRETLER!$E$7:$E$606,$U58)&lt;&gt;"",$W58&gt;INDEX(UCRETLER!$E$7:$E$606,$U58)),"",$W58)))</f>
        <v/>
      </c>
      <c r="O58" s="1" t="str">
        <f ca="1"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" t="str">
        <f t="shared" ca="1" si="10"/>
        <v/>
      </c>
      <c r="Q58" s="1"/>
      <c r="R58" s="1">
        <f t="shared" ca="1" si="11"/>
        <v>0</v>
      </c>
      <c r="S58" s="1">
        <v>0</v>
      </c>
      <c r="T58" s="1">
        <f t="shared" ca="1" si="7"/>
        <v>10000000000</v>
      </c>
      <c r="U58" s="1">
        <f t="shared" si="13"/>
        <v>49</v>
      </c>
      <c r="V58" s="1">
        <v>46</v>
      </c>
      <c r="W58" s="90">
        <f>IF($U58=0,"",IF(INDEX(UCRETLER!$D$7:$D$606,$U58)="","",IF(INDEX(UCRETLER!$F$7:$F$606,$U58)="Aylık",EOMONTH(INDEX(UCRETLER!$D$7:$D$606,$U58),$V58-1),INDEX(UCRETLER!$U$7:$U$606,$U58)+7*($V58-1))))</f>
        <v>47422</v>
      </c>
      <c r="X58" s="79">
        <f>IF($U58=0,0,INDEX(UCRETLER!$G$7:$G$606,$U58))</f>
        <v>3000</v>
      </c>
      <c r="Y58" s="1">
        <f t="shared" ca="1" si="8"/>
        <v>10000000000</v>
      </c>
      <c r="Z58" s="1">
        <f t="shared" ca="1" si="9"/>
        <v>1</v>
      </c>
      <c r="AA58" s="1"/>
      <c r="AB58" s="1"/>
      <c r="AC58" s="1"/>
      <c r="AD58" s="1"/>
    </row>
    <row r="59" spans="1:30" ht="19.5" customHeight="1" x14ac:dyDescent="0.3">
      <c r="A59" s="2"/>
      <c r="B59" s="86" t="str">
        <f t="shared" ca="1" si="0"/>
        <v/>
      </c>
      <c r="C59" s="87" t="str">
        <f t="shared" ca="1" si="1"/>
        <v/>
      </c>
      <c r="D59" s="88" t="str">
        <f t="shared" ca="1" si="2"/>
        <v/>
      </c>
      <c r="E59" s="86" t="str">
        <f t="shared" ca="1" si="3"/>
        <v/>
      </c>
      <c r="F59" s="89" t="str">
        <f t="shared" ca="1" si="4"/>
        <v/>
      </c>
      <c r="G59" s="89" t="str">
        <f t="shared" ca="1" si="5"/>
        <v/>
      </c>
      <c r="H59" s="89" t="str">
        <f t="shared" ca="1" si="6"/>
        <v/>
      </c>
      <c r="I59" s="2"/>
      <c r="J59" s="2"/>
      <c r="K59" s="1"/>
      <c r="L59" s="1"/>
      <c r="M59" s="1">
        <v>48</v>
      </c>
      <c r="N59" s="1" t="str">
        <f ca="1">IF(OR($U59=0,$W59="",$X59&lt;=0),"",IF($W59&gt;TODAY(),"",IF(AND(INDEX(UCRETLER!$E$7:$E$606,$U59)&lt;&gt;"",$W59&gt;INDEX(UCRETLER!$E$7:$E$606,$U59)),"",$W59)))</f>
        <v/>
      </c>
      <c r="O59" s="1" t="str">
        <f ca="1"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" t="str">
        <f t="shared" ca="1" si="10"/>
        <v/>
      </c>
      <c r="Q59" s="1"/>
      <c r="R59" s="1">
        <f t="shared" ca="1" si="11"/>
        <v>0</v>
      </c>
      <c r="S59" s="1">
        <v>0</v>
      </c>
      <c r="T59" s="1">
        <f t="shared" ca="1" si="7"/>
        <v>10000000000</v>
      </c>
      <c r="U59" s="1">
        <f t="shared" si="13"/>
        <v>49</v>
      </c>
      <c r="V59" s="1">
        <v>47</v>
      </c>
      <c r="W59" s="90">
        <f>IF($U59=0,"",IF(INDEX(UCRETLER!$D$7:$D$606,$U59)="","",IF(INDEX(UCRETLER!$F$7:$F$606,$U59)="Aylık",EOMONTH(INDEX(UCRETLER!$D$7:$D$606,$U59),$V59-1),INDEX(UCRETLER!$U$7:$U$606,$U59)+7*($V59-1))))</f>
        <v>47452</v>
      </c>
      <c r="X59" s="79">
        <f>IF($U59=0,0,INDEX(UCRETLER!$G$7:$G$606,$U59))</f>
        <v>3000</v>
      </c>
      <c r="Y59" s="1">
        <f t="shared" ca="1" si="8"/>
        <v>10000000000</v>
      </c>
      <c r="Z59" s="1">
        <f t="shared" ca="1" si="9"/>
        <v>1</v>
      </c>
      <c r="AA59" s="1"/>
      <c r="AB59" s="1"/>
      <c r="AC59" s="1"/>
      <c r="AD59" s="1"/>
    </row>
    <row r="60" spans="1:30" ht="19.5" customHeight="1" x14ac:dyDescent="0.3">
      <c r="A60" s="2"/>
      <c r="B60" s="86" t="str">
        <f t="shared" ca="1" si="0"/>
        <v/>
      </c>
      <c r="C60" s="87" t="str">
        <f t="shared" ca="1" si="1"/>
        <v/>
      </c>
      <c r="D60" s="88" t="str">
        <f t="shared" ca="1" si="2"/>
        <v/>
      </c>
      <c r="E60" s="86" t="str">
        <f t="shared" ca="1" si="3"/>
        <v/>
      </c>
      <c r="F60" s="89" t="str">
        <f t="shared" ca="1" si="4"/>
        <v/>
      </c>
      <c r="G60" s="89" t="str">
        <f t="shared" ca="1" si="5"/>
        <v/>
      </c>
      <c r="H60" s="89" t="str">
        <f t="shared" ca="1" si="6"/>
        <v/>
      </c>
      <c r="I60" s="2"/>
      <c r="J60" s="2"/>
      <c r="K60" s="1"/>
      <c r="L60" s="1"/>
      <c r="M60" s="1">
        <v>49</v>
      </c>
      <c r="N60" s="1" t="str">
        <f ca="1">IF(OR($U60=0,$W60="",$X60&lt;=0),"",IF($W60&gt;TODAY(),"",IF(AND(INDEX(UCRETLER!$E$7:$E$606,$U60)&lt;&gt;"",$W60&gt;INDEX(UCRETLER!$E$7:$E$606,$U60)),"",$W60)))</f>
        <v/>
      </c>
      <c r="O60" s="1" t="str">
        <f ca="1"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" t="str">
        <f t="shared" ca="1" si="10"/>
        <v/>
      </c>
      <c r="Q60" s="1"/>
      <c r="R60" s="1">
        <f t="shared" ca="1" si="11"/>
        <v>0</v>
      </c>
      <c r="S60" s="1">
        <v>0</v>
      </c>
      <c r="T60" s="1">
        <f t="shared" ca="1" si="7"/>
        <v>10000000000</v>
      </c>
      <c r="U60" s="1">
        <f t="shared" si="13"/>
        <v>49</v>
      </c>
      <c r="V60" s="1">
        <v>48</v>
      </c>
      <c r="W60" s="90">
        <f>IF($U60=0,"",IF(INDEX(UCRETLER!$D$7:$D$606,$U60)="","",IF(INDEX(UCRETLER!$F$7:$F$606,$U60)="Aylık",EOMONTH(INDEX(UCRETLER!$D$7:$D$606,$U60),$V60-1),INDEX(UCRETLER!$U$7:$U$606,$U60)+7*($V60-1))))</f>
        <v>47483</v>
      </c>
      <c r="X60" s="79">
        <f>IF($U60=0,0,INDEX(UCRETLER!$G$7:$G$606,$U60))</f>
        <v>3000</v>
      </c>
      <c r="Y60" s="1">
        <f t="shared" ca="1" si="8"/>
        <v>10000000000</v>
      </c>
      <c r="Z60" s="1">
        <f t="shared" ca="1" si="9"/>
        <v>1</v>
      </c>
      <c r="AA60" s="1"/>
      <c r="AB60" s="1"/>
      <c r="AC60" s="1"/>
      <c r="AD60" s="1"/>
    </row>
    <row r="61" spans="1:30" ht="19.5" customHeight="1" x14ac:dyDescent="0.3">
      <c r="A61" s="2"/>
      <c r="B61" s="86" t="str">
        <f t="shared" ca="1" si="0"/>
        <v/>
      </c>
      <c r="C61" s="87" t="str">
        <f t="shared" ca="1" si="1"/>
        <v/>
      </c>
      <c r="D61" s="88" t="str">
        <f t="shared" ca="1" si="2"/>
        <v/>
      </c>
      <c r="E61" s="86" t="str">
        <f t="shared" ca="1" si="3"/>
        <v/>
      </c>
      <c r="F61" s="89" t="str">
        <f t="shared" ca="1" si="4"/>
        <v/>
      </c>
      <c r="G61" s="89" t="str">
        <f t="shared" ca="1" si="5"/>
        <v/>
      </c>
      <c r="H61" s="89" t="str">
        <f t="shared" ca="1" si="6"/>
        <v/>
      </c>
      <c r="I61" s="2"/>
      <c r="J61" s="2"/>
      <c r="K61" s="1"/>
      <c r="L61" s="1"/>
      <c r="M61" s="1">
        <v>50</v>
      </c>
      <c r="N61" s="1" t="str">
        <f ca="1">IF(OR($U61=0,$W61="",$X61&lt;=0),"",IF($W61&gt;TODAY(),"",IF(AND(INDEX(UCRETLER!$E$7:$E$606,$U61)&lt;&gt;"",$W61&gt;INDEX(UCRETLER!$E$7:$E$606,$U61)),"",$W61)))</f>
        <v/>
      </c>
      <c r="O61" s="1" t="str">
        <f ca="1"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" t="str">
        <f t="shared" ca="1" si="10"/>
        <v/>
      </c>
      <c r="Q61" s="1"/>
      <c r="R61" s="1">
        <f t="shared" ca="1" si="11"/>
        <v>0</v>
      </c>
      <c r="S61" s="1">
        <v>0</v>
      </c>
      <c r="T61" s="1">
        <f t="shared" ca="1" si="7"/>
        <v>10000000000</v>
      </c>
      <c r="U61" s="1">
        <f t="shared" si="13"/>
        <v>49</v>
      </c>
      <c r="V61" s="1">
        <v>49</v>
      </c>
      <c r="W61" s="90">
        <f>IF($U61=0,"",IF(INDEX(UCRETLER!$D$7:$D$606,$U61)="","",IF(INDEX(UCRETLER!$F$7:$F$606,$U61)="Aylık",EOMONTH(INDEX(UCRETLER!$D$7:$D$606,$U61),$V61-1),INDEX(UCRETLER!$U$7:$U$606,$U61)+7*($V61-1))))</f>
        <v>47514</v>
      </c>
      <c r="X61" s="79">
        <f>IF($U61=0,0,INDEX(UCRETLER!$G$7:$G$606,$U61))</f>
        <v>3000</v>
      </c>
      <c r="Y61" s="1">
        <f t="shared" ca="1" si="8"/>
        <v>10000000000</v>
      </c>
      <c r="Z61" s="1">
        <f t="shared" ca="1" si="9"/>
        <v>1</v>
      </c>
      <c r="AA61" s="1"/>
      <c r="AB61" s="1"/>
      <c r="AC61" s="1"/>
      <c r="AD61" s="1"/>
    </row>
    <row r="62" spans="1:30" ht="19.5" customHeight="1" x14ac:dyDescent="0.3">
      <c r="A62" s="2"/>
      <c r="B62" s="86" t="str">
        <f t="shared" ca="1" si="0"/>
        <v/>
      </c>
      <c r="C62" s="87" t="str">
        <f t="shared" ca="1" si="1"/>
        <v/>
      </c>
      <c r="D62" s="88" t="str">
        <f t="shared" ca="1" si="2"/>
        <v/>
      </c>
      <c r="E62" s="86" t="str">
        <f t="shared" ca="1" si="3"/>
        <v/>
      </c>
      <c r="F62" s="89" t="str">
        <f t="shared" ca="1" si="4"/>
        <v/>
      </c>
      <c r="G62" s="89" t="str">
        <f t="shared" ca="1" si="5"/>
        <v/>
      </c>
      <c r="H62" s="89" t="str">
        <f t="shared" ca="1" si="6"/>
        <v/>
      </c>
      <c r="I62" s="2"/>
      <c r="J62" s="2"/>
      <c r="K62" s="1"/>
      <c r="L62" s="1"/>
      <c r="M62" s="1">
        <v>51</v>
      </c>
      <c r="N62" s="1" t="str">
        <f ca="1">IF(OR($U62=0,$W62="",$X62&lt;=0),"",IF($W62&gt;TODAY(),"",IF(AND(INDEX(UCRETLER!$E$7:$E$606,$U62)&lt;&gt;"",$W62&gt;INDEX(UCRETLER!$E$7:$E$606,$U62)),"",$W62)))</f>
        <v/>
      </c>
      <c r="O62" s="1" t="str">
        <f ca="1"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" t="str">
        <f t="shared" ca="1" si="10"/>
        <v/>
      </c>
      <c r="Q62" s="1"/>
      <c r="R62" s="1">
        <f t="shared" ca="1" si="11"/>
        <v>0</v>
      </c>
      <c r="S62" s="1">
        <v>0</v>
      </c>
      <c r="T62" s="1">
        <f t="shared" ca="1" si="7"/>
        <v>10000000000</v>
      </c>
      <c r="U62" s="1">
        <f t="shared" si="13"/>
        <v>49</v>
      </c>
      <c r="V62" s="1">
        <v>50</v>
      </c>
      <c r="W62" s="90">
        <f>IF($U62=0,"",IF(INDEX(UCRETLER!$D$7:$D$606,$U62)="","",IF(INDEX(UCRETLER!$F$7:$F$606,$U62)="Aylık",EOMONTH(INDEX(UCRETLER!$D$7:$D$606,$U62),$V62-1),INDEX(UCRETLER!$U$7:$U$606,$U62)+7*($V62-1))))</f>
        <v>47542</v>
      </c>
      <c r="X62" s="79">
        <f>IF($U62=0,0,INDEX(UCRETLER!$G$7:$G$606,$U62))</f>
        <v>3000</v>
      </c>
      <c r="Y62" s="1">
        <f t="shared" ca="1" si="8"/>
        <v>10000000000</v>
      </c>
      <c r="Z62" s="1">
        <f t="shared" ca="1" si="9"/>
        <v>1</v>
      </c>
      <c r="AA62" s="1"/>
      <c r="AB62" s="1"/>
      <c r="AC62" s="1"/>
      <c r="AD62" s="1"/>
    </row>
    <row r="63" spans="1:30" ht="19.5" customHeight="1" x14ac:dyDescent="0.3">
      <c r="A63" s="2"/>
      <c r="B63" s="86" t="str">
        <f t="shared" ca="1" si="0"/>
        <v/>
      </c>
      <c r="C63" s="87" t="str">
        <f t="shared" ca="1" si="1"/>
        <v/>
      </c>
      <c r="D63" s="88" t="str">
        <f t="shared" ca="1" si="2"/>
        <v/>
      </c>
      <c r="E63" s="86" t="str">
        <f t="shared" ca="1" si="3"/>
        <v/>
      </c>
      <c r="F63" s="89" t="str">
        <f t="shared" ca="1" si="4"/>
        <v/>
      </c>
      <c r="G63" s="89" t="str">
        <f t="shared" ca="1" si="5"/>
        <v/>
      </c>
      <c r="H63" s="89" t="str">
        <f t="shared" ca="1" si="6"/>
        <v/>
      </c>
      <c r="I63" s="2"/>
      <c r="J63" s="2"/>
      <c r="K63" s="1"/>
      <c r="L63" s="1"/>
      <c r="M63" s="1">
        <v>52</v>
      </c>
      <c r="N63" s="1" t="str">
        <f ca="1">IF(OR($U63=0,$W63="",$X63&lt;=0),"",IF($W63&gt;TODAY(),"",IF(AND(INDEX(UCRETLER!$E$7:$E$606,$U63)&lt;&gt;"",$W63&gt;INDEX(UCRETLER!$E$7:$E$606,$U63)),"",$W63)))</f>
        <v/>
      </c>
      <c r="O63" s="1" t="str">
        <f ca="1"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" t="str">
        <f t="shared" ca="1" si="10"/>
        <v/>
      </c>
      <c r="Q63" s="1"/>
      <c r="R63" s="1">
        <f t="shared" ca="1" si="11"/>
        <v>0</v>
      </c>
      <c r="S63" s="1">
        <v>0</v>
      </c>
      <c r="T63" s="1">
        <f t="shared" ca="1" si="7"/>
        <v>10000000000</v>
      </c>
      <c r="U63" s="1">
        <f t="shared" si="13"/>
        <v>49</v>
      </c>
      <c r="V63" s="1">
        <v>51</v>
      </c>
      <c r="W63" s="90">
        <f>IF($U63=0,"",IF(INDEX(UCRETLER!$D$7:$D$606,$U63)="","",IF(INDEX(UCRETLER!$F$7:$F$606,$U63)="Aylık",EOMONTH(INDEX(UCRETLER!$D$7:$D$606,$U63),$V63-1),INDEX(UCRETLER!$U$7:$U$606,$U63)+7*($V63-1))))</f>
        <v>47573</v>
      </c>
      <c r="X63" s="79">
        <f>IF($U63=0,0,INDEX(UCRETLER!$G$7:$G$606,$U63))</f>
        <v>3000</v>
      </c>
      <c r="Y63" s="1">
        <f t="shared" ca="1" si="8"/>
        <v>10000000000</v>
      </c>
      <c r="Z63" s="1">
        <f t="shared" ca="1" si="9"/>
        <v>1</v>
      </c>
      <c r="AA63" s="1"/>
      <c r="AB63" s="1"/>
      <c r="AC63" s="1"/>
      <c r="AD63" s="1"/>
    </row>
    <row r="64" spans="1:30" ht="19.5" customHeight="1" x14ac:dyDescent="0.3">
      <c r="A64" s="2"/>
      <c r="B64" s="86" t="str">
        <f t="shared" ca="1" si="0"/>
        <v/>
      </c>
      <c r="C64" s="87" t="str">
        <f t="shared" ca="1" si="1"/>
        <v/>
      </c>
      <c r="D64" s="88" t="str">
        <f t="shared" ca="1" si="2"/>
        <v/>
      </c>
      <c r="E64" s="86" t="str">
        <f t="shared" ca="1" si="3"/>
        <v/>
      </c>
      <c r="F64" s="89" t="str">
        <f t="shared" ca="1" si="4"/>
        <v/>
      </c>
      <c r="G64" s="89" t="str">
        <f t="shared" ca="1" si="5"/>
        <v/>
      </c>
      <c r="H64" s="89" t="str">
        <f t="shared" ca="1" si="6"/>
        <v/>
      </c>
      <c r="I64" s="2"/>
      <c r="J64" s="2"/>
      <c r="K64" s="1"/>
      <c r="L64" s="1"/>
      <c r="M64" s="1">
        <v>53</v>
      </c>
      <c r="N64" s="1" t="str">
        <f ca="1">IF(OR($U64=0,$W64="",$X64&lt;=0),"",IF($W64&gt;TODAY(),"",IF(AND(INDEX(UCRETLER!$E$7:$E$606,$U64)&lt;&gt;"",$W64&gt;INDEX(UCRETLER!$E$7:$E$606,$U64)),"",$W64)))</f>
        <v/>
      </c>
      <c r="O64" s="1" t="str">
        <f ca="1"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" t="str">
        <f t="shared" ca="1" si="10"/>
        <v/>
      </c>
      <c r="Q64" s="1"/>
      <c r="R64" s="1">
        <f t="shared" ca="1" si="11"/>
        <v>0</v>
      </c>
      <c r="S64" s="1">
        <v>0</v>
      </c>
      <c r="T64" s="1">
        <f t="shared" ca="1" si="7"/>
        <v>10000000000</v>
      </c>
      <c r="U64" s="1">
        <f t="shared" si="13"/>
        <v>49</v>
      </c>
      <c r="V64" s="1">
        <v>52</v>
      </c>
      <c r="W64" s="90">
        <f>IF($U64=0,"",IF(INDEX(UCRETLER!$D$7:$D$606,$U64)="","",IF(INDEX(UCRETLER!$F$7:$F$606,$U64)="Aylık",EOMONTH(INDEX(UCRETLER!$D$7:$D$606,$U64),$V64-1),INDEX(UCRETLER!$U$7:$U$606,$U64)+7*($V64-1))))</f>
        <v>47603</v>
      </c>
      <c r="X64" s="79">
        <f>IF($U64=0,0,INDEX(UCRETLER!$G$7:$G$606,$U64))</f>
        <v>3000</v>
      </c>
      <c r="Y64" s="1">
        <f t="shared" ca="1" si="8"/>
        <v>10000000000</v>
      </c>
      <c r="Z64" s="1">
        <f t="shared" ca="1" si="9"/>
        <v>1</v>
      </c>
      <c r="AA64" s="1"/>
      <c r="AB64" s="1"/>
      <c r="AC64" s="1"/>
      <c r="AD64" s="1"/>
    </row>
    <row r="65" spans="1:30" ht="19.5" customHeight="1" x14ac:dyDescent="0.3">
      <c r="A65" s="2"/>
      <c r="B65" s="86" t="str">
        <f t="shared" ca="1" si="0"/>
        <v/>
      </c>
      <c r="C65" s="87" t="str">
        <f t="shared" ca="1" si="1"/>
        <v/>
      </c>
      <c r="D65" s="88" t="str">
        <f t="shared" ca="1" si="2"/>
        <v/>
      </c>
      <c r="E65" s="86" t="str">
        <f t="shared" ca="1" si="3"/>
        <v/>
      </c>
      <c r="F65" s="89" t="str">
        <f t="shared" ca="1" si="4"/>
        <v/>
      </c>
      <c r="G65" s="89" t="str">
        <f t="shared" ca="1" si="5"/>
        <v/>
      </c>
      <c r="H65" s="89" t="str">
        <f t="shared" ca="1" si="6"/>
        <v/>
      </c>
      <c r="I65" s="2"/>
      <c r="J65" s="2"/>
      <c r="K65" s="1"/>
      <c r="L65" s="1"/>
      <c r="M65" s="1">
        <v>54</v>
      </c>
      <c r="N65" s="1" t="str">
        <f ca="1">IF(OR($U65=0,$W65="",$X65&lt;=0),"",IF($W65&gt;TODAY(),"",IF(AND(INDEX(UCRETLER!$E$7:$E$606,$U65)&lt;&gt;"",$W65&gt;INDEX(UCRETLER!$E$7:$E$606,$U65)),"",$W65)))</f>
        <v/>
      </c>
      <c r="O65" s="1" t="str">
        <f ca="1"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" t="str">
        <f t="shared" ca="1" si="10"/>
        <v/>
      </c>
      <c r="Q65" s="1"/>
      <c r="R65" s="1">
        <f t="shared" ca="1" si="11"/>
        <v>0</v>
      </c>
      <c r="S65" s="1">
        <v>0</v>
      </c>
      <c r="T65" s="1">
        <f t="shared" ca="1" si="7"/>
        <v>10000000000</v>
      </c>
      <c r="U65" s="1">
        <f t="shared" si="13"/>
        <v>49</v>
      </c>
      <c r="V65" s="1">
        <v>53</v>
      </c>
      <c r="W65" s="90">
        <f>IF($U65=0,"",IF(INDEX(UCRETLER!$D$7:$D$606,$U65)="","",IF(INDEX(UCRETLER!$F$7:$F$606,$U65)="Aylık",EOMONTH(INDEX(UCRETLER!$D$7:$D$606,$U65),$V65-1),INDEX(UCRETLER!$U$7:$U$606,$U65)+7*($V65-1))))</f>
        <v>47634</v>
      </c>
      <c r="X65" s="79">
        <f>IF($U65=0,0,INDEX(UCRETLER!$G$7:$G$606,$U65))</f>
        <v>3000</v>
      </c>
      <c r="Y65" s="1">
        <f t="shared" ca="1" si="8"/>
        <v>10000000000</v>
      </c>
      <c r="Z65" s="1">
        <f t="shared" ca="1" si="9"/>
        <v>1</v>
      </c>
      <c r="AA65" s="1"/>
      <c r="AB65" s="1"/>
      <c r="AC65" s="1"/>
      <c r="AD65" s="1"/>
    </row>
    <row r="66" spans="1:30" ht="19.5" customHeight="1" x14ac:dyDescent="0.3">
      <c r="A66" s="2"/>
      <c r="B66" s="86" t="str">
        <f t="shared" ca="1" si="0"/>
        <v/>
      </c>
      <c r="C66" s="87" t="str">
        <f t="shared" ca="1" si="1"/>
        <v/>
      </c>
      <c r="D66" s="88" t="str">
        <f t="shared" ca="1" si="2"/>
        <v/>
      </c>
      <c r="E66" s="86" t="str">
        <f t="shared" ca="1" si="3"/>
        <v/>
      </c>
      <c r="F66" s="89" t="str">
        <f t="shared" ca="1" si="4"/>
        <v/>
      </c>
      <c r="G66" s="89" t="str">
        <f t="shared" ca="1" si="5"/>
        <v/>
      </c>
      <c r="H66" s="89" t="str">
        <f t="shared" ca="1" si="6"/>
        <v/>
      </c>
      <c r="I66" s="2"/>
      <c r="J66" s="2"/>
      <c r="K66" s="1"/>
      <c r="L66" s="1"/>
      <c r="M66" s="1">
        <v>55</v>
      </c>
      <c r="N66" s="1" t="str">
        <f ca="1">IF(OR($U66=0,$W66="",$X66&lt;=0),"",IF($W66&gt;TODAY(),"",IF(AND(INDEX(UCRETLER!$E$7:$E$606,$U66)&lt;&gt;"",$W66&gt;INDEX(UCRETLER!$E$7:$E$606,$U66)),"",$W66)))</f>
        <v/>
      </c>
      <c r="O66" s="1" t="str">
        <f ca="1"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" t="str">
        <f t="shared" ca="1" si="10"/>
        <v/>
      </c>
      <c r="Q66" s="1"/>
      <c r="R66" s="1">
        <f t="shared" ca="1" si="11"/>
        <v>0</v>
      </c>
      <c r="S66" s="1">
        <v>0</v>
      </c>
      <c r="T66" s="1">
        <f t="shared" ca="1" si="7"/>
        <v>10000000000</v>
      </c>
      <c r="U66" s="1">
        <f t="shared" si="13"/>
        <v>49</v>
      </c>
      <c r="V66" s="1">
        <v>54</v>
      </c>
      <c r="W66" s="90">
        <f>IF($U66=0,"",IF(INDEX(UCRETLER!$D$7:$D$606,$U66)="","",IF(INDEX(UCRETLER!$F$7:$F$606,$U66)="Aylık",EOMONTH(INDEX(UCRETLER!$D$7:$D$606,$U66),$V66-1),INDEX(UCRETLER!$U$7:$U$606,$U66)+7*($V66-1))))</f>
        <v>47664</v>
      </c>
      <c r="X66" s="79">
        <f>IF($U66=0,0,INDEX(UCRETLER!$G$7:$G$606,$U66))</f>
        <v>3000</v>
      </c>
      <c r="Y66" s="1">
        <f t="shared" ca="1" si="8"/>
        <v>10000000000</v>
      </c>
      <c r="Z66" s="1">
        <f t="shared" ca="1" si="9"/>
        <v>1</v>
      </c>
      <c r="AA66" s="1"/>
      <c r="AB66" s="1"/>
      <c r="AC66" s="1"/>
      <c r="AD66" s="1"/>
    </row>
    <row r="67" spans="1:30" ht="19.5" customHeight="1" x14ac:dyDescent="0.3">
      <c r="A67" s="2"/>
      <c r="B67" s="86" t="str">
        <f t="shared" ca="1" si="0"/>
        <v/>
      </c>
      <c r="C67" s="87" t="str">
        <f t="shared" ca="1" si="1"/>
        <v/>
      </c>
      <c r="D67" s="88" t="str">
        <f t="shared" ca="1" si="2"/>
        <v/>
      </c>
      <c r="E67" s="86" t="str">
        <f t="shared" ca="1" si="3"/>
        <v/>
      </c>
      <c r="F67" s="89" t="str">
        <f t="shared" ca="1" si="4"/>
        <v/>
      </c>
      <c r="G67" s="89" t="str">
        <f t="shared" ca="1" si="5"/>
        <v/>
      </c>
      <c r="H67" s="89" t="str">
        <f t="shared" ca="1" si="6"/>
        <v/>
      </c>
      <c r="I67" s="2"/>
      <c r="J67" s="2"/>
      <c r="K67" s="1"/>
      <c r="L67" s="1"/>
      <c r="M67" s="1">
        <v>56</v>
      </c>
      <c r="N67" s="1" t="str">
        <f ca="1">IF(OR($U67=0,$W67="",$X67&lt;=0),"",IF($W67&gt;TODAY(),"",IF(AND(INDEX(UCRETLER!$E$7:$E$606,$U67)&lt;&gt;"",$W67&gt;INDEX(UCRETLER!$E$7:$E$606,$U67)),"",$W67)))</f>
        <v/>
      </c>
      <c r="O67" s="1" t="str">
        <f ca="1"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" t="str">
        <f t="shared" ca="1" si="10"/>
        <v/>
      </c>
      <c r="Q67" s="1"/>
      <c r="R67" s="1">
        <f t="shared" ca="1" si="11"/>
        <v>0</v>
      </c>
      <c r="S67" s="1">
        <v>0</v>
      </c>
      <c r="T67" s="1">
        <f t="shared" ca="1" si="7"/>
        <v>10000000000</v>
      </c>
      <c r="U67" s="1">
        <f t="shared" si="13"/>
        <v>49</v>
      </c>
      <c r="V67" s="1">
        <v>55</v>
      </c>
      <c r="W67" s="90">
        <f>IF($U67=0,"",IF(INDEX(UCRETLER!$D$7:$D$606,$U67)="","",IF(INDEX(UCRETLER!$F$7:$F$606,$U67)="Aylık",EOMONTH(INDEX(UCRETLER!$D$7:$D$606,$U67),$V67-1),INDEX(UCRETLER!$U$7:$U$606,$U67)+7*($V67-1))))</f>
        <v>47695</v>
      </c>
      <c r="X67" s="79">
        <f>IF($U67=0,0,INDEX(UCRETLER!$G$7:$G$606,$U67))</f>
        <v>3000</v>
      </c>
      <c r="Y67" s="1">
        <f t="shared" ca="1" si="8"/>
        <v>10000000000</v>
      </c>
      <c r="Z67" s="1">
        <f t="shared" ca="1" si="9"/>
        <v>1</v>
      </c>
      <c r="AA67" s="1"/>
      <c r="AB67" s="1"/>
      <c r="AC67" s="1"/>
      <c r="AD67" s="1"/>
    </row>
    <row r="68" spans="1:30" ht="19.5" customHeight="1" x14ac:dyDescent="0.3">
      <c r="A68" s="2"/>
      <c r="B68" s="86" t="str">
        <f t="shared" ca="1" si="0"/>
        <v/>
      </c>
      <c r="C68" s="87" t="str">
        <f t="shared" ca="1" si="1"/>
        <v/>
      </c>
      <c r="D68" s="88" t="str">
        <f t="shared" ca="1" si="2"/>
        <v/>
      </c>
      <c r="E68" s="86" t="str">
        <f t="shared" ca="1" si="3"/>
        <v/>
      </c>
      <c r="F68" s="89" t="str">
        <f t="shared" ca="1" si="4"/>
        <v/>
      </c>
      <c r="G68" s="89" t="str">
        <f t="shared" ca="1" si="5"/>
        <v/>
      </c>
      <c r="H68" s="89" t="str">
        <f t="shared" ca="1" si="6"/>
        <v/>
      </c>
      <c r="I68" s="2"/>
      <c r="J68" s="2"/>
      <c r="K68" s="1"/>
      <c r="L68" s="1"/>
      <c r="M68" s="1">
        <v>57</v>
      </c>
      <c r="N68" s="1" t="str">
        <f ca="1">IF(OR($U68=0,$W68="",$X68&lt;=0),"",IF($W68&gt;TODAY(),"",IF(AND(INDEX(UCRETLER!$E$7:$E$606,$U68)&lt;&gt;"",$W68&gt;INDEX(UCRETLER!$E$7:$E$606,$U68)),"",$W68)))</f>
        <v/>
      </c>
      <c r="O68" s="1" t="str">
        <f ca="1"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" t="str">
        <f t="shared" ca="1" si="10"/>
        <v/>
      </c>
      <c r="Q68" s="1"/>
      <c r="R68" s="1">
        <f t="shared" ca="1" si="11"/>
        <v>0</v>
      </c>
      <c r="S68" s="1">
        <v>0</v>
      </c>
      <c r="T68" s="1">
        <f t="shared" ca="1" si="7"/>
        <v>10000000000</v>
      </c>
      <c r="U68" s="1">
        <f t="shared" si="13"/>
        <v>49</v>
      </c>
      <c r="V68" s="1">
        <v>56</v>
      </c>
      <c r="W68" s="90">
        <f>IF($U68=0,"",IF(INDEX(UCRETLER!$D$7:$D$606,$U68)="","",IF(INDEX(UCRETLER!$F$7:$F$606,$U68)="Aylık",EOMONTH(INDEX(UCRETLER!$D$7:$D$606,$U68),$V68-1),INDEX(UCRETLER!$U$7:$U$606,$U68)+7*($V68-1))))</f>
        <v>47726</v>
      </c>
      <c r="X68" s="79">
        <f>IF($U68=0,0,INDEX(UCRETLER!$G$7:$G$606,$U68))</f>
        <v>3000</v>
      </c>
      <c r="Y68" s="1">
        <f t="shared" ca="1" si="8"/>
        <v>10000000000</v>
      </c>
      <c r="Z68" s="1">
        <f t="shared" ca="1" si="9"/>
        <v>1</v>
      </c>
      <c r="AA68" s="1"/>
      <c r="AB68" s="1"/>
      <c r="AC68" s="1"/>
      <c r="AD68" s="1"/>
    </row>
    <row r="69" spans="1:30" ht="19.5" customHeight="1" x14ac:dyDescent="0.3">
      <c r="A69" s="2"/>
      <c r="B69" s="86" t="str">
        <f t="shared" ca="1" si="0"/>
        <v/>
      </c>
      <c r="C69" s="87" t="str">
        <f t="shared" ca="1" si="1"/>
        <v/>
      </c>
      <c r="D69" s="88" t="str">
        <f t="shared" ca="1" si="2"/>
        <v/>
      </c>
      <c r="E69" s="86" t="str">
        <f t="shared" ca="1" si="3"/>
        <v/>
      </c>
      <c r="F69" s="89" t="str">
        <f t="shared" ca="1" si="4"/>
        <v/>
      </c>
      <c r="G69" s="89" t="str">
        <f t="shared" ca="1" si="5"/>
        <v/>
      </c>
      <c r="H69" s="89" t="str">
        <f t="shared" ca="1" si="6"/>
        <v/>
      </c>
      <c r="I69" s="2"/>
      <c r="J69" s="2"/>
      <c r="K69" s="1"/>
      <c r="L69" s="1"/>
      <c r="M69" s="1">
        <v>58</v>
      </c>
      <c r="N69" s="1" t="str">
        <f ca="1">IF(OR($U69=0,$W69="",$X69&lt;=0),"",IF($W69&gt;TODAY(),"",IF(AND(INDEX(UCRETLER!$E$7:$E$606,$U69)&lt;&gt;"",$W69&gt;INDEX(UCRETLER!$E$7:$E$606,$U69)),"",$W69)))</f>
        <v/>
      </c>
      <c r="O69" s="1" t="str">
        <f ca="1"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" t="str">
        <f t="shared" ca="1" si="10"/>
        <v/>
      </c>
      <c r="Q69" s="1"/>
      <c r="R69" s="1">
        <f t="shared" ca="1" si="11"/>
        <v>0</v>
      </c>
      <c r="S69" s="1">
        <v>0</v>
      </c>
      <c r="T69" s="1">
        <f t="shared" ca="1" si="7"/>
        <v>10000000000</v>
      </c>
      <c r="U69" s="1">
        <f t="shared" si="13"/>
        <v>49</v>
      </c>
      <c r="V69" s="1">
        <v>57</v>
      </c>
      <c r="W69" s="90">
        <f>IF($U69=0,"",IF(INDEX(UCRETLER!$D$7:$D$606,$U69)="","",IF(INDEX(UCRETLER!$F$7:$F$606,$U69)="Aylık",EOMONTH(INDEX(UCRETLER!$D$7:$D$606,$U69),$V69-1),INDEX(UCRETLER!$U$7:$U$606,$U69)+7*($V69-1))))</f>
        <v>47756</v>
      </c>
      <c r="X69" s="79">
        <f>IF($U69=0,0,INDEX(UCRETLER!$G$7:$G$606,$U69))</f>
        <v>3000</v>
      </c>
      <c r="Y69" s="1">
        <f t="shared" ca="1" si="8"/>
        <v>10000000000</v>
      </c>
      <c r="Z69" s="1">
        <f t="shared" ca="1" si="9"/>
        <v>1</v>
      </c>
      <c r="AA69" s="1"/>
      <c r="AB69" s="1"/>
      <c r="AC69" s="1"/>
      <c r="AD69" s="1"/>
    </row>
    <row r="70" spans="1:30" ht="19.5" customHeight="1" x14ac:dyDescent="0.3">
      <c r="A70" s="2"/>
      <c r="B70" s="86" t="str">
        <f t="shared" ca="1" si="0"/>
        <v/>
      </c>
      <c r="C70" s="87" t="str">
        <f t="shared" ca="1" si="1"/>
        <v/>
      </c>
      <c r="D70" s="88" t="str">
        <f t="shared" ca="1" si="2"/>
        <v/>
      </c>
      <c r="E70" s="86" t="str">
        <f t="shared" ca="1" si="3"/>
        <v/>
      </c>
      <c r="F70" s="89" t="str">
        <f t="shared" ca="1" si="4"/>
        <v/>
      </c>
      <c r="G70" s="89" t="str">
        <f t="shared" ca="1" si="5"/>
        <v/>
      </c>
      <c r="H70" s="89" t="str">
        <f t="shared" ca="1" si="6"/>
        <v/>
      </c>
      <c r="I70" s="2"/>
      <c r="J70" s="2"/>
      <c r="K70" s="1"/>
      <c r="L70" s="1"/>
      <c r="M70" s="1">
        <v>59</v>
      </c>
      <c r="N70" s="1" t="str">
        <f ca="1">IF(OR($U70=0,$W70="",$X70&lt;=0),"",IF($W70&gt;TODAY(),"",IF(AND(INDEX(UCRETLER!$E$7:$E$606,$U70)&lt;&gt;"",$W70&gt;INDEX(UCRETLER!$E$7:$E$606,$U70)),"",$W70)))</f>
        <v/>
      </c>
      <c r="O70" s="1" t="str">
        <f ca="1"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" t="str">
        <f t="shared" ca="1" si="10"/>
        <v/>
      </c>
      <c r="Q70" s="1"/>
      <c r="R70" s="1">
        <f t="shared" ca="1" si="11"/>
        <v>0</v>
      </c>
      <c r="S70" s="1">
        <v>0</v>
      </c>
      <c r="T70" s="1">
        <f t="shared" ca="1" si="7"/>
        <v>10000000000</v>
      </c>
      <c r="U70" s="1">
        <f t="shared" si="13"/>
        <v>49</v>
      </c>
      <c r="V70" s="1">
        <v>58</v>
      </c>
      <c r="W70" s="90">
        <f>IF($U70=0,"",IF(INDEX(UCRETLER!$D$7:$D$606,$U70)="","",IF(INDEX(UCRETLER!$F$7:$F$606,$U70)="Aylık",EOMONTH(INDEX(UCRETLER!$D$7:$D$606,$U70),$V70-1),INDEX(UCRETLER!$U$7:$U$606,$U70)+7*($V70-1))))</f>
        <v>47787</v>
      </c>
      <c r="X70" s="79">
        <f>IF($U70=0,0,INDEX(UCRETLER!$G$7:$G$606,$U70))</f>
        <v>3000</v>
      </c>
      <c r="Y70" s="1">
        <f t="shared" ca="1" si="8"/>
        <v>10000000000</v>
      </c>
      <c r="Z70" s="1">
        <f t="shared" ca="1" si="9"/>
        <v>1</v>
      </c>
      <c r="AA70" s="1"/>
      <c r="AB70" s="1"/>
      <c r="AC70" s="1"/>
      <c r="AD70" s="1"/>
    </row>
    <row r="71" spans="1:30" ht="19.5" customHeight="1" x14ac:dyDescent="0.3">
      <c r="A71" s="2"/>
      <c r="B71" s="86" t="str">
        <f t="shared" ca="1" si="0"/>
        <v/>
      </c>
      <c r="C71" s="87" t="str">
        <f t="shared" ca="1" si="1"/>
        <v/>
      </c>
      <c r="D71" s="88" t="str">
        <f t="shared" ca="1" si="2"/>
        <v/>
      </c>
      <c r="E71" s="86" t="str">
        <f t="shared" ca="1" si="3"/>
        <v/>
      </c>
      <c r="F71" s="89" t="str">
        <f t="shared" ca="1" si="4"/>
        <v/>
      </c>
      <c r="G71" s="89" t="str">
        <f t="shared" ca="1" si="5"/>
        <v/>
      </c>
      <c r="H71" s="89" t="str">
        <f t="shared" ca="1" si="6"/>
        <v/>
      </c>
      <c r="I71" s="2"/>
      <c r="J71" s="2"/>
      <c r="K71" s="1"/>
      <c r="L71" s="1"/>
      <c r="M71" s="1">
        <v>60</v>
      </c>
      <c r="N71" s="1" t="str">
        <f ca="1">IF(OR($U71=0,$W71="",$X71&lt;=0),"",IF($W71&gt;TODAY(),"",IF(AND(INDEX(UCRETLER!$E$7:$E$606,$U71)&lt;&gt;"",$W71&gt;INDEX(UCRETLER!$E$7:$E$606,$U71)),"",$W71)))</f>
        <v/>
      </c>
      <c r="O71" s="1" t="str">
        <f ca="1"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" t="str">
        <f t="shared" ca="1" si="10"/>
        <v/>
      </c>
      <c r="Q71" s="1"/>
      <c r="R71" s="1">
        <f t="shared" ca="1" si="11"/>
        <v>0</v>
      </c>
      <c r="S71" s="1">
        <v>0</v>
      </c>
      <c r="T71" s="1">
        <f t="shared" ca="1" si="7"/>
        <v>10000000000</v>
      </c>
      <c r="U71" s="1">
        <f t="shared" si="13"/>
        <v>49</v>
      </c>
      <c r="V71" s="1">
        <v>59</v>
      </c>
      <c r="W71" s="90">
        <f>IF($U71=0,"",IF(INDEX(UCRETLER!$D$7:$D$606,$U71)="","",IF(INDEX(UCRETLER!$F$7:$F$606,$U71)="Aylık",EOMONTH(INDEX(UCRETLER!$D$7:$D$606,$U71),$V71-1),INDEX(UCRETLER!$U$7:$U$606,$U71)+7*($V71-1))))</f>
        <v>47817</v>
      </c>
      <c r="X71" s="79">
        <f>IF($U71=0,0,INDEX(UCRETLER!$G$7:$G$606,$U71))</f>
        <v>3000</v>
      </c>
      <c r="Y71" s="1">
        <f t="shared" ca="1" si="8"/>
        <v>10000000000</v>
      </c>
      <c r="Z71" s="1">
        <f t="shared" ca="1" si="9"/>
        <v>1</v>
      </c>
      <c r="AA71" s="1"/>
      <c r="AB71" s="1"/>
      <c r="AC71" s="1"/>
      <c r="AD71" s="1"/>
    </row>
    <row r="72" spans="1:30" ht="19.5" customHeight="1" x14ac:dyDescent="0.3">
      <c r="A72" s="2"/>
      <c r="B72" s="86" t="str">
        <f t="shared" ca="1" si="0"/>
        <v/>
      </c>
      <c r="C72" s="87" t="str">
        <f t="shared" ca="1" si="1"/>
        <v/>
      </c>
      <c r="D72" s="88" t="str">
        <f t="shared" ca="1" si="2"/>
        <v/>
      </c>
      <c r="E72" s="86" t="str">
        <f t="shared" ca="1" si="3"/>
        <v/>
      </c>
      <c r="F72" s="89" t="str">
        <f t="shared" ca="1" si="4"/>
        <v/>
      </c>
      <c r="G72" s="89" t="str">
        <f t="shared" ca="1" si="5"/>
        <v/>
      </c>
      <c r="H72" s="89" t="str">
        <f t="shared" ca="1" si="6"/>
        <v/>
      </c>
      <c r="I72" s="2"/>
      <c r="J72" s="2"/>
      <c r="K72" s="1"/>
      <c r="L72" s="1"/>
      <c r="M72" s="1">
        <v>61</v>
      </c>
      <c r="N72" s="1" t="str">
        <f ca="1">IF(OR($U72=0,$W72="",$X72&lt;=0),"",IF($W72&gt;TODAY(),"",IF(AND(INDEX(UCRETLER!$E$7:$E$606,$U72)&lt;&gt;"",$W72&gt;INDEX(UCRETLER!$E$7:$E$606,$U72)),"",$W72)))</f>
        <v/>
      </c>
      <c r="O72" s="1" t="str">
        <f ca="1"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" t="str">
        <f t="shared" ca="1" si="10"/>
        <v/>
      </c>
      <c r="Q72" s="1"/>
      <c r="R72" s="1">
        <f t="shared" ca="1" si="11"/>
        <v>0</v>
      </c>
      <c r="S72" s="1">
        <v>0</v>
      </c>
      <c r="T72" s="1">
        <f t="shared" ca="1" si="7"/>
        <v>10000000000</v>
      </c>
      <c r="U72" s="1">
        <f t="shared" si="13"/>
        <v>49</v>
      </c>
      <c r="V72" s="1">
        <v>60</v>
      </c>
      <c r="W72" s="90">
        <f>IF($U72=0,"",IF(INDEX(UCRETLER!$D$7:$D$606,$U72)="","",IF(INDEX(UCRETLER!$F$7:$F$606,$U72)="Aylık",EOMONTH(INDEX(UCRETLER!$D$7:$D$606,$U72),$V72-1),INDEX(UCRETLER!$U$7:$U$606,$U72)+7*($V72-1))))</f>
        <v>47848</v>
      </c>
      <c r="X72" s="79">
        <f>IF($U72=0,0,INDEX(UCRETLER!$G$7:$G$606,$U72))</f>
        <v>3000</v>
      </c>
      <c r="Y72" s="1">
        <f t="shared" ca="1" si="8"/>
        <v>10000000000</v>
      </c>
      <c r="Z72" s="1">
        <f t="shared" ca="1" si="9"/>
        <v>1</v>
      </c>
      <c r="AA72" s="1"/>
      <c r="AB72" s="1"/>
      <c r="AC72" s="1"/>
      <c r="AD72" s="1"/>
    </row>
    <row r="73" spans="1:30" ht="19.5" customHeight="1" x14ac:dyDescent="0.3">
      <c r="A73" s="2"/>
      <c r="B73" s="86" t="str">
        <f t="shared" ca="1" si="0"/>
        <v/>
      </c>
      <c r="C73" s="87" t="str">
        <f t="shared" ca="1" si="1"/>
        <v/>
      </c>
      <c r="D73" s="88" t="str">
        <f t="shared" ca="1" si="2"/>
        <v/>
      </c>
      <c r="E73" s="86" t="str">
        <f t="shared" ca="1" si="3"/>
        <v/>
      </c>
      <c r="F73" s="89" t="str">
        <f t="shared" ca="1" si="4"/>
        <v/>
      </c>
      <c r="G73" s="89" t="str">
        <f t="shared" ca="1" si="5"/>
        <v/>
      </c>
      <c r="H73" s="89" t="str">
        <f t="shared" ca="1" si="6"/>
        <v/>
      </c>
      <c r="I73" s="2"/>
      <c r="J73" s="2"/>
      <c r="K73" s="1"/>
      <c r="L73" s="1"/>
      <c r="M73" s="1">
        <v>62</v>
      </c>
      <c r="N73" s="1" t="str">
        <f ca="1">IF(OR($U73=0,$W73="",$X73&lt;=0),"",IF($W73&gt;TODAY(),"",IF(AND(INDEX(UCRETLER!$E$7:$E$606,$U73)&lt;&gt;"",$W73&gt;INDEX(UCRETLER!$E$7:$E$606,$U73)),"",$W73)))</f>
        <v/>
      </c>
      <c r="O73" s="1" t="str">
        <f ca="1"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" t="str">
        <f t="shared" ca="1" si="10"/>
        <v/>
      </c>
      <c r="Q73" s="1"/>
      <c r="R73" s="1">
        <f t="shared" ca="1" si="11"/>
        <v>0</v>
      </c>
      <c r="S73" s="1">
        <v>0</v>
      </c>
      <c r="T73" s="1">
        <f t="shared" ca="1" si="7"/>
        <v>10000000000</v>
      </c>
      <c r="U73" s="1">
        <f t="shared" si="13"/>
        <v>49</v>
      </c>
      <c r="V73" s="1">
        <v>61</v>
      </c>
      <c r="W73" s="90">
        <f>IF($U73=0,"",IF(INDEX(UCRETLER!$D$7:$D$606,$U73)="","",IF(INDEX(UCRETLER!$F$7:$F$606,$U73)="Aylık",EOMONTH(INDEX(UCRETLER!$D$7:$D$606,$U73),$V73-1),INDEX(UCRETLER!$U$7:$U$606,$U73)+7*($V73-1))))</f>
        <v>47879</v>
      </c>
      <c r="X73" s="79">
        <f>IF($U73=0,0,INDEX(UCRETLER!$G$7:$G$606,$U73))</f>
        <v>3000</v>
      </c>
      <c r="Y73" s="1">
        <f t="shared" ca="1" si="8"/>
        <v>10000000000</v>
      </c>
      <c r="Z73" s="1">
        <f t="shared" ca="1" si="9"/>
        <v>1</v>
      </c>
      <c r="AA73" s="1"/>
      <c r="AB73" s="1"/>
      <c r="AC73" s="1"/>
      <c r="AD73" s="1"/>
    </row>
    <row r="74" spans="1:30" ht="19.5" customHeight="1" x14ac:dyDescent="0.3">
      <c r="A74" s="2"/>
      <c r="B74" s="86" t="str">
        <f t="shared" ca="1" si="0"/>
        <v/>
      </c>
      <c r="C74" s="87" t="str">
        <f t="shared" ca="1" si="1"/>
        <v/>
      </c>
      <c r="D74" s="88" t="str">
        <f t="shared" ca="1" si="2"/>
        <v/>
      </c>
      <c r="E74" s="86" t="str">
        <f t="shared" ca="1" si="3"/>
        <v/>
      </c>
      <c r="F74" s="89" t="str">
        <f t="shared" ca="1" si="4"/>
        <v/>
      </c>
      <c r="G74" s="89" t="str">
        <f t="shared" ca="1" si="5"/>
        <v/>
      </c>
      <c r="H74" s="89" t="str">
        <f t="shared" ca="1" si="6"/>
        <v/>
      </c>
      <c r="I74" s="2"/>
      <c r="J74" s="2"/>
      <c r="K74" s="1"/>
      <c r="L74" s="1"/>
      <c r="M74" s="1">
        <v>63</v>
      </c>
      <c r="N74" s="1" t="str">
        <f ca="1">IF(OR($U74=0,$W74="",$X74&lt;=0),"",IF($W74&gt;TODAY(),"",IF(AND(INDEX(UCRETLER!$E$7:$E$606,$U74)&lt;&gt;"",$W74&gt;INDEX(UCRETLER!$E$7:$E$606,$U74)),"",$W74)))</f>
        <v/>
      </c>
      <c r="O74" s="1" t="str">
        <f ca="1"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" t="str">
        <f t="shared" ca="1" si="10"/>
        <v/>
      </c>
      <c r="Q74" s="1"/>
      <c r="R74" s="1">
        <f t="shared" ca="1" si="11"/>
        <v>0</v>
      </c>
      <c r="S74" s="1">
        <v>0</v>
      </c>
      <c r="T74" s="1">
        <f t="shared" ca="1" si="7"/>
        <v>10000000000</v>
      </c>
      <c r="U74" s="1">
        <f t="shared" si="13"/>
        <v>49</v>
      </c>
      <c r="V74" s="1">
        <v>62</v>
      </c>
      <c r="W74" s="90">
        <f>IF($U74=0,"",IF(INDEX(UCRETLER!$D$7:$D$606,$U74)="","",IF(INDEX(UCRETLER!$F$7:$F$606,$U74)="Aylık",EOMONTH(INDEX(UCRETLER!$D$7:$D$606,$U74),$V74-1),INDEX(UCRETLER!$U$7:$U$606,$U74)+7*($V74-1))))</f>
        <v>47907</v>
      </c>
      <c r="X74" s="79">
        <f>IF($U74=0,0,INDEX(UCRETLER!$G$7:$G$606,$U74))</f>
        <v>3000</v>
      </c>
      <c r="Y74" s="1">
        <f t="shared" ca="1" si="8"/>
        <v>10000000000</v>
      </c>
      <c r="Z74" s="1">
        <f t="shared" ca="1" si="9"/>
        <v>1</v>
      </c>
      <c r="AA74" s="1"/>
      <c r="AB74" s="1"/>
      <c r="AC74" s="1"/>
      <c r="AD74" s="1"/>
    </row>
    <row r="75" spans="1:30" ht="19.5" customHeight="1" x14ac:dyDescent="0.3">
      <c r="A75" s="2"/>
      <c r="B75" s="86" t="str">
        <f t="shared" ca="1" si="0"/>
        <v/>
      </c>
      <c r="C75" s="87" t="str">
        <f t="shared" ca="1" si="1"/>
        <v/>
      </c>
      <c r="D75" s="88" t="str">
        <f t="shared" ca="1" si="2"/>
        <v/>
      </c>
      <c r="E75" s="86" t="str">
        <f t="shared" ca="1" si="3"/>
        <v/>
      </c>
      <c r="F75" s="89" t="str">
        <f t="shared" ca="1" si="4"/>
        <v/>
      </c>
      <c r="G75" s="89" t="str">
        <f t="shared" ca="1" si="5"/>
        <v/>
      </c>
      <c r="H75" s="89" t="str">
        <f t="shared" ca="1" si="6"/>
        <v/>
      </c>
      <c r="I75" s="2"/>
      <c r="J75" s="2"/>
      <c r="K75" s="1"/>
      <c r="L75" s="1"/>
      <c r="M75" s="1">
        <v>64</v>
      </c>
      <c r="N75" s="1" t="str">
        <f ca="1">IF(OR($U75=0,$W75="",$X75&lt;=0),"",IF($W75&gt;TODAY(),"",IF(AND(INDEX(UCRETLER!$E$7:$E$606,$U75)&lt;&gt;"",$W75&gt;INDEX(UCRETLER!$E$7:$E$606,$U75)),"",$W75)))</f>
        <v/>
      </c>
      <c r="O75" s="1" t="str">
        <f ca="1"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" t="str">
        <f t="shared" ca="1" si="10"/>
        <v/>
      </c>
      <c r="Q75" s="1"/>
      <c r="R75" s="1">
        <f t="shared" ca="1" si="11"/>
        <v>0</v>
      </c>
      <c r="S75" s="1">
        <v>0</v>
      </c>
      <c r="T75" s="1">
        <f t="shared" ca="1" si="7"/>
        <v>10000000000</v>
      </c>
      <c r="U75" s="1">
        <f t="shared" si="13"/>
        <v>49</v>
      </c>
      <c r="V75" s="1">
        <v>63</v>
      </c>
      <c r="W75" s="90">
        <f>IF($U75=0,"",IF(INDEX(UCRETLER!$D$7:$D$606,$U75)="","",IF(INDEX(UCRETLER!$F$7:$F$606,$U75)="Aylık",EOMONTH(INDEX(UCRETLER!$D$7:$D$606,$U75),$V75-1),INDEX(UCRETLER!$U$7:$U$606,$U75)+7*($V75-1))))</f>
        <v>47938</v>
      </c>
      <c r="X75" s="79">
        <f>IF($U75=0,0,INDEX(UCRETLER!$G$7:$G$606,$U75))</f>
        <v>3000</v>
      </c>
      <c r="Y75" s="1">
        <f t="shared" ca="1" si="8"/>
        <v>10000000000</v>
      </c>
      <c r="Z75" s="1">
        <f t="shared" ca="1" si="9"/>
        <v>1</v>
      </c>
      <c r="AA75" s="1"/>
      <c r="AB75" s="1"/>
      <c r="AC75" s="1"/>
      <c r="AD75" s="1"/>
    </row>
    <row r="76" spans="1:30" ht="19.5" customHeight="1" x14ac:dyDescent="0.3">
      <c r="A76" s="2"/>
      <c r="B76" s="86" t="str">
        <f t="shared" ref="B76:B139" ca="1" si="14">IF($C76="","",ROW()-11)</f>
        <v/>
      </c>
      <c r="C76" s="87" t="str">
        <f t="shared" ref="C76:C139" ca="1" si="15">IF($Z76="","",IF(INDEX($N$12:$N$432,$Z76)="","",INDEX($N$12:$N$432,$Z76)))</f>
        <v/>
      </c>
      <c r="D76" s="88" t="str">
        <f t="shared" ref="D76:D139" ca="1" si="16">IF($C76="","",INDEX($O$12:$O$432,$Z76))</f>
        <v/>
      </c>
      <c r="E76" s="86" t="str">
        <f t="shared" ref="E76:E139" ca="1" si="17">IF($C76="","",INDEX($P$12:$P$432,$Z76))</f>
        <v/>
      </c>
      <c r="F76" s="89" t="str">
        <f t="shared" ref="F76:F139" ca="1" si="18">IF($C76="","",INDEX($R$12:$R$432,$Z76))</f>
        <v/>
      </c>
      <c r="G76" s="89" t="str">
        <f t="shared" ref="G76:G139" ca="1" si="19">IF($C76="","",INDEX($S$12:$S$432,$Z76))</f>
        <v/>
      </c>
      <c r="H76" s="89" t="str">
        <f t="shared" ref="H76:H139" ca="1" si="20">IF($C76="","",N($H75)+$F76-$G76)</f>
        <v/>
      </c>
      <c r="I76" s="2"/>
      <c r="J76" s="2"/>
      <c r="K76" s="1"/>
      <c r="L76" s="1"/>
      <c r="M76" s="1">
        <v>65</v>
      </c>
      <c r="N76" s="1" t="str">
        <f ca="1">IF(OR($U76=0,$W76="",$X76&lt;=0),"",IF($W76&gt;TODAY(),"",IF(AND(INDEX(UCRETLER!$E$7:$E$606,$U76)&lt;&gt;"",$W76&gt;INDEX(UCRETLER!$E$7:$E$606,$U76)),"",$W76)))</f>
        <v/>
      </c>
      <c r="O76" s="1" t="str">
        <f ca="1"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" t="str">
        <f t="shared" ca="1" si="10"/>
        <v/>
      </c>
      <c r="Q76" s="1"/>
      <c r="R76" s="1">
        <f t="shared" ca="1" si="11"/>
        <v>0</v>
      </c>
      <c r="S76" s="1">
        <v>0</v>
      </c>
      <c r="T76" s="1">
        <f t="shared" ref="T76:T139" ca="1" si="21">IF($N76="",10000000000,$N76*100000+$M76)</f>
        <v>10000000000</v>
      </c>
      <c r="U76" s="1">
        <f t="shared" si="13"/>
        <v>49</v>
      </c>
      <c r="V76" s="1">
        <v>64</v>
      </c>
      <c r="W76" s="90">
        <f>IF($U76=0,"",IF(INDEX(UCRETLER!$D$7:$D$606,$U76)="","",IF(INDEX(UCRETLER!$F$7:$F$606,$U76)="Aylık",EOMONTH(INDEX(UCRETLER!$D$7:$D$606,$U76),$V76-1),INDEX(UCRETLER!$U$7:$U$606,$U76)+7*($V76-1))))</f>
        <v>47968</v>
      </c>
      <c r="X76" s="79">
        <f>IF($U76=0,0,INDEX(UCRETLER!$G$7:$G$606,$U76))</f>
        <v>3000</v>
      </c>
      <c r="Y76" s="1">
        <f t="shared" ref="Y76:Y139" ca="1" si="22">IFERROR(SMALL($T$12:$T$432,ROW()-11),"")</f>
        <v>10000000000</v>
      </c>
      <c r="Z76" s="1">
        <f t="shared" ref="Z76:Z139" ca="1" si="23">IFERROR(MATCH($Y76,$T$12:$T$432,0),"")</f>
        <v>1</v>
      </c>
      <c r="AA76" s="1"/>
      <c r="AB76" s="1"/>
      <c r="AC76" s="1"/>
      <c r="AD76" s="1"/>
    </row>
    <row r="77" spans="1:30" ht="19.5" customHeight="1" x14ac:dyDescent="0.3">
      <c r="A77" s="2"/>
      <c r="B77" s="86" t="str">
        <f t="shared" ca="1" si="14"/>
        <v/>
      </c>
      <c r="C77" s="87" t="str">
        <f t="shared" ca="1" si="15"/>
        <v/>
      </c>
      <c r="D77" s="88" t="str">
        <f t="shared" ca="1" si="16"/>
        <v/>
      </c>
      <c r="E77" s="86" t="str">
        <f t="shared" ca="1" si="17"/>
        <v/>
      </c>
      <c r="F77" s="89" t="str">
        <f t="shared" ca="1" si="18"/>
        <v/>
      </c>
      <c r="G77" s="89" t="str">
        <f t="shared" ca="1" si="19"/>
        <v/>
      </c>
      <c r="H77" s="89" t="str">
        <f t="shared" ca="1" si="20"/>
        <v/>
      </c>
      <c r="I77" s="2"/>
      <c r="J77" s="2"/>
      <c r="K77" s="1"/>
      <c r="L77" s="1"/>
      <c r="M77" s="1">
        <v>66</v>
      </c>
      <c r="N77" s="1" t="str">
        <f ca="1">IF(OR($U77=0,$W77="",$X77&lt;=0),"",IF($W77&gt;TODAY(),"",IF(AND(INDEX(UCRETLER!$E$7:$E$606,$U77)&lt;&gt;"",$W77&gt;INDEX(UCRETLER!$E$7:$E$606,$U77)),"",$W77)))</f>
        <v/>
      </c>
      <c r="O77" s="1" t="str">
        <f ca="1"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" t="str">
        <f t="shared" ref="P77:P140" ca="1" si="24">IF($N77="","","TAHAKKUK")</f>
        <v/>
      </c>
      <c r="Q77" s="1"/>
      <c r="R77" s="1">
        <f t="shared" ref="R77:R140" ca="1" si="25">IF($N77="",0,$X77)</f>
        <v>0</v>
      </c>
      <c r="S77" s="1">
        <v>0</v>
      </c>
      <c r="T77" s="1">
        <f t="shared" ca="1" si="21"/>
        <v>10000000000</v>
      </c>
      <c r="U77" s="1">
        <f t="shared" ref="U77:U92" si="26">$AB$4</f>
        <v>49</v>
      </c>
      <c r="V77" s="1">
        <v>65</v>
      </c>
      <c r="W77" s="90">
        <f>IF($U77=0,"",IF(INDEX(UCRETLER!$D$7:$D$606,$U77)="","",IF(INDEX(UCRETLER!$F$7:$F$606,$U77)="Aylık",EOMONTH(INDEX(UCRETLER!$D$7:$D$606,$U77),$V77-1),INDEX(UCRETLER!$U$7:$U$606,$U77)+7*($V77-1))))</f>
        <v>47999</v>
      </c>
      <c r="X77" s="79">
        <f>IF($U77=0,0,INDEX(UCRETLER!$G$7:$G$606,$U77))</f>
        <v>3000</v>
      </c>
      <c r="Y77" s="1">
        <f t="shared" ca="1" si="22"/>
        <v>10000000000</v>
      </c>
      <c r="Z77" s="1">
        <f t="shared" ca="1" si="23"/>
        <v>1</v>
      </c>
      <c r="AA77" s="1"/>
      <c r="AB77" s="1"/>
      <c r="AC77" s="1"/>
      <c r="AD77" s="1"/>
    </row>
    <row r="78" spans="1:30" ht="19.5" customHeight="1" x14ac:dyDescent="0.3">
      <c r="A78" s="2"/>
      <c r="B78" s="86" t="str">
        <f t="shared" ca="1" si="14"/>
        <v/>
      </c>
      <c r="C78" s="87" t="str">
        <f t="shared" ca="1" si="15"/>
        <v/>
      </c>
      <c r="D78" s="88" t="str">
        <f t="shared" ca="1" si="16"/>
        <v/>
      </c>
      <c r="E78" s="86" t="str">
        <f t="shared" ca="1" si="17"/>
        <v/>
      </c>
      <c r="F78" s="89" t="str">
        <f t="shared" ca="1" si="18"/>
        <v/>
      </c>
      <c r="G78" s="89" t="str">
        <f t="shared" ca="1" si="19"/>
        <v/>
      </c>
      <c r="H78" s="89" t="str">
        <f t="shared" ca="1" si="20"/>
        <v/>
      </c>
      <c r="I78" s="2"/>
      <c r="J78" s="2"/>
      <c r="K78" s="1"/>
      <c r="L78" s="1"/>
      <c r="M78" s="1">
        <v>67</v>
      </c>
      <c r="N78" s="1" t="str">
        <f ca="1">IF(OR($U78=0,$W78="",$X78&lt;=0),"",IF($W78&gt;TODAY(),"",IF(AND(INDEX(UCRETLER!$E$7:$E$606,$U78)&lt;&gt;"",$W78&gt;INDEX(UCRETLER!$E$7:$E$606,$U78)),"",$W78)))</f>
        <v/>
      </c>
      <c r="O78" s="1" t="str">
        <f ca="1"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" t="str">
        <f t="shared" ca="1" si="24"/>
        <v/>
      </c>
      <c r="Q78" s="1"/>
      <c r="R78" s="1">
        <f t="shared" ca="1" si="25"/>
        <v>0</v>
      </c>
      <c r="S78" s="1">
        <v>0</v>
      </c>
      <c r="T78" s="1">
        <f t="shared" ca="1" si="21"/>
        <v>10000000000</v>
      </c>
      <c r="U78" s="1">
        <f t="shared" si="26"/>
        <v>49</v>
      </c>
      <c r="V78" s="1">
        <v>66</v>
      </c>
      <c r="W78" s="90">
        <f>IF($U78=0,"",IF(INDEX(UCRETLER!$D$7:$D$606,$U78)="","",IF(INDEX(UCRETLER!$F$7:$F$606,$U78)="Aylık",EOMONTH(INDEX(UCRETLER!$D$7:$D$606,$U78),$V78-1),INDEX(UCRETLER!$U$7:$U$606,$U78)+7*($V78-1))))</f>
        <v>48029</v>
      </c>
      <c r="X78" s="79">
        <f>IF($U78=0,0,INDEX(UCRETLER!$G$7:$G$606,$U78))</f>
        <v>3000</v>
      </c>
      <c r="Y78" s="1">
        <f t="shared" ca="1" si="22"/>
        <v>10000000000</v>
      </c>
      <c r="Z78" s="1">
        <f t="shared" ca="1" si="23"/>
        <v>1</v>
      </c>
      <c r="AA78" s="1"/>
      <c r="AB78" s="1"/>
      <c r="AC78" s="1"/>
      <c r="AD78" s="1"/>
    </row>
    <row r="79" spans="1:30" ht="19.5" customHeight="1" x14ac:dyDescent="0.3">
      <c r="A79" s="2"/>
      <c r="B79" s="86" t="str">
        <f t="shared" ca="1" si="14"/>
        <v/>
      </c>
      <c r="C79" s="87" t="str">
        <f t="shared" ca="1" si="15"/>
        <v/>
      </c>
      <c r="D79" s="88" t="str">
        <f t="shared" ca="1" si="16"/>
        <v/>
      </c>
      <c r="E79" s="86" t="str">
        <f t="shared" ca="1" si="17"/>
        <v/>
      </c>
      <c r="F79" s="89" t="str">
        <f t="shared" ca="1" si="18"/>
        <v/>
      </c>
      <c r="G79" s="89" t="str">
        <f t="shared" ca="1" si="19"/>
        <v/>
      </c>
      <c r="H79" s="89" t="str">
        <f t="shared" ca="1" si="20"/>
        <v/>
      </c>
      <c r="I79" s="2"/>
      <c r="J79" s="2"/>
      <c r="K79" s="1"/>
      <c r="L79" s="1"/>
      <c r="M79" s="1">
        <v>68</v>
      </c>
      <c r="N79" s="1" t="str">
        <f ca="1">IF(OR($U79=0,$W79="",$X79&lt;=0),"",IF($W79&gt;TODAY(),"",IF(AND(INDEX(UCRETLER!$E$7:$E$606,$U79)&lt;&gt;"",$W79&gt;INDEX(UCRETLER!$E$7:$E$606,$U79)),"",$W79)))</f>
        <v/>
      </c>
      <c r="O79" s="1" t="str">
        <f ca="1"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" t="str">
        <f t="shared" ca="1" si="24"/>
        <v/>
      </c>
      <c r="Q79" s="1"/>
      <c r="R79" s="1">
        <f t="shared" ca="1" si="25"/>
        <v>0</v>
      </c>
      <c r="S79" s="1">
        <v>0</v>
      </c>
      <c r="T79" s="1">
        <f t="shared" ca="1" si="21"/>
        <v>10000000000</v>
      </c>
      <c r="U79" s="1">
        <f t="shared" si="26"/>
        <v>49</v>
      </c>
      <c r="V79" s="1">
        <v>67</v>
      </c>
      <c r="W79" s="90">
        <f>IF($U79=0,"",IF(INDEX(UCRETLER!$D$7:$D$606,$U79)="","",IF(INDEX(UCRETLER!$F$7:$F$606,$U79)="Aylık",EOMONTH(INDEX(UCRETLER!$D$7:$D$606,$U79),$V79-1),INDEX(UCRETLER!$U$7:$U$606,$U79)+7*($V79-1))))</f>
        <v>48060</v>
      </c>
      <c r="X79" s="79">
        <f>IF($U79=0,0,INDEX(UCRETLER!$G$7:$G$606,$U79))</f>
        <v>3000</v>
      </c>
      <c r="Y79" s="1">
        <f t="shared" ca="1" si="22"/>
        <v>10000000000</v>
      </c>
      <c r="Z79" s="1">
        <f t="shared" ca="1" si="23"/>
        <v>1</v>
      </c>
      <c r="AA79" s="1"/>
      <c r="AB79" s="1"/>
      <c r="AC79" s="1"/>
      <c r="AD79" s="1"/>
    </row>
    <row r="80" spans="1:30" ht="19.5" customHeight="1" x14ac:dyDescent="0.3">
      <c r="A80" s="2"/>
      <c r="B80" s="86" t="str">
        <f t="shared" ca="1" si="14"/>
        <v/>
      </c>
      <c r="C80" s="87" t="str">
        <f t="shared" ca="1" si="15"/>
        <v/>
      </c>
      <c r="D80" s="88" t="str">
        <f t="shared" ca="1" si="16"/>
        <v/>
      </c>
      <c r="E80" s="86" t="str">
        <f t="shared" ca="1" si="17"/>
        <v/>
      </c>
      <c r="F80" s="89" t="str">
        <f t="shared" ca="1" si="18"/>
        <v/>
      </c>
      <c r="G80" s="89" t="str">
        <f t="shared" ca="1" si="19"/>
        <v/>
      </c>
      <c r="H80" s="89" t="str">
        <f t="shared" ca="1" si="20"/>
        <v/>
      </c>
      <c r="I80" s="2"/>
      <c r="J80" s="2"/>
      <c r="K80" s="1"/>
      <c r="L80" s="1"/>
      <c r="M80" s="1">
        <v>69</v>
      </c>
      <c r="N80" s="1" t="str">
        <f ca="1">IF(OR($U80=0,$W80="",$X80&lt;=0),"",IF($W80&gt;TODAY(),"",IF(AND(INDEX(UCRETLER!$E$7:$E$606,$U80)&lt;&gt;"",$W80&gt;INDEX(UCRETLER!$E$7:$E$606,$U80)),"",$W80)))</f>
        <v/>
      </c>
      <c r="O80" s="1" t="str">
        <f ca="1"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" t="str">
        <f t="shared" ca="1" si="24"/>
        <v/>
      </c>
      <c r="Q80" s="1"/>
      <c r="R80" s="1">
        <f t="shared" ca="1" si="25"/>
        <v>0</v>
      </c>
      <c r="S80" s="1">
        <v>0</v>
      </c>
      <c r="T80" s="1">
        <f t="shared" ca="1" si="21"/>
        <v>10000000000</v>
      </c>
      <c r="U80" s="1">
        <f t="shared" si="26"/>
        <v>49</v>
      </c>
      <c r="V80" s="1">
        <v>68</v>
      </c>
      <c r="W80" s="90">
        <f>IF($U80=0,"",IF(INDEX(UCRETLER!$D$7:$D$606,$U80)="","",IF(INDEX(UCRETLER!$F$7:$F$606,$U80)="Aylık",EOMONTH(INDEX(UCRETLER!$D$7:$D$606,$U80),$V80-1),INDEX(UCRETLER!$U$7:$U$606,$U80)+7*($V80-1))))</f>
        <v>48091</v>
      </c>
      <c r="X80" s="79">
        <f>IF($U80=0,0,INDEX(UCRETLER!$G$7:$G$606,$U80))</f>
        <v>3000</v>
      </c>
      <c r="Y80" s="1">
        <f t="shared" ca="1" si="22"/>
        <v>10000000000</v>
      </c>
      <c r="Z80" s="1">
        <f t="shared" ca="1" si="23"/>
        <v>1</v>
      </c>
      <c r="AA80" s="1"/>
      <c r="AB80" s="1"/>
      <c r="AC80" s="1"/>
      <c r="AD80" s="1"/>
    </row>
    <row r="81" spans="1:30" ht="19.5" customHeight="1" x14ac:dyDescent="0.3">
      <c r="A81" s="2"/>
      <c r="B81" s="86" t="str">
        <f t="shared" ca="1" si="14"/>
        <v/>
      </c>
      <c r="C81" s="87" t="str">
        <f t="shared" ca="1" si="15"/>
        <v/>
      </c>
      <c r="D81" s="88" t="str">
        <f t="shared" ca="1" si="16"/>
        <v/>
      </c>
      <c r="E81" s="86" t="str">
        <f t="shared" ca="1" si="17"/>
        <v/>
      </c>
      <c r="F81" s="89" t="str">
        <f t="shared" ca="1" si="18"/>
        <v/>
      </c>
      <c r="G81" s="89" t="str">
        <f t="shared" ca="1" si="19"/>
        <v/>
      </c>
      <c r="H81" s="89" t="str">
        <f t="shared" ca="1" si="20"/>
        <v/>
      </c>
      <c r="I81" s="2"/>
      <c r="J81" s="2"/>
      <c r="K81" s="1"/>
      <c r="L81" s="1"/>
      <c r="M81" s="1">
        <v>70</v>
      </c>
      <c r="N81" s="1" t="str">
        <f ca="1">IF(OR($U81=0,$W81="",$X81&lt;=0),"",IF($W81&gt;TODAY(),"",IF(AND(INDEX(UCRETLER!$E$7:$E$606,$U81)&lt;&gt;"",$W81&gt;INDEX(UCRETLER!$E$7:$E$606,$U81)),"",$W81)))</f>
        <v/>
      </c>
      <c r="O81" s="1" t="str">
        <f ca="1"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" t="str">
        <f t="shared" ca="1" si="24"/>
        <v/>
      </c>
      <c r="Q81" s="1"/>
      <c r="R81" s="1">
        <f t="shared" ca="1" si="25"/>
        <v>0</v>
      </c>
      <c r="S81" s="1">
        <v>0</v>
      </c>
      <c r="T81" s="1">
        <f t="shared" ca="1" si="21"/>
        <v>10000000000</v>
      </c>
      <c r="U81" s="1">
        <f t="shared" si="26"/>
        <v>49</v>
      </c>
      <c r="V81" s="1">
        <v>69</v>
      </c>
      <c r="W81" s="90">
        <f>IF($U81=0,"",IF(INDEX(UCRETLER!$D$7:$D$606,$U81)="","",IF(INDEX(UCRETLER!$F$7:$F$606,$U81)="Aylık",EOMONTH(INDEX(UCRETLER!$D$7:$D$606,$U81),$V81-1),INDEX(UCRETLER!$U$7:$U$606,$U81)+7*($V81-1))))</f>
        <v>48121</v>
      </c>
      <c r="X81" s="79">
        <f>IF($U81=0,0,INDEX(UCRETLER!$G$7:$G$606,$U81))</f>
        <v>3000</v>
      </c>
      <c r="Y81" s="1">
        <f t="shared" ca="1" si="22"/>
        <v>10000000000</v>
      </c>
      <c r="Z81" s="1">
        <f t="shared" ca="1" si="23"/>
        <v>1</v>
      </c>
      <c r="AA81" s="1"/>
      <c r="AB81" s="1"/>
      <c r="AC81" s="1"/>
      <c r="AD81" s="1"/>
    </row>
    <row r="82" spans="1:30" ht="19.5" customHeight="1" x14ac:dyDescent="0.3">
      <c r="A82" s="2"/>
      <c r="B82" s="86" t="str">
        <f t="shared" ca="1" si="14"/>
        <v/>
      </c>
      <c r="C82" s="87" t="str">
        <f t="shared" ca="1" si="15"/>
        <v/>
      </c>
      <c r="D82" s="88" t="str">
        <f t="shared" ca="1" si="16"/>
        <v/>
      </c>
      <c r="E82" s="86" t="str">
        <f t="shared" ca="1" si="17"/>
        <v/>
      </c>
      <c r="F82" s="89" t="str">
        <f t="shared" ca="1" si="18"/>
        <v/>
      </c>
      <c r="G82" s="89" t="str">
        <f t="shared" ca="1" si="19"/>
        <v/>
      </c>
      <c r="H82" s="89" t="str">
        <f t="shared" ca="1" si="20"/>
        <v/>
      </c>
      <c r="I82" s="2"/>
      <c r="J82" s="2"/>
      <c r="K82" s="1"/>
      <c r="L82" s="1"/>
      <c r="M82" s="1">
        <v>71</v>
      </c>
      <c r="N82" s="1" t="str">
        <f ca="1">IF(OR($U82=0,$W82="",$X82&lt;=0),"",IF($W82&gt;TODAY(),"",IF(AND(INDEX(UCRETLER!$E$7:$E$606,$U82)&lt;&gt;"",$W82&gt;INDEX(UCRETLER!$E$7:$E$606,$U82)),"",$W82)))</f>
        <v/>
      </c>
      <c r="O82" s="1" t="str">
        <f ca="1"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" t="str">
        <f t="shared" ca="1" si="24"/>
        <v/>
      </c>
      <c r="Q82" s="1"/>
      <c r="R82" s="1">
        <f t="shared" ca="1" si="25"/>
        <v>0</v>
      </c>
      <c r="S82" s="1">
        <v>0</v>
      </c>
      <c r="T82" s="1">
        <f t="shared" ca="1" si="21"/>
        <v>10000000000</v>
      </c>
      <c r="U82" s="1">
        <f t="shared" si="26"/>
        <v>49</v>
      </c>
      <c r="V82" s="1">
        <v>70</v>
      </c>
      <c r="W82" s="90">
        <f>IF($U82=0,"",IF(INDEX(UCRETLER!$D$7:$D$606,$U82)="","",IF(INDEX(UCRETLER!$F$7:$F$606,$U82)="Aylık",EOMONTH(INDEX(UCRETLER!$D$7:$D$606,$U82),$V82-1),INDEX(UCRETLER!$U$7:$U$606,$U82)+7*($V82-1))))</f>
        <v>48152</v>
      </c>
      <c r="X82" s="79">
        <f>IF($U82=0,0,INDEX(UCRETLER!$G$7:$G$606,$U82))</f>
        <v>3000</v>
      </c>
      <c r="Y82" s="1">
        <f t="shared" ca="1" si="22"/>
        <v>10000000000</v>
      </c>
      <c r="Z82" s="1">
        <f t="shared" ca="1" si="23"/>
        <v>1</v>
      </c>
      <c r="AA82" s="1"/>
      <c r="AB82" s="1"/>
      <c r="AC82" s="1"/>
      <c r="AD82" s="1"/>
    </row>
    <row r="83" spans="1:30" ht="19.5" customHeight="1" x14ac:dyDescent="0.3">
      <c r="A83" s="2"/>
      <c r="B83" s="86" t="str">
        <f t="shared" ca="1" si="14"/>
        <v/>
      </c>
      <c r="C83" s="87" t="str">
        <f t="shared" ca="1" si="15"/>
        <v/>
      </c>
      <c r="D83" s="88" t="str">
        <f t="shared" ca="1" si="16"/>
        <v/>
      </c>
      <c r="E83" s="86" t="str">
        <f t="shared" ca="1" si="17"/>
        <v/>
      </c>
      <c r="F83" s="89" t="str">
        <f t="shared" ca="1" si="18"/>
        <v/>
      </c>
      <c r="G83" s="89" t="str">
        <f t="shared" ca="1" si="19"/>
        <v/>
      </c>
      <c r="H83" s="89" t="str">
        <f t="shared" ca="1" si="20"/>
        <v/>
      </c>
      <c r="I83" s="2"/>
      <c r="J83" s="2"/>
      <c r="K83" s="1"/>
      <c r="L83" s="1"/>
      <c r="M83" s="1">
        <v>72</v>
      </c>
      <c r="N83" s="1" t="str">
        <f ca="1">IF(OR($U83=0,$W83="",$X83&lt;=0),"",IF($W83&gt;TODAY(),"",IF(AND(INDEX(UCRETLER!$E$7:$E$606,$U83)&lt;&gt;"",$W83&gt;INDEX(UCRETLER!$E$7:$E$606,$U83)),"",$W83)))</f>
        <v/>
      </c>
      <c r="O83" s="1" t="str">
        <f ca="1"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" t="str">
        <f t="shared" ca="1" si="24"/>
        <v/>
      </c>
      <c r="Q83" s="1"/>
      <c r="R83" s="1">
        <f t="shared" ca="1" si="25"/>
        <v>0</v>
      </c>
      <c r="S83" s="1">
        <v>0</v>
      </c>
      <c r="T83" s="1">
        <f t="shared" ca="1" si="21"/>
        <v>10000000000</v>
      </c>
      <c r="U83" s="1">
        <f t="shared" si="26"/>
        <v>49</v>
      </c>
      <c r="V83" s="1">
        <v>71</v>
      </c>
      <c r="W83" s="90">
        <f>IF($U83=0,"",IF(INDEX(UCRETLER!$D$7:$D$606,$U83)="","",IF(INDEX(UCRETLER!$F$7:$F$606,$U83)="Aylık",EOMONTH(INDEX(UCRETLER!$D$7:$D$606,$U83),$V83-1),INDEX(UCRETLER!$U$7:$U$606,$U83)+7*($V83-1))))</f>
        <v>48182</v>
      </c>
      <c r="X83" s="79">
        <f>IF($U83=0,0,INDEX(UCRETLER!$G$7:$G$606,$U83))</f>
        <v>3000</v>
      </c>
      <c r="Y83" s="1">
        <f t="shared" ca="1" si="22"/>
        <v>10000000000</v>
      </c>
      <c r="Z83" s="1">
        <f t="shared" ca="1" si="23"/>
        <v>1</v>
      </c>
      <c r="AA83" s="1"/>
      <c r="AB83" s="1"/>
      <c r="AC83" s="1"/>
      <c r="AD83" s="1"/>
    </row>
    <row r="84" spans="1:30" ht="19.5" customHeight="1" x14ac:dyDescent="0.3">
      <c r="A84" s="2"/>
      <c r="B84" s="86" t="str">
        <f t="shared" ca="1" si="14"/>
        <v/>
      </c>
      <c r="C84" s="87" t="str">
        <f t="shared" ca="1" si="15"/>
        <v/>
      </c>
      <c r="D84" s="88" t="str">
        <f t="shared" ca="1" si="16"/>
        <v/>
      </c>
      <c r="E84" s="86" t="str">
        <f t="shared" ca="1" si="17"/>
        <v/>
      </c>
      <c r="F84" s="89" t="str">
        <f t="shared" ca="1" si="18"/>
        <v/>
      </c>
      <c r="G84" s="89" t="str">
        <f t="shared" ca="1" si="19"/>
        <v/>
      </c>
      <c r="H84" s="89" t="str">
        <f t="shared" ca="1" si="20"/>
        <v/>
      </c>
      <c r="I84" s="2"/>
      <c r="J84" s="2"/>
      <c r="K84" s="1"/>
      <c r="L84" s="1"/>
      <c r="M84" s="1">
        <v>73</v>
      </c>
      <c r="N84" s="1" t="str">
        <f ca="1">IF(OR($U84=0,$W84="",$X84&lt;=0),"",IF($W84&gt;TODAY(),"",IF(AND(INDEX(UCRETLER!$E$7:$E$606,$U84)&lt;&gt;"",$W84&gt;INDEX(UCRETLER!$E$7:$E$606,$U84)),"",$W84)))</f>
        <v/>
      </c>
      <c r="O84" s="1" t="str">
        <f ca="1"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" t="str">
        <f t="shared" ca="1" si="24"/>
        <v/>
      </c>
      <c r="Q84" s="1"/>
      <c r="R84" s="1">
        <f t="shared" ca="1" si="25"/>
        <v>0</v>
      </c>
      <c r="S84" s="1">
        <v>0</v>
      </c>
      <c r="T84" s="1">
        <f t="shared" ca="1" si="21"/>
        <v>10000000000</v>
      </c>
      <c r="U84" s="1">
        <f t="shared" si="26"/>
        <v>49</v>
      </c>
      <c r="V84" s="1">
        <v>72</v>
      </c>
      <c r="W84" s="90">
        <f>IF($U84=0,"",IF(INDEX(UCRETLER!$D$7:$D$606,$U84)="","",IF(INDEX(UCRETLER!$F$7:$F$606,$U84)="Aylık",EOMONTH(INDEX(UCRETLER!$D$7:$D$606,$U84),$V84-1),INDEX(UCRETLER!$U$7:$U$606,$U84)+7*($V84-1))))</f>
        <v>48213</v>
      </c>
      <c r="X84" s="79">
        <f>IF($U84=0,0,INDEX(UCRETLER!$G$7:$G$606,$U84))</f>
        <v>3000</v>
      </c>
      <c r="Y84" s="1">
        <f t="shared" ca="1" si="22"/>
        <v>10000000000</v>
      </c>
      <c r="Z84" s="1">
        <f t="shared" ca="1" si="23"/>
        <v>1</v>
      </c>
      <c r="AA84" s="1"/>
      <c r="AB84" s="1"/>
      <c r="AC84" s="1"/>
      <c r="AD84" s="1"/>
    </row>
    <row r="85" spans="1:30" ht="19.5" customHeight="1" x14ac:dyDescent="0.3">
      <c r="A85" s="2"/>
      <c r="B85" s="86" t="str">
        <f t="shared" ca="1" si="14"/>
        <v/>
      </c>
      <c r="C85" s="87" t="str">
        <f t="shared" ca="1" si="15"/>
        <v/>
      </c>
      <c r="D85" s="88" t="str">
        <f t="shared" ca="1" si="16"/>
        <v/>
      </c>
      <c r="E85" s="86" t="str">
        <f t="shared" ca="1" si="17"/>
        <v/>
      </c>
      <c r="F85" s="89" t="str">
        <f t="shared" ca="1" si="18"/>
        <v/>
      </c>
      <c r="G85" s="89" t="str">
        <f t="shared" ca="1" si="19"/>
        <v/>
      </c>
      <c r="H85" s="89" t="str">
        <f t="shared" ca="1" si="20"/>
        <v/>
      </c>
      <c r="I85" s="2"/>
      <c r="J85" s="2"/>
      <c r="K85" s="1"/>
      <c r="L85" s="1"/>
      <c r="M85" s="1">
        <v>74</v>
      </c>
      <c r="N85" s="1" t="str">
        <f ca="1">IF(OR($U85=0,$W85="",$X85&lt;=0),"",IF($W85&gt;TODAY(),"",IF(AND(INDEX(UCRETLER!$E$7:$E$606,$U85)&lt;&gt;"",$W85&gt;INDEX(UCRETLER!$E$7:$E$606,$U85)),"",$W85)))</f>
        <v/>
      </c>
      <c r="O85" s="1" t="str">
        <f ca="1"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" t="str">
        <f t="shared" ca="1" si="24"/>
        <v/>
      </c>
      <c r="Q85" s="1"/>
      <c r="R85" s="1">
        <f t="shared" ca="1" si="25"/>
        <v>0</v>
      </c>
      <c r="S85" s="1">
        <v>0</v>
      </c>
      <c r="T85" s="1">
        <f t="shared" ca="1" si="21"/>
        <v>10000000000</v>
      </c>
      <c r="U85" s="1">
        <f t="shared" si="26"/>
        <v>49</v>
      </c>
      <c r="V85" s="1">
        <v>73</v>
      </c>
      <c r="W85" s="90">
        <f>IF($U85=0,"",IF(INDEX(UCRETLER!$D$7:$D$606,$U85)="","",IF(INDEX(UCRETLER!$F$7:$F$606,$U85)="Aylık",EOMONTH(INDEX(UCRETLER!$D$7:$D$606,$U85),$V85-1),INDEX(UCRETLER!$U$7:$U$606,$U85)+7*($V85-1))))</f>
        <v>48244</v>
      </c>
      <c r="X85" s="79">
        <f>IF($U85=0,0,INDEX(UCRETLER!$G$7:$G$606,$U85))</f>
        <v>3000</v>
      </c>
      <c r="Y85" s="1">
        <f t="shared" ca="1" si="22"/>
        <v>10000000000</v>
      </c>
      <c r="Z85" s="1">
        <f t="shared" ca="1" si="23"/>
        <v>1</v>
      </c>
      <c r="AA85" s="1"/>
      <c r="AB85" s="1"/>
      <c r="AC85" s="1"/>
      <c r="AD85" s="1"/>
    </row>
    <row r="86" spans="1:30" ht="19.5" customHeight="1" x14ac:dyDescent="0.3">
      <c r="A86" s="2"/>
      <c r="B86" s="86" t="str">
        <f t="shared" ca="1" si="14"/>
        <v/>
      </c>
      <c r="C86" s="87" t="str">
        <f t="shared" ca="1" si="15"/>
        <v/>
      </c>
      <c r="D86" s="88" t="str">
        <f t="shared" ca="1" si="16"/>
        <v/>
      </c>
      <c r="E86" s="86" t="str">
        <f t="shared" ca="1" si="17"/>
        <v/>
      </c>
      <c r="F86" s="89" t="str">
        <f t="shared" ca="1" si="18"/>
        <v/>
      </c>
      <c r="G86" s="89" t="str">
        <f t="shared" ca="1" si="19"/>
        <v/>
      </c>
      <c r="H86" s="89" t="str">
        <f t="shared" ca="1" si="20"/>
        <v/>
      </c>
      <c r="I86" s="2"/>
      <c r="J86" s="2"/>
      <c r="K86" s="1"/>
      <c r="L86" s="1"/>
      <c r="M86" s="1">
        <v>75</v>
      </c>
      <c r="N86" s="1" t="str">
        <f ca="1">IF(OR($U86=0,$W86="",$X86&lt;=0),"",IF($W86&gt;TODAY(),"",IF(AND(INDEX(UCRETLER!$E$7:$E$606,$U86)&lt;&gt;"",$W86&gt;INDEX(UCRETLER!$E$7:$E$606,$U86)),"",$W86)))</f>
        <v/>
      </c>
      <c r="O86" s="1" t="str">
        <f ca="1"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" t="str">
        <f t="shared" ca="1" si="24"/>
        <v/>
      </c>
      <c r="Q86" s="1"/>
      <c r="R86" s="1">
        <f t="shared" ca="1" si="25"/>
        <v>0</v>
      </c>
      <c r="S86" s="1">
        <v>0</v>
      </c>
      <c r="T86" s="1">
        <f t="shared" ca="1" si="21"/>
        <v>10000000000</v>
      </c>
      <c r="U86" s="1">
        <f t="shared" si="26"/>
        <v>49</v>
      </c>
      <c r="V86" s="1">
        <v>74</v>
      </c>
      <c r="W86" s="90">
        <f>IF($U86=0,"",IF(INDEX(UCRETLER!$D$7:$D$606,$U86)="","",IF(INDEX(UCRETLER!$F$7:$F$606,$U86)="Aylık",EOMONTH(INDEX(UCRETLER!$D$7:$D$606,$U86),$V86-1),INDEX(UCRETLER!$U$7:$U$606,$U86)+7*($V86-1))))</f>
        <v>48273</v>
      </c>
      <c r="X86" s="79">
        <f>IF($U86=0,0,INDEX(UCRETLER!$G$7:$G$606,$U86))</f>
        <v>3000</v>
      </c>
      <c r="Y86" s="1">
        <f t="shared" ca="1" si="22"/>
        <v>10000000000</v>
      </c>
      <c r="Z86" s="1">
        <f t="shared" ca="1" si="23"/>
        <v>1</v>
      </c>
      <c r="AA86" s="1"/>
      <c r="AB86" s="1"/>
      <c r="AC86" s="1"/>
      <c r="AD86" s="1"/>
    </row>
    <row r="87" spans="1:30" ht="19.5" customHeight="1" x14ac:dyDescent="0.3">
      <c r="A87" s="2"/>
      <c r="B87" s="86" t="str">
        <f t="shared" ca="1" si="14"/>
        <v/>
      </c>
      <c r="C87" s="87" t="str">
        <f t="shared" ca="1" si="15"/>
        <v/>
      </c>
      <c r="D87" s="88" t="str">
        <f t="shared" ca="1" si="16"/>
        <v/>
      </c>
      <c r="E87" s="86" t="str">
        <f t="shared" ca="1" si="17"/>
        <v/>
      </c>
      <c r="F87" s="89" t="str">
        <f t="shared" ca="1" si="18"/>
        <v/>
      </c>
      <c r="G87" s="89" t="str">
        <f t="shared" ca="1" si="19"/>
        <v/>
      </c>
      <c r="H87" s="89" t="str">
        <f t="shared" ca="1" si="20"/>
        <v/>
      </c>
      <c r="I87" s="2"/>
      <c r="J87" s="2"/>
      <c r="K87" s="1"/>
      <c r="L87" s="1"/>
      <c r="M87" s="1">
        <v>76</v>
      </c>
      <c r="N87" s="1" t="str">
        <f ca="1">IF(OR($U87=0,$W87="",$X87&lt;=0),"",IF($W87&gt;TODAY(),"",IF(AND(INDEX(UCRETLER!$E$7:$E$606,$U87)&lt;&gt;"",$W87&gt;INDEX(UCRETLER!$E$7:$E$606,$U87)),"",$W87)))</f>
        <v/>
      </c>
      <c r="O87" s="1" t="str">
        <f ca="1"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" t="str">
        <f t="shared" ca="1" si="24"/>
        <v/>
      </c>
      <c r="Q87" s="1"/>
      <c r="R87" s="1">
        <f t="shared" ca="1" si="25"/>
        <v>0</v>
      </c>
      <c r="S87" s="1">
        <v>0</v>
      </c>
      <c r="T87" s="1">
        <f t="shared" ca="1" si="21"/>
        <v>10000000000</v>
      </c>
      <c r="U87" s="1">
        <f t="shared" si="26"/>
        <v>49</v>
      </c>
      <c r="V87" s="1">
        <v>75</v>
      </c>
      <c r="W87" s="90">
        <f>IF($U87=0,"",IF(INDEX(UCRETLER!$D$7:$D$606,$U87)="","",IF(INDEX(UCRETLER!$F$7:$F$606,$U87)="Aylık",EOMONTH(INDEX(UCRETLER!$D$7:$D$606,$U87),$V87-1),INDEX(UCRETLER!$U$7:$U$606,$U87)+7*($V87-1))))</f>
        <v>48304</v>
      </c>
      <c r="X87" s="79">
        <f>IF($U87=0,0,INDEX(UCRETLER!$G$7:$G$606,$U87))</f>
        <v>3000</v>
      </c>
      <c r="Y87" s="1">
        <f t="shared" ca="1" si="22"/>
        <v>10000000000</v>
      </c>
      <c r="Z87" s="1">
        <f t="shared" ca="1" si="23"/>
        <v>1</v>
      </c>
      <c r="AA87" s="1"/>
      <c r="AB87" s="1"/>
      <c r="AC87" s="1"/>
      <c r="AD87" s="1"/>
    </row>
    <row r="88" spans="1:30" ht="19.5" customHeight="1" x14ac:dyDescent="0.3">
      <c r="A88" s="2"/>
      <c r="B88" s="86" t="str">
        <f t="shared" ca="1" si="14"/>
        <v/>
      </c>
      <c r="C88" s="87" t="str">
        <f t="shared" ca="1" si="15"/>
        <v/>
      </c>
      <c r="D88" s="88" t="str">
        <f t="shared" ca="1" si="16"/>
        <v/>
      </c>
      <c r="E88" s="86" t="str">
        <f t="shared" ca="1" si="17"/>
        <v/>
      </c>
      <c r="F88" s="89" t="str">
        <f t="shared" ca="1" si="18"/>
        <v/>
      </c>
      <c r="G88" s="89" t="str">
        <f t="shared" ca="1" si="19"/>
        <v/>
      </c>
      <c r="H88" s="89" t="str">
        <f t="shared" ca="1" si="20"/>
        <v/>
      </c>
      <c r="I88" s="2"/>
      <c r="J88" s="2"/>
      <c r="K88" s="1"/>
      <c r="L88" s="1"/>
      <c r="M88" s="1">
        <v>77</v>
      </c>
      <c r="N88" s="1" t="str">
        <f ca="1">IF(OR($U88=0,$W88="",$X88&lt;=0),"",IF($W88&gt;TODAY(),"",IF(AND(INDEX(UCRETLER!$E$7:$E$606,$U88)&lt;&gt;"",$W88&gt;INDEX(UCRETLER!$E$7:$E$606,$U88)),"",$W88)))</f>
        <v/>
      </c>
      <c r="O88" s="1" t="str">
        <f ca="1"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" t="str">
        <f t="shared" ca="1" si="24"/>
        <v/>
      </c>
      <c r="Q88" s="1"/>
      <c r="R88" s="1">
        <f t="shared" ca="1" si="25"/>
        <v>0</v>
      </c>
      <c r="S88" s="1">
        <v>0</v>
      </c>
      <c r="T88" s="1">
        <f t="shared" ca="1" si="21"/>
        <v>10000000000</v>
      </c>
      <c r="U88" s="1">
        <f t="shared" si="26"/>
        <v>49</v>
      </c>
      <c r="V88" s="1">
        <v>76</v>
      </c>
      <c r="W88" s="90">
        <f>IF($U88=0,"",IF(INDEX(UCRETLER!$D$7:$D$606,$U88)="","",IF(INDEX(UCRETLER!$F$7:$F$606,$U88)="Aylık",EOMONTH(INDEX(UCRETLER!$D$7:$D$606,$U88),$V88-1),INDEX(UCRETLER!$U$7:$U$606,$U88)+7*($V88-1))))</f>
        <v>48334</v>
      </c>
      <c r="X88" s="79">
        <f>IF($U88=0,0,INDEX(UCRETLER!$G$7:$G$606,$U88))</f>
        <v>3000</v>
      </c>
      <c r="Y88" s="1">
        <f t="shared" ca="1" si="22"/>
        <v>10000000000</v>
      </c>
      <c r="Z88" s="1">
        <f t="shared" ca="1" si="23"/>
        <v>1</v>
      </c>
      <c r="AA88" s="1"/>
      <c r="AB88" s="1"/>
      <c r="AC88" s="1"/>
      <c r="AD88" s="1"/>
    </row>
    <row r="89" spans="1:30" ht="19.5" customHeight="1" x14ac:dyDescent="0.3">
      <c r="A89" s="2"/>
      <c r="B89" s="86" t="str">
        <f t="shared" ca="1" si="14"/>
        <v/>
      </c>
      <c r="C89" s="87" t="str">
        <f t="shared" ca="1" si="15"/>
        <v/>
      </c>
      <c r="D89" s="88" t="str">
        <f t="shared" ca="1" si="16"/>
        <v/>
      </c>
      <c r="E89" s="86" t="str">
        <f t="shared" ca="1" si="17"/>
        <v/>
      </c>
      <c r="F89" s="89" t="str">
        <f t="shared" ca="1" si="18"/>
        <v/>
      </c>
      <c r="G89" s="89" t="str">
        <f t="shared" ca="1" si="19"/>
        <v/>
      </c>
      <c r="H89" s="89" t="str">
        <f t="shared" ca="1" si="20"/>
        <v/>
      </c>
      <c r="I89" s="2"/>
      <c r="J89" s="2"/>
      <c r="K89" s="1"/>
      <c r="L89" s="1"/>
      <c r="M89" s="1">
        <v>78</v>
      </c>
      <c r="N89" s="1" t="str">
        <f ca="1">IF(OR($U89=0,$W89="",$X89&lt;=0),"",IF($W89&gt;TODAY(),"",IF(AND(INDEX(UCRETLER!$E$7:$E$606,$U89)&lt;&gt;"",$W89&gt;INDEX(UCRETLER!$E$7:$E$606,$U89)),"",$W89)))</f>
        <v/>
      </c>
      <c r="O89" s="1" t="str">
        <f ca="1"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" t="str">
        <f t="shared" ca="1" si="24"/>
        <v/>
      </c>
      <c r="Q89" s="1"/>
      <c r="R89" s="1">
        <f t="shared" ca="1" si="25"/>
        <v>0</v>
      </c>
      <c r="S89" s="1">
        <v>0</v>
      </c>
      <c r="T89" s="1">
        <f t="shared" ca="1" si="21"/>
        <v>10000000000</v>
      </c>
      <c r="U89" s="1">
        <f t="shared" si="26"/>
        <v>49</v>
      </c>
      <c r="V89" s="1">
        <v>77</v>
      </c>
      <c r="W89" s="90">
        <f>IF($U89=0,"",IF(INDEX(UCRETLER!$D$7:$D$606,$U89)="","",IF(INDEX(UCRETLER!$F$7:$F$606,$U89)="Aylık",EOMONTH(INDEX(UCRETLER!$D$7:$D$606,$U89),$V89-1),INDEX(UCRETLER!$U$7:$U$606,$U89)+7*($V89-1))))</f>
        <v>48365</v>
      </c>
      <c r="X89" s="79">
        <f>IF($U89=0,0,INDEX(UCRETLER!$G$7:$G$606,$U89))</f>
        <v>3000</v>
      </c>
      <c r="Y89" s="1">
        <f t="shared" ca="1" si="22"/>
        <v>10000000000</v>
      </c>
      <c r="Z89" s="1">
        <f t="shared" ca="1" si="23"/>
        <v>1</v>
      </c>
      <c r="AA89" s="1"/>
      <c r="AB89" s="1"/>
      <c r="AC89" s="1"/>
      <c r="AD89" s="1"/>
    </row>
    <row r="90" spans="1:30" ht="19.5" customHeight="1" x14ac:dyDescent="0.3">
      <c r="A90" s="2"/>
      <c r="B90" s="86" t="str">
        <f t="shared" ca="1" si="14"/>
        <v/>
      </c>
      <c r="C90" s="87" t="str">
        <f t="shared" ca="1" si="15"/>
        <v/>
      </c>
      <c r="D90" s="88" t="str">
        <f t="shared" ca="1" si="16"/>
        <v/>
      </c>
      <c r="E90" s="86" t="str">
        <f t="shared" ca="1" si="17"/>
        <v/>
      </c>
      <c r="F90" s="89" t="str">
        <f t="shared" ca="1" si="18"/>
        <v/>
      </c>
      <c r="G90" s="89" t="str">
        <f t="shared" ca="1" si="19"/>
        <v/>
      </c>
      <c r="H90" s="89" t="str">
        <f t="shared" ca="1" si="20"/>
        <v/>
      </c>
      <c r="I90" s="2"/>
      <c r="J90" s="2"/>
      <c r="K90" s="1"/>
      <c r="L90" s="1"/>
      <c r="M90" s="1">
        <v>79</v>
      </c>
      <c r="N90" s="1" t="str">
        <f ca="1">IF(OR($U90=0,$W90="",$X90&lt;=0),"",IF($W90&gt;TODAY(),"",IF(AND(INDEX(UCRETLER!$E$7:$E$606,$U90)&lt;&gt;"",$W90&gt;INDEX(UCRETLER!$E$7:$E$606,$U90)),"",$W90)))</f>
        <v/>
      </c>
      <c r="O90" s="1" t="str">
        <f ca="1"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" t="str">
        <f t="shared" ca="1" si="24"/>
        <v/>
      </c>
      <c r="Q90" s="1"/>
      <c r="R90" s="1">
        <f t="shared" ca="1" si="25"/>
        <v>0</v>
      </c>
      <c r="S90" s="1">
        <v>0</v>
      </c>
      <c r="T90" s="1">
        <f t="shared" ca="1" si="21"/>
        <v>10000000000</v>
      </c>
      <c r="U90" s="1">
        <f t="shared" si="26"/>
        <v>49</v>
      </c>
      <c r="V90" s="1">
        <v>78</v>
      </c>
      <c r="W90" s="90">
        <f>IF($U90=0,"",IF(INDEX(UCRETLER!$D$7:$D$606,$U90)="","",IF(INDEX(UCRETLER!$F$7:$F$606,$U90)="Aylık",EOMONTH(INDEX(UCRETLER!$D$7:$D$606,$U90),$V90-1),INDEX(UCRETLER!$U$7:$U$606,$U90)+7*($V90-1))))</f>
        <v>48395</v>
      </c>
      <c r="X90" s="79">
        <f>IF($U90=0,0,INDEX(UCRETLER!$G$7:$G$606,$U90))</f>
        <v>3000</v>
      </c>
      <c r="Y90" s="1">
        <f t="shared" ca="1" si="22"/>
        <v>10000000000</v>
      </c>
      <c r="Z90" s="1">
        <f t="shared" ca="1" si="23"/>
        <v>1</v>
      </c>
      <c r="AA90" s="1"/>
      <c r="AB90" s="1"/>
      <c r="AC90" s="1"/>
      <c r="AD90" s="1"/>
    </row>
    <row r="91" spans="1:30" ht="19.5" customHeight="1" x14ac:dyDescent="0.3">
      <c r="A91" s="2"/>
      <c r="B91" s="86" t="str">
        <f t="shared" ca="1" si="14"/>
        <v/>
      </c>
      <c r="C91" s="87" t="str">
        <f t="shared" ca="1" si="15"/>
        <v/>
      </c>
      <c r="D91" s="88" t="str">
        <f t="shared" ca="1" si="16"/>
        <v/>
      </c>
      <c r="E91" s="86" t="str">
        <f t="shared" ca="1" si="17"/>
        <v/>
      </c>
      <c r="F91" s="89" t="str">
        <f t="shared" ca="1" si="18"/>
        <v/>
      </c>
      <c r="G91" s="89" t="str">
        <f t="shared" ca="1" si="19"/>
        <v/>
      </c>
      <c r="H91" s="89" t="str">
        <f t="shared" ca="1" si="20"/>
        <v/>
      </c>
      <c r="I91" s="2"/>
      <c r="J91" s="2"/>
      <c r="K91" s="1"/>
      <c r="L91" s="1"/>
      <c r="M91" s="1">
        <v>80</v>
      </c>
      <c r="N91" s="1" t="str">
        <f ca="1">IF(OR($U91=0,$W91="",$X91&lt;=0),"",IF($W91&gt;TODAY(),"",IF(AND(INDEX(UCRETLER!$E$7:$E$606,$U91)&lt;&gt;"",$W91&gt;INDEX(UCRETLER!$E$7:$E$606,$U91)),"",$W91)))</f>
        <v/>
      </c>
      <c r="O91" s="1" t="str">
        <f ca="1"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" t="str">
        <f t="shared" ca="1" si="24"/>
        <v/>
      </c>
      <c r="Q91" s="1"/>
      <c r="R91" s="1">
        <f t="shared" ca="1" si="25"/>
        <v>0</v>
      </c>
      <c r="S91" s="1">
        <v>0</v>
      </c>
      <c r="T91" s="1">
        <f t="shared" ca="1" si="21"/>
        <v>10000000000</v>
      </c>
      <c r="U91" s="1">
        <f t="shared" si="26"/>
        <v>49</v>
      </c>
      <c r="V91" s="1">
        <v>79</v>
      </c>
      <c r="W91" s="90">
        <f>IF($U91=0,"",IF(INDEX(UCRETLER!$D$7:$D$606,$U91)="","",IF(INDEX(UCRETLER!$F$7:$F$606,$U91)="Aylık",EOMONTH(INDEX(UCRETLER!$D$7:$D$606,$U91),$V91-1),INDEX(UCRETLER!$U$7:$U$606,$U91)+7*($V91-1))))</f>
        <v>48426</v>
      </c>
      <c r="X91" s="79">
        <f>IF($U91=0,0,INDEX(UCRETLER!$G$7:$G$606,$U91))</f>
        <v>3000</v>
      </c>
      <c r="Y91" s="1">
        <f t="shared" ca="1" si="22"/>
        <v>10000000000</v>
      </c>
      <c r="Z91" s="1">
        <f t="shared" ca="1" si="23"/>
        <v>1</v>
      </c>
      <c r="AA91" s="1"/>
      <c r="AB91" s="1"/>
      <c r="AC91" s="1"/>
      <c r="AD91" s="1"/>
    </row>
    <row r="92" spans="1:30" ht="19.5" customHeight="1" x14ac:dyDescent="0.3">
      <c r="A92" s="2"/>
      <c r="B92" s="86" t="str">
        <f t="shared" ca="1" si="14"/>
        <v/>
      </c>
      <c r="C92" s="87" t="str">
        <f t="shared" ca="1" si="15"/>
        <v/>
      </c>
      <c r="D92" s="88" t="str">
        <f t="shared" ca="1" si="16"/>
        <v/>
      </c>
      <c r="E92" s="86" t="str">
        <f t="shared" ca="1" si="17"/>
        <v/>
      </c>
      <c r="F92" s="89" t="str">
        <f t="shared" ca="1" si="18"/>
        <v/>
      </c>
      <c r="G92" s="89" t="str">
        <f t="shared" ca="1" si="19"/>
        <v/>
      </c>
      <c r="H92" s="89" t="str">
        <f t="shared" ca="1" si="20"/>
        <v/>
      </c>
      <c r="I92" s="2"/>
      <c r="J92" s="2"/>
      <c r="K92" s="1"/>
      <c r="L92" s="1"/>
      <c r="M92" s="1">
        <v>81</v>
      </c>
      <c r="N92" s="1" t="str">
        <f ca="1">IF(OR($U92=0,$W92="",$X92&lt;=0),"",IF($W92&gt;TODAY(),"",IF(AND(INDEX(UCRETLER!$E$7:$E$606,$U92)&lt;&gt;"",$W92&gt;INDEX(UCRETLER!$E$7:$E$606,$U92)),"",$W92)))</f>
        <v/>
      </c>
      <c r="O92" s="1" t="str">
        <f ca="1"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" t="str">
        <f t="shared" ca="1" si="24"/>
        <v/>
      </c>
      <c r="Q92" s="1"/>
      <c r="R92" s="1">
        <f t="shared" ca="1" si="25"/>
        <v>0</v>
      </c>
      <c r="S92" s="1">
        <v>0</v>
      </c>
      <c r="T92" s="1">
        <f t="shared" ca="1" si="21"/>
        <v>10000000000</v>
      </c>
      <c r="U92" s="1">
        <f t="shared" si="26"/>
        <v>49</v>
      </c>
      <c r="V92" s="1">
        <v>80</v>
      </c>
      <c r="W92" s="90">
        <f>IF($U92=0,"",IF(INDEX(UCRETLER!$D$7:$D$606,$U92)="","",IF(INDEX(UCRETLER!$F$7:$F$606,$U92)="Aylık",EOMONTH(INDEX(UCRETLER!$D$7:$D$606,$U92),$V92-1),INDEX(UCRETLER!$U$7:$U$606,$U92)+7*($V92-1))))</f>
        <v>48457</v>
      </c>
      <c r="X92" s="79">
        <f>IF($U92=0,0,INDEX(UCRETLER!$G$7:$G$606,$U92))</f>
        <v>3000</v>
      </c>
      <c r="Y92" s="1">
        <f t="shared" ca="1" si="22"/>
        <v>10000000000</v>
      </c>
      <c r="Z92" s="1">
        <f t="shared" ca="1" si="23"/>
        <v>1</v>
      </c>
      <c r="AA92" s="1"/>
      <c r="AB92" s="1"/>
      <c r="AC92" s="1"/>
      <c r="AD92" s="1"/>
    </row>
    <row r="93" spans="1:30" ht="19.5" customHeight="1" x14ac:dyDescent="0.3">
      <c r="A93" s="2"/>
      <c r="B93" s="86" t="str">
        <f t="shared" ca="1" si="14"/>
        <v/>
      </c>
      <c r="C93" s="87" t="str">
        <f t="shared" ca="1" si="15"/>
        <v/>
      </c>
      <c r="D93" s="88" t="str">
        <f t="shared" ca="1" si="16"/>
        <v/>
      </c>
      <c r="E93" s="86" t="str">
        <f t="shared" ca="1" si="17"/>
        <v/>
      </c>
      <c r="F93" s="89" t="str">
        <f t="shared" ca="1" si="18"/>
        <v/>
      </c>
      <c r="G93" s="89" t="str">
        <f t="shared" ca="1" si="19"/>
        <v/>
      </c>
      <c r="H93" s="89" t="str">
        <f t="shared" ca="1" si="20"/>
        <v/>
      </c>
      <c r="I93" s="2"/>
      <c r="J93" s="2"/>
      <c r="K93" s="1"/>
      <c r="L93" s="1"/>
      <c r="M93" s="1">
        <v>82</v>
      </c>
      <c r="N93" s="1" t="str">
        <f ca="1">IF(OR($U93=0,$W93="",$X93&lt;=0),"",IF($W93&gt;TODAY(),"",IF(AND(INDEX(UCRETLER!$E$7:$E$606,$U93)&lt;&gt;"",$W93&gt;INDEX(UCRETLER!$E$7:$E$606,$U93)),"",$W93)))</f>
        <v/>
      </c>
      <c r="O93" s="1" t="str">
        <f ca="1"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" t="str">
        <f t="shared" ca="1" si="24"/>
        <v/>
      </c>
      <c r="Q93" s="1"/>
      <c r="R93" s="1">
        <f t="shared" ca="1" si="25"/>
        <v>0</v>
      </c>
      <c r="S93" s="1">
        <v>0</v>
      </c>
      <c r="T93" s="1">
        <f t="shared" ca="1" si="21"/>
        <v>10000000000</v>
      </c>
      <c r="U93" s="1">
        <f t="shared" ref="U93:U124" si="27">$AB$5</f>
        <v>0</v>
      </c>
      <c r="V93" s="1">
        <v>1</v>
      </c>
      <c r="W93" s="1" t="str">
        <f>IF($U93=0,"",IF(INDEX(UCRETLER!$D$7:$D$606,$U93)="","",IF(INDEX(UCRETLER!$F$7:$F$606,$U93)="Aylık",EOMONTH(INDEX(UCRETLER!$D$7:$D$606,$U93),$V93-1),INDEX(UCRETLER!$U$7:$U$606,$U93)+7*($V93-1))))</f>
        <v/>
      </c>
      <c r="X93" s="1">
        <f>IF($U93=0,0,INDEX(UCRETLER!$G$7:$G$606,$U93))</f>
        <v>0</v>
      </c>
      <c r="Y93" s="1">
        <f t="shared" ca="1" si="22"/>
        <v>10000000000</v>
      </c>
      <c r="Z93" s="1">
        <f t="shared" ca="1" si="23"/>
        <v>1</v>
      </c>
      <c r="AA93" s="1"/>
      <c r="AB93" s="1"/>
      <c r="AC93" s="1"/>
      <c r="AD93" s="1"/>
    </row>
    <row r="94" spans="1:30" ht="19.5" customHeight="1" x14ac:dyDescent="0.3">
      <c r="A94" s="2"/>
      <c r="B94" s="86" t="str">
        <f t="shared" ca="1" si="14"/>
        <v/>
      </c>
      <c r="C94" s="87" t="str">
        <f t="shared" ca="1" si="15"/>
        <v/>
      </c>
      <c r="D94" s="88" t="str">
        <f t="shared" ca="1" si="16"/>
        <v/>
      </c>
      <c r="E94" s="86" t="str">
        <f t="shared" ca="1" si="17"/>
        <v/>
      </c>
      <c r="F94" s="89" t="str">
        <f t="shared" ca="1" si="18"/>
        <v/>
      </c>
      <c r="G94" s="89" t="str">
        <f t="shared" ca="1" si="19"/>
        <v/>
      </c>
      <c r="H94" s="89" t="str">
        <f t="shared" ca="1" si="20"/>
        <v/>
      </c>
      <c r="I94" s="2"/>
      <c r="J94" s="2"/>
      <c r="K94" s="1"/>
      <c r="L94" s="1"/>
      <c r="M94" s="1">
        <v>83</v>
      </c>
      <c r="N94" s="1" t="str">
        <f ca="1">IF(OR($U94=0,$W94="",$X94&lt;=0),"",IF($W94&gt;TODAY(),"",IF(AND(INDEX(UCRETLER!$E$7:$E$606,$U94)&lt;&gt;"",$W94&gt;INDEX(UCRETLER!$E$7:$E$606,$U94)),"",$W94)))</f>
        <v/>
      </c>
      <c r="O94" s="1" t="str">
        <f ca="1"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" t="str">
        <f t="shared" ca="1" si="24"/>
        <v/>
      </c>
      <c r="Q94" s="1"/>
      <c r="R94" s="1">
        <f t="shared" ca="1" si="25"/>
        <v>0</v>
      </c>
      <c r="S94" s="1">
        <v>0</v>
      </c>
      <c r="T94" s="1">
        <f t="shared" ca="1" si="21"/>
        <v>10000000000</v>
      </c>
      <c r="U94" s="1">
        <f t="shared" si="27"/>
        <v>0</v>
      </c>
      <c r="V94" s="1">
        <v>2</v>
      </c>
      <c r="W94" s="1" t="str">
        <f>IF($U94=0,"",IF(INDEX(UCRETLER!$D$7:$D$606,$U94)="","",IF(INDEX(UCRETLER!$F$7:$F$606,$U94)="Aylık",EOMONTH(INDEX(UCRETLER!$D$7:$D$606,$U94),$V94-1),INDEX(UCRETLER!$U$7:$U$606,$U94)+7*($V94-1))))</f>
        <v/>
      </c>
      <c r="X94" s="1">
        <f>IF($U94=0,0,INDEX(UCRETLER!$G$7:$G$606,$U94))</f>
        <v>0</v>
      </c>
      <c r="Y94" s="1">
        <f t="shared" ca="1" si="22"/>
        <v>10000000000</v>
      </c>
      <c r="Z94" s="1">
        <f t="shared" ca="1" si="23"/>
        <v>1</v>
      </c>
      <c r="AA94" s="1"/>
      <c r="AB94" s="1"/>
      <c r="AC94" s="1"/>
      <c r="AD94" s="1"/>
    </row>
    <row r="95" spans="1:30" ht="19.5" customHeight="1" x14ac:dyDescent="0.3">
      <c r="A95" s="2"/>
      <c r="B95" s="86" t="str">
        <f t="shared" ca="1" si="14"/>
        <v/>
      </c>
      <c r="C95" s="87" t="str">
        <f t="shared" ca="1" si="15"/>
        <v/>
      </c>
      <c r="D95" s="88" t="str">
        <f t="shared" ca="1" si="16"/>
        <v/>
      </c>
      <c r="E95" s="86" t="str">
        <f t="shared" ca="1" si="17"/>
        <v/>
      </c>
      <c r="F95" s="89" t="str">
        <f t="shared" ca="1" si="18"/>
        <v/>
      </c>
      <c r="G95" s="89" t="str">
        <f t="shared" ca="1" si="19"/>
        <v/>
      </c>
      <c r="H95" s="89" t="str">
        <f t="shared" ca="1" si="20"/>
        <v/>
      </c>
      <c r="I95" s="2"/>
      <c r="J95" s="2"/>
      <c r="K95" s="1"/>
      <c r="L95" s="1"/>
      <c r="M95" s="1">
        <v>84</v>
      </c>
      <c r="N95" s="1" t="str">
        <f ca="1">IF(OR($U95=0,$W95="",$X95&lt;=0),"",IF($W95&gt;TODAY(),"",IF(AND(INDEX(UCRETLER!$E$7:$E$606,$U95)&lt;&gt;"",$W95&gt;INDEX(UCRETLER!$E$7:$E$606,$U95)),"",$W95)))</f>
        <v/>
      </c>
      <c r="O95" s="1" t="str">
        <f ca="1"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" t="str">
        <f t="shared" ca="1" si="24"/>
        <v/>
      </c>
      <c r="Q95" s="1"/>
      <c r="R95" s="1">
        <f t="shared" ca="1" si="25"/>
        <v>0</v>
      </c>
      <c r="S95" s="1">
        <v>0</v>
      </c>
      <c r="T95" s="1">
        <f t="shared" ca="1" si="21"/>
        <v>10000000000</v>
      </c>
      <c r="U95" s="1">
        <f t="shared" si="27"/>
        <v>0</v>
      </c>
      <c r="V95" s="1">
        <v>3</v>
      </c>
      <c r="W95" s="1" t="str">
        <f>IF($U95=0,"",IF(INDEX(UCRETLER!$D$7:$D$606,$U95)="","",IF(INDEX(UCRETLER!$F$7:$F$606,$U95)="Aylık",EOMONTH(INDEX(UCRETLER!$D$7:$D$606,$U95),$V95-1),INDEX(UCRETLER!$U$7:$U$606,$U95)+7*($V95-1))))</f>
        <v/>
      </c>
      <c r="X95" s="1">
        <f>IF($U95=0,0,INDEX(UCRETLER!$G$7:$G$606,$U95))</f>
        <v>0</v>
      </c>
      <c r="Y95" s="1">
        <f t="shared" ca="1" si="22"/>
        <v>10000000000</v>
      </c>
      <c r="Z95" s="1">
        <f t="shared" ca="1" si="23"/>
        <v>1</v>
      </c>
      <c r="AA95" s="1"/>
      <c r="AB95" s="1"/>
      <c r="AC95" s="1"/>
      <c r="AD95" s="1"/>
    </row>
    <row r="96" spans="1:30" ht="19.5" customHeight="1" x14ac:dyDescent="0.3">
      <c r="A96" s="2"/>
      <c r="B96" s="86" t="str">
        <f t="shared" ca="1" si="14"/>
        <v/>
      </c>
      <c r="C96" s="87" t="str">
        <f t="shared" ca="1" si="15"/>
        <v/>
      </c>
      <c r="D96" s="88" t="str">
        <f t="shared" ca="1" si="16"/>
        <v/>
      </c>
      <c r="E96" s="86" t="str">
        <f t="shared" ca="1" si="17"/>
        <v/>
      </c>
      <c r="F96" s="89" t="str">
        <f t="shared" ca="1" si="18"/>
        <v/>
      </c>
      <c r="G96" s="89" t="str">
        <f t="shared" ca="1" si="19"/>
        <v/>
      </c>
      <c r="H96" s="89" t="str">
        <f t="shared" ca="1" si="20"/>
        <v/>
      </c>
      <c r="I96" s="2"/>
      <c r="J96" s="2"/>
      <c r="K96" s="1"/>
      <c r="L96" s="1"/>
      <c r="M96" s="1">
        <v>85</v>
      </c>
      <c r="N96" s="1" t="str">
        <f ca="1">IF(OR($U96=0,$W96="",$X96&lt;=0),"",IF($W96&gt;TODAY(),"",IF(AND(INDEX(UCRETLER!$E$7:$E$606,$U96)&lt;&gt;"",$W96&gt;INDEX(UCRETLER!$E$7:$E$606,$U96)),"",$W96)))</f>
        <v/>
      </c>
      <c r="O96" s="1" t="str">
        <f ca="1"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" t="str">
        <f t="shared" ca="1" si="24"/>
        <v/>
      </c>
      <c r="Q96" s="1"/>
      <c r="R96" s="1">
        <f t="shared" ca="1" si="25"/>
        <v>0</v>
      </c>
      <c r="S96" s="1">
        <v>0</v>
      </c>
      <c r="T96" s="1">
        <f t="shared" ca="1" si="21"/>
        <v>10000000000</v>
      </c>
      <c r="U96" s="1">
        <f t="shared" si="27"/>
        <v>0</v>
      </c>
      <c r="V96" s="1">
        <v>4</v>
      </c>
      <c r="W96" s="1" t="str">
        <f>IF($U96=0,"",IF(INDEX(UCRETLER!$D$7:$D$606,$U96)="","",IF(INDEX(UCRETLER!$F$7:$F$606,$U96)="Aylık",EOMONTH(INDEX(UCRETLER!$D$7:$D$606,$U96),$V96-1),INDEX(UCRETLER!$U$7:$U$606,$U96)+7*($V96-1))))</f>
        <v/>
      </c>
      <c r="X96" s="1">
        <f>IF($U96=0,0,INDEX(UCRETLER!$G$7:$G$606,$U96))</f>
        <v>0</v>
      </c>
      <c r="Y96" s="1">
        <f t="shared" ca="1" si="22"/>
        <v>10000000000</v>
      </c>
      <c r="Z96" s="1">
        <f t="shared" ca="1" si="23"/>
        <v>1</v>
      </c>
      <c r="AA96" s="1"/>
      <c r="AB96" s="1"/>
      <c r="AC96" s="1"/>
      <c r="AD96" s="1"/>
    </row>
    <row r="97" spans="1:30" ht="19.5" customHeight="1" x14ac:dyDescent="0.3">
      <c r="A97" s="2"/>
      <c r="B97" s="86" t="str">
        <f t="shared" ca="1" si="14"/>
        <v/>
      </c>
      <c r="C97" s="87" t="str">
        <f t="shared" ca="1" si="15"/>
        <v/>
      </c>
      <c r="D97" s="88" t="str">
        <f t="shared" ca="1" si="16"/>
        <v/>
      </c>
      <c r="E97" s="86" t="str">
        <f t="shared" ca="1" si="17"/>
        <v/>
      </c>
      <c r="F97" s="89" t="str">
        <f t="shared" ca="1" si="18"/>
        <v/>
      </c>
      <c r="G97" s="89" t="str">
        <f t="shared" ca="1" si="19"/>
        <v/>
      </c>
      <c r="H97" s="89" t="str">
        <f t="shared" ca="1" si="20"/>
        <v/>
      </c>
      <c r="I97" s="2"/>
      <c r="J97" s="2"/>
      <c r="K97" s="1"/>
      <c r="L97" s="1"/>
      <c r="M97" s="1">
        <v>86</v>
      </c>
      <c r="N97" s="1" t="str">
        <f ca="1">IF(OR($U97=0,$W97="",$X97&lt;=0),"",IF($W97&gt;TODAY(),"",IF(AND(INDEX(UCRETLER!$E$7:$E$606,$U97)&lt;&gt;"",$W97&gt;INDEX(UCRETLER!$E$7:$E$606,$U97)),"",$W97)))</f>
        <v/>
      </c>
      <c r="O97" s="1" t="str">
        <f ca="1"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" t="str">
        <f t="shared" ca="1" si="24"/>
        <v/>
      </c>
      <c r="Q97" s="1"/>
      <c r="R97" s="1">
        <f t="shared" ca="1" si="25"/>
        <v>0</v>
      </c>
      <c r="S97" s="1">
        <v>0</v>
      </c>
      <c r="T97" s="1">
        <f t="shared" ca="1" si="21"/>
        <v>10000000000</v>
      </c>
      <c r="U97" s="1">
        <f t="shared" si="27"/>
        <v>0</v>
      </c>
      <c r="V97" s="1">
        <v>5</v>
      </c>
      <c r="W97" s="1" t="str">
        <f>IF($U97=0,"",IF(INDEX(UCRETLER!$D$7:$D$606,$U97)="","",IF(INDEX(UCRETLER!$F$7:$F$606,$U97)="Aylık",EOMONTH(INDEX(UCRETLER!$D$7:$D$606,$U97),$V97-1),INDEX(UCRETLER!$U$7:$U$606,$U97)+7*($V97-1))))</f>
        <v/>
      </c>
      <c r="X97" s="1">
        <f>IF($U97=0,0,INDEX(UCRETLER!$G$7:$G$606,$U97))</f>
        <v>0</v>
      </c>
      <c r="Y97" s="1">
        <f t="shared" ca="1" si="22"/>
        <v>10000000000</v>
      </c>
      <c r="Z97" s="1">
        <f t="shared" ca="1" si="23"/>
        <v>1</v>
      </c>
      <c r="AA97" s="1"/>
      <c r="AB97" s="1"/>
      <c r="AC97" s="1"/>
      <c r="AD97" s="1"/>
    </row>
    <row r="98" spans="1:30" ht="19.5" customHeight="1" x14ac:dyDescent="0.3">
      <c r="A98" s="2"/>
      <c r="B98" s="86" t="str">
        <f t="shared" ca="1" si="14"/>
        <v/>
      </c>
      <c r="C98" s="87" t="str">
        <f t="shared" ca="1" si="15"/>
        <v/>
      </c>
      <c r="D98" s="88" t="str">
        <f t="shared" ca="1" si="16"/>
        <v/>
      </c>
      <c r="E98" s="86" t="str">
        <f t="shared" ca="1" si="17"/>
        <v/>
      </c>
      <c r="F98" s="89" t="str">
        <f t="shared" ca="1" si="18"/>
        <v/>
      </c>
      <c r="G98" s="89" t="str">
        <f t="shared" ca="1" si="19"/>
        <v/>
      </c>
      <c r="H98" s="89" t="str">
        <f t="shared" ca="1" si="20"/>
        <v/>
      </c>
      <c r="I98" s="2"/>
      <c r="J98" s="2"/>
      <c r="K98" s="1"/>
      <c r="L98" s="1"/>
      <c r="M98" s="1">
        <v>87</v>
      </c>
      <c r="N98" s="1" t="str">
        <f ca="1">IF(OR($U98=0,$W98="",$X98&lt;=0),"",IF($W98&gt;TODAY(),"",IF(AND(INDEX(UCRETLER!$E$7:$E$606,$U98)&lt;&gt;"",$W98&gt;INDEX(UCRETLER!$E$7:$E$606,$U98)),"",$W98)))</f>
        <v/>
      </c>
      <c r="O98" s="1" t="str">
        <f ca="1"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" t="str">
        <f t="shared" ca="1" si="24"/>
        <v/>
      </c>
      <c r="Q98" s="1"/>
      <c r="R98" s="1">
        <f t="shared" ca="1" si="25"/>
        <v>0</v>
      </c>
      <c r="S98" s="1">
        <v>0</v>
      </c>
      <c r="T98" s="1">
        <f t="shared" ca="1" si="21"/>
        <v>10000000000</v>
      </c>
      <c r="U98" s="1">
        <f t="shared" si="27"/>
        <v>0</v>
      </c>
      <c r="V98" s="1">
        <v>6</v>
      </c>
      <c r="W98" s="1" t="str">
        <f>IF($U98=0,"",IF(INDEX(UCRETLER!$D$7:$D$606,$U98)="","",IF(INDEX(UCRETLER!$F$7:$F$606,$U98)="Aylık",EOMONTH(INDEX(UCRETLER!$D$7:$D$606,$U98),$V98-1),INDEX(UCRETLER!$U$7:$U$606,$U98)+7*($V98-1))))</f>
        <v/>
      </c>
      <c r="X98" s="1">
        <f>IF($U98=0,0,INDEX(UCRETLER!$G$7:$G$606,$U98))</f>
        <v>0</v>
      </c>
      <c r="Y98" s="1">
        <f t="shared" ca="1" si="22"/>
        <v>10000000000</v>
      </c>
      <c r="Z98" s="1">
        <f t="shared" ca="1" si="23"/>
        <v>1</v>
      </c>
      <c r="AA98" s="1"/>
      <c r="AB98" s="1"/>
      <c r="AC98" s="1"/>
      <c r="AD98" s="1"/>
    </row>
    <row r="99" spans="1:30" ht="19.5" customHeight="1" x14ac:dyDescent="0.3">
      <c r="A99" s="2"/>
      <c r="B99" s="86" t="str">
        <f t="shared" ca="1" si="14"/>
        <v/>
      </c>
      <c r="C99" s="87" t="str">
        <f t="shared" ca="1" si="15"/>
        <v/>
      </c>
      <c r="D99" s="88" t="str">
        <f t="shared" ca="1" si="16"/>
        <v/>
      </c>
      <c r="E99" s="86" t="str">
        <f t="shared" ca="1" si="17"/>
        <v/>
      </c>
      <c r="F99" s="89" t="str">
        <f t="shared" ca="1" si="18"/>
        <v/>
      </c>
      <c r="G99" s="89" t="str">
        <f t="shared" ca="1" si="19"/>
        <v/>
      </c>
      <c r="H99" s="89" t="str">
        <f t="shared" ca="1" si="20"/>
        <v/>
      </c>
      <c r="I99" s="2"/>
      <c r="J99" s="2"/>
      <c r="K99" s="1"/>
      <c r="L99" s="1"/>
      <c r="M99" s="1">
        <v>88</v>
      </c>
      <c r="N99" s="1" t="str">
        <f ca="1">IF(OR($U99=0,$W99="",$X99&lt;=0),"",IF($W99&gt;TODAY(),"",IF(AND(INDEX(UCRETLER!$E$7:$E$606,$U99)&lt;&gt;"",$W99&gt;INDEX(UCRETLER!$E$7:$E$606,$U99)),"",$W99)))</f>
        <v/>
      </c>
      <c r="O99" s="1" t="str">
        <f ca="1"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" t="str">
        <f t="shared" ca="1" si="24"/>
        <v/>
      </c>
      <c r="Q99" s="1"/>
      <c r="R99" s="1">
        <f t="shared" ca="1" si="25"/>
        <v>0</v>
      </c>
      <c r="S99" s="1">
        <v>0</v>
      </c>
      <c r="T99" s="1">
        <f t="shared" ca="1" si="21"/>
        <v>10000000000</v>
      </c>
      <c r="U99" s="1">
        <f t="shared" si="27"/>
        <v>0</v>
      </c>
      <c r="V99" s="1">
        <v>7</v>
      </c>
      <c r="W99" s="1" t="str">
        <f>IF($U99=0,"",IF(INDEX(UCRETLER!$D$7:$D$606,$U99)="","",IF(INDEX(UCRETLER!$F$7:$F$606,$U99)="Aylık",EOMONTH(INDEX(UCRETLER!$D$7:$D$606,$U99),$V99-1),INDEX(UCRETLER!$U$7:$U$606,$U99)+7*($V99-1))))</f>
        <v/>
      </c>
      <c r="X99" s="1">
        <f>IF($U99=0,0,INDEX(UCRETLER!$G$7:$G$606,$U99))</f>
        <v>0</v>
      </c>
      <c r="Y99" s="1">
        <f t="shared" ca="1" si="22"/>
        <v>10000000000</v>
      </c>
      <c r="Z99" s="1">
        <f t="shared" ca="1" si="23"/>
        <v>1</v>
      </c>
      <c r="AA99" s="1"/>
      <c r="AB99" s="1"/>
      <c r="AC99" s="1"/>
      <c r="AD99" s="1"/>
    </row>
    <row r="100" spans="1:30" ht="19.5" customHeight="1" x14ac:dyDescent="0.3">
      <c r="A100" s="2"/>
      <c r="B100" s="86" t="str">
        <f t="shared" ca="1" si="14"/>
        <v/>
      </c>
      <c r="C100" s="87" t="str">
        <f t="shared" ca="1" si="15"/>
        <v/>
      </c>
      <c r="D100" s="88" t="str">
        <f t="shared" ca="1" si="16"/>
        <v/>
      </c>
      <c r="E100" s="86" t="str">
        <f t="shared" ca="1" si="17"/>
        <v/>
      </c>
      <c r="F100" s="89" t="str">
        <f t="shared" ca="1" si="18"/>
        <v/>
      </c>
      <c r="G100" s="89" t="str">
        <f t="shared" ca="1" si="19"/>
        <v/>
      </c>
      <c r="H100" s="89" t="str">
        <f t="shared" ca="1" si="20"/>
        <v/>
      </c>
      <c r="I100" s="2"/>
      <c r="J100" s="2"/>
      <c r="K100" s="1"/>
      <c r="L100" s="1"/>
      <c r="M100" s="1">
        <v>89</v>
      </c>
      <c r="N100" s="1" t="str">
        <f ca="1">IF(OR($U100=0,$W100="",$X100&lt;=0),"",IF($W100&gt;TODAY(),"",IF(AND(INDEX(UCRETLER!$E$7:$E$606,$U100)&lt;&gt;"",$W100&gt;INDEX(UCRETLER!$E$7:$E$606,$U100)),"",$W100)))</f>
        <v/>
      </c>
      <c r="O100" s="1" t="str">
        <f ca="1"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" t="str">
        <f t="shared" ca="1" si="24"/>
        <v/>
      </c>
      <c r="Q100" s="1"/>
      <c r="R100" s="1">
        <f t="shared" ca="1" si="25"/>
        <v>0</v>
      </c>
      <c r="S100" s="1">
        <v>0</v>
      </c>
      <c r="T100" s="1">
        <f t="shared" ca="1" si="21"/>
        <v>10000000000</v>
      </c>
      <c r="U100" s="1">
        <f t="shared" si="27"/>
        <v>0</v>
      </c>
      <c r="V100" s="1">
        <v>8</v>
      </c>
      <c r="W100" s="1" t="str">
        <f>IF($U100=0,"",IF(INDEX(UCRETLER!$D$7:$D$606,$U100)="","",IF(INDEX(UCRETLER!$F$7:$F$606,$U100)="Aylık",EOMONTH(INDEX(UCRETLER!$D$7:$D$606,$U100),$V100-1),INDEX(UCRETLER!$U$7:$U$606,$U100)+7*($V100-1))))</f>
        <v/>
      </c>
      <c r="X100" s="1">
        <f>IF($U100=0,0,INDEX(UCRETLER!$G$7:$G$606,$U100))</f>
        <v>0</v>
      </c>
      <c r="Y100" s="1">
        <f t="shared" ca="1" si="22"/>
        <v>10000000000</v>
      </c>
      <c r="Z100" s="1">
        <f t="shared" ca="1" si="23"/>
        <v>1</v>
      </c>
      <c r="AA100" s="1"/>
      <c r="AB100" s="1"/>
      <c r="AC100" s="1"/>
      <c r="AD100" s="1"/>
    </row>
    <row r="101" spans="1:30" ht="19.5" customHeight="1" x14ac:dyDescent="0.3">
      <c r="A101" s="2"/>
      <c r="B101" s="86" t="str">
        <f t="shared" ca="1" si="14"/>
        <v/>
      </c>
      <c r="C101" s="87" t="str">
        <f t="shared" ca="1" si="15"/>
        <v/>
      </c>
      <c r="D101" s="88" t="str">
        <f t="shared" ca="1" si="16"/>
        <v/>
      </c>
      <c r="E101" s="86" t="str">
        <f t="shared" ca="1" si="17"/>
        <v/>
      </c>
      <c r="F101" s="89" t="str">
        <f t="shared" ca="1" si="18"/>
        <v/>
      </c>
      <c r="G101" s="89" t="str">
        <f t="shared" ca="1" si="19"/>
        <v/>
      </c>
      <c r="H101" s="89" t="str">
        <f t="shared" ca="1" si="20"/>
        <v/>
      </c>
      <c r="I101" s="2"/>
      <c r="J101" s="2"/>
      <c r="K101" s="1"/>
      <c r="L101" s="1"/>
      <c r="M101" s="1">
        <v>90</v>
      </c>
      <c r="N101" s="1" t="str">
        <f ca="1">IF(OR($U101=0,$W101="",$X101&lt;=0),"",IF($W101&gt;TODAY(),"",IF(AND(INDEX(UCRETLER!$E$7:$E$606,$U101)&lt;&gt;"",$W101&gt;INDEX(UCRETLER!$E$7:$E$606,$U101)),"",$W101)))</f>
        <v/>
      </c>
      <c r="O101" s="1" t="str">
        <f ca="1"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" t="str">
        <f t="shared" ca="1" si="24"/>
        <v/>
      </c>
      <c r="Q101" s="1"/>
      <c r="R101" s="1">
        <f t="shared" ca="1" si="25"/>
        <v>0</v>
      </c>
      <c r="S101" s="1">
        <v>0</v>
      </c>
      <c r="T101" s="1">
        <f t="shared" ca="1" si="21"/>
        <v>10000000000</v>
      </c>
      <c r="U101" s="1">
        <f t="shared" si="27"/>
        <v>0</v>
      </c>
      <c r="V101" s="1">
        <v>9</v>
      </c>
      <c r="W101" s="1" t="str">
        <f>IF($U101=0,"",IF(INDEX(UCRETLER!$D$7:$D$606,$U101)="","",IF(INDEX(UCRETLER!$F$7:$F$606,$U101)="Aylık",EOMONTH(INDEX(UCRETLER!$D$7:$D$606,$U101),$V101-1),INDEX(UCRETLER!$U$7:$U$606,$U101)+7*($V101-1))))</f>
        <v/>
      </c>
      <c r="X101" s="1">
        <f>IF($U101=0,0,INDEX(UCRETLER!$G$7:$G$606,$U101))</f>
        <v>0</v>
      </c>
      <c r="Y101" s="1">
        <f t="shared" ca="1" si="22"/>
        <v>10000000000</v>
      </c>
      <c r="Z101" s="1">
        <f t="shared" ca="1" si="23"/>
        <v>1</v>
      </c>
      <c r="AA101" s="1"/>
      <c r="AB101" s="1"/>
      <c r="AC101" s="1"/>
      <c r="AD101" s="1"/>
    </row>
    <row r="102" spans="1:30" ht="19.5" customHeight="1" x14ac:dyDescent="0.3">
      <c r="A102" s="2"/>
      <c r="B102" s="86" t="str">
        <f t="shared" ca="1" si="14"/>
        <v/>
      </c>
      <c r="C102" s="87" t="str">
        <f t="shared" ca="1" si="15"/>
        <v/>
      </c>
      <c r="D102" s="88" t="str">
        <f t="shared" ca="1" si="16"/>
        <v/>
      </c>
      <c r="E102" s="86" t="str">
        <f t="shared" ca="1" si="17"/>
        <v/>
      </c>
      <c r="F102" s="89" t="str">
        <f t="shared" ca="1" si="18"/>
        <v/>
      </c>
      <c r="G102" s="89" t="str">
        <f t="shared" ca="1" si="19"/>
        <v/>
      </c>
      <c r="H102" s="89" t="str">
        <f t="shared" ca="1" si="20"/>
        <v/>
      </c>
      <c r="I102" s="2"/>
      <c r="J102" s="2"/>
      <c r="K102" s="1"/>
      <c r="L102" s="1"/>
      <c r="M102" s="1">
        <v>91</v>
      </c>
      <c r="N102" s="1" t="str">
        <f ca="1">IF(OR($U102=0,$W102="",$X102&lt;=0),"",IF($W102&gt;TODAY(),"",IF(AND(INDEX(UCRETLER!$E$7:$E$606,$U102)&lt;&gt;"",$W102&gt;INDEX(UCRETLER!$E$7:$E$606,$U102)),"",$W102)))</f>
        <v/>
      </c>
      <c r="O102" s="1" t="str">
        <f ca="1"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" t="str">
        <f t="shared" ca="1" si="24"/>
        <v/>
      </c>
      <c r="Q102" s="1"/>
      <c r="R102" s="1">
        <f t="shared" ca="1" si="25"/>
        <v>0</v>
      </c>
      <c r="S102" s="1">
        <v>0</v>
      </c>
      <c r="T102" s="1">
        <f t="shared" ca="1" si="21"/>
        <v>10000000000</v>
      </c>
      <c r="U102" s="1">
        <f t="shared" si="27"/>
        <v>0</v>
      </c>
      <c r="V102" s="1">
        <v>10</v>
      </c>
      <c r="W102" s="1" t="str">
        <f>IF($U102=0,"",IF(INDEX(UCRETLER!$D$7:$D$606,$U102)="","",IF(INDEX(UCRETLER!$F$7:$F$606,$U102)="Aylık",EOMONTH(INDEX(UCRETLER!$D$7:$D$606,$U102),$V102-1),INDEX(UCRETLER!$U$7:$U$606,$U102)+7*($V102-1))))</f>
        <v/>
      </c>
      <c r="X102" s="1">
        <f>IF($U102=0,0,INDEX(UCRETLER!$G$7:$G$606,$U102))</f>
        <v>0</v>
      </c>
      <c r="Y102" s="1">
        <f t="shared" ca="1" si="22"/>
        <v>10000000000</v>
      </c>
      <c r="Z102" s="1">
        <f t="shared" ca="1" si="23"/>
        <v>1</v>
      </c>
      <c r="AA102" s="1"/>
      <c r="AB102" s="1"/>
      <c r="AC102" s="1"/>
      <c r="AD102" s="1"/>
    </row>
    <row r="103" spans="1:30" ht="19.5" customHeight="1" x14ac:dyDescent="0.3">
      <c r="A103" s="2"/>
      <c r="B103" s="86" t="str">
        <f t="shared" ca="1" si="14"/>
        <v/>
      </c>
      <c r="C103" s="87" t="str">
        <f t="shared" ca="1" si="15"/>
        <v/>
      </c>
      <c r="D103" s="88" t="str">
        <f t="shared" ca="1" si="16"/>
        <v/>
      </c>
      <c r="E103" s="86" t="str">
        <f t="shared" ca="1" si="17"/>
        <v/>
      </c>
      <c r="F103" s="89" t="str">
        <f t="shared" ca="1" si="18"/>
        <v/>
      </c>
      <c r="G103" s="89" t="str">
        <f t="shared" ca="1" si="19"/>
        <v/>
      </c>
      <c r="H103" s="89" t="str">
        <f t="shared" ca="1" si="20"/>
        <v/>
      </c>
      <c r="I103" s="2"/>
      <c r="J103" s="2"/>
      <c r="K103" s="1"/>
      <c r="L103" s="1"/>
      <c r="M103" s="1">
        <v>92</v>
      </c>
      <c r="N103" s="1" t="str">
        <f ca="1">IF(OR($U103=0,$W103="",$X103&lt;=0),"",IF($W103&gt;TODAY(),"",IF(AND(INDEX(UCRETLER!$E$7:$E$606,$U103)&lt;&gt;"",$W103&gt;INDEX(UCRETLER!$E$7:$E$606,$U103)),"",$W103)))</f>
        <v/>
      </c>
      <c r="O103" s="1" t="str">
        <f ca="1"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" t="str">
        <f t="shared" ca="1" si="24"/>
        <v/>
      </c>
      <c r="Q103" s="1"/>
      <c r="R103" s="1">
        <f t="shared" ca="1" si="25"/>
        <v>0</v>
      </c>
      <c r="S103" s="1">
        <v>0</v>
      </c>
      <c r="T103" s="1">
        <f t="shared" ca="1" si="21"/>
        <v>10000000000</v>
      </c>
      <c r="U103" s="1">
        <f t="shared" si="27"/>
        <v>0</v>
      </c>
      <c r="V103" s="1">
        <v>11</v>
      </c>
      <c r="W103" s="1" t="str">
        <f>IF($U103=0,"",IF(INDEX(UCRETLER!$D$7:$D$606,$U103)="","",IF(INDEX(UCRETLER!$F$7:$F$606,$U103)="Aylık",EOMONTH(INDEX(UCRETLER!$D$7:$D$606,$U103),$V103-1),INDEX(UCRETLER!$U$7:$U$606,$U103)+7*($V103-1))))</f>
        <v/>
      </c>
      <c r="X103" s="1">
        <f>IF($U103=0,0,INDEX(UCRETLER!$G$7:$G$606,$U103))</f>
        <v>0</v>
      </c>
      <c r="Y103" s="1">
        <f t="shared" ca="1" si="22"/>
        <v>10000000000</v>
      </c>
      <c r="Z103" s="1">
        <f t="shared" ca="1" si="23"/>
        <v>1</v>
      </c>
      <c r="AA103" s="1"/>
      <c r="AB103" s="1"/>
      <c r="AC103" s="1"/>
      <c r="AD103" s="1"/>
    </row>
    <row r="104" spans="1:30" ht="19.5" customHeight="1" x14ac:dyDescent="0.3">
      <c r="A104" s="2"/>
      <c r="B104" s="86" t="str">
        <f t="shared" ca="1" si="14"/>
        <v/>
      </c>
      <c r="C104" s="87" t="str">
        <f t="shared" ca="1" si="15"/>
        <v/>
      </c>
      <c r="D104" s="88" t="str">
        <f t="shared" ca="1" si="16"/>
        <v/>
      </c>
      <c r="E104" s="86" t="str">
        <f t="shared" ca="1" si="17"/>
        <v/>
      </c>
      <c r="F104" s="89" t="str">
        <f t="shared" ca="1" si="18"/>
        <v/>
      </c>
      <c r="G104" s="89" t="str">
        <f t="shared" ca="1" si="19"/>
        <v/>
      </c>
      <c r="H104" s="89" t="str">
        <f t="shared" ca="1" si="20"/>
        <v/>
      </c>
      <c r="I104" s="2"/>
      <c r="J104" s="2"/>
      <c r="K104" s="1"/>
      <c r="L104" s="1"/>
      <c r="M104" s="1">
        <v>93</v>
      </c>
      <c r="N104" s="1" t="str">
        <f ca="1">IF(OR($U104=0,$W104="",$X104&lt;=0),"",IF($W104&gt;TODAY(),"",IF(AND(INDEX(UCRETLER!$E$7:$E$606,$U104)&lt;&gt;"",$W104&gt;INDEX(UCRETLER!$E$7:$E$606,$U104)),"",$W104)))</f>
        <v/>
      </c>
      <c r="O104" s="1" t="str">
        <f ca="1"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" t="str">
        <f t="shared" ca="1" si="24"/>
        <v/>
      </c>
      <c r="Q104" s="1"/>
      <c r="R104" s="1">
        <f t="shared" ca="1" si="25"/>
        <v>0</v>
      </c>
      <c r="S104" s="1">
        <v>0</v>
      </c>
      <c r="T104" s="1">
        <f t="shared" ca="1" si="21"/>
        <v>10000000000</v>
      </c>
      <c r="U104" s="1">
        <f t="shared" si="27"/>
        <v>0</v>
      </c>
      <c r="V104" s="1">
        <v>12</v>
      </c>
      <c r="W104" s="1" t="str">
        <f>IF($U104=0,"",IF(INDEX(UCRETLER!$D$7:$D$606,$U104)="","",IF(INDEX(UCRETLER!$F$7:$F$606,$U104)="Aylık",EOMONTH(INDEX(UCRETLER!$D$7:$D$606,$U104),$V104-1),INDEX(UCRETLER!$U$7:$U$606,$U104)+7*($V104-1))))</f>
        <v/>
      </c>
      <c r="X104" s="1">
        <f>IF($U104=0,0,INDEX(UCRETLER!$G$7:$G$606,$U104))</f>
        <v>0</v>
      </c>
      <c r="Y104" s="1">
        <f t="shared" ca="1" si="22"/>
        <v>10000000000</v>
      </c>
      <c r="Z104" s="1">
        <f t="shared" ca="1" si="23"/>
        <v>1</v>
      </c>
      <c r="AA104" s="1"/>
      <c r="AB104" s="1"/>
      <c r="AC104" s="1"/>
      <c r="AD104" s="1"/>
    </row>
    <row r="105" spans="1:30" ht="19.5" customHeight="1" x14ac:dyDescent="0.3">
      <c r="A105" s="2"/>
      <c r="B105" s="86" t="str">
        <f t="shared" ca="1" si="14"/>
        <v/>
      </c>
      <c r="C105" s="87" t="str">
        <f t="shared" ca="1" si="15"/>
        <v/>
      </c>
      <c r="D105" s="88" t="str">
        <f t="shared" ca="1" si="16"/>
        <v/>
      </c>
      <c r="E105" s="86" t="str">
        <f t="shared" ca="1" si="17"/>
        <v/>
      </c>
      <c r="F105" s="89" t="str">
        <f t="shared" ca="1" si="18"/>
        <v/>
      </c>
      <c r="G105" s="89" t="str">
        <f t="shared" ca="1" si="19"/>
        <v/>
      </c>
      <c r="H105" s="89" t="str">
        <f t="shared" ca="1" si="20"/>
        <v/>
      </c>
      <c r="I105" s="2"/>
      <c r="J105" s="2"/>
      <c r="K105" s="1"/>
      <c r="L105" s="1"/>
      <c r="M105" s="1">
        <v>94</v>
      </c>
      <c r="N105" s="1" t="str">
        <f ca="1">IF(OR($U105=0,$W105="",$X105&lt;=0),"",IF($W105&gt;TODAY(),"",IF(AND(INDEX(UCRETLER!$E$7:$E$606,$U105)&lt;&gt;"",$W105&gt;INDEX(UCRETLER!$E$7:$E$606,$U105)),"",$W105)))</f>
        <v/>
      </c>
      <c r="O105" s="1" t="str">
        <f ca="1"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" t="str">
        <f t="shared" ca="1" si="24"/>
        <v/>
      </c>
      <c r="Q105" s="1"/>
      <c r="R105" s="1">
        <f t="shared" ca="1" si="25"/>
        <v>0</v>
      </c>
      <c r="S105" s="1">
        <v>0</v>
      </c>
      <c r="T105" s="1">
        <f t="shared" ca="1" si="21"/>
        <v>10000000000</v>
      </c>
      <c r="U105" s="1">
        <f t="shared" si="27"/>
        <v>0</v>
      </c>
      <c r="V105" s="1">
        <v>13</v>
      </c>
      <c r="W105" s="1" t="str">
        <f>IF($U105=0,"",IF(INDEX(UCRETLER!$D$7:$D$606,$U105)="","",IF(INDEX(UCRETLER!$F$7:$F$606,$U105)="Aylık",EOMONTH(INDEX(UCRETLER!$D$7:$D$606,$U105),$V105-1),INDEX(UCRETLER!$U$7:$U$606,$U105)+7*($V105-1))))</f>
        <v/>
      </c>
      <c r="X105" s="1">
        <f>IF($U105=0,0,INDEX(UCRETLER!$G$7:$G$606,$U105))</f>
        <v>0</v>
      </c>
      <c r="Y105" s="1">
        <f t="shared" ca="1" si="22"/>
        <v>10000000000</v>
      </c>
      <c r="Z105" s="1">
        <f t="shared" ca="1" si="23"/>
        <v>1</v>
      </c>
      <c r="AA105" s="1"/>
      <c r="AB105" s="1"/>
      <c r="AC105" s="1"/>
      <c r="AD105" s="1"/>
    </row>
    <row r="106" spans="1:30" ht="19.5" customHeight="1" x14ac:dyDescent="0.3">
      <c r="A106" s="2"/>
      <c r="B106" s="86" t="str">
        <f t="shared" ca="1" si="14"/>
        <v/>
      </c>
      <c r="C106" s="87" t="str">
        <f t="shared" ca="1" si="15"/>
        <v/>
      </c>
      <c r="D106" s="88" t="str">
        <f t="shared" ca="1" si="16"/>
        <v/>
      </c>
      <c r="E106" s="86" t="str">
        <f t="shared" ca="1" si="17"/>
        <v/>
      </c>
      <c r="F106" s="89" t="str">
        <f t="shared" ca="1" si="18"/>
        <v/>
      </c>
      <c r="G106" s="89" t="str">
        <f t="shared" ca="1" si="19"/>
        <v/>
      </c>
      <c r="H106" s="89" t="str">
        <f t="shared" ca="1" si="20"/>
        <v/>
      </c>
      <c r="I106" s="2"/>
      <c r="J106" s="2"/>
      <c r="K106" s="1"/>
      <c r="L106" s="1"/>
      <c r="M106" s="1">
        <v>95</v>
      </c>
      <c r="N106" s="1" t="str">
        <f ca="1">IF(OR($U106=0,$W106="",$X106&lt;=0),"",IF($W106&gt;TODAY(),"",IF(AND(INDEX(UCRETLER!$E$7:$E$606,$U106)&lt;&gt;"",$W106&gt;INDEX(UCRETLER!$E$7:$E$606,$U106)),"",$W106)))</f>
        <v/>
      </c>
      <c r="O106" s="1" t="str">
        <f ca="1"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" t="str">
        <f t="shared" ca="1" si="24"/>
        <v/>
      </c>
      <c r="Q106" s="1"/>
      <c r="R106" s="1">
        <f t="shared" ca="1" si="25"/>
        <v>0</v>
      </c>
      <c r="S106" s="1">
        <v>0</v>
      </c>
      <c r="T106" s="1">
        <f t="shared" ca="1" si="21"/>
        <v>10000000000</v>
      </c>
      <c r="U106" s="1">
        <f t="shared" si="27"/>
        <v>0</v>
      </c>
      <c r="V106" s="1">
        <v>14</v>
      </c>
      <c r="W106" s="1" t="str">
        <f>IF($U106=0,"",IF(INDEX(UCRETLER!$D$7:$D$606,$U106)="","",IF(INDEX(UCRETLER!$F$7:$F$606,$U106)="Aylık",EOMONTH(INDEX(UCRETLER!$D$7:$D$606,$U106),$V106-1),INDEX(UCRETLER!$U$7:$U$606,$U106)+7*($V106-1))))</f>
        <v/>
      </c>
      <c r="X106" s="1">
        <f>IF($U106=0,0,INDEX(UCRETLER!$G$7:$G$606,$U106))</f>
        <v>0</v>
      </c>
      <c r="Y106" s="1">
        <f t="shared" ca="1" si="22"/>
        <v>10000000000</v>
      </c>
      <c r="Z106" s="1">
        <f t="shared" ca="1" si="23"/>
        <v>1</v>
      </c>
      <c r="AA106" s="1"/>
      <c r="AB106" s="1"/>
      <c r="AC106" s="1"/>
      <c r="AD106" s="1"/>
    </row>
    <row r="107" spans="1:30" ht="19.5" customHeight="1" x14ac:dyDescent="0.3">
      <c r="A107" s="2"/>
      <c r="B107" s="86" t="str">
        <f t="shared" ca="1" si="14"/>
        <v/>
      </c>
      <c r="C107" s="87" t="str">
        <f t="shared" ca="1" si="15"/>
        <v/>
      </c>
      <c r="D107" s="88" t="str">
        <f t="shared" ca="1" si="16"/>
        <v/>
      </c>
      <c r="E107" s="86" t="str">
        <f t="shared" ca="1" si="17"/>
        <v/>
      </c>
      <c r="F107" s="89" t="str">
        <f t="shared" ca="1" si="18"/>
        <v/>
      </c>
      <c r="G107" s="89" t="str">
        <f t="shared" ca="1" si="19"/>
        <v/>
      </c>
      <c r="H107" s="89" t="str">
        <f t="shared" ca="1" si="20"/>
        <v/>
      </c>
      <c r="I107" s="2"/>
      <c r="J107" s="2"/>
      <c r="K107" s="1"/>
      <c r="L107" s="1"/>
      <c r="M107" s="1">
        <v>96</v>
      </c>
      <c r="N107" s="1" t="str">
        <f ca="1">IF(OR($U107=0,$W107="",$X107&lt;=0),"",IF($W107&gt;TODAY(),"",IF(AND(INDEX(UCRETLER!$E$7:$E$606,$U107)&lt;&gt;"",$W107&gt;INDEX(UCRETLER!$E$7:$E$606,$U107)),"",$W107)))</f>
        <v/>
      </c>
      <c r="O107" s="1" t="str">
        <f ca="1"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" t="str">
        <f t="shared" ca="1" si="24"/>
        <v/>
      </c>
      <c r="Q107" s="1"/>
      <c r="R107" s="1">
        <f t="shared" ca="1" si="25"/>
        <v>0</v>
      </c>
      <c r="S107" s="1">
        <v>0</v>
      </c>
      <c r="T107" s="1">
        <f t="shared" ca="1" si="21"/>
        <v>10000000000</v>
      </c>
      <c r="U107" s="1">
        <f t="shared" si="27"/>
        <v>0</v>
      </c>
      <c r="V107" s="1">
        <v>15</v>
      </c>
      <c r="W107" s="1" t="str">
        <f>IF($U107=0,"",IF(INDEX(UCRETLER!$D$7:$D$606,$U107)="","",IF(INDEX(UCRETLER!$F$7:$F$606,$U107)="Aylık",EOMONTH(INDEX(UCRETLER!$D$7:$D$606,$U107),$V107-1),INDEX(UCRETLER!$U$7:$U$606,$U107)+7*($V107-1))))</f>
        <v/>
      </c>
      <c r="X107" s="1">
        <f>IF($U107=0,0,INDEX(UCRETLER!$G$7:$G$606,$U107))</f>
        <v>0</v>
      </c>
      <c r="Y107" s="1">
        <f t="shared" ca="1" si="22"/>
        <v>10000000000</v>
      </c>
      <c r="Z107" s="1">
        <f t="shared" ca="1" si="23"/>
        <v>1</v>
      </c>
      <c r="AA107" s="1"/>
      <c r="AB107" s="1"/>
      <c r="AC107" s="1"/>
      <c r="AD107" s="1"/>
    </row>
    <row r="108" spans="1:30" ht="19.5" customHeight="1" x14ac:dyDescent="0.3">
      <c r="A108" s="2"/>
      <c r="B108" s="86" t="str">
        <f t="shared" ca="1" si="14"/>
        <v/>
      </c>
      <c r="C108" s="87" t="str">
        <f t="shared" ca="1" si="15"/>
        <v/>
      </c>
      <c r="D108" s="88" t="str">
        <f t="shared" ca="1" si="16"/>
        <v/>
      </c>
      <c r="E108" s="86" t="str">
        <f t="shared" ca="1" si="17"/>
        <v/>
      </c>
      <c r="F108" s="89" t="str">
        <f t="shared" ca="1" si="18"/>
        <v/>
      </c>
      <c r="G108" s="89" t="str">
        <f t="shared" ca="1" si="19"/>
        <v/>
      </c>
      <c r="H108" s="89" t="str">
        <f t="shared" ca="1" si="20"/>
        <v/>
      </c>
      <c r="I108" s="2"/>
      <c r="J108" s="2"/>
      <c r="K108" s="1"/>
      <c r="L108" s="1"/>
      <c r="M108" s="1">
        <v>97</v>
      </c>
      <c r="N108" s="1" t="str">
        <f ca="1">IF(OR($U108=0,$W108="",$X108&lt;=0),"",IF($W108&gt;TODAY(),"",IF(AND(INDEX(UCRETLER!$E$7:$E$606,$U108)&lt;&gt;"",$W108&gt;INDEX(UCRETLER!$E$7:$E$606,$U108)),"",$W108)))</f>
        <v/>
      </c>
      <c r="O108" s="1" t="str">
        <f ca="1"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" t="str">
        <f t="shared" ca="1" si="24"/>
        <v/>
      </c>
      <c r="Q108" s="1"/>
      <c r="R108" s="1">
        <f t="shared" ca="1" si="25"/>
        <v>0</v>
      </c>
      <c r="S108" s="1">
        <v>0</v>
      </c>
      <c r="T108" s="1">
        <f t="shared" ca="1" si="21"/>
        <v>10000000000</v>
      </c>
      <c r="U108" s="1">
        <f t="shared" si="27"/>
        <v>0</v>
      </c>
      <c r="V108" s="1">
        <v>16</v>
      </c>
      <c r="W108" s="1" t="str">
        <f>IF($U108=0,"",IF(INDEX(UCRETLER!$D$7:$D$606,$U108)="","",IF(INDEX(UCRETLER!$F$7:$F$606,$U108)="Aylık",EOMONTH(INDEX(UCRETLER!$D$7:$D$606,$U108),$V108-1),INDEX(UCRETLER!$U$7:$U$606,$U108)+7*($V108-1))))</f>
        <v/>
      </c>
      <c r="X108" s="1">
        <f>IF($U108=0,0,INDEX(UCRETLER!$G$7:$G$606,$U108))</f>
        <v>0</v>
      </c>
      <c r="Y108" s="1">
        <f t="shared" ca="1" si="22"/>
        <v>10000000000</v>
      </c>
      <c r="Z108" s="1">
        <f t="shared" ca="1" si="23"/>
        <v>1</v>
      </c>
      <c r="AA108" s="1"/>
      <c r="AB108" s="1"/>
      <c r="AC108" s="1"/>
      <c r="AD108" s="1"/>
    </row>
    <row r="109" spans="1:30" ht="19.5" customHeight="1" x14ac:dyDescent="0.3">
      <c r="A109" s="2"/>
      <c r="B109" s="86" t="str">
        <f t="shared" ca="1" si="14"/>
        <v/>
      </c>
      <c r="C109" s="87" t="str">
        <f t="shared" ca="1" si="15"/>
        <v/>
      </c>
      <c r="D109" s="88" t="str">
        <f t="shared" ca="1" si="16"/>
        <v/>
      </c>
      <c r="E109" s="86" t="str">
        <f t="shared" ca="1" si="17"/>
        <v/>
      </c>
      <c r="F109" s="89" t="str">
        <f t="shared" ca="1" si="18"/>
        <v/>
      </c>
      <c r="G109" s="89" t="str">
        <f t="shared" ca="1" si="19"/>
        <v/>
      </c>
      <c r="H109" s="89" t="str">
        <f t="shared" ca="1" si="20"/>
        <v/>
      </c>
      <c r="I109" s="2"/>
      <c r="J109" s="2"/>
      <c r="K109" s="1"/>
      <c r="L109" s="1"/>
      <c r="M109" s="1">
        <v>98</v>
      </c>
      <c r="N109" s="1" t="str">
        <f ca="1">IF(OR($U109=0,$W109="",$X109&lt;=0),"",IF($W109&gt;TODAY(),"",IF(AND(INDEX(UCRETLER!$E$7:$E$606,$U109)&lt;&gt;"",$W109&gt;INDEX(UCRETLER!$E$7:$E$606,$U109)),"",$W109)))</f>
        <v/>
      </c>
      <c r="O109" s="1" t="str">
        <f ca="1"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" t="str">
        <f t="shared" ca="1" si="24"/>
        <v/>
      </c>
      <c r="Q109" s="1"/>
      <c r="R109" s="1">
        <f t="shared" ca="1" si="25"/>
        <v>0</v>
      </c>
      <c r="S109" s="1">
        <v>0</v>
      </c>
      <c r="T109" s="1">
        <f t="shared" ca="1" si="21"/>
        <v>10000000000</v>
      </c>
      <c r="U109" s="1">
        <f t="shared" si="27"/>
        <v>0</v>
      </c>
      <c r="V109" s="1">
        <v>17</v>
      </c>
      <c r="W109" s="1" t="str">
        <f>IF($U109=0,"",IF(INDEX(UCRETLER!$D$7:$D$606,$U109)="","",IF(INDEX(UCRETLER!$F$7:$F$606,$U109)="Aylık",EOMONTH(INDEX(UCRETLER!$D$7:$D$606,$U109),$V109-1),INDEX(UCRETLER!$U$7:$U$606,$U109)+7*($V109-1))))</f>
        <v/>
      </c>
      <c r="X109" s="1">
        <f>IF($U109=0,0,INDEX(UCRETLER!$G$7:$G$606,$U109))</f>
        <v>0</v>
      </c>
      <c r="Y109" s="1">
        <f t="shared" ca="1" si="22"/>
        <v>10000000000</v>
      </c>
      <c r="Z109" s="1">
        <f t="shared" ca="1" si="23"/>
        <v>1</v>
      </c>
      <c r="AA109" s="1"/>
      <c r="AB109" s="1"/>
      <c r="AC109" s="1"/>
      <c r="AD109" s="1"/>
    </row>
    <row r="110" spans="1:30" ht="19.5" customHeight="1" x14ac:dyDescent="0.3">
      <c r="A110" s="2"/>
      <c r="B110" s="86" t="str">
        <f t="shared" ca="1" si="14"/>
        <v/>
      </c>
      <c r="C110" s="87" t="str">
        <f t="shared" ca="1" si="15"/>
        <v/>
      </c>
      <c r="D110" s="88" t="str">
        <f t="shared" ca="1" si="16"/>
        <v/>
      </c>
      <c r="E110" s="86" t="str">
        <f t="shared" ca="1" si="17"/>
        <v/>
      </c>
      <c r="F110" s="89" t="str">
        <f t="shared" ca="1" si="18"/>
        <v/>
      </c>
      <c r="G110" s="89" t="str">
        <f t="shared" ca="1" si="19"/>
        <v/>
      </c>
      <c r="H110" s="89" t="str">
        <f t="shared" ca="1" si="20"/>
        <v/>
      </c>
      <c r="I110" s="2"/>
      <c r="J110" s="2"/>
      <c r="K110" s="1"/>
      <c r="L110" s="1"/>
      <c r="M110" s="1">
        <v>99</v>
      </c>
      <c r="N110" s="1" t="str">
        <f ca="1">IF(OR($U110=0,$W110="",$X110&lt;=0),"",IF($W110&gt;TODAY(),"",IF(AND(INDEX(UCRETLER!$E$7:$E$606,$U110)&lt;&gt;"",$W110&gt;INDEX(UCRETLER!$E$7:$E$606,$U110)),"",$W110)))</f>
        <v/>
      </c>
      <c r="O110" s="1" t="str">
        <f ca="1"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" t="str">
        <f t="shared" ca="1" si="24"/>
        <v/>
      </c>
      <c r="Q110" s="1"/>
      <c r="R110" s="1">
        <f t="shared" ca="1" si="25"/>
        <v>0</v>
      </c>
      <c r="S110" s="1">
        <v>0</v>
      </c>
      <c r="T110" s="1">
        <f t="shared" ca="1" si="21"/>
        <v>10000000000</v>
      </c>
      <c r="U110" s="1">
        <f t="shared" si="27"/>
        <v>0</v>
      </c>
      <c r="V110" s="1">
        <v>18</v>
      </c>
      <c r="W110" s="1" t="str">
        <f>IF($U110=0,"",IF(INDEX(UCRETLER!$D$7:$D$606,$U110)="","",IF(INDEX(UCRETLER!$F$7:$F$606,$U110)="Aylık",EOMONTH(INDEX(UCRETLER!$D$7:$D$606,$U110),$V110-1),INDEX(UCRETLER!$U$7:$U$606,$U110)+7*($V110-1))))</f>
        <v/>
      </c>
      <c r="X110" s="1">
        <f>IF($U110=0,0,INDEX(UCRETLER!$G$7:$G$606,$U110))</f>
        <v>0</v>
      </c>
      <c r="Y110" s="1">
        <f t="shared" ca="1" si="22"/>
        <v>10000000000</v>
      </c>
      <c r="Z110" s="1">
        <f t="shared" ca="1" si="23"/>
        <v>1</v>
      </c>
      <c r="AA110" s="1"/>
      <c r="AB110" s="1"/>
      <c r="AC110" s="1"/>
      <c r="AD110" s="1"/>
    </row>
    <row r="111" spans="1:30" ht="19.5" customHeight="1" x14ac:dyDescent="0.3">
      <c r="A111" s="2"/>
      <c r="B111" s="86" t="str">
        <f t="shared" ca="1" si="14"/>
        <v/>
      </c>
      <c r="C111" s="87" t="str">
        <f t="shared" ca="1" si="15"/>
        <v/>
      </c>
      <c r="D111" s="88" t="str">
        <f t="shared" ca="1" si="16"/>
        <v/>
      </c>
      <c r="E111" s="86" t="str">
        <f t="shared" ca="1" si="17"/>
        <v/>
      </c>
      <c r="F111" s="89" t="str">
        <f t="shared" ca="1" si="18"/>
        <v/>
      </c>
      <c r="G111" s="89" t="str">
        <f t="shared" ca="1" si="19"/>
        <v/>
      </c>
      <c r="H111" s="89" t="str">
        <f t="shared" ca="1" si="20"/>
        <v/>
      </c>
      <c r="I111" s="2"/>
      <c r="J111" s="2"/>
      <c r="K111" s="1"/>
      <c r="L111" s="1"/>
      <c r="M111" s="1">
        <v>100</v>
      </c>
      <c r="N111" s="1" t="str">
        <f ca="1">IF(OR($U111=0,$W111="",$X111&lt;=0),"",IF($W111&gt;TODAY(),"",IF(AND(INDEX(UCRETLER!$E$7:$E$606,$U111)&lt;&gt;"",$W111&gt;INDEX(UCRETLER!$E$7:$E$606,$U111)),"",$W111)))</f>
        <v/>
      </c>
      <c r="O111" s="1" t="str">
        <f ca="1"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" t="str">
        <f t="shared" ca="1" si="24"/>
        <v/>
      </c>
      <c r="Q111" s="1"/>
      <c r="R111" s="1">
        <f t="shared" ca="1" si="25"/>
        <v>0</v>
      </c>
      <c r="S111" s="1">
        <v>0</v>
      </c>
      <c r="T111" s="1">
        <f t="shared" ca="1" si="21"/>
        <v>10000000000</v>
      </c>
      <c r="U111" s="1">
        <f t="shared" si="27"/>
        <v>0</v>
      </c>
      <c r="V111" s="1">
        <v>19</v>
      </c>
      <c r="W111" s="1" t="str">
        <f>IF($U111=0,"",IF(INDEX(UCRETLER!$D$7:$D$606,$U111)="","",IF(INDEX(UCRETLER!$F$7:$F$606,$U111)="Aylık",EOMONTH(INDEX(UCRETLER!$D$7:$D$606,$U111),$V111-1),INDEX(UCRETLER!$U$7:$U$606,$U111)+7*($V111-1))))</f>
        <v/>
      </c>
      <c r="X111" s="1">
        <f>IF($U111=0,0,INDEX(UCRETLER!$G$7:$G$606,$U111))</f>
        <v>0</v>
      </c>
      <c r="Y111" s="1">
        <f t="shared" ca="1" si="22"/>
        <v>10000000000</v>
      </c>
      <c r="Z111" s="1">
        <f t="shared" ca="1" si="23"/>
        <v>1</v>
      </c>
      <c r="AA111" s="1"/>
      <c r="AB111" s="1"/>
      <c r="AC111" s="1"/>
      <c r="AD111" s="1"/>
    </row>
    <row r="112" spans="1:30" ht="19.5" customHeight="1" x14ac:dyDescent="0.3">
      <c r="A112" s="2"/>
      <c r="B112" s="86" t="str">
        <f t="shared" ca="1" si="14"/>
        <v/>
      </c>
      <c r="C112" s="87" t="str">
        <f t="shared" ca="1" si="15"/>
        <v/>
      </c>
      <c r="D112" s="88" t="str">
        <f t="shared" ca="1" si="16"/>
        <v/>
      </c>
      <c r="E112" s="86" t="str">
        <f t="shared" ca="1" si="17"/>
        <v/>
      </c>
      <c r="F112" s="89" t="str">
        <f t="shared" ca="1" si="18"/>
        <v/>
      </c>
      <c r="G112" s="89" t="str">
        <f t="shared" ca="1" si="19"/>
        <v/>
      </c>
      <c r="H112" s="89" t="str">
        <f t="shared" ca="1" si="20"/>
        <v/>
      </c>
      <c r="I112" s="2"/>
      <c r="J112" s="2"/>
      <c r="K112" s="1"/>
      <c r="L112" s="1"/>
      <c r="M112" s="1">
        <v>101</v>
      </c>
      <c r="N112" s="1" t="str">
        <f ca="1">IF(OR($U112=0,$W112="",$X112&lt;=0),"",IF($W112&gt;TODAY(),"",IF(AND(INDEX(UCRETLER!$E$7:$E$606,$U112)&lt;&gt;"",$W112&gt;INDEX(UCRETLER!$E$7:$E$606,$U112)),"",$W112)))</f>
        <v/>
      </c>
      <c r="O112" s="1" t="str">
        <f ca="1"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" t="str">
        <f t="shared" ca="1" si="24"/>
        <v/>
      </c>
      <c r="Q112" s="1"/>
      <c r="R112" s="1">
        <f t="shared" ca="1" si="25"/>
        <v>0</v>
      </c>
      <c r="S112" s="1">
        <v>0</v>
      </c>
      <c r="T112" s="1">
        <f t="shared" ca="1" si="21"/>
        <v>10000000000</v>
      </c>
      <c r="U112" s="1">
        <f t="shared" si="27"/>
        <v>0</v>
      </c>
      <c r="V112" s="1">
        <v>20</v>
      </c>
      <c r="W112" s="1" t="str">
        <f>IF($U112=0,"",IF(INDEX(UCRETLER!$D$7:$D$606,$U112)="","",IF(INDEX(UCRETLER!$F$7:$F$606,$U112)="Aylık",EOMONTH(INDEX(UCRETLER!$D$7:$D$606,$U112),$V112-1),INDEX(UCRETLER!$U$7:$U$606,$U112)+7*($V112-1))))</f>
        <v/>
      </c>
      <c r="X112" s="1">
        <f>IF($U112=0,0,INDEX(UCRETLER!$G$7:$G$606,$U112))</f>
        <v>0</v>
      </c>
      <c r="Y112" s="1">
        <f t="shared" ca="1" si="22"/>
        <v>10000000000</v>
      </c>
      <c r="Z112" s="1">
        <f t="shared" ca="1" si="23"/>
        <v>1</v>
      </c>
      <c r="AA112" s="1"/>
      <c r="AB112" s="1"/>
      <c r="AC112" s="1"/>
      <c r="AD112" s="1"/>
    </row>
    <row r="113" spans="1:30" ht="19.5" customHeight="1" x14ac:dyDescent="0.3">
      <c r="A113" s="2"/>
      <c r="B113" s="86" t="str">
        <f t="shared" ca="1" si="14"/>
        <v/>
      </c>
      <c r="C113" s="87" t="str">
        <f t="shared" ca="1" si="15"/>
        <v/>
      </c>
      <c r="D113" s="88" t="str">
        <f t="shared" ca="1" si="16"/>
        <v/>
      </c>
      <c r="E113" s="86" t="str">
        <f t="shared" ca="1" si="17"/>
        <v/>
      </c>
      <c r="F113" s="89" t="str">
        <f t="shared" ca="1" si="18"/>
        <v/>
      </c>
      <c r="G113" s="89" t="str">
        <f t="shared" ca="1" si="19"/>
        <v/>
      </c>
      <c r="H113" s="89" t="str">
        <f t="shared" ca="1" si="20"/>
        <v/>
      </c>
      <c r="I113" s="2"/>
      <c r="J113" s="2"/>
      <c r="K113" s="1"/>
      <c r="L113" s="1"/>
      <c r="M113" s="1">
        <v>102</v>
      </c>
      <c r="N113" s="1" t="str">
        <f ca="1">IF(OR($U113=0,$W113="",$X113&lt;=0),"",IF($W113&gt;TODAY(),"",IF(AND(INDEX(UCRETLER!$E$7:$E$606,$U113)&lt;&gt;"",$W113&gt;INDEX(UCRETLER!$E$7:$E$606,$U113)),"",$W113)))</f>
        <v/>
      </c>
      <c r="O113" s="1" t="str">
        <f ca="1"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" t="str">
        <f t="shared" ca="1" si="24"/>
        <v/>
      </c>
      <c r="Q113" s="1"/>
      <c r="R113" s="1">
        <f t="shared" ca="1" si="25"/>
        <v>0</v>
      </c>
      <c r="S113" s="1">
        <v>0</v>
      </c>
      <c r="T113" s="1">
        <f t="shared" ca="1" si="21"/>
        <v>10000000000</v>
      </c>
      <c r="U113" s="1">
        <f t="shared" si="27"/>
        <v>0</v>
      </c>
      <c r="V113" s="1">
        <v>21</v>
      </c>
      <c r="W113" s="1" t="str">
        <f>IF($U113=0,"",IF(INDEX(UCRETLER!$D$7:$D$606,$U113)="","",IF(INDEX(UCRETLER!$F$7:$F$606,$U113)="Aylık",EOMONTH(INDEX(UCRETLER!$D$7:$D$606,$U113),$V113-1),INDEX(UCRETLER!$U$7:$U$606,$U113)+7*($V113-1))))</f>
        <v/>
      </c>
      <c r="X113" s="1">
        <f>IF($U113=0,0,INDEX(UCRETLER!$G$7:$G$606,$U113))</f>
        <v>0</v>
      </c>
      <c r="Y113" s="1">
        <f t="shared" ca="1" si="22"/>
        <v>10000000000</v>
      </c>
      <c r="Z113" s="1">
        <f t="shared" ca="1" si="23"/>
        <v>1</v>
      </c>
      <c r="AA113" s="1"/>
      <c r="AB113" s="1"/>
      <c r="AC113" s="1"/>
      <c r="AD113" s="1"/>
    </row>
    <row r="114" spans="1:30" ht="19.5" customHeight="1" x14ac:dyDescent="0.3">
      <c r="A114" s="2"/>
      <c r="B114" s="86" t="str">
        <f t="shared" ca="1" si="14"/>
        <v/>
      </c>
      <c r="C114" s="87" t="str">
        <f t="shared" ca="1" si="15"/>
        <v/>
      </c>
      <c r="D114" s="88" t="str">
        <f t="shared" ca="1" si="16"/>
        <v/>
      </c>
      <c r="E114" s="86" t="str">
        <f t="shared" ca="1" si="17"/>
        <v/>
      </c>
      <c r="F114" s="89" t="str">
        <f t="shared" ca="1" si="18"/>
        <v/>
      </c>
      <c r="G114" s="89" t="str">
        <f t="shared" ca="1" si="19"/>
        <v/>
      </c>
      <c r="H114" s="89" t="str">
        <f t="shared" ca="1" si="20"/>
        <v/>
      </c>
      <c r="I114" s="2"/>
      <c r="J114" s="2"/>
      <c r="K114" s="1"/>
      <c r="L114" s="1"/>
      <c r="M114" s="1">
        <v>103</v>
      </c>
      <c r="N114" s="1" t="str">
        <f ca="1">IF(OR($U114=0,$W114="",$X114&lt;=0),"",IF($W114&gt;TODAY(),"",IF(AND(INDEX(UCRETLER!$E$7:$E$606,$U114)&lt;&gt;"",$W114&gt;INDEX(UCRETLER!$E$7:$E$606,$U114)),"",$W114)))</f>
        <v/>
      </c>
      <c r="O114" s="1" t="str">
        <f ca="1"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" t="str">
        <f t="shared" ca="1" si="24"/>
        <v/>
      </c>
      <c r="Q114" s="1"/>
      <c r="R114" s="1">
        <f t="shared" ca="1" si="25"/>
        <v>0</v>
      </c>
      <c r="S114" s="1">
        <v>0</v>
      </c>
      <c r="T114" s="1">
        <f t="shared" ca="1" si="21"/>
        <v>10000000000</v>
      </c>
      <c r="U114" s="1">
        <f t="shared" si="27"/>
        <v>0</v>
      </c>
      <c r="V114" s="1">
        <v>22</v>
      </c>
      <c r="W114" s="1" t="str">
        <f>IF($U114=0,"",IF(INDEX(UCRETLER!$D$7:$D$606,$U114)="","",IF(INDEX(UCRETLER!$F$7:$F$606,$U114)="Aylık",EOMONTH(INDEX(UCRETLER!$D$7:$D$606,$U114),$V114-1),INDEX(UCRETLER!$U$7:$U$606,$U114)+7*($V114-1))))</f>
        <v/>
      </c>
      <c r="X114" s="1">
        <f>IF($U114=0,0,INDEX(UCRETLER!$G$7:$G$606,$U114))</f>
        <v>0</v>
      </c>
      <c r="Y114" s="1">
        <f t="shared" ca="1" si="22"/>
        <v>10000000000</v>
      </c>
      <c r="Z114" s="1">
        <f t="shared" ca="1" si="23"/>
        <v>1</v>
      </c>
      <c r="AA114" s="1"/>
      <c r="AB114" s="1"/>
      <c r="AC114" s="1"/>
      <c r="AD114" s="1"/>
    </row>
    <row r="115" spans="1:30" ht="19.5" customHeight="1" x14ac:dyDescent="0.3">
      <c r="A115" s="2"/>
      <c r="B115" s="86" t="str">
        <f t="shared" ca="1" si="14"/>
        <v/>
      </c>
      <c r="C115" s="87" t="str">
        <f t="shared" ca="1" si="15"/>
        <v/>
      </c>
      <c r="D115" s="88" t="str">
        <f t="shared" ca="1" si="16"/>
        <v/>
      </c>
      <c r="E115" s="86" t="str">
        <f t="shared" ca="1" si="17"/>
        <v/>
      </c>
      <c r="F115" s="89" t="str">
        <f t="shared" ca="1" si="18"/>
        <v/>
      </c>
      <c r="G115" s="89" t="str">
        <f t="shared" ca="1" si="19"/>
        <v/>
      </c>
      <c r="H115" s="89" t="str">
        <f t="shared" ca="1" si="20"/>
        <v/>
      </c>
      <c r="I115" s="2"/>
      <c r="J115" s="2"/>
      <c r="K115" s="1"/>
      <c r="L115" s="1"/>
      <c r="M115" s="1">
        <v>104</v>
      </c>
      <c r="N115" s="1" t="str">
        <f ca="1">IF(OR($U115=0,$W115="",$X115&lt;=0),"",IF($W115&gt;TODAY(),"",IF(AND(INDEX(UCRETLER!$E$7:$E$606,$U115)&lt;&gt;"",$W115&gt;INDEX(UCRETLER!$E$7:$E$606,$U115)),"",$W115)))</f>
        <v/>
      </c>
      <c r="O115" s="1" t="str">
        <f ca="1"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" t="str">
        <f t="shared" ca="1" si="24"/>
        <v/>
      </c>
      <c r="Q115" s="1"/>
      <c r="R115" s="1">
        <f t="shared" ca="1" si="25"/>
        <v>0</v>
      </c>
      <c r="S115" s="1">
        <v>0</v>
      </c>
      <c r="T115" s="1">
        <f t="shared" ca="1" si="21"/>
        <v>10000000000</v>
      </c>
      <c r="U115" s="1">
        <f t="shared" si="27"/>
        <v>0</v>
      </c>
      <c r="V115" s="1">
        <v>23</v>
      </c>
      <c r="W115" s="1" t="str">
        <f>IF($U115=0,"",IF(INDEX(UCRETLER!$D$7:$D$606,$U115)="","",IF(INDEX(UCRETLER!$F$7:$F$606,$U115)="Aylık",EOMONTH(INDEX(UCRETLER!$D$7:$D$606,$U115),$V115-1),INDEX(UCRETLER!$U$7:$U$606,$U115)+7*($V115-1))))</f>
        <v/>
      </c>
      <c r="X115" s="1">
        <f>IF($U115=0,0,INDEX(UCRETLER!$G$7:$G$606,$U115))</f>
        <v>0</v>
      </c>
      <c r="Y115" s="1">
        <f t="shared" ca="1" si="22"/>
        <v>10000000000</v>
      </c>
      <c r="Z115" s="1">
        <f t="shared" ca="1" si="23"/>
        <v>1</v>
      </c>
      <c r="AA115" s="1"/>
      <c r="AB115" s="1"/>
      <c r="AC115" s="1"/>
      <c r="AD115" s="1"/>
    </row>
    <row r="116" spans="1:30" ht="19.5" customHeight="1" x14ac:dyDescent="0.3">
      <c r="A116" s="2"/>
      <c r="B116" s="86" t="str">
        <f t="shared" ca="1" si="14"/>
        <v/>
      </c>
      <c r="C116" s="87" t="str">
        <f t="shared" ca="1" si="15"/>
        <v/>
      </c>
      <c r="D116" s="88" t="str">
        <f t="shared" ca="1" si="16"/>
        <v/>
      </c>
      <c r="E116" s="86" t="str">
        <f t="shared" ca="1" si="17"/>
        <v/>
      </c>
      <c r="F116" s="89" t="str">
        <f t="shared" ca="1" si="18"/>
        <v/>
      </c>
      <c r="G116" s="89" t="str">
        <f t="shared" ca="1" si="19"/>
        <v/>
      </c>
      <c r="H116" s="89" t="str">
        <f t="shared" ca="1" si="20"/>
        <v/>
      </c>
      <c r="I116" s="2"/>
      <c r="J116" s="2"/>
      <c r="K116" s="1"/>
      <c r="L116" s="1"/>
      <c r="M116" s="1">
        <v>105</v>
      </c>
      <c r="N116" s="1" t="str">
        <f ca="1">IF(OR($U116=0,$W116="",$X116&lt;=0),"",IF($W116&gt;TODAY(),"",IF(AND(INDEX(UCRETLER!$E$7:$E$606,$U116)&lt;&gt;"",$W116&gt;INDEX(UCRETLER!$E$7:$E$606,$U116)),"",$W116)))</f>
        <v/>
      </c>
      <c r="O116" s="1" t="str">
        <f ca="1"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" t="str">
        <f t="shared" ca="1" si="24"/>
        <v/>
      </c>
      <c r="Q116" s="1"/>
      <c r="R116" s="1">
        <f t="shared" ca="1" si="25"/>
        <v>0</v>
      </c>
      <c r="S116" s="1">
        <v>0</v>
      </c>
      <c r="T116" s="1">
        <f t="shared" ca="1" si="21"/>
        <v>10000000000</v>
      </c>
      <c r="U116" s="1">
        <f t="shared" si="27"/>
        <v>0</v>
      </c>
      <c r="V116" s="1">
        <v>24</v>
      </c>
      <c r="W116" s="1" t="str">
        <f>IF($U116=0,"",IF(INDEX(UCRETLER!$D$7:$D$606,$U116)="","",IF(INDEX(UCRETLER!$F$7:$F$606,$U116)="Aylık",EOMONTH(INDEX(UCRETLER!$D$7:$D$606,$U116),$V116-1),INDEX(UCRETLER!$U$7:$U$606,$U116)+7*($V116-1))))</f>
        <v/>
      </c>
      <c r="X116" s="1">
        <f>IF($U116=0,0,INDEX(UCRETLER!$G$7:$G$606,$U116))</f>
        <v>0</v>
      </c>
      <c r="Y116" s="1">
        <f t="shared" ca="1" si="22"/>
        <v>10000000000</v>
      </c>
      <c r="Z116" s="1">
        <f t="shared" ca="1" si="23"/>
        <v>1</v>
      </c>
      <c r="AA116" s="1"/>
      <c r="AB116" s="1"/>
      <c r="AC116" s="1"/>
      <c r="AD116" s="1"/>
    </row>
    <row r="117" spans="1:30" ht="19.5" customHeight="1" x14ac:dyDescent="0.3">
      <c r="A117" s="2"/>
      <c r="B117" s="86" t="str">
        <f t="shared" ca="1" si="14"/>
        <v/>
      </c>
      <c r="C117" s="87" t="str">
        <f t="shared" ca="1" si="15"/>
        <v/>
      </c>
      <c r="D117" s="88" t="str">
        <f t="shared" ca="1" si="16"/>
        <v/>
      </c>
      <c r="E117" s="86" t="str">
        <f t="shared" ca="1" si="17"/>
        <v/>
      </c>
      <c r="F117" s="89" t="str">
        <f t="shared" ca="1" si="18"/>
        <v/>
      </c>
      <c r="G117" s="89" t="str">
        <f t="shared" ca="1" si="19"/>
        <v/>
      </c>
      <c r="H117" s="89" t="str">
        <f t="shared" ca="1" si="20"/>
        <v/>
      </c>
      <c r="I117" s="2"/>
      <c r="J117" s="2"/>
      <c r="K117" s="1"/>
      <c r="L117" s="1"/>
      <c r="M117" s="1">
        <v>106</v>
      </c>
      <c r="N117" s="1" t="str">
        <f ca="1">IF(OR($U117=0,$W117="",$X117&lt;=0),"",IF($W117&gt;TODAY(),"",IF(AND(INDEX(UCRETLER!$E$7:$E$606,$U117)&lt;&gt;"",$W117&gt;INDEX(UCRETLER!$E$7:$E$606,$U117)),"",$W117)))</f>
        <v/>
      </c>
      <c r="O117" s="1" t="str">
        <f ca="1"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" t="str">
        <f t="shared" ca="1" si="24"/>
        <v/>
      </c>
      <c r="Q117" s="1"/>
      <c r="R117" s="1">
        <f t="shared" ca="1" si="25"/>
        <v>0</v>
      </c>
      <c r="S117" s="1">
        <v>0</v>
      </c>
      <c r="T117" s="1">
        <f t="shared" ca="1" si="21"/>
        <v>10000000000</v>
      </c>
      <c r="U117" s="1">
        <f t="shared" si="27"/>
        <v>0</v>
      </c>
      <c r="V117" s="1">
        <v>25</v>
      </c>
      <c r="W117" s="1" t="str">
        <f>IF($U117=0,"",IF(INDEX(UCRETLER!$D$7:$D$606,$U117)="","",IF(INDEX(UCRETLER!$F$7:$F$606,$U117)="Aylık",EOMONTH(INDEX(UCRETLER!$D$7:$D$606,$U117),$V117-1),INDEX(UCRETLER!$U$7:$U$606,$U117)+7*($V117-1))))</f>
        <v/>
      </c>
      <c r="X117" s="1">
        <f>IF($U117=0,0,INDEX(UCRETLER!$G$7:$G$606,$U117))</f>
        <v>0</v>
      </c>
      <c r="Y117" s="1">
        <f t="shared" ca="1" si="22"/>
        <v>10000000000</v>
      </c>
      <c r="Z117" s="1">
        <f t="shared" ca="1" si="23"/>
        <v>1</v>
      </c>
      <c r="AA117" s="1"/>
      <c r="AB117" s="1"/>
      <c r="AC117" s="1"/>
      <c r="AD117" s="1"/>
    </row>
    <row r="118" spans="1:30" ht="19.5" customHeight="1" x14ac:dyDescent="0.3">
      <c r="A118" s="2"/>
      <c r="B118" s="86" t="str">
        <f t="shared" ca="1" si="14"/>
        <v/>
      </c>
      <c r="C118" s="87" t="str">
        <f t="shared" ca="1" si="15"/>
        <v/>
      </c>
      <c r="D118" s="88" t="str">
        <f t="shared" ca="1" si="16"/>
        <v/>
      </c>
      <c r="E118" s="86" t="str">
        <f t="shared" ca="1" si="17"/>
        <v/>
      </c>
      <c r="F118" s="89" t="str">
        <f t="shared" ca="1" si="18"/>
        <v/>
      </c>
      <c r="G118" s="89" t="str">
        <f t="shared" ca="1" si="19"/>
        <v/>
      </c>
      <c r="H118" s="89" t="str">
        <f t="shared" ca="1" si="20"/>
        <v/>
      </c>
      <c r="I118" s="2"/>
      <c r="J118" s="2"/>
      <c r="K118" s="1"/>
      <c r="L118" s="1"/>
      <c r="M118" s="1">
        <v>107</v>
      </c>
      <c r="N118" s="1" t="str">
        <f ca="1">IF(OR($U118=0,$W118="",$X118&lt;=0),"",IF($W118&gt;TODAY(),"",IF(AND(INDEX(UCRETLER!$E$7:$E$606,$U118)&lt;&gt;"",$W118&gt;INDEX(UCRETLER!$E$7:$E$606,$U118)),"",$W118)))</f>
        <v/>
      </c>
      <c r="O118" s="1" t="str">
        <f ca="1"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" t="str">
        <f t="shared" ca="1" si="24"/>
        <v/>
      </c>
      <c r="Q118" s="1"/>
      <c r="R118" s="1">
        <f t="shared" ca="1" si="25"/>
        <v>0</v>
      </c>
      <c r="S118" s="1">
        <v>0</v>
      </c>
      <c r="T118" s="1">
        <f t="shared" ca="1" si="21"/>
        <v>10000000000</v>
      </c>
      <c r="U118" s="1">
        <f t="shared" si="27"/>
        <v>0</v>
      </c>
      <c r="V118" s="1">
        <v>26</v>
      </c>
      <c r="W118" s="1" t="str">
        <f>IF($U118=0,"",IF(INDEX(UCRETLER!$D$7:$D$606,$U118)="","",IF(INDEX(UCRETLER!$F$7:$F$606,$U118)="Aylık",EOMONTH(INDEX(UCRETLER!$D$7:$D$606,$U118),$V118-1),INDEX(UCRETLER!$U$7:$U$606,$U118)+7*($V118-1))))</f>
        <v/>
      </c>
      <c r="X118" s="1">
        <f>IF($U118=0,0,INDEX(UCRETLER!$G$7:$G$606,$U118))</f>
        <v>0</v>
      </c>
      <c r="Y118" s="1">
        <f t="shared" ca="1" si="22"/>
        <v>10000000000</v>
      </c>
      <c r="Z118" s="1">
        <f t="shared" ca="1" si="23"/>
        <v>1</v>
      </c>
      <c r="AA118" s="1"/>
      <c r="AB118" s="1"/>
      <c r="AC118" s="1"/>
      <c r="AD118" s="1"/>
    </row>
    <row r="119" spans="1:30" ht="19.5" customHeight="1" x14ac:dyDescent="0.3">
      <c r="A119" s="2"/>
      <c r="B119" s="86" t="str">
        <f t="shared" ca="1" si="14"/>
        <v/>
      </c>
      <c r="C119" s="87" t="str">
        <f t="shared" ca="1" si="15"/>
        <v/>
      </c>
      <c r="D119" s="88" t="str">
        <f t="shared" ca="1" si="16"/>
        <v/>
      </c>
      <c r="E119" s="86" t="str">
        <f t="shared" ca="1" si="17"/>
        <v/>
      </c>
      <c r="F119" s="89" t="str">
        <f t="shared" ca="1" si="18"/>
        <v/>
      </c>
      <c r="G119" s="89" t="str">
        <f t="shared" ca="1" si="19"/>
        <v/>
      </c>
      <c r="H119" s="89" t="str">
        <f t="shared" ca="1" si="20"/>
        <v/>
      </c>
      <c r="I119" s="2"/>
      <c r="J119" s="2"/>
      <c r="K119" s="1"/>
      <c r="L119" s="1"/>
      <c r="M119" s="1">
        <v>108</v>
      </c>
      <c r="N119" s="1" t="str">
        <f ca="1">IF(OR($U119=0,$W119="",$X119&lt;=0),"",IF($W119&gt;TODAY(),"",IF(AND(INDEX(UCRETLER!$E$7:$E$606,$U119)&lt;&gt;"",$W119&gt;INDEX(UCRETLER!$E$7:$E$606,$U119)),"",$W119)))</f>
        <v/>
      </c>
      <c r="O119" s="1" t="str">
        <f ca="1"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" t="str">
        <f t="shared" ca="1" si="24"/>
        <v/>
      </c>
      <c r="Q119" s="1"/>
      <c r="R119" s="1">
        <f t="shared" ca="1" si="25"/>
        <v>0</v>
      </c>
      <c r="S119" s="1">
        <v>0</v>
      </c>
      <c r="T119" s="1">
        <f t="shared" ca="1" si="21"/>
        <v>10000000000</v>
      </c>
      <c r="U119" s="1">
        <f t="shared" si="27"/>
        <v>0</v>
      </c>
      <c r="V119" s="1">
        <v>27</v>
      </c>
      <c r="W119" s="1" t="str">
        <f>IF($U119=0,"",IF(INDEX(UCRETLER!$D$7:$D$606,$U119)="","",IF(INDEX(UCRETLER!$F$7:$F$606,$U119)="Aylık",EOMONTH(INDEX(UCRETLER!$D$7:$D$606,$U119),$V119-1),INDEX(UCRETLER!$U$7:$U$606,$U119)+7*($V119-1))))</f>
        <v/>
      </c>
      <c r="X119" s="1">
        <f>IF($U119=0,0,INDEX(UCRETLER!$G$7:$G$606,$U119))</f>
        <v>0</v>
      </c>
      <c r="Y119" s="1">
        <f t="shared" ca="1" si="22"/>
        <v>10000000000</v>
      </c>
      <c r="Z119" s="1">
        <f t="shared" ca="1" si="23"/>
        <v>1</v>
      </c>
      <c r="AA119" s="1"/>
      <c r="AB119" s="1"/>
      <c r="AC119" s="1"/>
      <c r="AD119" s="1"/>
    </row>
    <row r="120" spans="1:30" ht="19.5" customHeight="1" x14ac:dyDescent="0.3">
      <c r="A120" s="2"/>
      <c r="B120" s="86" t="str">
        <f t="shared" ca="1" si="14"/>
        <v/>
      </c>
      <c r="C120" s="87" t="str">
        <f t="shared" ca="1" si="15"/>
        <v/>
      </c>
      <c r="D120" s="88" t="str">
        <f t="shared" ca="1" si="16"/>
        <v/>
      </c>
      <c r="E120" s="86" t="str">
        <f t="shared" ca="1" si="17"/>
        <v/>
      </c>
      <c r="F120" s="89" t="str">
        <f t="shared" ca="1" si="18"/>
        <v/>
      </c>
      <c r="G120" s="89" t="str">
        <f t="shared" ca="1" si="19"/>
        <v/>
      </c>
      <c r="H120" s="89" t="str">
        <f t="shared" ca="1" si="20"/>
        <v/>
      </c>
      <c r="I120" s="2"/>
      <c r="J120" s="2"/>
      <c r="K120" s="1"/>
      <c r="L120" s="1"/>
      <c r="M120" s="1">
        <v>109</v>
      </c>
      <c r="N120" s="1" t="str">
        <f ca="1">IF(OR($U120=0,$W120="",$X120&lt;=0),"",IF($W120&gt;TODAY(),"",IF(AND(INDEX(UCRETLER!$E$7:$E$606,$U120)&lt;&gt;"",$W120&gt;INDEX(UCRETLER!$E$7:$E$606,$U120)),"",$W120)))</f>
        <v/>
      </c>
      <c r="O120" s="1" t="str">
        <f ca="1"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" t="str">
        <f t="shared" ca="1" si="24"/>
        <v/>
      </c>
      <c r="Q120" s="1"/>
      <c r="R120" s="1">
        <f t="shared" ca="1" si="25"/>
        <v>0</v>
      </c>
      <c r="S120" s="1">
        <v>0</v>
      </c>
      <c r="T120" s="1">
        <f t="shared" ca="1" si="21"/>
        <v>10000000000</v>
      </c>
      <c r="U120" s="1">
        <f t="shared" si="27"/>
        <v>0</v>
      </c>
      <c r="V120" s="1">
        <v>28</v>
      </c>
      <c r="W120" s="1" t="str">
        <f>IF($U120=0,"",IF(INDEX(UCRETLER!$D$7:$D$606,$U120)="","",IF(INDEX(UCRETLER!$F$7:$F$606,$U120)="Aylık",EOMONTH(INDEX(UCRETLER!$D$7:$D$606,$U120),$V120-1),INDEX(UCRETLER!$U$7:$U$606,$U120)+7*($V120-1))))</f>
        <v/>
      </c>
      <c r="X120" s="1">
        <f>IF($U120=0,0,INDEX(UCRETLER!$G$7:$G$606,$U120))</f>
        <v>0</v>
      </c>
      <c r="Y120" s="1">
        <f t="shared" ca="1" si="22"/>
        <v>10000000000</v>
      </c>
      <c r="Z120" s="1">
        <f t="shared" ca="1" si="23"/>
        <v>1</v>
      </c>
      <c r="AA120" s="1"/>
      <c r="AB120" s="1"/>
      <c r="AC120" s="1"/>
      <c r="AD120" s="1"/>
    </row>
    <row r="121" spans="1:30" ht="19.5" customHeight="1" x14ac:dyDescent="0.3">
      <c r="A121" s="2"/>
      <c r="B121" s="86" t="str">
        <f t="shared" ca="1" si="14"/>
        <v/>
      </c>
      <c r="C121" s="87" t="str">
        <f t="shared" ca="1" si="15"/>
        <v/>
      </c>
      <c r="D121" s="88" t="str">
        <f t="shared" ca="1" si="16"/>
        <v/>
      </c>
      <c r="E121" s="86" t="str">
        <f t="shared" ca="1" si="17"/>
        <v/>
      </c>
      <c r="F121" s="89" t="str">
        <f t="shared" ca="1" si="18"/>
        <v/>
      </c>
      <c r="G121" s="89" t="str">
        <f t="shared" ca="1" si="19"/>
        <v/>
      </c>
      <c r="H121" s="89" t="str">
        <f t="shared" ca="1" si="20"/>
        <v/>
      </c>
      <c r="I121" s="2"/>
      <c r="J121" s="2"/>
      <c r="K121" s="1"/>
      <c r="L121" s="1"/>
      <c r="M121" s="1">
        <v>110</v>
      </c>
      <c r="N121" s="1" t="str">
        <f ca="1">IF(OR($U121=0,$W121="",$X121&lt;=0),"",IF($W121&gt;TODAY(),"",IF(AND(INDEX(UCRETLER!$E$7:$E$606,$U121)&lt;&gt;"",$W121&gt;INDEX(UCRETLER!$E$7:$E$606,$U121)),"",$W121)))</f>
        <v/>
      </c>
      <c r="O121" s="1" t="str">
        <f ca="1"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" t="str">
        <f t="shared" ca="1" si="24"/>
        <v/>
      </c>
      <c r="Q121" s="1"/>
      <c r="R121" s="1">
        <f t="shared" ca="1" si="25"/>
        <v>0</v>
      </c>
      <c r="S121" s="1">
        <v>0</v>
      </c>
      <c r="T121" s="1">
        <f t="shared" ca="1" si="21"/>
        <v>10000000000</v>
      </c>
      <c r="U121" s="1">
        <f t="shared" si="27"/>
        <v>0</v>
      </c>
      <c r="V121" s="1">
        <v>29</v>
      </c>
      <c r="W121" s="1" t="str">
        <f>IF($U121=0,"",IF(INDEX(UCRETLER!$D$7:$D$606,$U121)="","",IF(INDEX(UCRETLER!$F$7:$F$606,$U121)="Aylık",EOMONTH(INDEX(UCRETLER!$D$7:$D$606,$U121),$V121-1),INDEX(UCRETLER!$U$7:$U$606,$U121)+7*($V121-1))))</f>
        <v/>
      </c>
      <c r="X121" s="1">
        <f>IF($U121=0,0,INDEX(UCRETLER!$G$7:$G$606,$U121))</f>
        <v>0</v>
      </c>
      <c r="Y121" s="1">
        <f t="shared" ca="1" si="22"/>
        <v>10000000000</v>
      </c>
      <c r="Z121" s="1">
        <f t="shared" ca="1" si="23"/>
        <v>1</v>
      </c>
      <c r="AA121" s="1"/>
      <c r="AB121" s="1"/>
      <c r="AC121" s="1"/>
      <c r="AD121" s="1"/>
    </row>
    <row r="122" spans="1:30" ht="19.5" customHeight="1" x14ac:dyDescent="0.3">
      <c r="A122" s="2"/>
      <c r="B122" s="86" t="str">
        <f t="shared" ca="1" si="14"/>
        <v/>
      </c>
      <c r="C122" s="87" t="str">
        <f t="shared" ca="1" si="15"/>
        <v/>
      </c>
      <c r="D122" s="88" t="str">
        <f t="shared" ca="1" si="16"/>
        <v/>
      </c>
      <c r="E122" s="86" t="str">
        <f t="shared" ca="1" si="17"/>
        <v/>
      </c>
      <c r="F122" s="89" t="str">
        <f t="shared" ca="1" si="18"/>
        <v/>
      </c>
      <c r="G122" s="89" t="str">
        <f t="shared" ca="1" si="19"/>
        <v/>
      </c>
      <c r="H122" s="89" t="str">
        <f t="shared" ca="1" si="20"/>
        <v/>
      </c>
      <c r="I122" s="2"/>
      <c r="J122" s="2"/>
      <c r="K122" s="1"/>
      <c r="L122" s="1"/>
      <c r="M122" s="1">
        <v>111</v>
      </c>
      <c r="N122" s="1" t="str">
        <f ca="1">IF(OR($U122=0,$W122="",$X122&lt;=0),"",IF($W122&gt;TODAY(),"",IF(AND(INDEX(UCRETLER!$E$7:$E$606,$U122)&lt;&gt;"",$W122&gt;INDEX(UCRETLER!$E$7:$E$606,$U122)),"",$W122)))</f>
        <v/>
      </c>
      <c r="O122" s="1" t="str">
        <f ca="1"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" t="str">
        <f t="shared" ca="1" si="24"/>
        <v/>
      </c>
      <c r="Q122" s="1"/>
      <c r="R122" s="1">
        <f t="shared" ca="1" si="25"/>
        <v>0</v>
      </c>
      <c r="S122" s="1">
        <v>0</v>
      </c>
      <c r="T122" s="1">
        <f t="shared" ca="1" si="21"/>
        <v>10000000000</v>
      </c>
      <c r="U122" s="1">
        <f t="shared" si="27"/>
        <v>0</v>
      </c>
      <c r="V122" s="1">
        <v>30</v>
      </c>
      <c r="W122" s="1" t="str">
        <f>IF($U122=0,"",IF(INDEX(UCRETLER!$D$7:$D$606,$U122)="","",IF(INDEX(UCRETLER!$F$7:$F$606,$U122)="Aylık",EOMONTH(INDEX(UCRETLER!$D$7:$D$606,$U122),$V122-1),INDEX(UCRETLER!$U$7:$U$606,$U122)+7*($V122-1))))</f>
        <v/>
      </c>
      <c r="X122" s="1">
        <f>IF($U122=0,0,INDEX(UCRETLER!$G$7:$G$606,$U122))</f>
        <v>0</v>
      </c>
      <c r="Y122" s="1">
        <f t="shared" ca="1" si="22"/>
        <v>10000000000</v>
      </c>
      <c r="Z122" s="1">
        <f t="shared" ca="1" si="23"/>
        <v>1</v>
      </c>
      <c r="AA122" s="1"/>
      <c r="AB122" s="1"/>
      <c r="AC122" s="1"/>
      <c r="AD122" s="1"/>
    </row>
    <row r="123" spans="1:30" ht="19.5" customHeight="1" x14ac:dyDescent="0.3">
      <c r="A123" s="2"/>
      <c r="B123" s="86" t="str">
        <f t="shared" ca="1" si="14"/>
        <v/>
      </c>
      <c r="C123" s="87" t="str">
        <f t="shared" ca="1" si="15"/>
        <v/>
      </c>
      <c r="D123" s="88" t="str">
        <f t="shared" ca="1" si="16"/>
        <v/>
      </c>
      <c r="E123" s="86" t="str">
        <f t="shared" ca="1" si="17"/>
        <v/>
      </c>
      <c r="F123" s="89" t="str">
        <f t="shared" ca="1" si="18"/>
        <v/>
      </c>
      <c r="G123" s="89" t="str">
        <f t="shared" ca="1" si="19"/>
        <v/>
      </c>
      <c r="H123" s="89" t="str">
        <f t="shared" ca="1" si="20"/>
        <v/>
      </c>
      <c r="I123" s="2"/>
      <c r="J123" s="2"/>
      <c r="K123" s="1"/>
      <c r="L123" s="1"/>
      <c r="M123" s="1">
        <v>112</v>
      </c>
      <c r="N123" s="1" t="str">
        <f ca="1">IF(OR($U123=0,$W123="",$X123&lt;=0),"",IF($W123&gt;TODAY(),"",IF(AND(INDEX(UCRETLER!$E$7:$E$606,$U123)&lt;&gt;"",$W123&gt;INDEX(UCRETLER!$E$7:$E$606,$U123)),"",$W123)))</f>
        <v/>
      </c>
      <c r="O123" s="1" t="str">
        <f ca="1"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" t="str">
        <f t="shared" ca="1" si="24"/>
        <v/>
      </c>
      <c r="Q123" s="1"/>
      <c r="R123" s="1">
        <f t="shared" ca="1" si="25"/>
        <v>0</v>
      </c>
      <c r="S123" s="1">
        <v>0</v>
      </c>
      <c r="T123" s="1">
        <f t="shared" ca="1" si="21"/>
        <v>10000000000</v>
      </c>
      <c r="U123" s="1">
        <f t="shared" si="27"/>
        <v>0</v>
      </c>
      <c r="V123" s="1">
        <v>31</v>
      </c>
      <c r="W123" s="1" t="str">
        <f>IF($U123=0,"",IF(INDEX(UCRETLER!$D$7:$D$606,$U123)="","",IF(INDEX(UCRETLER!$F$7:$F$606,$U123)="Aylık",EOMONTH(INDEX(UCRETLER!$D$7:$D$606,$U123),$V123-1),INDEX(UCRETLER!$U$7:$U$606,$U123)+7*($V123-1))))</f>
        <v/>
      </c>
      <c r="X123" s="1">
        <f>IF($U123=0,0,INDEX(UCRETLER!$G$7:$G$606,$U123))</f>
        <v>0</v>
      </c>
      <c r="Y123" s="1">
        <f t="shared" ca="1" si="22"/>
        <v>10000000000</v>
      </c>
      <c r="Z123" s="1">
        <f t="shared" ca="1" si="23"/>
        <v>1</v>
      </c>
      <c r="AA123" s="1"/>
      <c r="AB123" s="1"/>
      <c r="AC123" s="1"/>
      <c r="AD123" s="1"/>
    </row>
    <row r="124" spans="1:30" ht="19.5" customHeight="1" x14ac:dyDescent="0.3">
      <c r="A124" s="2"/>
      <c r="B124" s="86" t="str">
        <f t="shared" ca="1" si="14"/>
        <v/>
      </c>
      <c r="C124" s="87" t="str">
        <f t="shared" ca="1" si="15"/>
        <v/>
      </c>
      <c r="D124" s="88" t="str">
        <f t="shared" ca="1" si="16"/>
        <v/>
      </c>
      <c r="E124" s="86" t="str">
        <f t="shared" ca="1" si="17"/>
        <v/>
      </c>
      <c r="F124" s="89" t="str">
        <f t="shared" ca="1" si="18"/>
        <v/>
      </c>
      <c r="G124" s="89" t="str">
        <f t="shared" ca="1" si="19"/>
        <v/>
      </c>
      <c r="H124" s="89" t="str">
        <f t="shared" ca="1" si="20"/>
        <v/>
      </c>
      <c r="I124" s="2"/>
      <c r="J124" s="2"/>
      <c r="K124" s="1"/>
      <c r="L124" s="1"/>
      <c r="M124" s="1">
        <v>113</v>
      </c>
      <c r="N124" s="1" t="str">
        <f ca="1">IF(OR($U124=0,$W124="",$X124&lt;=0),"",IF($W124&gt;TODAY(),"",IF(AND(INDEX(UCRETLER!$E$7:$E$606,$U124)&lt;&gt;"",$W124&gt;INDEX(UCRETLER!$E$7:$E$606,$U124)),"",$W124)))</f>
        <v/>
      </c>
      <c r="O124" s="1" t="str">
        <f ca="1"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" t="str">
        <f t="shared" ca="1" si="24"/>
        <v/>
      </c>
      <c r="Q124" s="1"/>
      <c r="R124" s="1">
        <f t="shared" ca="1" si="25"/>
        <v>0</v>
      </c>
      <c r="S124" s="1">
        <v>0</v>
      </c>
      <c r="T124" s="1">
        <f t="shared" ca="1" si="21"/>
        <v>10000000000</v>
      </c>
      <c r="U124" s="1">
        <f t="shared" si="27"/>
        <v>0</v>
      </c>
      <c r="V124" s="1">
        <v>32</v>
      </c>
      <c r="W124" s="1" t="str">
        <f>IF($U124=0,"",IF(INDEX(UCRETLER!$D$7:$D$606,$U124)="","",IF(INDEX(UCRETLER!$F$7:$F$606,$U124)="Aylık",EOMONTH(INDEX(UCRETLER!$D$7:$D$606,$U124),$V124-1),INDEX(UCRETLER!$U$7:$U$606,$U124)+7*($V124-1))))</f>
        <v/>
      </c>
      <c r="X124" s="1">
        <f>IF($U124=0,0,INDEX(UCRETLER!$G$7:$G$606,$U124))</f>
        <v>0</v>
      </c>
      <c r="Y124" s="1">
        <f t="shared" ca="1" si="22"/>
        <v>10000000000</v>
      </c>
      <c r="Z124" s="1">
        <f t="shared" ca="1" si="23"/>
        <v>1</v>
      </c>
      <c r="AA124" s="1"/>
      <c r="AB124" s="1"/>
      <c r="AC124" s="1"/>
      <c r="AD124" s="1"/>
    </row>
    <row r="125" spans="1:30" ht="19.5" customHeight="1" x14ac:dyDescent="0.3">
      <c r="A125" s="2"/>
      <c r="B125" s="86" t="str">
        <f t="shared" ca="1" si="14"/>
        <v/>
      </c>
      <c r="C125" s="87" t="str">
        <f t="shared" ca="1" si="15"/>
        <v/>
      </c>
      <c r="D125" s="88" t="str">
        <f t="shared" ca="1" si="16"/>
        <v/>
      </c>
      <c r="E125" s="86" t="str">
        <f t="shared" ca="1" si="17"/>
        <v/>
      </c>
      <c r="F125" s="89" t="str">
        <f t="shared" ca="1" si="18"/>
        <v/>
      </c>
      <c r="G125" s="89" t="str">
        <f t="shared" ca="1" si="19"/>
        <v/>
      </c>
      <c r="H125" s="89" t="str">
        <f t="shared" ca="1" si="20"/>
        <v/>
      </c>
      <c r="I125" s="2"/>
      <c r="J125" s="2"/>
      <c r="K125" s="1"/>
      <c r="L125" s="1"/>
      <c r="M125" s="1">
        <v>114</v>
      </c>
      <c r="N125" s="1" t="str">
        <f ca="1">IF(OR($U125=0,$W125="",$X125&lt;=0),"",IF($W125&gt;TODAY(),"",IF(AND(INDEX(UCRETLER!$E$7:$E$606,$U125)&lt;&gt;"",$W125&gt;INDEX(UCRETLER!$E$7:$E$606,$U125)),"",$W125)))</f>
        <v/>
      </c>
      <c r="O125" s="1" t="str">
        <f ca="1"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" t="str">
        <f t="shared" ca="1" si="24"/>
        <v/>
      </c>
      <c r="Q125" s="1"/>
      <c r="R125" s="1">
        <f t="shared" ca="1" si="25"/>
        <v>0</v>
      </c>
      <c r="S125" s="1">
        <v>0</v>
      </c>
      <c r="T125" s="1">
        <f t="shared" ca="1" si="21"/>
        <v>10000000000</v>
      </c>
      <c r="U125" s="1">
        <f t="shared" ref="U125:U156" si="28">$AB$5</f>
        <v>0</v>
      </c>
      <c r="V125" s="1">
        <v>33</v>
      </c>
      <c r="W125" s="1" t="str">
        <f>IF($U125=0,"",IF(INDEX(UCRETLER!$D$7:$D$606,$U125)="","",IF(INDEX(UCRETLER!$F$7:$F$606,$U125)="Aylık",EOMONTH(INDEX(UCRETLER!$D$7:$D$606,$U125),$V125-1),INDEX(UCRETLER!$U$7:$U$606,$U125)+7*($V125-1))))</f>
        <v/>
      </c>
      <c r="X125" s="1">
        <f>IF($U125=0,0,INDEX(UCRETLER!$G$7:$G$606,$U125))</f>
        <v>0</v>
      </c>
      <c r="Y125" s="1">
        <f t="shared" ca="1" si="22"/>
        <v>10000000000</v>
      </c>
      <c r="Z125" s="1">
        <f t="shared" ca="1" si="23"/>
        <v>1</v>
      </c>
      <c r="AA125" s="1"/>
      <c r="AB125" s="1"/>
      <c r="AC125" s="1"/>
      <c r="AD125" s="1"/>
    </row>
    <row r="126" spans="1:30" ht="19.5" customHeight="1" x14ac:dyDescent="0.3">
      <c r="A126" s="2"/>
      <c r="B126" s="86" t="str">
        <f t="shared" ca="1" si="14"/>
        <v/>
      </c>
      <c r="C126" s="87" t="str">
        <f t="shared" ca="1" si="15"/>
        <v/>
      </c>
      <c r="D126" s="88" t="str">
        <f t="shared" ca="1" si="16"/>
        <v/>
      </c>
      <c r="E126" s="86" t="str">
        <f t="shared" ca="1" si="17"/>
        <v/>
      </c>
      <c r="F126" s="89" t="str">
        <f t="shared" ca="1" si="18"/>
        <v/>
      </c>
      <c r="G126" s="89" t="str">
        <f t="shared" ca="1" si="19"/>
        <v/>
      </c>
      <c r="H126" s="89" t="str">
        <f t="shared" ca="1" si="20"/>
        <v/>
      </c>
      <c r="I126" s="2"/>
      <c r="J126" s="2"/>
      <c r="K126" s="1"/>
      <c r="L126" s="1"/>
      <c r="M126" s="1">
        <v>115</v>
      </c>
      <c r="N126" s="1" t="str">
        <f ca="1">IF(OR($U126=0,$W126="",$X126&lt;=0),"",IF($W126&gt;TODAY(),"",IF(AND(INDEX(UCRETLER!$E$7:$E$606,$U126)&lt;&gt;"",$W126&gt;INDEX(UCRETLER!$E$7:$E$606,$U126)),"",$W126)))</f>
        <v/>
      </c>
      <c r="O126" s="1" t="str">
        <f ca="1"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" t="str">
        <f t="shared" ca="1" si="24"/>
        <v/>
      </c>
      <c r="Q126" s="1"/>
      <c r="R126" s="1">
        <f t="shared" ca="1" si="25"/>
        <v>0</v>
      </c>
      <c r="S126" s="1">
        <v>0</v>
      </c>
      <c r="T126" s="1">
        <f t="shared" ca="1" si="21"/>
        <v>10000000000</v>
      </c>
      <c r="U126" s="1">
        <f t="shared" si="28"/>
        <v>0</v>
      </c>
      <c r="V126" s="1">
        <v>34</v>
      </c>
      <c r="W126" s="1" t="str">
        <f>IF($U126=0,"",IF(INDEX(UCRETLER!$D$7:$D$606,$U126)="","",IF(INDEX(UCRETLER!$F$7:$F$606,$U126)="Aylık",EOMONTH(INDEX(UCRETLER!$D$7:$D$606,$U126),$V126-1),INDEX(UCRETLER!$U$7:$U$606,$U126)+7*($V126-1))))</f>
        <v/>
      </c>
      <c r="X126" s="1">
        <f>IF($U126=0,0,INDEX(UCRETLER!$G$7:$G$606,$U126))</f>
        <v>0</v>
      </c>
      <c r="Y126" s="1">
        <f t="shared" ca="1" si="22"/>
        <v>10000000000</v>
      </c>
      <c r="Z126" s="1">
        <f t="shared" ca="1" si="23"/>
        <v>1</v>
      </c>
      <c r="AA126" s="1"/>
      <c r="AB126" s="1"/>
      <c r="AC126" s="1"/>
      <c r="AD126" s="1"/>
    </row>
    <row r="127" spans="1:30" ht="19.5" customHeight="1" x14ac:dyDescent="0.3">
      <c r="A127" s="2"/>
      <c r="B127" s="86" t="str">
        <f t="shared" ca="1" si="14"/>
        <v/>
      </c>
      <c r="C127" s="87" t="str">
        <f t="shared" ca="1" si="15"/>
        <v/>
      </c>
      <c r="D127" s="88" t="str">
        <f t="shared" ca="1" si="16"/>
        <v/>
      </c>
      <c r="E127" s="86" t="str">
        <f t="shared" ca="1" si="17"/>
        <v/>
      </c>
      <c r="F127" s="89" t="str">
        <f t="shared" ca="1" si="18"/>
        <v/>
      </c>
      <c r="G127" s="89" t="str">
        <f t="shared" ca="1" si="19"/>
        <v/>
      </c>
      <c r="H127" s="89" t="str">
        <f t="shared" ca="1" si="20"/>
        <v/>
      </c>
      <c r="I127" s="2"/>
      <c r="J127" s="2"/>
      <c r="K127" s="1"/>
      <c r="L127" s="1"/>
      <c r="M127" s="1">
        <v>116</v>
      </c>
      <c r="N127" s="1" t="str">
        <f ca="1">IF(OR($U127=0,$W127="",$X127&lt;=0),"",IF($W127&gt;TODAY(),"",IF(AND(INDEX(UCRETLER!$E$7:$E$606,$U127)&lt;&gt;"",$W127&gt;INDEX(UCRETLER!$E$7:$E$606,$U127)),"",$W127)))</f>
        <v/>
      </c>
      <c r="O127" s="1" t="str">
        <f ca="1"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" t="str">
        <f t="shared" ca="1" si="24"/>
        <v/>
      </c>
      <c r="Q127" s="1"/>
      <c r="R127" s="1">
        <f t="shared" ca="1" si="25"/>
        <v>0</v>
      </c>
      <c r="S127" s="1">
        <v>0</v>
      </c>
      <c r="T127" s="1">
        <f t="shared" ca="1" si="21"/>
        <v>10000000000</v>
      </c>
      <c r="U127" s="1">
        <f t="shared" si="28"/>
        <v>0</v>
      </c>
      <c r="V127" s="1">
        <v>35</v>
      </c>
      <c r="W127" s="1" t="str">
        <f>IF($U127=0,"",IF(INDEX(UCRETLER!$D$7:$D$606,$U127)="","",IF(INDEX(UCRETLER!$F$7:$F$606,$U127)="Aylık",EOMONTH(INDEX(UCRETLER!$D$7:$D$606,$U127),$V127-1),INDEX(UCRETLER!$U$7:$U$606,$U127)+7*($V127-1))))</f>
        <v/>
      </c>
      <c r="X127" s="1">
        <f>IF($U127=0,0,INDEX(UCRETLER!$G$7:$G$606,$U127))</f>
        <v>0</v>
      </c>
      <c r="Y127" s="1">
        <f t="shared" ca="1" si="22"/>
        <v>10000000000</v>
      </c>
      <c r="Z127" s="1">
        <f t="shared" ca="1" si="23"/>
        <v>1</v>
      </c>
      <c r="AA127" s="1"/>
      <c r="AB127" s="1"/>
      <c r="AC127" s="1"/>
      <c r="AD127" s="1"/>
    </row>
    <row r="128" spans="1:30" ht="19.5" customHeight="1" x14ac:dyDescent="0.3">
      <c r="A128" s="2"/>
      <c r="B128" s="86" t="str">
        <f t="shared" ca="1" si="14"/>
        <v/>
      </c>
      <c r="C128" s="87" t="str">
        <f t="shared" ca="1" si="15"/>
        <v/>
      </c>
      <c r="D128" s="88" t="str">
        <f t="shared" ca="1" si="16"/>
        <v/>
      </c>
      <c r="E128" s="86" t="str">
        <f t="shared" ca="1" si="17"/>
        <v/>
      </c>
      <c r="F128" s="89" t="str">
        <f t="shared" ca="1" si="18"/>
        <v/>
      </c>
      <c r="G128" s="89" t="str">
        <f t="shared" ca="1" si="19"/>
        <v/>
      </c>
      <c r="H128" s="89" t="str">
        <f t="shared" ca="1" si="20"/>
        <v/>
      </c>
      <c r="I128" s="2"/>
      <c r="J128" s="2"/>
      <c r="K128" s="1"/>
      <c r="L128" s="1"/>
      <c r="M128" s="1">
        <v>117</v>
      </c>
      <c r="N128" s="1" t="str">
        <f ca="1">IF(OR($U128=0,$W128="",$X128&lt;=0),"",IF($W128&gt;TODAY(),"",IF(AND(INDEX(UCRETLER!$E$7:$E$606,$U128)&lt;&gt;"",$W128&gt;INDEX(UCRETLER!$E$7:$E$606,$U128)),"",$W128)))</f>
        <v/>
      </c>
      <c r="O128" s="1" t="str">
        <f ca="1"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" t="str">
        <f t="shared" ca="1" si="24"/>
        <v/>
      </c>
      <c r="Q128" s="1"/>
      <c r="R128" s="1">
        <f t="shared" ca="1" si="25"/>
        <v>0</v>
      </c>
      <c r="S128" s="1">
        <v>0</v>
      </c>
      <c r="T128" s="1">
        <f t="shared" ca="1" si="21"/>
        <v>10000000000</v>
      </c>
      <c r="U128" s="1">
        <f t="shared" si="28"/>
        <v>0</v>
      </c>
      <c r="V128" s="1">
        <v>36</v>
      </c>
      <c r="W128" s="1" t="str">
        <f>IF($U128=0,"",IF(INDEX(UCRETLER!$D$7:$D$606,$U128)="","",IF(INDEX(UCRETLER!$F$7:$F$606,$U128)="Aylık",EOMONTH(INDEX(UCRETLER!$D$7:$D$606,$U128),$V128-1),INDEX(UCRETLER!$U$7:$U$606,$U128)+7*($V128-1))))</f>
        <v/>
      </c>
      <c r="X128" s="1">
        <f>IF($U128=0,0,INDEX(UCRETLER!$G$7:$G$606,$U128))</f>
        <v>0</v>
      </c>
      <c r="Y128" s="1">
        <f t="shared" ca="1" si="22"/>
        <v>10000000000</v>
      </c>
      <c r="Z128" s="1">
        <f t="shared" ca="1" si="23"/>
        <v>1</v>
      </c>
      <c r="AA128" s="1"/>
      <c r="AB128" s="1"/>
      <c r="AC128" s="1"/>
      <c r="AD128" s="1"/>
    </row>
    <row r="129" spans="1:30" ht="19.5" customHeight="1" x14ac:dyDescent="0.3">
      <c r="A129" s="2"/>
      <c r="B129" s="86" t="str">
        <f t="shared" ca="1" si="14"/>
        <v/>
      </c>
      <c r="C129" s="87" t="str">
        <f t="shared" ca="1" si="15"/>
        <v/>
      </c>
      <c r="D129" s="88" t="str">
        <f t="shared" ca="1" si="16"/>
        <v/>
      </c>
      <c r="E129" s="86" t="str">
        <f t="shared" ca="1" si="17"/>
        <v/>
      </c>
      <c r="F129" s="89" t="str">
        <f t="shared" ca="1" si="18"/>
        <v/>
      </c>
      <c r="G129" s="89" t="str">
        <f t="shared" ca="1" si="19"/>
        <v/>
      </c>
      <c r="H129" s="89" t="str">
        <f t="shared" ca="1" si="20"/>
        <v/>
      </c>
      <c r="I129" s="2"/>
      <c r="J129" s="2"/>
      <c r="K129" s="1"/>
      <c r="L129" s="1"/>
      <c r="M129" s="1">
        <v>118</v>
      </c>
      <c r="N129" s="1" t="str">
        <f ca="1">IF(OR($U129=0,$W129="",$X129&lt;=0),"",IF($W129&gt;TODAY(),"",IF(AND(INDEX(UCRETLER!$E$7:$E$606,$U129)&lt;&gt;"",$W129&gt;INDEX(UCRETLER!$E$7:$E$606,$U129)),"",$W129)))</f>
        <v/>
      </c>
      <c r="O129" s="1" t="str">
        <f ca="1"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" t="str">
        <f t="shared" ca="1" si="24"/>
        <v/>
      </c>
      <c r="Q129" s="1"/>
      <c r="R129" s="1">
        <f t="shared" ca="1" si="25"/>
        <v>0</v>
      </c>
      <c r="S129" s="1">
        <v>0</v>
      </c>
      <c r="T129" s="1">
        <f t="shared" ca="1" si="21"/>
        <v>10000000000</v>
      </c>
      <c r="U129" s="1">
        <f t="shared" si="28"/>
        <v>0</v>
      </c>
      <c r="V129" s="1">
        <v>37</v>
      </c>
      <c r="W129" s="1" t="str">
        <f>IF($U129=0,"",IF(INDEX(UCRETLER!$D$7:$D$606,$U129)="","",IF(INDEX(UCRETLER!$F$7:$F$606,$U129)="Aylık",EOMONTH(INDEX(UCRETLER!$D$7:$D$606,$U129),$V129-1),INDEX(UCRETLER!$U$7:$U$606,$U129)+7*($V129-1))))</f>
        <v/>
      </c>
      <c r="X129" s="1">
        <f>IF($U129=0,0,INDEX(UCRETLER!$G$7:$G$606,$U129))</f>
        <v>0</v>
      </c>
      <c r="Y129" s="1">
        <f t="shared" ca="1" si="22"/>
        <v>10000000000</v>
      </c>
      <c r="Z129" s="1">
        <f t="shared" ca="1" si="23"/>
        <v>1</v>
      </c>
      <c r="AA129" s="1"/>
      <c r="AB129" s="1"/>
      <c r="AC129" s="1"/>
      <c r="AD129" s="1"/>
    </row>
    <row r="130" spans="1:30" ht="19.5" customHeight="1" x14ac:dyDescent="0.3">
      <c r="A130" s="2"/>
      <c r="B130" s="86" t="str">
        <f t="shared" ca="1" si="14"/>
        <v/>
      </c>
      <c r="C130" s="87" t="str">
        <f t="shared" ca="1" si="15"/>
        <v/>
      </c>
      <c r="D130" s="88" t="str">
        <f t="shared" ca="1" si="16"/>
        <v/>
      </c>
      <c r="E130" s="86" t="str">
        <f t="shared" ca="1" si="17"/>
        <v/>
      </c>
      <c r="F130" s="89" t="str">
        <f t="shared" ca="1" si="18"/>
        <v/>
      </c>
      <c r="G130" s="89" t="str">
        <f t="shared" ca="1" si="19"/>
        <v/>
      </c>
      <c r="H130" s="89" t="str">
        <f t="shared" ca="1" si="20"/>
        <v/>
      </c>
      <c r="I130" s="2"/>
      <c r="J130" s="2"/>
      <c r="K130" s="1"/>
      <c r="L130" s="1"/>
      <c r="M130" s="1">
        <v>119</v>
      </c>
      <c r="N130" s="1" t="str">
        <f ca="1">IF(OR($U130=0,$W130="",$X130&lt;=0),"",IF($W130&gt;TODAY(),"",IF(AND(INDEX(UCRETLER!$E$7:$E$606,$U130)&lt;&gt;"",$W130&gt;INDEX(UCRETLER!$E$7:$E$606,$U130)),"",$W130)))</f>
        <v/>
      </c>
      <c r="O130" s="1" t="str">
        <f ca="1"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" t="str">
        <f t="shared" ca="1" si="24"/>
        <v/>
      </c>
      <c r="Q130" s="1"/>
      <c r="R130" s="1">
        <f t="shared" ca="1" si="25"/>
        <v>0</v>
      </c>
      <c r="S130" s="1">
        <v>0</v>
      </c>
      <c r="T130" s="1">
        <f t="shared" ca="1" si="21"/>
        <v>10000000000</v>
      </c>
      <c r="U130" s="1">
        <f t="shared" si="28"/>
        <v>0</v>
      </c>
      <c r="V130" s="1">
        <v>38</v>
      </c>
      <c r="W130" s="1" t="str">
        <f>IF($U130=0,"",IF(INDEX(UCRETLER!$D$7:$D$606,$U130)="","",IF(INDEX(UCRETLER!$F$7:$F$606,$U130)="Aylık",EOMONTH(INDEX(UCRETLER!$D$7:$D$606,$U130),$V130-1),INDEX(UCRETLER!$U$7:$U$606,$U130)+7*($V130-1))))</f>
        <v/>
      </c>
      <c r="X130" s="1">
        <f>IF($U130=0,0,INDEX(UCRETLER!$G$7:$G$606,$U130))</f>
        <v>0</v>
      </c>
      <c r="Y130" s="1">
        <f t="shared" ca="1" si="22"/>
        <v>10000000000</v>
      </c>
      <c r="Z130" s="1">
        <f t="shared" ca="1" si="23"/>
        <v>1</v>
      </c>
      <c r="AA130" s="1"/>
      <c r="AB130" s="1"/>
      <c r="AC130" s="1"/>
      <c r="AD130" s="1"/>
    </row>
    <row r="131" spans="1:30" ht="19.5" customHeight="1" x14ac:dyDescent="0.3">
      <c r="A131" s="2"/>
      <c r="B131" s="86" t="str">
        <f t="shared" ca="1" si="14"/>
        <v/>
      </c>
      <c r="C131" s="87" t="str">
        <f t="shared" ca="1" si="15"/>
        <v/>
      </c>
      <c r="D131" s="88" t="str">
        <f t="shared" ca="1" si="16"/>
        <v/>
      </c>
      <c r="E131" s="86" t="str">
        <f t="shared" ca="1" si="17"/>
        <v/>
      </c>
      <c r="F131" s="89" t="str">
        <f t="shared" ca="1" si="18"/>
        <v/>
      </c>
      <c r="G131" s="89" t="str">
        <f t="shared" ca="1" si="19"/>
        <v/>
      </c>
      <c r="H131" s="89" t="str">
        <f t="shared" ca="1" si="20"/>
        <v/>
      </c>
      <c r="I131" s="2"/>
      <c r="J131" s="2"/>
      <c r="K131" s="1"/>
      <c r="L131" s="1"/>
      <c r="M131" s="1">
        <v>120</v>
      </c>
      <c r="N131" s="1" t="str">
        <f ca="1">IF(OR($U131=0,$W131="",$X131&lt;=0),"",IF($W131&gt;TODAY(),"",IF(AND(INDEX(UCRETLER!$E$7:$E$606,$U131)&lt;&gt;"",$W131&gt;INDEX(UCRETLER!$E$7:$E$606,$U131)),"",$W131)))</f>
        <v/>
      </c>
      <c r="O131" s="1" t="str">
        <f ca="1"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" t="str">
        <f t="shared" ca="1" si="24"/>
        <v/>
      </c>
      <c r="Q131" s="1"/>
      <c r="R131" s="1">
        <f t="shared" ca="1" si="25"/>
        <v>0</v>
      </c>
      <c r="S131" s="1">
        <v>0</v>
      </c>
      <c r="T131" s="1">
        <f t="shared" ca="1" si="21"/>
        <v>10000000000</v>
      </c>
      <c r="U131" s="1">
        <f t="shared" si="28"/>
        <v>0</v>
      </c>
      <c r="V131" s="1">
        <v>39</v>
      </c>
      <c r="W131" s="1" t="str">
        <f>IF($U131=0,"",IF(INDEX(UCRETLER!$D$7:$D$606,$U131)="","",IF(INDEX(UCRETLER!$F$7:$F$606,$U131)="Aylık",EOMONTH(INDEX(UCRETLER!$D$7:$D$606,$U131),$V131-1),INDEX(UCRETLER!$U$7:$U$606,$U131)+7*($V131-1))))</f>
        <v/>
      </c>
      <c r="X131" s="1">
        <f>IF($U131=0,0,INDEX(UCRETLER!$G$7:$G$606,$U131))</f>
        <v>0</v>
      </c>
      <c r="Y131" s="1">
        <f t="shared" ca="1" si="22"/>
        <v>10000000000</v>
      </c>
      <c r="Z131" s="1">
        <f t="shared" ca="1" si="23"/>
        <v>1</v>
      </c>
      <c r="AA131" s="1"/>
      <c r="AB131" s="1"/>
      <c r="AC131" s="1"/>
      <c r="AD131" s="1"/>
    </row>
    <row r="132" spans="1:30" ht="19.5" customHeight="1" x14ac:dyDescent="0.3">
      <c r="A132" s="2"/>
      <c r="B132" s="86" t="str">
        <f t="shared" ca="1" si="14"/>
        <v/>
      </c>
      <c r="C132" s="87" t="str">
        <f t="shared" ca="1" si="15"/>
        <v/>
      </c>
      <c r="D132" s="88" t="str">
        <f t="shared" ca="1" si="16"/>
        <v/>
      </c>
      <c r="E132" s="86" t="str">
        <f t="shared" ca="1" si="17"/>
        <v/>
      </c>
      <c r="F132" s="89" t="str">
        <f t="shared" ca="1" si="18"/>
        <v/>
      </c>
      <c r="G132" s="89" t="str">
        <f t="shared" ca="1" si="19"/>
        <v/>
      </c>
      <c r="H132" s="89" t="str">
        <f t="shared" ca="1" si="20"/>
        <v/>
      </c>
      <c r="I132" s="2"/>
      <c r="J132" s="2"/>
      <c r="K132" s="1"/>
      <c r="L132" s="1"/>
      <c r="M132" s="1">
        <v>121</v>
      </c>
      <c r="N132" s="1" t="str">
        <f ca="1">IF(OR($U132=0,$W132="",$X132&lt;=0),"",IF($W132&gt;TODAY(),"",IF(AND(INDEX(UCRETLER!$E$7:$E$606,$U132)&lt;&gt;"",$W132&gt;INDEX(UCRETLER!$E$7:$E$606,$U132)),"",$W132)))</f>
        <v/>
      </c>
      <c r="O132" s="1" t="str">
        <f ca="1"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" t="str">
        <f t="shared" ca="1" si="24"/>
        <v/>
      </c>
      <c r="Q132" s="1"/>
      <c r="R132" s="1">
        <f t="shared" ca="1" si="25"/>
        <v>0</v>
      </c>
      <c r="S132" s="1">
        <v>0</v>
      </c>
      <c r="T132" s="1">
        <f t="shared" ca="1" si="21"/>
        <v>10000000000</v>
      </c>
      <c r="U132" s="1">
        <f t="shared" si="28"/>
        <v>0</v>
      </c>
      <c r="V132" s="1">
        <v>40</v>
      </c>
      <c r="W132" s="1" t="str">
        <f>IF($U132=0,"",IF(INDEX(UCRETLER!$D$7:$D$606,$U132)="","",IF(INDEX(UCRETLER!$F$7:$F$606,$U132)="Aylık",EOMONTH(INDEX(UCRETLER!$D$7:$D$606,$U132),$V132-1),INDEX(UCRETLER!$U$7:$U$606,$U132)+7*($V132-1))))</f>
        <v/>
      </c>
      <c r="X132" s="1">
        <f>IF($U132=0,0,INDEX(UCRETLER!$G$7:$G$606,$U132))</f>
        <v>0</v>
      </c>
      <c r="Y132" s="1">
        <f t="shared" ca="1" si="22"/>
        <v>10000000000</v>
      </c>
      <c r="Z132" s="1">
        <f t="shared" ca="1" si="23"/>
        <v>1</v>
      </c>
      <c r="AA132" s="1"/>
      <c r="AB132" s="1"/>
      <c r="AC132" s="1"/>
      <c r="AD132" s="1"/>
    </row>
    <row r="133" spans="1:30" ht="19.5" customHeight="1" x14ac:dyDescent="0.3">
      <c r="A133" s="2"/>
      <c r="B133" s="86" t="str">
        <f t="shared" ca="1" si="14"/>
        <v/>
      </c>
      <c r="C133" s="87" t="str">
        <f t="shared" ca="1" si="15"/>
        <v/>
      </c>
      <c r="D133" s="88" t="str">
        <f t="shared" ca="1" si="16"/>
        <v/>
      </c>
      <c r="E133" s="86" t="str">
        <f t="shared" ca="1" si="17"/>
        <v/>
      </c>
      <c r="F133" s="89" t="str">
        <f t="shared" ca="1" si="18"/>
        <v/>
      </c>
      <c r="G133" s="89" t="str">
        <f t="shared" ca="1" si="19"/>
        <v/>
      </c>
      <c r="H133" s="89" t="str">
        <f t="shared" ca="1" si="20"/>
        <v/>
      </c>
      <c r="I133" s="2"/>
      <c r="J133" s="2"/>
      <c r="K133" s="1"/>
      <c r="L133" s="1"/>
      <c r="M133" s="1">
        <v>122</v>
      </c>
      <c r="N133" s="1" t="str">
        <f ca="1">IF(OR($U133=0,$W133="",$X133&lt;=0),"",IF($W133&gt;TODAY(),"",IF(AND(INDEX(UCRETLER!$E$7:$E$606,$U133)&lt;&gt;"",$W133&gt;INDEX(UCRETLER!$E$7:$E$606,$U133)),"",$W133)))</f>
        <v/>
      </c>
      <c r="O133" s="1" t="str">
        <f ca="1"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" t="str">
        <f t="shared" ca="1" si="24"/>
        <v/>
      </c>
      <c r="Q133" s="1"/>
      <c r="R133" s="1">
        <f t="shared" ca="1" si="25"/>
        <v>0</v>
      </c>
      <c r="S133" s="1">
        <v>0</v>
      </c>
      <c r="T133" s="1">
        <f t="shared" ca="1" si="21"/>
        <v>10000000000</v>
      </c>
      <c r="U133" s="1">
        <f t="shared" si="28"/>
        <v>0</v>
      </c>
      <c r="V133" s="1">
        <v>41</v>
      </c>
      <c r="W133" s="1" t="str">
        <f>IF($U133=0,"",IF(INDEX(UCRETLER!$D$7:$D$606,$U133)="","",IF(INDEX(UCRETLER!$F$7:$F$606,$U133)="Aylık",EOMONTH(INDEX(UCRETLER!$D$7:$D$606,$U133),$V133-1),INDEX(UCRETLER!$U$7:$U$606,$U133)+7*($V133-1))))</f>
        <v/>
      </c>
      <c r="X133" s="1">
        <f>IF($U133=0,0,INDEX(UCRETLER!$G$7:$G$606,$U133))</f>
        <v>0</v>
      </c>
      <c r="Y133" s="1">
        <f t="shared" ca="1" si="22"/>
        <v>10000000000</v>
      </c>
      <c r="Z133" s="1">
        <f t="shared" ca="1" si="23"/>
        <v>1</v>
      </c>
      <c r="AA133" s="1"/>
      <c r="AB133" s="1"/>
      <c r="AC133" s="1"/>
      <c r="AD133" s="1"/>
    </row>
    <row r="134" spans="1:30" ht="19.5" customHeight="1" x14ac:dyDescent="0.3">
      <c r="A134" s="2"/>
      <c r="B134" s="86" t="str">
        <f t="shared" ca="1" si="14"/>
        <v/>
      </c>
      <c r="C134" s="87" t="str">
        <f t="shared" ca="1" si="15"/>
        <v/>
      </c>
      <c r="D134" s="88" t="str">
        <f t="shared" ca="1" si="16"/>
        <v/>
      </c>
      <c r="E134" s="86" t="str">
        <f t="shared" ca="1" si="17"/>
        <v/>
      </c>
      <c r="F134" s="89" t="str">
        <f t="shared" ca="1" si="18"/>
        <v/>
      </c>
      <c r="G134" s="89" t="str">
        <f t="shared" ca="1" si="19"/>
        <v/>
      </c>
      <c r="H134" s="89" t="str">
        <f t="shared" ca="1" si="20"/>
        <v/>
      </c>
      <c r="I134" s="2"/>
      <c r="J134" s="2"/>
      <c r="K134" s="1"/>
      <c r="L134" s="1"/>
      <c r="M134" s="1">
        <v>123</v>
      </c>
      <c r="N134" s="1" t="str">
        <f ca="1">IF(OR($U134=0,$W134="",$X134&lt;=0),"",IF($W134&gt;TODAY(),"",IF(AND(INDEX(UCRETLER!$E$7:$E$606,$U134)&lt;&gt;"",$W134&gt;INDEX(UCRETLER!$E$7:$E$606,$U134)),"",$W134)))</f>
        <v/>
      </c>
      <c r="O134" s="1" t="str">
        <f ca="1"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" t="str">
        <f t="shared" ca="1" si="24"/>
        <v/>
      </c>
      <c r="Q134" s="1"/>
      <c r="R134" s="1">
        <f t="shared" ca="1" si="25"/>
        <v>0</v>
      </c>
      <c r="S134" s="1">
        <v>0</v>
      </c>
      <c r="T134" s="1">
        <f t="shared" ca="1" si="21"/>
        <v>10000000000</v>
      </c>
      <c r="U134" s="1">
        <f t="shared" si="28"/>
        <v>0</v>
      </c>
      <c r="V134" s="1">
        <v>42</v>
      </c>
      <c r="W134" s="1" t="str">
        <f>IF($U134=0,"",IF(INDEX(UCRETLER!$D$7:$D$606,$U134)="","",IF(INDEX(UCRETLER!$F$7:$F$606,$U134)="Aylık",EOMONTH(INDEX(UCRETLER!$D$7:$D$606,$U134),$V134-1),INDEX(UCRETLER!$U$7:$U$606,$U134)+7*($V134-1))))</f>
        <v/>
      </c>
      <c r="X134" s="1">
        <f>IF($U134=0,0,INDEX(UCRETLER!$G$7:$G$606,$U134))</f>
        <v>0</v>
      </c>
      <c r="Y134" s="1">
        <f t="shared" ca="1" si="22"/>
        <v>10000000000</v>
      </c>
      <c r="Z134" s="1">
        <f t="shared" ca="1" si="23"/>
        <v>1</v>
      </c>
      <c r="AA134" s="1"/>
      <c r="AB134" s="1"/>
      <c r="AC134" s="1"/>
      <c r="AD134" s="1"/>
    </row>
    <row r="135" spans="1:30" ht="19.5" customHeight="1" x14ac:dyDescent="0.3">
      <c r="A135" s="2"/>
      <c r="B135" s="86" t="str">
        <f t="shared" ca="1" si="14"/>
        <v/>
      </c>
      <c r="C135" s="87" t="str">
        <f t="shared" ca="1" si="15"/>
        <v/>
      </c>
      <c r="D135" s="88" t="str">
        <f t="shared" ca="1" si="16"/>
        <v/>
      </c>
      <c r="E135" s="86" t="str">
        <f t="shared" ca="1" si="17"/>
        <v/>
      </c>
      <c r="F135" s="89" t="str">
        <f t="shared" ca="1" si="18"/>
        <v/>
      </c>
      <c r="G135" s="89" t="str">
        <f t="shared" ca="1" si="19"/>
        <v/>
      </c>
      <c r="H135" s="89" t="str">
        <f t="shared" ca="1" si="20"/>
        <v/>
      </c>
      <c r="I135" s="2"/>
      <c r="J135" s="2"/>
      <c r="K135" s="1"/>
      <c r="L135" s="1"/>
      <c r="M135" s="1">
        <v>124</v>
      </c>
      <c r="N135" s="1" t="str">
        <f ca="1">IF(OR($U135=0,$W135="",$X135&lt;=0),"",IF($W135&gt;TODAY(),"",IF(AND(INDEX(UCRETLER!$E$7:$E$606,$U135)&lt;&gt;"",$W135&gt;INDEX(UCRETLER!$E$7:$E$606,$U135)),"",$W135)))</f>
        <v/>
      </c>
      <c r="O135" s="1" t="str">
        <f ca="1"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" t="str">
        <f t="shared" ca="1" si="24"/>
        <v/>
      </c>
      <c r="Q135" s="1"/>
      <c r="R135" s="1">
        <f t="shared" ca="1" si="25"/>
        <v>0</v>
      </c>
      <c r="S135" s="1">
        <v>0</v>
      </c>
      <c r="T135" s="1">
        <f t="shared" ca="1" si="21"/>
        <v>10000000000</v>
      </c>
      <c r="U135" s="1">
        <f t="shared" si="28"/>
        <v>0</v>
      </c>
      <c r="V135" s="1">
        <v>43</v>
      </c>
      <c r="W135" s="1" t="str">
        <f>IF($U135=0,"",IF(INDEX(UCRETLER!$D$7:$D$606,$U135)="","",IF(INDEX(UCRETLER!$F$7:$F$606,$U135)="Aylık",EOMONTH(INDEX(UCRETLER!$D$7:$D$606,$U135),$V135-1),INDEX(UCRETLER!$U$7:$U$606,$U135)+7*($V135-1))))</f>
        <v/>
      </c>
      <c r="X135" s="1">
        <f>IF($U135=0,0,INDEX(UCRETLER!$G$7:$G$606,$U135))</f>
        <v>0</v>
      </c>
      <c r="Y135" s="1">
        <f t="shared" ca="1" si="22"/>
        <v>10000000000</v>
      </c>
      <c r="Z135" s="1">
        <f t="shared" ca="1" si="23"/>
        <v>1</v>
      </c>
      <c r="AA135" s="1"/>
      <c r="AB135" s="1"/>
      <c r="AC135" s="1"/>
      <c r="AD135" s="1"/>
    </row>
    <row r="136" spans="1:30" ht="19.5" customHeight="1" x14ac:dyDescent="0.3">
      <c r="A136" s="2"/>
      <c r="B136" s="86" t="str">
        <f t="shared" ca="1" si="14"/>
        <v/>
      </c>
      <c r="C136" s="87" t="str">
        <f t="shared" ca="1" si="15"/>
        <v/>
      </c>
      <c r="D136" s="88" t="str">
        <f t="shared" ca="1" si="16"/>
        <v/>
      </c>
      <c r="E136" s="86" t="str">
        <f t="shared" ca="1" si="17"/>
        <v/>
      </c>
      <c r="F136" s="89" t="str">
        <f t="shared" ca="1" si="18"/>
        <v/>
      </c>
      <c r="G136" s="89" t="str">
        <f t="shared" ca="1" si="19"/>
        <v/>
      </c>
      <c r="H136" s="89" t="str">
        <f t="shared" ca="1" si="20"/>
        <v/>
      </c>
      <c r="I136" s="2"/>
      <c r="J136" s="2"/>
      <c r="K136" s="1"/>
      <c r="L136" s="1"/>
      <c r="M136" s="1">
        <v>125</v>
      </c>
      <c r="N136" s="1" t="str">
        <f ca="1">IF(OR($U136=0,$W136="",$X136&lt;=0),"",IF($W136&gt;TODAY(),"",IF(AND(INDEX(UCRETLER!$E$7:$E$606,$U136)&lt;&gt;"",$W136&gt;INDEX(UCRETLER!$E$7:$E$606,$U136)),"",$W136)))</f>
        <v/>
      </c>
      <c r="O136" s="1" t="str">
        <f ca="1"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" t="str">
        <f t="shared" ca="1" si="24"/>
        <v/>
      </c>
      <c r="Q136" s="1"/>
      <c r="R136" s="1">
        <f t="shared" ca="1" si="25"/>
        <v>0</v>
      </c>
      <c r="S136" s="1">
        <v>0</v>
      </c>
      <c r="T136" s="1">
        <f t="shared" ca="1" si="21"/>
        <v>10000000000</v>
      </c>
      <c r="U136" s="1">
        <f t="shared" si="28"/>
        <v>0</v>
      </c>
      <c r="V136" s="1">
        <v>44</v>
      </c>
      <c r="W136" s="1" t="str">
        <f>IF($U136=0,"",IF(INDEX(UCRETLER!$D$7:$D$606,$U136)="","",IF(INDEX(UCRETLER!$F$7:$F$606,$U136)="Aylık",EOMONTH(INDEX(UCRETLER!$D$7:$D$606,$U136),$V136-1),INDEX(UCRETLER!$U$7:$U$606,$U136)+7*($V136-1))))</f>
        <v/>
      </c>
      <c r="X136" s="1">
        <f>IF($U136=0,0,INDEX(UCRETLER!$G$7:$G$606,$U136))</f>
        <v>0</v>
      </c>
      <c r="Y136" s="1">
        <f t="shared" ca="1" si="22"/>
        <v>10000000000</v>
      </c>
      <c r="Z136" s="1">
        <f t="shared" ca="1" si="23"/>
        <v>1</v>
      </c>
      <c r="AA136" s="1"/>
      <c r="AB136" s="1"/>
      <c r="AC136" s="1"/>
      <c r="AD136" s="1"/>
    </row>
    <row r="137" spans="1:30" ht="19.5" customHeight="1" x14ac:dyDescent="0.3">
      <c r="A137" s="2"/>
      <c r="B137" s="86" t="str">
        <f t="shared" ca="1" si="14"/>
        <v/>
      </c>
      <c r="C137" s="87" t="str">
        <f t="shared" ca="1" si="15"/>
        <v/>
      </c>
      <c r="D137" s="88" t="str">
        <f t="shared" ca="1" si="16"/>
        <v/>
      </c>
      <c r="E137" s="86" t="str">
        <f t="shared" ca="1" si="17"/>
        <v/>
      </c>
      <c r="F137" s="89" t="str">
        <f t="shared" ca="1" si="18"/>
        <v/>
      </c>
      <c r="G137" s="89" t="str">
        <f t="shared" ca="1" si="19"/>
        <v/>
      </c>
      <c r="H137" s="89" t="str">
        <f t="shared" ca="1" si="20"/>
        <v/>
      </c>
      <c r="I137" s="2"/>
      <c r="J137" s="2"/>
      <c r="K137" s="1"/>
      <c r="L137" s="1"/>
      <c r="M137" s="1">
        <v>126</v>
      </c>
      <c r="N137" s="1" t="str">
        <f ca="1">IF(OR($U137=0,$W137="",$X137&lt;=0),"",IF($W137&gt;TODAY(),"",IF(AND(INDEX(UCRETLER!$E$7:$E$606,$U137)&lt;&gt;"",$W137&gt;INDEX(UCRETLER!$E$7:$E$606,$U137)),"",$W137)))</f>
        <v/>
      </c>
      <c r="O137" s="1" t="str">
        <f ca="1"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" t="str">
        <f t="shared" ca="1" si="24"/>
        <v/>
      </c>
      <c r="Q137" s="1"/>
      <c r="R137" s="1">
        <f t="shared" ca="1" si="25"/>
        <v>0</v>
      </c>
      <c r="S137" s="1">
        <v>0</v>
      </c>
      <c r="T137" s="1">
        <f t="shared" ca="1" si="21"/>
        <v>10000000000</v>
      </c>
      <c r="U137" s="1">
        <f t="shared" si="28"/>
        <v>0</v>
      </c>
      <c r="V137" s="1">
        <v>45</v>
      </c>
      <c r="W137" s="1" t="str">
        <f>IF($U137=0,"",IF(INDEX(UCRETLER!$D$7:$D$606,$U137)="","",IF(INDEX(UCRETLER!$F$7:$F$606,$U137)="Aylık",EOMONTH(INDEX(UCRETLER!$D$7:$D$606,$U137),$V137-1),INDEX(UCRETLER!$U$7:$U$606,$U137)+7*($V137-1))))</f>
        <v/>
      </c>
      <c r="X137" s="1">
        <f>IF($U137=0,0,INDEX(UCRETLER!$G$7:$G$606,$U137))</f>
        <v>0</v>
      </c>
      <c r="Y137" s="1">
        <f t="shared" ca="1" si="22"/>
        <v>10000000000</v>
      </c>
      <c r="Z137" s="1">
        <f t="shared" ca="1" si="23"/>
        <v>1</v>
      </c>
      <c r="AA137" s="1"/>
      <c r="AB137" s="1"/>
      <c r="AC137" s="1"/>
      <c r="AD137" s="1"/>
    </row>
    <row r="138" spans="1:30" ht="19.5" customHeight="1" x14ac:dyDescent="0.3">
      <c r="A138" s="2"/>
      <c r="B138" s="86" t="str">
        <f t="shared" ca="1" si="14"/>
        <v/>
      </c>
      <c r="C138" s="87" t="str">
        <f t="shared" ca="1" si="15"/>
        <v/>
      </c>
      <c r="D138" s="88" t="str">
        <f t="shared" ca="1" si="16"/>
        <v/>
      </c>
      <c r="E138" s="86" t="str">
        <f t="shared" ca="1" si="17"/>
        <v/>
      </c>
      <c r="F138" s="89" t="str">
        <f t="shared" ca="1" si="18"/>
        <v/>
      </c>
      <c r="G138" s="89" t="str">
        <f t="shared" ca="1" si="19"/>
        <v/>
      </c>
      <c r="H138" s="89" t="str">
        <f t="shared" ca="1" si="20"/>
        <v/>
      </c>
      <c r="I138" s="2"/>
      <c r="J138" s="2"/>
      <c r="K138" s="1"/>
      <c r="L138" s="1"/>
      <c r="M138" s="1">
        <v>127</v>
      </c>
      <c r="N138" s="1" t="str">
        <f ca="1">IF(OR($U138=0,$W138="",$X138&lt;=0),"",IF($W138&gt;TODAY(),"",IF(AND(INDEX(UCRETLER!$E$7:$E$606,$U138)&lt;&gt;"",$W138&gt;INDEX(UCRETLER!$E$7:$E$606,$U138)),"",$W138)))</f>
        <v/>
      </c>
      <c r="O138" s="1" t="str">
        <f ca="1"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" t="str">
        <f t="shared" ca="1" si="24"/>
        <v/>
      </c>
      <c r="Q138" s="1"/>
      <c r="R138" s="1">
        <f t="shared" ca="1" si="25"/>
        <v>0</v>
      </c>
      <c r="S138" s="1">
        <v>0</v>
      </c>
      <c r="T138" s="1">
        <f t="shared" ca="1" si="21"/>
        <v>10000000000</v>
      </c>
      <c r="U138" s="1">
        <f t="shared" si="28"/>
        <v>0</v>
      </c>
      <c r="V138" s="1">
        <v>46</v>
      </c>
      <c r="W138" s="1" t="str">
        <f>IF($U138=0,"",IF(INDEX(UCRETLER!$D$7:$D$606,$U138)="","",IF(INDEX(UCRETLER!$F$7:$F$606,$U138)="Aylık",EOMONTH(INDEX(UCRETLER!$D$7:$D$606,$U138),$V138-1),INDEX(UCRETLER!$U$7:$U$606,$U138)+7*($V138-1))))</f>
        <v/>
      </c>
      <c r="X138" s="1">
        <f>IF($U138=0,0,INDEX(UCRETLER!$G$7:$G$606,$U138))</f>
        <v>0</v>
      </c>
      <c r="Y138" s="1">
        <f t="shared" ca="1" si="22"/>
        <v>10000000000</v>
      </c>
      <c r="Z138" s="1">
        <f t="shared" ca="1" si="23"/>
        <v>1</v>
      </c>
      <c r="AA138" s="1"/>
      <c r="AB138" s="1"/>
      <c r="AC138" s="1"/>
      <c r="AD138" s="1"/>
    </row>
    <row r="139" spans="1:30" ht="19.5" customHeight="1" x14ac:dyDescent="0.3">
      <c r="A139" s="2"/>
      <c r="B139" s="86" t="str">
        <f t="shared" ca="1" si="14"/>
        <v/>
      </c>
      <c r="C139" s="87" t="str">
        <f t="shared" ca="1" si="15"/>
        <v/>
      </c>
      <c r="D139" s="88" t="str">
        <f t="shared" ca="1" si="16"/>
        <v/>
      </c>
      <c r="E139" s="86" t="str">
        <f t="shared" ca="1" si="17"/>
        <v/>
      </c>
      <c r="F139" s="89" t="str">
        <f t="shared" ca="1" si="18"/>
        <v/>
      </c>
      <c r="G139" s="89" t="str">
        <f t="shared" ca="1" si="19"/>
        <v/>
      </c>
      <c r="H139" s="89" t="str">
        <f t="shared" ca="1" si="20"/>
        <v/>
      </c>
      <c r="I139" s="2"/>
      <c r="J139" s="2"/>
      <c r="K139" s="1"/>
      <c r="L139" s="1"/>
      <c r="M139" s="1">
        <v>128</v>
      </c>
      <c r="N139" s="1" t="str">
        <f ca="1">IF(OR($U139=0,$W139="",$X139&lt;=0),"",IF($W139&gt;TODAY(),"",IF(AND(INDEX(UCRETLER!$E$7:$E$606,$U139)&lt;&gt;"",$W139&gt;INDEX(UCRETLER!$E$7:$E$606,$U139)),"",$W139)))</f>
        <v/>
      </c>
      <c r="O139" s="1" t="str">
        <f ca="1"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" t="str">
        <f t="shared" ca="1" si="24"/>
        <v/>
      </c>
      <c r="Q139" s="1"/>
      <c r="R139" s="1">
        <f t="shared" ca="1" si="25"/>
        <v>0</v>
      </c>
      <c r="S139" s="1">
        <v>0</v>
      </c>
      <c r="T139" s="1">
        <f t="shared" ca="1" si="21"/>
        <v>10000000000</v>
      </c>
      <c r="U139" s="1">
        <f t="shared" si="28"/>
        <v>0</v>
      </c>
      <c r="V139" s="1">
        <v>47</v>
      </c>
      <c r="W139" s="1" t="str">
        <f>IF($U139=0,"",IF(INDEX(UCRETLER!$D$7:$D$606,$U139)="","",IF(INDEX(UCRETLER!$F$7:$F$606,$U139)="Aylık",EOMONTH(INDEX(UCRETLER!$D$7:$D$606,$U139),$V139-1),INDEX(UCRETLER!$U$7:$U$606,$U139)+7*($V139-1))))</f>
        <v/>
      </c>
      <c r="X139" s="1">
        <f>IF($U139=0,0,INDEX(UCRETLER!$G$7:$G$606,$U139))</f>
        <v>0</v>
      </c>
      <c r="Y139" s="1">
        <f t="shared" ca="1" si="22"/>
        <v>10000000000</v>
      </c>
      <c r="Z139" s="1">
        <f t="shared" ca="1" si="23"/>
        <v>1</v>
      </c>
      <c r="AA139" s="1"/>
      <c r="AB139" s="1"/>
      <c r="AC139" s="1"/>
      <c r="AD139" s="1"/>
    </row>
    <row r="140" spans="1:30" ht="19.5" customHeight="1" x14ac:dyDescent="0.3">
      <c r="A140" s="2"/>
      <c r="B140" s="86" t="str">
        <f t="shared" ref="B140:B203" ca="1" si="29">IF($C140="","",ROW()-11)</f>
        <v/>
      </c>
      <c r="C140" s="87" t="str">
        <f t="shared" ref="C140:C203" ca="1" si="30">IF($Z140="","",IF(INDEX($N$12:$N$432,$Z140)="","",INDEX($N$12:$N$432,$Z140)))</f>
        <v/>
      </c>
      <c r="D140" s="88" t="str">
        <f t="shared" ref="D140:D203" ca="1" si="31">IF($C140="","",INDEX($O$12:$O$432,$Z140))</f>
        <v/>
      </c>
      <c r="E140" s="86" t="str">
        <f t="shared" ref="E140:E203" ca="1" si="32">IF($C140="","",INDEX($P$12:$P$432,$Z140))</f>
        <v/>
      </c>
      <c r="F140" s="89" t="str">
        <f t="shared" ref="F140:F203" ca="1" si="33">IF($C140="","",INDEX($R$12:$R$432,$Z140))</f>
        <v/>
      </c>
      <c r="G140" s="89" t="str">
        <f t="shared" ref="G140:G203" ca="1" si="34">IF($C140="","",INDEX($S$12:$S$432,$Z140))</f>
        <v/>
      </c>
      <c r="H140" s="89" t="str">
        <f t="shared" ref="H140:H203" ca="1" si="35">IF($C140="","",N($H139)+$F140-$G140)</f>
        <v/>
      </c>
      <c r="I140" s="2"/>
      <c r="J140" s="2"/>
      <c r="K140" s="1"/>
      <c r="L140" s="1"/>
      <c r="M140" s="1">
        <v>129</v>
      </c>
      <c r="N140" s="1" t="str">
        <f ca="1">IF(OR($U140=0,$W140="",$X140&lt;=0),"",IF($W140&gt;TODAY(),"",IF(AND(INDEX(UCRETLER!$E$7:$E$606,$U140)&lt;&gt;"",$W140&gt;INDEX(UCRETLER!$E$7:$E$606,$U140)),"",$W140)))</f>
        <v/>
      </c>
      <c r="O140" s="1" t="str">
        <f ca="1"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" t="str">
        <f t="shared" ca="1" si="24"/>
        <v/>
      </c>
      <c r="Q140" s="1"/>
      <c r="R140" s="1">
        <f t="shared" ca="1" si="25"/>
        <v>0</v>
      </c>
      <c r="S140" s="1">
        <v>0</v>
      </c>
      <c r="T140" s="1">
        <f t="shared" ref="T140:T203" ca="1" si="36">IF($N140="",10000000000,$N140*100000+$M140)</f>
        <v>10000000000</v>
      </c>
      <c r="U140" s="1">
        <f t="shared" si="28"/>
        <v>0</v>
      </c>
      <c r="V140" s="1">
        <v>48</v>
      </c>
      <c r="W140" s="1" t="str">
        <f>IF($U140=0,"",IF(INDEX(UCRETLER!$D$7:$D$606,$U140)="","",IF(INDEX(UCRETLER!$F$7:$F$606,$U140)="Aylık",EOMONTH(INDEX(UCRETLER!$D$7:$D$606,$U140),$V140-1),INDEX(UCRETLER!$U$7:$U$606,$U140)+7*($V140-1))))</f>
        <v/>
      </c>
      <c r="X140" s="1">
        <f>IF($U140=0,0,INDEX(UCRETLER!$G$7:$G$606,$U140))</f>
        <v>0</v>
      </c>
      <c r="Y140" s="1">
        <f t="shared" ref="Y140:Y203" ca="1" si="37">IFERROR(SMALL($T$12:$T$432,ROW()-11),"")</f>
        <v>10000000000</v>
      </c>
      <c r="Z140" s="1">
        <f t="shared" ref="Z140:Z203" ca="1" si="38">IFERROR(MATCH($Y140,$T$12:$T$432,0),"")</f>
        <v>1</v>
      </c>
      <c r="AA140" s="1"/>
      <c r="AB140" s="1"/>
      <c r="AC140" s="1"/>
      <c r="AD140" s="1"/>
    </row>
    <row r="141" spans="1:30" ht="19.5" customHeight="1" x14ac:dyDescent="0.3">
      <c r="A141" s="2"/>
      <c r="B141" s="86" t="str">
        <f t="shared" ca="1" si="29"/>
        <v/>
      </c>
      <c r="C141" s="87" t="str">
        <f t="shared" ca="1" si="30"/>
        <v/>
      </c>
      <c r="D141" s="88" t="str">
        <f t="shared" ca="1" si="31"/>
        <v/>
      </c>
      <c r="E141" s="86" t="str">
        <f t="shared" ca="1" si="32"/>
        <v/>
      </c>
      <c r="F141" s="89" t="str">
        <f t="shared" ca="1" si="33"/>
        <v/>
      </c>
      <c r="G141" s="89" t="str">
        <f t="shared" ca="1" si="34"/>
        <v/>
      </c>
      <c r="H141" s="89" t="str">
        <f t="shared" ca="1" si="35"/>
        <v/>
      </c>
      <c r="I141" s="2"/>
      <c r="J141" s="2"/>
      <c r="K141" s="1"/>
      <c r="L141" s="1"/>
      <c r="M141" s="1">
        <v>130</v>
      </c>
      <c r="N141" s="1" t="str">
        <f ca="1">IF(OR($U141=0,$W141="",$X141&lt;=0),"",IF($W141&gt;TODAY(),"",IF(AND(INDEX(UCRETLER!$E$7:$E$606,$U141)&lt;&gt;"",$W141&gt;INDEX(UCRETLER!$E$7:$E$606,$U141)),"",$W141)))</f>
        <v/>
      </c>
      <c r="O141" s="1" t="str">
        <f ca="1"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" t="str">
        <f t="shared" ref="P141:P204" ca="1" si="39">IF($N141="","","TAHAKKUK")</f>
        <v/>
      </c>
      <c r="Q141" s="1"/>
      <c r="R141" s="1">
        <f t="shared" ref="R141:R204" ca="1" si="40">IF($N141="",0,$X141)</f>
        <v>0</v>
      </c>
      <c r="S141" s="1">
        <v>0</v>
      </c>
      <c r="T141" s="1">
        <f t="shared" ca="1" si="36"/>
        <v>10000000000</v>
      </c>
      <c r="U141" s="1">
        <f t="shared" si="28"/>
        <v>0</v>
      </c>
      <c r="V141" s="1">
        <v>49</v>
      </c>
      <c r="W141" s="1" t="str">
        <f>IF($U141=0,"",IF(INDEX(UCRETLER!$D$7:$D$606,$U141)="","",IF(INDEX(UCRETLER!$F$7:$F$606,$U141)="Aylık",EOMONTH(INDEX(UCRETLER!$D$7:$D$606,$U141),$V141-1),INDEX(UCRETLER!$U$7:$U$606,$U141)+7*($V141-1))))</f>
        <v/>
      </c>
      <c r="X141" s="1">
        <f>IF($U141=0,0,INDEX(UCRETLER!$G$7:$G$606,$U141))</f>
        <v>0</v>
      </c>
      <c r="Y141" s="1">
        <f t="shared" ca="1" si="37"/>
        <v>10000000000</v>
      </c>
      <c r="Z141" s="1">
        <f t="shared" ca="1" si="38"/>
        <v>1</v>
      </c>
      <c r="AA141" s="1"/>
      <c r="AB141" s="1"/>
      <c r="AC141" s="1"/>
      <c r="AD141" s="1"/>
    </row>
    <row r="142" spans="1:30" ht="19.5" customHeight="1" x14ac:dyDescent="0.3">
      <c r="A142" s="2"/>
      <c r="B142" s="86" t="str">
        <f t="shared" ca="1" si="29"/>
        <v/>
      </c>
      <c r="C142" s="87" t="str">
        <f t="shared" ca="1" si="30"/>
        <v/>
      </c>
      <c r="D142" s="88" t="str">
        <f t="shared" ca="1" si="31"/>
        <v/>
      </c>
      <c r="E142" s="86" t="str">
        <f t="shared" ca="1" si="32"/>
        <v/>
      </c>
      <c r="F142" s="89" t="str">
        <f t="shared" ca="1" si="33"/>
        <v/>
      </c>
      <c r="G142" s="89" t="str">
        <f t="shared" ca="1" si="34"/>
        <v/>
      </c>
      <c r="H142" s="89" t="str">
        <f t="shared" ca="1" si="35"/>
        <v/>
      </c>
      <c r="I142" s="2"/>
      <c r="J142" s="2"/>
      <c r="K142" s="1"/>
      <c r="L142" s="1"/>
      <c r="M142" s="1">
        <v>131</v>
      </c>
      <c r="N142" s="1" t="str">
        <f ca="1">IF(OR($U142=0,$W142="",$X142&lt;=0),"",IF($W142&gt;TODAY(),"",IF(AND(INDEX(UCRETLER!$E$7:$E$606,$U142)&lt;&gt;"",$W142&gt;INDEX(UCRETLER!$E$7:$E$606,$U142)),"",$W142)))</f>
        <v/>
      </c>
      <c r="O142" s="1" t="str">
        <f ca="1"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" t="str">
        <f t="shared" ca="1" si="39"/>
        <v/>
      </c>
      <c r="Q142" s="1"/>
      <c r="R142" s="1">
        <f t="shared" ca="1" si="40"/>
        <v>0</v>
      </c>
      <c r="S142" s="1">
        <v>0</v>
      </c>
      <c r="T142" s="1">
        <f t="shared" ca="1" si="36"/>
        <v>10000000000</v>
      </c>
      <c r="U142" s="1">
        <f t="shared" si="28"/>
        <v>0</v>
      </c>
      <c r="V142" s="1">
        <v>50</v>
      </c>
      <c r="W142" s="1" t="str">
        <f>IF($U142=0,"",IF(INDEX(UCRETLER!$D$7:$D$606,$U142)="","",IF(INDEX(UCRETLER!$F$7:$F$606,$U142)="Aylık",EOMONTH(INDEX(UCRETLER!$D$7:$D$606,$U142),$V142-1),INDEX(UCRETLER!$U$7:$U$606,$U142)+7*($V142-1))))</f>
        <v/>
      </c>
      <c r="X142" s="1">
        <f>IF($U142=0,0,INDEX(UCRETLER!$G$7:$G$606,$U142))</f>
        <v>0</v>
      </c>
      <c r="Y142" s="1">
        <f t="shared" ca="1" si="37"/>
        <v>10000000000</v>
      </c>
      <c r="Z142" s="1">
        <f t="shared" ca="1" si="38"/>
        <v>1</v>
      </c>
      <c r="AA142" s="1"/>
      <c r="AB142" s="1"/>
      <c r="AC142" s="1"/>
      <c r="AD142" s="1"/>
    </row>
    <row r="143" spans="1:30" ht="19.5" customHeight="1" x14ac:dyDescent="0.3">
      <c r="A143" s="2"/>
      <c r="B143" s="86" t="str">
        <f t="shared" ca="1" si="29"/>
        <v/>
      </c>
      <c r="C143" s="87" t="str">
        <f t="shared" ca="1" si="30"/>
        <v/>
      </c>
      <c r="D143" s="88" t="str">
        <f t="shared" ca="1" si="31"/>
        <v/>
      </c>
      <c r="E143" s="86" t="str">
        <f t="shared" ca="1" si="32"/>
        <v/>
      </c>
      <c r="F143" s="89" t="str">
        <f t="shared" ca="1" si="33"/>
        <v/>
      </c>
      <c r="G143" s="89" t="str">
        <f t="shared" ca="1" si="34"/>
        <v/>
      </c>
      <c r="H143" s="89" t="str">
        <f t="shared" ca="1" si="35"/>
        <v/>
      </c>
      <c r="I143" s="2"/>
      <c r="J143" s="2"/>
      <c r="K143" s="1"/>
      <c r="L143" s="1"/>
      <c r="M143" s="1">
        <v>132</v>
      </c>
      <c r="N143" s="1" t="str">
        <f ca="1">IF(OR($U143=0,$W143="",$X143&lt;=0),"",IF($W143&gt;TODAY(),"",IF(AND(INDEX(UCRETLER!$E$7:$E$606,$U143)&lt;&gt;"",$W143&gt;INDEX(UCRETLER!$E$7:$E$606,$U143)),"",$W143)))</f>
        <v/>
      </c>
      <c r="O143" s="1" t="str">
        <f ca="1"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" t="str">
        <f t="shared" ca="1" si="39"/>
        <v/>
      </c>
      <c r="Q143" s="1"/>
      <c r="R143" s="1">
        <f t="shared" ca="1" si="40"/>
        <v>0</v>
      </c>
      <c r="S143" s="1">
        <v>0</v>
      </c>
      <c r="T143" s="1">
        <f t="shared" ca="1" si="36"/>
        <v>10000000000</v>
      </c>
      <c r="U143" s="1">
        <f t="shared" si="28"/>
        <v>0</v>
      </c>
      <c r="V143" s="1">
        <v>51</v>
      </c>
      <c r="W143" s="1" t="str">
        <f>IF($U143=0,"",IF(INDEX(UCRETLER!$D$7:$D$606,$U143)="","",IF(INDEX(UCRETLER!$F$7:$F$606,$U143)="Aylık",EOMONTH(INDEX(UCRETLER!$D$7:$D$606,$U143),$V143-1),INDEX(UCRETLER!$U$7:$U$606,$U143)+7*($V143-1))))</f>
        <v/>
      </c>
      <c r="X143" s="1">
        <f>IF($U143=0,0,INDEX(UCRETLER!$G$7:$G$606,$U143))</f>
        <v>0</v>
      </c>
      <c r="Y143" s="1">
        <f t="shared" ca="1" si="37"/>
        <v>10000000000</v>
      </c>
      <c r="Z143" s="1">
        <f t="shared" ca="1" si="38"/>
        <v>1</v>
      </c>
      <c r="AA143" s="1"/>
      <c r="AB143" s="1"/>
      <c r="AC143" s="1"/>
      <c r="AD143" s="1"/>
    </row>
    <row r="144" spans="1:30" ht="19.5" customHeight="1" x14ac:dyDescent="0.3">
      <c r="A144" s="2"/>
      <c r="B144" s="86" t="str">
        <f t="shared" ca="1" si="29"/>
        <v/>
      </c>
      <c r="C144" s="87" t="str">
        <f t="shared" ca="1" si="30"/>
        <v/>
      </c>
      <c r="D144" s="88" t="str">
        <f t="shared" ca="1" si="31"/>
        <v/>
      </c>
      <c r="E144" s="86" t="str">
        <f t="shared" ca="1" si="32"/>
        <v/>
      </c>
      <c r="F144" s="89" t="str">
        <f t="shared" ca="1" si="33"/>
        <v/>
      </c>
      <c r="G144" s="89" t="str">
        <f t="shared" ca="1" si="34"/>
        <v/>
      </c>
      <c r="H144" s="89" t="str">
        <f t="shared" ca="1" si="35"/>
        <v/>
      </c>
      <c r="I144" s="2"/>
      <c r="J144" s="2"/>
      <c r="K144" s="1"/>
      <c r="L144" s="1"/>
      <c r="M144" s="1">
        <v>133</v>
      </c>
      <c r="N144" s="1" t="str">
        <f ca="1">IF(OR($U144=0,$W144="",$X144&lt;=0),"",IF($W144&gt;TODAY(),"",IF(AND(INDEX(UCRETLER!$E$7:$E$606,$U144)&lt;&gt;"",$W144&gt;INDEX(UCRETLER!$E$7:$E$606,$U144)),"",$W144)))</f>
        <v/>
      </c>
      <c r="O144" s="1" t="str">
        <f ca="1"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" t="str">
        <f t="shared" ca="1" si="39"/>
        <v/>
      </c>
      <c r="Q144" s="1"/>
      <c r="R144" s="1">
        <f t="shared" ca="1" si="40"/>
        <v>0</v>
      </c>
      <c r="S144" s="1">
        <v>0</v>
      </c>
      <c r="T144" s="1">
        <f t="shared" ca="1" si="36"/>
        <v>10000000000</v>
      </c>
      <c r="U144" s="1">
        <f t="shared" si="28"/>
        <v>0</v>
      </c>
      <c r="V144" s="1">
        <v>52</v>
      </c>
      <c r="W144" s="1" t="str">
        <f>IF($U144=0,"",IF(INDEX(UCRETLER!$D$7:$D$606,$U144)="","",IF(INDEX(UCRETLER!$F$7:$F$606,$U144)="Aylık",EOMONTH(INDEX(UCRETLER!$D$7:$D$606,$U144),$V144-1),INDEX(UCRETLER!$U$7:$U$606,$U144)+7*($V144-1))))</f>
        <v/>
      </c>
      <c r="X144" s="1">
        <f>IF($U144=0,0,INDEX(UCRETLER!$G$7:$G$606,$U144))</f>
        <v>0</v>
      </c>
      <c r="Y144" s="1">
        <f t="shared" ca="1" si="37"/>
        <v>10000000000</v>
      </c>
      <c r="Z144" s="1">
        <f t="shared" ca="1" si="38"/>
        <v>1</v>
      </c>
      <c r="AA144" s="1"/>
      <c r="AB144" s="1"/>
      <c r="AC144" s="1"/>
      <c r="AD144" s="1"/>
    </row>
    <row r="145" spans="1:30" ht="19.5" customHeight="1" x14ac:dyDescent="0.3">
      <c r="A145" s="2"/>
      <c r="B145" s="86" t="str">
        <f t="shared" ca="1" si="29"/>
        <v/>
      </c>
      <c r="C145" s="87" t="str">
        <f t="shared" ca="1" si="30"/>
        <v/>
      </c>
      <c r="D145" s="88" t="str">
        <f t="shared" ca="1" si="31"/>
        <v/>
      </c>
      <c r="E145" s="86" t="str">
        <f t="shared" ca="1" si="32"/>
        <v/>
      </c>
      <c r="F145" s="89" t="str">
        <f t="shared" ca="1" si="33"/>
        <v/>
      </c>
      <c r="G145" s="89" t="str">
        <f t="shared" ca="1" si="34"/>
        <v/>
      </c>
      <c r="H145" s="89" t="str">
        <f t="shared" ca="1" si="35"/>
        <v/>
      </c>
      <c r="I145" s="2"/>
      <c r="J145" s="2"/>
      <c r="K145" s="1"/>
      <c r="L145" s="1"/>
      <c r="M145" s="1">
        <v>134</v>
      </c>
      <c r="N145" s="1" t="str">
        <f ca="1">IF(OR($U145=0,$W145="",$X145&lt;=0),"",IF($W145&gt;TODAY(),"",IF(AND(INDEX(UCRETLER!$E$7:$E$606,$U145)&lt;&gt;"",$W145&gt;INDEX(UCRETLER!$E$7:$E$606,$U145)),"",$W145)))</f>
        <v/>
      </c>
      <c r="O145" s="1" t="str">
        <f ca="1"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" t="str">
        <f t="shared" ca="1" si="39"/>
        <v/>
      </c>
      <c r="Q145" s="1"/>
      <c r="R145" s="1">
        <f t="shared" ca="1" si="40"/>
        <v>0</v>
      </c>
      <c r="S145" s="1">
        <v>0</v>
      </c>
      <c r="T145" s="1">
        <f t="shared" ca="1" si="36"/>
        <v>10000000000</v>
      </c>
      <c r="U145" s="1">
        <f t="shared" si="28"/>
        <v>0</v>
      </c>
      <c r="V145" s="1">
        <v>53</v>
      </c>
      <c r="W145" s="1" t="str">
        <f>IF($U145=0,"",IF(INDEX(UCRETLER!$D$7:$D$606,$U145)="","",IF(INDEX(UCRETLER!$F$7:$F$606,$U145)="Aylık",EOMONTH(INDEX(UCRETLER!$D$7:$D$606,$U145),$V145-1),INDEX(UCRETLER!$U$7:$U$606,$U145)+7*($V145-1))))</f>
        <v/>
      </c>
      <c r="X145" s="1">
        <f>IF($U145=0,0,INDEX(UCRETLER!$G$7:$G$606,$U145))</f>
        <v>0</v>
      </c>
      <c r="Y145" s="1">
        <f t="shared" ca="1" si="37"/>
        <v>10000000000</v>
      </c>
      <c r="Z145" s="1">
        <f t="shared" ca="1" si="38"/>
        <v>1</v>
      </c>
      <c r="AA145" s="1"/>
      <c r="AB145" s="1"/>
      <c r="AC145" s="1"/>
      <c r="AD145" s="1"/>
    </row>
    <row r="146" spans="1:30" ht="19.5" customHeight="1" x14ac:dyDescent="0.3">
      <c r="A146" s="2"/>
      <c r="B146" s="86" t="str">
        <f t="shared" ca="1" si="29"/>
        <v/>
      </c>
      <c r="C146" s="87" t="str">
        <f t="shared" ca="1" si="30"/>
        <v/>
      </c>
      <c r="D146" s="88" t="str">
        <f t="shared" ca="1" si="31"/>
        <v/>
      </c>
      <c r="E146" s="86" t="str">
        <f t="shared" ca="1" si="32"/>
        <v/>
      </c>
      <c r="F146" s="89" t="str">
        <f t="shared" ca="1" si="33"/>
        <v/>
      </c>
      <c r="G146" s="89" t="str">
        <f t="shared" ca="1" si="34"/>
        <v/>
      </c>
      <c r="H146" s="89" t="str">
        <f t="shared" ca="1" si="35"/>
        <v/>
      </c>
      <c r="I146" s="2"/>
      <c r="J146" s="2"/>
      <c r="K146" s="1"/>
      <c r="L146" s="1"/>
      <c r="M146" s="1">
        <v>135</v>
      </c>
      <c r="N146" s="1" t="str">
        <f ca="1">IF(OR($U146=0,$W146="",$X146&lt;=0),"",IF($W146&gt;TODAY(),"",IF(AND(INDEX(UCRETLER!$E$7:$E$606,$U146)&lt;&gt;"",$W146&gt;INDEX(UCRETLER!$E$7:$E$606,$U146)),"",$W146)))</f>
        <v/>
      </c>
      <c r="O146" s="1" t="str">
        <f ca="1"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" t="str">
        <f t="shared" ca="1" si="39"/>
        <v/>
      </c>
      <c r="Q146" s="1"/>
      <c r="R146" s="1">
        <f t="shared" ca="1" si="40"/>
        <v>0</v>
      </c>
      <c r="S146" s="1">
        <v>0</v>
      </c>
      <c r="T146" s="1">
        <f t="shared" ca="1" si="36"/>
        <v>10000000000</v>
      </c>
      <c r="U146" s="1">
        <f t="shared" si="28"/>
        <v>0</v>
      </c>
      <c r="V146" s="1">
        <v>54</v>
      </c>
      <c r="W146" s="1" t="str">
        <f>IF($U146=0,"",IF(INDEX(UCRETLER!$D$7:$D$606,$U146)="","",IF(INDEX(UCRETLER!$F$7:$F$606,$U146)="Aylık",EOMONTH(INDEX(UCRETLER!$D$7:$D$606,$U146),$V146-1),INDEX(UCRETLER!$U$7:$U$606,$U146)+7*($V146-1))))</f>
        <v/>
      </c>
      <c r="X146" s="1">
        <f>IF($U146=0,0,INDEX(UCRETLER!$G$7:$G$606,$U146))</f>
        <v>0</v>
      </c>
      <c r="Y146" s="1">
        <f t="shared" ca="1" si="37"/>
        <v>10000000000</v>
      </c>
      <c r="Z146" s="1">
        <f t="shared" ca="1" si="38"/>
        <v>1</v>
      </c>
      <c r="AA146" s="1"/>
      <c r="AB146" s="1"/>
      <c r="AC146" s="1"/>
      <c r="AD146" s="1"/>
    </row>
    <row r="147" spans="1:30" ht="19.5" customHeight="1" x14ac:dyDescent="0.3">
      <c r="A147" s="2"/>
      <c r="B147" s="86" t="str">
        <f t="shared" ca="1" si="29"/>
        <v/>
      </c>
      <c r="C147" s="87" t="str">
        <f t="shared" ca="1" si="30"/>
        <v/>
      </c>
      <c r="D147" s="88" t="str">
        <f t="shared" ca="1" si="31"/>
        <v/>
      </c>
      <c r="E147" s="86" t="str">
        <f t="shared" ca="1" si="32"/>
        <v/>
      </c>
      <c r="F147" s="89" t="str">
        <f t="shared" ca="1" si="33"/>
        <v/>
      </c>
      <c r="G147" s="89" t="str">
        <f t="shared" ca="1" si="34"/>
        <v/>
      </c>
      <c r="H147" s="89" t="str">
        <f t="shared" ca="1" si="35"/>
        <v/>
      </c>
      <c r="I147" s="2"/>
      <c r="J147" s="2"/>
      <c r="K147" s="1"/>
      <c r="L147" s="1"/>
      <c r="M147" s="1">
        <v>136</v>
      </c>
      <c r="N147" s="1" t="str">
        <f ca="1">IF(OR($U147=0,$W147="",$X147&lt;=0),"",IF($W147&gt;TODAY(),"",IF(AND(INDEX(UCRETLER!$E$7:$E$606,$U147)&lt;&gt;"",$W147&gt;INDEX(UCRETLER!$E$7:$E$606,$U147)),"",$W147)))</f>
        <v/>
      </c>
      <c r="O147" s="1" t="str">
        <f ca="1"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" t="str">
        <f t="shared" ca="1" si="39"/>
        <v/>
      </c>
      <c r="Q147" s="1"/>
      <c r="R147" s="1">
        <f t="shared" ca="1" si="40"/>
        <v>0</v>
      </c>
      <c r="S147" s="1">
        <v>0</v>
      </c>
      <c r="T147" s="1">
        <f t="shared" ca="1" si="36"/>
        <v>10000000000</v>
      </c>
      <c r="U147" s="1">
        <f t="shared" si="28"/>
        <v>0</v>
      </c>
      <c r="V147" s="1">
        <v>55</v>
      </c>
      <c r="W147" s="1" t="str">
        <f>IF($U147=0,"",IF(INDEX(UCRETLER!$D$7:$D$606,$U147)="","",IF(INDEX(UCRETLER!$F$7:$F$606,$U147)="Aylık",EOMONTH(INDEX(UCRETLER!$D$7:$D$606,$U147),$V147-1),INDEX(UCRETLER!$U$7:$U$606,$U147)+7*($V147-1))))</f>
        <v/>
      </c>
      <c r="X147" s="1">
        <f>IF($U147=0,0,INDEX(UCRETLER!$G$7:$G$606,$U147))</f>
        <v>0</v>
      </c>
      <c r="Y147" s="1">
        <f t="shared" ca="1" si="37"/>
        <v>10000000000</v>
      </c>
      <c r="Z147" s="1">
        <f t="shared" ca="1" si="38"/>
        <v>1</v>
      </c>
      <c r="AA147" s="1"/>
      <c r="AB147" s="1"/>
      <c r="AC147" s="1"/>
      <c r="AD147" s="1"/>
    </row>
    <row r="148" spans="1:30" ht="19.5" customHeight="1" x14ac:dyDescent="0.3">
      <c r="A148" s="2"/>
      <c r="B148" s="86" t="str">
        <f t="shared" ca="1" si="29"/>
        <v/>
      </c>
      <c r="C148" s="87" t="str">
        <f t="shared" ca="1" si="30"/>
        <v/>
      </c>
      <c r="D148" s="88" t="str">
        <f t="shared" ca="1" si="31"/>
        <v/>
      </c>
      <c r="E148" s="86" t="str">
        <f t="shared" ca="1" si="32"/>
        <v/>
      </c>
      <c r="F148" s="89" t="str">
        <f t="shared" ca="1" si="33"/>
        <v/>
      </c>
      <c r="G148" s="89" t="str">
        <f t="shared" ca="1" si="34"/>
        <v/>
      </c>
      <c r="H148" s="89" t="str">
        <f t="shared" ca="1" si="35"/>
        <v/>
      </c>
      <c r="I148" s="2"/>
      <c r="J148" s="2"/>
      <c r="K148" s="1"/>
      <c r="L148" s="1"/>
      <c r="M148" s="1">
        <v>137</v>
      </c>
      <c r="N148" s="1" t="str">
        <f ca="1">IF(OR($U148=0,$W148="",$X148&lt;=0),"",IF($W148&gt;TODAY(),"",IF(AND(INDEX(UCRETLER!$E$7:$E$606,$U148)&lt;&gt;"",$W148&gt;INDEX(UCRETLER!$E$7:$E$606,$U148)),"",$W148)))</f>
        <v/>
      </c>
      <c r="O148" s="1" t="str">
        <f ca="1"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" t="str">
        <f t="shared" ca="1" si="39"/>
        <v/>
      </c>
      <c r="Q148" s="1"/>
      <c r="R148" s="1">
        <f t="shared" ca="1" si="40"/>
        <v>0</v>
      </c>
      <c r="S148" s="1">
        <v>0</v>
      </c>
      <c r="T148" s="1">
        <f t="shared" ca="1" si="36"/>
        <v>10000000000</v>
      </c>
      <c r="U148" s="1">
        <f t="shared" si="28"/>
        <v>0</v>
      </c>
      <c r="V148" s="1">
        <v>56</v>
      </c>
      <c r="W148" s="1" t="str">
        <f>IF($U148=0,"",IF(INDEX(UCRETLER!$D$7:$D$606,$U148)="","",IF(INDEX(UCRETLER!$F$7:$F$606,$U148)="Aylık",EOMONTH(INDEX(UCRETLER!$D$7:$D$606,$U148),$V148-1),INDEX(UCRETLER!$U$7:$U$606,$U148)+7*($V148-1))))</f>
        <v/>
      </c>
      <c r="X148" s="1">
        <f>IF($U148=0,0,INDEX(UCRETLER!$G$7:$G$606,$U148))</f>
        <v>0</v>
      </c>
      <c r="Y148" s="1">
        <f t="shared" ca="1" si="37"/>
        <v>10000000000</v>
      </c>
      <c r="Z148" s="1">
        <f t="shared" ca="1" si="38"/>
        <v>1</v>
      </c>
      <c r="AA148" s="1"/>
      <c r="AB148" s="1"/>
      <c r="AC148" s="1"/>
      <c r="AD148" s="1"/>
    </row>
    <row r="149" spans="1:30" ht="19.5" customHeight="1" x14ac:dyDescent="0.3">
      <c r="A149" s="2"/>
      <c r="B149" s="86" t="str">
        <f t="shared" ca="1" si="29"/>
        <v/>
      </c>
      <c r="C149" s="87" t="str">
        <f t="shared" ca="1" si="30"/>
        <v/>
      </c>
      <c r="D149" s="88" t="str">
        <f t="shared" ca="1" si="31"/>
        <v/>
      </c>
      <c r="E149" s="86" t="str">
        <f t="shared" ca="1" si="32"/>
        <v/>
      </c>
      <c r="F149" s="89" t="str">
        <f t="shared" ca="1" si="33"/>
        <v/>
      </c>
      <c r="G149" s="89" t="str">
        <f t="shared" ca="1" si="34"/>
        <v/>
      </c>
      <c r="H149" s="89" t="str">
        <f t="shared" ca="1" si="35"/>
        <v/>
      </c>
      <c r="I149" s="2"/>
      <c r="J149" s="2"/>
      <c r="K149" s="1"/>
      <c r="L149" s="1"/>
      <c r="M149" s="1">
        <v>138</v>
      </c>
      <c r="N149" s="1" t="str">
        <f ca="1">IF(OR($U149=0,$W149="",$X149&lt;=0),"",IF($W149&gt;TODAY(),"",IF(AND(INDEX(UCRETLER!$E$7:$E$606,$U149)&lt;&gt;"",$W149&gt;INDEX(UCRETLER!$E$7:$E$606,$U149)),"",$W149)))</f>
        <v/>
      </c>
      <c r="O149" s="1" t="str">
        <f ca="1"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" t="str">
        <f t="shared" ca="1" si="39"/>
        <v/>
      </c>
      <c r="Q149" s="1"/>
      <c r="R149" s="1">
        <f t="shared" ca="1" si="40"/>
        <v>0</v>
      </c>
      <c r="S149" s="1">
        <v>0</v>
      </c>
      <c r="T149" s="1">
        <f t="shared" ca="1" si="36"/>
        <v>10000000000</v>
      </c>
      <c r="U149" s="1">
        <f t="shared" si="28"/>
        <v>0</v>
      </c>
      <c r="V149" s="1">
        <v>57</v>
      </c>
      <c r="W149" s="1" t="str">
        <f>IF($U149=0,"",IF(INDEX(UCRETLER!$D$7:$D$606,$U149)="","",IF(INDEX(UCRETLER!$F$7:$F$606,$U149)="Aylık",EOMONTH(INDEX(UCRETLER!$D$7:$D$606,$U149),$V149-1),INDEX(UCRETLER!$U$7:$U$606,$U149)+7*($V149-1))))</f>
        <v/>
      </c>
      <c r="X149" s="1">
        <f>IF($U149=0,0,INDEX(UCRETLER!$G$7:$G$606,$U149))</f>
        <v>0</v>
      </c>
      <c r="Y149" s="1">
        <f t="shared" ca="1" si="37"/>
        <v>10000000000</v>
      </c>
      <c r="Z149" s="1">
        <f t="shared" ca="1" si="38"/>
        <v>1</v>
      </c>
      <c r="AA149" s="1"/>
      <c r="AB149" s="1"/>
      <c r="AC149" s="1"/>
      <c r="AD149" s="1"/>
    </row>
    <row r="150" spans="1:30" ht="19.5" customHeight="1" x14ac:dyDescent="0.3">
      <c r="A150" s="2"/>
      <c r="B150" s="86" t="str">
        <f t="shared" ca="1" si="29"/>
        <v/>
      </c>
      <c r="C150" s="87" t="str">
        <f t="shared" ca="1" si="30"/>
        <v/>
      </c>
      <c r="D150" s="88" t="str">
        <f t="shared" ca="1" si="31"/>
        <v/>
      </c>
      <c r="E150" s="86" t="str">
        <f t="shared" ca="1" si="32"/>
        <v/>
      </c>
      <c r="F150" s="89" t="str">
        <f t="shared" ca="1" si="33"/>
        <v/>
      </c>
      <c r="G150" s="89" t="str">
        <f t="shared" ca="1" si="34"/>
        <v/>
      </c>
      <c r="H150" s="89" t="str">
        <f t="shared" ca="1" si="35"/>
        <v/>
      </c>
      <c r="I150" s="2"/>
      <c r="J150" s="2"/>
      <c r="K150" s="1"/>
      <c r="L150" s="1"/>
      <c r="M150" s="1">
        <v>139</v>
      </c>
      <c r="N150" s="1" t="str">
        <f ca="1">IF(OR($U150=0,$W150="",$X150&lt;=0),"",IF($W150&gt;TODAY(),"",IF(AND(INDEX(UCRETLER!$E$7:$E$606,$U150)&lt;&gt;"",$W150&gt;INDEX(UCRETLER!$E$7:$E$606,$U150)),"",$W150)))</f>
        <v/>
      </c>
      <c r="O150" s="1" t="str">
        <f ca="1"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" t="str">
        <f t="shared" ca="1" si="39"/>
        <v/>
      </c>
      <c r="Q150" s="1"/>
      <c r="R150" s="1">
        <f t="shared" ca="1" si="40"/>
        <v>0</v>
      </c>
      <c r="S150" s="1">
        <v>0</v>
      </c>
      <c r="T150" s="1">
        <f t="shared" ca="1" si="36"/>
        <v>10000000000</v>
      </c>
      <c r="U150" s="1">
        <f t="shared" si="28"/>
        <v>0</v>
      </c>
      <c r="V150" s="1">
        <v>58</v>
      </c>
      <c r="W150" s="1" t="str">
        <f>IF($U150=0,"",IF(INDEX(UCRETLER!$D$7:$D$606,$U150)="","",IF(INDEX(UCRETLER!$F$7:$F$606,$U150)="Aylık",EOMONTH(INDEX(UCRETLER!$D$7:$D$606,$U150),$V150-1),INDEX(UCRETLER!$U$7:$U$606,$U150)+7*($V150-1))))</f>
        <v/>
      </c>
      <c r="X150" s="1">
        <f>IF($U150=0,0,INDEX(UCRETLER!$G$7:$G$606,$U150))</f>
        <v>0</v>
      </c>
      <c r="Y150" s="1">
        <f t="shared" ca="1" si="37"/>
        <v>10000000000</v>
      </c>
      <c r="Z150" s="1">
        <f t="shared" ca="1" si="38"/>
        <v>1</v>
      </c>
      <c r="AA150" s="1"/>
      <c r="AB150" s="1"/>
      <c r="AC150" s="1"/>
      <c r="AD150" s="1"/>
    </row>
    <row r="151" spans="1:30" ht="19.5" customHeight="1" x14ac:dyDescent="0.3">
      <c r="A151" s="2"/>
      <c r="B151" s="86" t="str">
        <f t="shared" ca="1" si="29"/>
        <v/>
      </c>
      <c r="C151" s="87" t="str">
        <f t="shared" ca="1" si="30"/>
        <v/>
      </c>
      <c r="D151" s="88" t="str">
        <f t="shared" ca="1" si="31"/>
        <v/>
      </c>
      <c r="E151" s="86" t="str">
        <f t="shared" ca="1" si="32"/>
        <v/>
      </c>
      <c r="F151" s="89" t="str">
        <f t="shared" ca="1" si="33"/>
        <v/>
      </c>
      <c r="G151" s="89" t="str">
        <f t="shared" ca="1" si="34"/>
        <v/>
      </c>
      <c r="H151" s="89" t="str">
        <f t="shared" ca="1" si="35"/>
        <v/>
      </c>
      <c r="I151" s="2"/>
      <c r="J151" s="2"/>
      <c r="K151" s="1"/>
      <c r="L151" s="1"/>
      <c r="M151" s="1">
        <v>140</v>
      </c>
      <c r="N151" s="1" t="str">
        <f ca="1">IF(OR($U151=0,$W151="",$X151&lt;=0),"",IF($W151&gt;TODAY(),"",IF(AND(INDEX(UCRETLER!$E$7:$E$606,$U151)&lt;&gt;"",$W151&gt;INDEX(UCRETLER!$E$7:$E$606,$U151)),"",$W151)))</f>
        <v/>
      </c>
      <c r="O151" s="1" t="str">
        <f ca="1"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" t="str">
        <f t="shared" ca="1" si="39"/>
        <v/>
      </c>
      <c r="Q151" s="1"/>
      <c r="R151" s="1">
        <f t="shared" ca="1" si="40"/>
        <v>0</v>
      </c>
      <c r="S151" s="1">
        <v>0</v>
      </c>
      <c r="T151" s="1">
        <f t="shared" ca="1" si="36"/>
        <v>10000000000</v>
      </c>
      <c r="U151" s="1">
        <f t="shared" si="28"/>
        <v>0</v>
      </c>
      <c r="V151" s="1">
        <v>59</v>
      </c>
      <c r="W151" s="1" t="str">
        <f>IF($U151=0,"",IF(INDEX(UCRETLER!$D$7:$D$606,$U151)="","",IF(INDEX(UCRETLER!$F$7:$F$606,$U151)="Aylık",EOMONTH(INDEX(UCRETLER!$D$7:$D$606,$U151),$V151-1),INDEX(UCRETLER!$U$7:$U$606,$U151)+7*($V151-1))))</f>
        <v/>
      </c>
      <c r="X151" s="1">
        <f>IF($U151=0,0,INDEX(UCRETLER!$G$7:$G$606,$U151))</f>
        <v>0</v>
      </c>
      <c r="Y151" s="1">
        <f t="shared" ca="1" si="37"/>
        <v>10000000000</v>
      </c>
      <c r="Z151" s="1">
        <f t="shared" ca="1" si="38"/>
        <v>1</v>
      </c>
      <c r="AA151" s="1"/>
      <c r="AB151" s="1"/>
      <c r="AC151" s="1"/>
      <c r="AD151" s="1"/>
    </row>
    <row r="152" spans="1:30" ht="19.5" customHeight="1" x14ac:dyDescent="0.3">
      <c r="A152" s="2"/>
      <c r="B152" s="86" t="str">
        <f t="shared" ca="1" si="29"/>
        <v/>
      </c>
      <c r="C152" s="87" t="str">
        <f t="shared" ca="1" si="30"/>
        <v/>
      </c>
      <c r="D152" s="88" t="str">
        <f t="shared" ca="1" si="31"/>
        <v/>
      </c>
      <c r="E152" s="86" t="str">
        <f t="shared" ca="1" si="32"/>
        <v/>
      </c>
      <c r="F152" s="89" t="str">
        <f t="shared" ca="1" si="33"/>
        <v/>
      </c>
      <c r="G152" s="89" t="str">
        <f t="shared" ca="1" si="34"/>
        <v/>
      </c>
      <c r="H152" s="89" t="str">
        <f t="shared" ca="1" si="35"/>
        <v/>
      </c>
      <c r="I152" s="2"/>
      <c r="J152" s="2"/>
      <c r="K152" s="1"/>
      <c r="L152" s="1"/>
      <c r="M152" s="1">
        <v>141</v>
      </c>
      <c r="N152" s="1" t="str">
        <f ca="1">IF(OR($U152=0,$W152="",$X152&lt;=0),"",IF($W152&gt;TODAY(),"",IF(AND(INDEX(UCRETLER!$E$7:$E$606,$U152)&lt;&gt;"",$W152&gt;INDEX(UCRETLER!$E$7:$E$606,$U152)),"",$W152)))</f>
        <v/>
      </c>
      <c r="O152" s="1" t="str">
        <f ca="1"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" t="str">
        <f t="shared" ca="1" si="39"/>
        <v/>
      </c>
      <c r="Q152" s="1"/>
      <c r="R152" s="1">
        <f t="shared" ca="1" si="40"/>
        <v>0</v>
      </c>
      <c r="S152" s="1">
        <v>0</v>
      </c>
      <c r="T152" s="1">
        <f t="shared" ca="1" si="36"/>
        <v>10000000000</v>
      </c>
      <c r="U152" s="1">
        <f t="shared" si="28"/>
        <v>0</v>
      </c>
      <c r="V152" s="1">
        <v>60</v>
      </c>
      <c r="W152" s="1" t="str">
        <f>IF($U152=0,"",IF(INDEX(UCRETLER!$D$7:$D$606,$U152)="","",IF(INDEX(UCRETLER!$F$7:$F$606,$U152)="Aylık",EOMONTH(INDEX(UCRETLER!$D$7:$D$606,$U152),$V152-1),INDEX(UCRETLER!$U$7:$U$606,$U152)+7*($V152-1))))</f>
        <v/>
      </c>
      <c r="X152" s="1">
        <f>IF($U152=0,0,INDEX(UCRETLER!$G$7:$G$606,$U152))</f>
        <v>0</v>
      </c>
      <c r="Y152" s="1">
        <f t="shared" ca="1" si="37"/>
        <v>10000000000</v>
      </c>
      <c r="Z152" s="1">
        <f t="shared" ca="1" si="38"/>
        <v>1</v>
      </c>
      <c r="AA152" s="1"/>
      <c r="AB152" s="1"/>
      <c r="AC152" s="1"/>
      <c r="AD152" s="1"/>
    </row>
    <row r="153" spans="1:30" ht="19.5" customHeight="1" x14ac:dyDescent="0.3">
      <c r="A153" s="2"/>
      <c r="B153" s="86" t="str">
        <f t="shared" ca="1" si="29"/>
        <v/>
      </c>
      <c r="C153" s="87" t="str">
        <f t="shared" ca="1" si="30"/>
        <v/>
      </c>
      <c r="D153" s="88" t="str">
        <f t="shared" ca="1" si="31"/>
        <v/>
      </c>
      <c r="E153" s="86" t="str">
        <f t="shared" ca="1" si="32"/>
        <v/>
      </c>
      <c r="F153" s="89" t="str">
        <f t="shared" ca="1" si="33"/>
        <v/>
      </c>
      <c r="G153" s="89" t="str">
        <f t="shared" ca="1" si="34"/>
        <v/>
      </c>
      <c r="H153" s="89" t="str">
        <f t="shared" ca="1" si="35"/>
        <v/>
      </c>
      <c r="I153" s="2"/>
      <c r="J153" s="2"/>
      <c r="K153" s="1"/>
      <c r="L153" s="1"/>
      <c r="M153" s="1">
        <v>142</v>
      </c>
      <c r="N153" s="1" t="str">
        <f ca="1">IF(OR($U153=0,$W153="",$X153&lt;=0),"",IF($W153&gt;TODAY(),"",IF(AND(INDEX(UCRETLER!$E$7:$E$606,$U153)&lt;&gt;"",$W153&gt;INDEX(UCRETLER!$E$7:$E$606,$U153)),"",$W153)))</f>
        <v/>
      </c>
      <c r="O153" s="1" t="str">
        <f ca="1"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" t="str">
        <f t="shared" ca="1" si="39"/>
        <v/>
      </c>
      <c r="Q153" s="1"/>
      <c r="R153" s="1">
        <f t="shared" ca="1" si="40"/>
        <v>0</v>
      </c>
      <c r="S153" s="1">
        <v>0</v>
      </c>
      <c r="T153" s="1">
        <f t="shared" ca="1" si="36"/>
        <v>10000000000</v>
      </c>
      <c r="U153" s="1">
        <f t="shared" si="28"/>
        <v>0</v>
      </c>
      <c r="V153" s="1">
        <v>61</v>
      </c>
      <c r="W153" s="1" t="str">
        <f>IF($U153=0,"",IF(INDEX(UCRETLER!$D$7:$D$606,$U153)="","",IF(INDEX(UCRETLER!$F$7:$F$606,$U153)="Aylık",EOMONTH(INDEX(UCRETLER!$D$7:$D$606,$U153),$V153-1),INDEX(UCRETLER!$U$7:$U$606,$U153)+7*($V153-1))))</f>
        <v/>
      </c>
      <c r="X153" s="1">
        <f>IF($U153=0,0,INDEX(UCRETLER!$G$7:$G$606,$U153))</f>
        <v>0</v>
      </c>
      <c r="Y153" s="1">
        <f t="shared" ca="1" si="37"/>
        <v>10000000000</v>
      </c>
      <c r="Z153" s="1">
        <f t="shared" ca="1" si="38"/>
        <v>1</v>
      </c>
      <c r="AA153" s="1"/>
      <c r="AB153" s="1"/>
      <c r="AC153" s="1"/>
      <c r="AD153" s="1"/>
    </row>
    <row r="154" spans="1:30" ht="19.5" customHeight="1" x14ac:dyDescent="0.3">
      <c r="A154" s="2"/>
      <c r="B154" s="86" t="str">
        <f t="shared" ca="1" si="29"/>
        <v/>
      </c>
      <c r="C154" s="87" t="str">
        <f t="shared" ca="1" si="30"/>
        <v/>
      </c>
      <c r="D154" s="88" t="str">
        <f t="shared" ca="1" si="31"/>
        <v/>
      </c>
      <c r="E154" s="86" t="str">
        <f t="shared" ca="1" si="32"/>
        <v/>
      </c>
      <c r="F154" s="89" t="str">
        <f t="shared" ca="1" si="33"/>
        <v/>
      </c>
      <c r="G154" s="89" t="str">
        <f t="shared" ca="1" si="34"/>
        <v/>
      </c>
      <c r="H154" s="89" t="str">
        <f t="shared" ca="1" si="35"/>
        <v/>
      </c>
      <c r="I154" s="2"/>
      <c r="J154" s="2"/>
      <c r="K154" s="1"/>
      <c r="L154" s="1"/>
      <c r="M154" s="1">
        <v>143</v>
      </c>
      <c r="N154" s="1" t="str">
        <f ca="1">IF(OR($U154=0,$W154="",$X154&lt;=0),"",IF($W154&gt;TODAY(),"",IF(AND(INDEX(UCRETLER!$E$7:$E$606,$U154)&lt;&gt;"",$W154&gt;INDEX(UCRETLER!$E$7:$E$606,$U154)),"",$W154)))</f>
        <v/>
      </c>
      <c r="O154" s="1" t="str">
        <f ca="1"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" t="str">
        <f t="shared" ca="1" si="39"/>
        <v/>
      </c>
      <c r="Q154" s="1"/>
      <c r="R154" s="1">
        <f t="shared" ca="1" si="40"/>
        <v>0</v>
      </c>
      <c r="S154" s="1">
        <v>0</v>
      </c>
      <c r="T154" s="1">
        <f t="shared" ca="1" si="36"/>
        <v>10000000000</v>
      </c>
      <c r="U154" s="1">
        <f t="shared" si="28"/>
        <v>0</v>
      </c>
      <c r="V154" s="1">
        <v>62</v>
      </c>
      <c r="W154" s="1" t="str">
        <f>IF($U154=0,"",IF(INDEX(UCRETLER!$D$7:$D$606,$U154)="","",IF(INDEX(UCRETLER!$F$7:$F$606,$U154)="Aylık",EOMONTH(INDEX(UCRETLER!$D$7:$D$606,$U154),$V154-1),INDEX(UCRETLER!$U$7:$U$606,$U154)+7*($V154-1))))</f>
        <v/>
      </c>
      <c r="X154" s="1">
        <f>IF($U154=0,0,INDEX(UCRETLER!$G$7:$G$606,$U154))</f>
        <v>0</v>
      </c>
      <c r="Y154" s="1">
        <f t="shared" ca="1" si="37"/>
        <v>10000000000</v>
      </c>
      <c r="Z154" s="1">
        <f t="shared" ca="1" si="38"/>
        <v>1</v>
      </c>
      <c r="AA154" s="1"/>
      <c r="AB154" s="1"/>
      <c r="AC154" s="1"/>
      <c r="AD154" s="1"/>
    </row>
    <row r="155" spans="1:30" ht="19.5" customHeight="1" x14ac:dyDescent="0.3">
      <c r="A155" s="2"/>
      <c r="B155" s="86" t="str">
        <f t="shared" ca="1" si="29"/>
        <v/>
      </c>
      <c r="C155" s="87" t="str">
        <f t="shared" ca="1" si="30"/>
        <v/>
      </c>
      <c r="D155" s="88" t="str">
        <f t="shared" ca="1" si="31"/>
        <v/>
      </c>
      <c r="E155" s="86" t="str">
        <f t="shared" ca="1" si="32"/>
        <v/>
      </c>
      <c r="F155" s="89" t="str">
        <f t="shared" ca="1" si="33"/>
        <v/>
      </c>
      <c r="G155" s="89" t="str">
        <f t="shared" ca="1" si="34"/>
        <v/>
      </c>
      <c r="H155" s="89" t="str">
        <f t="shared" ca="1" si="35"/>
        <v/>
      </c>
      <c r="I155" s="2"/>
      <c r="J155" s="2"/>
      <c r="K155" s="1"/>
      <c r="L155" s="1"/>
      <c r="M155" s="1">
        <v>144</v>
      </c>
      <c r="N155" s="1" t="str">
        <f ca="1">IF(OR($U155=0,$W155="",$X155&lt;=0),"",IF($W155&gt;TODAY(),"",IF(AND(INDEX(UCRETLER!$E$7:$E$606,$U155)&lt;&gt;"",$W155&gt;INDEX(UCRETLER!$E$7:$E$606,$U155)),"",$W155)))</f>
        <v/>
      </c>
      <c r="O155" s="1" t="str">
        <f ca="1"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" t="str">
        <f t="shared" ca="1" si="39"/>
        <v/>
      </c>
      <c r="Q155" s="1"/>
      <c r="R155" s="1">
        <f t="shared" ca="1" si="40"/>
        <v>0</v>
      </c>
      <c r="S155" s="1">
        <v>0</v>
      </c>
      <c r="T155" s="1">
        <f t="shared" ca="1" si="36"/>
        <v>10000000000</v>
      </c>
      <c r="U155" s="1">
        <f t="shared" si="28"/>
        <v>0</v>
      </c>
      <c r="V155" s="1">
        <v>63</v>
      </c>
      <c r="W155" s="1" t="str">
        <f>IF($U155=0,"",IF(INDEX(UCRETLER!$D$7:$D$606,$U155)="","",IF(INDEX(UCRETLER!$F$7:$F$606,$U155)="Aylık",EOMONTH(INDEX(UCRETLER!$D$7:$D$606,$U155),$V155-1),INDEX(UCRETLER!$U$7:$U$606,$U155)+7*($V155-1))))</f>
        <v/>
      </c>
      <c r="X155" s="1">
        <f>IF($U155=0,0,INDEX(UCRETLER!$G$7:$G$606,$U155))</f>
        <v>0</v>
      </c>
      <c r="Y155" s="1">
        <f t="shared" ca="1" si="37"/>
        <v>10000000000</v>
      </c>
      <c r="Z155" s="1">
        <f t="shared" ca="1" si="38"/>
        <v>1</v>
      </c>
      <c r="AA155" s="1"/>
      <c r="AB155" s="1"/>
      <c r="AC155" s="1"/>
      <c r="AD155" s="1"/>
    </row>
    <row r="156" spans="1:30" ht="19.5" customHeight="1" x14ac:dyDescent="0.3">
      <c r="A156" s="2"/>
      <c r="B156" s="86" t="str">
        <f t="shared" ca="1" si="29"/>
        <v/>
      </c>
      <c r="C156" s="87" t="str">
        <f t="shared" ca="1" si="30"/>
        <v/>
      </c>
      <c r="D156" s="88" t="str">
        <f t="shared" ca="1" si="31"/>
        <v/>
      </c>
      <c r="E156" s="86" t="str">
        <f t="shared" ca="1" si="32"/>
        <v/>
      </c>
      <c r="F156" s="89" t="str">
        <f t="shared" ca="1" si="33"/>
        <v/>
      </c>
      <c r="G156" s="89" t="str">
        <f t="shared" ca="1" si="34"/>
        <v/>
      </c>
      <c r="H156" s="89" t="str">
        <f t="shared" ca="1" si="35"/>
        <v/>
      </c>
      <c r="I156" s="2"/>
      <c r="J156" s="2"/>
      <c r="K156" s="1"/>
      <c r="L156" s="1"/>
      <c r="M156" s="1">
        <v>145</v>
      </c>
      <c r="N156" s="1" t="str">
        <f ca="1">IF(OR($U156=0,$W156="",$X156&lt;=0),"",IF($W156&gt;TODAY(),"",IF(AND(INDEX(UCRETLER!$E$7:$E$606,$U156)&lt;&gt;"",$W156&gt;INDEX(UCRETLER!$E$7:$E$606,$U156)),"",$W156)))</f>
        <v/>
      </c>
      <c r="O156" s="1" t="str">
        <f ca="1"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" t="str">
        <f t="shared" ca="1" si="39"/>
        <v/>
      </c>
      <c r="Q156" s="1"/>
      <c r="R156" s="1">
        <f t="shared" ca="1" si="40"/>
        <v>0</v>
      </c>
      <c r="S156" s="1">
        <v>0</v>
      </c>
      <c r="T156" s="1">
        <f t="shared" ca="1" si="36"/>
        <v>10000000000</v>
      </c>
      <c r="U156" s="1">
        <f t="shared" si="28"/>
        <v>0</v>
      </c>
      <c r="V156" s="1">
        <v>64</v>
      </c>
      <c r="W156" s="1" t="str">
        <f>IF($U156=0,"",IF(INDEX(UCRETLER!$D$7:$D$606,$U156)="","",IF(INDEX(UCRETLER!$F$7:$F$606,$U156)="Aylık",EOMONTH(INDEX(UCRETLER!$D$7:$D$606,$U156),$V156-1),INDEX(UCRETLER!$U$7:$U$606,$U156)+7*($V156-1))))</f>
        <v/>
      </c>
      <c r="X156" s="1">
        <f>IF($U156=0,0,INDEX(UCRETLER!$G$7:$G$606,$U156))</f>
        <v>0</v>
      </c>
      <c r="Y156" s="1">
        <f t="shared" ca="1" si="37"/>
        <v>10000000000</v>
      </c>
      <c r="Z156" s="1">
        <f t="shared" ca="1" si="38"/>
        <v>1</v>
      </c>
      <c r="AA156" s="1"/>
      <c r="AB156" s="1"/>
      <c r="AC156" s="1"/>
      <c r="AD156" s="1"/>
    </row>
    <row r="157" spans="1:30" ht="19.5" customHeight="1" x14ac:dyDescent="0.3">
      <c r="A157" s="2"/>
      <c r="B157" s="86" t="str">
        <f t="shared" ca="1" si="29"/>
        <v/>
      </c>
      <c r="C157" s="87" t="str">
        <f t="shared" ca="1" si="30"/>
        <v/>
      </c>
      <c r="D157" s="88" t="str">
        <f t="shared" ca="1" si="31"/>
        <v/>
      </c>
      <c r="E157" s="86" t="str">
        <f t="shared" ca="1" si="32"/>
        <v/>
      </c>
      <c r="F157" s="89" t="str">
        <f t="shared" ca="1" si="33"/>
        <v/>
      </c>
      <c r="G157" s="89" t="str">
        <f t="shared" ca="1" si="34"/>
        <v/>
      </c>
      <c r="H157" s="89" t="str">
        <f t="shared" ca="1" si="35"/>
        <v/>
      </c>
      <c r="I157" s="2"/>
      <c r="J157" s="2"/>
      <c r="K157" s="1"/>
      <c r="L157" s="1"/>
      <c r="M157" s="1">
        <v>146</v>
      </c>
      <c r="N157" s="1" t="str">
        <f ca="1">IF(OR($U157=0,$W157="",$X157&lt;=0),"",IF($W157&gt;TODAY(),"",IF(AND(INDEX(UCRETLER!$E$7:$E$606,$U157)&lt;&gt;"",$W157&gt;INDEX(UCRETLER!$E$7:$E$606,$U157)),"",$W157)))</f>
        <v/>
      </c>
      <c r="O157" s="1" t="str">
        <f ca="1"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" t="str">
        <f t="shared" ca="1" si="39"/>
        <v/>
      </c>
      <c r="Q157" s="1"/>
      <c r="R157" s="1">
        <f t="shared" ca="1" si="40"/>
        <v>0</v>
      </c>
      <c r="S157" s="1">
        <v>0</v>
      </c>
      <c r="T157" s="1">
        <f t="shared" ca="1" si="36"/>
        <v>10000000000</v>
      </c>
      <c r="U157" s="1">
        <f t="shared" ref="U157:U172" si="41">$AB$5</f>
        <v>0</v>
      </c>
      <c r="V157" s="1">
        <v>65</v>
      </c>
      <c r="W157" s="1" t="str">
        <f>IF($U157=0,"",IF(INDEX(UCRETLER!$D$7:$D$606,$U157)="","",IF(INDEX(UCRETLER!$F$7:$F$606,$U157)="Aylık",EOMONTH(INDEX(UCRETLER!$D$7:$D$606,$U157),$V157-1),INDEX(UCRETLER!$U$7:$U$606,$U157)+7*($V157-1))))</f>
        <v/>
      </c>
      <c r="X157" s="1">
        <f>IF($U157=0,0,INDEX(UCRETLER!$G$7:$G$606,$U157))</f>
        <v>0</v>
      </c>
      <c r="Y157" s="1">
        <f t="shared" ca="1" si="37"/>
        <v>10000000000</v>
      </c>
      <c r="Z157" s="1">
        <f t="shared" ca="1" si="38"/>
        <v>1</v>
      </c>
      <c r="AA157" s="1"/>
      <c r="AB157" s="1"/>
      <c r="AC157" s="1"/>
      <c r="AD157" s="1"/>
    </row>
    <row r="158" spans="1:30" ht="19.5" customHeight="1" x14ac:dyDescent="0.3">
      <c r="A158" s="2"/>
      <c r="B158" s="86" t="str">
        <f t="shared" ca="1" si="29"/>
        <v/>
      </c>
      <c r="C158" s="87" t="str">
        <f t="shared" ca="1" si="30"/>
        <v/>
      </c>
      <c r="D158" s="88" t="str">
        <f t="shared" ca="1" si="31"/>
        <v/>
      </c>
      <c r="E158" s="86" t="str">
        <f t="shared" ca="1" si="32"/>
        <v/>
      </c>
      <c r="F158" s="89" t="str">
        <f t="shared" ca="1" si="33"/>
        <v/>
      </c>
      <c r="G158" s="89" t="str">
        <f t="shared" ca="1" si="34"/>
        <v/>
      </c>
      <c r="H158" s="89" t="str">
        <f t="shared" ca="1" si="35"/>
        <v/>
      </c>
      <c r="I158" s="2"/>
      <c r="J158" s="2"/>
      <c r="K158" s="1"/>
      <c r="L158" s="1"/>
      <c r="M158" s="1">
        <v>147</v>
      </c>
      <c r="N158" s="1" t="str">
        <f ca="1">IF(OR($U158=0,$W158="",$X158&lt;=0),"",IF($W158&gt;TODAY(),"",IF(AND(INDEX(UCRETLER!$E$7:$E$606,$U158)&lt;&gt;"",$W158&gt;INDEX(UCRETLER!$E$7:$E$606,$U158)),"",$W158)))</f>
        <v/>
      </c>
      <c r="O158" s="1" t="str">
        <f ca="1"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" t="str">
        <f t="shared" ca="1" si="39"/>
        <v/>
      </c>
      <c r="Q158" s="1"/>
      <c r="R158" s="1">
        <f t="shared" ca="1" si="40"/>
        <v>0</v>
      </c>
      <c r="S158" s="1">
        <v>0</v>
      </c>
      <c r="T158" s="1">
        <f t="shared" ca="1" si="36"/>
        <v>10000000000</v>
      </c>
      <c r="U158" s="1">
        <f t="shared" si="41"/>
        <v>0</v>
      </c>
      <c r="V158" s="1">
        <v>66</v>
      </c>
      <c r="W158" s="1" t="str">
        <f>IF($U158=0,"",IF(INDEX(UCRETLER!$D$7:$D$606,$U158)="","",IF(INDEX(UCRETLER!$F$7:$F$606,$U158)="Aylık",EOMONTH(INDEX(UCRETLER!$D$7:$D$606,$U158),$V158-1),INDEX(UCRETLER!$U$7:$U$606,$U158)+7*($V158-1))))</f>
        <v/>
      </c>
      <c r="X158" s="1">
        <f>IF($U158=0,0,INDEX(UCRETLER!$G$7:$G$606,$U158))</f>
        <v>0</v>
      </c>
      <c r="Y158" s="1">
        <f t="shared" ca="1" si="37"/>
        <v>10000000000</v>
      </c>
      <c r="Z158" s="1">
        <f t="shared" ca="1" si="38"/>
        <v>1</v>
      </c>
      <c r="AA158" s="1"/>
      <c r="AB158" s="1"/>
      <c r="AC158" s="1"/>
      <c r="AD158" s="1"/>
    </row>
    <row r="159" spans="1:30" ht="19.5" customHeight="1" x14ac:dyDescent="0.3">
      <c r="A159" s="2"/>
      <c r="B159" s="86" t="str">
        <f t="shared" ca="1" si="29"/>
        <v/>
      </c>
      <c r="C159" s="87" t="str">
        <f t="shared" ca="1" si="30"/>
        <v/>
      </c>
      <c r="D159" s="88" t="str">
        <f t="shared" ca="1" si="31"/>
        <v/>
      </c>
      <c r="E159" s="86" t="str">
        <f t="shared" ca="1" si="32"/>
        <v/>
      </c>
      <c r="F159" s="89" t="str">
        <f t="shared" ca="1" si="33"/>
        <v/>
      </c>
      <c r="G159" s="89" t="str">
        <f t="shared" ca="1" si="34"/>
        <v/>
      </c>
      <c r="H159" s="89" t="str">
        <f t="shared" ca="1" si="35"/>
        <v/>
      </c>
      <c r="I159" s="2"/>
      <c r="J159" s="2"/>
      <c r="K159" s="1"/>
      <c r="L159" s="1"/>
      <c r="M159" s="1">
        <v>148</v>
      </c>
      <c r="N159" s="1" t="str">
        <f ca="1">IF(OR($U159=0,$W159="",$X159&lt;=0),"",IF($W159&gt;TODAY(),"",IF(AND(INDEX(UCRETLER!$E$7:$E$606,$U159)&lt;&gt;"",$W159&gt;INDEX(UCRETLER!$E$7:$E$606,$U159)),"",$W159)))</f>
        <v/>
      </c>
      <c r="O159" s="1" t="str">
        <f ca="1"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" t="str">
        <f t="shared" ca="1" si="39"/>
        <v/>
      </c>
      <c r="Q159" s="1"/>
      <c r="R159" s="1">
        <f t="shared" ca="1" si="40"/>
        <v>0</v>
      </c>
      <c r="S159" s="1">
        <v>0</v>
      </c>
      <c r="T159" s="1">
        <f t="shared" ca="1" si="36"/>
        <v>10000000000</v>
      </c>
      <c r="U159" s="1">
        <f t="shared" si="41"/>
        <v>0</v>
      </c>
      <c r="V159" s="1">
        <v>67</v>
      </c>
      <c r="W159" s="1" t="str">
        <f>IF($U159=0,"",IF(INDEX(UCRETLER!$D$7:$D$606,$U159)="","",IF(INDEX(UCRETLER!$F$7:$F$606,$U159)="Aylık",EOMONTH(INDEX(UCRETLER!$D$7:$D$606,$U159),$V159-1),INDEX(UCRETLER!$U$7:$U$606,$U159)+7*($V159-1))))</f>
        <v/>
      </c>
      <c r="X159" s="1">
        <f>IF($U159=0,0,INDEX(UCRETLER!$G$7:$G$606,$U159))</f>
        <v>0</v>
      </c>
      <c r="Y159" s="1">
        <f t="shared" ca="1" si="37"/>
        <v>10000000000</v>
      </c>
      <c r="Z159" s="1">
        <f t="shared" ca="1" si="38"/>
        <v>1</v>
      </c>
      <c r="AA159" s="1"/>
      <c r="AB159" s="1"/>
      <c r="AC159" s="1"/>
      <c r="AD159" s="1"/>
    </row>
    <row r="160" spans="1:30" ht="19.5" customHeight="1" x14ac:dyDescent="0.3">
      <c r="A160" s="2"/>
      <c r="B160" s="86" t="str">
        <f t="shared" ca="1" si="29"/>
        <v/>
      </c>
      <c r="C160" s="87" t="str">
        <f t="shared" ca="1" si="30"/>
        <v/>
      </c>
      <c r="D160" s="88" t="str">
        <f t="shared" ca="1" si="31"/>
        <v/>
      </c>
      <c r="E160" s="86" t="str">
        <f t="shared" ca="1" si="32"/>
        <v/>
      </c>
      <c r="F160" s="89" t="str">
        <f t="shared" ca="1" si="33"/>
        <v/>
      </c>
      <c r="G160" s="89" t="str">
        <f t="shared" ca="1" si="34"/>
        <v/>
      </c>
      <c r="H160" s="89" t="str">
        <f t="shared" ca="1" si="35"/>
        <v/>
      </c>
      <c r="I160" s="2"/>
      <c r="J160" s="2"/>
      <c r="K160" s="1"/>
      <c r="L160" s="1"/>
      <c r="M160" s="1">
        <v>149</v>
      </c>
      <c r="N160" s="1" t="str">
        <f ca="1">IF(OR($U160=0,$W160="",$X160&lt;=0),"",IF($W160&gt;TODAY(),"",IF(AND(INDEX(UCRETLER!$E$7:$E$606,$U160)&lt;&gt;"",$W160&gt;INDEX(UCRETLER!$E$7:$E$606,$U160)),"",$W160)))</f>
        <v/>
      </c>
      <c r="O160" s="1" t="str">
        <f ca="1"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" t="str">
        <f t="shared" ca="1" si="39"/>
        <v/>
      </c>
      <c r="Q160" s="1"/>
      <c r="R160" s="1">
        <f t="shared" ca="1" si="40"/>
        <v>0</v>
      </c>
      <c r="S160" s="1">
        <v>0</v>
      </c>
      <c r="T160" s="1">
        <f t="shared" ca="1" si="36"/>
        <v>10000000000</v>
      </c>
      <c r="U160" s="1">
        <f t="shared" si="41"/>
        <v>0</v>
      </c>
      <c r="V160" s="1">
        <v>68</v>
      </c>
      <c r="W160" s="1" t="str">
        <f>IF($U160=0,"",IF(INDEX(UCRETLER!$D$7:$D$606,$U160)="","",IF(INDEX(UCRETLER!$F$7:$F$606,$U160)="Aylık",EOMONTH(INDEX(UCRETLER!$D$7:$D$606,$U160),$V160-1),INDEX(UCRETLER!$U$7:$U$606,$U160)+7*($V160-1))))</f>
        <v/>
      </c>
      <c r="X160" s="1">
        <f>IF($U160=0,0,INDEX(UCRETLER!$G$7:$G$606,$U160))</f>
        <v>0</v>
      </c>
      <c r="Y160" s="1">
        <f t="shared" ca="1" si="37"/>
        <v>10000000000</v>
      </c>
      <c r="Z160" s="1">
        <f t="shared" ca="1" si="38"/>
        <v>1</v>
      </c>
      <c r="AA160" s="1"/>
      <c r="AB160" s="1"/>
      <c r="AC160" s="1"/>
      <c r="AD160" s="1"/>
    </row>
    <row r="161" spans="1:30" ht="19.5" customHeight="1" x14ac:dyDescent="0.3">
      <c r="A161" s="2"/>
      <c r="B161" s="86" t="str">
        <f t="shared" ca="1" si="29"/>
        <v/>
      </c>
      <c r="C161" s="87" t="str">
        <f t="shared" ca="1" si="30"/>
        <v/>
      </c>
      <c r="D161" s="88" t="str">
        <f t="shared" ca="1" si="31"/>
        <v/>
      </c>
      <c r="E161" s="86" t="str">
        <f t="shared" ca="1" si="32"/>
        <v/>
      </c>
      <c r="F161" s="89" t="str">
        <f t="shared" ca="1" si="33"/>
        <v/>
      </c>
      <c r="G161" s="89" t="str">
        <f t="shared" ca="1" si="34"/>
        <v/>
      </c>
      <c r="H161" s="89" t="str">
        <f t="shared" ca="1" si="35"/>
        <v/>
      </c>
      <c r="I161" s="2"/>
      <c r="J161" s="2"/>
      <c r="K161" s="1"/>
      <c r="L161" s="1"/>
      <c r="M161" s="1">
        <v>150</v>
      </c>
      <c r="N161" s="1" t="str">
        <f ca="1">IF(OR($U161=0,$W161="",$X161&lt;=0),"",IF($W161&gt;TODAY(),"",IF(AND(INDEX(UCRETLER!$E$7:$E$606,$U161)&lt;&gt;"",$W161&gt;INDEX(UCRETLER!$E$7:$E$606,$U161)),"",$W161)))</f>
        <v/>
      </c>
      <c r="O161" s="1" t="str">
        <f ca="1"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" t="str">
        <f t="shared" ca="1" si="39"/>
        <v/>
      </c>
      <c r="Q161" s="1"/>
      <c r="R161" s="1">
        <f t="shared" ca="1" si="40"/>
        <v>0</v>
      </c>
      <c r="S161" s="1">
        <v>0</v>
      </c>
      <c r="T161" s="1">
        <f t="shared" ca="1" si="36"/>
        <v>10000000000</v>
      </c>
      <c r="U161" s="1">
        <f t="shared" si="41"/>
        <v>0</v>
      </c>
      <c r="V161" s="1">
        <v>69</v>
      </c>
      <c r="W161" s="1" t="str">
        <f>IF($U161=0,"",IF(INDEX(UCRETLER!$D$7:$D$606,$U161)="","",IF(INDEX(UCRETLER!$F$7:$F$606,$U161)="Aylık",EOMONTH(INDEX(UCRETLER!$D$7:$D$606,$U161),$V161-1),INDEX(UCRETLER!$U$7:$U$606,$U161)+7*($V161-1))))</f>
        <v/>
      </c>
      <c r="X161" s="1">
        <f>IF($U161=0,0,INDEX(UCRETLER!$G$7:$G$606,$U161))</f>
        <v>0</v>
      </c>
      <c r="Y161" s="1">
        <f t="shared" ca="1" si="37"/>
        <v>10000000000</v>
      </c>
      <c r="Z161" s="1">
        <f t="shared" ca="1" si="38"/>
        <v>1</v>
      </c>
      <c r="AA161" s="1"/>
      <c r="AB161" s="1"/>
      <c r="AC161" s="1"/>
      <c r="AD161" s="1"/>
    </row>
    <row r="162" spans="1:30" ht="19.5" customHeight="1" x14ac:dyDescent="0.3">
      <c r="A162" s="2"/>
      <c r="B162" s="86" t="str">
        <f t="shared" ca="1" si="29"/>
        <v/>
      </c>
      <c r="C162" s="87" t="str">
        <f t="shared" ca="1" si="30"/>
        <v/>
      </c>
      <c r="D162" s="88" t="str">
        <f t="shared" ca="1" si="31"/>
        <v/>
      </c>
      <c r="E162" s="86" t="str">
        <f t="shared" ca="1" si="32"/>
        <v/>
      </c>
      <c r="F162" s="89" t="str">
        <f t="shared" ca="1" si="33"/>
        <v/>
      </c>
      <c r="G162" s="89" t="str">
        <f t="shared" ca="1" si="34"/>
        <v/>
      </c>
      <c r="H162" s="89" t="str">
        <f t="shared" ca="1" si="35"/>
        <v/>
      </c>
      <c r="I162" s="2"/>
      <c r="J162" s="2"/>
      <c r="K162" s="1"/>
      <c r="L162" s="1"/>
      <c r="M162" s="1">
        <v>151</v>
      </c>
      <c r="N162" s="1" t="str">
        <f ca="1">IF(OR($U162=0,$W162="",$X162&lt;=0),"",IF($W162&gt;TODAY(),"",IF(AND(INDEX(UCRETLER!$E$7:$E$606,$U162)&lt;&gt;"",$W162&gt;INDEX(UCRETLER!$E$7:$E$606,$U162)),"",$W162)))</f>
        <v/>
      </c>
      <c r="O162" s="1" t="str">
        <f ca="1"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" t="str">
        <f t="shared" ca="1" si="39"/>
        <v/>
      </c>
      <c r="Q162" s="1"/>
      <c r="R162" s="1">
        <f t="shared" ca="1" si="40"/>
        <v>0</v>
      </c>
      <c r="S162" s="1">
        <v>0</v>
      </c>
      <c r="T162" s="1">
        <f t="shared" ca="1" si="36"/>
        <v>10000000000</v>
      </c>
      <c r="U162" s="1">
        <f t="shared" si="41"/>
        <v>0</v>
      </c>
      <c r="V162" s="1">
        <v>70</v>
      </c>
      <c r="W162" s="1" t="str">
        <f>IF($U162=0,"",IF(INDEX(UCRETLER!$D$7:$D$606,$U162)="","",IF(INDEX(UCRETLER!$F$7:$F$606,$U162)="Aylık",EOMONTH(INDEX(UCRETLER!$D$7:$D$606,$U162),$V162-1),INDEX(UCRETLER!$U$7:$U$606,$U162)+7*($V162-1))))</f>
        <v/>
      </c>
      <c r="X162" s="1">
        <f>IF($U162=0,0,INDEX(UCRETLER!$G$7:$G$606,$U162))</f>
        <v>0</v>
      </c>
      <c r="Y162" s="1">
        <f t="shared" ca="1" si="37"/>
        <v>10000000000</v>
      </c>
      <c r="Z162" s="1">
        <f t="shared" ca="1" si="38"/>
        <v>1</v>
      </c>
      <c r="AA162" s="1"/>
      <c r="AB162" s="1"/>
      <c r="AC162" s="1"/>
      <c r="AD162" s="1"/>
    </row>
    <row r="163" spans="1:30" ht="19.5" customHeight="1" x14ac:dyDescent="0.3">
      <c r="A163" s="2"/>
      <c r="B163" s="86" t="str">
        <f t="shared" ca="1" si="29"/>
        <v/>
      </c>
      <c r="C163" s="87" t="str">
        <f t="shared" ca="1" si="30"/>
        <v/>
      </c>
      <c r="D163" s="88" t="str">
        <f t="shared" ca="1" si="31"/>
        <v/>
      </c>
      <c r="E163" s="86" t="str">
        <f t="shared" ca="1" si="32"/>
        <v/>
      </c>
      <c r="F163" s="89" t="str">
        <f t="shared" ca="1" si="33"/>
        <v/>
      </c>
      <c r="G163" s="89" t="str">
        <f t="shared" ca="1" si="34"/>
        <v/>
      </c>
      <c r="H163" s="89" t="str">
        <f t="shared" ca="1" si="35"/>
        <v/>
      </c>
      <c r="I163" s="2"/>
      <c r="J163" s="2"/>
      <c r="K163" s="1"/>
      <c r="L163" s="1"/>
      <c r="M163" s="1">
        <v>152</v>
      </c>
      <c r="N163" s="1" t="str">
        <f ca="1">IF(OR($U163=0,$W163="",$X163&lt;=0),"",IF($W163&gt;TODAY(),"",IF(AND(INDEX(UCRETLER!$E$7:$E$606,$U163)&lt;&gt;"",$W163&gt;INDEX(UCRETLER!$E$7:$E$606,$U163)),"",$W163)))</f>
        <v/>
      </c>
      <c r="O163" s="1" t="str">
        <f ca="1"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" t="str">
        <f t="shared" ca="1" si="39"/>
        <v/>
      </c>
      <c r="Q163" s="1"/>
      <c r="R163" s="1">
        <f t="shared" ca="1" si="40"/>
        <v>0</v>
      </c>
      <c r="S163" s="1">
        <v>0</v>
      </c>
      <c r="T163" s="1">
        <f t="shared" ca="1" si="36"/>
        <v>10000000000</v>
      </c>
      <c r="U163" s="1">
        <f t="shared" si="41"/>
        <v>0</v>
      </c>
      <c r="V163" s="1">
        <v>71</v>
      </c>
      <c r="W163" s="1" t="str">
        <f>IF($U163=0,"",IF(INDEX(UCRETLER!$D$7:$D$606,$U163)="","",IF(INDEX(UCRETLER!$F$7:$F$606,$U163)="Aylık",EOMONTH(INDEX(UCRETLER!$D$7:$D$606,$U163),$V163-1),INDEX(UCRETLER!$U$7:$U$606,$U163)+7*($V163-1))))</f>
        <v/>
      </c>
      <c r="X163" s="1">
        <f>IF($U163=0,0,INDEX(UCRETLER!$G$7:$G$606,$U163))</f>
        <v>0</v>
      </c>
      <c r="Y163" s="1">
        <f t="shared" ca="1" si="37"/>
        <v>10000000000</v>
      </c>
      <c r="Z163" s="1">
        <f t="shared" ca="1" si="38"/>
        <v>1</v>
      </c>
      <c r="AA163" s="1"/>
      <c r="AB163" s="1"/>
      <c r="AC163" s="1"/>
      <c r="AD163" s="1"/>
    </row>
    <row r="164" spans="1:30" ht="19.5" customHeight="1" x14ac:dyDescent="0.3">
      <c r="A164" s="2"/>
      <c r="B164" s="86" t="str">
        <f t="shared" ca="1" si="29"/>
        <v/>
      </c>
      <c r="C164" s="87" t="str">
        <f t="shared" ca="1" si="30"/>
        <v/>
      </c>
      <c r="D164" s="88" t="str">
        <f t="shared" ca="1" si="31"/>
        <v/>
      </c>
      <c r="E164" s="86" t="str">
        <f t="shared" ca="1" si="32"/>
        <v/>
      </c>
      <c r="F164" s="89" t="str">
        <f t="shared" ca="1" si="33"/>
        <v/>
      </c>
      <c r="G164" s="89" t="str">
        <f t="shared" ca="1" si="34"/>
        <v/>
      </c>
      <c r="H164" s="89" t="str">
        <f t="shared" ca="1" si="35"/>
        <v/>
      </c>
      <c r="I164" s="2"/>
      <c r="J164" s="2"/>
      <c r="K164" s="1"/>
      <c r="L164" s="1"/>
      <c r="M164" s="1">
        <v>153</v>
      </c>
      <c r="N164" s="1" t="str">
        <f ca="1">IF(OR($U164=0,$W164="",$X164&lt;=0),"",IF($W164&gt;TODAY(),"",IF(AND(INDEX(UCRETLER!$E$7:$E$606,$U164)&lt;&gt;"",$W164&gt;INDEX(UCRETLER!$E$7:$E$606,$U164)),"",$W164)))</f>
        <v/>
      </c>
      <c r="O164" s="1" t="str">
        <f ca="1"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" t="str">
        <f t="shared" ca="1" si="39"/>
        <v/>
      </c>
      <c r="Q164" s="1"/>
      <c r="R164" s="1">
        <f t="shared" ca="1" si="40"/>
        <v>0</v>
      </c>
      <c r="S164" s="1">
        <v>0</v>
      </c>
      <c r="T164" s="1">
        <f t="shared" ca="1" si="36"/>
        <v>10000000000</v>
      </c>
      <c r="U164" s="1">
        <f t="shared" si="41"/>
        <v>0</v>
      </c>
      <c r="V164" s="1">
        <v>72</v>
      </c>
      <c r="W164" s="1" t="str">
        <f>IF($U164=0,"",IF(INDEX(UCRETLER!$D$7:$D$606,$U164)="","",IF(INDEX(UCRETLER!$F$7:$F$606,$U164)="Aylık",EOMONTH(INDEX(UCRETLER!$D$7:$D$606,$U164),$V164-1),INDEX(UCRETLER!$U$7:$U$606,$U164)+7*($V164-1))))</f>
        <v/>
      </c>
      <c r="X164" s="1">
        <f>IF($U164=0,0,INDEX(UCRETLER!$G$7:$G$606,$U164))</f>
        <v>0</v>
      </c>
      <c r="Y164" s="1">
        <f t="shared" ca="1" si="37"/>
        <v>10000000000</v>
      </c>
      <c r="Z164" s="1">
        <f t="shared" ca="1" si="38"/>
        <v>1</v>
      </c>
      <c r="AA164" s="1"/>
      <c r="AB164" s="1"/>
      <c r="AC164" s="1"/>
      <c r="AD164" s="1"/>
    </row>
    <row r="165" spans="1:30" ht="19.5" customHeight="1" x14ac:dyDescent="0.3">
      <c r="A165" s="2"/>
      <c r="B165" s="86" t="str">
        <f t="shared" ca="1" si="29"/>
        <v/>
      </c>
      <c r="C165" s="87" t="str">
        <f t="shared" ca="1" si="30"/>
        <v/>
      </c>
      <c r="D165" s="88" t="str">
        <f t="shared" ca="1" si="31"/>
        <v/>
      </c>
      <c r="E165" s="86" t="str">
        <f t="shared" ca="1" si="32"/>
        <v/>
      </c>
      <c r="F165" s="89" t="str">
        <f t="shared" ca="1" si="33"/>
        <v/>
      </c>
      <c r="G165" s="89" t="str">
        <f t="shared" ca="1" si="34"/>
        <v/>
      </c>
      <c r="H165" s="89" t="str">
        <f t="shared" ca="1" si="35"/>
        <v/>
      </c>
      <c r="I165" s="2"/>
      <c r="J165" s="2"/>
      <c r="K165" s="1"/>
      <c r="L165" s="1"/>
      <c r="M165" s="1">
        <v>154</v>
      </c>
      <c r="N165" s="1" t="str">
        <f ca="1">IF(OR($U165=0,$W165="",$X165&lt;=0),"",IF($W165&gt;TODAY(),"",IF(AND(INDEX(UCRETLER!$E$7:$E$606,$U165)&lt;&gt;"",$W165&gt;INDEX(UCRETLER!$E$7:$E$606,$U165)),"",$W165)))</f>
        <v/>
      </c>
      <c r="O165" s="1" t="str">
        <f ca="1"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" t="str">
        <f t="shared" ca="1" si="39"/>
        <v/>
      </c>
      <c r="Q165" s="1"/>
      <c r="R165" s="1">
        <f t="shared" ca="1" si="40"/>
        <v>0</v>
      </c>
      <c r="S165" s="1">
        <v>0</v>
      </c>
      <c r="T165" s="1">
        <f t="shared" ca="1" si="36"/>
        <v>10000000000</v>
      </c>
      <c r="U165" s="1">
        <f t="shared" si="41"/>
        <v>0</v>
      </c>
      <c r="V165" s="1">
        <v>73</v>
      </c>
      <c r="W165" s="1" t="str">
        <f>IF($U165=0,"",IF(INDEX(UCRETLER!$D$7:$D$606,$U165)="","",IF(INDEX(UCRETLER!$F$7:$F$606,$U165)="Aylık",EOMONTH(INDEX(UCRETLER!$D$7:$D$606,$U165),$V165-1),INDEX(UCRETLER!$U$7:$U$606,$U165)+7*($V165-1))))</f>
        <v/>
      </c>
      <c r="X165" s="1">
        <f>IF($U165=0,0,INDEX(UCRETLER!$G$7:$G$606,$U165))</f>
        <v>0</v>
      </c>
      <c r="Y165" s="1">
        <f t="shared" ca="1" si="37"/>
        <v>10000000000</v>
      </c>
      <c r="Z165" s="1">
        <f t="shared" ca="1" si="38"/>
        <v>1</v>
      </c>
      <c r="AA165" s="1"/>
      <c r="AB165" s="1"/>
      <c r="AC165" s="1"/>
      <c r="AD165" s="1"/>
    </row>
    <row r="166" spans="1:30" ht="19.5" customHeight="1" x14ac:dyDescent="0.3">
      <c r="A166" s="2"/>
      <c r="B166" s="86" t="str">
        <f t="shared" ca="1" si="29"/>
        <v/>
      </c>
      <c r="C166" s="87" t="str">
        <f t="shared" ca="1" si="30"/>
        <v/>
      </c>
      <c r="D166" s="88" t="str">
        <f t="shared" ca="1" si="31"/>
        <v/>
      </c>
      <c r="E166" s="86" t="str">
        <f t="shared" ca="1" si="32"/>
        <v/>
      </c>
      <c r="F166" s="89" t="str">
        <f t="shared" ca="1" si="33"/>
        <v/>
      </c>
      <c r="G166" s="89" t="str">
        <f t="shared" ca="1" si="34"/>
        <v/>
      </c>
      <c r="H166" s="89" t="str">
        <f t="shared" ca="1" si="35"/>
        <v/>
      </c>
      <c r="I166" s="2"/>
      <c r="J166" s="2"/>
      <c r="K166" s="1"/>
      <c r="L166" s="1"/>
      <c r="M166" s="1">
        <v>155</v>
      </c>
      <c r="N166" s="1" t="str">
        <f ca="1">IF(OR($U166=0,$W166="",$X166&lt;=0),"",IF($W166&gt;TODAY(),"",IF(AND(INDEX(UCRETLER!$E$7:$E$606,$U166)&lt;&gt;"",$W166&gt;INDEX(UCRETLER!$E$7:$E$606,$U166)),"",$W166)))</f>
        <v/>
      </c>
      <c r="O166" s="1" t="str">
        <f ca="1"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" t="str">
        <f t="shared" ca="1" si="39"/>
        <v/>
      </c>
      <c r="Q166" s="1"/>
      <c r="R166" s="1">
        <f t="shared" ca="1" si="40"/>
        <v>0</v>
      </c>
      <c r="S166" s="1">
        <v>0</v>
      </c>
      <c r="T166" s="1">
        <f t="shared" ca="1" si="36"/>
        <v>10000000000</v>
      </c>
      <c r="U166" s="1">
        <f t="shared" si="41"/>
        <v>0</v>
      </c>
      <c r="V166" s="1">
        <v>74</v>
      </c>
      <c r="W166" s="1" t="str">
        <f>IF($U166=0,"",IF(INDEX(UCRETLER!$D$7:$D$606,$U166)="","",IF(INDEX(UCRETLER!$F$7:$F$606,$U166)="Aylık",EOMONTH(INDEX(UCRETLER!$D$7:$D$606,$U166),$V166-1),INDEX(UCRETLER!$U$7:$U$606,$U166)+7*($V166-1))))</f>
        <v/>
      </c>
      <c r="X166" s="1">
        <f>IF($U166=0,0,INDEX(UCRETLER!$G$7:$G$606,$U166))</f>
        <v>0</v>
      </c>
      <c r="Y166" s="1">
        <f t="shared" ca="1" si="37"/>
        <v>10000000000</v>
      </c>
      <c r="Z166" s="1">
        <f t="shared" ca="1" si="38"/>
        <v>1</v>
      </c>
      <c r="AA166" s="1"/>
      <c r="AB166" s="1"/>
      <c r="AC166" s="1"/>
      <c r="AD166" s="1"/>
    </row>
    <row r="167" spans="1:30" ht="19.5" customHeight="1" x14ac:dyDescent="0.3">
      <c r="A167" s="2"/>
      <c r="B167" s="86" t="str">
        <f t="shared" ca="1" si="29"/>
        <v/>
      </c>
      <c r="C167" s="87" t="str">
        <f t="shared" ca="1" si="30"/>
        <v/>
      </c>
      <c r="D167" s="88" t="str">
        <f t="shared" ca="1" si="31"/>
        <v/>
      </c>
      <c r="E167" s="86" t="str">
        <f t="shared" ca="1" si="32"/>
        <v/>
      </c>
      <c r="F167" s="89" t="str">
        <f t="shared" ca="1" si="33"/>
        <v/>
      </c>
      <c r="G167" s="89" t="str">
        <f t="shared" ca="1" si="34"/>
        <v/>
      </c>
      <c r="H167" s="89" t="str">
        <f t="shared" ca="1" si="35"/>
        <v/>
      </c>
      <c r="I167" s="2"/>
      <c r="J167" s="2"/>
      <c r="K167" s="1"/>
      <c r="L167" s="1"/>
      <c r="M167" s="1">
        <v>156</v>
      </c>
      <c r="N167" s="1" t="str">
        <f ca="1">IF(OR($U167=0,$W167="",$X167&lt;=0),"",IF($W167&gt;TODAY(),"",IF(AND(INDEX(UCRETLER!$E$7:$E$606,$U167)&lt;&gt;"",$W167&gt;INDEX(UCRETLER!$E$7:$E$606,$U167)),"",$W167)))</f>
        <v/>
      </c>
      <c r="O167" s="1" t="str">
        <f ca="1"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" t="str">
        <f t="shared" ca="1" si="39"/>
        <v/>
      </c>
      <c r="Q167" s="1"/>
      <c r="R167" s="1">
        <f t="shared" ca="1" si="40"/>
        <v>0</v>
      </c>
      <c r="S167" s="1">
        <v>0</v>
      </c>
      <c r="T167" s="1">
        <f t="shared" ca="1" si="36"/>
        <v>10000000000</v>
      </c>
      <c r="U167" s="1">
        <f t="shared" si="41"/>
        <v>0</v>
      </c>
      <c r="V167" s="1">
        <v>75</v>
      </c>
      <c r="W167" s="1" t="str">
        <f>IF($U167=0,"",IF(INDEX(UCRETLER!$D$7:$D$606,$U167)="","",IF(INDEX(UCRETLER!$F$7:$F$606,$U167)="Aylık",EOMONTH(INDEX(UCRETLER!$D$7:$D$606,$U167),$V167-1),INDEX(UCRETLER!$U$7:$U$606,$U167)+7*($V167-1))))</f>
        <v/>
      </c>
      <c r="X167" s="1">
        <f>IF($U167=0,0,INDEX(UCRETLER!$G$7:$G$606,$U167))</f>
        <v>0</v>
      </c>
      <c r="Y167" s="1">
        <f t="shared" ca="1" si="37"/>
        <v>10000000000</v>
      </c>
      <c r="Z167" s="1">
        <f t="shared" ca="1" si="38"/>
        <v>1</v>
      </c>
      <c r="AA167" s="1"/>
      <c r="AB167" s="1"/>
      <c r="AC167" s="1"/>
      <c r="AD167" s="1"/>
    </row>
    <row r="168" spans="1:30" ht="19.5" customHeight="1" x14ac:dyDescent="0.3">
      <c r="A168" s="2"/>
      <c r="B168" s="86" t="str">
        <f t="shared" ca="1" si="29"/>
        <v/>
      </c>
      <c r="C168" s="87" t="str">
        <f t="shared" ca="1" si="30"/>
        <v/>
      </c>
      <c r="D168" s="88" t="str">
        <f t="shared" ca="1" si="31"/>
        <v/>
      </c>
      <c r="E168" s="86" t="str">
        <f t="shared" ca="1" si="32"/>
        <v/>
      </c>
      <c r="F168" s="89" t="str">
        <f t="shared" ca="1" si="33"/>
        <v/>
      </c>
      <c r="G168" s="89" t="str">
        <f t="shared" ca="1" si="34"/>
        <v/>
      </c>
      <c r="H168" s="89" t="str">
        <f t="shared" ca="1" si="35"/>
        <v/>
      </c>
      <c r="I168" s="2"/>
      <c r="J168" s="2"/>
      <c r="K168" s="1"/>
      <c r="L168" s="1"/>
      <c r="M168" s="1">
        <v>157</v>
      </c>
      <c r="N168" s="1" t="str">
        <f ca="1">IF(OR($U168=0,$W168="",$X168&lt;=0),"",IF($W168&gt;TODAY(),"",IF(AND(INDEX(UCRETLER!$E$7:$E$606,$U168)&lt;&gt;"",$W168&gt;INDEX(UCRETLER!$E$7:$E$606,$U168)),"",$W168)))</f>
        <v/>
      </c>
      <c r="O168" s="1" t="str">
        <f ca="1"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" t="str">
        <f t="shared" ca="1" si="39"/>
        <v/>
      </c>
      <c r="Q168" s="1"/>
      <c r="R168" s="1">
        <f t="shared" ca="1" si="40"/>
        <v>0</v>
      </c>
      <c r="S168" s="1">
        <v>0</v>
      </c>
      <c r="T168" s="1">
        <f t="shared" ca="1" si="36"/>
        <v>10000000000</v>
      </c>
      <c r="U168" s="1">
        <f t="shared" si="41"/>
        <v>0</v>
      </c>
      <c r="V168" s="1">
        <v>76</v>
      </c>
      <c r="W168" s="1" t="str">
        <f>IF($U168=0,"",IF(INDEX(UCRETLER!$D$7:$D$606,$U168)="","",IF(INDEX(UCRETLER!$F$7:$F$606,$U168)="Aylık",EOMONTH(INDEX(UCRETLER!$D$7:$D$606,$U168),$V168-1),INDEX(UCRETLER!$U$7:$U$606,$U168)+7*($V168-1))))</f>
        <v/>
      </c>
      <c r="X168" s="1">
        <f>IF($U168=0,0,INDEX(UCRETLER!$G$7:$G$606,$U168))</f>
        <v>0</v>
      </c>
      <c r="Y168" s="1">
        <f t="shared" ca="1" si="37"/>
        <v>10000000000</v>
      </c>
      <c r="Z168" s="1">
        <f t="shared" ca="1" si="38"/>
        <v>1</v>
      </c>
      <c r="AA168" s="1"/>
      <c r="AB168" s="1"/>
      <c r="AC168" s="1"/>
      <c r="AD168" s="1"/>
    </row>
    <row r="169" spans="1:30" ht="19.5" customHeight="1" x14ac:dyDescent="0.3">
      <c r="A169" s="2"/>
      <c r="B169" s="86" t="str">
        <f t="shared" ca="1" si="29"/>
        <v/>
      </c>
      <c r="C169" s="87" t="str">
        <f t="shared" ca="1" si="30"/>
        <v/>
      </c>
      <c r="D169" s="88" t="str">
        <f t="shared" ca="1" si="31"/>
        <v/>
      </c>
      <c r="E169" s="86" t="str">
        <f t="shared" ca="1" si="32"/>
        <v/>
      </c>
      <c r="F169" s="89" t="str">
        <f t="shared" ca="1" si="33"/>
        <v/>
      </c>
      <c r="G169" s="89" t="str">
        <f t="shared" ca="1" si="34"/>
        <v/>
      </c>
      <c r="H169" s="89" t="str">
        <f t="shared" ca="1" si="35"/>
        <v/>
      </c>
      <c r="I169" s="2"/>
      <c r="J169" s="2"/>
      <c r="K169" s="1"/>
      <c r="L169" s="1"/>
      <c r="M169" s="1">
        <v>158</v>
      </c>
      <c r="N169" s="1" t="str">
        <f ca="1">IF(OR($U169=0,$W169="",$X169&lt;=0),"",IF($W169&gt;TODAY(),"",IF(AND(INDEX(UCRETLER!$E$7:$E$606,$U169)&lt;&gt;"",$W169&gt;INDEX(UCRETLER!$E$7:$E$606,$U169)),"",$W169)))</f>
        <v/>
      </c>
      <c r="O169" s="1" t="str">
        <f ca="1"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" t="str">
        <f t="shared" ca="1" si="39"/>
        <v/>
      </c>
      <c r="Q169" s="1"/>
      <c r="R169" s="1">
        <f t="shared" ca="1" si="40"/>
        <v>0</v>
      </c>
      <c r="S169" s="1">
        <v>0</v>
      </c>
      <c r="T169" s="1">
        <f t="shared" ca="1" si="36"/>
        <v>10000000000</v>
      </c>
      <c r="U169" s="1">
        <f t="shared" si="41"/>
        <v>0</v>
      </c>
      <c r="V169" s="1">
        <v>77</v>
      </c>
      <c r="W169" s="1" t="str">
        <f>IF($U169=0,"",IF(INDEX(UCRETLER!$D$7:$D$606,$U169)="","",IF(INDEX(UCRETLER!$F$7:$F$606,$U169)="Aylık",EOMONTH(INDEX(UCRETLER!$D$7:$D$606,$U169),$V169-1),INDEX(UCRETLER!$U$7:$U$606,$U169)+7*($V169-1))))</f>
        <v/>
      </c>
      <c r="X169" s="1">
        <f>IF($U169=0,0,INDEX(UCRETLER!$G$7:$G$606,$U169))</f>
        <v>0</v>
      </c>
      <c r="Y169" s="1">
        <f t="shared" ca="1" si="37"/>
        <v>10000000000</v>
      </c>
      <c r="Z169" s="1">
        <f t="shared" ca="1" si="38"/>
        <v>1</v>
      </c>
      <c r="AA169" s="1"/>
      <c r="AB169" s="1"/>
      <c r="AC169" s="1"/>
      <c r="AD169" s="1"/>
    </row>
    <row r="170" spans="1:30" ht="19.5" customHeight="1" x14ac:dyDescent="0.3">
      <c r="A170" s="2"/>
      <c r="B170" s="86" t="str">
        <f t="shared" ca="1" si="29"/>
        <v/>
      </c>
      <c r="C170" s="87" t="str">
        <f t="shared" ca="1" si="30"/>
        <v/>
      </c>
      <c r="D170" s="88" t="str">
        <f t="shared" ca="1" si="31"/>
        <v/>
      </c>
      <c r="E170" s="86" t="str">
        <f t="shared" ca="1" si="32"/>
        <v/>
      </c>
      <c r="F170" s="89" t="str">
        <f t="shared" ca="1" si="33"/>
        <v/>
      </c>
      <c r="G170" s="89" t="str">
        <f t="shared" ca="1" si="34"/>
        <v/>
      </c>
      <c r="H170" s="89" t="str">
        <f t="shared" ca="1" si="35"/>
        <v/>
      </c>
      <c r="I170" s="2"/>
      <c r="J170" s="2"/>
      <c r="K170" s="1"/>
      <c r="L170" s="1"/>
      <c r="M170" s="1">
        <v>159</v>
      </c>
      <c r="N170" s="1" t="str">
        <f ca="1">IF(OR($U170=0,$W170="",$X170&lt;=0),"",IF($W170&gt;TODAY(),"",IF(AND(INDEX(UCRETLER!$E$7:$E$606,$U170)&lt;&gt;"",$W170&gt;INDEX(UCRETLER!$E$7:$E$606,$U170)),"",$W170)))</f>
        <v/>
      </c>
      <c r="O170" s="1" t="str">
        <f ca="1"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" t="str">
        <f t="shared" ca="1" si="39"/>
        <v/>
      </c>
      <c r="Q170" s="1"/>
      <c r="R170" s="1">
        <f t="shared" ca="1" si="40"/>
        <v>0</v>
      </c>
      <c r="S170" s="1">
        <v>0</v>
      </c>
      <c r="T170" s="1">
        <f t="shared" ca="1" si="36"/>
        <v>10000000000</v>
      </c>
      <c r="U170" s="1">
        <f t="shared" si="41"/>
        <v>0</v>
      </c>
      <c r="V170" s="1">
        <v>78</v>
      </c>
      <c r="W170" s="1" t="str">
        <f>IF($U170=0,"",IF(INDEX(UCRETLER!$D$7:$D$606,$U170)="","",IF(INDEX(UCRETLER!$F$7:$F$606,$U170)="Aylık",EOMONTH(INDEX(UCRETLER!$D$7:$D$606,$U170),$V170-1),INDEX(UCRETLER!$U$7:$U$606,$U170)+7*($V170-1))))</f>
        <v/>
      </c>
      <c r="X170" s="1">
        <f>IF($U170=0,0,INDEX(UCRETLER!$G$7:$G$606,$U170))</f>
        <v>0</v>
      </c>
      <c r="Y170" s="1">
        <f t="shared" ca="1" si="37"/>
        <v>10000000000</v>
      </c>
      <c r="Z170" s="1">
        <f t="shared" ca="1" si="38"/>
        <v>1</v>
      </c>
      <c r="AA170" s="1"/>
      <c r="AB170" s="1"/>
      <c r="AC170" s="1"/>
      <c r="AD170" s="1"/>
    </row>
    <row r="171" spans="1:30" ht="19.5" customHeight="1" x14ac:dyDescent="0.3">
      <c r="A171" s="2"/>
      <c r="B171" s="86" t="str">
        <f t="shared" ca="1" si="29"/>
        <v/>
      </c>
      <c r="C171" s="87" t="str">
        <f t="shared" ca="1" si="30"/>
        <v/>
      </c>
      <c r="D171" s="88" t="str">
        <f t="shared" ca="1" si="31"/>
        <v/>
      </c>
      <c r="E171" s="86" t="str">
        <f t="shared" ca="1" si="32"/>
        <v/>
      </c>
      <c r="F171" s="89" t="str">
        <f t="shared" ca="1" si="33"/>
        <v/>
      </c>
      <c r="G171" s="89" t="str">
        <f t="shared" ca="1" si="34"/>
        <v/>
      </c>
      <c r="H171" s="89" t="str">
        <f t="shared" ca="1" si="35"/>
        <v/>
      </c>
      <c r="I171" s="2"/>
      <c r="J171" s="2"/>
      <c r="K171" s="1"/>
      <c r="L171" s="1"/>
      <c r="M171" s="1">
        <v>160</v>
      </c>
      <c r="N171" s="1" t="str">
        <f ca="1">IF(OR($U171=0,$W171="",$X171&lt;=0),"",IF($W171&gt;TODAY(),"",IF(AND(INDEX(UCRETLER!$E$7:$E$606,$U171)&lt;&gt;"",$W171&gt;INDEX(UCRETLER!$E$7:$E$606,$U171)),"",$W171)))</f>
        <v/>
      </c>
      <c r="O171" s="1" t="str">
        <f ca="1"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" t="str">
        <f t="shared" ca="1" si="39"/>
        <v/>
      </c>
      <c r="Q171" s="1"/>
      <c r="R171" s="1">
        <f t="shared" ca="1" si="40"/>
        <v>0</v>
      </c>
      <c r="S171" s="1">
        <v>0</v>
      </c>
      <c r="T171" s="1">
        <f t="shared" ca="1" si="36"/>
        <v>10000000000</v>
      </c>
      <c r="U171" s="1">
        <f t="shared" si="41"/>
        <v>0</v>
      </c>
      <c r="V171" s="1">
        <v>79</v>
      </c>
      <c r="W171" s="1" t="str">
        <f>IF($U171=0,"",IF(INDEX(UCRETLER!$D$7:$D$606,$U171)="","",IF(INDEX(UCRETLER!$F$7:$F$606,$U171)="Aylık",EOMONTH(INDEX(UCRETLER!$D$7:$D$606,$U171),$V171-1),INDEX(UCRETLER!$U$7:$U$606,$U171)+7*($V171-1))))</f>
        <v/>
      </c>
      <c r="X171" s="1">
        <f>IF($U171=0,0,INDEX(UCRETLER!$G$7:$G$606,$U171))</f>
        <v>0</v>
      </c>
      <c r="Y171" s="1">
        <f t="shared" ca="1" si="37"/>
        <v>10000000000</v>
      </c>
      <c r="Z171" s="1">
        <f t="shared" ca="1" si="38"/>
        <v>1</v>
      </c>
      <c r="AA171" s="1"/>
      <c r="AB171" s="1"/>
      <c r="AC171" s="1"/>
      <c r="AD171" s="1"/>
    </row>
    <row r="172" spans="1:30" ht="19.5" customHeight="1" x14ac:dyDescent="0.3">
      <c r="A172" s="2"/>
      <c r="B172" s="86" t="str">
        <f t="shared" ca="1" si="29"/>
        <v/>
      </c>
      <c r="C172" s="87" t="str">
        <f t="shared" ca="1" si="30"/>
        <v/>
      </c>
      <c r="D172" s="88" t="str">
        <f t="shared" ca="1" si="31"/>
        <v/>
      </c>
      <c r="E172" s="86" t="str">
        <f t="shared" ca="1" si="32"/>
        <v/>
      </c>
      <c r="F172" s="89" t="str">
        <f t="shared" ca="1" si="33"/>
        <v/>
      </c>
      <c r="G172" s="89" t="str">
        <f t="shared" ca="1" si="34"/>
        <v/>
      </c>
      <c r="H172" s="89" t="str">
        <f t="shared" ca="1" si="35"/>
        <v/>
      </c>
      <c r="I172" s="2"/>
      <c r="J172" s="2"/>
      <c r="K172" s="1"/>
      <c r="L172" s="1"/>
      <c r="M172" s="1">
        <v>161</v>
      </c>
      <c r="N172" s="1" t="str">
        <f ca="1">IF(OR($U172=0,$W172="",$X172&lt;=0),"",IF($W172&gt;TODAY(),"",IF(AND(INDEX(UCRETLER!$E$7:$E$606,$U172)&lt;&gt;"",$W172&gt;INDEX(UCRETLER!$E$7:$E$606,$U172)),"",$W172)))</f>
        <v/>
      </c>
      <c r="O172" s="1" t="str">
        <f ca="1"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" t="str">
        <f t="shared" ca="1" si="39"/>
        <v/>
      </c>
      <c r="Q172" s="1"/>
      <c r="R172" s="1">
        <f t="shared" ca="1" si="40"/>
        <v>0</v>
      </c>
      <c r="S172" s="1">
        <v>0</v>
      </c>
      <c r="T172" s="1">
        <f t="shared" ca="1" si="36"/>
        <v>10000000000</v>
      </c>
      <c r="U172" s="1">
        <f t="shared" si="41"/>
        <v>0</v>
      </c>
      <c r="V172" s="1">
        <v>80</v>
      </c>
      <c r="W172" s="1" t="str">
        <f>IF($U172=0,"",IF(INDEX(UCRETLER!$D$7:$D$606,$U172)="","",IF(INDEX(UCRETLER!$F$7:$F$606,$U172)="Aylık",EOMONTH(INDEX(UCRETLER!$D$7:$D$606,$U172),$V172-1),INDEX(UCRETLER!$U$7:$U$606,$U172)+7*($V172-1))))</f>
        <v/>
      </c>
      <c r="X172" s="1">
        <f>IF($U172=0,0,INDEX(UCRETLER!$G$7:$G$606,$U172))</f>
        <v>0</v>
      </c>
      <c r="Y172" s="1">
        <f t="shared" ca="1" si="37"/>
        <v>10000000000</v>
      </c>
      <c r="Z172" s="1">
        <f t="shared" ca="1" si="38"/>
        <v>1</v>
      </c>
      <c r="AA172" s="1"/>
      <c r="AB172" s="1"/>
      <c r="AC172" s="1"/>
      <c r="AD172" s="1"/>
    </row>
    <row r="173" spans="1:30" ht="19.5" customHeight="1" x14ac:dyDescent="0.3">
      <c r="A173" s="2"/>
      <c r="B173" s="86" t="str">
        <f t="shared" ca="1" si="29"/>
        <v/>
      </c>
      <c r="C173" s="87" t="str">
        <f t="shared" ca="1" si="30"/>
        <v/>
      </c>
      <c r="D173" s="88" t="str">
        <f t="shared" ca="1" si="31"/>
        <v/>
      </c>
      <c r="E173" s="86" t="str">
        <f t="shared" ca="1" si="32"/>
        <v/>
      </c>
      <c r="F173" s="89" t="str">
        <f t="shared" ca="1" si="33"/>
        <v/>
      </c>
      <c r="G173" s="89" t="str">
        <f t="shared" ca="1" si="34"/>
        <v/>
      </c>
      <c r="H173" s="89" t="str">
        <f t="shared" ca="1" si="35"/>
        <v/>
      </c>
      <c r="I173" s="2"/>
      <c r="J173" s="2"/>
      <c r="K173" s="1"/>
      <c r="L173" s="1"/>
      <c r="M173" s="1">
        <v>162</v>
      </c>
      <c r="N173" s="1" t="str">
        <f ca="1">IF(OR($U173=0,$W173="",$X173&lt;=0),"",IF($W173&gt;TODAY(),"",IF(AND(INDEX(UCRETLER!$E$7:$E$606,$U173)&lt;&gt;"",$W173&gt;INDEX(UCRETLER!$E$7:$E$606,$U173)),"",$W173)))</f>
        <v/>
      </c>
      <c r="O173" s="1" t="str">
        <f ca="1"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" t="str">
        <f t="shared" ca="1" si="39"/>
        <v/>
      </c>
      <c r="Q173" s="1"/>
      <c r="R173" s="1">
        <f t="shared" ca="1" si="40"/>
        <v>0</v>
      </c>
      <c r="S173" s="1">
        <v>0</v>
      </c>
      <c r="T173" s="1">
        <f t="shared" ca="1" si="36"/>
        <v>10000000000</v>
      </c>
      <c r="U173" s="1">
        <f t="shared" ref="U173:U204" si="42">$AB$6</f>
        <v>0</v>
      </c>
      <c r="V173" s="1">
        <v>1</v>
      </c>
      <c r="W173" s="1" t="str">
        <f>IF($U173=0,"",IF(INDEX(UCRETLER!$D$7:$D$606,$U173)="","",IF(INDEX(UCRETLER!$F$7:$F$606,$U173)="Aylık",EOMONTH(INDEX(UCRETLER!$D$7:$D$606,$U173),$V173-1),INDEX(UCRETLER!$U$7:$U$606,$U173)+7*($V173-1))))</f>
        <v/>
      </c>
      <c r="X173" s="1">
        <f>IF($U173=0,0,INDEX(UCRETLER!$G$7:$G$606,$U173))</f>
        <v>0</v>
      </c>
      <c r="Y173" s="1">
        <f t="shared" ca="1" si="37"/>
        <v>10000000000</v>
      </c>
      <c r="Z173" s="1">
        <f t="shared" ca="1" si="38"/>
        <v>1</v>
      </c>
      <c r="AA173" s="1"/>
      <c r="AB173" s="1"/>
      <c r="AC173" s="1"/>
      <c r="AD173" s="1"/>
    </row>
    <row r="174" spans="1:30" ht="19.5" customHeight="1" x14ac:dyDescent="0.3">
      <c r="A174" s="2"/>
      <c r="B174" s="86" t="str">
        <f t="shared" ca="1" si="29"/>
        <v/>
      </c>
      <c r="C174" s="87" t="str">
        <f t="shared" ca="1" si="30"/>
        <v/>
      </c>
      <c r="D174" s="88" t="str">
        <f t="shared" ca="1" si="31"/>
        <v/>
      </c>
      <c r="E174" s="86" t="str">
        <f t="shared" ca="1" si="32"/>
        <v/>
      </c>
      <c r="F174" s="89" t="str">
        <f t="shared" ca="1" si="33"/>
        <v/>
      </c>
      <c r="G174" s="89" t="str">
        <f t="shared" ca="1" si="34"/>
        <v/>
      </c>
      <c r="H174" s="89" t="str">
        <f t="shared" ca="1" si="35"/>
        <v/>
      </c>
      <c r="I174" s="2"/>
      <c r="J174" s="2"/>
      <c r="K174" s="1"/>
      <c r="L174" s="1"/>
      <c r="M174" s="1">
        <v>163</v>
      </c>
      <c r="N174" s="1" t="str">
        <f ca="1">IF(OR($U174=0,$W174="",$X174&lt;=0),"",IF($W174&gt;TODAY(),"",IF(AND(INDEX(UCRETLER!$E$7:$E$606,$U174)&lt;&gt;"",$W174&gt;INDEX(UCRETLER!$E$7:$E$606,$U174)),"",$W174)))</f>
        <v/>
      </c>
      <c r="O174" s="1" t="str">
        <f ca="1"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" t="str">
        <f t="shared" ca="1" si="39"/>
        <v/>
      </c>
      <c r="Q174" s="1"/>
      <c r="R174" s="1">
        <f t="shared" ca="1" si="40"/>
        <v>0</v>
      </c>
      <c r="S174" s="1">
        <v>0</v>
      </c>
      <c r="T174" s="1">
        <f t="shared" ca="1" si="36"/>
        <v>10000000000</v>
      </c>
      <c r="U174" s="1">
        <f t="shared" si="42"/>
        <v>0</v>
      </c>
      <c r="V174" s="1">
        <v>2</v>
      </c>
      <c r="W174" s="1" t="str">
        <f>IF($U174=0,"",IF(INDEX(UCRETLER!$D$7:$D$606,$U174)="","",IF(INDEX(UCRETLER!$F$7:$F$606,$U174)="Aylık",EOMONTH(INDEX(UCRETLER!$D$7:$D$606,$U174),$V174-1),INDEX(UCRETLER!$U$7:$U$606,$U174)+7*($V174-1))))</f>
        <v/>
      </c>
      <c r="X174" s="1">
        <f>IF($U174=0,0,INDEX(UCRETLER!$G$7:$G$606,$U174))</f>
        <v>0</v>
      </c>
      <c r="Y174" s="1">
        <f t="shared" ca="1" si="37"/>
        <v>10000000000</v>
      </c>
      <c r="Z174" s="1">
        <f t="shared" ca="1" si="38"/>
        <v>1</v>
      </c>
      <c r="AA174" s="1"/>
      <c r="AB174" s="1"/>
      <c r="AC174" s="1"/>
      <c r="AD174" s="1"/>
    </row>
    <row r="175" spans="1:30" ht="19.5" customHeight="1" x14ac:dyDescent="0.3">
      <c r="A175" s="2"/>
      <c r="B175" s="86" t="str">
        <f t="shared" ca="1" si="29"/>
        <v/>
      </c>
      <c r="C175" s="87" t="str">
        <f t="shared" ca="1" si="30"/>
        <v/>
      </c>
      <c r="D175" s="88" t="str">
        <f t="shared" ca="1" si="31"/>
        <v/>
      </c>
      <c r="E175" s="86" t="str">
        <f t="shared" ca="1" si="32"/>
        <v/>
      </c>
      <c r="F175" s="89" t="str">
        <f t="shared" ca="1" si="33"/>
        <v/>
      </c>
      <c r="G175" s="89" t="str">
        <f t="shared" ca="1" si="34"/>
        <v/>
      </c>
      <c r="H175" s="89" t="str">
        <f t="shared" ca="1" si="35"/>
        <v/>
      </c>
      <c r="I175" s="2"/>
      <c r="J175" s="2"/>
      <c r="K175" s="1"/>
      <c r="L175" s="1"/>
      <c r="M175" s="1">
        <v>164</v>
      </c>
      <c r="N175" s="1" t="str">
        <f ca="1">IF(OR($U175=0,$W175="",$X175&lt;=0),"",IF($W175&gt;TODAY(),"",IF(AND(INDEX(UCRETLER!$E$7:$E$606,$U175)&lt;&gt;"",$W175&gt;INDEX(UCRETLER!$E$7:$E$606,$U175)),"",$W175)))</f>
        <v/>
      </c>
      <c r="O175" s="1" t="str">
        <f ca="1"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" t="str">
        <f t="shared" ca="1" si="39"/>
        <v/>
      </c>
      <c r="Q175" s="1"/>
      <c r="R175" s="1">
        <f t="shared" ca="1" si="40"/>
        <v>0</v>
      </c>
      <c r="S175" s="1">
        <v>0</v>
      </c>
      <c r="T175" s="1">
        <f t="shared" ca="1" si="36"/>
        <v>10000000000</v>
      </c>
      <c r="U175" s="1">
        <f t="shared" si="42"/>
        <v>0</v>
      </c>
      <c r="V175" s="1">
        <v>3</v>
      </c>
      <c r="W175" s="1" t="str">
        <f>IF($U175=0,"",IF(INDEX(UCRETLER!$D$7:$D$606,$U175)="","",IF(INDEX(UCRETLER!$F$7:$F$606,$U175)="Aylık",EOMONTH(INDEX(UCRETLER!$D$7:$D$606,$U175),$V175-1),INDEX(UCRETLER!$U$7:$U$606,$U175)+7*($V175-1))))</f>
        <v/>
      </c>
      <c r="X175" s="1">
        <f>IF($U175=0,0,INDEX(UCRETLER!$G$7:$G$606,$U175))</f>
        <v>0</v>
      </c>
      <c r="Y175" s="1">
        <f t="shared" ca="1" si="37"/>
        <v>10000000000</v>
      </c>
      <c r="Z175" s="1">
        <f t="shared" ca="1" si="38"/>
        <v>1</v>
      </c>
      <c r="AA175" s="1"/>
      <c r="AB175" s="1"/>
      <c r="AC175" s="1"/>
      <c r="AD175" s="1"/>
    </row>
    <row r="176" spans="1:30" ht="19.5" customHeight="1" x14ac:dyDescent="0.3">
      <c r="A176" s="2"/>
      <c r="B176" s="86" t="str">
        <f t="shared" ca="1" si="29"/>
        <v/>
      </c>
      <c r="C176" s="87" t="str">
        <f t="shared" ca="1" si="30"/>
        <v/>
      </c>
      <c r="D176" s="88" t="str">
        <f t="shared" ca="1" si="31"/>
        <v/>
      </c>
      <c r="E176" s="86" t="str">
        <f t="shared" ca="1" si="32"/>
        <v/>
      </c>
      <c r="F176" s="89" t="str">
        <f t="shared" ca="1" si="33"/>
        <v/>
      </c>
      <c r="G176" s="89" t="str">
        <f t="shared" ca="1" si="34"/>
        <v/>
      </c>
      <c r="H176" s="89" t="str">
        <f t="shared" ca="1" si="35"/>
        <v/>
      </c>
      <c r="I176" s="2"/>
      <c r="J176" s="2"/>
      <c r="K176" s="1"/>
      <c r="L176" s="1"/>
      <c r="M176" s="1">
        <v>165</v>
      </c>
      <c r="N176" s="1" t="str">
        <f ca="1">IF(OR($U176=0,$W176="",$X176&lt;=0),"",IF($W176&gt;TODAY(),"",IF(AND(INDEX(UCRETLER!$E$7:$E$606,$U176)&lt;&gt;"",$W176&gt;INDEX(UCRETLER!$E$7:$E$606,$U176)),"",$W176)))</f>
        <v/>
      </c>
      <c r="O176" s="1" t="str">
        <f ca="1"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" t="str">
        <f t="shared" ca="1" si="39"/>
        <v/>
      </c>
      <c r="Q176" s="1"/>
      <c r="R176" s="1">
        <f t="shared" ca="1" si="40"/>
        <v>0</v>
      </c>
      <c r="S176" s="1">
        <v>0</v>
      </c>
      <c r="T176" s="1">
        <f t="shared" ca="1" si="36"/>
        <v>10000000000</v>
      </c>
      <c r="U176" s="1">
        <f t="shared" si="42"/>
        <v>0</v>
      </c>
      <c r="V176" s="1">
        <v>4</v>
      </c>
      <c r="W176" s="1" t="str">
        <f>IF($U176=0,"",IF(INDEX(UCRETLER!$D$7:$D$606,$U176)="","",IF(INDEX(UCRETLER!$F$7:$F$606,$U176)="Aylık",EOMONTH(INDEX(UCRETLER!$D$7:$D$606,$U176),$V176-1),INDEX(UCRETLER!$U$7:$U$606,$U176)+7*($V176-1))))</f>
        <v/>
      </c>
      <c r="X176" s="1">
        <f>IF($U176=0,0,INDEX(UCRETLER!$G$7:$G$606,$U176))</f>
        <v>0</v>
      </c>
      <c r="Y176" s="1">
        <f t="shared" ca="1" si="37"/>
        <v>10000000000</v>
      </c>
      <c r="Z176" s="1">
        <f t="shared" ca="1" si="38"/>
        <v>1</v>
      </c>
      <c r="AA176" s="1"/>
      <c r="AB176" s="1"/>
      <c r="AC176" s="1"/>
      <c r="AD176" s="1"/>
    </row>
    <row r="177" spans="1:30" ht="19.5" customHeight="1" x14ac:dyDescent="0.3">
      <c r="A177" s="2"/>
      <c r="B177" s="86" t="str">
        <f t="shared" ca="1" si="29"/>
        <v/>
      </c>
      <c r="C177" s="87" t="str">
        <f t="shared" ca="1" si="30"/>
        <v/>
      </c>
      <c r="D177" s="88" t="str">
        <f t="shared" ca="1" si="31"/>
        <v/>
      </c>
      <c r="E177" s="86" t="str">
        <f t="shared" ca="1" si="32"/>
        <v/>
      </c>
      <c r="F177" s="89" t="str">
        <f t="shared" ca="1" si="33"/>
        <v/>
      </c>
      <c r="G177" s="89" t="str">
        <f t="shared" ca="1" si="34"/>
        <v/>
      </c>
      <c r="H177" s="89" t="str">
        <f t="shared" ca="1" si="35"/>
        <v/>
      </c>
      <c r="I177" s="2"/>
      <c r="J177" s="2"/>
      <c r="K177" s="1"/>
      <c r="L177" s="1"/>
      <c r="M177" s="1">
        <v>166</v>
      </c>
      <c r="N177" s="1" t="str">
        <f ca="1">IF(OR($U177=0,$W177="",$X177&lt;=0),"",IF($W177&gt;TODAY(),"",IF(AND(INDEX(UCRETLER!$E$7:$E$606,$U177)&lt;&gt;"",$W177&gt;INDEX(UCRETLER!$E$7:$E$606,$U177)),"",$W177)))</f>
        <v/>
      </c>
      <c r="O177" s="1" t="str">
        <f ca="1"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" t="str">
        <f t="shared" ca="1" si="39"/>
        <v/>
      </c>
      <c r="Q177" s="1"/>
      <c r="R177" s="1">
        <f t="shared" ca="1" si="40"/>
        <v>0</v>
      </c>
      <c r="S177" s="1">
        <v>0</v>
      </c>
      <c r="T177" s="1">
        <f t="shared" ca="1" si="36"/>
        <v>10000000000</v>
      </c>
      <c r="U177" s="1">
        <f t="shared" si="42"/>
        <v>0</v>
      </c>
      <c r="V177" s="1">
        <v>5</v>
      </c>
      <c r="W177" s="1" t="str">
        <f>IF($U177=0,"",IF(INDEX(UCRETLER!$D$7:$D$606,$U177)="","",IF(INDEX(UCRETLER!$F$7:$F$606,$U177)="Aylık",EOMONTH(INDEX(UCRETLER!$D$7:$D$606,$U177),$V177-1),INDEX(UCRETLER!$U$7:$U$606,$U177)+7*($V177-1))))</f>
        <v/>
      </c>
      <c r="X177" s="1">
        <f>IF($U177=0,0,INDEX(UCRETLER!$G$7:$G$606,$U177))</f>
        <v>0</v>
      </c>
      <c r="Y177" s="1">
        <f t="shared" ca="1" si="37"/>
        <v>10000000000</v>
      </c>
      <c r="Z177" s="1">
        <f t="shared" ca="1" si="38"/>
        <v>1</v>
      </c>
      <c r="AA177" s="1"/>
      <c r="AB177" s="1"/>
      <c r="AC177" s="1"/>
      <c r="AD177" s="1"/>
    </row>
    <row r="178" spans="1:30" ht="19.5" customHeight="1" x14ac:dyDescent="0.3">
      <c r="A178" s="2"/>
      <c r="B178" s="86" t="str">
        <f t="shared" ca="1" si="29"/>
        <v/>
      </c>
      <c r="C178" s="87" t="str">
        <f t="shared" ca="1" si="30"/>
        <v/>
      </c>
      <c r="D178" s="88" t="str">
        <f t="shared" ca="1" si="31"/>
        <v/>
      </c>
      <c r="E178" s="86" t="str">
        <f t="shared" ca="1" si="32"/>
        <v/>
      </c>
      <c r="F178" s="89" t="str">
        <f t="shared" ca="1" si="33"/>
        <v/>
      </c>
      <c r="G178" s="89" t="str">
        <f t="shared" ca="1" si="34"/>
        <v/>
      </c>
      <c r="H178" s="89" t="str">
        <f t="shared" ca="1" si="35"/>
        <v/>
      </c>
      <c r="I178" s="2"/>
      <c r="J178" s="2"/>
      <c r="K178" s="1"/>
      <c r="L178" s="1"/>
      <c r="M178" s="1">
        <v>167</v>
      </c>
      <c r="N178" s="1" t="str">
        <f ca="1">IF(OR($U178=0,$W178="",$X178&lt;=0),"",IF($W178&gt;TODAY(),"",IF(AND(INDEX(UCRETLER!$E$7:$E$606,$U178)&lt;&gt;"",$W178&gt;INDEX(UCRETLER!$E$7:$E$606,$U178)),"",$W178)))</f>
        <v/>
      </c>
      <c r="O178" s="1" t="str">
        <f ca="1"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" t="str">
        <f t="shared" ca="1" si="39"/>
        <v/>
      </c>
      <c r="Q178" s="1"/>
      <c r="R178" s="1">
        <f t="shared" ca="1" si="40"/>
        <v>0</v>
      </c>
      <c r="S178" s="1">
        <v>0</v>
      </c>
      <c r="T178" s="1">
        <f t="shared" ca="1" si="36"/>
        <v>10000000000</v>
      </c>
      <c r="U178" s="1">
        <f t="shared" si="42"/>
        <v>0</v>
      </c>
      <c r="V178" s="1">
        <v>6</v>
      </c>
      <c r="W178" s="1" t="str">
        <f>IF($U178=0,"",IF(INDEX(UCRETLER!$D$7:$D$606,$U178)="","",IF(INDEX(UCRETLER!$F$7:$F$606,$U178)="Aylık",EOMONTH(INDEX(UCRETLER!$D$7:$D$606,$U178),$V178-1),INDEX(UCRETLER!$U$7:$U$606,$U178)+7*($V178-1))))</f>
        <v/>
      </c>
      <c r="X178" s="1">
        <f>IF($U178=0,0,INDEX(UCRETLER!$G$7:$G$606,$U178))</f>
        <v>0</v>
      </c>
      <c r="Y178" s="1">
        <f t="shared" ca="1" si="37"/>
        <v>10000000000</v>
      </c>
      <c r="Z178" s="1">
        <f t="shared" ca="1" si="38"/>
        <v>1</v>
      </c>
      <c r="AA178" s="1"/>
      <c r="AB178" s="1"/>
      <c r="AC178" s="1"/>
      <c r="AD178" s="1"/>
    </row>
    <row r="179" spans="1:30" ht="19.5" customHeight="1" x14ac:dyDescent="0.3">
      <c r="A179" s="2"/>
      <c r="B179" s="86" t="str">
        <f t="shared" ca="1" si="29"/>
        <v/>
      </c>
      <c r="C179" s="87" t="str">
        <f t="shared" ca="1" si="30"/>
        <v/>
      </c>
      <c r="D179" s="88" t="str">
        <f t="shared" ca="1" si="31"/>
        <v/>
      </c>
      <c r="E179" s="86" t="str">
        <f t="shared" ca="1" si="32"/>
        <v/>
      </c>
      <c r="F179" s="89" t="str">
        <f t="shared" ca="1" si="33"/>
        <v/>
      </c>
      <c r="G179" s="89" t="str">
        <f t="shared" ca="1" si="34"/>
        <v/>
      </c>
      <c r="H179" s="89" t="str">
        <f t="shared" ca="1" si="35"/>
        <v/>
      </c>
      <c r="I179" s="2"/>
      <c r="J179" s="2"/>
      <c r="K179" s="1"/>
      <c r="L179" s="1"/>
      <c r="M179" s="1">
        <v>168</v>
      </c>
      <c r="N179" s="1" t="str">
        <f ca="1">IF(OR($U179=0,$W179="",$X179&lt;=0),"",IF($W179&gt;TODAY(),"",IF(AND(INDEX(UCRETLER!$E$7:$E$606,$U179)&lt;&gt;"",$W179&gt;INDEX(UCRETLER!$E$7:$E$606,$U179)),"",$W179)))</f>
        <v/>
      </c>
      <c r="O179" s="1" t="str">
        <f ca="1"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" t="str">
        <f t="shared" ca="1" si="39"/>
        <v/>
      </c>
      <c r="Q179" s="1"/>
      <c r="R179" s="1">
        <f t="shared" ca="1" si="40"/>
        <v>0</v>
      </c>
      <c r="S179" s="1">
        <v>0</v>
      </c>
      <c r="T179" s="1">
        <f t="shared" ca="1" si="36"/>
        <v>10000000000</v>
      </c>
      <c r="U179" s="1">
        <f t="shared" si="42"/>
        <v>0</v>
      </c>
      <c r="V179" s="1">
        <v>7</v>
      </c>
      <c r="W179" s="1" t="str">
        <f>IF($U179=0,"",IF(INDEX(UCRETLER!$D$7:$D$606,$U179)="","",IF(INDEX(UCRETLER!$F$7:$F$606,$U179)="Aylık",EOMONTH(INDEX(UCRETLER!$D$7:$D$606,$U179),$V179-1),INDEX(UCRETLER!$U$7:$U$606,$U179)+7*($V179-1))))</f>
        <v/>
      </c>
      <c r="X179" s="1">
        <f>IF($U179=0,0,INDEX(UCRETLER!$G$7:$G$606,$U179))</f>
        <v>0</v>
      </c>
      <c r="Y179" s="1">
        <f t="shared" ca="1" si="37"/>
        <v>10000000000</v>
      </c>
      <c r="Z179" s="1">
        <f t="shared" ca="1" si="38"/>
        <v>1</v>
      </c>
      <c r="AA179" s="1"/>
      <c r="AB179" s="1"/>
      <c r="AC179" s="1"/>
      <c r="AD179" s="1"/>
    </row>
    <row r="180" spans="1:30" ht="19.5" customHeight="1" x14ac:dyDescent="0.3">
      <c r="A180" s="2"/>
      <c r="B180" s="86" t="str">
        <f t="shared" ca="1" si="29"/>
        <v/>
      </c>
      <c r="C180" s="87" t="str">
        <f t="shared" ca="1" si="30"/>
        <v/>
      </c>
      <c r="D180" s="88" t="str">
        <f t="shared" ca="1" si="31"/>
        <v/>
      </c>
      <c r="E180" s="86" t="str">
        <f t="shared" ca="1" si="32"/>
        <v/>
      </c>
      <c r="F180" s="89" t="str">
        <f t="shared" ca="1" si="33"/>
        <v/>
      </c>
      <c r="G180" s="89" t="str">
        <f t="shared" ca="1" si="34"/>
        <v/>
      </c>
      <c r="H180" s="89" t="str">
        <f t="shared" ca="1" si="35"/>
        <v/>
      </c>
      <c r="I180" s="2"/>
      <c r="J180" s="2"/>
      <c r="K180" s="1"/>
      <c r="L180" s="1"/>
      <c r="M180" s="1">
        <v>169</v>
      </c>
      <c r="N180" s="1" t="str">
        <f ca="1">IF(OR($U180=0,$W180="",$X180&lt;=0),"",IF($W180&gt;TODAY(),"",IF(AND(INDEX(UCRETLER!$E$7:$E$606,$U180)&lt;&gt;"",$W180&gt;INDEX(UCRETLER!$E$7:$E$606,$U180)),"",$W180)))</f>
        <v/>
      </c>
      <c r="O180" s="1" t="str">
        <f ca="1"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" t="str">
        <f t="shared" ca="1" si="39"/>
        <v/>
      </c>
      <c r="Q180" s="1"/>
      <c r="R180" s="1">
        <f t="shared" ca="1" si="40"/>
        <v>0</v>
      </c>
      <c r="S180" s="1">
        <v>0</v>
      </c>
      <c r="T180" s="1">
        <f t="shared" ca="1" si="36"/>
        <v>10000000000</v>
      </c>
      <c r="U180" s="1">
        <f t="shared" si="42"/>
        <v>0</v>
      </c>
      <c r="V180" s="1">
        <v>8</v>
      </c>
      <c r="W180" s="1" t="str">
        <f>IF($U180=0,"",IF(INDEX(UCRETLER!$D$7:$D$606,$U180)="","",IF(INDEX(UCRETLER!$F$7:$F$606,$U180)="Aylık",EOMONTH(INDEX(UCRETLER!$D$7:$D$606,$U180),$V180-1),INDEX(UCRETLER!$U$7:$U$606,$U180)+7*($V180-1))))</f>
        <v/>
      </c>
      <c r="X180" s="1">
        <f>IF($U180=0,0,INDEX(UCRETLER!$G$7:$G$606,$U180))</f>
        <v>0</v>
      </c>
      <c r="Y180" s="1">
        <f t="shared" ca="1" si="37"/>
        <v>10000000000</v>
      </c>
      <c r="Z180" s="1">
        <f t="shared" ca="1" si="38"/>
        <v>1</v>
      </c>
      <c r="AA180" s="1"/>
      <c r="AB180" s="1"/>
      <c r="AC180" s="1"/>
      <c r="AD180" s="1"/>
    </row>
    <row r="181" spans="1:30" ht="19.5" customHeight="1" x14ac:dyDescent="0.3">
      <c r="A181" s="2"/>
      <c r="B181" s="86" t="str">
        <f t="shared" ca="1" si="29"/>
        <v/>
      </c>
      <c r="C181" s="87" t="str">
        <f t="shared" ca="1" si="30"/>
        <v/>
      </c>
      <c r="D181" s="88" t="str">
        <f t="shared" ca="1" si="31"/>
        <v/>
      </c>
      <c r="E181" s="86" t="str">
        <f t="shared" ca="1" si="32"/>
        <v/>
      </c>
      <c r="F181" s="89" t="str">
        <f t="shared" ca="1" si="33"/>
        <v/>
      </c>
      <c r="G181" s="89" t="str">
        <f t="shared" ca="1" si="34"/>
        <v/>
      </c>
      <c r="H181" s="89" t="str">
        <f t="shared" ca="1" si="35"/>
        <v/>
      </c>
      <c r="I181" s="2"/>
      <c r="J181" s="2"/>
      <c r="K181" s="1"/>
      <c r="L181" s="1"/>
      <c r="M181" s="1">
        <v>170</v>
      </c>
      <c r="N181" s="1" t="str">
        <f ca="1">IF(OR($U181=0,$W181="",$X181&lt;=0),"",IF($W181&gt;TODAY(),"",IF(AND(INDEX(UCRETLER!$E$7:$E$606,$U181)&lt;&gt;"",$W181&gt;INDEX(UCRETLER!$E$7:$E$606,$U181)),"",$W181)))</f>
        <v/>
      </c>
      <c r="O181" s="1" t="str">
        <f ca="1"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" t="str">
        <f t="shared" ca="1" si="39"/>
        <v/>
      </c>
      <c r="Q181" s="1"/>
      <c r="R181" s="1">
        <f t="shared" ca="1" si="40"/>
        <v>0</v>
      </c>
      <c r="S181" s="1">
        <v>0</v>
      </c>
      <c r="T181" s="1">
        <f t="shared" ca="1" si="36"/>
        <v>10000000000</v>
      </c>
      <c r="U181" s="1">
        <f t="shared" si="42"/>
        <v>0</v>
      </c>
      <c r="V181" s="1">
        <v>9</v>
      </c>
      <c r="W181" s="1" t="str">
        <f>IF($U181=0,"",IF(INDEX(UCRETLER!$D$7:$D$606,$U181)="","",IF(INDEX(UCRETLER!$F$7:$F$606,$U181)="Aylık",EOMONTH(INDEX(UCRETLER!$D$7:$D$606,$U181),$V181-1),INDEX(UCRETLER!$U$7:$U$606,$U181)+7*($V181-1))))</f>
        <v/>
      </c>
      <c r="X181" s="1">
        <f>IF($U181=0,0,INDEX(UCRETLER!$G$7:$G$606,$U181))</f>
        <v>0</v>
      </c>
      <c r="Y181" s="1">
        <f t="shared" ca="1" si="37"/>
        <v>10000000000</v>
      </c>
      <c r="Z181" s="1">
        <f t="shared" ca="1" si="38"/>
        <v>1</v>
      </c>
      <c r="AA181" s="1"/>
      <c r="AB181" s="1"/>
      <c r="AC181" s="1"/>
      <c r="AD181" s="1"/>
    </row>
    <row r="182" spans="1:30" ht="19.5" customHeight="1" x14ac:dyDescent="0.3">
      <c r="A182" s="2"/>
      <c r="B182" s="86" t="str">
        <f t="shared" ca="1" si="29"/>
        <v/>
      </c>
      <c r="C182" s="87" t="str">
        <f t="shared" ca="1" si="30"/>
        <v/>
      </c>
      <c r="D182" s="88" t="str">
        <f t="shared" ca="1" si="31"/>
        <v/>
      </c>
      <c r="E182" s="86" t="str">
        <f t="shared" ca="1" si="32"/>
        <v/>
      </c>
      <c r="F182" s="89" t="str">
        <f t="shared" ca="1" si="33"/>
        <v/>
      </c>
      <c r="G182" s="89" t="str">
        <f t="shared" ca="1" si="34"/>
        <v/>
      </c>
      <c r="H182" s="89" t="str">
        <f t="shared" ca="1" si="35"/>
        <v/>
      </c>
      <c r="I182" s="2"/>
      <c r="J182" s="2"/>
      <c r="K182" s="1"/>
      <c r="L182" s="1"/>
      <c r="M182" s="1">
        <v>171</v>
      </c>
      <c r="N182" s="1" t="str">
        <f ca="1">IF(OR($U182=0,$W182="",$X182&lt;=0),"",IF($W182&gt;TODAY(),"",IF(AND(INDEX(UCRETLER!$E$7:$E$606,$U182)&lt;&gt;"",$W182&gt;INDEX(UCRETLER!$E$7:$E$606,$U182)),"",$W182)))</f>
        <v/>
      </c>
      <c r="O182" s="1" t="str">
        <f ca="1"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" t="str">
        <f t="shared" ca="1" si="39"/>
        <v/>
      </c>
      <c r="Q182" s="1"/>
      <c r="R182" s="1">
        <f t="shared" ca="1" si="40"/>
        <v>0</v>
      </c>
      <c r="S182" s="1">
        <v>0</v>
      </c>
      <c r="T182" s="1">
        <f t="shared" ca="1" si="36"/>
        <v>10000000000</v>
      </c>
      <c r="U182" s="1">
        <f t="shared" si="42"/>
        <v>0</v>
      </c>
      <c r="V182" s="1">
        <v>10</v>
      </c>
      <c r="W182" s="1" t="str">
        <f>IF($U182=0,"",IF(INDEX(UCRETLER!$D$7:$D$606,$U182)="","",IF(INDEX(UCRETLER!$F$7:$F$606,$U182)="Aylık",EOMONTH(INDEX(UCRETLER!$D$7:$D$606,$U182),$V182-1),INDEX(UCRETLER!$U$7:$U$606,$U182)+7*($V182-1))))</f>
        <v/>
      </c>
      <c r="X182" s="1">
        <f>IF($U182=0,0,INDEX(UCRETLER!$G$7:$G$606,$U182))</f>
        <v>0</v>
      </c>
      <c r="Y182" s="1">
        <f t="shared" ca="1" si="37"/>
        <v>10000000000</v>
      </c>
      <c r="Z182" s="1">
        <f t="shared" ca="1" si="38"/>
        <v>1</v>
      </c>
      <c r="AA182" s="1"/>
      <c r="AB182" s="1"/>
      <c r="AC182" s="1"/>
      <c r="AD182" s="1"/>
    </row>
    <row r="183" spans="1:30" ht="19.5" customHeight="1" x14ac:dyDescent="0.3">
      <c r="A183" s="2"/>
      <c r="B183" s="86" t="str">
        <f t="shared" ca="1" si="29"/>
        <v/>
      </c>
      <c r="C183" s="87" t="str">
        <f t="shared" ca="1" si="30"/>
        <v/>
      </c>
      <c r="D183" s="88" t="str">
        <f t="shared" ca="1" si="31"/>
        <v/>
      </c>
      <c r="E183" s="86" t="str">
        <f t="shared" ca="1" si="32"/>
        <v/>
      </c>
      <c r="F183" s="89" t="str">
        <f t="shared" ca="1" si="33"/>
        <v/>
      </c>
      <c r="G183" s="89" t="str">
        <f t="shared" ca="1" si="34"/>
        <v/>
      </c>
      <c r="H183" s="89" t="str">
        <f t="shared" ca="1" si="35"/>
        <v/>
      </c>
      <c r="I183" s="2"/>
      <c r="J183" s="2"/>
      <c r="K183" s="1"/>
      <c r="L183" s="1"/>
      <c r="M183" s="1">
        <v>172</v>
      </c>
      <c r="N183" s="1" t="str">
        <f ca="1">IF(OR($U183=0,$W183="",$X183&lt;=0),"",IF($W183&gt;TODAY(),"",IF(AND(INDEX(UCRETLER!$E$7:$E$606,$U183)&lt;&gt;"",$W183&gt;INDEX(UCRETLER!$E$7:$E$606,$U183)),"",$W183)))</f>
        <v/>
      </c>
      <c r="O183" s="1" t="str">
        <f ca="1"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" t="str">
        <f t="shared" ca="1" si="39"/>
        <v/>
      </c>
      <c r="Q183" s="1"/>
      <c r="R183" s="1">
        <f t="shared" ca="1" si="40"/>
        <v>0</v>
      </c>
      <c r="S183" s="1">
        <v>0</v>
      </c>
      <c r="T183" s="1">
        <f t="shared" ca="1" si="36"/>
        <v>10000000000</v>
      </c>
      <c r="U183" s="1">
        <f t="shared" si="42"/>
        <v>0</v>
      </c>
      <c r="V183" s="1">
        <v>11</v>
      </c>
      <c r="W183" s="1" t="str">
        <f>IF($U183=0,"",IF(INDEX(UCRETLER!$D$7:$D$606,$U183)="","",IF(INDEX(UCRETLER!$F$7:$F$606,$U183)="Aylık",EOMONTH(INDEX(UCRETLER!$D$7:$D$606,$U183),$V183-1),INDEX(UCRETLER!$U$7:$U$606,$U183)+7*($V183-1))))</f>
        <v/>
      </c>
      <c r="X183" s="1">
        <f>IF($U183=0,0,INDEX(UCRETLER!$G$7:$G$606,$U183))</f>
        <v>0</v>
      </c>
      <c r="Y183" s="1">
        <f t="shared" ca="1" si="37"/>
        <v>10000000000</v>
      </c>
      <c r="Z183" s="1">
        <f t="shared" ca="1" si="38"/>
        <v>1</v>
      </c>
      <c r="AA183" s="1"/>
      <c r="AB183" s="1"/>
      <c r="AC183" s="1"/>
      <c r="AD183" s="1"/>
    </row>
    <row r="184" spans="1:30" ht="19.5" customHeight="1" x14ac:dyDescent="0.3">
      <c r="A184" s="2"/>
      <c r="B184" s="86" t="str">
        <f t="shared" ca="1" si="29"/>
        <v/>
      </c>
      <c r="C184" s="87" t="str">
        <f t="shared" ca="1" si="30"/>
        <v/>
      </c>
      <c r="D184" s="88" t="str">
        <f t="shared" ca="1" si="31"/>
        <v/>
      </c>
      <c r="E184" s="86" t="str">
        <f t="shared" ca="1" si="32"/>
        <v/>
      </c>
      <c r="F184" s="89" t="str">
        <f t="shared" ca="1" si="33"/>
        <v/>
      </c>
      <c r="G184" s="89" t="str">
        <f t="shared" ca="1" si="34"/>
        <v/>
      </c>
      <c r="H184" s="89" t="str">
        <f t="shared" ca="1" si="35"/>
        <v/>
      </c>
      <c r="I184" s="2"/>
      <c r="J184" s="2"/>
      <c r="K184" s="1"/>
      <c r="L184" s="1"/>
      <c r="M184" s="1">
        <v>173</v>
      </c>
      <c r="N184" s="1" t="str">
        <f ca="1">IF(OR($U184=0,$W184="",$X184&lt;=0),"",IF($W184&gt;TODAY(),"",IF(AND(INDEX(UCRETLER!$E$7:$E$606,$U184)&lt;&gt;"",$W184&gt;INDEX(UCRETLER!$E$7:$E$606,$U184)),"",$W184)))</f>
        <v/>
      </c>
      <c r="O184" s="1" t="str">
        <f ca="1"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" t="str">
        <f t="shared" ca="1" si="39"/>
        <v/>
      </c>
      <c r="Q184" s="1"/>
      <c r="R184" s="1">
        <f t="shared" ca="1" si="40"/>
        <v>0</v>
      </c>
      <c r="S184" s="1">
        <v>0</v>
      </c>
      <c r="T184" s="1">
        <f t="shared" ca="1" si="36"/>
        <v>10000000000</v>
      </c>
      <c r="U184" s="1">
        <f t="shared" si="42"/>
        <v>0</v>
      </c>
      <c r="V184" s="1">
        <v>12</v>
      </c>
      <c r="W184" s="1" t="str">
        <f>IF($U184=0,"",IF(INDEX(UCRETLER!$D$7:$D$606,$U184)="","",IF(INDEX(UCRETLER!$F$7:$F$606,$U184)="Aylık",EOMONTH(INDEX(UCRETLER!$D$7:$D$606,$U184),$V184-1),INDEX(UCRETLER!$U$7:$U$606,$U184)+7*($V184-1))))</f>
        <v/>
      </c>
      <c r="X184" s="1">
        <f>IF($U184=0,0,INDEX(UCRETLER!$G$7:$G$606,$U184))</f>
        <v>0</v>
      </c>
      <c r="Y184" s="1">
        <f t="shared" ca="1" si="37"/>
        <v>10000000000</v>
      </c>
      <c r="Z184" s="1">
        <f t="shared" ca="1" si="38"/>
        <v>1</v>
      </c>
      <c r="AA184" s="1"/>
      <c r="AB184" s="1"/>
      <c r="AC184" s="1"/>
      <c r="AD184" s="1"/>
    </row>
    <row r="185" spans="1:30" ht="19.5" customHeight="1" x14ac:dyDescent="0.3">
      <c r="A185" s="2"/>
      <c r="B185" s="86" t="str">
        <f t="shared" ca="1" si="29"/>
        <v/>
      </c>
      <c r="C185" s="87" t="str">
        <f t="shared" ca="1" si="30"/>
        <v/>
      </c>
      <c r="D185" s="88" t="str">
        <f t="shared" ca="1" si="31"/>
        <v/>
      </c>
      <c r="E185" s="86" t="str">
        <f t="shared" ca="1" si="32"/>
        <v/>
      </c>
      <c r="F185" s="89" t="str">
        <f t="shared" ca="1" si="33"/>
        <v/>
      </c>
      <c r="G185" s="89" t="str">
        <f t="shared" ca="1" si="34"/>
        <v/>
      </c>
      <c r="H185" s="89" t="str">
        <f t="shared" ca="1" si="35"/>
        <v/>
      </c>
      <c r="I185" s="2"/>
      <c r="J185" s="2"/>
      <c r="K185" s="1"/>
      <c r="L185" s="1"/>
      <c r="M185" s="1">
        <v>174</v>
      </c>
      <c r="N185" s="1" t="str">
        <f ca="1">IF(OR($U185=0,$W185="",$X185&lt;=0),"",IF($W185&gt;TODAY(),"",IF(AND(INDEX(UCRETLER!$E$7:$E$606,$U185)&lt;&gt;"",$W185&gt;INDEX(UCRETLER!$E$7:$E$606,$U185)),"",$W185)))</f>
        <v/>
      </c>
      <c r="O185" s="1" t="str">
        <f ca="1"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" t="str">
        <f t="shared" ca="1" si="39"/>
        <v/>
      </c>
      <c r="Q185" s="1"/>
      <c r="R185" s="1">
        <f t="shared" ca="1" si="40"/>
        <v>0</v>
      </c>
      <c r="S185" s="1">
        <v>0</v>
      </c>
      <c r="T185" s="1">
        <f t="shared" ca="1" si="36"/>
        <v>10000000000</v>
      </c>
      <c r="U185" s="1">
        <f t="shared" si="42"/>
        <v>0</v>
      </c>
      <c r="V185" s="1">
        <v>13</v>
      </c>
      <c r="W185" s="1" t="str">
        <f>IF($U185=0,"",IF(INDEX(UCRETLER!$D$7:$D$606,$U185)="","",IF(INDEX(UCRETLER!$F$7:$F$606,$U185)="Aylık",EOMONTH(INDEX(UCRETLER!$D$7:$D$606,$U185),$V185-1),INDEX(UCRETLER!$U$7:$U$606,$U185)+7*($V185-1))))</f>
        <v/>
      </c>
      <c r="X185" s="1">
        <f>IF($U185=0,0,INDEX(UCRETLER!$G$7:$G$606,$U185))</f>
        <v>0</v>
      </c>
      <c r="Y185" s="1">
        <f t="shared" ca="1" si="37"/>
        <v>10000000000</v>
      </c>
      <c r="Z185" s="1">
        <f t="shared" ca="1" si="38"/>
        <v>1</v>
      </c>
      <c r="AA185" s="1"/>
      <c r="AB185" s="1"/>
      <c r="AC185" s="1"/>
      <c r="AD185" s="1"/>
    </row>
    <row r="186" spans="1:30" ht="19.5" customHeight="1" x14ac:dyDescent="0.3">
      <c r="A186" s="2"/>
      <c r="B186" s="86" t="str">
        <f t="shared" ca="1" si="29"/>
        <v/>
      </c>
      <c r="C186" s="87" t="str">
        <f t="shared" ca="1" si="30"/>
        <v/>
      </c>
      <c r="D186" s="88" t="str">
        <f t="shared" ca="1" si="31"/>
        <v/>
      </c>
      <c r="E186" s="86" t="str">
        <f t="shared" ca="1" si="32"/>
        <v/>
      </c>
      <c r="F186" s="89" t="str">
        <f t="shared" ca="1" si="33"/>
        <v/>
      </c>
      <c r="G186" s="89" t="str">
        <f t="shared" ca="1" si="34"/>
        <v/>
      </c>
      <c r="H186" s="89" t="str">
        <f t="shared" ca="1" si="35"/>
        <v/>
      </c>
      <c r="I186" s="2"/>
      <c r="J186" s="2"/>
      <c r="K186" s="1"/>
      <c r="L186" s="1"/>
      <c r="M186" s="1">
        <v>175</v>
      </c>
      <c r="N186" s="1" t="str">
        <f ca="1">IF(OR($U186=0,$W186="",$X186&lt;=0),"",IF($W186&gt;TODAY(),"",IF(AND(INDEX(UCRETLER!$E$7:$E$606,$U186)&lt;&gt;"",$W186&gt;INDEX(UCRETLER!$E$7:$E$606,$U186)),"",$W186)))</f>
        <v/>
      </c>
      <c r="O186" s="1" t="str">
        <f ca="1"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" t="str">
        <f t="shared" ca="1" si="39"/>
        <v/>
      </c>
      <c r="Q186" s="1"/>
      <c r="R186" s="1">
        <f t="shared" ca="1" si="40"/>
        <v>0</v>
      </c>
      <c r="S186" s="1">
        <v>0</v>
      </c>
      <c r="T186" s="1">
        <f t="shared" ca="1" si="36"/>
        <v>10000000000</v>
      </c>
      <c r="U186" s="1">
        <f t="shared" si="42"/>
        <v>0</v>
      </c>
      <c r="V186" s="1">
        <v>14</v>
      </c>
      <c r="W186" s="1" t="str">
        <f>IF($U186=0,"",IF(INDEX(UCRETLER!$D$7:$D$606,$U186)="","",IF(INDEX(UCRETLER!$F$7:$F$606,$U186)="Aylık",EOMONTH(INDEX(UCRETLER!$D$7:$D$606,$U186),$V186-1),INDEX(UCRETLER!$U$7:$U$606,$U186)+7*($V186-1))))</f>
        <v/>
      </c>
      <c r="X186" s="1">
        <f>IF($U186=0,0,INDEX(UCRETLER!$G$7:$G$606,$U186))</f>
        <v>0</v>
      </c>
      <c r="Y186" s="1">
        <f t="shared" ca="1" si="37"/>
        <v>10000000000</v>
      </c>
      <c r="Z186" s="1">
        <f t="shared" ca="1" si="38"/>
        <v>1</v>
      </c>
      <c r="AA186" s="1"/>
      <c r="AB186" s="1"/>
      <c r="AC186" s="1"/>
      <c r="AD186" s="1"/>
    </row>
    <row r="187" spans="1:30" ht="19.5" customHeight="1" x14ac:dyDescent="0.3">
      <c r="A187" s="2"/>
      <c r="B187" s="86" t="str">
        <f t="shared" ca="1" si="29"/>
        <v/>
      </c>
      <c r="C187" s="87" t="str">
        <f t="shared" ca="1" si="30"/>
        <v/>
      </c>
      <c r="D187" s="88" t="str">
        <f t="shared" ca="1" si="31"/>
        <v/>
      </c>
      <c r="E187" s="86" t="str">
        <f t="shared" ca="1" si="32"/>
        <v/>
      </c>
      <c r="F187" s="89" t="str">
        <f t="shared" ca="1" si="33"/>
        <v/>
      </c>
      <c r="G187" s="89" t="str">
        <f t="shared" ca="1" si="34"/>
        <v/>
      </c>
      <c r="H187" s="89" t="str">
        <f t="shared" ca="1" si="35"/>
        <v/>
      </c>
      <c r="I187" s="2"/>
      <c r="J187" s="2"/>
      <c r="K187" s="1"/>
      <c r="L187" s="1"/>
      <c r="M187" s="1">
        <v>176</v>
      </c>
      <c r="N187" s="1" t="str">
        <f ca="1">IF(OR($U187=0,$W187="",$X187&lt;=0),"",IF($W187&gt;TODAY(),"",IF(AND(INDEX(UCRETLER!$E$7:$E$606,$U187)&lt;&gt;"",$W187&gt;INDEX(UCRETLER!$E$7:$E$606,$U187)),"",$W187)))</f>
        <v/>
      </c>
      <c r="O187" s="1" t="str">
        <f ca="1"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" t="str">
        <f t="shared" ca="1" si="39"/>
        <v/>
      </c>
      <c r="Q187" s="1"/>
      <c r="R187" s="1">
        <f t="shared" ca="1" si="40"/>
        <v>0</v>
      </c>
      <c r="S187" s="1">
        <v>0</v>
      </c>
      <c r="T187" s="1">
        <f t="shared" ca="1" si="36"/>
        <v>10000000000</v>
      </c>
      <c r="U187" s="1">
        <f t="shared" si="42"/>
        <v>0</v>
      </c>
      <c r="V187" s="1">
        <v>15</v>
      </c>
      <c r="W187" s="1" t="str">
        <f>IF($U187=0,"",IF(INDEX(UCRETLER!$D$7:$D$606,$U187)="","",IF(INDEX(UCRETLER!$F$7:$F$606,$U187)="Aylık",EOMONTH(INDEX(UCRETLER!$D$7:$D$606,$U187),$V187-1),INDEX(UCRETLER!$U$7:$U$606,$U187)+7*($V187-1))))</f>
        <v/>
      </c>
      <c r="X187" s="1">
        <f>IF($U187=0,0,INDEX(UCRETLER!$G$7:$G$606,$U187))</f>
        <v>0</v>
      </c>
      <c r="Y187" s="1">
        <f t="shared" ca="1" si="37"/>
        <v>10000000000</v>
      </c>
      <c r="Z187" s="1">
        <f t="shared" ca="1" si="38"/>
        <v>1</v>
      </c>
      <c r="AA187" s="1"/>
      <c r="AB187" s="1"/>
      <c r="AC187" s="1"/>
      <c r="AD187" s="1"/>
    </row>
    <row r="188" spans="1:30" ht="19.5" customHeight="1" x14ac:dyDescent="0.3">
      <c r="A188" s="2"/>
      <c r="B188" s="86" t="str">
        <f t="shared" ca="1" si="29"/>
        <v/>
      </c>
      <c r="C188" s="87" t="str">
        <f t="shared" ca="1" si="30"/>
        <v/>
      </c>
      <c r="D188" s="88" t="str">
        <f t="shared" ca="1" si="31"/>
        <v/>
      </c>
      <c r="E188" s="86" t="str">
        <f t="shared" ca="1" si="32"/>
        <v/>
      </c>
      <c r="F188" s="89" t="str">
        <f t="shared" ca="1" si="33"/>
        <v/>
      </c>
      <c r="G188" s="89" t="str">
        <f t="shared" ca="1" si="34"/>
        <v/>
      </c>
      <c r="H188" s="89" t="str">
        <f t="shared" ca="1" si="35"/>
        <v/>
      </c>
      <c r="I188" s="2"/>
      <c r="J188" s="2"/>
      <c r="K188" s="1"/>
      <c r="L188" s="1"/>
      <c r="M188" s="1">
        <v>177</v>
      </c>
      <c r="N188" s="1" t="str">
        <f ca="1">IF(OR($U188=0,$W188="",$X188&lt;=0),"",IF($W188&gt;TODAY(),"",IF(AND(INDEX(UCRETLER!$E$7:$E$606,$U188)&lt;&gt;"",$W188&gt;INDEX(UCRETLER!$E$7:$E$606,$U188)),"",$W188)))</f>
        <v/>
      </c>
      <c r="O188" s="1" t="str">
        <f ca="1"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" t="str">
        <f t="shared" ca="1" si="39"/>
        <v/>
      </c>
      <c r="Q188" s="1"/>
      <c r="R188" s="1">
        <f t="shared" ca="1" si="40"/>
        <v>0</v>
      </c>
      <c r="S188" s="1">
        <v>0</v>
      </c>
      <c r="T188" s="1">
        <f t="shared" ca="1" si="36"/>
        <v>10000000000</v>
      </c>
      <c r="U188" s="1">
        <f t="shared" si="42"/>
        <v>0</v>
      </c>
      <c r="V188" s="1">
        <v>16</v>
      </c>
      <c r="W188" s="1" t="str">
        <f>IF($U188=0,"",IF(INDEX(UCRETLER!$D$7:$D$606,$U188)="","",IF(INDEX(UCRETLER!$F$7:$F$606,$U188)="Aylık",EOMONTH(INDEX(UCRETLER!$D$7:$D$606,$U188),$V188-1),INDEX(UCRETLER!$U$7:$U$606,$U188)+7*($V188-1))))</f>
        <v/>
      </c>
      <c r="X188" s="1">
        <f>IF($U188=0,0,INDEX(UCRETLER!$G$7:$G$606,$U188))</f>
        <v>0</v>
      </c>
      <c r="Y188" s="1">
        <f t="shared" ca="1" si="37"/>
        <v>10000000000</v>
      </c>
      <c r="Z188" s="1">
        <f t="shared" ca="1" si="38"/>
        <v>1</v>
      </c>
      <c r="AA188" s="1"/>
      <c r="AB188" s="1"/>
      <c r="AC188" s="1"/>
      <c r="AD188" s="1"/>
    </row>
    <row r="189" spans="1:30" ht="19.5" customHeight="1" x14ac:dyDescent="0.3">
      <c r="A189" s="2"/>
      <c r="B189" s="86" t="str">
        <f t="shared" ca="1" si="29"/>
        <v/>
      </c>
      <c r="C189" s="87" t="str">
        <f t="shared" ca="1" si="30"/>
        <v/>
      </c>
      <c r="D189" s="88" t="str">
        <f t="shared" ca="1" si="31"/>
        <v/>
      </c>
      <c r="E189" s="86" t="str">
        <f t="shared" ca="1" si="32"/>
        <v/>
      </c>
      <c r="F189" s="89" t="str">
        <f t="shared" ca="1" si="33"/>
        <v/>
      </c>
      <c r="G189" s="89" t="str">
        <f t="shared" ca="1" si="34"/>
        <v/>
      </c>
      <c r="H189" s="89" t="str">
        <f t="shared" ca="1" si="35"/>
        <v/>
      </c>
      <c r="I189" s="2"/>
      <c r="J189" s="2"/>
      <c r="K189" s="1"/>
      <c r="L189" s="1"/>
      <c r="M189" s="1">
        <v>178</v>
      </c>
      <c r="N189" s="1" t="str">
        <f ca="1">IF(OR($U189=0,$W189="",$X189&lt;=0),"",IF($W189&gt;TODAY(),"",IF(AND(INDEX(UCRETLER!$E$7:$E$606,$U189)&lt;&gt;"",$W189&gt;INDEX(UCRETLER!$E$7:$E$606,$U189)),"",$W189)))</f>
        <v/>
      </c>
      <c r="O189" s="1" t="str">
        <f ca="1"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" t="str">
        <f t="shared" ca="1" si="39"/>
        <v/>
      </c>
      <c r="Q189" s="1"/>
      <c r="R189" s="1">
        <f t="shared" ca="1" si="40"/>
        <v>0</v>
      </c>
      <c r="S189" s="1">
        <v>0</v>
      </c>
      <c r="T189" s="1">
        <f t="shared" ca="1" si="36"/>
        <v>10000000000</v>
      </c>
      <c r="U189" s="1">
        <f t="shared" si="42"/>
        <v>0</v>
      </c>
      <c r="V189" s="1">
        <v>17</v>
      </c>
      <c r="W189" s="1" t="str">
        <f>IF($U189=0,"",IF(INDEX(UCRETLER!$D$7:$D$606,$U189)="","",IF(INDEX(UCRETLER!$F$7:$F$606,$U189)="Aylık",EOMONTH(INDEX(UCRETLER!$D$7:$D$606,$U189),$V189-1),INDEX(UCRETLER!$U$7:$U$606,$U189)+7*($V189-1))))</f>
        <v/>
      </c>
      <c r="X189" s="1">
        <f>IF($U189=0,0,INDEX(UCRETLER!$G$7:$G$606,$U189))</f>
        <v>0</v>
      </c>
      <c r="Y189" s="1">
        <f t="shared" ca="1" si="37"/>
        <v>10000000000</v>
      </c>
      <c r="Z189" s="1">
        <f t="shared" ca="1" si="38"/>
        <v>1</v>
      </c>
      <c r="AA189" s="1"/>
      <c r="AB189" s="1"/>
      <c r="AC189" s="1"/>
      <c r="AD189" s="1"/>
    </row>
    <row r="190" spans="1:30" ht="19.5" customHeight="1" x14ac:dyDescent="0.3">
      <c r="A190" s="2"/>
      <c r="B190" s="86" t="str">
        <f t="shared" ca="1" si="29"/>
        <v/>
      </c>
      <c r="C190" s="87" t="str">
        <f t="shared" ca="1" si="30"/>
        <v/>
      </c>
      <c r="D190" s="88" t="str">
        <f t="shared" ca="1" si="31"/>
        <v/>
      </c>
      <c r="E190" s="86" t="str">
        <f t="shared" ca="1" si="32"/>
        <v/>
      </c>
      <c r="F190" s="89" t="str">
        <f t="shared" ca="1" si="33"/>
        <v/>
      </c>
      <c r="G190" s="89" t="str">
        <f t="shared" ca="1" si="34"/>
        <v/>
      </c>
      <c r="H190" s="89" t="str">
        <f t="shared" ca="1" si="35"/>
        <v/>
      </c>
      <c r="I190" s="2"/>
      <c r="J190" s="2"/>
      <c r="K190" s="1"/>
      <c r="L190" s="1"/>
      <c r="M190" s="1">
        <v>179</v>
      </c>
      <c r="N190" s="1" t="str">
        <f ca="1">IF(OR($U190=0,$W190="",$X190&lt;=0),"",IF($W190&gt;TODAY(),"",IF(AND(INDEX(UCRETLER!$E$7:$E$606,$U190)&lt;&gt;"",$W190&gt;INDEX(UCRETLER!$E$7:$E$606,$U190)),"",$W190)))</f>
        <v/>
      </c>
      <c r="O190" s="1" t="str">
        <f ca="1"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" t="str">
        <f t="shared" ca="1" si="39"/>
        <v/>
      </c>
      <c r="Q190" s="1"/>
      <c r="R190" s="1">
        <f t="shared" ca="1" si="40"/>
        <v>0</v>
      </c>
      <c r="S190" s="1">
        <v>0</v>
      </c>
      <c r="T190" s="1">
        <f t="shared" ca="1" si="36"/>
        <v>10000000000</v>
      </c>
      <c r="U190" s="1">
        <f t="shared" si="42"/>
        <v>0</v>
      </c>
      <c r="V190" s="1">
        <v>18</v>
      </c>
      <c r="W190" s="1" t="str">
        <f>IF($U190=0,"",IF(INDEX(UCRETLER!$D$7:$D$606,$U190)="","",IF(INDEX(UCRETLER!$F$7:$F$606,$U190)="Aylık",EOMONTH(INDEX(UCRETLER!$D$7:$D$606,$U190),$V190-1),INDEX(UCRETLER!$U$7:$U$606,$U190)+7*($V190-1))))</f>
        <v/>
      </c>
      <c r="X190" s="1">
        <f>IF($U190=0,0,INDEX(UCRETLER!$G$7:$G$606,$U190))</f>
        <v>0</v>
      </c>
      <c r="Y190" s="1">
        <f t="shared" ca="1" si="37"/>
        <v>10000000000</v>
      </c>
      <c r="Z190" s="1">
        <f t="shared" ca="1" si="38"/>
        <v>1</v>
      </c>
      <c r="AA190" s="1"/>
      <c r="AB190" s="1"/>
      <c r="AC190" s="1"/>
      <c r="AD190" s="1"/>
    </row>
    <row r="191" spans="1:30" ht="19.5" customHeight="1" x14ac:dyDescent="0.3">
      <c r="A191" s="2"/>
      <c r="B191" s="86" t="str">
        <f t="shared" ca="1" si="29"/>
        <v/>
      </c>
      <c r="C191" s="87" t="str">
        <f t="shared" ca="1" si="30"/>
        <v/>
      </c>
      <c r="D191" s="88" t="str">
        <f t="shared" ca="1" si="31"/>
        <v/>
      </c>
      <c r="E191" s="86" t="str">
        <f t="shared" ca="1" si="32"/>
        <v/>
      </c>
      <c r="F191" s="89" t="str">
        <f t="shared" ca="1" si="33"/>
        <v/>
      </c>
      <c r="G191" s="89" t="str">
        <f t="shared" ca="1" si="34"/>
        <v/>
      </c>
      <c r="H191" s="89" t="str">
        <f t="shared" ca="1" si="35"/>
        <v/>
      </c>
      <c r="I191" s="2"/>
      <c r="J191" s="2"/>
      <c r="K191" s="1"/>
      <c r="L191" s="1"/>
      <c r="M191" s="1">
        <v>180</v>
      </c>
      <c r="N191" s="1" t="str">
        <f ca="1">IF(OR($U191=0,$W191="",$X191&lt;=0),"",IF($W191&gt;TODAY(),"",IF(AND(INDEX(UCRETLER!$E$7:$E$606,$U191)&lt;&gt;"",$W191&gt;INDEX(UCRETLER!$E$7:$E$606,$U191)),"",$W191)))</f>
        <v/>
      </c>
      <c r="O191" s="1" t="str">
        <f ca="1"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" t="str">
        <f t="shared" ca="1" si="39"/>
        <v/>
      </c>
      <c r="Q191" s="1"/>
      <c r="R191" s="1">
        <f t="shared" ca="1" si="40"/>
        <v>0</v>
      </c>
      <c r="S191" s="1">
        <v>0</v>
      </c>
      <c r="T191" s="1">
        <f t="shared" ca="1" si="36"/>
        <v>10000000000</v>
      </c>
      <c r="U191" s="1">
        <f t="shared" si="42"/>
        <v>0</v>
      </c>
      <c r="V191" s="1">
        <v>19</v>
      </c>
      <c r="W191" s="1" t="str">
        <f>IF($U191=0,"",IF(INDEX(UCRETLER!$D$7:$D$606,$U191)="","",IF(INDEX(UCRETLER!$F$7:$F$606,$U191)="Aylık",EOMONTH(INDEX(UCRETLER!$D$7:$D$606,$U191),$V191-1),INDEX(UCRETLER!$U$7:$U$606,$U191)+7*($V191-1))))</f>
        <v/>
      </c>
      <c r="X191" s="1">
        <f>IF($U191=0,0,INDEX(UCRETLER!$G$7:$G$606,$U191))</f>
        <v>0</v>
      </c>
      <c r="Y191" s="1">
        <f t="shared" ca="1" si="37"/>
        <v>10000000000</v>
      </c>
      <c r="Z191" s="1">
        <f t="shared" ca="1" si="38"/>
        <v>1</v>
      </c>
      <c r="AA191" s="1"/>
      <c r="AB191" s="1"/>
      <c r="AC191" s="1"/>
      <c r="AD191" s="1"/>
    </row>
    <row r="192" spans="1:30" ht="19.5" customHeight="1" x14ac:dyDescent="0.3">
      <c r="A192" s="2"/>
      <c r="B192" s="86" t="str">
        <f t="shared" ca="1" si="29"/>
        <v/>
      </c>
      <c r="C192" s="87" t="str">
        <f t="shared" ca="1" si="30"/>
        <v/>
      </c>
      <c r="D192" s="88" t="str">
        <f t="shared" ca="1" si="31"/>
        <v/>
      </c>
      <c r="E192" s="86" t="str">
        <f t="shared" ca="1" si="32"/>
        <v/>
      </c>
      <c r="F192" s="89" t="str">
        <f t="shared" ca="1" si="33"/>
        <v/>
      </c>
      <c r="G192" s="89" t="str">
        <f t="shared" ca="1" si="34"/>
        <v/>
      </c>
      <c r="H192" s="89" t="str">
        <f t="shared" ca="1" si="35"/>
        <v/>
      </c>
      <c r="I192" s="2"/>
      <c r="J192" s="2"/>
      <c r="K192" s="1"/>
      <c r="L192" s="1"/>
      <c r="M192" s="1">
        <v>181</v>
      </c>
      <c r="N192" s="1" t="str">
        <f ca="1">IF(OR($U192=0,$W192="",$X192&lt;=0),"",IF($W192&gt;TODAY(),"",IF(AND(INDEX(UCRETLER!$E$7:$E$606,$U192)&lt;&gt;"",$W192&gt;INDEX(UCRETLER!$E$7:$E$606,$U192)),"",$W192)))</f>
        <v/>
      </c>
      <c r="O192" s="1" t="str">
        <f ca="1"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" t="str">
        <f t="shared" ca="1" si="39"/>
        <v/>
      </c>
      <c r="Q192" s="1"/>
      <c r="R192" s="1">
        <f t="shared" ca="1" si="40"/>
        <v>0</v>
      </c>
      <c r="S192" s="1">
        <v>0</v>
      </c>
      <c r="T192" s="1">
        <f t="shared" ca="1" si="36"/>
        <v>10000000000</v>
      </c>
      <c r="U192" s="1">
        <f t="shared" si="42"/>
        <v>0</v>
      </c>
      <c r="V192" s="1">
        <v>20</v>
      </c>
      <c r="W192" s="1" t="str">
        <f>IF($U192=0,"",IF(INDEX(UCRETLER!$D$7:$D$606,$U192)="","",IF(INDEX(UCRETLER!$F$7:$F$606,$U192)="Aylık",EOMONTH(INDEX(UCRETLER!$D$7:$D$606,$U192),$V192-1),INDEX(UCRETLER!$U$7:$U$606,$U192)+7*($V192-1))))</f>
        <v/>
      </c>
      <c r="X192" s="1">
        <f>IF($U192=0,0,INDEX(UCRETLER!$G$7:$G$606,$U192))</f>
        <v>0</v>
      </c>
      <c r="Y192" s="1">
        <f t="shared" ca="1" si="37"/>
        <v>10000000000</v>
      </c>
      <c r="Z192" s="1">
        <f t="shared" ca="1" si="38"/>
        <v>1</v>
      </c>
      <c r="AA192" s="1"/>
      <c r="AB192" s="1"/>
      <c r="AC192" s="1"/>
      <c r="AD192" s="1"/>
    </row>
    <row r="193" spans="1:30" ht="19.5" customHeight="1" x14ac:dyDescent="0.3">
      <c r="A193" s="2"/>
      <c r="B193" s="86" t="str">
        <f t="shared" ca="1" si="29"/>
        <v/>
      </c>
      <c r="C193" s="87" t="str">
        <f t="shared" ca="1" si="30"/>
        <v/>
      </c>
      <c r="D193" s="88" t="str">
        <f t="shared" ca="1" si="31"/>
        <v/>
      </c>
      <c r="E193" s="86" t="str">
        <f t="shared" ca="1" si="32"/>
        <v/>
      </c>
      <c r="F193" s="89" t="str">
        <f t="shared" ca="1" si="33"/>
        <v/>
      </c>
      <c r="G193" s="89" t="str">
        <f t="shared" ca="1" si="34"/>
        <v/>
      </c>
      <c r="H193" s="89" t="str">
        <f t="shared" ca="1" si="35"/>
        <v/>
      </c>
      <c r="I193" s="2"/>
      <c r="J193" s="2"/>
      <c r="K193" s="1"/>
      <c r="L193" s="1"/>
      <c r="M193" s="1">
        <v>182</v>
      </c>
      <c r="N193" s="1" t="str">
        <f ca="1">IF(OR($U193=0,$W193="",$X193&lt;=0),"",IF($W193&gt;TODAY(),"",IF(AND(INDEX(UCRETLER!$E$7:$E$606,$U193)&lt;&gt;"",$W193&gt;INDEX(UCRETLER!$E$7:$E$606,$U193)),"",$W193)))</f>
        <v/>
      </c>
      <c r="O193" s="1" t="str">
        <f ca="1"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" t="str">
        <f t="shared" ca="1" si="39"/>
        <v/>
      </c>
      <c r="Q193" s="1"/>
      <c r="R193" s="1">
        <f t="shared" ca="1" si="40"/>
        <v>0</v>
      </c>
      <c r="S193" s="1">
        <v>0</v>
      </c>
      <c r="T193" s="1">
        <f t="shared" ca="1" si="36"/>
        <v>10000000000</v>
      </c>
      <c r="U193" s="1">
        <f t="shared" si="42"/>
        <v>0</v>
      </c>
      <c r="V193" s="1">
        <v>21</v>
      </c>
      <c r="W193" s="1" t="str">
        <f>IF($U193=0,"",IF(INDEX(UCRETLER!$D$7:$D$606,$U193)="","",IF(INDEX(UCRETLER!$F$7:$F$606,$U193)="Aylık",EOMONTH(INDEX(UCRETLER!$D$7:$D$606,$U193),$V193-1),INDEX(UCRETLER!$U$7:$U$606,$U193)+7*($V193-1))))</f>
        <v/>
      </c>
      <c r="X193" s="1">
        <f>IF($U193=0,0,INDEX(UCRETLER!$G$7:$G$606,$U193))</f>
        <v>0</v>
      </c>
      <c r="Y193" s="1">
        <f t="shared" ca="1" si="37"/>
        <v>10000000000</v>
      </c>
      <c r="Z193" s="1">
        <f t="shared" ca="1" si="38"/>
        <v>1</v>
      </c>
      <c r="AA193" s="1"/>
      <c r="AB193" s="1"/>
      <c r="AC193" s="1"/>
      <c r="AD193" s="1"/>
    </row>
    <row r="194" spans="1:30" ht="19.5" customHeight="1" x14ac:dyDescent="0.3">
      <c r="A194" s="2"/>
      <c r="B194" s="86" t="str">
        <f t="shared" ca="1" si="29"/>
        <v/>
      </c>
      <c r="C194" s="87" t="str">
        <f t="shared" ca="1" si="30"/>
        <v/>
      </c>
      <c r="D194" s="88" t="str">
        <f t="shared" ca="1" si="31"/>
        <v/>
      </c>
      <c r="E194" s="86" t="str">
        <f t="shared" ca="1" si="32"/>
        <v/>
      </c>
      <c r="F194" s="89" t="str">
        <f t="shared" ca="1" si="33"/>
        <v/>
      </c>
      <c r="G194" s="89" t="str">
        <f t="shared" ca="1" si="34"/>
        <v/>
      </c>
      <c r="H194" s="89" t="str">
        <f t="shared" ca="1" si="35"/>
        <v/>
      </c>
      <c r="I194" s="2"/>
      <c r="J194" s="2"/>
      <c r="K194" s="1"/>
      <c r="L194" s="1"/>
      <c r="M194" s="1">
        <v>183</v>
      </c>
      <c r="N194" s="1" t="str">
        <f ca="1">IF(OR($U194=0,$W194="",$X194&lt;=0),"",IF($W194&gt;TODAY(),"",IF(AND(INDEX(UCRETLER!$E$7:$E$606,$U194)&lt;&gt;"",$W194&gt;INDEX(UCRETLER!$E$7:$E$606,$U194)),"",$W194)))</f>
        <v/>
      </c>
      <c r="O194" s="1" t="str">
        <f ca="1"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" t="str">
        <f t="shared" ca="1" si="39"/>
        <v/>
      </c>
      <c r="Q194" s="1"/>
      <c r="R194" s="1">
        <f t="shared" ca="1" si="40"/>
        <v>0</v>
      </c>
      <c r="S194" s="1">
        <v>0</v>
      </c>
      <c r="T194" s="1">
        <f t="shared" ca="1" si="36"/>
        <v>10000000000</v>
      </c>
      <c r="U194" s="1">
        <f t="shared" si="42"/>
        <v>0</v>
      </c>
      <c r="V194" s="1">
        <v>22</v>
      </c>
      <c r="W194" s="1" t="str">
        <f>IF($U194=0,"",IF(INDEX(UCRETLER!$D$7:$D$606,$U194)="","",IF(INDEX(UCRETLER!$F$7:$F$606,$U194)="Aylık",EOMONTH(INDEX(UCRETLER!$D$7:$D$606,$U194),$V194-1),INDEX(UCRETLER!$U$7:$U$606,$U194)+7*($V194-1))))</f>
        <v/>
      </c>
      <c r="X194" s="1">
        <f>IF($U194=0,0,INDEX(UCRETLER!$G$7:$G$606,$U194))</f>
        <v>0</v>
      </c>
      <c r="Y194" s="1">
        <f t="shared" ca="1" si="37"/>
        <v>10000000000</v>
      </c>
      <c r="Z194" s="1">
        <f t="shared" ca="1" si="38"/>
        <v>1</v>
      </c>
      <c r="AA194" s="1"/>
      <c r="AB194" s="1"/>
      <c r="AC194" s="1"/>
      <c r="AD194" s="1"/>
    </row>
    <row r="195" spans="1:30" ht="19.5" customHeight="1" x14ac:dyDescent="0.3">
      <c r="A195" s="2"/>
      <c r="B195" s="86" t="str">
        <f t="shared" ca="1" si="29"/>
        <v/>
      </c>
      <c r="C195" s="87" t="str">
        <f t="shared" ca="1" si="30"/>
        <v/>
      </c>
      <c r="D195" s="88" t="str">
        <f t="shared" ca="1" si="31"/>
        <v/>
      </c>
      <c r="E195" s="86" t="str">
        <f t="shared" ca="1" si="32"/>
        <v/>
      </c>
      <c r="F195" s="89" t="str">
        <f t="shared" ca="1" si="33"/>
        <v/>
      </c>
      <c r="G195" s="89" t="str">
        <f t="shared" ca="1" si="34"/>
        <v/>
      </c>
      <c r="H195" s="89" t="str">
        <f t="shared" ca="1" si="35"/>
        <v/>
      </c>
      <c r="I195" s="2"/>
      <c r="J195" s="2"/>
      <c r="K195" s="1"/>
      <c r="L195" s="1"/>
      <c r="M195" s="1">
        <v>184</v>
      </c>
      <c r="N195" s="1" t="str">
        <f ca="1">IF(OR($U195=0,$W195="",$X195&lt;=0),"",IF($W195&gt;TODAY(),"",IF(AND(INDEX(UCRETLER!$E$7:$E$606,$U195)&lt;&gt;"",$W195&gt;INDEX(UCRETLER!$E$7:$E$606,$U195)),"",$W195)))</f>
        <v/>
      </c>
      <c r="O195" s="1" t="str">
        <f ca="1"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" t="str">
        <f t="shared" ca="1" si="39"/>
        <v/>
      </c>
      <c r="Q195" s="1"/>
      <c r="R195" s="1">
        <f t="shared" ca="1" si="40"/>
        <v>0</v>
      </c>
      <c r="S195" s="1">
        <v>0</v>
      </c>
      <c r="T195" s="1">
        <f t="shared" ca="1" si="36"/>
        <v>10000000000</v>
      </c>
      <c r="U195" s="1">
        <f t="shared" si="42"/>
        <v>0</v>
      </c>
      <c r="V195" s="1">
        <v>23</v>
      </c>
      <c r="W195" s="1" t="str">
        <f>IF($U195=0,"",IF(INDEX(UCRETLER!$D$7:$D$606,$U195)="","",IF(INDEX(UCRETLER!$F$7:$F$606,$U195)="Aylık",EOMONTH(INDEX(UCRETLER!$D$7:$D$606,$U195),$V195-1),INDEX(UCRETLER!$U$7:$U$606,$U195)+7*($V195-1))))</f>
        <v/>
      </c>
      <c r="X195" s="1">
        <f>IF($U195=0,0,INDEX(UCRETLER!$G$7:$G$606,$U195))</f>
        <v>0</v>
      </c>
      <c r="Y195" s="1">
        <f t="shared" ca="1" si="37"/>
        <v>10000000000</v>
      </c>
      <c r="Z195" s="1">
        <f t="shared" ca="1" si="38"/>
        <v>1</v>
      </c>
      <c r="AA195" s="1"/>
      <c r="AB195" s="1"/>
      <c r="AC195" s="1"/>
      <c r="AD195" s="1"/>
    </row>
    <row r="196" spans="1:30" ht="19.5" customHeight="1" x14ac:dyDescent="0.3">
      <c r="A196" s="2"/>
      <c r="B196" s="86" t="str">
        <f t="shared" ca="1" si="29"/>
        <v/>
      </c>
      <c r="C196" s="87" t="str">
        <f t="shared" ca="1" si="30"/>
        <v/>
      </c>
      <c r="D196" s="88" t="str">
        <f t="shared" ca="1" si="31"/>
        <v/>
      </c>
      <c r="E196" s="86" t="str">
        <f t="shared" ca="1" si="32"/>
        <v/>
      </c>
      <c r="F196" s="89" t="str">
        <f t="shared" ca="1" si="33"/>
        <v/>
      </c>
      <c r="G196" s="89" t="str">
        <f t="shared" ca="1" si="34"/>
        <v/>
      </c>
      <c r="H196" s="89" t="str">
        <f t="shared" ca="1" si="35"/>
        <v/>
      </c>
      <c r="I196" s="2"/>
      <c r="J196" s="2"/>
      <c r="K196" s="1"/>
      <c r="L196" s="1"/>
      <c r="M196" s="1">
        <v>185</v>
      </c>
      <c r="N196" s="1" t="str">
        <f ca="1">IF(OR($U196=0,$W196="",$X196&lt;=0),"",IF($W196&gt;TODAY(),"",IF(AND(INDEX(UCRETLER!$E$7:$E$606,$U196)&lt;&gt;"",$W196&gt;INDEX(UCRETLER!$E$7:$E$606,$U196)),"",$W196)))</f>
        <v/>
      </c>
      <c r="O196" s="1" t="str">
        <f ca="1"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" t="str">
        <f t="shared" ca="1" si="39"/>
        <v/>
      </c>
      <c r="Q196" s="1"/>
      <c r="R196" s="1">
        <f t="shared" ca="1" si="40"/>
        <v>0</v>
      </c>
      <c r="S196" s="1">
        <v>0</v>
      </c>
      <c r="T196" s="1">
        <f t="shared" ca="1" si="36"/>
        <v>10000000000</v>
      </c>
      <c r="U196" s="1">
        <f t="shared" si="42"/>
        <v>0</v>
      </c>
      <c r="V196" s="1">
        <v>24</v>
      </c>
      <c r="W196" s="1" t="str">
        <f>IF($U196=0,"",IF(INDEX(UCRETLER!$D$7:$D$606,$U196)="","",IF(INDEX(UCRETLER!$F$7:$F$606,$U196)="Aylık",EOMONTH(INDEX(UCRETLER!$D$7:$D$606,$U196),$V196-1),INDEX(UCRETLER!$U$7:$U$606,$U196)+7*($V196-1))))</f>
        <v/>
      </c>
      <c r="X196" s="1">
        <f>IF($U196=0,0,INDEX(UCRETLER!$G$7:$G$606,$U196))</f>
        <v>0</v>
      </c>
      <c r="Y196" s="1">
        <f t="shared" ca="1" si="37"/>
        <v>10000000000</v>
      </c>
      <c r="Z196" s="1">
        <f t="shared" ca="1" si="38"/>
        <v>1</v>
      </c>
      <c r="AA196" s="1"/>
      <c r="AB196" s="1"/>
      <c r="AC196" s="1"/>
      <c r="AD196" s="1"/>
    </row>
    <row r="197" spans="1:30" ht="19.5" customHeight="1" x14ac:dyDescent="0.3">
      <c r="A197" s="2"/>
      <c r="B197" s="86" t="str">
        <f t="shared" ca="1" si="29"/>
        <v/>
      </c>
      <c r="C197" s="87" t="str">
        <f t="shared" ca="1" si="30"/>
        <v/>
      </c>
      <c r="D197" s="88" t="str">
        <f t="shared" ca="1" si="31"/>
        <v/>
      </c>
      <c r="E197" s="86" t="str">
        <f t="shared" ca="1" si="32"/>
        <v/>
      </c>
      <c r="F197" s="89" t="str">
        <f t="shared" ca="1" si="33"/>
        <v/>
      </c>
      <c r="G197" s="89" t="str">
        <f t="shared" ca="1" si="34"/>
        <v/>
      </c>
      <c r="H197" s="89" t="str">
        <f t="shared" ca="1" si="35"/>
        <v/>
      </c>
      <c r="I197" s="2"/>
      <c r="J197" s="2"/>
      <c r="K197" s="1"/>
      <c r="L197" s="1"/>
      <c r="M197" s="1">
        <v>186</v>
      </c>
      <c r="N197" s="1" t="str">
        <f ca="1">IF(OR($U197=0,$W197="",$X197&lt;=0),"",IF($W197&gt;TODAY(),"",IF(AND(INDEX(UCRETLER!$E$7:$E$606,$U197)&lt;&gt;"",$W197&gt;INDEX(UCRETLER!$E$7:$E$606,$U197)),"",$W197)))</f>
        <v/>
      </c>
      <c r="O197" s="1" t="str">
        <f ca="1"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" t="str">
        <f t="shared" ca="1" si="39"/>
        <v/>
      </c>
      <c r="Q197" s="1"/>
      <c r="R197" s="1">
        <f t="shared" ca="1" si="40"/>
        <v>0</v>
      </c>
      <c r="S197" s="1">
        <v>0</v>
      </c>
      <c r="T197" s="1">
        <f t="shared" ca="1" si="36"/>
        <v>10000000000</v>
      </c>
      <c r="U197" s="1">
        <f t="shared" si="42"/>
        <v>0</v>
      </c>
      <c r="V197" s="1">
        <v>25</v>
      </c>
      <c r="W197" s="1" t="str">
        <f>IF($U197=0,"",IF(INDEX(UCRETLER!$D$7:$D$606,$U197)="","",IF(INDEX(UCRETLER!$F$7:$F$606,$U197)="Aylık",EOMONTH(INDEX(UCRETLER!$D$7:$D$606,$U197),$V197-1),INDEX(UCRETLER!$U$7:$U$606,$U197)+7*($V197-1))))</f>
        <v/>
      </c>
      <c r="X197" s="1">
        <f>IF($U197=0,0,INDEX(UCRETLER!$G$7:$G$606,$U197))</f>
        <v>0</v>
      </c>
      <c r="Y197" s="1">
        <f t="shared" ca="1" si="37"/>
        <v>10000000000</v>
      </c>
      <c r="Z197" s="1">
        <f t="shared" ca="1" si="38"/>
        <v>1</v>
      </c>
      <c r="AA197" s="1"/>
      <c r="AB197" s="1"/>
      <c r="AC197" s="1"/>
      <c r="AD197" s="1"/>
    </row>
    <row r="198" spans="1:30" ht="19.5" customHeight="1" x14ac:dyDescent="0.3">
      <c r="A198" s="2"/>
      <c r="B198" s="86" t="str">
        <f t="shared" ca="1" si="29"/>
        <v/>
      </c>
      <c r="C198" s="87" t="str">
        <f t="shared" ca="1" si="30"/>
        <v/>
      </c>
      <c r="D198" s="88" t="str">
        <f t="shared" ca="1" si="31"/>
        <v/>
      </c>
      <c r="E198" s="86" t="str">
        <f t="shared" ca="1" si="32"/>
        <v/>
      </c>
      <c r="F198" s="89" t="str">
        <f t="shared" ca="1" si="33"/>
        <v/>
      </c>
      <c r="G198" s="89" t="str">
        <f t="shared" ca="1" si="34"/>
        <v/>
      </c>
      <c r="H198" s="89" t="str">
        <f t="shared" ca="1" si="35"/>
        <v/>
      </c>
      <c r="I198" s="2"/>
      <c r="J198" s="2"/>
      <c r="K198" s="1"/>
      <c r="L198" s="1"/>
      <c r="M198" s="1">
        <v>187</v>
      </c>
      <c r="N198" s="1" t="str">
        <f ca="1">IF(OR($U198=0,$W198="",$X198&lt;=0),"",IF($W198&gt;TODAY(),"",IF(AND(INDEX(UCRETLER!$E$7:$E$606,$U198)&lt;&gt;"",$W198&gt;INDEX(UCRETLER!$E$7:$E$606,$U198)),"",$W198)))</f>
        <v/>
      </c>
      <c r="O198" s="1" t="str">
        <f ca="1"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" t="str">
        <f t="shared" ca="1" si="39"/>
        <v/>
      </c>
      <c r="Q198" s="1"/>
      <c r="R198" s="1">
        <f t="shared" ca="1" si="40"/>
        <v>0</v>
      </c>
      <c r="S198" s="1">
        <v>0</v>
      </c>
      <c r="T198" s="1">
        <f t="shared" ca="1" si="36"/>
        <v>10000000000</v>
      </c>
      <c r="U198" s="1">
        <f t="shared" si="42"/>
        <v>0</v>
      </c>
      <c r="V198" s="1">
        <v>26</v>
      </c>
      <c r="W198" s="1" t="str">
        <f>IF($U198=0,"",IF(INDEX(UCRETLER!$D$7:$D$606,$U198)="","",IF(INDEX(UCRETLER!$F$7:$F$606,$U198)="Aylık",EOMONTH(INDEX(UCRETLER!$D$7:$D$606,$U198),$V198-1),INDEX(UCRETLER!$U$7:$U$606,$U198)+7*($V198-1))))</f>
        <v/>
      </c>
      <c r="X198" s="1">
        <f>IF($U198=0,0,INDEX(UCRETLER!$G$7:$G$606,$U198))</f>
        <v>0</v>
      </c>
      <c r="Y198" s="1">
        <f t="shared" ca="1" si="37"/>
        <v>10000000000</v>
      </c>
      <c r="Z198" s="1">
        <f t="shared" ca="1" si="38"/>
        <v>1</v>
      </c>
      <c r="AA198" s="1"/>
      <c r="AB198" s="1"/>
      <c r="AC198" s="1"/>
      <c r="AD198" s="1"/>
    </row>
    <row r="199" spans="1:30" ht="19.5" customHeight="1" x14ac:dyDescent="0.3">
      <c r="A199" s="2"/>
      <c r="B199" s="86" t="str">
        <f t="shared" ca="1" si="29"/>
        <v/>
      </c>
      <c r="C199" s="87" t="str">
        <f t="shared" ca="1" si="30"/>
        <v/>
      </c>
      <c r="D199" s="88" t="str">
        <f t="shared" ca="1" si="31"/>
        <v/>
      </c>
      <c r="E199" s="86" t="str">
        <f t="shared" ca="1" si="32"/>
        <v/>
      </c>
      <c r="F199" s="89" t="str">
        <f t="shared" ca="1" si="33"/>
        <v/>
      </c>
      <c r="G199" s="89" t="str">
        <f t="shared" ca="1" si="34"/>
        <v/>
      </c>
      <c r="H199" s="89" t="str">
        <f t="shared" ca="1" si="35"/>
        <v/>
      </c>
      <c r="I199" s="2"/>
      <c r="J199" s="2"/>
      <c r="K199" s="1"/>
      <c r="L199" s="1"/>
      <c r="M199" s="1">
        <v>188</v>
      </c>
      <c r="N199" s="1" t="str">
        <f ca="1">IF(OR($U199=0,$W199="",$X199&lt;=0),"",IF($W199&gt;TODAY(),"",IF(AND(INDEX(UCRETLER!$E$7:$E$606,$U199)&lt;&gt;"",$W199&gt;INDEX(UCRETLER!$E$7:$E$606,$U199)),"",$W199)))</f>
        <v/>
      </c>
      <c r="O199" s="1" t="str">
        <f ca="1"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" t="str">
        <f t="shared" ca="1" si="39"/>
        <v/>
      </c>
      <c r="Q199" s="1"/>
      <c r="R199" s="1">
        <f t="shared" ca="1" si="40"/>
        <v>0</v>
      </c>
      <c r="S199" s="1">
        <v>0</v>
      </c>
      <c r="T199" s="1">
        <f t="shared" ca="1" si="36"/>
        <v>10000000000</v>
      </c>
      <c r="U199" s="1">
        <f t="shared" si="42"/>
        <v>0</v>
      </c>
      <c r="V199" s="1">
        <v>27</v>
      </c>
      <c r="W199" s="1" t="str">
        <f>IF($U199=0,"",IF(INDEX(UCRETLER!$D$7:$D$606,$U199)="","",IF(INDEX(UCRETLER!$F$7:$F$606,$U199)="Aylık",EOMONTH(INDEX(UCRETLER!$D$7:$D$606,$U199),$V199-1),INDEX(UCRETLER!$U$7:$U$606,$U199)+7*($V199-1))))</f>
        <v/>
      </c>
      <c r="X199" s="1">
        <f>IF($U199=0,0,INDEX(UCRETLER!$G$7:$G$606,$U199))</f>
        <v>0</v>
      </c>
      <c r="Y199" s="1">
        <f t="shared" ca="1" si="37"/>
        <v>10000000000</v>
      </c>
      <c r="Z199" s="1">
        <f t="shared" ca="1" si="38"/>
        <v>1</v>
      </c>
      <c r="AA199" s="1"/>
      <c r="AB199" s="1"/>
      <c r="AC199" s="1"/>
      <c r="AD199" s="1"/>
    </row>
    <row r="200" spans="1:30" ht="19.5" customHeight="1" x14ac:dyDescent="0.3">
      <c r="A200" s="2"/>
      <c r="B200" s="86" t="str">
        <f t="shared" ca="1" si="29"/>
        <v/>
      </c>
      <c r="C200" s="87" t="str">
        <f t="shared" ca="1" si="30"/>
        <v/>
      </c>
      <c r="D200" s="88" t="str">
        <f t="shared" ca="1" si="31"/>
        <v/>
      </c>
      <c r="E200" s="86" t="str">
        <f t="shared" ca="1" si="32"/>
        <v/>
      </c>
      <c r="F200" s="89" t="str">
        <f t="shared" ca="1" si="33"/>
        <v/>
      </c>
      <c r="G200" s="89" t="str">
        <f t="shared" ca="1" si="34"/>
        <v/>
      </c>
      <c r="H200" s="89" t="str">
        <f t="shared" ca="1" si="35"/>
        <v/>
      </c>
      <c r="I200" s="2"/>
      <c r="J200" s="2"/>
      <c r="K200" s="1"/>
      <c r="L200" s="1"/>
      <c r="M200" s="1">
        <v>189</v>
      </c>
      <c r="N200" s="1" t="str">
        <f ca="1">IF(OR($U200=0,$W200="",$X200&lt;=0),"",IF($W200&gt;TODAY(),"",IF(AND(INDEX(UCRETLER!$E$7:$E$606,$U200)&lt;&gt;"",$W200&gt;INDEX(UCRETLER!$E$7:$E$606,$U200)),"",$W200)))</f>
        <v/>
      </c>
      <c r="O200" s="1" t="str">
        <f ca="1"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" t="str">
        <f t="shared" ca="1" si="39"/>
        <v/>
      </c>
      <c r="Q200" s="1"/>
      <c r="R200" s="1">
        <f t="shared" ca="1" si="40"/>
        <v>0</v>
      </c>
      <c r="S200" s="1">
        <v>0</v>
      </c>
      <c r="T200" s="1">
        <f t="shared" ca="1" si="36"/>
        <v>10000000000</v>
      </c>
      <c r="U200" s="1">
        <f t="shared" si="42"/>
        <v>0</v>
      </c>
      <c r="V200" s="1">
        <v>28</v>
      </c>
      <c r="W200" s="1" t="str">
        <f>IF($U200=0,"",IF(INDEX(UCRETLER!$D$7:$D$606,$U200)="","",IF(INDEX(UCRETLER!$F$7:$F$606,$U200)="Aylık",EOMONTH(INDEX(UCRETLER!$D$7:$D$606,$U200),$V200-1),INDEX(UCRETLER!$U$7:$U$606,$U200)+7*($V200-1))))</f>
        <v/>
      </c>
      <c r="X200" s="1">
        <f>IF($U200=0,0,INDEX(UCRETLER!$G$7:$G$606,$U200))</f>
        <v>0</v>
      </c>
      <c r="Y200" s="1">
        <f t="shared" ca="1" si="37"/>
        <v>10000000000</v>
      </c>
      <c r="Z200" s="1">
        <f t="shared" ca="1" si="38"/>
        <v>1</v>
      </c>
      <c r="AA200" s="1"/>
      <c r="AB200" s="1"/>
      <c r="AC200" s="1"/>
      <c r="AD200" s="1"/>
    </row>
    <row r="201" spans="1:30" ht="19.5" customHeight="1" x14ac:dyDescent="0.3">
      <c r="A201" s="2"/>
      <c r="B201" s="86" t="str">
        <f t="shared" ca="1" si="29"/>
        <v/>
      </c>
      <c r="C201" s="87" t="str">
        <f t="shared" ca="1" si="30"/>
        <v/>
      </c>
      <c r="D201" s="88" t="str">
        <f t="shared" ca="1" si="31"/>
        <v/>
      </c>
      <c r="E201" s="86" t="str">
        <f t="shared" ca="1" si="32"/>
        <v/>
      </c>
      <c r="F201" s="89" t="str">
        <f t="shared" ca="1" si="33"/>
        <v/>
      </c>
      <c r="G201" s="89" t="str">
        <f t="shared" ca="1" si="34"/>
        <v/>
      </c>
      <c r="H201" s="89" t="str">
        <f t="shared" ca="1" si="35"/>
        <v/>
      </c>
      <c r="I201" s="2"/>
      <c r="J201" s="2"/>
      <c r="K201" s="1"/>
      <c r="L201" s="1"/>
      <c r="M201" s="1">
        <v>190</v>
      </c>
      <c r="N201" s="1" t="str">
        <f ca="1">IF(OR($U201=0,$W201="",$X201&lt;=0),"",IF($W201&gt;TODAY(),"",IF(AND(INDEX(UCRETLER!$E$7:$E$606,$U201)&lt;&gt;"",$W201&gt;INDEX(UCRETLER!$E$7:$E$606,$U201)),"",$W201)))</f>
        <v/>
      </c>
      <c r="O201" s="1" t="str">
        <f ca="1"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" t="str">
        <f t="shared" ca="1" si="39"/>
        <v/>
      </c>
      <c r="Q201" s="1"/>
      <c r="R201" s="1">
        <f t="shared" ca="1" si="40"/>
        <v>0</v>
      </c>
      <c r="S201" s="1">
        <v>0</v>
      </c>
      <c r="T201" s="1">
        <f t="shared" ca="1" si="36"/>
        <v>10000000000</v>
      </c>
      <c r="U201" s="1">
        <f t="shared" si="42"/>
        <v>0</v>
      </c>
      <c r="V201" s="1">
        <v>29</v>
      </c>
      <c r="W201" s="1" t="str">
        <f>IF($U201=0,"",IF(INDEX(UCRETLER!$D$7:$D$606,$U201)="","",IF(INDEX(UCRETLER!$F$7:$F$606,$U201)="Aylık",EOMONTH(INDEX(UCRETLER!$D$7:$D$606,$U201),$V201-1),INDEX(UCRETLER!$U$7:$U$606,$U201)+7*($V201-1))))</f>
        <v/>
      </c>
      <c r="X201" s="1">
        <f>IF($U201=0,0,INDEX(UCRETLER!$G$7:$G$606,$U201))</f>
        <v>0</v>
      </c>
      <c r="Y201" s="1">
        <f t="shared" ca="1" si="37"/>
        <v>10000000000</v>
      </c>
      <c r="Z201" s="1">
        <f t="shared" ca="1" si="38"/>
        <v>1</v>
      </c>
      <c r="AA201" s="1"/>
      <c r="AB201" s="1"/>
      <c r="AC201" s="1"/>
      <c r="AD201" s="1"/>
    </row>
    <row r="202" spans="1:30" ht="19.5" customHeight="1" x14ac:dyDescent="0.3">
      <c r="A202" s="2"/>
      <c r="B202" s="86" t="str">
        <f t="shared" ca="1" si="29"/>
        <v/>
      </c>
      <c r="C202" s="87" t="str">
        <f t="shared" ca="1" si="30"/>
        <v/>
      </c>
      <c r="D202" s="88" t="str">
        <f t="shared" ca="1" si="31"/>
        <v/>
      </c>
      <c r="E202" s="86" t="str">
        <f t="shared" ca="1" si="32"/>
        <v/>
      </c>
      <c r="F202" s="89" t="str">
        <f t="shared" ca="1" si="33"/>
        <v/>
      </c>
      <c r="G202" s="89" t="str">
        <f t="shared" ca="1" si="34"/>
        <v/>
      </c>
      <c r="H202" s="89" t="str">
        <f t="shared" ca="1" si="35"/>
        <v/>
      </c>
      <c r="I202" s="2"/>
      <c r="J202" s="2"/>
      <c r="K202" s="1"/>
      <c r="L202" s="1"/>
      <c r="M202" s="1">
        <v>191</v>
      </c>
      <c r="N202" s="1" t="str">
        <f ca="1">IF(OR($U202=0,$W202="",$X202&lt;=0),"",IF($W202&gt;TODAY(),"",IF(AND(INDEX(UCRETLER!$E$7:$E$606,$U202)&lt;&gt;"",$W202&gt;INDEX(UCRETLER!$E$7:$E$606,$U202)),"",$W202)))</f>
        <v/>
      </c>
      <c r="O202" s="1" t="str">
        <f ca="1"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" t="str">
        <f t="shared" ca="1" si="39"/>
        <v/>
      </c>
      <c r="Q202" s="1"/>
      <c r="R202" s="1">
        <f t="shared" ca="1" si="40"/>
        <v>0</v>
      </c>
      <c r="S202" s="1">
        <v>0</v>
      </c>
      <c r="T202" s="1">
        <f t="shared" ca="1" si="36"/>
        <v>10000000000</v>
      </c>
      <c r="U202" s="1">
        <f t="shared" si="42"/>
        <v>0</v>
      </c>
      <c r="V202" s="1">
        <v>30</v>
      </c>
      <c r="W202" s="1" t="str">
        <f>IF($U202=0,"",IF(INDEX(UCRETLER!$D$7:$D$606,$U202)="","",IF(INDEX(UCRETLER!$F$7:$F$606,$U202)="Aylık",EOMONTH(INDEX(UCRETLER!$D$7:$D$606,$U202),$V202-1),INDEX(UCRETLER!$U$7:$U$606,$U202)+7*($V202-1))))</f>
        <v/>
      </c>
      <c r="X202" s="1">
        <f>IF($U202=0,0,INDEX(UCRETLER!$G$7:$G$606,$U202))</f>
        <v>0</v>
      </c>
      <c r="Y202" s="1">
        <f t="shared" ca="1" si="37"/>
        <v>10000000000</v>
      </c>
      <c r="Z202" s="1">
        <f t="shared" ca="1" si="38"/>
        <v>1</v>
      </c>
      <c r="AA202" s="1"/>
      <c r="AB202" s="1"/>
      <c r="AC202" s="1"/>
      <c r="AD202" s="1"/>
    </row>
    <row r="203" spans="1:30" ht="19.5" customHeight="1" x14ac:dyDescent="0.3">
      <c r="A203" s="2"/>
      <c r="B203" s="86" t="str">
        <f t="shared" ca="1" si="29"/>
        <v/>
      </c>
      <c r="C203" s="87" t="str">
        <f t="shared" ca="1" si="30"/>
        <v/>
      </c>
      <c r="D203" s="88" t="str">
        <f t="shared" ca="1" si="31"/>
        <v/>
      </c>
      <c r="E203" s="86" t="str">
        <f t="shared" ca="1" si="32"/>
        <v/>
      </c>
      <c r="F203" s="89" t="str">
        <f t="shared" ca="1" si="33"/>
        <v/>
      </c>
      <c r="G203" s="89" t="str">
        <f t="shared" ca="1" si="34"/>
        <v/>
      </c>
      <c r="H203" s="89" t="str">
        <f t="shared" ca="1" si="35"/>
        <v/>
      </c>
      <c r="I203" s="2"/>
      <c r="J203" s="2"/>
      <c r="K203" s="1"/>
      <c r="L203" s="1"/>
      <c r="M203" s="1">
        <v>192</v>
      </c>
      <c r="N203" s="1" t="str">
        <f ca="1">IF(OR($U203=0,$W203="",$X203&lt;=0),"",IF($W203&gt;TODAY(),"",IF(AND(INDEX(UCRETLER!$E$7:$E$606,$U203)&lt;&gt;"",$W203&gt;INDEX(UCRETLER!$E$7:$E$606,$U203)),"",$W203)))</f>
        <v/>
      </c>
      <c r="O203" s="1" t="str">
        <f ca="1"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" t="str">
        <f t="shared" ca="1" si="39"/>
        <v/>
      </c>
      <c r="Q203" s="1"/>
      <c r="R203" s="1">
        <f t="shared" ca="1" si="40"/>
        <v>0</v>
      </c>
      <c r="S203" s="1">
        <v>0</v>
      </c>
      <c r="T203" s="1">
        <f t="shared" ca="1" si="36"/>
        <v>10000000000</v>
      </c>
      <c r="U203" s="1">
        <f t="shared" si="42"/>
        <v>0</v>
      </c>
      <c r="V203" s="1">
        <v>31</v>
      </c>
      <c r="W203" s="1" t="str">
        <f>IF($U203=0,"",IF(INDEX(UCRETLER!$D$7:$D$606,$U203)="","",IF(INDEX(UCRETLER!$F$7:$F$606,$U203)="Aylık",EOMONTH(INDEX(UCRETLER!$D$7:$D$606,$U203),$V203-1),INDEX(UCRETLER!$U$7:$U$606,$U203)+7*($V203-1))))</f>
        <v/>
      </c>
      <c r="X203" s="1">
        <f>IF($U203=0,0,INDEX(UCRETLER!$G$7:$G$606,$U203))</f>
        <v>0</v>
      </c>
      <c r="Y203" s="1">
        <f t="shared" ca="1" si="37"/>
        <v>10000000000</v>
      </c>
      <c r="Z203" s="1">
        <f t="shared" ca="1" si="38"/>
        <v>1</v>
      </c>
      <c r="AA203" s="1"/>
      <c r="AB203" s="1"/>
      <c r="AC203" s="1"/>
      <c r="AD203" s="1"/>
    </row>
    <row r="204" spans="1:30" ht="19.5" customHeight="1" x14ac:dyDescent="0.3">
      <c r="A204" s="2"/>
      <c r="B204" s="86" t="str">
        <f t="shared" ref="B204:B267" ca="1" si="43">IF($C204="","",ROW()-11)</f>
        <v/>
      </c>
      <c r="C204" s="87" t="str">
        <f t="shared" ref="C204:C267" ca="1" si="44">IF($Z204="","",IF(INDEX($N$12:$N$432,$Z204)="","",INDEX($N$12:$N$432,$Z204)))</f>
        <v/>
      </c>
      <c r="D204" s="88" t="str">
        <f t="shared" ref="D204:D267" ca="1" si="45">IF($C204="","",INDEX($O$12:$O$432,$Z204))</f>
        <v/>
      </c>
      <c r="E204" s="86" t="str">
        <f t="shared" ref="E204:E267" ca="1" si="46">IF($C204="","",INDEX($P$12:$P$432,$Z204))</f>
        <v/>
      </c>
      <c r="F204" s="89" t="str">
        <f t="shared" ref="F204:F267" ca="1" si="47">IF($C204="","",INDEX($R$12:$R$432,$Z204))</f>
        <v/>
      </c>
      <c r="G204" s="89" t="str">
        <f t="shared" ref="G204:G267" ca="1" si="48">IF($C204="","",INDEX($S$12:$S$432,$Z204))</f>
        <v/>
      </c>
      <c r="H204" s="89" t="str">
        <f t="shared" ref="H204:H267" ca="1" si="49">IF($C204="","",N($H203)+$F204-$G204)</f>
        <v/>
      </c>
      <c r="I204" s="2"/>
      <c r="J204" s="2"/>
      <c r="K204" s="1"/>
      <c r="L204" s="1"/>
      <c r="M204" s="1">
        <v>193</v>
      </c>
      <c r="N204" s="1" t="str">
        <f ca="1">IF(OR($U204=0,$W204="",$X204&lt;=0),"",IF($W204&gt;TODAY(),"",IF(AND(INDEX(UCRETLER!$E$7:$E$606,$U204)&lt;&gt;"",$W204&gt;INDEX(UCRETLER!$E$7:$E$606,$U204)),"",$W204)))</f>
        <v/>
      </c>
      <c r="O204" s="1" t="str">
        <f ca="1"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" t="str">
        <f t="shared" ca="1" si="39"/>
        <v/>
      </c>
      <c r="Q204" s="1"/>
      <c r="R204" s="1">
        <f t="shared" ca="1" si="40"/>
        <v>0</v>
      </c>
      <c r="S204" s="1">
        <v>0</v>
      </c>
      <c r="T204" s="1">
        <f t="shared" ref="T204:T267" ca="1" si="50">IF($N204="",10000000000,$N204*100000+$M204)</f>
        <v>10000000000</v>
      </c>
      <c r="U204" s="1">
        <f t="shared" si="42"/>
        <v>0</v>
      </c>
      <c r="V204" s="1">
        <v>32</v>
      </c>
      <c r="W204" s="1" t="str">
        <f>IF($U204=0,"",IF(INDEX(UCRETLER!$D$7:$D$606,$U204)="","",IF(INDEX(UCRETLER!$F$7:$F$606,$U204)="Aylık",EOMONTH(INDEX(UCRETLER!$D$7:$D$606,$U204),$V204-1),INDEX(UCRETLER!$U$7:$U$606,$U204)+7*($V204-1))))</f>
        <v/>
      </c>
      <c r="X204" s="1">
        <f>IF($U204=0,0,INDEX(UCRETLER!$G$7:$G$606,$U204))</f>
        <v>0</v>
      </c>
      <c r="Y204" s="1">
        <f t="shared" ref="Y204:Y267" ca="1" si="51">IFERROR(SMALL($T$12:$T$432,ROW()-11),"")</f>
        <v>10000000000</v>
      </c>
      <c r="Z204" s="1">
        <f t="shared" ref="Z204:Z267" ca="1" si="52">IFERROR(MATCH($Y204,$T$12:$T$432,0),"")</f>
        <v>1</v>
      </c>
      <c r="AA204" s="1"/>
      <c r="AB204" s="1"/>
      <c r="AC204" s="1"/>
      <c r="AD204" s="1"/>
    </row>
    <row r="205" spans="1:30" ht="19.5" customHeight="1" x14ac:dyDescent="0.3">
      <c r="A205" s="2"/>
      <c r="B205" s="86" t="str">
        <f t="shared" ca="1" si="43"/>
        <v/>
      </c>
      <c r="C205" s="87" t="str">
        <f t="shared" ca="1" si="44"/>
        <v/>
      </c>
      <c r="D205" s="88" t="str">
        <f t="shared" ca="1" si="45"/>
        <v/>
      </c>
      <c r="E205" s="86" t="str">
        <f t="shared" ca="1" si="46"/>
        <v/>
      </c>
      <c r="F205" s="89" t="str">
        <f t="shared" ca="1" si="47"/>
        <v/>
      </c>
      <c r="G205" s="89" t="str">
        <f t="shared" ca="1" si="48"/>
        <v/>
      </c>
      <c r="H205" s="89" t="str">
        <f t="shared" ca="1" si="49"/>
        <v/>
      </c>
      <c r="I205" s="2"/>
      <c r="J205" s="2"/>
      <c r="K205" s="1"/>
      <c r="L205" s="1"/>
      <c r="M205" s="1">
        <v>194</v>
      </c>
      <c r="N205" s="1" t="str">
        <f ca="1">IF(OR($U205=0,$W205="",$X205&lt;=0),"",IF($W205&gt;TODAY(),"",IF(AND(INDEX(UCRETLER!$E$7:$E$606,$U205)&lt;&gt;"",$W205&gt;INDEX(UCRETLER!$E$7:$E$606,$U205)),"",$W205)))</f>
        <v/>
      </c>
      <c r="O205" s="1" t="str">
        <f ca="1"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" t="str">
        <f t="shared" ref="P205:P252" ca="1" si="53">IF($N205="","","TAHAKKUK")</f>
        <v/>
      </c>
      <c r="Q205" s="1"/>
      <c r="R205" s="1">
        <f t="shared" ref="R205:R252" ca="1" si="54">IF($N205="",0,$X205)</f>
        <v>0</v>
      </c>
      <c r="S205" s="1">
        <v>0</v>
      </c>
      <c r="T205" s="1">
        <f t="shared" ca="1" si="50"/>
        <v>10000000000</v>
      </c>
      <c r="U205" s="1">
        <f t="shared" ref="U205:U236" si="55">$AB$6</f>
        <v>0</v>
      </c>
      <c r="V205" s="1">
        <v>33</v>
      </c>
      <c r="W205" s="1" t="str">
        <f>IF($U205=0,"",IF(INDEX(UCRETLER!$D$7:$D$606,$U205)="","",IF(INDEX(UCRETLER!$F$7:$F$606,$U205)="Aylık",EOMONTH(INDEX(UCRETLER!$D$7:$D$606,$U205),$V205-1),INDEX(UCRETLER!$U$7:$U$606,$U205)+7*($V205-1))))</f>
        <v/>
      </c>
      <c r="X205" s="1">
        <f>IF($U205=0,0,INDEX(UCRETLER!$G$7:$G$606,$U205))</f>
        <v>0</v>
      </c>
      <c r="Y205" s="1">
        <f t="shared" ca="1" si="51"/>
        <v>10000000000</v>
      </c>
      <c r="Z205" s="1">
        <f t="shared" ca="1" si="52"/>
        <v>1</v>
      </c>
      <c r="AA205" s="1"/>
      <c r="AB205" s="1"/>
      <c r="AC205" s="1"/>
      <c r="AD205" s="1"/>
    </row>
    <row r="206" spans="1:30" ht="19.5" customHeight="1" x14ac:dyDescent="0.3">
      <c r="A206" s="2"/>
      <c r="B206" s="86" t="str">
        <f t="shared" ca="1" si="43"/>
        <v/>
      </c>
      <c r="C206" s="87" t="str">
        <f t="shared" ca="1" si="44"/>
        <v/>
      </c>
      <c r="D206" s="88" t="str">
        <f t="shared" ca="1" si="45"/>
        <v/>
      </c>
      <c r="E206" s="86" t="str">
        <f t="shared" ca="1" si="46"/>
        <v/>
      </c>
      <c r="F206" s="89" t="str">
        <f t="shared" ca="1" si="47"/>
        <v/>
      </c>
      <c r="G206" s="89" t="str">
        <f t="shared" ca="1" si="48"/>
        <v/>
      </c>
      <c r="H206" s="89" t="str">
        <f t="shared" ca="1" si="49"/>
        <v/>
      </c>
      <c r="I206" s="2"/>
      <c r="J206" s="2"/>
      <c r="K206" s="1"/>
      <c r="L206" s="1"/>
      <c r="M206" s="1">
        <v>195</v>
      </c>
      <c r="N206" s="1" t="str">
        <f ca="1">IF(OR($U206=0,$W206="",$X206&lt;=0),"",IF($W206&gt;TODAY(),"",IF(AND(INDEX(UCRETLER!$E$7:$E$606,$U206)&lt;&gt;"",$W206&gt;INDEX(UCRETLER!$E$7:$E$606,$U206)),"",$W206)))</f>
        <v/>
      </c>
      <c r="O206" s="1" t="str">
        <f ca="1"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" t="str">
        <f t="shared" ca="1" si="53"/>
        <v/>
      </c>
      <c r="Q206" s="1"/>
      <c r="R206" s="1">
        <f t="shared" ca="1" si="54"/>
        <v>0</v>
      </c>
      <c r="S206" s="1">
        <v>0</v>
      </c>
      <c r="T206" s="1">
        <f t="shared" ca="1" si="50"/>
        <v>10000000000</v>
      </c>
      <c r="U206" s="1">
        <f t="shared" si="55"/>
        <v>0</v>
      </c>
      <c r="V206" s="1">
        <v>34</v>
      </c>
      <c r="W206" s="1" t="str">
        <f>IF($U206=0,"",IF(INDEX(UCRETLER!$D$7:$D$606,$U206)="","",IF(INDEX(UCRETLER!$F$7:$F$606,$U206)="Aylık",EOMONTH(INDEX(UCRETLER!$D$7:$D$606,$U206),$V206-1),INDEX(UCRETLER!$U$7:$U$606,$U206)+7*($V206-1))))</f>
        <v/>
      </c>
      <c r="X206" s="1">
        <f>IF($U206=0,0,INDEX(UCRETLER!$G$7:$G$606,$U206))</f>
        <v>0</v>
      </c>
      <c r="Y206" s="1">
        <f t="shared" ca="1" si="51"/>
        <v>10000000000</v>
      </c>
      <c r="Z206" s="1">
        <f t="shared" ca="1" si="52"/>
        <v>1</v>
      </c>
      <c r="AA206" s="1"/>
      <c r="AB206" s="1"/>
      <c r="AC206" s="1"/>
      <c r="AD206" s="1"/>
    </row>
    <row r="207" spans="1:30" ht="19.5" customHeight="1" x14ac:dyDescent="0.3">
      <c r="A207" s="2"/>
      <c r="B207" s="86" t="str">
        <f t="shared" ca="1" si="43"/>
        <v/>
      </c>
      <c r="C207" s="87" t="str">
        <f t="shared" ca="1" si="44"/>
        <v/>
      </c>
      <c r="D207" s="88" t="str">
        <f t="shared" ca="1" si="45"/>
        <v/>
      </c>
      <c r="E207" s="86" t="str">
        <f t="shared" ca="1" si="46"/>
        <v/>
      </c>
      <c r="F207" s="89" t="str">
        <f t="shared" ca="1" si="47"/>
        <v/>
      </c>
      <c r="G207" s="89" t="str">
        <f t="shared" ca="1" si="48"/>
        <v/>
      </c>
      <c r="H207" s="89" t="str">
        <f t="shared" ca="1" si="49"/>
        <v/>
      </c>
      <c r="I207" s="2"/>
      <c r="J207" s="2"/>
      <c r="K207" s="1"/>
      <c r="L207" s="1"/>
      <c r="M207" s="1">
        <v>196</v>
      </c>
      <c r="N207" s="1" t="str">
        <f ca="1">IF(OR($U207=0,$W207="",$X207&lt;=0),"",IF($W207&gt;TODAY(),"",IF(AND(INDEX(UCRETLER!$E$7:$E$606,$U207)&lt;&gt;"",$W207&gt;INDEX(UCRETLER!$E$7:$E$606,$U207)),"",$W207)))</f>
        <v/>
      </c>
      <c r="O207" s="1" t="str">
        <f ca="1"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" t="str">
        <f t="shared" ca="1" si="53"/>
        <v/>
      </c>
      <c r="Q207" s="1"/>
      <c r="R207" s="1">
        <f t="shared" ca="1" si="54"/>
        <v>0</v>
      </c>
      <c r="S207" s="1">
        <v>0</v>
      </c>
      <c r="T207" s="1">
        <f t="shared" ca="1" si="50"/>
        <v>10000000000</v>
      </c>
      <c r="U207" s="1">
        <f t="shared" si="55"/>
        <v>0</v>
      </c>
      <c r="V207" s="1">
        <v>35</v>
      </c>
      <c r="W207" s="1" t="str">
        <f>IF($U207=0,"",IF(INDEX(UCRETLER!$D$7:$D$606,$U207)="","",IF(INDEX(UCRETLER!$F$7:$F$606,$U207)="Aylık",EOMONTH(INDEX(UCRETLER!$D$7:$D$606,$U207),$V207-1),INDEX(UCRETLER!$U$7:$U$606,$U207)+7*($V207-1))))</f>
        <v/>
      </c>
      <c r="X207" s="1">
        <f>IF($U207=0,0,INDEX(UCRETLER!$G$7:$G$606,$U207))</f>
        <v>0</v>
      </c>
      <c r="Y207" s="1">
        <f t="shared" ca="1" si="51"/>
        <v>10000000000</v>
      </c>
      <c r="Z207" s="1">
        <f t="shared" ca="1" si="52"/>
        <v>1</v>
      </c>
      <c r="AA207" s="1"/>
      <c r="AB207" s="1"/>
      <c r="AC207" s="1"/>
      <c r="AD207" s="1"/>
    </row>
    <row r="208" spans="1:30" ht="19.5" customHeight="1" x14ac:dyDescent="0.3">
      <c r="A208" s="2"/>
      <c r="B208" s="86" t="str">
        <f t="shared" ca="1" si="43"/>
        <v/>
      </c>
      <c r="C208" s="87" t="str">
        <f t="shared" ca="1" si="44"/>
        <v/>
      </c>
      <c r="D208" s="88" t="str">
        <f t="shared" ca="1" si="45"/>
        <v/>
      </c>
      <c r="E208" s="86" t="str">
        <f t="shared" ca="1" si="46"/>
        <v/>
      </c>
      <c r="F208" s="89" t="str">
        <f t="shared" ca="1" si="47"/>
        <v/>
      </c>
      <c r="G208" s="89" t="str">
        <f t="shared" ca="1" si="48"/>
        <v/>
      </c>
      <c r="H208" s="89" t="str">
        <f t="shared" ca="1" si="49"/>
        <v/>
      </c>
      <c r="I208" s="2"/>
      <c r="J208" s="2"/>
      <c r="K208" s="1"/>
      <c r="L208" s="1"/>
      <c r="M208" s="1">
        <v>197</v>
      </c>
      <c r="N208" s="1" t="str">
        <f ca="1">IF(OR($U208=0,$W208="",$X208&lt;=0),"",IF($W208&gt;TODAY(),"",IF(AND(INDEX(UCRETLER!$E$7:$E$606,$U208)&lt;&gt;"",$W208&gt;INDEX(UCRETLER!$E$7:$E$606,$U208)),"",$W208)))</f>
        <v/>
      </c>
      <c r="O208" s="1" t="str">
        <f ca="1"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" t="str">
        <f t="shared" ca="1" si="53"/>
        <v/>
      </c>
      <c r="Q208" s="1"/>
      <c r="R208" s="1">
        <f t="shared" ca="1" si="54"/>
        <v>0</v>
      </c>
      <c r="S208" s="1">
        <v>0</v>
      </c>
      <c r="T208" s="1">
        <f t="shared" ca="1" si="50"/>
        <v>10000000000</v>
      </c>
      <c r="U208" s="1">
        <f t="shared" si="55"/>
        <v>0</v>
      </c>
      <c r="V208" s="1">
        <v>36</v>
      </c>
      <c r="W208" s="1" t="str">
        <f>IF($U208=0,"",IF(INDEX(UCRETLER!$D$7:$D$606,$U208)="","",IF(INDEX(UCRETLER!$F$7:$F$606,$U208)="Aylık",EOMONTH(INDEX(UCRETLER!$D$7:$D$606,$U208),$V208-1),INDEX(UCRETLER!$U$7:$U$606,$U208)+7*($V208-1))))</f>
        <v/>
      </c>
      <c r="X208" s="1">
        <f>IF($U208=0,0,INDEX(UCRETLER!$G$7:$G$606,$U208))</f>
        <v>0</v>
      </c>
      <c r="Y208" s="1">
        <f t="shared" ca="1" si="51"/>
        <v>10000000000</v>
      </c>
      <c r="Z208" s="1">
        <f t="shared" ca="1" si="52"/>
        <v>1</v>
      </c>
      <c r="AA208" s="1"/>
      <c r="AB208" s="1"/>
      <c r="AC208" s="1"/>
      <c r="AD208" s="1"/>
    </row>
    <row r="209" spans="1:30" ht="19.5" customHeight="1" x14ac:dyDescent="0.3">
      <c r="A209" s="2"/>
      <c r="B209" s="86" t="str">
        <f t="shared" ca="1" si="43"/>
        <v/>
      </c>
      <c r="C209" s="87" t="str">
        <f t="shared" ca="1" si="44"/>
        <v/>
      </c>
      <c r="D209" s="88" t="str">
        <f t="shared" ca="1" si="45"/>
        <v/>
      </c>
      <c r="E209" s="86" t="str">
        <f t="shared" ca="1" si="46"/>
        <v/>
      </c>
      <c r="F209" s="89" t="str">
        <f t="shared" ca="1" si="47"/>
        <v/>
      </c>
      <c r="G209" s="89" t="str">
        <f t="shared" ca="1" si="48"/>
        <v/>
      </c>
      <c r="H209" s="89" t="str">
        <f t="shared" ca="1" si="49"/>
        <v/>
      </c>
      <c r="I209" s="2"/>
      <c r="J209" s="2"/>
      <c r="K209" s="1"/>
      <c r="L209" s="1"/>
      <c r="M209" s="1">
        <v>198</v>
      </c>
      <c r="N209" s="1" t="str">
        <f ca="1">IF(OR($U209=0,$W209="",$X209&lt;=0),"",IF($W209&gt;TODAY(),"",IF(AND(INDEX(UCRETLER!$E$7:$E$606,$U209)&lt;&gt;"",$W209&gt;INDEX(UCRETLER!$E$7:$E$606,$U209)),"",$W209)))</f>
        <v/>
      </c>
      <c r="O209" s="1" t="str">
        <f ca="1"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" t="str">
        <f t="shared" ca="1" si="53"/>
        <v/>
      </c>
      <c r="Q209" s="1"/>
      <c r="R209" s="1">
        <f t="shared" ca="1" si="54"/>
        <v>0</v>
      </c>
      <c r="S209" s="1">
        <v>0</v>
      </c>
      <c r="T209" s="1">
        <f t="shared" ca="1" si="50"/>
        <v>10000000000</v>
      </c>
      <c r="U209" s="1">
        <f t="shared" si="55"/>
        <v>0</v>
      </c>
      <c r="V209" s="1">
        <v>37</v>
      </c>
      <c r="W209" s="1" t="str">
        <f>IF($U209=0,"",IF(INDEX(UCRETLER!$D$7:$D$606,$U209)="","",IF(INDEX(UCRETLER!$F$7:$F$606,$U209)="Aylık",EOMONTH(INDEX(UCRETLER!$D$7:$D$606,$U209),$V209-1),INDEX(UCRETLER!$U$7:$U$606,$U209)+7*($V209-1))))</f>
        <v/>
      </c>
      <c r="X209" s="1">
        <f>IF($U209=0,0,INDEX(UCRETLER!$G$7:$G$606,$U209))</f>
        <v>0</v>
      </c>
      <c r="Y209" s="1">
        <f t="shared" ca="1" si="51"/>
        <v>10000000000</v>
      </c>
      <c r="Z209" s="1">
        <f t="shared" ca="1" si="52"/>
        <v>1</v>
      </c>
      <c r="AA209" s="1"/>
      <c r="AB209" s="1"/>
      <c r="AC209" s="1"/>
      <c r="AD209" s="1"/>
    </row>
    <row r="210" spans="1:30" ht="19.5" customHeight="1" x14ac:dyDescent="0.3">
      <c r="A210" s="2"/>
      <c r="B210" s="86" t="str">
        <f t="shared" ca="1" si="43"/>
        <v/>
      </c>
      <c r="C210" s="87" t="str">
        <f t="shared" ca="1" si="44"/>
        <v/>
      </c>
      <c r="D210" s="88" t="str">
        <f t="shared" ca="1" si="45"/>
        <v/>
      </c>
      <c r="E210" s="86" t="str">
        <f t="shared" ca="1" si="46"/>
        <v/>
      </c>
      <c r="F210" s="89" t="str">
        <f t="shared" ca="1" si="47"/>
        <v/>
      </c>
      <c r="G210" s="89" t="str">
        <f t="shared" ca="1" si="48"/>
        <v/>
      </c>
      <c r="H210" s="89" t="str">
        <f t="shared" ca="1" si="49"/>
        <v/>
      </c>
      <c r="I210" s="2"/>
      <c r="J210" s="2"/>
      <c r="K210" s="1"/>
      <c r="L210" s="1"/>
      <c r="M210" s="1">
        <v>199</v>
      </c>
      <c r="N210" s="1" t="str">
        <f ca="1">IF(OR($U210=0,$W210="",$X210&lt;=0),"",IF($W210&gt;TODAY(),"",IF(AND(INDEX(UCRETLER!$E$7:$E$606,$U210)&lt;&gt;"",$W210&gt;INDEX(UCRETLER!$E$7:$E$606,$U210)),"",$W210)))</f>
        <v/>
      </c>
      <c r="O210" s="1" t="str">
        <f ca="1"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" t="str">
        <f t="shared" ca="1" si="53"/>
        <v/>
      </c>
      <c r="Q210" s="1"/>
      <c r="R210" s="1">
        <f t="shared" ca="1" si="54"/>
        <v>0</v>
      </c>
      <c r="S210" s="1">
        <v>0</v>
      </c>
      <c r="T210" s="1">
        <f t="shared" ca="1" si="50"/>
        <v>10000000000</v>
      </c>
      <c r="U210" s="1">
        <f t="shared" si="55"/>
        <v>0</v>
      </c>
      <c r="V210" s="1">
        <v>38</v>
      </c>
      <c r="W210" s="1" t="str">
        <f>IF($U210=0,"",IF(INDEX(UCRETLER!$D$7:$D$606,$U210)="","",IF(INDEX(UCRETLER!$F$7:$F$606,$U210)="Aylık",EOMONTH(INDEX(UCRETLER!$D$7:$D$606,$U210),$V210-1),INDEX(UCRETLER!$U$7:$U$606,$U210)+7*($V210-1))))</f>
        <v/>
      </c>
      <c r="X210" s="1">
        <f>IF($U210=0,0,INDEX(UCRETLER!$G$7:$G$606,$U210))</f>
        <v>0</v>
      </c>
      <c r="Y210" s="1">
        <f t="shared" ca="1" si="51"/>
        <v>10000000000</v>
      </c>
      <c r="Z210" s="1">
        <f t="shared" ca="1" si="52"/>
        <v>1</v>
      </c>
      <c r="AA210" s="1"/>
      <c r="AB210" s="1"/>
      <c r="AC210" s="1"/>
      <c r="AD210" s="1"/>
    </row>
    <row r="211" spans="1:30" ht="19.5" customHeight="1" x14ac:dyDescent="0.3">
      <c r="A211" s="2"/>
      <c r="B211" s="86" t="str">
        <f t="shared" ca="1" si="43"/>
        <v/>
      </c>
      <c r="C211" s="87" t="str">
        <f t="shared" ca="1" si="44"/>
        <v/>
      </c>
      <c r="D211" s="88" t="str">
        <f t="shared" ca="1" si="45"/>
        <v/>
      </c>
      <c r="E211" s="86" t="str">
        <f t="shared" ca="1" si="46"/>
        <v/>
      </c>
      <c r="F211" s="89" t="str">
        <f t="shared" ca="1" si="47"/>
        <v/>
      </c>
      <c r="G211" s="89" t="str">
        <f t="shared" ca="1" si="48"/>
        <v/>
      </c>
      <c r="H211" s="89" t="str">
        <f t="shared" ca="1" si="49"/>
        <v/>
      </c>
      <c r="I211" s="2"/>
      <c r="J211" s="2"/>
      <c r="K211" s="1"/>
      <c r="L211" s="1"/>
      <c r="M211" s="1">
        <v>200</v>
      </c>
      <c r="N211" s="1" t="str">
        <f ca="1">IF(OR($U211=0,$W211="",$X211&lt;=0),"",IF($W211&gt;TODAY(),"",IF(AND(INDEX(UCRETLER!$E$7:$E$606,$U211)&lt;&gt;"",$W211&gt;INDEX(UCRETLER!$E$7:$E$606,$U211)),"",$W211)))</f>
        <v/>
      </c>
      <c r="O211" s="1" t="str">
        <f ca="1"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" t="str">
        <f t="shared" ca="1" si="53"/>
        <v/>
      </c>
      <c r="Q211" s="1"/>
      <c r="R211" s="1">
        <f t="shared" ca="1" si="54"/>
        <v>0</v>
      </c>
      <c r="S211" s="1">
        <v>0</v>
      </c>
      <c r="T211" s="1">
        <f t="shared" ca="1" si="50"/>
        <v>10000000000</v>
      </c>
      <c r="U211" s="1">
        <f t="shared" si="55"/>
        <v>0</v>
      </c>
      <c r="V211" s="1">
        <v>39</v>
      </c>
      <c r="W211" s="1" t="str">
        <f>IF($U211=0,"",IF(INDEX(UCRETLER!$D$7:$D$606,$U211)="","",IF(INDEX(UCRETLER!$F$7:$F$606,$U211)="Aylık",EOMONTH(INDEX(UCRETLER!$D$7:$D$606,$U211),$V211-1),INDEX(UCRETLER!$U$7:$U$606,$U211)+7*($V211-1))))</f>
        <v/>
      </c>
      <c r="X211" s="1">
        <f>IF($U211=0,0,INDEX(UCRETLER!$G$7:$G$606,$U211))</f>
        <v>0</v>
      </c>
      <c r="Y211" s="1">
        <f t="shared" ca="1" si="51"/>
        <v>10000000000</v>
      </c>
      <c r="Z211" s="1">
        <f t="shared" ca="1" si="52"/>
        <v>1</v>
      </c>
      <c r="AA211" s="1"/>
      <c r="AB211" s="1"/>
      <c r="AC211" s="1"/>
      <c r="AD211" s="1"/>
    </row>
    <row r="212" spans="1:30" ht="19.5" customHeight="1" x14ac:dyDescent="0.3">
      <c r="A212" s="2"/>
      <c r="B212" s="86" t="str">
        <f t="shared" ca="1" si="43"/>
        <v/>
      </c>
      <c r="C212" s="87" t="str">
        <f t="shared" ca="1" si="44"/>
        <v/>
      </c>
      <c r="D212" s="88" t="str">
        <f t="shared" ca="1" si="45"/>
        <v/>
      </c>
      <c r="E212" s="86" t="str">
        <f t="shared" ca="1" si="46"/>
        <v/>
      </c>
      <c r="F212" s="89" t="str">
        <f t="shared" ca="1" si="47"/>
        <v/>
      </c>
      <c r="G212" s="89" t="str">
        <f t="shared" ca="1" si="48"/>
        <v/>
      </c>
      <c r="H212" s="89" t="str">
        <f t="shared" ca="1" si="49"/>
        <v/>
      </c>
      <c r="I212" s="2"/>
      <c r="J212" s="2"/>
      <c r="K212" s="1"/>
      <c r="L212" s="1"/>
      <c r="M212" s="1">
        <v>201</v>
      </c>
      <c r="N212" s="1" t="str">
        <f ca="1">IF(OR($U212=0,$W212="",$X212&lt;=0),"",IF($W212&gt;TODAY(),"",IF(AND(INDEX(UCRETLER!$E$7:$E$606,$U212)&lt;&gt;"",$W212&gt;INDEX(UCRETLER!$E$7:$E$606,$U212)),"",$W212)))</f>
        <v/>
      </c>
      <c r="O212" s="1" t="str">
        <f ca="1"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" t="str">
        <f t="shared" ca="1" si="53"/>
        <v/>
      </c>
      <c r="Q212" s="1"/>
      <c r="R212" s="1">
        <f t="shared" ca="1" si="54"/>
        <v>0</v>
      </c>
      <c r="S212" s="1">
        <v>0</v>
      </c>
      <c r="T212" s="1">
        <f t="shared" ca="1" si="50"/>
        <v>10000000000</v>
      </c>
      <c r="U212" s="1">
        <f t="shared" si="55"/>
        <v>0</v>
      </c>
      <c r="V212" s="1">
        <v>40</v>
      </c>
      <c r="W212" s="1" t="str">
        <f>IF($U212=0,"",IF(INDEX(UCRETLER!$D$7:$D$606,$U212)="","",IF(INDEX(UCRETLER!$F$7:$F$606,$U212)="Aylık",EOMONTH(INDEX(UCRETLER!$D$7:$D$606,$U212),$V212-1),INDEX(UCRETLER!$U$7:$U$606,$U212)+7*($V212-1))))</f>
        <v/>
      </c>
      <c r="X212" s="1">
        <f>IF($U212=0,0,INDEX(UCRETLER!$G$7:$G$606,$U212))</f>
        <v>0</v>
      </c>
      <c r="Y212" s="1">
        <f t="shared" ca="1" si="51"/>
        <v>10000000000</v>
      </c>
      <c r="Z212" s="1">
        <f t="shared" ca="1" si="52"/>
        <v>1</v>
      </c>
      <c r="AA212" s="1"/>
      <c r="AB212" s="1"/>
      <c r="AC212" s="1"/>
      <c r="AD212" s="1"/>
    </row>
    <row r="213" spans="1:30" ht="19.5" customHeight="1" x14ac:dyDescent="0.3">
      <c r="A213" s="2"/>
      <c r="B213" s="86" t="str">
        <f t="shared" ca="1" si="43"/>
        <v/>
      </c>
      <c r="C213" s="87" t="str">
        <f t="shared" ca="1" si="44"/>
        <v/>
      </c>
      <c r="D213" s="88" t="str">
        <f t="shared" ca="1" si="45"/>
        <v/>
      </c>
      <c r="E213" s="86" t="str">
        <f t="shared" ca="1" si="46"/>
        <v/>
      </c>
      <c r="F213" s="89" t="str">
        <f t="shared" ca="1" si="47"/>
        <v/>
      </c>
      <c r="G213" s="89" t="str">
        <f t="shared" ca="1" si="48"/>
        <v/>
      </c>
      <c r="H213" s="89" t="str">
        <f t="shared" ca="1" si="49"/>
        <v/>
      </c>
      <c r="I213" s="2"/>
      <c r="J213" s="2"/>
      <c r="K213" s="1"/>
      <c r="L213" s="1"/>
      <c r="M213" s="1">
        <v>202</v>
      </c>
      <c r="N213" s="1" t="str">
        <f ca="1">IF(OR($U213=0,$W213="",$X213&lt;=0),"",IF($W213&gt;TODAY(),"",IF(AND(INDEX(UCRETLER!$E$7:$E$606,$U213)&lt;&gt;"",$W213&gt;INDEX(UCRETLER!$E$7:$E$606,$U213)),"",$W213)))</f>
        <v/>
      </c>
      <c r="O213" s="1" t="str">
        <f ca="1"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" t="str">
        <f t="shared" ca="1" si="53"/>
        <v/>
      </c>
      <c r="Q213" s="1"/>
      <c r="R213" s="1">
        <f t="shared" ca="1" si="54"/>
        <v>0</v>
      </c>
      <c r="S213" s="1">
        <v>0</v>
      </c>
      <c r="T213" s="1">
        <f t="shared" ca="1" si="50"/>
        <v>10000000000</v>
      </c>
      <c r="U213" s="1">
        <f t="shared" si="55"/>
        <v>0</v>
      </c>
      <c r="V213" s="1">
        <v>41</v>
      </c>
      <c r="W213" s="1" t="str">
        <f>IF($U213=0,"",IF(INDEX(UCRETLER!$D$7:$D$606,$U213)="","",IF(INDEX(UCRETLER!$F$7:$F$606,$U213)="Aylık",EOMONTH(INDEX(UCRETLER!$D$7:$D$606,$U213),$V213-1),INDEX(UCRETLER!$U$7:$U$606,$U213)+7*($V213-1))))</f>
        <v/>
      </c>
      <c r="X213" s="1">
        <f>IF($U213=0,0,INDEX(UCRETLER!$G$7:$G$606,$U213))</f>
        <v>0</v>
      </c>
      <c r="Y213" s="1">
        <f t="shared" ca="1" si="51"/>
        <v>10000000000</v>
      </c>
      <c r="Z213" s="1">
        <f t="shared" ca="1" si="52"/>
        <v>1</v>
      </c>
      <c r="AA213" s="1"/>
      <c r="AB213" s="1"/>
      <c r="AC213" s="1"/>
      <c r="AD213" s="1"/>
    </row>
    <row r="214" spans="1:30" ht="19.5" customHeight="1" x14ac:dyDescent="0.3">
      <c r="A214" s="2"/>
      <c r="B214" s="86" t="str">
        <f t="shared" ca="1" si="43"/>
        <v/>
      </c>
      <c r="C214" s="87" t="str">
        <f t="shared" ca="1" si="44"/>
        <v/>
      </c>
      <c r="D214" s="88" t="str">
        <f t="shared" ca="1" si="45"/>
        <v/>
      </c>
      <c r="E214" s="86" t="str">
        <f t="shared" ca="1" si="46"/>
        <v/>
      </c>
      <c r="F214" s="89" t="str">
        <f t="shared" ca="1" si="47"/>
        <v/>
      </c>
      <c r="G214" s="89" t="str">
        <f t="shared" ca="1" si="48"/>
        <v/>
      </c>
      <c r="H214" s="89" t="str">
        <f t="shared" ca="1" si="49"/>
        <v/>
      </c>
      <c r="I214" s="2"/>
      <c r="J214" s="2"/>
      <c r="K214" s="1"/>
      <c r="L214" s="1"/>
      <c r="M214" s="1">
        <v>203</v>
      </c>
      <c r="N214" s="1" t="str">
        <f ca="1">IF(OR($U214=0,$W214="",$X214&lt;=0),"",IF($W214&gt;TODAY(),"",IF(AND(INDEX(UCRETLER!$E$7:$E$606,$U214)&lt;&gt;"",$W214&gt;INDEX(UCRETLER!$E$7:$E$606,$U214)),"",$W214)))</f>
        <v/>
      </c>
      <c r="O214" s="1" t="str">
        <f ca="1"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" t="str">
        <f t="shared" ca="1" si="53"/>
        <v/>
      </c>
      <c r="Q214" s="1"/>
      <c r="R214" s="1">
        <f t="shared" ca="1" si="54"/>
        <v>0</v>
      </c>
      <c r="S214" s="1">
        <v>0</v>
      </c>
      <c r="T214" s="1">
        <f t="shared" ca="1" si="50"/>
        <v>10000000000</v>
      </c>
      <c r="U214" s="1">
        <f t="shared" si="55"/>
        <v>0</v>
      </c>
      <c r="V214" s="1">
        <v>42</v>
      </c>
      <c r="W214" s="1" t="str">
        <f>IF($U214=0,"",IF(INDEX(UCRETLER!$D$7:$D$606,$U214)="","",IF(INDEX(UCRETLER!$F$7:$F$606,$U214)="Aylık",EOMONTH(INDEX(UCRETLER!$D$7:$D$606,$U214),$V214-1),INDEX(UCRETLER!$U$7:$U$606,$U214)+7*($V214-1))))</f>
        <v/>
      </c>
      <c r="X214" s="1">
        <f>IF($U214=0,0,INDEX(UCRETLER!$G$7:$G$606,$U214))</f>
        <v>0</v>
      </c>
      <c r="Y214" s="1">
        <f t="shared" ca="1" si="51"/>
        <v>10000000000</v>
      </c>
      <c r="Z214" s="1">
        <f t="shared" ca="1" si="52"/>
        <v>1</v>
      </c>
      <c r="AA214" s="1"/>
      <c r="AB214" s="1"/>
      <c r="AC214" s="1"/>
      <c r="AD214" s="1"/>
    </row>
    <row r="215" spans="1:30" ht="19.5" customHeight="1" x14ac:dyDescent="0.3">
      <c r="A215" s="2"/>
      <c r="B215" s="86" t="str">
        <f t="shared" ca="1" si="43"/>
        <v/>
      </c>
      <c r="C215" s="87" t="str">
        <f t="shared" ca="1" si="44"/>
        <v/>
      </c>
      <c r="D215" s="88" t="str">
        <f t="shared" ca="1" si="45"/>
        <v/>
      </c>
      <c r="E215" s="86" t="str">
        <f t="shared" ca="1" si="46"/>
        <v/>
      </c>
      <c r="F215" s="89" t="str">
        <f t="shared" ca="1" si="47"/>
        <v/>
      </c>
      <c r="G215" s="89" t="str">
        <f t="shared" ca="1" si="48"/>
        <v/>
      </c>
      <c r="H215" s="89" t="str">
        <f t="shared" ca="1" si="49"/>
        <v/>
      </c>
      <c r="I215" s="2"/>
      <c r="J215" s="2"/>
      <c r="K215" s="1"/>
      <c r="L215" s="1"/>
      <c r="M215" s="1">
        <v>204</v>
      </c>
      <c r="N215" s="1" t="str">
        <f ca="1">IF(OR($U215=0,$W215="",$X215&lt;=0),"",IF($W215&gt;TODAY(),"",IF(AND(INDEX(UCRETLER!$E$7:$E$606,$U215)&lt;&gt;"",$W215&gt;INDEX(UCRETLER!$E$7:$E$606,$U215)),"",$W215)))</f>
        <v/>
      </c>
      <c r="O215" s="1" t="str">
        <f ca="1"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" t="str">
        <f t="shared" ca="1" si="53"/>
        <v/>
      </c>
      <c r="Q215" s="1"/>
      <c r="R215" s="1">
        <f t="shared" ca="1" si="54"/>
        <v>0</v>
      </c>
      <c r="S215" s="1">
        <v>0</v>
      </c>
      <c r="T215" s="1">
        <f t="shared" ca="1" si="50"/>
        <v>10000000000</v>
      </c>
      <c r="U215" s="1">
        <f t="shared" si="55"/>
        <v>0</v>
      </c>
      <c r="V215" s="1">
        <v>43</v>
      </c>
      <c r="W215" s="1" t="str">
        <f>IF($U215=0,"",IF(INDEX(UCRETLER!$D$7:$D$606,$U215)="","",IF(INDEX(UCRETLER!$F$7:$F$606,$U215)="Aylık",EOMONTH(INDEX(UCRETLER!$D$7:$D$606,$U215),$V215-1),INDEX(UCRETLER!$U$7:$U$606,$U215)+7*($V215-1))))</f>
        <v/>
      </c>
      <c r="X215" s="1">
        <f>IF($U215=0,0,INDEX(UCRETLER!$G$7:$G$606,$U215))</f>
        <v>0</v>
      </c>
      <c r="Y215" s="1">
        <f t="shared" ca="1" si="51"/>
        <v>10000000000</v>
      </c>
      <c r="Z215" s="1">
        <f t="shared" ca="1" si="52"/>
        <v>1</v>
      </c>
      <c r="AA215" s="1"/>
      <c r="AB215" s="1"/>
      <c r="AC215" s="1"/>
      <c r="AD215" s="1"/>
    </row>
    <row r="216" spans="1:30" ht="19.5" customHeight="1" x14ac:dyDescent="0.3">
      <c r="A216" s="2"/>
      <c r="B216" s="86" t="str">
        <f t="shared" ca="1" si="43"/>
        <v/>
      </c>
      <c r="C216" s="87" t="str">
        <f t="shared" ca="1" si="44"/>
        <v/>
      </c>
      <c r="D216" s="88" t="str">
        <f t="shared" ca="1" si="45"/>
        <v/>
      </c>
      <c r="E216" s="86" t="str">
        <f t="shared" ca="1" si="46"/>
        <v/>
      </c>
      <c r="F216" s="89" t="str">
        <f t="shared" ca="1" si="47"/>
        <v/>
      </c>
      <c r="G216" s="89" t="str">
        <f t="shared" ca="1" si="48"/>
        <v/>
      </c>
      <c r="H216" s="89" t="str">
        <f t="shared" ca="1" si="49"/>
        <v/>
      </c>
      <c r="I216" s="2"/>
      <c r="J216" s="2"/>
      <c r="K216" s="1"/>
      <c r="L216" s="1"/>
      <c r="M216" s="1">
        <v>205</v>
      </c>
      <c r="N216" s="1" t="str">
        <f ca="1">IF(OR($U216=0,$W216="",$X216&lt;=0),"",IF($W216&gt;TODAY(),"",IF(AND(INDEX(UCRETLER!$E$7:$E$606,$U216)&lt;&gt;"",$W216&gt;INDEX(UCRETLER!$E$7:$E$606,$U216)),"",$W216)))</f>
        <v/>
      </c>
      <c r="O216" s="1" t="str">
        <f ca="1"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" t="str">
        <f t="shared" ca="1" si="53"/>
        <v/>
      </c>
      <c r="Q216" s="1"/>
      <c r="R216" s="1">
        <f t="shared" ca="1" si="54"/>
        <v>0</v>
      </c>
      <c r="S216" s="1">
        <v>0</v>
      </c>
      <c r="T216" s="1">
        <f t="shared" ca="1" si="50"/>
        <v>10000000000</v>
      </c>
      <c r="U216" s="1">
        <f t="shared" si="55"/>
        <v>0</v>
      </c>
      <c r="V216" s="1">
        <v>44</v>
      </c>
      <c r="W216" s="1" t="str">
        <f>IF($U216=0,"",IF(INDEX(UCRETLER!$D$7:$D$606,$U216)="","",IF(INDEX(UCRETLER!$F$7:$F$606,$U216)="Aylık",EOMONTH(INDEX(UCRETLER!$D$7:$D$606,$U216),$V216-1),INDEX(UCRETLER!$U$7:$U$606,$U216)+7*($V216-1))))</f>
        <v/>
      </c>
      <c r="X216" s="1">
        <f>IF($U216=0,0,INDEX(UCRETLER!$G$7:$G$606,$U216))</f>
        <v>0</v>
      </c>
      <c r="Y216" s="1">
        <f t="shared" ca="1" si="51"/>
        <v>10000000000</v>
      </c>
      <c r="Z216" s="1">
        <f t="shared" ca="1" si="52"/>
        <v>1</v>
      </c>
      <c r="AA216" s="1"/>
      <c r="AB216" s="1"/>
      <c r="AC216" s="1"/>
      <c r="AD216" s="1"/>
    </row>
    <row r="217" spans="1:30" ht="19.5" customHeight="1" x14ac:dyDescent="0.3">
      <c r="A217" s="2"/>
      <c r="B217" s="86" t="str">
        <f t="shared" ca="1" si="43"/>
        <v/>
      </c>
      <c r="C217" s="87" t="str">
        <f t="shared" ca="1" si="44"/>
        <v/>
      </c>
      <c r="D217" s="88" t="str">
        <f t="shared" ca="1" si="45"/>
        <v/>
      </c>
      <c r="E217" s="86" t="str">
        <f t="shared" ca="1" si="46"/>
        <v/>
      </c>
      <c r="F217" s="89" t="str">
        <f t="shared" ca="1" si="47"/>
        <v/>
      </c>
      <c r="G217" s="89" t="str">
        <f t="shared" ca="1" si="48"/>
        <v/>
      </c>
      <c r="H217" s="89" t="str">
        <f t="shared" ca="1" si="49"/>
        <v/>
      </c>
      <c r="I217" s="2"/>
      <c r="J217" s="2"/>
      <c r="K217" s="1"/>
      <c r="L217" s="1"/>
      <c r="M217" s="1">
        <v>206</v>
      </c>
      <c r="N217" s="1" t="str">
        <f ca="1">IF(OR($U217=0,$W217="",$X217&lt;=0),"",IF($W217&gt;TODAY(),"",IF(AND(INDEX(UCRETLER!$E$7:$E$606,$U217)&lt;&gt;"",$W217&gt;INDEX(UCRETLER!$E$7:$E$606,$U217)),"",$W217)))</f>
        <v/>
      </c>
      <c r="O217" s="1" t="str">
        <f ca="1"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" t="str">
        <f t="shared" ca="1" si="53"/>
        <v/>
      </c>
      <c r="Q217" s="1"/>
      <c r="R217" s="1">
        <f t="shared" ca="1" si="54"/>
        <v>0</v>
      </c>
      <c r="S217" s="1">
        <v>0</v>
      </c>
      <c r="T217" s="1">
        <f t="shared" ca="1" si="50"/>
        <v>10000000000</v>
      </c>
      <c r="U217" s="1">
        <f t="shared" si="55"/>
        <v>0</v>
      </c>
      <c r="V217" s="1">
        <v>45</v>
      </c>
      <c r="W217" s="1" t="str">
        <f>IF($U217=0,"",IF(INDEX(UCRETLER!$D$7:$D$606,$U217)="","",IF(INDEX(UCRETLER!$F$7:$F$606,$U217)="Aylık",EOMONTH(INDEX(UCRETLER!$D$7:$D$606,$U217),$V217-1),INDEX(UCRETLER!$U$7:$U$606,$U217)+7*($V217-1))))</f>
        <v/>
      </c>
      <c r="X217" s="1">
        <f>IF($U217=0,0,INDEX(UCRETLER!$G$7:$G$606,$U217))</f>
        <v>0</v>
      </c>
      <c r="Y217" s="1">
        <f t="shared" ca="1" si="51"/>
        <v>10000000000</v>
      </c>
      <c r="Z217" s="1">
        <f t="shared" ca="1" si="52"/>
        <v>1</v>
      </c>
      <c r="AA217" s="1"/>
      <c r="AB217" s="1"/>
      <c r="AC217" s="1"/>
      <c r="AD217" s="1"/>
    </row>
    <row r="218" spans="1:30" ht="19.5" customHeight="1" x14ac:dyDescent="0.3">
      <c r="A218" s="2"/>
      <c r="B218" s="86" t="str">
        <f t="shared" ca="1" si="43"/>
        <v/>
      </c>
      <c r="C218" s="87" t="str">
        <f t="shared" ca="1" si="44"/>
        <v/>
      </c>
      <c r="D218" s="88" t="str">
        <f t="shared" ca="1" si="45"/>
        <v/>
      </c>
      <c r="E218" s="86" t="str">
        <f t="shared" ca="1" si="46"/>
        <v/>
      </c>
      <c r="F218" s="89" t="str">
        <f t="shared" ca="1" si="47"/>
        <v/>
      </c>
      <c r="G218" s="89" t="str">
        <f t="shared" ca="1" si="48"/>
        <v/>
      </c>
      <c r="H218" s="89" t="str">
        <f t="shared" ca="1" si="49"/>
        <v/>
      </c>
      <c r="I218" s="2"/>
      <c r="J218" s="2"/>
      <c r="K218" s="1"/>
      <c r="L218" s="1"/>
      <c r="M218" s="1">
        <v>207</v>
      </c>
      <c r="N218" s="1" t="str">
        <f ca="1">IF(OR($U218=0,$W218="",$X218&lt;=0),"",IF($W218&gt;TODAY(),"",IF(AND(INDEX(UCRETLER!$E$7:$E$606,$U218)&lt;&gt;"",$W218&gt;INDEX(UCRETLER!$E$7:$E$606,$U218)),"",$W218)))</f>
        <v/>
      </c>
      <c r="O218" s="1" t="str">
        <f ca="1"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" t="str">
        <f t="shared" ca="1" si="53"/>
        <v/>
      </c>
      <c r="Q218" s="1"/>
      <c r="R218" s="1">
        <f t="shared" ca="1" si="54"/>
        <v>0</v>
      </c>
      <c r="S218" s="1">
        <v>0</v>
      </c>
      <c r="T218" s="1">
        <f t="shared" ca="1" si="50"/>
        <v>10000000000</v>
      </c>
      <c r="U218" s="1">
        <f t="shared" si="55"/>
        <v>0</v>
      </c>
      <c r="V218" s="1">
        <v>46</v>
      </c>
      <c r="W218" s="1" t="str">
        <f>IF($U218=0,"",IF(INDEX(UCRETLER!$D$7:$D$606,$U218)="","",IF(INDEX(UCRETLER!$F$7:$F$606,$U218)="Aylık",EOMONTH(INDEX(UCRETLER!$D$7:$D$606,$U218),$V218-1),INDEX(UCRETLER!$U$7:$U$606,$U218)+7*($V218-1))))</f>
        <v/>
      </c>
      <c r="X218" s="1">
        <f>IF($U218=0,0,INDEX(UCRETLER!$G$7:$G$606,$U218))</f>
        <v>0</v>
      </c>
      <c r="Y218" s="1">
        <f t="shared" ca="1" si="51"/>
        <v>10000000000</v>
      </c>
      <c r="Z218" s="1">
        <f t="shared" ca="1" si="52"/>
        <v>1</v>
      </c>
      <c r="AA218" s="1"/>
      <c r="AB218" s="1"/>
      <c r="AC218" s="1"/>
      <c r="AD218" s="1"/>
    </row>
    <row r="219" spans="1:30" ht="19.5" customHeight="1" x14ac:dyDescent="0.3">
      <c r="A219" s="2"/>
      <c r="B219" s="86" t="str">
        <f t="shared" ca="1" si="43"/>
        <v/>
      </c>
      <c r="C219" s="87" t="str">
        <f t="shared" ca="1" si="44"/>
        <v/>
      </c>
      <c r="D219" s="88" t="str">
        <f t="shared" ca="1" si="45"/>
        <v/>
      </c>
      <c r="E219" s="86" t="str">
        <f t="shared" ca="1" si="46"/>
        <v/>
      </c>
      <c r="F219" s="89" t="str">
        <f t="shared" ca="1" si="47"/>
        <v/>
      </c>
      <c r="G219" s="89" t="str">
        <f t="shared" ca="1" si="48"/>
        <v/>
      </c>
      <c r="H219" s="89" t="str">
        <f t="shared" ca="1" si="49"/>
        <v/>
      </c>
      <c r="I219" s="2"/>
      <c r="J219" s="2"/>
      <c r="K219" s="1"/>
      <c r="L219" s="1"/>
      <c r="M219" s="1">
        <v>208</v>
      </c>
      <c r="N219" s="1" t="str">
        <f ca="1">IF(OR($U219=0,$W219="",$X219&lt;=0),"",IF($W219&gt;TODAY(),"",IF(AND(INDEX(UCRETLER!$E$7:$E$606,$U219)&lt;&gt;"",$W219&gt;INDEX(UCRETLER!$E$7:$E$606,$U219)),"",$W219)))</f>
        <v/>
      </c>
      <c r="O219" s="1" t="str">
        <f ca="1"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" t="str">
        <f t="shared" ca="1" si="53"/>
        <v/>
      </c>
      <c r="Q219" s="1"/>
      <c r="R219" s="1">
        <f t="shared" ca="1" si="54"/>
        <v>0</v>
      </c>
      <c r="S219" s="1">
        <v>0</v>
      </c>
      <c r="T219" s="1">
        <f t="shared" ca="1" si="50"/>
        <v>10000000000</v>
      </c>
      <c r="U219" s="1">
        <f t="shared" si="55"/>
        <v>0</v>
      </c>
      <c r="V219" s="1">
        <v>47</v>
      </c>
      <c r="W219" s="1" t="str">
        <f>IF($U219=0,"",IF(INDEX(UCRETLER!$D$7:$D$606,$U219)="","",IF(INDEX(UCRETLER!$F$7:$F$606,$U219)="Aylık",EOMONTH(INDEX(UCRETLER!$D$7:$D$606,$U219),$V219-1),INDEX(UCRETLER!$U$7:$U$606,$U219)+7*($V219-1))))</f>
        <v/>
      </c>
      <c r="X219" s="1">
        <f>IF($U219=0,0,INDEX(UCRETLER!$G$7:$G$606,$U219))</f>
        <v>0</v>
      </c>
      <c r="Y219" s="1">
        <f t="shared" ca="1" si="51"/>
        <v>10000000000</v>
      </c>
      <c r="Z219" s="1">
        <f t="shared" ca="1" si="52"/>
        <v>1</v>
      </c>
      <c r="AA219" s="1"/>
      <c r="AB219" s="1"/>
      <c r="AC219" s="1"/>
      <c r="AD219" s="1"/>
    </row>
    <row r="220" spans="1:30" ht="19.5" customHeight="1" x14ac:dyDescent="0.3">
      <c r="A220" s="2"/>
      <c r="B220" s="86" t="str">
        <f t="shared" ca="1" si="43"/>
        <v/>
      </c>
      <c r="C220" s="87" t="str">
        <f t="shared" ca="1" si="44"/>
        <v/>
      </c>
      <c r="D220" s="88" t="str">
        <f t="shared" ca="1" si="45"/>
        <v/>
      </c>
      <c r="E220" s="86" t="str">
        <f t="shared" ca="1" si="46"/>
        <v/>
      </c>
      <c r="F220" s="89" t="str">
        <f t="shared" ca="1" si="47"/>
        <v/>
      </c>
      <c r="G220" s="89" t="str">
        <f t="shared" ca="1" si="48"/>
        <v/>
      </c>
      <c r="H220" s="89" t="str">
        <f t="shared" ca="1" si="49"/>
        <v/>
      </c>
      <c r="I220" s="2"/>
      <c r="J220" s="2"/>
      <c r="K220" s="1"/>
      <c r="L220" s="1"/>
      <c r="M220" s="1">
        <v>209</v>
      </c>
      <c r="N220" s="1" t="str">
        <f ca="1">IF(OR($U220=0,$W220="",$X220&lt;=0),"",IF($W220&gt;TODAY(),"",IF(AND(INDEX(UCRETLER!$E$7:$E$606,$U220)&lt;&gt;"",$W220&gt;INDEX(UCRETLER!$E$7:$E$606,$U220)),"",$W220)))</f>
        <v/>
      </c>
      <c r="O220" s="1" t="str">
        <f ca="1"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" t="str">
        <f t="shared" ca="1" si="53"/>
        <v/>
      </c>
      <c r="Q220" s="1"/>
      <c r="R220" s="1">
        <f t="shared" ca="1" si="54"/>
        <v>0</v>
      </c>
      <c r="S220" s="1">
        <v>0</v>
      </c>
      <c r="T220" s="1">
        <f t="shared" ca="1" si="50"/>
        <v>10000000000</v>
      </c>
      <c r="U220" s="1">
        <f t="shared" si="55"/>
        <v>0</v>
      </c>
      <c r="V220" s="1">
        <v>48</v>
      </c>
      <c r="W220" s="1" t="str">
        <f>IF($U220=0,"",IF(INDEX(UCRETLER!$D$7:$D$606,$U220)="","",IF(INDEX(UCRETLER!$F$7:$F$606,$U220)="Aylık",EOMONTH(INDEX(UCRETLER!$D$7:$D$606,$U220),$V220-1),INDEX(UCRETLER!$U$7:$U$606,$U220)+7*($V220-1))))</f>
        <v/>
      </c>
      <c r="X220" s="1">
        <f>IF($U220=0,0,INDEX(UCRETLER!$G$7:$G$606,$U220))</f>
        <v>0</v>
      </c>
      <c r="Y220" s="1">
        <f t="shared" ca="1" si="51"/>
        <v>10000000000</v>
      </c>
      <c r="Z220" s="1">
        <f t="shared" ca="1" si="52"/>
        <v>1</v>
      </c>
      <c r="AA220" s="1"/>
      <c r="AB220" s="1"/>
      <c r="AC220" s="1"/>
      <c r="AD220" s="1"/>
    </row>
    <row r="221" spans="1:30" ht="19.5" customHeight="1" x14ac:dyDescent="0.3">
      <c r="A221" s="2"/>
      <c r="B221" s="86" t="str">
        <f t="shared" ca="1" si="43"/>
        <v/>
      </c>
      <c r="C221" s="87" t="str">
        <f t="shared" ca="1" si="44"/>
        <v/>
      </c>
      <c r="D221" s="88" t="str">
        <f t="shared" ca="1" si="45"/>
        <v/>
      </c>
      <c r="E221" s="86" t="str">
        <f t="shared" ca="1" si="46"/>
        <v/>
      </c>
      <c r="F221" s="89" t="str">
        <f t="shared" ca="1" si="47"/>
        <v/>
      </c>
      <c r="G221" s="89" t="str">
        <f t="shared" ca="1" si="48"/>
        <v/>
      </c>
      <c r="H221" s="89" t="str">
        <f t="shared" ca="1" si="49"/>
        <v/>
      </c>
      <c r="I221" s="2"/>
      <c r="J221" s="2"/>
      <c r="K221" s="1"/>
      <c r="L221" s="1"/>
      <c r="M221" s="1">
        <v>210</v>
      </c>
      <c r="N221" s="1" t="str">
        <f ca="1">IF(OR($U221=0,$W221="",$X221&lt;=0),"",IF($W221&gt;TODAY(),"",IF(AND(INDEX(UCRETLER!$E$7:$E$606,$U221)&lt;&gt;"",$W221&gt;INDEX(UCRETLER!$E$7:$E$606,$U221)),"",$W221)))</f>
        <v/>
      </c>
      <c r="O221" s="1" t="str">
        <f ca="1"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" t="str">
        <f t="shared" ca="1" si="53"/>
        <v/>
      </c>
      <c r="Q221" s="1"/>
      <c r="R221" s="1">
        <f t="shared" ca="1" si="54"/>
        <v>0</v>
      </c>
      <c r="S221" s="1">
        <v>0</v>
      </c>
      <c r="T221" s="1">
        <f t="shared" ca="1" si="50"/>
        <v>10000000000</v>
      </c>
      <c r="U221" s="1">
        <f t="shared" si="55"/>
        <v>0</v>
      </c>
      <c r="V221" s="1">
        <v>49</v>
      </c>
      <c r="W221" s="1" t="str">
        <f>IF($U221=0,"",IF(INDEX(UCRETLER!$D$7:$D$606,$U221)="","",IF(INDEX(UCRETLER!$F$7:$F$606,$U221)="Aylık",EOMONTH(INDEX(UCRETLER!$D$7:$D$606,$U221),$V221-1),INDEX(UCRETLER!$U$7:$U$606,$U221)+7*($V221-1))))</f>
        <v/>
      </c>
      <c r="X221" s="1">
        <f>IF($U221=0,0,INDEX(UCRETLER!$G$7:$G$606,$U221))</f>
        <v>0</v>
      </c>
      <c r="Y221" s="1">
        <f t="shared" ca="1" si="51"/>
        <v>10000000000</v>
      </c>
      <c r="Z221" s="1">
        <f t="shared" ca="1" si="52"/>
        <v>1</v>
      </c>
      <c r="AA221" s="1"/>
      <c r="AB221" s="1"/>
      <c r="AC221" s="1"/>
      <c r="AD221" s="1"/>
    </row>
    <row r="222" spans="1:30" ht="19.5" customHeight="1" x14ac:dyDescent="0.3">
      <c r="A222" s="2"/>
      <c r="B222" s="86" t="str">
        <f t="shared" ca="1" si="43"/>
        <v/>
      </c>
      <c r="C222" s="87" t="str">
        <f t="shared" ca="1" si="44"/>
        <v/>
      </c>
      <c r="D222" s="88" t="str">
        <f t="shared" ca="1" si="45"/>
        <v/>
      </c>
      <c r="E222" s="86" t="str">
        <f t="shared" ca="1" si="46"/>
        <v/>
      </c>
      <c r="F222" s="89" t="str">
        <f t="shared" ca="1" si="47"/>
        <v/>
      </c>
      <c r="G222" s="89" t="str">
        <f t="shared" ca="1" si="48"/>
        <v/>
      </c>
      <c r="H222" s="89" t="str">
        <f t="shared" ca="1" si="49"/>
        <v/>
      </c>
      <c r="I222" s="2"/>
      <c r="J222" s="2"/>
      <c r="K222" s="1"/>
      <c r="L222" s="1"/>
      <c r="M222" s="1">
        <v>211</v>
      </c>
      <c r="N222" s="1" t="str">
        <f ca="1">IF(OR($U222=0,$W222="",$X222&lt;=0),"",IF($W222&gt;TODAY(),"",IF(AND(INDEX(UCRETLER!$E$7:$E$606,$U222)&lt;&gt;"",$W222&gt;INDEX(UCRETLER!$E$7:$E$606,$U222)),"",$W222)))</f>
        <v/>
      </c>
      <c r="O222" s="1" t="str">
        <f ca="1"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" t="str">
        <f t="shared" ca="1" si="53"/>
        <v/>
      </c>
      <c r="Q222" s="1"/>
      <c r="R222" s="1">
        <f t="shared" ca="1" si="54"/>
        <v>0</v>
      </c>
      <c r="S222" s="1">
        <v>0</v>
      </c>
      <c r="T222" s="1">
        <f t="shared" ca="1" si="50"/>
        <v>10000000000</v>
      </c>
      <c r="U222" s="1">
        <f t="shared" si="55"/>
        <v>0</v>
      </c>
      <c r="V222" s="1">
        <v>50</v>
      </c>
      <c r="W222" s="1" t="str">
        <f>IF($U222=0,"",IF(INDEX(UCRETLER!$D$7:$D$606,$U222)="","",IF(INDEX(UCRETLER!$F$7:$F$606,$U222)="Aylık",EOMONTH(INDEX(UCRETLER!$D$7:$D$606,$U222),$V222-1),INDEX(UCRETLER!$U$7:$U$606,$U222)+7*($V222-1))))</f>
        <v/>
      </c>
      <c r="X222" s="1">
        <f>IF($U222=0,0,INDEX(UCRETLER!$G$7:$G$606,$U222))</f>
        <v>0</v>
      </c>
      <c r="Y222" s="1">
        <f t="shared" ca="1" si="51"/>
        <v>10000000000</v>
      </c>
      <c r="Z222" s="1">
        <f t="shared" ca="1" si="52"/>
        <v>1</v>
      </c>
      <c r="AA222" s="1"/>
      <c r="AB222" s="1"/>
      <c r="AC222" s="1"/>
      <c r="AD222" s="1"/>
    </row>
    <row r="223" spans="1:30" ht="19.5" customHeight="1" x14ac:dyDescent="0.3">
      <c r="A223" s="2"/>
      <c r="B223" s="86" t="str">
        <f t="shared" ca="1" si="43"/>
        <v/>
      </c>
      <c r="C223" s="87" t="str">
        <f t="shared" ca="1" si="44"/>
        <v/>
      </c>
      <c r="D223" s="88" t="str">
        <f t="shared" ca="1" si="45"/>
        <v/>
      </c>
      <c r="E223" s="86" t="str">
        <f t="shared" ca="1" si="46"/>
        <v/>
      </c>
      <c r="F223" s="89" t="str">
        <f t="shared" ca="1" si="47"/>
        <v/>
      </c>
      <c r="G223" s="89" t="str">
        <f t="shared" ca="1" si="48"/>
        <v/>
      </c>
      <c r="H223" s="89" t="str">
        <f t="shared" ca="1" si="49"/>
        <v/>
      </c>
      <c r="I223" s="2"/>
      <c r="J223" s="2"/>
      <c r="K223" s="1"/>
      <c r="L223" s="1"/>
      <c r="M223" s="1">
        <v>212</v>
      </c>
      <c r="N223" s="1" t="str">
        <f ca="1">IF(OR($U223=0,$W223="",$X223&lt;=0),"",IF($W223&gt;TODAY(),"",IF(AND(INDEX(UCRETLER!$E$7:$E$606,$U223)&lt;&gt;"",$W223&gt;INDEX(UCRETLER!$E$7:$E$606,$U223)),"",$W223)))</f>
        <v/>
      </c>
      <c r="O223" s="1" t="str">
        <f ca="1"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" t="str">
        <f t="shared" ca="1" si="53"/>
        <v/>
      </c>
      <c r="Q223" s="1"/>
      <c r="R223" s="1">
        <f t="shared" ca="1" si="54"/>
        <v>0</v>
      </c>
      <c r="S223" s="1">
        <v>0</v>
      </c>
      <c r="T223" s="1">
        <f t="shared" ca="1" si="50"/>
        <v>10000000000</v>
      </c>
      <c r="U223" s="1">
        <f t="shared" si="55"/>
        <v>0</v>
      </c>
      <c r="V223" s="1">
        <v>51</v>
      </c>
      <c r="W223" s="1" t="str">
        <f>IF($U223=0,"",IF(INDEX(UCRETLER!$D$7:$D$606,$U223)="","",IF(INDEX(UCRETLER!$F$7:$F$606,$U223)="Aylık",EOMONTH(INDEX(UCRETLER!$D$7:$D$606,$U223),$V223-1),INDEX(UCRETLER!$U$7:$U$606,$U223)+7*($V223-1))))</f>
        <v/>
      </c>
      <c r="X223" s="1">
        <f>IF($U223=0,0,INDEX(UCRETLER!$G$7:$G$606,$U223))</f>
        <v>0</v>
      </c>
      <c r="Y223" s="1">
        <f t="shared" ca="1" si="51"/>
        <v>10000000000</v>
      </c>
      <c r="Z223" s="1">
        <f t="shared" ca="1" si="52"/>
        <v>1</v>
      </c>
      <c r="AA223" s="1"/>
      <c r="AB223" s="1"/>
      <c r="AC223" s="1"/>
      <c r="AD223" s="1"/>
    </row>
    <row r="224" spans="1:30" ht="19.5" customHeight="1" x14ac:dyDescent="0.3">
      <c r="A224" s="2"/>
      <c r="B224" s="86" t="str">
        <f t="shared" ca="1" si="43"/>
        <v/>
      </c>
      <c r="C224" s="87" t="str">
        <f t="shared" ca="1" si="44"/>
        <v/>
      </c>
      <c r="D224" s="88" t="str">
        <f t="shared" ca="1" si="45"/>
        <v/>
      </c>
      <c r="E224" s="86" t="str">
        <f t="shared" ca="1" si="46"/>
        <v/>
      </c>
      <c r="F224" s="89" t="str">
        <f t="shared" ca="1" si="47"/>
        <v/>
      </c>
      <c r="G224" s="89" t="str">
        <f t="shared" ca="1" si="48"/>
        <v/>
      </c>
      <c r="H224" s="89" t="str">
        <f t="shared" ca="1" si="49"/>
        <v/>
      </c>
      <c r="I224" s="2"/>
      <c r="J224" s="2"/>
      <c r="K224" s="1"/>
      <c r="L224" s="1"/>
      <c r="M224" s="1">
        <v>213</v>
      </c>
      <c r="N224" s="1" t="str">
        <f ca="1">IF(OR($U224=0,$W224="",$X224&lt;=0),"",IF($W224&gt;TODAY(),"",IF(AND(INDEX(UCRETLER!$E$7:$E$606,$U224)&lt;&gt;"",$W224&gt;INDEX(UCRETLER!$E$7:$E$606,$U224)),"",$W224)))</f>
        <v/>
      </c>
      <c r="O224" s="1" t="str">
        <f ca="1"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" t="str">
        <f t="shared" ca="1" si="53"/>
        <v/>
      </c>
      <c r="Q224" s="1"/>
      <c r="R224" s="1">
        <f t="shared" ca="1" si="54"/>
        <v>0</v>
      </c>
      <c r="S224" s="1">
        <v>0</v>
      </c>
      <c r="T224" s="1">
        <f t="shared" ca="1" si="50"/>
        <v>10000000000</v>
      </c>
      <c r="U224" s="1">
        <f t="shared" si="55"/>
        <v>0</v>
      </c>
      <c r="V224" s="1">
        <v>52</v>
      </c>
      <c r="W224" s="1" t="str">
        <f>IF($U224=0,"",IF(INDEX(UCRETLER!$D$7:$D$606,$U224)="","",IF(INDEX(UCRETLER!$F$7:$F$606,$U224)="Aylık",EOMONTH(INDEX(UCRETLER!$D$7:$D$606,$U224),$V224-1),INDEX(UCRETLER!$U$7:$U$606,$U224)+7*($V224-1))))</f>
        <v/>
      </c>
      <c r="X224" s="1">
        <f>IF($U224=0,0,INDEX(UCRETLER!$G$7:$G$606,$U224))</f>
        <v>0</v>
      </c>
      <c r="Y224" s="1">
        <f t="shared" ca="1" si="51"/>
        <v>10000000000</v>
      </c>
      <c r="Z224" s="1">
        <f t="shared" ca="1" si="52"/>
        <v>1</v>
      </c>
      <c r="AA224" s="1"/>
      <c r="AB224" s="1"/>
      <c r="AC224" s="1"/>
      <c r="AD224" s="1"/>
    </row>
    <row r="225" spans="1:30" ht="19.5" customHeight="1" x14ac:dyDescent="0.3">
      <c r="A225" s="2"/>
      <c r="B225" s="86" t="str">
        <f t="shared" ca="1" si="43"/>
        <v/>
      </c>
      <c r="C225" s="87" t="str">
        <f t="shared" ca="1" si="44"/>
        <v/>
      </c>
      <c r="D225" s="88" t="str">
        <f t="shared" ca="1" si="45"/>
        <v/>
      </c>
      <c r="E225" s="86" t="str">
        <f t="shared" ca="1" si="46"/>
        <v/>
      </c>
      <c r="F225" s="89" t="str">
        <f t="shared" ca="1" si="47"/>
        <v/>
      </c>
      <c r="G225" s="89" t="str">
        <f t="shared" ca="1" si="48"/>
        <v/>
      </c>
      <c r="H225" s="89" t="str">
        <f t="shared" ca="1" si="49"/>
        <v/>
      </c>
      <c r="I225" s="2"/>
      <c r="J225" s="2"/>
      <c r="K225" s="1"/>
      <c r="L225" s="1"/>
      <c r="M225" s="1">
        <v>214</v>
      </c>
      <c r="N225" s="1" t="str">
        <f ca="1">IF(OR($U225=0,$W225="",$X225&lt;=0),"",IF($W225&gt;TODAY(),"",IF(AND(INDEX(UCRETLER!$E$7:$E$606,$U225)&lt;&gt;"",$W225&gt;INDEX(UCRETLER!$E$7:$E$606,$U225)),"",$W225)))</f>
        <v/>
      </c>
      <c r="O225" s="1" t="str">
        <f ca="1"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" t="str">
        <f t="shared" ca="1" si="53"/>
        <v/>
      </c>
      <c r="Q225" s="1"/>
      <c r="R225" s="1">
        <f t="shared" ca="1" si="54"/>
        <v>0</v>
      </c>
      <c r="S225" s="1">
        <v>0</v>
      </c>
      <c r="T225" s="1">
        <f t="shared" ca="1" si="50"/>
        <v>10000000000</v>
      </c>
      <c r="U225" s="1">
        <f t="shared" si="55"/>
        <v>0</v>
      </c>
      <c r="V225" s="1">
        <v>53</v>
      </c>
      <c r="W225" s="1" t="str">
        <f>IF($U225=0,"",IF(INDEX(UCRETLER!$D$7:$D$606,$U225)="","",IF(INDEX(UCRETLER!$F$7:$F$606,$U225)="Aylık",EOMONTH(INDEX(UCRETLER!$D$7:$D$606,$U225),$V225-1),INDEX(UCRETLER!$U$7:$U$606,$U225)+7*($V225-1))))</f>
        <v/>
      </c>
      <c r="X225" s="1">
        <f>IF($U225=0,0,INDEX(UCRETLER!$G$7:$G$606,$U225))</f>
        <v>0</v>
      </c>
      <c r="Y225" s="1">
        <f t="shared" ca="1" si="51"/>
        <v>10000000000</v>
      </c>
      <c r="Z225" s="1">
        <f t="shared" ca="1" si="52"/>
        <v>1</v>
      </c>
      <c r="AA225" s="1"/>
      <c r="AB225" s="1"/>
      <c r="AC225" s="1"/>
      <c r="AD225" s="1"/>
    </row>
    <row r="226" spans="1:30" ht="19.5" customHeight="1" x14ac:dyDescent="0.3">
      <c r="A226" s="2"/>
      <c r="B226" s="86" t="str">
        <f t="shared" ca="1" si="43"/>
        <v/>
      </c>
      <c r="C226" s="87" t="str">
        <f t="shared" ca="1" si="44"/>
        <v/>
      </c>
      <c r="D226" s="88" t="str">
        <f t="shared" ca="1" si="45"/>
        <v/>
      </c>
      <c r="E226" s="86" t="str">
        <f t="shared" ca="1" si="46"/>
        <v/>
      </c>
      <c r="F226" s="89" t="str">
        <f t="shared" ca="1" si="47"/>
        <v/>
      </c>
      <c r="G226" s="89" t="str">
        <f t="shared" ca="1" si="48"/>
        <v/>
      </c>
      <c r="H226" s="89" t="str">
        <f t="shared" ca="1" si="49"/>
        <v/>
      </c>
      <c r="I226" s="2"/>
      <c r="J226" s="2"/>
      <c r="K226" s="1"/>
      <c r="L226" s="1"/>
      <c r="M226" s="1">
        <v>215</v>
      </c>
      <c r="N226" s="1" t="str">
        <f ca="1">IF(OR($U226=0,$W226="",$X226&lt;=0),"",IF($W226&gt;TODAY(),"",IF(AND(INDEX(UCRETLER!$E$7:$E$606,$U226)&lt;&gt;"",$W226&gt;INDEX(UCRETLER!$E$7:$E$606,$U226)),"",$W226)))</f>
        <v/>
      </c>
      <c r="O226" s="1" t="str">
        <f ca="1"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" t="str">
        <f t="shared" ca="1" si="53"/>
        <v/>
      </c>
      <c r="Q226" s="1"/>
      <c r="R226" s="1">
        <f t="shared" ca="1" si="54"/>
        <v>0</v>
      </c>
      <c r="S226" s="1">
        <v>0</v>
      </c>
      <c r="T226" s="1">
        <f t="shared" ca="1" si="50"/>
        <v>10000000000</v>
      </c>
      <c r="U226" s="1">
        <f t="shared" si="55"/>
        <v>0</v>
      </c>
      <c r="V226" s="1">
        <v>54</v>
      </c>
      <c r="W226" s="1" t="str">
        <f>IF($U226=0,"",IF(INDEX(UCRETLER!$D$7:$D$606,$U226)="","",IF(INDEX(UCRETLER!$F$7:$F$606,$U226)="Aylık",EOMONTH(INDEX(UCRETLER!$D$7:$D$606,$U226),$V226-1),INDEX(UCRETLER!$U$7:$U$606,$U226)+7*($V226-1))))</f>
        <v/>
      </c>
      <c r="X226" s="1">
        <f>IF($U226=0,0,INDEX(UCRETLER!$G$7:$G$606,$U226))</f>
        <v>0</v>
      </c>
      <c r="Y226" s="1">
        <f t="shared" ca="1" si="51"/>
        <v>10000000000</v>
      </c>
      <c r="Z226" s="1">
        <f t="shared" ca="1" si="52"/>
        <v>1</v>
      </c>
      <c r="AA226" s="1"/>
      <c r="AB226" s="1"/>
      <c r="AC226" s="1"/>
      <c r="AD226" s="1"/>
    </row>
    <row r="227" spans="1:30" ht="19.5" customHeight="1" x14ac:dyDescent="0.3">
      <c r="A227" s="2"/>
      <c r="B227" s="86" t="str">
        <f t="shared" ca="1" si="43"/>
        <v/>
      </c>
      <c r="C227" s="87" t="str">
        <f t="shared" ca="1" si="44"/>
        <v/>
      </c>
      <c r="D227" s="88" t="str">
        <f t="shared" ca="1" si="45"/>
        <v/>
      </c>
      <c r="E227" s="86" t="str">
        <f t="shared" ca="1" si="46"/>
        <v/>
      </c>
      <c r="F227" s="89" t="str">
        <f t="shared" ca="1" si="47"/>
        <v/>
      </c>
      <c r="G227" s="89" t="str">
        <f t="shared" ca="1" si="48"/>
        <v/>
      </c>
      <c r="H227" s="89" t="str">
        <f t="shared" ca="1" si="49"/>
        <v/>
      </c>
      <c r="I227" s="2"/>
      <c r="J227" s="2"/>
      <c r="K227" s="1"/>
      <c r="L227" s="1"/>
      <c r="M227" s="1">
        <v>216</v>
      </c>
      <c r="N227" s="1" t="str">
        <f ca="1">IF(OR($U227=0,$W227="",$X227&lt;=0),"",IF($W227&gt;TODAY(),"",IF(AND(INDEX(UCRETLER!$E$7:$E$606,$U227)&lt;&gt;"",$W227&gt;INDEX(UCRETLER!$E$7:$E$606,$U227)),"",$W227)))</f>
        <v/>
      </c>
      <c r="O227" s="1" t="str">
        <f ca="1"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" t="str">
        <f t="shared" ca="1" si="53"/>
        <v/>
      </c>
      <c r="Q227" s="1"/>
      <c r="R227" s="1">
        <f t="shared" ca="1" si="54"/>
        <v>0</v>
      </c>
      <c r="S227" s="1">
        <v>0</v>
      </c>
      <c r="T227" s="1">
        <f t="shared" ca="1" si="50"/>
        <v>10000000000</v>
      </c>
      <c r="U227" s="1">
        <f t="shared" si="55"/>
        <v>0</v>
      </c>
      <c r="V227" s="1">
        <v>55</v>
      </c>
      <c r="W227" s="1" t="str">
        <f>IF($U227=0,"",IF(INDEX(UCRETLER!$D$7:$D$606,$U227)="","",IF(INDEX(UCRETLER!$F$7:$F$606,$U227)="Aylık",EOMONTH(INDEX(UCRETLER!$D$7:$D$606,$U227),$V227-1),INDEX(UCRETLER!$U$7:$U$606,$U227)+7*($V227-1))))</f>
        <v/>
      </c>
      <c r="X227" s="1">
        <f>IF($U227=0,0,INDEX(UCRETLER!$G$7:$G$606,$U227))</f>
        <v>0</v>
      </c>
      <c r="Y227" s="1">
        <f t="shared" ca="1" si="51"/>
        <v>10000000000</v>
      </c>
      <c r="Z227" s="1">
        <f t="shared" ca="1" si="52"/>
        <v>1</v>
      </c>
      <c r="AA227" s="1"/>
      <c r="AB227" s="1"/>
      <c r="AC227" s="1"/>
      <c r="AD227" s="1"/>
    </row>
    <row r="228" spans="1:30" ht="19.5" customHeight="1" x14ac:dyDescent="0.3">
      <c r="A228" s="2"/>
      <c r="B228" s="86" t="str">
        <f t="shared" ca="1" si="43"/>
        <v/>
      </c>
      <c r="C228" s="87" t="str">
        <f t="shared" ca="1" si="44"/>
        <v/>
      </c>
      <c r="D228" s="88" t="str">
        <f t="shared" ca="1" si="45"/>
        <v/>
      </c>
      <c r="E228" s="86" t="str">
        <f t="shared" ca="1" si="46"/>
        <v/>
      </c>
      <c r="F228" s="89" t="str">
        <f t="shared" ca="1" si="47"/>
        <v/>
      </c>
      <c r="G228" s="89" t="str">
        <f t="shared" ca="1" si="48"/>
        <v/>
      </c>
      <c r="H228" s="89" t="str">
        <f t="shared" ca="1" si="49"/>
        <v/>
      </c>
      <c r="I228" s="2"/>
      <c r="J228" s="2"/>
      <c r="K228" s="1"/>
      <c r="L228" s="1"/>
      <c r="M228" s="1">
        <v>217</v>
      </c>
      <c r="N228" s="1" t="str">
        <f ca="1">IF(OR($U228=0,$W228="",$X228&lt;=0),"",IF($W228&gt;TODAY(),"",IF(AND(INDEX(UCRETLER!$E$7:$E$606,$U228)&lt;&gt;"",$W228&gt;INDEX(UCRETLER!$E$7:$E$606,$U228)),"",$W228)))</f>
        <v/>
      </c>
      <c r="O228" s="1" t="str">
        <f ca="1"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" t="str">
        <f t="shared" ca="1" si="53"/>
        <v/>
      </c>
      <c r="Q228" s="1"/>
      <c r="R228" s="1">
        <f t="shared" ca="1" si="54"/>
        <v>0</v>
      </c>
      <c r="S228" s="1">
        <v>0</v>
      </c>
      <c r="T228" s="1">
        <f t="shared" ca="1" si="50"/>
        <v>10000000000</v>
      </c>
      <c r="U228" s="1">
        <f t="shared" si="55"/>
        <v>0</v>
      </c>
      <c r="V228" s="1">
        <v>56</v>
      </c>
      <c r="W228" s="1" t="str">
        <f>IF($U228=0,"",IF(INDEX(UCRETLER!$D$7:$D$606,$U228)="","",IF(INDEX(UCRETLER!$F$7:$F$606,$U228)="Aylık",EOMONTH(INDEX(UCRETLER!$D$7:$D$606,$U228),$V228-1),INDEX(UCRETLER!$U$7:$U$606,$U228)+7*($V228-1))))</f>
        <v/>
      </c>
      <c r="X228" s="1">
        <f>IF($U228=0,0,INDEX(UCRETLER!$G$7:$G$606,$U228))</f>
        <v>0</v>
      </c>
      <c r="Y228" s="1">
        <f t="shared" ca="1" si="51"/>
        <v>10000000000</v>
      </c>
      <c r="Z228" s="1">
        <f t="shared" ca="1" si="52"/>
        <v>1</v>
      </c>
      <c r="AA228" s="1"/>
      <c r="AB228" s="1"/>
      <c r="AC228" s="1"/>
      <c r="AD228" s="1"/>
    </row>
    <row r="229" spans="1:30" ht="19.5" customHeight="1" x14ac:dyDescent="0.3">
      <c r="A229" s="2"/>
      <c r="B229" s="86" t="str">
        <f t="shared" ca="1" si="43"/>
        <v/>
      </c>
      <c r="C229" s="87" t="str">
        <f t="shared" ca="1" si="44"/>
        <v/>
      </c>
      <c r="D229" s="88" t="str">
        <f t="shared" ca="1" si="45"/>
        <v/>
      </c>
      <c r="E229" s="86" t="str">
        <f t="shared" ca="1" si="46"/>
        <v/>
      </c>
      <c r="F229" s="89" t="str">
        <f t="shared" ca="1" si="47"/>
        <v/>
      </c>
      <c r="G229" s="89" t="str">
        <f t="shared" ca="1" si="48"/>
        <v/>
      </c>
      <c r="H229" s="89" t="str">
        <f t="shared" ca="1" si="49"/>
        <v/>
      </c>
      <c r="I229" s="2"/>
      <c r="J229" s="2"/>
      <c r="K229" s="1"/>
      <c r="L229" s="1"/>
      <c r="M229" s="1">
        <v>218</v>
      </c>
      <c r="N229" s="1" t="str">
        <f ca="1">IF(OR($U229=0,$W229="",$X229&lt;=0),"",IF($W229&gt;TODAY(),"",IF(AND(INDEX(UCRETLER!$E$7:$E$606,$U229)&lt;&gt;"",$W229&gt;INDEX(UCRETLER!$E$7:$E$606,$U229)),"",$W229)))</f>
        <v/>
      </c>
      <c r="O229" s="1" t="str">
        <f ca="1"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" t="str">
        <f t="shared" ca="1" si="53"/>
        <v/>
      </c>
      <c r="Q229" s="1"/>
      <c r="R229" s="1">
        <f t="shared" ca="1" si="54"/>
        <v>0</v>
      </c>
      <c r="S229" s="1">
        <v>0</v>
      </c>
      <c r="T229" s="1">
        <f t="shared" ca="1" si="50"/>
        <v>10000000000</v>
      </c>
      <c r="U229" s="1">
        <f t="shared" si="55"/>
        <v>0</v>
      </c>
      <c r="V229" s="1">
        <v>57</v>
      </c>
      <c r="W229" s="1" t="str">
        <f>IF($U229=0,"",IF(INDEX(UCRETLER!$D$7:$D$606,$U229)="","",IF(INDEX(UCRETLER!$F$7:$F$606,$U229)="Aylık",EOMONTH(INDEX(UCRETLER!$D$7:$D$606,$U229),$V229-1),INDEX(UCRETLER!$U$7:$U$606,$U229)+7*($V229-1))))</f>
        <v/>
      </c>
      <c r="X229" s="1">
        <f>IF($U229=0,0,INDEX(UCRETLER!$G$7:$G$606,$U229))</f>
        <v>0</v>
      </c>
      <c r="Y229" s="1">
        <f t="shared" ca="1" si="51"/>
        <v>10000000000</v>
      </c>
      <c r="Z229" s="1">
        <f t="shared" ca="1" si="52"/>
        <v>1</v>
      </c>
      <c r="AA229" s="1"/>
      <c r="AB229" s="1"/>
      <c r="AC229" s="1"/>
      <c r="AD229" s="1"/>
    </row>
    <row r="230" spans="1:30" ht="19.5" customHeight="1" x14ac:dyDescent="0.3">
      <c r="A230" s="2"/>
      <c r="B230" s="86" t="str">
        <f t="shared" ca="1" si="43"/>
        <v/>
      </c>
      <c r="C230" s="87" t="str">
        <f t="shared" ca="1" si="44"/>
        <v/>
      </c>
      <c r="D230" s="88" t="str">
        <f t="shared" ca="1" si="45"/>
        <v/>
      </c>
      <c r="E230" s="86" t="str">
        <f t="shared" ca="1" si="46"/>
        <v/>
      </c>
      <c r="F230" s="89" t="str">
        <f t="shared" ca="1" si="47"/>
        <v/>
      </c>
      <c r="G230" s="89" t="str">
        <f t="shared" ca="1" si="48"/>
        <v/>
      </c>
      <c r="H230" s="89" t="str">
        <f t="shared" ca="1" si="49"/>
        <v/>
      </c>
      <c r="I230" s="2"/>
      <c r="J230" s="2"/>
      <c r="K230" s="1"/>
      <c r="L230" s="1"/>
      <c r="M230" s="1">
        <v>219</v>
      </c>
      <c r="N230" s="1" t="str">
        <f ca="1">IF(OR($U230=0,$W230="",$X230&lt;=0),"",IF($W230&gt;TODAY(),"",IF(AND(INDEX(UCRETLER!$E$7:$E$606,$U230)&lt;&gt;"",$W230&gt;INDEX(UCRETLER!$E$7:$E$606,$U230)),"",$W230)))</f>
        <v/>
      </c>
      <c r="O230" s="1" t="str">
        <f ca="1"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" t="str">
        <f t="shared" ca="1" si="53"/>
        <v/>
      </c>
      <c r="Q230" s="1"/>
      <c r="R230" s="1">
        <f t="shared" ca="1" si="54"/>
        <v>0</v>
      </c>
      <c r="S230" s="1">
        <v>0</v>
      </c>
      <c r="T230" s="1">
        <f t="shared" ca="1" si="50"/>
        <v>10000000000</v>
      </c>
      <c r="U230" s="1">
        <f t="shared" si="55"/>
        <v>0</v>
      </c>
      <c r="V230" s="1">
        <v>58</v>
      </c>
      <c r="W230" s="1" t="str">
        <f>IF($U230=0,"",IF(INDEX(UCRETLER!$D$7:$D$606,$U230)="","",IF(INDEX(UCRETLER!$F$7:$F$606,$U230)="Aylık",EOMONTH(INDEX(UCRETLER!$D$7:$D$606,$U230),$V230-1),INDEX(UCRETLER!$U$7:$U$606,$U230)+7*($V230-1))))</f>
        <v/>
      </c>
      <c r="X230" s="1">
        <f>IF($U230=0,0,INDEX(UCRETLER!$G$7:$G$606,$U230))</f>
        <v>0</v>
      </c>
      <c r="Y230" s="1">
        <f t="shared" ca="1" si="51"/>
        <v>10000000000</v>
      </c>
      <c r="Z230" s="1">
        <f t="shared" ca="1" si="52"/>
        <v>1</v>
      </c>
      <c r="AA230" s="1"/>
      <c r="AB230" s="1"/>
      <c r="AC230" s="1"/>
      <c r="AD230" s="1"/>
    </row>
    <row r="231" spans="1:30" ht="19.5" customHeight="1" x14ac:dyDescent="0.3">
      <c r="A231" s="2"/>
      <c r="B231" s="86" t="str">
        <f t="shared" ca="1" si="43"/>
        <v/>
      </c>
      <c r="C231" s="87" t="str">
        <f t="shared" ca="1" si="44"/>
        <v/>
      </c>
      <c r="D231" s="88" t="str">
        <f t="shared" ca="1" si="45"/>
        <v/>
      </c>
      <c r="E231" s="86" t="str">
        <f t="shared" ca="1" si="46"/>
        <v/>
      </c>
      <c r="F231" s="89" t="str">
        <f t="shared" ca="1" si="47"/>
        <v/>
      </c>
      <c r="G231" s="89" t="str">
        <f t="shared" ca="1" si="48"/>
        <v/>
      </c>
      <c r="H231" s="89" t="str">
        <f t="shared" ca="1" si="49"/>
        <v/>
      </c>
      <c r="I231" s="2"/>
      <c r="J231" s="2"/>
      <c r="K231" s="1"/>
      <c r="L231" s="1"/>
      <c r="M231" s="1">
        <v>220</v>
      </c>
      <c r="N231" s="1" t="str">
        <f ca="1">IF(OR($U231=0,$W231="",$X231&lt;=0),"",IF($W231&gt;TODAY(),"",IF(AND(INDEX(UCRETLER!$E$7:$E$606,$U231)&lt;&gt;"",$W231&gt;INDEX(UCRETLER!$E$7:$E$606,$U231)),"",$W231)))</f>
        <v/>
      </c>
      <c r="O231" s="1" t="str">
        <f ca="1"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" t="str">
        <f t="shared" ca="1" si="53"/>
        <v/>
      </c>
      <c r="Q231" s="1"/>
      <c r="R231" s="1">
        <f t="shared" ca="1" si="54"/>
        <v>0</v>
      </c>
      <c r="S231" s="1">
        <v>0</v>
      </c>
      <c r="T231" s="1">
        <f t="shared" ca="1" si="50"/>
        <v>10000000000</v>
      </c>
      <c r="U231" s="1">
        <f t="shared" si="55"/>
        <v>0</v>
      </c>
      <c r="V231" s="1">
        <v>59</v>
      </c>
      <c r="W231" s="1" t="str">
        <f>IF($U231=0,"",IF(INDEX(UCRETLER!$D$7:$D$606,$U231)="","",IF(INDEX(UCRETLER!$F$7:$F$606,$U231)="Aylık",EOMONTH(INDEX(UCRETLER!$D$7:$D$606,$U231),$V231-1),INDEX(UCRETLER!$U$7:$U$606,$U231)+7*($V231-1))))</f>
        <v/>
      </c>
      <c r="X231" s="1">
        <f>IF($U231=0,0,INDEX(UCRETLER!$G$7:$G$606,$U231))</f>
        <v>0</v>
      </c>
      <c r="Y231" s="1">
        <f t="shared" ca="1" si="51"/>
        <v>10000000000</v>
      </c>
      <c r="Z231" s="1">
        <f t="shared" ca="1" si="52"/>
        <v>1</v>
      </c>
      <c r="AA231" s="1"/>
      <c r="AB231" s="1"/>
      <c r="AC231" s="1"/>
      <c r="AD231" s="1"/>
    </row>
    <row r="232" spans="1:30" ht="19.5" customHeight="1" x14ac:dyDescent="0.3">
      <c r="A232" s="2"/>
      <c r="B232" s="86" t="str">
        <f t="shared" ca="1" si="43"/>
        <v/>
      </c>
      <c r="C232" s="87" t="str">
        <f t="shared" ca="1" si="44"/>
        <v/>
      </c>
      <c r="D232" s="88" t="str">
        <f t="shared" ca="1" si="45"/>
        <v/>
      </c>
      <c r="E232" s="86" t="str">
        <f t="shared" ca="1" si="46"/>
        <v/>
      </c>
      <c r="F232" s="89" t="str">
        <f t="shared" ca="1" si="47"/>
        <v/>
      </c>
      <c r="G232" s="89" t="str">
        <f t="shared" ca="1" si="48"/>
        <v/>
      </c>
      <c r="H232" s="89" t="str">
        <f t="shared" ca="1" si="49"/>
        <v/>
      </c>
      <c r="I232" s="2"/>
      <c r="J232" s="2"/>
      <c r="K232" s="1"/>
      <c r="L232" s="1"/>
      <c r="M232" s="1">
        <v>221</v>
      </c>
      <c r="N232" s="1" t="str">
        <f ca="1">IF(OR($U232=0,$W232="",$X232&lt;=0),"",IF($W232&gt;TODAY(),"",IF(AND(INDEX(UCRETLER!$E$7:$E$606,$U232)&lt;&gt;"",$W232&gt;INDEX(UCRETLER!$E$7:$E$606,$U232)),"",$W232)))</f>
        <v/>
      </c>
      <c r="O232" s="1" t="str">
        <f ca="1"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" t="str">
        <f t="shared" ca="1" si="53"/>
        <v/>
      </c>
      <c r="Q232" s="1"/>
      <c r="R232" s="1">
        <f t="shared" ca="1" si="54"/>
        <v>0</v>
      </c>
      <c r="S232" s="1">
        <v>0</v>
      </c>
      <c r="T232" s="1">
        <f t="shared" ca="1" si="50"/>
        <v>10000000000</v>
      </c>
      <c r="U232" s="1">
        <f t="shared" si="55"/>
        <v>0</v>
      </c>
      <c r="V232" s="1">
        <v>60</v>
      </c>
      <c r="W232" s="1" t="str">
        <f>IF($U232=0,"",IF(INDEX(UCRETLER!$D$7:$D$606,$U232)="","",IF(INDEX(UCRETLER!$F$7:$F$606,$U232)="Aylık",EOMONTH(INDEX(UCRETLER!$D$7:$D$606,$U232),$V232-1),INDEX(UCRETLER!$U$7:$U$606,$U232)+7*($V232-1))))</f>
        <v/>
      </c>
      <c r="X232" s="1">
        <f>IF($U232=0,0,INDEX(UCRETLER!$G$7:$G$606,$U232))</f>
        <v>0</v>
      </c>
      <c r="Y232" s="1">
        <f t="shared" ca="1" si="51"/>
        <v>10000000000</v>
      </c>
      <c r="Z232" s="1">
        <f t="shared" ca="1" si="52"/>
        <v>1</v>
      </c>
      <c r="AA232" s="1"/>
      <c r="AB232" s="1"/>
      <c r="AC232" s="1"/>
      <c r="AD232" s="1"/>
    </row>
    <row r="233" spans="1:30" ht="19.5" customHeight="1" x14ac:dyDescent="0.3">
      <c r="A233" s="2"/>
      <c r="B233" s="86" t="str">
        <f t="shared" ca="1" si="43"/>
        <v/>
      </c>
      <c r="C233" s="87" t="str">
        <f t="shared" ca="1" si="44"/>
        <v/>
      </c>
      <c r="D233" s="88" t="str">
        <f t="shared" ca="1" si="45"/>
        <v/>
      </c>
      <c r="E233" s="86" t="str">
        <f t="shared" ca="1" si="46"/>
        <v/>
      </c>
      <c r="F233" s="89" t="str">
        <f t="shared" ca="1" si="47"/>
        <v/>
      </c>
      <c r="G233" s="89" t="str">
        <f t="shared" ca="1" si="48"/>
        <v/>
      </c>
      <c r="H233" s="89" t="str">
        <f t="shared" ca="1" si="49"/>
        <v/>
      </c>
      <c r="I233" s="2"/>
      <c r="J233" s="2"/>
      <c r="K233" s="1"/>
      <c r="L233" s="1"/>
      <c r="M233" s="1">
        <v>222</v>
      </c>
      <c r="N233" s="1" t="str">
        <f ca="1">IF(OR($U233=0,$W233="",$X233&lt;=0),"",IF($W233&gt;TODAY(),"",IF(AND(INDEX(UCRETLER!$E$7:$E$606,$U233)&lt;&gt;"",$W233&gt;INDEX(UCRETLER!$E$7:$E$606,$U233)),"",$W233)))</f>
        <v/>
      </c>
      <c r="O233" s="1" t="str">
        <f ca="1"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" t="str">
        <f t="shared" ca="1" si="53"/>
        <v/>
      </c>
      <c r="Q233" s="1"/>
      <c r="R233" s="1">
        <f t="shared" ca="1" si="54"/>
        <v>0</v>
      </c>
      <c r="S233" s="1">
        <v>0</v>
      </c>
      <c r="T233" s="1">
        <f t="shared" ca="1" si="50"/>
        <v>10000000000</v>
      </c>
      <c r="U233" s="1">
        <f t="shared" si="55"/>
        <v>0</v>
      </c>
      <c r="V233" s="1">
        <v>61</v>
      </c>
      <c r="W233" s="1" t="str">
        <f>IF($U233=0,"",IF(INDEX(UCRETLER!$D$7:$D$606,$U233)="","",IF(INDEX(UCRETLER!$F$7:$F$606,$U233)="Aylık",EOMONTH(INDEX(UCRETLER!$D$7:$D$606,$U233),$V233-1),INDEX(UCRETLER!$U$7:$U$606,$U233)+7*($V233-1))))</f>
        <v/>
      </c>
      <c r="X233" s="1">
        <f>IF($U233=0,0,INDEX(UCRETLER!$G$7:$G$606,$U233))</f>
        <v>0</v>
      </c>
      <c r="Y233" s="1">
        <f t="shared" ca="1" si="51"/>
        <v>10000000000</v>
      </c>
      <c r="Z233" s="1">
        <f t="shared" ca="1" si="52"/>
        <v>1</v>
      </c>
      <c r="AA233" s="1"/>
      <c r="AB233" s="1"/>
      <c r="AC233" s="1"/>
      <c r="AD233" s="1"/>
    </row>
    <row r="234" spans="1:30" ht="19.5" customHeight="1" x14ac:dyDescent="0.3">
      <c r="A234" s="2"/>
      <c r="B234" s="86" t="str">
        <f t="shared" ca="1" si="43"/>
        <v/>
      </c>
      <c r="C234" s="87" t="str">
        <f t="shared" ca="1" si="44"/>
        <v/>
      </c>
      <c r="D234" s="88" t="str">
        <f t="shared" ca="1" si="45"/>
        <v/>
      </c>
      <c r="E234" s="86" t="str">
        <f t="shared" ca="1" si="46"/>
        <v/>
      </c>
      <c r="F234" s="89" t="str">
        <f t="shared" ca="1" si="47"/>
        <v/>
      </c>
      <c r="G234" s="89" t="str">
        <f t="shared" ca="1" si="48"/>
        <v/>
      </c>
      <c r="H234" s="89" t="str">
        <f t="shared" ca="1" si="49"/>
        <v/>
      </c>
      <c r="I234" s="2"/>
      <c r="J234" s="2"/>
      <c r="K234" s="1"/>
      <c r="L234" s="1"/>
      <c r="M234" s="1">
        <v>223</v>
      </c>
      <c r="N234" s="1" t="str">
        <f ca="1">IF(OR($U234=0,$W234="",$X234&lt;=0),"",IF($W234&gt;TODAY(),"",IF(AND(INDEX(UCRETLER!$E$7:$E$606,$U234)&lt;&gt;"",$W234&gt;INDEX(UCRETLER!$E$7:$E$606,$U234)),"",$W234)))</f>
        <v/>
      </c>
      <c r="O234" s="1" t="str">
        <f ca="1"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" t="str">
        <f t="shared" ca="1" si="53"/>
        <v/>
      </c>
      <c r="Q234" s="1"/>
      <c r="R234" s="1">
        <f t="shared" ca="1" si="54"/>
        <v>0</v>
      </c>
      <c r="S234" s="1">
        <v>0</v>
      </c>
      <c r="T234" s="1">
        <f t="shared" ca="1" si="50"/>
        <v>10000000000</v>
      </c>
      <c r="U234" s="1">
        <f t="shared" si="55"/>
        <v>0</v>
      </c>
      <c r="V234" s="1">
        <v>62</v>
      </c>
      <c r="W234" s="1" t="str">
        <f>IF($U234=0,"",IF(INDEX(UCRETLER!$D$7:$D$606,$U234)="","",IF(INDEX(UCRETLER!$F$7:$F$606,$U234)="Aylık",EOMONTH(INDEX(UCRETLER!$D$7:$D$606,$U234),$V234-1),INDEX(UCRETLER!$U$7:$U$606,$U234)+7*($V234-1))))</f>
        <v/>
      </c>
      <c r="X234" s="1">
        <f>IF($U234=0,0,INDEX(UCRETLER!$G$7:$G$606,$U234))</f>
        <v>0</v>
      </c>
      <c r="Y234" s="1">
        <f t="shared" ca="1" si="51"/>
        <v>10000000000</v>
      </c>
      <c r="Z234" s="1">
        <f t="shared" ca="1" si="52"/>
        <v>1</v>
      </c>
      <c r="AA234" s="1"/>
      <c r="AB234" s="1"/>
      <c r="AC234" s="1"/>
      <c r="AD234" s="1"/>
    </row>
    <row r="235" spans="1:30" ht="19.5" customHeight="1" x14ac:dyDescent="0.3">
      <c r="A235" s="2"/>
      <c r="B235" s="86" t="str">
        <f t="shared" ca="1" si="43"/>
        <v/>
      </c>
      <c r="C235" s="87" t="str">
        <f t="shared" ca="1" si="44"/>
        <v/>
      </c>
      <c r="D235" s="88" t="str">
        <f t="shared" ca="1" si="45"/>
        <v/>
      </c>
      <c r="E235" s="86" t="str">
        <f t="shared" ca="1" si="46"/>
        <v/>
      </c>
      <c r="F235" s="89" t="str">
        <f t="shared" ca="1" si="47"/>
        <v/>
      </c>
      <c r="G235" s="89" t="str">
        <f t="shared" ca="1" si="48"/>
        <v/>
      </c>
      <c r="H235" s="89" t="str">
        <f t="shared" ca="1" si="49"/>
        <v/>
      </c>
      <c r="I235" s="2"/>
      <c r="J235" s="2"/>
      <c r="K235" s="1"/>
      <c r="L235" s="1"/>
      <c r="M235" s="1">
        <v>224</v>
      </c>
      <c r="N235" s="1" t="str">
        <f ca="1">IF(OR($U235=0,$W235="",$X235&lt;=0),"",IF($W235&gt;TODAY(),"",IF(AND(INDEX(UCRETLER!$E$7:$E$606,$U235)&lt;&gt;"",$W235&gt;INDEX(UCRETLER!$E$7:$E$606,$U235)),"",$W235)))</f>
        <v/>
      </c>
      <c r="O235" s="1" t="str">
        <f ca="1"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" t="str">
        <f t="shared" ca="1" si="53"/>
        <v/>
      </c>
      <c r="Q235" s="1"/>
      <c r="R235" s="1">
        <f t="shared" ca="1" si="54"/>
        <v>0</v>
      </c>
      <c r="S235" s="1">
        <v>0</v>
      </c>
      <c r="T235" s="1">
        <f t="shared" ca="1" si="50"/>
        <v>10000000000</v>
      </c>
      <c r="U235" s="1">
        <f t="shared" si="55"/>
        <v>0</v>
      </c>
      <c r="V235" s="1">
        <v>63</v>
      </c>
      <c r="W235" s="1" t="str">
        <f>IF($U235=0,"",IF(INDEX(UCRETLER!$D$7:$D$606,$U235)="","",IF(INDEX(UCRETLER!$F$7:$F$606,$U235)="Aylık",EOMONTH(INDEX(UCRETLER!$D$7:$D$606,$U235),$V235-1),INDEX(UCRETLER!$U$7:$U$606,$U235)+7*($V235-1))))</f>
        <v/>
      </c>
      <c r="X235" s="1">
        <f>IF($U235=0,0,INDEX(UCRETLER!$G$7:$G$606,$U235))</f>
        <v>0</v>
      </c>
      <c r="Y235" s="1">
        <f t="shared" ca="1" si="51"/>
        <v>10000000000</v>
      </c>
      <c r="Z235" s="1">
        <f t="shared" ca="1" si="52"/>
        <v>1</v>
      </c>
      <c r="AA235" s="1"/>
      <c r="AB235" s="1"/>
      <c r="AC235" s="1"/>
      <c r="AD235" s="1"/>
    </row>
    <row r="236" spans="1:30" ht="19.5" customHeight="1" x14ac:dyDescent="0.3">
      <c r="A236" s="2"/>
      <c r="B236" s="86" t="str">
        <f t="shared" ca="1" si="43"/>
        <v/>
      </c>
      <c r="C236" s="87" t="str">
        <f t="shared" ca="1" si="44"/>
        <v/>
      </c>
      <c r="D236" s="88" t="str">
        <f t="shared" ca="1" si="45"/>
        <v/>
      </c>
      <c r="E236" s="86" t="str">
        <f t="shared" ca="1" si="46"/>
        <v/>
      </c>
      <c r="F236" s="89" t="str">
        <f t="shared" ca="1" si="47"/>
        <v/>
      </c>
      <c r="G236" s="89" t="str">
        <f t="shared" ca="1" si="48"/>
        <v/>
      </c>
      <c r="H236" s="89" t="str">
        <f t="shared" ca="1" si="49"/>
        <v/>
      </c>
      <c r="I236" s="2"/>
      <c r="J236" s="2"/>
      <c r="K236" s="1"/>
      <c r="L236" s="1"/>
      <c r="M236" s="1">
        <v>225</v>
      </c>
      <c r="N236" s="1" t="str">
        <f ca="1">IF(OR($U236=0,$W236="",$X236&lt;=0),"",IF($W236&gt;TODAY(),"",IF(AND(INDEX(UCRETLER!$E$7:$E$606,$U236)&lt;&gt;"",$W236&gt;INDEX(UCRETLER!$E$7:$E$606,$U236)),"",$W236)))</f>
        <v/>
      </c>
      <c r="O236" s="1" t="str">
        <f ca="1"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" t="str">
        <f t="shared" ca="1" si="53"/>
        <v/>
      </c>
      <c r="Q236" s="1"/>
      <c r="R236" s="1">
        <f t="shared" ca="1" si="54"/>
        <v>0</v>
      </c>
      <c r="S236" s="1">
        <v>0</v>
      </c>
      <c r="T236" s="1">
        <f t="shared" ca="1" si="50"/>
        <v>10000000000</v>
      </c>
      <c r="U236" s="1">
        <f t="shared" si="55"/>
        <v>0</v>
      </c>
      <c r="V236" s="1">
        <v>64</v>
      </c>
      <c r="W236" s="1" t="str">
        <f>IF($U236=0,"",IF(INDEX(UCRETLER!$D$7:$D$606,$U236)="","",IF(INDEX(UCRETLER!$F$7:$F$606,$U236)="Aylık",EOMONTH(INDEX(UCRETLER!$D$7:$D$606,$U236),$V236-1),INDEX(UCRETLER!$U$7:$U$606,$U236)+7*($V236-1))))</f>
        <v/>
      </c>
      <c r="X236" s="1">
        <f>IF($U236=0,0,INDEX(UCRETLER!$G$7:$G$606,$U236))</f>
        <v>0</v>
      </c>
      <c r="Y236" s="1">
        <f t="shared" ca="1" si="51"/>
        <v>10000000000</v>
      </c>
      <c r="Z236" s="1">
        <f t="shared" ca="1" si="52"/>
        <v>1</v>
      </c>
      <c r="AA236" s="1"/>
      <c r="AB236" s="1"/>
      <c r="AC236" s="1"/>
      <c r="AD236" s="1"/>
    </row>
    <row r="237" spans="1:30" ht="19.5" customHeight="1" x14ac:dyDescent="0.3">
      <c r="A237" s="2"/>
      <c r="B237" s="86" t="str">
        <f t="shared" ca="1" si="43"/>
        <v/>
      </c>
      <c r="C237" s="87" t="str">
        <f t="shared" ca="1" si="44"/>
        <v/>
      </c>
      <c r="D237" s="88" t="str">
        <f t="shared" ca="1" si="45"/>
        <v/>
      </c>
      <c r="E237" s="86" t="str">
        <f t="shared" ca="1" si="46"/>
        <v/>
      </c>
      <c r="F237" s="89" t="str">
        <f t="shared" ca="1" si="47"/>
        <v/>
      </c>
      <c r="G237" s="89" t="str">
        <f t="shared" ca="1" si="48"/>
        <v/>
      </c>
      <c r="H237" s="89" t="str">
        <f t="shared" ca="1" si="49"/>
        <v/>
      </c>
      <c r="I237" s="2"/>
      <c r="J237" s="2"/>
      <c r="K237" s="1"/>
      <c r="L237" s="1"/>
      <c r="M237" s="1">
        <v>226</v>
      </c>
      <c r="N237" s="1" t="str">
        <f ca="1">IF(OR($U237=0,$W237="",$X237&lt;=0),"",IF($W237&gt;TODAY(),"",IF(AND(INDEX(UCRETLER!$E$7:$E$606,$U237)&lt;&gt;"",$W237&gt;INDEX(UCRETLER!$E$7:$E$606,$U237)),"",$W237)))</f>
        <v/>
      </c>
      <c r="O237" s="1" t="str">
        <f ca="1"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" t="str">
        <f t="shared" ca="1" si="53"/>
        <v/>
      </c>
      <c r="Q237" s="1"/>
      <c r="R237" s="1">
        <f t="shared" ca="1" si="54"/>
        <v>0</v>
      </c>
      <c r="S237" s="1">
        <v>0</v>
      </c>
      <c r="T237" s="1">
        <f t="shared" ca="1" si="50"/>
        <v>10000000000</v>
      </c>
      <c r="U237" s="1">
        <f t="shared" ref="U237:U252" si="56">$AB$6</f>
        <v>0</v>
      </c>
      <c r="V237" s="1">
        <v>65</v>
      </c>
      <c r="W237" s="1" t="str">
        <f>IF($U237=0,"",IF(INDEX(UCRETLER!$D$7:$D$606,$U237)="","",IF(INDEX(UCRETLER!$F$7:$F$606,$U237)="Aylık",EOMONTH(INDEX(UCRETLER!$D$7:$D$606,$U237),$V237-1),INDEX(UCRETLER!$U$7:$U$606,$U237)+7*($V237-1))))</f>
        <v/>
      </c>
      <c r="X237" s="1">
        <f>IF($U237=0,0,INDEX(UCRETLER!$G$7:$G$606,$U237))</f>
        <v>0</v>
      </c>
      <c r="Y237" s="1">
        <f t="shared" ca="1" si="51"/>
        <v>10000000000</v>
      </c>
      <c r="Z237" s="1">
        <f t="shared" ca="1" si="52"/>
        <v>1</v>
      </c>
      <c r="AA237" s="1"/>
      <c r="AB237" s="1"/>
      <c r="AC237" s="1"/>
      <c r="AD237" s="1"/>
    </row>
    <row r="238" spans="1:30" ht="19.5" customHeight="1" x14ac:dyDescent="0.3">
      <c r="A238" s="2"/>
      <c r="B238" s="86" t="str">
        <f t="shared" ca="1" si="43"/>
        <v/>
      </c>
      <c r="C238" s="87" t="str">
        <f t="shared" ca="1" si="44"/>
        <v/>
      </c>
      <c r="D238" s="88" t="str">
        <f t="shared" ca="1" si="45"/>
        <v/>
      </c>
      <c r="E238" s="86" t="str">
        <f t="shared" ca="1" si="46"/>
        <v/>
      </c>
      <c r="F238" s="89" t="str">
        <f t="shared" ca="1" si="47"/>
        <v/>
      </c>
      <c r="G238" s="89" t="str">
        <f t="shared" ca="1" si="48"/>
        <v/>
      </c>
      <c r="H238" s="89" t="str">
        <f t="shared" ca="1" si="49"/>
        <v/>
      </c>
      <c r="I238" s="2"/>
      <c r="J238" s="2"/>
      <c r="K238" s="1"/>
      <c r="L238" s="1"/>
      <c r="M238" s="1">
        <v>227</v>
      </c>
      <c r="N238" s="1" t="str">
        <f ca="1">IF(OR($U238=0,$W238="",$X238&lt;=0),"",IF($W238&gt;TODAY(),"",IF(AND(INDEX(UCRETLER!$E$7:$E$606,$U238)&lt;&gt;"",$W238&gt;INDEX(UCRETLER!$E$7:$E$606,$U238)),"",$W238)))</f>
        <v/>
      </c>
      <c r="O238" s="1" t="str">
        <f ca="1"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" t="str">
        <f t="shared" ca="1" si="53"/>
        <v/>
      </c>
      <c r="Q238" s="1"/>
      <c r="R238" s="1">
        <f t="shared" ca="1" si="54"/>
        <v>0</v>
      </c>
      <c r="S238" s="1">
        <v>0</v>
      </c>
      <c r="T238" s="1">
        <f t="shared" ca="1" si="50"/>
        <v>10000000000</v>
      </c>
      <c r="U238" s="1">
        <f t="shared" si="56"/>
        <v>0</v>
      </c>
      <c r="V238" s="1">
        <v>66</v>
      </c>
      <c r="W238" s="1" t="str">
        <f>IF($U238=0,"",IF(INDEX(UCRETLER!$D$7:$D$606,$U238)="","",IF(INDEX(UCRETLER!$F$7:$F$606,$U238)="Aylık",EOMONTH(INDEX(UCRETLER!$D$7:$D$606,$U238),$V238-1),INDEX(UCRETLER!$U$7:$U$606,$U238)+7*($V238-1))))</f>
        <v/>
      </c>
      <c r="X238" s="1">
        <f>IF($U238=0,0,INDEX(UCRETLER!$G$7:$G$606,$U238))</f>
        <v>0</v>
      </c>
      <c r="Y238" s="1">
        <f t="shared" ca="1" si="51"/>
        <v>10000000000</v>
      </c>
      <c r="Z238" s="1">
        <f t="shared" ca="1" si="52"/>
        <v>1</v>
      </c>
      <c r="AA238" s="1"/>
      <c r="AB238" s="1"/>
      <c r="AC238" s="1"/>
      <c r="AD238" s="1"/>
    </row>
    <row r="239" spans="1:30" ht="19.5" customHeight="1" x14ac:dyDescent="0.3">
      <c r="A239" s="2"/>
      <c r="B239" s="86" t="str">
        <f t="shared" ca="1" si="43"/>
        <v/>
      </c>
      <c r="C239" s="87" t="str">
        <f t="shared" ca="1" si="44"/>
        <v/>
      </c>
      <c r="D239" s="88" t="str">
        <f t="shared" ca="1" si="45"/>
        <v/>
      </c>
      <c r="E239" s="86" t="str">
        <f t="shared" ca="1" si="46"/>
        <v/>
      </c>
      <c r="F239" s="89" t="str">
        <f t="shared" ca="1" si="47"/>
        <v/>
      </c>
      <c r="G239" s="89" t="str">
        <f t="shared" ca="1" si="48"/>
        <v/>
      </c>
      <c r="H239" s="89" t="str">
        <f t="shared" ca="1" si="49"/>
        <v/>
      </c>
      <c r="I239" s="2"/>
      <c r="J239" s="2"/>
      <c r="K239" s="1"/>
      <c r="L239" s="1"/>
      <c r="M239" s="1">
        <v>228</v>
      </c>
      <c r="N239" s="1" t="str">
        <f ca="1">IF(OR($U239=0,$W239="",$X239&lt;=0),"",IF($W239&gt;TODAY(),"",IF(AND(INDEX(UCRETLER!$E$7:$E$606,$U239)&lt;&gt;"",$W239&gt;INDEX(UCRETLER!$E$7:$E$606,$U239)),"",$W239)))</f>
        <v/>
      </c>
      <c r="O239" s="1" t="str">
        <f ca="1"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" t="str">
        <f t="shared" ca="1" si="53"/>
        <v/>
      </c>
      <c r="Q239" s="1"/>
      <c r="R239" s="1">
        <f t="shared" ca="1" si="54"/>
        <v>0</v>
      </c>
      <c r="S239" s="1">
        <v>0</v>
      </c>
      <c r="T239" s="1">
        <f t="shared" ca="1" si="50"/>
        <v>10000000000</v>
      </c>
      <c r="U239" s="1">
        <f t="shared" si="56"/>
        <v>0</v>
      </c>
      <c r="V239" s="1">
        <v>67</v>
      </c>
      <c r="W239" s="1" t="str">
        <f>IF($U239=0,"",IF(INDEX(UCRETLER!$D$7:$D$606,$U239)="","",IF(INDEX(UCRETLER!$F$7:$F$606,$U239)="Aylık",EOMONTH(INDEX(UCRETLER!$D$7:$D$606,$U239),$V239-1),INDEX(UCRETLER!$U$7:$U$606,$U239)+7*($V239-1))))</f>
        <v/>
      </c>
      <c r="X239" s="1">
        <f>IF($U239=0,0,INDEX(UCRETLER!$G$7:$G$606,$U239))</f>
        <v>0</v>
      </c>
      <c r="Y239" s="1">
        <f t="shared" ca="1" si="51"/>
        <v>10000000000</v>
      </c>
      <c r="Z239" s="1">
        <f t="shared" ca="1" si="52"/>
        <v>1</v>
      </c>
      <c r="AA239" s="1"/>
      <c r="AB239" s="1"/>
      <c r="AC239" s="1"/>
      <c r="AD239" s="1"/>
    </row>
    <row r="240" spans="1:30" ht="19.5" customHeight="1" x14ac:dyDescent="0.3">
      <c r="A240" s="2"/>
      <c r="B240" s="86" t="str">
        <f t="shared" ca="1" si="43"/>
        <v/>
      </c>
      <c r="C240" s="87" t="str">
        <f t="shared" ca="1" si="44"/>
        <v/>
      </c>
      <c r="D240" s="88" t="str">
        <f t="shared" ca="1" si="45"/>
        <v/>
      </c>
      <c r="E240" s="86" t="str">
        <f t="shared" ca="1" si="46"/>
        <v/>
      </c>
      <c r="F240" s="89" t="str">
        <f t="shared" ca="1" si="47"/>
        <v/>
      </c>
      <c r="G240" s="89" t="str">
        <f t="shared" ca="1" si="48"/>
        <v/>
      </c>
      <c r="H240" s="89" t="str">
        <f t="shared" ca="1" si="49"/>
        <v/>
      </c>
      <c r="I240" s="2"/>
      <c r="J240" s="2"/>
      <c r="K240" s="1"/>
      <c r="L240" s="1"/>
      <c r="M240" s="1">
        <v>229</v>
      </c>
      <c r="N240" s="1" t="str">
        <f ca="1">IF(OR($U240=0,$W240="",$X240&lt;=0),"",IF($W240&gt;TODAY(),"",IF(AND(INDEX(UCRETLER!$E$7:$E$606,$U240)&lt;&gt;"",$W240&gt;INDEX(UCRETLER!$E$7:$E$606,$U240)),"",$W240)))</f>
        <v/>
      </c>
      <c r="O240" s="1" t="str">
        <f ca="1"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" t="str">
        <f t="shared" ca="1" si="53"/>
        <v/>
      </c>
      <c r="Q240" s="1"/>
      <c r="R240" s="1">
        <f t="shared" ca="1" si="54"/>
        <v>0</v>
      </c>
      <c r="S240" s="1">
        <v>0</v>
      </c>
      <c r="T240" s="1">
        <f t="shared" ca="1" si="50"/>
        <v>10000000000</v>
      </c>
      <c r="U240" s="1">
        <f t="shared" si="56"/>
        <v>0</v>
      </c>
      <c r="V240" s="1">
        <v>68</v>
      </c>
      <c r="W240" s="1" t="str">
        <f>IF($U240=0,"",IF(INDEX(UCRETLER!$D$7:$D$606,$U240)="","",IF(INDEX(UCRETLER!$F$7:$F$606,$U240)="Aylık",EOMONTH(INDEX(UCRETLER!$D$7:$D$606,$U240),$V240-1),INDEX(UCRETLER!$U$7:$U$606,$U240)+7*($V240-1))))</f>
        <v/>
      </c>
      <c r="X240" s="1">
        <f>IF($U240=0,0,INDEX(UCRETLER!$G$7:$G$606,$U240))</f>
        <v>0</v>
      </c>
      <c r="Y240" s="1">
        <f t="shared" ca="1" si="51"/>
        <v>10000000000</v>
      </c>
      <c r="Z240" s="1">
        <f t="shared" ca="1" si="52"/>
        <v>1</v>
      </c>
      <c r="AA240" s="1"/>
      <c r="AB240" s="1"/>
      <c r="AC240" s="1"/>
      <c r="AD240" s="1"/>
    </row>
    <row r="241" spans="1:30" ht="19.5" customHeight="1" x14ac:dyDescent="0.3">
      <c r="A241" s="2"/>
      <c r="B241" s="86" t="str">
        <f t="shared" ca="1" si="43"/>
        <v/>
      </c>
      <c r="C241" s="87" t="str">
        <f t="shared" ca="1" si="44"/>
        <v/>
      </c>
      <c r="D241" s="88" t="str">
        <f t="shared" ca="1" si="45"/>
        <v/>
      </c>
      <c r="E241" s="86" t="str">
        <f t="shared" ca="1" si="46"/>
        <v/>
      </c>
      <c r="F241" s="89" t="str">
        <f t="shared" ca="1" si="47"/>
        <v/>
      </c>
      <c r="G241" s="89" t="str">
        <f t="shared" ca="1" si="48"/>
        <v/>
      </c>
      <c r="H241" s="89" t="str">
        <f t="shared" ca="1" si="49"/>
        <v/>
      </c>
      <c r="I241" s="2"/>
      <c r="J241" s="2"/>
      <c r="K241" s="1"/>
      <c r="L241" s="1"/>
      <c r="M241" s="1">
        <v>230</v>
      </c>
      <c r="N241" s="1" t="str">
        <f ca="1">IF(OR($U241=0,$W241="",$X241&lt;=0),"",IF($W241&gt;TODAY(),"",IF(AND(INDEX(UCRETLER!$E$7:$E$606,$U241)&lt;&gt;"",$W241&gt;INDEX(UCRETLER!$E$7:$E$606,$U241)),"",$W241)))</f>
        <v/>
      </c>
      <c r="O241" s="1" t="str">
        <f ca="1"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" t="str">
        <f t="shared" ca="1" si="53"/>
        <v/>
      </c>
      <c r="Q241" s="1"/>
      <c r="R241" s="1">
        <f t="shared" ca="1" si="54"/>
        <v>0</v>
      </c>
      <c r="S241" s="1">
        <v>0</v>
      </c>
      <c r="T241" s="1">
        <f t="shared" ca="1" si="50"/>
        <v>10000000000</v>
      </c>
      <c r="U241" s="1">
        <f t="shared" si="56"/>
        <v>0</v>
      </c>
      <c r="V241" s="1">
        <v>69</v>
      </c>
      <c r="W241" s="1" t="str">
        <f>IF($U241=0,"",IF(INDEX(UCRETLER!$D$7:$D$606,$U241)="","",IF(INDEX(UCRETLER!$F$7:$F$606,$U241)="Aylık",EOMONTH(INDEX(UCRETLER!$D$7:$D$606,$U241),$V241-1),INDEX(UCRETLER!$U$7:$U$606,$U241)+7*($V241-1))))</f>
        <v/>
      </c>
      <c r="X241" s="1">
        <f>IF($U241=0,0,INDEX(UCRETLER!$G$7:$G$606,$U241))</f>
        <v>0</v>
      </c>
      <c r="Y241" s="1">
        <f t="shared" ca="1" si="51"/>
        <v>10000000000</v>
      </c>
      <c r="Z241" s="1">
        <f t="shared" ca="1" si="52"/>
        <v>1</v>
      </c>
      <c r="AA241" s="1"/>
      <c r="AB241" s="1"/>
      <c r="AC241" s="1"/>
      <c r="AD241" s="1"/>
    </row>
    <row r="242" spans="1:30" ht="19.5" customHeight="1" x14ac:dyDescent="0.3">
      <c r="A242" s="2"/>
      <c r="B242" s="86" t="str">
        <f t="shared" ca="1" si="43"/>
        <v/>
      </c>
      <c r="C242" s="87" t="str">
        <f t="shared" ca="1" si="44"/>
        <v/>
      </c>
      <c r="D242" s="88" t="str">
        <f t="shared" ca="1" si="45"/>
        <v/>
      </c>
      <c r="E242" s="86" t="str">
        <f t="shared" ca="1" si="46"/>
        <v/>
      </c>
      <c r="F242" s="89" t="str">
        <f t="shared" ca="1" si="47"/>
        <v/>
      </c>
      <c r="G242" s="89" t="str">
        <f t="shared" ca="1" si="48"/>
        <v/>
      </c>
      <c r="H242" s="89" t="str">
        <f t="shared" ca="1" si="49"/>
        <v/>
      </c>
      <c r="I242" s="2"/>
      <c r="J242" s="2"/>
      <c r="K242" s="1"/>
      <c r="L242" s="1"/>
      <c r="M242" s="1">
        <v>231</v>
      </c>
      <c r="N242" s="1" t="str">
        <f ca="1">IF(OR($U242=0,$W242="",$X242&lt;=0),"",IF($W242&gt;TODAY(),"",IF(AND(INDEX(UCRETLER!$E$7:$E$606,$U242)&lt;&gt;"",$W242&gt;INDEX(UCRETLER!$E$7:$E$606,$U242)),"",$W242)))</f>
        <v/>
      </c>
      <c r="O242" s="1" t="str">
        <f ca="1"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" t="str">
        <f t="shared" ca="1" si="53"/>
        <v/>
      </c>
      <c r="Q242" s="1"/>
      <c r="R242" s="1">
        <f t="shared" ca="1" si="54"/>
        <v>0</v>
      </c>
      <c r="S242" s="1">
        <v>0</v>
      </c>
      <c r="T242" s="1">
        <f t="shared" ca="1" si="50"/>
        <v>10000000000</v>
      </c>
      <c r="U242" s="1">
        <f t="shared" si="56"/>
        <v>0</v>
      </c>
      <c r="V242" s="1">
        <v>70</v>
      </c>
      <c r="W242" s="1" t="str">
        <f>IF($U242=0,"",IF(INDEX(UCRETLER!$D$7:$D$606,$U242)="","",IF(INDEX(UCRETLER!$F$7:$F$606,$U242)="Aylık",EOMONTH(INDEX(UCRETLER!$D$7:$D$606,$U242),$V242-1),INDEX(UCRETLER!$U$7:$U$606,$U242)+7*($V242-1))))</f>
        <v/>
      </c>
      <c r="X242" s="1">
        <f>IF($U242=0,0,INDEX(UCRETLER!$G$7:$G$606,$U242))</f>
        <v>0</v>
      </c>
      <c r="Y242" s="1">
        <f t="shared" ca="1" si="51"/>
        <v>10000000000</v>
      </c>
      <c r="Z242" s="1">
        <f t="shared" ca="1" si="52"/>
        <v>1</v>
      </c>
      <c r="AA242" s="1"/>
      <c r="AB242" s="1"/>
      <c r="AC242" s="1"/>
      <c r="AD242" s="1"/>
    </row>
    <row r="243" spans="1:30" ht="19.5" customHeight="1" x14ac:dyDescent="0.3">
      <c r="A243" s="2"/>
      <c r="B243" s="86" t="str">
        <f t="shared" ca="1" si="43"/>
        <v/>
      </c>
      <c r="C243" s="87" t="str">
        <f t="shared" ca="1" si="44"/>
        <v/>
      </c>
      <c r="D243" s="88" t="str">
        <f t="shared" ca="1" si="45"/>
        <v/>
      </c>
      <c r="E243" s="86" t="str">
        <f t="shared" ca="1" si="46"/>
        <v/>
      </c>
      <c r="F243" s="89" t="str">
        <f t="shared" ca="1" si="47"/>
        <v/>
      </c>
      <c r="G243" s="89" t="str">
        <f t="shared" ca="1" si="48"/>
        <v/>
      </c>
      <c r="H243" s="89" t="str">
        <f t="shared" ca="1" si="49"/>
        <v/>
      </c>
      <c r="I243" s="2"/>
      <c r="J243" s="2"/>
      <c r="K243" s="1"/>
      <c r="L243" s="1"/>
      <c r="M243" s="1">
        <v>232</v>
      </c>
      <c r="N243" s="1" t="str">
        <f ca="1">IF(OR($U243=0,$W243="",$X243&lt;=0),"",IF($W243&gt;TODAY(),"",IF(AND(INDEX(UCRETLER!$E$7:$E$606,$U243)&lt;&gt;"",$W243&gt;INDEX(UCRETLER!$E$7:$E$606,$U243)),"",$W243)))</f>
        <v/>
      </c>
      <c r="O243" s="1" t="str">
        <f ca="1"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" t="str">
        <f t="shared" ca="1" si="53"/>
        <v/>
      </c>
      <c r="Q243" s="1"/>
      <c r="R243" s="1">
        <f t="shared" ca="1" si="54"/>
        <v>0</v>
      </c>
      <c r="S243" s="1">
        <v>0</v>
      </c>
      <c r="T243" s="1">
        <f t="shared" ca="1" si="50"/>
        <v>10000000000</v>
      </c>
      <c r="U243" s="1">
        <f t="shared" si="56"/>
        <v>0</v>
      </c>
      <c r="V243" s="1">
        <v>71</v>
      </c>
      <c r="W243" s="1" t="str">
        <f>IF($U243=0,"",IF(INDEX(UCRETLER!$D$7:$D$606,$U243)="","",IF(INDEX(UCRETLER!$F$7:$F$606,$U243)="Aylık",EOMONTH(INDEX(UCRETLER!$D$7:$D$606,$U243),$V243-1),INDEX(UCRETLER!$U$7:$U$606,$U243)+7*($V243-1))))</f>
        <v/>
      </c>
      <c r="X243" s="1">
        <f>IF($U243=0,0,INDEX(UCRETLER!$G$7:$G$606,$U243))</f>
        <v>0</v>
      </c>
      <c r="Y243" s="1">
        <f t="shared" ca="1" si="51"/>
        <v>10000000000</v>
      </c>
      <c r="Z243" s="1">
        <f t="shared" ca="1" si="52"/>
        <v>1</v>
      </c>
      <c r="AA243" s="1"/>
      <c r="AB243" s="1"/>
      <c r="AC243" s="1"/>
      <c r="AD243" s="1"/>
    </row>
    <row r="244" spans="1:30" ht="19.5" customHeight="1" x14ac:dyDescent="0.3">
      <c r="A244" s="2"/>
      <c r="B244" s="86" t="str">
        <f t="shared" ca="1" si="43"/>
        <v/>
      </c>
      <c r="C244" s="87" t="str">
        <f t="shared" ca="1" si="44"/>
        <v/>
      </c>
      <c r="D244" s="88" t="str">
        <f t="shared" ca="1" si="45"/>
        <v/>
      </c>
      <c r="E244" s="86" t="str">
        <f t="shared" ca="1" si="46"/>
        <v/>
      </c>
      <c r="F244" s="89" t="str">
        <f t="shared" ca="1" si="47"/>
        <v/>
      </c>
      <c r="G244" s="89" t="str">
        <f t="shared" ca="1" si="48"/>
        <v/>
      </c>
      <c r="H244" s="89" t="str">
        <f t="shared" ca="1" si="49"/>
        <v/>
      </c>
      <c r="I244" s="2"/>
      <c r="J244" s="2"/>
      <c r="K244" s="1"/>
      <c r="L244" s="1"/>
      <c r="M244" s="1">
        <v>233</v>
      </c>
      <c r="N244" s="1" t="str">
        <f ca="1">IF(OR($U244=0,$W244="",$X244&lt;=0),"",IF($W244&gt;TODAY(),"",IF(AND(INDEX(UCRETLER!$E$7:$E$606,$U244)&lt;&gt;"",$W244&gt;INDEX(UCRETLER!$E$7:$E$606,$U244)),"",$W244)))</f>
        <v/>
      </c>
      <c r="O244" s="1" t="str">
        <f ca="1"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" t="str">
        <f t="shared" ca="1" si="53"/>
        <v/>
      </c>
      <c r="Q244" s="1"/>
      <c r="R244" s="1">
        <f t="shared" ca="1" si="54"/>
        <v>0</v>
      </c>
      <c r="S244" s="1">
        <v>0</v>
      </c>
      <c r="T244" s="1">
        <f t="shared" ca="1" si="50"/>
        <v>10000000000</v>
      </c>
      <c r="U244" s="1">
        <f t="shared" si="56"/>
        <v>0</v>
      </c>
      <c r="V244" s="1">
        <v>72</v>
      </c>
      <c r="W244" s="1" t="str">
        <f>IF($U244=0,"",IF(INDEX(UCRETLER!$D$7:$D$606,$U244)="","",IF(INDEX(UCRETLER!$F$7:$F$606,$U244)="Aylık",EOMONTH(INDEX(UCRETLER!$D$7:$D$606,$U244),$V244-1),INDEX(UCRETLER!$U$7:$U$606,$U244)+7*($V244-1))))</f>
        <v/>
      </c>
      <c r="X244" s="1">
        <f>IF($U244=0,0,INDEX(UCRETLER!$G$7:$G$606,$U244))</f>
        <v>0</v>
      </c>
      <c r="Y244" s="1">
        <f t="shared" ca="1" si="51"/>
        <v>10000000000</v>
      </c>
      <c r="Z244" s="1">
        <f t="shared" ca="1" si="52"/>
        <v>1</v>
      </c>
      <c r="AA244" s="1"/>
      <c r="AB244" s="1"/>
      <c r="AC244" s="1"/>
      <c r="AD244" s="1"/>
    </row>
    <row r="245" spans="1:30" ht="19.5" customHeight="1" x14ac:dyDescent="0.3">
      <c r="A245" s="2"/>
      <c r="B245" s="86" t="str">
        <f t="shared" ca="1" si="43"/>
        <v/>
      </c>
      <c r="C245" s="87" t="str">
        <f t="shared" ca="1" si="44"/>
        <v/>
      </c>
      <c r="D245" s="88" t="str">
        <f t="shared" ca="1" si="45"/>
        <v/>
      </c>
      <c r="E245" s="86" t="str">
        <f t="shared" ca="1" si="46"/>
        <v/>
      </c>
      <c r="F245" s="89" t="str">
        <f t="shared" ca="1" si="47"/>
        <v/>
      </c>
      <c r="G245" s="89" t="str">
        <f t="shared" ca="1" si="48"/>
        <v/>
      </c>
      <c r="H245" s="89" t="str">
        <f t="shared" ca="1" si="49"/>
        <v/>
      </c>
      <c r="I245" s="2"/>
      <c r="J245" s="2"/>
      <c r="K245" s="1"/>
      <c r="L245" s="1"/>
      <c r="M245" s="1">
        <v>234</v>
      </c>
      <c r="N245" s="1" t="str">
        <f ca="1">IF(OR($U245=0,$W245="",$X245&lt;=0),"",IF($W245&gt;TODAY(),"",IF(AND(INDEX(UCRETLER!$E$7:$E$606,$U245)&lt;&gt;"",$W245&gt;INDEX(UCRETLER!$E$7:$E$606,$U245)),"",$W245)))</f>
        <v/>
      </c>
      <c r="O245" s="1" t="str">
        <f ca="1"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" t="str">
        <f t="shared" ca="1" si="53"/>
        <v/>
      </c>
      <c r="Q245" s="1"/>
      <c r="R245" s="1">
        <f t="shared" ca="1" si="54"/>
        <v>0</v>
      </c>
      <c r="S245" s="1">
        <v>0</v>
      </c>
      <c r="T245" s="1">
        <f t="shared" ca="1" si="50"/>
        <v>10000000000</v>
      </c>
      <c r="U245" s="1">
        <f t="shared" si="56"/>
        <v>0</v>
      </c>
      <c r="V245" s="1">
        <v>73</v>
      </c>
      <c r="W245" s="1" t="str">
        <f>IF($U245=0,"",IF(INDEX(UCRETLER!$D$7:$D$606,$U245)="","",IF(INDEX(UCRETLER!$F$7:$F$606,$U245)="Aylık",EOMONTH(INDEX(UCRETLER!$D$7:$D$606,$U245),$V245-1),INDEX(UCRETLER!$U$7:$U$606,$U245)+7*($V245-1))))</f>
        <v/>
      </c>
      <c r="X245" s="1">
        <f>IF($U245=0,0,INDEX(UCRETLER!$G$7:$G$606,$U245))</f>
        <v>0</v>
      </c>
      <c r="Y245" s="1">
        <f t="shared" ca="1" si="51"/>
        <v>10000000000</v>
      </c>
      <c r="Z245" s="1">
        <f t="shared" ca="1" si="52"/>
        <v>1</v>
      </c>
      <c r="AA245" s="1"/>
      <c r="AB245" s="1"/>
      <c r="AC245" s="1"/>
      <c r="AD245" s="1"/>
    </row>
    <row r="246" spans="1:30" ht="19.5" customHeight="1" x14ac:dyDescent="0.3">
      <c r="A246" s="2"/>
      <c r="B246" s="86" t="str">
        <f t="shared" ca="1" si="43"/>
        <v/>
      </c>
      <c r="C246" s="87" t="str">
        <f t="shared" ca="1" si="44"/>
        <v/>
      </c>
      <c r="D246" s="88" t="str">
        <f t="shared" ca="1" si="45"/>
        <v/>
      </c>
      <c r="E246" s="86" t="str">
        <f t="shared" ca="1" si="46"/>
        <v/>
      </c>
      <c r="F246" s="89" t="str">
        <f t="shared" ca="1" si="47"/>
        <v/>
      </c>
      <c r="G246" s="89" t="str">
        <f t="shared" ca="1" si="48"/>
        <v/>
      </c>
      <c r="H246" s="89" t="str">
        <f t="shared" ca="1" si="49"/>
        <v/>
      </c>
      <c r="I246" s="2"/>
      <c r="J246" s="2"/>
      <c r="K246" s="1"/>
      <c r="L246" s="1"/>
      <c r="M246" s="1">
        <v>235</v>
      </c>
      <c r="N246" s="1" t="str">
        <f ca="1">IF(OR($U246=0,$W246="",$X246&lt;=0),"",IF($W246&gt;TODAY(),"",IF(AND(INDEX(UCRETLER!$E$7:$E$606,$U246)&lt;&gt;"",$W246&gt;INDEX(UCRETLER!$E$7:$E$606,$U246)),"",$W246)))</f>
        <v/>
      </c>
      <c r="O246" s="1" t="str">
        <f ca="1"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" t="str">
        <f t="shared" ca="1" si="53"/>
        <v/>
      </c>
      <c r="Q246" s="1"/>
      <c r="R246" s="1">
        <f t="shared" ca="1" si="54"/>
        <v>0</v>
      </c>
      <c r="S246" s="1">
        <v>0</v>
      </c>
      <c r="T246" s="1">
        <f t="shared" ca="1" si="50"/>
        <v>10000000000</v>
      </c>
      <c r="U246" s="1">
        <f t="shared" si="56"/>
        <v>0</v>
      </c>
      <c r="V246" s="1">
        <v>74</v>
      </c>
      <c r="W246" s="1" t="str">
        <f>IF($U246=0,"",IF(INDEX(UCRETLER!$D$7:$D$606,$U246)="","",IF(INDEX(UCRETLER!$F$7:$F$606,$U246)="Aylık",EOMONTH(INDEX(UCRETLER!$D$7:$D$606,$U246),$V246-1),INDEX(UCRETLER!$U$7:$U$606,$U246)+7*($V246-1))))</f>
        <v/>
      </c>
      <c r="X246" s="1">
        <f>IF($U246=0,0,INDEX(UCRETLER!$G$7:$G$606,$U246))</f>
        <v>0</v>
      </c>
      <c r="Y246" s="1">
        <f t="shared" ca="1" si="51"/>
        <v>10000000000</v>
      </c>
      <c r="Z246" s="1">
        <f t="shared" ca="1" si="52"/>
        <v>1</v>
      </c>
      <c r="AA246" s="1"/>
      <c r="AB246" s="1"/>
      <c r="AC246" s="1"/>
      <c r="AD246" s="1"/>
    </row>
    <row r="247" spans="1:30" ht="19.5" customHeight="1" x14ac:dyDescent="0.3">
      <c r="A247" s="2"/>
      <c r="B247" s="86" t="str">
        <f t="shared" ca="1" si="43"/>
        <v/>
      </c>
      <c r="C247" s="87" t="str">
        <f t="shared" ca="1" si="44"/>
        <v/>
      </c>
      <c r="D247" s="88" t="str">
        <f t="shared" ca="1" si="45"/>
        <v/>
      </c>
      <c r="E247" s="86" t="str">
        <f t="shared" ca="1" si="46"/>
        <v/>
      </c>
      <c r="F247" s="89" t="str">
        <f t="shared" ca="1" si="47"/>
        <v/>
      </c>
      <c r="G247" s="89" t="str">
        <f t="shared" ca="1" si="48"/>
        <v/>
      </c>
      <c r="H247" s="89" t="str">
        <f t="shared" ca="1" si="49"/>
        <v/>
      </c>
      <c r="I247" s="2"/>
      <c r="J247" s="2"/>
      <c r="K247" s="1"/>
      <c r="L247" s="1"/>
      <c r="M247" s="1">
        <v>236</v>
      </c>
      <c r="N247" s="1" t="str">
        <f ca="1">IF(OR($U247=0,$W247="",$X247&lt;=0),"",IF($W247&gt;TODAY(),"",IF(AND(INDEX(UCRETLER!$E$7:$E$606,$U247)&lt;&gt;"",$W247&gt;INDEX(UCRETLER!$E$7:$E$606,$U247)),"",$W247)))</f>
        <v/>
      </c>
      <c r="O247" s="1" t="str">
        <f ca="1"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" t="str">
        <f t="shared" ca="1" si="53"/>
        <v/>
      </c>
      <c r="Q247" s="1"/>
      <c r="R247" s="1">
        <f t="shared" ca="1" si="54"/>
        <v>0</v>
      </c>
      <c r="S247" s="1">
        <v>0</v>
      </c>
      <c r="T247" s="1">
        <f t="shared" ca="1" si="50"/>
        <v>10000000000</v>
      </c>
      <c r="U247" s="1">
        <f t="shared" si="56"/>
        <v>0</v>
      </c>
      <c r="V247" s="1">
        <v>75</v>
      </c>
      <c r="W247" s="1" t="str">
        <f>IF($U247=0,"",IF(INDEX(UCRETLER!$D$7:$D$606,$U247)="","",IF(INDEX(UCRETLER!$F$7:$F$606,$U247)="Aylık",EOMONTH(INDEX(UCRETLER!$D$7:$D$606,$U247),$V247-1),INDEX(UCRETLER!$U$7:$U$606,$U247)+7*($V247-1))))</f>
        <v/>
      </c>
      <c r="X247" s="1">
        <f>IF($U247=0,0,INDEX(UCRETLER!$G$7:$G$606,$U247))</f>
        <v>0</v>
      </c>
      <c r="Y247" s="1">
        <f t="shared" ca="1" si="51"/>
        <v>10000000000</v>
      </c>
      <c r="Z247" s="1">
        <f t="shared" ca="1" si="52"/>
        <v>1</v>
      </c>
      <c r="AA247" s="1"/>
      <c r="AB247" s="1"/>
      <c r="AC247" s="1"/>
      <c r="AD247" s="1"/>
    </row>
    <row r="248" spans="1:30" ht="19.5" customHeight="1" x14ac:dyDescent="0.3">
      <c r="A248" s="2"/>
      <c r="B248" s="86" t="str">
        <f t="shared" ca="1" si="43"/>
        <v/>
      </c>
      <c r="C248" s="87" t="str">
        <f t="shared" ca="1" si="44"/>
        <v/>
      </c>
      <c r="D248" s="88" t="str">
        <f t="shared" ca="1" si="45"/>
        <v/>
      </c>
      <c r="E248" s="86" t="str">
        <f t="shared" ca="1" si="46"/>
        <v/>
      </c>
      <c r="F248" s="89" t="str">
        <f t="shared" ca="1" si="47"/>
        <v/>
      </c>
      <c r="G248" s="89" t="str">
        <f t="shared" ca="1" si="48"/>
        <v/>
      </c>
      <c r="H248" s="89" t="str">
        <f t="shared" ca="1" si="49"/>
        <v/>
      </c>
      <c r="I248" s="2"/>
      <c r="J248" s="2"/>
      <c r="K248" s="1"/>
      <c r="L248" s="1"/>
      <c r="M248" s="1">
        <v>237</v>
      </c>
      <c r="N248" s="1" t="str">
        <f ca="1">IF(OR($U248=0,$W248="",$X248&lt;=0),"",IF($W248&gt;TODAY(),"",IF(AND(INDEX(UCRETLER!$E$7:$E$606,$U248)&lt;&gt;"",$W248&gt;INDEX(UCRETLER!$E$7:$E$606,$U248)),"",$W248)))</f>
        <v/>
      </c>
      <c r="O248" s="1" t="str">
        <f ca="1"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" t="str">
        <f t="shared" ca="1" si="53"/>
        <v/>
      </c>
      <c r="Q248" s="1"/>
      <c r="R248" s="1">
        <f t="shared" ca="1" si="54"/>
        <v>0</v>
      </c>
      <c r="S248" s="1">
        <v>0</v>
      </c>
      <c r="T248" s="1">
        <f t="shared" ca="1" si="50"/>
        <v>10000000000</v>
      </c>
      <c r="U248" s="1">
        <f t="shared" si="56"/>
        <v>0</v>
      </c>
      <c r="V248" s="1">
        <v>76</v>
      </c>
      <c r="W248" s="1" t="str">
        <f>IF($U248=0,"",IF(INDEX(UCRETLER!$D$7:$D$606,$U248)="","",IF(INDEX(UCRETLER!$F$7:$F$606,$U248)="Aylık",EOMONTH(INDEX(UCRETLER!$D$7:$D$606,$U248),$V248-1),INDEX(UCRETLER!$U$7:$U$606,$U248)+7*($V248-1))))</f>
        <v/>
      </c>
      <c r="X248" s="1">
        <f>IF($U248=0,0,INDEX(UCRETLER!$G$7:$G$606,$U248))</f>
        <v>0</v>
      </c>
      <c r="Y248" s="1">
        <f t="shared" ca="1" si="51"/>
        <v>10000000000</v>
      </c>
      <c r="Z248" s="1">
        <f t="shared" ca="1" si="52"/>
        <v>1</v>
      </c>
      <c r="AA248" s="1"/>
      <c r="AB248" s="1"/>
      <c r="AC248" s="1"/>
      <c r="AD248" s="1"/>
    </row>
    <row r="249" spans="1:30" ht="19.5" customHeight="1" x14ac:dyDescent="0.3">
      <c r="A249" s="2"/>
      <c r="B249" s="86" t="str">
        <f t="shared" ca="1" si="43"/>
        <v/>
      </c>
      <c r="C249" s="87" t="str">
        <f t="shared" ca="1" si="44"/>
        <v/>
      </c>
      <c r="D249" s="88" t="str">
        <f t="shared" ca="1" si="45"/>
        <v/>
      </c>
      <c r="E249" s="86" t="str">
        <f t="shared" ca="1" si="46"/>
        <v/>
      </c>
      <c r="F249" s="89" t="str">
        <f t="shared" ca="1" si="47"/>
        <v/>
      </c>
      <c r="G249" s="89" t="str">
        <f t="shared" ca="1" si="48"/>
        <v/>
      </c>
      <c r="H249" s="89" t="str">
        <f t="shared" ca="1" si="49"/>
        <v/>
      </c>
      <c r="I249" s="2"/>
      <c r="J249" s="2"/>
      <c r="K249" s="1"/>
      <c r="L249" s="1"/>
      <c r="M249" s="1">
        <v>238</v>
      </c>
      <c r="N249" s="1" t="str">
        <f ca="1">IF(OR($U249=0,$W249="",$X249&lt;=0),"",IF($W249&gt;TODAY(),"",IF(AND(INDEX(UCRETLER!$E$7:$E$606,$U249)&lt;&gt;"",$W249&gt;INDEX(UCRETLER!$E$7:$E$606,$U249)),"",$W249)))</f>
        <v/>
      </c>
      <c r="O249" s="1" t="str">
        <f ca="1"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" t="str">
        <f t="shared" ca="1" si="53"/>
        <v/>
      </c>
      <c r="Q249" s="1"/>
      <c r="R249" s="1">
        <f t="shared" ca="1" si="54"/>
        <v>0</v>
      </c>
      <c r="S249" s="1">
        <v>0</v>
      </c>
      <c r="T249" s="1">
        <f t="shared" ca="1" si="50"/>
        <v>10000000000</v>
      </c>
      <c r="U249" s="1">
        <f t="shared" si="56"/>
        <v>0</v>
      </c>
      <c r="V249" s="1">
        <v>77</v>
      </c>
      <c r="W249" s="1" t="str">
        <f>IF($U249=0,"",IF(INDEX(UCRETLER!$D$7:$D$606,$U249)="","",IF(INDEX(UCRETLER!$F$7:$F$606,$U249)="Aylık",EOMONTH(INDEX(UCRETLER!$D$7:$D$606,$U249),$V249-1),INDEX(UCRETLER!$U$7:$U$606,$U249)+7*($V249-1))))</f>
        <v/>
      </c>
      <c r="X249" s="1">
        <f>IF($U249=0,0,INDEX(UCRETLER!$G$7:$G$606,$U249))</f>
        <v>0</v>
      </c>
      <c r="Y249" s="1">
        <f t="shared" ca="1" si="51"/>
        <v>10000000000</v>
      </c>
      <c r="Z249" s="1">
        <f t="shared" ca="1" si="52"/>
        <v>1</v>
      </c>
      <c r="AA249" s="1"/>
      <c r="AB249" s="1"/>
      <c r="AC249" s="1"/>
      <c r="AD249" s="1"/>
    </row>
    <row r="250" spans="1:30" ht="19.5" customHeight="1" x14ac:dyDescent="0.3">
      <c r="A250" s="2"/>
      <c r="B250" s="86" t="str">
        <f t="shared" ca="1" si="43"/>
        <v/>
      </c>
      <c r="C250" s="87" t="str">
        <f t="shared" ca="1" si="44"/>
        <v/>
      </c>
      <c r="D250" s="88" t="str">
        <f t="shared" ca="1" si="45"/>
        <v/>
      </c>
      <c r="E250" s="86" t="str">
        <f t="shared" ca="1" si="46"/>
        <v/>
      </c>
      <c r="F250" s="89" t="str">
        <f t="shared" ca="1" si="47"/>
        <v/>
      </c>
      <c r="G250" s="89" t="str">
        <f t="shared" ca="1" si="48"/>
        <v/>
      </c>
      <c r="H250" s="89" t="str">
        <f t="shared" ca="1" si="49"/>
        <v/>
      </c>
      <c r="I250" s="2"/>
      <c r="J250" s="2"/>
      <c r="K250" s="1"/>
      <c r="L250" s="1"/>
      <c r="M250" s="1">
        <v>239</v>
      </c>
      <c r="N250" s="1" t="str">
        <f ca="1">IF(OR($U250=0,$W250="",$X250&lt;=0),"",IF($W250&gt;TODAY(),"",IF(AND(INDEX(UCRETLER!$E$7:$E$606,$U250)&lt;&gt;"",$W250&gt;INDEX(UCRETLER!$E$7:$E$606,$U250)),"",$W250)))</f>
        <v/>
      </c>
      <c r="O250" s="1" t="str">
        <f ca="1"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" t="str">
        <f t="shared" ca="1" si="53"/>
        <v/>
      </c>
      <c r="Q250" s="1"/>
      <c r="R250" s="1">
        <f t="shared" ca="1" si="54"/>
        <v>0</v>
      </c>
      <c r="S250" s="1">
        <v>0</v>
      </c>
      <c r="T250" s="1">
        <f t="shared" ca="1" si="50"/>
        <v>10000000000</v>
      </c>
      <c r="U250" s="1">
        <f t="shared" si="56"/>
        <v>0</v>
      </c>
      <c r="V250" s="1">
        <v>78</v>
      </c>
      <c r="W250" s="1" t="str">
        <f>IF($U250=0,"",IF(INDEX(UCRETLER!$D$7:$D$606,$U250)="","",IF(INDEX(UCRETLER!$F$7:$F$606,$U250)="Aylık",EOMONTH(INDEX(UCRETLER!$D$7:$D$606,$U250),$V250-1),INDEX(UCRETLER!$U$7:$U$606,$U250)+7*($V250-1))))</f>
        <v/>
      </c>
      <c r="X250" s="1">
        <f>IF($U250=0,0,INDEX(UCRETLER!$G$7:$G$606,$U250))</f>
        <v>0</v>
      </c>
      <c r="Y250" s="1">
        <f t="shared" ca="1" si="51"/>
        <v>10000000000</v>
      </c>
      <c r="Z250" s="1">
        <f t="shared" ca="1" si="52"/>
        <v>1</v>
      </c>
      <c r="AA250" s="1"/>
      <c r="AB250" s="1"/>
      <c r="AC250" s="1"/>
      <c r="AD250" s="1"/>
    </row>
    <row r="251" spans="1:30" ht="19.5" customHeight="1" x14ac:dyDescent="0.3">
      <c r="A251" s="2"/>
      <c r="B251" s="86" t="str">
        <f t="shared" ca="1" si="43"/>
        <v/>
      </c>
      <c r="C251" s="87" t="str">
        <f t="shared" ca="1" si="44"/>
        <v/>
      </c>
      <c r="D251" s="88" t="str">
        <f t="shared" ca="1" si="45"/>
        <v/>
      </c>
      <c r="E251" s="86" t="str">
        <f t="shared" ca="1" si="46"/>
        <v/>
      </c>
      <c r="F251" s="89" t="str">
        <f t="shared" ca="1" si="47"/>
        <v/>
      </c>
      <c r="G251" s="89" t="str">
        <f t="shared" ca="1" si="48"/>
        <v/>
      </c>
      <c r="H251" s="89" t="str">
        <f t="shared" ca="1" si="49"/>
        <v/>
      </c>
      <c r="I251" s="2"/>
      <c r="J251" s="2"/>
      <c r="K251" s="1"/>
      <c r="L251" s="1"/>
      <c r="M251" s="1">
        <v>240</v>
      </c>
      <c r="N251" s="1" t="str">
        <f ca="1">IF(OR($U251=0,$W251="",$X251&lt;=0),"",IF($W251&gt;TODAY(),"",IF(AND(INDEX(UCRETLER!$E$7:$E$606,$U251)&lt;&gt;"",$W251&gt;INDEX(UCRETLER!$E$7:$E$606,$U251)),"",$W251)))</f>
        <v/>
      </c>
      <c r="O251" s="1" t="str">
        <f ca="1"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" t="str">
        <f t="shared" ca="1" si="53"/>
        <v/>
      </c>
      <c r="Q251" s="1"/>
      <c r="R251" s="1">
        <f t="shared" ca="1" si="54"/>
        <v>0</v>
      </c>
      <c r="S251" s="1">
        <v>0</v>
      </c>
      <c r="T251" s="1">
        <f t="shared" ca="1" si="50"/>
        <v>10000000000</v>
      </c>
      <c r="U251" s="1">
        <f t="shared" si="56"/>
        <v>0</v>
      </c>
      <c r="V251" s="1">
        <v>79</v>
      </c>
      <c r="W251" s="1" t="str">
        <f>IF($U251=0,"",IF(INDEX(UCRETLER!$D$7:$D$606,$U251)="","",IF(INDEX(UCRETLER!$F$7:$F$606,$U251)="Aylık",EOMONTH(INDEX(UCRETLER!$D$7:$D$606,$U251),$V251-1),INDEX(UCRETLER!$U$7:$U$606,$U251)+7*($V251-1))))</f>
        <v/>
      </c>
      <c r="X251" s="1">
        <f>IF($U251=0,0,INDEX(UCRETLER!$G$7:$G$606,$U251))</f>
        <v>0</v>
      </c>
      <c r="Y251" s="1">
        <f t="shared" ca="1" si="51"/>
        <v>10000000000</v>
      </c>
      <c r="Z251" s="1">
        <f t="shared" ca="1" si="52"/>
        <v>1</v>
      </c>
      <c r="AA251" s="1"/>
      <c r="AB251" s="1"/>
      <c r="AC251" s="1"/>
      <c r="AD251" s="1"/>
    </row>
    <row r="252" spans="1:30" ht="19.5" customHeight="1" x14ac:dyDescent="0.3">
      <c r="A252" s="2"/>
      <c r="B252" s="86" t="str">
        <f t="shared" ca="1" si="43"/>
        <v/>
      </c>
      <c r="C252" s="87" t="str">
        <f t="shared" ca="1" si="44"/>
        <v/>
      </c>
      <c r="D252" s="88" t="str">
        <f t="shared" ca="1" si="45"/>
        <v/>
      </c>
      <c r="E252" s="86" t="str">
        <f t="shared" ca="1" si="46"/>
        <v/>
      </c>
      <c r="F252" s="89" t="str">
        <f t="shared" ca="1" si="47"/>
        <v/>
      </c>
      <c r="G252" s="89" t="str">
        <f t="shared" ca="1" si="48"/>
        <v/>
      </c>
      <c r="H252" s="89" t="str">
        <f t="shared" ca="1" si="49"/>
        <v/>
      </c>
      <c r="I252" s="2"/>
      <c r="J252" s="2"/>
      <c r="K252" s="1"/>
      <c r="L252" s="1"/>
      <c r="M252" s="1">
        <v>241</v>
      </c>
      <c r="N252" s="1" t="str">
        <f ca="1">IF(OR($U252=0,$W252="",$X252&lt;=0),"",IF($W252&gt;TODAY(),"",IF(AND(INDEX(UCRETLER!$E$7:$E$606,$U252)&lt;&gt;"",$W252&gt;INDEX(UCRETLER!$E$7:$E$606,$U252)),"",$W252)))</f>
        <v/>
      </c>
      <c r="O252" s="1" t="str">
        <f ca="1"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" t="str">
        <f t="shared" ca="1" si="53"/>
        <v/>
      </c>
      <c r="Q252" s="1"/>
      <c r="R252" s="1">
        <f t="shared" ca="1" si="54"/>
        <v>0</v>
      </c>
      <c r="S252" s="1">
        <v>0</v>
      </c>
      <c r="T252" s="1">
        <f t="shared" ca="1" si="50"/>
        <v>10000000000</v>
      </c>
      <c r="U252" s="1">
        <f t="shared" si="56"/>
        <v>0</v>
      </c>
      <c r="V252" s="1">
        <v>80</v>
      </c>
      <c r="W252" s="1" t="str">
        <f>IF($U252=0,"",IF(INDEX(UCRETLER!$D$7:$D$606,$U252)="","",IF(INDEX(UCRETLER!$F$7:$F$606,$U252)="Aylık",EOMONTH(INDEX(UCRETLER!$D$7:$D$606,$U252),$V252-1),INDEX(UCRETLER!$U$7:$U$606,$U252)+7*($V252-1))))</f>
        <v/>
      </c>
      <c r="X252" s="1">
        <f>IF($U252=0,0,INDEX(UCRETLER!$G$7:$G$606,$U252))</f>
        <v>0</v>
      </c>
      <c r="Y252" s="1">
        <f t="shared" ca="1" si="51"/>
        <v>10000000000</v>
      </c>
      <c r="Z252" s="1">
        <f t="shared" ca="1" si="52"/>
        <v>1</v>
      </c>
      <c r="AA252" s="1"/>
      <c r="AB252" s="1"/>
      <c r="AC252" s="1"/>
      <c r="AD252" s="1"/>
    </row>
    <row r="253" spans="1:30" ht="19.5" customHeight="1" x14ac:dyDescent="0.3">
      <c r="A253" s="2"/>
      <c r="B253" s="86" t="str">
        <f t="shared" ca="1" si="43"/>
        <v/>
      </c>
      <c r="C253" s="87" t="str">
        <f t="shared" ca="1" si="44"/>
        <v/>
      </c>
      <c r="D253" s="88" t="str">
        <f t="shared" ca="1" si="45"/>
        <v/>
      </c>
      <c r="E253" s="86" t="str">
        <f t="shared" ca="1" si="46"/>
        <v/>
      </c>
      <c r="F253" s="89" t="str">
        <f t="shared" ca="1" si="47"/>
        <v/>
      </c>
      <c r="G253" s="89" t="str">
        <f t="shared" ca="1" si="48"/>
        <v/>
      </c>
      <c r="H253" s="89" t="str">
        <f t="shared" ca="1" si="49"/>
        <v/>
      </c>
      <c r="I253" s="2"/>
      <c r="J253" s="2"/>
      <c r="K253" s="1"/>
      <c r="L253" s="1"/>
      <c r="M253" s="1">
        <v>242</v>
      </c>
      <c r="N253" s="71">
        <f>IF($U253=0,"",INDEX(TAHSILAT!$E$7:$E$2503,$U253))</f>
        <v>46035</v>
      </c>
      <c r="O253" s="1" t="str">
        <f>IF($N253="","","Ödeme  –  "&amp;INDEX(TAHSILAT!$H$7:$H$2503,$U253)&amp;"  ("&amp;INDEX(TAHSILAT!$G$7:$G$2503,$U253)&amp;")"&amp;IF(INDEX(TAHSILAT!$J$7:$J$2503,$U253)="",""," / "&amp;INDEX(TAHSILAT!$J$7:$J$2503,$U253)))</f>
        <v>Ödeme  –  Nakit  (ÖMER KARTAL) / NAKİT ÖDENEN</v>
      </c>
      <c r="P253" s="1" t="str">
        <f t="shared" ref="P253:P284" si="57">IF($N253="","","ÖDEME")</f>
        <v>ÖDEME</v>
      </c>
      <c r="Q253" s="1"/>
      <c r="R253" s="1">
        <v>0</v>
      </c>
      <c r="S253" s="79">
        <f>IF($N253="",0,INDEX(TAHSILAT!$F$7:$F$2503,$U253))</f>
        <v>3000</v>
      </c>
      <c r="T253" s="1">
        <f t="shared" si="50"/>
        <v>4603500242</v>
      </c>
      <c r="U253" s="1">
        <f>IFERROR(MATCH($AC$4&amp;"|1",TAHSILAT!$Q$7:$Q$2503,0),0)</f>
        <v>25</v>
      </c>
      <c r="V253" s="1"/>
      <c r="W253" s="1"/>
      <c r="X253" s="1"/>
      <c r="Y253" s="1">
        <f t="shared" ca="1" si="51"/>
        <v>10000000000</v>
      </c>
      <c r="Z253" s="1">
        <f t="shared" ca="1" si="52"/>
        <v>1</v>
      </c>
      <c r="AA253" s="1"/>
      <c r="AB253" s="1"/>
      <c r="AC253" s="1"/>
      <c r="AD253" s="1"/>
    </row>
    <row r="254" spans="1:30" ht="19.5" customHeight="1" x14ac:dyDescent="0.3">
      <c r="A254" s="2"/>
      <c r="B254" s="86" t="str">
        <f t="shared" ca="1" si="43"/>
        <v/>
      </c>
      <c r="C254" s="87" t="str">
        <f t="shared" ca="1" si="44"/>
        <v/>
      </c>
      <c r="D254" s="88" t="str">
        <f t="shared" ca="1" si="45"/>
        <v/>
      </c>
      <c r="E254" s="86" t="str">
        <f t="shared" ca="1" si="46"/>
        <v/>
      </c>
      <c r="F254" s="89" t="str">
        <f t="shared" ca="1" si="47"/>
        <v/>
      </c>
      <c r="G254" s="89" t="str">
        <f t="shared" ca="1" si="48"/>
        <v/>
      </c>
      <c r="H254" s="89" t="str">
        <f t="shared" ca="1" si="49"/>
        <v/>
      </c>
      <c r="I254" s="2"/>
      <c r="J254" s="2"/>
      <c r="K254" s="1"/>
      <c r="L254" s="1"/>
      <c r="M254" s="1">
        <v>243</v>
      </c>
      <c r="N254" s="71">
        <f>IF($U254=0,"",INDEX(TAHSILAT!$E$7:$E$2503,$U254))</f>
        <v>46066</v>
      </c>
      <c r="O254" s="1" t="str">
        <f>IF($N254="","","Ödeme  –  "&amp;INDEX(TAHSILAT!$H$7:$H$2503,$U254)&amp;"  ("&amp;INDEX(TAHSILAT!$G$7:$G$2503,$U254)&amp;")"&amp;IF(INDEX(TAHSILAT!$J$7:$J$2503,$U254)="",""," / "&amp;INDEX(TAHSILAT!$J$7:$J$2503,$U254)))</f>
        <v>Ödeme  –  Nakit  (ÖMER KARTAL) / NAKİT ÖDENEN</v>
      </c>
      <c r="P254" s="1" t="str">
        <f t="shared" si="57"/>
        <v>ÖDEME</v>
      </c>
      <c r="Q254" s="1"/>
      <c r="R254" s="1">
        <v>0</v>
      </c>
      <c r="S254" s="79">
        <f>IF($N254="",0,INDEX(TAHSILAT!$F$7:$F$2503,$U254))</f>
        <v>3000</v>
      </c>
      <c r="T254" s="1">
        <f t="shared" si="50"/>
        <v>4606600243</v>
      </c>
      <c r="U254" s="1">
        <f>IFERROR(MATCH($AC$4&amp;"|2",TAHSILAT!$Q$7:$Q$2503,0),0)</f>
        <v>101</v>
      </c>
      <c r="V254" s="1"/>
      <c r="W254" s="1"/>
      <c r="X254" s="1"/>
      <c r="Y254" s="1">
        <f t="shared" ca="1" si="51"/>
        <v>10000000000</v>
      </c>
      <c r="Z254" s="1">
        <f t="shared" ca="1" si="52"/>
        <v>1</v>
      </c>
      <c r="AA254" s="1"/>
      <c r="AB254" s="1"/>
      <c r="AC254" s="1"/>
      <c r="AD254" s="1"/>
    </row>
    <row r="255" spans="1:30" ht="19.5" customHeight="1" x14ac:dyDescent="0.3">
      <c r="A255" s="2"/>
      <c r="B255" s="86" t="str">
        <f t="shared" ca="1" si="43"/>
        <v/>
      </c>
      <c r="C255" s="87" t="str">
        <f t="shared" ca="1" si="44"/>
        <v/>
      </c>
      <c r="D255" s="88" t="str">
        <f t="shared" ca="1" si="45"/>
        <v/>
      </c>
      <c r="E255" s="86" t="str">
        <f t="shared" ca="1" si="46"/>
        <v/>
      </c>
      <c r="F255" s="89" t="str">
        <f t="shared" ca="1" si="47"/>
        <v/>
      </c>
      <c r="G255" s="89" t="str">
        <f t="shared" ca="1" si="48"/>
        <v/>
      </c>
      <c r="H255" s="89" t="str">
        <f t="shared" ca="1" si="49"/>
        <v/>
      </c>
      <c r="I255" s="2"/>
      <c r="J255" s="2"/>
      <c r="K255" s="1"/>
      <c r="L255" s="1"/>
      <c r="M255" s="1">
        <v>244</v>
      </c>
      <c r="N255" s="71">
        <f>IF($U255=0,"",INDEX(TAHSILAT!$E$7:$E$2503,$U255))</f>
        <v>46099</v>
      </c>
      <c r="O255" s="1" t="str">
        <f>IF($N255="","","Ödeme  –  "&amp;INDEX(TAHSILAT!$H$7:$H$2503,$U255)&amp;"  ("&amp;INDEX(TAHSILAT!$G$7:$G$2503,$U255)&amp;")"&amp;IF(INDEX(TAHSILAT!$J$7:$J$2503,$U255)="",""," / "&amp;INDEX(TAHSILAT!$J$7:$J$2503,$U255)))</f>
        <v>Ödeme  –  Nakit  (MERKEZ KASA) / NAKİT ÖDENEN</v>
      </c>
      <c r="P255" s="1" t="str">
        <f t="shared" si="57"/>
        <v>ÖDEME</v>
      </c>
      <c r="Q255" s="1"/>
      <c r="R255" s="1">
        <v>0</v>
      </c>
      <c r="S255" s="79">
        <f>IF($N255="",0,INDEX(TAHSILAT!$F$7:$F$2503,$U255))</f>
        <v>3000</v>
      </c>
      <c r="T255" s="1">
        <f t="shared" si="50"/>
        <v>4609900244</v>
      </c>
      <c r="U255" s="1">
        <f>IFERROR(MATCH($AC$4&amp;"|3",TAHSILAT!$Q$7:$Q$2503,0),0)</f>
        <v>170</v>
      </c>
      <c r="V255" s="1"/>
      <c r="W255" s="1"/>
      <c r="X255" s="1"/>
      <c r="Y255" s="1">
        <f t="shared" ca="1" si="51"/>
        <v>10000000000</v>
      </c>
      <c r="Z255" s="1">
        <f t="shared" ca="1" si="52"/>
        <v>1</v>
      </c>
      <c r="AA255" s="1"/>
      <c r="AB255" s="1"/>
      <c r="AC255" s="1"/>
      <c r="AD255" s="1"/>
    </row>
    <row r="256" spans="1:30" ht="19.5" customHeight="1" x14ac:dyDescent="0.3">
      <c r="A256" s="2"/>
      <c r="B256" s="86" t="str">
        <f t="shared" ca="1" si="43"/>
        <v/>
      </c>
      <c r="C256" s="87" t="str">
        <f t="shared" ca="1" si="44"/>
        <v/>
      </c>
      <c r="D256" s="88" t="str">
        <f t="shared" ca="1" si="45"/>
        <v/>
      </c>
      <c r="E256" s="86" t="str">
        <f t="shared" ca="1" si="46"/>
        <v/>
      </c>
      <c r="F256" s="89" t="str">
        <f t="shared" ca="1" si="47"/>
        <v/>
      </c>
      <c r="G256" s="89" t="str">
        <f t="shared" ca="1" si="48"/>
        <v/>
      </c>
      <c r="H256" s="89" t="str">
        <f t="shared" ca="1" si="49"/>
        <v/>
      </c>
      <c r="I256" s="2"/>
      <c r="J256" s="2"/>
      <c r="K256" s="1"/>
      <c r="L256" s="1"/>
      <c r="M256" s="1">
        <v>245</v>
      </c>
      <c r="N256" s="71">
        <f>IF($U256=0,"",INDEX(TAHSILAT!$E$7:$E$2503,$U256))</f>
        <v>46126</v>
      </c>
      <c r="O256" s="1" t="str">
        <f>IF($N256="","","Ödeme  –  "&amp;INDEX(TAHSILAT!$H$7:$H$2503,$U256)&amp;"  ("&amp;INDEX(TAHSILAT!$G$7:$G$2503,$U256)&amp;")"&amp;IF(INDEX(TAHSILAT!$J$7:$J$2503,$U256)="",""," / "&amp;INDEX(TAHSILAT!$J$7:$J$2503,$U256)))</f>
        <v>Ödeme  –  Nakit  (ÖMER KARTAL) / NAKİT ÖDENEN</v>
      </c>
      <c r="P256" s="1" t="str">
        <f t="shared" si="57"/>
        <v>ÖDEME</v>
      </c>
      <c r="Q256" s="1"/>
      <c r="R256" s="1">
        <v>0</v>
      </c>
      <c r="S256" s="79">
        <f>IF($N256="",0,INDEX(TAHSILAT!$F$7:$F$2503,$U256))</f>
        <v>3000</v>
      </c>
      <c r="T256" s="1">
        <f t="shared" si="50"/>
        <v>4612600245</v>
      </c>
      <c r="U256" s="1">
        <f>IFERROR(MATCH($AC$4&amp;"|4",TAHSILAT!$Q$7:$Q$2503,0),0)</f>
        <v>236</v>
      </c>
      <c r="V256" s="1"/>
      <c r="W256" s="1"/>
      <c r="X256" s="1"/>
      <c r="Y256" s="1">
        <f t="shared" ca="1" si="51"/>
        <v>10000000000</v>
      </c>
      <c r="Z256" s="1">
        <f t="shared" ca="1" si="52"/>
        <v>1</v>
      </c>
      <c r="AA256" s="1"/>
      <c r="AB256" s="1"/>
      <c r="AC256" s="1"/>
      <c r="AD256" s="1"/>
    </row>
    <row r="257" spans="1:30" ht="19.5" customHeight="1" x14ac:dyDescent="0.3">
      <c r="A257" s="2"/>
      <c r="B257" s="86" t="str">
        <f t="shared" ca="1" si="43"/>
        <v/>
      </c>
      <c r="C257" s="87" t="str">
        <f t="shared" ca="1" si="44"/>
        <v/>
      </c>
      <c r="D257" s="88" t="str">
        <f t="shared" ca="1" si="45"/>
        <v/>
      </c>
      <c r="E257" s="86" t="str">
        <f t="shared" ca="1" si="46"/>
        <v/>
      </c>
      <c r="F257" s="89" t="str">
        <f t="shared" ca="1" si="47"/>
        <v/>
      </c>
      <c r="G257" s="89" t="str">
        <f t="shared" ca="1" si="48"/>
        <v/>
      </c>
      <c r="H257" s="89" t="str">
        <f t="shared" ca="1" si="49"/>
        <v/>
      </c>
      <c r="I257" s="2"/>
      <c r="J257" s="2"/>
      <c r="K257" s="1"/>
      <c r="L257" s="1"/>
      <c r="M257" s="1">
        <v>246</v>
      </c>
      <c r="N257" s="71">
        <f>IF($U257=0,"",INDEX(TAHSILAT!$E$7:$E$2503,$U257))</f>
        <v>46157</v>
      </c>
      <c r="O257" s="1" t="str">
        <f>IF($N257="","","Ödeme  –  "&amp;INDEX(TAHSILAT!$H$7:$H$2503,$U257)&amp;"  ("&amp;INDEX(TAHSILAT!$G$7:$G$2503,$U257)&amp;")"&amp;IF(INDEX(TAHSILAT!$J$7:$J$2503,$U257)="",""," / "&amp;INDEX(TAHSILAT!$J$7:$J$2503,$U257)))</f>
        <v>Ödeme  –  Nakit  (ÖMER KARTAL) / NAKİT ÖDENEN</v>
      </c>
      <c r="P257" s="1" t="str">
        <f t="shared" si="57"/>
        <v>ÖDEME</v>
      </c>
      <c r="Q257" s="1"/>
      <c r="R257" s="1">
        <v>0</v>
      </c>
      <c r="S257" s="79">
        <f>IF($N257="",0,INDEX(TAHSILAT!$F$7:$F$2503,$U257))</f>
        <v>3000</v>
      </c>
      <c r="T257" s="1">
        <f t="shared" si="50"/>
        <v>4615700246</v>
      </c>
      <c r="U257" s="1">
        <f>IFERROR(MATCH($AC$4&amp;"|5",TAHSILAT!$Q$7:$Q$2503,0),0)</f>
        <v>309</v>
      </c>
      <c r="V257" s="1"/>
      <c r="W257" s="1"/>
      <c r="X257" s="1"/>
      <c r="Y257" s="1">
        <f t="shared" ca="1" si="51"/>
        <v>10000000000</v>
      </c>
      <c r="Z257" s="1">
        <f t="shared" ca="1" si="52"/>
        <v>1</v>
      </c>
      <c r="AA257" s="1"/>
      <c r="AB257" s="1"/>
      <c r="AC257" s="1"/>
      <c r="AD257" s="1"/>
    </row>
    <row r="258" spans="1:30" ht="19.5" customHeight="1" x14ac:dyDescent="0.3">
      <c r="A258" s="2"/>
      <c r="B258" s="86" t="str">
        <f t="shared" ca="1" si="43"/>
        <v/>
      </c>
      <c r="C258" s="87" t="str">
        <f t="shared" ca="1" si="44"/>
        <v/>
      </c>
      <c r="D258" s="88" t="str">
        <f t="shared" ca="1" si="45"/>
        <v/>
      </c>
      <c r="E258" s="86" t="str">
        <f t="shared" ca="1" si="46"/>
        <v/>
      </c>
      <c r="F258" s="89" t="str">
        <f t="shared" ca="1" si="47"/>
        <v/>
      </c>
      <c r="G258" s="89" t="str">
        <f t="shared" ca="1" si="48"/>
        <v/>
      </c>
      <c r="H258" s="89" t="str">
        <f t="shared" ca="1" si="49"/>
        <v/>
      </c>
      <c r="I258" s="2"/>
      <c r="J258" s="2"/>
      <c r="K258" s="1"/>
      <c r="L258" s="1"/>
      <c r="M258" s="1">
        <v>247</v>
      </c>
      <c r="N258" s="71">
        <f>IF($U258=0,"",INDEX(TAHSILAT!$E$7:$E$2503,$U258))</f>
        <v>46188</v>
      </c>
      <c r="O258" s="1" t="str">
        <f>IF($N258="","","Ödeme  –  "&amp;INDEX(TAHSILAT!$H$7:$H$2503,$U258)&amp;"  ("&amp;INDEX(TAHSILAT!$G$7:$G$2503,$U258)&amp;")"&amp;IF(INDEX(TAHSILAT!$J$7:$J$2503,$U258)="",""," / "&amp;INDEX(TAHSILAT!$J$7:$J$2503,$U258)))</f>
        <v>Ödeme  –  Nakit  (ÖMER KARTAL) / NAKİT ÖDENEN</v>
      </c>
      <c r="P258" s="1" t="str">
        <f t="shared" si="57"/>
        <v>ÖDEME</v>
      </c>
      <c r="Q258" s="1"/>
      <c r="R258" s="1">
        <v>0</v>
      </c>
      <c r="S258" s="79">
        <f>IF($N258="",0,INDEX(TAHSILAT!$F$7:$F$2503,$U258))</f>
        <v>3000</v>
      </c>
      <c r="T258" s="1">
        <f t="shared" si="50"/>
        <v>4618800247</v>
      </c>
      <c r="U258" s="1">
        <f>IFERROR(MATCH($AC$4&amp;"|6",TAHSILAT!$Q$7:$Q$2503,0),0)</f>
        <v>391</v>
      </c>
      <c r="V258" s="1"/>
      <c r="W258" s="1"/>
      <c r="X258" s="1"/>
      <c r="Y258" s="1">
        <f t="shared" ca="1" si="51"/>
        <v>10000000000</v>
      </c>
      <c r="Z258" s="1">
        <f t="shared" ca="1" si="52"/>
        <v>1</v>
      </c>
      <c r="AA258" s="1"/>
      <c r="AB258" s="1"/>
      <c r="AC258" s="1"/>
      <c r="AD258" s="1"/>
    </row>
    <row r="259" spans="1:30" ht="19.5" customHeight="1" x14ac:dyDescent="0.3">
      <c r="A259" s="2"/>
      <c r="B259" s="86" t="str">
        <f t="shared" ca="1" si="43"/>
        <v/>
      </c>
      <c r="C259" s="87" t="str">
        <f t="shared" ca="1" si="44"/>
        <v/>
      </c>
      <c r="D259" s="88" t="str">
        <f t="shared" ca="1" si="45"/>
        <v/>
      </c>
      <c r="E259" s="86" t="str">
        <f t="shared" ca="1" si="46"/>
        <v/>
      </c>
      <c r="F259" s="89" t="str">
        <f t="shared" ca="1" si="47"/>
        <v/>
      </c>
      <c r="G259" s="89" t="str">
        <f t="shared" ca="1" si="48"/>
        <v/>
      </c>
      <c r="H259" s="89" t="str">
        <f t="shared" ca="1" si="49"/>
        <v/>
      </c>
      <c r="I259" s="2"/>
      <c r="J259" s="2"/>
      <c r="K259" s="1"/>
      <c r="L259" s="1"/>
      <c r="M259" s="1">
        <v>248</v>
      </c>
      <c r="N259" s="71">
        <f>IF($U259=0,"",INDEX(TAHSILAT!$E$7:$E$2503,$U259))</f>
        <v>46218</v>
      </c>
      <c r="O259" s="1" t="str">
        <f>IF($N259="","","Ödeme  –  "&amp;INDEX(TAHSILAT!$H$7:$H$2503,$U259)&amp;"  ("&amp;INDEX(TAHSILAT!$G$7:$G$2503,$U259)&amp;")"&amp;IF(INDEX(TAHSILAT!$J$7:$J$2503,$U259)="",""," / "&amp;INDEX(TAHSILAT!$J$7:$J$2503,$U259)))</f>
        <v>Ödeme  –  Nakit  (ÖMER KARTAL) / NAKİT ÖDENEN</v>
      </c>
      <c r="P259" s="1" t="str">
        <f t="shared" si="57"/>
        <v>ÖDEME</v>
      </c>
      <c r="Q259" s="1"/>
      <c r="R259" s="1">
        <v>0</v>
      </c>
      <c r="S259" s="79">
        <f>IF($N259="",0,INDEX(TAHSILAT!$F$7:$F$2503,$U259))</f>
        <v>3000</v>
      </c>
      <c r="T259" s="1">
        <f t="shared" si="50"/>
        <v>4621800248</v>
      </c>
      <c r="U259" s="1">
        <f>IFERROR(MATCH($AC$4&amp;"|7",TAHSILAT!$Q$7:$Q$2503,0),0)</f>
        <v>449</v>
      </c>
      <c r="V259" s="1"/>
      <c r="W259" s="1"/>
      <c r="X259" s="1"/>
      <c r="Y259" s="1">
        <f t="shared" ca="1" si="51"/>
        <v>10000000000</v>
      </c>
      <c r="Z259" s="1">
        <f t="shared" ca="1" si="52"/>
        <v>1</v>
      </c>
      <c r="AA259" s="1"/>
      <c r="AB259" s="1"/>
      <c r="AC259" s="1"/>
      <c r="AD259" s="1"/>
    </row>
    <row r="260" spans="1:30" ht="19.5" customHeight="1" x14ac:dyDescent="0.3">
      <c r="A260" s="2"/>
      <c r="B260" s="86" t="str">
        <f t="shared" ca="1" si="43"/>
        <v/>
      </c>
      <c r="C260" s="87" t="str">
        <f t="shared" ca="1" si="44"/>
        <v/>
      </c>
      <c r="D260" s="88" t="str">
        <f t="shared" ca="1" si="45"/>
        <v/>
      </c>
      <c r="E260" s="86" t="str">
        <f t="shared" ca="1" si="46"/>
        <v/>
      </c>
      <c r="F260" s="89" t="str">
        <f t="shared" ca="1" si="47"/>
        <v/>
      </c>
      <c r="G260" s="89" t="str">
        <f t="shared" ca="1" si="48"/>
        <v/>
      </c>
      <c r="H260" s="89" t="str">
        <f t="shared" ca="1" si="49"/>
        <v/>
      </c>
      <c r="I260" s="2"/>
      <c r="J260" s="2"/>
      <c r="K260" s="1"/>
      <c r="L260" s="1"/>
      <c r="M260" s="1">
        <v>249</v>
      </c>
      <c r="N260" s="71">
        <f>IF($U260=0,"",INDEX(TAHSILAT!$E$7:$E$2503,$U260))</f>
        <v>46249</v>
      </c>
      <c r="O260" s="1" t="str">
        <f>IF($N260="","","Ödeme  –  "&amp;INDEX(TAHSILAT!$H$7:$H$2503,$U260)&amp;"  ("&amp;INDEX(TAHSILAT!$G$7:$G$2503,$U260)&amp;")"&amp;IF(INDEX(TAHSILAT!$J$7:$J$2503,$U260)="",""," / "&amp;INDEX(TAHSILAT!$J$7:$J$2503,$U260)))</f>
        <v>Ödeme  –  Nakit  (ÖMER KARTAL) / NAKİT ÖDENEN</v>
      </c>
      <c r="P260" s="1" t="str">
        <f t="shared" si="57"/>
        <v>ÖDEME</v>
      </c>
      <c r="Q260" s="1"/>
      <c r="R260" s="1">
        <v>0</v>
      </c>
      <c r="S260" s="79">
        <f>IF($N260="",0,INDEX(TAHSILAT!$F$7:$F$2503,$U260))</f>
        <v>3000</v>
      </c>
      <c r="T260" s="1">
        <f t="shared" si="50"/>
        <v>4624900249</v>
      </c>
      <c r="U260" s="1">
        <f>IFERROR(MATCH($AC$4&amp;"|8",TAHSILAT!$Q$7:$Q$2503,0),0)</f>
        <v>525</v>
      </c>
      <c r="V260" s="1"/>
      <c r="W260" s="1"/>
      <c r="X260" s="1"/>
      <c r="Y260" s="1">
        <f t="shared" ca="1" si="51"/>
        <v>10000000000</v>
      </c>
      <c r="Z260" s="1">
        <f t="shared" ca="1" si="52"/>
        <v>1</v>
      </c>
      <c r="AA260" s="1"/>
      <c r="AB260" s="1"/>
      <c r="AC260" s="1"/>
      <c r="AD260" s="1"/>
    </row>
    <row r="261" spans="1:30" ht="19.5" customHeight="1" x14ac:dyDescent="0.3">
      <c r="A261" s="2"/>
      <c r="B261" s="86" t="str">
        <f t="shared" ca="1" si="43"/>
        <v/>
      </c>
      <c r="C261" s="87" t="str">
        <f t="shared" ca="1" si="44"/>
        <v/>
      </c>
      <c r="D261" s="88" t="str">
        <f t="shared" ca="1" si="45"/>
        <v/>
      </c>
      <c r="E261" s="86" t="str">
        <f t="shared" ca="1" si="46"/>
        <v/>
      </c>
      <c r="F261" s="89" t="str">
        <f t="shared" ca="1" si="47"/>
        <v/>
      </c>
      <c r="G261" s="89" t="str">
        <f t="shared" ca="1" si="48"/>
        <v/>
      </c>
      <c r="H261" s="89" t="str">
        <f t="shared" ca="1" si="49"/>
        <v/>
      </c>
      <c r="I261" s="2"/>
      <c r="J261" s="2"/>
      <c r="K261" s="1"/>
      <c r="L261" s="1"/>
      <c r="M261" s="1">
        <v>250</v>
      </c>
      <c r="N261" s="71" t="str">
        <f>IF($U261=0,"",INDEX(TAHSILAT!$E$7:$E$2503,$U261))</f>
        <v/>
      </c>
      <c r="O261" s="1" t="str">
        <f>IF($N261="","","Ödeme  –  "&amp;INDEX(TAHSILAT!$H$7:$H$2503,$U261)&amp;"  ("&amp;INDEX(TAHSILAT!$G$7:$G$2503,$U261)&amp;")"&amp;IF(INDEX(TAHSILAT!$J$7:$J$2503,$U261)="",""," / "&amp;INDEX(TAHSILAT!$J$7:$J$2503,$U261)))</f>
        <v/>
      </c>
      <c r="P261" s="1" t="str">
        <f t="shared" si="57"/>
        <v/>
      </c>
      <c r="Q261" s="1"/>
      <c r="R261" s="1">
        <v>0</v>
      </c>
      <c r="S261" s="79">
        <f>IF($N261="",0,INDEX(TAHSILAT!$F$7:$F$2503,$U261))</f>
        <v>0</v>
      </c>
      <c r="T261" s="1">
        <f t="shared" si="50"/>
        <v>10000000000</v>
      </c>
      <c r="U261" s="1">
        <f>IFERROR(MATCH($AC$4&amp;"|9",TAHSILAT!$Q$7:$Q$2503,0),0)</f>
        <v>0</v>
      </c>
      <c r="V261" s="1"/>
      <c r="W261" s="1"/>
      <c r="X261" s="1"/>
      <c r="Y261" s="1">
        <f t="shared" ca="1" si="51"/>
        <v>10000000000</v>
      </c>
      <c r="Z261" s="1">
        <f t="shared" ca="1" si="52"/>
        <v>1</v>
      </c>
      <c r="AA261" s="1"/>
      <c r="AB261" s="1"/>
      <c r="AC261" s="1"/>
      <c r="AD261" s="1"/>
    </row>
    <row r="262" spans="1:30" ht="19.5" customHeight="1" x14ac:dyDescent="0.3">
      <c r="A262" s="2"/>
      <c r="B262" s="86" t="str">
        <f t="shared" ca="1" si="43"/>
        <v/>
      </c>
      <c r="C262" s="87" t="str">
        <f t="shared" ca="1" si="44"/>
        <v/>
      </c>
      <c r="D262" s="88" t="str">
        <f t="shared" ca="1" si="45"/>
        <v/>
      </c>
      <c r="E262" s="86" t="str">
        <f t="shared" ca="1" si="46"/>
        <v/>
      </c>
      <c r="F262" s="89" t="str">
        <f t="shared" ca="1" si="47"/>
        <v/>
      </c>
      <c r="G262" s="89" t="str">
        <f t="shared" ca="1" si="48"/>
        <v/>
      </c>
      <c r="H262" s="89" t="str">
        <f t="shared" ca="1" si="49"/>
        <v/>
      </c>
      <c r="I262" s="2"/>
      <c r="J262" s="2"/>
      <c r="K262" s="1"/>
      <c r="L262" s="1"/>
      <c r="M262" s="1">
        <v>251</v>
      </c>
      <c r="N262" s="71" t="str">
        <f>IF($U262=0,"",INDEX(TAHSILAT!$E$7:$E$2503,$U262))</f>
        <v/>
      </c>
      <c r="O262" s="1" t="str">
        <f>IF($N262="","","Ödeme  –  "&amp;INDEX(TAHSILAT!$H$7:$H$2503,$U262)&amp;"  ("&amp;INDEX(TAHSILAT!$G$7:$G$2503,$U262)&amp;")"&amp;IF(INDEX(TAHSILAT!$J$7:$J$2503,$U262)="",""," / "&amp;INDEX(TAHSILAT!$J$7:$J$2503,$U262)))</f>
        <v/>
      </c>
      <c r="P262" s="1" t="str">
        <f t="shared" si="57"/>
        <v/>
      </c>
      <c r="Q262" s="1"/>
      <c r="R262" s="1">
        <v>0</v>
      </c>
      <c r="S262" s="79">
        <f>IF($N262="",0,INDEX(TAHSILAT!$F$7:$F$2503,$U262))</f>
        <v>0</v>
      </c>
      <c r="T262" s="1">
        <f t="shared" si="50"/>
        <v>10000000000</v>
      </c>
      <c r="U262" s="1">
        <f>IFERROR(MATCH($AC$4&amp;"|10",TAHSILAT!$Q$7:$Q$2503,0),0)</f>
        <v>0</v>
      </c>
      <c r="V262" s="1"/>
      <c r="W262" s="1"/>
      <c r="X262" s="1"/>
      <c r="Y262" s="1">
        <f t="shared" ca="1" si="51"/>
        <v>10000000000</v>
      </c>
      <c r="Z262" s="1">
        <f t="shared" ca="1" si="52"/>
        <v>1</v>
      </c>
      <c r="AA262" s="1"/>
      <c r="AB262" s="1"/>
      <c r="AC262" s="1"/>
      <c r="AD262" s="1"/>
    </row>
    <row r="263" spans="1:30" ht="19.5" customHeight="1" x14ac:dyDescent="0.3">
      <c r="A263" s="2"/>
      <c r="B263" s="86" t="str">
        <f t="shared" ca="1" si="43"/>
        <v/>
      </c>
      <c r="C263" s="87" t="str">
        <f t="shared" ca="1" si="44"/>
        <v/>
      </c>
      <c r="D263" s="88" t="str">
        <f t="shared" ca="1" si="45"/>
        <v/>
      </c>
      <c r="E263" s="86" t="str">
        <f t="shared" ca="1" si="46"/>
        <v/>
      </c>
      <c r="F263" s="89" t="str">
        <f t="shared" ca="1" si="47"/>
        <v/>
      </c>
      <c r="G263" s="89" t="str">
        <f t="shared" ca="1" si="48"/>
        <v/>
      </c>
      <c r="H263" s="89" t="str">
        <f t="shared" ca="1" si="49"/>
        <v/>
      </c>
      <c r="I263" s="2"/>
      <c r="J263" s="2"/>
      <c r="K263" s="1"/>
      <c r="L263" s="1"/>
      <c r="M263" s="1">
        <v>252</v>
      </c>
      <c r="N263" s="71" t="str">
        <f>IF($U263=0,"",INDEX(TAHSILAT!$E$7:$E$2503,$U263))</f>
        <v/>
      </c>
      <c r="O263" s="1" t="str">
        <f>IF($N263="","","Ödeme  –  "&amp;INDEX(TAHSILAT!$H$7:$H$2503,$U263)&amp;"  ("&amp;INDEX(TAHSILAT!$G$7:$G$2503,$U263)&amp;")"&amp;IF(INDEX(TAHSILAT!$J$7:$J$2503,$U263)="",""," / "&amp;INDEX(TAHSILAT!$J$7:$J$2503,$U263)))</f>
        <v/>
      </c>
      <c r="P263" s="1" t="str">
        <f t="shared" si="57"/>
        <v/>
      </c>
      <c r="Q263" s="1"/>
      <c r="R263" s="1">
        <v>0</v>
      </c>
      <c r="S263" s="79">
        <f>IF($N263="",0,INDEX(TAHSILAT!$F$7:$F$2503,$U263))</f>
        <v>0</v>
      </c>
      <c r="T263" s="1">
        <f t="shared" si="50"/>
        <v>10000000000</v>
      </c>
      <c r="U263" s="1">
        <f>IFERROR(MATCH($AC$4&amp;"|11",TAHSILAT!$Q$7:$Q$2503,0),0)</f>
        <v>0</v>
      </c>
      <c r="V263" s="1"/>
      <c r="W263" s="1"/>
      <c r="X263" s="1"/>
      <c r="Y263" s="1">
        <f t="shared" ca="1" si="51"/>
        <v>10000000000</v>
      </c>
      <c r="Z263" s="1">
        <f t="shared" ca="1" si="52"/>
        <v>1</v>
      </c>
      <c r="AA263" s="1"/>
      <c r="AB263" s="1"/>
      <c r="AC263" s="1"/>
      <c r="AD263" s="1"/>
    </row>
    <row r="264" spans="1:30" ht="19.5" customHeight="1" x14ac:dyDescent="0.3">
      <c r="A264" s="2"/>
      <c r="B264" s="86" t="str">
        <f t="shared" ca="1" si="43"/>
        <v/>
      </c>
      <c r="C264" s="87" t="str">
        <f t="shared" ca="1" si="44"/>
        <v/>
      </c>
      <c r="D264" s="88" t="str">
        <f t="shared" ca="1" si="45"/>
        <v/>
      </c>
      <c r="E264" s="86" t="str">
        <f t="shared" ca="1" si="46"/>
        <v/>
      </c>
      <c r="F264" s="89" t="str">
        <f t="shared" ca="1" si="47"/>
        <v/>
      </c>
      <c r="G264" s="89" t="str">
        <f t="shared" ca="1" si="48"/>
        <v/>
      </c>
      <c r="H264" s="89" t="str">
        <f t="shared" ca="1" si="49"/>
        <v/>
      </c>
      <c r="I264" s="2"/>
      <c r="J264" s="2"/>
      <c r="K264" s="1"/>
      <c r="L264" s="1"/>
      <c r="M264" s="1">
        <v>253</v>
      </c>
      <c r="N264" s="71" t="str">
        <f>IF($U264=0,"",INDEX(TAHSILAT!$E$7:$E$2503,$U264))</f>
        <v/>
      </c>
      <c r="O264" s="1" t="str">
        <f>IF($N264="","","Ödeme  –  "&amp;INDEX(TAHSILAT!$H$7:$H$2503,$U264)&amp;"  ("&amp;INDEX(TAHSILAT!$G$7:$G$2503,$U264)&amp;")"&amp;IF(INDEX(TAHSILAT!$J$7:$J$2503,$U264)="",""," / "&amp;INDEX(TAHSILAT!$J$7:$J$2503,$U264)))</f>
        <v/>
      </c>
      <c r="P264" s="1" t="str">
        <f t="shared" si="57"/>
        <v/>
      </c>
      <c r="Q264" s="1"/>
      <c r="R264" s="1">
        <v>0</v>
      </c>
      <c r="S264" s="79">
        <f>IF($N264="",0,INDEX(TAHSILAT!$F$7:$F$2503,$U264))</f>
        <v>0</v>
      </c>
      <c r="T264" s="1">
        <f t="shared" si="50"/>
        <v>10000000000</v>
      </c>
      <c r="U264" s="1">
        <f>IFERROR(MATCH($AC$4&amp;"|12",TAHSILAT!$Q$7:$Q$2503,0),0)</f>
        <v>0</v>
      </c>
      <c r="V264" s="1"/>
      <c r="W264" s="1"/>
      <c r="X264" s="1"/>
      <c r="Y264" s="1">
        <f t="shared" ca="1" si="51"/>
        <v>10000000000</v>
      </c>
      <c r="Z264" s="1">
        <f t="shared" ca="1" si="52"/>
        <v>1</v>
      </c>
      <c r="AA264" s="1"/>
      <c r="AB264" s="1"/>
      <c r="AC264" s="1"/>
      <c r="AD264" s="1"/>
    </row>
    <row r="265" spans="1:30" ht="19.5" customHeight="1" x14ac:dyDescent="0.3">
      <c r="A265" s="2"/>
      <c r="B265" s="86" t="str">
        <f t="shared" ca="1" si="43"/>
        <v/>
      </c>
      <c r="C265" s="87" t="str">
        <f t="shared" ca="1" si="44"/>
        <v/>
      </c>
      <c r="D265" s="88" t="str">
        <f t="shared" ca="1" si="45"/>
        <v/>
      </c>
      <c r="E265" s="86" t="str">
        <f t="shared" ca="1" si="46"/>
        <v/>
      </c>
      <c r="F265" s="89" t="str">
        <f t="shared" ca="1" si="47"/>
        <v/>
      </c>
      <c r="G265" s="89" t="str">
        <f t="shared" ca="1" si="48"/>
        <v/>
      </c>
      <c r="H265" s="89" t="str">
        <f t="shared" ca="1" si="49"/>
        <v/>
      </c>
      <c r="I265" s="2"/>
      <c r="J265" s="2"/>
      <c r="K265" s="1"/>
      <c r="L265" s="1"/>
      <c r="M265" s="1">
        <v>254</v>
      </c>
      <c r="N265" s="71" t="str">
        <f>IF($U265=0,"",INDEX(TAHSILAT!$E$7:$E$2503,$U265))</f>
        <v/>
      </c>
      <c r="O265" s="1" t="str">
        <f>IF($N265="","","Ödeme  –  "&amp;INDEX(TAHSILAT!$H$7:$H$2503,$U265)&amp;"  ("&amp;INDEX(TAHSILAT!$G$7:$G$2503,$U265)&amp;")"&amp;IF(INDEX(TAHSILAT!$J$7:$J$2503,$U265)="",""," / "&amp;INDEX(TAHSILAT!$J$7:$J$2503,$U265)))</f>
        <v/>
      </c>
      <c r="P265" s="1" t="str">
        <f t="shared" si="57"/>
        <v/>
      </c>
      <c r="Q265" s="1"/>
      <c r="R265" s="1">
        <v>0</v>
      </c>
      <c r="S265" s="79">
        <f>IF($N265="",0,INDEX(TAHSILAT!$F$7:$F$2503,$U265))</f>
        <v>0</v>
      </c>
      <c r="T265" s="1">
        <f t="shared" si="50"/>
        <v>10000000000</v>
      </c>
      <c r="U265" s="1">
        <f>IFERROR(MATCH($AC$4&amp;"|13",TAHSILAT!$Q$7:$Q$2503,0),0)</f>
        <v>0</v>
      </c>
      <c r="V265" s="1"/>
      <c r="W265" s="1"/>
      <c r="X265" s="1"/>
      <c r="Y265" s="1">
        <f t="shared" ca="1" si="51"/>
        <v>10000000000</v>
      </c>
      <c r="Z265" s="1">
        <f t="shared" ca="1" si="52"/>
        <v>1</v>
      </c>
      <c r="AA265" s="1"/>
      <c r="AB265" s="1"/>
      <c r="AC265" s="1"/>
      <c r="AD265" s="1"/>
    </row>
    <row r="266" spans="1:30" ht="19.5" customHeight="1" x14ac:dyDescent="0.3">
      <c r="A266" s="2"/>
      <c r="B266" s="86" t="str">
        <f t="shared" ca="1" si="43"/>
        <v/>
      </c>
      <c r="C266" s="87" t="str">
        <f t="shared" ca="1" si="44"/>
        <v/>
      </c>
      <c r="D266" s="88" t="str">
        <f t="shared" ca="1" si="45"/>
        <v/>
      </c>
      <c r="E266" s="86" t="str">
        <f t="shared" ca="1" si="46"/>
        <v/>
      </c>
      <c r="F266" s="89" t="str">
        <f t="shared" ca="1" si="47"/>
        <v/>
      </c>
      <c r="G266" s="89" t="str">
        <f t="shared" ca="1" si="48"/>
        <v/>
      </c>
      <c r="H266" s="89" t="str">
        <f t="shared" ca="1" si="49"/>
        <v/>
      </c>
      <c r="I266" s="2"/>
      <c r="J266" s="2"/>
      <c r="K266" s="1"/>
      <c r="L266" s="1"/>
      <c r="M266" s="1">
        <v>255</v>
      </c>
      <c r="N266" s="71" t="str">
        <f>IF($U266=0,"",INDEX(TAHSILAT!$E$7:$E$2503,$U266))</f>
        <v/>
      </c>
      <c r="O266" s="1" t="str">
        <f>IF($N266="","","Ödeme  –  "&amp;INDEX(TAHSILAT!$H$7:$H$2503,$U266)&amp;"  ("&amp;INDEX(TAHSILAT!$G$7:$G$2503,$U266)&amp;")"&amp;IF(INDEX(TAHSILAT!$J$7:$J$2503,$U266)="",""," / "&amp;INDEX(TAHSILAT!$J$7:$J$2503,$U266)))</f>
        <v/>
      </c>
      <c r="P266" s="1" t="str">
        <f t="shared" si="57"/>
        <v/>
      </c>
      <c r="Q266" s="1"/>
      <c r="R266" s="1">
        <v>0</v>
      </c>
      <c r="S266" s="79">
        <f>IF($N266="",0,INDEX(TAHSILAT!$F$7:$F$2503,$U266))</f>
        <v>0</v>
      </c>
      <c r="T266" s="1">
        <f t="shared" si="50"/>
        <v>10000000000</v>
      </c>
      <c r="U266" s="1">
        <f>IFERROR(MATCH($AC$4&amp;"|14",TAHSILAT!$Q$7:$Q$2503,0),0)</f>
        <v>0</v>
      </c>
      <c r="V266" s="1"/>
      <c r="W266" s="1"/>
      <c r="X266" s="1"/>
      <c r="Y266" s="1">
        <f t="shared" ca="1" si="51"/>
        <v>10000000000</v>
      </c>
      <c r="Z266" s="1">
        <f t="shared" ca="1" si="52"/>
        <v>1</v>
      </c>
      <c r="AA266" s="1"/>
      <c r="AB266" s="1"/>
      <c r="AC266" s="1"/>
      <c r="AD266" s="1"/>
    </row>
    <row r="267" spans="1:30" ht="19.5" customHeight="1" x14ac:dyDescent="0.3">
      <c r="A267" s="2"/>
      <c r="B267" s="86" t="str">
        <f t="shared" ca="1" si="43"/>
        <v/>
      </c>
      <c r="C267" s="87" t="str">
        <f t="shared" ca="1" si="44"/>
        <v/>
      </c>
      <c r="D267" s="88" t="str">
        <f t="shared" ca="1" si="45"/>
        <v/>
      </c>
      <c r="E267" s="86" t="str">
        <f t="shared" ca="1" si="46"/>
        <v/>
      </c>
      <c r="F267" s="89" t="str">
        <f t="shared" ca="1" si="47"/>
        <v/>
      </c>
      <c r="G267" s="89" t="str">
        <f t="shared" ca="1" si="48"/>
        <v/>
      </c>
      <c r="H267" s="89" t="str">
        <f t="shared" ca="1" si="49"/>
        <v/>
      </c>
      <c r="I267" s="2"/>
      <c r="J267" s="2"/>
      <c r="K267" s="1"/>
      <c r="L267" s="1"/>
      <c r="M267" s="1">
        <v>256</v>
      </c>
      <c r="N267" s="71" t="str">
        <f>IF($U267=0,"",INDEX(TAHSILAT!$E$7:$E$2503,$U267))</f>
        <v/>
      </c>
      <c r="O267" s="1" t="str">
        <f>IF($N267="","","Ödeme  –  "&amp;INDEX(TAHSILAT!$H$7:$H$2503,$U267)&amp;"  ("&amp;INDEX(TAHSILAT!$G$7:$G$2503,$U267)&amp;")"&amp;IF(INDEX(TAHSILAT!$J$7:$J$2503,$U267)="",""," / "&amp;INDEX(TAHSILAT!$J$7:$J$2503,$U267)))</f>
        <v/>
      </c>
      <c r="P267" s="1" t="str">
        <f t="shared" si="57"/>
        <v/>
      </c>
      <c r="Q267" s="1"/>
      <c r="R267" s="1">
        <v>0</v>
      </c>
      <c r="S267" s="79">
        <f>IF($N267="",0,INDEX(TAHSILAT!$F$7:$F$2503,$U267))</f>
        <v>0</v>
      </c>
      <c r="T267" s="1">
        <f t="shared" si="50"/>
        <v>10000000000</v>
      </c>
      <c r="U267" s="1">
        <f>IFERROR(MATCH($AC$4&amp;"|15",TAHSILAT!$Q$7:$Q$2503,0),0)</f>
        <v>0</v>
      </c>
      <c r="V267" s="1"/>
      <c r="W267" s="1"/>
      <c r="X267" s="1"/>
      <c r="Y267" s="1">
        <f t="shared" ca="1" si="51"/>
        <v>10000000000</v>
      </c>
      <c r="Z267" s="1">
        <f t="shared" ca="1" si="52"/>
        <v>1</v>
      </c>
      <c r="AA267" s="1"/>
      <c r="AB267" s="1"/>
      <c r="AC267" s="1"/>
      <c r="AD267" s="1"/>
    </row>
    <row r="268" spans="1:30" ht="19.5" customHeight="1" x14ac:dyDescent="0.3">
      <c r="A268" s="2"/>
      <c r="B268" s="86" t="str">
        <f t="shared" ref="B268:B311" ca="1" si="58">IF($C268="","",ROW()-11)</f>
        <v/>
      </c>
      <c r="C268" s="87" t="str">
        <f t="shared" ref="C268:C311" ca="1" si="59">IF($Z268="","",IF(INDEX($N$12:$N$432,$Z268)="","",INDEX($N$12:$N$432,$Z268)))</f>
        <v/>
      </c>
      <c r="D268" s="88" t="str">
        <f t="shared" ref="D268:D311" ca="1" si="60">IF($C268="","",INDEX($O$12:$O$432,$Z268))</f>
        <v/>
      </c>
      <c r="E268" s="86" t="str">
        <f t="shared" ref="E268:E311" ca="1" si="61">IF($C268="","",INDEX($P$12:$P$432,$Z268))</f>
        <v/>
      </c>
      <c r="F268" s="89" t="str">
        <f t="shared" ref="F268:F311" ca="1" si="62">IF($C268="","",INDEX($R$12:$R$432,$Z268))</f>
        <v/>
      </c>
      <c r="G268" s="89" t="str">
        <f t="shared" ref="G268:G311" ca="1" si="63">IF($C268="","",INDEX($S$12:$S$432,$Z268))</f>
        <v/>
      </c>
      <c r="H268" s="89" t="str">
        <f t="shared" ref="H268:H311" ca="1" si="64">IF($C268="","",N($H267)+$F268-$G268)</f>
        <v/>
      </c>
      <c r="I268" s="2"/>
      <c r="J268" s="2"/>
      <c r="K268" s="1"/>
      <c r="L268" s="1"/>
      <c r="M268" s="1">
        <v>257</v>
      </c>
      <c r="N268" s="71" t="str">
        <f>IF($U268=0,"",INDEX(TAHSILAT!$E$7:$E$2503,$U268))</f>
        <v/>
      </c>
      <c r="O268" s="1" t="str">
        <f>IF($N268="","","Ödeme  –  "&amp;INDEX(TAHSILAT!$H$7:$H$2503,$U268)&amp;"  ("&amp;INDEX(TAHSILAT!$G$7:$G$2503,$U268)&amp;")"&amp;IF(INDEX(TAHSILAT!$J$7:$J$2503,$U268)="",""," / "&amp;INDEX(TAHSILAT!$J$7:$J$2503,$U268)))</f>
        <v/>
      </c>
      <c r="P268" s="1" t="str">
        <f t="shared" si="57"/>
        <v/>
      </c>
      <c r="Q268" s="1"/>
      <c r="R268" s="1">
        <v>0</v>
      </c>
      <c r="S268" s="79">
        <f>IF($N268="",0,INDEX(TAHSILAT!$F$7:$F$2503,$U268))</f>
        <v>0</v>
      </c>
      <c r="T268" s="1">
        <f t="shared" ref="T268:T331" si="65">IF($N268="",10000000000,$N268*100000+$M268)</f>
        <v>10000000000</v>
      </c>
      <c r="U268" s="1">
        <f>IFERROR(MATCH($AC$4&amp;"|16",TAHSILAT!$Q$7:$Q$2503,0),0)</f>
        <v>0</v>
      </c>
      <c r="V268" s="1"/>
      <c r="W268" s="1"/>
      <c r="X268" s="1"/>
      <c r="Y268" s="1">
        <f t="shared" ref="Y268:Y311" ca="1" si="66">IFERROR(SMALL($T$12:$T$432,ROW()-11),"")</f>
        <v>10000000000</v>
      </c>
      <c r="Z268" s="1">
        <f t="shared" ref="Z268:Z311" ca="1" si="67">IFERROR(MATCH($Y268,$T$12:$T$432,0),"")</f>
        <v>1</v>
      </c>
      <c r="AA268" s="1"/>
      <c r="AB268" s="1"/>
      <c r="AC268" s="1"/>
      <c r="AD268" s="1"/>
    </row>
    <row r="269" spans="1:30" ht="19.5" customHeight="1" x14ac:dyDescent="0.3">
      <c r="A269" s="2"/>
      <c r="B269" s="86" t="str">
        <f t="shared" ca="1" si="58"/>
        <v/>
      </c>
      <c r="C269" s="87" t="str">
        <f t="shared" ca="1" si="59"/>
        <v/>
      </c>
      <c r="D269" s="88" t="str">
        <f t="shared" ca="1" si="60"/>
        <v/>
      </c>
      <c r="E269" s="86" t="str">
        <f t="shared" ca="1" si="61"/>
        <v/>
      </c>
      <c r="F269" s="89" t="str">
        <f t="shared" ca="1" si="62"/>
        <v/>
      </c>
      <c r="G269" s="89" t="str">
        <f t="shared" ca="1" si="63"/>
        <v/>
      </c>
      <c r="H269" s="89" t="str">
        <f t="shared" ca="1" si="64"/>
        <v/>
      </c>
      <c r="I269" s="2"/>
      <c r="J269" s="2"/>
      <c r="K269" s="1"/>
      <c r="L269" s="1"/>
      <c r="M269" s="1">
        <v>258</v>
      </c>
      <c r="N269" s="1" t="str">
        <f>IF($U269=0,"",INDEX(TAHSILAT!$E$7:$E$2503,$U269))</f>
        <v/>
      </c>
      <c r="O269" s="1" t="str">
        <f>IF($N269="","","Ödeme  –  "&amp;INDEX(TAHSILAT!$H$7:$H$2503,$U269)&amp;"  ("&amp;INDEX(TAHSILAT!$G$7:$G$2503,$U269)&amp;")"&amp;IF(INDEX(TAHSILAT!$J$7:$J$2503,$U269)="",""," / "&amp;INDEX(TAHSILAT!$J$7:$J$2503,$U269)))</f>
        <v/>
      </c>
      <c r="P269" s="1" t="str">
        <f t="shared" si="57"/>
        <v/>
      </c>
      <c r="Q269" s="1"/>
      <c r="R269" s="1">
        <v>0</v>
      </c>
      <c r="S269" s="1">
        <f>IF($N269="",0,INDEX(TAHSILAT!$F$7:$F$2503,$U269))</f>
        <v>0</v>
      </c>
      <c r="T269" s="1">
        <f t="shared" si="65"/>
        <v>10000000000</v>
      </c>
      <c r="U269" s="1">
        <f>IFERROR(MATCH($AC$4&amp;"|17",TAHSILAT!$Q$7:$Q$2503,0),0)</f>
        <v>0</v>
      </c>
      <c r="V269" s="1"/>
      <c r="W269" s="1"/>
      <c r="X269" s="1"/>
      <c r="Y269" s="1">
        <f t="shared" ca="1" si="66"/>
        <v>10000000000</v>
      </c>
      <c r="Z269" s="1">
        <f t="shared" ca="1" si="67"/>
        <v>1</v>
      </c>
      <c r="AA269" s="1"/>
      <c r="AB269" s="1"/>
      <c r="AC269" s="1"/>
      <c r="AD269" s="1"/>
    </row>
    <row r="270" spans="1:30" ht="19.5" customHeight="1" x14ac:dyDescent="0.3">
      <c r="A270" s="2"/>
      <c r="B270" s="86" t="str">
        <f t="shared" ca="1" si="58"/>
        <v/>
      </c>
      <c r="C270" s="87" t="str">
        <f t="shared" ca="1" si="59"/>
        <v/>
      </c>
      <c r="D270" s="88" t="str">
        <f t="shared" ca="1" si="60"/>
        <v/>
      </c>
      <c r="E270" s="86" t="str">
        <f t="shared" ca="1" si="61"/>
        <v/>
      </c>
      <c r="F270" s="89" t="str">
        <f t="shared" ca="1" si="62"/>
        <v/>
      </c>
      <c r="G270" s="89" t="str">
        <f t="shared" ca="1" si="63"/>
        <v/>
      </c>
      <c r="H270" s="89" t="str">
        <f t="shared" ca="1" si="64"/>
        <v/>
      </c>
      <c r="I270" s="2"/>
      <c r="J270" s="2"/>
      <c r="K270" s="1"/>
      <c r="L270" s="1"/>
      <c r="M270" s="1">
        <v>259</v>
      </c>
      <c r="N270" s="1" t="str">
        <f>IF($U270=0,"",INDEX(TAHSILAT!$E$7:$E$2503,$U270))</f>
        <v/>
      </c>
      <c r="O270" s="1" t="str">
        <f>IF($N270="","","Ödeme  –  "&amp;INDEX(TAHSILAT!$H$7:$H$2503,$U270)&amp;"  ("&amp;INDEX(TAHSILAT!$G$7:$G$2503,$U270)&amp;")"&amp;IF(INDEX(TAHSILAT!$J$7:$J$2503,$U270)="",""," / "&amp;INDEX(TAHSILAT!$J$7:$J$2503,$U270)))</f>
        <v/>
      </c>
      <c r="P270" s="1" t="str">
        <f t="shared" si="57"/>
        <v/>
      </c>
      <c r="Q270" s="1"/>
      <c r="R270" s="1">
        <v>0</v>
      </c>
      <c r="S270" s="1">
        <f>IF($N270="",0,INDEX(TAHSILAT!$F$7:$F$2503,$U270))</f>
        <v>0</v>
      </c>
      <c r="T270" s="1">
        <f t="shared" si="65"/>
        <v>10000000000</v>
      </c>
      <c r="U270" s="1">
        <f>IFERROR(MATCH($AC$4&amp;"|18",TAHSILAT!$Q$7:$Q$2503,0),0)</f>
        <v>0</v>
      </c>
      <c r="V270" s="1"/>
      <c r="W270" s="1"/>
      <c r="X270" s="1"/>
      <c r="Y270" s="1">
        <f t="shared" ca="1" si="66"/>
        <v>10000000000</v>
      </c>
      <c r="Z270" s="1">
        <f t="shared" ca="1" si="67"/>
        <v>1</v>
      </c>
      <c r="AA270" s="1"/>
      <c r="AB270" s="1"/>
      <c r="AC270" s="1"/>
      <c r="AD270" s="1"/>
    </row>
    <row r="271" spans="1:30" ht="19.5" customHeight="1" x14ac:dyDescent="0.3">
      <c r="A271" s="2"/>
      <c r="B271" s="86" t="str">
        <f t="shared" ca="1" si="58"/>
        <v/>
      </c>
      <c r="C271" s="87" t="str">
        <f t="shared" ca="1" si="59"/>
        <v/>
      </c>
      <c r="D271" s="88" t="str">
        <f t="shared" ca="1" si="60"/>
        <v/>
      </c>
      <c r="E271" s="86" t="str">
        <f t="shared" ca="1" si="61"/>
        <v/>
      </c>
      <c r="F271" s="89" t="str">
        <f t="shared" ca="1" si="62"/>
        <v/>
      </c>
      <c r="G271" s="89" t="str">
        <f t="shared" ca="1" si="63"/>
        <v/>
      </c>
      <c r="H271" s="89" t="str">
        <f t="shared" ca="1" si="64"/>
        <v/>
      </c>
      <c r="I271" s="2"/>
      <c r="J271" s="2"/>
      <c r="K271" s="1"/>
      <c r="L271" s="1"/>
      <c r="M271" s="1">
        <v>260</v>
      </c>
      <c r="N271" s="1" t="str">
        <f>IF($U271=0,"",INDEX(TAHSILAT!$E$7:$E$2503,$U271))</f>
        <v/>
      </c>
      <c r="O271" s="1" t="str">
        <f>IF($N271="","","Ödeme  –  "&amp;INDEX(TAHSILAT!$H$7:$H$2503,$U271)&amp;"  ("&amp;INDEX(TAHSILAT!$G$7:$G$2503,$U271)&amp;")"&amp;IF(INDEX(TAHSILAT!$J$7:$J$2503,$U271)="",""," / "&amp;INDEX(TAHSILAT!$J$7:$J$2503,$U271)))</f>
        <v/>
      </c>
      <c r="P271" s="1" t="str">
        <f t="shared" si="57"/>
        <v/>
      </c>
      <c r="Q271" s="1"/>
      <c r="R271" s="1">
        <v>0</v>
      </c>
      <c r="S271" s="1">
        <f>IF($N271="",0,INDEX(TAHSILAT!$F$7:$F$2503,$U271))</f>
        <v>0</v>
      </c>
      <c r="T271" s="1">
        <f t="shared" si="65"/>
        <v>10000000000</v>
      </c>
      <c r="U271" s="1">
        <f>IFERROR(MATCH($AC$4&amp;"|19",TAHSILAT!$Q$7:$Q$2503,0),0)</f>
        <v>0</v>
      </c>
      <c r="V271" s="1"/>
      <c r="W271" s="1"/>
      <c r="X271" s="1"/>
      <c r="Y271" s="1">
        <f t="shared" ca="1" si="66"/>
        <v>10000000000</v>
      </c>
      <c r="Z271" s="1">
        <f t="shared" ca="1" si="67"/>
        <v>1</v>
      </c>
      <c r="AA271" s="1"/>
      <c r="AB271" s="1"/>
      <c r="AC271" s="1"/>
      <c r="AD271" s="1"/>
    </row>
    <row r="272" spans="1:30" ht="19.5" customHeight="1" x14ac:dyDescent="0.3">
      <c r="A272" s="2"/>
      <c r="B272" s="86" t="str">
        <f t="shared" ca="1" si="58"/>
        <v/>
      </c>
      <c r="C272" s="87" t="str">
        <f t="shared" ca="1" si="59"/>
        <v/>
      </c>
      <c r="D272" s="88" t="str">
        <f t="shared" ca="1" si="60"/>
        <v/>
      </c>
      <c r="E272" s="86" t="str">
        <f t="shared" ca="1" si="61"/>
        <v/>
      </c>
      <c r="F272" s="89" t="str">
        <f t="shared" ca="1" si="62"/>
        <v/>
      </c>
      <c r="G272" s="89" t="str">
        <f t="shared" ca="1" si="63"/>
        <v/>
      </c>
      <c r="H272" s="89" t="str">
        <f t="shared" ca="1" si="64"/>
        <v/>
      </c>
      <c r="I272" s="2"/>
      <c r="J272" s="2"/>
      <c r="K272" s="1"/>
      <c r="L272" s="1"/>
      <c r="M272" s="1">
        <v>261</v>
      </c>
      <c r="N272" s="1" t="str">
        <f>IF($U272=0,"",INDEX(TAHSILAT!$E$7:$E$2503,$U272))</f>
        <v/>
      </c>
      <c r="O272" s="1" t="str">
        <f>IF($N272="","","Ödeme  –  "&amp;INDEX(TAHSILAT!$H$7:$H$2503,$U272)&amp;"  ("&amp;INDEX(TAHSILAT!$G$7:$G$2503,$U272)&amp;")"&amp;IF(INDEX(TAHSILAT!$J$7:$J$2503,$U272)="",""," / "&amp;INDEX(TAHSILAT!$J$7:$J$2503,$U272)))</f>
        <v/>
      </c>
      <c r="P272" s="1" t="str">
        <f t="shared" si="57"/>
        <v/>
      </c>
      <c r="Q272" s="1"/>
      <c r="R272" s="1">
        <v>0</v>
      </c>
      <c r="S272" s="1">
        <f>IF($N272="",0,INDEX(TAHSILAT!$F$7:$F$2503,$U272))</f>
        <v>0</v>
      </c>
      <c r="T272" s="1">
        <f t="shared" si="65"/>
        <v>10000000000</v>
      </c>
      <c r="U272" s="1">
        <f>IFERROR(MATCH($AC$4&amp;"|20",TAHSILAT!$Q$7:$Q$2503,0),0)</f>
        <v>0</v>
      </c>
      <c r="V272" s="1"/>
      <c r="W272" s="1"/>
      <c r="X272" s="1"/>
      <c r="Y272" s="1">
        <f t="shared" ca="1" si="66"/>
        <v>10000000000</v>
      </c>
      <c r="Z272" s="1">
        <f t="shared" ca="1" si="67"/>
        <v>1</v>
      </c>
      <c r="AA272" s="1"/>
      <c r="AB272" s="1"/>
      <c r="AC272" s="1"/>
      <c r="AD272" s="1"/>
    </row>
    <row r="273" spans="1:30" ht="19.5" customHeight="1" x14ac:dyDescent="0.3">
      <c r="A273" s="2"/>
      <c r="B273" s="86" t="str">
        <f t="shared" ca="1" si="58"/>
        <v/>
      </c>
      <c r="C273" s="87" t="str">
        <f t="shared" ca="1" si="59"/>
        <v/>
      </c>
      <c r="D273" s="88" t="str">
        <f t="shared" ca="1" si="60"/>
        <v/>
      </c>
      <c r="E273" s="86" t="str">
        <f t="shared" ca="1" si="61"/>
        <v/>
      </c>
      <c r="F273" s="89" t="str">
        <f t="shared" ca="1" si="62"/>
        <v/>
      </c>
      <c r="G273" s="89" t="str">
        <f t="shared" ca="1" si="63"/>
        <v/>
      </c>
      <c r="H273" s="89" t="str">
        <f t="shared" ca="1" si="64"/>
        <v/>
      </c>
      <c r="I273" s="2"/>
      <c r="J273" s="2"/>
      <c r="K273" s="1"/>
      <c r="L273" s="1"/>
      <c r="M273" s="1">
        <v>262</v>
      </c>
      <c r="N273" s="1" t="str">
        <f>IF($U273=0,"",INDEX(TAHSILAT!$E$7:$E$2503,$U273))</f>
        <v/>
      </c>
      <c r="O273" s="1" t="str">
        <f>IF($N273="","","Ödeme  –  "&amp;INDEX(TAHSILAT!$H$7:$H$2503,$U273)&amp;"  ("&amp;INDEX(TAHSILAT!$G$7:$G$2503,$U273)&amp;")"&amp;IF(INDEX(TAHSILAT!$J$7:$J$2503,$U273)="",""," / "&amp;INDEX(TAHSILAT!$J$7:$J$2503,$U273)))</f>
        <v/>
      </c>
      <c r="P273" s="1" t="str">
        <f t="shared" si="57"/>
        <v/>
      </c>
      <c r="Q273" s="1"/>
      <c r="R273" s="1">
        <v>0</v>
      </c>
      <c r="S273" s="1">
        <f>IF($N273="",0,INDEX(TAHSILAT!$F$7:$F$2503,$U273))</f>
        <v>0</v>
      </c>
      <c r="T273" s="1">
        <f t="shared" si="65"/>
        <v>10000000000</v>
      </c>
      <c r="U273" s="1">
        <f>IFERROR(MATCH($AC$4&amp;"|21",TAHSILAT!$Q$7:$Q$2503,0),0)</f>
        <v>0</v>
      </c>
      <c r="V273" s="1"/>
      <c r="W273" s="1"/>
      <c r="X273" s="1"/>
      <c r="Y273" s="1">
        <f t="shared" ca="1" si="66"/>
        <v>10000000000</v>
      </c>
      <c r="Z273" s="1">
        <f t="shared" ca="1" si="67"/>
        <v>1</v>
      </c>
      <c r="AA273" s="1"/>
      <c r="AB273" s="1"/>
      <c r="AC273" s="1"/>
      <c r="AD273" s="1"/>
    </row>
    <row r="274" spans="1:30" ht="19.5" customHeight="1" x14ac:dyDescent="0.3">
      <c r="A274" s="2"/>
      <c r="B274" s="86" t="str">
        <f t="shared" ca="1" si="58"/>
        <v/>
      </c>
      <c r="C274" s="87" t="str">
        <f t="shared" ca="1" si="59"/>
        <v/>
      </c>
      <c r="D274" s="88" t="str">
        <f t="shared" ca="1" si="60"/>
        <v/>
      </c>
      <c r="E274" s="86" t="str">
        <f t="shared" ca="1" si="61"/>
        <v/>
      </c>
      <c r="F274" s="89" t="str">
        <f t="shared" ca="1" si="62"/>
        <v/>
      </c>
      <c r="G274" s="89" t="str">
        <f t="shared" ca="1" si="63"/>
        <v/>
      </c>
      <c r="H274" s="89" t="str">
        <f t="shared" ca="1" si="64"/>
        <v/>
      </c>
      <c r="I274" s="2"/>
      <c r="J274" s="2"/>
      <c r="K274" s="1"/>
      <c r="L274" s="1"/>
      <c r="M274" s="1">
        <v>263</v>
      </c>
      <c r="N274" s="1" t="str">
        <f>IF($U274=0,"",INDEX(TAHSILAT!$E$7:$E$2503,$U274))</f>
        <v/>
      </c>
      <c r="O274" s="1" t="str">
        <f>IF($N274="","","Ödeme  –  "&amp;INDEX(TAHSILAT!$H$7:$H$2503,$U274)&amp;"  ("&amp;INDEX(TAHSILAT!$G$7:$G$2503,$U274)&amp;")"&amp;IF(INDEX(TAHSILAT!$J$7:$J$2503,$U274)="",""," / "&amp;INDEX(TAHSILAT!$J$7:$J$2503,$U274)))</f>
        <v/>
      </c>
      <c r="P274" s="1" t="str">
        <f t="shared" si="57"/>
        <v/>
      </c>
      <c r="Q274" s="1"/>
      <c r="R274" s="1">
        <v>0</v>
      </c>
      <c r="S274" s="1">
        <f>IF($N274="",0,INDEX(TAHSILAT!$F$7:$F$2503,$U274))</f>
        <v>0</v>
      </c>
      <c r="T274" s="1">
        <f t="shared" si="65"/>
        <v>10000000000</v>
      </c>
      <c r="U274" s="1">
        <f>IFERROR(MATCH($AC$4&amp;"|22",TAHSILAT!$Q$7:$Q$2503,0),0)</f>
        <v>0</v>
      </c>
      <c r="V274" s="1"/>
      <c r="W274" s="1"/>
      <c r="X274" s="1"/>
      <c r="Y274" s="1">
        <f t="shared" ca="1" si="66"/>
        <v>10000000000</v>
      </c>
      <c r="Z274" s="1">
        <f t="shared" ca="1" si="67"/>
        <v>1</v>
      </c>
      <c r="AA274" s="1"/>
      <c r="AB274" s="1"/>
      <c r="AC274" s="1"/>
      <c r="AD274" s="1"/>
    </row>
    <row r="275" spans="1:30" ht="19.5" customHeight="1" x14ac:dyDescent="0.3">
      <c r="A275" s="2"/>
      <c r="B275" s="86" t="str">
        <f t="shared" ca="1" si="58"/>
        <v/>
      </c>
      <c r="C275" s="87" t="str">
        <f t="shared" ca="1" si="59"/>
        <v/>
      </c>
      <c r="D275" s="88" t="str">
        <f t="shared" ca="1" si="60"/>
        <v/>
      </c>
      <c r="E275" s="86" t="str">
        <f t="shared" ca="1" si="61"/>
        <v/>
      </c>
      <c r="F275" s="89" t="str">
        <f t="shared" ca="1" si="62"/>
        <v/>
      </c>
      <c r="G275" s="89" t="str">
        <f t="shared" ca="1" si="63"/>
        <v/>
      </c>
      <c r="H275" s="89" t="str">
        <f t="shared" ca="1" si="64"/>
        <v/>
      </c>
      <c r="I275" s="2"/>
      <c r="J275" s="2"/>
      <c r="K275" s="1"/>
      <c r="L275" s="1"/>
      <c r="M275" s="1">
        <v>264</v>
      </c>
      <c r="N275" s="1" t="str">
        <f>IF($U275=0,"",INDEX(TAHSILAT!$E$7:$E$2503,$U275))</f>
        <v/>
      </c>
      <c r="O275" s="1" t="str">
        <f>IF($N275="","","Ödeme  –  "&amp;INDEX(TAHSILAT!$H$7:$H$2503,$U275)&amp;"  ("&amp;INDEX(TAHSILAT!$G$7:$G$2503,$U275)&amp;")"&amp;IF(INDEX(TAHSILAT!$J$7:$J$2503,$U275)="",""," / "&amp;INDEX(TAHSILAT!$J$7:$J$2503,$U275)))</f>
        <v/>
      </c>
      <c r="P275" s="1" t="str">
        <f t="shared" si="57"/>
        <v/>
      </c>
      <c r="Q275" s="1"/>
      <c r="R275" s="1">
        <v>0</v>
      </c>
      <c r="S275" s="1">
        <f>IF($N275="",0,INDEX(TAHSILAT!$F$7:$F$2503,$U275))</f>
        <v>0</v>
      </c>
      <c r="T275" s="1">
        <f t="shared" si="65"/>
        <v>10000000000</v>
      </c>
      <c r="U275" s="1">
        <f>IFERROR(MATCH($AC$4&amp;"|23",TAHSILAT!$Q$7:$Q$2503,0),0)</f>
        <v>0</v>
      </c>
      <c r="V275" s="1"/>
      <c r="W275" s="1"/>
      <c r="X275" s="1"/>
      <c r="Y275" s="1">
        <f t="shared" ca="1" si="66"/>
        <v>10000000000</v>
      </c>
      <c r="Z275" s="1">
        <f t="shared" ca="1" si="67"/>
        <v>1</v>
      </c>
      <c r="AA275" s="1"/>
      <c r="AB275" s="1"/>
      <c r="AC275" s="1"/>
      <c r="AD275" s="1"/>
    </row>
    <row r="276" spans="1:30" ht="19.5" customHeight="1" x14ac:dyDescent="0.3">
      <c r="A276" s="2"/>
      <c r="B276" s="86" t="str">
        <f t="shared" ca="1" si="58"/>
        <v/>
      </c>
      <c r="C276" s="87" t="str">
        <f t="shared" ca="1" si="59"/>
        <v/>
      </c>
      <c r="D276" s="88" t="str">
        <f t="shared" ca="1" si="60"/>
        <v/>
      </c>
      <c r="E276" s="86" t="str">
        <f t="shared" ca="1" si="61"/>
        <v/>
      </c>
      <c r="F276" s="89" t="str">
        <f t="shared" ca="1" si="62"/>
        <v/>
      </c>
      <c r="G276" s="89" t="str">
        <f t="shared" ca="1" si="63"/>
        <v/>
      </c>
      <c r="H276" s="89" t="str">
        <f t="shared" ca="1" si="64"/>
        <v/>
      </c>
      <c r="I276" s="2"/>
      <c r="J276" s="2"/>
      <c r="K276" s="1"/>
      <c r="L276" s="1"/>
      <c r="M276" s="1">
        <v>265</v>
      </c>
      <c r="N276" s="1" t="str">
        <f>IF($U276=0,"",INDEX(TAHSILAT!$E$7:$E$2503,$U276))</f>
        <v/>
      </c>
      <c r="O276" s="1" t="str">
        <f>IF($N276="","","Ödeme  –  "&amp;INDEX(TAHSILAT!$H$7:$H$2503,$U276)&amp;"  ("&amp;INDEX(TAHSILAT!$G$7:$G$2503,$U276)&amp;")"&amp;IF(INDEX(TAHSILAT!$J$7:$J$2503,$U276)="",""," / "&amp;INDEX(TAHSILAT!$J$7:$J$2503,$U276)))</f>
        <v/>
      </c>
      <c r="P276" s="1" t="str">
        <f t="shared" si="57"/>
        <v/>
      </c>
      <c r="Q276" s="1"/>
      <c r="R276" s="1">
        <v>0</v>
      </c>
      <c r="S276" s="1">
        <f>IF($N276="",0,INDEX(TAHSILAT!$F$7:$F$2503,$U276))</f>
        <v>0</v>
      </c>
      <c r="T276" s="1">
        <f t="shared" si="65"/>
        <v>10000000000</v>
      </c>
      <c r="U276" s="1">
        <f>IFERROR(MATCH($AC$4&amp;"|24",TAHSILAT!$Q$7:$Q$2503,0),0)</f>
        <v>0</v>
      </c>
      <c r="V276" s="1"/>
      <c r="W276" s="1"/>
      <c r="X276" s="1"/>
      <c r="Y276" s="1">
        <f t="shared" ca="1" si="66"/>
        <v>10000000000</v>
      </c>
      <c r="Z276" s="1">
        <f t="shared" ca="1" si="67"/>
        <v>1</v>
      </c>
      <c r="AA276" s="1"/>
      <c r="AB276" s="1"/>
      <c r="AC276" s="1"/>
      <c r="AD276" s="1"/>
    </row>
    <row r="277" spans="1:30" ht="19.5" customHeight="1" x14ac:dyDescent="0.3">
      <c r="A277" s="2"/>
      <c r="B277" s="86" t="str">
        <f t="shared" ca="1" si="58"/>
        <v/>
      </c>
      <c r="C277" s="87" t="str">
        <f t="shared" ca="1" si="59"/>
        <v/>
      </c>
      <c r="D277" s="88" t="str">
        <f t="shared" ca="1" si="60"/>
        <v/>
      </c>
      <c r="E277" s="86" t="str">
        <f t="shared" ca="1" si="61"/>
        <v/>
      </c>
      <c r="F277" s="89" t="str">
        <f t="shared" ca="1" si="62"/>
        <v/>
      </c>
      <c r="G277" s="89" t="str">
        <f t="shared" ca="1" si="63"/>
        <v/>
      </c>
      <c r="H277" s="89" t="str">
        <f t="shared" ca="1" si="64"/>
        <v/>
      </c>
      <c r="I277" s="2"/>
      <c r="J277" s="2"/>
      <c r="K277" s="1"/>
      <c r="L277" s="1"/>
      <c r="M277" s="1">
        <v>266</v>
      </c>
      <c r="N277" s="1" t="str">
        <f>IF($U277=0,"",INDEX(TAHSILAT!$E$7:$E$2503,$U277))</f>
        <v/>
      </c>
      <c r="O277" s="1" t="str">
        <f>IF($N277="","","Ödeme  –  "&amp;INDEX(TAHSILAT!$H$7:$H$2503,$U277)&amp;"  ("&amp;INDEX(TAHSILAT!$G$7:$G$2503,$U277)&amp;")"&amp;IF(INDEX(TAHSILAT!$J$7:$J$2503,$U277)="",""," / "&amp;INDEX(TAHSILAT!$J$7:$J$2503,$U277)))</f>
        <v/>
      </c>
      <c r="P277" s="1" t="str">
        <f t="shared" si="57"/>
        <v/>
      </c>
      <c r="Q277" s="1"/>
      <c r="R277" s="1">
        <v>0</v>
      </c>
      <c r="S277" s="1">
        <f>IF($N277="",0,INDEX(TAHSILAT!$F$7:$F$2503,$U277))</f>
        <v>0</v>
      </c>
      <c r="T277" s="1">
        <f t="shared" si="65"/>
        <v>10000000000</v>
      </c>
      <c r="U277" s="1">
        <f>IFERROR(MATCH($AC$4&amp;"|25",TAHSILAT!$Q$7:$Q$2503,0),0)</f>
        <v>0</v>
      </c>
      <c r="V277" s="1"/>
      <c r="W277" s="1"/>
      <c r="X277" s="1"/>
      <c r="Y277" s="1">
        <f t="shared" ca="1" si="66"/>
        <v>10000000000</v>
      </c>
      <c r="Z277" s="1">
        <f t="shared" ca="1" si="67"/>
        <v>1</v>
      </c>
      <c r="AA277" s="1"/>
      <c r="AB277" s="1"/>
      <c r="AC277" s="1"/>
      <c r="AD277" s="1"/>
    </row>
    <row r="278" spans="1:30" ht="19.5" customHeight="1" x14ac:dyDescent="0.3">
      <c r="A278" s="2"/>
      <c r="B278" s="86" t="str">
        <f t="shared" ca="1" si="58"/>
        <v/>
      </c>
      <c r="C278" s="87" t="str">
        <f t="shared" ca="1" si="59"/>
        <v/>
      </c>
      <c r="D278" s="88" t="str">
        <f t="shared" ca="1" si="60"/>
        <v/>
      </c>
      <c r="E278" s="86" t="str">
        <f t="shared" ca="1" si="61"/>
        <v/>
      </c>
      <c r="F278" s="89" t="str">
        <f t="shared" ca="1" si="62"/>
        <v/>
      </c>
      <c r="G278" s="89" t="str">
        <f t="shared" ca="1" si="63"/>
        <v/>
      </c>
      <c r="H278" s="89" t="str">
        <f t="shared" ca="1" si="64"/>
        <v/>
      </c>
      <c r="I278" s="2"/>
      <c r="J278" s="2"/>
      <c r="K278" s="1"/>
      <c r="L278" s="1"/>
      <c r="M278" s="1">
        <v>267</v>
      </c>
      <c r="N278" s="1" t="str">
        <f>IF($U278=0,"",INDEX(TAHSILAT!$E$7:$E$2503,$U278))</f>
        <v/>
      </c>
      <c r="O278" s="1" t="str">
        <f>IF($N278="","","Ödeme  –  "&amp;INDEX(TAHSILAT!$H$7:$H$2503,$U278)&amp;"  ("&amp;INDEX(TAHSILAT!$G$7:$G$2503,$U278)&amp;")"&amp;IF(INDEX(TAHSILAT!$J$7:$J$2503,$U278)="",""," / "&amp;INDEX(TAHSILAT!$J$7:$J$2503,$U278)))</f>
        <v/>
      </c>
      <c r="P278" s="1" t="str">
        <f t="shared" si="57"/>
        <v/>
      </c>
      <c r="Q278" s="1"/>
      <c r="R278" s="1">
        <v>0</v>
      </c>
      <c r="S278" s="1">
        <f>IF($N278="",0,INDEX(TAHSILAT!$F$7:$F$2503,$U278))</f>
        <v>0</v>
      </c>
      <c r="T278" s="1">
        <f t="shared" si="65"/>
        <v>10000000000</v>
      </c>
      <c r="U278" s="1">
        <f>IFERROR(MATCH($AC$4&amp;"|26",TAHSILAT!$Q$7:$Q$2503,0),0)</f>
        <v>0</v>
      </c>
      <c r="V278" s="1"/>
      <c r="W278" s="1"/>
      <c r="X278" s="1"/>
      <c r="Y278" s="1">
        <f t="shared" ca="1" si="66"/>
        <v>10000000000</v>
      </c>
      <c r="Z278" s="1">
        <f t="shared" ca="1" si="67"/>
        <v>1</v>
      </c>
      <c r="AA278" s="1"/>
      <c r="AB278" s="1"/>
      <c r="AC278" s="1"/>
      <c r="AD278" s="1"/>
    </row>
    <row r="279" spans="1:30" ht="19.5" customHeight="1" x14ac:dyDescent="0.3">
      <c r="A279" s="2"/>
      <c r="B279" s="86" t="str">
        <f t="shared" ca="1" si="58"/>
        <v/>
      </c>
      <c r="C279" s="87" t="str">
        <f t="shared" ca="1" si="59"/>
        <v/>
      </c>
      <c r="D279" s="88" t="str">
        <f t="shared" ca="1" si="60"/>
        <v/>
      </c>
      <c r="E279" s="86" t="str">
        <f t="shared" ca="1" si="61"/>
        <v/>
      </c>
      <c r="F279" s="89" t="str">
        <f t="shared" ca="1" si="62"/>
        <v/>
      </c>
      <c r="G279" s="89" t="str">
        <f t="shared" ca="1" si="63"/>
        <v/>
      </c>
      <c r="H279" s="89" t="str">
        <f t="shared" ca="1" si="64"/>
        <v/>
      </c>
      <c r="I279" s="2"/>
      <c r="J279" s="2"/>
      <c r="K279" s="1"/>
      <c r="L279" s="1"/>
      <c r="M279" s="1">
        <v>268</v>
      </c>
      <c r="N279" s="1" t="str">
        <f>IF($U279=0,"",INDEX(TAHSILAT!$E$7:$E$2503,$U279))</f>
        <v/>
      </c>
      <c r="O279" s="1" t="str">
        <f>IF($N279="","","Ödeme  –  "&amp;INDEX(TAHSILAT!$H$7:$H$2503,$U279)&amp;"  ("&amp;INDEX(TAHSILAT!$G$7:$G$2503,$U279)&amp;")"&amp;IF(INDEX(TAHSILAT!$J$7:$J$2503,$U279)="",""," / "&amp;INDEX(TAHSILAT!$J$7:$J$2503,$U279)))</f>
        <v/>
      </c>
      <c r="P279" s="1" t="str">
        <f t="shared" si="57"/>
        <v/>
      </c>
      <c r="Q279" s="1"/>
      <c r="R279" s="1">
        <v>0</v>
      </c>
      <c r="S279" s="1">
        <f>IF($N279="",0,INDEX(TAHSILAT!$F$7:$F$2503,$U279))</f>
        <v>0</v>
      </c>
      <c r="T279" s="1">
        <f t="shared" si="65"/>
        <v>10000000000</v>
      </c>
      <c r="U279" s="1">
        <f>IFERROR(MATCH($AC$4&amp;"|27",TAHSILAT!$Q$7:$Q$2503,0),0)</f>
        <v>0</v>
      </c>
      <c r="V279" s="1"/>
      <c r="W279" s="1"/>
      <c r="X279" s="1"/>
      <c r="Y279" s="1">
        <f t="shared" ca="1" si="66"/>
        <v>10000000000</v>
      </c>
      <c r="Z279" s="1">
        <f t="shared" ca="1" si="67"/>
        <v>1</v>
      </c>
      <c r="AA279" s="1"/>
      <c r="AB279" s="1"/>
      <c r="AC279" s="1"/>
      <c r="AD279" s="1"/>
    </row>
    <row r="280" spans="1:30" ht="19.5" customHeight="1" x14ac:dyDescent="0.3">
      <c r="A280" s="2"/>
      <c r="B280" s="86" t="str">
        <f t="shared" ca="1" si="58"/>
        <v/>
      </c>
      <c r="C280" s="87" t="str">
        <f t="shared" ca="1" si="59"/>
        <v/>
      </c>
      <c r="D280" s="88" t="str">
        <f t="shared" ca="1" si="60"/>
        <v/>
      </c>
      <c r="E280" s="86" t="str">
        <f t="shared" ca="1" si="61"/>
        <v/>
      </c>
      <c r="F280" s="89" t="str">
        <f t="shared" ca="1" si="62"/>
        <v/>
      </c>
      <c r="G280" s="89" t="str">
        <f t="shared" ca="1" si="63"/>
        <v/>
      </c>
      <c r="H280" s="89" t="str">
        <f t="shared" ca="1" si="64"/>
        <v/>
      </c>
      <c r="I280" s="2"/>
      <c r="J280" s="2"/>
      <c r="K280" s="1"/>
      <c r="L280" s="1"/>
      <c r="M280" s="1">
        <v>269</v>
      </c>
      <c r="N280" s="1" t="str">
        <f>IF($U280=0,"",INDEX(TAHSILAT!$E$7:$E$2503,$U280))</f>
        <v/>
      </c>
      <c r="O280" s="1" t="str">
        <f>IF($N280="","","Ödeme  –  "&amp;INDEX(TAHSILAT!$H$7:$H$2503,$U280)&amp;"  ("&amp;INDEX(TAHSILAT!$G$7:$G$2503,$U280)&amp;")"&amp;IF(INDEX(TAHSILAT!$J$7:$J$2503,$U280)="",""," / "&amp;INDEX(TAHSILAT!$J$7:$J$2503,$U280)))</f>
        <v/>
      </c>
      <c r="P280" s="1" t="str">
        <f t="shared" si="57"/>
        <v/>
      </c>
      <c r="Q280" s="1"/>
      <c r="R280" s="1">
        <v>0</v>
      </c>
      <c r="S280" s="1">
        <f>IF($N280="",0,INDEX(TAHSILAT!$F$7:$F$2503,$U280))</f>
        <v>0</v>
      </c>
      <c r="T280" s="1">
        <f t="shared" si="65"/>
        <v>10000000000</v>
      </c>
      <c r="U280" s="1">
        <f>IFERROR(MATCH($AC$4&amp;"|28",TAHSILAT!$Q$7:$Q$2503,0),0)</f>
        <v>0</v>
      </c>
      <c r="V280" s="1"/>
      <c r="W280" s="1"/>
      <c r="X280" s="1"/>
      <c r="Y280" s="1">
        <f t="shared" ca="1" si="66"/>
        <v>10000000000</v>
      </c>
      <c r="Z280" s="1">
        <f t="shared" ca="1" si="67"/>
        <v>1</v>
      </c>
      <c r="AA280" s="1"/>
      <c r="AB280" s="1"/>
      <c r="AC280" s="1"/>
      <c r="AD280" s="1"/>
    </row>
    <row r="281" spans="1:30" ht="19.5" customHeight="1" x14ac:dyDescent="0.3">
      <c r="A281" s="2"/>
      <c r="B281" s="86" t="str">
        <f t="shared" ca="1" si="58"/>
        <v/>
      </c>
      <c r="C281" s="87" t="str">
        <f t="shared" ca="1" si="59"/>
        <v/>
      </c>
      <c r="D281" s="88" t="str">
        <f t="shared" ca="1" si="60"/>
        <v/>
      </c>
      <c r="E281" s="86" t="str">
        <f t="shared" ca="1" si="61"/>
        <v/>
      </c>
      <c r="F281" s="89" t="str">
        <f t="shared" ca="1" si="62"/>
        <v/>
      </c>
      <c r="G281" s="89" t="str">
        <f t="shared" ca="1" si="63"/>
        <v/>
      </c>
      <c r="H281" s="89" t="str">
        <f t="shared" ca="1" si="64"/>
        <v/>
      </c>
      <c r="I281" s="2"/>
      <c r="J281" s="2"/>
      <c r="K281" s="1"/>
      <c r="L281" s="1"/>
      <c r="M281" s="1">
        <v>270</v>
      </c>
      <c r="N281" s="1" t="str">
        <f>IF($U281=0,"",INDEX(TAHSILAT!$E$7:$E$2503,$U281))</f>
        <v/>
      </c>
      <c r="O281" s="1" t="str">
        <f>IF($N281="","","Ödeme  –  "&amp;INDEX(TAHSILAT!$H$7:$H$2503,$U281)&amp;"  ("&amp;INDEX(TAHSILAT!$G$7:$G$2503,$U281)&amp;")"&amp;IF(INDEX(TAHSILAT!$J$7:$J$2503,$U281)="",""," / "&amp;INDEX(TAHSILAT!$J$7:$J$2503,$U281)))</f>
        <v/>
      </c>
      <c r="P281" s="1" t="str">
        <f t="shared" si="57"/>
        <v/>
      </c>
      <c r="Q281" s="1"/>
      <c r="R281" s="1">
        <v>0</v>
      </c>
      <c r="S281" s="1">
        <f>IF($N281="",0,INDEX(TAHSILAT!$F$7:$F$2503,$U281))</f>
        <v>0</v>
      </c>
      <c r="T281" s="1">
        <f t="shared" si="65"/>
        <v>10000000000</v>
      </c>
      <c r="U281" s="1">
        <f>IFERROR(MATCH($AC$4&amp;"|29",TAHSILAT!$Q$7:$Q$2503,0),0)</f>
        <v>0</v>
      </c>
      <c r="V281" s="1"/>
      <c r="W281" s="1"/>
      <c r="X281" s="1"/>
      <c r="Y281" s="1">
        <f t="shared" ca="1" si="66"/>
        <v>10000000000</v>
      </c>
      <c r="Z281" s="1">
        <f t="shared" ca="1" si="67"/>
        <v>1</v>
      </c>
      <c r="AA281" s="1"/>
      <c r="AB281" s="1"/>
      <c r="AC281" s="1"/>
      <c r="AD281" s="1"/>
    </row>
    <row r="282" spans="1:30" ht="19.5" customHeight="1" x14ac:dyDescent="0.3">
      <c r="A282" s="2"/>
      <c r="B282" s="86" t="str">
        <f t="shared" ca="1" si="58"/>
        <v/>
      </c>
      <c r="C282" s="87" t="str">
        <f t="shared" ca="1" si="59"/>
        <v/>
      </c>
      <c r="D282" s="88" t="str">
        <f t="shared" ca="1" si="60"/>
        <v/>
      </c>
      <c r="E282" s="86" t="str">
        <f t="shared" ca="1" si="61"/>
        <v/>
      </c>
      <c r="F282" s="89" t="str">
        <f t="shared" ca="1" si="62"/>
        <v/>
      </c>
      <c r="G282" s="89" t="str">
        <f t="shared" ca="1" si="63"/>
        <v/>
      </c>
      <c r="H282" s="89" t="str">
        <f t="shared" ca="1" si="64"/>
        <v/>
      </c>
      <c r="I282" s="2"/>
      <c r="J282" s="2"/>
      <c r="K282" s="1"/>
      <c r="L282" s="1"/>
      <c r="M282" s="1">
        <v>271</v>
      </c>
      <c r="N282" s="1" t="str">
        <f>IF($U282=0,"",INDEX(TAHSILAT!$E$7:$E$2503,$U282))</f>
        <v/>
      </c>
      <c r="O282" s="1" t="str">
        <f>IF($N282="","","Ödeme  –  "&amp;INDEX(TAHSILAT!$H$7:$H$2503,$U282)&amp;"  ("&amp;INDEX(TAHSILAT!$G$7:$G$2503,$U282)&amp;")"&amp;IF(INDEX(TAHSILAT!$J$7:$J$2503,$U282)="",""," / "&amp;INDEX(TAHSILAT!$J$7:$J$2503,$U282)))</f>
        <v/>
      </c>
      <c r="P282" s="1" t="str">
        <f t="shared" si="57"/>
        <v/>
      </c>
      <c r="Q282" s="1"/>
      <c r="R282" s="1">
        <v>0</v>
      </c>
      <c r="S282" s="1">
        <f>IF($N282="",0,INDEX(TAHSILAT!$F$7:$F$2503,$U282))</f>
        <v>0</v>
      </c>
      <c r="T282" s="1">
        <f t="shared" si="65"/>
        <v>10000000000</v>
      </c>
      <c r="U282" s="1">
        <f>IFERROR(MATCH($AC$4&amp;"|30",TAHSILAT!$Q$7:$Q$2503,0),0)</f>
        <v>0</v>
      </c>
      <c r="V282" s="1"/>
      <c r="W282" s="1"/>
      <c r="X282" s="1"/>
      <c r="Y282" s="1">
        <f t="shared" ca="1" si="66"/>
        <v>10000000000</v>
      </c>
      <c r="Z282" s="1">
        <f t="shared" ca="1" si="67"/>
        <v>1</v>
      </c>
      <c r="AA282" s="1"/>
      <c r="AB282" s="1"/>
      <c r="AC282" s="1"/>
      <c r="AD282" s="1"/>
    </row>
    <row r="283" spans="1:30" ht="19.5" customHeight="1" x14ac:dyDescent="0.3">
      <c r="A283" s="2"/>
      <c r="B283" s="86" t="str">
        <f t="shared" ca="1" si="58"/>
        <v/>
      </c>
      <c r="C283" s="87" t="str">
        <f t="shared" ca="1" si="59"/>
        <v/>
      </c>
      <c r="D283" s="88" t="str">
        <f t="shared" ca="1" si="60"/>
        <v/>
      </c>
      <c r="E283" s="86" t="str">
        <f t="shared" ca="1" si="61"/>
        <v/>
      </c>
      <c r="F283" s="89" t="str">
        <f t="shared" ca="1" si="62"/>
        <v/>
      </c>
      <c r="G283" s="89" t="str">
        <f t="shared" ca="1" si="63"/>
        <v/>
      </c>
      <c r="H283" s="89" t="str">
        <f t="shared" ca="1" si="64"/>
        <v/>
      </c>
      <c r="I283" s="2"/>
      <c r="J283" s="2"/>
      <c r="K283" s="1"/>
      <c r="L283" s="1"/>
      <c r="M283" s="1">
        <v>272</v>
      </c>
      <c r="N283" s="1" t="str">
        <f>IF($U283=0,"",INDEX(TAHSILAT!$E$7:$E$2503,$U283))</f>
        <v/>
      </c>
      <c r="O283" s="1" t="str">
        <f>IF($N283="","","Ödeme  –  "&amp;INDEX(TAHSILAT!$H$7:$H$2503,$U283)&amp;"  ("&amp;INDEX(TAHSILAT!$G$7:$G$2503,$U283)&amp;")"&amp;IF(INDEX(TAHSILAT!$J$7:$J$2503,$U283)="",""," / "&amp;INDEX(TAHSILAT!$J$7:$J$2503,$U283)))</f>
        <v/>
      </c>
      <c r="P283" s="1" t="str">
        <f t="shared" si="57"/>
        <v/>
      </c>
      <c r="Q283" s="1"/>
      <c r="R283" s="1">
        <v>0</v>
      </c>
      <c r="S283" s="1">
        <f>IF($N283="",0,INDEX(TAHSILAT!$F$7:$F$2503,$U283))</f>
        <v>0</v>
      </c>
      <c r="T283" s="1">
        <f t="shared" si="65"/>
        <v>10000000000</v>
      </c>
      <c r="U283" s="1">
        <f>IFERROR(MATCH($AC$4&amp;"|31",TAHSILAT!$Q$7:$Q$2503,0),0)</f>
        <v>0</v>
      </c>
      <c r="V283" s="1"/>
      <c r="W283" s="1"/>
      <c r="X283" s="1"/>
      <c r="Y283" s="1">
        <f t="shared" ca="1" si="66"/>
        <v>10000000000</v>
      </c>
      <c r="Z283" s="1">
        <f t="shared" ca="1" si="67"/>
        <v>1</v>
      </c>
      <c r="AA283" s="1"/>
      <c r="AB283" s="1"/>
      <c r="AC283" s="1"/>
      <c r="AD283" s="1"/>
    </row>
    <row r="284" spans="1:30" ht="19.5" customHeight="1" x14ac:dyDescent="0.3">
      <c r="A284" s="2"/>
      <c r="B284" s="86" t="str">
        <f t="shared" ca="1" si="58"/>
        <v/>
      </c>
      <c r="C284" s="87" t="str">
        <f t="shared" ca="1" si="59"/>
        <v/>
      </c>
      <c r="D284" s="88" t="str">
        <f t="shared" ca="1" si="60"/>
        <v/>
      </c>
      <c r="E284" s="86" t="str">
        <f t="shared" ca="1" si="61"/>
        <v/>
      </c>
      <c r="F284" s="89" t="str">
        <f t="shared" ca="1" si="62"/>
        <v/>
      </c>
      <c r="G284" s="89" t="str">
        <f t="shared" ca="1" si="63"/>
        <v/>
      </c>
      <c r="H284" s="89" t="str">
        <f t="shared" ca="1" si="64"/>
        <v/>
      </c>
      <c r="I284" s="2"/>
      <c r="J284" s="2"/>
      <c r="K284" s="1"/>
      <c r="L284" s="1"/>
      <c r="M284" s="1">
        <v>273</v>
      </c>
      <c r="N284" s="1" t="str">
        <f>IF($U284=0,"",INDEX(TAHSILAT!$E$7:$E$2503,$U284))</f>
        <v/>
      </c>
      <c r="O284" s="1" t="str">
        <f>IF($N284="","","Ödeme  –  "&amp;INDEX(TAHSILAT!$H$7:$H$2503,$U284)&amp;"  ("&amp;INDEX(TAHSILAT!$G$7:$G$2503,$U284)&amp;")"&amp;IF(INDEX(TAHSILAT!$J$7:$J$2503,$U284)="",""," / "&amp;INDEX(TAHSILAT!$J$7:$J$2503,$U284)))</f>
        <v/>
      </c>
      <c r="P284" s="1" t="str">
        <f t="shared" si="57"/>
        <v/>
      </c>
      <c r="Q284" s="1"/>
      <c r="R284" s="1">
        <v>0</v>
      </c>
      <c r="S284" s="1">
        <f>IF($N284="",0,INDEX(TAHSILAT!$F$7:$F$2503,$U284))</f>
        <v>0</v>
      </c>
      <c r="T284" s="1">
        <f t="shared" si="65"/>
        <v>10000000000</v>
      </c>
      <c r="U284" s="1">
        <f>IFERROR(MATCH($AC$4&amp;"|32",TAHSILAT!$Q$7:$Q$2503,0),0)</f>
        <v>0</v>
      </c>
      <c r="V284" s="1"/>
      <c r="W284" s="1"/>
      <c r="X284" s="1"/>
      <c r="Y284" s="1">
        <f t="shared" ca="1" si="66"/>
        <v>10000000000</v>
      </c>
      <c r="Z284" s="1">
        <f t="shared" ca="1" si="67"/>
        <v>1</v>
      </c>
      <c r="AA284" s="1"/>
      <c r="AB284" s="1"/>
      <c r="AC284" s="1"/>
      <c r="AD284" s="1"/>
    </row>
    <row r="285" spans="1:30" ht="19.5" customHeight="1" x14ac:dyDescent="0.3">
      <c r="A285" s="2"/>
      <c r="B285" s="86" t="str">
        <f t="shared" ca="1" si="58"/>
        <v/>
      </c>
      <c r="C285" s="87" t="str">
        <f t="shared" ca="1" si="59"/>
        <v/>
      </c>
      <c r="D285" s="88" t="str">
        <f t="shared" ca="1" si="60"/>
        <v/>
      </c>
      <c r="E285" s="86" t="str">
        <f t="shared" ca="1" si="61"/>
        <v/>
      </c>
      <c r="F285" s="89" t="str">
        <f t="shared" ca="1" si="62"/>
        <v/>
      </c>
      <c r="G285" s="89" t="str">
        <f t="shared" ca="1" si="63"/>
        <v/>
      </c>
      <c r="H285" s="89" t="str">
        <f t="shared" ca="1" si="64"/>
        <v/>
      </c>
      <c r="I285" s="2"/>
      <c r="J285" s="2"/>
      <c r="K285" s="1"/>
      <c r="L285" s="1"/>
      <c r="M285" s="1">
        <v>274</v>
      </c>
      <c r="N285" s="1" t="str">
        <f>IF($U285=0,"",INDEX(TAHSILAT!$E$7:$E$2503,$U285))</f>
        <v/>
      </c>
      <c r="O285" s="1" t="str">
        <f>IF($N285="","","Ödeme  –  "&amp;INDEX(TAHSILAT!$H$7:$H$2503,$U285)&amp;"  ("&amp;INDEX(TAHSILAT!$G$7:$G$2503,$U285)&amp;")"&amp;IF(INDEX(TAHSILAT!$J$7:$J$2503,$U285)="",""," / "&amp;INDEX(TAHSILAT!$J$7:$J$2503,$U285)))</f>
        <v/>
      </c>
      <c r="P285" s="1" t="str">
        <f t="shared" ref="P285:P316" si="68">IF($N285="","","ÖDEME")</f>
        <v/>
      </c>
      <c r="Q285" s="1"/>
      <c r="R285" s="1">
        <v>0</v>
      </c>
      <c r="S285" s="1">
        <f>IF($N285="",0,INDEX(TAHSILAT!$F$7:$F$2503,$U285))</f>
        <v>0</v>
      </c>
      <c r="T285" s="1">
        <f t="shared" si="65"/>
        <v>10000000000</v>
      </c>
      <c r="U285" s="1">
        <f>IFERROR(MATCH($AC$4&amp;"|33",TAHSILAT!$Q$7:$Q$2503,0),0)</f>
        <v>0</v>
      </c>
      <c r="V285" s="1"/>
      <c r="W285" s="1"/>
      <c r="X285" s="1"/>
      <c r="Y285" s="1">
        <f t="shared" ca="1" si="66"/>
        <v>10000000000</v>
      </c>
      <c r="Z285" s="1">
        <f t="shared" ca="1" si="67"/>
        <v>1</v>
      </c>
      <c r="AA285" s="1"/>
      <c r="AB285" s="1"/>
      <c r="AC285" s="1"/>
      <c r="AD285" s="1"/>
    </row>
    <row r="286" spans="1:30" ht="19.5" customHeight="1" x14ac:dyDescent="0.3">
      <c r="A286" s="2"/>
      <c r="B286" s="86" t="str">
        <f t="shared" ca="1" si="58"/>
        <v/>
      </c>
      <c r="C286" s="87" t="str">
        <f t="shared" ca="1" si="59"/>
        <v/>
      </c>
      <c r="D286" s="88" t="str">
        <f t="shared" ca="1" si="60"/>
        <v/>
      </c>
      <c r="E286" s="86" t="str">
        <f t="shared" ca="1" si="61"/>
        <v/>
      </c>
      <c r="F286" s="89" t="str">
        <f t="shared" ca="1" si="62"/>
        <v/>
      </c>
      <c r="G286" s="89" t="str">
        <f t="shared" ca="1" si="63"/>
        <v/>
      </c>
      <c r="H286" s="89" t="str">
        <f t="shared" ca="1" si="64"/>
        <v/>
      </c>
      <c r="I286" s="2"/>
      <c r="J286" s="2"/>
      <c r="K286" s="1"/>
      <c r="L286" s="1"/>
      <c r="M286" s="1">
        <v>275</v>
      </c>
      <c r="N286" s="1" t="str">
        <f>IF($U286=0,"",INDEX(TAHSILAT!$E$7:$E$2503,$U286))</f>
        <v/>
      </c>
      <c r="O286" s="1" t="str">
        <f>IF($N286="","","Ödeme  –  "&amp;INDEX(TAHSILAT!$H$7:$H$2503,$U286)&amp;"  ("&amp;INDEX(TAHSILAT!$G$7:$G$2503,$U286)&amp;")"&amp;IF(INDEX(TAHSILAT!$J$7:$J$2503,$U286)="",""," / "&amp;INDEX(TAHSILAT!$J$7:$J$2503,$U286)))</f>
        <v/>
      </c>
      <c r="P286" s="1" t="str">
        <f t="shared" si="68"/>
        <v/>
      </c>
      <c r="Q286" s="1"/>
      <c r="R286" s="1">
        <v>0</v>
      </c>
      <c r="S286" s="1">
        <f>IF($N286="",0,INDEX(TAHSILAT!$F$7:$F$2503,$U286))</f>
        <v>0</v>
      </c>
      <c r="T286" s="1">
        <f t="shared" si="65"/>
        <v>10000000000</v>
      </c>
      <c r="U286" s="1">
        <f>IFERROR(MATCH($AC$4&amp;"|34",TAHSILAT!$Q$7:$Q$2503,0),0)</f>
        <v>0</v>
      </c>
      <c r="V286" s="1"/>
      <c r="W286" s="1"/>
      <c r="X286" s="1"/>
      <c r="Y286" s="1">
        <f t="shared" ca="1" si="66"/>
        <v>10000000000</v>
      </c>
      <c r="Z286" s="1">
        <f t="shared" ca="1" si="67"/>
        <v>1</v>
      </c>
      <c r="AA286" s="1"/>
      <c r="AB286" s="1"/>
      <c r="AC286" s="1"/>
      <c r="AD286" s="1"/>
    </row>
    <row r="287" spans="1:30" ht="19.5" customHeight="1" x14ac:dyDescent="0.3">
      <c r="A287" s="2"/>
      <c r="B287" s="86" t="str">
        <f t="shared" ca="1" si="58"/>
        <v/>
      </c>
      <c r="C287" s="87" t="str">
        <f t="shared" ca="1" si="59"/>
        <v/>
      </c>
      <c r="D287" s="88" t="str">
        <f t="shared" ca="1" si="60"/>
        <v/>
      </c>
      <c r="E287" s="86" t="str">
        <f t="shared" ca="1" si="61"/>
        <v/>
      </c>
      <c r="F287" s="89" t="str">
        <f t="shared" ca="1" si="62"/>
        <v/>
      </c>
      <c r="G287" s="89" t="str">
        <f t="shared" ca="1" si="63"/>
        <v/>
      </c>
      <c r="H287" s="89" t="str">
        <f t="shared" ca="1" si="64"/>
        <v/>
      </c>
      <c r="I287" s="2"/>
      <c r="J287" s="2"/>
      <c r="K287" s="1"/>
      <c r="L287" s="1"/>
      <c r="M287" s="1">
        <v>276</v>
      </c>
      <c r="N287" s="1" t="str">
        <f>IF($U287=0,"",INDEX(TAHSILAT!$E$7:$E$2503,$U287))</f>
        <v/>
      </c>
      <c r="O287" s="1" t="str">
        <f>IF($N287="","","Ödeme  –  "&amp;INDEX(TAHSILAT!$H$7:$H$2503,$U287)&amp;"  ("&amp;INDEX(TAHSILAT!$G$7:$G$2503,$U287)&amp;")"&amp;IF(INDEX(TAHSILAT!$J$7:$J$2503,$U287)="",""," / "&amp;INDEX(TAHSILAT!$J$7:$J$2503,$U287)))</f>
        <v/>
      </c>
      <c r="P287" s="1" t="str">
        <f t="shared" si="68"/>
        <v/>
      </c>
      <c r="Q287" s="1"/>
      <c r="R287" s="1">
        <v>0</v>
      </c>
      <c r="S287" s="1">
        <f>IF($N287="",0,INDEX(TAHSILAT!$F$7:$F$2503,$U287))</f>
        <v>0</v>
      </c>
      <c r="T287" s="1">
        <f t="shared" si="65"/>
        <v>10000000000</v>
      </c>
      <c r="U287" s="1">
        <f>IFERROR(MATCH($AC$4&amp;"|35",TAHSILAT!$Q$7:$Q$2503,0),0)</f>
        <v>0</v>
      </c>
      <c r="V287" s="1"/>
      <c r="W287" s="1"/>
      <c r="X287" s="1"/>
      <c r="Y287" s="1">
        <f t="shared" ca="1" si="66"/>
        <v>10000000000</v>
      </c>
      <c r="Z287" s="1">
        <f t="shared" ca="1" si="67"/>
        <v>1</v>
      </c>
      <c r="AA287" s="1"/>
      <c r="AB287" s="1"/>
      <c r="AC287" s="1"/>
      <c r="AD287" s="1"/>
    </row>
    <row r="288" spans="1:30" ht="19.5" customHeight="1" x14ac:dyDescent="0.3">
      <c r="A288" s="2"/>
      <c r="B288" s="86" t="str">
        <f t="shared" ca="1" si="58"/>
        <v/>
      </c>
      <c r="C288" s="87" t="str">
        <f t="shared" ca="1" si="59"/>
        <v/>
      </c>
      <c r="D288" s="88" t="str">
        <f t="shared" ca="1" si="60"/>
        <v/>
      </c>
      <c r="E288" s="86" t="str">
        <f t="shared" ca="1" si="61"/>
        <v/>
      </c>
      <c r="F288" s="89" t="str">
        <f t="shared" ca="1" si="62"/>
        <v/>
      </c>
      <c r="G288" s="89" t="str">
        <f t="shared" ca="1" si="63"/>
        <v/>
      </c>
      <c r="H288" s="89" t="str">
        <f t="shared" ca="1" si="64"/>
        <v/>
      </c>
      <c r="I288" s="2"/>
      <c r="J288" s="2"/>
      <c r="K288" s="1"/>
      <c r="L288" s="1"/>
      <c r="M288" s="1">
        <v>277</v>
      </c>
      <c r="N288" s="1" t="str">
        <f>IF($U288=0,"",INDEX(TAHSILAT!$E$7:$E$2503,$U288))</f>
        <v/>
      </c>
      <c r="O288" s="1" t="str">
        <f>IF($N288="","","Ödeme  –  "&amp;INDEX(TAHSILAT!$H$7:$H$2503,$U288)&amp;"  ("&amp;INDEX(TAHSILAT!$G$7:$G$2503,$U288)&amp;")"&amp;IF(INDEX(TAHSILAT!$J$7:$J$2503,$U288)="",""," / "&amp;INDEX(TAHSILAT!$J$7:$J$2503,$U288)))</f>
        <v/>
      </c>
      <c r="P288" s="1" t="str">
        <f t="shared" si="68"/>
        <v/>
      </c>
      <c r="Q288" s="1"/>
      <c r="R288" s="1">
        <v>0</v>
      </c>
      <c r="S288" s="1">
        <f>IF($N288="",0,INDEX(TAHSILAT!$F$7:$F$2503,$U288))</f>
        <v>0</v>
      </c>
      <c r="T288" s="1">
        <f t="shared" si="65"/>
        <v>10000000000</v>
      </c>
      <c r="U288" s="1">
        <f>IFERROR(MATCH($AC$4&amp;"|36",TAHSILAT!$Q$7:$Q$2503,0),0)</f>
        <v>0</v>
      </c>
      <c r="V288" s="1"/>
      <c r="W288" s="1"/>
      <c r="X288" s="1"/>
      <c r="Y288" s="1">
        <f t="shared" ca="1" si="66"/>
        <v>10000000000</v>
      </c>
      <c r="Z288" s="1">
        <f t="shared" ca="1" si="67"/>
        <v>1</v>
      </c>
      <c r="AA288" s="1"/>
      <c r="AB288" s="1"/>
      <c r="AC288" s="1"/>
      <c r="AD288" s="1"/>
    </row>
    <row r="289" spans="1:30" ht="19.5" customHeight="1" x14ac:dyDescent="0.3">
      <c r="A289" s="2"/>
      <c r="B289" s="86" t="str">
        <f t="shared" ca="1" si="58"/>
        <v/>
      </c>
      <c r="C289" s="87" t="str">
        <f t="shared" ca="1" si="59"/>
        <v/>
      </c>
      <c r="D289" s="88" t="str">
        <f t="shared" ca="1" si="60"/>
        <v/>
      </c>
      <c r="E289" s="86" t="str">
        <f t="shared" ca="1" si="61"/>
        <v/>
      </c>
      <c r="F289" s="89" t="str">
        <f t="shared" ca="1" si="62"/>
        <v/>
      </c>
      <c r="G289" s="89" t="str">
        <f t="shared" ca="1" si="63"/>
        <v/>
      </c>
      <c r="H289" s="89" t="str">
        <f t="shared" ca="1" si="64"/>
        <v/>
      </c>
      <c r="I289" s="2"/>
      <c r="J289" s="2"/>
      <c r="K289" s="1"/>
      <c r="L289" s="1"/>
      <c r="M289" s="1">
        <v>278</v>
      </c>
      <c r="N289" s="1" t="str">
        <f>IF($U289=0,"",INDEX(TAHSILAT!$E$7:$E$2503,$U289))</f>
        <v/>
      </c>
      <c r="O289" s="1" t="str">
        <f>IF($N289="","","Ödeme  –  "&amp;INDEX(TAHSILAT!$H$7:$H$2503,$U289)&amp;"  ("&amp;INDEX(TAHSILAT!$G$7:$G$2503,$U289)&amp;")"&amp;IF(INDEX(TAHSILAT!$J$7:$J$2503,$U289)="",""," / "&amp;INDEX(TAHSILAT!$J$7:$J$2503,$U289)))</f>
        <v/>
      </c>
      <c r="P289" s="1" t="str">
        <f t="shared" si="68"/>
        <v/>
      </c>
      <c r="Q289" s="1"/>
      <c r="R289" s="1">
        <v>0</v>
      </c>
      <c r="S289" s="1">
        <f>IF($N289="",0,INDEX(TAHSILAT!$F$7:$F$2503,$U289))</f>
        <v>0</v>
      </c>
      <c r="T289" s="1">
        <f t="shared" si="65"/>
        <v>10000000000</v>
      </c>
      <c r="U289" s="1">
        <f>IFERROR(MATCH($AC$4&amp;"|37",TAHSILAT!$Q$7:$Q$2503,0),0)</f>
        <v>0</v>
      </c>
      <c r="V289" s="1"/>
      <c r="W289" s="1"/>
      <c r="X289" s="1"/>
      <c r="Y289" s="1">
        <f t="shared" ca="1" si="66"/>
        <v>10000000000</v>
      </c>
      <c r="Z289" s="1">
        <f t="shared" ca="1" si="67"/>
        <v>1</v>
      </c>
      <c r="AA289" s="1"/>
      <c r="AB289" s="1"/>
      <c r="AC289" s="1"/>
      <c r="AD289" s="1"/>
    </row>
    <row r="290" spans="1:30" ht="19.5" customHeight="1" x14ac:dyDescent="0.3">
      <c r="A290" s="2"/>
      <c r="B290" s="86" t="str">
        <f t="shared" ca="1" si="58"/>
        <v/>
      </c>
      <c r="C290" s="87" t="str">
        <f t="shared" ca="1" si="59"/>
        <v/>
      </c>
      <c r="D290" s="88" t="str">
        <f t="shared" ca="1" si="60"/>
        <v/>
      </c>
      <c r="E290" s="86" t="str">
        <f t="shared" ca="1" si="61"/>
        <v/>
      </c>
      <c r="F290" s="89" t="str">
        <f t="shared" ca="1" si="62"/>
        <v/>
      </c>
      <c r="G290" s="89" t="str">
        <f t="shared" ca="1" si="63"/>
        <v/>
      </c>
      <c r="H290" s="89" t="str">
        <f t="shared" ca="1" si="64"/>
        <v/>
      </c>
      <c r="I290" s="2"/>
      <c r="J290" s="2"/>
      <c r="K290" s="1"/>
      <c r="L290" s="1"/>
      <c r="M290" s="1">
        <v>279</v>
      </c>
      <c r="N290" s="1" t="str">
        <f>IF($U290=0,"",INDEX(TAHSILAT!$E$7:$E$2503,$U290))</f>
        <v/>
      </c>
      <c r="O290" s="1" t="str">
        <f>IF($N290="","","Ödeme  –  "&amp;INDEX(TAHSILAT!$H$7:$H$2503,$U290)&amp;"  ("&amp;INDEX(TAHSILAT!$G$7:$G$2503,$U290)&amp;")"&amp;IF(INDEX(TAHSILAT!$J$7:$J$2503,$U290)="",""," / "&amp;INDEX(TAHSILAT!$J$7:$J$2503,$U290)))</f>
        <v/>
      </c>
      <c r="P290" s="1" t="str">
        <f t="shared" si="68"/>
        <v/>
      </c>
      <c r="Q290" s="1"/>
      <c r="R290" s="1">
        <v>0</v>
      </c>
      <c r="S290" s="1">
        <f>IF($N290="",0,INDEX(TAHSILAT!$F$7:$F$2503,$U290))</f>
        <v>0</v>
      </c>
      <c r="T290" s="1">
        <f t="shared" si="65"/>
        <v>10000000000</v>
      </c>
      <c r="U290" s="1">
        <f>IFERROR(MATCH($AC$4&amp;"|38",TAHSILAT!$Q$7:$Q$2503,0),0)</f>
        <v>0</v>
      </c>
      <c r="V290" s="1"/>
      <c r="W290" s="1"/>
      <c r="X290" s="1"/>
      <c r="Y290" s="1">
        <f t="shared" ca="1" si="66"/>
        <v>10000000000</v>
      </c>
      <c r="Z290" s="1">
        <f t="shared" ca="1" si="67"/>
        <v>1</v>
      </c>
      <c r="AA290" s="1"/>
      <c r="AB290" s="1"/>
      <c r="AC290" s="1"/>
      <c r="AD290" s="1"/>
    </row>
    <row r="291" spans="1:30" ht="19.5" customHeight="1" x14ac:dyDescent="0.3">
      <c r="A291" s="2"/>
      <c r="B291" s="86" t="str">
        <f t="shared" ca="1" si="58"/>
        <v/>
      </c>
      <c r="C291" s="87" t="str">
        <f t="shared" ca="1" si="59"/>
        <v/>
      </c>
      <c r="D291" s="88" t="str">
        <f t="shared" ca="1" si="60"/>
        <v/>
      </c>
      <c r="E291" s="86" t="str">
        <f t="shared" ca="1" si="61"/>
        <v/>
      </c>
      <c r="F291" s="89" t="str">
        <f t="shared" ca="1" si="62"/>
        <v/>
      </c>
      <c r="G291" s="89" t="str">
        <f t="shared" ca="1" si="63"/>
        <v/>
      </c>
      <c r="H291" s="89" t="str">
        <f t="shared" ca="1" si="64"/>
        <v/>
      </c>
      <c r="I291" s="2"/>
      <c r="J291" s="2"/>
      <c r="K291" s="1"/>
      <c r="L291" s="1"/>
      <c r="M291" s="1">
        <v>280</v>
      </c>
      <c r="N291" s="1" t="str">
        <f>IF($U291=0,"",INDEX(TAHSILAT!$E$7:$E$2503,$U291))</f>
        <v/>
      </c>
      <c r="O291" s="1" t="str">
        <f>IF($N291="","","Ödeme  –  "&amp;INDEX(TAHSILAT!$H$7:$H$2503,$U291)&amp;"  ("&amp;INDEX(TAHSILAT!$G$7:$G$2503,$U291)&amp;")"&amp;IF(INDEX(TAHSILAT!$J$7:$J$2503,$U291)="",""," / "&amp;INDEX(TAHSILAT!$J$7:$J$2503,$U291)))</f>
        <v/>
      </c>
      <c r="P291" s="1" t="str">
        <f t="shared" si="68"/>
        <v/>
      </c>
      <c r="Q291" s="1"/>
      <c r="R291" s="1">
        <v>0</v>
      </c>
      <c r="S291" s="1">
        <f>IF($N291="",0,INDEX(TAHSILAT!$F$7:$F$2503,$U291))</f>
        <v>0</v>
      </c>
      <c r="T291" s="1">
        <f t="shared" si="65"/>
        <v>10000000000</v>
      </c>
      <c r="U291" s="1">
        <f>IFERROR(MATCH($AC$4&amp;"|39",TAHSILAT!$Q$7:$Q$2503,0),0)</f>
        <v>0</v>
      </c>
      <c r="V291" s="1"/>
      <c r="W291" s="1"/>
      <c r="X291" s="1"/>
      <c r="Y291" s="1">
        <f t="shared" ca="1" si="66"/>
        <v>10000000000</v>
      </c>
      <c r="Z291" s="1">
        <f t="shared" ca="1" si="67"/>
        <v>1</v>
      </c>
      <c r="AA291" s="1"/>
      <c r="AB291" s="1"/>
      <c r="AC291" s="1"/>
      <c r="AD291" s="1"/>
    </row>
    <row r="292" spans="1:30" ht="19.5" customHeight="1" x14ac:dyDescent="0.3">
      <c r="A292" s="2"/>
      <c r="B292" s="86" t="str">
        <f t="shared" ca="1" si="58"/>
        <v/>
      </c>
      <c r="C292" s="87" t="str">
        <f t="shared" ca="1" si="59"/>
        <v/>
      </c>
      <c r="D292" s="88" t="str">
        <f t="shared" ca="1" si="60"/>
        <v/>
      </c>
      <c r="E292" s="86" t="str">
        <f t="shared" ca="1" si="61"/>
        <v/>
      </c>
      <c r="F292" s="89" t="str">
        <f t="shared" ca="1" si="62"/>
        <v/>
      </c>
      <c r="G292" s="89" t="str">
        <f t="shared" ca="1" si="63"/>
        <v/>
      </c>
      <c r="H292" s="89" t="str">
        <f t="shared" ca="1" si="64"/>
        <v/>
      </c>
      <c r="I292" s="2"/>
      <c r="J292" s="2"/>
      <c r="K292" s="1"/>
      <c r="L292" s="1"/>
      <c r="M292" s="1">
        <v>281</v>
      </c>
      <c r="N292" s="1" t="str">
        <f>IF($U292=0,"",INDEX(TAHSILAT!$E$7:$E$2503,$U292))</f>
        <v/>
      </c>
      <c r="O292" s="1" t="str">
        <f>IF($N292="","","Ödeme  –  "&amp;INDEX(TAHSILAT!$H$7:$H$2503,$U292)&amp;"  ("&amp;INDEX(TAHSILAT!$G$7:$G$2503,$U292)&amp;")"&amp;IF(INDEX(TAHSILAT!$J$7:$J$2503,$U292)="",""," / "&amp;INDEX(TAHSILAT!$J$7:$J$2503,$U292)))</f>
        <v/>
      </c>
      <c r="P292" s="1" t="str">
        <f t="shared" si="68"/>
        <v/>
      </c>
      <c r="Q292" s="1"/>
      <c r="R292" s="1">
        <v>0</v>
      </c>
      <c r="S292" s="1">
        <f>IF($N292="",0,INDEX(TAHSILAT!$F$7:$F$2503,$U292))</f>
        <v>0</v>
      </c>
      <c r="T292" s="1">
        <f t="shared" si="65"/>
        <v>10000000000</v>
      </c>
      <c r="U292" s="1">
        <f>IFERROR(MATCH($AC$4&amp;"|40",TAHSILAT!$Q$7:$Q$2503,0),0)</f>
        <v>0</v>
      </c>
      <c r="V292" s="1"/>
      <c r="W292" s="1"/>
      <c r="X292" s="1"/>
      <c r="Y292" s="1">
        <f t="shared" ca="1" si="66"/>
        <v>10000000000</v>
      </c>
      <c r="Z292" s="1">
        <f t="shared" ca="1" si="67"/>
        <v>1</v>
      </c>
      <c r="AA292" s="1"/>
      <c r="AB292" s="1"/>
      <c r="AC292" s="1"/>
      <c r="AD292" s="1"/>
    </row>
    <row r="293" spans="1:30" ht="19.5" customHeight="1" x14ac:dyDescent="0.3">
      <c r="A293" s="2"/>
      <c r="B293" s="86" t="str">
        <f t="shared" ca="1" si="58"/>
        <v/>
      </c>
      <c r="C293" s="87" t="str">
        <f t="shared" ca="1" si="59"/>
        <v/>
      </c>
      <c r="D293" s="88" t="str">
        <f t="shared" ca="1" si="60"/>
        <v/>
      </c>
      <c r="E293" s="86" t="str">
        <f t="shared" ca="1" si="61"/>
        <v/>
      </c>
      <c r="F293" s="89" t="str">
        <f t="shared" ca="1" si="62"/>
        <v/>
      </c>
      <c r="G293" s="89" t="str">
        <f t="shared" ca="1" si="63"/>
        <v/>
      </c>
      <c r="H293" s="89" t="str">
        <f t="shared" ca="1" si="64"/>
        <v/>
      </c>
      <c r="I293" s="2"/>
      <c r="J293" s="2"/>
      <c r="K293" s="1"/>
      <c r="L293" s="1"/>
      <c r="M293" s="1">
        <v>282</v>
      </c>
      <c r="N293" s="1" t="str">
        <f>IF($U293=0,"",INDEX(TAHSILAT!$E$7:$E$2503,$U293))</f>
        <v/>
      </c>
      <c r="O293" s="1" t="str">
        <f>IF($N293="","","Ödeme  –  "&amp;INDEX(TAHSILAT!$H$7:$H$2503,$U293)&amp;"  ("&amp;INDEX(TAHSILAT!$G$7:$G$2503,$U293)&amp;")"&amp;IF(INDEX(TAHSILAT!$J$7:$J$2503,$U293)="",""," / "&amp;INDEX(TAHSILAT!$J$7:$J$2503,$U293)))</f>
        <v/>
      </c>
      <c r="P293" s="1" t="str">
        <f t="shared" si="68"/>
        <v/>
      </c>
      <c r="Q293" s="1"/>
      <c r="R293" s="1">
        <v>0</v>
      </c>
      <c r="S293" s="1">
        <f>IF($N293="",0,INDEX(TAHSILAT!$F$7:$F$2503,$U293))</f>
        <v>0</v>
      </c>
      <c r="T293" s="1">
        <f t="shared" si="65"/>
        <v>10000000000</v>
      </c>
      <c r="U293" s="1">
        <f>IFERROR(MATCH($AC$4&amp;"|41",TAHSILAT!$Q$7:$Q$2503,0),0)</f>
        <v>0</v>
      </c>
      <c r="V293" s="1"/>
      <c r="W293" s="1"/>
      <c r="X293" s="1"/>
      <c r="Y293" s="1">
        <f t="shared" ca="1" si="66"/>
        <v>10000000000</v>
      </c>
      <c r="Z293" s="1">
        <f t="shared" ca="1" si="67"/>
        <v>1</v>
      </c>
      <c r="AA293" s="1"/>
      <c r="AB293" s="1"/>
      <c r="AC293" s="1"/>
      <c r="AD293" s="1"/>
    </row>
    <row r="294" spans="1:30" ht="19.5" customHeight="1" x14ac:dyDescent="0.3">
      <c r="A294" s="2"/>
      <c r="B294" s="86" t="str">
        <f t="shared" ca="1" si="58"/>
        <v/>
      </c>
      <c r="C294" s="87" t="str">
        <f t="shared" ca="1" si="59"/>
        <v/>
      </c>
      <c r="D294" s="88" t="str">
        <f t="shared" ca="1" si="60"/>
        <v/>
      </c>
      <c r="E294" s="86" t="str">
        <f t="shared" ca="1" si="61"/>
        <v/>
      </c>
      <c r="F294" s="89" t="str">
        <f t="shared" ca="1" si="62"/>
        <v/>
      </c>
      <c r="G294" s="89" t="str">
        <f t="shared" ca="1" si="63"/>
        <v/>
      </c>
      <c r="H294" s="89" t="str">
        <f t="shared" ca="1" si="64"/>
        <v/>
      </c>
      <c r="I294" s="2"/>
      <c r="J294" s="2"/>
      <c r="K294" s="1"/>
      <c r="L294" s="1"/>
      <c r="M294" s="1">
        <v>283</v>
      </c>
      <c r="N294" s="1" t="str">
        <f>IF($U294=0,"",INDEX(TAHSILAT!$E$7:$E$2503,$U294))</f>
        <v/>
      </c>
      <c r="O294" s="1" t="str">
        <f>IF($N294="","","Ödeme  –  "&amp;INDEX(TAHSILAT!$H$7:$H$2503,$U294)&amp;"  ("&amp;INDEX(TAHSILAT!$G$7:$G$2503,$U294)&amp;")"&amp;IF(INDEX(TAHSILAT!$J$7:$J$2503,$U294)="",""," / "&amp;INDEX(TAHSILAT!$J$7:$J$2503,$U294)))</f>
        <v/>
      </c>
      <c r="P294" s="1" t="str">
        <f t="shared" si="68"/>
        <v/>
      </c>
      <c r="Q294" s="1"/>
      <c r="R294" s="1">
        <v>0</v>
      </c>
      <c r="S294" s="1">
        <f>IF($N294="",0,INDEX(TAHSILAT!$F$7:$F$2503,$U294))</f>
        <v>0</v>
      </c>
      <c r="T294" s="1">
        <f t="shared" si="65"/>
        <v>10000000000</v>
      </c>
      <c r="U294" s="1">
        <f>IFERROR(MATCH($AC$4&amp;"|42",TAHSILAT!$Q$7:$Q$2503,0),0)</f>
        <v>0</v>
      </c>
      <c r="V294" s="1"/>
      <c r="W294" s="1"/>
      <c r="X294" s="1"/>
      <c r="Y294" s="1">
        <f t="shared" ca="1" si="66"/>
        <v>10000000000</v>
      </c>
      <c r="Z294" s="1">
        <f t="shared" ca="1" si="67"/>
        <v>1</v>
      </c>
      <c r="AA294" s="1"/>
      <c r="AB294" s="1"/>
      <c r="AC294" s="1"/>
      <c r="AD294" s="1"/>
    </row>
    <row r="295" spans="1:30" ht="19.5" customHeight="1" x14ac:dyDescent="0.3">
      <c r="A295" s="2"/>
      <c r="B295" s="86" t="str">
        <f t="shared" ca="1" si="58"/>
        <v/>
      </c>
      <c r="C295" s="87" t="str">
        <f t="shared" ca="1" si="59"/>
        <v/>
      </c>
      <c r="D295" s="88" t="str">
        <f t="shared" ca="1" si="60"/>
        <v/>
      </c>
      <c r="E295" s="86" t="str">
        <f t="shared" ca="1" si="61"/>
        <v/>
      </c>
      <c r="F295" s="89" t="str">
        <f t="shared" ca="1" si="62"/>
        <v/>
      </c>
      <c r="G295" s="89" t="str">
        <f t="shared" ca="1" si="63"/>
        <v/>
      </c>
      <c r="H295" s="89" t="str">
        <f t="shared" ca="1" si="64"/>
        <v/>
      </c>
      <c r="I295" s="2"/>
      <c r="J295" s="2"/>
      <c r="K295" s="1"/>
      <c r="L295" s="1"/>
      <c r="M295" s="1">
        <v>284</v>
      </c>
      <c r="N295" s="1" t="str">
        <f>IF($U295=0,"",INDEX(TAHSILAT!$E$7:$E$2503,$U295))</f>
        <v/>
      </c>
      <c r="O295" s="1" t="str">
        <f>IF($N295="","","Ödeme  –  "&amp;INDEX(TAHSILAT!$H$7:$H$2503,$U295)&amp;"  ("&amp;INDEX(TAHSILAT!$G$7:$G$2503,$U295)&amp;")"&amp;IF(INDEX(TAHSILAT!$J$7:$J$2503,$U295)="",""," / "&amp;INDEX(TAHSILAT!$J$7:$J$2503,$U295)))</f>
        <v/>
      </c>
      <c r="P295" s="1" t="str">
        <f t="shared" si="68"/>
        <v/>
      </c>
      <c r="Q295" s="1"/>
      <c r="R295" s="1">
        <v>0</v>
      </c>
      <c r="S295" s="1">
        <f>IF($N295="",0,INDEX(TAHSILAT!$F$7:$F$2503,$U295))</f>
        <v>0</v>
      </c>
      <c r="T295" s="1">
        <f t="shared" si="65"/>
        <v>10000000000</v>
      </c>
      <c r="U295" s="1">
        <f>IFERROR(MATCH($AC$4&amp;"|43",TAHSILAT!$Q$7:$Q$2503,0),0)</f>
        <v>0</v>
      </c>
      <c r="V295" s="1"/>
      <c r="W295" s="1"/>
      <c r="X295" s="1"/>
      <c r="Y295" s="1">
        <f t="shared" ca="1" si="66"/>
        <v>10000000000</v>
      </c>
      <c r="Z295" s="1">
        <f t="shared" ca="1" si="67"/>
        <v>1</v>
      </c>
      <c r="AA295" s="1"/>
      <c r="AB295" s="1"/>
      <c r="AC295" s="1"/>
      <c r="AD295" s="1"/>
    </row>
    <row r="296" spans="1:30" ht="19.5" customHeight="1" x14ac:dyDescent="0.3">
      <c r="A296" s="2"/>
      <c r="B296" s="86" t="str">
        <f t="shared" ca="1" si="58"/>
        <v/>
      </c>
      <c r="C296" s="87" t="str">
        <f t="shared" ca="1" si="59"/>
        <v/>
      </c>
      <c r="D296" s="88" t="str">
        <f t="shared" ca="1" si="60"/>
        <v/>
      </c>
      <c r="E296" s="86" t="str">
        <f t="shared" ca="1" si="61"/>
        <v/>
      </c>
      <c r="F296" s="89" t="str">
        <f t="shared" ca="1" si="62"/>
        <v/>
      </c>
      <c r="G296" s="89" t="str">
        <f t="shared" ca="1" si="63"/>
        <v/>
      </c>
      <c r="H296" s="89" t="str">
        <f t="shared" ca="1" si="64"/>
        <v/>
      </c>
      <c r="I296" s="2"/>
      <c r="J296" s="2"/>
      <c r="K296" s="1"/>
      <c r="L296" s="1"/>
      <c r="M296" s="1">
        <v>285</v>
      </c>
      <c r="N296" s="1" t="str">
        <f>IF($U296=0,"",INDEX(TAHSILAT!$E$7:$E$2503,$U296))</f>
        <v/>
      </c>
      <c r="O296" s="1" t="str">
        <f>IF($N296="","","Ödeme  –  "&amp;INDEX(TAHSILAT!$H$7:$H$2503,$U296)&amp;"  ("&amp;INDEX(TAHSILAT!$G$7:$G$2503,$U296)&amp;")"&amp;IF(INDEX(TAHSILAT!$J$7:$J$2503,$U296)="",""," / "&amp;INDEX(TAHSILAT!$J$7:$J$2503,$U296)))</f>
        <v/>
      </c>
      <c r="P296" s="1" t="str">
        <f t="shared" si="68"/>
        <v/>
      </c>
      <c r="Q296" s="1"/>
      <c r="R296" s="1">
        <v>0</v>
      </c>
      <c r="S296" s="1">
        <f>IF($N296="",0,INDEX(TAHSILAT!$F$7:$F$2503,$U296))</f>
        <v>0</v>
      </c>
      <c r="T296" s="1">
        <f t="shared" si="65"/>
        <v>10000000000</v>
      </c>
      <c r="U296" s="1">
        <f>IFERROR(MATCH($AC$4&amp;"|44",TAHSILAT!$Q$7:$Q$2503,0),0)</f>
        <v>0</v>
      </c>
      <c r="V296" s="1"/>
      <c r="W296" s="1"/>
      <c r="X296" s="1"/>
      <c r="Y296" s="1">
        <f t="shared" ca="1" si="66"/>
        <v>10000000000</v>
      </c>
      <c r="Z296" s="1">
        <f t="shared" ca="1" si="67"/>
        <v>1</v>
      </c>
      <c r="AA296" s="1"/>
      <c r="AB296" s="1"/>
      <c r="AC296" s="1"/>
      <c r="AD296" s="1"/>
    </row>
    <row r="297" spans="1:30" ht="19.5" customHeight="1" x14ac:dyDescent="0.3">
      <c r="A297" s="2"/>
      <c r="B297" s="86" t="str">
        <f t="shared" ca="1" si="58"/>
        <v/>
      </c>
      <c r="C297" s="87" t="str">
        <f t="shared" ca="1" si="59"/>
        <v/>
      </c>
      <c r="D297" s="88" t="str">
        <f t="shared" ca="1" si="60"/>
        <v/>
      </c>
      <c r="E297" s="86" t="str">
        <f t="shared" ca="1" si="61"/>
        <v/>
      </c>
      <c r="F297" s="89" t="str">
        <f t="shared" ca="1" si="62"/>
        <v/>
      </c>
      <c r="G297" s="89" t="str">
        <f t="shared" ca="1" si="63"/>
        <v/>
      </c>
      <c r="H297" s="89" t="str">
        <f t="shared" ca="1" si="64"/>
        <v/>
      </c>
      <c r="I297" s="2"/>
      <c r="J297" s="2"/>
      <c r="K297" s="1"/>
      <c r="L297" s="1"/>
      <c r="M297" s="1">
        <v>286</v>
      </c>
      <c r="N297" s="1" t="str">
        <f>IF($U297=0,"",INDEX(TAHSILAT!$E$7:$E$2503,$U297))</f>
        <v/>
      </c>
      <c r="O297" s="1" t="str">
        <f>IF($N297="","","Ödeme  –  "&amp;INDEX(TAHSILAT!$H$7:$H$2503,$U297)&amp;"  ("&amp;INDEX(TAHSILAT!$G$7:$G$2503,$U297)&amp;")"&amp;IF(INDEX(TAHSILAT!$J$7:$J$2503,$U297)="",""," / "&amp;INDEX(TAHSILAT!$J$7:$J$2503,$U297)))</f>
        <v/>
      </c>
      <c r="P297" s="1" t="str">
        <f t="shared" si="68"/>
        <v/>
      </c>
      <c r="Q297" s="1"/>
      <c r="R297" s="1">
        <v>0</v>
      </c>
      <c r="S297" s="1">
        <f>IF($N297="",0,INDEX(TAHSILAT!$F$7:$F$2503,$U297))</f>
        <v>0</v>
      </c>
      <c r="T297" s="1">
        <f t="shared" si="65"/>
        <v>10000000000</v>
      </c>
      <c r="U297" s="1">
        <f>IFERROR(MATCH($AC$4&amp;"|45",TAHSILAT!$Q$7:$Q$2503,0),0)</f>
        <v>0</v>
      </c>
      <c r="V297" s="1"/>
      <c r="W297" s="1"/>
      <c r="X297" s="1"/>
      <c r="Y297" s="1">
        <f t="shared" ca="1" si="66"/>
        <v>10000000000</v>
      </c>
      <c r="Z297" s="1">
        <f t="shared" ca="1" si="67"/>
        <v>1</v>
      </c>
      <c r="AA297" s="1"/>
      <c r="AB297" s="1"/>
      <c r="AC297" s="1"/>
      <c r="AD297" s="1"/>
    </row>
    <row r="298" spans="1:30" ht="19.5" customHeight="1" x14ac:dyDescent="0.3">
      <c r="A298" s="2"/>
      <c r="B298" s="86" t="str">
        <f t="shared" ca="1" si="58"/>
        <v/>
      </c>
      <c r="C298" s="87" t="str">
        <f t="shared" ca="1" si="59"/>
        <v/>
      </c>
      <c r="D298" s="88" t="str">
        <f t="shared" ca="1" si="60"/>
        <v/>
      </c>
      <c r="E298" s="86" t="str">
        <f t="shared" ca="1" si="61"/>
        <v/>
      </c>
      <c r="F298" s="89" t="str">
        <f t="shared" ca="1" si="62"/>
        <v/>
      </c>
      <c r="G298" s="89" t="str">
        <f t="shared" ca="1" si="63"/>
        <v/>
      </c>
      <c r="H298" s="89" t="str">
        <f t="shared" ca="1" si="64"/>
        <v/>
      </c>
      <c r="I298" s="2"/>
      <c r="J298" s="2"/>
      <c r="K298" s="1"/>
      <c r="L298" s="1"/>
      <c r="M298" s="1">
        <v>287</v>
      </c>
      <c r="N298" s="1" t="str">
        <f>IF($U298=0,"",INDEX(TAHSILAT!$E$7:$E$2503,$U298))</f>
        <v/>
      </c>
      <c r="O298" s="1" t="str">
        <f>IF($N298="","","Ödeme  –  "&amp;INDEX(TAHSILAT!$H$7:$H$2503,$U298)&amp;"  ("&amp;INDEX(TAHSILAT!$G$7:$G$2503,$U298)&amp;")"&amp;IF(INDEX(TAHSILAT!$J$7:$J$2503,$U298)="",""," / "&amp;INDEX(TAHSILAT!$J$7:$J$2503,$U298)))</f>
        <v/>
      </c>
      <c r="P298" s="1" t="str">
        <f t="shared" si="68"/>
        <v/>
      </c>
      <c r="Q298" s="1"/>
      <c r="R298" s="1">
        <v>0</v>
      </c>
      <c r="S298" s="1">
        <f>IF($N298="",0,INDEX(TAHSILAT!$F$7:$F$2503,$U298))</f>
        <v>0</v>
      </c>
      <c r="T298" s="1">
        <f t="shared" si="65"/>
        <v>10000000000</v>
      </c>
      <c r="U298" s="1">
        <f>IFERROR(MATCH($AC$4&amp;"|46",TAHSILAT!$Q$7:$Q$2503,0),0)</f>
        <v>0</v>
      </c>
      <c r="V298" s="1"/>
      <c r="W298" s="1"/>
      <c r="X298" s="1"/>
      <c r="Y298" s="1">
        <f t="shared" ca="1" si="66"/>
        <v>10000000000</v>
      </c>
      <c r="Z298" s="1">
        <f t="shared" ca="1" si="67"/>
        <v>1</v>
      </c>
      <c r="AA298" s="1"/>
      <c r="AB298" s="1"/>
      <c r="AC298" s="1"/>
      <c r="AD298" s="1"/>
    </row>
    <row r="299" spans="1:30" ht="19.5" customHeight="1" x14ac:dyDescent="0.3">
      <c r="A299" s="2"/>
      <c r="B299" s="86" t="str">
        <f t="shared" ca="1" si="58"/>
        <v/>
      </c>
      <c r="C299" s="87" t="str">
        <f t="shared" ca="1" si="59"/>
        <v/>
      </c>
      <c r="D299" s="88" t="str">
        <f t="shared" ca="1" si="60"/>
        <v/>
      </c>
      <c r="E299" s="86" t="str">
        <f t="shared" ca="1" si="61"/>
        <v/>
      </c>
      <c r="F299" s="89" t="str">
        <f t="shared" ca="1" si="62"/>
        <v/>
      </c>
      <c r="G299" s="89" t="str">
        <f t="shared" ca="1" si="63"/>
        <v/>
      </c>
      <c r="H299" s="89" t="str">
        <f t="shared" ca="1" si="64"/>
        <v/>
      </c>
      <c r="I299" s="2"/>
      <c r="J299" s="2"/>
      <c r="K299" s="1"/>
      <c r="L299" s="1"/>
      <c r="M299" s="1">
        <v>288</v>
      </c>
      <c r="N299" s="1" t="str">
        <f>IF($U299=0,"",INDEX(TAHSILAT!$E$7:$E$2503,$U299))</f>
        <v/>
      </c>
      <c r="O299" s="1" t="str">
        <f>IF($N299="","","Ödeme  –  "&amp;INDEX(TAHSILAT!$H$7:$H$2503,$U299)&amp;"  ("&amp;INDEX(TAHSILAT!$G$7:$G$2503,$U299)&amp;")"&amp;IF(INDEX(TAHSILAT!$J$7:$J$2503,$U299)="",""," / "&amp;INDEX(TAHSILAT!$J$7:$J$2503,$U299)))</f>
        <v/>
      </c>
      <c r="P299" s="1" t="str">
        <f t="shared" si="68"/>
        <v/>
      </c>
      <c r="Q299" s="1"/>
      <c r="R299" s="1">
        <v>0</v>
      </c>
      <c r="S299" s="1">
        <f>IF($N299="",0,INDEX(TAHSILAT!$F$7:$F$2503,$U299))</f>
        <v>0</v>
      </c>
      <c r="T299" s="1">
        <f t="shared" si="65"/>
        <v>10000000000</v>
      </c>
      <c r="U299" s="1">
        <f>IFERROR(MATCH($AC$4&amp;"|47",TAHSILAT!$Q$7:$Q$2503,0),0)</f>
        <v>0</v>
      </c>
      <c r="V299" s="1"/>
      <c r="W299" s="1"/>
      <c r="X299" s="1"/>
      <c r="Y299" s="1">
        <f t="shared" ca="1" si="66"/>
        <v>10000000000</v>
      </c>
      <c r="Z299" s="1">
        <f t="shared" ca="1" si="67"/>
        <v>1</v>
      </c>
      <c r="AA299" s="1"/>
      <c r="AB299" s="1"/>
      <c r="AC299" s="1"/>
      <c r="AD299" s="1"/>
    </row>
    <row r="300" spans="1:30" ht="19.5" customHeight="1" x14ac:dyDescent="0.3">
      <c r="A300" s="2"/>
      <c r="B300" s="86" t="str">
        <f t="shared" ca="1" si="58"/>
        <v/>
      </c>
      <c r="C300" s="87" t="str">
        <f t="shared" ca="1" si="59"/>
        <v/>
      </c>
      <c r="D300" s="88" t="str">
        <f t="shared" ca="1" si="60"/>
        <v/>
      </c>
      <c r="E300" s="86" t="str">
        <f t="shared" ca="1" si="61"/>
        <v/>
      </c>
      <c r="F300" s="89" t="str">
        <f t="shared" ca="1" si="62"/>
        <v/>
      </c>
      <c r="G300" s="89" t="str">
        <f t="shared" ca="1" si="63"/>
        <v/>
      </c>
      <c r="H300" s="89" t="str">
        <f t="shared" ca="1" si="64"/>
        <v/>
      </c>
      <c r="I300" s="2"/>
      <c r="J300" s="2"/>
      <c r="K300" s="1"/>
      <c r="L300" s="1"/>
      <c r="M300" s="1">
        <v>289</v>
      </c>
      <c r="N300" s="1" t="str">
        <f>IF($U300=0,"",INDEX(TAHSILAT!$E$7:$E$2503,$U300))</f>
        <v/>
      </c>
      <c r="O300" s="1" t="str">
        <f>IF($N300="","","Ödeme  –  "&amp;INDEX(TAHSILAT!$H$7:$H$2503,$U300)&amp;"  ("&amp;INDEX(TAHSILAT!$G$7:$G$2503,$U300)&amp;")"&amp;IF(INDEX(TAHSILAT!$J$7:$J$2503,$U300)="",""," / "&amp;INDEX(TAHSILAT!$J$7:$J$2503,$U300)))</f>
        <v/>
      </c>
      <c r="P300" s="1" t="str">
        <f t="shared" si="68"/>
        <v/>
      </c>
      <c r="Q300" s="1"/>
      <c r="R300" s="1">
        <v>0</v>
      </c>
      <c r="S300" s="1">
        <f>IF($N300="",0,INDEX(TAHSILAT!$F$7:$F$2503,$U300))</f>
        <v>0</v>
      </c>
      <c r="T300" s="1">
        <f t="shared" si="65"/>
        <v>10000000000</v>
      </c>
      <c r="U300" s="1">
        <f>IFERROR(MATCH($AC$4&amp;"|48",TAHSILAT!$Q$7:$Q$2503,0),0)</f>
        <v>0</v>
      </c>
      <c r="V300" s="1"/>
      <c r="W300" s="1"/>
      <c r="X300" s="1"/>
      <c r="Y300" s="1">
        <f t="shared" ca="1" si="66"/>
        <v>10000000000</v>
      </c>
      <c r="Z300" s="1">
        <f t="shared" ca="1" si="67"/>
        <v>1</v>
      </c>
      <c r="AA300" s="1"/>
      <c r="AB300" s="1"/>
      <c r="AC300" s="1"/>
      <c r="AD300" s="1"/>
    </row>
    <row r="301" spans="1:30" ht="19.5" customHeight="1" x14ac:dyDescent="0.3">
      <c r="A301" s="2"/>
      <c r="B301" s="86" t="str">
        <f t="shared" ca="1" si="58"/>
        <v/>
      </c>
      <c r="C301" s="87" t="str">
        <f t="shared" ca="1" si="59"/>
        <v/>
      </c>
      <c r="D301" s="88" t="str">
        <f t="shared" ca="1" si="60"/>
        <v/>
      </c>
      <c r="E301" s="86" t="str">
        <f t="shared" ca="1" si="61"/>
        <v/>
      </c>
      <c r="F301" s="89" t="str">
        <f t="shared" ca="1" si="62"/>
        <v/>
      </c>
      <c r="G301" s="89" t="str">
        <f t="shared" ca="1" si="63"/>
        <v/>
      </c>
      <c r="H301" s="89" t="str">
        <f t="shared" ca="1" si="64"/>
        <v/>
      </c>
      <c r="I301" s="2"/>
      <c r="J301" s="2"/>
      <c r="K301" s="1"/>
      <c r="L301" s="1"/>
      <c r="M301" s="1">
        <v>290</v>
      </c>
      <c r="N301" s="1" t="str">
        <f>IF($U301=0,"",INDEX(TAHSILAT!$E$7:$E$2503,$U301))</f>
        <v/>
      </c>
      <c r="O301" s="1" t="str">
        <f>IF($N301="","","Ödeme  –  "&amp;INDEX(TAHSILAT!$H$7:$H$2503,$U301)&amp;"  ("&amp;INDEX(TAHSILAT!$G$7:$G$2503,$U301)&amp;")"&amp;IF(INDEX(TAHSILAT!$J$7:$J$2503,$U301)="",""," / "&amp;INDEX(TAHSILAT!$J$7:$J$2503,$U301)))</f>
        <v/>
      </c>
      <c r="P301" s="1" t="str">
        <f t="shared" si="68"/>
        <v/>
      </c>
      <c r="Q301" s="1"/>
      <c r="R301" s="1">
        <v>0</v>
      </c>
      <c r="S301" s="1">
        <f>IF($N301="",0,INDEX(TAHSILAT!$F$7:$F$2503,$U301))</f>
        <v>0</v>
      </c>
      <c r="T301" s="1">
        <f t="shared" si="65"/>
        <v>10000000000</v>
      </c>
      <c r="U301" s="1">
        <f>IFERROR(MATCH($AC$4&amp;"|49",TAHSILAT!$Q$7:$Q$2503,0),0)</f>
        <v>0</v>
      </c>
      <c r="V301" s="1"/>
      <c r="W301" s="1"/>
      <c r="X301" s="1"/>
      <c r="Y301" s="1">
        <f t="shared" ca="1" si="66"/>
        <v>10000000000</v>
      </c>
      <c r="Z301" s="1">
        <f t="shared" ca="1" si="67"/>
        <v>1</v>
      </c>
      <c r="AA301" s="1"/>
      <c r="AB301" s="1"/>
      <c r="AC301" s="1"/>
      <c r="AD301" s="1"/>
    </row>
    <row r="302" spans="1:30" ht="19.5" customHeight="1" x14ac:dyDescent="0.3">
      <c r="A302" s="2"/>
      <c r="B302" s="86" t="str">
        <f t="shared" ca="1" si="58"/>
        <v/>
      </c>
      <c r="C302" s="87" t="str">
        <f t="shared" ca="1" si="59"/>
        <v/>
      </c>
      <c r="D302" s="88" t="str">
        <f t="shared" ca="1" si="60"/>
        <v/>
      </c>
      <c r="E302" s="86" t="str">
        <f t="shared" ca="1" si="61"/>
        <v/>
      </c>
      <c r="F302" s="89" t="str">
        <f t="shared" ca="1" si="62"/>
        <v/>
      </c>
      <c r="G302" s="89" t="str">
        <f t="shared" ca="1" si="63"/>
        <v/>
      </c>
      <c r="H302" s="89" t="str">
        <f t="shared" ca="1" si="64"/>
        <v/>
      </c>
      <c r="I302" s="2"/>
      <c r="J302" s="2"/>
      <c r="K302" s="1"/>
      <c r="L302" s="1"/>
      <c r="M302" s="1">
        <v>291</v>
      </c>
      <c r="N302" s="1" t="str">
        <f>IF($U302=0,"",INDEX(TAHSILAT!$E$7:$E$2503,$U302))</f>
        <v/>
      </c>
      <c r="O302" s="1" t="str">
        <f>IF($N302="","","Ödeme  –  "&amp;INDEX(TAHSILAT!$H$7:$H$2503,$U302)&amp;"  ("&amp;INDEX(TAHSILAT!$G$7:$G$2503,$U302)&amp;")"&amp;IF(INDEX(TAHSILAT!$J$7:$J$2503,$U302)="",""," / "&amp;INDEX(TAHSILAT!$J$7:$J$2503,$U302)))</f>
        <v/>
      </c>
      <c r="P302" s="1" t="str">
        <f t="shared" si="68"/>
        <v/>
      </c>
      <c r="Q302" s="1"/>
      <c r="R302" s="1">
        <v>0</v>
      </c>
      <c r="S302" s="1">
        <f>IF($N302="",0,INDEX(TAHSILAT!$F$7:$F$2503,$U302))</f>
        <v>0</v>
      </c>
      <c r="T302" s="1">
        <f t="shared" si="65"/>
        <v>10000000000</v>
      </c>
      <c r="U302" s="1">
        <f>IFERROR(MATCH($AC$4&amp;"|50",TAHSILAT!$Q$7:$Q$2503,0),0)</f>
        <v>0</v>
      </c>
      <c r="V302" s="1"/>
      <c r="W302" s="1"/>
      <c r="X302" s="1"/>
      <c r="Y302" s="1">
        <f t="shared" ca="1" si="66"/>
        <v>10000000000</v>
      </c>
      <c r="Z302" s="1">
        <f t="shared" ca="1" si="67"/>
        <v>1</v>
      </c>
      <c r="AA302" s="1"/>
      <c r="AB302" s="1"/>
      <c r="AC302" s="1"/>
      <c r="AD302" s="1"/>
    </row>
    <row r="303" spans="1:30" ht="19.5" customHeight="1" x14ac:dyDescent="0.3">
      <c r="A303" s="2"/>
      <c r="B303" s="86" t="str">
        <f t="shared" ca="1" si="58"/>
        <v/>
      </c>
      <c r="C303" s="87" t="str">
        <f t="shared" ca="1" si="59"/>
        <v/>
      </c>
      <c r="D303" s="88" t="str">
        <f t="shared" ca="1" si="60"/>
        <v/>
      </c>
      <c r="E303" s="86" t="str">
        <f t="shared" ca="1" si="61"/>
        <v/>
      </c>
      <c r="F303" s="89" t="str">
        <f t="shared" ca="1" si="62"/>
        <v/>
      </c>
      <c r="G303" s="89" t="str">
        <f t="shared" ca="1" si="63"/>
        <v/>
      </c>
      <c r="H303" s="89" t="str">
        <f t="shared" ca="1" si="64"/>
        <v/>
      </c>
      <c r="I303" s="2"/>
      <c r="J303" s="2"/>
      <c r="K303" s="1"/>
      <c r="L303" s="1"/>
      <c r="M303" s="1">
        <v>292</v>
      </c>
      <c r="N303" s="1" t="str">
        <f>IF($U303=0,"",INDEX(TAHSILAT!$E$7:$E$2503,$U303))</f>
        <v/>
      </c>
      <c r="O303" s="1" t="str">
        <f>IF($N303="","","Ödeme  –  "&amp;INDEX(TAHSILAT!$H$7:$H$2503,$U303)&amp;"  ("&amp;INDEX(TAHSILAT!$G$7:$G$2503,$U303)&amp;")"&amp;IF(INDEX(TAHSILAT!$J$7:$J$2503,$U303)="",""," / "&amp;INDEX(TAHSILAT!$J$7:$J$2503,$U303)))</f>
        <v/>
      </c>
      <c r="P303" s="1" t="str">
        <f t="shared" si="68"/>
        <v/>
      </c>
      <c r="Q303" s="1"/>
      <c r="R303" s="1">
        <v>0</v>
      </c>
      <c r="S303" s="1">
        <f>IF($N303="",0,INDEX(TAHSILAT!$F$7:$F$2503,$U303))</f>
        <v>0</v>
      </c>
      <c r="T303" s="1">
        <f t="shared" si="65"/>
        <v>10000000000</v>
      </c>
      <c r="U303" s="1">
        <f>IFERROR(MATCH($AC$4&amp;"|51",TAHSILAT!$Q$7:$Q$2503,0),0)</f>
        <v>0</v>
      </c>
      <c r="V303" s="1"/>
      <c r="W303" s="1"/>
      <c r="X303" s="1"/>
      <c r="Y303" s="1">
        <f t="shared" ca="1" si="66"/>
        <v>10000000000</v>
      </c>
      <c r="Z303" s="1">
        <f t="shared" ca="1" si="67"/>
        <v>1</v>
      </c>
      <c r="AA303" s="1"/>
      <c r="AB303" s="1"/>
      <c r="AC303" s="1"/>
      <c r="AD303" s="1"/>
    </row>
    <row r="304" spans="1:30" ht="19.5" customHeight="1" x14ac:dyDescent="0.3">
      <c r="A304" s="2"/>
      <c r="B304" s="86" t="str">
        <f t="shared" ca="1" si="58"/>
        <v/>
      </c>
      <c r="C304" s="87" t="str">
        <f t="shared" ca="1" si="59"/>
        <v/>
      </c>
      <c r="D304" s="88" t="str">
        <f t="shared" ca="1" si="60"/>
        <v/>
      </c>
      <c r="E304" s="86" t="str">
        <f t="shared" ca="1" si="61"/>
        <v/>
      </c>
      <c r="F304" s="89" t="str">
        <f t="shared" ca="1" si="62"/>
        <v/>
      </c>
      <c r="G304" s="89" t="str">
        <f t="shared" ca="1" si="63"/>
        <v/>
      </c>
      <c r="H304" s="89" t="str">
        <f t="shared" ca="1" si="64"/>
        <v/>
      </c>
      <c r="I304" s="2"/>
      <c r="J304" s="2"/>
      <c r="K304" s="1"/>
      <c r="L304" s="1"/>
      <c r="M304" s="1">
        <v>293</v>
      </c>
      <c r="N304" s="1" t="str">
        <f>IF($U304=0,"",INDEX(TAHSILAT!$E$7:$E$2503,$U304))</f>
        <v/>
      </c>
      <c r="O304" s="1" t="str">
        <f>IF($N304="","","Ödeme  –  "&amp;INDEX(TAHSILAT!$H$7:$H$2503,$U304)&amp;"  ("&amp;INDEX(TAHSILAT!$G$7:$G$2503,$U304)&amp;")"&amp;IF(INDEX(TAHSILAT!$J$7:$J$2503,$U304)="",""," / "&amp;INDEX(TAHSILAT!$J$7:$J$2503,$U304)))</f>
        <v/>
      </c>
      <c r="P304" s="1" t="str">
        <f t="shared" si="68"/>
        <v/>
      </c>
      <c r="Q304" s="1"/>
      <c r="R304" s="1">
        <v>0</v>
      </c>
      <c r="S304" s="1">
        <f>IF($N304="",0,INDEX(TAHSILAT!$F$7:$F$2503,$U304))</f>
        <v>0</v>
      </c>
      <c r="T304" s="1">
        <f t="shared" si="65"/>
        <v>10000000000</v>
      </c>
      <c r="U304" s="1">
        <f>IFERROR(MATCH($AC$4&amp;"|52",TAHSILAT!$Q$7:$Q$2503,0),0)</f>
        <v>0</v>
      </c>
      <c r="V304" s="1"/>
      <c r="W304" s="1"/>
      <c r="X304" s="1"/>
      <c r="Y304" s="1">
        <f t="shared" ca="1" si="66"/>
        <v>10000000000</v>
      </c>
      <c r="Z304" s="1">
        <f t="shared" ca="1" si="67"/>
        <v>1</v>
      </c>
      <c r="AA304" s="1"/>
      <c r="AB304" s="1"/>
      <c r="AC304" s="1"/>
      <c r="AD304" s="1"/>
    </row>
    <row r="305" spans="1:30" ht="19.5" customHeight="1" x14ac:dyDescent="0.3">
      <c r="A305" s="2"/>
      <c r="B305" s="86" t="str">
        <f t="shared" ca="1" si="58"/>
        <v/>
      </c>
      <c r="C305" s="87" t="str">
        <f t="shared" ca="1" si="59"/>
        <v/>
      </c>
      <c r="D305" s="88" t="str">
        <f t="shared" ca="1" si="60"/>
        <v/>
      </c>
      <c r="E305" s="86" t="str">
        <f t="shared" ca="1" si="61"/>
        <v/>
      </c>
      <c r="F305" s="89" t="str">
        <f t="shared" ca="1" si="62"/>
        <v/>
      </c>
      <c r="G305" s="89" t="str">
        <f t="shared" ca="1" si="63"/>
        <v/>
      </c>
      <c r="H305" s="89" t="str">
        <f t="shared" ca="1" si="64"/>
        <v/>
      </c>
      <c r="I305" s="2"/>
      <c r="J305" s="2"/>
      <c r="K305" s="1"/>
      <c r="L305" s="1"/>
      <c r="M305" s="1">
        <v>294</v>
      </c>
      <c r="N305" s="1" t="str">
        <f>IF($U305=0,"",INDEX(TAHSILAT!$E$7:$E$2503,$U305))</f>
        <v/>
      </c>
      <c r="O305" s="1" t="str">
        <f>IF($N305="","","Ödeme  –  "&amp;INDEX(TAHSILAT!$H$7:$H$2503,$U305)&amp;"  ("&amp;INDEX(TAHSILAT!$G$7:$G$2503,$U305)&amp;")"&amp;IF(INDEX(TAHSILAT!$J$7:$J$2503,$U305)="",""," / "&amp;INDEX(TAHSILAT!$J$7:$J$2503,$U305)))</f>
        <v/>
      </c>
      <c r="P305" s="1" t="str">
        <f t="shared" si="68"/>
        <v/>
      </c>
      <c r="Q305" s="1"/>
      <c r="R305" s="1">
        <v>0</v>
      </c>
      <c r="S305" s="1">
        <f>IF($N305="",0,INDEX(TAHSILAT!$F$7:$F$2503,$U305))</f>
        <v>0</v>
      </c>
      <c r="T305" s="1">
        <f t="shared" si="65"/>
        <v>10000000000</v>
      </c>
      <c r="U305" s="1">
        <f>IFERROR(MATCH($AC$4&amp;"|53",TAHSILAT!$Q$7:$Q$2503,0),0)</f>
        <v>0</v>
      </c>
      <c r="V305" s="1"/>
      <c r="W305" s="1"/>
      <c r="X305" s="1"/>
      <c r="Y305" s="1">
        <f t="shared" ca="1" si="66"/>
        <v>10000000000</v>
      </c>
      <c r="Z305" s="1">
        <f t="shared" ca="1" si="67"/>
        <v>1</v>
      </c>
      <c r="AA305" s="1"/>
      <c r="AB305" s="1"/>
      <c r="AC305" s="1"/>
      <c r="AD305" s="1"/>
    </row>
    <row r="306" spans="1:30" ht="19.5" customHeight="1" x14ac:dyDescent="0.3">
      <c r="A306" s="2"/>
      <c r="B306" s="86" t="str">
        <f t="shared" ca="1" si="58"/>
        <v/>
      </c>
      <c r="C306" s="87" t="str">
        <f t="shared" ca="1" si="59"/>
        <v/>
      </c>
      <c r="D306" s="88" t="str">
        <f t="shared" ca="1" si="60"/>
        <v/>
      </c>
      <c r="E306" s="86" t="str">
        <f t="shared" ca="1" si="61"/>
        <v/>
      </c>
      <c r="F306" s="89" t="str">
        <f t="shared" ca="1" si="62"/>
        <v/>
      </c>
      <c r="G306" s="89" t="str">
        <f t="shared" ca="1" si="63"/>
        <v/>
      </c>
      <c r="H306" s="89" t="str">
        <f t="shared" ca="1" si="64"/>
        <v/>
      </c>
      <c r="I306" s="2"/>
      <c r="J306" s="2"/>
      <c r="K306" s="1"/>
      <c r="L306" s="1"/>
      <c r="M306" s="1">
        <v>295</v>
      </c>
      <c r="N306" s="1" t="str">
        <f>IF($U306=0,"",INDEX(TAHSILAT!$E$7:$E$2503,$U306))</f>
        <v/>
      </c>
      <c r="O306" s="1" t="str">
        <f>IF($N306="","","Ödeme  –  "&amp;INDEX(TAHSILAT!$H$7:$H$2503,$U306)&amp;"  ("&amp;INDEX(TAHSILAT!$G$7:$G$2503,$U306)&amp;")"&amp;IF(INDEX(TAHSILAT!$J$7:$J$2503,$U306)="",""," / "&amp;INDEX(TAHSILAT!$J$7:$J$2503,$U306)))</f>
        <v/>
      </c>
      <c r="P306" s="1" t="str">
        <f t="shared" si="68"/>
        <v/>
      </c>
      <c r="Q306" s="1"/>
      <c r="R306" s="1">
        <v>0</v>
      </c>
      <c r="S306" s="1">
        <f>IF($N306="",0,INDEX(TAHSILAT!$F$7:$F$2503,$U306))</f>
        <v>0</v>
      </c>
      <c r="T306" s="1">
        <f t="shared" si="65"/>
        <v>10000000000</v>
      </c>
      <c r="U306" s="1">
        <f>IFERROR(MATCH($AC$4&amp;"|54",TAHSILAT!$Q$7:$Q$2503,0),0)</f>
        <v>0</v>
      </c>
      <c r="V306" s="1"/>
      <c r="W306" s="1"/>
      <c r="X306" s="1"/>
      <c r="Y306" s="1">
        <f t="shared" ca="1" si="66"/>
        <v>10000000000</v>
      </c>
      <c r="Z306" s="1">
        <f t="shared" ca="1" si="67"/>
        <v>1</v>
      </c>
      <c r="AA306" s="1"/>
      <c r="AB306" s="1"/>
      <c r="AC306" s="1"/>
      <c r="AD306" s="1"/>
    </row>
    <row r="307" spans="1:30" ht="19.5" customHeight="1" x14ac:dyDescent="0.3">
      <c r="A307" s="2"/>
      <c r="B307" s="86" t="str">
        <f t="shared" ca="1" si="58"/>
        <v/>
      </c>
      <c r="C307" s="87" t="str">
        <f t="shared" ca="1" si="59"/>
        <v/>
      </c>
      <c r="D307" s="88" t="str">
        <f t="shared" ca="1" si="60"/>
        <v/>
      </c>
      <c r="E307" s="86" t="str">
        <f t="shared" ca="1" si="61"/>
        <v/>
      </c>
      <c r="F307" s="89" t="str">
        <f t="shared" ca="1" si="62"/>
        <v/>
      </c>
      <c r="G307" s="89" t="str">
        <f t="shared" ca="1" si="63"/>
        <v/>
      </c>
      <c r="H307" s="89" t="str">
        <f t="shared" ca="1" si="64"/>
        <v/>
      </c>
      <c r="I307" s="2"/>
      <c r="J307" s="2"/>
      <c r="K307" s="1"/>
      <c r="L307" s="1"/>
      <c r="M307" s="1">
        <v>296</v>
      </c>
      <c r="N307" s="1" t="str">
        <f>IF($U307=0,"",INDEX(TAHSILAT!$E$7:$E$2503,$U307))</f>
        <v/>
      </c>
      <c r="O307" s="1" t="str">
        <f>IF($N307="","","Ödeme  –  "&amp;INDEX(TAHSILAT!$H$7:$H$2503,$U307)&amp;"  ("&amp;INDEX(TAHSILAT!$G$7:$G$2503,$U307)&amp;")"&amp;IF(INDEX(TAHSILAT!$J$7:$J$2503,$U307)="",""," / "&amp;INDEX(TAHSILAT!$J$7:$J$2503,$U307)))</f>
        <v/>
      </c>
      <c r="P307" s="1" t="str">
        <f t="shared" si="68"/>
        <v/>
      </c>
      <c r="Q307" s="1"/>
      <c r="R307" s="1">
        <v>0</v>
      </c>
      <c r="S307" s="1">
        <f>IF($N307="",0,INDEX(TAHSILAT!$F$7:$F$2503,$U307))</f>
        <v>0</v>
      </c>
      <c r="T307" s="1">
        <f t="shared" si="65"/>
        <v>10000000000</v>
      </c>
      <c r="U307" s="1">
        <f>IFERROR(MATCH($AC$4&amp;"|55",TAHSILAT!$Q$7:$Q$2503,0),0)</f>
        <v>0</v>
      </c>
      <c r="V307" s="1"/>
      <c r="W307" s="1"/>
      <c r="X307" s="1"/>
      <c r="Y307" s="1">
        <f t="shared" ca="1" si="66"/>
        <v>10000000000</v>
      </c>
      <c r="Z307" s="1">
        <f t="shared" ca="1" si="67"/>
        <v>1</v>
      </c>
      <c r="AA307" s="1"/>
      <c r="AB307" s="1"/>
      <c r="AC307" s="1"/>
      <c r="AD307" s="1"/>
    </row>
    <row r="308" spans="1:30" ht="19.5" customHeight="1" x14ac:dyDescent="0.3">
      <c r="A308" s="2"/>
      <c r="B308" s="86" t="str">
        <f t="shared" ca="1" si="58"/>
        <v/>
      </c>
      <c r="C308" s="87" t="str">
        <f t="shared" ca="1" si="59"/>
        <v/>
      </c>
      <c r="D308" s="88" t="str">
        <f t="shared" ca="1" si="60"/>
        <v/>
      </c>
      <c r="E308" s="86" t="str">
        <f t="shared" ca="1" si="61"/>
        <v/>
      </c>
      <c r="F308" s="89" t="str">
        <f t="shared" ca="1" si="62"/>
        <v/>
      </c>
      <c r="G308" s="89" t="str">
        <f t="shared" ca="1" si="63"/>
        <v/>
      </c>
      <c r="H308" s="89" t="str">
        <f t="shared" ca="1" si="64"/>
        <v/>
      </c>
      <c r="I308" s="2"/>
      <c r="J308" s="2"/>
      <c r="K308" s="1"/>
      <c r="L308" s="1"/>
      <c r="M308" s="1">
        <v>297</v>
      </c>
      <c r="N308" s="1" t="str">
        <f>IF($U308=0,"",INDEX(TAHSILAT!$E$7:$E$2503,$U308))</f>
        <v/>
      </c>
      <c r="O308" s="1" t="str">
        <f>IF($N308="","","Ödeme  –  "&amp;INDEX(TAHSILAT!$H$7:$H$2503,$U308)&amp;"  ("&amp;INDEX(TAHSILAT!$G$7:$G$2503,$U308)&amp;")"&amp;IF(INDEX(TAHSILAT!$J$7:$J$2503,$U308)="",""," / "&amp;INDEX(TAHSILAT!$J$7:$J$2503,$U308)))</f>
        <v/>
      </c>
      <c r="P308" s="1" t="str">
        <f t="shared" si="68"/>
        <v/>
      </c>
      <c r="Q308" s="1"/>
      <c r="R308" s="1">
        <v>0</v>
      </c>
      <c r="S308" s="1">
        <f>IF($N308="",0,INDEX(TAHSILAT!$F$7:$F$2503,$U308))</f>
        <v>0</v>
      </c>
      <c r="T308" s="1">
        <f t="shared" si="65"/>
        <v>10000000000</v>
      </c>
      <c r="U308" s="1">
        <f>IFERROR(MATCH($AC$4&amp;"|56",TAHSILAT!$Q$7:$Q$2503,0),0)</f>
        <v>0</v>
      </c>
      <c r="V308" s="1"/>
      <c r="W308" s="1"/>
      <c r="X308" s="1"/>
      <c r="Y308" s="1">
        <f t="shared" ca="1" si="66"/>
        <v>10000000000</v>
      </c>
      <c r="Z308" s="1">
        <f t="shared" ca="1" si="67"/>
        <v>1</v>
      </c>
      <c r="AA308" s="1"/>
      <c r="AB308" s="1"/>
      <c r="AC308" s="1"/>
      <c r="AD308" s="1"/>
    </row>
    <row r="309" spans="1:30" ht="19.5" customHeight="1" x14ac:dyDescent="0.3">
      <c r="A309" s="2"/>
      <c r="B309" s="86" t="str">
        <f t="shared" ca="1" si="58"/>
        <v/>
      </c>
      <c r="C309" s="87" t="str">
        <f t="shared" ca="1" si="59"/>
        <v/>
      </c>
      <c r="D309" s="88" t="str">
        <f t="shared" ca="1" si="60"/>
        <v/>
      </c>
      <c r="E309" s="86" t="str">
        <f t="shared" ca="1" si="61"/>
        <v/>
      </c>
      <c r="F309" s="89" t="str">
        <f t="shared" ca="1" si="62"/>
        <v/>
      </c>
      <c r="G309" s="89" t="str">
        <f t="shared" ca="1" si="63"/>
        <v/>
      </c>
      <c r="H309" s="89" t="str">
        <f t="shared" ca="1" si="64"/>
        <v/>
      </c>
      <c r="I309" s="2"/>
      <c r="J309" s="2"/>
      <c r="K309" s="1"/>
      <c r="L309" s="1"/>
      <c r="M309" s="1">
        <v>298</v>
      </c>
      <c r="N309" s="1" t="str">
        <f>IF($U309=0,"",INDEX(TAHSILAT!$E$7:$E$2503,$U309))</f>
        <v/>
      </c>
      <c r="O309" s="1" t="str">
        <f>IF($N309="","","Ödeme  –  "&amp;INDEX(TAHSILAT!$H$7:$H$2503,$U309)&amp;"  ("&amp;INDEX(TAHSILAT!$G$7:$G$2503,$U309)&amp;")"&amp;IF(INDEX(TAHSILAT!$J$7:$J$2503,$U309)="",""," / "&amp;INDEX(TAHSILAT!$J$7:$J$2503,$U309)))</f>
        <v/>
      </c>
      <c r="P309" s="1" t="str">
        <f t="shared" si="68"/>
        <v/>
      </c>
      <c r="Q309" s="1"/>
      <c r="R309" s="1">
        <v>0</v>
      </c>
      <c r="S309" s="1">
        <f>IF($N309="",0,INDEX(TAHSILAT!$F$7:$F$2503,$U309))</f>
        <v>0</v>
      </c>
      <c r="T309" s="1">
        <f t="shared" si="65"/>
        <v>10000000000</v>
      </c>
      <c r="U309" s="1">
        <f>IFERROR(MATCH($AC$4&amp;"|57",TAHSILAT!$Q$7:$Q$2503,0),0)</f>
        <v>0</v>
      </c>
      <c r="V309" s="1"/>
      <c r="W309" s="1"/>
      <c r="X309" s="1"/>
      <c r="Y309" s="1">
        <f t="shared" ca="1" si="66"/>
        <v>10000000000</v>
      </c>
      <c r="Z309" s="1">
        <f t="shared" ca="1" si="67"/>
        <v>1</v>
      </c>
      <c r="AA309" s="1"/>
      <c r="AB309" s="1"/>
      <c r="AC309" s="1"/>
      <c r="AD309" s="1"/>
    </row>
    <row r="310" spans="1:30" ht="19.5" customHeight="1" x14ac:dyDescent="0.3">
      <c r="A310" s="2"/>
      <c r="B310" s="86" t="str">
        <f t="shared" ca="1" si="58"/>
        <v/>
      </c>
      <c r="C310" s="87" t="str">
        <f t="shared" ca="1" si="59"/>
        <v/>
      </c>
      <c r="D310" s="88" t="str">
        <f t="shared" ca="1" si="60"/>
        <v/>
      </c>
      <c r="E310" s="86" t="str">
        <f t="shared" ca="1" si="61"/>
        <v/>
      </c>
      <c r="F310" s="89" t="str">
        <f t="shared" ca="1" si="62"/>
        <v/>
      </c>
      <c r="G310" s="89" t="str">
        <f t="shared" ca="1" si="63"/>
        <v/>
      </c>
      <c r="H310" s="89" t="str">
        <f t="shared" ca="1" si="64"/>
        <v/>
      </c>
      <c r="I310" s="2"/>
      <c r="J310" s="2"/>
      <c r="K310" s="1"/>
      <c r="L310" s="1"/>
      <c r="M310" s="1">
        <v>299</v>
      </c>
      <c r="N310" s="1" t="str">
        <f>IF($U310=0,"",INDEX(TAHSILAT!$E$7:$E$2503,$U310))</f>
        <v/>
      </c>
      <c r="O310" s="1" t="str">
        <f>IF($N310="","","Ödeme  –  "&amp;INDEX(TAHSILAT!$H$7:$H$2503,$U310)&amp;"  ("&amp;INDEX(TAHSILAT!$G$7:$G$2503,$U310)&amp;")"&amp;IF(INDEX(TAHSILAT!$J$7:$J$2503,$U310)="",""," / "&amp;INDEX(TAHSILAT!$J$7:$J$2503,$U310)))</f>
        <v/>
      </c>
      <c r="P310" s="1" t="str">
        <f t="shared" si="68"/>
        <v/>
      </c>
      <c r="Q310" s="1"/>
      <c r="R310" s="1">
        <v>0</v>
      </c>
      <c r="S310" s="1">
        <f>IF($N310="",0,INDEX(TAHSILAT!$F$7:$F$2503,$U310))</f>
        <v>0</v>
      </c>
      <c r="T310" s="1">
        <f t="shared" si="65"/>
        <v>10000000000</v>
      </c>
      <c r="U310" s="1">
        <f>IFERROR(MATCH($AC$4&amp;"|58",TAHSILAT!$Q$7:$Q$2503,0),0)</f>
        <v>0</v>
      </c>
      <c r="V310" s="1"/>
      <c r="W310" s="1"/>
      <c r="X310" s="1"/>
      <c r="Y310" s="1">
        <f t="shared" ca="1" si="66"/>
        <v>10000000000</v>
      </c>
      <c r="Z310" s="1">
        <f t="shared" ca="1" si="67"/>
        <v>1</v>
      </c>
      <c r="AA310" s="1"/>
      <c r="AB310" s="1"/>
      <c r="AC310" s="1"/>
      <c r="AD310" s="1"/>
    </row>
    <row r="311" spans="1:30" ht="19.5" customHeight="1" x14ac:dyDescent="0.3">
      <c r="A311" s="2"/>
      <c r="B311" s="86" t="str">
        <f t="shared" ca="1" si="58"/>
        <v/>
      </c>
      <c r="C311" s="87" t="str">
        <f t="shared" ca="1" si="59"/>
        <v/>
      </c>
      <c r="D311" s="88" t="str">
        <f t="shared" ca="1" si="60"/>
        <v/>
      </c>
      <c r="E311" s="86" t="str">
        <f t="shared" ca="1" si="61"/>
        <v/>
      </c>
      <c r="F311" s="89" t="str">
        <f t="shared" ca="1" si="62"/>
        <v/>
      </c>
      <c r="G311" s="89" t="str">
        <f t="shared" ca="1" si="63"/>
        <v/>
      </c>
      <c r="H311" s="89" t="str">
        <f t="shared" ca="1" si="64"/>
        <v/>
      </c>
      <c r="I311" s="2"/>
      <c r="J311" s="2"/>
      <c r="K311" s="1"/>
      <c r="L311" s="1"/>
      <c r="M311" s="1">
        <v>300</v>
      </c>
      <c r="N311" s="1" t="str">
        <f>IF($U311=0,"",INDEX(TAHSILAT!$E$7:$E$2503,$U311))</f>
        <v/>
      </c>
      <c r="O311" s="1" t="str">
        <f>IF($N311="","","Ödeme  –  "&amp;INDEX(TAHSILAT!$H$7:$H$2503,$U311)&amp;"  ("&amp;INDEX(TAHSILAT!$G$7:$G$2503,$U311)&amp;")"&amp;IF(INDEX(TAHSILAT!$J$7:$J$2503,$U311)="",""," / "&amp;INDEX(TAHSILAT!$J$7:$J$2503,$U311)))</f>
        <v/>
      </c>
      <c r="P311" s="1" t="str">
        <f t="shared" si="68"/>
        <v/>
      </c>
      <c r="Q311" s="1"/>
      <c r="R311" s="1">
        <v>0</v>
      </c>
      <c r="S311" s="1">
        <f>IF($N311="",0,INDEX(TAHSILAT!$F$7:$F$2503,$U311))</f>
        <v>0</v>
      </c>
      <c r="T311" s="1">
        <f t="shared" si="65"/>
        <v>10000000000</v>
      </c>
      <c r="U311" s="1">
        <f>IFERROR(MATCH($AC$4&amp;"|59",TAHSILAT!$Q$7:$Q$2503,0),0)</f>
        <v>0</v>
      </c>
      <c r="V311" s="1"/>
      <c r="W311" s="1"/>
      <c r="X311" s="1"/>
      <c r="Y311" s="1">
        <f t="shared" ca="1" si="66"/>
        <v>10000000000</v>
      </c>
      <c r="Z311" s="1">
        <f t="shared" ca="1" si="67"/>
        <v>1</v>
      </c>
      <c r="AA311" s="1"/>
      <c r="AB311" s="1"/>
      <c r="AC311" s="1"/>
      <c r="AD311" s="1"/>
    </row>
    <row r="312" spans="1:30" ht="19.5" customHeight="1" x14ac:dyDescent="0.3">
      <c r="A312" s="2"/>
      <c r="B312" s="1"/>
      <c r="C312" s="1"/>
      <c r="D312" s="1"/>
      <c r="E312" s="1"/>
      <c r="F312" s="1"/>
      <c r="G312" s="1"/>
      <c r="H312" s="1"/>
      <c r="I312" s="2"/>
      <c r="J312" s="2"/>
      <c r="K312" s="1"/>
      <c r="L312" s="1"/>
      <c r="M312" s="1">
        <v>301</v>
      </c>
      <c r="N312" s="1" t="str">
        <f>IF($U312=0,"",INDEX(TAHSILAT!$E$7:$E$2503,$U312))</f>
        <v/>
      </c>
      <c r="O312" s="1" t="str">
        <f>IF($N312="","","Ödeme  –  "&amp;INDEX(TAHSILAT!$H$7:$H$2503,$U312)&amp;"  ("&amp;INDEX(TAHSILAT!$G$7:$G$2503,$U312)&amp;")"&amp;IF(INDEX(TAHSILAT!$J$7:$J$2503,$U312)="",""," / "&amp;INDEX(TAHSILAT!$J$7:$J$2503,$U312)))</f>
        <v/>
      </c>
      <c r="P312" s="1" t="str">
        <f t="shared" si="68"/>
        <v/>
      </c>
      <c r="Q312" s="1"/>
      <c r="R312" s="1">
        <v>0</v>
      </c>
      <c r="S312" s="1">
        <f>IF($N312="",0,INDEX(TAHSILAT!$F$7:$F$2503,$U312))</f>
        <v>0</v>
      </c>
      <c r="T312" s="1">
        <f t="shared" si="65"/>
        <v>10000000000</v>
      </c>
      <c r="U312" s="1">
        <f>IFERROR(MATCH($AC$4&amp;"|60",TAHSILAT!$Q$7:$Q$2503,0),0)</f>
        <v>0</v>
      </c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30" customHeight="1" x14ac:dyDescent="0.3">
      <c r="A313" s="2"/>
      <c r="B313" s="223" t="str">
        <f ca="1"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>Bu ekstre 26.08.2026 tarihi itibarıyla KILIÇ MUHASEBE kayıtlarından otomatik olarak üretilmiştir. Mutabakatsızlık halinde 7 gün içinde yazılı bildirilmesi rica olunur.</v>
      </c>
      <c r="C313" s="224"/>
      <c r="D313" s="224"/>
      <c r="E313" s="224"/>
      <c r="F313" s="224"/>
      <c r="G313" s="224"/>
      <c r="H313" s="224"/>
      <c r="I313" s="2"/>
      <c r="J313" s="2"/>
      <c r="K313" s="1"/>
      <c r="L313" s="1"/>
      <c r="M313" s="1">
        <v>302</v>
      </c>
      <c r="N313" s="1" t="str">
        <f>IF($U313=0,"",INDEX(TAHSILAT!$E$7:$E$2503,$U313))</f>
        <v/>
      </c>
      <c r="O313" s="1" t="str">
        <f>IF($N313="","","Ödeme  –  "&amp;INDEX(TAHSILAT!$H$7:$H$2503,$U313)&amp;"  ("&amp;INDEX(TAHSILAT!$G$7:$G$2503,$U313)&amp;")"&amp;IF(INDEX(TAHSILAT!$J$7:$J$2503,$U313)="",""," / "&amp;INDEX(TAHSILAT!$J$7:$J$2503,$U313)))</f>
        <v/>
      </c>
      <c r="P313" s="1" t="str">
        <f t="shared" si="68"/>
        <v/>
      </c>
      <c r="Q313" s="1"/>
      <c r="R313" s="1">
        <v>0</v>
      </c>
      <c r="S313" s="1">
        <f>IF($N313="",0,INDEX(TAHSILAT!$F$7:$F$2503,$U313))</f>
        <v>0</v>
      </c>
      <c r="T313" s="1">
        <f t="shared" si="65"/>
        <v>10000000000</v>
      </c>
      <c r="U313" s="1">
        <f>IFERROR(MATCH($AC$4&amp;"|61",TAHSILAT!$Q$7:$Q$2503,0),0)</f>
        <v>0</v>
      </c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4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"/>
      <c r="L314" s="1"/>
      <c r="M314" s="1">
        <v>303</v>
      </c>
      <c r="N314" s="1" t="str">
        <f>IF($U314=0,"",INDEX(TAHSILAT!$E$7:$E$2503,$U314))</f>
        <v/>
      </c>
      <c r="O314" s="1" t="str">
        <f>IF($N314="","","Ödeme  –  "&amp;INDEX(TAHSILAT!$H$7:$H$2503,$U314)&amp;"  ("&amp;INDEX(TAHSILAT!$G$7:$G$2503,$U314)&amp;")"&amp;IF(INDEX(TAHSILAT!$J$7:$J$2503,$U314)="",""," / "&amp;INDEX(TAHSILAT!$J$7:$J$2503,$U314)))</f>
        <v/>
      </c>
      <c r="P314" s="1" t="str">
        <f t="shared" si="68"/>
        <v/>
      </c>
      <c r="Q314" s="1"/>
      <c r="R314" s="1">
        <v>0</v>
      </c>
      <c r="S314" s="1">
        <f>IF($N314="",0,INDEX(TAHSILAT!$F$7:$F$2503,$U314))</f>
        <v>0</v>
      </c>
      <c r="T314" s="1">
        <f t="shared" si="65"/>
        <v>10000000000</v>
      </c>
      <c r="U314" s="1">
        <f>IFERROR(MATCH($AC$4&amp;"|62",TAHSILAT!$Q$7:$Q$2503,0),0)</f>
        <v>0</v>
      </c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9.5" customHeight="1" x14ac:dyDescent="0.3">
      <c r="A315" s="2"/>
      <c r="B315" s="221" t="s">
        <v>1027</v>
      </c>
      <c r="C315" s="222"/>
      <c r="D315" s="222"/>
      <c r="E315" s="1"/>
      <c r="F315" s="221" t="s">
        <v>1028</v>
      </c>
      <c r="G315" s="222"/>
      <c r="H315" s="222"/>
      <c r="I315" s="2"/>
      <c r="J315" s="2"/>
      <c r="K315" s="1"/>
      <c r="L315" s="1"/>
      <c r="M315" s="1">
        <v>304</v>
      </c>
      <c r="N315" s="1" t="str">
        <f>IF($U315=0,"",INDEX(TAHSILAT!$E$7:$E$2503,$U315))</f>
        <v/>
      </c>
      <c r="O315" s="1" t="str">
        <f>IF($N315="","","Ödeme  –  "&amp;INDEX(TAHSILAT!$H$7:$H$2503,$U315)&amp;"  ("&amp;INDEX(TAHSILAT!$G$7:$G$2503,$U315)&amp;")"&amp;IF(INDEX(TAHSILAT!$J$7:$J$2503,$U315)="",""," / "&amp;INDEX(TAHSILAT!$J$7:$J$2503,$U315)))</f>
        <v/>
      </c>
      <c r="P315" s="1" t="str">
        <f t="shared" si="68"/>
        <v/>
      </c>
      <c r="Q315" s="1"/>
      <c r="R315" s="1">
        <v>0</v>
      </c>
      <c r="S315" s="1">
        <f>IF($N315="",0,INDEX(TAHSILAT!$F$7:$F$2503,$U315))</f>
        <v>0</v>
      </c>
      <c r="T315" s="1">
        <f t="shared" si="65"/>
        <v>10000000000</v>
      </c>
      <c r="U315" s="1">
        <f>IFERROR(MATCH($AC$4&amp;"|63",TAHSILAT!$Q$7:$Q$2503,0),0)</f>
        <v>0</v>
      </c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9.5" customHeight="1" x14ac:dyDescent="0.3">
      <c r="A316" s="2"/>
      <c r="B316" s="1"/>
      <c r="C316" s="1"/>
      <c r="D316" s="1"/>
      <c r="E316" s="1"/>
      <c r="F316" s="1"/>
      <c r="G316" s="1"/>
      <c r="H316" s="1"/>
      <c r="I316" s="2"/>
      <c r="J316" s="2"/>
      <c r="K316" s="1"/>
      <c r="L316" s="1"/>
      <c r="M316" s="1">
        <v>305</v>
      </c>
      <c r="N316" s="1" t="str">
        <f>IF($U316=0,"",INDEX(TAHSILAT!$E$7:$E$2503,$U316))</f>
        <v/>
      </c>
      <c r="O316" s="1" t="str">
        <f>IF($N316="","","Ödeme  –  "&amp;INDEX(TAHSILAT!$H$7:$H$2503,$U316)&amp;"  ("&amp;INDEX(TAHSILAT!$G$7:$G$2503,$U316)&amp;")"&amp;IF(INDEX(TAHSILAT!$J$7:$J$2503,$U316)="",""," / "&amp;INDEX(TAHSILAT!$J$7:$J$2503,$U316)))</f>
        <v/>
      </c>
      <c r="P316" s="1" t="str">
        <f t="shared" si="68"/>
        <v/>
      </c>
      <c r="Q316" s="1"/>
      <c r="R316" s="1">
        <v>0</v>
      </c>
      <c r="S316" s="1">
        <f>IF($N316="",0,INDEX(TAHSILAT!$F$7:$F$2503,$U316))</f>
        <v>0</v>
      </c>
      <c r="T316" s="1">
        <f t="shared" si="65"/>
        <v>10000000000</v>
      </c>
      <c r="U316" s="1">
        <f>IFERROR(MATCH($AC$4&amp;"|64",TAHSILAT!$Q$7:$Q$2503,0),0)</f>
        <v>0</v>
      </c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9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>
        <v>306</v>
      </c>
      <c r="N317" s="1" t="str">
        <f>IF($U317=0,"",INDEX(TAHSILAT!$E$7:$E$2503,$U317))</f>
        <v/>
      </c>
      <c r="O317" s="1" t="str">
        <f>IF($N317="","","Ödeme  –  "&amp;INDEX(TAHSILAT!$H$7:$H$2503,$U317)&amp;"  ("&amp;INDEX(TAHSILAT!$G$7:$G$2503,$U317)&amp;")"&amp;IF(INDEX(TAHSILAT!$J$7:$J$2503,$U317)="",""," / "&amp;INDEX(TAHSILAT!$J$7:$J$2503,$U317)))</f>
        <v/>
      </c>
      <c r="P317" s="1" t="str">
        <f t="shared" ref="P317:P348" si="69">IF($N317="","","ÖDEME")</f>
        <v/>
      </c>
      <c r="Q317" s="1"/>
      <c r="R317" s="1">
        <v>0</v>
      </c>
      <c r="S317" s="1">
        <f>IF($N317="",0,INDEX(TAHSILAT!$F$7:$F$2503,$U317))</f>
        <v>0</v>
      </c>
      <c r="T317" s="1">
        <f t="shared" si="65"/>
        <v>10000000000</v>
      </c>
      <c r="U317" s="1">
        <f>IFERROR(MATCH($AC$4&amp;"|65",TAHSILAT!$Q$7:$Q$2503,0),0)</f>
        <v>0</v>
      </c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9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>
        <v>307</v>
      </c>
      <c r="N318" s="1" t="str">
        <f>IF($U318=0,"",INDEX(TAHSILAT!$E$7:$E$2503,$U318))</f>
        <v/>
      </c>
      <c r="O318" s="1" t="str">
        <f>IF($N318="","","Ödeme  –  "&amp;INDEX(TAHSILAT!$H$7:$H$2503,$U318)&amp;"  ("&amp;INDEX(TAHSILAT!$G$7:$G$2503,$U318)&amp;")"&amp;IF(INDEX(TAHSILAT!$J$7:$J$2503,$U318)="",""," / "&amp;INDEX(TAHSILAT!$J$7:$J$2503,$U318)))</f>
        <v/>
      </c>
      <c r="P318" s="1" t="str">
        <f t="shared" si="69"/>
        <v/>
      </c>
      <c r="Q318" s="1"/>
      <c r="R318" s="1">
        <v>0</v>
      </c>
      <c r="S318" s="1">
        <f>IF($N318="",0,INDEX(TAHSILAT!$F$7:$F$2503,$U318))</f>
        <v>0</v>
      </c>
      <c r="T318" s="1">
        <f t="shared" si="65"/>
        <v>10000000000</v>
      </c>
      <c r="U318" s="1">
        <f>IFERROR(MATCH($AC$4&amp;"|66",TAHSILAT!$Q$7:$Q$2503,0),0)</f>
        <v>0</v>
      </c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9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>
        <v>308</v>
      </c>
      <c r="N319" s="1" t="str">
        <f>IF($U319=0,"",INDEX(TAHSILAT!$E$7:$E$2503,$U319))</f>
        <v/>
      </c>
      <c r="O319" s="1" t="str">
        <f>IF($N319="","","Ödeme  –  "&amp;INDEX(TAHSILAT!$H$7:$H$2503,$U319)&amp;"  ("&amp;INDEX(TAHSILAT!$G$7:$G$2503,$U319)&amp;")"&amp;IF(INDEX(TAHSILAT!$J$7:$J$2503,$U319)="",""," / "&amp;INDEX(TAHSILAT!$J$7:$J$2503,$U319)))</f>
        <v/>
      </c>
      <c r="P319" s="1" t="str">
        <f t="shared" si="69"/>
        <v/>
      </c>
      <c r="Q319" s="1"/>
      <c r="R319" s="1">
        <v>0</v>
      </c>
      <c r="S319" s="1">
        <f>IF($N319="",0,INDEX(TAHSILAT!$F$7:$F$2503,$U319))</f>
        <v>0</v>
      </c>
      <c r="T319" s="1">
        <f t="shared" si="65"/>
        <v>10000000000</v>
      </c>
      <c r="U319" s="1">
        <f>IFERROR(MATCH($AC$4&amp;"|67",TAHSILAT!$Q$7:$Q$2503,0),0)</f>
        <v>0</v>
      </c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9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>
        <v>309</v>
      </c>
      <c r="N320" s="1" t="str">
        <f>IF($U320=0,"",INDEX(TAHSILAT!$E$7:$E$2503,$U320))</f>
        <v/>
      </c>
      <c r="O320" s="1" t="str">
        <f>IF($N320="","","Ödeme  –  "&amp;INDEX(TAHSILAT!$H$7:$H$2503,$U320)&amp;"  ("&amp;INDEX(TAHSILAT!$G$7:$G$2503,$U320)&amp;")"&amp;IF(INDEX(TAHSILAT!$J$7:$J$2503,$U320)="",""," / "&amp;INDEX(TAHSILAT!$J$7:$J$2503,$U320)))</f>
        <v/>
      </c>
      <c r="P320" s="1" t="str">
        <f t="shared" si="69"/>
        <v/>
      </c>
      <c r="Q320" s="1"/>
      <c r="R320" s="1">
        <v>0</v>
      </c>
      <c r="S320" s="1">
        <f>IF($N320="",0,INDEX(TAHSILAT!$F$7:$F$2503,$U320))</f>
        <v>0</v>
      </c>
      <c r="T320" s="1">
        <f t="shared" si="65"/>
        <v>10000000000</v>
      </c>
      <c r="U320" s="1">
        <f>IFERROR(MATCH($AC$4&amp;"|68",TAHSILAT!$Q$7:$Q$2503,0),0)</f>
        <v>0</v>
      </c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9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>
        <v>310</v>
      </c>
      <c r="N321" s="1" t="str">
        <f>IF($U321=0,"",INDEX(TAHSILAT!$E$7:$E$2503,$U321))</f>
        <v/>
      </c>
      <c r="O321" s="1" t="str">
        <f>IF($N321="","","Ödeme  –  "&amp;INDEX(TAHSILAT!$H$7:$H$2503,$U321)&amp;"  ("&amp;INDEX(TAHSILAT!$G$7:$G$2503,$U321)&amp;")"&amp;IF(INDEX(TAHSILAT!$J$7:$J$2503,$U321)="",""," / "&amp;INDEX(TAHSILAT!$J$7:$J$2503,$U321)))</f>
        <v/>
      </c>
      <c r="P321" s="1" t="str">
        <f t="shared" si="69"/>
        <v/>
      </c>
      <c r="Q321" s="1"/>
      <c r="R321" s="1">
        <v>0</v>
      </c>
      <c r="S321" s="1">
        <f>IF($N321="",0,INDEX(TAHSILAT!$F$7:$F$2503,$U321))</f>
        <v>0</v>
      </c>
      <c r="T321" s="1">
        <f t="shared" si="65"/>
        <v>10000000000</v>
      </c>
      <c r="U321" s="1">
        <f>IFERROR(MATCH($AC$4&amp;"|69",TAHSILAT!$Q$7:$Q$2503,0),0)</f>
        <v>0</v>
      </c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9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>
        <v>311</v>
      </c>
      <c r="N322" s="1" t="str">
        <f>IF($U322=0,"",INDEX(TAHSILAT!$E$7:$E$2503,$U322))</f>
        <v/>
      </c>
      <c r="O322" s="1" t="str">
        <f>IF($N322="","","Ödeme  –  "&amp;INDEX(TAHSILAT!$H$7:$H$2503,$U322)&amp;"  ("&amp;INDEX(TAHSILAT!$G$7:$G$2503,$U322)&amp;")"&amp;IF(INDEX(TAHSILAT!$J$7:$J$2503,$U322)="",""," / "&amp;INDEX(TAHSILAT!$J$7:$J$2503,$U322)))</f>
        <v/>
      </c>
      <c r="P322" s="1" t="str">
        <f t="shared" si="69"/>
        <v/>
      </c>
      <c r="Q322" s="1"/>
      <c r="R322" s="1">
        <v>0</v>
      </c>
      <c r="S322" s="1">
        <f>IF($N322="",0,INDEX(TAHSILAT!$F$7:$F$2503,$U322))</f>
        <v>0</v>
      </c>
      <c r="T322" s="1">
        <f t="shared" si="65"/>
        <v>10000000000</v>
      </c>
      <c r="U322" s="1">
        <f>IFERROR(MATCH($AC$4&amp;"|70",TAHSILAT!$Q$7:$Q$2503,0),0)</f>
        <v>0</v>
      </c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9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>
        <v>312</v>
      </c>
      <c r="N323" s="1" t="str">
        <f>IF($U323=0,"",INDEX(TAHSILAT!$E$7:$E$2503,$U323))</f>
        <v/>
      </c>
      <c r="O323" s="1" t="str">
        <f>IF($N323="","","Ödeme  –  "&amp;INDEX(TAHSILAT!$H$7:$H$2503,$U323)&amp;"  ("&amp;INDEX(TAHSILAT!$G$7:$G$2503,$U323)&amp;")"&amp;IF(INDEX(TAHSILAT!$J$7:$J$2503,$U323)="",""," / "&amp;INDEX(TAHSILAT!$J$7:$J$2503,$U323)))</f>
        <v/>
      </c>
      <c r="P323" s="1" t="str">
        <f t="shared" si="69"/>
        <v/>
      </c>
      <c r="Q323" s="1"/>
      <c r="R323" s="1">
        <v>0</v>
      </c>
      <c r="S323" s="1">
        <f>IF($N323="",0,INDEX(TAHSILAT!$F$7:$F$2503,$U323))</f>
        <v>0</v>
      </c>
      <c r="T323" s="1">
        <f t="shared" si="65"/>
        <v>10000000000</v>
      </c>
      <c r="U323" s="1">
        <f>IFERROR(MATCH($AC$4&amp;"|71",TAHSILAT!$Q$7:$Q$2503,0),0)</f>
        <v>0</v>
      </c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9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>
        <v>313</v>
      </c>
      <c r="N324" s="1" t="str">
        <f>IF($U324=0,"",INDEX(TAHSILAT!$E$7:$E$2503,$U324))</f>
        <v/>
      </c>
      <c r="O324" s="1" t="str">
        <f>IF($N324="","","Ödeme  –  "&amp;INDEX(TAHSILAT!$H$7:$H$2503,$U324)&amp;"  ("&amp;INDEX(TAHSILAT!$G$7:$G$2503,$U324)&amp;")"&amp;IF(INDEX(TAHSILAT!$J$7:$J$2503,$U324)="",""," / "&amp;INDEX(TAHSILAT!$J$7:$J$2503,$U324)))</f>
        <v/>
      </c>
      <c r="P324" s="1" t="str">
        <f t="shared" si="69"/>
        <v/>
      </c>
      <c r="Q324" s="1"/>
      <c r="R324" s="1">
        <v>0</v>
      </c>
      <c r="S324" s="1">
        <f>IF($N324="",0,INDEX(TAHSILAT!$F$7:$F$2503,$U324))</f>
        <v>0</v>
      </c>
      <c r="T324" s="1">
        <f t="shared" si="65"/>
        <v>10000000000</v>
      </c>
      <c r="U324" s="1">
        <f>IFERROR(MATCH($AC$4&amp;"|72",TAHSILAT!$Q$7:$Q$2503,0),0)</f>
        <v>0</v>
      </c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9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>
        <v>314</v>
      </c>
      <c r="N325" s="1" t="str">
        <f>IF($U325=0,"",INDEX(TAHSILAT!$E$7:$E$2503,$U325))</f>
        <v/>
      </c>
      <c r="O325" s="1" t="str">
        <f>IF($N325="","","Ödeme  –  "&amp;INDEX(TAHSILAT!$H$7:$H$2503,$U325)&amp;"  ("&amp;INDEX(TAHSILAT!$G$7:$G$2503,$U325)&amp;")"&amp;IF(INDEX(TAHSILAT!$J$7:$J$2503,$U325)="",""," / "&amp;INDEX(TAHSILAT!$J$7:$J$2503,$U325)))</f>
        <v/>
      </c>
      <c r="P325" s="1" t="str">
        <f t="shared" si="69"/>
        <v/>
      </c>
      <c r="Q325" s="1"/>
      <c r="R325" s="1">
        <v>0</v>
      </c>
      <c r="S325" s="1">
        <f>IF($N325="",0,INDEX(TAHSILAT!$F$7:$F$2503,$U325))</f>
        <v>0</v>
      </c>
      <c r="T325" s="1">
        <f t="shared" si="65"/>
        <v>10000000000</v>
      </c>
      <c r="U325" s="1">
        <f>IFERROR(MATCH($AC$4&amp;"|73",TAHSILAT!$Q$7:$Q$2503,0),0)</f>
        <v>0</v>
      </c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9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>
        <v>315</v>
      </c>
      <c r="N326" s="1" t="str">
        <f>IF($U326=0,"",INDEX(TAHSILAT!$E$7:$E$2503,$U326))</f>
        <v/>
      </c>
      <c r="O326" s="1" t="str">
        <f>IF($N326="","","Ödeme  –  "&amp;INDEX(TAHSILAT!$H$7:$H$2503,$U326)&amp;"  ("&amp;INDEX(TAHSILAT!$G$7:$G$2503,$U326)&amp;")"&amp;IF(INDEX(TAHSILAT!$J$7:$J$2503,$U326)="",""," / "&amp;INDEX(TAHSILAT!$J$7:$J$2503,$U326)))</f>
        <v/>
      </c>
      <c r="P326" s="1" t="str">
        <f t="shared" si="69"/>
        <v/>
      </c>
      <c r="Q326" s="1"/>
      <c r="R326" s="1">
        <v>0</v>
      </c>
      <c r="S326" s="1">
        <f>IF($N326="",0,INDEX(TAHSILAT!$F$7:$F$2503,$U326))</f>
        <v>0</v>
      </c>
      <c r="T326" s="1">
        <f t="shared" si="65"/>
        <v>10000000000</v>
      </c>
      <c r="U326" s="1">
        <f>IFERROR(MATCH($AC$4&amp;"|74",TAHSILAT!$Q$7:$Q$2503,0),0)</f>
        <v>0</v>
      </c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9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>
        <v>316</v>
      </c>
      <c r="N327" s="1" t="str">
        <f>IF($U327=0,"",INDEX(TAHSILAT!$E$7:$E$2503,$U327))</f>
        <v/>
      </c>
      <c r="O327" s="1" t="str">
        <f>IF($N327="","","Ödeme  –  "&amp;INDEX(TAHSILAT!$H$7:$H$2503,$U327)&amp;"  ("&amp;INDEX(TAHSILAT!$G$7:$G$2503,$U327)&amp;")"&amp;IF(INDEX(TAHSILAT!$J$7:$J$2503,$U327)="",""," / "&amp;INDEX(TAHSILAT!$J$7:$J$2503,$U327)))</f>
        <v/>
      </c>
      <c r="P327" s="1" t="str">
        <f t="shared" si="69"/>
        <v/>
      </c>
      <c r="Q327" s="1"/>
      <c r="R327" s="1">
        <v>0</v>
      </c>
      <c r="S327" s="1">
        <f>IF($N327="",0,INDEX(TAHSILAT!$F$7:$F$2503,$U327))</f>
        <v>0</v>
      </c>
      <c r="T327" s="1">
        <f t="shared" si="65"/>
        <v>10000000000</v>
      </c>
      <c r="U327" s="1">
        <f>IFERROR(MATCH($AC$4&amp;"|75",TAHSILAT!$Q$7:$Q$2503,0),0)</f>
        <v>0</v>
      </c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9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>
        <v>317</v>
      </c>
      <c r="N328" s="1" t="str">
        <f>IF($U328=0,"",INDEX(TAHSILAT!$E$7:$E$2503,$U328))</f>
        <v/>
      </c>
      <c r="O328" s="1" t="str">
        <f>IF($N328="","","Ödeme  –  "&amp;INDEX(TAHSILAT!$H$7:$H$2503,$U328)&amp;"  ("&amp;INDEX(TAHSILAT!$G$7:$G$2503,$U328)&amp;")"&amp;IF(INDEX(TAHSILAT!$J$7:$J$2503,$U328)="",""," / "&amp;INDEX(TAHSILAT!$J$7:$J$2503,$U328)))</f>
        <v/>
      </c>
      <c r="P328" s="1" t="str">
        <f t="shared" si="69"/>
        <v/>
      </c>
      <c r="Q328" s="1"/>
      <c r="R328" s="1">
        <v>0</v>
      </c>
      <c r="S328" s="1">
        <f>IF($N328="",0,INDEX(TAHSILAT!$F$7:$F$2503,$U328))</f>
        <v>0</v>
      </c>
      <c r="T328" s="1">
        <f t="shared" si="65"/>
        <v>10000000000</v>
      </c>
      <c r="U328" s="1">
        <f>IFERROR(MATCH($AC$4&amp;"|76",TAHSILAT!$Q$7:$Q$2503,0),0)</f>
        <v>0</v>
      </c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9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>
        <v>318</v>
      </c>
      <c r="N329" s="1" t="str">
        <f>IF($U329=0,"",INDEX(TAHSILAT!$E$7:$E$2503,$U329))</f>
        <v/>
      </c>
      <c r="O329" s="1" t="str">
        <f>IF($N329="","","Ödeme  –  "&amp;INDEX(TAHSILAT!$H$7:$H$2503,$U329)&amp;"  ("&amp;INDEX(TAHSILAT!$G$7:$G$2503,$U329)&amp;")"&amp;IF(INDEX(TAHSILAT!$J$7:$J$2503,$U329)="",""," / "&amp;INDEX(TAHSILAT!$J$7:$J$2503,$U329)))</f>
        <v/>
      </c>
      <c r="P329" s="1" t="str">
        <f t="shared" si="69"/>
        <v/>
      </c>
      <c r="Q329" s="1"/>
      <c r="R329" s="1">
        <v>0</v>
      </c>
      <c r="S329" s="1">
        <f>IF($N329="",0,INDEX(TAHSILAT!$F$7:$F$2503,$U329))</f>
        <v>0</v>
      </c>
      <c r="T329" s="1">
        <f t="shared" si="65"/>
        <v>10000000000</v>
      </c>
      <c r="U329" s="1">
        <f>IFERROR(MATCH($AC$4&amp;"|77",TAHSILAT!$Q$7:$Q$2503,0),0)</f>
        <v>0</v>
      </c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9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>
        <v>319</v>
      </c>
      <c r="N330" s="1" t="str">
        <f>IF($U330=0,"",INDEX(TAHSILAT!$E$7:$E$2503,$U330))</f>
        <v/>
      </c>
      <c r="O330" s="1" t="str">
        <f>IF($N330="","","Ödeme  –  "&amp;INDEX(TAHSILAT!$H$7:$H$2503,$U330)&amp;"  ("&amp;INDEX(TAHSILAT!$G$7:$G$2503,$U330)&amp;")"&amp;IF(INDEX(TAHSILAT!$J$7:$J$2503,$U330)="",""," / "&amp;INDEX(TAHSILAT!$J$7:$J$2503,$U330)))</f>
        <v/>
      </c>
      <c r="P330" s="1" t="str">
        <f t="shared" si="69"/>
        <v/>
      </c>
      <c r="Q330" s="1"/>
      <c r="R330" s="1">
        <v>0</v>
      </c>
      <c r="S330" s="1">
        <f>IF($N330="",0,INDEX(TAHSILAT!$F$7:$F$2503,$U330))</f>
        <v>0</v>
      </c>
      <c r="T330" s="1">
        <f t="shared" si="65"/>
        <v>10000000000</v>
      </c>
      <c r="U330" s="1">
        <f>IFERROR(MATCH($AC$4&amp;"|78",TAHSILAT!$Q$7:$Q$2503,0),0)</f>
        <v>0</v>
      </c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9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>
        <v>320</v>
      </c>
      <c r="N331" s="1" t="str">
        <f>IF($U331=0,"",INDEX(TAHSILAT!$E$7:$E$2503,$U331))</f>
        <v/>
      </c>
      <c r="O331" s="1" t="str">
        <f>IF($N331="","","Ödeme  –  "&amp;INDEX(TAHSILAT!$H$7:$H$2503,$U331)&amp;"  ("&amp;INDEX(TAHSILAT!$G$7:$G$2503,$U331)&amp;")"&amp;IF(INDEX(TAHSILAT!$J$7:$J$2503,$U331)="",""," / "&amp;INDEX(TAHSILAT!$J$7:$J$2503,$U331)))</f>
        <v/>
      </c>
      <c r="P331" s="1" t="str">
        <f t="shared" si="69"/>
        <v/>
      </c>
      <c r="Q331" s="1"/>
      <c r="R331" s="1">
        <v>0</v>
      </c>
      <c r="S331" s="1">
        <f>IF($N331="",0,INDEX(TAHSILAT!$F$7:$F$2503,$U331))</f>
        <v>0</v>
      </c>
      <c r="T331" s="1">
        <f t="shared" si="65"/>
        <v>10000000000</v>
      </c>
      <c r="U331" s="1">
        <f>IFERROR(MATCH($AC$4&amp;"|79",TAHSILAT!$Q$7:$Q$2503,0),0)</f>
        <v>0</v>
      </c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9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>
        <v>321</v>
      </c>
      <c r="N332" s="1" t="str">
        <f>IF($U332=0,"",INDEX(TAHSILAT!$E$7:$E$2503,$U332))</f>
        <v/>
      </c>
      <c r="O332" s="1" t="str">
        <f>IF($N332="","","Ödeme  –  "&amp;INDEX(TAHSILAT!$H$7:$H$2503,$U332)&amp;"  ("&amp;INDEX(TAHSILAT!$G$7:$G$2503,$U332)&amp;")"&amp;IF(INDEX(TAHSILAT!$J$7:$J$2503,$U332)="",""," / "&amp;INDEX(TAHSILAT!$J$7:$J$2503,$U332)))</f>
        <v/>
      </c>
      <c r="P332" s="1" t="str">
        <f t="shared" si="69"/>
        <v/>
      </c>
      <c r="Q332" s="1"/>
      <c r="R332" s="1">
        <v>0</v>
      </c>
      <c r="S332" s="1">
        <f>IF($N332="",0,INDEX(TAHSILAT!$F$7:$F$2503,$U332))</f>
        <v>0</v>
      </c>
      <c r="T332" s="1">
        <f t="shared" ref="T332:T395" si="70">IF($N332="",10000000000,$N332*100000+$M332)</f>
        <v>10000000000</v>
      </c>
      <c r="U332" s="1">
        <f>IFERROR(MATCH($AC$4&amp;"|80",TAHSILAT!$Q$7:$Q$2503,0),0)</f>
        <v>0</v>
      </c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9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>
        <v>322</v>
      </c>
      <c r="N333" s="1" t="str">
        <f>IF($U333=0,"",INDEX(TAHSILAT!$E$7:$E$2503,$U333))</f>
        <v/>
      </c>
      <c r="O333" s="1" t="str">
        <f>IF($N333="","","Ödeme  –  "&amp;INDEX(TAHSILAT!$H$7:$H$2503,$U333)&amp;"  ("&amp;INDEX(TAHSILAT!$G$7:$G$2503,$U333)&amp;")"&amp;IF(INDEX(TAHSILAT!$J$7:$J$2503,$U333)="",""," / "&amp;INDEX(TAHSILAT!$J$7:$J$2503,$U333)))</f>
        <v/>
      </c>
      <c r="P333" s="1" t="str">
        <f t="shared" si="69"/>
        <v/>
      </c>
      <c r="Q333" s="1"/>
      <c r="R333" s="1">
        <v>0</v>
      </c>
      <c r="S333" s="1">
        <f>IF($N333="",0,INDEX(TAHSILAT!$F$7:$F$2503,$U333))</f>
        <v>0</v>
      </c>
      <c r="T333" s="1">
        <f t="shared" si="70"/>
        <v>10000000000</v>
      </c>
      <c r="U333" s="1">
        <f>IFERROR(MATCH($AC$4&amp;"|81",TAHSILAT!$Q$7:$Q$2503,0),0)</f>
        <v>0</v>
      </c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9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>
        <v>323</v>
      </c>
      <c r="N334" s="1" t="str">
        <f>IF($U334=0,"",INDEX(TAHSILAT!$E$7:$E$2503,$U334))</f>
        <v/>
      </c>
      <c r="O334" s="1" t="str">
        <f>IF($N334="","","Ödeme  –  "&amp;INDEX(TAHSILAT!$H$7:$H$2503,$U334)&amp;"  ("&amp;INDEX(TAHSILAT!$G$7:$G$2503,$U334)&amp;")"&amp;IF(INDEX(TAHSILAT!$J$7:$J$2503,$U334)="",""," / "&amp;INDEX(TAHSILAT!$J$7:$J$2503,$U334)))</f>
        <v/>
      </c>
      <c r="P334" s="1" t="str">
        <f t="shared" si="69"/>
        <v/>
      </c>
      <c r="Q334" s="1"/>
      <c r="R334" s="1">
        <v>0</v>
      </c>
      <c r="S334" s="1">
        <f>IF($N334="",0,INDEX(TAHSILAT!$F$7:$F$2503,$U334))</f>
        <v>0</v>
      </c>
      <c r="T334" s="1">
        <f t="shared" si="70"/>
        <v>10000000000</v>
      </c>
      <c r="U334" s="1">
        <f>IFERROR(MATCH($AC$4&amp;"|82",TAHSILAT!$Q$7:$Q$2503,0),0)</f>
        <v>0</v>
      </c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9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>
        <v>324</v>
      </c>
      <c r="N335" s="1" t="str">
        <f>IF($U335=0,"",INDEX(TAHSILAT!$E$7:$E$2503,$U335))</f>
        <v/>
      </c>
      <c r="O335" s="1" t="str">
        <f>IF($N335="","","Ödeme  –  "&amp;INDEX(TAHSILAT!$H$7:$H$2503,$U335)&amp;"  ("&amp;INDEX(TAHSILAT!$G$7:$G$2503,$U335)&amp;")"&amp;IF(INDEX(TAHSILAT!$J$7:$J$2503,$U335)="",""," / "&amp;INDEX(TAHSILAT!$J$7:$J$2503,$U335)))</f>
        <v/>
      </c>
      <c r="P335" s="1" t="str">
        <f t="shared" si="69"/>
        <v/>
      </c>
      <c r="Q335" s="1"/>
      <c r="R335" s="1">
        <v>0</v>
      </c>
      <c r="S335" s="1">
        <f>IF($N335="",0,INDEX(TAHSILAT!$F$7:$F$2503,$U335))</f>
        <v>0</v>
      </c>
      <c r="T335" s="1">
        <f t="shared" si="70"/>
        <v>10000000000</v>
      </c>
      <c r="U335" s="1">
        <f>IFERROR(MATCH($AC$4&amp;"|83",TAHSILAT!$Q$7:$Q$2503,0),0)</f>
        <v>0</v>
      </c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9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>
        <v>325</v>
      </c>
      <c r="N336" s="1" t="str">
        <f>IF($U336=0,"",INDEX(TAHSILAT!$E$7:$E$2503,$U336))</f>
        <v/>
      </c>
      <c r="O336" s="1" t="str">
        <f>IF($N336="","","Ödeme  –  "&amp;INDEX(TAHSILAT!$H$7:$H$2503,$U336)&amp;"  ("&amp;INDEX(TAHSILAT!$G$7:$G$2503,$U336)&amp;")"&amp;IF(INDEX(TAHSILAT!$J$7:$J$2503,$U336)="",""," / "&amp;INDEX(TAHSILAT!$J$7:$J$2503,$U336)))</f>
        <v/>
      </c>
      <c r="P336" s="1" t="str">
        <f t="shared" si="69"/>
        <v/>
      </c>
      <c r="Q336" s="1"/>
      <c r="R336" s="1">
        <v>0</v>
      </c>
      <c r="S336" s="1">
        <f>IF($N336="",0,INDEX(TAHSILAT!$F$7:$F$2503,$U336))</f>
        <v>0</v>
      </c>
      <c r="T336" s="1">
        <f t="shared" si="70"/>
        <v>10000000000</v>
      </c>
      <c r="U336" s="1">
        <f>IFERROR(MATCH($AC$4&amp;"|84",TAHSILAT!$Q$7:$Q$2503,0),0)</f>
        <v>0</v>
      </c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9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>
        <v>326</v>
      </c>
      <c r="N337" s="1" t="str">
        <f>IF($U337=0,"",INDEX(TAHSILAT!$E$7:$E$2503,$U337))</f>
        <v/>
      </c>
      <c r="O337" s="1" t="str">
        <f>IF($N337="","","Ödeme  –  "&amp;INDEX(TAHSILAT!$H$7:$H$2503,$U337)&amp;"  ("&amp;INDEX(TAHSILAT!$G$7:$G$2503,$U337)&amp;")"&amp;IF(INDEX(TAHSILAT!$J$7:$J$2503,$U337)="",""," / "&amp;INDEX(TAHSILAT!$J$7:$J$2503,$U337)))</f>
        <v/>
      </c>
      <c r="P337" s="1" t="str">
        <f t="shared" si="69"/>
        <v/>
      </c>
      <c r="Q337" s="1"/>
      <c r="R337" s="1">
        <v>0</v>
      </c>
      <c r="S337" s="1">
        <f>IF($N337="",0,INDEX(TAHSILAT!$F$7:$F$2503,$U337))</f>
        <v>0</v>
      </c>
      <c r="T337" s="1">
        <f t="shared" si="70"/>
        <v>10000000000</v>
      </c>
      <c r="U337" s="1">
        <f>IFERROR(MATCH($AC$4&amp;"|85",TAHSILAT!$Q$7:$Q$2503,0),0)</f>
        <v>0</v>
      </c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9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>
        <v>327</v>
      </c>
      <c r="N338" s="1" t="str">
        <f>IF($U338=0,"",INDEX(TAHSILAT!$E$7:$E$2503,$U338))</f>
        <v/>
      </c>
      <c r="O338" s="1" t="str">
        <f>IF($N338="","","Ödeme  –  "&amp;INDEX(TAHSILAT!$H$7:$H$2503,$U338)&amp;"  ("&amp;INDEX(TAHSILAT!$G$7:$G$2503,$U338)&amp;")"&amp;IF(INDEX(TAHSILAT!$J$7:$J$2503,$U338)="",""," / "&amp;INDEX(TAHSILAT!$J$7:$J$2503,$U338)))</f>
        <v/>
      </c>
      <c r="P338" s="1" t="str">
        <f t="shared" si="69"/>
        <v/>
      </c>
      <c r="Q338" s="1"/>
      <c r="R338" s="1">
        <v>0</v>
      </c>
      <c r="S338" s="1">
        <f>IF($N338="",0,INDEX(TAHSILAT!$F$7:$F$2503,$U338))</f>
        <v>0</v>
      </c>
      <c r="T338" s="1">
        <f t="shared" si="70"/>
        <v>10000000000</v>
      </c>
      <c r="U338" s="1">
        <f>IFERROR(MATCH($AC$4&amp;"|86",TAHSILAT!$Q$7:$Q$2503,0),0)</f>
        <v>0</v>
      </c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9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>
        <v>328</v>
      </c>
      <c r="N339" s="1" t="str">
        <f>IF($U339=0,"",INDEX(TAHSILAT!$E$7:$E$2503,$U339))</f>
        <v/>
      </c>
      <c r="O339" s="1" t="str">
        <f>IF($N339="","","Ödeme  –  "&amp;INDEX(TAHSILAT!$H$7:$H$2503,$U339)&amp;"  ("&amp;INDEX(TAHSILAT!$G$7:$G$2503,$U339)&amp;")"&amp;IF(INDEX(TAHSILAT!$J$7:$J$2503,$U339)="",""," / "&amp;INDEX(TAHSILAT!$J$7:$J$2503,$U339)))</f>
        <v/>
      </c>
      <c r="P339" s="1" t="str">
        <f t="shared" si="69"/>
        <v/>
      </c>
      <c r="Q339" s="1"/>
      <c r="R339" s="1">
        <v>0</v>
      </c>
      <c r="S339" s="1">
        <f>IF($N339="",0,INDEX(TAHSILAT!$F$7:$F$2503,$U339))</f>
        <v>0</v>
      </c>
      <c r="T339" s="1">
        <f t="shared" si="70"/>
        <v>10000000000</v>
      </c>
      <c r="U339" s="1">
        <f>IFERROR(MATCH($AC$4&amp;"|87",TAHSILAT!$Q$7:$Q$2503,0),0)</f>
        <v>0</v>
      </c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9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>
        <v>329</v>
      </c>
      <c r="N340" s="1" t="str">
        <f>IF($U340=0,"",INDEX(TAHSILAT!$E$7:$E$2503,$U340))</f>
        <v/>
      </c>
      <c r="O340" s="1" t="str">
        <f>IF($N340="","","Ödeme  –  "&amp;INDEX(TAHSILAT!$H$7:$H$2503,$U340)&amp;"  ("&amp;INDEX(TAHSILAT!$G$7:$G$2503,$U340)&amp;")"&amp;IF(INDEX(TAHSILAT!$J$7:$J$2503,$U340)="",""," / "&amp;INDEX(TAHSILAT!$J$7:$J$2503,$U340)))</f>
        <v/>
      </c>
      <c r="P340" s="1" t="str">
        <f t="shared" si="69"/>
        <v/>
      </c>
      <c r="Q340" s="1"/>
      <c r="R340" s="1">
        <v>0</v>
      </c>
      <c r="S340" s="1">
        <f>IF($N340="",0,INDEX(TAHSILAT!$F$7:$F$2503,$U340))</f>
        <v>0</v>
      </c>
      <c r="T340" s="1">
        <f t="shared" si="70"/>
        <v>10000000000</v>
      </c>
      <c r="U340" s="1">
        <f>IFERROR(MATCH($AC$4&amp;"|88",TAHSILAT!$Q$7:$Q$2503,0),0)</f>
        <v>0</v>
      </c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9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>
        <v>330</v>
      </c>
      <c r="N341" s="1" t="str">
        <f>IF($U341=0,"",INDEX(TAHSILAT!$E$7:$E$2503,$U341))</f>
        <v/>
      </c>
      <c r="O341" s="1" t="str">
        <f>IF($N341="","","Ödeme  –  "&amp;INDEX(TAHSILAT!$H$7:$H$2503,$U341)&amp;"  ("&amp;INDEX(TAHSILAT!$G$7:$G$2503,$U341)&amp;")"&amp;IF(INDEX(TAHSILAT!$J$7:$J$2503,$U341)="",""," / "&amp;INDEX(TAHSILAT!$J$7:$J$2503,$U341)))</f>
        <v/>
      </c>
      <c r="P341" s="1" t="str">
        <f t="shared" si="69"/>
        <v/>
      </c>
      <c r="Q341" s="1"/>
      <c r="R341" s="1">
        <v>0</v>
      </c>
      <c r="S341" s="1">
        <f>IF($N341="",0,INDEX(TAHSILAT!$F$7:$F$2503,$U341))</f>
        <v>0</v>
      </c>
      <c r="T341" s="1">
        <f t="shared" si="70"/>
        <v>10000000000</v>
      </c>
      <c r="U341" s="1">
        <f>IFERROR(MATCH($AC$4&amp;"|89",TAHSILAT!$Q$7:$Q$2503,0),0)</f>
        <v>0</v>
      </c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9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>
        <v>331</v>
      </c>
      <c r="N342" s="1" t="str">
        <f>IF($U342=0,"",INDEX(TAHSILAT!$E$7:$E$2503,$U342))</f>
        <v/>
      </c>
      <c r="O342" s="1" t="str">
        <f>IF($N342="","","Ödeme  –  "&amp;INDEX(TAHSILAT!$H$7:$H$2503,$U342)&amp;"  ("&amp;INDEX(TAHSILAT!$G$7:$G$2503,$U342)&amp;")"&amp;IF(INDEX(TAHSILAT!$J$7:$J$2503,$U342)="",""," / "&amp;INDEX(TAHSILAT!$J$7:$J$2503,$U342)))</f>
        <v/>
      </c>
      <c r="P342" s="1" t="str">
        <f t="shared" si="69"/>
        <v/>
      </c>
      <c r="Q342" s="1"/>
      <c r="R342" s="1">
        <v>0</v>
      </c>
      <c r="S342" s="1">
        <f>IF($N342="",0,INDEX(TAHSILAT!$F$7:$F$2503,$U342))</f>
        <v>0</v>
      </c>
      <c r="T342" s="1">
        <f t="shared" si="70"/>
        <v>10000000000</v>
      </c>
      <c r="U342" s="1">
        <f>IFERROR(MATCH($AC$4&amp;"|90",TAHSILAT!$Q$7:$Q$2503,0),0)</f>
        <v>0</v>
      </c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9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>
        <v>332</v>
      </c>
      <c r="N343" s="1" t="str">
        <f>IF($U343=0,"",INDEX(TAHSILAT!$E$7:$E$2503,$U343))</f>
        <v/>
      </c>
      <c r="O343" s="1" t="str">
        <f>IF($N343="","","Ödeme  –  "&amp;INDEX(TAHSILAT!$H$7:$H$2503,$U343)&amp;"  ("&amp;INDEX(TAHSILAT!$G$7:$G$2503,$U343)&amp;")"&amp;IF(INDEX(TAHSILAT!$J$7:$J$2503,$U343)="",""," / "&amp;INDEX(TAHSILAT!$J$7:$J$2503,$U343)))</f>
        <v/>
      </c>
      <c r="P343" s="1" t="str">
        <f t="shared" si="69"/>
        <v/>
      </c>
      <c r="Q343" s="1"/>
      <c r="R343" s="1">
        <v>0</v>
      </c>
      <c r="S343" s="1">
        <f>IF($N343="",0,INDEX(TAHSILAT!$F$7:$F$2503,$U343))</f>
        <v>0</v>
      </c>
      <c r="T343" s="1">
        <f t="shared" si="70"/>
        <v>10000000000</v>
      </c>
      <c r="U343" s="1">
        <f>IFERROR(MATCH($AC$4&amp;"|91",TAHSILAT!$Q$7:$Q$2503,0),0)</f>
        <v>0</v>
      </c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9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>
        <v>333</v>
      </c>
      <c r="N344" s="1" t="str">
        <f>IF($U344=0,"",INDEX(TAHSILAT!$E$7:$E$2503,$U344))</f>
        <v/>
      </c>
      <c r="O344" s="1" t="str">
        <f>IF($N344="","","Ödeme  –  "&amp;INDEX(TAHSILAT!$H$7:$H$2503,$U344)&amp;"  ("&amp;INDEX(TAHSILAT!$G$7:$G$2503,$U344)&amp;")"&amp;IF(INDEX(TAHSILAT!$J$7:$J$2503,$U344)="",""," / "&amp;INDEX(TAHSILAT!$J$7:$J$2503,$U344)))</f>
        <v/>
      </c>
      <c r="P344" s="1" t="str">
        <f t="shared" si="69"/>
        <v/>
      </c>
      <c r="Q344" s="1"/>
      <c r="R344" s="1">
        <v>0</v>
      </c>
      <c r="S344" s="1">
        <f>IF($N344="",0,INDEX(TAHSILAT!$F$7:$F$2503,$U344))</f>
        <v>0</v>
      </c>
      <c r="T344" s="1">
        <f t="shared" si="70"/>
        <v>10000000000</v>
      </c>
      <c r="U344" s="1">
        <f>IFERROR(MATCH($AC$4&amp;"|92",TAHSILAT!$Q$7:$Q$2503,0),0)</f>
        <v>0</v>
      </c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9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>
        <v>334</v>
      </c>
      <c r="N345" s="1" t="str">
        <f>IF($U345=0,"",INDEX(TAHSILAT!$E$7:$E$2503,$U345))</f>
        <v/>
      </c>
      <c r="O345" s="1" t="str">
        <f>IF($N345="","","Ödeme  –  "&amp;INDEX(TAHSILAT!$H$7:$H$2503,$U345)&amp;"  ("&amp;INDEX(TAHSILAT!$G$7:$G$2503,$U345)&amp;")"&amp;IF(INDEX(TAHSILAT!$J$7:$J$2503,$U345)="",""," / "&amp;INDEX(TAHSILAT!$J$7:$J$2503,$U345)))</f>
        <v/>
      </c>
      <c r="P345" s="1" t="str">
        <f t="shared" si="69"/>
        <v/>
      </c>
      <c r="Q345" s="1"/>
      <c r="R345" s="1">
        <v>0</v>
      </c>
      <c r="S345" s="1">
        <f>IF($N345="",0,INDEX(TAHSILAT!$F$7:$F$2503,$U345))</f>
        <v>0</v>
      </c>
      <c r="T345" s="1">
        <f t="shared" si="70"/>
        <v>10000000000</v>
      </c>
      <c r="U345" s="1">
        <f>IFERROR(MATCH($AC$4&amp;"|93",TAHSILAT!$Q$7:$Q$2503,0),0)</f>
        <v>0</v>
      </c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9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>
        <v>335</v>
      </c>
      <c r="N346" s="1" t="str">
        <f>IF($U346=0,"",INDEX(TAHSILAT!$E$7:$E$2503,$U346))</f>
        <v/>
      </c>
      <c r="O346" s="1" t="str">
        <f>IF($N346="","","Ödeme  –  "&amp;INDEX(TAHSILAT!$H$7:$H$2503,$U346)&amp;"  ("&amp;INDEX(TAHSILAT!$G$7:$G$2503,$U346)&amp;")"&amp;IF(INDEX(TAHSILAT!$J$7:$J$2503,$U346)="",""," / "&amp;INDEX(TAHSILAT!$J$7:$J$2503,$U346)))</f>
        <v/>
      </c>
      <c r="P346" s="1" t="str">
        <f t="shared" si="69"/>
        <v/>
      </c>
      <c r="Q346" s="1"/>
      <c r="R346" s="1">
        <v>0</v>
      </c>
      <c r="S346" s="1">
        <f>IF($N346="",0,INDEX(TAHSILAT!$F$7:$F$2503,$U346))</f>
        <v>0</v>
      </c>
      <c r="T346" s="1">
        <f t="shared" si="70"/>
        <v>10000000000</v>
      </c>
      <c r="U346" s="1">
        <f>IFERROR(MATCH($AC$4&amp;"|94",TAHSILAT!$Q$7:$Q$2503,0),0)</f>
        <v>0</v>
      </c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9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>
        <v>336</v>
      </c>
      <c r="N347" s="1" t="str">
        <f>IF($U347=0,"",INDEX(TAHSILAT!$E$7:$E$2503,$U347))</f>
        <v/>
      </c>
      <c r="O347" s="1" t="str">
        <f>IF($N347="","","Ödeme  –  "&amp;INDEX(TAHSILAT!$H$7:$H$2503,$U347)&amp;"  ("&amp;INDEX(TAHSILAT!$G$7:$G$2503,$U347)&amp;")"&amp;IF(INDEX(TAHSILAT!$J$7:$J$2503,$U347)="",""," / "&amp;INDEX(TAHSILAT!$J$7:$J$2503,$U347)))</f>
        <v/>
      </c>
      <c r="P347" s="1" t="str">
        <f t="shared" si="69"/>
        <v/>
      </c>
      <c r="Q347" s="1"/>
      <c r="R347" s="1">
        <v>0</v>
      </c>
      <c r="S347" s="1">
        <f>IF($N347="",0,INDEX(TAHSILAT!$F$7:$F$2503,$U347))</f>
        <v>0</v>
      </c>
      <c r="T347" s="1">
        <f t="shared" si="70"/>
        <v>10000000000</v>
      </c>
      <c r="U347" s="1">
        <f>IFERROR(MATCH($AC$4&amp;"|95",TAHSILAT!$Q$7:$Q$2503,0),0)</f>
        <v>0</v>
      </c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9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>
        <v>337</v>
      </c>
      <c r="N348" s="1" t="str">
        <f>IF($U348=0,"",INDEX(TAHSILAT!$E$7:$E$2503,$U348))</f>
        <v/>
      </c>
      <c r="O348" s="1" t="str">
        <f>IF($N348="","","Ödeme  –  "&amp;INDEX(TAHSILAT!$H$7:$H$2503,$U348)&amp;"  ("&amp;INDEX(TAHSILAT!$G$7:$G$2503,$U348)&amp;")"&amp;IF(INDEX(TAHSILAT!$J$7:$J$2503,$U348)="",""," / "&amp;INDEX(TAHSILAT!$J$7:$J$2503,$U348)))</f>
        <v/>
      </c>
      <c r="P348" s="1" t="str">
        <f t="shared" si="69"/>
        <v/>
      </c>
      <c r="Q348" s="1"/>
      <c r="R348" s="1">
        <v>0</v>
      </c>
      <c r="S348" s="1">
        <f>IF($N348="",0,INDEX(TAHSILAT!$F$7:$F$2503,$U348))</f>
        <v>0</v>
      </c>
      <c r="T348" s="1">
        <f t="shared" si="70"/>
        <v>10000000000</v>
      </c>
      <c r="U348" s="1">
        <f>IFERROR(MATCH($AC$4&amp;"|96",TAHSILAT!$Q$7:$Q$2503,0),0)</f>
        <v>0</v>
      </c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9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>
        <v>338</v>
      </c>
      <c r="N349" s="1" t="str">
        <f>IF($U349=0,"",INDEX(TAHSILAT!$E$7:$E$2503,$U349))</f>
        <v/>
      </c>
      <c r="O349" s="1" t="str">
        <f>IF($N349="","","Ödeme  –  "&amp;INDEX(TAHSILAT!$H$7:$H$2503,$U349)&amp;"  ("&amp;INDEX(TAHSILAT!$G$7:$G$2503,$U349)&amp;")"&amp;IF(INDEX(TAHSILAT!$J$7:$J$2503,$U349)="",""," / "&amp;INDEX(TAHSILAT!$J$7:$J$2503,$U349)))</f>
        <v/>
      </c>
      <c r="P349" s="1" t="str">
        <f t="shared" ref="P349:P372" si="71">IF($N349="","","ÖDEME")</f>
        <v/>
      </c>
      <c r="Q349" s="1"/>
      <c r="R349" s="1">
        <v>0</v>
      </c>
      <c r="S349" s="1">
        <f>IF($N349="",0,INDEX(TAHSILAT!$F$7:$F$2503,$U349))</f>
        <v>0</v>
      </c>
      <c r="T349" s="1">
        <f t="shared" si="70"/>
        <v>10000000000</v>
      </c>
      <c r="U349" s="1">
        <f>IFERROR(MATCH($AC$4&amp;"|97",TAHSILAT!$Q$7:$Q$2503,0),0)</f>
        <v>0</v>
      </c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9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>
        <v>339</v>
      </c>
      <c r="N350" s="1" t="str">
        <f>IF($U350=0,"",INDEX(TAHSILAT!$E$7:$E$2503,$U350))</f>
        <v/>
      </c>
      <c r="O350" s="1" t="str">
        <f>IF($N350="","","Ödeme  –  "&amp;INDEX(TAHSILAT!$H$7:$H$2503,$U350)&amp;"  ("&amp;INDEX(TAHSILAT!$G$7:$G$2503,$U350)&amp;")"&amp;IF(INDEX(TAHSILAT!$J$7:$J$2503,$U350)="",""," / "&amp;INDEX(TAHSILAT!$J$7:$J$2503,$U350)))</f>
        <v/>
      </c>
      <c r="P350" s="1" t="str">
        <f t="shared" si="71"/>
        <v/>
      </c>
      <c r="Q350" s="1"/>
      <c r="R350" s="1">
        <v>0</v>
      </c>
      <c r="S350" s="1">
        <f>IF($N350="",0,INDEX(TAHSILAT!$F$7:$F$2503,$U350))</f>
        <v>0</v>
      </c>
      <c r="T350" s="1">
        <f t="shared" si="70"/>
        <v>10000000000</v>
      </c>
      <c r="U350" s="1">
        <f>IFERROR(MATCH($AC$4&amp;"|98",TAHSILAT!$Q$7:$Q$2503,0),0)</f>
        <v>0</v>
      </c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9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>
        <v>340</v>
      </c>
      <c r="N351" s="1" t="str">
        <f>IF($U351=0,"",INDEX(TAHSILAT!$E$7:$E$2503,$U351))</f>
        <v/>
      </c>
      <c r="O351" s="1" t="str">
        <f>IF($N351="","","Ödeme  –  "&amp;INDEX(TAHSILAT!$H$7:$H$2503,$U351)&amp;"  ("&amp;INDEX(TAHSILAT!$G$7:$G$2503,$U351)&amp;")"&amp;IF(INDEX(TAHSILAT!$J$7:$J$2503,$U351)="",""," / "&amp;INDEX(TAHSILAT!$J$7:$J$2503,$U351)))</f>
        <v/>
      </c>
      <c r="P351" s="1" t="str">
        <f t="shared" si="71"/>
        <v/>
      </c>
      <c r="Q351" s="1"/>
      <c r="R351" s="1">
        <v>0</v>
      </c>
      <c r="S351" s="1">
        <f>IF($N351="",0,INDEX(TAHSILAT!$F$7:$F$2503,$U351))</f>
        <v>0</v>
      </c>
      <c r="T351" s="1">
        <f t="shared" si="70"/>
        <v>10000000000</v>
      </c>
      <c r="U351" s="1">
        <f>IFERROR(MATCH($AC$4&amp;"|99",TAHSILAT!$Q$7:$Q$2503,0),0)</f>
        <v>0</v>
      </c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9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>
        <v>341</v>
      </c>
      <c r="N352" s="1" t="str">
        <f>IF($U352=0,"",INDEX(TAHSILAT!$E$7:$E$2503,$U352))</f>
        <v/>
      </c>
      <c r="O352" s="1" t="str">
        <f>IF($N352="","","Ödeme  –  "&amp;INDEX(TAHSILAT!$H$7:$H$2503,$U352)&amp;"  ("&amp;INDEX(TAHSILAT!$G$7:$G$2503,$U352)&amp;")"&amp;IF(INDEX(TAHSILAT!$J$7:$J$2503,$U352)="",""," / "&amp;INDEX(TAHSILAT!$J$7:$J$2503,$U352)))</f>
        <v/>
      </c>
      <c r="P352" s="1" t="str">
        <f t="shared" si="71"/>
        <v/>
      </c>
      <c r="Q352" s="1"/>
      <c r="R352" s="1">
        <v>0</v>
      </c>
      <c r="S352" s="1">
        <f>IF($N352="",0,INDEX(TAHSILAT!$F$7:$F$2503,$U352))</f>
        <v>0</v>
      </c>
      <c r="T352" s="1">
        <f t="shared" si="70"/>
        <v>10000000000</v>
      </c>
      <c r="U352" s="1">
        <f>IFERROR(MATCH($AC$4&amp;"|100",TAHSILAT!$Q$7:$Q$2503,0),0)</f>
        <v>0</v>
      </c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9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>
        <v>342</v>
      </c>
      <c r="N353" s="1" t="str">
        <f>IF($U353=0,"",INDEX(TAHSILAT!$E$7:$E$2503,$U353))</f>
        <v/>
      </c>
      <c r="O353" s="1" t="str">
        <f>IF($N353="","","Ödeme  –  "&amp;INDEX(TAHSILAT!$H$7:$H$2503,$U353)&amp;"  ("&amp;INDEX(TAHSILAT!$G$7:$G$2503,$U353)&amp;")"&amp;IF(INDEX(TAHSILAT!$J$7:$J$2503,$U353)="",""," / "&amp;INDEX(TAHSILAT!$J$7:$J$2503,$U353)))</f>
        <v/>
      </c>
      <c r="P353" s="1" t="str">
        <f t="shared" si="71"/>
        <v/>
      </c>
      <c r="Q353" s="1"/>
      <c r="R353" s="1">
        <v>0</v>
      </c>
      <c r="S353" s="1">
        <f>IF($N353="",0,INDEX(TAHSILAT!$F$7:$F$2503,$U353))</f>
        <v>0</v>
      </c>
      <c r="T353" s="1">
        <f t="shared" si="70"/>
        <v>10000000000</v>
      </c>
      <c r="U353" s="1">
        <f>IFERROR(MATCH($AC$4&amp;"|101",TAHSILAT!$Q$7:$Q$2503,0),0)</f>
        <v>0</v>
      </c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9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>
        <v>343</v>
      </c>
      <c r="N354" s="1" t="str">
        <f>IF($U354=0,"",INDEX(TAHSILAT!$E$7:$E$2503,$U354))</f>
        <v/>
      </c>
      <c r="O354" s="1" t="str">
        <f>IF($N354="","","Ödeme  –  "&amp;INDEX(TAHSILAT!$H$7:$H$2503,$U354)&amp;"  ("&amp;INDEX(TAHSILAT!$G$7:$G$2503,$U354)&amp;")"&amp;IF(INDEX(TAHSILAT!$J$7:$J$2503,$U354)="",""," / "&amp;INDEX(TAHSILAT!$J$7:$J$2503,$U354)))</f>
        <v/>
      </c>
      <c r="P354" s="1" t="str">
        <f t="shared" si="71"/>
        <v/>
      </c>
      <c r="Q354" s="1"/>
      <c r="R354" s="1">
        <v>0</v>
      </c>
      <c r="S354" s="1">
        <f>IF($N354="",0,INDEX(TAHSILAT!$F$7:$F$2503,$U354))</f>
        <v>0</v>
      </c>
      <c r="T354" s="1">
        <f t="shared" si="70"/>
        <v>10000000000</v>
      </c>
      <c r="U354" s="1">
        <f>IFERROR(MATCH($AC$4&amp;"|102",TAHSILAT!$Q$7:$Q$2503,0),0)</f>
        <v>0</v>
      </c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9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>
        <v>344</v>
      </c>
      <c r="N355" s="1" t="str">
        <f>IF($U355=0,"",INDEX(TAHSILAT!$E$7:$E$2503,$U355))</f>
        <v/>
      </c>
      <c r="O355" s="1" t="str">
        <f>IF($N355="","","Ödeme  –  "&amp;INDEX(TAHSILAT!$H$7:$H$2503,$U355)&amp;"  ("&amp;INDEX(TAHSILAT!$G$7:$G$2503,$U355)&amp;")"&amp;IF(INDEX(TAHSILAT!$J$7:$J$2503,$U355)="",""," / "&amp;INDEX(TAHSILAT!$J$7:$J$2503,$U355)))</f>
        <v/>
      </c>
      <c r="P355" s="1" t="str">
        <f t="shared" si="71"/>
        <v/>
      </c>
      <c r="Q355" s="1"/>
      <c r="R355" s="1">
        <v>0</v>
      </c>
      <c r="S355" s="1">
        <f>IF($N355="",0,INDEX(TAHSILAT!$F$7:$F$2503,$U355))</f>
        <v>0</v>
      </c>
      <c r="T355" s="1">
        <f t="shared" si="70"/>
        <v>10000000000</v>
      </c>
      <c r="U355" s="1">
        <f>IFERROR(MATCH($AC$4&amp;"|103",TAHSILAT!$Q$7:$Q$2503,0),0)</f>
        <v>0</v>
      </c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9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>
        <v>345</v>
      </c>
      <c r="N356" s="1" t="str">
        <f>IF($U356=0,"",INDEX(TAHSILAT!$E$7:$E$2503,$U356))</f>
        <v/>
      </c>
      <c r="O356" s="1" t="str">
        <f>IF($N356="","","Ödeme  –  "&amp;INDEX(TAHSILAT!$H$7:$H$2503,$U356)&amp;"  ("&amp;INDEX(TAHSILAT!$G$7:$G$2503,$U356)&amp;")"&amp;IF(INDEX(TAHSILAT!$J$7:$J$2503,$U356)="",""," / "&amp;INDEX(TAHSILAT!$J$7:$J$2503,$U356)))</f>
        <v/>
      </c>
      <c r="P356" s="1" t="str">
        <f t="shared" si="71"/>
        <v/>
      </c>
      <c r="Q356" s="1"/>
      <c r="R356" s="1">
        <v>0</v>
      </c>
      <c r="S356" s="1">
        <f>IF($N356="",0,INDEX(TAHSILAT!$F$7:$F$2503,$U356))</f>
        <v>0</v>
      </c>
      <c r="T356" s="1">
        <f t="shared" si="70"/>
        <v>10000000000</v>
      </c>
      <c r="U356" s="1">
        <f>IFERROR(MATCH($AC$4&amp;"|104",TAHSILAT!$Q$7:$Q$2503,0),0)</f>
        <v>0</v>
      </c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9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>
        <v>346</v>
      </c>
      <c r="N357" s="1" t="str">
        <f>IF($U357=0,"",INDEX(TAHSILAT!$E$7:$E$2503,$U357))</f>
        <v/>
      </c>
      <c r="O357" s="1" t="str">
        <f>IF($N357="","","Ödeme  –  "&amp;INDEX(TAHSILAT!$H$7:$H$2503,$U357)&amp;"  ("&amp;INDEX(TAHSILAT!$G$7:$G$2503,$U357)&amp;")"&amp;IF(INDEX(TAHSILAT!$J$7:$J$2503,$U357)="",""," / "&amp;INDEX(TAHSILAT!$J$7:$J$2503,$U357)))</f>
        <v/>
      </c>
      <c r="P357" s="1" t="str">
        <f t="shared" si="71"/>
        <v/>
      </c>
      <c r="Q357" s="1"/>
      <c r="R357" s="1">
        <v>0</v>
      </c>
      <c r="S357" s="1">
        <f>IF($N357="",0,INDEX(TAHSILAT!$F$7:$F$2503,$U357))</f>
        <v>0</v>
      </c>
      <c r="T357" s="1">
        <f t="shared" si="70"/>
        <v>10000000000</v>
      </c>
      <c r="U357" s="1">
        <f>IFERROR(MATCH($AC$4&amp;"|105",TAHSILAT!$Q$7:$Q$2503,0),0)</f>
        <v>0</v>
      </c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9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>
        <v>347</v>
      </c>
      <c r="N358" s="1" t="str">
        <f>IF($U358=0,"",INDEX(TAHSILAT!$E$7:$E$2503,$U358))</f>
        <v/>
      </c>
      <c r="O358" s="1" t="str">
        <f>IF($N358="","","Ödeme  –  "&amp;INDEX(TAHSILAT!$H$7:$H$2503,$U358)&amp;"  ("&amp;INDEX(TAHSILAT!$G$7:$G$2503,$U358)&amp;")"&amp;IF(INDEX(TAHSILAT!$J$7:$J$2503,$U358)="",""," / "&amp;INDEX(TAHSILAT!$J$7:$J$2503,$U358)))</f>
        <v/>
      </c>
      <c r="P358" s="1" t="str">
        <f t="shared" si="71"/>
        <v/>
      </c>
      <c r="Q358" s="1"/>
      <c r="R358" s="1">
        <v>0</v>
      </c>
      <c r="S358" s="1">
        <f>IF($N358="",0,INDEX(TAHSILAT!$F$7:$F$2503,$U358))</f>
        <v>0</v>
      </c>
      <c r="T358" s="1">
        <f t="shared" si="70"/>
        <v>10000000000</v>
      </c>
      <c r="U358" s="1">
        <f>IFERROR(MATCH($AC$4&amp;"|106",TAHSILAT!$Q$7:$Q$2503,0),0)</f>
        <v>0</v>
      </c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9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>
        <v>348</v>
      </c>
      <c r="N359" s="1" t="str">
        <f>IF($U359=0,"",INDEX(TAHSILAT!$E$7:$E$2503,$U359))</f>
        <v/>
      </c>
      <c r="O359" s="1" t="str">
        <f>IF($N359="","","Ödeme  –  "&amp;INDEX(TAHSILAT!$H$7:$H$2503,$U359)&amp;"  ("&amp;INDEX(TAHSILAT!$G$7:$G$2503,$U359)&amp;")"&amp;IF(INDEX(TAHSILAT!$J$7:$J$2503,$U359)="",""," / "&amp;INDEX(TAHSILAT!$J$7:$J$2503,$U359)))</f>
        <v/>
      </c>
      <c r="P359" s="1" t="str">
        <f t="shared" si="71"/>
        <v/>
      </c>
      <c r="Q359" s="1"/>
      <c r="R359" s="1">
        <v>0</v>
      </c>
      <c r="S359" s="1">
        <f>IF($N359="",0,INDEX(TAHSILAT!$F$7:$F$2503,$U359))</f>
        <v>0</v>
      </c>
      <c r="T359" s="1">
        <f t="shared" si="70"/>
        <v>10000000000</v>
      </c>
      <c r="U359" s="1">
        <f>IFERROR(MATCH($AC$4&amp;"|107",TAHSILAT!$Q$7:$Q$2503,0),0)</f>
        <v>0</v>
      </c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9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>
        <v>349</v>
      </c>
      <c r="N360" s="1" t="str">
        <f>IF($U360=0,"",INDEX(TAHSILAT!$E$7:$E$2503,$U360))</f>
        <v/>
      </c>
      <c r="O360" s="1" t="str">
        <f>IF($N360="","","Ödeme  –  "&amp;INDEX(TAHSILAT!$H$7:$H$2503,$U360)&amp;"  ("&amp;INDEX(TAHSILAT!$G$7:$G$2503,$U360)&amp;")"&amp;IF(INDEX(TAHSILAT!$J$7:$J$2503,$U360)="",""," / "&amp;INDEX(TAHSILAT!$J$7:$J$2503,$U360)))</f>
        <v/>
      </c>
      <c r="P360" s="1" t="str">
        <f t="shared" si="71"/>
        <v/>
      </c>
      <c r="Q360" s="1"/>
      <c r="R360" s="1">
        <v>0</v>
      </c>
      <c r="S360" s="1">
        <f>IF($N360="",0,INDEX(TAHSILAT!$F$7:$F$2503,$U360))</f>
        <v>0</v>
      </c>
      <c r="T360" s="1">
        <f t="shared" si="70"/>
        <v>10000000000</v>
      </c>
      <c r="U360" s="1">
        <f>IFERROR(MATCH($AC$4&amp;"|108",TAHSILAT!$Q$7:$Q$2503,0),0)</f>
        <v>0</v>
      </c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9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>
        <v>350</v>
      </c>
      <c r="N361" s="1" t="str">
        <f>IF($U361=0,"",INDEX(TAHSILAT!$E$7:$E$2503,$U361))</f>
        <v/>
      </c>
      <c r="O361" s="1" t="str">
        <f>IF($N361="","","Ödeme  –  "&amp;INDEX(TAHSILAT!$H$7:$H$2503,$U361)&amp;"  ("&amp;INDEX(TAHSILAT!$G$7:$G$2503,$U361)&amp;")"&amp;IF(INDEX(TAHSILAT!$J$7:$J$2503,$U361)="",""," / "&amp;INDEX(TAHSILAT!$J$7:$J$2503,$U361)))</f>
        <v/>
      </c>
      <c r="P361" s="1" t="str">
        <f t="shared" si="71"/>
        <v/>
      </c>
      <c r="Q361" s="1"/>
      <c r="R361" s="1">
        <v>0</v>
      </c>
      <c r="S361" s="1">
        <f>IF($N361="",0,INDEX(TAHSILAT!$F$7:$F$2503,$U361))</f>
        <v>0</v>
      </c>
      <c r="T361" s="1">
        <f t="shared" si="70"/>
        <v>10000000000</v>
      </c>
      <c r="U361" s="1">
        <f>IFERROR(MATCH($AC$4&amp;"|109",TAHSILAT!$Q$7:$Q$2503,0),0)</f>
        <v>0</v>
      </c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9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>
        <v>351</v>
      </c>
      <c r="N362" s="1" t="str">
        <f>IF($U362=0,"",INDEX(TAHSILAT!$E$7:$E$2503,$U362))</f>
        <v/>
      </c>
      <c r="O362" s="1" t="str">
        <f>IF($N362="","","Ödeme  –  "&amp;INDEX(TAHSILAT!$H$7:$H$2503,$U362)&amp;"  ("&amp;INDEX(TAHSILAT!$G$7:$G$2503,$U362)&amp;")"&amp;IF(INDEX(TAHSILAT!$J$7:$J$2503,$U362)="",""," / "&amp;INDEX(TAHSILAT!$J$7:$J$2503,$U362)))</f>
        <v/>
      </c>
      <c r="P362" s="1" t="str">
        <f t="shared" si="71"/>
        <v/>
      </c>
      <c r="Q362" s="1"/>
      <c r="R362" s="1">
        <v>0</v>
      </c>
      <c r="S362" s="1">
        <f>IF($N362="",0,INDEX(TAHSILAT!$F$7:$F$2503,$U362))</f>
        <v>0</v>
      </c>
      <c r="T362" s="1">
        <f t="shared" si="70"/>
        <v>10000000000</v>
      </c>
      <c r="U362" s="1">
        <f>IFERROR(MATCH($AC$4&amp;"|110",TAHSILAT!$Q$7:$Q$2503,0),0)</f>
        <v>0</v>
      </c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9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>
        <v>352</v>
      </c>
      <c r="N363" s="1" t="str">
        <f>IF($U363=0,"",INDEX(TAHSILAT!$E$7:$E$2503,$U363))</f>
        <v/>
      </c>
      <c r="O363" s="1" t="str">
        <f>IF($N363="","","Ödeme  –  "&amp;INDEX(TAHSILAT!$H$7:$H$2503,$U363)&amp;"  ("&amp;INDEX(TAHSILAT!$G$7:$G$2503,$U363)&amp;")"&amp;IF(INDEX(TAHSILAT!$J$7:$J$2503,$U363)="",""," / "&amp;INDEX(TAHSILAT!$J$7:$J$2503,$U363)))</f>
        <v/>
      </c>
      <c r="P363" s="1" t="str">
        <f t="shared" si="71"/>
        <v/>
      </c>
      <c r="Q363" s="1"/>
      <c r="R363" s="1">
        <v>0</v>
      </c>
      <c r="S363" s="1">
        <f>IF($N363="",0,INDEX(TAHSILAT!$F$7:$F$2503,$U363))</f>
        <v>0</v>
      </c>
      <c r="T363" s="1">
        <f t="shared" si="70"/>
        <v>10000000000</v>
      </c>
      <c r="U363" s="1">
        <f>IFERROR(MATCH($AC$4&amp;"|111",TAHSILAT!$Q$7:$Q$2503,0),0)</f>
        <v>0</v>
      </c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9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>
        <v>353</v>
      </c>
      <c r="N364" s="1" t="str">
        <f>IF($U364=0,"",INDEX(TAHSILAT!$E$7:$E$2503,$U364))</f>
        <v/>
      </c>
      <c r="O364" s="1" t="str">
        <f>IF($N364="","","Ödeme  –  "&amp;INDEX(TAHSILAT!$H$7:$H$2503,$U364)&amp;"  ("&amp;INDEX(TAHSILAT!$G$7:$G$2503,$U364)&amp;")"&amp;IF(INDEX(TAHSILAT!$J$7:$J$2503,$U364)="",""," / "&amp;INDEX(TAHSILAT!$J$7:$J$2503,$U364)))</f>
        <v/>
      </c>
      <c r="P364" s="1" t="str">
        <f t="shared" si="71"/>
        <v/>
      </c>
      <c r="Q364" s="1"/>
      <c r="R364" s="1">
        <v>0</v>
      </c>
      <c r="S364" s="1">
        <f>IF($N364="",0,INDEX(TAHSILAT!$F$7:$F$2503,$U364))</f>
        <v>0</v>
      </c>
      <c r="T364" s="1">
        <f t="shared" si="70"/>
        <v>10000000000</v>
      </c>
      <c r="U364" s="1">
        <f>IFERROR(MATCH($AC$4&amp;"|112",TAHSILAT!$Q$7:$Q$2503,0),0)</f>
        <v>0</v>
      </c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9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>
        <v>354</v>
      </c>
      <c r="N365" s="1" t="str">
        <f>IF($U365=0,"",INDEX(TAHSILAT!$E$7:$E$2503,$U365))</f>
        <v/>
      </c>
      <c r="O365" s="1" t="str">
        <f>IF($N365="","","Ödeme  –  "&amp;INDEX(TAHSILAT!$H$7:$H$2503,$U365)&amp;"  ("&amp;INDEX(TAHSILAT!$G$7:$G$2503,$U365)&amp;")"&amp;IF(INDEX(TAHSILAT!$J$7:$J$2503,$U365)="",""," / "&amp;INDEX(TAHSILAT!$J$7:$J$2503,$U365)))</f>
        <v/>
      </c>
      <c r="P365" s="1" t="str">
        <f t="shared" si="71"/>
        <v/>
      </c>
      <c r="Q365" s="1"/>
      <c r="R365" s="1">
        <v>0</v>
      </c>
      <c r="S365" s="1">
        <f>IF($N365="",0,INDEX(TAHSILAT!$F$7:$F$2503,$U365))</f>
        <v>0</v>
      </c>
      <c r="T365" s="1">
        <f t="shared" si="70"/>
        <v>10000000000</v>
      </c>
      <c r="U365" s="1">
        <f>IFERROR(MATCH($AC$4&amp;"|113",TAHSILAT!$Q$7:$Q$2503,0),0)</f>
        <v>0</v>
      </c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9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>
        <v>355</v>
      </c>
      <c r="N366" s="1" t="str">
        <f>IF($U366=0,"",INDEX(TAHSILAT!$E$7:$E$2503,$U366))</f>
        <v/>
      </c>
      <c r="O366" s="1" t="str">
        <f>IF($N366="","","Ödeme  –  "&amp;INDEX(TAHSILAT!$H$7:$H$2503,$U366)&amp;"  ("&amp;INDEX(TAHSILAT!$G$7:$G$2503,$U366)&amp;")"&amp;IF(INDEX(TAHSILAT!$J$7:$J$2503,$U366)="",""," / "&amp;INDEX(TAHSILAT!$J$7:$J$2503,$U366)))</f>
        <v/>
      </c>
      <c r="P366" s="1" t="str">
        <f t="shared" si="71"/>
        <v/>
      </c>
      <c r="Q366" s="1"/>
      <c r="R366" s="1">
        <v>0</v>
      </c>
      <c r="S366" s="1">
        <f>IF($N366="",0,INDEX(TAHSILAT!$F$7:$F$2503,$U366))</f>
        <v>0</v>
      </c>
      <c r="T366" s="1">
        <f t="shared" si="70"/>
        <v>10000000000</v>
      </c>
      <c r="U366" s="1">
        <f>IFERROR(MATCH($AC$4&amp;"|114",TAHSILAT!$Q$7:$Q$2503,0),0)</f>
        <v>0</v>
      </c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9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>
        <v>356</v>
      </c>
      <c r="N367" s="1" t="str">
        <f>IF($U367=0,"",INDEX(TAHSILAT!$E$7:$E$2503,$U367))</f>
        <v/>
      </c>
      <c r="O367" s="1" t="str">
        <f>IF($N367="","","Ödeme  –  "&amp;INDEX(TAHSILAT!$H$7:$H$2503,$U367)&amp;"  ("&amp;INDEX(TAHSILAT!$G$7:$G$2503,$U367)&amp;")"&amp;IF(INDEX(TAHSILAT!$J$7:$J$2503,$U367)="",""," / "&amp;INDEX(TAHSILAT!$J$7:$J$2503,$U367)))</f>
        <v/>
      </c>
      <c r="P367" s="1" t="str">
        <f t="shared" si="71"/>
        <v/>
      </c>
      <c r="Q367" s="1"/>
      <c r="R367" s="1">
        <v>0</v>
      </c>
      <c r="S367" s="1">
        <f>IF($N367="",0,INDEX(TAHSILAT!$F$7:$F$2503,$U367))</f>
        <v>0</v>
      </c>
      <c r="T367" s="1">
        <f t="shared" si="70"/>
        <v>10000000000</v>
      </c>
      <c r="U367" s="1">
        <f>IFERROR(MATCH($AC$4&amp;"|115",TAHSILAT!$Q$7:$Q$2503,0),0)</f>
        <v>0</v>
      </c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9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>
        <v>357</v>
      </c>
      <c r="N368" s="1" t="str">
        <f>IF($U368=0,"",INDEX(TAHSILAT!$E$7:$E$2503,$U368))</f>
        <v/>
      </c>
      <c r="O368" s="1" t="str">
        <f>IF($N368="","","Ödeme  –  "&amp;INDEX(TAHSILAT!$H$7:$H$2503,$U368)&amp;"  ("&amp;INDEX(TAHSILAT!$G$7:$G$2503,$U368)&amp;")"&amp;IF(INDEX(TAHSILAT!$J$7:$J$2503,$U368)="",""," / "&amp;INDEX(TAHSILAT!$J$7:$J$2503,$U368)))</f>
        <v/>
      </c>
      <c r="P368" s="1" t="str">
        <f t="shared" si="71"/>
        <v/>
      </c>
      <c r="Q368" s="1"/>
      <c r="R368" s="1">
        <v>0</v>
      </c>
      <c r="S368" s="1">
        <f>IF($N368="",0,INDEX(TAHSILAT!$F$7:$F$2503,$U368))</f>
        <v>0</v>
      </c>
      <c r="T368" s="1">
        <f t="shared" si="70"/>
        <v>10000000000</v>
      </c>
      <c r="U368" s="1">
        <f>IFERROR(MATCH($AC$4&amp;"|116",TAHSILAT!$Q$7:$Q$2503,0),0)</f>
        <v>0</v>
      </c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9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>
        <v>358</v>
      </c>
      <c r="N369" s="1" t="str">
        <f>IF($U369=0,"",INDEX(TAHSILAT!$E$7:$E$2503,$U369))</f>
        <v/>
      </c>
      <c r="O369" s="1" t="str">
        <f>IF($N369="","","Ödeme  –  "&amp;INDEX(TAHSILAT!$H$7:$H$2503,$U369)&amp;"  ("&amp;INDEX(TAHSILAT!$G$7:$G$2503,$U369)&amp;")"&amp;IF(INDEX(TAHSILAT!$J$7:$J$2503,$U369)="",""," / "&amp;INDEX(TAHSILAT!$J$7:$J$2503,$U369)))</f>
        <v/>
      </c>
      <c r="P369" s="1" t="str">
        <f t="shared" si="71"/>
        <v/>
      </c>
      <c r="Q369" s="1"/>
      <c r="R369" s="1">
        <v>0</v>
      </c>
      <c r="S369" s="1">
        <f>IF($N369="",0,INDEX(TAHSILAT!$F$7:$F$2503,$U369))</f>
        <v>0</v>
      </c>
      <c r="T369" s="1">
        <f t="shared" si="70"/>
        <v>10000000000</v>
      </c>
      <c r="U369" s="1">
        <f>IFERROR(MATCH($AC$4&amp;"|117",TAHSILAT!$Q$7:$Q$2503,0),0)</f>
        <v>0</v>
      </c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9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>
        <v>359</v>
      </c>
      <c r="N370" s="1" t="str">
        <f>IF($U370=0,"",INDEX(TAHSILAT!$E$7:$E$2503,$U370))</f>
        <v/>
      </c>
      <c r="O370" s="1" t="str">
        <f>IF($N370="","","Ödeme  –  "&amp;INDEX(TAHSILAT!$H$7:$H$2503,$U370)&amp;"  ("&amp;INDEX(TAHSILAT!$G$7:$G$2503,$U370)&amp;")"&amp;IF(INDEX(TAHSILAT!$J$7:$J$2503,$U370)="",""," / "&amp;INDEX(TAHSILAT!$J$7:$J$2503,$U370)))</f>
        <v/>
      </c>
      <c r="P370" s="1" t="str">
        <f t="shared" si="71"/>
        <v/>
      </c>
      <c r="Q370" s="1"/>
      <c r="R370" s="1">
        <v>0</v>
      </c>
      <c r="S370" s="1">
        <f>IF($N370="",0,INDEX(TAHSILAT!$F$7:$F$2503,$U370))</f>
        <v>0</v>
      </c>
      <c r="T370" s="1">
        <f t="shared" si="70"/>
        <v>10000000000</v>
      </c>
      <c r="U370" s="1">
        <f>IFERROR(MATCH($AC$4&amp;"|118",TAHSILAT!$Q$7:$Q$2503,0),0)</f>
        <v>0</v>
      </c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9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>
        <v>360</v>
      </c>
      <c r="N371" s="1" t="str">
        <f>IF($U371=0,"",INDEX(TAHSILAT!$E$7:$E$2503,$U371))</f>
        <v/>
      </c>
      <c r="O371" s="1" t="str">
        <f>IF($N371="","","Ödeme  –  "&amp;INDEX(TAHSILAT!$H$7:$H$2503,$U371)&amp;"  ("&amp;INDEX(TAHSILAT!$G$7:$G$2503,$U371)&amp;")"&amp;IF(INDEX(TAHSILAT!$J$7:$J$2503,$U371)="",""," / "&amp;INDEX(TAHSILAT!$J$7:$J$2503,$U371)))</f>
        <v/>
      </c>
      <c r="P371" s="1" t="str">
        <f t="shared" si="71"/>
        <v/>
      </c>
      <c r="Q371" s="1"/>
      <c r="R371" s="1">
        <v>0</v>
      </c>
      <c r="S371" s="1">
        <f>IF($N371="",0,INDEX(TAHSILAT!$F$7:$F$2503,$U371))</f>
        <v>0</v>
      </c>
      <c r="T371" s="1">
        <f t="shared" si="70"/>
        <v>10000000000</v>
      </c>
      <c r="U371" s="1">
        <f>IFERROR(MATCH($AC$4&amp;"|119",TAHSILAT!$Q$7:$Q$2503,0),0)</f>
        <v>0</v>
      </c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9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>
        <v>361</v>
      </c>
      <c r="N372" s="1" t="str">
        <f>IF($U372=0,"",INDEX(TAHSILAT!$E$7:$E$2503,$U372))</f>
        <v/>
      </c>
      <c r="O372" s="1" t="str">
        <f>IF($N372="","","Ödeme  –  "&amp;INDEX(TAHSILAT!$H$7:$H$2503,$U372)&amp;"  ("&amp;INDEX(TAHSILAT!$G$7:$G$2503,$U372)&amp;")"&amp;IF(INDEX(TAHSILAT!$J$7:$J$2503,$U372)="",""," / "&amp;INDEX(TAHSILAT!$J$7:$J$2503,$U372)))</f>
        <v/>
      </c>
      <c r="P372" s="1" t="str">
        <f t="shared" si="71"/>
        <v/>
      </c>
      <c r="Q372" s="1"/>
      <c r="R372" s="1">
        <v>0</v>
      </c>
      <c r="S372" s="1">
        <f>IF($N372="",0,INDEX(TAHSILAT!$F$7:$F$2503,$U372))</f>
        <v>0</v>
      </c>
      <c r="T372" s="1">
        <f t="shared" si="70"/>
        <v>10000000000</v>
      </c>
      <c r="U372" s="1">
        <f>IFERROR(MATCH($AC$4&amp;"|120",TAHSILAT!$Q$7:$Q$2503,0),0)</f>
        <v>0</v>
      </c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9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>
        <v>362</v>
      </c>
      <c r="N373" s="1" t="str">
        <f>IF($U373=0,"",INDEX(GELIR_GIDER!$C$7:$C$3001,$U373))</f>
        <v/>
      </c>
      <c r="O373" s="1" t="str">
        <f>IF($N373="","",INDEX(GELIR_GIDER!$E$7:$E$3001,$U373)&amp;IF(INDEX(GELIR_GIDER!$F$7:$F$3001,$U373)="",""," – "&amp;INDEX(GELIR_GIDER!$F$7:$F$3001,$U373)))</f>
        <v/>
      </c>
      <c r="P373" s="1" t="str">
        <f t="shared" ref="P373:P404" si="72">IF($N373="","","EK HİZMET")</f>
        <v/>
      </c>
      <c r="Q373" s="1"/>
      <c r="R373" s="1">
        <f>IF($N373="",0,INDEX(GELIR_GIDER!$G$7:$G$3001,$U373))</f>
        <v>0</v>
      </c>
      <c r="S373" s="1">
        <v>0</v>
      </c>
      <c r="T373" s="1">
        <f t="shared" si="70"/>
        <v>10000000000</v>
      </c>
      <c r="U373" s="1">
        <f>IFERROR(MATCH($AC$4&amp;"|1",GELIR_GIDER!$U$7:$U$3001,0),0)</f>
        <v>0</v>
      </c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9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>
        <v>363</v>
      </c>
      <c r="N374" s="1" t="str">
        <f>IF($U374=0,"",INDEX(GELIR_GIDER!$C$7:$C$3001,$U374))</f>
        <v/>
      </c>
      <c r="O374" s="1" t="str">
        <f>IF($N374="","",INDEX(GELIR_GIDER!$E$7:$E$3001,$U374)&amp;IF(INDEX(GELIR_GIDER!$F$7:$F$3001,$U374)="",""," – "&amp;INDEX(GELIR_GIDER!$F$7:$F$3001,$U374)))</f>
        <v/>
      </c>
      <c r="P374" s="1" t="str">
        <f t="shared" si="72"/>
        <v/>
      </c>
      <c r="Q374" s="1"/>
      <c r="R374" s="1">
        <f>IF($N374="",0,INDEX(GELIR_GIDER!$G$7:$G$3001,$U374))</f>
        <v>0</v>
      </c>
      <c r="S374" s="1">
        <v>0</v>
      </c>
      <c r="T374" s="1">
        <f t="shared" si="70"/>
        <v>10000000000</v>
      </c>
      <c r="U374" s="1">
        <f>IFERROR(MATCH($AC$4&amp;"|2",GELIR_GIDER!$U$7:$U$3001,0),0)</f>
        <v>0</v>
      </c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9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>
        <v>364</v>
      </c>
      <c r="N375" s="1" t="str">
        <f>IF($U375=0,"",INDEX(GELIR_GIDER!$C$7:$C$3001,$U375))</f>
        <v/>
      </c>
      <c r="O375" s="1" t="str">
        <f>IF($N375="","",INDEX(GELIR_GIDER!$E$7:$E$3001,$U375)&amp;IF(INDEX(GELIR_GIDER!$F$7:$F$3001,$U375)="",""," – "&amp;INDEX(GELIR_GIDER!$F$7:$F$3001,$U375)))</f>
        <v/>
      </c>
      <c r="P375" s="1" t="str">
        <f t="shared" si="72"/>
        <v/>
      </c>
      <c r="Q375" s="1"/>
      <c r="R375" s="1">
        <f>IF($N375="",0,INDEX(GELIR_GIDER!$G$7:$G$3001,$U375))</f>
        <v>0</v>
      </c>
      <c r="S375" s="1">
        <v>0</v>
      </c>
      <c r="T375" s="1">
        <f t="shared" si="70"/>
        <v>10000000000</v>
      </c>
      <c r="U375" s="1">
        <f>IFERROR(MATCH($AC$4&amp;"|3",GELIR_GIDER!$U$7:$U$3001,0),0)</f>
        <v>0</v>
      </c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9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>
        <v>365</v>
      </c>
      <c r="N376" s="1" t="str">
        <f>IF($U376=0,"",INDEX(GELIR_GIDER!$C$7:$C$3001,$U376))</f>
        <v/>
      </c>
      <c r="O376" s="1" t="str">
        <f>IF($N376="","",INDEX(GELIR_GIDER!$E$7:$E$3001,$U376)&amp;IF(INDEX(GELIR_GIDER!$F$7:$F$3001,$U376)="",""," – "&amp;INDEX(GELIR_GIDER!$F$7:$F$3001,$U376)))</f>
        <v/>
      </c>
      <c r="P376" s="1" t="str">
        <f t="shared" si="72"/>
        <v/>
      </c>
      <c r="Q376" s="1"/>
      <c r="R376" s="1">
        <f>IF($N376="",0,INDEX(GELIR_GIDER!$G$7:$G$3001,$U376))</f>
        <v>0</v>
      </c>
      <c r="S376" s="1">
        <v>0</v>
      </c>
      <c r="T376" s="1">
        <f t="shared" si="70"/>
        <v>10000000000</v>
      </c>
      <c r="U376" s="1">
        <f>IFERROR(MATCH($AC$4&amp;"|4",GELIR_GIDER!$U$7:$U$3001,0),0)</f>
        <v>0</v>
      </c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9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>
        <v>366</v>
      </c>
      <c r="N377" s="1" t="str">
        <f>IF($U377=0,"",INDEX(GELIR_GIDER!$C$7:$C$3001,$U377))</f>
        <v/>
      </c>
      <c r="O377" s="1" t="str">
        <f>IF($N377="","",INDEX(GELIR_GIDER!$E$7:$E$3001,$U377)&amp;IF(INDEX(GELIR_GIDER!$F$7:$F$3001,$U377)="",""," – "&amp;INDEX(GELIR_GIDER!$F$7:$F$3001,$U377)))</f>
        <v/>
      </c>
      <c r="P377" s="1" t="str">
        <f t="shared" si="72"/>
        <v/>
      </c>
      <c r="Q377" s="1"/>
      <c r="R377" s="1">
        <f>IF($N377="",0,INDEX(GELIR_GIDER!$G$7:$G$3001,$U377))</f>
        <v>0</v>
      </c>
      <c r="S377" s="1">
        <v>0</v>
      </c>
      <c r="T377" s="1">
        <f t="shared" si="70"/>
        <v>10000000000</v>
      </c>
      <c r="U377" s="1">
        <f>IFERROR(MATCH($AC$4&amp;"|5",GELIR_GIDER!$U$7:$U$3001,0),0)</f>
        <v>0</v>
      </c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9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>
        <v>367</v>
      </c>
      <c r="N378" s="1" t="str">
        <f>IF($U378=0,"",INDEX(GELIR_GIDER!$C$7:$C$3001,$U378))</f>
        <v/>
      </c>
      <c r="O378" s="1" t="str">
        <f>IF($N378="","",INDEX(GELIR_GIDER!$E$7:$E$3001,$U378)&amp;IF(INDEX(GELIR_GIDER!$F$7:$F$3001,$U378)="",""," – "&amp;INDEX(GELIR_GIDER!$F$7:$F$3001,$U378)))</f>
        <v/>
      </c>
      <c r="P378" s="1" t="str">
        <f t="shared" si="72"/>
        <v/>
      </c>
      <c r="Q378" s="1"/>
      <c r="R378" s="1">
        <f>IF($N378="",0,INDEX(GELIR_GIDER!$G$7:$G$3001,$U378))</f>
        <v>0</v>
      </c>
      <c r="S378" s="1">
        <v>0</v>
      </c>
      <c r="T378" s="1">
        <f t="shared" si="70"/>
        <v>10000000000</v>
      </c>
      <c r="U378" s="1">
        <f>IFERROR(MATCH($AC$4&amp;"|6",GELIR_GIDER!$U$7:$U$3001,0),0)</f>
        <v>0</v>
      </c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9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>
        <v>368</v>
      </c>
      <c r="N379" s="1" t="str">
        <f>IF($U379=0,"",INDEX(GELIR_GIDER!$C$7:$C$3001,$U379))</f>
        <v/>
      </c>
      <c r="O379" s="1" t="str">
        <f>IF($N379="","",INDEX(GELIR_GIDER!$E$7:$E$3001,$U379)&amp;IF(INDEX(GELIR_GIDER!$F$7:$F$3001,$U379)="",""," – "&amp;INDEX(GELIR_GIDER!$F$7:$F$3001,$U379)))</f>
        <v/>
      </c>
      <c r="P379" s="1" t="str">
        <f t="shared" si="72"/>
        <v/>
      </c>
      <c r="Q379" s="1"/>
      <c r="R379" s="1">
        <f>IF($N379="",0,INDEX(GELIR_GIDER!$G$7:$G$3001,$U379))</f>
        <v>0</v>
      </c>
      <c r="S379" s="1">
        <v>0</v>
      </c>
      <c r="T379" s="1">
        <f t="shared" si="70"/>
        <v>10000000000</v>
      </c>
      <c r="U379" s="1">
        <f>IFERROR(MATCH($AC$4&amp;"|7",GELIR_GIDER!$U$7:$U$3001,0),0)</f>
        <v>0</v>
      </c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9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>
        <v>369</v>
      </c>
      <c r="N380" s="1" t="str">
        <f>IF($U380=0,"",INDEX(GELIR_GIDER!$C$7:$C$3001,$U380))</f>
        <v/>
      </c>
      <c r="O380" s="1" t="str">
        <f>IF($N380="","",INDEX(GELIR_GIDER!$E$7:$E$3001,$U380)&amp;IF(INDEX(GELIR_GIDER!$F$7:$F$3001,$U380)="",""," – "&amp;INDEX(GELIR_GIDER!$F$7:$F$3001,$U380)))</f>
        <v/>
      </c>
      <c r="P380" s="1" t="str">
        <f t="shared" si="72"/>
        <v/>
      </c>
      <c r="Q380" s="1"/>
      <c r="R380" s="1">
        <f>IF($N380="",0,INDEX(GELIR_GIDER!$G$7:$G$3001,$U380))</f>
        <v>0</v>
      </c>
      <c r="S380" s="1">
        <v>0</v>
      </c>
      <c r="T380" s="1">
        <f t="shared" si="70"/>
        <v>10000000000</v>
      </c>
      <c r="U380" s="1">
        <f>IFERROR(MATCH($AC$4&amp;"|8",GELIR_GIDER!$U$7:$U$3001,0),0)</f>
        <v>0</v>
      </c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9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>
        <v>370</v>
      </c>
      <c r="N381" s="1" t="str">
        <f>IF($U381=0,"",INDEX(GELIR_GIDER!$C$7:$C$3001,$U381))</f>
        <v/>
      </c>
      <c r="O381" s="1" t="str">
        <f>IF($N381="","",INDEX(GELIR_GIDER!$E$7:$E$3001,$U381)&amp;IF(INDEX(GELIR_GIDER!$F$7:$F$3001,$U381)="",""," – "&amp;INDEX(GELIR_GIDER!$F$7:$F$3001,$U381)))</f>
        <v/>
      </c>
      <c r="P381" s="1" t="str">
        <f t="shared" si="72"/>
        <v/>
      </c>
      <c r="Q381" s="1"/>
      <c r="R381" s="1">
        <f>IF($N381="",0,INDEX(GELIR_GIDER!$G$7:$G$3001,$U381))</f>
        <v>0</v>
      </c>
      <c r="S381" s="1">
        <v>0</v>
      </c>
      <c r="T381" s="1">
        <f t="shared" si="70"/>
        <v>10000000000</v>
      </c>
      <c r="U381" s="1">
        <f>IFERROR(MATCH($AC$4&amp;"|9",GELIR_GIDER!$U$7:$U$3001,0),0)</f>
        <v>0</v>
      </c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9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>
        <v>371</v>
      </c>
      <c r="N382" s="1" t="str">
        <f>IF($U382=0,"",INDEX(GELIR_GIDER!$C$7:$C$3001,$U382))</f>
        <v/>
      </c>
      <c r="O382" s="1" t="str">
        <f>IF($N382="","",INDEX(GELIR_GIDER!$E$7:$E$3001,$U382)&amp;IF(INDEX(GELIR_GIDER!$F$7:$F$3001,$U382)="",""," – "&amp;INDEX(GELIR_GIDER!$F$7:$F$3001,$U382)))</f>
        <v/>
      </c>
      <c r="P382" s="1" t="str">
        <f t="shared" si="72"/>
        <v/>
      </c>
      <c r="Q382" s="1"/>
      <c r="R382" s="1">
        <f>IF($N382="",0,INDEX(GELIR_GIDER!$G$7:$G$3001,$U382))</f>
        <v>0</v>
      </c>
      <c r="S382" s="1">
        <v>0</v>
      </c>
      <c r="T382" s="1">
        <f t="shared" si="70"/>
        <v>10000000000</v>
      </c>
      <c r="U382" s="1">
        <f>IFERROR(MATCH($AC$4&amp;"|10",GELIR_GIDER!$U$7:$U$3001,0),0)</f>
        <v>0</v>
      </c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9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>
        <v>372</v>
      </c>
      <c r="N383" s="1" t="str">
        <f>IF($U383=0,"",INDEX(GELIR_GIDER!$C$7:$C$3001,$U383))</f>
        <v/>
      </c>
      <c r="O383" s="1" t="str">
        <f>IF($N383="","",INDEX(GELIR_GIDER!$E$7:$E$3001,$U383)&amp;IF(INDEX(GELIR_GIDER!$F$7:$F$3001,$U383)="",""," – "&amp;INDEX(GELIR_GIDER!$F$7:$F$3001,$U383)))</f>
        <v/>
      </c>
      <c r="P383" s="1" t="str">
        <f t="shared" si="72"/>
        <v/>
      </c>
      <c r="Q383" s="1"/>
      <c r="R383" s="1">
        <f>IF($N383="",0,INDEX(GELIR_GIDER!$G$7:$G$3001,$U383))</f>
        <v>0</v>
      </c>
      <c r="S383" s="1">
        <v>0</v>
      </c>
      <c r="T383" s="1">
        <f t="shared" si="70"/>
        <v>10000000000</v>
      </c>
      <c r="U383" s="1">
        <f>IFERROR(MATCH($AC$4&amp;"|11",GELIR_GIDER!$U$7:$U$3001,0),0)</f>
        <v>0</v>
      </c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9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>
        <v>373</v>
      </c>
      <c r="N384" s="1" t="str">
        <f>IF($U384=0,"",INDEX(GELIR_GIDER!$C$7:$C$3001,$U384))</f>
        <v/>
      </c>
      <c r="O384" s="1" t="str">
        <f>IF($N384="","",INDEX(GELIR_GIDER!$E$7:$E$3001,$U384)&amp;IF(INDEX(GELIR_GIDER!$F$7:$F$3001,$U384)="",""," – "&amp;INDEX(GELIR_GIDER!$F$7:$F$3001,$U384)))</f>
        <v/>
      </c>
      <c r="P384" s="1" t="str">
        <f t="shared" si="72"/>
        <v/>
      </c>
      <c r="Q384" s="1"/>
      <c r="R384" s="1">
        <f>IF($N384="",0,INDEX(GELIR_GIDER!$G$7:$G$3001,$U384))</f>
        <v>0</v>
      </c>
      <c r="S384" s="1">
        <v>0</v>
      </c>
      <c r="T384" s="1">
        <f t="shared" si="70"/>
        <v>10000000000</v>
      </c>
      <c r="U384" s="1">
        <f>IFERROR(MATCH($AC$4&amp;"|12",GELIR_GIDER!$U$7:$U$3001,0),0)</f>
        <v>0</v>
      </c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9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>
        <v>374</v>
      </c>
      <c r="N385" s="1" t="str">
        <f>IF($U385=0,"",INDEX(GELIR_GIDER!$C$7:$C$3001,$U385))</f>
        <v/>
      </c>
      <c r="O385" s="1" t="str">
        <f>IF($N385="","",INDEX(GELIR_GIDER!$E$7:$E$3001,$U385)&amp;IF(INDEX(GELIR_GIDER!$F$7:$F$3001,$U385)="",""," – "&amp;INDEX(GELIR_GIDER!$F$7:$F$3001,$U385)))</f>
        <v/>
      </c>
      <c r="P385" s="1" t="str">
        <f t="shared" si="72"/>
        <v/>
      </c>
      <c r="Q385" s="1"/>
      <c r="R385" s="1">
        <f>IF($N385="",0,INDEX(GELIR_GIDER!$G$7:$G$3001,$U385))</f>
        <v>0</v>
      </c>
      <c r="S385" s="1">
        <v>0</v>
      </c>
      <c r="T385" s="1">
        <f t="shared" si="70"/>
        <v>10000000000</v>
      </c>
      <c r="U385" s="1">
        <f>IFERROR(MATCH($AC$4&amp;"|13",GELIR_GIDER!$U$7:$U$3001,0),0)</f>
        <v>0</v>
      </c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9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>
        <v>375</v>
      </c>
      <c r="N386" s="1" t="str">
        <f>IF($U386=0,"",INDEX(GELIR_GIDER!$C$7:$C$3001,$U386))</f>
        <v/>
      </c>
      <c r="O386" s="1" t="str">
        <f>IF($N386="","",INDEX(GELIR_GIDER!$E$7:$E$3001,$U386)&amp;IF(INDEX(GELIR_GIDER!$F$7:$F$3001,$U386)="",""," – "&amp;INDEX(GELIR_GIDER!$F$7:$F$3001,$U386)))</f>
        <v/>
      </c>
      <c r="P386" s="1" t="str">
        <f t="shared" si="72"/>
        <v/>
      </c>
      <c r="Q386" s="1"/>
      <c r="R386" s="1">
        <f>IF($N386="",0,INDEX(GELIR_GIDER!$G$7:$G$3001,$U386))</f>
        <v>0</v>
      </c>
      <c r="S386" s="1">
        <v>0</v>
      </c>
      <c r="T386" s="1">
        <f t="shared" si="70"/>
        <v>10000000000</v>
      </c>
      <c r="U386" s="1">
        <f>IFERROR(MATCH($AC$4&amp;"|14",GELIR_GIDER!$U$7:$U$3001,0),0)</f>
        <v>0</v>
      </c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9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>
        <v>376</v>
      </c>
      <c r="N387" s="1" t="str">
        <f>IF($U387=0,"",INDEX(GELIR_GIDER!$C$7:$C$3001,$U387))</f>
        <v/>
      </c>
      <c r="O387" s="1" t="str">
        <f>IF($N387="","",INDEX(GELIR_GIDER!$E$7:$E$3001,$U387)&amp;IF(INDEX(GELIR_GIDER!$F$7:$F$3001,$U387)="",""," – "&amp;INDEX(GELIR_GIDER!$F$7:$F$3001,$U387)))</f>
        <v/>
      </c>
      <c r="P387" s="1" t="str">
        <f t="shared" si="72"/>
        <v/>
      </c>
      <c r="Q387" s="1"/>
      <c r="R387" s="1">
        <f>IF($N387="",0,INDEX(GELIR_GIDER!$G$7:$G$3001,$U387))</f>
        <v>0</v>
      </c>
      <c r="S387" s="1">
        <v>0</v>
      </c>
      <c r="T387" s="1">
        <f t="shared" si="70"/>
        <v>10000000000</v>
      </c>
      <c r="U387" s="1">
        <f>IFERROR(MATCH($AC$4&amp;"|15",GELIR_GIDER!$U$7:$U$3001,0),0)</f>
        <v>0</v>
      </c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9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>
        <v>377</v>
      </c>
      <c r="N388" s="1" t="str">
        <f>IF($U388=0,"",INDEX(GELIR_GIDER!$C$7:$C$3001,$U388))</f>
        <v/>
      </c>
      <c r="O388" s="1" t="str">
        <f>IF($N388="","",INDEX(GELIR_GIDER!$E$7:$E$3001,$U388)&amp;IF(INDEX(GELIR_GIDER!$F$7:$F$3001,$U388)="",""," – "&amp;INDEX(GELIR_GIDER!$F$7:$F$3001,$U388)))</f>
        <v/>
      </c>
      <c r="P388" s="1" t="str">
        <f t="shared" si="72"/>
        <v/>
      </c>
      <c r="Q388" s="1"/>
      <c r="R388" s="1">
        <f>IF($N388="",0,INDEX(GELIR_GIDER!$G$7:$G$3001,$U388))</f>
        <v>0</v>
      </c>
      <c r="S388" s="1">
        <v>0</v>
      </c>
      <c r="T388" s="1">
        <f t="shared" si="70"/>
        <v>10000000000</v>
      </c>
      <c r="U388" s="1">
        <f>IFERROR(MATCH($AC$4&amp;"|16",GELIR_GIDER!$U$7:$U$3001,0),0)</f>
        <v>0</v>
      </c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9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>
        <v>378</v>
      </c>
      <c r="N389" s="1" t="str">
        <f>IF($U389=0,"",INDEX(GELIR_GIDER!$C$7:$C$3001,$U389))</f>
        <v/>
      </c>
      <c r="O389" s="1" t="str">
        <f>IF($N389="","",INDEX(GELIR_GIDER!$E$7:$E$3001,$U389)&amp;IF(INDEX(GELIR_GIDER!$F$7:$F$3001,$U389)="",""," – "&amp;INDEX(GELIR_GIDER!$F$7:$F$3001,$U389)))</f>
        <v/>
      </c>
      <c r="P389" s="1" t="str">
        <f t="shared" si="72"/>
        <v/>
      </c>
      <c r="Q389" s="1"/>
      <c r="R389" s="1">
        <f>IF($N389="",0,INDEX(GELIR_GIDER!$G$7:$G$3001,$U389))</f>
        <v>0</v>
      </c>
      <c r="S389" s="1">
        <v>0</v>
      </c>
      <c r="T389" s="1">
        <f t="shared" si="70"/>
        <v>10000000000</v>
      </c>
      <c r="U389" s="1">
        <f>IFERROR(MATCH($AC$4&amp;"|17",GELIR_GIDER!$U$7:$U$3001,0),0)</f>
        <v>0</v>
      </c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9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>
        <v>379</v>
      </c>
      <c r="N390" s="1" t="str">
        <f>IF($U390=0,"",INDEX(GELIR_GIDER!$C$7:$C$3001,$U390))</f>
        <v/>
      </c>
      <c r="O390" s="1" t="str">
        <f>IF($N390="","",INDEX(GELIR_GIDER!$E$7:$E$3001,$U390)&amp;IF(INDEX(GELIR_GIDER!$F$7:$F$3001,$U390)="",""," – "&amp;INDEX(GELIR_GIDER!$F$7:$F$3001,$U390)))</f>
        <v/>
      </c>
      <c r="P390" s="1" t="str">
        <f t="shared" si="72"/>
        <v/>
      </c>
      <c r="Q390" s="1"/>
      <c r="R390" s="1">
        <f>IF($N390="",0,INDEX(GELIR_GIDER!$G$7:$G$3001,$U390))</f>
        <v>0</v>
      </c>
      <c r="S390" s="1">
        <v>0</v>
      </c>
      <c r="T390" s="1">
        <f t="shared" si="70"/>
        <v>10000000000</v>
      </c>
      <c r="U390" s="1">
        <f>IFERROR(MATCH($AC$4&amp;"|18",GELIR_GIDER!$U$7:$U$3001,0),0)</f>
        <v>0</v>
      </c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9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>
        <v>380</v>
      </c>
      <c r="N391" s="1" t="str">
        <f>IF($U391=0,"",INDEX(GELIR_GIDER!$C$7:$C$3001,$U391))</f>
        <v/>
      </c>
      <c r="O391" s="1" t="str">
        <f>IF($N391="","",INDEX(GELIR_GIDER!$E$7:$E$3001,$U391)&amp;IF(INDEX(GELIR_GIDER!$F$7:$F$3001,$U391)="",""," – "&amp;INDEX(GELIR_GIDER!$F$7:$F$3001,$U391)))</f>
        <v/>
      </c>
      <c r="P391" s="1" t="str">
        <f t="shared" si="72"/>
        <v/>
      </c>
      <c r="Q391" s="1"/>
      <c r="R391" s="1">
        <f>IF($N391="",0,INDEX(GELIR_GIDER!$G$7:$G$3001,$U391))</f>
        <v>0</v>
      </c>
      <c r="S391" s="1">
        <v>0</v>
      </c>
      <c r="T391" s="1">
        <f t="shared" si="70"/>
        <v>10000000000</v>
      </c>
      <c r="U391" s="1">
        <f>IFERROR(MATCH($AC$4&amp;"|19",GELIR_GIDER!$U$7:$U$3001,0),0)</f>
        <v>0</v>
      </c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9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>
        <v>381</v>
      </c>
      <c r="N392" s="1" t="str">
        <f>IF($U392=0,"",INDEX(GELIR_GIDER!$C$7:$C$3001,$U392))</f>
        <v/>
      </c>
      <c r="O392" s="1" t="str">
        <f>IF($N392="","",INDEX(GELIR_GIDER!$E$7:$E$3001,$U392)&amp;IF(INDEX(GELIR_GIDER!$F$7:$F$3001,$U392)="",""," – "&amp;INDEX(GELIR_GIDER!$F$7:$F$3001,$U392)))</f>
        <v/>
      </c>
      <c r="P392" s="1" t="str">
        <f t="shared" si="72"/>
        <v/>
      </c>
      <c r="Q392" s="1"/>
      <c r="R392" s="1">
        <f>IF($N392="",0,INDEX(GELIR_GIDER!$G$7:$G$3001,$U392))</f>
        <v>0</v>
      </c>
      <c r="S392" s="1">
        <v>0</v>
      </c>
      <c r="T392" s="1">
        <f t="shared" si="70"/>
        <v>10000000000</v>
      </c>
      <c r="U392" s="1">
        <f>IFERROR(MATCH($AC$4&amp;"|20",GELIR_GIDER!$U$7:$U$3001,0),0)</f>
        <v>0</v>
      </c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9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>
        <v>382</v>
      </c>
      <c r="N393" s="1" t="str">
        <f>IF($U393=0,"",INDEX(GELIR_GIDER!$C$7:$C$3001,$U393))</f>
        <v/>
      </c>
      <c r="O393" s="1" t="str">
        <f>IF($N393="","",INDEX(GELIR_GIDER!$E$7:$E$3001,$U393)&amp;IF(INDEX(GELIR_GIDER!$F$7:$F$3001,$U393)="",""," – "&amp;INDEX(GELIR_GIDER!$F$7:$F$3001,$U393)))</f>
        <v/>
      </c>
      <c r="P393" s="1" t="str">
        <f t="shared" si="72"/>
        <v/>
      </c>
      <c r="Q393" s="1"/>
      <c r="R393" s="1">
        <f>IF($N393="",0,INDEX(GELIR_GIDER!$G$7:$G$3001,$U393))</f>
        <v>0</v>
      </c>
      <c r="S393" s="1">
        <v>0</v>
      </c>
      <c r="T393" s="1">
        <f t="shared" si="70"/>
        <v>10000000000</v>
      </c>
      <c r="U393" s="1">
        <f>IFERROR(MATCH($AC$4&amp;"|21",GELIR_GIDER!$U$7:$U$3001,0),0)</f>
        <v>0</v>
      </c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9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>
        <v>383</v>
      </c>
      <c r="N394" s="1" t="str">
        <f>IF($U394=0,"",INDEX(GELIR_GIDER!$C$7:$C$3001,$U394))</f>
        <v/>
      </c>
      <c r="O394" s="1" t="str">
        <f>IF($N394="","",INDEX(GELIR_GIDER!$E$7:$E$3001,$U394)&amp;IF(INDEX(GELIR_GIDER!$F$7:$F$3001,$U394)="",""," – "&amp;INDEX(GELIR_GIDER!$F$7:$F$3001,$U394)))</f>
        <v/>
      </c>
      <c r="P394" s="1" t="str">
        <f t="shared" si="72"/>
        <v/>
      </c>
      <c r="Q394" s="1"/>
      <c r="R394" s="1">
        <f>IF($N394="",0,INDEX(GELIR_GIDER!$G$7:$G$3001,$U394))</f>
        <v>0</v>
      </c>
      <c r="S394" s="1">
        <v>0</v>
      </c>
      <c r="T394" s="1">
        <f t="shared" si="70"/>
        <v>10000000000</v>
      </c>
      <c r="U394" s="1">
        <f>IFERROR(MATCH($AC$4&amp;"|22",GELIR_GIDER!$U$7:$U$3001,0),0)</f>
        <v>0</v>
      </c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9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>
        <v>384</v>
      </c>
      <c r="N395" s="1" t="str">
        <f>IF($U395=0,"",INDEX(GELIR_GIDER!$C$7:$C$3001,$U395))</f>
        <v/>
      </c>
      <c r="O395" s="1" t="str">
        <f>IF($N395="","",INDEX(GELIR_GIDER!$E$7:$E$3001,$U395)&amp;IF(INDEX(GELIR_GIDER!$F$7:$F$3001,$U395)="",""," – "&amp;INDEX(GELIR_GIDER!$F$7:$F$3001,$U395)))</f>
        <v/>
      </c>
      <c r="P395" s="1" t="str">
        <f t="shared" si="72"/>
        <v/>
      </c>
      <c r="Q395" s="1"/>
      <c r="R395" s="1">
        <f>IF($N395="",0,INDEX(GELIR_GIDER!$G$7:$G$3001,$U395))</f>
        <v>0</v>
      </c>
      <c r="S395" s="1">
        <v>0</v>
      </c>
      <c r="T395" s="1">
        <f t="shared" si="70"/>
        <v>10000000000</v>
      </c>
      <c r="U395" s="1">
        <f>IFERROR(MATCH($AC$4&amp;"|23",GELIR_GIDER!$U$7:$U$3001,0),0)</f>
        <v>0</v>
      </c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9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>
        <v>385</v>
      </c>
      <c r="N396" s="1" t="str">
        <f>IF($U396=0,"",INDEX(GELIR_GIDER!$C$7:$C$3001,$U396))</f>
        <v/>
      </c>
      <c r="O396" s="1" t="str">
        <f>IF($N396="","",INDEX(GELIR_GIDER!$E$7:$E$3001,$U396)&amp;IF(INDEX(GELIR_GIDER!$F$7:$F$3001,$U396)="",""," – "&amp;INDEX(GELIR_GIDER!$F$7:$F$3001,$U396)))</f>
        <v/>
      </c>
      <c r="P396" s="1" t="str">
        <f t="shared" si="72"/>
        <v/>
      </c>
      <c r="Q396" s="1"/>
      <c r="R396" s="1">
        <f>IF($N396="",0,INDEX(GELIR_GIDER!$G$7:$G$3001,$U396))</f>
        <v>0</v>
      </c>
      <c r="S396" s="1">
        <v>0</v>
      </c>
      <c r="T396" s="1">
        <f t="shared" ref="T396:T432" si="73">IF($N396="",10000000000,$N396*100000+$M396)</f>
        <v>10000000000</v>
      </c>
      <c r="U396" s="1">
        <f>IFERROR(MATCH($AC$4&amp;"|24",GELIR_GIDER!$U$7:$U$3001,0),0)</f>
        <v>0</v>
      </c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9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>
        <v>386</v>
      </c>
      <c r="N397" s="1" t="str">
        <f>IF($U397=0,"",INDEX(GELIR_GIDER!$C$7:$C$3001,$U397))</f>
        <v/>
      </c>
      <c r="O397" s="1" t="str">
        <f>IF($N397="","",INDEX(GELIR_GIDER!$E$7:$E$3001,$U397)&amp;IF(INDEX(GELIR_GIDER!$F$7:$F$3001,$U397)="",""," – "&amp;INDEX(GELIR_GIDER!$F$7:$F$3001,$U397)))</f>
        <v/>
      </c>
      <c r="P397" s="1" t="str">
        <f t="shared" si="72"/>
        <v/>
      </c>
      <c r="Q397" s="1"/>
      <c r="R397" s="1">
        <f>IF($N397="",0,INDEX(GELIR_GIDER!$G$7:$G$3001,$U397))</f>
        <v>0</v>
      </c>
      <c r="S397" s="1">
        <v>0</v>
      </c>
      <c r="T397" s="1">
        <f t="shared" si="73"/>
        <v>10000000000</v>
      </c>
      <c r="U397" s="1">
        <f>IFERROR(MATCH($AC$4&amp;"|25",GELIR_GIDER!$U$7:$U$3001,0),0)</f>
        <v>0</v>
      </c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9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>
        <v>387</v>
      </c>
      <c r="N398" s="1" t="str">
        <f>IF($U398=0,"",INDEX(GELIR_GIDER!$C$7:$C$3001,$U398))</f>
        <v/>
      </c>
      <c r="O398" s="1" t="str">
        <f>IF($N398="","",INDEX(GELIR_GIDER!$E$7:$E$3001,$U398)&amp;IF(INDEX(GELIR_GIDER!$F$7:$F$3001,$U398)="",""," – "&amp;INDEX(GELIR_GIDER!$F$7:$F$3001,$U398)))</f>
        <v/>
      </c>
      <c r="P398" s="1" t="str">
        <f t="shared" si="72"/>
        <v/>
      </c>
      <c r="Q398" s="1"/>
      <c r="R398" s="1">
        <f>IF($N398="",0,INDEX(GELIR_GIDER!$G$7:$G$3001,$U398))</f>
        <v>0</v>
      </c>
      <c r="S398" s="1">
        <v>0</v>
      </c>
      <c r="T398" s="1">
        <f t="shared" si="73"/>
        <v>10000000000</v>
      </c>
      <c r="U398" s="1">
        <f>IFERROR(MATCH($AC$4&amp;"|26",GELIR_GIDER!$U$7:$U$3001,0),0)</f>
        <v>0</v>
      </c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9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>
        <v>388</v>
      </c>
      <c r="N399" s="1" t="str">
        <f>IF($U399=0,"",INDEX(GELIR_GIDER!$C$7:$C$3001,$U399))</f>
        <v/>
      </c>
      <c r="O399" s="1" t="str">
        <f>IF($N399="","",INDEX(GELIR_GIDER!$E$7:$E$3001,$U399)&amp;IF(INDEX(GELIR_GIDER!$F$7:$F$3001,$U399)="",""," – "&amp;INDEX(GELIR_GIDER!$F$7:$F$3001,$U399)))</f>
        <v/>
      </c>
      <c r="P399" s="1" t="str">
        <f t="shared" si="72"/>
        <v/>
      </c>
      <c r="Q399" s="1"/>
      <c r="R399" s="1">
        <f>IF($N399="",0,INDEX(GELIR_GIDER!$G$7:$G$3001,$U399))</f>
        <v>0</v>
      </c>
      <c r="S399" s="1">
        <v>0</v>
      </c>
      <c r="T399" s="1">
        <f t="shared" si="73"/>
        <v>10000000000</v>
      </c>
      <c r="U399" s="1">
        <f>IFERROR(MATCH($AC$4&amp;"|27",GELIR_GIDER!$U$7:$U$3001,0),0)</f>
        <v>0</v>
      </c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9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>
        <v>389</v>
      </c>
      <c r="N400" s="1" t="str">
        <f>IF($U400=0,"",INDEX(GELIR_GIDER!$C$7:$C$3001,$U400))</f>
        <v/>
      </c>
      <c r="O400" s="1" t="str">
        <f>IF($N400="","",INDEX(GELIR_GIDER!$E$7:$E$3001,$U400)&amp;IF(INDEX(GELIR_GIDER!$F$7:$F$3001,$U400)="",""," – "&amp;INDEX(GELIR_GIDER!$F$7:$F$3001,$U400)))</f>
        <v/>
      </c>
      <c r="P400" s="1" t="str">
        <f t="shared" si="72"/>
        <v/>
      </c>
      <c r="Q400" s="1"/>
      <c r="R400" s="1">
        <f>IF($N400="",0,INDEX(GELIR_GIDER!$G$7:$G$3001,$U400))</f>
        <v>0</v>
      </c>
      <c r="S400" s="1">
        <v>0</v>
      </c>
      <c r="T400" s="1">
        <f t="shared" si="73"/>
        <v>10000000000</v>
      </c>
      <c r="U400" s="1">
        <f>IFERROR(MATCH($AC$4&amp;"|28",GELIR_GIDER!$U$7:$U$3001,0),0)</f>
        <v>0</v>
      </c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9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>
        <v>390</v>
      </c>
      <c r="N401" s="1" t="str">
        <f>IF($U401=0,"",INDEX(GELIR_GIDER!$C$7:$C$3001,$U401))</f>
        <v/>
      </c>
      <c r="O401" s="1" t="str">
        <f>IF($N401="","",INDEX(GELIR_GIDER!$E$7:$E$3001,$U401)&amp;IF(INDEX(GELIR_GIDER!$F$7:$F$3001,$U401)="",""," – "&amp;INDEX(GELIR_GIDER!$F$7:$F$3001,$U401)))</f>
        <v/>
      </c>
      <c r="P401" s="1" t="str">
        <f t="shared" si="72"/>
        <v/>
      </c>
      <c r="Q401" s="1"/>
      <c r="R401" s="1">
        <f>IF($N401="",0,INDEX(GELIR_GIDER!$G$7:$G$3001,$U401))</f>
        <v>0</v>
      </c>
      <c r="S401" s="1">
        <v>0</v>
      </c>
      <c r="T401" s="1">
        <f t="shared" si="73"/>
        <v>10000000000</v>
      </c>
      <c r="U401" s="1">
        <f>IFERROR(MATCH($AC$4&amp;"|29",GELIR_GIDER!$U$7:$U$3001,0),0)</f>
        <v>0</v>
      </c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9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>
        <v>391</v>
      </c>
      <c r="N402" s="1" t="str">
        <f>IF($U402=0,"",INDEX(GELIR_GIDER!$C$7:$C$3001,$U402))</f>
        <v/>
      </c>
      <c r="O402" s="1" t="str">
        <f>IF($N402="","",INDEX(GELIR_GIDER!$E$7:$E$3001,$U402)&amp;IF(INDEX(GELIR_GIDER!$F$7:$F$3001,$U402)="",""," – "&amp;INDEX(GELIR_GIDER!$F$7:$F$3001,$U402)))</f>
        <v/>
      </c>
      <c r="P402" s="1" t="str">
        <f t="shared" si="72"/>
        <v/>
      </c>
      <c r="Q402" s="1"/>
      <c r="R402" s="1">
        <f>IF($N402="",0,INDEX(GELIR_GIDER!$G$7:$G$3001,$U402))</f>
        <v>0</v>
      </c>
      <c r="S402" s="1">
        <v>0</v>
      </c>
      <c r="T402" s="1">
        <f t="shared" si="73"/>
        <v>10000000000</v>
      </c>
      <c r="U402" s="1">
        <f>IFERROR(MATCH($AC$4&amp;"|30",GELIR_GIDER!$U$7:$U$3001,0),0)</f>
        <v>0</v>
      </c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9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>
        <v>392</v>
      </c>
      <c r="N403" s="1" t="str">
        <f>IF($U403=0,"",INDEX(GELIR_GIDER!$C$7:$C$3001,$U403))</f>
        <v/>
      </c>
      <c r="O403" s="1" t="str">
        <f>IF($N403="","",INDEX(GELIR_GIDER!$E$7:$E$3001,$U403)&amp;IF(INDEX(GELIR_GIDER!$F$7:$F$3001,$U403)="",""," – "&amp;INDEX(GELIR_GIDER!$F$7:$F$3001,$U403)))</f>
        <v/>
      </c>
      <c r="P403" s="1" t="str">
        <f t="shared" si="72"/>
        <v/>
      </c>
      <c r="Q403" s="1"/>
      <c r="R403" s="1">
        <f>IF($N403="",0,INDEX(GELIR_GIDER!$G$7:$G$3001,$U403))</f>
        <v>0</v>
      </c>
      <c r="S403" s="1">
        <v>0</v>
      </c>
      <c r="T403" s="1">
        <f t="shared" si="73"/>
        <v>10000000000</v>
      </c>
      <c r="U403" s="1">
        <f>IFERROR(MATCH($AC$4&amp;"|31",GELIR_GIDER!$U$7:$U$3001,0),0)</f>
        <v>0</v>
      </c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9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>
        <v>393</v>
      </c>
      <c r="N404" s="1" t="str">
        <f>IF($U404=0,"",INDEX(GELIR_GIDER!$C$7:$C$3001,$U404))</f>
        <v/>
      </c>
      <c r="O404" s="1" t="str">
        <f>IF($N404="","",INDEX(GELIR_GIDER!$E$7:$E$3001,$U404)&amp;IF(INDEX(GELIR_GIDER!$F$7:$F$3001,$U404)="",""," – "&amp;INDEX(GELIR_GIDER!$F$7:$F$3001,$U404)))</f>
        <v/>
      </c>
      <c r="P404" s="1" t="str">
        <f t="shared" si="72"/>
        <v/>
      </c>
      <c r="Q404" s="1"/>
      <c r="R404" s="1">
        <f>IF($N404="",0,INDEX(GELIR_GIDER!$G$7:$G$3001,$U404))</f>
        <v>0</v>
      </c>
      <c r="S404" s="1">
        <v>0</v>
      </c>
      <c r="T404" s="1">
        <f t="shared" si="73"/>
        <v>10000000000</v>
      </c>
      <c r="U404" s="1">
        <f>IFERROR(MATCH($AC$4&amp;"|32",GELIR_GIDER!$U$7:$U$3001,0),0)</f>
        <v>0</v>
      </c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9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>
        <v>394</v>
      </c>
      <c r="N405" s="1" t="str">
        <f>IF($U405=0,"",INDEX(GELIR_GIDER!$C$7:$C$3001,$U405))</f>
        <v/>
      </c>
      <c r="O405" s="1" t="str">
        <f>IF($N405="","",INDEX(GELIR_GIDER!$E$7:$E$3001,$U405)&amp;IF(INDEX(GELIR_GIDER!$F$7:$F$3001,$U405)="",""," – "&amp;INDEX(GELIR_GIDER!$F$7:$F$3001,$U405)))</f>
        <v/>
      </c>
      <c r="P405" s="1" t="str">
        <f t="shared" ref="P405:P432" si="74">IF($N405="","","EK HİZMET")</f>
        <v/>
      </c>
      <c r="Q405" s="1"/>
      <c r="R405" s="1">
        <f>IF($N405="",0,INDEX(GELIR_GIDER!$G$7:$G$3001,$U405))</f>
        <v>0</v>
      </c>
      <c r="S405" s="1">
        <v>0</v>
      </c>
      <c r="T405" s="1">
        <f t="shared" si="73"/>
        <v>10000000000</v>
      </c>
      <c r="U405" s="1">
        <f>IFERROR(MATCH($AC$4&amp;"|33",GELIR_GIDER!$U$7:$U$3001,0),0)</f>
        <v>0</v>
      </c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9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>
        <v>395</v>
      </c>
      <c r="N406" s="1" t="str">
        <f>IF($U406=0,"",INDEX(GELIR_GIDER!$C$7:$C$3001,$U406))</f>
        <v/>
      </c>
      <c r="O406" s="1" t="str">
        <f>IF($N406="","",INDEX(GELIR_GIDER!$E$7:$E$3001,$U406)&amp;IF(INDEX(GELIR_GIDER!$F$7:$F$3001,$U406)="",""," – "&amp;INDEX(GELIR_GIDER!$F$7:$F$3001,$U406)))</f>
        <v/>
      </c>
      <c r="P406" s="1" t="str">
        <f t="shared" si="74"/>
        <v/>
      </c>
      <c r="Q406" s="1"/>
      <c r="R406" s="1">
        <f>IF($N406="",0,INDEX(GELIR_GIDER!$G$7:$G$3001,$U406))</f>
        <v>0</v>
      </c>
      <c r="S406" s="1">
        <v>0</v>
      </c>
      <c r="T406" s="1">
        <f t="shared" si="73"/>
        <v>10000000000</v>
      </c>
      <c r="U406" s="1">
        <f>IFERROR(MATCH($AC$4&amp;"|34",GELIR_GIDER!$U$7:$U$3001,0),0)</f>
        <v>0</v>
      </c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9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>
        <v>396</v>
      </c>
      <c r="N407" s="1" t="str">
        <f>IF($U407=0,"",INDEX(GELIR_GIDER!$C$7:$C$3001,$U407))</f>
        <v/>
      </c>
      <c r="O407" s="1" t="str">
        <f>IF($N407="","",INDEX(GELIR_GIDER!$E$7:$E$3001,$U407)&amp;IF(INDEX(GELIR_GIDER!$F$7:$F$3001,$U407)="",""," – "&amp;INDEX(GELIR_GIDER!$F$7:$F$3001,$U407)))</f>
        <v/>
      </c>
      <c r="P407" s="1" t="str">
        <f t="shared" si="74"/>
        <v/>
      </c>
      <c r="Q407" s="1"/>
      <c r="R407" s="1">
        <f>IF($N407="",0,INDEX(GELIR_GIDER!$G$7:$G$3001,$U407))</f>
        <v>0</v>
      </c>
      <c r="S407" s="1">
        <v>0</v>
      </c>
      <c r="T407" s="1">
        <f t="shared" si="73"/>
        <v>10000000000</v>
      </c>
      <c r="U407" s="1">
        <f>IFERROR(MATCH($AC$4&amp;"|35",GELIR_GIDER!$U$7:$U$3001,0),0)</f>
        <v>0</v>
      </c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9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>
        <v>397</v>
      </c>
      <c r="N408" s="1" t="str">
        <f>IF($U408=0,"",INDEX(GELIR_GIDER!$C$7:$C$3001,$U408))</f>
        <v/>
      </c>
      <c r="O408" s="1" t="str">
        <f>IF($N408="","",INDEX(GELIR_GIDER!$E$7:$E$3001,$U408)&amp;IF(INDEX(GELIR_GIDER!$F$7:$F$3001,$U408)="",""," – "&amp;INDEX(GELIR_GIDER!$F$7:$F$3001,$U408)))</f>
        <v/>
      </c>
      <c r="P408" s="1" t="str">
        <f t="shared" si="74"/>
        <v/>
      </c>
      <c r="Q408" s="1"/>
      <c r="R408" s="1">
        <f>IF($N408="",0,INDEX(GELIR_GIDER!$G$7:$G$3001,$U408))</f>
        <v>0</v>
      </c>
      <c r="S408" s="1">
        <v>0</v>
      </c>
      <c r="T408" s="1">
        <f t="shared" si="73"/>
        <v>10000000000</v>
      </c>
      <c r="U408" s="1">
        <f>IFERROR(MATCH($AC$4&amp;"|36",GELIR_GIDER!$U$7:$U$3001,0),0)</f>
        <v>0</v>
      </c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9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>
        <v>398</v>
      </c>
      <c r="N409" s="1" t="str">
        <f>IF($U409=0,"",INDEX(GELIR_GIDER!$C$7:$C$3001,$U409))</f>
        <v/>
      </c>
      <c r="O409" s="1" t="str">
        <f>IF($N409="","",INDEX(GELIR_GIDER!$E$7:$E$3001,$U409)&amp;IF(INDEX(GELIR_GIDER!$F$7:$F$3001,$U409)="",""," – "&amp;INDEX(GELIR_GIDER!$F$7:$F$3001,$U409)))</f>
        <v/>
      </c>
      <c r="P409" s="1" t="str">
        <f t="shared" si="74"/>
        <v/>
      </c>
      <c r="Q409" s="1"/>
      <c r="R409" s="1">
        <f>IF($N409="",0,INDEX(GELIR_GIDER!$G$7:$G$3001,$U409))</f>
        <v>0</v>
      </c>
      <c r="S409" s="1">
        <v>0</v>
      </c>
      <c r="T409" s="1">
        <f t="shared" si="73"/>
        <v>10000000000</v>
      </c>
      <c r="U409" s="1">
        <f>IFERROR(MATCH($AC$4&amp;"|37",GELIR_GIDER!$U$7:$U$3001,0),0)</f>
        <v>0</v>
      </c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9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>
        <v>399</v>
      </c>
      <c r="N410" s="1" t="str">
        <f>IF($U410=0,"",INDEX(GELIR_GIDER!$C$7:$C$3001,$U410))</f>
        <v/>
      </c>
      <c r="O410" s="1" t="str">
        <f>IF($N410="","",INDEX(GELIR_GIDER!$E$7:$E$3001,$U410)&amp;IF(INDEX(GELIR_GIDER!$F$7:$F$3001,$U410)="",""," – "&amp;INDEX(GELIR_GIDER!$F$7:$F$3001,$U410)))</f>
        <v/>
      </c>
      <c r="P410" s="1" t="str">
        <f t="shared" si="74"/>
        <v/>
      </c>
      <c r="Q410" s="1"/>
      <c r="R410" s="1">
        <f>IF($N410="",0,INDEX(GELIR_GIDER!$G$7:$G$3001,$U410))</f>
        <v>0</v>
      </c>
      <c r="S410" s="1">
        <v>0</v>
      </c>
      <c r="T410" s="1">
        <f t="shared" si="73"/>
        <v>10000000000</v>
      </c>
      <c r="U410" s="1">
        <f>IFERROR(MATCH($AC$4&amp;"|38",GELIR_GIDER!$U$7:$U$3001,0),0)</f>
        <v>0</v>
      </c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9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>
        <v>400</v>
      </c>
      <c r="N411" s="1" t="str">
        <f>IF($U411=0,"",INDEX(GELIR_GIDER!$C$7:$C$3001,$U411))</f>
        <v/>
      </c>
      <c r="O411" s="1" t="str">
        <f>IF($N411="","",INDEX(GELIR_GIDER!$E$7:$E$3001,$U411)&amp;IF(INDEX(GELIR_GIDER!$F$7:$F$3001,$U411)="",""," – "&amp;INDEX(GELIR_GIDER!$F$7:$F$3001,$U411)))</f>
        <v/>
      </c>
      <c r="P411" s="1" t="str">
        <f t="shared" si="74"/>
        <v/>
      </c>
      <c r="Q411" s="1"/>
      <c r="R411" s="1">
        <f>IF($N411="",0,INDEX(GELIR_GIDER!$G$7:$G$3001,$U411))</f>
        <v>0</v>
      </c>
      <c r="S411" s="1">
        <v>0</v>
      </c>
      <c r="T411" s="1">
        <f t="shared" si="73"/>
        <v>10000000000</v>
      </c>
      <c r="U411" s="1">
        <f>IFERROR(MATCH($AC$4&amp;"|39",GELIR_GIDER!$U$7:$U$3001,0),0)</f>
        <v>0</v>
      </c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9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>
        <v>401</v>
      </c>
      <c r="N412" s="1" t="str">
        <f>IF($U412=0,"",INDEX(GELIR_GIDER!$C$7:$C$3001,$U412))</f>
        <v/>
      </c>
      <c r="O412" s="1" t="str">
        <f>IF($N412="","",INDEX(GELIR_GIDER!$E$7:$E$3001,$U412)&amp;IF(INDEX(GELIR_GIDER!$F$7:$F$3001,$U412)="",""," – "&amp;INDEX(GELIR_GIDER!$F$7:$F$3001,$U412)))</f>
        <v/>
      </c>
      <c r="P412" s="1" t="str">
        <f t="shared" si="74"/>
        <v/>
      </c>
      <c r="Q412" s="1"/>
      <c r="R412" s="1">
        <f>IF($N412="",0,INDEX(GELIR_GIDER!$G$7:$G$3001,$U412))</f>
        <v>0</v>
      </c>
      <c r="S412" s="1">
        <v>0</v>
      </c>
      <c r="T412" s="1">
        <f t="shared" si="73"/>
        <v>10000000000</v>
      </c>
      <c r="U412" s="1">
        <f>IFERROR(MATCH($AC$4&amp;"|40",GELIR_GIDER!$U$7:$U$3001,0),0)</f>
        <v>0</v>
      </c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9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>
        <v>402</v>
      </c>
      <c r="N413" s="1" t="str">
        <f>IF($U413=0,"",INDEX(GELIR_GIDER!$C$7:$C$3001,$U413))</f>
        <v/>
      </c>
      <c r="O413" s="1" t="str">
        <f>IF($N413="","",INDEX(GELIR_GIDER!$E$7:$E$3001,$U413)&amp;IF(INDEX(GELIR_GIDER!$F$7:$F$3001,$U413)="",""," – "&amp;INDEX(GELIR_GIDER!$F$7:$F$3001,$U413)))</f>
        <v/>
      </c>
      <c r="P413" s="1" t="str">
        <f t="shared" si="74"/>
        <v/>
      </c>
      <c r="Q413" s="1"/>
      <c r="R413" s="1">
        <f>IF($N413="",0,INDEX(GELIR_GIDER!$G$7:$G$3001,$U413))</f>
        <v>0</v>
      </c>
      <c r="S413" s="1">
        <v>0</v>
      </c>
      <c r="T413" s="1">
        <f t="shared" si="73"/>
        <v>10000000000</v>
      </c>
      <c r="U413" s="1">
        <f>IFERROR(MATCH($AC$4&amp;"|41",GELIR_GIDER!$U$7:$U$3001,0),0)</f>
        <v>0</v>
      </c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9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>
        <v>403</v>
      </c>
      <c r="N414" s="1" t="str">
        <f>IF($U414=0,"",INDEX(GELIR_GIDER!$C$7:$C$3001,$U414))</f>
        <v/>
      </c>
      <c r="O414" s="1" t="str">
        <f>IF($N414="","",INDEX(GELIR_GIDER!$E$7:$E$3001,$U414)&amp;IF(INDEX(GELIR_GIDER!$F$7:$F$3001,$U414)="",""," – "&amp;INDEX(GELIR_GIDER!$F$7:$F$3001,$U414)))</f>
        <v/>
      </c>
      <c r="P414" s="1" t="str">
        <f t="shared" si="74"/>
        <v/>
      </c>
      <c r="Q414" s="1"/>
      <c r="R414" s="1">
        <f>IF($N414="",0,INDEX(GELIR_GIDER!$G$7:$G$3001,$U414))</f>
        <v>0</v>
      </c>
      <c r="S414" s="1">
        <v>0</v>
      </c>
      <c r="T414" s="1">
        <f t="shared" si="73"/>
        <v>10000000000</v>
      </c>
      <c r="U414" s="1">
        <f>IFERROR(MATCH($AC$4&amp;"|42",GELIR_GIDER!$U$7:$U$3001,0),0)</f>
        <v>0</v>
      </c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9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>
        <v>404</v>
      </c>
      <c r="N415" s="1" t="str">
        <f>IF($U415=0,"",INDEX(GELIR_GIDER!$C$7:$C$3001,$U415))</f>
        <v/>
      </c>
      <c r="O415" s="1" t="str">
        <f>IF($N415="","",INDEX(GELIR_GIDER!$E$7:$E$3001,$U415)&amp;IF(INDEX(GELIR_GIDER!$F$7:$F$3001,$U415)="",""," – "&amp;INDEX(GELIR_GIDER!$F$7:$F$3001,$U415)))</f>
        <v/>
      </c>
      <c r="P415" s="1" t="str">
        <f t="shared" si="74"/>
        <v/>
      </c>
      <c r="Q415" s="1"/>
      <c r="R415" s="1">
        <f>IF($N415="",0,INDEX(GELIR_GIDER!$G$7:$G$3001,$U415))</f>
        <v>0</v>
      </c>
      <c r="S415" s="1">
        <v>0</v>
      </c>
      <c r="T415" s="1">
        <f t="shared" si="73"/>
        <v>10000000000</v>
      </c>
      <c r="U415" s="1">
        <f>IFERROR(MATCH($AC$4&amp;"|43",GELIR_GIDER!$U$7:$U$3001,0),0)</f>
        <v>0</v>
      </c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9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>
        <v>405</v>
      </c>
      <c r="N416" s="1" t="str">
        <f>IF($U416=0,"",INDEX(GELIR_GIDER!$C$7:$C$3001,$U416))</f>
        <v/>
      </c>
      <c r="O416" s="1" t="str">
        <f>IF($N416="","",INDEX(GELIR_GIDER!$E$7:$E$3001,$U416)&amp;IF(INDEX(GELIR_GIDER!$F$7:$F$3001,$U416)="",""," – "&amp;INDEX(GELIR_GIDER!$F$7:$F$3001,$U416)))</f>
        <v/>
      </c>
      <c r="P416" s="1" t="str">
        <f t="shared" si="74"/>
        <v/>
      </c>
      <c r="Q416" s="1"/>
      <c r="R416" s="1">
        <f>IF($N416="",0,INDEX(GELIR_GIDER!$G$7:$G$3001,$U416))</f>
        <v>0</v>
      </c>
      <c r="S416" s="1">
        <v>0</v>
      </c>
      <c r="T416" s="1">
        <f t="shared" si="73"/>
        <v>10000000000</v>
      </c>
      <c r="U416" s="1">
        <f>IFERROR(MATCH($AC$4&amp;"|44",GELIR_GIDER!$U$7:$U$3001,0),0)</f>
        <v>0</v>
      </c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9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>
        <v>406</v>
      </c>
      <c r="N417" s="1" t="str">
        <f>IF($U417=0,"",INDEX(GELIR_GIDER!$C$7:$C$3001,$U417))</f>
        <v/>
      </c>
      <c r="O417" s="1" t="str">
        <f>IF($N417="","",INDEX(GELIR_GIDER!$E$7:$E$3001,$U417)&amp;IF(INDEX(GELIR_GIDER!$F$7:$F$3001,$U417)="",""," – "&amp;INDEX(GELIR_GIDER!$F$7:$F$3001,$U417)))</f>
        <v/>
      </c>
      <c r="P417" s="1" t="str">
        <f t="shared" si="74"/>
        <v/>
      </c>
      <c r="Q417" s="1"/>
      <c r="R417" s="1">
        <f>IF($N417="",0,INDEX(GELIR_GIDER!$G$7:$G$3001,$U417))</f>
        <v>0</v>
      </c>
      <c r="S417" s="1">
        <v>0</v>
      </c>
      <c r="T417" s="1">
        <f t="shared" si="73"/>
        <v>10000000000</v>
      </c>
      <c r="U417" s="1">
        <f>IFERROR(MATCH($AC$4&amp;"|45",GELIR_GIDER!$U$7:$U$3001,0),0)</f>
        <v>0</v>
      </c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9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>
        <v>407</v>
      </c>
      <c r="N418" s="1" t="str">
        <f>IF($U418=0,"",INDEX(GELIR_GIDER!$C$7:$C$3001,$U418))</f>
        <v/>
      </c>
      <c r="O418" s="1" t="str">
        <f>IF($N418="","",INDEX(GELIR_GIDER!$E$7:$E$3001,$U418)&amp;IF(INDEX(GELIR_GIDER!$F$7:$F$3001,$U418)="",""," – "&amp;INDEX(GELIR_GIDER!$F$7:$F$3001,$U418)))</f>
        <v/>
      </c>
      <c r="P418" s="1" t="str">
        <f t="shared" si="74"/>
        <v/>
      </c>
      <c r="Q418" s="1"/>
      <c r="R418" s="1">
        <f>IF($N418="",0,INDEX(GELIR_GIDER!$G$7:$G$3001,$U418))</f>
        <v>0</v>
      </c>
      <c r="S418" s="1">
        <v>0</v>
      </c>
      <c r="T418" s="1">
        <f t="shared" si="73"/>
        <v>10000000000</v>
      </c>
      <c r="U418" s="1">
        <f>IFERROR(MATCH($AC$4&amp;"|46",GELIR_GIDER!$U$7:$U$3001,0),0)</f>
        <v>0</v>
      </c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9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>
        <v>408</v>
      </c>
      <c r="N419" s="1" t="str">
        <f>IF($U419=0,"",INDEX(GELIR_GIDER!$C$7:$C$3001,$U419))</f>
        <v/>
      </c>
      <c r="O419" s="1" t="str">
        <f>IF($N419="","",INDEX(GELIR_GIDER!$E$7:$E$3001,$U419)&amp;IF(INDEX(GELIR_GIDER!$F$7:$F$3001,$U419)="",""," – "&amp;INDEX(GELIR_GIDER!$F$7:$F$3001,$U419)))</f>
        <v/>
      </c>
      <c r="P419" s="1" t="str">
        <f t="shared" si="74"/>
        <v/>
      </c>
      <c r="Q419" s="1"/>
      <c r="R419" s="1">
        <f>IF($N419="",0,INDEX(GELIR_GIDER!$G$7:$G$3001,$U419))</f>
        <v>0</v>
      </c>
      <c r="S419" s="1">
        <v>0</v>
      </c>
      <c r="T419" s="1">
        <f t="shared" si="73"/>
        <v>10000000000</v>
      </c>
      <c r="U419" s="1">
        <f>IFERROR(MATCH($AC$4&amp;"|47",GELIR_GIDER!$U$7:$U$3001,0),0)</f>
        <v>0</v>
      </c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9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>
        <v>409</v>
      </c>
      <c r="N420" s="1" t="str">
        <f>IF($U420=0,"",INDEX(GELIR_GIDER!$C$7:$C$3001,$U420))</f>
        <v/>
      </c>
      <c r="O420" s="1" t="str">
        <f>IF($N420="","",INDEX(GELIR_GIDER!$E$7:$E$3001,$U420)&amp;IF(INDEX(GELIR_GIDER!$F$7:$F$3001,$U420)="",""," – "&amp;INDEX(GELIR_GIDER!$F$7:$F$3001,$U420)))</f>
        <v/>
      </c>
      <c r="P420" s="1" t="str">
        <f t="shared" si="74"/>
        <v/>
      </c>
      <c r="Q420" s="1"/>
      <c r="R420" s="1">
        <f>IF($N420="",0,INDEX(GELIR_GIDER!$G$7:$G$3001,$U420))</f>
        <v>0</v>
      </c>
      <c r="S420" s="1">
        <v>0</v>
      </c>
      <c r="T420" s="1">
        <f t="shared" si="73"/>
        <v>10000000000</v>
      </c>
      <c r="U420" s="1">
        <f>IFERROR(MATCH($AC$4&amp;"|48",GELIR_GIDER!$U$7:$U$3001,0),0)</f>
        <v>0</v>
      </c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9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>
        <v>410</v>
      </c>
      <c r="N421" s="1" t="str">
        <f>IF($U421=0,"",INDEX(GELIR_GIDER!$C$7:$C$3001,$U421))</f>
        <v/>
      </c>
      <c r="O421" s="1" t="str">
        <f>IF($N421="","",INDEX(GELIR_GIDER!$E$7:$E$3001,$U421)&amp;IF(INDEX(GELIR_GIDER!$F$7:$F$3001,$U421)="",""," – "&amp;INDEX(GELIR_GIDER!$F$7:$F$3001,$U421)))</f>
        <v/>
      </c>
      <c r="P421" s="1" t="str">
        <f t="shared" si="74"/>
        <v/>
      </c>
      <c r="Q421" s="1"/>
      <c r="R421" s="1">
        <f>IF($N421="",0,INDEX(GELIR_GIDER!$G$7:$G$3001,$U421))</f>
        <v>0</v>
      </c>
      <c r="S421" s="1">
        <v>0</v>
      </c>
      <c r="T421" s="1">
        <f t="shared" si="73"/>
        <v>10000000000</v>
      </c>
      <c r="U421" s="1">
        <f>IFERROR(MATCH($AC$4&amp;"|49",GELIR_GIDER!$U$7:$U$3001,0),0)</f>
        <v>0</v>
      </c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9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>
        <v>411</v>
      </c>
      <c r="N422" s="1" t="str">
        <f>IF($U422=0,"",INDEX(GELIR_GIDER!$C$7:$C$3001,$U422))</f>
        <v/>
      </c>
      <c r="O422" s="1" t="str">
        <f>IF($N422="","",INDEX(GELIR_GIDER!$E$7:$E$3001,$U422)&amp;IF(INDEX(GELIR_GIDER!$F$7:$F$3001,$U422)="",""," – "&amp;INDEX(GELIR_GIDER!$F$7:$F$3001,$U422)))</f>
        <v/>
      </c>
      <c r="P422" s="1" t="str">
        <f t="shared" si="74"/>
        <v/>
      </c>
      <c r="Q422" s="1"/>
      <c r="R422" s="1">
        <f>IF($N422="",0,INDEX(GELIR_GIDER!$G$7:$G$3001,$U422))</f>
        <v>0</v>
      </c>
      <c r="S422" s="1">
        <v>0</v>
      </c>
      <c r="T422" s="1">
        <f t="shared" si="73"/>
        <v>10000000000</v>
      </c>
      <c r="U422" s="1">
        <f>IFERROR(MATCH($AC$4&amp;"|50",GELIR_GIDER!$U$7:$U$3001,0),0)</f>
        <v>0</v>
      </c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9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>
        <v>412</v>
      </c>
      <c r="N423" s="1" t="str">
        <f>IF($U423=0,"",INDEX(GELIR_GIDER!$C$7:$C$3001,$U423))</f>
        <v/>
      </c>
      <c r="O423" s="1" t="str">
        <f>IF($N423="","",INDEX(GELIR_GIDER!$E$7:$E$3001,$U423)&amp;IF(INDEX(GELIR_GIDER!$F$7:$F$3001,$U423)="",""," – "&amp;INDEX(GELIR_GIDER!$F$7:$F$3001,$U423)))</f>
        <v/>
      </c>
      <c r="P423" s="1" t="str">
        <f t="shared" si="74"/>
        <v/>
      </c>
      <c r="Q423" s="1"/>
      <c r="R423" s="1">
        <f>IF($N423="",0,INDEX(GELIR_GIDER!$G$7:$G$3001,$U423))</f>
        <v>0</v>
      </c>
      <c r="S423" s="1">
        <v>0</v>
      </c>
      <c r="T423" s="1">
        <f t="shared" si="73"/>
        <v>10000000000</v>
      </c>
      <c r="U423" s="1">
        <f>IFERROR(MATCH($AC$4&amp;"|51",GELIR_GIDER!$U$7:$U$3001,0),0)</f>
        <v>0</v>
      </c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9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>
        <v>413</v>
      </c>
      <c r="N424" s="1" t="str">
        <f>IF($U424=0,"",INDEX(GELIR_GIDER!$C$7:$C$3001,$U424))</f>
        <v/>
      </c>
      <c r="O424" s="1" t="str">
        <f>IF($N424="","",INDEX(GELIR_GIDER!$E$7:$E$3001,$U424)&amp;IF(INDEX(GELIR_GIDER!$F$7:$F$3001,$U424)="",""," – "&amp;INDEX(GELIR_GIDER!$F$7:$F$3001,$U424)))</f>
        <v/>
      </c>
      <c r="P424" s="1" t="str">
        <f t="shared" si="74"/>
        <v/>
      </c>
      <c r="Q424" s="1"/>
      <c r="R424" s="1">
        <f>IF($N424="",0,INDEX(GELIR_GIDER!$G$7:$G$3001,$U424))</f>
        <v>0</v>
      </c>
      <c r="S424" s="1">
        <v>0</v>
      </c>
      <c r="T424" s="1">
        <f t="shared" si="73"/>
        <v>10000000000</v>
      </c>
      <c r="U424" s="1">
        <f>IFERROR(MATCH($AC$4&amp;"|52",GELIR_GIDER!$U$7:$U$3001,0),0)</f>
        <v>0</v>
      </c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9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>
        <v>414</v>
      </c>
      <c r="N425" s="1" t="str">
        <f>IF($U425=0,"",INDEX(GELIR_GIDER!$C$7:$C$3001,$U425))</f>
        <v/>
      </c>
      <c r="O425" s="1" t="str">
        <f>IF($N425="","",INDEX(GELIR_GIDER!$E$7:$E$3001,$U425)&amp;IF(INDEX(GELIR_GIDER!$F$7:$F$3001,$U425)="",""," – "&amp;INDEX(GELIR_GIDER!$F$7:$F$3001,$U425)))</f>
        <v/>
      </c>
      <c r="P425" s="1" t="str">
        <f t="shared" si="74"/>
        <v/>
      </c>
      <c r="Q425" s="1"/>
      <c r="R425" s="1">
        <f>IF($N425="",0,INDEX(GELIR_GIDER!$G$7:$G$3001,$U425))</f>
        <v>0</v>
      </c>
      <c r="S425" s="1">
        <v>0</v>
      </c>
      <c r="T425" s="1">
        <f t="shared" si="73"/>
        <v>10000000000</v>
      </c>
      <c r="U425" s="1">
        <f>IFERROR(MATCH($AC$4&amp;"|53",GELIR_GIDER!$U$7:$U$3001,0),0)</f>
        <v>0</v>
      </c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9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>
        <v>415</v>
      </c>
      <c r="N426" s="1" t="str">
        <f>IF($U426=0,"",INDEX(GELIR_GIDER!$C$7:$C$3001,$U426))</f>
        <v/>
      </c>
      <c r="O426" s="1" t="str">
        <f>IF($N426="","",INDEX(GELIR_GIDER!$E$7:$E$3001,$U426)&amp;IF(INDEX(GELIR_GIDER!$F$7:$F$3001,$U426)="",""," – "&amp;INDEX(GELIR_GIDER!$F$7:$F$3001,$U426)))</f>
        <v/>
      </c>
      <c r="P426" s="1" t="str">
        <f t="shared" si="74"/>
        <v/>
      </c>
      <c r="Q426" s="1"/>
      <c r="R426" s="1">
        <f>IF($N426="",0,INDEX(GELIR_GIDER!$G$7:$G$3001,$U426))</f>
        <v>0</v>
      </c>
      <c r="S426" s="1">
        <v>0</v>
      </c>
      <c r="T426" s="1">
        <f t="shared" si="73"/>
        <v>10000000000</v>
      </c>
      <c r="U426" s="1">
        <f>IFERROR(MATCH($AC$4&amp;"|54",GELIR_GIDER!$U$7:$U$3001,0),0)</f>
        <v>0</v>
      </c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9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>
        <v>416</v>
      </c>
      <c r="N427" s="1" t="str">
        <f>IF($U427=0,"",INDEX(GELIR_GIDER!$C$7:$C$3001,$U427))</f>
        <v/>
      </c>
      <c r="O427" s="1" t="str">
        <f>IF($N427="","",INDEX(GELIR_GIDER!$E$7:$E$3001,$U427)&amp;IF(INDEX(GELIR_GIDER!$F$7:$F$3001,$U427)="",""," – "&amp;INDEX(GELIR_GIDER!$F$7:$F$3001,$U427)))</f>
        <v/>
      </c>
      <c r="P427" s="1" t="str">
        <f t="shared" si="74"/>
        <v/>
      </c>
      <c r="Q427" s="1"/>
      <c r="R427" s="1">
        <f>IF($N427="",0,INDEX(GELIR_GIDER!$G$7:$G$3001,$U427))</f>
        <v>0</v>
      </c>
      <c r="S427" s="1">
        <v>0</v>
      </c>
      <c r="T427" s="1">
        <f t="shared" si="73"/>
        <v>10000000000</v>
      </c>
      <c r="U427" s="1">
        <f>IFERROR(MATCH($AC$4&amp;"|55",GELIR_GIDER!$U$7:$U$3001,0),0)</f>
        <v>0</v>
      </c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9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>
        <v>417</v>
      </c>
      <c r="N428" s="1" t="str">
        <f>IF($U428=0,"",INDEX(GELIR_GIDER!$C$7:$C$3001,$U428))</f>
        <v/>
      </c>
      <c r="O428" s="1" t="str">
        <f>IF($N428="","",INDEX(GELIR_GIDER!$E$7:$E$3001,$U428)&amp;IF(INDEX(GELIR_GIDER!$F$7:$F$3001,$U428)="",""," – "&amp;INDEX(GELIR_GIDER!$F$7:$F$3001,$U428)))</f>
        <v/>
      </c>
      <c r="P428" s="1" t="str">
        <f t="shared" si="74"/>
        <v/>
      </c>
      <c r="Q428" s="1"/>
      <c r="R428" s="1">
        <f>IF($N428="",0,INDEX(GELIR_GIDER!$G$7:$G$3001,$U428))</f>
        <v>0</v>
      </c>
      <c r="S428" s="1">
        <v>0</v>
      </c>
      <c r="T428" s="1">
        <f t="shared" si="73"/>
        <v>10000000000</v>
      </c>
      <c r="U428" s="1">
        <f>IFERROR(MATCH($AC$4&amp;"|56",GELIR_GIDER!$U$7:$U$3001,0),0)</f>
        <v>0</v>
      </c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9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>
        <v>418</v>
      </c>
      <c r="N429" s="1" t="str">
        <f>IF($U429=0,"",INDEX(GELIR_GIDER!$C$7:$C$3001,$U429))</f>
        <v/>
      </c>
      <c r="O429" s="1" t="str">
        <f>IF($N429="","",INDEX(GELIR_GIDER!$E$7:$E$3001,$U429)&amp;IF(INDEX(GELIR_GIDER!$F$7:$F$3001,$U429)="",""," – "&amp;INDEX(GELIR_GIDER!$F$7:$F$3001,$U429)))</f>
        <v/>
      </c>
      <c r="P429" s="1" t="str">
        <f t="shared" si="74"/>
        <v/>
      </c>
      <c r="Q429" s="1"/>
      <c r="R429" s="1">
        <f>IF($N429="",0,INDEX(GELIR_GIDER!$G$7:$G$3001,$U429))</f>
        <v>0</v>
      </c>
      <c r="S429" s="1">
        <v>0</v>
      </c>
      <c r="T429" s="1">
        <f t="shared" si="73"/>
        <v>10000000000</v>
      </c>
      <c r="U429" s="1">
        <f>IFERROR(MATCH($AC$4&amp;"|57",GELIR_GIDER!$U$7:$U$3001,0),0)</f>
        <v>0</v>
      </c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9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>
        <v>419</v>
      </c>
      <c r="N430" s="1" t="str">
        <f>IF($U430=0,"",INDEX(GELIR_GIDER!$C$7:$C$3001,$U430))</f>
        <v/>
      </c>
      <c r="O430" s="1" t="str">
        <f>IF($N430="","",INDEX(GELIR_GIDER!$E$7:$E$3001,$U430)&amp;IF(INDEX(GELIR_GIDER!$F$7:$F$3001,$U430)="",""," – "&amp;INDEX(GELIR_GIDER!$F$7:$F$3001,$U430)))</f>
        <v/>
      </c>
      <c r="P430" s="1" t="str">
        <f t="shared" si="74"/>
        <v/>
      </c>
      <c r="Q430" s="1"/>
      <c r="R430" s="1">
        <f>IF($N430="",0,INDEX(GELIR_GIDER!$G$7:$G$3001,$U430))</f>
        <v>0</v>
      </c>
      <c r="S430" s="1">
        <v>0</v>
      </c>
      <c r="T430" s="1">
        <f t="shared" si="73"/>
        <v>10000000000</v>
      </c>
      <c r="U430" s="1">
        <f>IFERROR(MATCH($AC$4&amp;"|58",GELIR_GIDER!$U$7:$U$3001,0),0)</f>
        <v>0</v>
      </c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9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>
        <v>420</v>
      </c>
      <c r="N431" s="1" t="str">
        <f>IF($U431=0,"",INDEX(GELIR_GIDER!$C$7:$C$3001,$U431))</f>
        <v/>
      </c>
      <c r="O431" s="1" t="str">
        <f>IF($N431="","",INDEX(GELIR_GIDER!$E$7:$E$3001,$U431)&amp;IF(INDEX(GELIR_GIDER!$F$7:$F$3001,$U431)="",""," – "&amp;INDEX(GELIR_GIDER!$F$7:$F$3001,$U431)))</f>
        <v/>
      </c>
      <c r="P431" s="1" t="str">
        <f t="shared" si="74"/>
        <v/>
      </c>
      <c r="Q431" s="1"/>
      <c r="R431" s="1">
        <f>IF($N431="",0,INDEX(GELIR_GIDER!$G$7:$G$3001,$U431))</f>
        <v>0</v>
      </c>
      <c r="S431" s="1">
        <v>0</v>
      </c>
      <c r="T431" s="1">
        <f t="shared" si="73"/>
        <v>10000000000</v>
      </c>
      <c r="U431" s="1">
        <f>IFERROR(MATCH($AC$4&amp;"|59",GELIR_GIDER!$U$7:$U$3001,0),0)</f>
        <v>0</v>
      </c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9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>
        <v>421</v>
      </c>
      <c r="N432" s="1" t="str">
        <f>IF($U432=0,"",INDEX(GELIR_GIDER!$C$7:$C$3001,$U432))</f>
        <v/>
      </c>
      <c r="O432" s="1" t="str">
        <f>IF($N432="","",INDEX(GELIR_GIDER!$E$7:$E$3001,$U432)&amp;IF(INDEX(GELIR_GIDER!$F$7:$F$3001,$U432)="",""," – "&amp;INDEX(GELIR_GIDER!$F$7:$F$3001,$U432)))</f>
        <v/>
      </c>
      <c r="P432" s="1" t="str">
        <f t="shared" si="74"/>
        <v/>
      </c>
      <c r="Q432" s="1"/>
      <c r="R432" s="1">
        <f>IF($N432="",0,INDEX(GELIR_GIDER!$G$7:$G$3001,$U432))</f>
        <v>0</v>
      </c>
      <c r="S432" s="1">
        <v>0</v>
      </c>
      <c r="T432" s="1">
        <f t="shared" si="73"/>
        <v>10000000000</v>
      </c>
      <c r="U432" s="1">
        <f>IFERROR(MATCH($AC$4&amp;"|60",GELIR_GIDER!$U$7:$U$3001,0),0)</f>
        <v>0</v>
      </c>
      <c r="V432" s="1"/>
      <c r="W432" s="1"/>
      <c r="X432" s="1"/>
      <c r="Y432" s="1"/>
      <c r="Z432" s="1"/>
      <c r="AA432" s="1"/>
      <c r="AB432" s="1"/>
      <c r="AC432" s="1"/>
      <c r="AD432" s="1"/>
    </row>
  </sheetData>
  <sheetProtection password="CC3D" sheet="1" formatCells="0" formatColumns="0" formatRows="0" sort="0" autoFilter="0"/>
  <mergeCells count="19">
    <mergeCell ref="D8:E8"/>
    <mergeCell ref="E6:H6"/>
    <mergeCell ref="E4:G4"/>
    <mergeCell ref="F8:H8"/>
    <mergeCell ref="F315:H315"/>
    <mergeCell ref="A1:E1"/>
    <mergeCell ref="B313:H313"/>
    <mergeCell ref="B10:D10"/>
    <mergeCell ref="F9:H9"/>
    <mergeCell ref="B8:C8"/>
    <mergeCell ref="B6:D6"/>
    <mergeCell ref="E5:H5"/>
    <mergeCell ref="B5:D5"/>
    <mergeCell ref="A2:H2"/>
    <mergeCell ref="F1:H1"/>
    <mergeCell ref="B315:D315"/>
    <mergeCell ref="B9:C9"/>
    <mergeCell ref="D9:E9"/>
    <mergeCell ref="E10:H10"/>
  </mergeCells>
  <conditionalFormatting sqref="B12:H311">
    <cfRule type="expression" dxfId="38" priority="2">
      <formula>AND($C12&lt;&gt;"",MOD(ROW(),2)=0)</formula>
    </cfRule>
    <cfRule type="expression" dxfId="37" priority="3">
      <formula>$C12&lt;&gt;""</formula>
    </cfRule>
  </conditionalFormatting>
  <conditionalFormatting sqref="E12:E311">
    <cfRule type="expression" dxfId="36" priority="5">
      <formula>EXACT($E12,"TAHAKKUK")</formula>
    </cfRule>
    <cfRule type="expression" dxfId="35" priority="6">
      <formula>EXACT($E12,"ÖDEME")</formula>
    </cfRule>
    <cfRule type="expression" dxfId="34" priority="7">
      <formula>EXACT($E12,"EK HİZMET")</formula>
    </cfRule>
    <cfRule type="expression" dxfId="33" priority="8">
      <formula>EXACT($E12,"DEVİR")</formula>
    </cfRule>
  </conditionalFormatting>
  <conditionalFormatting sqref="H12:H311">
    <cfRule type="expression" dxfId="32" priority="4">
      <formula>AND($C12&lt;&gt;"",$H12&gt;0)</formula>
    </cfRule>
  </conditionalFormatting>
  <dataValidations count="1">
    <dataValidation type="list" allowBlank="1" sqref="E4" xr:uid="{00000000-0002-0000-0800-000000000000}">
      <formula1>LST_MUSTERI_ADI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KILIÇ MUHASEBE │ Cari Hesap Ekstresi&amp;R&amp;8 Sayfa &amp;P / &amp;N</oddFooter>
  </headerFooter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900-000000000000}">
  <sheetPr>
    <tabColor rgb="FFB22B2B"/>
    <pageSetUpPr fitToPage="1"/>
  </sheetPr>
  <dimension ref="A1:AG15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13" sqref="C13"/>
    </sheetView>
  </sheetViews>
  <sheetFormatPr defaultColWidth="8" defaultRowHeight="14.25" customHeight="1" x14ac:dyDescent="0.25"/>
  <cols>
    <col min="1" max="1" width="2.28515625" customWidth="1"/>
    <col min="2" max="2" width="11.140625" customWidth="1"/>
    <col min="3" max="3" width="27.85546875" customWidth="1"/>
    <col min="4" max="5" width="13" customWidth="1"/>
    <col min="6" max="6" width="13.85546875" customWidth="1"/>
    <col min="7" max="7" width="15.140625" bestFit="1" customWidth="1"/>
    <col min="8" max="10" width="14.85546875" customWidth="1"/>
    <col min="11" max="13" width="13" customWidth="1"/>
    <col min="14" max="14" width="16.42578125" bestFit="1" customWidth="1"/>
    <col min="15" max="16" width="12" customWidth="1"/>
    <col min="17" max="17" width="15.7109375" customWidth="1"/>
    <col min="18" max="18" width="31.5703125" customWidth="1"/>
    <col min="19" max="19" width="10.140625" customWidth="1"/>
    <col min="20" max="21" width="12" customWidth="1"/>
    <col min="22" max="22" width="14.85546875" customWidth="1"/>
    <col min="23" max="23" width="11.140625" customWidth="1"/>
    <col min="24" max="25" width="2.28515625" hidden="1" customWidth="1"/>
    <col min="26" max="32" width="11.140625" hidden="1" customWidth="1"/>
    <col min="33" max="33" width="12" hidden="1" customWidth="1"/>
  </cols>
  <sheetData>
    <row r="1" spans="1:33" ht="37.5" customHeight="1" x14ac:dyDescent="0.3">
      <c r="A1" s="149" t="s">
        <v>0</v>
      </c>
      <c r="B1" s="150"/>
      <c r="C1" s="150"/>
      <c r="D1" s="150"/>
      <c r="E1" s="150"/>
      <c r="F1" s="153" t="s">
        <v>1029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3"/>
      <c r="Y1" s="13"/>
      <c r="Z1" s="1"/>
      <c r="AA1" s="1"/>
      <c r="AB1" s="1"/>
      <c r="AC1" s="1"/>
      <c r="AD1" s="1"/>
      <c r="AE1" s="1"/>
      <c r="AF1" s="1"/>
      <c r="AG1" s="1"/>
    </row>
    <row r="2" spans="1:33" ht="21.75" customHeight="1" x14ac:dyDescent="0.3">
      <c r="A2" s="152" t="s">
        <v>1030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"/>
      <c r="Y2" s="14"/>
      <c r="Z2" s="1"/>
      <c r="AA2" s="1"/>
      <c r="AB2" s="1"/>
      <c r="AC2" s="1"/>
      <c r="AD2" s="1"/>
      <c r="AE2" s="1"/>
      <c r="AF2" s="1"/>
      <c r="AG2" s="1"/>
    </row>
    <row r="3" spans="1:33" ht="19.5" customHeight="1" x14ac:dyDescent="0.3">
      <c r="A3" s="2"/>
      <c r="B3" s="50" t="s">
        <v>1031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  <c r="AA3" s="1"/>
      <c r="AB3" s="1"/>
      <c r="AC3" s="1"/>
      <c r="AD3" s="1"/>
      <c r="AE3" s="1"/>
      <c r="AF3" s="1"/>
      <c r="AG3" s="1"/>
    </row>
    <row r="4" spans="1:3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HYPERLINK("#UCRETLER!A1","Ücret Dönemleri")</f>
        <v>Ücret Dönemleri</v>
      </c>
      <c r="G4" s="2"/>
      <c r="H4" s="52" t="s">
        <v>1032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"/>
      <c r="AA4" s="1"/>
      <c r="AB4" s="1"/>
      <c r="AC4" s="1"/>
      <c r="AD4" s="1"/>
      <c r="AE4" s="1"/>
      <c r="AF4" s="1"/>
      <c r="AG4" s="1"/>
    </row>
    <row r="5" spans="1:33" ht="25.5" customHeight="1" x14ac:dyDescent="0.3">
      <c r="A5" s="2"/>
      <c r="B5" s="53"/>
      <c r="C5" s="54" t="s">
        <v>1033</v>
      </c>
      <c r="D5" s="56">
        <f t="shared" ref="D5:N5" ca="1" si="0">SUM(D7:D156)</f>
        <v>79750</v>
      </c>
      <c r="E5" s="56">
        <f t="shared" ca="1" si="0"/>
        <v>131001</v>
      </c>
      <c r="F5" s="56">
        <f t="shared" ca="1" si="0"/>
        <v>0</v>
      </c>
      <c r="G5" s="56">
        <f t="shared" ca="1" si="0"/>
        <v>3298007</v>
      </c>
      <c r="H5" s="56">
        <f t="shared" ca="1" si="0"/>
        <v>3298007</v>
      </c>
      <c r="I5" s="56">
        <f t="shared" ca="1" si="0"/>
        <v>2299500</v>
      </c>
      <c r="J5" s="56">
        <f t="shared" ca="1" si="0"/>
        <v>1105507</v>
      </c>
      <c r="K5" s="56">
        <f t="shared" ca="1" si="0"/>
        <v>33500</v>
      </c>
      <c r="L5" s="56">
        <f t="shared" ca="1" si="0"/>
        <v>33500</v>
      </c>
      <c r="M5" s="56">
        <f t="shared" ca="1" si="0"/>
        <v>160001</v>
      </c>
      <c r="N5" s="56">
        <f t="shared" ca="1" si="0"/>
        <v>878506</v>
      </c>
      <c r="O5" s="91">
        <f ca="1">IFERROR($I$5/$H$5,0)</f>
        <v>0.69723927208159353</v>
      </c>
      <c r="P5" s="53"/>
      <c r="Q5" s="53"/>
      <c r="R5" s="53"/>
      <c r="S5" s="53"/>
      <c r="T5" s="53"/>
      <c r="U5" s="53"/>
      <c r="V5" s="56">
        <f ca="1">SUM(V7:V156)</f>
        <v>107000</v>
      </c>
      <c r="W5" s="53"/>
      <c r="X5" s="2"/>
      <c r="Y5" s="2"/>
      <c r="Z5" s="1"/>
      <c r="AA5" s="1"/>
      <c r="AB5" s="1"/>
      <c r="AC5" s="1"/>
      <c r="AD5" s="1"/>
      <c r="AE5" s="1"/>
      <c r="AF5" s="1"/>
      <c r="AG5" s="1"/>
    </row>
    <row r="6" spans="1:33" ht="39.75" customHeight="1" x14ac:dyDescent="0.3">
      <c r="A6" s="2"/>
      <c r="B6" s="57" t="s">
        <v>19</v>
      </c>
      <c r="C6" s="58" t="s">
        <v>1034</v>
      </c>
      <c r="D6" s="59" t="s">
        <v>23</v>
      </c>
      <c r="E6" s="59" t="s">
        <v>25</v>
      </c>
      <c r="F6" s="59" t="s">
        <v>27</v>
      </c>
      <c r="G6" s="59" t="s">
        <v>29</v>
      </c>
      <c r="H6" s="59" t="s">
        <v>31</v>
      </c>
      <c r="I6" s="59" t="s">
        <v>33</v>
      </c>
      <c r="J6" s="59" t="s">
        <v>35</v>
      </c>
      <c r="K6" s="59" t="s">
        <v>37</v>
      </c>
      <c r="L6" s="59" t="s">
        <v>39</v>
      </c>
      <c r="M6" s="59" t="s">
        <v>41</v>
      </c>
      <c r="N6" s="59" t="s">
        <v>43</v>
      </c>
      <c r="O6" s="57" t="s">
        <v>44</v>
      </c>
      <c r="P6" s="57" t="s">
        <v>45</v>
      </c>
      <c r="Q6" s="57" t="s">
        <v>21</v>
      </c>
      <c r="R6" s="58" t="s">
        <v>46</v>
      </c>
      <c r="S6" s="57" t="s">
        <v>1035</v>
      </c>
      <c r="T6" s="57" t="s">
        <v>1036</v>
      </c>
      <c r="U6" s="57" t="s">
        <v>1037</v>
      </c>
      <c r="V6" s="59" t="s">
        <v>1038</v>
      </c>
      <c r="W6" s="57" t="s">
        <v>164</v>
      </c>
      <c r="X6" s="2"/>
      <c r="Y6" s="2"/>
      <c r="Z6" s="1"/>
      <c r="AA6" s="1"/>
      <c r="AB6" s="1"/>
      <c r="AC6" s="1"/>
      <c r="AD6" s="1"/>
      <c r="AE6" s="1"/>
      <c r="AF6" s="1"/>
      <c r="AG6" s="1"/>
    </row>
    <row r="7" spans="1:33" ht="18" customHeight="1" x14ac:dyDescent="0.3">
      <c r="A7" s="2"/>
      <c r="B7" s="65" t="str">
        <f ca="1">IF($AF7="","",INDEX(MUSTERILER!$B$7:$B$156,$AF7))</f>
        <v>M050</v>
      </c>
      <c r="C7" s="74" t="str">
        <f ca="1">IF($AF7="","",INDEX(MUSTERILER!$C$7:$C$156,$AF7))</f>
        <v>TANAK LTD.ŞTİ.</v>
      </c>
      <c r="D7" s="68">
        <f ca="1">IF($B7="","",SUMIFS(UCRETLER!$G$7:$G$606,UCRETLER!$B$7:$B$606,$B7,UCRETLER!$F$7:$F$606,"Haftalık",UCRETLER!$H$7:$H$606,"Aktif"))</f>
        <v>4000</v>
      </c>
      <c r="E7" s="68">
        <f ca="1">IF($B7="","",SUMIFS(UCRETLER!$G$7:$G$606,UCRETLER!$B$7:$B$606,$B7,UCRETLER!$F$7:$F$606,"Aylık",UCRETLER!$H$7:$H$606,"Aktif"))</f>
        <v>0</v>
      </c>
      <c r="F7" s="68">
        <f ca="1">IF($B7="","",SUMIFS(MUSTERILER!$J$7:$J$156,MUSTERILER!$B$7:$B$156,$B7))</f>
        <v>0</v>
      </c>
      <c r="G7" s="68">
        <f ca="1">IF($B7="","",SUMIFS(UCRETLER!$I$7:$I$606,UCRETLER!$B$7:$B$606,$B7)+SUMIFS(GELIR_GIDER!$G$7:$G$3001,GELIR_GIDER!$T$7:$T$3001,$B7))</f>
        <v>136000</v>
      </c>
      <c r="H7" s="68">
        <f t="shared" ref="H7:H38" ca="1" si="1">IF($B7="","",$F7+$G7)</f>
        <v>136000</v>
      </c>
      <c r="I7" s="68">
        <f ca="1">IF($B7="","",SUMIFS(TAHSILAT!$F$7:$F$2503,TAHSILAT!$C$7:$C$2503,$B7))</f>
        <v>0</v>
      </c>
      <c r="J7" s="68">
        <f t="shared" ref="J7:J38" ca="1" si="2">IF($B7="","",MAX(0,$H7-$I7))</f>
        <v>136000</v>
      </c>
      <c r="K7" s="68">
        <f t="shared" ref="K7:K38" ca="1" si="3">IF($B7="","",MAX(0,$J7-$L7-$M7-$N7))</f>
        <v>4000</v>
      </c>
      <c r="L7" s="68">
        <f t="shared" ref="L7:L38" ca="1" si="4">IF($B7="","",($AC7-$AD7)+IF(AND($AB7&gt;0,$T7&lt;&gt;"",$U7&gt;=8,$U7&lt;15),$AB7,0))</f>
        <v>4000</v>
      </c>
      <c r="M7" s="68">
        <f t="shared" ref="M7:M38" ca="1" si="5">IF($B7="","",($AD7-$AE7)+IF(AND($AB7&gt;0,$T7&lt;&gt;"",$U7&gt;=15,$U7&lt;29),$AB7,0))</f>
        <v>8000</v>
      </c>
      <c r="N7" s="68">
        <f t="shared" ref="N7:N38" ca="1" si="6">IF($B7="","",$AE7+IF(AND($AB7&gt;0,OR($T7="",$U7&gt;=29)),$AB7,0))</f>
        <v>120000</v>
      </c>
      <c r="O7" s="92">
        <f t="shared" ref="O7:O38" ca="1" si="7">IF($B7="","",IFERROR($I7/$H7,0))</f>
        <v>0</v>
      </c>
      <c r="P7" s="70" t="str">
        <f ca="1">IF($B7="","",IFERROR(LOOKUP(2,1/(TAHSILAT!$C$7:$C$2503=$B7),TAHSILAT!$E$7:$E$2503),""))</f>
        <v/>
      </c>
      <c r="Q7" s="65" t="str">
        <f t="shared" ref="Q7:Q38" ca="1" si="8">IF($B7="","",IF($N7&gt;0,"KRİTİK",IF($M7&gt;0,"YÜKSEK",IF($L7&gt;0,"ORTA",IF($J7&gt;0,"İZLE","TEMİZ")))))</f>
        <v>KRİTİK</v>
      </c>
      <c r="R7" s="74" t="str">
        <f t="shared" ref="R7:R38" ca="1" si="9">IF($B7="","",IF($Q7="KRİTİK","Acil tahsilat görüşmesi ve cari mutabakat",IF($Q7="YÜKSEK","Bu hafta tahsilat takibi",IF($Q7="ORTA","Hatırlatma mesajı gönder",IF($Q7="İZLE","Normal takip","Aksiyon gerekmiyor")))))</f>
        <v>Acil tahsilat görüşmesi ve cari mutabakat</v>
      </c>
      <c r="S7" s="93">
        <f t="shared" ref="S7:S38" ca="1" si="10">IF($B7="","",0)</f>
        <v>0</v>
      </c>
      <c r="T7" s="70" t="str">
        <f ca="1">IF(OR($B7="",$AF7=""),"",IF(INDEX(MUSTERILER!$K$7:$K$156,$AF7)="","",INDEX(MUSTERILER!$K$7:$K$156,$AF7)))</f>
        <v/>
      </c>
      <c r="U7" s="93" t="str">
        <f t="shared" ref="U7:U38" ca="1" si="11">IF(OR($B7="",$T7=""),"",TODAY()-$T7)</f>
        <v/>
      </c>
      <c r="V7" s="68">
        <f t="shared" ref="V7:V38" ca="1" si="12">IF($B7="","",MAX(0,$I7-$H7))</f>
        <v>0</v>
      </c>
      <c r="W7" s="65" t="str">
        <f t="shared" ref="W7:W38" ca="1" si="13">IF($B7="","",IF(AND(ABS($J7-($K7+$L7+$M7+$N7))&lt;0.01,ABS(($J7-$V7)-($H7-$I7))&lt;0.01),"UYGUN","İNCELE"))</f>
        <v>UYGUN</v>
      </c>
      <c r="X7" s="2">
        <f ca="1">IF($B7="",0,SUMIFS(UCRETLER!$J$7:$J$606,UCRETLER!$B$7:$B$606,$B7))</f>
        <v>132000</v>
      </c>
      <c r="Y7" s="2">
        <f ca="1">IF($B7="",0,SUMIFS(UCRETLER!$K$7:$K$606,UCRETLER!$B$7:$B$606,$B7))</f>
        <v>128000</v>
      </c>
      <c r="Z7" s="1">
        <f ca="1">IF($B7="",0,SUMIFS(UCRETLER!$L$7:$L$606,UCRETLER!$B$7:$B$606,$B7))</f>
        <v>120000</v>
      </c>
      <c r="AA7" s="1">
        <f t="shared" ref="AA7:AA38" ca="1" si="14">IF($B7="",0,MAX(0,$I7-$F7))</f>
        <v>0</v>
      </c>
      <c r="AB7" s="1">
        <f t="shared" ref="AB7:AB38" ca="1" si="15">IF($B7="",0,MAX(0,$F7-$I7))</f>
        <v>0</v>
      </c>
      <c r="AC7" s="1">
        <f t="shared" ref="AC7:AC38" ca="1" si="16">IF($B7="",0,MAX(0,$X7-$AA7))</f>
        <v>132000</v>
      </c>
      <c r="AD7" s="1">
        <f t="shared" ref="AD7:AD38" ca="1" si="17">IF($B7="",0,MAX(0,$Y7-$AA7))</f>
        <v>128000</v>
      </c>
      <c r="AE7" s="1">
        <f t="shared" ref="AE7:AE38" ca="1" si="18">IF($B7="",0,MAX(0,$Z7-$AA7))</f>
        <v>120000</v>
      </c>
      <c r="AF7" s="1">
        <f ca="1">IFERROR(MATCH(ROW()-6,MUSTERILER!$U$7:$U$156,0),"")</f>
        <v>47</v>
      </c>
      <c r="AG7" s="1">
        <f ca="1">IF($B7="",0,SUMIFS(GELIR_GIDER!$G$7:$G$3001,GELIR_GIDER!$T$7:$T$3001,$B7))</f>
        <v>0</v>
      </c>
    </row>
    <row r="8" spans="1:33" ht="18" customHeight="1" x14ac:dyDescent="0.3">
      <c r="A8" s="2"/>
      <c r="B8" s="65" t="str">
        <f ca="1">IF($AF8="","",INDEX(MUSTERILER!$B$7:$B$156,$AF8))</f>
        <v>M002</v>
      </c>
      <c r="C8" s="74" t="str">
        <f ca="1">IF($AF8="","",INDEX(MUSTERILER!$C$7:$C$156,$AF8))</f>
        <v>ESERLİ LTD.ŞTİ.</v>
      </c>
      <c r="D8" s="68">
        <f ca="1">IF($B8="","",SUMIFS(UCRETLER!$G$7:$G$606,UCRETLER!$B$7:$B$606,$B8,UCRETLER!$F$7:$F$606,"Haftalık",UCRETLER!$H$7:$H$606,"Aktif"))</f>
        <v>3500</v>
      </c>
      <c r="E8" s="68">
        <f ca="1">IF($B8="","",SUMIFS(UCRETLER!$G$7:$G$606,UCRETLER!$B$7:$B$606,$B8,UCRETLER!$F$7:$F$606,"Aylık",UCRETLER!$H$7:$H$606,"Aktif"))</f>
        <v>0</v>
      </c>
      <c r="F8" s="68">
        <f ca="1">IF($B8="","",SUMIFS(MUSTERILER!$J$7:$J$156,MUSTERILER!$B$7:$B$156,$B8))</f>
        <v>0</v>
      </c>
      <c r="G8" s="68">
        <f ca="1">IF($B8="","",SUMIFS(UCRETLER!$I$7:$I$606,UCRETLER!$B$7:$B$606,$B8)+SUMIFS(GELIR_GIDER!$G$7:$G$3001,GELIR_GIDER!$T$7:$T$3001,$B8))</f>
        <v>119000</v>
      </c>
      <c r="H8" s="68">
        <f t="shared" ca="1" si="1"/>
        <v>119000</v>
      </c>
      <c r="I8" s="68">
        <f ca="1">IF($B8="","",SUMIFS(TAHSILAT!$F$7:$F$2503,TAHSILAT!$C$7:$C$2503,$B8))</f>
        <v>10500</v>
      </c>
      <c r="J8" s="68">
        <f t="shared" ca="1" si="2"/>
        <v>108500</v>
      </c>
      <c r="K8" s="68">
        <f t="shared" ca="1" si="3"/>
        <v>3500</v>
      </c>
      <c r="L8" s="68">
        <f t="shared" ca="1" si="4"/>
        <v>3500</v>
      </c>
      <c r="M8" s="68">
        <f t="shared" ca="1" si="5"/>
        <v>7000</v>
      </c>
      <c r="N8" s="68">
        <f t="shared" ca="1" si="6"/>
        <v>94500</v>
      </c>
      <c r="O8" s="92">
        <f t="shared" ca="1" si="7"/>
        <v>8.8235294117647065E-2</v>
      </c>
      <c r="P8" s="70">
        <f ca="1">IF($B8="","",IFERROR(LOOKUP(2,1/(TAHSILAT!$C$7:$C$2503=$B8),TAHSILAT!$E$7:$E$2503),""))</f>
        <v>46116</v>
      </c>
      <c r="Q8" s="65" t="str">
        <f t="shared" ca="1" si="8"/>
        <v>KRİTİK</v>
      </c>
      <c r="R8" s="74" t="str">
        <f t="shared" ca="1" si="9"/>
        <v>Acil tahsilat görüşmesi ve cari mutabakat</v>
      </c>
      <c r="S8" s="93">
        <f t="shared" ca="1" si="10"/>
        <v>0</v>
      </c>
      <c r="T8" s="70" t="str">
        <f ca="1">IF(OR($B8="",$AF8=""),"",IF(INDEX(MUSTERILER!$K$7:$K$156,$AF8)="","",INDEX(MUSTERILER!$K$7:$K$156,$AF8)))</f>
        <v/>
      </c>
      <c r="U8" s="93" t="str">
        <f t="shared" ca="1" si="11"/>
        <v/>
      </c>
      <c r="V8" s="68">
        <f t="shared" ca="1" si="12"/>
        <v>0</v>
      </c>
      <c r="W8" s="65" t="str">
        <f t="shared" ca="1" si="13"/>
        <v>UYGUN</v>
      </c>
      <c r="X8" s="2">
        <f ca="1">IF($B8="",0,SUMIFS(UCRETLER!$J$7:$J$606,UCRETLER!$B$7:$B$606,$B8))</f>
        <v>115500</v>
      </c>
      <c r="Y8" s="2">
        <f ca="1">IF($B8="",0,SUMIFS(UCRETLER!$K$7:$K$606,UCRETLER!$B$7:$B$606,$B8))</f>
        <v>112000</v>
      </c>
      <c r="Z8" s="1">
        <f ca="1">IF($B8="",0,SUMIFS(UCRETLER!$L$7:$L$606,UCRETLER!$B$7:$B$606,$B8))</f>
        <v>105000</v>
      </c>
      <c r="AA8" s="1">
        <f t="shared" ca="1" si="14"/>
        <v>10500</v>
      </c>
      <c r="AB8" s="1">
        <f t="shared" ca="1" si="15"/>
        <v>0</v>
      </c>
      <c r="AC8" s="1">
        <f t="shared" ca="1" si="16"/>
        <v>105000</v>
      </c>
      <c r="AD8" s="1">
        <f t="shared" ca="1" si="17"/>
        <v>101500</v>
      </c>
      <c r="AE8" s="1">
        <f t="shared" ca="1" si="18"/>
        <v>94500</v>
      </c>
      <c r="AF8" s="1">
        <f ca="1">IFERROR(MATCH(ROW()-6,MUSTERILER!$U$7:$U$156,0),"")</f>
        <v>16</v>
      </c>
      <c r="AG8" s="1">
        <f ca="1">IF($B8="",0,SUMIFS(GELIR_GIDER!$G$7:$G$3001,GELIR_GIDER!$T$7:$T$3001,$B8))</f>
        <v>0</v>
      </c>
    </row>
    <row r="9" spans="1:33" ht="18" customHeight="1" x14ac:dyDescent="0.3">
      <c r="A9" s="2"/>
      <c r="B9" s="65" t="str">
        <f ca="1">IF($AF9="","",INDEX(MUSTERILER!$B$7:$B$156,$AF9))</f>
        <v>M010</v>
      </c>
      <c r="C9" s="74" t="str">
        <f ca="1">IF($AF9="","",INDEX(MUSTERILER!$C$7:$C$156,$AF9))</f>
        <v>ÖZFİDANLAR LTD.ŞTİ.</v>
      </c>
      <c r="D9" s="68">
        <f ca="1">IF($B9="","",SUMIFS(UCRETLER!$G$7:$G$606,UCRETLER!$B$7:$B$606,$B9,UCRETLER!$F$7:$F$606,"Haftalık",UCRETLER!$H$7:$H$606,"Aktif"))</f>
        <v>4000</v>
      </c>
      <c r="E9" s="68">
        <f ca="1">IF($B9="","",SUMIFS(UCRETLER!$G$7:$G$606,UCRETLER!$B$7:$B$606,$B9,UCRETLER!$F$7:$F$606,"Aylık",UCRETLER!$H$7:$H$606,"Aktif"))</f>
        <v>0</v>
      </c>
      <c r="F9" s="68">
        <f ca="1">IF($B9="","",SUMIFS(MUSTERILER!$J$7:$J$156,MUSTERILER!$B$7:$B$156,$B9))</f>
        <v>0</v>
      </c>
      <c r="G9" s="68">
        <f ca="1">IF($B9="","",SUMIFS(UCRETLER!$I$7:$I$606,UCRETLER!$B$7:$B$606,$B9)+SUMIFS(GELIR_GIDER!$G$7:$G$3001,GELIR_GIDER!$T$7:$T$3001,$B9))</f>
        <v>136000</v>
      </c>
      <c r="H9" s="68">
        <f t="shared" ca="1" si="1"/>
        <v>136000</v>
      </c>
      <c r="I9" s="68">
        <f ca="1">IF($B9="","",SUMIFS(TAHSILAT!$F$7:$F$2503,TAHSILAT!$C$7:$C$2503,$B9))</f>
        <v>28000</v>
      </c>
      <c r="J9" s="68">
        <f t="shared" ca="1" si="2"/>
        <v>108000</v>
      </c>
      <c r="K9" s="68">
        <f t="shared" ca="1" si="3"/>
        <v>4000</v>
      </c>
      <c r="L9" s="68">
        <f t="shared" ca="1" si="4"/>
        <v>4000</v>
      </c>
      <c r="M9" s="68">
        <f t="shared" ca="1" si="5"/>
        <v>8000</v>
      </c>
      <c r="N9" s="68">
        <f t="shared" ca="1" si="6"/>
        <v>92000</v>
      </c>
      <c r="O9" s="92">
        <f t="shared" ca="1" si="7"/>
        <v>0.20588235294117646</v>
      </c>
      <c r="P9" s="70">
        <f ca="1">IF($B9="","",IFERROR(LOOKUP(2,1/(TAHSILAT!$C$7:$C$2503=$B9),TAHSILAT!$E$7:$E$2503),""))</f>
        <v>46088</v>
      </c>
      <c r="Q9" s="65" t="str">
        <f t="shared" ca="1" si="8"/>
        <v>KRİTİK</v>
      </c>
      <c r="R9" s="74" t="str">
        <f t="shared" ca="1" si="9"/>
        <v>Acil tahsilat görüşmesi ve cari mutabakat</v>
      </c>
      <c r="S9" s="93">
        <f t="shared" ca="1" si="10"/>
        <v>0</v>
      </c>
      <c r="T9" s="70" t="str">
        <f ca="1">IF(OR($B9="",$AF9=""),"",IF(INDEX(MUSTERILER!$K$7:$K$156,$AF9)="","",INDEX(MUSTERILER!$K$7:$K$156,$AF9)))</f>
        <v/>
      </c>
      <c r="U9" s="93" t="str">
        <f t="shared" ca="1" si="11"/>
        <v/>
      </c>
      <c r="V9" s="68">
        <f t="shared" ca="1" si="12"/>
        <v>0</v>
      </c>
      <c r="W9" s="65" t="str">
        <f t="shared" ca="1" si="13"/>
        <v>UYGUN</v>
      </c>
      <c r="X9" s="2">
        <f ca="1">IF($B9="",0,SUMIFS(UCRETLER!$J$7:$J$606,UCRETLER!$B$7:$B$606,$B9))</f>
        <v>132000</v>
      </c>
      <c r="Y9" s="2">
        <f ca="1">IF($B9="",0,SUMIFS(UCRETLER!$K$7:$K$606,UCRETLER!$B$7:$B$606,$B9))</f>
        <v>128000</v>
      </c>
      <c r="Z9" s="1">
        <f ca="1">IF($B9="",0,SUMIFS(UCRETLER!$L$7:$L$606,UCRETLER!$B$7:$B$606,$B9))</f>
        <v>120000</v>
      </c>
      <c r="AA9" s="1">
        <f t="shared" ca="1" si="14"/>
        <v>28000</v>
      </c>
      <c r="AB9" s="1">
        <f t="shared" ca="1" si="15"/>
        <v>0</v>
      </c>
      <c r="AC9" s="1">
        <f t="shared" ca="1" si="16"/>
        <v>104000</v>
      </c>
      <c r="AD9" s="1">
        <f t="shared" ca="1" si="17"/>
        <v>100000</v>
      </c>
      <c r="AE9" s="1">
        <f t="shared" ca="1" si="18"/>
        <v>92000</v>
      </c>
      <c r="AF9" s="1">
        <f ca="1">IFERROR(MATCH(ROW()-6,MUSTERILER!$U$7:$U$156,0),"")</f>
        <v>40</v>
      </c>
      <c r="AG9" s="1">
        <f ca="1">IF($B9="",0,SUMIFS(GELIR_GIDER!$G$7:$G$3001,GELIR_GIDER!$T$7:$T$3001,$B9))</f>
        <v>0</v>
      </c>
    </row>
    <row r="10" spans="1:33" ht="18" customHeight="1" x14ac:dyDescent="0.3">
      <c r="A10" s="2"/>
      <c r="B10" s="65" t="str">
        <f ca="1">IF($AF10="","",INDEX(MUSTERILER!$B$7:$B$156,$AF10))</f>
        <v>M003</v>
      </c>
      <c r="C10" s="74" t="str">
        <f ca="1">IF($AF10="","",INDEX(MUSTERILER!$C$7:$C$156,$AF10))</f>
        <v>TYANA LTD.ŞTİ.</v>
      </c>
      <c r="D10" s="68">
        <f ca="1">IF($B10="","",SUMIFS(UCRETLER!$G$7:$G$606,UCRETLER!$B$7:$B$606,$B10,UCRETLER!$F$7:$F$606,"Haftalık",UCRETLER!$H$7:$H$606,"Aktif"))</f>
        <v>4000</v>
      </c>
      <c r="E10" s="68">
        <f ca="1">IF($B10="","",SUMIFS(UCRETLER!$G$7:$G$606,UCRETLER!$B$7:$B$606,$B10,UCRETLER!$F$7:$F$606,"Aylık",UCRETLER!$H$7:$H$606,"Aktif"))</f>
        <v>0</v>
      </c>
      <c r="F10" s="68">
        <f ca="1">IF($B10="","",SUMIFS(MUSTERILER!$J$7:$J$156,MUSTERILER!$B$7:$B$156,$B10))</f>
        <v>0</v>
      </c>
      <c r="G10" s="68">
        <f ca="1">IF($B10="","",SUMIFS(UCRETLER!$I$7:$I$606,UCRETLER!$B$7:$B$606,$B10)+SUMIFS(GELIR_GIDER!$G$7:$G$3001,GELIR_GIDER!$T$7:$T$3001,$B10))</f>
        <v>136000</v>
      </c>
      <c r="H10" s="68">
        <f t="shared" ca="1" si="1"/>
        <v>136000</v>
      </c>
      <c r="I10" s="68">
        <f ca="1">IF($B10="","",SUMIFS(TAHSILAT!$F$7:$F$2503,TAHSILAT!$C$7:$C$2503,$B10))</f>
        <v>37000</v>
      </c>
      <c r="J10" s="68">
        <f t="shared" ca="1" si="2"/>
        <v>99000</v>
      </c>
      <c r="K10" s="68">
        <f t="shared" ca="1" si="3"/>
        <v>4000</v>
      </c>
      <c r="L10" s="68">
        <f t="shared" ca="1" si="4"/>
        <v>4000</v>
      </c>
      <c r="M10" s="68">
        <f t="shared" ca="1" si="5"/>
        <v>8000</v>
      </c>
      <c r="N10" s="68">
        <f t="shared" ca="1" si="6"/>
        <v>83000</v>
      </c>
      <c r="O10" s="92">
        <f t="shared" ca="1" si="7"/>
        <v>0.27205882352941174</v>
      </c>
      <c r="P10" s="70">
        <f ca="1">IF($B10="","",IFERROR(LOOKUP(2,1/(TAHSILAT!$C$7:$C$2503=$B10),TAHSILAT!$E$7:$E$2503),""))</f>
        <v>46243</v>
      </c>
      <c r="Q10" s="65" t="str">
        <f t="shared" ca="1" si="8"/>
        <v>KRİTİK</v>
      </c>
      <c r="R10" s="74" t="str">
        <f t="shared" ca="1" si="9"/>
        <v>Acil tahsilat görüşmesi ve cari mutabakat</v>
      </c>
      <c r="S10" s="93">
        <f t="shared" ca="1" si="10"/>
        <v>0</v>
      </c>
      <c r="T10" s="70" t="str">
        <f ca="1">IF(OR($B10="",$AF10=""),"",IF(INDEX(MUSTERILER!$K$7:$K$156,$AF10)="","",INDEX(MUSTERILER!$K$7:$K$156,$AF10)))</f>
        <v/>
      </c>
      <c r="U10" s="93" t="str">
        <f t="shared" ca="1" si="11"/>
        <v/>
      </c>
      <c r="V10" s="68">
        <f t="shared" ca="1" si="12"/>
        <v>0</v>
      </c>
      <c r="W10" s="65" t="str">
        <f t="shared" ca="1" si="13"/>
        <v>UYGUN</v>
      </c>
      <c r="X10" s="2">
        <f ca="1">IF($B10="",0,SUMIFS(UCRETLER!$J$7:$J$606,UCRETLER!$B$7:$B$606,$B10))</f>
        <v>132000</v>
      </c>
      <c r="Y10" s="2">
        <f ca="1">IF($B10="",0,SUMIFS(UCRETLER!$K$7:$K$606,UCRETLER!$B$7:$B$606,$B10))</f>
        <v>128000</v>
      </c>
      <c r="Z10" s="1">
        <f ca="1">IF($B10="",0,SUMIFS(UCRETLER!$L$7:$L$606,UCRETLER!$B$7:$B$606,$B10))</f>
        <v>120000</v>
      </c>
      <c r="AA10" s="1">
        <f t="shared" ca="1" si="14"/>
        <v>37000</v>
      </c>
      <c r="AB10" s="1">
        <f t="shared" ca="1" si="15"/>
        <v>0</v>
      </c>
      <c r="AC10" s="1">
        <f t="shared" ca="1" si="16"/>
        <v>95000</v>
      </c>
      <c r="AD10" s="1">
        <f t="shared" ca="1" si="17"/>
        <v>91000</v>
      </c>
      <c r="AE10" s="1">
        <f t="shared" ca="1" si="18"/>
        <v>83000</v>
      </c>
      <c r="AF10" s="1">
        <f ca="1">IFERROR(MATCH(ROW()-6,MUSTERILER!$U$7:$U$156,0),"")</f>
        <v>48</v>
      </c>
      <c r="AG10" s="1">
        <f ca="1">IF($B10="",0,SUMIFS(GELIR_GIDER!$G$7:$G$3001,GELIR_GIDER!$T$7:$T$3001,$B10))</f>
        <v>0</v>
      </c>
    </row>
    <row r="11" spans="1:33" ht="18" customHeight="1" x14ac:dyDescent="0.3">
      <c r="A11" s="2"/>
      <c r="B11" s="65" t="str">
        <f ca="1">IF($AF11="","",INDEX(MUSTERILER!$B$7:$B$156,$AF11))</f>
        <v>M008</v>
      </c>
      <c r="C11" s="74" t="str">
        <f ca="1">IF($AF11="","",INDEX(MUSTERILER!$C$7:$C$156,$AF11))</f>
        <v>KÖŞK YÜKSELEN LTD.ŞTİ.</v>
      </c>
      <c r="D11" s="68">
        <f ca="1">IF($B11="","",SUMIFS(UCRETLER!$G$7:$G$606,UCRETLER!$B$7:$B$606,$B11,UCRETLER!$F$7:$F$606,"Haftalık",UCRETLER!$H$7:$H$606,"Aktif"))</f>
        <v>2500</v>
      </c>
      <c r="E11" s="68">
        <f ca="1">IF($B11="","",SUMIFS(UCRETLER!$G$7:$G$606,UCRETLER!$B$7:$B$606,$B11,UCRETLER!$F$7:$F$606,"Aylık",UCRETLER!$H$7:$H$606,"Aktif"))</f>
        <v>0</v>
      </c>
      <c r="F11" s="68">
        <f ca="1">IF($B11="","",SUMIFS(MUSTERILER!$J$7:$J$156,MUSTERILER!$B$7:$B$156,$B11))</f>
        <v>0</v>
      </c>
      <c r="G11" s="68">
        <f ca="1">IF($B11="","",SUMIFS(UCRETLER!$I$7:$I$606,UCRETLER!$B$7:$B$606,$B11)+SUMIFS(GELIR_GIDER!$G$7:$G$3001,GELIR_GIDER!$T$7:$T$3001,$B11))</f>
        <v>85000</v>
      </c>
      <c r="H11" s="68">
        <f t="shared" ca="1" si="1"/>
        <v>85000</v>
      </c>
      <c r="I11" s="68">
        <f ca="1">IF($B11="","",SUMIFS(TAHSILAT!$F$7:$F$2503,TAHSILAT!$C$7:$C$2503,$B11))</f>
        <v>6000</v>
      </c>
      <c r="J11" s="68">
        <f t="shared" ca="1" si="2"/>
        <v>79000</v>
      </c>
      <c r="K11" s="68">
        <f t="shared" ca="1" si="3"/>
        <v>2500</v>
      </c>
      <c r="L11" s="68">
        <f t="shared" ca="1" si="4"/>
        <v>2500</v>
      </c>
      <c r="M11" s="68">
        <f t="shared" ca="1" si="5"/>
        <v>5000</v>
      </c>
      <c r="N11" s="68">
        <f t="shared" ca="1" si="6"/>
        <v>69000</v>
      </c>
      <c r="O11" s="92">
        <f t="shared" ca="1" si="7"/>
        <v>7.0588235294117646E-2</v>
      </c>
      <c r="P11" s="70">
        <f ca="1">IF($B11="","",IFERROR(LOOKUP(2,1/(TAHSILAT!$C$7:$C$2503=$B11),TAHSILAT!$E$7:$E$2503),""))</f>
        <v>46046</v>
      </c>
      <c r="Q11" s="65" t="str">
        <f t="shared" ca="1" si="8"/>
        <v>KRİTİK</v>
      </c>
      <c r="R11" s="74" t="str">
        <f t="shared" ca="1" si="9"/>
        <v>Acil tahsilat görüşmesi ve cari mutabakat</v>
      </c>
      <c r="S11" s="93">
        <f t="shared" ca="1" si="10"/>
        <v>0</v>
      </c>
      <c r="T11" s="70" t="str">
        <f ca="1">IF(OR($B11="",$AF11=""),"",IF(INDEX(MUSTERILER!$K$7:$K$156,$AF11)="","",INDEX(MUSTERILER!$K$7:$K$156,$AF11)))</f>
        <v/>
      </c>
      <c r="U11" s="93" t="str">
        <f t="shared" ca="1" si="11"/>
        <v/>
      </c>
      <c r="V11" s="68">
        <f t="shared" ca="1" si="12"/>
        <v>0</v>
      </c>
      <c r="W11" s="65" t="str">
        <f t="shared" ca="1" si="13"/>
        <v>UYGUN</v>
      </c>
      <c r="X11" s="2">
        <f ca="1">IF($B11="",0,SUMIFS(UCRETLER!$J$7:$J$606,UCRETLER!$B$7:$B$606,$B11))</f>
        <v>82500</v>
      </c>
      <c r="Y11" s="2">
        <f ca="1">IF($B11="",0,SUMIFS(UCRETLER!$K$7:$K$606,UCRETLER!$B$7:$B$606,$B11))</f>
        <v>80000</v>
      </c>
      <c r="Z11" s="1">
        <f ca="1">IF($B11="",0,SUMIFS(UCRETLER!$L$7:$L$606,UCRETLER!$B$7:$B$606,$B11))</f>
        <v>75000</v>
      </c>
      <c r="AA11" s="1">
        <f t="shared" ca="1" si="14"/>
        <v>6000</v>
      </c>
      <c r="AB11" s="1">
        <f t="shared" ca="1" si="15"/>
        <v>0</v>
      </c>
      <c r="AC11" s="1">
        <f t="shared" ca="1" si="16"/>
        <v>76500</v>
      </c>
      <c r="AD11" s="1">
        <f t="shared" ca="1" si="17"/>
        <v>74000</v>
      </c>
      <c r="AE11" s="1">
        <f t="shared" ca="1" si="18"/>
        <v>69000</v>
      </c>
      <c r="AF11" s="1">
        <f ca="1">IFERROR(MATCH(ROW()-6,MUSTERILER!$U$7:$U$156,0),"")</f>
        <v>26</v>
      </c>
      <c r="AG11" s="1">
        <f ca="1">IF($B11="",0,SUMIFS(GELIR_GIDER!$G$7:$G$3001,GELIR_GIDER!$T$7:$T$3001,$B11))</f>
        <v>0</v>
      </c>
    </row>
    <row r="12" spans="1:33" ht="18" customHeight="1" x14ac:dyDescent="0.3">
      <c r="A12" s="2"/>
      <c r="B12" s="65" t="str">
        <f ca="1">IF($AF12="","",INDEX(MUSTERILER!$B$7:$B$156,$AF12))</f>
        <v>M028</v>
      </c>
      <c r="C12" s="74" t="str">
        <f ca="1">IF($AF12="","",INDEX(MUSTERILER!$C$7:$C$156,$AF12))</f>
        <v>DERVİŞHAN LTD.ŞTİ.</v>
      </c>
      <c r="D12" s="68">
        <f ca="1">IF($B12="","",SUMIFS(UCRETLER!$G$7:$G$606,UCRETLER!$B$7:$B$606,$B12,UCRETLER!$F$7:$F$606,"Haftalık",UCRETLER!$H$7:$H$606,"Aktif"))</f>
        <v>0</v>
      </c>
      <c r="E12" s="68">
        <f ca="1">IF($B12="","",SUMIFS(UCRETLER!$G$7:$G$606,UCRETLER!$B$7:$B$606,$B12,UCRETLER!$F$7:$F$606,"Aylık",UCRETLER!$H$7:$H$606,"Aktif"))</f>
        <v>10000</v>
      </c>
      <c r="F12" s="68">
        <f ca="1">IF($B12="","",SUMIFS(MUSTERILER!$J$7:$J$156,MUSTERILER!$B$7:$B$156,$B12))</f>
        <v>0</v>
      </c>
      <c r="G12" s="68">
        <f ca="1">IF($B12="","",SUMIFS(UCRETLER!$I$7:$I$606,UCRETLER!$B$7:$B$606,$B12)+SUMIFS(GELIR_GIDER!$G$7:$G$3001,GELIR_GIDER!$T$7:$T$3001,$B12))</f>
        <v>70000</v>
      </c>
      <c r="H12" s="68">
        <f t="shared" ca="1" si="1"/>
        <v>70000</v>
      </c>
      <c r="I12" s="68">
        <f ca="1">IF($B12="","",SUMIFS(TAHSILAT!$F$7:$F$2503,TAHSILAT!$C$7:$C$2503,$B12))</f>
        <v>0</v>
      </c>
      <c r="J12" s="68">
        <f t="shared" ca="1" si="2"/>
        <v>70000</v>
      </c>
      <c r="K12" s="68">
        <f t="shared" ca="1" si="3"/>
        <v>0</v>
      </c>
      <c r="L12" s="68">
        <f t="shared" ca="1" si="4"/>
        <v>0</v>
      </c>
      <c r="M12" s="68">
        <f t="shared" ca="1" si="5"/>
        <v>10000</v>
      </c>
      <c r="N12" s="68">
        <f t="shared" ca="1" si="6"/>
        <v>60000</v>
      </c>
      <c r="O12" s="92">
        <f t="shared" ca="1" si="7"/>
        <v>0</v>
      </c>
      <c r="P12" s="70" t="str">
        <f ca="1">IF($B12="","",IFERROR(LOOKUP(2,1/(TAHSILAT!$C$7:$C$2503=$B12),TAHSILAT!$E$7:$E$2503),""))</f>
        <v/>
      </c>
      <c r="Q12" s="65" t="str">
        <f t="shared" ca="1" si="8"/>
        <v>KRİTİK</v>
      </c>
      <c r="R12" s="74" t="str">
        <f t="shared" ca="1" si="9"/>
        <v>Acil tahsilat görüşmesi ve cari mutabakat</v>
      </c>
      <c r="S12" s="93">
        <f t="shared" ca="1" si="10"/>
        <v>0</v>
      </c>
      <c r="T12" s="70" t="str">
        <f ca="1">IF(OR($B12="",$AF12=""),"",IF(INDEX(MUSTERILER!$K$7:$K$156,$AF12)="","",INDEX(MUSTERILER!$K$7:$K$156,$AF12)))</f>
        <v/>
      </c>
      <c r="U12" s="93" t="str">
        <f t="shared" ca="1" si="11"/>
        <v/>
      </c>
      <c r="V12" s="68">
        <f t="shared" ca="1" si="12"/>
        <v>0</v>
      </c>
      <c r="W12" s="65" t="str">
        <f t="shared" ca="1" si="13"/>
        <v>UYGUN</v>
      </c>
      <c r="X12" s="2">
        <f ca="1">IF($B12="",0,SUMIFS(UCRETLER!$J$7:$J$606,UCRETLER!$B$7:$B$606,$B12))</f>
        <v>70000</v>
      </c>
      <c r="Y12" s="2">
        <f ca="1">IF($B12="",0,SUMIFS(UCRETLER!$K$7:$K$606,UCRETLER!$B$7:$B$606,$B12))</f>
        <v>70000</v>
      </c>
      <c r="Z12" s="1">
        <f ca="1">IF($B12="",0,SUMIFS(UCRETLER!$L$7:$L$606,UCRETLER!$B$7:$B$606,$B12))</f>
        <v>60000</v>
      </c>
      <c r="AA12" s="1">
        <f t="shared" ca="1" si="14"/>
        <v>0</v>
      </c>
      <c r="AB12" s="1">
        <f t="shared" ca="1" si="15"/>
        <v>0</v>
      </c>
      <c r="AC12" s="1">
        <f t="shared" ca="1" si="16"/>
        <v>70000</v>
      </c>
      <c r="AD12" s="1">
        <f t="shared" ca="1" si="17"/>
        <v>70000</v>
      </c>
      <c r="AE12" s="1">
        <f t="shared" ca="1" si="18"/>
        <v>60000</v>
      </c>
      <c r="AF12" s="1">
        <f ca="1">IFERROR(MATCH(ROW()-6,MUSTERILER!$U$7:$U$156,0),"")</f>
        <v>13</v>
      </c>
      <c r="AG12" s="1">
        <f ca="1">IF($B12="",0,SUMIFS(GELIR_GIDER!$G$7:$G$3001,GELIR_GIDER!$T$7:$T$3001,$B12))</f>
        <v>0</v>
      </c>
    </row>
    <row r="13" spans="1:33" ht="18" customHeight="1" x14ac:dyDescent="0.3">
      <c r="A13" s="2"/>
      <c r="B13" s="65" t="str">
        <f ca="1">IF($AF13="","",INDEX(MUSTERILER!$B$7:$B$156,$AF13))</f>
        <v>M034</v>
      </c>
      <c r="C13" s="74" t="str">
        <f ca="1">IF($AF13="","",INDEX(MUSTERILER!$C$7:$C$156,$AF13))</f>
        <v>İBRAHİM MALDAN</v>
      </c>
      <c r="D13" s="68">
        <f ca="1">IF($B13="","",SUMIFS(UCRETLER!$G$7:$G$606,UCRETLER!$B$7:$B$606,$B13,UCRETLER!$F$7:$F$606,"Haftalık",UCRETLER!$H$7:$H$606,"Aktif"))</f>
        <v>4000</v>
      </c>
      <c r="E13" s="68">
        <f ca="1">IF($B13="","",SUMIFS(UCRETLER!$G$7:$G$606,UCRETLER!$B$7:$B$606,$B13,UCRETLER!$F$7:$F$606,"Aylık",UCRETLER!$H$7:$H$606,"Aktif"))</f>
        <v>0</v>
      </c>
      <c r="F13" s="68">
        <f ca="1">IF($B13="","",SUMIFS(MUSTERILER!$J$7:$J$156,MUSTERILER!$B$7:$B$156,$B13))</f>
        <v>0</v>
      </c>
      <c r="G13" s="68">
        <f ca="1">IF($B13="","",SUMIFS(UCRETLER!$I$7:$I$606,UCRETLER!$B$7:$B$606,$B13)+SUMIFS(GELIR_GIDER!$G$7:$G$3001,GELIR_GIDER!$T$7:$T$3001,$B13))</f>
        <v>113500</v>
      </c>
      <c r="H13" s="68">
        <f t="shared" ca="1" si="1"/>
        <v>113500</v>
      </c>
      <c r="I13" s="68">
        <f ca="1">IF($B13="","",SUMIFS(TAHSILAT!$F$7:$F$2503,TAHSILAT!$C$7:$C$2503,$B13))</f>
        <v>46500</v>
      </c>
      <c r="J13" s="68">
        <f t="shared" ca="1" si="2"/>
        <v>67000</v>
      </c>
      <c r="K13" s="68">
        <f t="shared" ca="1" si="3"/>
        <v>4000</v>
      </c>
      <c r="L13" s="68">
        <f t="shared" ca="1" si="4"/>
        <v>4000</v>
      </c>
      <c r="M13" s="68">
        <f t="shared" ca="1" si="5"/>
        <v>8000</v>
      </c>
      <c r="N13" s="68">
        <f t="shared" ca="1" si="6"/>
        <v>51000</v>
      </c>
      <c r="O13" s="92">
        <f t="shared" ca="1" si="7"/>
        <v>0.40969162995594716</v>
      </c>
      <c r="P13" s="70">
        <f ca="1">IF($B13="","",IFERROR(LOOKUP(2,1/(TAHSILAT!$C$7:$C$2503=$B13),TAHSILAT!$E$7:$E$2503),""))</f>
        <v>46158</v>
      </c>
      <c r="Q13" s="65" t="str">
        <f t="shared" ca="1" si="8"/>
        <v>KRİTİK</v>
      </c>
      <c r="R13" s="74" t="str">
        <f t="shared" ca="1" si="9"/>
        <v>Acil tahsilat görüşmesi ve cari mutabakat</v>
      </c>
      <c r="S13" s="93">
        <f t="shared" ca="1" si="10"/>
        <v>0</v>
      </c>
      <c r="T13" s="70" t="str">
        <f ca="1">IF(OR($B13="",$AF13=""),"",IF(INDEX(MUSTERILER!$K$7:$K$156,$AF13)="","",INDEX(MUSTERILER!$K$7:$K$156,$AF13)))</f>
        <v/>
      </c>
      <c r="U13" s="93" t="str">
        <f t="shared" ca="1" si="11"/>
        <v/>
      </c>
      <c r="V13" s="68">
        <f t="shared" ca="1" si="12"/>
        <v>0</v>
      </c>
      <c r="W13" s="65" t="str">
        <f t="shared" ca="1" si="13"/>
        <v>UYGUN</v>
      </c>
      <c r="X13" s="2">
        <f ca="1">IF($B13="",0,SUMIFS(UCRETLER!$J$7:$J$606,UCRETLER!$B$7:$B$606,$B13))</f>
        <v>109500</v>
      </c>
      <c r="Y13" s="2">
        <f ca="1">IF($B13="",0,SUMIFS(UCRETLER!$K$7:$K$606,UCRETLER!$B$7:$B$606,$B13))</f>
        <v>105500</v>
      </c>
      <c r="Z13" s="1">
        <f ca="1">IF($B13="",0,SUMIFS(UCRETLER!$L$7:$L$606,UCRETLER!$B$7:$B$606,$B13))</f>
        <v>97500</v>
      </c>
      <c r="AA13" s="1">
        <f t="shared" ca="1" si="14"/>
        <v>46500</v>
      </c>
      <c r="AB13" s="1">
        <f t="shared" ca="1" si="15"/>
        <v>0</v>
      </c>
      <c r="AC13" s="1">
        <f t="shared" ca="1" si="16"/>
        <v>63000</v>
      </c>
      <c r="AD13" s="1">
        <f t="shared" ca="1" si="17"/>
        <v>59000</v>
      </c>
      <c r="AE13" s="1">
        <f t="shared" ca="1" si="18"/>
        <v>51000</v>
      </c>
      <c r="AF13" s="1">
        <f ca="1">IFERROR(MATCH(ROW()-6,MUSTERILER!$U$7:$U$156,0),"")</f>
        <v>21</v>
      </c>
      <c r="AG13" s="1">
        <f ca="1">IF($B13="",0,SUMIFS(GELIR_GIDER!$G$7:$G$3001,GELIR_GIDER!$T$7:$T$3001,$B13))</f>
        <v>0</v>
      </c>
    </row>
    <row r="14" spans="1:33" ht="18" customHeight="1" x14ac:dyDescent="0.3">
      <c r="A14" s="2"/>
      <c r="B14" s="65" t="str">
        <f ca="1">IF($AF14="","",INDEX(MUSTERILER!$B$7:$B$156,$AF14))</f>
        <v>M004</v>
      </c>
      <c r="C14" s="74" t="str">
        <f ca="1">IF($AF14="","",INDEX(MUSTERILER!$C$7:$C$156,$AF14))</f>
        <v>ZÜMRÜT EĞLENCE LTD.ŞTİ.</v>
      </c>
      <c r="D14" s="68">
        <f ca="1">IF($B14="","",SUMIFS(UCRETLER!$G$7:$G$606,UCRETLER!$B$7:$B$606,$B14,UCRETLER!$F$7:$F$606,"Haftalık",UCRETLER!$H$7:$H$606,"Aktif"))</f>
        <v>3000</v>
      </c>
      <c r="E14" s="68">
        <f ca="1">IF($B14="","",SUMIFS(UCRETLER!$G$7:$G$606,UCRETLER!$B$7:$B$606,$B14,UCRETLER!$F$7:$F$606,"Aylık",UCRETLER!$H$7:$H$606,"Aktif"))</f>
        <v>0</v>
      </c>
      <c r="F14" s="68">
        <f ca="1">IF($B14="","",SUMIFS(MUSTERILER!$J$7:$J$156,MUSTERILER!$B$7:$B$156,$B14))</f>
        <v>0</v>
      </c>
      <c r="G14" s="68">
        <f ca="1">IF($B14="","",SUMIFS(UCRETLER!$I$7:$I$606,UCRETLER!$B$7:$B$606,$B14)+SUMIFS(GELIR_GIDER!$G$7:$G$3001,GELIR_GIDER!$T$7:$T$3001,$B14))</f>
        <v>102000</v>
      </c>
      <c r="H14" s="68">
        <f t="shared" ca="1" si="1"/>
        <v>102000</v>
      </c>
      <c r="I14" s="68">
        <f ca="1">IF($B14="","",SUMIFS(TAHSILAT!$F$7:$F$2503,TAHSILAT!$C$7:$C$2503,$B14))</f>
        <v>36000</v>
      </c>
      <c r="J14" s="68">
        <f t="shared" ca="1" si="2"/>
        <v>66000</v>
      </c>
      <c r="K14" s="68">
        <f t="shared" ca="1" si="3"/>
        <v>3000</v>
      </c>
      <c r="L14" s="68">
        <f t="shared" ca="1" si="4"/>
        <v>3000</v>
      </c>
      <c r="M14" s="68">
        <f t="shared" ca="1" si="5"/>
        <v>6000</v>
      </c>
      <c r="N14" s="68">
        <f t="shared" ca="1" si="6"/>
        <v>54000</v>
      </c>
      <c r="O14" s="92">
        <f t="shared" ca="1" si="7"/>
        <v>0.35294117647058826</v>
      </c>
      <c r="P14" s="70">
        <f ca="1">IF($B14="","",IFERROR(LOOKUP(2,1/(TAHSILAT!$C$7:$C$2503=$B14),TAHSILAT!$E$7:$E$2503),""))</f>
        <v>46137</v>
      </c>
      <c r="Q14" s="65" t="str">
        <f t="shared" ca="1" si="8"/>
        <v>KRİTİK</v>
      </c>
      <c r="R14" s="74" t="str">
        <f t="shared" ca="1" si="9"/>
        <v>Acil tahsilat görüşmesi ve cari mutabakat</v>
      </c>
      <c r="S14" s="93">
        <f t="shared" ca="1" si="10"/>
        <v>0</v>
      </c>
      <c r="T14" s="70" t="str">
        <f ca="1">IF(OR($B14="",$AF14=""),"",IF(INDEX(MUSTERILER!$K$7:$K$156,$AF14)="","",INDEX(MUSTERILER!$K$7:$K$156,$AF14)))</f>
        <v/>
      </c>
      <c r="U14" s="93" t="str">
        <f t="shared" ca="1" si="11"/>
        <v/>
      </c>
      <c r="V14" s="68">
        <f t="shared" ca="1" si="12"/>
        <v>0</v>
      </c>
      <c r="W14" s="65" t="str">
        <f t="shared" ca="1" si="13"/>
        <v>UYGUN</v>
      </c>
      <c r="X14" s="2">
        <f ca="1">IF($B14="",0,SUMIFS(UCRETLER!$J$7:$J$606,UCRETLER!$B$7:$B$606,$B14))</f>
        <v>99000</v>
      </c>
      <c r="Y14" s="2">
        <f ca="1">IF($B14="",0,SUMIFS(UCRETLER!$K$7:$K$606,UCRETLER!$B$7:$B$606,$B14))</f>
        <v>96000</v>
      </c>
      <c r="Z14" s="1">
        <f ca="1">IF($B14="",0,SUMIFS(UCRETLER!$L$7:$L$606,UCRETLER!$B$7:$B$606,$B14))</f>
        <v>90000</v>
      </c>
      <c r="AA14" s="1">
        <f t="shared" ca="1" si="14"/>
        <v>36000</v>
      </c>
      <c r="AB14" s="1">
        <f t="shared" ca="1" si="15"/>
        <v>0</v>
      </c>
      <c r="AC14" s="1">
        <f t="shared" ca="1" si="16"/>
        <v>63000</v>
      </c>
      <c r="AD14" s="1">
        <f t="shared" ca="1" si="17"/>
        <v>60000</v>
      </c>
      <c r="AE14" s="1">
        <f t="shared" ca="1" si="18"/>
        <v>54000</v>
      </c>
      <c r="AF14" s="1">
        <f ca="1">IFERROR(MATCH(ROW()-6,MUSTERILER!$U$7:$U$156,0),"")</f>
        <v>54</v>
      </c>
      <c r="AG14" s="1">
        <f ca="1">IF($B14="",0,SUMIFS(GELIR_GIDER!$G$7:$G$3001,GELIR_GIDER!$T$7:$T$3001,$B14))</f>
        <v>0</v>
      </c>
    </row>
    <row r="15" spans="1:33" ht="18" customHeight="1" x14ac:dyDescent="0.3">
      <c r="A15" s="2"/>
      <c r="B15" s="65" t="str">
        <f ca="1">IF($AF15="","",INDEX(MUSTERILER!$B$7:$B$156,$AF15))</f>
        <v>M026</v>
      </c>
      <c r="C15" s="74" t="str">
        <f ca="1">IF($AF15="","",INDEX(MUSTERILER!$C$7:$C$156,$AF15))</f>
        <v>AYDES LTD.ŞTİ.</v>
      </c>
      <c r="D15" s="68">
        <f ca="1">IF($B15="","",SUMIFS(UCRETLER!$G$7:$G$606,UCRETLER!$B$7:$B$606,$B15,UCRETLER!$F$7:$F$606,"Haftalık",UCRETLER!$H$7:$H$606,"Aktif"))</f>
        <v>0</v>
      </c>
      <c r="E15" s="68">
        <f ca="1">IF($B15="","",SUMIFS(UCRETLER!$G$7:$G$606,UCRETLER!$B$7:$B$606,$B15,UCRETLER!$F$7:$F$606,"Aylık",UCRETLER!$H$7:$H$606,"Aktif"))</f>
        <v>7500</v>
      </c>
      <c r="F15" s="68">
        <f ca="1">IF($B15="","",SUMIFS(MUSTERILER!$J$7:$J$156,MUSTERILER!$B$7:$B$156,$B15))</f>
        <v>0</v>
      </c>
      <c r="G15" s="68">
        <f ca="1">IF($B15="","",SUMIFS(UCRETLER!$I$7:$I$606,UCRETLER!$B$7:$B$606,$B15)+SUMIFS(GELIR_GIDER!$G$7:$G$3001,GELIR_GIDER!$T$7:$T$3001,$B15))</f>
        <v>52500</v>
      </c>
      <c r="H15" s="68">
        <f t="shared" ca="1" si="1"/>
        <v>52500</v>
      </c>
      <c r="I15" s="68">
        <f ca="1">IF($B15="","",SUMIFS(TAHSILAT!$F$7:$F$2503,TAHSILAT!$C$7:$C$2503,$B15))</f>
        <v>0</v>
      </c>
      <c r="J15" s="68">
        <f t="shared" ca="1" si="2"/>
        <v>52500</v>
      </c>
      <c r="K15" s="68">
        <f t="shared" ca="1" si="3"/>
        <v>0</v>
      </c>
      <c r="L15" s="68">
        <f t="shared" ca="1" si="4"/>
        <v>0</v>
      </c>
      <c r="M15" s="68">
        <f t="shared" ca="1" si="5"/>
        <v>7500</v>
      </c>
      <c r="N15" s="68">
        <f t="shared" ca="1" si="6"/>
        <v>45000</v>
      </c>
      <c r="O15" s="92">
        <f t="shared" ca="1" si="7"/>
        <v>0</v>
      </c>
      <c r="P15" s="70" t="str">
        <f ca="1">IF($B15="","",IFERROR(LOOKUP(2,1/(TAHSILAT!$C$7:$C$2503=$B15),TAHSILAT!$E$7:$E$2503),""))</f>
        <v/>
      </c>
      <c r="Q15" s="65" t="str">
        <f t="shared" ca="1" si="8"/>
        <v>KRİTİK</v>
      </c>
      <c r="R15" s="74" t="str">
        <f t="shared" ca="1" si="9"/>
        <v>Acil tahsilat görüşmesi ve cari mutabakat</v>
      </c>
      <c r="S15" s="93">
        <f t="shared" ca="1" si="10"/>
        <v>0</v>
      </c>
      <c r="T15" s="70" t="str">
        <f ca="1">IF(OR($B15="",$AF15=""),"",IF(INDEX(MUSTERILER!$K$7:$K$156,$AF15)="","",INDEX(MUSTERILER!$K$7:$K$156,$AF15)))</f>
        <v/>
      </c>
      <c r="U15" s="93" t="str">
        <f t="shared" ca="1" si="11"/>
        <v/>
      </c>
      <c r="V15" s="68">
        <f t="shared" ca="1" si="12"/>
        <v>0</v>
      </c>
      <c r="W15" s="65" t="str">
        <f t="shared" ca="1" si="13"/>
        <v>UYGUN</v>
      </c>
      <c r="X15" s="2">
        <f ca="1">IF($B15="",0,SUMIFS(UCRETLER!$J$7:$J$606,UCRETLER!$B$7:$B$606,$B15))</f>
        <v>52500</v>
      </c>
      <c r="Y15" s="2">
        <f ca="1">IF($B15="",0,SUMIFS(UCRETLER!$K$7:$K$606,UCRETLER!$B$7:$B$606,$B15))</f>
        <v>52500</v>
      </c>
      <c r="Z15" s="1">
        <f ca="1">IF($B15="",0,SUMIFS(UCRETLER!$L$7:$L$606,UCRETLER!$B$7:$B$606,$B15))</f>
        <v>45000</v>
      </c>
      <c r="AA15" s="1">
        <f t="shared" ca="1" si="14"/>
        <v>0</v>
      </c>
      <c r="AB15" s="1">
        <f t="shared" ca="1" si="15"/>
        <v>0</v>
      </c>
      <c r="AC15" s="1">
        <f t="shared" ca="1" si="16"/>
        <v>52500</v>
      </c>
      <c r="AD15" s="1">
        <f t="shared" ca="1" si="17"/>
        <v>52500</v>
      </c>
      <c r="AE15" s="1">
        <f t="shared" ca="1" si="18"/>
        <v>45000</v>
      </c>
      <c r="AF15" s="1">
        <f ca="1">IFERROR(MATCH(ROW()-6,MUSTERILER!$U$7:$U$156,0),"")</f>
        <v>9</v>
      </c>
      <c r="AG15" s="1">
        <f ca="1">IF($B15="",0,SUMIFS(GELIR_GIDER!$G$7:$G$3001,GELIR_GIDER!$T$7:$T$3001,$B15))</f>
        <v>0</v>
      </c>
    </row>
    <row r="16" spans="1:33" ht="18" customHeight="1" x14ac:dyDescent="0.3">
      <c r="A16" s="2"/>
      <c r="B16" s="65" t="str">
        <f ca="1">IF($AF16="","",INDEX(MUSTERILER!$B$7:$B$156,$AF16))</f>
        <v>M033</v>
      </c>
      <c r="C16" s="74" t="str">
        <f ca="1">IF($AF16="","",INDEX(MUSTERILER!$C$7:$C$156,$AF16))</f>
        <v>IŞIL GRUP LTD.ŞTİ.</v>
      </c>
      <c r="D16" s="68">
        <f ca="1">IF($B16="","",SUMIFS(UCRETLER!$G$7:$G$606,UCRETLER!$B$7:$B$606,$B16,UCRETLER!$F$7:$F$606,"Haftalık",UCRETLER!$H$7:$H$606,"Aktif"))</f>
        <v>0</v>
      </c>
      <c r="E16" s="68">
        <f ca="1">IF($B16="","",SUMIFS(UCRETLER!$G$7:$G$606,UCRETLER!$B$7:$B$606,$B16,UCRETLER!$F$7:$F$606,"Aylık",UCRETLER!$H$7:$H$606,"Aktif"))</f>
        <v>7500</v>
      </c>
      <c r="F16" s="68">
        <f ca="1">IF($B16="","",SUMIFS(MUSTERILER!$J$7:$J$156,MUSTERILER!$B$7:$B$156,$B16))</f>
        <v>0</v>
      </c>
      <c r="G16" s="68">
        <f ca="1">IF($B16="","",SUMIFS(UCRETLER!$I$7:$I$606,UCRETLER!$B$7:$B$606,$B16)+SUMIFS(GELIR_GIDER!$G$7:$G$3001,GELIR_GIDER!$T$7:$T$3001,$B16))</f>
        <v>52500</v>
      </c>
      <c r="H16" s="68">
        <f t="shared" ca="1" si="1"/>
        <v>52500</v>
      </c>
      <c r="I16" s="68">
        <f ca="1">IF($B16="","",SUMIFS(TAHSILAT!$F$7:$F$2503,TAHSILAT!$C$7:$C$2503,$B16))</f>
        <v>5000</v>
      </c>
      <c r="J16" s="68">
        <f t="shared" ca="1" si="2"/>
        <v>47500</v>
      </c>
      <c r="K16" s="68">
        <f t="shared" ca="1" si="3"/>
        <v>0</v>
      </c>
      <c r="L16" s="68">
        <f t="shared" ca="1" si="4"/>
        <v>0</v>
      </c>
      <c r="M16" s="68">
        <f t="shared" ca="1" si="5"/>
        <v>7500</v>
      </c>
      <c r="N16" s="68">
        <f t="shared" ca="1" si="6"/>
        <v>40000</v>
      </c>
      <c r="O16" s="92">
        <f t="shared" ca="1" si="7"/>
        <v>9.5238095238095233E-2</v>
      </c>
      <c r="P16" s="70">
        <f ca="1">IF($B16="","",IFERROR(LOOKUP(2,1/(TAHSILAT!$C$7:$C$2503=$B16),TAHSILAT!$E$7:$E$2503),""))</f>
        <v>46081</v>
      </c>
      <c r="Q16" s="65" t="str">
        <f t="shared" ca="1" si="8"/>
        <v>KRİTİK</v>
      </c>
      <c r="R16" s="74" t="str">
        <f t="shared" ca="1" si="9"/>
        <v>Acil tahsilat görüşmesi ve cari mutabakat</v>
      </c>
      <c r="S16" s="93">
        <f t="shared" ca="1" si="10"/>
        <v>0</v>
      </c>
      <c r="T16" s="70" t="str">
        <f ca="1">IF(OR($B16="",$AF16=""),"",IF(INDEX(MUSTERILER!$K$7:$K$156,$AF16)="","",INDEX(MUSTERILER!$K$7:$K$156,$AF16)))</f>
        <v/>
      </c>
      <c r="U16" s="93" t="str">
        <f t="shared" ca="1" si="11"/>
        <v/>
      </c>
      <c r="V16" s="68">
        <f t="shared" ca="1" si="12"/>
        <v>0</v>
      </c>
      <c r="W16" s="65" t="str">
        <f t="shared" ca="1" si="13"/>
        <v>UYGUN</v>
      </c>
      <c r="X16" s="2">
        <f ca="1">IF($B16="",0,SUMIFS(UCRETLER!$J$7:$J$606,UCRETLER!$B$7:$B$606,$B16))</f>
        <v>52500</v>
      </c>
      <c r="Y16" s="2">
        <f ca="1">IF($B16="",0,SUMIFS(UCRETLER!$K$7:$K$606,UCRETLER!$B$7:$B$606,$B16))</f>
        <v>52500</v>
      </c>
      <c r="Z16" s="1">
        <f ca="1">IF($B16="",0,SUMIFS(UCRETLER!$L$7:$L$606,UCRETLER!$B$7:$B$606,$B16))</f>
        <v>45000</v>
      </c>
      <c r="AA16" s="1">
        <f t="shared" ca="1" si="14"/>
        <v>5000</v>
      </c>
      <c r="AB16" s="1">
        <f t="shared" ca="1" si="15"/>
        <v>0</v>
      </c>
      <c r="AC16" s="1">
        <f t="shared" ca="1" si="16"/>
        <v>47500</v>
      </c>
      <c r="AD16" s="1">
        <f t="shared" ca="1" si="17"/>
        <v>47500</v>
      </c>
      <c r="AE16" s="1">
        <f t="shared" ca="1" si="18"/>
        <v>40000</v>
      </c>
      <c r="AF16" s="1">
        <f ca="1">IFERROR(MATCH(ROW()-6,MUSTERILER!$U$7:$U$156,0),"")</f>
        <v>24</v>
      </c>
      <c r="AG16" s="1">
        <f ca="1">IF($B16="",0,SUMIFS(GELIR_GIDER!$G$7:$G$3001,GELIR_GIDER!$T$7:$T$3001,$B16))</f>
        <v>0</v>
      </c>
    </row>
    <row r="17" spans="1:33" ht="18" customHeight="1" x14ac:dyDescent="0.3">
      <c r="A17" s="2"/>
      <c r="B17" s="65" t="str">
        <f ca="1">IF($AF17="","",INDEX(MUSTERILER!$B$7:$B$156,$AF17))</f>
        <v>M045</v>
      </c>
      <c r="C17" s="74" t="str">
        <f ca="1">IF($AF17="","",INDEX(MUSTERILER!$C$7:$C$156,$AF17))</f>
        <v>NERO E TİCARET LTD.ŞTİ.</v>
      </c>
      <c r="D17" s="68">
        <f ca="1">IF($B17="","",SUMIFS(UCRETLER!$G$7:$G$606,UCRETLER!$B$7:$B$606,$B17,UCRETLER!$F$7:$F$606,"Haftalık",UCRETLER!$H$7:$H$606,"Aktif"))</f>
        <v>0</v>
      </c>
      <c r="E17" s="68">
        <f ca="1">IF($B17="","",SUMIFS(UCRETLER!$G$7:$G$606,UCRETLER!$B$7:$B$606,$B17,UCRETLER!$F$7:$F$606,"Aylık",UCRETLER!$H$7:$H$606,"Aktif"))</f>
        <v>7500</v>
      </c>
      <c r="F17" s="68">
        <f ca="1">IF($B17="","",SUMIFS(MUSTERILER!$J$7:$J$156,MUSTERILER!$B$7:$B$156,$B17))</f>
        <v>0</v>
      </c>
      <c r="G17" s="68">
        <f ca="1">IF($B17="","",SUMIFS(UCRETLER!$I$7:$I$606,UCRETLER!$B$7:$B$606,$B17)+SUMIFS(GELIR_GIDER!$G$7:$G$3001,GELIR_GIDER!$T$7:$T$3001,$B17))</f>
        <v>52500</v>
      </c>
      <c r="H17" s="68">
        <f t="shared" ca="1" si="1"/>
        <v>52500</v>
      </c>
      <c r="I17" s="68">
        <f ca="1">IF($B17="","",SUMIFS(TAHSILAT!$F$7:$F$2503,TAHSILAT!$C$7:$C$2503,$B17))</f>
        <v>7500</v>
      </c>
      <c r="J17" s="68">
        <f t="shared" ca="1" si="2"/>
        <v>45000</v>
      </c>
      <c r="K17" s="68">
        <f t="shared" ca="1" si="3"/>
        <v>0</v>
      </c>
      <c r="L17" s="68">
        <f t="shared" ca="1" si="4"/>
        <v>0</v>
      </c>
      <c r="M17" s="68">
        <f t="shared" ca="1" si="5"/>
        <v>7500</v>
      </c>
      <c r="N17" s="68">
        <f t="shared" ca="1" si="6"/>
        <v>37500</v>
      </c>
      <c r="O17" s="92">
        <f t="shared" ca="1" si="7"/>
        <v>0.14285714285714285</v>
      </c>
      <c r="P17" s="70">
        <f ca="1">IF($B17="","",IFERROR(LOOKUP(2,1/(TAHSILAT!$C$7:$C$2503=$B17),TAHSILAT!$E$7:$E$2503),""))</f>
        <v>46069</v>
      </c>
      <c r="Q17" s="65" t="str">
        <f t="shared" ca="1" si="8"/>
        <v>KRİTİK</v>
      </c>
      <c r="R17" s="74" t="str">
        <f t="shared" ca="1" si="9"/>
        <v>Acil tahsilat görüşmesi ve cari mutabakat</v>
      </c>
      <c r="S17" s="93">
        <f t="shared" ca="1" si="10"/>
        <v>0</v>
      </c>
      <c r="T17" s="70" t="str">
        <f ca="1">IF(OR($B17="",$AF17=""),"",IF(INDEX(MUSTERILER!$K$7:$K$156,$AF17)="","",INDEX(MUSTERILER!$K$7:$K$156,$AF17)))</f>
        <v/>
      </c>
      <c r="U17" s="93" t="str">
        <f t="shared" ca="1" si="11"/>
        <v/>
      </c>
      <c r="V17" s="68">
        <f t="shared" ca="1" si="12"/>
        <v>0</v>
      </c>
      <c r="W17" s="65" t="str">
        <f t="shared" ca="1" si="13"/>
        <v>UYGUN</v>
      </c>
      <c r="X17" s="2">
        <f ca="1">IF($B17="",0,SUMIFS(UCRETLER!$J$7:$J$606,UCRETLER!$B$7:$B$606,$B17))</f>
        <v>52500</v>
      </c>
      <c r="Y17" s="2">
        <f ca="1">IF($B17="",0,SUMIFS(UCRETLER!$K$7:$K$606,UCRETLER!$B$7:$B$606,$B17))</f>
        <v>52500</v>
      </c>
      <c r="Z17" s="1">
        <f ca="1">IF($B17="",0,SUMIFS(UCRETLER!$L$7:$L$606,UCRETLER!$B$7:$B$606,$B17))</f>
        <v>45000</v>
      </c>
      <c r="AA17" s="1">
        <f t="shared" ca="1" si="14"/>
        <v>7500</v>
      </c>
      <c r="AB17" s="1">
        <f t="shared" ca="1" si="15"/>
        <v>0</v>
      </c>
      <c r="AC17" s="1">
        <f t="shared" ca="1" si="16"/>
        <v>45000</v>
      </c>
      <c r="AD17" s="1">
        <f t="shared" ca="1" si="17"/>
        <v>45000</v>
      </c>
      <c r="AE17" s="1">
        <f t="shared" ca="1" si="18"/>
        <v>37500</v>
      </c>
      <c r="AF17" s="1">
        <f ca="1">IFERROR(MATCH(ROW()-6,MUSTERILER!$U$7:$U$156,0),"")</f>
        <v>38</v>
      </c>
      <c r="AG17" s="1">
        <f ca="1">IF($B17="",0,SUMIFS(GELIR_GIDER!$G$7:$G$3001,GELIR_GIDER!$T$7:$T$3001,$B17))</f>
        <v>0</v>
      </c>
    </row>
    <row r="18" spans="1:33" ht="18" customHeight="1" x14ac:dyDescent="0.3">
      <c r="A18" s="2"/>
      <c r="B18" s="65" t="str">
        <f ca="1">IF($AF18="","",INDEX(MUSTERILER!$B$7:$B$156,$AF18))</f>
        <v>M007</v>
      </c>
      <c r="C18" s="74" t="str">
        <f ca="1">IF($AF18="","",INDEX(MUSTERILER!$C$7:$C$156,$AF18))</f>
        <v>MONAMOUR LTD.ŞTİ.</v>
      </c>
      <c r="D18" s="68">
        <f ca="1">IF($B18="","",SUMIFS(UCRETLER!$G$7:$G$606,UCRETLER!$B$7:$B$606,$B18,UCRETLER!$F$7:$F$606,"Haftalık",UCRETLER!$H$7:$H$606,"Aktif"))</f>
        <v>3500</v>
      </c>
      <c r="E18" s="68">
        <f ca="1">IF($B18="","",SUMIFS(UCRETLER!$G$7:$G$606,UCRETLER!$B$7:$B$606,$B18,UCRETLER!$F$7:$F$606,"Aylık",UCRETLER!$H$7:$H$606,"Aktif"))</f>
        <v>0</v>
      </c>
      <c r="F18" s="68">
        <f ca="1">IF($B18="","",SUMIFS(MUSTERILER!$J$7:$J$156,MUSTERILER!$B$7:$B$156,$B18))</f>
        <v>0</v>
      </c>
      <c r="G18" s="68">
        <f ca="1">IF($B18="","",SUMIFS(UCRETLER!$I$7:$I$606,UCRETLER!$B$7:$B$606,$B18)+SUMIFS(GELIR_GIDER!$G$7:$G$3001,GELIR_GIDER!$T$7:$T$3001,$B18))</f>
        <v>119000</v>
      </c>
      <c r="H18" s="68">
        <f t="shared" ca="1" si="1"/>
        <v>119000</v>
      </c>
      <c r="I18" s="68">
        <f ca="1">IF($B18="","",SUMIFS(TAHSILAT!$F$7:$F$2503,TAHSILAT!$C$7:$C$2503,$B18))</f>
        <v>89500</v>
      </c>
      <c r="J18" s="68">
        <f t="shared" ca="1" si="2"/>
        <v>29500</v>
      </c>
      <c r="K18" s="68">
        <f t="shared" ca="1" si="3"/>
        <v>3500</v>
      </c>
      <c r="L18" s="68">
        <f t="shared" ca="1" si="4"/>
        <v>3500</v>
      </c>
      <c r="M18" s="68">
        <f t="shared" ca="1" si="5"/>
        <v>7000</v>
      </c>
      <c r="N18" s="68">
        <f t="shared" ca="1" si="6"/>
        <v>15500</v>
      </c>
      <c r="O18" s="92">
        <f t="shared" ca="1" si="7"/>
        <v>0.75210084033613445</v>
      </c>
      <c r="P18" s="70">
        <f ca="1">IF($B18="","",IFERROR(LOOKUP(2,1/(TAHSILAT!$C$7:$C$2503=$B18),TAHSILAT!$E$7:$E$2503),""))</f>
        <v>46256</v>
      </c>
      <c r="Q18" s="65" t="str">
        <f t="shared" ca="1" si="8"/>
        <v>KRİTİK</v>
      </c>
      <c r="R18" s="74" t="str">
        <f t="shared" ca="1" si="9"/>
        <v>Acil tahsilat görüşmesi ve cari mutabakat</v>
      </c>
      <c r="S18" s="93">
        <f t="shared" ca="1" si="10"/>
        <v>0</v>
      </c>
      <c r="T18" s="70" t="str">
        <f ca="1">IF(OR($B18="",$AF18=""),"",IF(INDEX(MUSTERILER!$K$7:$K$156,$AF18)="","",INDEX(MUSTERILER!$K$7:$K$156,$AF18)))</f>
        <v/>
      </c>
      <c r="U18" s="93" t="str">
        <f t="shared" ca="1" si="11"/>
        <v/>
      </c>
      <c r="V18" s="68">
        <f t="shared" ca="1" si="12"/>
        <v>0</v>
      </c>
      <c r="W18" s="65" t="str">
        <f t="shared" ca="1" si="13"/>
        <v>UYGUN</v>
      </c>
      <c r="X18" s="2">
        <f ca="1">IF($B18="",0,SUMIFS(UCRETLER!$J$7:$J$606,UCRETLER!$B$7:$B$606,$B18))</f>
        <v>115500</v>
      </c>
      <c r="Y18" s="2">
        <f ca="1">IF($B18="",0,SUMIFS(UCRETLER!$K$7:$K$606,UCRETLER!$B$7:$B$606,$B18))</f>
        <v>112000</v>
      </c>
      <c r="Z18" s="1">
        <f ca="1">IF($B18="",0,SUMIFS(UCRETLER!$L$7:$L$606,UCRETLER!$B$7:$B$606,$B18))</f>
        <v>105000</v>
      </c>
      <c r="AA18" s="1">
        <f t="shared" ca="1" si="14"/>
        <v>89500</v>
      </c>
      <c r="AB18" s="1">
        <f t="shared" ca="1" si="15"/>
        <v>0</v>
      </c>
      <c r="AC18" s="1">
        <f t="shared" ca="1" si="16"/>
        <v>26000</v>
      </c>
      <c r="AD18" s="1">
        <f t="shared" ca="1" si="17"/>
        <v>22500</v>
      </c>
      <c r="AE18" s="1">
        <f t="shared" ca="1" si="18"/>
        <v>15500</v>
      </c>
      <c r="AF18" s="1">
        <f ca="1">IFERROR(MATCH(ROW()-6,MUSTERILER!$U$7:$U$156,0),"")</f>
        <v>33</v>
      </c>
      <c r="AG18" s="1">
        <f ca="1">IF($B18="",0,SUMIFS(GELIR_GIDER!$G$7:$G$3001,GELIR_GIDER!$T$7:$T$3001,$B18))</f>
        <v>0</v>
      </c>
    </row>
    <row r="19" spans="1:33" ht="18" customHeight="1" x14ac:dyDescent="0.3">
      <c r="A19" s="2"/>
      <c r="B19" s="65" t="str">
        <f ca="1">IF($AF19="","",INDEX(MUSTERILER!$B$7:$B$156,$AF19))</f>
        <v>M053</v>
      </c>
      <c r="C19" s="74" t="str">
        <f ca="1">IF($AF19="","",INDEX(MUSTERILER!$C$7:$C$156,$AF19))</f>
        <v>YEDİYİRMİDÖRT LTD.ŞTİ.</v>
      </c>
      <c r="D19" s="68">
        <f ca="1">IF($B19="","",SUMIFS(UCRETLER!$G$7:$G$606,UCRETLER!$B$7:$B$606,$B19,UCRETLER!$F$7:$F$606,"Haftalık",UCRETLER!$H$7:$H$606,"Aktif"))</f>
        <v>0</v>
      </c>
      <c r="E19" s="68">
        <f ca="1">IF($B19="","",SUMIFS(UCRETLER!$G$7:$G$606,UCRETLER!$B$7:$B$606,$B19,UCRETLER!$F$7:$F$606,"Aylık",UCRETLER!$H$7:$H$606,"Aktif"))</f>
        <v>10000</v>
      </c>
      <c r="F19" s="68">
        <f ca="1">IF($B19="","",SUMIFS(MUSTERILER!$J$7:$J$156,MUSTERILER!$B$7:$B$156,$B19))</f>
        <v>0</v>
      </c>
      <c r="G19" s="68">
        <f ca="1">IF($B19="","",SUMIFS(UCRETLER!$I$7:$I$606,UCRETLER!$B$7:$B$606,$B19)+SUMIFS(GELIR_GIDER!$G$7:$G$3001,GELIR_GIDER!$T$7:$T$3001,$B19))</f>
        <v>70000</v>
      </c>
      <c r="H19" s="68">
        <f t="shared" ca="1" si="1"/>
        <v>70000</v>
      </c>
      <c r="I19" s="68">
        <f ca="1">IF($B19="","",SUMIFS(TAHSILAT!$F$7:$F$2503,TAHSILAT!$C$7:$C$2503,$B19))</f>
        <v>46000</v>
      </c>
      <c r="J19" s="68">
        <f t="shared" ca="1" si="2"/>
        <v>24000</v>
      </c>
      <c r="K19" s="68">
        <f t="shared" ca="1" si="3"/>
        <v>0</v>
      </c>
      <c r="L19" s="68">
        <f t="shared" ca="1" si="4"/>
        <v>0</v>
      </c>
      <c r="M19" s="68">
        <f t="shared" ca="1" si="5"/>
        <v>10000</v>
      </c>
      <c r="N19" s="68">
        <f t="shared" ca="1" si="6"/>
        <v>14000</v>
      </c>
      <c r="O19" s="92">
        <f t="shared" ca="1" si="7"/>
        <v>0.65714285714285714</v>
      </c>
      <c r="P19" s="70">
        <f ca="1">IF($B19="","",IFERROR(LOOKUP(2,1/(TAHSILAT!$C$7:$C$2503=$B19),TAHSILAT!$E$7:$E$2503),""))</f>
        <v>46203</v>
      </c>
      <c r="Q19" s="65" t="str">
        <f t="shared" ca="1" si="8"/>
        <v>KRİTİK</v>
      </c>
      <c r="R19" s="74" t="str">
        <f t="shared" ca="1" si="9"/>
        <v>Acil tahsilat görüşmesi ve cari mutabakat</v>
      </c>
      <c r="S19" s="93">
        <f t="shared" ca="1" si="10"/>
        <v>0</v>
      </c>
      <c r="T19" s="70" t="str">
        <f ca="1">IF(OR($B19="",$AF19=""),"",IF(INDEX(MUSTERILER!$K$7:$K$156,$AF19)="","",INDEX(MUSTERILER!$K$7:$K$156,$AF19)))</f>
        <v/>
      </c>
      <c r="U19" s="93" t="str">
        <f t="shared" ca="1" si="11"/>
        <v/>
      </c>
      <c r="V19" s="68">
        <f t="shared" ca="1" si="12"/>
        <v>0</v>
      </c>
      <c r="W19" s="65" t="str">
        <f t="shared" ca="1" si="13"/>
        <v>UYGUN</v>
      </c>
      <c r="X19" s="2">
        <f ca="1">IF($B19="",0,SUMIFS(UCRETLER!$J$7:$J$606,UCRETLER!$B$7:$B$606,$B19))</f>
        <v>70000</v>
      </c>
      <c r="Y19" s="2">
        <f ca="1">IF($B19="",0,SUMIFS(UCRETLER!$K$7:$K$606,UCRETLER!$B$7:$B$606,$B19))</f>
        <v>70000</v>
      </c>
      <c r="Z19" s="1">
        <f ca="1">IF($B19="",0,SUMIFS(UCRETLER!$L$7:$L$606,UCRETLER!$B$7:$B$606,$B19))</f>
        <v>60000</v>
      </c>
      <c r="AA19" s="1">
        <f t="shared" ca="1" si="14"/>
        <v>46000</v>
      </c>
      <c r="AB19" s="1">
        <f t="shared" ca="1" si="15"/>
        <v>0</v>
      </c>
      <c r="AC19" s="1">
        <f t="shared" ca="1" si="16"/>
        <v>24000</v>
      </c>
      <c r="AD19" s="1">
        <f t="shared" ca="1" si="17"/>
        <v>24000</v>
      </c>
      <c r="AE19" s="1">
        <f t="shared" ca="1" si="18"/>
        <v>14000</v>
      </c>
      <c r="AF19" s="1">
        <f ca="1">IFERROR(MATCH(ROW()-6,MUSTERILER!$U$7:$U$156,0),"")</f>
        <v>53</v>
      </c>
      <c r="AG19" s="1">
        <f ca="1">IF($B19="",0,SUMIFS(GELIR_GIDER!$G$7:$G$3001,GELIR_GIDER!$T$7:$T$3001,$B19))</f>
        <v>0</v>
      </c>
    </row>
    <row r="20" spans="1:33" ht="18" customHeight="1" x14ac:dyDescent="0.3">
      <c r="A20" s="2"/>
      <c r="B20" s="65" t="str">
        <f ca="1">IF($AF20="","",INDEX(MUSTERILER!$B$7:$B$156,$AF20))</f>
        <v>M039</v>
      </c>
      <c r="C20" s="74" t="str">
        <f ca="1">IF($AF20="","",INDEX(MUSTERILER!$C$7:$C$156,$AF20))</f>
        <v>MELİSA BEDİR</v>
      </c>
      <c r="D20" s="68">
        <f ca="1">IF($B20="","",SUMIFS(UCRETLER!$G$7:$G$606,UCRETLER!$B$7:$B$606,$B20,UCRETLER!$F$7:$F$606,"Haftalık",UCRETLER!$H$7:$H$606,"Aktif"))</f>
        <v>0</v>
      </c>
      <c r="E20" s="68">
        <f ca="1">IF($B20="","",SUMIFS(UCRETLER!$G$7:$G$606,UCRETLER!$B$7:$B$606,$B20,UCRETLER!$F$7:$F$606,"Aylık",UCRETLER!$H$7:$H$606,"Aktif"))</f>
        <v>3000</v>
      </c>
      <c r="F20" s="68">
        <f ca="1">IF($B20="","",SUMIFS(MUSTERILER!$J$7:$J$156,MUSTERILER!$B$7:$B$156,$B20))</f>
        <v>0</v>
      </c>
      <c r="G20" s="68">
        <f ca="1">IF($B20="","",SUMIFS(UCRETLER!$I$7:$I$606,UCRETLER!$B$7:$B$606,$B20)+SUMIFS(GELIR_GIDER!$G$7:$G$3001,GELIR_GIDER!$T$7:$T$3001,$B20))</f>
        <v>21000</v>
      </c>
      <c r="H20" s="68">
        <f t="shared" ca="1" si="1"/>
        <v>21000</v>
      </c>
      <c r="I20" s="68">
        <f ca="1">IF($B20="","",SUMIFS(TAHSILAT!$F$7:$F$2503,TAHSILAT!$C$7:$C$2503,$B20))</f>
        <v>0</v>
      </c>
      <c r="J20" s="68">
        <f t="shared" ca="1" si="2"/>
        <v>21000</v>
      </c>
      <c r="K20" s="68">
        <f t="shared" ca="1" si="3"/>
        <v>0</v>
      </c>
      <c r="L20" s="68">
        <f t="shared" ca="1" si="4"/>
        <v>0</v>
      </c>
      <c r="M20" s="68">
        <f t="shared" ca="1" si="5"/>
        <v>3000</v>
      </c>
      <c r="N20" s="68">
        <f t="shared" ca="1" si="6"/>
        <v>18000</v>
      </c>
      <c r="O20" s="92">
        <f t="shared" ca="1" si="7"/>
        <v>0</v>
      </c>
      <c r="P20" s="70" t="str">
        <f ca="1">IF($B20="","",IFERROR(LOOKUP(2,1/(TAHSILAT!$C$7:$C$2503=$B20),TAHSILAT!$E$7:$E$2503),""))</f>
        <v/>
      </c>
      <c r="Q20" s="65" t="str">
        <f t="shared" ca="1" si="8"/>
        <v>KRİTİK</v>
      </c>
      <c r="R20" s="74" t="str">
        <f t="shared" ca="1" si="9"/>
        <v>Acil tahsilat görüşmesi ve cari mutabakat</v>
      </c>
      <c r="S20" s="93">
        <f t="shared" ca="1" si="10"/>
        <v>0</v>
      </c>
      <c r="T20" s="70" t="str">
        <f ca="1">IF(OR($B20="",$AF20=""),"",IF(INDEX(MUSTERILER!$K$7:$K$156,$AF20)="","",INDEX(MUSTERILER!$K$7:$K$156,$AF20)))</f>
        <v/>
      </c>
      <c r="U20" s="93" t="str">
        <f t="shared" ca="1" si="11"/>
        <v/>
      </c>
      <c r="V20" s="68">
        <f t="shared" ca="1" si="12"/>
        <v>0</v>
      </c>
      <c r="W20" s="65" t="str">
        <f t="shared" ca="1" si="13"/>
        <v>UYGUN</v>
      </c>
      <c r="X20" s="2">
        <f ca="1">IF($B20="",0,SUMIFS(UCRETLER!$J$7:$J$606,UCRETLER!$B$7:$B$606,$B20))</f>
        <v>21000</v>
      </c>
      <c r="Y20" s="2">
        <f ca="1">IF($B20="",0,SUMIFS(UCRETLER!$K$7:$K$606,UCRETLER!$B$7:$B$606,$B20))</f>
        <v>21000</v>
      </c>
      <c r="Z20" s="1">
        <f ca="1">IF($B20="",0,SUMIFS(UCRETLER!$L$7:$L$606,UCRETLER!$B$7:$B$606,$B20))</f>
        <v>18000</v>
      </c>
      <c r="AA20" s="1">
        <f t="shared" ca="1" si="14"/>
        <v>0</v>
      </c>
      <c r="AB20" s="1">
        <f t="shared" ca="1" si="15"/>
        <v>0</v>
      </c>
      <c r="AC20" s="1">
        <f t="shared" ca="1" si="16"/>
        <v>21000</v>
      </c>
      <c r="AD20" s="1">
        <f t="shared" ca="1" si="17"/>
        <v>21000</v>
      </c>
      <c r="AE20" s="1">
        <f t="shared" ca="1" si="18"/>
        <v>18000</v>
      </c>
      <c r="AF20" s="1">
        <f ca="1">IFERROR(MATCH(ROW()-6,MUSTERILER!$U$7:$U$156,0),"")</f>
        <v>30</v>
      </c>
      <c r="AG20" s="1">
        <f ca="1">IF($B20="",0,SUMIFS(GELIR_GIDER!$G$7:$G$3001,GELIR_GIDER!$T$7:$T$3001,$B20))</f>
        <v>0</v>
      </c>
    </row>
    <row r="21" spans="1:33" ht="18" customHeight="1" x14ac:dyDescent="0.3">
      <c r="A21" s="2"/>
      <c r="B21" s="65" t="str">
        <f ca="1">IF($AF21="","",INDEX(MUSTERILER!$B$7:$B$156,$AF21))</f>
        <v>M001</v>
      </c>
      <c r="C21" s="74" t="str">
        <f ca="1">IF($AF21="","",INDEX(MUSTERILER!$C$7:$C$156,$AF21))</f>
        <v>ANKARA HAVANA LTD.ŞTİ.</v>
      </c>
      <c r="D21" s="68">
        <f ca="1">IF($B21="","",SUMIFS(UCRETLER!$G$7:$G$606,UCRETLER!$B$7:$B$606,$B21,UCRETLER!$F$7:$F$606,"Haftalık",UCRETLER!$H$7:$H$606,"Aktif"))</f>
        <v>4000</v>
      </c>
      <c r="E21" s="68">
        <f ca="1">IF($B21="","",SUMIFS(UCRETLER!$G$7:$G$606,UCRETLER!$B$7:$B$606,$B21,UCRETLER!$F$7:$F$606,"Aylık",UCRETLER!$H$7:$H$606,"Aktif"))</f>
        <v>0</v>
      </c>
      <c r="F21" s="68">
        <f ca="1">IF($B21="","",SUMIFS(MUSTERILER!$J$7:$J$156,MUSTERILER!$B$7:$B$156,$B21))</f>
        <v>0</v>
      </c>
      <c r="G21" s="68">
        <f ca="1">IF($B21="","",SUMIFS(UCRETLER!$I$7:$I$606,UCRETLER!$B$7:$B$606,$B21)+SUMIFS(GELIR_GIDER!$G$7:$G$3001,GELIR_GIDER!$T$7:$T$3001,$B21))</f>
        <v>136000</v>
      </c>
      <c r="H21" s="68">
        <f t="shared" ca="1" si="1"/>
        <v>136000</v>
      </c>
      <c r="I21" s="68">
        <f ca="1">IF($B21="","",SUMIFS(TAHSILAT!$F$7:$F$2503,TAHSILAT!$C$7:$C$2503,$B21))</f>
        <v>116000</v>
      </c>
      <c r="J21" s="68">
        <f t="shared" ca="1" si="2"/>
        <v>20000</v>
      </c>
      <c r="K21" s="68">
        <f t="shared" ca="1" si="3"/>
        <v>4000</v>
      </c>
      <c r="L21" s="68">
        <f t="shared" ca="1" si="4"/>
        <v>4000</v>
      </c>
      <c r="M21" s="68">
        <f t="shared" ca="1" si="5"/>
        <v>8000</v>
      </c>
      <c r="N21" s="68">
        <f t="shared" ca="1" si="6"/>
        <v>4000</v>
      </c>
      <c r="O21" s="92">
        <f t="shared" ca="1" si="7"/>
        <v>0.8529411764705882</v>
      </c>
      <c r="P21" s="70">
        <f ca="1">IF($B21="","",IFERROR(LOOKUP(2,1/(TAHSILAT!$C$7:$C$2503=$B21),TAHSILAT!$E$7:$E$2503),""))</f>
        <v>46256</v>
      </c>
      <c r="Q21" s="65" t="str">
        <f t="shared" ca="1" si="8"/>
        <v>KRİTİK</v>
      </c>
      <c r="R21" s="74" t="str">
        <f t="shared" ca="1" si="9"/>
        <v>Acil tahsilat görüşmesi ve cari mutabakat</v>
      </c>
      <c r="S21" s="93">
        <f t="shared" ca="1" si="10"/>
        <v>0</v>
      </c>
      <c r="T21" s="70" t="str">
        <f ca="1">IF(OR($B21="",$AF21=""),"",IF(INDEX(MUSTERILER!$K$7:$K$156,$AF21)="","",INDEX(MUSTERILER!$K$7:$K$156,$AF21)))</f>
        <v/>
      </c>
      <c r="U21" s="93" t="str">
        <f t="shared" ca="1" si="11"/>
        <v/>
      </c>
      <c r="V21" s="68">
        <f t="shared" ca="1" si="12"/>
        <v>0</v>
      </c>
      <c r="W21" s="65" t="str">
        <f t="shared" ca="1" si="13"/>
        <v>UYGUN</v>
      </c>
      <c r="X21" s="2">
        <f ca="1">IF($B21="",0,SUMIFS(UCRETLER!$J$7:$J$606,UCRETLER!$B$7:$B$606,$B21))</f>
        <v>132000</v>
      </c>
      <c r="Y21" s="2">
        <f ca="1">IF($B21="",0,SUMIFS(UCRETLER!$K$7:$K$606,UCRETLER!$B$7:$B$606,$B21))</f>
        <v>128000</v>
      </c>
      <c r="Z21" s="1">
        <f ca="1">IF($B21="",0,SUMIFS(UCRETLER!$L$7:$L$606,UCRETLER!$B$7:$B$606,$B21))</f>
        <v>120000</v>
      </c>
      <c r="AA21" s="1">
        <f t="shared" ca="1" si="14"/>
        <v>116000</v>
      </c>
      <c r="AB21" s="1">
        <f t="shared" ca="1" si="15"/>
        <v>0</v>
      </c>
      <c r="AC21" s="1">
        <f t="shared" ca="1" si="16"/>
        <v>16000</v>
      </c>
      <c r="AD21" s="1">
        <f t="shared" ca="1" si="17"/>
        <v>12000</v>
      </c>
      <c r="AE21" s="1">
        <f t="shared" ca="1" si="18"/>
        <v>4000</v>
      </c>
      <c r="AF21" s="1">
        <f ca="1">IFERROR(MATCH(ROW()-6,MUSTERILER!$U$7:$U$156,0),"")</f>
        <v>4</v>
      </c>
      <c r="AG21" s="1">
        <f ca="1">IF($B21="",0,SUMIFS(GELIR_GIDER!$G$7:$G$3001,GELIR_GIDER!$T$7:$T$3001,$B21))</f>
        <v>0</v>
      </c>
    </row>
    <row r="22" spans="1:33" ht="18" customHeight="1" x14ac:dyDescent="0.3">
      <c r="A22" s="2"/>
      <c r="B22" s="65" t="str">
        <f ca="1">IF($AF22="","",INDEX(MUSTERILER!$B$7:$B$156,$AF22))</f>
        <v>M006</v>
      </c>
      <c r="C22" s="74" t="str">
        <f ca="1">IF($AF22="","",INDEX(MUSTERILER!$C$7:$C$156,$AF22))</f>
        <v>VOLKAN AÇIK</v>
      </c>
      <c r="D22" s="68">
        <f ca="1">IF($B22="","",SUMIFS(UCRETLER!$G$7:$G$606,UCRETLER!$B$7:$B$606,$B22,UCRETLER!$F$7:$F$606,"Haftalık",UCRETLER!$H$7:$H$606,"Aktif"))</f>
        <v>1000</v>
      </c>
      <c r="E22" s="68">
        <f ca="1">IF($B22="","",SUMIFS(UCRETLER!$G$7:$G$606,UCRETLER!$B$7:$B$606,$B22,UCRETLER!$F$7:$F$606,"Aylık",UCRETLER!$H$7:$H$606,"Aktif"))</f>
        <v>0</v>
      </c>
      <c r="F22" s="68">
        <f ca="1">IF($B22="","",SUMIFS(MUSTERILER!$J$7:$J$156,MUSTERILER!$B$7:$B$156,$B22))</f>
        <v>0</v>
      </c>
      <c r="G22" s="68">
        <f ca="1">IF($B22="","",SUMIFS(UCRETLER!$I$7:$I$606,UCRETLER!$B$7:$B$606,$B22)+SUMIFS(GELIR_GIDER!$G$7:$G$3001,GELIR_GIDER!$T$7:$T$3001,$B22))</f>
        <v>34000</v>
      </c>
      <c r="H22" s="68">
        <f t="shared" ca="1" si="1"/>
        <v>34000</v>
      </c>
      <c r="I22" s="68">
        <f ca="1">IF($B22="","",SUMIFS(TAHSILAT!$F$7:$F$2503,TAHSILAT!$C$7:$C$2503,$B22))</f>
        <v>15000</v>
      </c>
      <c r="J22" s="68">
        <f t="shared" ca="1" si="2"/>
        <v>19000</v>
      </c>
      <c r="K22" s="68">
        <f t="shared" ca="1" si="3"/>
        <v>1000</v>
      </c>
      <c r="L22" s="68">
        <f t="shared" ca="1" si="4"/>
        <v>1000</v>
      </c>
      <c r="M22" s="68">
        <f t="shared" ca="1" si="5"/>
        <v>2000</v>
      </c>
      <c r="N22" s="68">
        <f t="shared" ca="1" si="6"/>
        <v>15000</v>
      </c>
      <c r="O22" s="92">
        <f t="shared" ca="1" si="7"/>
        <v>0.44117647058823528</v>
      </c>
      <c r="P22" s="70">
        <f ca="1">IF($B22="","",IFERROR(LOOKUP(2,1/(TAHSILAT!$C$7:$C$2503=$B22),TAHSILAT!$E$7:$E$2503),""))</f>
        <v>46260</v>
      </c>
      <c r="Q22" s="65" t="str">
        <f t="shared" ca="1" si="8"/>
        <v>KRİTİK</v>
      </c>
      <c r="R22" s="74" t="str">
        <f t="shared" ca="1" si="9"/>
        <v>Acil tahsilat görüşmesi ve cari mutabakat</v>
      </c>
      <c r="S22" s="93">
        <f t="shared" ca="1" si="10"/>
        <v>0</v>
      </c>
      <c r="T22" s="70" t="str">
        <f ca="1">IF(OR($B22="",$AF22=""),"",IF(INDEX(MUSTERILER!$K$7:$K$156,$AF22)="","",INDEX(MUSTERILER!$K$7:$K$156,$AF22)))</f>
        <v/>
      </c>
      <c r="U22" s="93" t="str">
        <f t="shared" ca="1" si="11"/>
        <v/>
      </c>
      <c r="V22" s="68">
        <f t="shared" ca="1" si="12"/>
        <v>0</v>
      </c>
      <c r="W22" s="65" t="str">
        <f t="shared" ca="1" si="13"/>
        <v>UYGUN</v>
      </c>
      <c r="X22" s="2">
        <f ca="1">IF($B22="",0,SUMIFS(UCRETLER!$J$7:$J$606,UCRETLER!$B$7:$B$606,$B22))</f>
        <v>33000</v>
      </c>
      <c r="Y22" s="2">
        <f ca="1">IF($B22="",0,SUMIFS(UCRETLER!$K$7:$K$606,UCRETLER!$B$7:$B$606,$B22))</f>
        <v>32000</v>
      </c>
      <c r="Z22" s="1">
        <f ca="1">IF($B22="",0,SUMIFS(UCRETLER!$L$7:$L$606,UCRETLER!$B$7:$B$606,$B22))</f>
        <v>30000</v>
      </c>
      <c r="AA22" s="1">
        <f t="shared" ca="1" si="14"/>
        <v>15000</v>
      </c>
      <c r="AB22" s="1">
        <f t="shared" ca="1" si="15"/>
        <v>0</v>
      </c>
      <c r="AC22" s="1">
        <f t="shared" ca="1" si="16"/>
        <v>18000</v>
      </c>
      <c r="AD22" s="1">
        <f t="shared" ca="1" si="17"/>
        <v>17000</v>
      </c>
      <c r="AE22" s="1">
        <f t="shared" ca="1" si="18"/>
        <v>15000</v>
      </c>
      <c r="AF22" s="1">
        <f ca="1">IFERROR(MATCH(ROW()-6,MUSTERILER!$U$7:$U$156,0),"")</f>
        <v>51</v>
      </c>
      <c r="AG22" s="1">
        <f ca="1">IF($B22="",0,SUMIFS(GELIR_GIDER!$G$7:$G$3001,GELIR_GIDER!$T$7:$T$3001,$B22))</f>
        <v>0</v>
      </c>
    </row>
    <row r="23" spans="1:33" ht="18" customHeight="1" x14ac:dyDescent="0.3">
      <c r="A23" s="2"/>
      <c r="B23" s="65" t="str">
        <f ca="1">IF($AF23="","",INDEX(MUSTERILER!$B$7:$B$156,$AF23))</f>
        <v>M022</v>
      </c>
      <c r="C23" s="74" t="str">
        <f ca="1">IF($AF23="","",INDEX(MUSTERILER!$C$7:$C$156,$AF23))</f>
        <v>ADEM KARABENLİ</v>
      </c>
      <c r="D23" s="68">
        <f ca="1">IF($B23="","",SUMIFS(UCRETLER!$G$7:$G$606,UCRETLER!$B$7:$B$606,$B23,UCRETLER!$F$7:$F$606,"Haftalık",UCRETLER!$H$7:$H$606,"Aktif"))</f>
        <v>0</v>
      </c>
      <c r="E23" s="68">
        <f ca="1">IF($B23="","",SUMIFS(UCRETLER!$G$7:$G$606,UCRETLER!$B$7:$B$606,$B23,UCRETLER!$F$7:$F$606,"Aylık",UCRETLER!$H$7:$H$606,"Aktif"))</f>
        <v>3000</v>
      </c>
      <c r="F23" s="68">
        <f ca="1">IF($B23="","",SUMIFS(MUSTERILER!$J$7:$J$156,MUSTERILER!$B$7:$B$156,$B23))</f>
        <v>0</v>
      </c>
      <c r="G23" s="68">
        <f ca="1">IF($B23="","",SUMIFS(UCRETLER!$I$7:$I$606,UCRETLER!$B$7:$B$606,$B23)+SUMIFS(GELIR_GIDER!$G$7:$G$3001,GELIR_GIDER!$T$7:$T$3001,$B23))</f>
        <v>21000</v>
      </c>
      <c r="H23" s="68">
        <f t="shared" ca="1" si="1"/>
        <v>21000</v>
      </c>
      <c r="I23" s="68">
        <f ca="1">IF($B23="","",SUMIFS(TAHSILAT!$F$7:$F$2503,TAHSILAT!$C$7:$C$2503,$B23))</f>
        <v>3000</v>
      </c>
      <c r="J23" s="68">
        <f t="shared" ca="1" si="2"/>
        <v>18000</v>
      </c>
      <c r="K23" s="68">
        <f t="shared" ca="1" si="3"/>
        <v>0</v>
      </c>
      <c r="L23" s="68">
        <f t="shared" ca="1" si="4"/>
        <v>0</v>
      </c>
      <c r="M23" s="68">
        <f t="shared" ca="1" si="5"/>
        <v>3000</v>
      </c>
      <c r="N23" s="68">
        <f t="shared" ca="1" si="6"/>
        <v>15000</v>
      </c>
      <c r="O23" s="92">
        <f t="shared" ca="1" si="7"/>
        <v>0.14285714285714285</v>
      </c>
      <c r="P23" s="70">
        <f ca="1">IF($B23="","",IFERROR(LOOKUP(2,1/(TAHSILAT!$C$7:$C$2503=$B23),TAHSILAT!$E$7:$E$2503),""))</f>
        <v>46254</v>
      </c>
      <c r="Q23" s="65" t="str">
        <f t="shared" ca="1" si="8"/>
        <v>KRİTİK</v>
      </c>
      <c r="R23" s="74" t="str">
        <f t="shared" ca="1" si="9"/>
        <v>Acil tahsilat görüşmesi ve cari mutabakat</v>
      </c>
      <c r="S23" s="93">
        <f t="shared" ca="1" si="10"/>
        <v>0</v>
      </c>
      <c r="T23" s="70" t="str">
        <f ca="1">IF(OR($B23="",$AF23=""),"",IF(INDEX(MUSTERILER!$K$7:$K$156,$AF23)="","",INDEX(MUSTERILER!$K$7:$K$156,$AF23)))</f>
        <v/>
      </c>
      <c r="U23" s="93" t="str">
        <f t="shared" ca="1" si="11"/>
        <v/>
      </c>
      <c r="V23" s="68">
        <f t="shared" ca="1" si="12"/>
        <v>0</v>
      </c>
      <c r="W23" s="65" t="str">
        <f t="shared" ca="1" si="13"/>
        <v>UYGUN</v>
      </c>
      <c r="X23" s="2">
        <f ca="1">IF($B23="",0,SUMIFS(UCRETLER!$J$7:$J$606,UCRETLER!$B$7:$B$606,$B23))</f>
        <v>21000</v>
      </c>
      <c r="Y23" s="2">
        <f ca="1">IF($B23="",0,SUMIFS(UCRETLER!$K$7:$K$606,UCRETLER!$B$7:$B$606,$B23))</f>
        <v>21000</v>
      </c>
      <c r="Z23" s="1">
        <f ca="1">IF($B23="",0,SUMIFS(UCRETLER!$L$7:$L$606,UCRETLER!$B$7:$B$606,$B23))</f>
        <v>18000</v>
      </c>
      <c r="AA23" s="1">
        <f t="shared" ca="1" si="14"/>
        <v>3000</v>
      </c>
      <c r="AB23" s="1">
        <f t="shared" ca="1" si="15"/>
        <v>0</v>
      </c>
      <c r="AC23" s="1">
        <f t="shared" ca="1" si="16"/>
        <v>18000</v>
      </c>
      <c r="AD23" s="1">
        <f t="shared" ca="1" si="17"/>
        <v>18000</v>
      </c>
      <c r="AE23" s="1">
        <f t="shared" ca="1" si="18"/>
        <v>15000</v>
      </c>
      <c r="AF23" s="1">
        <f ca="1">IFERROR(MATCH(ROW()-6,MUSTERILER!$U$7:$U$156,0),"")</f>
        <v>2</v>
      </c>
      <c r="AG23" s="1">
        <f ca="1">IF($B23="",0,SUMIFS(GELIR_GIDER!$G$7:$G$3001,GELIR_GIDER!$T$7:$T$3001,$B23))</f>
        <v>0</v>
      </c>
    </row>
    <row r="24" spans="1:33" ht="18" customHeight="1" x14ac:dyDescent="0.3">
      <c r="A24" s="2"/>
      <c r="B24" s="65" t="str">
        <f ca="1">IF($AF24="","",INDEX(MUSTERILER!$B$7:$B$156,$AF24))</f>
        <v>M036</v>
      </c>
      <c r="C24" s="74" t="str">
        <f ca="1">IF($AF24="","",INDEX(MUSTERILER!$C$7:$C$156,$AF24))</f>
        <v>İSMAİL AKPINAR</v>
      </c>
      <c r="D24" s="68">
        <f ca="1">IF($B24="","",SUMIFS(UCRETLER!$G$7:$G$606,UCRETLER!$B$7:$B$606,$B24,UCRETLER!$F$7:$F$606,"Haftalık",UCRETLER!$H$7:$H$606,"Aktif"))</f>
        <v>0</v>
      </c>
      <c r="E24" s="68">
        <f ca="1">IF($B24="","",SUMIFS(UCRETLER!$G$7:$G$606,UCRETLER!$B$7:$B$606,$B24,UCRETLER!$F$7:$F$606,"Aylık",UCRETLER!$H$7:$H$606,"Aktif"))</f>
        <v>4000</v>
      </c>
      <c r="F24" s="68">
        <f ca="1">IF($B24="","",SUMIFS(MUSTERILER!$J$7:$J$156,MUSTERILER!$B$7:$B$156,$B24))</f>
        <v>0</v>
      </c>
      <c r="G24" s="68">
        <f ca="1">IF($B24="","",SUMIFS(UCRETLER!$I$7:$I$606,UCRETLER!$B$7:$B$606,$B24)+SUMIFS(GELIR_GIDER!$G$7:$G$3001,GELIR_GIDER!$T$7:$T$3001,$B24))</f>
        <v>28000</v>
      </c>
      <c r="H24" s="68">
        <f t="shared" ca="1" si="1"/>
        <v>28000</v>
      </c>
      <c r="I24" s="68">
        <f ca="1">IF($B24="","",SUMIFS(TAHSILAT!$F$7:$F$2503,TAHSILAT!$C$7:$C$2503,$B24))</f>
        <v>10000</v>
      </c>
      <c r="J24" s="68">
        <f t="shared" ca="1" si="2"/>
        <v>18000</v>
      </c>
      <c r="K24" s="68">
        <f t="shared" ca="1" si="3"/>
        <v>0</v>
      </c>
      <c r="L24" s="68">
        <f t="shared" ca="1" si="4"/>
        <v>0</v>
      </c>
      <c r="M24" s="68">
        <f t="shared" ca="1" si="5"/>
        <v>4000</v>
      </c>
      <c r="N24" s="68">
        <f t="shared" ca="1" si="6"/>
        <v>14000</v>
      </c>
      <c r="O24" s="92">
        <f t="shared" ca="1" si="7"/>
        <v>0.35714285714285715</v>
      </c>
      <c r="P24" s="70">
        <f ca="1">IF($B24="","",IFERROR(LOOKUP(2,1/(TAHSILAT!$C$7:$C$2503=$B24),TAHSILAT!$E$7:$E$2503),""))</f>
        <v>46253</v>
      </c>
      <c r="Q24" s="65" t="str">
        <f t="shared" ca="1" si="8"/>
        <v>KRİTİK</v>
      </c>
      <c r="R24" s="74" t="str">
        <f t="shared" ca="1" si="9"/>
        <v>Acil tahsilat görüşmesi ve cari mutabakat</v>
      </c>
      <c r="S24" s="93">
        <f t="shared" ca="1" si="10"/>
        <v>0</v>
      </c>
      <c r="T24" s="70" t="str">
        <f ca="1">IF(OR($B24="",$AF24=""),"",IF(INDEX(MUSTERILER!$K$7:$K$156,$AF24)="","",INDEX(MUSTERILER!$K$7:$K$156,$AF24)))</f>
        <v/>
      </c>
      <c r="U24" s="93" t="str">
        <f t="shared" ca="1" si="11"/>
        <v/>
      </c>
      <c r="V24" s="68">
        <f t="shared" ca="1" si="12"/>
        <v>0</v>
      </c>
      <c r="W24" s="65" t="str">
        <f t="shared" ca="1" si="13"/>
        <v>UYGUN</v>
      </c>
      <c r="X24" s="2">
        <f ca="1">IF($B24="",0,SUMIFS(UCRETLER!$J$7:$J$606,UCRETLER!$B$7:$B$606,$B24))</f>
        <v>28000</v>
      </c>
      <c r="Y24" s="2">
        <f ca="1">IF($B24="",0,SUMIFS(UCRETLER!$K$7:$K$606,UCRETLER!$B$7:$B$606,$B24))</f>
        <v>28000</v>
      </c>
      <c r="Z24" s="1">
        <f ca="1">IF($B24="",0,SUMIFS(UCRETLER!$L$7:$L$606,UCRETLER!$B$7:$B$606,$B24))</f>
        <v>24000</v>
      </c>
      <c r="AA24" s="1">
        <f t="shared" ca="1" si="14"/>
        <v>10000</v>
      </c>
      <c r="AB24" s="1">
        <f t="shared" ca="1" si="15"/>
        <v>0</v>
      </c>
      <c r="AC24" s="1">
        <f t="shared" ca="1" si="16"/>
        <v>18000</v>
      </c>
      <c r="AD24" s="1">
        <f t="shared" ca="1" si="17"/>
        <v>18000</v>
      </c>
      <c r="AE24" s="1">
        <f t="shared" ca="1" si="18"/>
        <v>14000</v>
      </c>
      <c r="AF24" s="1">
        <f ca="1">IFERROR(MATCH(ROW()-6,MUSTERILER!$U$7:$U$156,0),"")</f>
        <v>25</v>
      </c>
      <c r="AG24" s="1">
        <f ca="1">IF($B24="",0,SUMIFS(GELIR_GIDER!$G$7:$G$3001,GELIR_GIDER!$T$7:$T$3001,$B24))</f>
        <v>0</v>
      </c>
    </row>
    <row r="25" spans="1:33" ht="18" customHeight="1" x14ac:dyDescent="0.3">
      <c r="A25" s="2"/>
      <c r="B25" s="65" t="str">
        <f ca="1">IF($AF25="","",INDEX(MUSTERILER!$B$7:$B$156,$AF25))</f>
        <v>M019</v>
      </c>
      <c r="C25" s="74" t="str">
        <f ca="1">IF($AF25="","",INDEX(MUSTERILER!$C$7:$C$156,$AF25))</f>
        <v>AC OTEL LTD.ŞTİ.</v>
      </c>
      <c r="D25" s="68">
        <f ca="1">IF($B25="","",SUMIFS(UCRETLER!$G$7:$G$606,UCRETLER!$B$7:$B$606,$B25,UCRETLER!$F$7:$F$606,"Haftalık",UCRETLER!$H$7:$H$606,"Aktif"))</f>
        <v>0</v>
      </c>
      <c r="E25" s="68">
        <f ca="1">IF($B25="","",SUMIFS(UCRETLER!$G$7:$G$606,UCRETLER!$B$7:$B$606,$B25,UCRETLER!$F$7:$F$606,"Aylık",UCRETLER!$H$7:$H$606,"Aktif"))</f>
        <v>4000</v>
      </c>
      <c r="F25" s="68">
        <f ca="1">IF($B25="","",SUMIFS(MUSTERILER!$J$7:$J$156,MUSTERILER!$B$7:$B$156,$B25))</f>
        <v>0</v>
      </c>
      <c r="G25" s="68">
        <f ca="1">IF($B25="","",SUMIFS(UCRETLER!$I$7:$I$606,UCRETLER!$B$7:$B$606,$B25)+SUMIFS(GELIR_GIDER!$G$7:$G$3001,GELIR_GIDER!$T$7:$T$3001,$B25))</f>
        <v>28000</v>
      </c>
      <c r="H25" s="68">
        <f t="shared" ca="1" si="1"/>
        <v>28000</v>
      </c>
      <c r="I25" s="68">
        <f ca="1">IF($B25="","",SUMIFS(TAHSILAT!$F$7:$F$2503,TAHSILAT!$C$7:$C$2503,$B25))</f>
        <v>18000</v>
      </c>
      <c r="J25" s="68">
        <f t="shared" ca="1" si="2"/>
        <v>10000</v>
      </c>
      <c r="K25" s="68">
        <f t="shared" ca="1" si="3"/>
        <v>0</v>
      </c>
      <c r="L25" s="68">
        <f t="shared" ca="1" si="4"/>
        <v>0</v>
      </c>
      <c r="M25" s="68">
        <f t="shared" ca="1" si="5"/>
        <v>4000</v>
      </c>
      <c r="N25" s="68">
        <f t="shared" ca="1" si="6"/>
        <v>6000</v>
      </c>
      <c r="O25" s="92">
        <f t="shared" ca="1" si="7"/>
        <v>0.6428571428571429</v>
      </c>
      <c r="P25" s="70">
        <f ca="1">IF($B25="","",IFERROR(LOOKUP(2,1/(TAHSILAT!$C$7:$C$2503=$B25),TAHSILAT!$E$7:$E$2503),""))</f>
        <v>46249</v>
      </c>
      <c r="Q25" s="65" t="str">
        <f t="shared" ca="1" si="8"/>
        <v>KRİTİK</v>
      </c>
      <c r="R25" s="74" t="str">
        <f t="shared" ca="1" si="9"/>
        <v>Acil tahsilat görüşmesi ve cari mutabakat</v>
      </c>
      <c r="S25" s="93">
        <f t="shared" ca="1" si="10"/>
        <v>0</v>
      </c>
      <c r="T25" s="70" t="str">
        <f ca="1">IF(OR($B25="",$AF25=""),"",IF(INDEX(MUSTERILER!$K$7:$K$156,$AF25)="","",INDEX(MUSTERILER!$K$7:$K$156,$AF25)))</f>
        <v/>
      </c>
      <c r="U25" s="93" t="str">
        <f t="shared" ca="1" si="11"/>
        <v/>
      </c>
      <c r="V25" s="68">
        <f t="shared" ca="1" si="12"/>
        <v>0</v>
      </c>
      <c r="W25" s="65" t="str">
        <f t="shared" ca="1" si="13"/>
        <v>UYGUN</v>
      </c>
      <c r="X25" s="2">
        <f ca="1">IF($B25="",0,SUMIFS(UCRETLER!$J$7:$J$606,UCRETLER!$B$7:$B$606,$B25))</f>
        <v>28000</v>
      </c>
      <c r="Y25" s="2">
        <f ca="1">IF($B25="",0,SUMIFS(UCRETLER!$K$7:$K$606,UCRETLER!$B$7:$B$606,$B25))</f>
        <v>28000</v>
      </c>
      <c r="Z25" s="1">
        <f ca="1">IF($B25="",0,SUMIFS(UCRETLER!$L$7:$L$606,UCRETLER!$B$7:$B$606,$B25))</f>
        <v>24000</v>
      </c>
      <c r="AA25" s="1">
        <f t="shared" ca="1" si="14"/>
        <v>18000</v>
      </c>
      <c r="AB25" s="1">
        <f t="shared" ca="1" si="15"/>
        <v>0</v>
      </c>
      <c r="AC25" s="1">
        <f t="shared" ca="1" si="16"/>
        <v>10000</v>
      </c>
      <c r="AD25" s="1">
        <f t="shared" ca="1" si="17"/>
        <v>10000</v>
      </c>
      <c r="AE25" s="1">
        <f t="shared" ca="1" si="18"/>
        <v>6000</v>
      </c>
      <c r="AF25" s="1">
        <f ca="1">IFERROR(MATCH(ROW()-6,MUSTERILER!$U$7:$U$156,0),"")</f>
        <v>1</v>
      </c>
      <c r="AG25" s="1">
        <f ca="1">IF($B25="",0,SUMIFS(GELIR_GIDER!$G$7:$G$3001,GELIR_GIDER!$T$7:$T$3001,$B25))</f>
        <v>0</v>
      </c>
    </row>
    <row r="26" spans="1:33" ht="18" customHeight="1" x14ac:dyDescent="0.3">
      <c r="A26" s="2"/>
      <c r="B26" s="65" t="str">
        <f ca="1">IF($AF26="","",INDEX(MUSTERILER!$B$7:$B$156,$AF26))</f>
        <v>M052</v>
      </c>
      <c r="C26" s="74" t="str">
        <f ca="1">IF($AF26="","",INDEX(MUSTERILER!$C$7:$C$156,$AF26))</f>
        <v>VANOLYA SU LTD.ŞTİ.</v>
      </c>
      <c r="D26" s="68">
        <f ca="1">IF($B26="","",SUMIFS(UCRETLER!$G$7:$G$606,UCRETLER!$B$7:$B$606,$B26,UCRETLER!$F$7:$F$606,"Haftalık",UCRETLER!$H$7:$H$606,"Aktif"))</f>
        <v>0</v>
      </c>
      <c r="E26" s="68">
        <f ca="1">IF($B26="","",SUMIFS(UCRETLER!$G$7:$G$606,UCRETLER!$B$7:$B$606,$B26,UCRETLER!$F$7:$F$606,"Aylık",UCRETLER!$H$7:$H$606,"Aktif"))</f>
        <v>10000</v>
      </c>
      <c r="F26" s="68">
        <f ca="1">IF($B26="","",SUMIFS(MUSTERILER!$J$7:$J$156,MUSTERILER!$B$7:$B$156,$B26))</f>
        <v>0</v>
      </c>
      <c r="G26" s="68">
        <f ca="1">IF($B26="","",SUMIFS(UCRETLER!$I$7:$I$606,UCRETLER!$B$7:$B$606,$B26)+SUMIFS(GELIR_GIDER!$G$7:$G$3001,GELIR_GIDER!$T$7:$T$3001,$B26))</f>
        <v>10000</v>
      </c>
      <c r="H26" s="68">
        <f t="shared" ca="1" si="1"/>
        <v>10000</v>
      </c>
      <c r="I26" s="68">
        <f ca="1">IF($B26="","",SUMIFS(TAHSILAT!$F$7:$F$2503,TAHSILAT!$C$7:$C$2503,$B26))</f>
        <v>0</v>
      </c>
      <c r="J26" s="68">
        <f t="shared" ca="1" si="2"/>
        <v>10000</v>
      </c>
      <c r="K26" s="68">
        <f t="shared" ca="1" si="3"/>
        <v>0</v>
      </c>
      <c r="L26" s="68">
        <f t="shared" ca="1" si="4"/>
        <v>0</v>
      </c>
      <c r="M26" s="68">
        <f t="shared" ca="1" si="5"/>
        <v>10000</v>
      </c>
      <c r="N26" s="68">
        <f t="shared" ca="1" si="6"/>
        <v>0</v>
      </c>
      <c r="O26" s="92">
        <f t="shared" ca="1" si="7"/>
        <v>0</v>
      </c>
      <c r="P26" s="70" t="str">
        <f ca="1">IF($B26="","",IFERROR(LOOKUP(2,1/(TAHSILAT!$C$7:$C$2503=$B26),TAHSILAT!$E$7:$E$2503),""))</f>
        <v/>
      </c>
      <c r="Q26" s="65" t="str">
        <f t="shared" ca="1" si="8"/>
        <v>YÜKSEK</v>
      </c>
      <c r="R26" s="74" t="str">
        <f t="shared" ca="1" si="9"/>
        <v>Bu hafta tahsilat takibi</v>
      </c>
      <c r="S26" s="93">
        <f t="shared" ca="1" si="10"/>
        <v>0</v>
      </c>
      <c r="T26" s="70" t="str">
        <f ca="1">IF(OR($B26="",$AF26=""),"",IF(INDEX(MUSTERILER!$K$7:$K$156,$AF26)="","",INDEX(MUSTERILER!$K$7:$K$156,$AF26)))</f>
        <v/>
      </c>
      <c r="U26" s="93" t="str">
        <f t="shared" ca="1" si="11"/>
        <v/>
      </c>
      <c r="V26" s="68">
        <f t="shared" ca="1" si="12"/>
        <v>0</v>
      </c>
      <c r="W26" s="65" t="str">
        <f t="shared" ca="1" si="13"/>
        <v>UYGUN</v>
      </c>
      <c r="X26" s="2">
        <f ca="1">IF($B26="",0,SUMIFS(UCRETLER!$J$7:$J$606,UCRETLER!$B$7:$B$606,$B26))</f>
        <v>10000</v>
      </c>
      <c r="Y26" s="2">
        <f ca="1">IF($B26="",0,SUMIFS(UCRETLER!$K$7:$K$606,UCRETLER!$B$7:$B$606,$B26))</f>
        <v>10000</v>
      </c>
      <c r="Z26" s="1">
        <f ca="1">IF($B26="",0,SUMIFS(UCRETLER!$L$7:$L$606,UCRETLER!$B$7:$B$606,$B26))</f>
        <v>0</v>
      </c>
      <c r="AA26" s="1">
        <f t="shared" ca="1" si="14"/>
        <v>0</v>
      </c>
      <c r="AB26" s="1">
        <f t="shared" ca="1" si="15"/>
        <v>0</v>
      </c>
      <c r="AC26" s="1">
        <f t="shared" ca="1" si="16"/>
        <v>10000</v>
      </c>
      <c r="AD26" s="1">
        <f t="shared" ca="1" si="17"/>
        <v>10000</v>
      </c>
      <c r="AE26" s="1">
        <f t="shared" ca="1" si="18"/>
        <v>0</v>
      </c>
      <c r="AF26" s="1">
        <f ca="1">IFERROR(MATCH(ROW()-6,MUSTERILER!$U$7:$U$156,0),"")</f>
        <v>50</v>
      </c>
      <c r="AG26" s="1">
        <f ca="1">IF($B26="",0,SUMIFS(GELIR_GIDER!$G$7:$G$3001,GELIR_GIDER!$T$7:$T$3001,$B26))</f>
        <v>0</v>
      </c>
    </row>
    <row r="27" spans="1:33" ht="18" customHeight="1" x14ac:dyDescent="0.3">
      <c r="A27" s="2"/>
      <c r="B27" s="65" t="str">
        <f ca="1">IF($AF27="","",INDEX(MUSTERILER!$B$7:$B$156,$AF27))</f>
        <v>M027</v>
      </c>
      <c r="C27" s="74" t="str">
        <f ca="1">IF($AF27="","",INDEX(MUSTERILER!$C$7:$C$156,$AF27))</f>
        <v>CEREN DEMİRCİ</v>
      </c>
      <c r="D27" s="68">
        <f ca="1">IF($B27="","",SUMIFS(UCRETLER!$G$7:$G$606,UCRETLER!$B$7:$B$606,$B27,UCRETLER!$F$7:$F$606,"Haftalık",UCRETLER!$H$7:$H$606,"Aktif"))</f>
        <v>0</v>
      </c>
      <c r="E27" s="68">
        <f ca="1">IF($B27="","",SUMIFS(UCRETLER!$G$7:$G$606,UCRETLER!$B$7:$B$606,$B27,UCRETLER!$F$7:$F$606,"Aylık",UCRETLER!$H$7:$H$606,"Aktif"))</f>
        <v>4000</v>
      </c>
      <c r="F27" s="68">
        <f ca="1">IF($B27="","",SUMIFS(MUSTERILER!$J$7:$J$156,MUSTERILER!$B$7:$B$156,$B27))</f>
        <v>0</v>
      </c>
      <c r="G27" s="68">
        <f ca="1">IF($B27="","",SUMIFS(UCRETLER!$I$7:$I$606,UCRETLER!$B$7:$B$606,$B27)+SUMIFS(GELIR_GIDER!$G$7:$G$3001,GELIR_GIDER!$T$7:$T$3001,$B27))</f>
        <v>28000</v>
      </c>
      <c r="H27" s="68">
        <f t="shared" ca="1" si="1"/>
        <v>28000</v>
      </c>
      <c r="I27" s="68">
        <f ca="1">IF($B27="","",SUMIFS(TAHSILAT!$F$7:$F$2503,TAHSILAT!$C$7:$C$2503,$B27))</f>
        <v>20000</v>
      </c>
      <c r="J27" s="68">
        <f t="shared" ca="1" si="2"/>
        <v>8000</v>
      </c>
      <c r="K27" s="68">
        <f t="shared" ca="1" si="3"/>
        <v>0</v>
      </c>
      <c r="L27" s="68">
        <f t="shared" ca="1" si="4"/>
        <v>0</v>
      </c>
      <c r="M27" s="68">
        <f t="shared" ca="1" si="5"/>
        <v>4000</v>
      </c>
      <c r="N27" s="68">
        <f t="shared" ca="1" si="6"/>
        <v>4000</v>
      </c>
      <c r="O27" s="92">
        <f t="shared" ca="1" si="7"/>
        <v>0.7142857142857143</v>
      </c>
      <c r="P27" s="70">
        <f ca="1">IF($B27="","",IFERROR(LOOKUP(2,1/(TAHSILAT!$C$7:$C$2503=$B27),TAHSILAT!$E$7:$E$2503),""))</f>
        <v>46235</v>
      </c>
      <c r="Q27" s="65" t="str">
        <f t="shared" ca="1" si="8"/>
        <v>KRİTİK</v>
      </c>
      <c r="R27" s="74" t="str">
        <f t="shared" ca="1" si="9"/>
        <v>Acil tahsilat görüşmesi ve cari mutabakat</v>
      </c>
      <c r="S27" s="93">
        <f t="shared" ca="1" si="10"/>
        <v>0</v>
      </c>
      <c r="T27" s="70" t="str">
        <f ca="1">IF(OR($B27="",$AF27=""),"",IF(INDEX(MUSTERILER!$K$7:$K$156,$AF27)="","",INDEX(MUSTERILER!$K$7:$K$156,$AF27)))</f>
        <v/>
      </c>
      <c r="U27" s="93" t="str">
        <f t="shared" ca="1" si="11"/>
        <v/>
      </c>
      <c r="V27" s="68">
        <f t="shared" ca="1" si="12"/>
        <v>0</v>
      </c>
      <c r="W27" s="65" t="str">
        <f t="shared" ca="1" si="13"/>
        <v>UYGUN</v>
      </c>
      <c r="X27" s="2">
        <f ca="1">IF($B27="",0,SUMIFS(UCRETLER!$J$7:$J$606,UCRETLER!$B$7:$B$606,$B27))</f>
        <v>28000</v>
      </c>
      <c r="Y27" s="2">
        <f ca="1">IF($B27="",0,SUMIFS(UCRETLER!$K$7:$K$606,UCRETLER!$B$7:$B$606,$B27))</f>
        <v>28000</v>
      </c>
      <c r="Z27" s="1">
        <f ca="1">IF($B27="",0,SUMIFS(UCRETLER!$L$7:$L$606,UCRETLER!$B$7:$B$606,$B27))</f>
        <v>24000</v>
      </c>
      <c r="AA27" s="1">
        <f t="shared" ca="1" si="14"/>
        <v>20000</v>
      </c>
      <c r="AB27" s="1">
        <f t="shared" ca="1" si="15"/>
        <v>0</v>
      </c>
      <c r="AC27" s="1">
        <f t="shared" ca="1" si="16"/>
        <v>8000</v>
      </c>
      <c r="AD27" s="1">
        <f t="shared" ca="1" si="17"/>
        <v>8000</v>
      </c>
      <c r="AE27" s="1">
        <f t="shared" ca="1" si="18"/>
        <v>4000</v>
      </c>
      <c r="AF27" s="1">
        <f ca="1">IFERROR(MATCH(ROW()-6,MUSTERILER!$U$7:$U$156,0),"")</f>
        <v>11</v>
      </c>
      <c r="AG27" s="1">
        <f ca="1">IF($B27="",0,SUMIFS(GELIR_GIDER!$G$7:$G$3001,GELIR_GIDER!$T$7:$T$3001,$B27))</f>
        <v>0</v>
      </c>
    </row>
    <row r="28" spans="1:33" ht="18" customHeight="1" x14ac:dyDescent="0.3">
      <c r="A28" s="2"/>
      <c r="B28" s="65" t="str">
        <f ca="1">IF($AF28="","",INDEX(MUSTERILER!$B$7:$B$156,$AF28))</f>
        <v>M029</v>
      </c>
      <c r="C28" s="74" t="str">
        <f ca="1">IF($AF28="","",INDEX(MUSTERILER!$C$7:$C$156,$AF28))</f>
        <v>EMRAH SAVURKAN</v>
      </c>
      <c r="D28" s="68">
        <f ca="1">IF($B28="","",SUMIFS(UCRETLER!$G$7:$G$606,UCRETLER!$B$7:$B$606,$B28,UCRETLER!$F$7:$F$606,"Haftalık",UCRETLER!$H$7:$H$606,"Aktif"))</f>
        <v>0</v>
      </c>
      <c r="E28" s="68">
        <f ca="1">IF($B28="","",SUMIFS(UCRETLER!$G$7:$G$606,UCRETLER!$B$7:$B$606,$B28,UCRETLER!$F$7:$F$606,"Aylık",UCRETLER!$H$7:$H$606,"Aktif"))</f>
        <v>2000</v>
      </c>
      <c r="F28" s="68">
        <f ca="1">IF($B28="","",SUMIFS(MUSTERILER!$J$7:$J$156,MUSTERILER!$B$7:$B$156,$B28))</f>
        <v>0</v>
      </c>
      <c r="G28" s="68">
        <f ca="1">IF($B28="","",SUMIFS(UCRETLER!$I$7:$I$606,UCRETLER!$B$7:$B$606,$B28)+SUMIFS(GELIR_GIDER!$G$7:$G$3001,GELIR_GIDER!$T$7:$T$3001,$B28))</f>
        <v>14000</v>
      </c>
      <c r="H28" s="68">
        <f t="shared" ca="1" si="1"/>
        <v>14000</v>
      </c>
      <c r="I28" s="68">
        <f ca="1">IF($B28="","",SUMIFS(TAHSILAT!$F$7:$F$2503,TAHSILAT!$C$7:$C$2503,$B28))</f>
        <v>6000</v>
      </c>
      <c r="J28" s="68">
        <f t="shared" ca="1" si="2"/>
        <v>8000</v>
      </c>
      <c r="K28" s="68">
        <f t="shared" ca="1" si="3"/>
        <v>0</v>
      </c>
      <c r="L28" s="68">
        <f t="shared" ca="1" si="4"/>
        <v>0</v>
      </c>
      <c r="M28" s="68">
        <f t="shared" ca="1" si="5"/>
        <v>2000</v>
      </c>
      <c r="N28" s="68">
        <f t="shared" ca="1" si="6"/>
        <v>6000</v>
      </c>
      <c r="O28" s="92">
        <f t="shared" ca="1" si="7"/>
        <v>0.42857142857142855</v>
      </c>
      <c r="P28" s="70">
        <f ca="1">IF($B28="","",IFERROR(LOOKUP(2,1/(TAHSILAT!$C$7:$C$2503=$B28),TAHSILAT!$E$7:$E$2503),""))</f>
        <v>46252</v>
      </c>
      <c r="Q28" s="65" t="str">
        <f t="shared" ca="1" si="8"/>
        <v>KRİTİK</v>
      </c>
      <c r="R28" s="74" t="str">
        <f t="shared" ca="1" si="9"/>
        <v>Acil tahsilat görüşmesi ve cari mutabakat</v>
      </c>
      <c r="S28" s="93">
        <f t="shared" ca="1" si="10"/>
        <v>0</v>
      </c>
      <c r="T28" s="70" t="str">
        <f ca="1">IF(OR($B28="",$AF28=""),"",IF(INDEX(MUSTERILER!$K$7:$K$156,$AF28)="","",INDEX(MUSTERILER!$K$7:$K$156,$AF28)))</f>
        <v/>
      </c>
      <c r="U28" s="93" t="str">
        <f t="shared" ca="1" si="11"/>
        <v/>
      </c>
      <c r="V28" s="68">
        <f t="shared" ca="1" si="12"/>
        <v>0</v>
      </c>
      <c r="W28" s="65" t="str">
        <f t="shared" ca="1" si="13"/>
        <v>UYGUN</v>
      </c>
      <c r="X28" s="2">
        <f ca="1">IF($B28="",0,SUMIFS(UCRETLER!$J$7:$J$606,UCRETLER!$B$7:$B$606,$B28))</f>
        <v>14000</v>
      </c>
      <c r="Y28" s="2">
        <f ca="1">IF($B28="",0,SUMIFS(UCRETLER!$K$7:$K$606,UCRETLER!$B$7:$B$606,$B28))</f>
        <v>14000</v>
      </c>
      <c r="Z28" s="1">
        <f ca="1">IF($B28="",0,SUMIFS(UCRETLER!$L$7:$L$606,UCRETLER!$B$7:$B$606,$B28))</f>
        <v>12000</v>
      </c>
      <c r="AA28" s="1">
        <f t="shared" ca="1" si="14"/>
        <v>6000</v>
      </c>
      <c r="AB28" s="1">
        <f t="shared" ca="1" si="15"/>
        <v>0</v>
      </c>
      <c r="AC28" s="1">
        <f t="shared" ca="1" si="16"/>
        <v>8000</v>
      </c>
      <c r="AD28" s="1">
        <f t="shared" ca="1" si="17"/>
        <v>8000</v>
      </c>
      <c r="AE28" s="1">
        <f t="shared" ca="1" si="18"/>
        <v>6000</v>
      </c>
      <c r="AF28" s="1">
        <f ca="1">IFERROR(MATCH(ROW()-6,MUSTERILER!$U$7:$U$156,0),"")</f>
        <v>15</v>
      </c>
      <c r="AG28" s="1">
        <f ca="1">IF($B28="",0,SUMIFS(GELIR_GIDER!$G$7:$G$3001,GELIR_GIDER!$T$7:$T$3001,$B28))</f>
        <v>0</v>
      </c>
    </row>
    <row r="29" spans="1:33" ht="18" customHeight="1" x14ac:dyDescent="0.3">
      <c r="A29" s="2"/>
      <c r="B29" s="65" t="str">
        <f ca="1">IF($AF29="","",INDEX(MUSTERILER!$B$7:$B$156,$AF29))</f>
        <v>M043</v>
      </c>
      <c r="C29" s="74" t="str">
        <f ca="1">IF($AF29="","",INDEX(MUSTERILER!$C$7:$C$156,$AF29))</f>
        <v>MUSTAFA UMUT KOYUN</v>
      </c>
      <c r="D29" s="68">
        <f ca="1">IF($B29="","",SUMIFS(UCRETLER!$G$7:$G$606,UCRETLER!$B$7:$B$606,$B29,UCRETLER!$F$7:$F$606,"Haftalık",UCRETLER!$H$7:$H$606,"Aktif"))</f>
        <v>0</v>
      </c>
      <c r="E29" s="68">
        <f ca="1">IF($B29="","",SUMIFS(UCRETLER!$G$7:$G$606,UCRETLER!$B$7:$B$606,$B29,UCRETLER!$F$7:$F$606,"Aylık",UCRETLER!$H$7:$H$606,"Aktif"))</f>
        <v>2000</v>
      </c>
      <c r="F29" s="68">
        <f ca="1">IF($B29="","",SUMIFS(MUSTERILER!$J$7:$J$156,MUSTERILER!$B$7:$B$156,$B29))</f>
        <v>0</v>
      </c>
      <c r="G29" s="68">
        <f ca="1">IF($B29="","",SUMIFS(UCRETLER!$I$7:$I$606,UCRETLER!$B$7:$B$606,$B29)+SUMIFS(GELIR_GIDER!$G$7:$G$3001,GELIR_GIDER!$T$7:$T$3001,$B29))</f>
        <v>14000</v>
      </c>
      <c r="H29" s="68">
        <f t="shared" ca="1" si="1"/>
        <v>14000</v>
      </c>
      <c r="I29" s="68">
        <f ca="1">IF($B29="","",SUMIFS(TAHSILAT!$F$7:$F$2503,TAHSILAT!$C$7:$C$2503,$B29))</f>
        <v>6000</v>
      </c>
      <c r="J29" s="68">
        <f t="shared" ca="1" si="2"/>
        <v>8000</v>
      </c>
      <c r="K29" s="68">
        <f t="shared" ca="1" si="3"/>
        <v>0</v>
      </c>
      <c r="L29" s="68">
        <f t="shared" ca="1" si="4"/>
        <v>0</v>
      </c>
      <c r="M29" s="68">
        <f t="shared" ca="1" si="5"/>
        <v>2000</v>
      </c>
      <c r="N29" s="68">
        <f t="shared" ca="1" si="6"/>
        <v>6000</v>
      </c>
      <c r="O29" s="92">
        <f t="shared" ca="1" si="7"/>
        <v>0.42857142857142855</v>
      </c>
      <c r="P29" s="70">
        <f ca="1">IF($B29="","",IFERROR(LOOKUP(2,1/(TAHSILAT!$C$7:$C$2503=$B29),TAHSILAT!$E$7:$E$2503),""))</f>
        <v>46141</v>
      </c>
      <c r="Q29" s="65" t="str">
        <f t="shared" ca="1" si="8"/>
        <v>KRİTİK</v>
      </c>
      <c r="R29" s="74" t="str">
        <f t="shared" ca="1" si="9"/>
        <v>Acil tahsilat görüşmesi ve cari mutabakat</v>
      </c>
      <c r="S29" s="93">
        <f t="shared" ca="1" si="10"/>
        <v>0</v>
      </c>
      <c r="T29" s="70" t="str">
        <f ca="1">IF(OR($B29="",$AF29=""),"",IF(INDEX(MUSTERILER!$K$7:$K$156,$AF29)="","",INDEX(MUSTERILER!$K$7:$K$156,$AF29)))</f>
        <v/>
      </c>
      <c r="U29" s="93" t="str">
        <f t="shared" ca="1" si="11"/>
        <v/>
      </c>
      <c r="V29" s="68">
        <f t="shared" ca="1" si="12"/>
        <v>0</v>
      </c>
      <c r="W29" s="65" t="str">
        <f t="shared" ca="1" si="13"/>
        <v>UYGUN</v>
      </c>
      <c r="X29" s="2">
        <f ca="1">IF($B29="",0,SUMIFS(UCRETLER!$J$7:$J$606,UCRETLER!$B$7:$B$606,$B29))</f>
        <v>14000</v>
      </c>
      <c r="Y29" s="2">
        <f ca="1">IF($B29="",0,SUMIFS(UCRETLER!$K$7:$K$606,UCRETLER!$B$7:$B$606,$B29))</f>
        <v>14000</v>
      </c>
      <c r="Z29" s="1">
        <f ca="1">IF($B29="",0,SUMIFS(UCRETLER!$L$7:$L$606,UCRETLER!$B$7:$B$606,$B29))</f>
        <v>12000</v>
      </c>
      <c r="AA29" s="1">
        <f t="shared" ca="1" si="14"/>
        <v>6000</v>
      </c>
      <c r="AB29" s="1">
        <f t="shared" ca="1" si="15"/>
        <v>0</v>
      </c>
      <c r="AC29" s="1">
        <f t="shared" ca="1" si="16"/>
        <v>8000</v>
      </c>
      <c r="AD29" s="1">
        <f t="shared" ca="1" si="17"/>
        <v>8000</v>
      </c>
      <c r="AE29" s="1">
        <f t="shared" ca="1" si="18"/>
        <v>6000</v>
      </c>
      <c r="AF29" s="1">
        <f ca="1">IFERROR(MATCH(ROW()-6,MUSTERILER!$U$7:$U$156,0),"")</f>
        <v>36</v>
      </c>
      <c r="AG29" s="1">
        <f ca="1">IF($B29="",0,SUMIFS(GELIR_GIDER!$G$7:$G$3001,GELIR_GIDER!$T$7:$T$3001,$B29))</f>
        <v>0</v>
      </c>
    </row>
    <row r="30" spans="1:33" ht="18" customHeight="1" x14ac:dyDescent="0.3">
      <c r="A30" s="2"/>
      <c r="B30" s="65" t="str">
        <f ca="1">IF($AF30="","",INDEX(MUSTERILER!$B$7:$B$156,$AF30))</f>
        <v>M032</v>
      </c>
      <c r="C30" s="74" t="str">
        <f ca="1">IF($AF30="","",INDEX(MUSTERILER!$C$7:$C$156,$AF30))</f>
        <v>HAYDAR KAYA</v>
      </c>
      <c r="D30" s="68">
        <f ca="1">IF($B30="","",SUMIFS(UCRETLER!$G$7:$G$606,UCRETLER!$B$7:$B$606,$B30,UCRETLER!$F$7:$F$606,"Haftalık",UCRETLER!$H$7:$H$606,"Aktif"))</f>
        <v>0</v>
      </c>
      <c r="E30" s="68">
        <f ca="1">IF($B30="","",SUMIFS(UCRETLER!$G$7:$G$606,UCRETLER!$B$7:$B$606,$B30,UCRETLER!$F$7:$F$606,"Aylık",UCRETLER!$H$7:$H$606,"Aktif"))</f>
        <v>1000</v>
      </c>
      <c r="F30" s="68">
        <f ca="1">IF($B30="","",SUMIFS(MUSTERILER!$J$7:$J$156,MUSTERILER!$B$7:$B$156,$B30))</f>
        <v>0</v>
      </c>
      <c r="G30" s="68">
        <f ca="1">IF($B30="","",SUMIFS(UCRETLER!$I$7:$I$606,UCRETLER!$B$7:$B$606,$B30)+SUMIFS(GELIR_GIDER!$G$7:$G$3001,GELIR_GIDER!$T$7:$T$3001,$B30))</f>
        <v>7000</v>
      </c>
      <c r="H30" s="68">
        <f t="shared" ca="1" si="1"/>
        <v>7000</v>
      </c>
      <c r="I30" s="68">
        <f ca="1">IF($B30="","",SUMIFS(TAHSILAT!$F$7:$F$2503,TAHSILAT!$C$7:$C$2503,$B30))</f>
        <v>0</v>
      </c>
      <c r="J30" s="68">
        <f t="shared" ca="1" si="2"/>
        <v>7000</v>
      </c>
      <c r="K30" s="68">
        <f t="shared" ca="1" si="3"/>
        <v>0</v>
      </c>
      <c r="L30" s="68">
        <f t="shared" ca="1" si="4"/>
        <v>0</v>
      </c>
      <c r="M30" s="68">
        <f t="shared" ca="1" si="5"/>
        <v>1000</v>
      </c>
      <c r="N30" s="68">
        <f t="shared" ca="1" si="6"/>
        <v>6000</v>
      </c>
      <c r="O30" s="92">
        <f t="shared" ca="1" si="7"/>
        <v>0</v>
      </c>
      <c r="P30" s="70" t="str">
        <f ca="1">IF($B30="","",IFERROR(LOOKUP(2,1/(TAHSILAT!$C$7:$C$2503=$B30),TAHSILAT!$E$7:$E$2503),""))</f>
        <v/>
      </c>
      <c r="Q30" s="65" t="str">
        <f t="shared" ca="1" si="8"/>
        <v>KRİTİK</v>
      </c>
      <c r="R30" s="74" t="str">
        <f t="shared" ca="1" si="9"/>
        <v>Acil tahsilat görüşmesi ve cari mutabakat</v>
      </c>
      <c r="S30" s="93">
        <f t="shared" ca="1" si="10"/>
        <v>0</v>
      </c>
      <c r="T30" s="70" t="str">
        <f ca="1">IF(OR($B30="",$AF30=""),"",IF(INDEX(MUSTERILER!$K$7:$K$156,$AF30)="","",INDEX(MUSTERILER!$K$7:$K$156,$AF30)))</f>
        <v/>
      </c>
      <c r="U30" s="93" t="str">
        <f t="shared" ca="1" si="11"/>
        <v/>
      </c>
      <c r="V30" s="68">
        <f t="shared" ca="1" si="12"/>
        <v>0</v>
      </c>
      <c r="W30" s="65" t="str">
        <f t="shared" ca="1" si="13"/>
        <v>UYGUN</v>
      </c>
      <c r="X30" s="2">
        <f ca="1">IF($B30="",0,SUMIFS(UCRETLER!$J$7:$J$606,UCRETLER!$B$7:$B$606,$B30))</f>
        <v>7000</v>
      </c>
      <c r="Y30" s="2">
        <f ca="1">IF($B30="",0,SUMIFS(UCRETLER!$K$7:$K$606,UCRETLER!$B$7:$B$606,$B30))</f>
        <v>7000</v>
      </c>
      <c r="Z30" s="1">
        <f ca="1">IF($B30="",0,SUMIFS(UCRETLER!$L$7:$L$606,UCRETLER!$B$7:$B$606,$B30))</f>
        <v>6000</v>
      </c>
      <c r="AA30" s="1">
        <f t="shared" ca="1" si="14"/>
        <v>0</v>
      </c>
      <c r="AB30" s="1">
        <f t="shared" ca="1" si="15"/>
        <v>0</v>
      </c>
      <c r="AC30" s="1">
        <f t="shared" ca="1" si="16"/>
        <v>7000</v>
      </c>
      <c r="AD30" s="1">
        <f t="shared" ca="1" si="17"/>
        <v>7000</v>
      </c>
      <c r="AE30" s="1">
        <f t="shared" ca="1" si="18"/>
        <v>6000</v>
      </c>
      <c r="AF30" s="1">
        <f ca="1">IFERROR(MATCH(ROW()-6,MUSTERILER!$U$7:$U$156,0),"")</f>
        <v>20</v>
      </c>
      <c r="AG30" s="1">
        <f ca="1">IF($B30="",0,SUMIFS(GELIR_GIDER!$G$7:$G$3001,GELIR_GIDER!$T$7:$T$3001,$B30))</f>
        <v>0</v>
      </c>
    </row>
    <row r="31" spans="1:33" ht="18" customHeight="1" x14ac:dyDescent="0.3">
      <c r="A31" s="2"/>
      <c r="B31" s="65" t="str">
        <f ca="1">IF($AF31="","",INDEX(MUSTERILER!$B$7:$B$156,$AF31))</f>
        <v>M030</v>
      </c>
      <c r="C31" s="74" t="str">
        <f ca="1">IF($AF31="","",INDEX(MUSTERILER!$C$7:$C$156,$AF31))</f>
        <v>FARUK DEMİRCİ</v>
      </c>
      <c r="D31" s="68">
        <f ca="1">IF($B31="","",SUMIFS(UCRETLER!$G$7:$G$606,UCRETLER!$B$7:$B$606,$B31,UCRETLER!$F$7:$F$606,"Haftalık",UCRETLER!$H$7:$H$606,"Aktif"))</f>
        <v>0</v>
      </c>
      <c r="E31" s="68">
        <f ca="1">IF($B31="","",SUMIFS(UCRETLER!$G$7:$G$606,UCRETLER!$B$7:$B$606,$B31,UCRETLER!$F$7:$F$606,"Aylık",UCRETLER!$H$7:$H$606,"Aktif"))</f>
        <v>2000</v>
      </c>
      <c r="F31" s="68">
        <f ca="1">IF($B31="","",SUMIFS(MUSTERILER!$J$7:$J$156,MUSTERILER!$B$7:$B$156,$B31))</f>
        <v>0</v>
      </c>
      <c r="G31" s="68">
        <f ca="1">IF($B31="","",SUMIFS(UCRETLER!$I$7:$I$606,UCRETLER!$B$7:$B$606,$B31)+SUMIFS(GELIR_GIDER!$G$7:$G$3001,GELIR_GIDER!$T$7:$T$3001,$B31))</f>
        <v>14000</v>
      </c>
      <c r="H31" s="68">
        <f t="shared" ca="1" si="1"/>
        <v>14000</v>
      </c>
      <c r="I31" s="68">
        <f ca="1">IF($B31="","",SUMIFS(TAHSILAT!$F$7:$F$2503,TAHSILAT!$C$7:$C$2503,$B31))</f>
        <v>8000</v>
      </c>
      <c r="J31" s="68">
        <f t="shared" ca="1" si="2"/>
        <v>6000</v>
      </c>
      <c r="K31" s="68">
        <f t="shared" ca="1" si="3"/>
        <v>0</v>
      </c>
      <c r="L31" s="68">
        <f t="shared" ca="1" si="4"/>
        <v>0</v>
      </c>
      <c r="M31" s="68">
        <f t="shared" ca="1" si="5"/>
        <v>2000</v>
      </c>
      <c r="N31" s="68">
        <f t="shared" ca="1" si="6"/>
        <v>4000</v>
      </c>
      <c r="O31" s="92">
        <f t="shared" ca="1" si="7"/>
        <v>0.5714285714285714</v>
      </c>
      <c r="P31" s="70">
        <f ca="1">IF($B31="","",IFERROR(LOOKUP(2,1/(TAHSILAT!$C$7:$C$2503=$B31),TAHSILAT!$E$7:$E$2503),""))</f>
        <v>46225</v>
      </c>
      <c r="Q31" s="65" t="str">
        <f t="shared" ca="1" si="8"/>
        <v>KRİTİK</v>
      </c>
      <c r="R31" s="74" t="str">
        <f t="shared" ca="1" si="9"/>
        <v>Acil tahsilat görüşmesi ve cari mutabakat</v>
      </c>
      <c r="S31" s="93">
        <f t="shared" ca="1" si="10"/>
        <v>0</v>
      </c>
      <c r="T31" s="70" t="str">
        <f ca="1">IF(OR($B31="",$AF31=""),"",IF(INDEX(MUSTERILER!$K$7:$K$156,$AF31)="","",INDEX(MUSTERILER!$K$7:$K$156,$AF31)))</f>
        <v/>
      </c>
      <c r="U31" s="93" t="str">
        <f t="shared" ca="1" si="11"/>
        <v/>
      </c>
      <c r="V31" s="68">
        <f t="shared" ca="1" si="12"/>
        <v>0</v>
      </c>
      <c r="W31" s="65" t="str">
        <f t="shared" ca="1" si="13"/>
        <v>UYGUN</v>
      </c>
      <c r="X31" s="2">
        <f ca="1">IF($B31="",0,SUMIFS(UCRETLER!$J$7:$J$606,UCRETLER!$B$7:$B$606,$B31))</f>
        <v>14000</v>
      </c>
      <c r="Y31" s="2">
        <f ca="1">IF($B31="",0,SUMIFS(UCRETLER!$K$7:$K$606,UCRETLER!$B$7:$B$606,$B31))</f>
        <v>14000</v>
      </c>
      <c r="Z31" s="1">
        <f ca="1">IF($B31="",0,SUMIFS(UCRETLER!$L$7:$L$606,UCRETLER!$B$7:$B$606,$B31))</f>
        <v>12000</v>
      </c>
      <c r="AA31" s="1">
        <f t="shared" ca="1" si="14"/>
        <v>8000</v>
      </c>
      <c r="AB31" s="1">
        <f t="shared" ca="1" si="15"/>
        <v>0</v>
      </c>
      <c r="AC31" s="1">
        <f t="shared" ca="1" si="16"/>
        <v>6000</v>
      </c>
      <c r="AD31" s="1">
        <f t="shared" ca="1" si="17"/>
        <v>6000</v>
      </c>
      <c r="AE31" s="1">
        <f t="shared" ca="1" si="18"/>
        <v>4000</v>
      </c>
      <c r="AF31" s="1">
        <f ca="1">IFERROR(MATCH(ROW()-6,MUSTERILER!$U$7:$U$156,0),"")</f>
        <v>17</v>
      </c>
      <c r="AG31" s="1">
        <f ca="1">IF($B31="",0,SUMIFS(GELIR_GIDER!$G$7:$G$3001,GELIR_GIDER!$T$7:$T$3001,$B31))</f>
        <v>0</v>
      </c>
    </row>
    <row r="32" spans="1:33" ht="18" customHeight="1" x14ac:dyDescent="0.3">
      <c r="A32" s="2"/>
      <c r="B32" s="65" t="str">
        <f ca="1">IF($AF32="","",INDEX(MUSTERILER!$B$7:$B$156,$AF32))</f>
        <v>M044</v>
      </c>
      <c r="C32" s="74" t="str">
        <f ca="1">IF($AF32="","",INDEX(MUSTERILER!$C$7:$C$156,$AF32))</f>
        <v>MUSTAFA KOLBAŞI</v>
      </c>
      <c r="D32" s="68">
        <f ca="1">IF($B32="","",SUMIFS(UCRETLER!$G$7:$G$606,UCRETLER!$B$7:$B$606,$B32,UCRETLER!$F$7:$F$606,"Haftalık",UCRETLER!$H$7:$H$606,"Aktif"))</f>
        <v>0</v>
      </c>
      <c r="E32" s="68">
        <f ca="1">IF($B32="","",SUMIFS(UCRETLER!$G$7:$G$606,UCRETLER!$B$7:$B$606,$B32,UCRETLER!$F$7:$F$606,"Aylık",UCRETLER!$H$7:$H$606,"Aktif"))</f>
        <v>3000</v>
      </c>
      <c r="F32" s="68">
        <f ca="1">IF($B32="","",SUMIFS(MUSTERILER!$J$7:$J$156,MUSTERILER!$B$7:$B$156,$B32))</f>
        <v>0</v>
      </c>
      <c r="G32" s="68">
        <f ca="1">IF($B32="","",SUMIFS(UCRETLER!$I$7:$I$606,UCRETLER!$B$7:$B$606,$B32)+SUMIFS(GELIR_GIDER!$G$7:$G$3001,GELIR_GIDER!$T$7:$T$3001,$B32))</f>
        <v>21000</v>
      </c>
      <c r="H32" s="68">
        <f t="shared" ca="1" si="1"/>
        <v>21000</v>
      </c>
      <c r="I32" s="68">
        <f ca="1">IF($B32="","",SUMIFS(TAHSILAT!$F$7:$F$2503,TAHSILAT!$C$7:$C$2503,$B32))</f>
        <v>15000</v>
      </c>
      <c r="J32" s="68">
        <f t="shared" ca="1" si="2"/>
        <v>6000</v>
      </c>
      <c r="K32" s="68">
        <f t="shared" ca="1" si="3"/>
        <v>0</v>
      </c>
      <c r="L32" s="68">
        <f t="shared" ca="1" si="4"/>
        <v>0</v>
      </c>
      <c r="M32" s="68">
        <f t="shared" ca="1" si="5"/>
        <v>3000</v>
      </c>
      <c r="N32" s="68">
        <f t="shared" ca="1" si="6"/>
        <v>3000</v>
      </c>
      <c r="O32" s="92">
        <f t="shared" ca="1" si="7"/>
        <v>0.7142857142857143</v>
      </c>
      <c r="P32" s="70">
        <f ca="1">IF($B32="","",IFERROR(LOOKUP(2,1/(TAHSILAT!$C$7:$C$2503=$B32),TAHSILAT!$E$7:$E$2503),""))</f>
        <v>46252</v>
      </c>
      <c r="Q32" s="65" t="str">
        <f t="shared" ca="1" si="8"/>
        <v>KRİTİK</v>
      </c>
      <c r="R32" s="74" t="str">
        <f t="shared" ca="1" si="9"/>
        <v>Acil tahsilat görüşmesi ve cari mutabakat</v>
      </c>
      <c r="S32" s="93">
        <f t="shared" ca="1" si="10"/>
        <v>0</v>
      </c>
      <c r="T32" s="70" t="str">
        <f ca="1">IF(OR($B32="",$AF32=""),"",IF(INDEX(MUSTERILER!$K$7:$K$156,$AF32)="","",INDEX(MUSTERILER!$K$7:$K$156,$AF32)))</f>
        <v/>
      </c>
      <c r="U32" s="93" t="str">
        <f t="shared" ca="1" si="11"/>
        <v/>
      </c>
      <c r="V32" s="68">
        <f t="shared" ca="1" si="12"/>
        <v>0</v>
      </c>
      <c r="W32" s="65" t="str">
        <f t="shared" ca="1" si="13"/>
        <v>UYGUN</v>
      </c>
      <c r="X32" s="2">
        <f ca="1">IF($B32="",0,SUMIFS(UCRETLER!$J$7:$J$606,UCRETLER!$B$7:$B$606,$B32))</f>
        <v>21000</v>
      </c>
      <c r="Y32" s="2">
        <f ca="1">IF($B32="",0,SUMIFS(UCRETLER!$K$7:$K$606,UCRETLER!$B$7:$B$606,$B32))</f>
        <v>21000</v>
      </c>
      <c r="Z32" s="1">
        <f ca="1">IF($B32="",0,SUMIFS(UCRETLER!$L$7:$L$606,UCRETLER!$B$7:$B$606,$B32))</f>
        <v>18000</v>
      </c>
      <c r="AA32" s="1">
        <f t="shared" ca="1" si="14"/>
        <v>15000</v>
      </c>
      <c r="AB32" s="1">
        <f t="shared" ca="1" si="15"/>
        <v>0</v>
      </c>
      <c r="AC32" s="1">
        <f t="shared" ca="1" si="16"/>
        <v>6000</v>
      </c>
      <c r="AD32" s="1">
        <f t="shared" ca="1" si="17"/>
        <v>6000</v>
      </c>
      <c r="AE32" s="1">
        <f t="shared" ca="1" si="18"/>
        <v>3000</v>
      </c>
      <c r="AF32" s="1">
        <f ca="1">IFERROR(MATCH(ROW()-6,MUSTERILER!$U$7:$U$156,0),"")</f>
        <v>35</v>
      </c>
      <c r="AG32" s="1">
        <f ca="1">IF($B32="",0,SUMIFS(GELIR_GIDER!$G$7:$G$3001,GELIR_GIDER!$T$7:$T$3001,$B32))</f>
        <v>0</v>
      </c>
    </row>
    <row r="33" spans="1:33" ht="18" customHeight="1" x14ac:dyDescent="0.3">
      <c r="A33" s="2"/>
      <c r="B33" s="65" t="str">
        <f ca="1">IF($AF33="","",INDEX(MUSTERILER!$B$7:$B$156,$AF33))</f>
        <v>M048</v>
      </c>
      <c r="C33" s="74" t="str">
        <f ca="1">IF($AF33="","",INDEX(MUSTERILER!$C$7:$C$156,$AF33))</f>
        <v>RASİM DEMİRCİ</v>
      </c>
      <c r="D33" s="68">
        <f ca="1">IF($B33="","",SUMIFS(UCRETLER!$G$7:$G$606,UCRETLER!$B$7:$B$606,$B33,UCRETLER!$F$7:$F$606,"Haftalık",UCRETLER!$H$7:$H$606,"Aktif"))</f>
        <v>0</v>
      </c>
      <c r="E33" s="68">
        <f ca="1">IF($B33="","",SUMIFS(UCRETLER!$G$7:$G$606,UCRETLER!$B$7:$B$606,$B33,UCRETLER!$F$7:$F$606,"Aylık",UCRETLER!$H$7:$H$606,"Aktif"))</f>
        <v>3000</v>
      </c>
      <c r="F33" s="68">
        <f ca="1">IF($B33="","",SUMIFS(MUSTERILER!$J$7:$J$156,MUSTERILER!$B$7:$B$156,$B33))</f>
        <v>0</v>
      </c>
      <c r="G33" s="68">
        <f ca="1">IF($B33="","",SUMIFS(UCRETLER!$I$7:$I$606,UCRETLER!$B$7:$B$606,$B33)+SUMIFS(GELIR_GIDER!$G$7:$G$3001,GELIR_GIDER!$T$7:$T$3001,$B33))</f>
        <v>21000</v>
      </c>
      <c r="H33" s="68">
        <f t="shared" ca="1" si="1"/>
        <v>21000</v>
      </c>
      <c r="I33" s="68">
        <f ca="1">IF($B33="","",SUMIFS(TAHSILAT!$F$7:$F$2503,TAHSILAT!$C$7:$C$2503,$B33))</f>
        <v>16000</v>
      </c>
      <c r="J33" s="68">
        <f t="shared" ca="1" si="2"/>
        <v>5000</v>
      </c>
      <c r="K33" s="68">
        <f t="shared" ca="1" si="3"/>
        <v>0</v>
      </c>
      <c r="L33" s="68">
        <f t="shared" ca="1" si="4"/>
        <v>0</v>
      </c>
      <c r="M33" s="68">
        <f t="shared" ca="1" si="5"/>
        <v>3000</v>
      </c>
      <c r="N33" s="68">
        <f t="shared" ca="1" si="6"/>
        <v>2000</v>
      </c>
      <c r="O33" s="92">
        <f t="shared" ca="1" si="7"/>
        <v>0.76190476190476186</v>
      </c>
      <c r="P33" s="70">
        <f ca="1">IF($B33="","",IFERROR(LOOKUP(2,1/(TAHSILAT!$C$7:$C$2503=$B33),TAHSILAT!$E$7:$E$2503),""))</f>
        <v>46226</v>
      </c>
      <c r="Q33" s="65" t="str">
        <f t="shared" ca="1" si="8"/>
        <v>KRİTİK</v>
      </c>
      <c r="R33" s="74" t="str">
        <f t="shared" ca="1" si="9"/>
        <v>Acil tahsilat görüşmesi ve cari mutabakat</v>
      </c>
      <c r="S33" s="93">
        <f t="shared" ca="1" si="10"/>
        <v>0</v>
      </c>
      <c r="T33" s="70" t="str">
        <f ca="1">IF(OR($B33="",$AF33=""),"",IF(INDEX(MUSTERILER!$K$7:$K$156,$AF33)="","",INDEX(MUSTERILER!$K$7:$K$156,$AF33)))</f>
        <v/>
      </c>
      <c r="U33" s="93" t="str">
        <f t="shared" ca="1" si="11"/>
        <v/>
      </c>
      <c r="V33" s="68">
        <f t="shared" ca="1" si="12"/>
        <v>0</v>
      </c>
      <c r="W33" s="65" t="str">
        <f t="shared" ca="1" si="13"/>
        <v>UYGUN</v>
      </c>
      <c r="X33" s="2">
        <f ca="1">IF($B33="",0,SUMIFS(UCRETLER!$J$7:$J$606,UCRETLER!$B$7:$B$606,$B33))</f>
        <v>21000</v>
      </c>
      <c r="Y33" s="2">
        <f ca="1">IF($B33="",0,SUMIFS(UCRETLER!$K$7:$K$606,UCRETLER!$B$7:$B$606,$B33))</f>
        <v>21000</v>
      </c>
      <c r="Z33" s="1">
        <f ca="1">IF($B33="",0,SUMIFS(UCRETLER!$L$7:$L$606,UCRETLER!$B$7:$B$606,$B33))</f>
        <v>18000</v>
      </c>
      <c r="AA33" s="1">
        <f t="shared" ca="1" si="14"/>
        <v>16000</v>
      </c>
      <c r="AB33" s="1">
        <f t="shared" ca="1" si="15"/>
        <v>0</v>
      </c>
      <c r="AC33" s="1">
        <f t="shared" ca="1" si="16"/>
        <v>5000</v>
      </c>
      <c r="AD33" s="1">
        <f t="shared" ca="1" si="17"/>
        <v>5000</v>
      </c>
      <c r="AE33" s="1">
        <f t="shared" ca="1" si="18"/>
        <v>2000</v>
      </c>
      <c r="AF33" s="1">
        <f ca="1">IFERROR(MATCH(ROW()-6,MUSTERILER!$U$7:$U$156,0),"")</f>
        <v>43</v>
      </c>
      <c r="AG33" s="1">
        <f ca="1">IF($B33="",0,SUMIFS(GELIR_GIDER!$G$7:$G$3001,GELIR_GIDER!$T$7:$T$3001,$B33))</f>
        <v>0</v>
      </c>
    </row>
    <row r="34" spans="1:33" ht="18" customHeight="1" x14ac:dyDescent="0.3">
      <c r="A34" s="2"/>
      <c r="B34" s="65" t="str">
        <f ca="1">IF($AF34="","",INDEX(MUSTERILER!$B$7:$B$156,$AF34))</f>
        <v>M046</v>
      </c>
      <c r="C34" s="74" t="str">
        <f ca="1">IF($AF34="","",INDEX(MUSTERILER!$C$7:$C$156,$AF34))</f>
        <v>ÖMER DEMİRCİ</v>
      </c>
      <c r="D34" s="68">
        <f ca="1">IF($B34="","",SUMIFS(UCRETLER!$G$7:$G$606,UCRETLER!$B$7:$B$606,$B34,UCRETLER!$F$7:$F$606,"Haftalık",UCRETLER!$H$7:$H$606,"Aktif"))</f>
        <v>0</v>
      </c>
      <c r="E34" s="68">
        <f ca="1">IF($B34="","",SUMIFS(UCRETLER!$G$7:$G$606,UCRETLER!$B$7:$B$606,$B34,UCRETLER!$F$7:$F$606,"Aylık",UCRETLER!$H$7:$H$606,"Aktif"))</f>
        <v>3500</v>
      </c>
      <c r="F34" s="68">
        <f ca="1">IF($B34="","",SUMIFS(MUSTERILER!$J$7:$J$156,MUSTERILER!$B$7:$B$156,$B34))</f>
        <v>0</v>
      </c>
      <c r="G34" s="68">
        <f ca="1">IF($B34="","",SUMIFS(UCRETLER!$I$7:$I$606,UCRETLER!$B$7:$B$606,$B34)+SUMIFS(GELIR_GIDER!$G$7:$G$3001,GELIR_GIDER!$T$7:$T$3001,$B34))</f>
        <v>10500</v>
      </c>
      <c r="H34" s="68">
        <f t="shared" ca="1" si="1"/>
        <v>10500</v>
      </c>
      <c r="I34" s="68">
        <f ca="1">IF($B34="","",SUMIFS(TAHSILAT!$F$7:$F$2503,TAHSILAT!$C$7:$C$2503,$B34))</f>
        <v>7000</v>
      </c>
      <c r="J34" s="68">
        <f t="shared" ca="1" si="2"/>
        <v>3500</v>
      </c>
      <c r="K34" s="68">
        <f t="shared" ca="1" si="3"/>
        <v>0</v>
      </c>
      <c r="L34" s="68">
        <f t="shared" ca="1" si="4"/>
        <v>0</v>
      </c>
      <c r="M34" s="68">
        <f t="shared" ca="1" si="5"/>
        <v>3500</v>
      </c>
      <c r="N34" s="68">
        <f t="shared" ca="1" si="6"/>
        <v>0</v>
      </c>
      <c r="O34" s="92">
        <f t="shared" ca="1" si="7"/>
        <v>0.66666666666666663</v>
      </c>
      <c r="P34" s="70">
        <f ca="1">IF($B34="","",IFERROR(LOOKUP(2,1/(TAHSILAT!$C$7:$C$2503=$B34),TAHSILAT!$E$7:$E$2503),""))</f>
        <v>46221</v>
      </c>
      <c r="Q34" s="65" t="str">
        <f t="shared" ca="1" si="8"/>
        <v>YÜKSEK</v>
      </c>
      <c r="R34" s="74" t="str">
        <f t="shared" ca="1" si="9"/>
        <v>Bu hafta tahsilat takibi</v>
      </c>
      <c r="S34" s="93">
        <f t="shared" ca="1" si="10"/>
        <v>0</v>
      </c>
      <c r="T34" s="70" t="str">
        <f ca="1">IF(OR($B34="",$AF34=""),"",IF(INDEX(MUSTERILER!$K$7:$K$156,$AF34)="","",INDEX(MUSTERILER!$K$7:$K$156,$AF34)))</f>
        <v/>
      </c>
      <c r="U34" s="93" t="str">
        <f t="shared" ca="1" si="11"/>
        <v/>
      </c>
      <c r="V34" s="68">
        <f t="shared" ca="1" si="12"/>
        <v>0</v>
      </c>
      <c r="W34" s="65" t="str">
        <f t="shared" ca="1" si="13"/>
        <v>UYGUN</v>
      </c>
      <c r="X34" s="2">
        <f ca="1">IF($B34="",0,SUMIFS(UCRETLER!$J$7:$J$606,UCRETLER!$B$7:$B$606,$B34))</f>
        <v>10500</v>
      </c>
      <c r="Y34" s="2">
        <f ca="1">IF($B34="",0,SUMIFS(UCRETLER!$K$7:$K$606,UCRETLER!$B$7:$B$606,$B34))</f>
        <v>10500</v>
      </c>
      <c r="Z34" s="1">
        <f ca="1">IF($B34="",0,SUMIFS(UCRETLER!$L$7:$L$606,UCRETLER!$B$7:$B$606,$B34))</f>
        <v>7000</v>
      </c>
      <c r="AA34" s="1">
        <f t="shared" ca="1" si="14"/>
        <v>7000</v>
      </c>
      <c r="AB34" s="1">
        <f t="shared" ca="1" si="15"/>
        <v>0</v>
      </c>
      <c r="AC34" s="1">
        <f t="shared" ca="1" si="16"/>
        <v>3500</v>
      </c>
      <c r="AD34" s="1">
        <f t="shared" ca="1" si="17"/>
        <v>3500</v>
      </c>
      <c r="AE34" s="1">
        <f t="shared" ca="1" si="18"/>
        <v>0</v>
      </c>
      <c r="AF34" s="1">
        <f ca="1">IFERROR(MATCH(ROW()-6,MUSTERILER!$U$7:$U$156,0),"")</f>
        <v>39</v>
      </c>
      <c r="AG34" s="1">
        <f ca="1">IF($B34="",0,SUMIFS(GELIR_GIDER!$G$7:$G$3001,GELIR_GIDER!$T$7:$T$3001,$B34))</f>
        <v>0</v>
      </c>
    </row>
    <row r="35" spans="1:33" ht="18" customHeight="1" x14ac:dyDescent="0.3">
      <c r="A35" s="2"/>
      <c r="B35" s="65" t="str">
        <f ca="1">IF($AF35="","",INDEX(MUSTERILER!$B$7:$B$156,$AF35))</f>
        <v>M031</v>
      </c>
      <c r="C35" s="74" t="str">
        <f ca="1">IF($AF35="","",INDEX(MUSTERILER!$C$7:$C$156,$AF35))</f>
        <v>HALİL AVŞAR</v>
      </c>
      <c r="D35" s="68">
        <f ca="1">IF($B35="","",SUMIFS(UCRETLER!$G$7:$G$606,UCRETLER!$B$7:$B$606,$B35,UCRETLER!$F$7:$F$606,"Haftalık",UCRETLER!$H$7:$H$606,"Aktif"))</f>
        <v>0</v>
      </c>
      <c r="E35" s="68">
        <f ca="1">IF($B35="","",SUMIFS(UCRETLER!$G$7:$G$606,UCRETLER!$B$7:$B$606,$B35,UCRETLER!$F$7:$F$606,"Aylık",UCRETLER!$H$7:$H$606,"Aktif"))</f>
        <v>3000</v>
      </c>
      <c r="F35" s="68">
        <f ca="1">IF($B35="","",SUMIFS(MUSTERILER!$J$7:$J$156,MUSTERILER!$B$7:$B$156,$B35))</f>
        <v>0</v>
      </c>
      <c r="G35" s="68">
        <f ca="1">IF($B35="","",SUMIFS(UCRETLER!$I$7:$I$606,UCRETLER!$B$7:$B$606,$B35)+SUMIFS(GELIR_GIDER!$G$7:$G$3001,GELIR_GIDER!$T$7:$T$3001,$B35))</f>
        <v>21000</v>
      </c>
      <c r="H35" s="68">
        <f t="shared" ca="1" si="1"/>
        <v>21000</v>
      </c>
      <c r="I35" s="68">
        <f ca="1">IF($B35="","",SUMIFS(TAHSILAT!$F$7:$F$2503,TAHSILAT!$C$7:$C$2503,$B35))</f>
        <v>18000</v>
      </c>
      <c r="J35" s="68">
        <f t="shared" ca="1" si="2"/>
        <v>3000</v>
      </c>
      <c r="K35" s="68">
        <f t="shared" ca="1" si="3"/>
        <v>0</v>
      </c>
      <c r="L35" s="68">
        <f t="shared" ca="1" si="4"/>
        <v>0</v>
      </c>
      <c r="M35" s="68">
        <f t="shared" ca="1" si="5"/>
        <v>3000</v>
      </c>
      <c r="N35" s="68">
        <f t="shared" ca="1" si="6"/>
        <v>0</v>
      </c>
      <c r="O35" s="92">
        <f t="shared" ca="1" si="7"/>
        <v>0.8571428571428571</v>
      </c>
      <c r="P35" s="70">
        <f ca="1">IF($B35="","",IFERROR(LOOKUP(2,1/(TAHSILAT!$C$7:$C$2503=$B35),TAHSILAT!$E$7:$E$2503),""))</f>
        <v>46254</v>
      </c>
      <c r="Q35" s="65" t="str">
        <f t="shared" ca="1" si="8"/>
        <v>YÜKSEK</v>
      </c>
      <c r="R35" s="74" t="str">
        <f t="shared" ca="1" si="9"/>
        <v>Bu hafta tahsilat takibi</v>
      </c>
      <c r="S35" s="93">
        <f t="shared" ca="1" si="10"/>
        <v>0</v>
      </c>
      <c r="T35" s="70" t="str">
        <f ca="1">IF(OR($B35="",$AF35=""),"",IF(INDEX(MUSTERILER!$K$7:$K$156,$AF35)="","",INDEX(MUSTERILER!$K$7:$K$156,$AF35)))</f>
        <v/>
      </c>
      <c r="U35" s="93" t="str">
        <f t="shared" ca="1" si="11"/>
        <v/>
      </c>
      <c r="V35" s="68">
        <f t="shared" ca="1" si="12"/>
        <v>0</v>
      </c>
      <c r="W35" s="65" t="str">
        <f t="shared" ca="1" si="13"/>
        <v>UYGUN</v>
      </c>
      <c r="X35" s="2">
        <f ca="1">IF($B35="",0,SUMIFS(UCRETLER!$J$7:$J$606,UCRETLER!$B$7:$B$606,$B35))</f>
        <v>21000</v>
      </c>
      <c r="Y35" s="2">
        <f ca="1">IF($B35="",0,SUMIFS(UCRETLER!$K$7:$K$606,UCRETLER!$B$7:$B$606,$B35))</f>
        <v>21000</v>
      </c>
      <c r="Z35" s="1">
        <f ca="1">IF($B35="",0,SUMIFS(UCRETLER!$L$7:$L$606,UCRETLER!$B$7:$B$606,$B35))</f>
        <v>18000</v>
      </c>
      <c r="AA35" s="1">
        <f t="shared" ca="1" si="14"/>
        <v>18000</v>
      </c>
      <c r="AB35" s="1">
        <f t="shared" ca="1" si="15"/>
        <v>0</v>
      </c>
      <c r="AC35" s="1">
        <f t="shared" ca="1" si="16"/>
        <v>3000</v>
      </c>
      <c r="AD35" s="1">
        <f t="shared" ca="1" si="17"/>
        <v>3000</v>
      </c>
      <c r="AE35" s="1">
        <f t="shared" ca="1" si="18"/>
        <v>0</v>
      </c>
      <c r="AF35" s="1">
        <f ca="1">IFERROR(MATCH(ROW()-6,MUSTERILER!$U$7:$U$156,0),"")</f>
        <v>19</v>
      </c>
      <c r="AG35" s="1">
        <f ca="1">IF($B35="",0,SUMIFS(GELIR_GIDER!$G$7:$G$3001,GELIR_GIDER!$T$7:$T$3001,$B35))</f>
        <v>0</v>
      </c>
    </row>
    <row r="36" spans="1:33" ht="18" customHeight="1" x14ac:dyDescent="0.3">
      <c r="A36" s="2"/>
      <c r="B36" s="65" t="str">
        <f ca="1">IF($AF36="","",INDEX(MUSTERILER!$B$7:$B$156,$AF36))</f>
        <v>M038</v>
      </c>
      <c r="C36" s="74" t="str">
        <f ca="1">IF($AF36="","",INDEX(MUSTERILER!$C$7:$C$156,$AF36))</f>
        <v>MELEK GÜLER</v>
      </c>
      <c r="D36" s="68">
        <f ca="1">IF($B36="","",SUMIFS(UCRETLER!$G$7:$G$606,UCRETLER!$B$7:$B$606,$B36,UCRETLER!$F$7:$F$606,"Haftalık",UCRETLER!$H$7:$H$606,"Aktif"))</f>
        <v>0</v>
      </c>
      <c r="E36" s="68">
        <f ca="1">IF($B36="","",SUMIFS(UCRETLER!$G$7:$G$606,UCRETLER!$B$7:$B$606,$B36,UCRETLER!$F$7:$F$606,"Aylık",UCRETLER!$H$7:$H$606,"Aktif"))</f>
        <v>3000</v>
      </c>
      <c r="F36" s="68">
        <f ca="1">IF($B36="","",SUMIFS(MUSTERILER!$J$7:$J$156,MUSTERILER!$B$7:$B$156,$B36))</f>
        <v>0</v>
      </c>
      <c r="G36" s="68">
        <f ca="1">IF($B36="","",SUMIFS(UCRETLER!$I$7:$I$606,UCRETLER!$B$7:$B$606,$B36)+SUMIFS(GELIR_GIDER!$G$7:$G$3001,GELIR_GIDER!$T$7:$T$3001,$B36))</f>
        <v>21000</v>
      </c>
      <c r="H36" s="68">
        <f t="shared" ca="1" si="1"/>
        <v>21000</v>
      </c>
      <c r="I36" s="68">
        <f ca="1">IF($B36="","",SUMIFS(TAHSILAT!$F$7:$F$2503,TAHSILAT!$C$7:$C$2503,$B36))</f>
        <v>18000</v>
      </c>
      <c r="J36" s="68">
        <f t="shared" ca="1" si="2"/>
        <v>3000</v>
      </c>
      <c r="K36" s="68">
        <f t="shared" ca="1" si="3"/>
        <v>0</v>
      </c>
      <c r="L36" s="68">
        <f t="shared" ca="1" si="4"/>
        <v>0</v>
      </c>
      <c r="M36" s="68">
        <f t="shared" ca="1" si="5"/>
        <v>3000</v>
      </c>
      <c r="N36" s="68">
        <f t="shared" ca="1" si="6"/>
        <v>0</v>
      </c>
      <c r="O36" s="92">
        <f t="shared" ca="1" si="7"/>
        <v>0.8571428571428571</v>
      </c>
      <c r="P36" s="70">
        <f ca="1">IF($B36="","",IFERROR(LOOKUP(2,1/(TAHSILAT!$C$7:$C$2503=$B36),TAHSILAT!$E$7:$E$2503),""))</f>
        <v>46254</v>
      </c>
      <c r="Q36" s="65" t="str">
        <f t="shared" ca="1" si="8"/>
        <v>YÜKSEK</v>
      </c>
      <c r="R36" s="74" t="str">
        <f t="shared" ca="1" si="9"/>
        <v>Bu hafta tahsilat takibi</v>
      </c>
      <c r="S36" s="93">
        <f t="shared" ca="1" si="10"/>
        <v>0</v>
      </c>
      <c r="T36" s="70" t="str">
        <f ca="1">IF(OR($B36="",$AF36=""),"",IF(INDEX(MUSTERILER!$K$7:$K$156,$AF36)="","",INDEX(MUSTERILER!$K$7:$K$156,$AF36)))</f>
        <v/>
      </c>
      <c r="U36" s="93" t="str">
        <f t="shared" ca="1" si="11"/>
        <v/>
      </c>
      <c r="V36" s="68">
        <f t="shared" ca="1" si="12"/>
        <v>0</v>
      </c>
      <c r="W36" s="65" t="str">
        <f t="shared" ca="1" si="13"/>
        <v>UYGUN</v>
      </c>
      <c r="X36" s="2">
        <f ca="1">IF($B36="",0,SUMIFS(UCRETLER!$J$7:$J$606,UCRETLER!$B$7:$B$606,$B36))</f>
        <v>21000</v>
      </c>
      <c r="Y36" s="2">
        <f ca="1">IF($B36="",0,SUMIFS(UCRETLER!$K$7:$K$606,UCRETLER!$B$7:$B$606,$B36))</f>
        <v>21000</v>
      </c>
      <c r="Z36" s="1">
        <f ca="1">IF($B36="",0,SUMIFS(UCRETLER!$L$7:$L$606,UCRETLER!$B$7:$B$606,$B36))</f>
        <v>18000</v>
      </c>
      <c r="AA36" s="1">
        <f t="shared" ca="1" si="14"/>
        <v>18000</v>
      </c>
      <c r="AB36" s="1">
        <f t="shared" ca="1" si="15"/>
        <v>0</v>
      </c>
      <c r="AC36" s="1">
        <f t="shared" ca="1" si="16"/>
        <v>3000</v>
      </c>
      <c r="AD36" s="1">
        <f t="shared" ca="1" si="17"/>
        <v>3000</v>
      </c>
      <c r="AE36" s="1">
        <f t="shared" ca="1" si="18"/>
        <v>0</v>
      </c>
      <c r="AF36" s="1">
        <f ca="1">IFERROR(MATCH(ROW()-6,MUSTERILER!$U$7:$U$156,0),"")</f>
        <v>29</v>
      </c>
      <c r="AG36" s="1">
        <f ca="1">IF($B36="",0,SUMIFS(GELIR_GIDER!$G$7:$G$3001,GELIR_GIDER!$T$7:$T$3001,$B36))</f>
        <v>0</v>
      </c>
    </row>
    <row r="37" spans="1:33" ht="18" customHeight="1" x14ac:dyDescent="0.3">
      <c r="A37" s="2"/>
      <c r="B37" s="65" t="str">
        <f ca="1">IF($AF37="","",INDEX(MUSTERILER!$B$7:$B$156,$AF37))</f>
        <v>M042</v>
      </c>
      <c r="C37" s="74" t="str">
        <f ca="1">IF($AF37="","",INDEX(MUSTERILER!$C$7:$C$156,$AF37))</f>
        <v>MS TOPTAN LTD.ŞTİ.</v>
      </c>
      <c r="D37" s="68">
        <f ca="1">IF($B37="","",SUMIFS(UCRETLER!$G$7:$G$606,UCRETLER!$B$7:$B$606,$B37,UCRETLER!$F$7:$F$606,"Haftalık",UCRETLER!$H$7:$H$606,"Aktif"))</f>
        <v>0</v>
      </c>
      <c r="E37" s="68">
        <f ca="1">IF($B37="","",SUMIFS(UCRETLER!$G$7:$G$606,UCRETLER!$B$7:$B$606,$B37,UCRETLER!$F$7:$F$606,"Aylık",UCRETLER!$H$7:$H$606,"Aktif"))</f>
        <v>1</v>
      </c>
      <c r="F37" s="68">
        <f ca="1">IF($B37="","",SUMIFS(MUSTERILER!$J$7:$J$156,MUSTERILER!$B$7:$B$156,$B37))</f>
        <v>0</v>
      </c>
      <c r="G37" s="68">
        <f ca="1">IF($B37="","",SUMIFS(UCRETLER!$I$7:$I$606,UCRETLER!$B$7:$B$606,$B37)+SUMIFS(GELIR_GIDER!$G$7:$G$3001,GELIR_GIDER!$T$7:$T$3001,$B37))</f>
        <v>7</v>
      </c>
      <c r="H37" s="68">
        <f t="shared" ca="1" si="1"/>
        <v>7</v>
      </c>
      <c r="I37" s="68">
        <f ca="1">IF($B37="","",SUMIFS(TAHSILAT!$F$7:$F$2503,TAHSILAT!$C$7:$C$2503,$B37))</f>
        <v>0</v>
      </c>
      <c r="J37" s="68">
        <f t="shared" ca="1" si="2"/>
        <v>7</v>
      </c>
      <c r="K37" s="68">
        <f t="shared" ca="1" si="3"/>
        <v>0</v>
      </c>
      <c r="L37" s="68">
        <f t="shared" ca="1" si="4"/>
        <v>0</v>
      </c>
      <c r="M37" s="68">
        <f t="shared" ca="1" si="5"/>
        <v>1</v>
      </c>
      <c r="N37" s="68">
        <f t="shared" ca="1" si="6"/>
        <v>6</v>
      </c>
      <c r="O37" s="92">
        <f t="shared" ca="1" si="7"/>
        <v>0</v>
      </c>
      <c r="P37" s="70" t="str">
        <f ca="1">IF($B37="","",IFERROR(LOOKUP(2,1/(TAHSILAT!$C$7:$C$2503=$B37),TAHSILAT!$E$7:$E$2503),""))</f>
        <v/>
      </c>
      <c r="Q37" s="65" t="str">
        <f t="shared" ca="1" si="8"/>
        <v>KRİTİK</v>
      </c>
      <c r="R37" s="74" t="str">
        <f t="shared" ca="1" si="9"/>
        <v>Acil tahsilat görüşmesi ve cari mutabakat</v>
      </c>
      <c r="S37" s="93">
        <f t="shared" ca="1" si="10"/>
        <v>0</v>
      </c>
      <c r="T37" s="70" t="str">
        <f ca="1">IF(OR($B37="",$AF37=""),"",IF(INDEX(MUSTERILER!$K$7:$K$156,$AF37)="","",INDEX(MUSTERILER!$K$7:$K$156,$AF37)))</f>
        <v/>
      </c>
      <c r="U37" s="93" t="str">
        <f t="shared" ca="1" si="11"/>
        <v/>
      </c>
      <c r="V37" s="68">
        <f t="shared" ca="1" si="12"/>
        <v>0</v>
      </c>
      <c r="W37" s="65" t="str">
        <f t="shared" ca="1" si="13"/>
        <v>UYGUN</v>
      </c>
      <c r="X37" s="2">
        <f ca="1">IF($B37="",0,SUMIFS(UCRETLER!$J$7:$J$606,UCRETLER!$B$7:$B$606,$B37))</f>
        <v>7</v>
      </c>
      <c r="Y37" s="2">
        <f ca="1">IF($B37="",0,SUMIFS(UCRETLER!$K$7:$K$606,UCRETLER!$B$7:$B$606,$B37))</f>
        <v>7</v>
      </c>
      <c r="Z37" s="1">
        <f ca="1">IF($B37="",0,SUMIFS(UCRETLER!$L$7:$L$606,UCRETLER!$B$7:$B$606,$B37))</f>
        <v>6</v>
      </c>
      <c r="AA37" s="1">
        <f t="shared" ca="1" si="14"/>
        <v>0</v>
      </c>
      <c r="AB37" s="1">
        <f t="shared" ca="1" si="15"/>
        <v>0</v>
      </c>
      <c r="AC37" s="1">
        <f t="shared" ca="1" si="16"/>
        <v>7</v>
      </c>
      <c r="AD37" s="1">
        <f t="shared" ca="1" si="17"/>
        <v>7</v>
      </c>
      <c r="AE37" s="1">
        <f t="shared" ca="1" si="18"/>
        <v>6</v>
      </c>
      <c r="AF37" s="1">
        <f ca="1">IFERROR(MATCH(ROW()-6,MUSTERILER!$U$7:$U$156,0),"")</f>
        <v>34</v>
      </c>
      <c r="AG37" s="1">
        <f ca="1">IF($B37="",0,SUMIFS(GELIR_GIDER!$G$7:$G$3001,GELIR_GIDER!$T$7:$T$3001,$B37))</f>
        <v>0</v>
      </c>
    </row>
    <row r="38" spans="1:33" ht="18" customHeight="1" x14ac:dyDescent="0.3">
      <c r="A38" s="2"/>
      <c r="B38" s="65" t="str">
        <f ca="1">IF($AF38="","",INDEX(MUSTERILER!$B$7:$B$156,$AF38))</f>
        <v>M023</v>
      </c>
      <c r="C38" s="74" t="str">
        <f ca="1">IF($AF38="","",INDEX(MUSTERILER!$C$7:$C$156,$AF38))</f>
        <v>ALTINEL LTD.ŞTİ.</v>
      </c>
      <c r="D38" s="68">
        <f ca="1">IF($B38="","",SUMIFS(UCRETLER!$G$7:$G$606,UCRETLER!$B$7:$B$606,$B38,UCRETLER!$F$7:$F$606,"Haftalık",UCRETLER!$H$7:$H$606,"Aktif"))</f>
        <v>0</v>
      </c>
      <c r="E38" s="68">
        <f ca="1">IF($B38="","",SUMIFS(UCRETLER!$G$7:$G$606,UCRETLER!$B$7:$B$606,$B38,UCRETLER!$F$7:$F$606,"Aylık",UCRETLER!$H$7:$H$606,"Aktif"))</f>
        <v>10000</v>
      </c>
      <c r="F38" s="68">
        <f ca="1">IF($B38="","",SUMIFS(MUSTERILER!$J$7:$J$156,MUSTERILER!$B$7:$B$156,$B38))</f>
        <v>0</v>
      </c>
      <c r="G38" s="68">
        <f ca="1">IF($B38="","",SUMIFS(UCRETLER!$I$7:$I$606,UCRETLER!$B$7:$B$606,$B38)+SUMIFS(GELIR_GIDER!$G$7:$G$3001,GELIR_GIDER!$T$7:$T$3001,$B38))</f>
        <v>0</v>
      </c>
      <c r="H38" s="68">
        <f t="shared" ca="1" si="1"/>
        <v>0</v>
      </c>
      <c r="I38" s="68">
        <f ca="1">IF($B38="","",SUMIFS(TAHSILAT!$F$7:$F$2503,TAHSILAT!$C$7:$C$2503,$B38))</f>
        <v>84000</v>
      </c>
      <c r="J38" s="68">
        <f t="shared" ca="1" si="2"/>
        <v>0</v>
      </c>
      <c r="K38" s="68">
        <f t="shared" ca="1" si="3"/>
        <v>0</v>
      </c>
      <c r="L38" s="68">
        <f t="shared" ca="1" si="4"/>
        <v>0</v>
      </c>
      <c r="M38" s="68">
        <f t="shared" ca="1" si="5"/>
        <v>0</v>
      </c>
      <c r="N38" s="68">
        <f t="shared" ca="1" si="6"/>
        <v>0</v>
      </c>
      <c r="O38" s="92">
        <f t="shared" ca="1" si="7"/>
        <v>0</v>
      </c>
      <c r="P38" s="70">
        <f ca="1">IF($B38="","",IFERROR(LOOKUP(2,1/(TAHSILAT!$C$7:$C$2503=$B38),TAHSILAT!$E$7:$E$2503),""))</f>
        <v>46204</v>
      </c>
      <c r="Q38" s="65" t="str">
        <f t="shared" ca="1" si="8"/>
        <v>TEMİZ</v>
      </c>
      <c r="R38" s="74" t="str">
        <f t="shared" ca="1" si="9"/>
        <v>Aksiyon gerekmiyor</v>
      </c>
      <c r="S38" s="93">
        <f t="shared" ca="1" si="10"/>
        <v>0</v>
      </c>
      <c r="T38" s="70" t="str">
        <f ca="1">IF(OR($B38="",$AF38=""),"",IF(INDEX(MUSTERILER!$K$7:$K$156,$AF38)="","",INDEX(MUSTERILER!$K$7:$K$156,$AF38)))</f>
        <v/>
      </c>
      <c r="U38" s="93" t="str">
        <f t="shared" ca="1" si="11"/>
        <v/>
      </c>
      <c r="V38" s="68">
        <f t="shared" ca="1" si="12"/>
        <v>84000</v>
      </c>
      <c r="W38" s="65" t="str">
        <f t="shared" ca="1" si="13"/>
        <v>UYGUN</v>
      </c>
      <c r="X38" s="2">
        <f ca="1">IF($B38="",0,SUMIFS(UCRETLER!$J$7:$J$606,UCRETLER!$B$7:$B$606,$B38))</f>
        <v>0</v>
      </c>
      <c r="Y38" s="2">
        <f ca="1">IF($B38="",0,SUMIFS(UCRETLER!$K$7:$K$606,UCRETLER!$B$7:$B$606,$B38))</f>
        <v>0</v>
      </c>
      <c r="Z38" s="1">
        <f ca="1">IF($B38="",0,SUMIFS(UCRETLER!$L$7:$L$606,UCRETLER!$B$7:$B$606,$B38))</f>
        <v>0</v>
      </c>
      <c r="AA38" s="1">
        <f t="shared" ca="1" si="14"/>
        <v>84000</v>
      </c>
      <c r="AB38" s="1">
        <f t="shared" ca="1" si="15"/>
        <v>0</v>
      </c>
      <c r="AC38" s="1">
        <f t="shared" ca="1" si="16"/>
        <v>0</v>
      </c>
      <c r="AD38" s="1">
        <f t="shared" ca="1" si="17"/>
        <v>0</v>
      </c>
      <c r="AE38" s="1">
        <f t="shared" ca="1" si="18"/>
        <v>0</v>
      </c>
      <c r="AF38" s="1">
        <f ca="1">IFERROR(MATCH(ROW()-6,MUSTERILER!$U$7:$U$156,0),"")</f>
        <v>3</v>
      </c>
      <c r="AG38" s="1">
        <f ca="1">IF($B38="",0,SUMIFS(GELIR_GIDER!$G$7:$G$3001,GELIR_GIDER!$T$7:$T$3001,$B38))</f>
        <v>0</v>
      </c>
    </row>
    <row r="39" spans="1:33" ht="18" customHeight="1" x14ac:dyDescent="0.3">
      <c r="A39" s="2"/>
      <c r="B39" s="65" t="str">
        <f ca="1">IF($AF39="","",INDEX(MUSTERILER!$B$7:$B$156,$AF39))</f>
        <v>M024</v>
      </c>
      <c r="C39" s="74" t="str">
        <f ca="1">IF($AF39="","",INDEX(MUSTERILER!$C$7:$C$156,$AF39))</f>
        <v>ARMAN DİK</v>
      </c>
      <c r="D39" s="68">
        <f ca="1">IF($B39="","",SUMIFS(UCRETLER!$G$7:$G$606,UCRETLER!$B$7:$B$606,$B39,UCRETLER!$F$7:$F$606,"Haftalık",UCRETLER!$H$7:$H$606,"Aktif"))</f>
        <v>0</v>
      </c>
      <c r="E39" s="68">
        <f ca="1">IF($B39="","",SUMIFS(UCRETLER!$G$7:$G$606,UCRETLER!$B$7:$B$606,$B39,UCRETLER!$F$7:$F$606,"Aylık",UCRETLER!$H$7:$H$606,"Aktif"))</f>
        <v>3000</v>
      </c>
      <c r="F39" s="68">
        <f ca="1">IF($B39="","",SUMIFS(MUSTERILER!$J$7:$J$156,MUSTERILER!$B$7:$B$156,$B39))</f>
        <v>0</v>
      </c>
      <c r="G39" s="68">
        <f ca="1">IF($B39="","",SUMIFS(UCRETLER!$I$7:$I$606,UCRETLER!$B$7:$B$606,$B39)+SUMIFS(GELIR_GIDER!$G$7:$G$3001,GELIR_GIDER!$T$7:$T$3001,$B39))</f>
        <v>21000</v>
      </c>
      <c r="H39" s="68">
        <f t="shared" ref="H39:H70" ca="1" si="19">IF($B39="","",$F39+$G39)</f>
        <v>21000</v>
      </c>
      <c r="I39" s="68">
        <f ca="1">IF($B39="","",SUMIFS(TAHSILAT!$F$7:$F$2503,TAHSILAT!$C$7:$C$2503,$B39))</f>
        <v>33000</v>
      </c>
      <c r="J39" s="68">
        <f t="shared" ref="J39:J70" ca="1" si="20">IF($B39="","",MAX(0,$H39-$I39))</f>
        <v>0</v>
      </c>
      <c r="K39" s="68">
        <f t="shared" ref="K39:K70" ca="1" si="21">IF($B39="","",MAX(0,$J39-$L39-$M39-$N39))</f>
        <v>0</v>
      </c>
      <c r="L39" s="68">
        <f t="shared" ref="L39:L70" ca="1" si="22">IF($B39="","",($AC39-$AD39)+IF(AND($AB39&gt;0,$T39&lt;&gt;"",$U39&gt;=8,$U39&lt;15),$AB39,0))</f>
        <v>0</v>
      </c>
      <c r="M39" s="68">
        <f t="shared" ref="M39:M70" ca="1" si="23">IF($B39="","",($AD39-$AE39)+IF(AND($AB39&gt;0,$T39&lt;&gt;"",$U39&gt;=15,$U39&lt;29),$AB39,0))</f>
        <v>0</v>
      </c>
      <c r="N39" s="68">
        <f t="shared" ref="N39:N70" ca="1" si="24">IF($B39="","",$AE39+IF(AND($AB39&gt;0,OR($T39="",$U39&gt;=29)),$AB39,0))</f>
        <v>0</v>
      </c>
      <c r="O39" s="92">
        <f t="shared" ref="O39:O70" ca="1" si="25">IF($B39="","",IFERROR($I39/$H39,0))</f>
        <v>1.5714285714285714</v>
      </c>
      <c r="P39" s="70">
        <f ca="1">IF($B39="","",IFERROR(LOOKUP(2,1/(TAHSILAT!$C$7:$C$2503=$B39),TAHSILAT!$E$7:$E$2503),""))</f>
        <v>46245</v>
      </c>
      <c r="Q39" s="65" t="str">
        <f t="shared" ref="Q39:Q70" ca="1" si="26">IF($B39="","",IF($N39&gt;0,"KRİTİK",IF($M39&gt;0,"YÜKSEK",IF($L39&gt;0,"ORTA",IF($J39&gt;0,"İZLE","TEMİZ")))))</f>
        <v>TEMİZ</v>
      </c>
      <c r="R39" s="74" t="str">
        <f t="shared" ref="R39:R70" ca="1" si="27">IF($B39="","",IF($Q39="KRİTİK","Acil tahsilat görüşmesi ve cari mutabakat",IF($Q39="YÜKSEK","Bu hafta tahsilat takibi",IF($Q39="ORTA","Hatırlatma mesajı gönder",IF($Q39="İZLE","Normal takip","Aksiyon gerekmiyor")))))</f>
        <v>Aksiyon gerekmiyor</v>
      </c>
      <c r="S39" s="93">
        <f t="shared" ref="S39:S70" ca="1" si="28">IF($B39="","",0)</f>
        <v>0</v>
      </c>
      <c r="T39" s="70" t="str">
        <f ca="1">IF(OR($B39="",$AF39=""),"",IF(INDEX(MUSTERILER!$K$7:$K$156,$AF39)="","",INDEX(MUSTERILER!$K$7:$K$156,$AF39)))</f>
        <v/>
      </c>
      <c r="U39" s="93" t="str">
        <f t="shared" ref="U39:U70" ca="1" si="29">IF(OR($B39="",$T39=""),"",TODAY()-$T39)</f>
        <v/>
      </c>
      <c r="V39" s="68">
        <f t="shared" ref="V39:V70" ca="1" si="30">IF($B39="","",MAX(0,$I39-$H39))</f>
        <v>12000</v>
      </c>
      <c r="W39" s="65" t="str">
        <f t="shared" ref="W39:W70" ca="1" si="31">IF($B39="","",IF(AND(ABS($J39-($K39+$L39+$M39+$N39))&lt;0.01,ABS(($J39-$V39)-($H39-$I39))&lt;0.01),"UYGUN","İNCELE"))</f>
        <v>UYGUN</v>
      </c>
      <c r="X39" s="2">
        <f ca="1">IF($B39="",0,SUMIFS(UCRETLER!$J$7:$J$606,UCRETLER!$B$7:$B$606,$B39))</f>
        <v>21000</v>
      </c>
      <c r="Y39" s="2">
        <f ca="1">IF($B39="",0,SUMIFS(UCRETLER!$K$7:$K$606,UCRETLER!$B$7:$B$606,$B39))</f>
        <v>21000</v>
      </c>
      <c r="Z39" s="1">
        <f ca="1">IF($B39="",0,SUMIFS(UCRETLER!$L$7:$L$606,UCRETLER!$B$7:$B$606,$B39))</f>
        <v>18000</v>
      </c>
      <c r="AA39" s="1">
        <f t="shared" ref="AA39:AA70" ca="1" si="32">IF($B39="",0,MAX(0,$I39-$F39))</f>
        <v>33000</v>
      </c>
      <c r="AB39" s="1">
        <f t="shared" ref="AB39:AB70" ca="1" si="33">IF($B39="",0,MAX(0,$F39-$I39))</f>
        <v>0</v>
      </c>
      <c r="AC39" s="1">
        <f t="shared" ref="AC39:AC70" ca="1" si="34">IF($B39="",0,MAX(0,$X39-$AA39))</f>
        <v>0</v>
      </c>
      <c r="AD39" s="1">
        <f t="shared" ref="AD39:AD70" ca="1" si="35">IF($B39="",0,MAX(0,$Y39-$AA39))</f>
        <v>0</v>
      </c>
      <c r="AE39" s="1">
        <f t="shared" ref="AE39:AE70" ca="1" si="36">IF($B39="",0,MAX(0,$Z39-$AA39))</f>
        <v>0</v>
      </c>
      <c r="AF39" s="1">
        <f ca="1">IFERROR(MATCH(ROW()-6,MUSTERILER!$U$7:$U$156,0),"")</f>
        <v>5</v>
      </c>
      <c r="AG39" s="1">
        <f ca="1">IF($B39="",0,SUMIFS(GELIR_GIDER!$G$7:$G$3001,GELIR_GIDER!$T$7:$T$3001,$B39))</f>
        <v>0</v>
      </c>
    </row>
    <row r="40" spans="1:33" ht="18" customHeight="1" x14ac:dyDescent="0.3">
      <c r="A40" s="2"/>
      <c r="B40" s="65" t="str">
        <f ca="1">IF($AF40="","",INDEX(MUSTERILER!$B$7:$B$156,$AF40))</f>
        <v>M021</v>
      </c>
      <c r="C40" s="74" t="str">
        <f ca="1">IF($AF40="","",INDEX(MUSTERILER!$C$7:$C$156,$AF40))</f>
        <v>ARON TOPTAN LTD.ŞTİ.</v>
      </c>
      <c r="D40" s="68">
        <f ca="1">IF($B40="","",SUMIFS(UCRETLER!$G$7:$G$606,UCRETLER!$B$7:$B$606,$B40,UCRETLER!$F$7:$F$606,"Haftalık",UCRETLER!$H$7:$H$606,"Aktif"))</f>
        <v>0</v>
      </c>
      <c r="E40" s="68">
        <f ca="1">IF($B40="","",SUMIFS(UCRETLER!$G$7:$G$606,UCRETLER!$B$7:$B$606,$B40,UCRETLER!$F$7:$F$606,"Aylık",UCRETLER!$H$7:$H$606,"Aktif"))</f>
        <v>10000</v>
      </c>
      <c r="F40" s="68">
        <f ca="1">IF($B40="","",SUMIFS(MUSTERILER!$J$7:$J$156,MUSTERILER!$B$7:$B$156,$B40))</f>
        <v>0</v>
      </c>
      <c r="G40" s="68">
        <f ca="1">IF($B40="","",SUMIFS(UCRETLER!$I$7:$I$606,UCRETLER!$B$7:$B$606,$B40)+SUMIFS(GELIR_GIDER!$G$7:$G$3001,GELIR_GIDER!$T$7:$T$3001,$B40))</f>
        <v>70000</v>
      </c>
      <c r="H40" s="68">
        <f t="shared" ca="1" si="19"/>
        <v>70000</v>
      </c>
      <c r="I40" s="68">
        <f ca="1">IF($B40="","",SUMIFS(TAHSILAT!$F$7:$F$2503,TAHSILAT!$C$7:$C$2503,$B40))</f>
        <v>70000</v>
      </c>
      <c r="J40" s="68">
        <f t="shared" ca="1" si="20"/>
        <v>0</v>
      </c>
      <c r="K40" s="68">
        <f t="shared" ca="1" si="21"/>
        <v>0</v>
      </c>
      <c r="L40" s="68">
        <f t="shared" ca="1" si="22"/>
        <v>0</v>
      </c>
      <c r="M40" s="68">
        <f t="shared" ca="1" si="23"/>
        <v>0</v>
      </c>
      <c r="N40" s="68">
        <f t="shared" ca="1" si="24"/>
        <v>0</v>
      </c>
      <c r="O40" s="92">
        <f t="shared" ca="1" si="25"/>
        <v>1</v>
      </c>
      <c r="P40" s="70">
        <f ca="1">IF($B40="","",IFERROR(LOOKUP(2,1/(TAHSILAT!$C$7:$C$2503=$B40),TAHSILAT!$E$7:$E$2503),""))</f>
        <v>46252</v>
      </c>
      <c r="Q40" s="65" t="str">
        <f t="shared" ca="1" si="26"/>
        <v>TEMİZ</v>
      </c>
      <c r="R40" s="74" t="str">
        <f t="shared" ca="1" si="27"/>
        <v>Aksiyon gerekmiyor</v>
      </c>
      <c r="S40" s="93">
        <f t="shared" ca="1" si="28"/>
        <v>0</v>
      </c>
      <c r="T40" s="70" t="str">
        <f ca="1">IF(OR($B40="",$AF40=""),"",IF(INDEX(MUSTERILER!$K$7:$K$156,$AF40)="","",INDEX(MUSTERILER!$K$7:$K$156,$AF40)))</f>
        <v/>
      </c>
      <c r="U40" s="93" t="str">
        <f t="shared" ca="1" si="29"/>
        <v/>
      </c>
      <c r="V40" s="68">
        <f t="shared" ca="1" si="30"/>
        <v>0</v>
      </c>
      <c r="W40" s="65" t="str">
        <f t="shared" ca="1" si="31"/>
        <v>UYGUN</v>
      </c>
      <c r="X40" s="2">
        <f ca="1">IF($B40="",0,SUMIFS(UCRETLER!$J$7:$J$606,UCRETLER!$B$7:$B$606,$B40))</f>
        <v>70000</v>
      </c>
      <c r="Y40" s="2">
        <f ca="1">IF($B40="",0,SUMIFS(UCRETLER!$K$7:$K$606,UCRETLER!$B$7:$B$606,$B40))</f>
        <v>70000</v>
      </c>
      <c r="Z40" s="1">
        <f ca="1">IF($B40="",0,SUMIFS(UCRETLER!$L$7:$L$606,UCRETLER!$B$7:$B$606,$B40))</f>
        <v>60000</v>
      </c>
      <c r="AA40" s="1">
        <f t="shared" ca="1" si="32"/>
        <v>70000</v>
      </c>
      <c r="AB40" s="1">
        <f t="shared" ca="1" si="33"/>
        <v>0</v>
      </c>
      <c r="AC40" s="1">
        <f t="shared" ca="1" si="34"/>
        <v>0</v>
      </c>
      <c r="AD40" s="1">
        <f t="shared" ca="1" si="35"/>
        <v>0</v>
      </c>
      <c r="AE40" s="1">
        <f t="shared" ca="1" si="36"/>
        <v>0</v>
      </c>
      <c r="AF40" s="1">
        <f ca="1">IFERROR(MATCH(ROW()-6,MUSTERILER!$U$7:$U$156,0),"")</f>
        <v>6</v>
      </c>
      <c r="AG40" s="1">
        <f ca="1">IF($B40="",0,SUMIFS(GELIR_GIDER!$G$7:$G$3001,GELIR_GIDER!$T$7:$T$3001,$B40))</f>
        <v>0</v>
      </c>
    </row>
    <row r="41" spans="1:33" ht="18" customHeight="1" x14ac:dyDescent="0.3">
      <c r="A41" s="2"/>
      <c r="B41" s="65" t="str">
        <f ca="1">IF($AF41="","",INDEX(MUSTERILER!$B$7:$B$156,$AF41))</f>
        <v>M025</v>
      </c>
      <c r="C41" s="74" t="str">
        <f ca="1">IF($AF41="","",INDEX(MUSTERILER!$C$7:$C$156,$AF41))</f>
        <v>ASIM AÇIKGÖZ</v>
      </c>
      <c r="D41" s="68">
        <f ca="1">IF($B41="","",SUMIFS(UCRETLER!$G$7:$G$606,UCRETLER!$B$7:$B$606,$B41,UCRETLER!$F$7:$F$606,"Haftalık",UCRETLER!$H$7:$H$606,"Aktif"))</f>
        <v>2000</v>
      </c>
      <c r="E41" s="68">
        <f ca="1">IF($B41="","",SUMIFS(UCRETLER!$G$7:$G$606,UCRETLER!$B$7:$B$606,$B41,UCRETLER!$F$7:$F$606,"Aylık",UCRETLER!$H$7:$H$606,"Aktif"))</f>
        <v>0</v>
      </c>
      <c r="F41" s="68">
        <f ca="1">IF($B41="","",SUMIFS(MUSTERILER!$J$7:$J$156,MUSTERILER!$B$7:$B$156,$B41))</f>
        <v>0</v>
      </c>
      <c r="G41" s="68">
        <f ca="1">IF($B41="","",SUMIFS(UCRETLER!$I$7:$I$606,UCRETLER!$B$7:$B$606,$B41)+SUMIFS(GELIR_GIDER!$G$7:$G$3001,GELIR_GIDER!$T$7:$T$3001,$B41))</f>
        <v>68000</v>
      </c>
      <c r="H41" s="68">
        <f t="shared" ca="1" si="19"/>
        <v>68000</v>
      </c>
      <c r="I41" s="68">
        <f ca="1">IF($B41="","",SUMIFS(TAHSILAT!$F$7:$F$2503,TAHSILAT!$C$7:$C$2503,$B41))</f>
        <v>68000</v>
      </c>
      <c r="J41" s="68">
        <f t="shared" ca="1" si="20"/>
        <v>0</v>
      </c>
      <c r="K41" s="68">
        <f t="shared" ca="1" si="21"/>
        <v>0</v>
      </c>
      <c r="L41" s="68">
        <f t="shared" ca="1" si="22"/>
        <v>0</v>
      </c>
      <c r="M41" s="68">
        <f t="shared" ca="1" si="23"/>
        <v>0</v>
      </c>
      <c r="N41" s="68">
        <f t="shared" ca="1" si="24"/>
        <v>0</v>
      </c>
      <c r="O41" s="92">
        <f t="shared" ca="1" si="25"/>
        <v>1</v>
      </c>
      <c r="P41" s="70">
        <f ca="1">IF($B41="","",IFERROR(LOOKUP(2,1/(TAHSILAT!$C$7:$C$2503=$B41),TAHSILAT!$E$7:$E$2503),""))</f>
        <v>46256</v>
      </c>
      <c r="Q41" s="65" t="str">
        <f t="shared" ca="1" si="26"/>
        <v>TEMİZ</v>
      </c>
      <c r="R41" s="74" t="str">
        <f t="shared" ca="1" si="27"/>
        <v>Aksiyon gerekmiyor</v>
      </c>
      <c r="S41" s="93">
        <f t="shared" ca="1" si="28"/>
        <v>0</v>
      </c>
      <c r="T41" s="70" t="str">
        <f ca="1">IF(OR($B41="",$AF41=""),"",IF(INDEX(MUSTERILER!$K$7:$K$156,$AF41)="","",INDEX(MUSTERILER!$K$7:$K$156,$AF41)))</f>
        <v/>
      </c>
      <c r="U41" s="93" t="str">
        <f t="shared" ca="1" si="29"/>
        <v/>
      </c>
      <c r="V41" s="68">
        <f t="shared" ca="1" si="30"/>
        <v>0</v>
      </c>
      <c r="W41" s="65" t="str">
        <f t="shared" ca="1" si="31"/>
        <v>UYGUN</v>
      </c>
      <c r="X41" s="2">
        <f ca="1">IF($B41="",0,SUMIFS(UCRETLER!$J$7:$J$606,UCRETLER!$B$7:$B$606,$B41))</f>
        <v>66000</v>
      </c>
      <c r="Y41" s="2">
        <f ca="1">IF($B41="",0,SUMIFS(UCRETLER!$K$7:$K$606,UCRETLER!$B$7:$B$606,$B41))</f>
        <v>64000</v>
      </c>
      <c r="Z41" s="1">
        <f ca="1">IF($B41="",0,SUMIFS(UCRETLER!$L$7:$L$606,UCRETLER!$B$7:$B$606,$B41))</f>
        <v>60000</v>
      </c>
      <c r="AA41" s="1">
        <f t="shared" ca="1" si="32"/>
        <v>68000</v>
      </c>
      <c r="AB41" s="1">
        <f t="shared" ca="1" si="33"/>
        <v>0</v>
      </c>
      <c r="AC41" s="1">
        <f t="shared" ca="1" si="34"/>
        <v>0</v>
      </c>
      <c r="AD41" s="1">
        <f t="shared" ca="1" si="35"/>
        <v>0</v>
      </c>
      <c r="AE41" s="1">
        <f t="shared" ca="1" si="36"/>
        <v>0</v>
      </c>
      <c r="AF41" s="1">
        <f ca="1">IFERROR(MATCH(ROW()-6,MUSTERILER!$U$7:$U$156,0),"")</f>
        <v>7</v>
      </c>
      <c r="AG41" s="1">
        <f ca="1">IF($B41="",0,SUMIFS(GELIR_GIDER!$G$7:$G$3001,GELIR_GIDER!$T$7:$T$3001,$B41))</f>
        <v>0</v>
      </c>
    </row>
    <row r="42" spans="1:33" ht="18" customHeight="1" x14ac:dyDescent="0.3">
      <c r="A42" s="2"/>
      <c r="B42" s="65" t="str">
        <f ca="1">IF($AF42="","",INDEX(MUSTERILER!$B$7:$B$156,$AF42))</f>
        <v>M017</v>
      </c>
      <c r="C42" s="74" t="str">
        <f ca="1">IF($AF42="","",INDEX(MUSTERILER!$C$7:$C$156,$AF42))</f>
        <v>ASM EĞLENCE LTD.ŞTİ.</v>
      </c>
      <c r="D42" s="68">
        <f ca="1">IF($B42="","",SUMIFS(UCRETLER!$G$7:$G$606,UCRETLER!$B$7:$B$606,$B42,UCRETLER!$F$7:$F$606,"Haftalık",UCRETLER!$H$7:$H$606,"Aktif"))</f>
        <v>2500</v>
      </c>
      <c r="E42" s="68">
        <f ca="1">IF($B42="","",SUMIFS(UCRETLER!$G$7:$G$606,UCRETLER!$B$7:$B$606,$B42,UCRETLER!$F$7:$F$606,"Aylık",UCRETLER!$H$7:$H$606,"Aktif"))</f>
        <v>0</v>
      </c>
      <c r="F42" s="68">
        <f ca="1">IF($B42="","",SUMIFS(MUSTERILER!$J$7:$J$156,MUSTERILER!$B$7:$B$156,$B42))</f>
        <v>0</v>
      </c>
      <c r="G42" s="68">
        <f ca="1">IF($B42="","",SUMIFS(UCRETLER!$I$7:$I$606,UCRETLER!$B$7:$B$606,$B42)+SUMIFS(GELIR_GIDER!$G$7:$G$3001,GELIR_GIDER!$T$7:$T$3001,$B42))</f>
        <v>85000</v>
      </c>
      <c r="H42" s="68">
        <f t="shared" ca="1" si="19"/>
        <v>85000</v>
      </c>
      <c r="I42" s="68">
        <f ca="1">IF($B42="","",SUMIFS(TAHSILAT!$F$7:$F$2503,TAHSILAT!$C$7:$C$2503,$B42))</f>
        <v>85000</v>
      </c>
      <c r="J42" s="68">
        <f t="shared" ca="1" si="20"/>
        <v>0</v>
      </c>
      <c r="K42" s="68">
        <f t="shared" ca="1" si="21"/>
        <v>0</v>
      </c>
      <c r="L42" s="68">
        <f t="shared" ca="1" si="22"/>
        <v>0</v>
      </c>
      <c r="M42" s="68">
        <f t="shared" ca="1" si="23"/>
        <v>0</v>
      </c>
      <c r="N42" s="68">
        <f t="shared" ca="1" si="24"/>
        <v>0</v>
      </c>
      <c r="O42" s="92">
        <f t="shared" ca="1" si="25"/>
        <v>1</v>
      </c>
      <c r="P42" s="70">
        <f ca="1">IF($B42="","",IFERROR(LOOKUP(2,1/(TAHSILAT!$C$7:$C$2503=$B42),TAHSILAT!$E$7:$E$2503),""))</f>
        <v>46256</v>
      </c>
      <c r="Q42" s="65" t="str">
        <f t="shared" ca="1" si="26"/>
        <v>TEMİZ</v>
      </c>
      <c r="R42" s="74" t="str">
        <f t="shared" ca="1" si="27"/>
        <v>Aksiyon gerekmiyor</v>
      </c>
      <c r="S42" s="93">
        <f t="shared" ca="1" si="28"/>
        <v>0</v>
      </c>
      <c r="T42" s="70" t="str">
        <f ca="1">IF(OR($B42="",$AF42=""),"",IF(INDEX(MUSTERILER!$K$7:$K$156,$AF42)="","",INDEX(MUSTERILER!$K$7:$K$156,$AF42)))</f>
        <v/>
      </c>
      <c r="U42" s="93" t="str">
        <f t="shared" ca="1" si="29"/>
        <v/>
      </c>
      <c r="V42" s="68">
        <f t="shared" ca="1" si="30"/>
        <v>0</v>
      </c>
      <c r="W42" s="65" t="str">
        <f t="shared" ca="1" si="31"/>
        <v>UYGUN</v>
      </c>
      <c r="X42" s="2">
        <f ca="1">IF($B42="",0,SUMIFS(UCRETLER!$J$7:$J$606,UCRETLER!$B$7:$B$606,$B42))</f>
        <v>82500</v>
      </c>
      <c r="Y42" s="2">
        <f ca="1">IF($B42="",0,SUMIFS(UCRETLER!$K$7:$K$606,UCRETLER!$B$7:$B$606,$B42))</f>
        <v>80000</v>
      </c>
      <c r="Z42" s="1">
        <f ca="1">IF($B42="",0,SUMIFS(UCRETLER!$L$7:$L$606,UCRETLER!$B$7:$B$606,$B42))</f>
        <v>75000</v>
      </c>
      <c r="AA42" s="1">
        <f t="shared" ca="1" si="32"/>
        <v>85000</v>
      </c>
      <c r="AB42" s="1">
        <f t="shared" ca="1" si="33"/>
        <v>0</v>
      </c>
      <c r="AC42" s="1">
        <f t="shared" ca="1" si="34"/>
        <v>0</v>
      </c>
      <c r="AD42" s="1">
        <f t="shared" ca="1" si="35"/>
        <v>0</v>
      </c>
      <c r="AE42" s="1">
        <f t="shared" ca="1" si="36"/>
        <v>0</v>
      </c>
      <c r="AF42" s="1">
        <f ca="1">IFERROR(MATCH(ROW()-6,MUSTERILER!$U$7:$U$156,0),"")</f>
        <v>8</v>
      </c>
      <c r="AG42" s="1">
        <f ca="1">IF($B42="",0,SUMIFS(GELIR_GIDER!$G$7:$G$3001,GELIR_GIDER!$T$7:$T$3001,$B42))</f>
        <v>0</v>
      </c>
    </row>
    <row r="43" spans="1:33" ht="18" customHeight="1" x14ac:dyDescent="0.3">
      <c r="A43" s="2"/>
      <c r="B43" s="65" t="str">
        <f ca="1">IF($AF43="","",INDEX(MUSTERILER!$B$7:$B$156,$AF43))</f>
        <v>M015</v>
      </c>
      <c r="C43" s="74" t="str">
        <f ca="1">IF($AF43="","",INDEX(MUSTERILER!$C$7:$C$156,$AF43))</f>
        <v>ÇAYIRALAN LTD.ŞTİ.</v>
      </c>
      <c r="D43" s="68">
        <f ca="1">IF($B43="","",SUMIFS(UCRETLER!$G$7:$G$606,UCRETLER!$B$7:$B$606,$B43,UCRETLER!$F$7:$F$606,"Haftalık",UCRETLER!$H$7:$H$606,"Aktif"))</f>
        <v>3000</v>
      </c>
      <c r="E43" s="68">
        <f ca="1">IF($B43="","",SUMIFS(UCRETLER!$G$7:$G$606,UCRETLER!$B$7:$B$606,$B43,UCRETLER!$F$7:$F$606,"Aylık",UCRETLER!$H$7:$H$606,"Aktif"))</f>
        <v>0</v>
      </c>
      <c r="F43" s="68">
        <f ca="1">IF($B43="","",SUMIFS(MUSTERILER!$J$7:$J$156,MUSTERILER!$B$7:$B$156,$B43))</f>
        <v>0</v>
      </c>
      <c r="G43" s="68">
        <f ca="1">IF($B43="","",SUMIFS(UCRETLER!$I$7:$I$606,UCRETLER!$B$7:$B$606,$B43)+SUMIFS(GELIR_GIDER!$G$7:$G$3001,GELIR_GIDER!$T$7:$T$3001,$B43))</f>
        <v>102000</v>
      </c>
      <c r="H43" s="68">
        <f t="shared" ca="1" si="19"/>
        <v>102000</v>
      </c>
      <c r="I43" s="68">
        <f ca="1">IF($B43="","",SUMIFS(TAHSILAT!$F$7:$F$2503,TAHSILAT!$C$7:$C$2503,$B43))</f>
        <v>102000</v>
      </c>
      <c r="J43" s="68">
        <f t="shared" ca="1" si="20"/>
        <v>0</v>
      </c>
      <c r="K43" s="68">
        <f t="shared" ca="1" si="21"/>
        <v>0</v>
      </c>
      <c r="L43" s="68">
        <f t="shared" ca="1" si="22"/>
        <v>0</v>
      </c>
      <c r="M43" s="68">
        <f t="shared" ca="1" si="23"/>
        <v>0</v>
      </c>
      <c r="N43" s="68">
        <f t="shared" ca="1" si="24"/>
        <v>0</v>
      </c>
      <c r="O43" s="92">
        <f t="shared" ca="1" si="25"/>
        <v>1</v>
      </c>
      <c r="P43" s="70">
        <f ca="1">IF($B43="","",IFERROR(LOOKUP(2,1/(TAHSILAT!$C$7:$C$2503=$B43),TAHSILAT!$E$7:$E$2503),""))</f>
        <v>46256</v>
      </c>
      <c r="Q43" s="65" t="str">
        <f t="shared" ca="1" si="26"/>
        <v>TEMİZ</v>
      </c>
      <c r="R43" s="74" t="str">
        <f t="shared" ca="1" si="27"/>
        <v>Aksiyon gerekmiyor</v>
      </c>
      <c r="S43" s="93">
        <f t="shared" ca="1" si="28"/>
        <v>0</v>
      </c>
      <c r="T43" s="70" t="str">
        <f ca="1">IF(OR($B43="",$AF43=""),"",IF(INDEX(MUSTERILER!$K$7:$K$156,$AF43)="","",INDEX(MUSTERILER!$K$7:$K$156,$AF43)))</f>
        <v/>
      </c>
      <c r="U43" s="93" t="str">
        <f t="shared" ca="1" si="29"/>
        <v/>
      </c>
      <c r="V43" s="68">
        <f t="shared" ca="1" si="30"/>
        <v>0</v>
      </c>
      <c r="W43" s="65" t="str">
        <f t="shared" ca="1" si="31"/>
        <v>UYGUN</v>
      </c>
      <c r="X43" s="2">
        <f ca="1">IF($B43="",0,SUMIFS(UCRETLER!$J$7:$J$606,UCRETLER!$B$7:$B$606,$B43))</f>
        <v>99000</v>
      </c>
      <c r="Y43" s="2">
        <f ca="1">IF($B43="",0,SUMIFS(UCRETLER!$K$7:$K$606,UCRETLER!$B$7:$B$606,$B43))</f>
        <v>96000</v>
      </c>
      <c r="Z43" s="1">
        <f ca="1">IF($B43="",0,SUMIFS(UCRETLER!$L$7:$L$606,UCRETLER!$B$7:$B$606,$B43))</f>
        <v>90000</v>
      </c>
      <c r="AA43" s="1">
        <f t="shared" ca="1" si="32"/>
        <v>102000</v>
      </c>
      <c r="AB43" s="1">
        <f t="shared" ca="1" si="33"/>
        <v>0</v>
      </c>
      <c r="AC43" s="1">
        <f t="shared" ca="1" si="34"/>
        <v>0</v>
      </c>
      <c r="AD43" s="1">
        <f t="shared" ca="1" si="35"/>
        <v>0</v>
      </c>
      <c r="AE43" s="1">
        <f t="shared" ca="1" si="36"/>
        <v>0</v>
      </c>
      <c r="AF43" s="1">
        <f ca="1">IFERROR(MATCH(ROW()-6,MUSTERILER!$U$7:$U$156,0),"")</f>
        <v>10</v>
      </c>
      <c r="AG43" s="1">
        <f ca="1">IF($B43="",0,SUMIFS(GELIR_GIDER!$G$7:$G$3001,GELIR_GIDER!$T$7:$T$3001,$B43))</f>
        <v>0</v>
      </c>
    </row>
    <row r="44" spans="1:33" ht="18" customHeight="1" x14ac:dyDescent="0.3">
      <c r="A44" s="2"/>
      <c r="B44" s="65" t="str">
        <f ca="1">IF($AF44="","",INDEX(MUSTERILER!$B$7:$B$156,$AF44))</f>
        <v>M018</v>
      </c>
      <c r="C44" s="74" t="str">
        <f ca="1">IF($AF44="","",INDEX(MUSTERILER!$C$7:$C$156,$AF44))</f>
        <v>ÇINARHAN LTD.ŞTİ.</v>
      </c>
      <c r="D44" s="68">
        <f ca="1">IF($B44="","",SUMIFS(UCRETLER!$G$7:$G$606,UCRETLER!$B$7:$B$606,$B44,UCRETLER!$F$7:$F$606,"Haftalık",UCRETLER!$H$7:$H$606,"Aktif"))</f>
        <v>4000</v>
      </c>
      <c r="E44" s="68">
        <f ca="1">IF($B44="","",SUMIFS(UCRETLER!$G$7:$G$606,UCRETLER!$B$7:$B$606,$B44,UCRETLER!$F$7:$F$606,"Aylık",UCRETLER!$H$7:$H$606,"Aktif"))</f>
        <v>0</v>
      </c>
      <c r="F44" s="68">
        <f ca="1">IF($B44="","",SUMIFS(MUSTERILER!$J$7:$J$156,MUSTERILER!$B$7:$B$156,$B44))</f>
        <v>0</v>
      </c>
      <c r="G44" s="68">
        <f ca="1">IF($B44="","",SUMIFS(UCRETLER!$I$7:$I$606,UCRETLER!$B$7:$B$606,$B44)+SUMIFS(GELIR_GIDER!$G$7:$G$3001,GELIR_GIDER!$T$7:$T$3001,$B44))</f>
        <v>88000</v>
      </c>
      <c r="H44" s="68">
        <f t="shared" ca="1" si="19"/>
        <v>88000</v>
      </c>
      <c r="I44" s="68">
        <f ca="1">IF($B44="","",SUMIFS(TAHSILAT!$F$7:$F$2503,TAHSILAT!$C$7:$C$2503,$B44))</f>
        <v>88000</v>
      </c>
      <c r="J44" s="68">
        <f t="shared" ca="1" si="20"/>
        <v>0</v>
      </c>
      <c r="K44" s="68">
        <f t="shared" ca="1" si="21"/>
        <v>0</v>
      </c>
      <c r="L44" s="68">
        <f t="shared" ca="1" si="22"/>
        <v>0</v>
      </c>
      <c r="M44" s="68">
        <f t="shared" ca="1" si="23"/>
        <v>0</v>
      </c>
      <c r="N44" s="68">
        <f t="shared" ca="1" si="24"/>
        <v>0</v>
      </c>
      <c r="O44" s="92">
        <f t="shared" ca="1" si="25"/>
        <v>1</v>
      </c>
      <c r="P44" s="70">
        <f ca="1">IF($B44="","",IFERROR(LOOKUP(2,1/(TAHSILAT!$C$7:$C$2503=$B44),TAHSILAT!$E$7:$E$2503),""))</f>
        <v>46256</v>
      </c>
      <c r="Q44" s="65" t="str">
        <f t="shared" ca="1" si="26"/>
        <v>TEMİZ</v>
      </c>
      <c r="R44" s="74" t="str">
        <f t="shared" ca="1" si="27"/>
        <v>Aksiyon gerekmiyor</v>
      </c>
      <c r="S44" s="93">
        <f t="shared" ca="1" si="28"/>
        <v>0</v>
      </c>
      <c r="T44" s="70" t="str">
        <f ca="1">IF(OR($B44="",$AF44=""),"",IF(INDEX(MUSTERILER!$K$7:$K$156,$AF44)="","",INDEX(MUSTERILER!$K$7:$K$156,$AF44)))</f>
        <v/>
      </c>
      <c r="U44" s="93" t="str">
        <f t="shared" ca="1" si="29"/>
        <v/>
      </c>
      <c r="V44" s="68">
        <f t="shared" ca="1" si="30"/>
        <v>0</v>
      </c>
      <c r="W44" s="65" t="str">
        <f t="shared" ca="1" si="31"/>
        <v>UYGUN</v>
      </c>
      <c r="X44" s="2">
        <f ca="1">IF($B44="",0,SUMIFS(UCRETLER!$J$7:$J$606,UCRETLER!$B$7:$B$606,$B44))</f>
        <v>84000</v>
      </c>
      <c r="Y44" s="2">
        <f ca="1">IF($B44="",0,SUMIFS(UCRETLER!$K$7:$K$606,UCRETLER!$B$7:$B$606,$B44))</f>
        <v>80000</v>
      </c>
      <c r="Z44" s="1">
        <f ca="1">IF($B44="",0,SUMIFS(UCRETLER!$L$7:$L$606,UCRETLER!$B$7:$B$606,$B44))</f>
        <v>75000</v>
      </c>
      <c r="AA44" s="1">
        <f t="shared" ca="1" si="32"/>
        <v>88000</v>
      </c>
      <c r="AB44" s="1">
        <f t="shared" ca="1" si="33"/>
        <v>0</v>
      </c>
      <c r="AC44" s="1">
        <f t="shared" ca="1" si="34"/>
        <v>0</v>
      </c>
      <c r="AD44" s="1">
        <f t="shared" ca="1" si="35"/>
        <v>0</v>
      </c>
      <c r="AE44" s="1">
        <f t="shared" ca="1" si="36"/>
        <v>0</v>
      </c>
      <c r="AF44" s="1">
        <f ca="1">IFERROR(MATCH(ROW()-6,MUSTERILER!$U$7:$U$156,0),"")</f>
        <v>12</v>
      </c>
      <c r="AG44" s="1">
        <f ca="1">IF($B44="",0,SUMIFS(GELIR_GIDER!$G$7:$G$3001,GELIR_GIDER!$T$7:$T$3001,$B44))</f>
        <v>0</v>
      </c>
    </row>
    <row r="45" spans="1:33" ht="18" customHeight="1" x14ac:dyDescent="0.3">
      <c r="A45" s="2"/>
      <c r="B45" s="65" t="str">
        <f ca="1">IF($AF45="","",INDEX(MUSTERILER!$B$7:$B$156,$AF45))</f>
        <v>M011</v>
      </c>
      <c r="C45" s="74" t="str">
        <f ca="1">IF($AF45="","",INDEX(MUSTERILER!$C$7:$C$156,$AF45))</f>
        <v>EĞLENGÖR LTD.ŞTİ.</v>
      </c>
      <c r="D45" s="68">
        <f ca="1">IF($B45="","",SUMIFS(UCRETLER!$G$7:$G$606,UCRETLER!$B$7:$B$606,$B45,UCRETLER!$F$7:$F$606,"Haftalık",UCRETLER!$H$7:$H$606,"Aktif"))</f>
        <v>4000</v>
      </c>
      <c r="E45" s="68">
        <f ca="1">IF($B45="","",SUMIFS(UCRETLER!$G$7:$G$606,UCRETLER!$B$7:$B$606,$B45,UCRETLER!$F$7:$F$606,"Aylık",UCRETLER!$H$7:$H$606,"Aktif"))</f>
        <v>0</v>
      </c>
      <c r="F45" s="68">
        <f ca="1">IF($B45="","",SUMIFS(MUSTERILER!$J$7:$J$156,MUSTERILER!$B$7:$B$156,$B45))</f>
        <v>0</v>
      </c>
      <c r="G45" s="68">
        <f ca="1">IF($B45="","",SUMIFS(UCRETLER!$I$7:$I$606,UCRETLER!$B$7:$B$606,$B45)+SUMIFS(GELIR_GIDER!$G$7:$G$3001,GELIR_GIDER!$T$7:$T$3001,$B45))</f>
        <v>117000</v>
      </c>
      <c r="H45" s="68">
        <f t="shared" ca="1" si="19"/>
        <v>117000</v>
      </c>
      <c r="I45" s="68">
        <f ca="1">IF($B45="","",SUMIFS(TAHSILAT!$F$7:$F$2503,TAHSILAT!$C$7:$C$2503,$B45))</f>
        <v>117000</v>
      </c>
      <c r="J45" s="68">
        <f t="shared" ca="1" si="20"/>
        <v>0</v>
      </c>
      <c r="K45" s="68">
        <f t="shared" ca="1" si="21"/>
        <v>0</v>
      </c>
      <c r="L45" s="68">
        <f t="shared" ca="1" si="22"/>
        <v>0</v>
      </c>
      <c r="M45" s="68">
        <f t="shared" ca="1" si="23"/>
        <v>0</v>
      </c>
      <c r="N45" s="68">
        <f t="shared" ca="1" si="24"/>
        <v>0</v>
      </c>
      <c r="O45" s="92">
        <f t="shared" ca="1" si="25"/>
        <v>1</v>
      </c>
      <c r="P45" s="70">
        <f ca="1">IF($B45="","",IFERROR(LOOKUP(2,1/(TAHSILAT!$C$7:$C$2503=$B45),TAHSILAT!$E$7:$E$2503),""))</f>
        <v>46256</v>
      </c>
      <c r="Q45" s="65" t="str">
        <f t="shared" ca="1" si="26"/>
        <v>TEMİZ</v>
      </c>
      <c r="R45" s="74" t="str">
        <f t="shared" ca="1" si="27"/>
        <v>Aksiyon gerekmiyor</v>
      </c>
      <c r="S45" s="93">
        <f t="shared" ca="1" si="28"/>
        <v>0</v>
      </c>
      <c r="T45" s="70" t="str">
        <f ca="1">IF(OR($B45="",$AF45=""),"",IF(INDEX(MUSTERILER!$K$7:$K$156,$AF45)="","",INDEX(MUSTERILER!$K$7:$K$156,$AF45)))</f>
        <v/>
      </c>
      <c r="U45" s="93" t="str">
        <f t="shared" ca="1" si="29"/>
        <v/>
      </c>
      <c r="V45" s="68">
        <f t="shared" ca="1" si="30"/>
        <v>0</v>
      </c>
      <c r="W45" s="65" t="str">
        <f t="shared" ca="1" si="31"/>
        <v>UYGUN</v>
      </c>
      <c r="X45" s="2">
        <f ca="1">IF($B45="",0,SUMIFS(UCRETLER!$J$7:$J$606,UCRETLER!$B$7:$B$606,$B45))</f>
        <v>113000</v>
      </c>
      <c r="Y45" s="2">
        <f ca="1">IF($B45="",0,SUMIFS(UCRETLER!$K$7:$K$606,UCRETLER!$B$7:$B$606,$B45))</f>
        <v>109000</v>
      </c>
      <c r="Z45" s="1">
        <f ca="1">IF($B45="",0,SUMIFS(UCRETLER!$L$7:$L$606,UCRETLER!$B$7:$B$606,$B45))</f>
        <v>101000</v>
      </c>
      <c r="AA45" s="1">
        <f t="shared" ca="1" si="32"/>
        <v>117000</v>
      </c>
      <c r="AB45" s="1">
        <f t="shared" ca="1" si="33"/>
        <v>0</v>
      </c>
      <c r="AC45" s="1">
        <f t="shared" ca="1" si="34"/>
        <v>0</v>
      </c>
      <c r="AD45" s="1">
        <f t="shared" ca="1" si="35"/>
        <v>0</v>
      </c>
      <c r="AE45" s="1">
        <f t="shared" ca="1" si="36"/>
        <v>0</v>
      </c>
      <c r="AF45" s="1">
        <f ca="1">IFERROR(MATCH(ROW()-6,MUSTERILER!$U$7:$U$156,0),"")</f>
        <v>14</v>
      </c>
      <c r="AG45" s="1">
        <f ca="1">IF($B45="",0,SUMIFS(GELIR_GIDER!$G$7:$G$3001,GELIR_GIDER!$T$7:$T$3001,$B45))</f>
        <v>0</v>
      </c>
    </row>
    <row r="46" spans="1:33" ht="18" customHeight="1" x14ac:dyDescent="0.3">
      <c r="A46" s="2"/>
      <c r="B46" s="65" t="str">
        <f ca="1">IF($AF46="","",INDEX(MUSTERILER!$B$7:$B$156,$AF46))</f>
        <v>M014</v>
      </c>
      <c r="C46" s="74" t="str">
        <f ca="1">IF($AF46="","",INDEX(MUSTERILER!$C$7:$C$156,$AF46))</f>
        <v>FİNAL SİYAH BEYAZ LTD.ŞTİ.</v>
      </c>
      <c r="D46" s="68">
        <f ca="1">IF($B46="","",SUMIFS(UCRETLER!$G$7:$G$606,UCRETLER!$B$7:$B$606,$B46,UCRETLER!$F$7:$F$606,"Haftalık",UCRETLER!$H$7:$H$606,"Aktif"))</f>
        <v>4000</v>
      </c>
      <c r="E46" s="68">
        <f ca="1">IF($B46="","",SUMIFS(UCRETLER!$G$7:$G$606,UCRETLER!$B$7:$B$606,$B46,UCRETLER!$F$7:$F$606,"Aylık",UCRETLER!$H$7:$H$606,"Aktif"))</f>
        <v>0</v>
      </c>
      <c r="F46" s="68">
        <f ca="1">IF($B46="","",SUMIFS(MUSTERILER!$J$7:$J$156,MUSTERILER!$B$7:$B$156,$B46))</f>
        <v>0</v>
      </c>
      <c r="G46" s="68">
        <f ca="1">IF($B46="","",SUMIFS(UCRETLER!$I$7:$I$606,UCRETLER!$B$7:$B$606,$B46)+SUMIFS(GELIR_GIDER!$G$7:$G$3001,GELIR_GIDER!$T$7:$T$3001,$B46))</f>
        <v>110000</v>
      </c>
      <c r="H46" s="68">
        <f t="shared" ca="1" si="19"/>
        <v>110000</v>
      </c>
      <c r="I46" s="68">
        <f ca="1">IF($B46="","",SUMIFS(TAHSILAT!$F$7:$F$2503,TAHSILAT!$C$7:$C$2503,$B46))</f>
        <v>110000</v>
      </c>
      <c r="J46" s="68">
        <f t="shared" ca="1" si="20"/>
        <v>0</v>
      </c>
      <c r="K46" s="68">
        <f t="shared" ca="1" si="21"/>
        <v>0</v>
      </c>
      <c r="L46" s="68">
        <f t="shared" ca="1" si="22"/>
        <v>0</v>
      </c>
      <c r="M46" s="68">
        <f t="shared" ca="1" si="23"/>
        <v>0</v>
      </c>
      <c r="N46" s="68">
        <f t="shared" ca="1" si="24"/>
        <v>0</v>
      </c>
      <c r="O46" s="92">
        <f t="shared" ca="1" si="25"/>
        <v>1</v>
      </c>
      <c r="P46" s="70">
        <f ca="1">IF($B46="","",IFERROR(LOOKUP(2,1/(TAHSILAT!$C$7:$C$2503=$B46),TAHSILAT!$E$7:$E$2503),""))</f>
        <v>46256</v>
      </c>
      <c r="Q46" s="65" t="str">
        <f t="shared" ca="1" si="26"/>
        <v>TEMİZ</v>
      </c>
      <c r="R46" s="74" t="str">
        <f t="shared" ca="1" si="27"/>
        <v>Aksiyon gerekmiyor</v>
      </c>
      <c r="S46" s="93">
        <f t="shared" ca="1" si="28"/>
        <v>0</v>
      </c>
      <c r="T46" s="70" t="str">
        <f ca="1">IF(OR($B46="",$AF46=""),"",IF(INDEX(MUSTERILER!$K$7:$K$156,$AF46)="","",INDEX(MUSTERILER!$K$7:$K$156,$AF46)))</f>
        <v/>
      </c>
      <c r="U46" s="93" t="str">
        <f t="shared" ca="1" si="29"/>
        <v/>
      </c>
      <c r="V46" s="68">
        <f t="shared" ca="1" si="30"/>
        <v>0</v>
      </c>
      <c r="W46" s="65" t="str">
        <f t="shared" ca="1" si="31"/>
        <v>UYGUN</v>
      </c>
      <c r="X46" s="2">
        <f ca="1">IF($B46="",0,SUMIFS(UCRETLER!$J$7:$J$606,UCRETLER!$B$7:$B$606,$B46))</f>
        <v>106000</v>
      </c>
      <c r="Y46" s="2">
        <f ca="1">IF($B46="",0,SUMIFS(UCRETLER!$K$7:$K$606,UCRETLER!$B$7:$B$606,$B46))</f>
        <v>102000</v>
      </c>
      <c r="Z46" s="1">
        <f ca="1">IF($B46="",0,SUMIFS(UCRETLER!$L$7:$L$606,UCRETLER!$B$7:$B$606,$B46))</f>
        <v>94000</v>
      </c>
      <c r="AA46" s="1">
        <f t="shared" ca="1" si="32"/>
        <v>110000</v>
      </c>
      <c r="AB46" s="1">
        <f t="shared" ca="1" si="33"/>
        <v>0</v>
      </c>
      <c r="AC46" s="1">
        <f t="shared" ca="1" si="34"/>
        <v>0</v>
      </c>
      <c r="AD46" s="1">
        <f t="shared" ca="1" si="35"/>
        <v>0</v>
      </c>
      <c r="AE46" s="1">
        <f t="shared" ca="1" si="36"/>
        <v>0</v>
      </c>
      <c r="AF46" s="1">
        <f ca="1">IFERROR(MATCH(ROW()-6,MUSTERILER!$U$7:$U$156,0),"")</f>
        <v>18</v>
      </c>
      <c r="AG46" s="1">
        <f ca="1">IF($B46="",0,SUMIFS(GELIR_GIDER!$G$7:$G$3001,GELIR_GIDER!$T$7:$T$3001,$B46))</f>
        <v>0</v>
      </c>
    </row>
    <row r="47" spans="1:33" ht="18" customHeight="1" x14ac:dyDescent="0.3">
      <c r="A47" s="2"/>
      <c r="B47" s="65" t="str">
        <f ca="1">IF($AF47="","",INDEX(MUSTERILER!$B$7:$B$156,$AF47))</f>
        <v>M012</v>
      </c>
      <c r="C47" s="74" t="str">
        <f ca="1">IF($AF47="","",INDEX(MUSTERILER!$C$7:$C$156,$AF47))</f>
        <v>İLDEŞ LTD.ŞTİ.</v>
      </c>
      <c r="D47" s="68">
        <f ca="1">IF($B47="","",SUMIFS(UCRETLER!$G$7:$G$606,UCRETLER!$B$7:$B$606,$B47,UCRETLER!$F$7:$F$606,"Haftalık",UCRETLER!$H$7:$H$606,"Aktif"))</f>
        <v>5000</v>
      </c>
      <c r="E47" s="68">
        <f ca="1">IF($B47="","",SUMIFS(UCRETLER!$G$7:$G$606,UCRETLER!$B$7:$B$606,$B47,UCRETLER!$F$7:$F$606,"Aylık",UCRETLER!$H$7:$H$606,"Aktif"))</f>
        <v>0</v>
      </c>
      <c r="F47" s="68">
        <f ca="1">IF($B47="","",SUMIFS(MUSTERILER!$J$7:$J$156,MUSTERILER!$B$7:$B$156,$B47))</f>
        <v>0</v>
      </c>
      <c r="G47" s="68">
        <f ca="1">IF($B47="","",SUMIFS(UCRETLER!$I$7:$I$606,UCRETLER!$B$7:$B$606,$B47)+SUMIFS(GELIR_GIDER!$G$7:$G$3001,GELIR_GIDER!$T$7:$T$3001,$B47))</f>
        <v>122000</v>
      </c>
      <c r="H47" s="68">
        <f t="shared" ca="1" si="19"/>
        <v>122000</v>
      </c>
      <c r="I47" s="68">
        <f ca="1">IF($B47="","",SUMIFS(TAHSILAT!$F$7:$F$2503,TAHSILAT!$C$7:$C$2503,$B47))</f>
        <v>122000</v>
      </c>
      <c r="J47" s="68">
        <f t="shared" ca="1" si="20"/>
        <v>0</v>
      </c>
      <c r="K47" s="68">
        <f t="shared" ca="1" si="21"/>
        <v>0</v>
      </c>
      <c r="L47" s="68">
        <f t="shared" ca="1" si="22"/>
        <v>0</v>
      </c>
      <c r="M47" s="68">
        <f t="shared" ca="1" si="23"/>
        <v>0</v>
      </c>
      <c r="N47" s="68">
        <f t="shared" ca="1" si="24"/>
        <v>0</v>
      </c>
      <c r="O47" s="92">
        <f t="shared" ca="1" si="25"/>
        <v>1</v>
      </c>
      <c r="P47" s="70">
        <f ca="1">IF($B47="","",IFERROR(LOOKUP(2,1/(TAHSILAT!$C$7:$C$2503=$B47),TAHSILAT!$E$7:$E$2503),""))</f>
        <v>46256</v>
      </c>
      <c r="Q47" s="65" t="str">
        <f t="shared" ca="1" si="26"/>
        <v>TEMİZ</v>
      </c>
      <c r="R47" s="74" t="str">
        <f t="shared" ca="1" si="27"/>
        <v>Aksiyon gerekmiyor</v>
      </c>
      <c r="S47" s="93">
        <f t="shared" ca="1" si="28"/>
        <v>0</v>
      </c>
      <c r="T47" s="70" t="str">
        <f ca="1">IF(OR($B47="",$AF47=""),"",IF(INDEX(MUSTERILER!$K$7:$K$156,$AF47)="","",INDEX(MUSTERILER!$K$7:$K$156,$AF47)))</f>
        <v/>
      </c>
      <c r="U47" s="93" t="str">
        <f t="shared" ca="1" si="29"/>
        <v/>
      </c>
      <c r="V47" s="68">
        <f t="shared" ca="1" si="30"/>
        <v>0</v>
      </c>
      <c r="W47" s="65" t="str">
        <f t="shared" ca="1" si="31"/>
        <v>UYGUN</v>
      </c>
      <c r="X47" s="2">
        <f ca="1">IF($B47="",0,SUMIFS(UCRETLER!$J$7:$J$606,UCRETLER!$B$7:$B$606,$B47))</f>
        <v>117000</v>
      </c>
      <c r="Y47" s="2">
        <f ca="1">IF($B47="",0,SUMIFS(UCRETLER!$K$7:$K$606,UCRETLER!$B$7:$B$606,$B47))</f>
        <v>112000</v>
      </c>
      <c r="Z47" s="1">
        <f ca="1">IF($B47="",0,SUMIFS(UCRETLER!$L$7:$L$606,UCRETLER!$B$7:$B$606,$B47))</f>
        <v>102000</v>
      </c>
      <c r="AA47" s="1">
        <f t="shared" ca="1" si="32"/>
        <v>122000</v>
      </c>
      <c r="AB47" s="1">
        <f t="shared" ca="1" si="33"/>
        <v>0</v>
      </c>
      <c r="AC47" s="1">
        <f t="shared" ca="1" si="34"/>
        <v>0</v>
      </c>
      <c r="AD47" s="1">
        <f t="shared" ca="1" si="35"/>
        <v>0</v>
      </c>
      <c r="AE47" s="1">
        <f t="shared" ca="1" si="36"/>
        <v>0</v>
      </c>
      <c r="AF47" s="1">
        <f ca="1">IFERROR(MATCH(ROW()-6,MUSTERILER!$U$7:$U$156,0),"")</f>
        <v>22</v>
      </c>
      <c r="AG47" s="1">
        <f ca="1">IF($B47="",0,SUMIFS(GELIR_GIDER!$G$7:$G$3001,GELIR_GIDER!$T$7:$T$3001,$B47))</f>
        <v>0</v>
      </c>
    </row>
    <row r="48" spans="1:33" ht="18" customHeight="1" x14ac:dyDescent="0.3">
      <c r="A48" s="2"/>
      <c r="B48" s="65" t="str">
        <f ca="1">IF($AF48="","",INDEX(MUSTERILER!$B$7:$B$156,$AF48))</f>
        <v>M035</v>
      </c>
      <c r="C48" s="74" t="str">
        <f ca="1">IF($AF48="","",INDEX(MUSTERILER!$C$7:$C$156,$AF48))</f>
        <v>İSA DEMİRCİ</v>
      </c>
      <c r="D48" s="68">
        <f ca="1">IF($B48="","",SUMIFS(UCRETLER!$G$7:$G$606,UCRETLER!$B$7:$B$606,$B48,UCRETLER!$F$7:$F$606,"Haftalık",UCRETLER!$H$7:$H$606,"Aktif"))</f>
        <v>0</v>
      </c>
      <c r="E48" s="68">
        <f ca="1">IF($B48="","",SUMIFS(UCRETLER!$G$7:$G$606,UCRETLER!$B$7:$B$606,$B48,UCRETLER!$F$7:$F$606,"Aylık",UCRETLER!$H$7:$H$606,"Aktif"))</f>
        <v>3500</v>
      </c>
      <c r="F48" s="68">
        <f ca="1">IF($B48="","",SUMIFS(MUSTERILER!$J$7:$J$156,MUSTERILER!$B$7:$B$156,$B48))</f>
        <v>0</v>
      </c>
      <c r="G48" s="68">
        <f ca="1">IF($B48="","",SUMIFS(UCRETLER!$I$7:$I$606,UCRETLER!$B$7:$B$606,$B48)+SUMIFS(GELIR_GIDER!$G$7:$G$3001,GELIR_GIDER!$T$7:$T$3001,$B48))</f>
        <v>24500</v>
      </c>
      <c r="H48" s="68">
        <f t="shared" ca="1" si="19"/>
        <v>24500</v>
      </c>
      <c r="I48" s="68">
        <f ca="1">IF($B48="","",SUMIFS(TAHSILAT!$F$7:$F$2503,TAHSILAT!$C$7:$C$2503,$B48))</f>
        <v>24500</v>
      </c>
      <c r="J48" s="68">
        <f t="shared" ca="1" si="20"/>
        <v>0</v>
      </c>
      <c r="K48" s="68">
        <f t="shared" ca="1" si="21"/>
        <v>0</v>
      </c>
      <c r="L48" s="68">
        <f t="shared" ca="1" si="22"/>
        <v>0</v>
      </c>
      <c r="M48" s="68">
        <f t="shared" ca="1" si="23"/>
        <v>0</v>
      </c>
      <c r="N48" s="68">
        <f t="shared" ca="1" si="24"/>
        <v>0</v>
      </c>
      <c r="O48" s="92">
        <f t="shared" ca="1" si="25"/>
        <v>1</v>
      </c>
      <c r="P48" s="70">
        <f ca="1">IF($B48="","",IFERROR(LOOKUP(2,1/(TAHSILAT!$C$7:$C$2503=$B48),TAHSILAT!$E$7:$E$2503),""))</f>
        <v>46221</v>
      </c>
      <c r="Q48" s="65" t="str">
        <f t="shared" ca="1" si="26"/>
        <v>TEMİZ</v>
      </c>
      <c r="R48" s="74" t="str">
        <f t="shared" ca="1" si="27"/>
        <v>Aksiyon gerekmiyor</v>
      </c>
      <c r="S48" s="93">
        <f t="shared" ca="1" si="28"/>
        <v>0</v>
      </c>
      <c r="T48" s="70" t="str">
        <f ca="1">IF(OR($B48="",$AF48=""),"",IF(INDEX(MUSTERILER!$K$7:$K$156,$AF48)="","",INDEX(MUSTERILER!$K$7:$K$156,$AF48)))</f>
        <v/>
      </c>
      <c r="U48" s="93" t="str">
        <f t="shared" ca="1" si="29"/>
        <v/>
      </c>
      <c r="V48" s="68">
        <f t="shared" ca="1" si="30"/>
        <v>0</v>
      </c>
      <c r="W48" s="65" t="str">
        <f t="shared" ca="1" si="31"/>
        <v>UYGUN</v>
      </c>
      <c r="X48" s="2">
        <f ca="1">IF($B48="",0,SUMIFS(UCRETLER!$J$7:$J$606,UCRETLER!$B$7:$B$606,$B48))</f>
        <v>24500</v>
      </c>
      <c r="Y48" s="2">
        <f ca="1">IF($B48="",0,SUMIFS(UCRETLER!$K$7:$K$606,UCRETLER!$B$7:$B$606,$B48))</f>
        <v>24500</v>
      </c>
      <c r="Z48" s="1">
        <f ca="1">IF($B48="",0,SUMIFS(UCRETLER!$L$7:$L$606,UCRETLER!$B$7:$B$606,$B48))</f>
        <v>21000</v>
      </c>
      <c r="AA48" s="1">
        <f t="shared" ca="1" si="32"/>
        <v>24500</v>
      </c>
      <c r="AB48" s="1">
        <f t="shared" ca="1" si="33"/>
        <v>0</v>
      </c>
      <c r="AC48" s="1">
        <f t="shared" ca="1" si="34"/>
        <v>0</v>
      </c>
      <c r="AD48" s="1">
        <f t="shared" ca="1" si="35"/>
        <v>0</v>
      </c>
      <c r="AE48" s="1">
        <f t="shared" ca="1" si="36"/>
        <v>0</v>
      </c>
      <c r="AF48" s="1">
        <f ca="1">IFERROR(MATCH(ROW()-6,MUSTERILER!$U$7:$U$156,0),"")</f>
        <v>23</v>
      </c>
      <c r="AG48" s="1">
        <f ca="1">IF($B48="",0,SUMIFS(GELIR_GIDER!$G$7:$G$3001,GELIR_GIDER!$T$7:$T$3001,$B48))</f>
        <v>0</v>
      </c>
    </row>
    <row r="49" spans="1:33" ht="18" customHeight="1" x14ac:dyDescent="0.3">
      <c r="A49" s="2"/>
      <c r="B49" s="65" t="str">
        <f ca="1">IF($AF49="","",INDEX(MUSTERILER!$B$7:$B$156,$AF49))</f>
        <v>M020</v>
      </c>
      <c r="C49" s="74" t="str">
        <f ca="1">IF($AF49="","",INDEX(MUSTERILER!$C$7:$C$156,$AF49))</f>
        <v>KRİSTAL LTD.ŞTİ.</v>
      </c>
      <c r="D49" s="68">
        <f ca="1">IF($B49="","",SUMIFS(UCRETLER!$G$7:$G$606,UCRETLER!$B$7:$B$606,$B49,UCRETLER!$F$7:$F$606,"Haftalık",UCRETLER!$H$7:$H$606,"Aktif"))</f>
        <v>3000</v>
      </c>
      <c r="E49" s="68">
        <f ca="1">IF($B49="","",SUMIFS(UCRETLER!$G$7:$G$606,UCRETLER!$B$7:$B$606,$B49,UCRETLER!$F$7:$F$606,"Aylık",UCRETLER!$H$7:$H$606,"Aktif"))</f>
        <v>0</v>
      </c>
      <c r="F49" s="68">
        <f ca="1">IF($B49="","",SUMIFS(MUSTERILER!$J$7:$J$156,MUSTERILER!$B$7:$B$156,$B49))</f>
        <v>0</v>
      </c>
      <c r="G49" s="68">
        <f ca="1">IF($B49="","",SUMIFS(UCRETLER!$I$7:$I$606,UCRETLER!$B$7:$B$606,$B49)+SUMIFS(GELIR_GIDER!$G$7:$G$3001,GELIR_GIDER!$T$7:$T$3001,$B49))</f>
        <v>102000</v>
      </c>
      <c r="H49" s="68">
        <f t="shared" ca="1" si="19"/>
        <v>102000</v>
      </c>
      <c r="I49" s="68">
        <f ca="1">IF($B49="","",SUMIFS(TAHSILAT!$F$7:$F$2503,TAHSILAT!$C$7:$C$2503,$B49))</f>
        <v>102000</v>
      </c>
      <c r="J49" s="68">
        <f t="shared" ca="1" si="20"/>
        <v>0</v>
      </c>
      <c r="K49" s="68">
        <f t="shared" ca="1" si="21"/>
        <v>0</v>
      </c>
      <c r="L49" s="68">
        <f t="shared" ca="1" si="22"/>
        <v>0</v>
      </c>
      <c r="M49" s="68">
        <f t="shared" ca="1" si="23"/>
        <v>0</v>
      </c>
      <c r="N49" s="68">
        <f t="shared" ca="1" si="24"/>
        <v>0</v>
      </c>
      <c r="O49" s="92">
        <f t="shared" ca="1" si="25"/>
        <v>1</v>
      </c>
      <c r="P49" s="70">
        <f ca="1">IF($B49="","",IFERROR(LOOKUP(2,1/(TAHSILAT!$C$7:$C$2503=$B49),TAHSILAT!$E$7:$E$2503),""))</f>
        <v>46256</v>
      </c>
      <c r="Q49" s="65" t="str">
        <f t="shared" ca="1" si="26"/>
        <v>TEMİZ</v>
      </c>
      <c r="R49" s="74" t="str">
        <f t="shared" ca="1" si="27"/>
        <v>Aksiyon gerekmiyor</v>
      </c>
      <c r="S49" s="93">
        <f t="shared" ca="1" si="28"/>
        <v>0</v>
      </c>
      <c r="T49" s="70" t="str">
        <f ca="1">IF(OR($B49="",$AF49=""),"",IF(INDEX(MUSTERILER!$K$7:$K$156,$AF49)="","",INDEX(MUSTERILER!$K$7:$K$156,$AF49)))</f>
        <v/>
      </c>
      <c r="U49" s="93" t="str">
        <f t="shared" ca="1" si="29"/>
        <v/>
      </c>
      <c r="V49" s="68">
        <f t="shared" ca="1" si="30"/>
        <v>0</v>
      </c>
      <c r="W49" s="65" t="str">
        <f t="shared" ca="1" si="31"/>
        <v>UYGUN</v>
      </c>
      <c r="X49" s="2">
        <f ca="1">IF($B49="",0,SUMIFS(UCRETLER!$J$7:$J$606,UCRETLER!$B$7:$B$606,$B49))</f>
        <v>99000</v>
      </c>
      <c r="Y49" s="2">
        <f ca="1">IF($B49="",0,SUMIFS(UCRETLER!$K$7:$K$606,UCRETLER!$B$7:$B$606,$B49))</f>
        <v>96000</v>
      </c>
      <c r="Z49" s="1">
        <f ca="1">IF($B49="",0,SUMIFS(UCRETLER!$L$7:$L$606,UCRETLER!$B$7:$B$606,$B49))</f>
        <v>90000</v>
      </c>
      <c r="AA49" s="1">
        <f t="shared" ca="1" si="32"/>
        <v>102000</v>
      </c>
      <c r="AB49" s="1">
        <f t="shared" ca="1" si="33"/>
        <v>0</v>
      </c>
      <c r="AC49" s="1">
        <f t="shared" ca="1" si="34"/>
        <v>0</v>
      </c>
      <c r="AD49" s="1">
        <f t="shared" ca="1" si="35"/>
        <v>0</v>
      </c>
      <c r="AE49" s="1">
        <f t="shared" ca="1" si="36"/>
        <v>0</v>
      </c>
      <c r="AF49" s="1">
        <f ca="1">IFERROR(MATCH(ROW()-6,MUSTERILER!$U$7:$U$156,0),"")</f>
        <v>27</v>
      </c>
      <c r="AG49" s="1">
        <f ca="1">IF($B49="",0,SUMIFS(GELIR_GIDER!$G$7:$G$3001,GELIR_GIDER!$T$7:$T$3001,$B49))</f>
        <v>0</v>
      </c>
    </row>
    <row r="50" spans="1:33" ht="18" customHeight="1" x14ac:dyDescent="0.3">
      <c r="A50" s="2"/>
      <c r="B50" s="65" t="str">
        <f ca="1">IF($AF50="","",INDEX(MUSTERILER!$B$7:$B$156,$AF50))</f>
        <v>M037</v>
      </c>
      <c r="C50" s="74" t="str">
        <f ca="1">IF($AF50="","",INDEX(MUSTERILER!$C$7:$C$156,$AF50))</f>
        <v>MEHMET EVREN KILINÇ</v>
      </c>
      <c r="D50" s="68">
        <f ca="1">IF($B50="","",SUMIFS(UCRETLER!$G$7:$G$606,UCRETLER!$B$7:$B$606,$B50,UCRETLER!$F$7:$F$606,"Haftalık",UCRETLER!$H$7:$H$606,"Aktif"))</f>
        <v>0</v>
      </c>
      <c r="E50" s="68">
        <f ca="1">IF($B50="","",SUMIFS(UCRETLER!$G$7:$G$606,UCRETLER!$B$7:$B$606,$B50,UCRETLER!$F$7:$F$606,"Aylık",UCRETLER!$H$7:$H$606,"Aktif"))</f>
        <v>2000</v>
      </c>
      <c r="F50" s="68">
        <f ca="1">IF($B50="","",SUMIFS(MUSTERILER!$J$7:$J$156,MUSTERILER!$B$7:$B$156,$B50))</f>
        <v>0</v>
      </c>
      <c r="G50" s="68">
        <f ca="1">IF($B50="","",SUMIFS(UCRETLER!$I$7:$I$606,UCRETLER!$B$7:$B$606,$B50)+SUMIFS(GELIR_GIDER!$G$7:$G$3001,GELIR_GIDER!$T$7:$T$3001,$B50))</f>
        <v>14000</v>
      </c>
      <c r="H50" s="68">
        <f t="shared" ca="1" si="19"/>
        <v>14000</v>
      </c>
      <c r="I50" s="68">
        <f ca="1">IF($B50="","",SUMIFS(TAHSILAT!$F$7:$F$2503,TAHSILAT!$C$7:$C$2503,$B50))</f>
        <v>14000</v>
      </c>
      <c r="J50" s="68">
        <f t="shared" ca="1" si="20"/>
        <v>0</v>
      </c>
      <c r="K50" s="68">
        <f t="shared" ca="1" si="21"/>
        <v>0</v>
      </c>
      <c r="L50" s="68">
        <f t="shared" ca="1" si="22"/>
        <v>0</v>
      </c>
      <c r="M50" s="68">
        <f t="shared" ca="1" si="23"/>
        <v>0</v>
      </c>
      <c r="N50" s="68">
        <f t="shared" ca="1" si="24"/>
        <v>0</v>
      </c>
      <c r="O50" s="92">
        <f t="shared" ca="1" si="25"/>
        <v>1</v>
      </c>
      <c r="P50" s="70">
        <f ca="1">IF($B50="","",IFERROR(LOOKUP(2,1/(TAHSILAT!$C$7:$C$2503=$B50),TAHSILAT!$E$7:$E$2503),""))</f>
        <v>46258</v>
      </c>
      <c r="Q50" s="65" t="str">
        <f t="shared" ca="1" si="26"/>
        <v>TEMİZ</v>
      </c>
      <c r="R50" s="74" t="str">
        <f t="shared" ca="1" si="27"/>
        <v>Aksiyon gerekmiyor</v>
      </c>
      <c r="S50" s="93">
        <f t="shared" ca="1" si="28"/>
        <v>0</v>
      </c>
      <c r="T50" s="70" t="str">
        <f ca="1">IF(OR($B50="",$AF50=""),"",IF(INDEX(MUSTERILER!$K$7:$K$156,$AF50)="","",INDEX(MUSTERILER!$K$7:$K$156,$AF50)))</f>
        <v/>
      </c>
      <c r="U50" s="93" t="str">
        <f t="shared" ca="1" si="29"/>
        <v/>
      </c>
      <c r="V50" s="68">
        <f t="shared" ca="1" si="30"/>
        <v>0</v>
      </c>
      <c r="W50" s="65" t="str">
        <f t="shared" ca="1" si="31"/>
        <v>UYGUN</v>
      </c>
      <c r="X50" s="2">
        <f ca="1">IF($B50="",0,SUMIFS(UCRETLER!$J$7:$J$606,UCRETLER!$B$7:$B$606,$B50))</f>
        <v>14000</v>
      </c>
      <c r="Y50" s="2">
        <f ca="1">IF($B50="",0,SUMIFS(UCRETLER!$K$7:$K$606,UCRETLER!$B$7:$B$606,$B50))</f>
        <v>14000</v>
      </c>
      <c r="Z50" s="1">
        <f ca="1">IF($B50="",0,SUMIFS(UCRETLER!$L$7:$L$606,UCRETLER!$B$7:$B$606,$B50))</f>
        <v>12000</v>
      </c>
      <c r="AA50" s="1">
        <f t="shared" ca="1" si="32"/>
        <v>14000</v>
      </c>
      <c r="AB50" s="1">
        <f t="shared" ca="1" si="33"/>
        <v>0</v>
      </c>
      <c r="AC50" s="1">
        <f t="shared" ca="1" si="34"/>
        <v>0</v>
      </c>
      <c r="AD50" s="1">
        <f t="shared" ca="1" si="35"/>
        <v>0</v>
      </c>
      <c r="AE50" s="1">
        <f t="shared" ca="1" si="36"/>
        <v>0</v>
      </c>
      <c r="AF50" s="1">
        <f ca="1">IFERROR(MATCH(ROW()-6,MUSTERILER!$U$7:$U$156,0),"")</f>
        <v>28</v>
      </c>
      <c r="AG50" s="1">
        <f ca="1">IF($B50="",0,SUMIFS(GELIR_GIDER!$G$7:$G$3001,GELIR_GIDER!$T$7:$T$3001,$B50))</f>
        <v>0</v>
      </c>
    </row>
    <row r="51" spans="1:33" ht="18" customHeight="1" x14ac:dyDescent="0.3">
      <c r="A51" s="2"/>
      <c r="B51" s="65" t="str">
        <f ca="1">IF($AF51="","",INDEX(MUSTERILER!$B$7:$B$156,$AF51))</f>
        <v>M040</v>
      </c>
      <c r="C51" s="74" t="str">
        <f ca="1">IF($AF51="","",INDEX(MUSTERILER!$C$7:$C$156,$AF51))</f>
        <v>MENEKŞE AKAN</v>
      </c>
      <c r="D51" s="68">
        <f ca="1">IF($B51="","",SUMIFS(UCRETLER!$G$7:$G$606,UCRETLER!$B$7:$B$606,$B51,UCRETLER!$F$7:$F$606,"Haftalık",UCRETLER!$H$7:$H$606,"Aktif"))</f>
        <v>0</v>
      </c>
      <c r="E51" s="68">
        <f ca="1">IF($B51="","",SUMIFS(UCRETLER!$G$7:$G$606,UCRETLER!$B$7:$B$606,$B51,UCRETLER!$F$7:$F$606,"Aylık",UCRETLER!$H$7:$H$606,"Aktif"))</f>
        <v>1500</v>
      </c>
      <c r="F51" s="68">
        <f ca="1">IF($B51="","",SUMIFS(MUSTERILER!$J$7:$J$156,MUSTERILER!$B$7:$B$156,$B51))</f>
        <v>0</v>
      </c>
      <c r="G51" s="68">
        <f ca="1">IF($B51="","",SUMIFS(UCRETLER!$I$7:$I$606,UCRETLER!$B$7:$B$606,$B51)+SUMIFS(GELIR_GIDER!$G$7:$G$3001,GELIR_GIDER!$T$7:$T$3001,$B51))</f>
        <v>10500</v>
      </c>
      <c r="H51" s="68">
        <f t="shared" ca="1" si="19"/>
        <v>10500</v>
      </c>
      <c r="I51" s="68">
        <f ca="1">IF($B51="","",SUMIFS(TAHSILAT!$F$7:$F$2503,TAHSILAT!$C$7:$C$2503,$B51))</f>
        <v>18500</v>
      </c>
      <c r="J51" s="68">
        <f t="shared" ca="1" si="20"/>
        <v>0</v>
      </c>
      <c r="K51" s="68">
        <f t="shared" ca="1" si="21"/>
        <v>0</v>
      </c>
      <c r="L51" s="68">
        <f t="shared" ca="1" si="22"/>
        <v>0</v>
      </c>
      <c r="M51" s="68">
        <f t="shared" ca="1" si="23"/>
        <v>0</v>
      </c>
      <c r="N51" s="68">
        <f t="shared" ca="1" si="24"/>
        <v>0</v>
      </c>
      <c r="O51" s="92">
        <f t="shared" ca="1" si="25"/>
        <v>1.7619047619047619</v>
      </c>
      <c r="P51" s="70">
        <f ca="1">IF($B51="","",IFERROR(LOOKUP(2,1/(TAHSILAT!$C$7:$C$2503=$B51),TAHSILAT!$E$7:$E$2503),""))</f>
        <v>46093</v>
      </c>
      <c r="Q51" s="65" t="str">
        <f t="shared" ca="1" si="26"/>
        <v>TEMİZ</v>
      </c>
      <c r="R51" s="74" t="str">
        <f t="shared" ca="1" si="27"/>
        <v>Aksiyon gerekmiyor</v>
      </c>
      <c r="S51" s="93">
        <f t="shared" ca="1" si="28"/>
        <v>0</v>
      </c>
      <c r="T51" s="70" t="str">
        <f ca="1">IF(OR($B51="",$AF51=""),"",IF(INDEX(MUSTERILER!$K$7:$K$156,$AF51)="","",INDEX(MUSTERILER!$K$7:$K$156,$AF51)))</f>
        <v/>
      </c>
      <c r="U51" s="93" t="str">
        <f t="shared" ca="1" si="29"/>
        <v/>
      </c>
      <c r="V51" s="68">
        <f t="shared" ca="1" si="30"/>
        <v>8000</v>
      </c>
      <c r="W51" s="65" t="str">
        <f t="shared" ca="1" si="31"/>
        <v>UYGUN</v>
      </c>
      <c r="X51" s="2">
        <f ca="1">IF($B51="",0,SUMIFS(UCRETLER!$J$7:$J$606,UCRETLER!$B$7:$B$606,$B51))</f>
        <v>10500</v>
      </c>
      <c r="Y51" s="2">
        <f ca="1">IF($B51="",0,SUMIFS(UCRETLER!$K$7:$K$606,UCRETLER!$B$7:$B$606,$B51))</f>
        <v>10500</v>
      </c>
      <c r="Z51" s="1">
        <f ca="1">IF($B51="",0,SUMIFS(UCRETLER!$L$7:$L$606,UCRETLER!$B$7:$B$606,$B51))</f>
        <v>9000</v>
      </c>
      <c r="AA51" s="1">
        <f t="shared" ca="1" si="32"/>
        <v>18500</v>
      </c>
      <c r="AB51" s="1">
        <f t="shared" ca="1" si="33"/>
        <v>0</v>
      </c>
      <c r="AC51" s="1">
        <f t="shared" ca="1" si="34"/>
        <v>0</v>
      </c>
      <c r="AD51" s="1">
        <f t="shared" ca="1" si="35"/>
        <v>0</v>
      </c>
      <c r="AE51" s="1">
        <f t="shared" ca="1" si="36"/>
        <v>0</v>
      </c>
      <c r="AF51" s="1">
        <f ca="1">IFERROR(MATCH(ROW()-6,MUSTERILER!$U$7:$U$156,0),"")</f>
        <v>31</v>
      </c>
      <c r="AG51" s="1">
        <f ca="1">IF($B51="",0,SUMIFS(GELIR_GIDER!$G$7:$G$3001,GELIR_GIDER!$T$7:$T$3001,$B51))</f>
        <v>0</v>
      </c>
    </row>
    <row r="52" spans="1:33" ht="18" customHeight="1" x14ac:dyDescent="0.3">
      <c r="A52" s="2"/>
      <c r="B52" s="65" t="str">
        <f ca="1">IF($AF52="","",INDEX(MUSTERILER!$B$7:$B$156,$AF52))</f>
        <v>M041</v>
      </c>
      <c r="C52" s="74" t="str">
        <f ca="1">IF($AF52="","",INDEX(MUSTERILER!$C$7:$C$156,$AF52))</f>
        <v>MESUT KÖKLÜ</v>
      </c>
      <c r="D52" s="68">
        <f ca="1">IF($B52="","",SUMIFS(UCRETLER!$G$7:$G$606,UCRETLER!$B$7:$B$606,$B52,UCRETLER!$F$7:$F$606,"Haftalık",UCRETLER!$H$7:$H$606,"Aktif"))</f>
        <v>0</v>
      </c>
      <c r="E52" s="68">
        <f ca="1">IF($B52="","",SUMIFS(UCRETLER!$G$7:$G$606,UCRETLER!$B$7:$B$606,$B52,UCRETLER!$F$7:$F$606,"Aylık",UCRETLER!$H$7:$H$606,"Aktif"))</f>
        <v>5000</v>
      </c>
      <c r="F52" s="68">
        <f ca="1">IF($B52="","",SUMIFS(MUSTERILER!$J$7:$J$156,MUSTERILER!$B$7:$B$156,$B52))</f>
        <v>0</v>
      </c>
      <c r="G52" s="68">
        <f ca="1">IF($B52="","",SUMIFS(UCRETLER!$I$7:$I$606,UCRETLER!$B$7:$B$606,$B52)+SUMIFS(GELIR_GIDER!$G$7:$G$3001,GELIR_GIDER!$T$7:$T$3001,$B52))</f>
        <v>10000</v>
      </c>
      <c r="H52" s="68">
        <f t="shared" ca="1" si="19"/>
        <v>10000</v>
      </c>
      <c r="I52" s="68">
        <f ca="1">IF($B52="","",SUMIFS(TAHSILAT!$F$7:$F$2503,TAHSILAT!$C$7:$C$2503,$B52))</f>
        <v>10000</v>
      </c>
      <c r="J52" s="68">
        <f t="shared" ca="1" si="20"/>
        <v>0</v>
      </c>
      <c r="K52" s="68">
        <f t="shared" ca="1" si="21"/>
        <v>0</v>
      </c>
      <c r="L52" s="68">
        <f t="shared" ca="1" si="22"/>
        <v>0</v>
      </c>
      <c r="M52" s="68">
        <f t="shared" ca="1" si="23"/>
        <v>0</v>
      </c>
      <c r="N52" s="68">
        <f t="shared" ca="1" si="24"/>
        <v>0</v>
      </c>
      <c r="O52" s="92">
        <f t="shared" ca="1" si="25"/>
        <v>1</v>
      </c>
      <c r="P52" s="70">
        <f ca="1">IF($B52="","",IFERROR(LOOKUP(2,1/(TAHSILAT!$C$7:$C$2503=$B52),TAHSILAT!$E$7:$E$2503),""))</f>
        <v>46251</v>
      </c>
      <c r="Q52" s="65" t="str">
        <f t="shared" ca="1" si="26"/>
        <v>TEMİZ</v>
      </c>
      <c r="R52" s="74" t="str">
        <f t="shared" ca="1" si="27"/>
        <v>Aksiyon gerekmiyor</v>
      </c>
      <c r="S52" s="93">
        <f t="shared" ca="1" si="28"/>
        <v>0</v>
      </c>
      <c r="T52" s="70" t="str">
        <f ca="1">IF(OR($B52="",$AF52=""),"",IF(INDEX(MUSTERILER!$K$7:$K$156,$AF52)="","",INDEX(MUSTERILER!$K$7:$K$156,$AF52)))</f>
        <v/>
      </c>
      <c r="U52" s="93" t="str">
        <f t="shared" ca="1" si="29"/>
        <v/>
      </c>
      <c r="V52" s="68">
        <f t="shared" ca="1" si="30"/>
        <v>0</v>
      </c>
      <c r="W52" s="65" t="str">
        <f t="shared" ca="1" si="31"/>
        <v>UYGUN</v>
      </c>
      <c r="X52" s="2">
        <f ca="1">IF($B52="",0,SUMIFS(UCRETLER!$J$7:$J$606,UCRETLER!$B$7:$B$606,$B52))</f>
        <v>10000</v>
      </c>
      <c r="Y52" s="2">
        <f ca="1">IF($B52="",0,SUMIFS(UCRETLER!$K$7:$K$606,UCRETLER!$B$7:$B$606,$B52))</f>
        <v>10000</v>
      </c>
      <c r="Z52" s="1">
        <f ca="1">IF($B52="",0,SUMIFS(UCRETLER!$L$7:$L$606,UCRETLER!$B$7:$B$606,$B52))</f>
        <v>5000</v>
      </c>
      <c r="AA52" s="1">
        <f t="shared" ca="1" si="32"/>
        <v>10000</v>
      </c>
      <c r="AB52" s="1">
        <f t="shared" ca="1" si="33"/>
        <v>0</v>
      </c>
      <c r="AC52" s="1">
        <f t="shared" ca="1" si="34"/>
        <v>0</v>
      </c>
      <c r="AD52" s="1">
        <f t="shared" ca="1" si="35"/>
        <v>0</v>
      </c>
      <c r="AE52" s="1">
        <f t="shared" ca="1" si="36"/>
        <v>0</v>
      </c>
      <c r="AF52" s="1">
        <f ca="1">IFERROR(MATCH(ROW()-6,MUSTERILER!$U$7:$U$156,0),"")</f>
        <v>32</v>
      </c>
      <c r="AG52" s="1">
        <f ca="1">IF($B52="",0,SUMIFS(GELIR_GIDER!$G$7:$G$3001,GELIR_GIDER!$T$7:$T$3001,$B52))</f>
        <v>0</v>
      </c>
    </row>
    <row r="53" spans="1:33" ht="18" customHeight="1" x14ac:dyDescent="0.3">
      <c r="A53" s="2"/>
      <c r="B53" s="65" t="str">
        <f ca="1">IF($AF53="","",INDEX(MUSTERILER!$B$7:$B$156,$AF53))</f>
        <v>M013</v>
      </c>
      <c r="C53" s="74" t="str">
        <f ca="1">IF($AF53="","",INDEX(MUSTERILER!$C$7:$C$156,$AF53))</f>
        <v>NAZ 1 GIDA LTD.ŞTİ.</v>
      </c>
      <c r="D53" s="68">
        <f ca="1">IF($B53="","",SUMIFS(UCRETLER!$G$7:$G$606,UCRETLER!$B$7:$B$606,$B53,UCRETLER!$F$7:$F$606,"Haftalık",UCRETLER!$H$7:$H$606,"Aktif"))</f>
        <v>2000</v>
      </c>
      <c r="E53" s="68">
        <f ca="1">IF($B53="","",SUMIFS(UCRETLER!$G$7:$G$606,UCRETLER!$B$7:$B$606,$B53,UCRETLER!$F$7:$F$606,"Aylık",UCRETLER!$H$7:$H$606,"Aktif"))</f>
        <v>0</v>
      </c>
      <c r="F53" s="68">
        <f ca="1">IF($B53="","",SUMIFS(MUSTERILER!$J$7:$J$156,MUSTERILER!$B$7:$B$156,$B53))</f>
        <v>0</v>
      </c>
      <c r="G53" s="68">
        <f ca="1">IF($B53="","",SUMIFS(UCRETLER!$I$7:$I$606,UCRETLER!$B$7:$B$606,$B53)+SUMIFS(GELIR_GIDER!$G$7:$G$3001,GELIR_GIDER!$T$7:$T$3001,$B53))</f>
        <v>68000</v>
      </c>
      <c r="H53" s="68">
        <f t="shared" ca="1" si="19"/>
        <v>68000</v>
      </c>
      <c r="I53" s="68">
        <f ca="1">IF($B53="","",SUMIFS(TAHSILAT!$F$7:$F$2503,TAHSILAT!$C$7:$C$2503,$B53))</f>
        <v>68000</v>
      </c>
      <c r="J53" s="68">
        <f t="shared" ca="1" si="20"/>
        <v>0</v>
      </c>
      <c r="K53" s="68">
        <f t="shared" ca="1" si="21"/>
        <v>0</v>
      </c>
      <c r="L53" s="68">
        <f t="shared" ca="1" si="22"/>
        <v>0</v>
      </c>
      <c r="M53" s="68">
        <f t="shared" ca="1" si="23"/>
        <v>0</v>
      </c>
      <c r="N53" s="68">
        <f t="shared" ca="1" si="24"/>
        <v>0</v>
      </c>
      <c r="O53" s="92">
        <f t="shared" ca="1" si="25"/>
        <v>1</v>
      </c>
      <c r="P53" s="70">
        <f ca="1">IF($B53="","",IFERROR(LOOKUP(2,1/(TAHSILAT!$C$7:$C$2503=$B53),TAHSILAT!$E$7:$E$2503),""))</f>
        <v>46256</v>
      </c>
      <c r="Q53" s="65" t="str">
        <f t="shared" ca="1" si="26"/>
        <v>TEMİZ</v>
      </c>
      <c r="R53" s="74" t="str">
        <f t="shared" ca="1" si="27"/>
        <v>Aksiyon gerekmiyor</v>
      </c>
      <c r="S53" s="93">
        <f t="shared" ca="1" si="28"/>
        <v>0</v>
      </c>
      <c r="T53" s="70" t="str">
        <f ca="1">IF(OR($B53="",$AF53=""),"",IF(INDEX(MUSTERILER!$K$7:$K$156,$AF53)="","",INDEX(MUSTERILER!$K$7:$K$156,$AF53)))</f>
        <v/>
      </c>
      <c r="U53" s="93" t="str">
        <f t="shared" ca="1" si="29"/>
        <v/>
      </c>
      <c r="V53" s="68">
        <f t="shared" ca="1" si="30"/>
        <v>0</v>
      </c>
      <c r="W53" s="65" t="str">
        <f t="shared" ca="1" si="31"/>
        <v>UYGUN</v>
      </c>
      <c r="X53" s="2">
        <f ca="1">IF($B53="",0,SUMIFS(UCRETLER!$J$7:$J$606,UCRETLER!$B$7:$B$606,$B53))</f>
        <v>66000</v>
      </c>
      <c r="Y53" s="2">
        <f ca="1">IF($B53="",0,SUMIFS(UCRETLER!$K$7:$K$606,UCRETLER!$B$7:$B$606,$B53))</f>
        <v>64000</v>
      </c>
      <c r="Z53" s="1">
        <f ca="1">IF($B53="",0,SUMIFS(UCRETLER!$L$7:$L$606,UCRETLER!$B$7:$B$606,$B53))</f>
        <v>60000</v>
      </c>
      <c r="AA53" s="1">
        <f t="shared" ca="1" si="32"/>
        <v>68000</v>
      </c>
      <c r="AB53" s="1">
        <f t="shared" ca="1" si="33"/>
        <v>0</v>
      </c>
      <c r="AC53" s="1">
        <f t="shared" ca="1" si="34"/>
        <v>0</v>
      </c>
      <c r="AD53" s="1">
        <f t="shared" ca="1" si="35"/>
        <v>0</v>
      </c>
      <c r="AE53" s="1">
        <f t="shared" ca="1" si="36"/>
        <v>0</v>
      </c>
      <c r="AF53" s="1">
        <f ca="1">IFERROR(MATCH(ROW()-6,MUSTERILER!$U$7:$U$156,0),"")</f>
        <v>37</v>
      </c>
      <c r="AG53" s="1">
        <f ca="1">IF($B53="",0,SUMIFS(GELIR_GIDER!$G$7:$G$3001,GELIR_GIDER!$T$7:$T$3001,$B53))</f>
        <v>0</v>
      </c>
    </row>
    <row r="54" spans="1:33" ht="18" customHeight="1" x14ac:dyDescent="0.3">
      <c r="A54" s="2"/>
      <c r="B54" s="65" t="str">
        <f ca="1">IF($AF54="","",INDEX(MUSTERILER!$B$7:$B$156,$AF54))</f>
        <v>M009</v>
      </c>
      <c r="C54" s="74" t="str">
        <f ca="1">IF($AF54="","",INDEX(MUSTERILER!$C$7:$C$156,$AF54))</f>
        <v>PAKYILDIZ LTD.ŞTİ.</v>
      </c>
      <c r="D54" s="68">
        <f ca="1">IF($B54="","",SUMIFS(UCRETLER!$G$7:$G$606,UCRETLER!$B$7:$B$606,$B54,UCRETLER!$F$7:$F$606,"Haftalık",UCRETLER!$H$7:$H$606,"Aktif"))</f>
        <v>4000</v>
      </c>
      <c r="E54" s="68">
        <f ca="1">IF($B54="","",SUMIFS(UCRETLER!$G$7:$G$606,UCRETLER!$B$7:$B$606,$B54,UCRETLER!$F$7:$F$606,"Aylık",UCRETLER!$H$7:$H$606,"Aktif"))</f>
        <v>0</v>
      </c>
      <c r="F54" s="68">
        <f ca="1">IF($B54="","",SUMIFS(MUSTERILER!$J$7:$J$156,MUSTERILER!$B$7:$B$156,$B54))</f>
        <v>0</v>
      </c>
      <c r="G54" s="68">
        <f ca="1">IF($B54="","",SUMIFS(UCRETLER!$I$7:$I$606,UCRETLER!$B$7:$B$606,$B54)+SUMIFS(GELIR_GIDER!$G$7:$G$3001,GELIR_GIDER!$T$7:$T$3001,$B54))</f>
        <v>136000</v>
      </c>
      <c r="H54" s="68">
        <f t="shared" ca="1" si="19"/>
        <v>136000</v>
      </c>
      <c r="I54" s="68">
        <f ca="1">IF($B54="","",SUMIFS(TAHSILAT!$F$7:$F$2503,TAHSILAT!$C$7:$C$2503,$B54))</f>
        <v>136000</v>
      </c>
      <c r="J54" s="68">
        <f t="shared" ca="1" si="20"/>
        <v>0</v>
      </c>
      <c r="K54" s="68">
        <f t="shared" ca="1" si="21"/>
        <v>0</v>
      </c>
      <c r="L54" s="68">
        <f t="shared" ca="1" si="22"/>
        <v>0</v>
      </c>
      <c r="M54" s="68">
        <f t="shared" ca="1" si="23"/>
        <v>0</v>
      </c>
      <c r="N54" s="68">
        <f t="shared" ca="1" si="24"/>
        <v>0</v>
      </c>
      <c r="O54" s="92">
        <f t="shared" ca="1" si="25"/>
        <v>1</v>
      </c>
      <c r="P54" s="70">
        <f ca="1">IF($B54="","",IFERROR(LOOKUP(2,1/(TAHSILAT!$C$7:$C$2503=$B54),TAHSILAT!$E$7:$E$2503),""))</f>
        <v>46256</v>
      </c>
      <c r="Q54" s="65" t="str">
        <f t="shared" ca="1" si="26"/>
        <v>TEMİZ</v>
      </c>
      <c r="R54" s="74" t="str">
        <f t="shared" ca="1" si="27"/>
        <v>Aksiyon gerekmiyor</v>
      </c>
      <c r="S54" s="93">
        <f t="shared" ca="1" si="28"/>
        <v>0</v>
      </c>
      <c r="T54" s="70" t="str">
        <f ca="1">IF(OR($B54="",$AF54=""),"",IF(INDEX(MUSTERILER!$K$7:$K$156,$AF54)="","",INDEX(MUSTERILER!$K$7:$K$156,$AF54)))</f>
        <v/>
      </c>
      <c r="U54" s="93" t="str">
        <f t="shared" ca="1" si="29"/>
        <v/>
      </c>
      <c r="V54" s="68">
        <f t="shared" ca="1" si="30"/>
        <v>0</v>
      </c>
      <c r="W54" s="65" t="str">
        <f t="shared" ca="1" si="31"/>
        <v>UYGUN</v>
      </c>
      <c r="X54" s="2">
        <f ca="1">IF($B54="",0,SUMIFS(UCRETLER!$J$7:$J$606,UCRETLER!$B$7:$B$606,$B54))</f>
        <v>132000</v>
      </c>
      <c r="Y54" s="2">
        <f ca="1">IF($B54="",0,SUMIFS(UCRETLER!$K$7:$K$606,UCRETLER!$B$7:$B$606,$B54))</f>
        <v>128000</v>
      </c>
      <c r="Z54" s="1">
        <f ca="1">IF($B54="",0,SUMIFS(UCRETLER!$L$7:$L$606,UCRETLER!$B$7:$B$606,$B54))</f>
        <v>120000</v>
      </c>
      <c r="AA54" s="1">
        <f t="shared" ca="1" si="32"/>
        <v>136000</v>
      </c>
      <c r="AB54" s="1">
        <f t="shared" ca="1" si="33"/>
        <v>0</v>
      </c>
      <c r="AC54" s="1">
        <f t="shared" ca="1" si="34"/>
        <v>0</v>
      </c>
      <c r="AD54" s="1">
        <f t="shared" ca="1" si="35"/>
        <v>0</v>
      </c>
      <c r="AE54" s="1">
        <f t="shared" ca="1" si="36"/>
        <v>0</v>
      </c>
      <c r="AF54" s="1">
        <f ca="1">IFERROR(MATCH(ROW()-6,MUSTERILER!$U$7:$U$156,0),"")</f>
        <v>41</v>
      </c>
      <c r="AG54" s="1">
        <f ca="1">IF($B54="",0,SUMIFS(GELIR_GIDER!$G$7:$G$3001,GELIR_GIDER!$T$7:$T$3001,$B54))</f>
        <v>0</v>
      </c>
    </row>
    <row r="55" spans="1:33" ht="18" customHeight="1" x14ac:dyDescent="0.3">
      <c r="A55" s="2"/>
      <c r="B55" s="65" t="str">
        <f ca="1">IF($AF55="","",INDEX(MUSTERILER!$B$7:$B$156,$AF55))</f>
        <v>M047</v>
      </c>
      <c r="C55" s="74" t="str">
        <f ca="1">IF($AF55="","",INDEX(MUSTERILER!$C$7:$C$156,$AF55))</f>
        <v>PALAOĞULLARI LTD.ŞTİ.</v>
      </c>
      <c r="D55" s="68">
        <f ca="1">IF($B55="","",SUMIFS(UCRETLER!$G$7:$G$606,UCRETLER!$B$7:$B$606,$B55,UCRETLER!$F$7:$F$606,"Haftalık",UCRETLER!$H$7:$H$606,"Aktif"))</f>
        <v>5000</v>
      </c>
      <c r="E55" s="68">
        <f ca="1">IF($B55="","",SUMIFS(UCRETLER!$G$7:$G$606,UCRETLER!$B$7:$B$606,$B55,UCRETLER!$F$7:$F$606,"Aylık",UCRETLER!$H$7:$H$606,"Aktif"))</f>
        <v>0</v>
      </c>
      <c r="F55" s="68">
        <f ca="1">IF($B55="","",SUMIFS(MUSTERILER!$J$7:$J$156,MUSTERILER!$B$7:$B$156,$B55))</f>
        <v>0</v>
      </c>
      <c r="G55" s="68">
        <f ca="1">IF($B55="","",SUMIFS(UCRETLER!$I$7:$I$606,UCRETLER!$B$7:$B$606,$B55)+SUMIFS(GELIR_GIDER!$G$7:$G$3001,GELIR_GIDER!$T$7:$T$3001,$B55))</f>
        <v>148000</v>
      </c>
      <c r="H55" s="68">
        <f t="shared" ca="1" si="19"/>
        <v>148000</v>
      </c>
      <c r="I55" s="68">
        <f ca="1">IF($B55="","",SUMIFS(TAHSILAT!$F$7:$F$2503,TAHSILAT!$C$7:$C$2503,$B55))</f>
        <v>148000</v>
      </c>
      <c r="J55" s="68">
        <f t="shared" ca="1" si="20"/>
        <v>0</v>
      </c>
      <c r="K55" s="68">
        <f t="shared" ca="1" si="21"/>
        <v>0</v>
      </c>
      <c r="L55" s="68">
        <f t="shared" ca="1" si="22"/>
        <v>0</v>
      </c>
      <c r="M55" s="68">
        <f t="shared" ca="1" si="23"/>
        <v>0</v>
      </c>
      <c r="N55" s="68">
        <f t="shared" ca="1" si="24"/>
        <v>0</v>
      </c>
      <c r="O55" s="92">
        <f t="shared" ca="1" si="25"/>
        <v>1</v>
      </c>
      <c r="P55" s="70">
        <f ca="1">IF($B55="","",IFERROR(LOOKUP(2,1/(TAHSILAT!$C$7:$C$2503=$B55),TAHSILAT!$E$7:$E$2503),""))</f>
        <v>46256</v>
      </c>
      <c r="Q55" s="65" t="str">
        <f t="shared" ca="1" si="26"/>
        <v>TEMİZ</v>
      </c>
      <c r="R55" s="74" t="str">
        <f t="shared" ca="1" si="27"/>
        <v>Aksiyon gerekmiyor</v>
      </c>
      <c r="S55" s="93">
        <f t="shared" ca="1" si="28"/>
        <v>0</v>
      </c>
      <c r="T55" s="70" t="str">
        <f ca="1">IF(OR($B55="",$AF55=""),"",IF(INDEX(MUSTERILER!$K$7:$K$156,$AF55)="","",INDEX(MUSTERILER!$K$7:$K$156,$AF55)))</f>
        <v/>
      </c>
      <c r="U55" s="93" t="str">
        <f t="shared" ca="1" si="29"/>
        <v/>
      </c>
      <c r="V55" s="68">
        <f t="shared" ca="1" si="30"/>
        <v>0</v>
      </c>
      <c r="W55" s="65" t="str">
        <f t="shared" ca="1" si="31"/>
        <v>UYGUN</v>
      </c>
      <c r="X55" s="2">
        <f ca="1">IF($B55="",0,SUMIFS(UCRETLER!$J$7:$J$606,UCRETLER!$B$7:$B$606,$B55))</f>
        <v>143000</v>
      </c>
      <c r="Y55" s="2">
        <f ca="1">IF($B55="",0,SUMIFS(UCRETLER!$K$7:$K$606,UCRETLER!$B$7:$B$606,$B55))</f>
        <v>138000</v>
      </c>
      <c r="Z55" s="1">
        <f ca="1">IF($B55="",0,SUMIFS(UCRETLER!$L$7:$L$606,UCRETLER!$B$7:$B$606,$B55))</f>
        <v>128000</v>
      </c>
      <c r="AA55" s="1">
        <f t="shared" ca="1" si="32"/>
        <v>148000</v>
      </c>
      <c r="AB55" s="1">
        <f t="shared" ca="1" si="33"/>
        <v>0</v>
      </c>
      <c r="AC55" s="1">
        <f t="shared" ca="1" si="34"/>
        <v>0</v>
      </c>
      <c r="AD55" s="1">
        <f t="shared" ca="1" si="35"/>
        <v>0</v>
      </c>
      <c r="AE55" s="1">
        <f t="shared" ca="1" si="36"/>
        <v>0</v>
      </c>
      <c r="AF55" s="1">
        <f ca="1">IFERROR(MATCH(ROW()-6,MUSTERILER!$U$7:$U$156,0),"")</f>
        <v>42</v>
      </c>
      <c r="AG55" s="1">
        <f ca="1">IF($B55="",0,SUMIFS(GELIR_GIDER!$G$7:$G$3001,GELIR_GIDER!$T$7:$T$3001,$B55))</f>
        <v>0</v>
      </c>
    </row>
    <row r="56" spans="1:33" ht="18" customHeight="1" x14ac:dyDescent="0.3">
      <c r="A56" s="2"/>
      <c r="B56" s="65" t="str">
        <f ca="1">IF($AF56="","",INDEX(MUSTERILER!$B$7:$B$156,$AF56))</f>
        <v>M016</v>
      </c>
      <c r="C56" s="74" t="str">
        <f ca="1">IF($AF56="","",INDEX(MUSTERILER!$C$7:$C$156,$AF56))</f>
        <v>RİX ŞOW LTD.ŞTİ.</v>
      </c>
      <c r="D56" s="68">
        <f ca="1">IF($B56="","",SUMIFS(UCRETLER!$G$7:$G$606,UCRETLER!$B$7:$B$606,$B56,UCRETLER!$F$7:$F$606,"Haftalık",UCRETLER!$H$7:$H$606,"Aktif"))</f>
        <v>3000</v>
      </c>
      <c r="E56" s="68">
        <f ca="1">IF($B56="","",SUMIFS(UCRETLER!$G$7:$G$606,UCRETLER!$B$7:$B$606,$B56,UCRETLER!$F$7:$F$606,"Aylık",UCRETLER!$H$7:$H$606,"Aktif"))</f>
        <v>0</v>
      </c>
      <c r="F56" s="68">
        <f ca="1">IF($B56="","",SUMIFS(MUSTERILER!$J$7:$J$156,MUSTERILER!$B$7:$B$156,$B56))</f>
        <v>0</v>
      </c>
      <c r="G56" s="68">
        <f ca="1">IF($B56="","",SUMIFS(UCRETLER!$I$7:$I$606,UCRETLER!$B$7:$B$606,$B56)+SUMIFS(GELIR_GIDER!$G$7:$G$3001,GELIR_GIDER!$T$7:$T$3001,$B56))</f>
        <v>102000</v>
      </c>
      <c r="H56" s="68">
        <f t="shared" ca="1" si="19"/>
        <v>102000</v>
      </c>
      <c r="I56" s="68">
        <f ca="1">IF($B56="","",SUMIFS(TAHSILAT!$F$7:$F$2503,TAHSILAT!$C$7:$C$2503,$B56))</f>
        <v>102000</v>
      </c>
      <c r="J56" s="68">
        <f t="shared" ca="1" si="20"/>
        <v>0</v>
      </c>
      <c r="K56" s="68">
        <f t="shared" ca="1" si="21"/>
        <v>0</v>
      </c>
      <c r="L56" s="68">
        <f t="shared" ca="1" si="22"/>
        <v>0</v>
      </c>
      <c r="M56" s="68">
        <f t="shared" ca="1" si="23"/>
        <v>0</v>
      </c>
      <c r="N56" s="68">
        <f t="shared" ca="1" si="24"/>
        <v>0</v>
      </c>
      <c r="O56" s="92">
        <f t="shared" ca="1" si="25"/>
        <v>1</v>
      </c>
      <c r="P56" s="70">
        <f ca="1">IF($B56="","",IFERROR(LOOKUP(2,1/(TAHSILAT!$C$7:$C$2503=$B56),TAHSILAT!$E$7:$E$2503),""))</f>
        <v>46256</v>
      </c>
      <c r="Q56" s="65" t="str">
        <f t="shared" ca="1" si="26"/>
        <v>TEMİZ</v>
      </c>
      <c r="R56" s="74" t="str">
        <f t="shared" ca="1" si="27"/>
        <v>Aksiyon gerekmiyor</v>
      </c>
      <c r="S56" s="93">
        <f t="shared" ca="1" si="28"/>
        <v>0</v>
      </c>
      <c r="T56" s="70" t="str">
        <f ca="1">IF(OR($B56="",$AF56=""),"",IF(INDEX(MUSTERILER!$K$7:$K$156,$AF56)="","",INDEX(MUSTERILER!$K$7:$K$156,$AF56)))</f>
        <v/>
      </c>
      <c r="U56" s="93" t="str">
        <f t="shared" ca="1" si="29"/>
        <v/>
      </c>
      <c r="V56" s="68">
        <f t="shared" ca="1" si="30"/>
        <v>0</v>
      </c>
      <c r="W56" s="65" t="str">
        <f t="shared" ca="1" si="31"/>
        <v>UYGUN</v>
      </c>
      <c r="X56" s="2">
        <f ca="1">IF($B56="",0,SUMIFS(UCRETLER!$J$7:$J$606,UCRETLER!$B$7:$B$606,$B56))</f>
        <v>99000</v>
      </c>
      <c r="Y56" s="2">
        <f ca="1">IF($B56="",0,SUMIFS(UCRETLER!$K$7:$K$606,UCRETLER!$B$7:$B$606,$B56))</f>
        <v>96000</v>
      </c>
      <c r="Z56" s="1">
        <f ca="1">IF($B56="",0,SUMIFS(UCRETLER!$L$7:$L$606,UCRETLER!$B$7:$B$606,$B56))</f>
        <v>90000</v>
      </c>
      <c r="AA56" s="1">
        <f t="shared" ca="1" si="32"/>
        <v>102000</v>
      </c>
      <c r="AB56" s="1">
        <f t="shared" ca="1" si="33"/>
        <v>0</v>
      </c>
      <c r="AC56" s="1">
        <f t="shared" ca="1" si="34"/>
        <v>0</v>
      </c>
      <c r="AD56" s="1">
        <f t="shared" ca="1" si="35"/>
        <v>0</v>
      </c>
      <c r="AE56" s="1">
        <f t="shared" ca="1" si="36"/>
        <v>0</v>
      </c>
      <c r="AF56" s="1">
        <f ca="1">IFERROR(MATCH(ROW()-6,MUSTERILER!$U$7:$U$156,0),"")</f>
        <v>44</v>
      </c>
      <c r="AG56" s="1">
        <f ca="1">IF($B56="",0,SUMIFS(GELIR_GIDER!$G$7:$G$3001,GELIR_GIDER!$T$7:$T$3001,$B56))</f>
        <v>0</v>
      </c>
    </row>
    <row r="57" spans="1:33" ht="18" customHeight="1" x14ac:dyDescent="0.3">
      <c r="A57" s="2"/>
      <c r="B57" s="65" t="str">
        <f ca="1">IF($AF57="","",INDEX(MUSTERILER!$B$7:$B$156,$AF57))</f>
        <v>M055</v>
      </c>
      <c r="C57" s="74" t="str">
        <f ca="1">IF($AF57="","",INDEX(MUSTERILER!$C$7:$C$156,$AF57))</f>
        <v>SEMRA GÜMÜŞ</v>
      </c>
      <c r="D57" s="68">
        <f ca="1">IF($B57="","",SUMIFS(UCRETLER!$G$7:$G$606,UCRETLER!$B$7:$B$606,$B57,UCRETLER!$F$7:$F$606,"Haftalık",UCRETLER!$H$7:$H$606,"Aktif"))</f>
        <v>0</v>
      </c>
      <c r="E57" s="68">
        <f ca="1">IF($B57="","",SUMIFS(UCRETLER!$G$7:$G$606,UCRETLER!$B$7:$B$606,$B57,UCRETLER!$F$7:$F$606,"Aylık",UCRETLER!$H$7:$H$606,"Aktif"))</f>
        <v>0</v>
      </c>
      <c r="F57" s="68">
        <f ca="1">IF($B57="","",SUMIFS(MUSTERILER!$J$7:$J$156,MUSTERILER!$B$7:$B$156,$B57))</f>
        <v>0</v>
      </c>
      <c r="G57" s="68">
        <f ca="1">IF($B57="","",SUMIFS(UCRETLER!$I$7:$I$606,UCRETLER!$B$7:$B$606,$B57)+SUMIFS(GELIR_GIDER!$G$7:$G$3001,GELIR_GIDER!$T$7:$T$3001,$B57))</f>
        <v>10000</v>
      </c>
      <c r="H57" s="68">
        <f t="shared" ca="1" si="19"/>
        <v>10000</v>
      </c>
      <c r="I57" s="68">
        <f ca="1">IF($B57="","",SUMIFS(TAHSILAT!$F$7:$F$2503,TAHSILAT!$C$7:$C$2503,$B57))</f>
        <v>10000</v>
      </c>
      <c r="J57" s="68">
        <f t="shared" ca="1" si="20"/>
        <v>0</v>
      </c>
      <c r="K57" s="68">
        <f t="shared" ca="1" si="21"/>
        <v>0</v>
      </c>
      <c r="L57" s="68">
        <f t="shared" ca="1" si="22"/>
        <v>0</v>
      </c>
      <c r="M57" s="68">
        <f t="shared" ca="1" si="23"/>
        <v>0</v>
      </c>
      <c r="N57" s="68">
        <f t="shared" ca="1" si="24"/>
        <v>0</v>
      </c>
      <c r="O57" s="92">
        <f t="shared" ca="1" si="25"/>
        <v>1</v>
      </c>
      <c r="P57" s="70">
        <f ca="1">IF($B57="","",IFERROR(LOOKUP(2,1/(TAHSILAT!$C$7:$C$2503=$B57),TAHSILAT!$E$7:$E$2503),""))</f>
        <v>46173</v>
      </c>
      <c r="Q57" s="65" t="str">
        <f t="shared" ca="1" si="26"/>
        <v>TEMİZ</v>
      </c>
      <c r="R57" s="74" t="str">
        <f t="shared" ca="1" si="27"/>
        <v>Aksiyon gerekmiyor</v>
      </c>
      <c r="S57" s="93">
        <f t="shared" ca="1" si="28"/>
        <v>0</v>
      </c>
      <c r="T57" s="70" t="str">
        <f ca="1">IF(OR($B57="",$AF57=""),"",IF(INDEX(MUSTERILER!$K$7:$K$156,$AF57)="","",INDEX(MUSTERILER!$K$7:$K$156,$AF57)))</f>
        <v/>
      </c>
      <c r="U57" s="93" t="str">
        <f t="shared" ca="1" si="29"/>
        <v/>
      </c>
      <c r="V57" s="68">
        <f t="shared" ca="1" si="30"/>
        <v>0</v>
      </c>
      <c r="W57" s="65" t="str">
        <f t="shared" ca="1" si="31"/>
        <v>UYGUN</v>
      </c>
      <c r="X57" s="2">
        <f ca="1">IF($B57="",0,SUMIFS(UCRETLER!$J$7:$J$606,UCRETLER!$B$7:$B$606,$B57))</f>
        <v>10000</v>
      </c>
      <c r="Y57" s="2">
        <f ca="1">IF($B57="",0,SUMIFS(UCRETLER!$K$7:$K$606,UCRETLER!$B$7:$B$606,$B57))</f>
        <v>10000</v>
      </c>
      <c r="Z57" s="1">
        <f ca="1">IF($B57="",0,SUMIFS(UCRETLER!$L$7:$L$606,UCRETLER!$B$7:$B$606,$B57))</f>
        <v>10000</v>
      </c>
      <c r="AA57" s="1">
        <f t="shared" ca="1" si="32"/>
        <v>10000</v>
      </c>
      <c r="AB57" s="1">
        <f t="shared" ca="1" si="33"/>
        <v>0</v>
      </c>
      <c r="AC57" s="1">
        <f t="shared" ca="1" si="34"/>
        <v>0</v>
      </c>
      <c r="AD57" s="1">
        <f t="shared" ca="1" si="35"/>
        <v>0</v>
      </c>
      <c r="AE57" s="1">
        <f t="shared" ca="1" si="36"/>
        <v>0</v>
      </c>
      <c r="AF57" s="1">
        <f ca="1">IFERROR(MATCH(ROW()-6,MUSTERILER!$U$7:$U$156,0),"")</f>
        <v>45</v>
      </c>
      <c r="AG57" s="1">
        <f ca="1">IF($B57="",0,SUMIFS(GELIR_GIDER!$G$7:$G$3001,GELIR_GIDER!$T$7:$T$3001,$B57))</f>
        <v>0</v>
      </c>
    </row>
    <row r="58" spans="1:33" ht="18" customHeight="1" x14ac:dyDescent="0.3">
      <c r="A58" s="2"/>
      <c r="B58" s="65" t="str">
        <f ca="1">IF($AF58="","",INDEX(MUSTERILER!$B$7:$B$156,$AF58))</f>
        <v>M049</v>
      </c>
      <c r="C58" s="74" t="str">
        <f ca="1">IF($AF58="","",INDEX(MUSTERILER!$C$7:$C$156,$AF58))</f>
        <v>STAR ŞOW LTD.ŞTİ.</v>
      </c>
      <c r="D58" s="68">
        <f ca="1">IF($B58="","",SUMIFS(UCRETLER!$G$7:$G$606,UCRETLER!$B$7:$B$606,$B58,UCRETLER!$F$7:$F$606,"Haftalık",UCRETLER!$H$7:$H$606,"Aktif"))</f>
        <v>3000</v>
      </c>
      <c r="E58" s="68">
        <f ca="1">IF($B58="","",SUMIFS(UCRETLER!$G$7:$G$606,UCRETLER!$B$7:$B$606,$B58,UCRETLER!$F$7:$F$606,"Aylık",UCRETLER!$H$7:$H$606,"Aktif"))</f>
        <v>0</v>
      </c>
      <c r="F58" s="68">
        <f ca="1">IF($B58="","",SUMIFS(MUSTERILER!$J$7:$J$156,MUSTERILER!$B$7:$B$156,$B58))</f>
        <v>0</v>
      </c>
      <c r="G58" s="68">
        <f ca="1">IF($B58="","",SUMIFS(UCRETLER!$I$7:$I$606,UCRETLER!$B$7:$B$606,$B58)+SUMIFS(GELIR_GIDER!$G$7:$G$3001,GELIR_GIDER!$T$7:$T$3001,$B58))</f>
        <v>12000</v>
      </c>
      <c r="H58" s="68">
        <f t="shared" ca="1" si="19"/>
        <v>12000</v>
      </c>
      <c r="I58" s="68">
        <f ca="1">IF($B58="","",SUMIFS(TAHSILAT!$F$7:$F$2503,TAHSILAT!$C$7:$C$2503,$B58))</f>
        <v>12000</v>
      </c>
      <c r="J58" s="68">
        <f t="shared" ca="1" si="20"/>
        <v>0</v>
      </c>
      <c r="K58" s="68">
        <f t="shared" ca="1" si="21"/>
        <v>0</v>
      </c>
      <c r="L58" s="68">
        <f t="shared" ca="1" si="22"/>
        <v>0</v>
      </c>
      <c r="M58" s="68">
        <f t="shared" ca="1" si="23"/>
        <v>0</v>
      </c>
      <c r="N58" s="68">
        <f t="shared" ca="1" si="24"/>
        <v>0</v>
      </c>
      <c r="O58" s="92">
        <f t="shared" ca="1" si="25"/>
        <v>1</v>
      </c>
      <c r="P58" s="70">
        <f ca="1">IF($B58="","",IFERROR(LOOKUP(2,1/(TAHSILAT!$C$7:$C$2503=$B58),TAHSILAT!$E$7:$E$2503),""))</f>
        <v>46256</v>
      </c>
      <c r="Q58" s="65" t="str">
        <f t="shared" ca="1" si="26"/>
        <v>TEMİZ</v>
      </c>
      <c r="R58" s="74" t="str">
        <f t="shared" ca="1" si="27"/>
        <v>Aksiyon gerekmiyor</v>
      </c>
      <c r="S58" s="93">
        <f t="shared" ca="1" si="28"/>
        <v>0</v>
      </c>
      <c r="T58" s="70" t="str">
        <f ca="1">IF(OR($B58="",$AF58=""),"",IF(INDEX(MUSTERILER!$K$7:$K$156,$AF58)="","",INDEX(MUSTERILER!$K$7:$K$156,$AF58)))</f>
        <v/>
      </c>
      <c r="U58" s="93" t="str">
        <f t="shared" ca="1" si="29"/>
        <v/>
      </c>
      <c r="V58" s="68">
        <f t="shared" ca="1" si="30"/>
        <v>0</v>
      </c>
      <c r="W58" s="65" t="str">
        <f t="shared" ca="1" si="31"/>
        <v>UYGUN</v>
      </c>
      <c r="X58" s="2">
        <f ca="1">IF($B58="",0,SUMIFS(UCRETLER!$J$7:$J$606,UCRETLER!$B$7:$B$606,$B58))</f>
        <v>9000</v>
      </c>
      <c r="Y58" s="2">
        <f ca="1">IF($B58="",0,SUMIFS(UCRETLER!$K$7:$K$606,UCRETLER!$B$7:$B$606,$B58))</f>
        <v>6000</v>
      </c>
      <c r="Z58" s="1">
        <f ca="1">IF($B58="",0,SUMIFS(UCRETLER!$L$7:$L$606,UCRETLER!$B$7:$B$606,$B58))</f>
        <v>0</v>
      </c>
      <c r="AA58" s="1">
        <f t="shared" ca="1" si="32"/>
        <v>12000</v>
      </c>
      <c r="AB58" s="1">
        <f t="shared" ca="1" si="33"/>
        <v>0</v>
      </c>
      <c r="AC58" s="1">
        <f t="shared" ca="1" si="34"/>
        <v>0</v>
      </c>
      <c r="AD58" s="1">
        <f t="shared" ca="1" si="35"/>
        <v>0</v>
      </c>
      <c r="AE58" s="1">
        <f t="shared" ca="1" si="36"/>
        <v>0</v>
      </c>
      <c r="AF58" s="1">
        <f ca="1">IFERROR(MATCH(ROW()-6,MUSTERILER!$U$7:$U$156,0),"")</f>
        <v>46</v>
      </c>
      <c r="AG58" s="1">
        <f ca="1">IF($B58="",0,SUMIFS(GELIR_GIDER!$G$7:$G$3001,GELIR_GIDER!$T$7:$T$3001,$B58))</f>
        <v>0</v>
      </c>
    </row>
    <row r="59" spans="1:33" ht="18" customHeight="1" x14ac:dyDescent="0.3">
      <c r="A59" s="2"/>
      <c r="B59" s="65" t="str">
        <f ca="1">IF($AF59="","",INDEX(MUSTERILER!$B$7:$B$156,$AF59))</f>
        <v>M051</v>
      </c>
      <c r="C59" s="74" t="str">
        <f ca="1">IF($AF59="","",INDEX(MUSTERILER!$C$7:$C$156,$AF59))</f>
        <v>UFUK YILMAZ</v>
      </c>
      <c r="D59" s="68">
        <f ca="1">IF($B59="","",SUMIFS(UCRETLER!$G$7:$G$606,UCRETLER!$B$7:$B$606,$B59,UCRETLER!$F$7:$F$606,"Haftalık",UCRETLER!$H$7:$H$606,"Aktif"))</f>
        <v>0</v>
      </c>
      <c r="E59" s="68">
        <f ca="1">IF($B59="","",SUMIFS(UCRETLER!$G$7:$G$606,UCRETLER!$B$7:$B$606,$B59,UCRETLER!$F$7:$F$606,"Aylık",UCRETLER!$H$7:$H$606,"Aktif"))</f>
        <v>3000</v>
      </c>
      <c r="F59" s="68">
        <f ca="1">IF($B59="","",SUMIFS(MUSTERILER!$J$7:$J$156,MUSTERILER!$B$7:$B$156,$B59))</f>
        <v>0</v>
      </c>
      <c r="G59" s="68">
        <f ca="1">IF($B59="","",SUMIFS(UCRETLER!$I$7:$I$606,UCRETLER!$B$7:$B$606,$B59)+SUMIFS(GELIR_GIDER!$G$7:$G$3001,GELIR_GIDER!$T$7:$T$3001,$B59))</f>
        <v>21000</v>
      </c>
      <c r="H59" s="68">
        <f t="shared" ca="1" si="19"/>
        <v>21000</v>
      </c>
      <c r="I59" s="68">
        <f ca="1">IF($B59="","",SUMIFS(TAHSILAT!$F$7:$F$2503,TAHSILAT!$C$7:$C$2503,$B59))</f>
        <v>24000</v>
      </c>
      <c r="J59" s="68">
        <f t="shared" ca="1" si="20"/>
        <v>0</v>
      </c>
      <c r="K59" s="68">
        <f t="shared" ca="1" si="21"/>
        <v>0</v>
      </c>
      <c r="L59" s="68">
        <f t="shared" ca="1" si="22"/>
        <v>0</v>
      </c>
      <c r="M59" s="68">
        <f t="shared" ca="1" si="23"/>
        <v>0</v>
      </c>
      <c r="N59" s="68">
        <f t="shared" ca="1" si="24"/>
        <v>0</v>
      </c>
      <c r="O59" s="92">
        <f t="shared" ca="1" si="25"/>
        <v>1.1428571428571428</v>
      </c>
      <c r="P59" s="70">
        <f ca="1">IF($B59="","",IFERROR(LOOKUP(2,1/(TAHSILAT!$C$7:$C$2503=$B59),TAHSILAT!$E$7:$E$2503),""))</f>
        <v>46249</v>
      </c>
      <c r="Q59" s="65" t="str">
        <f t="shared" ca="1" si="26"/>
        <v>TEMİZ</v>
      </c>
      <c r="R59" s="74" t="str">
        <f t="shared" ca="1" si="27"/>
        <v>Aksiyon gerekmiyor</v>
      </c>
      <c r="S59" s="93">
        <f t="shared" ca="1" si="28"/>
        <v>0</v>
      </c>
      <c r="T59" s="70" t="str">
        <f ca="1">IF(OR($B59="",$AF59=""),"",IF(INDEX(MUSTERILER!$K$7:$K$156,$AF59)="","",INDEX(MUSTERILER!$K$7:$K$156,$AF59)))</f>
        <v/>
      </c>
      <c r="U59" s="93" t="str">
        <f t="shared" ca="1" si="29"/>
        <v/>
      </c>
      <c r="V59" s="68">
        <f t="shared" ca="1" si="30"/>
        <v>3000</v>
      </c>
      <c r="W59" s="65" t="str">
        <f t="shared" ca="1" si="31"/>
        <v>UYGUN</v>
      </c>
      <c r="X59" s="2">
        <f ca="1">IF($B59="",0,SUMIFS(UCRETLER!$J$7:$J$606,UCRETLER!$B$7:$B$606,$B59))</f>
        <v>21000</v>
      </c>
      <c r="Y59" s="2">
        <f ca="1">IF($B59="",0,SUMIFS(UCRETLER!$K$7:$K$606,UCRETLER!$B$7:$B$606,$B59))</f>
        <v>21000</v>
      </c>
      <c r="Z59" s="1">
        <f ca="1">IF($B59="",0,SUMIFS(UCRETLER!$L$7:$L$606,UCRETLER!$B$7:$B$606,$B59))</f>
        <v>18000</v>
      </c>
      <c r="AA59" s="1">
        <f t="shared" ca="1" si="32"/>
        <v>24000</v>
      </c>
      <c r="AB59" s="1">
        <f t="shared" ca="1" si="33"/>
        <v>0</v>
      </c>
      <c r="AC59" s="1">
        <f t="shared" ca="1" si="34"/>
        <v>0</v>
      </c>
      <c r="AD59" s="1">
        <f t="shared" ca="1" si="35"/>
        <v>0</v>
      </c>
      <c r="AE59" s="1">
        <f t="shared" ca="1" si="36"/>
        <v>0</v>
      </c>
      <c r="AF59" s="1">
        <f ca="1">IFERROR(MATCH(ROW()-6,MUSTERILER!$U$7:$U$156,0),"")</f>
        <v>49</v>
      </c>
      <c r="AG59" s="1">
        <f ca="1">IF($B59="",0,SUMIFS(GELIR_GIDER!$G$7:$G$3001,GELIR_GIDER!$T$7:$T$3001,$B59))</f>
        <v>0</v>
      </c>
    </row>
    <row r="60" spans="1:33" ht="18" customHeight="1" x14ac:dyDescent="0.3">
      <c r="A60" s="2"/>
      <c r="B60" s="65" t="str">
        <f ca="1">IF($AF60="","",INDEX(MUSTERILER!$B$7:$B$156,$AF60))</f>
        <v>M054</v>
      </c>
      <c r="C60" s="74" t="str">
        <f ca="1">IF($AF60="","",INDEX(MUSTERILER!$C$7:$C$156,$AF60))</f>
        <v>YALIKENT LTD.ŞTİ.</v>
      </c>
      <c r="D60" s="68">
        <f ca="1">IF($B60="","",SUMIFS(UCRETLER!$G$7:$G$606,UCRETLER!$B$7:$B$606,$B60,UCRETLER!$F$7:$F$606,"Haftalık",UCRETLER!$H$7:$H$606,"Aktif"))</f>
        <v>0</v>
      </c>
      <c r="E60" s="68">
        <f ca="1">IF($B60="","",SUMIFS(UCRETLER!$G$7:$G$606,UCRETLER!$B$7:$B$606,$B60,UCRETLER!$F$7:$F$606,"Aylık",UCRETLER!$H$7:$H$606,"Aktif"))</f>
        <v>0</v>
      </c>
      <c r="F60" s="68">
        <f ca="1">IF($B60="","",SUMIFS(MUSTERILER!$J$7:$J$156,MUSTERILER!$B$7:$B$156,$B60))</f>
        <v>0</v>
      </c>
      <c r="G60" s="68">
        <f ca="1">IF($B60="","",SUMIFS(UCRETLER!$I$7:$I$606,UCRETLER!$B$7:$B$606,$B60)+SUMIFS(GELIR_GIDER!$G$7:$G$3001,GELIR_GIDER!$T$7:$T$3001,$B60))</f>
        <v>104000</v>
      </c>
      <c r="H60" s="68">
        <f t="shared" ca="1" si="19"/>
        <v>104000</v>
      </c>
      <c r="I60" s="68">
        <f ca="1">IF($B60="","",SUMIFS(TAHSILAT!$F$7:$F$2503,TAHSILAT!$C$7:$C$2503,$B60))</f>
        <v>104000</v>
      </c>
      <c r="J60" s="68">
        <f t="shared" ca="1" si="20"/>
        <v>0</v>
      </c>
      <c r="K60" s="68">
        <f t="shared" ca="1" si="21"/>
        <v>0</v>
      </c>
      <c r="L60" s="68">
        <f t="shared" ca="1" si="22"/>
        <v>0</v>
      </c>
      <c r="M60" s="68">
        <f t="shared" ca="1" si="23"/>
        <v>0</v>
      </c>
      <c r="N60" s="68">
        <f t="shared" ca="1" si="24"/>
        <v>0</v>
      </c>
      <c r="O60" s="92">
        <f t="shared" ca="1" si="25"/>
        <v>1</v>
      </c>
      <c r="P60" s="70">
        <f ca="1">IF($B60="","",IFERROR(LOOKUP(2,1/(TAHSILAT!$C$7:$C$2503=$B60),TAHSILAT!$E$7:$E$2503),""))</f>
        <v>46235</v>
      </c>
      <c r="Q60" s="65" t="str">
        <f t="shared" ca="1" si="26"/>
        <v>TEMİZ</v>
      </c>
      <c r="R60" s="74" t="str">
        <f t="shared" ca="1" si="27"/>
        <v>Aksiyon gerekmiyor</v>
      </c>
      <c r="S60" s="93">
        <f t="shared" ca="1" si="28"/>
        <v>0</v>
      </c>
      <c r="T60" s="70" t="str">
        <f ca="1">IF(OR($B60="",$AF60=""),"",IF(INDEX(MUSTERILER!$K$7:$K$156,$AF60)="","",INDEX(MUSTERILER!$K$7:$K$156,$AF60)))</f>
        <v/>
      </c>
      <c r="U60" s="93" t="str">
        <f t="shared" ca="1" si="29"/>
        <v/>
      </c>
      <c r="V60" s="68">
        <f t="shared" ca="1" si="30"/>
        <v>0</v>
      </c>
      <c r="W60" s="65" t="str">
        <f t="shared" ca="1" si="31"/>
        <v>UYGUN</v>
      </c>
      <c r="X60" s="2">
        <f ca="1">IF($B60="",0,SUMIFS(UCRETLER!$J$7:$J$606,UCRETLER!$B$7:$B$606,$B60))</f>
        <v>104000</v>
      </c>
      <c r="Y60" s="2">
        <f ca="1">IF($B60="",0,SUMIFS(UCRETLER!$K$7:$K$606,UCRETLER!$B$7:$B$606,$B60))</f>
        <v>104000</v>
      </c>
      <c r="Z60" s="1">
        <f ca="1">IF($B60="",0,SUMIFS(UCRETLER!$L$7:$L$606,UCRETLER!$B$7:$B$606,$B60))</f>
        <v>104000</v>
      </c>
      <c r="AA60" s="1">
        <f t="shared" ca="1" si="32"/>
        <v>104000</v>
      </c>
      <c r="AB60" s="1">
        <f t="shared" ca="1" si="33"/>
        <v>0</v>
      </c>
      <c r="AC60" s="1">
        <f t="shared" ca="1" si="34"/>
        <v>0</v>
      </c>
      <c r="AD60" s="1">
        <f t="shared" ca="1" si="35"/>
        <v>0</v>
      </c>
      <c r="AE60" s="1">
        <f t="shared" ca="1" si="36"/>
        <v>0</v>
      </c>
      <c r="AF60" s="1">
        <f ca="1">IFERROR(MATCH(ROW()-6,MUSTERILER!$U$7:$U$156,0),"")</f>
        <v>52</v>
      </c>
      <c r="AG60" s="1">
        <f ca="1">IF($B60="",0,SUMIFS(GELIR_GIDER!$G$7:$G$3001,GELIR_GIDER!$T$7:$T$3001,$B60))</f>
        <v>0</v>
      </c>
    </row>
    <row r="61" spans="1:33" ht="18" customHeight="1" x14ac:dyDescent="0.3">
      <c r="A61" s="2"/>
      <c r="B61" s="65" t="str">
        <f ca="1">IF($AF61="","",INDEX(MUSTERILER!$B$7:$B$156,$AF61))</f>
        <v>M005</v>
      </c>
      <c r="C61" s="74" t="str">
        <f ca="1">IF($AF61="","",INDEX(MUSTERILER!$C$7:$C$156,$AF61))</f>
        <v>ZÜMRÜT GRUP LTD.ŞTİ.</v>
      </c>
      <c r="D61" s="68">
        <f ca="1">IF($B61="","",SUMIFS(UCRETLER!$G$7:$G$606,UCRETLER!$B$7:$B$606,$B61,UCRETLER!$F$7:$F$606,"Haftalık",UCRETLER!$H$7:$H$606,"Aktif"))</f>
        <v>1750</v>
      </c>
      <c r="E61" s="68">
        <f ca="1">IF($B61="","",SUMIFS(UCRETLER!$G$7:$G$606,UCRETLER!$B$7:$B$606,$B61,UCRETLER!$F$7:$F$606,"Aylık",UCRETLER!$H$7:$H$606,"Aktif"))</f>
        <v>0</v>
      </c>
      <c r="F61" s="68">
        <f ca="1">IF($B61="","",SUMIFS(MUSTERILER!$J$7:$J$156,MUSTERILER!$B$7:$B$156,$B61))</f>
        <v>0</v>
      </c>
      <c r="G61" s="68">
        <f ca="1">IF($B61="","",SUMIFS(UCRETLER!$I$7:$I$606,UCRETLER!$B$7:$B$606,$B61)+SUMIFS(GELIR_GIDER!$G$7:$G$3001,GELIR_GIDER!$T$7:$T$3001,$B61))</f>
        <v>59500</v>
      </c>
      <c r="H61" s="68">
        <f t="shared" ca="1" si="19"/>
        <v>59500</v>
      </c>
      <c r="I61" s="68">
        <f ca="1">IF($B61="","",SUMIFS(TAHSILAT!$F$7:$F$2503,TAHSILAT!$C$7:$C$2503,$B61))</f>
        <v>59500</v>
      </c>
      <c r="J61" s="68">
        <f t="shared" ca="1" si="20"/>
        <v>0</v>
      </c>
      <c r="K61" s="68">
        <f t="shared" ca="1" si="21"/>
        <v>0</v>
      </c>
      <c r="L61" s="68">
        <f t="shared" ca="1" si="22"/>
        <v>0</v>
      </c>
      <c r="M61" s="68">
        <f t="shared" ca="1" si="23"/>
        <v>0</v>
      </c>
      <c r="N61" s="68">
        <f t="shared" ca="1" si="24"/>
        <v>0</v>
      </c>
      <c r="O61" s="92">
        <f t="shared" ca="1" si="25"/>
        <v>1</v>
      </c>
      <c r="P61" s="70">
        <f ca="1">IF($B61="","",IFERROR(LOOKUP(2,1/(TAHSILAT!$C$7:$C$2503=$B61),TAHSILAT!$E$7:$E$2503),""))</f>
        <v>46256</v>
      </c>
      <c r="Q61" s="65" t="str">
        <f t="shared" ca="1" si="26"/>
        <v>TEMİZ</v>
      </c>
      <c r="R61" s="74" t="str">
        <f t="shared" ca="1" si="27"/>
        <v>Aksiyon gerekmiyor</v>
      </c>
      <c r="S61" s="93">
        <f t="shared" ca="1" si="28"/>
        <v>0</v>
      </c>
      <c r="T61" s="70" t="str">
        <f ca="1">IF(OR($B61="",$AF61=""),"",IF(INDEX(MUSTERILER!$K$7:$K$156,$AF61)="","",INDEX(MUSTERILER!$K$7:$K$156,$AF61)))</f>
        <v/>
      </c>
      <c r="U61" s="93" t="str">
        <f t="shared" ca="1" si="29"/>
        <v/>
      </c>
      <c r="V61" s="68">
        <f t="shared" ca="1" si="30"/>
        <v>0</v>
      </c>
      <c r="W61" s="65" t="str">
        <f t="shared" ca="1" si="31"/>
        <v>UYGUN</v>
      </c>
      <c r="X61" s="2">
        <f ca="1">IF($B61="",0,SUMIFS(UCRETLER!$J$7:$J$606,UCRETLER!$B$7:$B$606,$B61))</f>
        <v>57750</v>
      </c>
      <c r="Y61" s="2">
        <f ca="1">IF($B61="",0,SUMIFS(UCRETLER!$K$7:$K$606,UCRETLER!$B$7:$B$606,$B61))</f>
        <v>56000</v>
      </c>
      <c r="Z61" s="1">
        <f ca="1">IF($B61="",0,SUMIFS(UCRETLER!$L$7:$L$606,UCRETLER!$B$7:$B$606,$B61))</f>
        <v>52500</v>
      </c>
      <c r="AA61" s="1">
        <f t="shared" ca="1" si="32"/>
        <v>59500</v>
      </c>
      <c r="AB61" s="1">
        <f t="shared" ca="1" si="33"/>
        <v>0</v>
      </c>
      <c r="AC61" s="1">
        <f t="shared" ca="1" si="34"/>
        <v>0</v>
      </c>
      <c r="AD61" s="1">
        <f t="shared" ca="1" si="35"/>
        <v>0</v>
      </c>
      <c r="AE61" s="1">
        <f t="shared" ca="1" si="36"/>
        <v>0</v>
      </c>
      <c r="AF61" s="1">
        <f ca="1">IFERROR(MATCH(ROW()-6,MUSTERILER!$U$7:$U$156,0),"")</f>
        <v>55</v>
      </c>
      <c r="AG61" s="1">
        <f ca="1">IF($B61="",0,SUMIFS(GELIR_GIDER!$G$7:$G$3001,GELIR_GIDER!$T$7:$T$3001,$B61))</f>
        <v>0</v>
      </c>
    </row>
    <row r="62" spans="1:33" ht="18" customHeight="1" x14ac:dyDescent="0.3">
      <c r="A62" s="2"/>
      <c r="B62" s="65" t="str">
        <f ca="1">IF($AF62="","",INDEX(MUSTERILER!$B$7:$B$156,$AF62))</f>
        <v/>
      </c>
      <c r="C62" s="74" t="str">
        <f ca="1">IF($AF62="","",INDEX(MUSTERILER!$C$7:$C$156,$AF62))</f>
        <v/>
      </c>
      <c r="D62" s="68" t="str">
        <f ca="1">IF($B62="","",SUMIFS(UCRETLER!$G$7:$G$606,UCRETLER!$B$7:$B$606,$B62,UCRETLER!$F$7:$F$606,"Haftalık",UCRETLER!$H$7:$H$606,"Aktif"))</f>
        <v/>
      </c>
      <c r="E62" s="68" t="str">
        <f ca="1">IF($B62="","",SUMIFS(UCRETLER!$G$7:$G$606,UCRETLER!$B$7:$B$606,$B62,UCRETLER!$F$7:$F$606,"Aylık",UCRETLER!$H$7:$H$606,"Aktif"))</f>
        <v/>
      </c>
      <c r="F62" s="68" t="str">
        <f ca="1">IF($B62="","",SUMIFS(MUSTERILER!$J$7:$J$156,MUSTERILER!$B$7:$B$156,$B62))</f>
        <v/>
      </c>
      <c r="G62" s="68" t="str">
        <f ca="1">IF($B62="","",SUMIFS(UCRETLER!$I$7:$I$606,UCRETLER!$B$7:$B$606,$B62)+SUMIFS(GELIR_GIDER!$G$7:$G$3001,GELIR_GIDER!$T$7:$T$3001,$B62))</f>
        <v/>
      </c>
      <c r="H62" s="68" t="str">
        <f t="shared" ca="1" si="19"/>
        <v/>
      </c>
      <c r="I62" s="68" t="str">
        <f ca="1">IF($B62="","",SUMIFS(TAHSILAT!$F$7:$F$2503,TAHSILAT!$C$7:$C$2503,$B62))</f>
        <v/>
      </c>
      <c r="J62" s="68" t="str">
        <f t="shared" ca="1" si="20"/>
        <v/>
      </c>
      <c r="K62" s="68" t="str">
        <f t="shared" ca="1" si="21"/>
        <v/>
      </c>
      <c r="L62" s="68" t="str">
        <f t="shared" ca="1" si="22"/>
        <v/>
      </c>
      <c r="M62" s="68" t="str">
        <f t="shared" ca="1" si="23"/>
        <v/>
      </c>
      <c r="N62" s="68" t="str">
        <f t="shared" ca="1" si="24"/>
        <v/>
      </c>
      <c r="O62" s="92" t="str">
        <f t="shared" ca="1" si="25"/>
        <v/>
      </c>
      <c r="P62" s="70" t="str">
        <f ca="1">IF($B62="","",IFERROR(LOOKUP(2,1/(TAHSILAT!$C$7:$C$2503=$B62),TAHSILAT!$E$7:$E$2503),""))</f>
        <v/>
      </c>
      <c r="Q62" s="65" t="str">
        <f t="shared" ca="1" si="26"/>
        <v/>
      </c>
      <c r="R62" s="74" t="str">
        <f t="shared" ca="1" si="27"/>
        <v/>
      </c>
      <c r="S62" s="93" t="str">
        <f t="shared" ca="1" si="28"/>
        <v/>
      </c>
      <c r="T62" s="70" t="str">
        <f ca="1">IF(OR($B62="",$AF62=""),"",IF(INDEX(MUSTERILER!$K$7:$K$156,$AF62)="","",INDEX(MUSTERILER!$K$7:$K$156,$AF62)))</f>
        <v/>
      </c>
      <c r="U62" s="93" t="str">
        <f t="shared" ca="1" si="29"/>
        <v/>
      </c>
      <c r="V62" s="68" t="str">
        <f t="shared" ca="1" si="30"/>
        <v/>
      </c>
      <c r="W62" s="65" t="str">
        <f t="shared" ca="1" si="31"/>
        <v/>
      </c>
      <c r="X62" s="2">
        <f ca="1">IF($B62="",0,SUMIFS(UCRETLER!$J$7:$J$606,UCRETLER!$B$7:$B$606,$B62))</f>
        <v>0</v>
      </c>
      <c r="Y62" s="2">
        <f ca="1">IF($B62="",0,SUMIFS(UCRETLER!$K$7:$K$606,UCRETLER!$B$7:$B$606,$B62))</f>
        <v>0</v>
      </c>
      <c r="Z62" s="1">
        <f ca="1">IF($B62="",0,SUMIFS(UCRETLER!$L$7:$L$606,UCRETLER!$B$7:$B$606,$B62))</f>
        <v>0</v>
      </c>
      <c r="AA62" s="1">
        <f t="shared" ca="1" si="32"/>
        <v>0</v>
      </c>
      <c r="AB62" s="1">
        <f t="shared" ca="1" si="33"/>
        <v>0</v>
      </c>
      <c r="AC62" s="1">
        <f t="shared" ca="1" si="34"/>
        <v>0</v>
      </c>
      <c r="AD62" s="1">
        <f t="shared" ca="1" si="35"/>
        <v>0</v>
      </c>
      <c r="AE62" s="1">
        <f t="shared" ca="1" si="36"/>
        <v>0</v>
      </c>
      <c r="AF62" s="1" t="str">
        <f ca="1">IFERROR(MATCH(ROW()-6,MUSTERILER!$U$7:$U$156,0),"")</f>
        <v/>
      </c>
      <c r="AG62" s="1">
        <f ca="1">IF($B62="",0,SUMIFS(GELIR_GIDER!$G$7:$G$3001,GELIR_GIDER!$T$7:$T$3001,$B62))</f>
        <v>0</v>
      </c>
    </row>
    <row r="63" spans="1:33" ht="18" customHeight="1" x14ac:dyDescent="0.3">
      <c r="A63" s="2"/>
      <c r="B63" s="65" t="str">
        <f ca="1">IF($AF63="","",INDEX(MUSTERILER!$B$7:$B$156,$AF63))</f>
        <v/>
      </c>
      <c r="C63" s="74" t="str">
        <f ca="1">IF($AF63="","",INDEX(MUSTERILER!$C$7:$C$156,$AF63))</f>
        <v/>
      </c>
      <c r="D63" s="68" t="str">
        <f ca="1">IF($B63="","",SUMIFS(UCRETLER!$G$7:$G$606,UCRETLER!$B$7:$B$606,$B63,UCRETLER!$F$7:$F$606,"Haftalık",UCRETLER!$H$7:$H$606,"Aktif"))</f>
        <v/>
      </c>
      <c r="E63" s="68" t="str">
        <f ca="1">IF($B63="","",SUMIFS(UCRETLER!$G$7:$G$606,UCRETLER!$B$7:$B$606,$B63,UCRETLER!$F$7:$F$606,"Aylık",UCRETLER!$H$7:$H$606,"Aktif"))</f>
        <v/>
      </c>
      <c r="F63" s="68" t="str">
        <f ca="1">IF($B63="","",SUMIFS(MUSTERILER!$J$7:$J$156,MUSTERILER!$B$7:$B$156,$B63))</f>
        <v/>
      </c>
      <c r="G63" s="68" t="str">
        <f ca="1">IF($B63="","",SUMIFS(UCRETLER!$I$7:$I$606,UCRETLER!$B$7:$B$606,$B63)+SUMIFS(GELIR_GIDER!$G$7:$G$3001,GELIR_GIDER!$T$7:$T$3001,$B63))</f>
        <v/>
      </c>
      <c r="H63" s="68" t="str">
        <f t="shared" ca="1" si="19"/>
        <v/>
      </c>
      <c r="I63" s="68" t="str">
        <f ca="1">IF($B63="","",SUMIFS(TAHSILAT!$F$7:$F$2503,TAHSILAT!$C$7:$C$2503,$B63))</f>
        <v/>
      </c>
      <c r="J63" s="68" t="str">
        <f t="shared" ca="1" si="20"/>
        <v/>
      </c>
      <c r="K63" s="68" t="str">
        <f t="shared" ca="1" si="21"/>
        <v/>
      </c>
      <c r="L63" s="68" t="str">
        <f t="shared" ca="1" si="22"/>
        <v/>
      </c>
      <c r="M63" s="68" t="str">
        <f t="shared" ca="1" si="23"/>
        <v/>
      </c>
      <c r="N63" s="68" t="str">
        <f t="shared" ca="1" si="24"/>
        <v/>
      </c>
      <c r="O63" s="92" t="str">
        <f t="shared" ca="1" si="25"/>
        <v/>
      </c>
      <c r="P63" s="70" t="str">
        <f ca="1">IF($B63="","",IFERROR(LOOKUP(2,1/(TAHSILAT!$C$7:$C$2503=$B63),TAHSILAT!$E$7:$E$2503),""))</f>
        <v/>
      </c>
      <c r="Q63" s="65" t="str">
        <f t="shared" ca="1" si="26"/>
        <v/>
      </c>
      <c r="R63" s="74" t="str">
        <f t="shared" ca="1" si="27"/>
        <v/>
      </c>
      <c r="S63" s="93" t="str">
        <f t="shared" ca="1" si="28"/>
        <v/>
      </c>
      <c r="T63" s="70" t="str">
        <f ca="1">IF(OR($B63="",$AF63=""),"",IF(INDEX(MUSTERILER!$K$7:$K$156,$AF63)="","",INDEX(MUSTERILER!$K$7:$K$156,$AF63)))</f>
        <v/>
      </c>
      <c r="U63" s="93" t="str">
        <f t="shared" ca="1" si="29"/>
        <v/>
      </c>
      <c r="V63" s="68" t="str">
        <f t="shared" ca="1" si="30"/>
        <v/>
      </c>
      <c r="W63" s="65" t="str">
        <f t="shared" ca="1" si="31"/>
        <v/>
      </c>
      <c r="X63" s="2">
        <f ca="1">IF($B63="",0,SUMIFS(UCRETLER!$J$7:$J$606,UCRETLER!$B$7:$B$606,$B63))</f>
        <v>0</v>
      </c>
      <c r="Y63" s="2">
        <f ca="1">IF($B63="",0,SUMIFS(UCRETLER!$K$7:$K$606,UCRETLER!$B$7:$B$606,$B63))</f>
        <v>0</v>
      </c>
      <c r="Z63" s="1">
        <f ca="1">IF($B63="",0,SUMIFS(UCRETLER!$L$7:$L$606,UCRETLER!$B$7:$B$606,$B63))</f>
        <v>0</v>
      </c>
      <c r="AA63" s="1">
        <f t="shared" ca="1" si="32"/>
        <v>0</v>
      </c>
      <c r="AB63" s="1">
        <f t="shared" ca="1" si="33"/>
        <v>0</v>
      </c>
      <c r="AC63" s="1">
        <f t="shared" ca="1" si="34"/>
        <v>0</v>
      </c>
      <c r="AD63" s="1">
        <f t="shared" ca="1" si="35"/>
        <v>0</v>
      </c>
      <c r="AE63" s="1">
        <f t="shared" ca="1" si="36"/>
        <v>0</v>
      </c>
      <c r="AF63" s="1" t="str">
        <f ca="1">IFERROR(MATCH(ROW()-6,MUSTERILER!$U$7:$U$156,0),"")</f>
        <v/>
      </c>
      <c r="AG63" s="1">
        <f ca="1">IF($B63="",0,SUMIFS(GELIR_GIDER!$G$7:$G$3001,GELIR_GIDER!$T$7:$T$3001,$B63))</f>
        <v>0</v>
      </c>
    </row>
    <row r="64" spans="1:33" ht="18" customHeight="1" x14ac:dyDescent="0.3">
      <c r="A64" s="2"/>
      <c r="B64" s="65" t="str">
        <f ca="1">IF($AF64="","",INDEX(MUSTERILER!$B$7:$B$156,$AF64))</f>
        <v/>
      </c>
      <c r="C64" s="74" t="str">
        <f ca="1">IF($AF64="","",INDEX(MUSTERILER!$C$7:$C$156,$AF64))</f>
        <v/>
      </c>
      <c r="D64" s="68" t="str">
        <f ca="1">IF($B64="","",SUMIFS(UCRETLER!$G$7:$G$606,UCRETLER!$B$7:$B$606,$B64,UCRETLER!$F$7:$F$606,"Haftalık",UCRETLER!$H$7:$H$606,"Aktif"))</f>
        <v/>
      </c>
      <c r="E64" s="68" t="str">
        <f ca="1">IF($B64="","",SUMIFS(UCRETLER!$G$7:$G$606,UCRETLER!$B$7:$B$606,$B64,UCRETLER!$F$7:$F$606,"Aylık",UCRETLER!$H$7:$H$606,"Aktif"))</f>
        <v/>
      </c>
      <c r="F64" s="68" t="str">
        <f ca="1">IF($B64="","",SUMIFS(MUSTERILER!$J$7:$J$156,MUSTERILER!$B$7:$B$156,$B64))</f>
        <v/>
      </c>
      <c r="G64" s="68" t="str">
        <f ca="1">IF($B64="","",SUMIFS(UCRETLER!$I$7:$I$606,UCRETLER!$B$7:$B$606,$B64)+SUMIFS(GELIR_GIDER!$G$7:$G$3001,GELIR_GIDER!$T$7:$T$3001,$B64))</f>
        <v/>
      </c>
      <c r="H64" s="68" t="str">
        <f t="shared" ca="1" si="19"/>
        <v/>
      </c>
      <c r="I64" s="68" t="str">
        <f ca="1">IF($B64="","",SUMIFS(TAHSILAT!$F$7:$F$2503,TAHSILAT!$C$7:$C$2503,$B64))</f>
        <v/>
      </c>
      <c r="J64" s="68" t="str">
        <f t="shared" ca="1" si="20"/>
        <v/>
      </c>
      <c r="K64" s="68" t="str">
        <f t="shared" ca="1" si="21"/>
        <v/>
      </c>
      <c r="L64" s="68" t="str">
        <f t="shared" ca="1" si="22"/>
        <v/>
      </c>
      <c r="M64" s="68" t="str">
        <f t="shared" ca="1" si="23"/>
        <v/>
      </c>
      <c r="N64" s="68" t="str">
        <f t="shared" ca="1" si="24"/>
        <v/>
      </c>
      <c r="O64" s="92" t="str">
        <f t="shared" ca="1" si="25"/>
        <v/>
      </c>
      <c r="P64" s="70" t="str">
        <f ca="1">IF($B64="","",IFERROR(LOOKUP(2,1/(TAHSILAT!$C$7:$C$2503=$B64),TAHSILAT!$E$7:$E$2503),""))</f>
        <v/>
      </c>
      <c r="Q64" s="65" t="str">
        <f t="shared" ca="1" si="26"/>
        <v/>
      </c>
      <c r="R64" s="74" t="str">
        <f t="shared" ca="1" si="27"/>
        <v/>
      </c>
      <c r="S64" s="93" t="str">
        <f t="shared" ca="1" si="28"/>
        <v/>
      </c>
      <c r="T64" s="70" t="str">
        <f ca="1">IF(OR($B64="",$AF64=""),"",IF(INDEX(MUSTERILER!$K$7:$K$156,$AF64)="","",INDEX(MUSTERILER!$K$7:$K$156,$AF64)))</f>
        <v/>
      </c>
      <c r="U64" s="93" t="str">
        <f t="shared" ca="1" si="29"/>
        <v/>
      </c>
      <c r="V64" s="68" t="str">
        <f t="shared" ca="1" si="30"/>
        <v/>
      </c>
      <c r="W64" s="65" t="str">
        <f t="shared" ca="1" si="31"/>
        <v/>
      </c>
      <c r="X64" s="2">
        <f ca="1">IF($B64="",0,SUMIFS(UCRETLER!$J$7:$J$606,UCRETLER!$B$7:$B$606,$B64))</f>
        <v>0</v>
      </c>
      <c r="Y64" s="2">
        <f ca="1">IF($B64="",0,SUMIFS(UCRETLER!$K$7:$K$606,UCRETLER!$B$7:$B$606,$B64))</f>
        <v>0</v>
      </c>
      <c r="Z64" s="1">
        <f ca="1">IF($B64="",0,SUMIFS(UCRETLER!$L$7:$L$606,UCRETLER!$B$7:$B$606,$B64))</f>
        <v>0</v>
      </c>
      <c r="AA64" s="1">
        <f t="shared" ca="1" si="32"/>
        <v>0</v>
      </c>
      <c r="AB64" s="1">
        <f t="shared" ca="1" si="33"/>
        <v>0</v>
      </c>
      <c r="AC64" s="1">
        <f t="shared" ca="1" si="34"/>
        <v>0</v>
      </c>
      <c r="AD64" s="1">
        <f t="shared" ca="1" si="35"/>
        <v>0</v>
      </c>
      <c r="AE64" s="1">
        <f t="shared" ca="1" si="36"/>
        <v>0</v>
      </c>
      <c r="AF64" s="1" t="str">
        <f ca="1">IFERROR(MATCH(ROW()-6,MUSTERILER!$U$7:$U$156,0),"")</f>
        <v/>
      </c>
      <c r="AG64" s="1">
        <f ca="1">IF($B64="",0,SUMIFS(GELIR_GIDER!$G$7:$G$3001,GELIR_GIDER!$T$7:$T$3001,$B64))</f>
        <v>0</v>
      </c>
    </row>
    <row r="65" spans="1:33" ht="18" customHeight="1" x14ac:dyDescent="0.3">
      <c r="A65" s="2"/>
      <c r="B65" s="65" t="str">
        <f ca="1">IF($AF65="","",INDEX(MUSTERILER!$B$7:$B$156,$AF65))</f>
        <v/>
      </c>
      <c r="C65" s="74" t="str">
        <f ca="1">IF($AF65="","",INDEX(MUSTERILER!$C$7:$C$156,$AF65))</f>
        <v/>
      </c>
      <c r="D65" s="68" t="str">
        <f ca="1">IF($B65="","",SUMIFS(UCRETLER!$G$7:$G$606,UCRETLER!$B$7:$B$606,$B65,UCRETLER!$F$7:$F$606,"Haftalık",UCRETLER!$H$7:$H$606,"Aktif"))</f>
        <v/>
      </c>
      <c r="E65" s="68" t="str">
        <f ca="1">IF($B65="","",SUMIFS(UCRETLER!$G$7:$G$606,UCRETLER!$B$7:$B$606,$B65,UCRETLER!$F$7:$F$606,"Aylık",UCRETLER!$H$7:$H$606,"Aktif"))</f>
        <v/>
      </c>
      <c r="F65" s="68" t="str">
        <f ca="1">IF($B65="","",SUMIFS(MUSTERILER!$J$7:$J$156,MUSTERILER!$B$7:$B$156,$B65))</f>
        <v/>
      </c>
      <c r="G65" s="68" t="str">
        <f ca="1">IF($B65="","",SUMIFS(UCRETLER!$I$7:$I$606,UCRETLER!$B$7:$B$606,$B65)+SUMIFS(GELIR_GIDER!$G$7:$G$3001,GELIR_GIDER!$T$7:$T$3001,$B65))</f>
        <v/>
      </c>
      <c r="H65" s="68" t="str">
        <f t="shared" ca="1" si="19"/>
        <v/>
      </c>
      <c r="I65" s="68" t="str">
        <f ca="1">IF($B65="","",SUMIFS(TAHSILAT!$F$7:$F$2503,TAHSILAT!$C$7:$C$2503,$B65))</f>
        <v/>
      </c>
      <c r="J65" s="68" t="str">
        <f t="shared" ca="1" si="20"/>
        <v/>
      </c>
      <c r="K65" s="68" t="str">
        <f t="shared" ca="1" si="21"/>
        <v/>
      </c>
      <c r="L65" s="68" t="str">
        <f t="shared" ca="1" si="22"/>
        <v/>
      </c>
      <c r="M65" s="68" t="str">
        <f t="shared" ca="1" si="23"/>
        <v/>
      </c>
      <c r="N65" s="68" t="str">
        <f t="shared" ca="1" si="24"/>
        <v/>
      </c>
      <c r="O65" s="92" t="str">
        <f t="shared" ca="1" si="25"/>
        <v/>
      </c>
      <c r="P65" s="70" t="str">
        <f ca="1">IF($B65="","",IFERROR(LOOKUP(2,1/(TAHSILAT!$C$7:$C$2503=$B65),TAHSILAT!$E$7:$E$2503),""))</f>
        <v/>
      </c>
      <c r="Q65" s="65" t="str">
        <f t="shared" ca="1" si="26"/>
        <v/>
      </c>
      <c r="R65" s="74" t="str">
        <f t="shared" ca="1" si="27"/>
        <v/>
      </c>
      <c r="S65" s="93" t="str">
        <f t="shared" ca="1" si="28"/>
        <v/>
      </c>
      <c r="T65" s="70" t="str">
        <f ca="1">IF(OR($B65="",$AF65=""),"",IF(INDEX(MUSTERILER!$K$7:$K$156,$AF65)="","",INDEX(MUSTERILER!$K$7:$K$156,$AF65)))</f>
        <v/>
      </c>
      <c r="U65" s="93" t="str">
        <f t="shared" ca="1" si="29"/>
        <v/>
      </c>
      <c r="V65" s="68" t="str">
        <f t="shared" ca="1" si="30"/>
        <v/>
      </c>
      <c r="W65" s="65" t="str">
        <f t="shared" ca="1" si="31"/>
        <v/>
      </c>
      <c r="X65" s="2">
        <f ca="1">IF($B65="",0,SUMIFS(UCRETLER!$J$7:$J$606,UCRETLER!$B$7:$B$606,$B65))</f>
        <v>0</v>
      </c>
      <c r="Y65" s="2">
        <f ca="1">IF($B65="",0,SUMIFS(UCRETLER!$K$7:$K$606,UCRETLER!$B$7:$B$606,$B65))</f>
        <v>0</v>
      </c>
      <c r="Z65" s="1">
        <f ca="1">IF($B65="",0,SUMIFS(UCRETLER!$L$7:$L$606,UCRETLER!$B$7:$B$606,$B65))</f>
        <v>0</v>
      </c>
      <c r="AA65" s="1">
        <f t="shared" ca="1" si="32"/>
        <v>0</v>
      </c>
      <c r="AB65" s="1">
        <f t="shared" ca="1" si="33"/>
        <v>0</v>
      </c>
      <c r="AC65" s="1">
        <f t="shared" ca="1" si="34"/>
        <v>0</v>
      </c>
      <c r="AD65" s="1">
        <f t="shared" ca="1" si="35"/>
        <v>0</v>
      </c>
      <c r="AE65" s="1">
        <f t="shared" ca="1" si="36"/>
        <v>0</v>
      </c>
      <c r="AF65" s="1" t="str">
        <f ca="1">IFERROR(MATCH(ROW()-6,MUSTERILER!$U$7:$U$156,0),"")</f>
        <v/>
      </c>
      <c r="AG65" s="1">
        <f ca="1">IF($B65="",0,SUMIFS(GELIR_GIDER!$G$7:$G$3001,GELIR_GIDER!$T$7:$T$3001,$B65))</f>
        <v>0</v>
      </c>
    </row>
    <row r="66" spans="1:33" ht="18" customHeight="1" x14ac:dyDescent="0.3">
      <c r="A66" s="2"/>
      <c r="B66" s="65" t="str">
        <f ca="1">IF($AF66="","",INDEX(MUSTERILER!$B$7:$B$156,$AF66))</f>
        <v/>
      </c>
      <c r="C66" s="74" t="str">
        <f ca="1">IF($AF66="","",INDEX(MUSTERILER!$C$7:$C$156,$AF66))</f>
        <v/>
      </c>
      <c r="D66" s="68" t="str">
        <f ca="1">IF($B66="","",SUMIFS(UCRETLER!$G$7:$G$606,UCRETLER!$B$7:$B$606,$B66,UCRETLER!$F$7:$F$606,"Haftalık",UCRETLER!$H$7:$H$606,"Aktif"))</f>
        <v/>
      </c>
      <c r="E66" s="68" t="str">
        <f ca="1">IF($B66="","",SUMIFS(UCRETLER!$G$7:$G$606,UCRETLER!$B$7:$B$606,$B66,UCRETLER!$F$7:$F$606,"Aylık",UCRETLER!$H$7:$H$606,"Aktif"))</f>
        <v/>
      </c>
      <c r="F66" s="68" t="str">
        <f ca="1">IF($B66="","",SUMIFS(MUSTERILER!$J$7:$J$156,MUSTERILER!$B$7:$B$156,$B66))</f>
        <v/>
      </c>
      <c r="G66" s="68" t="str">
        <f ca="1">IF($B66="","",SUMIFS(UCRETLER!$I$7:$I$606,UCRETLER!$B$7:$B$606,$B66)+SUMIFS(GELIR_GIDER!$G$7:$G$3001,GELIR_GIDER!$T$7:$T$3001,$B66))</f>
        <v/>
      </c>
      <c r="H66" s="68" t="str">
        <f t="shared" ca="1" si="19"/>
        <v/>
      </c>
      <c r="I66" s="68" t="str">
        <f ca="1">IF($B66="","",SUMIFS(TAHSILAT!$F$7:$F$2503,TAHSILAT!$C$7:$C$2503,$B66))</f>
        <v/>
      </c>
      <c r="J66" s="68" t="str">
        <f t="shared" ca="1" si="20"/>
        <v/>
      </c>
      <c r="K66" s="68" t="str">
        <f t="shared" ca="1" si="21"/>
        <v/>
      </c>
      <c r="L66" s="68" t="str">
        <f t="shared" ca="1" si="22"/>
        <v/>
      </c>
      <c r="M66" s="68" t="str">
        <f t="shared" ca="1" si="23"/>
        <v/>
      </c>
      <c r="N66" s="68" t="str">
        <f t="shared" ca="1" si="24"/>
        <v/>
      </c>
      <c r="O66" s="92" t="str">
        <f t="shared" ca="1" si="25"/>
        <v/>
      </c>
      <c r="P66" s="70" t="str">
        <f ca="1">IF($B66="","",IFERROR(LOOKUP(2,1/(TAHSILAT!$C$7:$C$2503=$B66),TAHSILAT!$E$7:$E$2503),""))</f>
        <v/>
      </c>
      <c r="Q66" s="65" t="str">
        <f t="shared" ca="1" si="26"/>
        <v/>
      </c>
      <c r="R66" s="74" t="str">
        <f t="shared" ca="1" si="27"/>
        <v/>
      </c>
      <c r="S66" s="93" t="str">
        <f t="shared" ca="1" si="28"/>
        <v/>
      </c>
      <c r="T66" s="70" t="str">
        <f ca="1">IF(OR($B66="",$AF66=""),"",IF(INDEX(MUSTERILER!$K$7:$K$156,$AF66)="","",INDEX(MUSTERILER!$K$7:$K$156,$AF66)))</f>
        <v/>
      </c>
      <c r="U66" s="93" t="str">
        <f t="shared" ca="1" si="29"/>
        <v/>
      </c>
      <c r="V66" s="68" t="str">
        <f t="shared" ca="1" si="30"/>
        <v/>
      </c>
      <c r="W66" s="65" t="str">
        <f t="shared" ca="1" si="31"/>
        <v/>
      </c>
      <c r="X66" s="2">
        <f ca="1">IF($B66="",0,SUMIFS(UCRETLER!$J$7:$J$606,UCRETLER!$B$7:$B$606,$B66))</f>
        <v>0</v>
      </c>
      <c r="Y66" s="2">
        <f ca="1">IF($B66="",0,SUMIFS(UCRETLER!$K$7:$K$606,UCRETLER!$B$7:$B$606,$B66))</f>
        <v>0</v>
      </c>
      <c r="Z66" s="1">
        <f ca="1">IF($B66="",0,SUMIFS(UCRETLER!$L$7:$L$606,UCRETLER!$B$7:$B$606,$B66))</f>
        <v>0</v>
      </c>
      <c r="AA66" s="1">
        <f t="shared" ca="1" si="32"/>
        <v>0</v>
      </c>
      <c r="AB66" s="1">
        <f t="shared" ca="1" si="33"/>
        <v>0</v>
      </c>
      <c r="AC66" s="1">
        <f t="shared" ca="1" si="34"/>
        <v>0</v>
      </c>
      <c r="AD66" s="1">
        <f t="shared" ca="1" si="35"/>
        <v>0</v>
      </c>
      <c r="AE66" s="1">
        <f t="shared" ca="1" si="36"/>
        <v>0</v>
      </c>
      <c r="AF66" s="1" t="str">
        <f ca="1">IFERROR(MATCH(ROW()-6,MUSTERILER!$U$7:$U$156,0),"")</f>
        <v/>
      </c>
      <c r="AG66" s="1">
        <f ca="1">IF($B66="",0,SUMIFS(GELIR_GIDER!$G$7:$G$3001,GELIR_GIDER!$T$7:$T$3001,$B66))</f>
        <v>0</v>
      </c>
    </row>
    <row r="67" spans="1:33" ht="18" customHeight="1" x14ac:dyDescent="0.3">
      <c r="A67" s="2"/>
      <c r="B67" s="65" t="str">
        <f ca="1">IF($AF67="","",INDEX(MUSTERILER!$B$7:$B$156,$AF67))</f>
        <v/>
      </c>
      <c r="C67" s="74" t="str">
        <f ca="1">IF($AF67="","",INDEX(MUSTERILER!$C$7:$C$156,$AF67))</f>
        <v/>
      </c>
      <c r="D67" s="68" t="str">
        <f ca="1">IF($B67="","",SUMIFS(UCRETLER!$G$7:$G$606,UCRETLER!$B$7:$B$606,$B67,UCRETLER!$F$7:$F$606,"Haftalık",UCRETLER!$H$7:$H$606,"Aktif"))</f>
        <v/>
      </c>
      <c r="E67" s="68" t="str">
        <f ca="1">IF($B67="","",SUMIFS(UCRETLER!$G$7:$G$606,UCRETLER!$B$7:$B$606,$B67,UCRETLER!$F$7:$F$606,"Aylık",UCRETLER!$H$7:$H$606,"Aktif"))</f>
        <v/>
      </c>
      <c r="F67" s="68" t="str">
        <f ca="1">IF($B67="","",SUMIFS(MUSTERILER!$J$7:$J$156,MUSTERILER!$B$7:$B$156,$B67))</f>
        <v/>
      </c>
      <c r="G67" s="68" t="str">
        <f ca="1">IF($B67="","",SUMIFS(UCRETLER!$I$7:$I$606,UCRETLER!$B$7:$B$606,$B67)+SUMIFS(GELIR_GIDER!$G$7:$G$3001,GELIR_GIDER!$T$7:$T$3001,$B67))</f>
        <v/>
      </c>
      <c r="H67" s="68" t="str">
        <f t="shared" ca="1" si="19"/>
        <v/>
      </c>
      <c r="I67" s="68" t="str">
        <f ca="1">IF($B67="","",SUMIFS(TAHSILAT!$F$7:$F$2503,TAHSILAT!$C$7:$C$2503,$B67))</f>
        <v/>
      </c>
      <c r="J67" s="68" t="str">
        <f t="shared" ca="1" si="20"/>
        <v/>
      </c>
      <c r="K67" s="68" t="str">
        <f t="shared" ca="1" si="21"/>
        <v/>
      </c>
      <c r="L67" s="68" t="str">
        <f t="shared" ca="1" si="22"/>
        <v/>
      </c>
      <c r="M67" s="68" t="str">
        <f t="shared" ca="1" si="23"/>
        <v/>
      </c>
      <c r="N67" s="68" t="str">
        <f t="shared" ca="1" si="24"/>
        <v/>
      </c>
      <c r="O67" s="92" t="str">
        <f t="shared" ca="1" si="25"/>
        <v/>
      </c>
      <c r="P67" s="70" t="str">
        <f ca="1">IF($B67="","",IFERROR(LOOKUP(2,1/(TAHSILAT!$C$7:$C$2503=$B67),TAHSILAT!$E$7:$E$2503),""))</f>
        <v/>
      </c>
      <c r="Q67" s="65" t="str">
        <f t="shared" ca="1" si="26"/>
        <v/>
      </c>
      <c r="R67" s="74" t="str">
        <f t="shared" ca="1" si="27"/>
        <v/>
      </c>
      <c r="S67" s="93" t="str">
        <f t="shared" ca="1" si="28"/>
        <v/>
      </c>
      <c r="T67" s="70" t="str">
        <f ca="1">IF(OR($B67="",$AF67=""),"",IF(INDEX(MUSTERILER!$K$7:$K$156,$AF67)="","",INDEX(MUSTERILER!$K$7:$K$156,$AF67)))</f>
        <v/>
      </c>
      <c r="U67" s="93" t="str">
        <f t="shared" ca="1" si="29"/>
        <v/>
      </c>
      <c r="V67" s="68" t="str">
        <f t="shared" ca="1" si="30"/>
        <v/>
      </c>
      <c r="W67" s="65" t="str">
        <f t="shared" ca="1" si="31"/>
        <v/>
      </c>
      <c r="X67" s="2">
        <f ca="1">IF($B67="",0,SUMIFS(UCRETLER!$J$7:$J$606,UCRETLER!$B$7:$B$606,$B67))</f>
        <v>0</v>
      </c>
      <c r="Y67" s="2">
        <f ca="1">IF($B67="",0,SUMIFS(UCRETLER!$K$7:$K$606,UCRETLER!$B$7:$B$606,$B67))</f>
        <v>0</v>
      </c>
      <c r="Z67" s="1">
        <f ca="1">IF($B67="",0,SUMIFS(UCRETLER!$L$7:$L$606,UCRETLER!$B$7:$B$606,$B67))</f>
        <v>0</v>
      </c>
      <c r="AA67" s="1">
        <f t="shared" ca="1" si="32"/>
        <v>0</v>
      </c>
      <c r="AB67" s="1">
        <f t="shared" ca="1" si="33"/>
        <v>0</v>
      </c>
      <c r="AC67" s="1">
        <f t="shared" ca="1" si="34"/>
        <v>0</v>
      </c>
      <c r="AD67" s="1">
        <f t="shared" ca="1" si="35"/>
        <v>0</v>
      </c>
      <c r="AE67" s="1">
        <f t="shared" ca="1" si="36"/>
        <v>0</v>
      </c>
      <c r="AF67" s="1" t="str">
        <f ca="1">IFERROR(MATCH(ROW()-6,MUSTERILER!$U$7:$U$156,0),"")</f>
        <v/>
      </c>
      <c r="AG67" s="1">
        <f ca="1">IF($B67="",0,SUMIFS(GELIR_GIDER!$G$7:$G$3001,GELIR_GIDER!$T$7:$T$3001,$B67))</f>
        <v>0</v>
      </c>
    </row>
    <row r="68" spans="1:33" ht="18" customHeight="1" x14ac:dyDescent="0.3">
      <c r="A68" s="2"/>
      <c r="B68" s="65" t="str">
        <f ca="1">IF($AF68="","",INDEX(MUSTERILER!$B$7:$B$156,$AF68))</f>
        <v/>
      </c>
      <c r="C68" s="74" t="str">
        <f ca="1">IF($AF68="","",INDEX(MUSTERILER!$C$7:$C$156,$AF68))</f>
        <v/>
      </c>
      <c r="D68" s="68" t="str">
        <f ca="1">IF($B68="","",SUMIFS(UCRETLER!$G$7:$G$606,UCRETLER!$B$7:$B$606,$B68,UCRETLER!$F$7:$F$606,"Haftalık",UCRETLER!$H$7:$H$606,"Aktif"))</f>
        <v/>
      </c>
      <c r="E68" s="68" t="str">
        <f ca="1">IF($B68="","",SUMIFS(UCRETLER!$G$7:$G$606,UCRETLER!$B$7:$B$606,$B68,UCRETLER!$F$7:$F$606,"Aylık",UCRETLER!$H$7:$H$606,"Aktif"))</f>
        <v/>
      </c>
      <c r="F68" s="68" t="str">
        <f ca="1">IF($B68="","",SUMIFS(MUSTERILER!$J$7:$J$156,MUSTERILER!$B$7:$B$156,$B68))</f>
        <v/>
      </c>
      <c r="G68" s="68" t="str">
        <f ca="1">IF($B68="","",SUMIFS(UCRETLER!$I$7:$I$606,UCRETLER!$B$7:$B$606,$B68)+SUMIFS(GELIR_GIDER!$G$7:$G$3001,GELIR_GIDER!$T$7:$T$3001,$B68))</f>
        <v/>
      </c>
      <c r="H68" s="68" t="str">
        <f t="shared" ca="1" si="19"/>
        <v/>
      </c>
      <c r="I68" s="68" t="str">
        <f ca="1">IF($B68="","",SUMIFS(TAHSILAT!$F$7:$F$2503,TAHSILAT!$C$7:$C$2503,$B68))</f>
        <v/>
      </c>
      <c r="J68" s="68" t="str">
        <f t="shared" ca="1" si="20"/>
        <v/>
      </c>
      <c r="K68" s="68" t="str">
        <f t="shared" ca="1" si="21"/>
        <v/>
      </c>
      <c r="L68" s="68" t="str">
        <f t="shared" ca="1" si="22"/>
        <v/>
      </c>
      <c r="M68" s="68" t="str">
        <f t="shared" ca="1" si="23"/>
        <v/>
      </c>
      <c r="N68" s="68" t="str">
        <f t="shared" ca="1" si="24"/>
        <v/>
      </c>
      <c r="O68" s="92" t="str">
        <f t="shared" ca="1" si="25"/>
        <v/>
      </c>
      <c r="P68" s="70" t="str">
        <f ca="1">IF($B68="","",IFERROR(LOOKUP(2,1/(TAHSILAT!$C$7:$C$2503=$B68),TAHSILAT!$E$7:$E$2503),""))</f>
        <v/>
      </c>
      <c r="Q68" s="65" t="str">
        <f t="shared" ca="1" si="26"/>
        <v/>
      </c>
      <c r="R68" s="74" t="str">
        <f t="shared" ca="1" si="27"/>
        <v/>
      </c>
      <c r="S68" s="93" t="str">
        <f t="shared" ca="1" si="28"/>
        <v/>
      </c>
      <c r="T68" s="70" t="str">
        <f ca="1">IF(OR($B68="",$AF68=""),"",IF(INDEX(MUSTERILER!$K$7:$K$156,$AF68)="","",INDEX(MUSTERILER!$K$7:$K$156,$AF68)))</f>
        <v/>
      </c>
      <c r="U68" s="93" t="str">
        <f t="shared" ca="1" si="29"/>
        <v/>
      </c>
      <c r="V68" s="68" t="str">
        <f t="shared" ca="1" si="30"/>
        <v/>
      </c>
      <c r="W68" s="65" t="str">
        <f t="shared" ca="1" si="31"/>
        <v/>
      </c>
      <c r="X68" s="2">
        <f ca="1">IF($B68="",0,SUMIFS(UCRETLER!$J$7:$J$606,UCRETLER!$B$7:$B$606,$B68))</f>
        <v>0</v>
      </c>
      <c r="Y68" s="2">
        <f ca="1">IF($B68="",0,SUMIFS(UCRETLER!$K$7:$K$606,UCRETLER!$B$7:$B$606,$B68))</f>
        <v>0</v>
      </c>
      <c r="Z68" s="1">
        <f ca="1">IF($B68="",0,SUMIFS(UCRETLER!$L$7:$L$606,UCRETLER!$B$7:$B$606,$B68))</f>
        <v>0</v>
      </c>
      <c r="AA68" s="1">
        <f t="shared" ca="1" si="32"/>
        <v>0</v>
      </c>
      <c r="AB68" s="1">
        <f t="shared" ca="1" si="33"/>
        <v>0</v>
      </c>
      <c r="AC68" s="1">
        <f t="shared" ca="1" si="34"/>
        <v>0</v>
      </c>
      <c r="AD68" s="1">
        <f t="shared" ca="1" si="35"/>
        <v>0</v>
      </c>
      <c r="AE68" s="1">
        <f t="shared" ca="1" si="36"/>
        <v>0</v>
      </c>
      <c r="AF68" s="1" t="str">
        <f ca="1">IFERROR(MATCH(ROW()-6,MUSTERILER!$U$7:$U$156,0),"")</f>
        <v/>
      </c>
      <c r="AG68" s="1">
        <f ca="1">IF($B68="",0,SUMIFS(GELIR_GIDER!$G$7:$G$3001,GELIR_GIDER!$T$7:$T$3001,$B68))</f>
        <v>0</v>
      </c>
    </row>
    <row r="69" spans="1:33" ht="18" customHeight="1" x14ac:dyDescent="0.3">
      <c r="A69" s="2"/>
      <c r="B69" s="65" t="str">
        <f ca="1">IF($AF69="","",INDEX(MUSTERILER!$B$7:$B$156,$AF69))</f>
        <v/>
      </c>
      <c r="C69" s="74" t="str">
        <f ca="1">IF($AF69="","",INDEX(MUSTERILER!$C$7:$C$156,$AF69))</f>
        <v/>
      </c>
      <c r="D69" s="68" t="str">
        <f ca="1">IF($B69="","",SUMIFS(UCRETLER!$G$7:$G$606,UCRETLER!$B$7:$B$606,$B69,UCRETLER!$F$7:$F$606,"Haftalık",UCRETLER!$H$7:$H$606,"Aktif"))</f>
        <v/>
      </c>
      <c r="E69" s="68" t="str">
        <f ca="1">IF($B69="","",SUMIFS(UCRETLER!$G$7:$G$606,UCRETLER!$B$7:$B$606,$B69,UCRETLER!$F$7:$F$606,"Aylık",UCRETLER!$H$7:$H$606,"Aktif"))</f>
        <v/>
      </c>
      <c r="F69" s="68" t="str">
        <f ca="1">IF($B69="","",SUMIFS(MUSTERILER!$J$7:$J$156,MUSTERILER!$B$7:$B$156,$B69))</f>
        <v/>
      </c>
      <c r="G69" s="68" t="str">
        <f ca="1">IF($B69="","",SUMIFS(UCRETLER!$I$7:$I$606,UCRETLER!$B$7:$B$606,$B69)+SUMIFS(GELIR_GIDER!$G$7:$G$3001,GELIR_GIDER!$T$7:$T$3001,$B69))</f>
        <v/>
      </c>
      <c r="H69" s="68" t="str">
        <f t="shared" ca="1" si="19"/>
        <v/>
      </c>
      <c r="I69" s="68" t="str">
        <f ca="1">IF($B69="","",SUMIFS(TAHSILAT!$F$7:$F$2503,TAHSILAT!$C$7:$C$2503,$B69))</f>
        <v/>
      </c>
      <c r="J69" s="68" t="str">
        <f t="shared" ca="1" si="20"/>
        <v/>
      </c>
      <c r="K69" s="68" t="str">
        <f t="shared" ca="1" si="21"/>
        <v/>
      </c>
      <c r="L69" s="68" t="str">
        <f t="shared" ca="1" si="22"/>
        <v/>
      </c>
      <c r="M69" s="68" t="str">
        <f t="shared" ca="1" si="23"/>
        <v/>
      </c>
      <c r="N69" s="68" t="str">
        <f t="shared" ca="1" si="24"/>
        <v/>
      </c>
      <c r="O69" s="92" t="str">
        <f t="shared" ca="1" si="25"/>
        <v/>
      </c>
      <c r="P69" s="70" t="str">
        <f ca="1">IF($B69="","",IFERROR(LOOKUP(2,1/(TAHSILAT!$C$7:$C$2503=$B69),TAHSILAT!$E$7:$E$2503),""))</f>
        <v/>
      </c>
      <c r="Q69" s="65" t="str">
        <f t="shared" ca="1" si="26"/>
        <v/>
      </c>
      <c r="R69" s="74" t="str">
        <f t="shared" ca="1" si="27"/>
        <v/>
      </c>
      <c r="S69" s="93" t="str">
        <f t="shared" ca="1" si="28"/>
        <v/>
      </c>
      <c r="T69" s="70" t="str">
        <f ca="1">IF(OR($B69="",$AF69=""),"",IF(INDEX(MUSTERILER!$K$7:$K$156,$AF69)="","",INDEX(MUSTERILER!$K$7:$K$156,$AF69)))</f>
        <v/>
      </c>
      <c r="U69" s="93" t="str">
        <f t="shared" ca="1" si="29"/>
        <v/>
      </c>
      <c r="V69" s="68" t="str">
        <f t="shared" ca="1" si="30"/>
        <v/>
      </c>
      <c r="W69" s="65" t="str">
        <f t="shared" ca="1" si="31"/>
        <v/>
      </c>
      <c r="X69" s="2">
        <f ca="1">IF($B69="",0,SUMIFS(UCRETLER!$J$7:$J$606,UCRETLER!$B$7:$B$606,$B69))</f>
        <v>0</v>
      </c>
      <c r="Y69" s="2">
        <f ca="1">IF($B69="",0,SUMIFS(UCRETLER!$K$7:$K$606,UCRETLER!$B$7:$B$606,$B69))</f>
        <v>0</v>
      </c>
      <c r="Z69" s="1">
        <f ca="1">IF($B69="",0,SUMIFS(UCRETLER!$L$7:$L$606,UCRETLER!$B$7:$B$606,$B69))</f>
        <v>0</v>
      </c>
      <c r="AA69" s="1">
        <f t="shared" ca="1" si="32"/>
        <v>0</v>
      </c>
      <c r="AB69" s="1">
        <f t="shared" ca="1" si="33"/>
        <v>0</v>
      </c>
      <c r="AC69" s="1">
        <f t="shared" ca="1" si="34"/>
        <v>0</v>
      </c>
      <c r="AD69" s="1">
        <f t="shared" ca="1" si="35"/>
        <v>0</v>
      </c>
      <c r="AE69" s="1">
        <f t="shared" ca="1" si="36"/>
        <v>0</v>
      </c>
      <c r="AF69" s="1" t="str">
        <f ca="1">IFERROR(MATCH(ROW()-6,MUSTERILER!$U$7:$U$156,0),"")</f>
        <v/>
      </c>
      <c r="AG69" s="1">
        <f ca="1">IF($B69="",0,SUMIFS(GELIR_GIDER!$G$7:$G$3001,GELIR_GIDER!$T$7:$T$3001,$B69))</f>
        <v>0</v>
      </c>
    </row>
    <row r="70" spans="1:33" ht="18" customHeight="1" x14ac:dyDescent="0.3">
      <c r="A70" s="2"/>
      <c r="B70" s="65" t="str">
        <f ca="1">IF($AF70="","",INDEX(MUSTERILER!$B$7:$B$156,$AF70))</f>
        <v/>
      </c>
      <c r="C70" s="74" t="str">
        <f ca="1">IF($AF70="","",INDEX(MUSTERILER!$C$7:$C$156,$AF70))</f>
        <v/>
      </c>
      <c r="D70" s="68" t="str">
        <f ca="1">IF($B70="","",SUMIFS(UCRETLER!$G$7:$G$606,UCRETLER!$B$7:$B$606,$B70,UCRETLER!$F$7:$F$606,"Haftalık",UCRETLER!$H$7:$H$606,"Aktif"))</f>
        <v/>
      </c>
      <c r="E70" s="68" t="str">
        <f ca="1">IF($B70="","",SUMIFS(UCRETLER!$G$7:$G$606,UCRETLER!$B$7:$B$606,$B70,UCRETLER!$F$7:$F$606,"Aylık",UCRETLER!$H$7:$H$606,"Aktif"))</f>
        <v/>
      </c>
      <c r="F70" s="68" t="str">
        <f ca="1">IF($B70="","",SUMIFS(MUSTERILER!$J$7:$J$156,MUSTERILER!$B$7:$B$156,$B70))</f>
        <v/>
      </c>
      <c r="G70" s="68" t="str">
        <f ca="1">IF($B70="","",SUMIFS(UCRETLER!$I$7:$I$606,UCRETLER!$B$7:$B$606,$B70)+SUMIFS(GELIR_GIDER!$G$7:$G$3001,GELIR_GIDER!$T$7:$T$3001,$B70))</f>
        <v/>
      </c>
      <c r="H70" s="68" t="str">
        <f t="shared" ca="1" si="19"/>
        <v/>
      </c>
      <c r="I70" s="68" t="str">
        <f ca="1">IF($B70="","",SUMIFS(TAHSILAT!$F$7:$F$2503,TAHSILAT!$C$7:$C$2503,$B70))</f>
        <v/>
      </c>
      <c r="J70" s="68" t="str">
        <f t="shared" ca="1" si="20"/>
        <v/>
      </c>
      <c r="K70" s="68" t="str">
        <f t="shared" ca="1" si="21"/>
        <v/>
      </c>
      <c r="L70" s="68" t="str">
        <f t="shared" ca="1" si="22"/>
        <v/>
      </c>
      <c r="M70" s="68" t="str">
        <f t="shared" ca="1" si="23"/>
        <v/>
      </c>
      <c r="N70" s="68" t="str">
        <f t="shared" ca="1" si="24"/>
        <v/>
      </c>
      <c r="O70" s="92" t="str">
        <f t="shared" ca="1" si="25"/>
        <v/>
      </c>
      <c r="P70" s="70" t="str">
        <f ca="1">IF($B70="","",IFERROR(LOOKUP(2,1/(TAHSILAT!$C$7:$C$2503=$B70),TAHSILAT!$E$7:$E$2503),""))</f>
        <v/>
      </c>
      <c r="Q70" s="65" t="str">
        <f t="shared" ca="1" si="26"/>
        <v/>
      </c>
      <c r="R70" s="74" t="str">
        <f t="shared" ca="1" si="27"/>
        <v/>
      </c>
      <c r="S70" s="93" t="str">
        <f t="shared" ca="1" si="28"/>
        <v/>
      </c>
      <c r="T70" s="70" t="str">
        <f ca="1">IF(OR($B70="",$AF70=""),"",IF(INDEX(MUSTERILER!$K$7:$K$156,$AF70)="","",INDEX(MUSTERILER!$K$7:$K$156,$AF70)))</f>
        <v/>
      </c>
      <c r="U70" s="93" t="str">
        <f t="shared" ca="1" si="29"/>
        <v/>
      </c>
      <c r="V70" s="68" t="str">
        <f t="shared" ca="1" si="30"/>
        <v/>
      </c>
      <c r="W70" s="65" t="str">
        <f t="shared" ca="1" si="31"/>
        <v/>
      </c>
      <c r="X70" s="2">
        <f ca="1">IF($B70="",0,SUMIFS(UCRETLER!$J$7:$J$606,UCRETLER!$B$7:$B$606,$B70))</f>
        <v>0</v>
      </c>
      <c r="Y70" s="2">
        <f ca="1">IF($B70="",0,SUMIFS(UCRETLER!$K$7:$K$606,UCRETLER!$B$7:$B$606,$B70))</f>
        <v>0</v>
      </c>
      <c r="Z70" s="1">
        <f ca="1">IF($B70="",0,SUMIFS(UCRETLER!$L$7:$L$606,UCRETLER!$B$7:$B$606,$B70))</f>
        <v>0</v>
      </c>
      <c r="AA70" s="1">
        <f t="shared" ca="1" si="32"/>
        <v>0</v>
      </c>
      <c r="AB70" s="1">
        <f t="shared" ca="1" si="33"/>
        <v>0</v>
      </c>
      <c r="AC70" s="1">
        <f t="shared" ca="1" si="34"/>
        <v>0</v>
      </c>
      <c r="AD70" s="1">
        <f t="shared" ca="1" si="35"/>
        <v>0</v>
      </c>
      <c r="AE70" s="1">
        <f t="shared" ca="1" si="36"/>
        <v>0</v>
      </c>
      <c r="AF70" s="1" t="str">
        <f ca="1">IFERROR(MATCH(ROW()-6,MUSTERILER!$U$7:$U$156,0),"")</f>
        <v/>
      </c>
      <c r="AG70" s="1">
        <f ca="1">IF($B70="",0,SUMIFS(GELIR_GIDER!$G$7:$G$3001,GELIR_GIDER!$T$7:$T$3001,$B70))</f>
        <v>0</v>
      </c>
    </row>
    <row r="71" spans="1:33" ht="18" customHeight="1" x14ac:dyDescent="0.3">
      <c r="A71" s="2"/>
      <c r="B71" s="65" t="str">
        <f ca="1">IF($AF71="","",INDEX(MUSTERILER!$B$7:$B$156,$AF71))</f>
        <v/>
      </c>
      <c r="C71" s="74" t="str">
        <f ca="1">IF($AF71="","",INDEX(MUSTERILER!$C$7:$C$156,$AF71))</f>
        <v/>
      </c>
      <c r="D71" s="68" t="str">
        <f ca="1">IF($B71="","",SUMIFS(UCRETLER!$G$7:$G$606,UCRETLER!$B$7:$B$606,$B71,UCRETLER!$F$7:$F$606,"Haftalık",UCRETLER!$H$7:$H$606,"Aktif"))</f>
        <v/>
      </c>
      <c r="E71" s="68" t="str">
        <f ca="1">IF($B71="","",SUMIFS(UCRETLER!$G$7:$G$606,UCRETLER!$B$7:$B$606,$B71,UCRETLER!$F$7:$F$606,"Aylık",UCRETLER!$H$7:$H$606,"Aktif"))</f>
        <v/>
      </c>
      <c r="F71" s="68" t="str">
        <f ca="1">IF($B71="","",SUMIFS(MUSTERILER!$J$7:$J$156,MUSTERILER!$B$7:$B$156,$B71))</f>
        <v/>
      </c>
      <c r="G71" s="68" t="str">
        <f ca="1">IF($B71="","",SUMIFS(UCRETLER!$I$7:$I$606,UCRETLER!$B$7:$B$606,$B71)+SUMIFS(GELIR_GIDER!$G$7:$G$3001,GELIR_GIDER!$T$7:$T$3001,$B71))</f>
        <v/>
      </c>
      <c r="H71" s="68" t="str">
        <f t="shared" ref="H71:H102" ca="1" si="37">IF($B71="","",$F71+$G71)</f>
        <v/>
      </c>
      <c r="I71" s="68" t="str">
        <f ca="1">IF($B71="","",SUMIFS(TAHSILAT!$F$7:$F$2503,TAHSILAT!$C$7:$C$2503,$B71))</f>
        <v/>
      </c>
      <c r="J71" s="68" t="str">
        <f t="shared" ref="J71:J102" ca="1" si="38">IF($B71="","",MAX(0,$H71-$I71))</f>
        <v/>
      </c>
      <c r="K71" s="68" t="str">
        <f t="shared" ref="K71:K102" ca="1" si="39">IF($B71="","",MAX(0,$J71-$L71-$M71-$N71))</f>
        <v/>
      </c>
      <c r="L71" s="68" t="str">
        <f t="shared" ref="L71:L102" ca="1" si="40">IF($B71="","",($AC71-$AD71)+IF(AND($AB71&gt;0,$T71&lt;&gt;"",$U71&gt;=8,$U71&lt;15),$AB71,0))</f>
        <v/>
      </c>
      <c r="M71" s="68" t="str">
        <f t="shared" ref="M71:M102" ca="1" si="41">IF($B71="","",($AD71-$AE71)+IF(AND($AB71&gt;0,$T71&lt;&gt;"",$U71&gt;=15,$U71&lt;29),$AB71,0))</f>
        <v/>
      </c>
      <c r="N71" s="68" t="str">
        <f t="shared" ref="N71:N102" ca="1" si="42">IF($B71="","",$AE71+IF(AND($AB71&gt;0,OR($T71="",$U71&gt;=29)),$AB71,0))</f>
        <v/>
      </c>
      <c r="O71" s="92" t="str">
        <f t="shared" ref="O71:O102" ca="1" si="43">IF($B71="","",IFERROR($I71/$H71,0))</f>
        <v/>
      </c>
      <c r="P71" s="70" t="str">
        <f ca="1">IF($B71="","",IFERROR(LOOKUP(2,1/(TAHSILAT!$C$7:$C$2503=$B71),TAHSILAT!$E$7:$E$2503),""))</f>
        <v/>
      </c>
      <c r="Q71" s="65" t="str">
        <f t="shared" ref="Q71:Q102" ca="1" si="44">IF($B71="","",IF($N71&gt;0,"KRİTİK",IF($M71&gt;0,"YÜKSEK",IF($L71&gt;0,"ORTA",IF($J71&gt;0,"İZLE","TEMİZ")))))</f>
        <v/>
      </c>
      <c r="R71" s="74" t="str">
        <f t="shared" ref="R71:R102" ca="1" si="45">IF($B71="","",IF($Q71="KRİTİK","Acil tahsilat görüşmesi ve cari mutabakat",IF($Q71="YÜKSEK","Bu hafta tahsilat takibi",IF($Q71="ORTA","Hatırlatma mesajı gönder",IF($Q71="İZLE","Normal takip","Aksiyon gerekmiyor")))))</f>
        <v/>
      </c>
      <c r="S71" s="93" t="str">
        <f t="shared" ref="S71:S102" ca="1" si="46">IF($B71="","",0)</f>
        <v/>
      </c>
      <c r="T71" s="70" t="str">
        <f ca="1">IF(OR($B71="",$AF71=""),"",IF(INDEX(MUSTERILER!$K$7:$K$156,$AF71)="","",INDEX(MUSTERILER!$K$7:$K$156,$AF71)))</f>
        <v/>
      </c>
      <c r="U71" s="93" t="str">
        <f t="shared" ref="U71:U102" ca="1" si="47">IF(OR($B71="",$T71=""),"",TODAY()-$T71)</f>
        <v/>
      </c>
      <c r="V71" s="68" t="str">
        <f t="shared" ref="V71:V102" ca="1" si="48">IF($B71="","",MAX(0,$I71-$H71))</f>
        <v/>
      </c>
      <c r="W71" s="65" t="str">
        <f t="shared" ref="W71:W102" ca="1" si="49">IF($B71="","",IF(AND(ABS($J71-($K71+$L71+$M71+$N71))&lt;0.01,ABS(($J71-$V71)-($H71-$I71))&lt;0.01),"UYGUN","İNCELE"))</f>
        <v/>
      </c>
      <c r="X71" s="2">
        <f ca="1">IF($B71="",0,SUMIFS(UCRETLER!$J$7:$J$606,UCRETLER!$B$7:$B$606,$B71))</f>
        <v>0</v>
      </c>
      <c r="Y71" s="2">
        <f ca="1">IF($B71="",0,SUMIFS(UCRETLER!$K$7:$K$606,UCRETLER!$B$7:$B$606,$B71))</f>
        <v>0</v>
      </c>
      <c r="Z71" s="1">
        <f ca="1">IF($B71="",0,SUMIFS(UCRETLER!$L$7:$L$606,UCRETLER!$B$7:$B$606,$B71))</f>
        <v>0</v>
      </c>
      <c r="AA71" s="1">
        <f t="shared" ref="AA71:AA102" ca="1" si="50">IF($B71="",0,MAX(0,$I71-$F71))</f>
        <v>0</v>
      </c>
      <c r="AB71" s="1">
        <f t="shared" ref="AB71:AB102" ca="1" si="51">IF($B71="",0,MAX(0,$F71-$I71))</f>
        <v>0</v>
      </c>
      <c r="AC71" s="1">
        <f t="shared" ref="AC71:AC102" ca="1" si="52">IF($B71="",0,MAX(0,$X71-$AA71))</f>
        <v>0</v>
      </c>
      <c r="AD71" s="1">
        <f t="shared" ref="AD71:AD102" ca="1" si="53">IF($B71="",0,MAX(0,$Y71-$AA71))</f>
        <v>0</v>
      </c>
      <c r="AE71" s="1">
        <f t="shared" ref="AE71:AE102" ca="1" si="54">IF($B71="",0,MAX(0,$Z71-$AA71))</f>
        <v>0</v>
      </c>
      <c r="AF71" s="1" t="str">
        <f ca="1">IFERROR(MATCH(ROW()-6,MUSTERILER!$U$7:$U$156,0),"")</f>
        <v/>
      </c>
      <c r="AG71" s="1">
        <f ca="1">IF($B71="",0,SUMIFS(GELIR_GIDER!$G$7:$G$3001,GELIR_GIDER!$T$7:$T$3001,$B71))</f>
        <v>0</v>
      </c>
    </row>
    <row r="72" spans="1:33" ht="18" customHeight="1" x14ac:dyDescent="0.3">
      <c r="A72" s="2"/>
      <c r="B72" s="65" t="str">
        <f ca="1">IF($AF72="","",INDEX(MUSTERILER!$B$7:$B$156,$AF72))</f>
        <v/>
      </c>
      <c r="C72" s="74" t="str">
        <f ca="1">IF($AF72="","",INDEX(MUSTERILER!$C$7:$C$156,$AF72))</f>
        <v/>
      </c>
      <c r="D72" s="68" t="str">
        <f ca="1">IF($B72="","",SUMIFS(UCRETLER!$G$7:$G$606,UCRETLER!$B$7:$B$606,$B72,UCRETLER!$F$7:$F$606,"Haftalık",UCRETLER!$H$7:$H$606,"Aktif"))</f>
        <v/>
      </c>
      <c r="E72" s="68" t="str">
        <f ca="1">IF($B72="","",SUMIFS(UCRETLER!$G$7:$G$606,UCRETLER!$B$7:$B$606,$B72,UCRETLER!$F$7:$F$606,"Aylık",UCRETLER!$H$7:$H$606,"Aktif"))</f>
        <v/>
      </c>
      <c r="F72" s="68" t="str">
        <f ca="1">IF($B72="","",SUMIFS(MUSTERILER!$J$7:$J$156,MUSTERILER!$B$7:$B$156,$B72))</f>
        <v/>
      </c>
      <c r="G72" s="68" t="str">
        <f ca="1">IF($B72="","",SUMIFS(UCRETLER!$I$7:$I$606,UCRETLER!$B$7:$B$606,$B72)+SUMIFS(GELIR_GIDER!$G$7:$G$3001,GELIR_GIDER!$T$7:$T$3001,$B72))</f>
        <v/>
      </c>
      <c r="H72" s="68" t="str">
        <f t="shared" ca="1" si="37"/>
        <v/>
      </c>
      <c r="I72" s="68" t="str">
        <f ca="1">IF($B72="","",SUMIFS(TAHSILAT!$F$7:$F$2503,TAHSILAT!$C$7:$C$2503,$B72))</f>
        <v/>
      </c>
      <c r="J72" s="68" t="str">
        <f t="shared" ca="1" si="38"/>
        <v/>
      </c>
      <c r="K72" s="68" t="str">
        <f t="shared" ca="1" si="39"/>
        <v/>
      </c>
      <c r="L72" s="68" t="str">
        <f t="shared" ca="1" si="40"/>
        <v/>
      </c>
      <c r="M72" s="68" t="str">
        <f t="shared" ca="1" si="41"/>
        <v/>
      </c>
      <c r="N72" s="68" t="str">
        <f t="shared" ca="1" si="42"/>
        <v/>
      </c>
      <c r="O72" s="92" t="str">
        <f t="shared" ca="1" si="43"/>
        <v/>
      </c>
      <c r="P72" s="70" t="str">
        <f ca="1">IF($B72="","",IFERROR(LOOKUP(2,1/(TAHSILAT!$C$7:$C$2503=$B72),TAHSILAT!$E$7:$E$2503),""))</f>
        <v/>
      </c>
      <c r="Q72" s="65" t="str">
        <f t="shared" ca="1" si="44"/>
        <v/>
      </c>
      <c r="R72" s="74" t="str">
        <f t="shared" ca="1" si="45"/>
        <v/>
      </c>
      <c r="S72" s="93" t="str">
        <f t="shared" ca="1" si="46"/>
        <v/>
      </c>
      <c r="T72" s="70" t="str">
        <f ca="1">IF(OR($B72="",$AF72=""),"",IF(INDEX(MUSTERILER!$K$7:$K$156,$AF72)="","",INDEX(MUSTERILER!$K$7:$K$156,$AF72)))</f>
        <v/>
      </c>
      <c r="U72" s="93" t="str">
        <f t="shared" ca="1" si="47"/>
        <v/>
      </c>
      <c r="V72" s="68" t="str">
        <f t="shared" ca="1" si="48"/>
        <v/>
      </c>
      <c r="W72" s="65" t="str">
        <f t="shared" ca="1" si="49"/>
        <v/>
      </c>
      <c r="X72" s="2">
        <f ca="1">IF($B72="",0,SUMIFS(UCRETLER!$J$7:$J$606,UCRETLER!$B$7:$B$606,$B72))</f>
        <v>0</v>
      </c>
      <c r="Y72" s="2">
        <f ca="1">IF($B72="",0,SUMIFS(UCRETLER!$K$7:$K$606,UCRETLER!$B$7:$B$606,$B72))</f>
        <v>0</v>
      </c>
      <c r="Z72" s="1">
        <f ca="1">IF($B72="",0,SUMIFS(UCRETLER!$L$7:$L$606,UCRETLER!$B$7:$B$606,$B72))</f>
        <v>0</v>
      </c>
      <c r="AA72" s="1">
        <f t="shared" ca="1" si="50"/>
        <v>0</v>
      </c>
      <c r="AB72" s="1">
        <f t="shared" ca="1" si="51"/>
        <v>0</v>
      </c>
      <c r="AC72" s="1">
        <f t="shared" ca="1" si="52"/>
        <v>0</v>
      </c>
      <c r="AD72" s="1">
        <f t="shared" ca="1" si="53"/>
        <v>0</v>
      </c>
      <c r="AE72" s="1">
        <f t="shared" ca="1" si="54"/>
        <v>0</v>
      </c>
      <c r="AF72" s="1" t="str">
        <f ca="1">IFERROR(MATCH(ROW()-6,MUSTERILER!$U$7:$U$156,0),"")</f>
        <v/>
      </c>
      <c r="AG72" s="1">
        <f ca="1">IF($B72="",0,SUMIFS(GELIR_GIDER!$G$7:$G$3001,GELIR_GIDER!$T$7:$T$3001,$B72))</f>
        <v>0</v>
      </c>
    </row>
    <row r="73" spans="1:33" ht="18" customHeight="1" x14ac:dyDescent="0.3">
      <c r="A73" s="2"/>
      <c r="B73" s="65" t="str">
        <f ca="1">IF($AF73="","",INDEX(MUSTERILER!$B$7:$B$156,$AF73))</f>
        <v/>
      </c>
      <c r="C73" s="74" t="str">
        <f ca="1">IF($AF73="","",INDEX(MUSTERILER!$C$7:$C$156,$AF73))</f>
        <v/>
      </c>
      <c r="D73" s="68" t="str">
        <f ca="1">IF($B73="","",SUMIFS(UCRETLER!$G$7:$G$606,UCRETLER!$B$7:$B$606,$B73,UCRETLER!$F$7:$F$606,"Haftalık",UCRETLER!$H$7:$H$606,"Aktif"))</f>
        <v/>
      </c>
      <c r="E73" s="68" t="str">
        <f ca="1">IF($B73="","",SUMIFS(UCRETLER!$G$7:$G$606,UCRETLER!$B$7:$B$606,$B73,UCRETLER!$F$7:$F$606,"Aylık",UCRETLER!$H$7:$H$606,"Aktif"))</f>
        <v/>
      </c>
      <c r="F73" s="68" t="str">
        <f ca="1">IF($B73="","",SUMIFS(MUSTERILER!$J$7:$J$156,MUSTERILER!$B$7:$B$156,$B73))</f>
        <v/>
      </c>
      <c r="G73" s="68" t="str">
        <f ca="1">IF($B73="","",SUMIFS(UCRETLER!$I$7:$I$606,UCRETLER!$B$7:$B$606,$B73)+SUMIFS(GELIR_GIDER!$G$7:$G$3001,GELIR_GIDER!$T$7:$T$3001,$B73))</f>
        <v/>
      </c>
      <c r="H73" s="68" t="str">
        <f t="shared" ca="1" si="37"/>
        <v/>
      </c>
      <c r="I73" s="68" t="str">
        <f ca="1">IF($B73="","",SUMIFS(TAHSILAT!$F$7:$F$2503,TAHSILAT!$C$7:$C$2503,$B73))</f>
        <v/>
      </c>
      <c r="J73" s="68" t="str">
        <f t="shared" ca="1" si="38"/>
        <v/>
      </c>
      <c r="K73" s="68" t="str">
        <f t="shared" ca="1" si="39"/>
        <v/>
      </c>
      <c r="L73" s="68" t="str">
        <f t="shared" ca="1" si="40"/>
        <v/>
      </c>
      <c r="M73" s="68" t="str">
        <f t="shared" ca="1" si="41"/>
        <v/>
      </c>
      <c r="N73" s="68" t="str">
        <f t="shared" ca="1" si="42"/>
        <v/>
      </c>
      <c r="O73" s="92" t="str">
        <f t="shared" ca="1" si="43"/>
        <v/>
      </c>
      <c r="P73" s="70" t="str">
        <f ca="1">IF($B73="","",IFERROR(LOOKUP(2,1/(TAHSILAT!$C$7:$C$2503=$B73),TAHSILAT!$E$7:$E$2503),""))</f>
        <v/>
      </c>
      <c r="Q73" s="65" t="str">
        <f t="shared" ca="1" si="44"/>
        <v/>
      </c>
      <c r="R73" s="74" t="str">
        <f t="shared" ca="1" si="45"/>
        <v/>
      </c>
      <c r="S73" s="93" t="str">
        <f t="shared" ca="1" si="46"/>
        <v/>
      </c>
      <c r="T73" s="70" t="str">
        <f ca="1">IF(OR($B73="",$AF73=""),"",IF(INDEX(MUSTERILER!$K$7:$K$156,$AF73)="","",INDEX(MUSTERILER!$K$7:$K$156,$AF73)))</f>
        <v/>
      </c>
      <c r="U73" s="93" t="str">
        <f t="shared" ca="1" si="47"/>
        <v/>
      </c>
      <c r="V73" s="68" t="str">
        <f t="shared" ca="1" si="48"/>
        <v/>
      </c>
      <c r="W73" s="65" t="str">
        <f t="shared" ca="1" si="49"/>
        <v/>
      </c>
      <c r="X73" s="2">
        <f ca="1">IF($B73="",0,SUMIFS(UCRETLER!$J$7:$J$606,UCRETLER!$B$7:$B$606,$B73))</f>
        <v>0</v>
      </c>
      <c r="Y73" s="2">
        <f ca="1">IF($B73="",0,SUMIFS(UCRETLER!$K$7:$K$606,UCRETLER!$B$7:$B$606,$B73))</f>
        <v>0</v>
      </c>
      <c r="Z73" s="1">
        <f ca="1">IF($B73="",0,SUMIFS(UCRETLER!$L$7:$L$606,UCRETLER!$B$7:$B$606,$B73))</f>
        <v>0</v>
      </c>
      <c r="AA73" s="1">
        <f t="shared" ca="1" si="50"/>
        <v>0</v>
      </c>
      <c r="AB73" s="1">
        <f t="shared" ca="1" si="51"/>
        <v>0</v>
      </c>
      <c r="AC73" s="1">
        <f t="shared" ca="1" si="52"/>
        <v>0</v>
      </c>
      <c r="AD73" s="1">
        <f t="shared" ca="1" si="53"/>
        <v>0</v>
      </c>
      <c r="AE73" s="1">
        <f t="shared" ca="1" si="54"/>
        <v>0</v>
      </c>
      <c r="AF73" s="1" t="str">
        <f ca="1">IFERROR(MATCH(ROW()-6,MUSTERILER!$U$7:$U$156,0),"")</f>
        <v/>
      </c>
      <c r="AG73" s="1">
        <f ca="1">IF($B73="",0,SUMIFS(GELIR_GIDER!$G$7:$G$3001,GELIR_GIDER!$T$7:$T$3001,$B73))</f>
        <v>0</v>
      </c>
    </row>
    <row r="74" spans="1:33" ht="18" customHeight="1" x14ac:dyDescent="0.3">
      <c r="A74" s="2"/>
      <c r="B74" s="65" t="str">
        <f ca="1">IF($AF74="","",INDEX(MUSTERILER!$B$7:$B$156,$AF74))</f>
        <v/>
      </c>
      <c r="C74" s="74" t="str">
        <f ca="1">IF($AF74="","",INDEX(MUSTERILER!$C$7:$C$156,$AF74))</f>
        <v/>
      </c>
      <c r="D74" s="68" t="str">
        <f ca="1">IF($B74="","",SUMIFS(UCRETLER!$G$7:$G$606,UCRETLER!$B$7:$B$606,$B74,UCRETLER!$F$7:$F$606,"Haftalık",UCRETLER!$H$7:$H$606,"Aktif"))</f>
        <v/>
      </c>
      <c r="E74" s="68" t="str">
        <f ca="1">IF($B74="","",SUMIFS(UCRETLER!$G$7:$G$606,UCRETLER!$B$7:$B$606,$B74,UCRETLER!$F$7:$F$606,"Aylık",UCRETLER!$H$7:$H$606,"Aktif"))</f>
        <v/>
      </c>
      <c r="F74" s="68" t="str">
        <f ca="1">IF($B74="","",SUMIFS(MUSTERILER!$J$7:$J$156,MUSTERILER!$B$7:$B$156,$B74))</f>
        <v/>
      </c>
      <c r="G74" s="68" t="str">
        <f ca="1">IF($B74="","",SUMIFS(UCRETLER!$I$7:$I$606,UCRETLER!$B$7:$B$606,$B74)+SUMIFS(GELIR_GIDER!$G$7:$G$3001,GELIR_GIDER!$T$7:$T$3001,$B74))</f>
        <v/>
      </c>
      <c r="H74" s="68" t="str">
        <f t="shared" ca="1" si="37"/>
        <v/>
      </c>
      <c r="I74" s="68" t="str">
        <f ca="1">IF($B74="","",SUMIFS(TAHSILAT!$F$7:$F$2503,TAHSILAT!$C$7:$C$2503,$B74))</f>
        <v/>
      </c>
      <c r="J74" s="68" t="str">
        <f t="shared" ca="1" si="38"/>
        <v/>
      </c>
      <c r="K74" s="68" t="str">
        <f t="shared" ca="1" si="39"/>
        <v/>
      </c>
      <c r="L74" s="68" t="str">
        <f t="shared" ca="1" si="40"/>
        <v/>
      </c>
      <c r="M74" s="68" t="str">
        <f t="shared" ca="1" si="41"/>
        <v/>
      </c>
      <c r="N74" s="68" t="str">
        <f t="shared" ca="1" si="42"/>
        <v/>
      </c>
      <c r="O74" s="92" t="str">
        <f t="shared" ca="1" si="43"/>
        <v/>
      </c>
      <c r="P74" s="70" t="str">
        <f ca="1">IF($B74="","",IFERROR(LOOKUP(2,1/(TAHSILAT!$C$7:$C$2503=$B74),TAHSILAT!$E$7:$E$2503),""))</f>
        <v/>
      </c>
      <c r="Q74" s="65" t="str">
        <f t="shared" ca="1" si="44"/>
        <v/>
      </c>
      <c r="R74" s="74" t="str">
        <f t="shared" ca="1" si="45"/>
        <v/>
      </c>
      <c r="S74" s="93" t="str">
        <f t="shared" ca="1" si="46"/>
        <v/>
      </c>
      <c r="T74" s="70" t="str">
        <f ca="1">IF(OR($B74="",$AF74=""),"",IF(INDEX(MUSTERILER!$K$7:$K$156,$AF74)="","",INDEX(MUSTERILER!$K$7:$K$156,$AF74)))</f>
        <v/>
      </c>
      <c r="U74" s="93" t="str">
        <f t="shared" ca="1" si="47"/>
        <v/>
      </c>
      <c r="V74" s="68" t="str">
        <f t="shared" ca="1" si="48"/>
        <v/>
      </c>
      <c r="W74" s="65" t="str">
        <f t="shared" ca="1" si="49"/>
        <v/>
      </c>
      <c r="X74" s="2">
        <f ca="1">IF($B74="",0,SUMIFS(UCRETLER!$J$7:$J$606,UCRETLER!$B$7:$B$606,$B74))</f>
        <v>0</v>
      </c>
      <c r="Y74" s="2">
        <f ca="1">IF($B74="",0,SUMIFS(UCRETLER!$K$7:$K$606,UCRETLER!$B$7:$B$606,$B74))</f>
        <v>0</v>
      </c>
      <c r="Z74" s="1">
        <f ca="1">IF($B74="",0,SUMIFS(UCRETLER!$L$7:$L$606,UCRETLER!$B$7:$B$606,$B74))</f>
        <v>0</v>
      </c>
      <c r="AA74" s="1">
        <f t="shared" ca="1" si="50"/>
        <v>0</v>
      </c>
      <c r="AB74" s="1">
        <f t="shared" ca="1" si="51"/>
        <v>0</v>
      </c>
      <c r="AC74" s="1">
        <f t="shared" ca="1" si="52"/>
        <v>0</v>
      </c>
      <c r="AD74" s="1">
        <f t="shared" ca="1" si="53"/>
        <v>0</v>
      </c>
      <c r="AE74" s="1">
        <f t="shared" ca="1" si="54"/>
        <v>0</v>
      </c>
      <c r="AF74" s="1" t="str">
        <f ca="1">IFERROR(MATCH(ROW()-6,MUSTERILER!$U$7:$U$156,0),"")</f>
        <v/>
      </c>
      <c r="AG74" s="1">
        <f ca="1">IF($B74="",0,SUMIFS(GELIR_GIDER!$G$7:$G$3001,GELIR_GIDER!$T$7:$T$3001,$B74))</f>
        <v>0</v>
      </c>
    </row>
    <row r="75" spans="1:33" ht="18" customHeight="1" x14ac:dyDescent="0.3">
      <c r="A75" s="2"/>
      <c r="B75" s="65" t="str">
        <f ca="1">IF($AF75="","",INDEX(MUSTERILER!$B$7:$B$156,$AF75))</f>
        <v/>
      </c>
      <c r="C75" s="74" t="str">
        <f ca="1">IF($AF75="","",INDEX(MUSTERILER!$C$7:$C$156,$AF75))</f>
        <v/>
      </c>
      <c r="D75" s="68" t="str">
        <f ca="1">IF($B75="","",SUMIFS(UCRETLER!$G$7:$G$606,UCRETLER!$B$7:$B$606,$B75,UCRETLER!$F$7:$F$606,"Haftalık",UCRETLER!$H$7:$H$606,"Aktif"))</f>
        <v/>
      </c>
      <c r="E75" s="68" t="str">
        <f ca="1">IF($B75="","",SUMIFS(UCRETLER!$G$7:$G$606,UCRETLER!$B$7:$B$606,$B75,UCRETLER!$F$7:$F$606,"Aylık",UCRETLER!$H$7:$H$606,"Aktif"))</f>
        <v/>
      </c>
      <c r="F75" s="68" t="str">
        <f ca="1">IF($B75="","",SUMIFS(MUSTERILER!$J$7:$J$156,MUSTERILER!$B$7:$B$156,$B75))</f>
        <v/>
      </c>
      <c r="G75" s="68" t="str">
        <f ca="1">IF($B75="","",SUMIFS(UCRETLER!$I$7:$I$606,UCRETLER!$B$7:$B$606,$B75)+SUMIFS(GELIR_GIDER!$G$7:$G$3001,GELIR_GIDER!$T$7:$T$3001,$B75))</f>
        <v/>
      </c>
      <c r="H75" s="68" t="str">
        <f t="shared" ca="1" si="37"/>
        <v/>
      </c>
      <c r="I75" s="68" t="str">
        <f ca="1">IF($B75="","",SUMIFS(TAHSILAT!$F$7:$F$2503,TAHSILAT!$C$7:$C$2503,$B75))</f>
        <v/>
      </c>
      <c r="J75" s="68" t="str">
        <f t="shared" ca="1" si="38"/>
        <v/>
      </c>
      <c r="K75" s="68" t="str">
        <f t="shared" ca="1" si="39"/>
        <v/>
      </c>
      <c r="L75" s="68" t="str">
        <f t="shared" ca="1" si="40"/>
        <v/>
      </c>
      <c r="M75" s="68" t="str">
        <f t="shared" ca="1" si="41"/>
        <v/>
      </c>
      <c r="N75" s="68" t="str">
        <f t="shared" ca="1" si="42"/>
        <v/>
      </c>
      <c r="O75" s="92" t="str">
        <f t="shared" ca="1" si="43"/>
        <v/>
      </c>
      <c r="P75" s="70" t="str">
        <f ca="1">IF($B75="","",IFERROR(LOOKUP(2,1/(TAHSILAT!$C$7:$C$2503=$B75),TAHSILAT!$E$7:$E$2503),""))</f>
        <v/>
      </c>
      <c r="Q75" s="65" t="str">
        <f t="shared" ca="1" si="44"/>
        <v/>
      </c>
      <c r="R75" s="74" t="str">
        <f t="shared" ca="1" si="45"/>
        <v/>
      </c>
      <c r="S75" s="93" t="str">
        <f t="shared" ca="1" si="46"/>
        <v/>
      </c>
      <c r="T75" s="70" t="str">
        <f ca="1">IF(OR($B75="",$AF75=""),"",IF(INDEX(MUSTERILER!$K$7:$K$156,$AF75)="","",INDEX(MUSTERILER!$K$7:$K$156,$AF75)))</f>
        <v/>
      </c>
      <c r="U75" s="93" t="str">
        <f t="shared" ca="1" si="47"/>
        <v/>
      </c>
      <c r="V75" s="68" t="str">
        <f t="shared" ca="1" si="48"/>
        <v/>
      </c>
      <c r="W75" s="65" t="str">
        <f t="shared" ca="1" si="49"/>
        <v/>
      </c>
      <c r="X75" s="2">
        <f ca="1">IF($B75="",0,SUMIFS(UCRETLER!$J$7:$J$606,UCRETLER!$B$7:$B$606,$B75))</f>
        <v>0</v>
      </c>
      <c r="Y75" s="2">
        <f ca="1">IF($B75="",0,SUMIFS(UCRETLER!$K$7:$K$606,UCRETLER!$B$7:$B$606,$B75))</f>
        <v>0</v>
      </c>
      <c r="Z75" s="1">
        <f ca="1">IF($B75="",0,SUMIFS(UCRETLER!$L$7:$L$606,UCRETLER!$B$7:$B$606,$B75))</f>
        <v>0</v>
      </c>
      <c r="AA75" s="1">
        <f t="shared" ca="1" si="50"/>
        <v>0</v>
      </c>
      <c r="AB75" s="1">
        <f t="shared" ca="1" si="51"/>
        <v>0</v>
      </c>
      <c r="AC75" s="1">
        <f t="shared" ca="1" si="52"/>
        <v>0</v>
      </c>
      <c r="AD75" s="1">
        <f t="shared" ca="1" si="53"/>
        <v>0</v>
      </c>
      <c r="AE75" s="1">
        <f t="shared" ca="1" si="54"/>
        <v>0</v>
      </c>
      <c r="AF75" s="1" t="str">
        <f ca="1">IFERROR(MATCH(ROW()-6,MUSTERILER!$U$7:$U$156,0),"")</f>
        <v/>
      </c>
      <c r="AG75" s="1">
        <f ca="1">IF($B75="",0,SUMIFS(GELIR_GIDER!$G$7:$G$3001,GELIR_GIDER!$T$7:$T$3001,$B75))</f>
        <v>0</v>
      </c>
    </row>
    <row r="76" spans="1:33" ht="18" customHeight="1" x14ac:dyDescent="0.3">
      <c r="A76" s="2"/>
      <c r="B76" s="65" t="str">
        <f ca="1">IF($AF76="","",INDEX(MUSTERILER!$B$7:$B$156,$AF76))</f>
        <v/>
      </c>
      <c r="C76" s="74" t="str">
        <f ca="1">IF($AF76="","",INDEX(MUSTERILER!$C$7:$C$156,$AF76))</f>
        <v/>
      </c>
      <c r="D76" s="68" t="str">
        <f ca="1">IF($B76="","",SUMIFS(UCRETLER!$G$7:$G$606,UCRETLER!$B$7:$B$606,$B76,UCRETLER!$F$7:$F$606,"Haftalık",UCRETLER!$H$7:$H$606,"Aktif"))</f>
        <v/>
      </c>
      <c r="E76" s="68" t="str">
        <f ca="1">IF($B76="","",SUMIFS(UCRETLER!$G$7:$G$606,UCRETLER!$B$7:$B$606,$B76,UCRETLER!$F$7:$F$606,"Aylık",UCRETLER!$H$7:$H$606,"Aktif"))</f>
        <v/>
      </c>
      <c r="F76" s="68" t="str">
        <f ca="1">IF($B76="","",SUMIFS(MUSTERILER!$J$7:$J$156,MUSTERILER!$B$7:$B$156,$B76))</f>
        <v/>
      </c>
      <c r="G76" s="68" t="str">
        <f ca="1">IF($B76="","",SUMIFS(UCRETLER!$I$7:$I$606,UCRETLER!$B$7:$B$606,$B76)+SUMIFS(GELIR_GIDER!$G$7:$G$3001,GELIR_GIDER!$T$7:$T$3001,$B76))</f>
        <v/>
      </c>
      <c r="H76" s="68" t="str">
        <f t="shared" ca="1" si="37"/>
        <v/>
      </c>
      <c r="I76" s="68" t="str">
        <f ca="1">IF($B76="","",SUMIFS(TAHSILAT!$F$7:$F$2503,TAHSILAT!$C$7:$C$2503,$B76))</f>
        <v/>
      </c>
      <c r="J76" s="68" t="str">
        <f t="shared" ca="1" si="38"/>
        <v/>
      </c>
      <c r="K76" s="68" t="str">
        <f t="shared" ca="1" si="39"/>
        <v/>
      </c>
      <c r="L76" s="68" t="str">
        <f t="shared" ca="1" si="40"/>
        <v/>
      </c>
      <c r="M76" s="68" t="str">
        <f t="shared" ca="1" si="41"/>
        <v/>
      </c>
      <c r="N76" s="68" t="str">
        <f t="shared" ca="1" si="42"/>
        <v/>
      </c>
      <c r="O76" s="92" t="str">
        <f t="shared" ca="1" si="43"/>
        <v/>
      </c>
      <c r="P76" s="70" t="str">
        <f ca="1">IF($B76="","",IFERROR(LOOKUP(2,1/(TAHSILAT!$C$7:$C$2503=$B76),TAHSILAT!$E$7:$E$2503),""))</f>
        <v/>
      </c>
      <c r="Q76" s="65" t="str">
        <f t="shared" ca="1" si="44"/>
        <v/>
      </c>
      <c r="R76" s="74" t="str">
        <f t="shared" ca="1" si="45"/>
        <v/>
      </c>
      <c r="S76" s="93" t="str">
        <f t="shared" ca="1" si="46"/>
        <v/>
      </c>
      <c r="T76" s="70" t="str">
        <f ca="1">IF(OR($B76="",$AF76=""),"",IF(INDEX(MUSTERILER!$K$7:$K$156,$AF76)="","",INDEX(MUSTERILER!$K$7:$K$156,$AF76)))</f>
        <v/>
      </c>
      <c r="U76" s="93" t="str">
        <f t="shared" ca="1" si="47"/>
        <v/>
      </c>
      <c r="V76" s="68" t="str">
        <f t="shared" ca="1" si="48"/>
        <v/>
      </c>
      <c r="W76" s="65" t="str">
        <f t="shared" ca="1" si="49"/>
        <v/>
      </c>
      <c r="X76" s="2">
        <f ca="1">IF($B76="",0,SUMIFS(UCRETLER!$J$7:$J$606,UCRETLER!$B$7:$B$606,$B76))</f>
        <v>0</v>
      </c>
      <c r="Y76" s="2">
        <f ca="1">IF($B76="",0,SUMIFS(UCRETLER!$K$7:$K$606,UCRETLER!$B$7:$B$606,$B76))</f>
        <v>0</v>
      </c>
      <c r="Z76" s="1">
        <f ca="1">IF($B76="",0,SUMIFS(UCRETLER!$L$7:$L$606,UCRETLER!$B$7:$B$606,$B76))</f>
        <v>0</v>
      </c>
      <c r="AA76" s="1">
        <f t="shared" ca="1" si="50"/>
        <v>0</v>
      </c>
      <c r="AB76" s="1">
        <f t="shared" ca="1" si="51"/>
        <v>0</v>
      </c>
      <c r="AC76" s="1">
        <f t="shared" ca="1" si="52"/>
        <v>0</v>
      </c>
      <c r="AD76" s="1">
        <f t="shared" ca="1" si="53"/>
        <v>0</v>
      </c>
      <c r="AE76" s="1">
        <f t="shared" ca="1" si="54"/>
        <v>0</v>
      </c>
      <c r="AF76" s="1" t="str">
        <f ca="1">IFERROR(MATCH(ROW()-6,MUSTERILER!$U$7:$U$156,0),"")</f>
        <v/>
      </c>
      <c r="AG76" s="1">
        <f ca="1">IF($B76="",0,SUMIFS(GELIR_GIDER!$G$7:$G$3001,GELIR_GIDER!$T$7:$T$3001,$B76))</f>
        <v>0</v>
      </c>
    </row>
    <row r="77" spans="1:33" ht="18" customHeight="1" x14ac:dyDescent="0.3">
      <c r="A77" s="2"/>
      <c r="B77" s="65" t="str">
        <f ca="1">IF($AF77="","",INDEX(MUSTERILER!$B$7:$B$156,$AF77))</f>
        <v/>
      </c>
      <c r="C77" s="74" t="str">
        <f ca="1">IF($AF77="","",INDEX(MUSTERILER!$C$7:$C$156,$AF77))</f>
        <v/>
      </c>
      <c r="D77" s="68" t="str">
        <f ca="1">IF($B77="","",SUMIFS(UCRETLER!$G$7:$G$606,UCRETLER!$B$7:$B$606,$B77,UCRETLER!$F$7:$F$606,"Haftalık",UCRETLER!$H$7:$H$606,"Aktif"))</f>
        <v/>
      </c>
      <c r="E77" s="68" t="str">
        <f ca="1">IF($B77="","",SUMIFS(UCRETLER!$G$7:$G$606,UCRETLER!$B$7:$B$606,$B77,UCRETLER!$F$7:$F$606,"Aylık",UCRETLER!$H$7:$H$606,"Aktif"))</f>
        <v/>
      </c>
      <c r="F77" s="68" t="str">
        <f ca="1">IF($B77="","",SUMIFS(MUSTERILER!$J$7:$J$156,MUSTERILER!$B$7:$B$156,$B77))</f>
        <v/>
      </c>
      <c r="G77" s="68" t="str">
        <f ca="1">IF($B77="","",SUMIFS(UCRETLER!$I$7:$I$606,UCRETLER!$B$7:$B$606,$B77)+SUMIFS(GELIR_GIDER!$G$7:$G$3001,GELIR_GIDER!$T$7:$T$3001,$B77))</f>
        <v/>
      </c>
      <c r="H77" s="68" t="str">
        <f t="shared" ca="1" si="37"/>
        <v/>
      </c>
      <c r="I77" s="68" t="str">
        <f ca="1">IF($B77="","",SUMIFS(TAHSILAT!$F$7:$F$2503,TAHSILAT!$C$7:$C$2503,$B77))</f>
        <v/>
      </c>
      <c r="J77" s="68" t="str">
        <f t="shared" ca="1" si="38"/>
        <v/>
      </c>
      <c r="K77" s="68" t="str">
        <f t="shared" ca="1" si="39"/>
        <v/>
      </c>
      <c r="L77" s="68" t="str">
        <f t="shared" ca="1" si="40"/>
        <v/>
      </c>
      <c r="M77" s="68" t="str">
        <f t="shared" ca="1" si="41"/>
        <v/>
      </c>
      <c r="N77" s="68" t="str">
        <f t="shared" ca="1" si="42"/>
        <v/>
      </c>
      <c r="O77" s="92" t="str">
        <f t="shared" ca="1" si="43"/>
        <v/>
      </c>
      <c r="P77" s="70" t="str">
        <f ca="1">IF($B77="","",IFERROR(LOOKUP(2,1/(TAHSILAT!$C$7:$C$2503=$B77),TAHSILAT!$E$7:$E$2503),""))</f>
        <v/>
      </c>
      <c r="Q77" s="65" t="str">
        <f t="shared" ca="1" si="44"/>
        <v/>
      </c>
      <c r="R77" s="74" t="str">
        <f t="shared" ca="1" si="45"/>
        <v/>
      </c>
      <c r="S77" s="93" t="str">
        <f t="shared" ca="1" si="46"/>
        <v/>
      </c>
      <c r="T77" s="70" t="str">
        <f ca="1">IF(OR($B77="",$AF77=""),"",IF(INDEX(MUSTERILER!$K$7:$K$156,$AF77)="","",INDEX(MUSTERILER!$K$7:$K$156,$AF77)))</f>
        <v/>
      </c>
      <c r="U77" s="93" t="str">
        <f t="shared" ca="1" si="47"/>
        <v/>
      </c>
      <c r="V77" s="68" t="str">
        <f t="shared" ca="1" si="48"/>
        <v/>
      </c>
      <c r="W77" s="65" t="str">
        <f t="shared" ca="1" si="49"/>
        <v/>
      </c>
      <c r="X77" s="2">
        <f ca="1">IF($B77="",0,SUMIFS(UCRETLER!$J$7:$J$606,UCRETLER!$B$7:$B$606,$B77))</f>
        <v>0</v>
      </c>
      <c r="Y77" s="2">
        <f ca="1">IF($B77="",0,SUMIFS(UCRETLER!$K$7:$K$606,UCRETLER!$B$7:$B$606,$B77))</f>
        <v>0</v>
      </c>
      <c r="Z77" s="1">
        <f ca="1">IF($B77="",0,SUMIFS(UCRETLER!$L$7:$L$606,UCRETLER!$B$7:$B$606,$B77))</f>
        <v>0</v>
      </c>
      <c r="AA77" s="1">
        <f t="shared" ca="1" si="50"/>
        <v>0</v>
      </c>
      <c r="AB77" s="1">
        <f t="shared" ca="1" si="51"/>
        <v>0</v>
      </c>
      <c r="AC77" s="1">
        <f t="shared" ca="1" si="52"/>
        <v>0</v>
      </c>
      <c r="AD77" s="1">
        <f t="shared" ca="1" si="53"/>
        <v>0</v>
      </c>
      <c r="AE77" s="1">
        <f t="shared" ca="1" si="54"/>
        <v>0</v>
      </c>
      <c r="AF77" s="1" t="str">
        <f ca="1">IFERROR(MATCH(ROW()-6,MUSTERILER!$U$7:$U$156,0),"")</f>
        <v/>
      </c>
      <c r="AG77" s="1">
        <f ca="1">IF($B77="",0,SUMIFS(GELIR_GIDER!$G$7:$G$3001,GELIR_GIDER!$T$7:$T$3001,$B77))</f>
        <v>0</v>
      </c>
    </row>
    <row r="78" spans="1:33" ht="18" customHeight="1" x14ac:dyDescent="0.3">
      <c r="A78" s="2"/>
      <c r="B78" s="65" t="str">
        <f ca="1">IF($AF78="","",INDEX(MUSTERILER!$B$7:$B$156,$AF78))</f>
        <v/>
      </c>
      <c r="C78" s="74" t="str">
        <f ca="1">IF($AF78="","",INDEX(MUSTERILER!$C$7:$C$156,$AF78))</f>
        <v/>
      </c>
      <c r="D78" s="68" t="str">
        <f ca="1">IF($B78="","",SUMIFS(UCRETLER!$G$7:$G$606,UCRETLER!$B$7:$B$606,$B78,UCRETLER!$F$7:$F$606,"Haftalık",UCRETLER!$H$7:$H$606,"Aktif"))</f>
        <v/>
      </c>
      <c r="E78" s="68" t="str">
        <f ca="1">IF($B78="","",SUMIFS(UCRETLER!$G$7:$G$606,UCRETLER!$B$7:$B$606,$B78,UCRETLER!$F$7:$F$606,"Aylık",UCRETLER!$H$7:$H$606,"Aktif"))</f>
        <v/>
      </c>
      <c r="F78" s="68" t="str">
        <f ca="1">IF($B78="","",SUMIFS(MUSTERILER!$J$7:$J$156,MUSTERILER!$B$7:$B$156,$B78))</f>
        <v/>
      </c>
      <c r="G78" s="68" t="str">
        <f ca="1">IF($B78="","",SUMIFS(UCRETLER!$I$7:$I$606,UCRETLER!$B$7:$B$606,$B78)+SUMIFS(GELIR_GIDER!$G$7:$G$3001,GELIR_GIDER!$T$7:$T$3001,$B78))</f>
        <v/>
      </c>
      <c r="H78" s="68" t="str">
        <f t="shared" ca="1" si="37"/>
        <v/>
      </c>
      <c r="I78" s="68" t="str">
        <f ca="1">IF($B78="","",SUMIFS(TAHSILAT!$F$7:$F$2503,TAHSILAT!$C$7:$C$2503,$B78))</f>
        <v/>
      </c>
      <c r="J78" s="68" t="str">
        <f t="shared" ca="1" si="38"/>
        <v/>
      </c>
      <c r="K78" s="68" t="str">
        <f t="shared" ca="1" si="39"/>
        <v/>
      </c>
      <c r="L78" s="68" t="str">
        <f t="shared" ca="1" si="40"/>
        <v/>
      </c>
      <c r="M78" s="68" t="str">
        <f t="shared" ca="1" si="41"/>
        <v/>
      </c>
      <c r="N78" s="68" t="str">
        <f t="shared" ca="1" si="42"/>
        <v/>
      </c>
      <c r="O78" s="92" t="str">
        <f t="shared" ca="1" si="43"/>
        <v/>
      </c>
      <c r="P78" s="70" t="str">
        <f ca="1">IF($B78="","",IFERROR(LOOKUP(2,1/(TAHSILAT!$C$7:$C$2503=$B78),TAHSILAT!$E$7:$E$2503),""))</f>
        <v/>
      </c>
      <c r="Q78" s="65" t="str">
        <f t="shared" ca="1" si="44"/>
        <v/>
      </c>
      <c r="R78" s="74" t="str">
        <f t="shared" ca="1" si="45"/>
        <v/>
      </c>
      <c r="S78" s="93" t="str">
        <f t="shared" ca="1" si="46"/>
        <v/>
      </c>
      <c r="T78" s="70" t="str">
        <f ca="1">IF(OR($B78="",$AF78=""),"",IF(INDEX(MUSTERILER!$K$7:$K$156,$AF78)="","",INDEX(MUSTERILER!$K$7:$K$156,$AF78)))</f>
        <v/>
      </c>
      <c r="U78" s="93" t="str">
        <f t="shared" ca="1" si="47"/>
        <v/>
      </c>
      <c r="V78" s="68" t="str">
        <f t="shared" ca="1" si="48"/>
        <v/>
      </c>
      <c r="W78" s="65" t="str">
        <f t="shared" ca="1" si="49"/>
        <v/>
      </c>
      <c r="X78" s="2">
        <f ca="1">IF($B78="",0,SUMIFS(UCRETLER!$J$7:$J$606,UCRETLER!$B$7:$B$606,$B78))</f>
        <v>0</v>
      </c>
      <c r="Y78" s="2">
        <f ca="1">IF($B78="",0,SUMIFS(UCRETLER!$K$7:$K$606,UCRETLER!$B$7:$B$606,$B78))</f>
        <v>0</v>
      </c>
      <c r="Z78" s="1">
        <f ca="1">IF($B78="",0,SUMIFS(UCRETLER!$L$7:$L$606,UCRETLER!$B$7:$B$606,$B78))</f>
        <v>0</v>
      </c>
      <c r="AA78" s="1">
        <f t="shared" ca="1" si="50"/>
        <v>0</v>
      </c>
      <c r="AB78" s="1">
        <f t="shared" ca="1" si="51"/>
        <v>0</v>
      </c>
      <c r="AC78" s="1">
        <f t="shared" ca="1" si="52"/>
        <v>0</v>
      </c>
      <c r="AD78" s="1">
        <f t="shared" ca="1" si="53"/>
        <v>0</v>
      </c>
      <c r="AE78" s="1">
        <f t="shared" ca="1" si="54"/>
        <v>0</v>
      </c>
      <c r="AF78" s="1" t="str">
        <f ca="1">IFERROR(MATCH(ROW()-6,MUSTERILER!$U$7:$U$156,0),"")</f>
        <v/>
      </c>
      <c r="AG78" s="1">
        <f ca="1">IF($B78="",0,SUMIFS(GELIR_GIDER!$G$7:$G$3001,GELIR_GIDER!$T$7:$T$3001,$B78))</f>
        <v>0</v>
      </c>
    </row>
    <row r="79" spans="1:33" ht="18" customHeight="1" x14ac:dyDescent="0.3">
      <c r="A79" s="2"/>
      <c r="B79" s="65" t="str">
        <f ca="1">IF($AF79="","",INDEX(MUSTERILER!$B$7:$B$156,$AF79))</f>
        <v/>
      </c>
      <c r="C79" s="74" t="str">
        <f ca="1">IF($AF79="","",INDEX(MUSTERILER!$C$7:$C$156,$AF79))</f>
        <v/>
      </c>
      <c r="D79" s="68" t="str">
        <f ca="1">IF($B79="","",SUMIFS(UCRETLER!$G$7:$G$606,UCRETLER!$B$7:$B$606,$B79,UCRETLER!$F$7:$F$606,"Haftalık",UCRETLER!$H$7:$H$606,"Aktif"))</f>
        <v/>
      </c>
      <c r="E79" s="68" t="str">
        <f ca="1">IF($B79="","",SUMIFS(UCRETLER!$G$7:$G$606,UCRETLER!$B$7:$B$606,$B79,UCRETLER!$F$7:$F$606,"Aylık",UCRETLER!$H$7:$H$606,"Aktif"))</f>
        <v/>
      </c>
      <c r="F79" s="68" t="str">
        <f ca="1">IF($B79="","",SUMIFS(MUSTERILER!$J$7:$J$156,MUSTERILER!$B$7:$B$156,$B79))</f>
        <v/>
      </c>
      <c r="G79" s="68" t="str">
        <f ca="1">IF($B79="","",SUMIFS(UCRETLER!$I$7:$I$606,UCRETLER!$B$7:$B$606,$B79)+SUMIFS(GELIR_GIDER!$G$7:$G$3001,GELIR_GIDER!$T$7:$T$3001,$B79))</f>
        <v/>
      </c>
      <c r="H79" s="68" t="str">
        <f t="shared" ca="1" si="37"/>
        <v/>
      </c>
      <c r="I79" s="68" t="str">
        <f ca="1">IF($B79="","",SUMIFS(TAHSILAT!$F$7:$F$2503,TAHSILAT!$C$7:$C$2503,$B79))</f>
        <v/>
      </c>
      <c r="J79" s="68" t="str">
        <f t="shared" ca="1" si="38"/>
        <v/>
      </c>
      <c r="K79" s="68" t="str">
        <f t="shared" ca="1" si="39"/>
        <v/>
      </c>
      <c r="L79" s="68" t="str">
        <f t="shared" ca="1" si="40"/>
        <v/>
      </c>
      <c r="M79" s="68" t="str">
        <f t="shared" ca="1" si="41"/>
        <v/>
      </c>
      <c r="N79" s="68" t="str">
        <f t="shared" ca="1" si="42"/>
        <v/>
      </c>
      <c r="O79" s="92" t="str">
        <f t="shared" ca="1" si="43"/>
        <v/>
      </c>
      <c r="P79" s="70" t="str">
        <f ca="1">IF($B79="","",IFERROR(LOOKUP(2,1/(TAHSILAT!$C$7:$C$2503=$B79),TAHSILAT!$E$7:$E$2503),""))</f>
        <v/>
      </c>
      <c r="Q79" s="65" t="str">
        <f t="shared" ca="1" si="44"/>
        <v/>
      </c>
      <c r="R79" s="74" t="str">
        <f t="shared" ca="1" si="45"/>
        <v/>
      </c>
      <c r="S79" s="93" t="str">
        <f t="shared" ca="1" si="46"/>
        <v/>
      </c>
      <c r="T79" s="70" t="str">
        <f ca="1">IF(OR($B79="",$AF79=""),"",IF(INDEX(MUSTERILER!$K$7:$K$156,$AF79)="","",INDEX(MUSTERILER!$K$7:$K$156,$AF79)))</f>
        <v/>
      </c>
      <c r="U79" s="93" t="str">
        <f t="shared" ca="1" si="47"/>
        <v/>
      </c>
      <c r="V79" s="68" t="str">
        <f t="shared" ca="1" si="48"/>
        <v/>
      </c>
      <c r="W79" s="65" t="str">
        <f t="shared" ca="1" si="49"/>
        <v/>
      </c>
      <c r="X79" s="2">
        <f ca="1">IF($B79="",0,SUMIFS(UCRETLER!$J$7:$J$606,UCRETLER!$B$7:$B$606,$B79))</f>
        <v>0</v>
      </c>
      <c r="Y79" s="2">
        <f ca="1">IF($B79="",0,SUMIFS(UCRETLER!$K$7:$K$606,UCRETLER!$B$7:$B$606,$B79))</f>
        <v>0</v>
      </c>
      <c r="Z79" s="1">
        <f ca="1">IF($B79="",0,SUMIFS(UCRETLER!$L$7:$L$606,UCRETLER!$B$7:$B$606,$B79))</f>
        <v>0</v>
      </c>
      <c r="AA79" s="1">
        <f t="shared" ca="1" si="50"/>
        <v>0</v>
      </c>
      <c r="AB79" s="1">
        <f t="shared" ca="1" si="51"/>
        <v>0</v>
      </c>
      <c r="AC79" s="1">
        <f t="shared" ca="1" si="52"/>
        <v>0</v>
      </c>
      <c r="AD79" s="1">
        <f t="shared" ca="1" si="53"/>
        <v>0</v>
      </c>
      <c r="AE79" s="1">
        <f t="shared" ca="1" si="54"/>
        <v>0</v>
      </c>
      <c r="AF79" s="1" t="str">
        <f ca="1">IFERROR(MATCH(ROW()-6,MUSTERILER!$U$7:$U$156,0),"")</f>
        <v/>
      </c>
      <c r="AG79" s="1">
        <f ca="1">IF($B79="",0,SUMIFS(GELIR_GIDER!$G$7:$G$3001,GELIR_GIDER!$T$7:$T$3001,$B79))</f>
        <v>0</v>
      </c>
    </row>
    <row r="80" spans="1:33" ht="18" customHeight="1" x14ac:dyDescent="0.3">
      <c r="A80" s="2"/>
      <c r="B80" s="65" t="str">
        <f ca="1">IF($AF80="","",INDEX(MUSTERILER!$B$7:$B$156,$AF80))</f>
        <v/>
      </c>
      <c r="C80" s="74" t="str">
        <f ca="1">IF($AF80="","",INDEX(MUSTERILER!$C$7:$C$156,$AF80))</f>
        <v/>
      </c>
      <c r="D80" s="68" t="str">
        <f ca="1">IF($B80="","",SUMIFS(UCRETLER!$G$7:$G$606,UCRETLER!$B$7:$B$606,$B80,UCRETLER!$F$7:$F$606,"Haftalık",UCRETLER!$H$7:$H$606,"Aktif"))</f>
        <v/>
      </c>
      <c r="E80" s="68" t="str">
        <f ca="1">IF($B80="","",SUMIFS(UCRETLER!$G$7:$G$606,UCRETLER!$B$7:$B$606,$B80,UCRETLER!$F$7:$F$606,"Aylık",UCRETLER!$H$7:$H$606,"Aktif"))</f>
        <v/>
      </c>
      <c r="F80" s="68" t="str">
        <f ca="1">IF($B80="","",SUMIFS(MUSTERILER!$J$7:$J$156,MUSTERILER!$B$7:$B$156,$B80))</f>
        <v/>
      </c>
      <c r="G80" s="68" t="str">
        <f ca="1">IF($B80="","",SUMIFS(UCRETLER!$I$7:$I$606,UCRETLER!$B$7:$B$606,$B80)+SUMIFS(GELIR_GIDER!$G$7:$G$3001,GELIR_GIDER!$T$7:$T$3001,$B80))</f>
        <v/>
      </c>
      <c r="H80" s="68" t="str">
        <f t="shared" ca="1" si="37"/>
        <v/>
      </c>
      <c r="I80" s="68" t="str">
        <f ca="1">IF($B80="","",SUMIFS(TAHSILAT!$F$7:$F$2503,TAHSILAT!$C$7:$C$2503,$B80))</f>
        <v/>
      </c>
      <c r="J80" s="68" t="str">
        <f t="shared" ca="1" si="38"/>
        <v/>
      </c>
      <c r="K80" s="68" t="str">
        <f t="shared" ca="1" si="39"/>
        <v/>
      </c>
      <c r="L80" s="68" t="str">
        <f t="shared" ca="1" si="40"/>
        <v/>
      </c>
      <c r="M80" s="68" t="str">
        <f t="shared" ca="1" si="41"/>
        <v/>
      </c>
      <c r="N80" s="68" t="str">
        <f t="shared" ca="1" si="42"/>
        <v/>
      </c>
      <c r="O80" s="92" t="str">
        <f t="shared" ca="1" si="43"/>
        <v/>
      </c>
      <c r="P80" s="70" t="str">
        <f ca="1">IF($B80="","",IFERROR(LOOKUP(2,1/(TAHSILAT!$C$7:$C$2503=$B80),TAHSILAT!$E$7:$E$2503),""))</f>
        <v/>
      </c>
      <c r="Q80" s="65" t="str">
        <f t="shared" ca="1" si="44"/>
        <v/>
      </c>
      <c r="R80" s="74" t="str">
        <f t="shared" ca="1" si="45"/>
        <v/>
      </c>
      <c r="S80" s="93" t="str">
        <f t="shared" ca="1" si="46"/>
        <v/>
      </c>
      <c r="T80" s="70" t="str">
        <f ca="1">IF(OR($B80="",$AF80=""),"",IF(INDEX(MUSTERILER!$K$7:$K$156,$AF80)="","",INDEX(MUSTERILER!$K$7:$K$156,$AF80)))</f>
        <v/>
      </c>
      <c r="U80" s="93" t="str">
        <f t="shared" ca="1" si="47"/>
        <v/>
      </c>
      <c r="V80" s="68" t="str">
        <f t="shared" ca="1" si="48"/>
        <v/>
      </c>
      <c r="W80" s="65" t="str">
        <f t="shared" ca="1" si="49"/>
        <v/>
      </c>
      <c r="X80" s="2">
        <f ca="1">IF($B80="",0,SUMIFS(UCRETLER!$J$7:$J$606,UCRETLER!$B$7:$B$606,$B80))</f>
        <v>0</v>
      </c>
      <c r="Y80" s="2">
        <f ca="1">IF($B80="",0,SUMIFS(UCRETLER!$K$7:$K$606,UCRETLER!$B$7:$B$606,$B80))</f>
        <v>0</v>
      </c>
      <c r="Z80" s="1">
        <f ca="1">IF($B80="",0,SUMIFS(UCRETLER!$L$7:$L$606,UCRETLER!$B$7:$B$606,$B80))</f>
        <v>0</v>
      </c>
      <c r="AA80" s="1">
        <f t="shared" ca="1" si="50"/>
        <v>0</v>
      </c>
      <c r="AB80" s="1">
        <f t="shared" ca="1" si="51"/>
        <v>0</v>
      </c>
      <c r="AC80" s="1">
        <f t="shared" ca="1" si="52"/>
        <v>0</v>
      </c>
      <c r="AD80" s="1">
        <f t="shared" ca="1" si="53"/>
        <v>0</v>
      </c>
      <c r="AE80" s="1">
        <f t="shared" ca="1" si="54"/>
        <v>0</v>
      </c>
      <c r="AF80" s="1" t="str">
        <f ca="1">IFERROR(MATCH(ROW()-6,MUSTERILER!$U$7:$U$156,0),"")</f>
        <v/>
      </c>
      <c r="AG80" s="1">
        <f ca="1">IF($B80="",0,SUMIFS(GELIR_GIDER!$G$7:$G$3001,GELIR_GIDER!$T$7:$T$3001,$B80))</f>
        <v>0</v>
      </c>
    </row>
    <row r="81" spans="1:33" ht="18" customHeight="1" x14ac:dyDescent="0.3">
      <c r="A81" s="2"/>
      <c r="B81" s="65" t="str">
        <f ca="1">IF($AF81="","",INDEX(MUSTERILER!$B$7:$B$156,$AF81))</f>
        <v/>
      </c>
      <c r="C81" s="74" t="str">
        <f ca="1">IF($AF81="","",INDEX(MUSTERILER!$C$7:$C$156,$AF81))</f>
        <v/>
      </c>
      <c r="D81" s="68" t="str">
        <f ca="1">IF($B81="","",SUMIFS(UCRETLER!$G$7:$G$606,UCRETLER!$B$7:$B$606,$B81,UCRETLER!$F$7:$F$606,"Haftalık",UCRETLER!$H$7:$H$606,"Aktif"))</f>
        <v/>
      </c>
      <c r="E81" s="68" t="str">
        <f ca="1">IF($B81="","",SUMIFS(UCRETLER!$G$7:$G$606,UCRETLER!$B$7:$B$606,$B81,UCRETLER!$F$7:$F$606,"Aylık",UCRETLER!$H$7:$H$606,"Aktif"))</f>
        <v/>
      </c>
      <c r="F81" s="68" t="str">
        <f ca="1">IF($B81="","",SUMIFS(MUSTERILER!$J$7:$J$156,MUSTERILER!$B$7:$B$156,$B81))</f>
        <v/>
      </c>
      <c r="G81" s="68" t="str">
        <f ca="1">IF($B81="","",SUMIFS(UCRETLER!$I$7:$I$606,UCRETLER!$B$7:$B$606,$B81)+SUMIFS(GELIR_GIDER!$G$7:$G$3001,GELIR_GIDER!$T$7:$T$3001,$B81))</f>
        <v/>
      </c>
      <c r="H81" s="68" t="str">
        <f t="shared" ca="1" si="37"/>
        <v/>
      </c>
      <c r="I81" s="68" t="str">
        <f ca="1">IF($B81="","",SUMIFS(TAHSILAT!$F$7:$F$2503,TAHSILAT!$C$7:$C$2503,$B81))</f>
        <v/>
      </c>
      <c r="J81" s="68" t="str">
        <f t="shared" ca="1" si="38"/>
        <v/>
      </c>
      <c r="K81" s="68" t="str">
        <f t="shared" ca="1" si="39"/>
        <v/>
      </c>
      <c r="L81" s="68" t="str">
        <f t="shared" ca="1" si="40"/>
        <v/>
      </c>
      <c r="M81" s="68" t="str">
        <f t="shared" ca="1" si="41"/>
        <v/>
      </c>
      <c r="N81" s="68" t="str">
        <f t="shared" ca="1" si="42"/>
        <v/>
      </c>
      <c r="O81" s="92" t="str">
        <f t="shared" ca="1" si="43"/>
        <v/>
      </c>
      <c r="P81" s="70" t="str">
        <f ca="1">IF($B81="","",IFERROR(LOOKUP(2,1/(TAHSILAT!$C$7:$C$2503=$B81),TAHSILAT!$E$7:$E$2503),""))</f>
        <v/>
      </c>
      <c r="Q81" s="65" t="str">
        <f t="shared" ca="1" si="44"/>
        <v/>
      </c>
      <c r="R81" s="74" t="str">
        <f t="shared" ca="1" si="45"/>
        <v/>
      </c>
      <c r="S81" s="93" t="str">
        <f t="shared" ca="1" si="46"/>
        <v/>
      </c>
      <c r="T81" s="70" t="str">
        <f ca="1">IF(OR($B81="",$AF81=""),"",IF(INDEX(MUSTERILER!$K$7:$K$156,$AF81)="","",INDEX(MUSTERILER!$K$7:$K$156,$AF81)))</f>
        <v/>
      </c>
      <c r="U81" s="93" t="str">
        <f t="shared" ca="1" si="47"/>
        <v/>
      </c>
      <c r="V81" s="68" t="str">
        <f t="shared" ca="1" si="48"/>
        <v/>
      </c>
      <c r="W81" s="65" t="str">
        <f t="shared" ca="1" si="49"/>
        <v/>
      </c>
      <c r="X81" s="2">
        <f ca="1">IF($B81="",0,SUMIFS(UCRETLER!$J$7:$J$606,UCRETLER!$B$7:$B$606,$B81))</f>
        <v>0</v>
      </c>
      <c r="Y81" s="2">
        <f ca="1">IF($B81="",0,SUMIFS(UCRETLER!$K$7:$K$606,UCRETLER!$B$7:$B$606,$B81))</f>
        <v>0</v>
      </c>
      <c r="Z81" s="1">
        <f ca="1">IF($B81="",0,SUMIFS(UCRETLER!$L$7:$L$606,UCRETLER!$B$7:$B$606,$B81))</f>
        <v>0</v>
      </c>
      <c r="AA81" s="1">
        <f t="shared" ca="1" si="50"/>
        <v>0</v>
      </c>
      <c r="AB81" s="1">
        <f t="shared" ca="1" si="51"/>
        <v>0</v>
      </c>
      <c r="AC81" s="1">
        <f t="shared" ca="1" si="52"/>
        <v>0</v>
      </c>
      <c r="AD81" s="1">
        <f t="shared" ca="1" si="53"/>
        <v>0</v>
      </c>
      <c r="AE81" s="1">
        <f t="shared" ca="1" si="54"/>
        <v>0</v>
      </c>
      <c r="AF81" s="1" t="str">
        <f ca="1">IFERROR(MATCH(ROW()-6,MUSTERILER!$U$7:$U$156,0),"")</f>
        <v/>
      </c>
      <c r="AG81" s="1">
        <f ca="1">IF($B81="",0,SUMIFS(GELIR_GIDER!$G$7:$G$3001,GELIR_GIDER!$T$7:$T$3001,$B81))</f>
        <v>0</v>
      </c>
    </row>
    <row r="82" spans="1:33" ht="18" customHeight="1" x14ac:dyDescent="0.3">
      <c r="A82" s="2"/>
      <c r="B82" s="65" t="str">
        <f ca="1">IF($AF82="","",INDEX(MUSTERILER!$B$7:$B$156,$AF82))</f>
        <v/>
      </c>
      <c r="C82" s="74" t="str">
        <f ca="1">IF($AF82="","",INDEX(MUSTERILER!$C$7:$C$156,$AF82))</f>
        <v/>
      </c>
      <c r="D82" s="68" t="str">
        <f ca="1">IF($B82="","",SUMIFS(UCRETLER!$G$7:$G$606,UCRETLER!$B$7:$B$606,$B82,UCRETLER!$F$7:$F$606,"Haftalık",UCRETLER!$H$7:$H$606,"Aktif"))</f>
        <v/>
      </c>
      <c r="E82" s="68" t="str">
        <f ca="1">IF($B82="","",SUMIFS(UCRETLER!$G$7:$G$606,UCRETLER!$B$7:$B$606,$B82,UCRETLER!$F$7:$F$606,"Aylık",UCRETLER!$H$7:$H$606,"Aktif"))</f>
        <v/>
      </c>
      <c r="F82" s="68" t="str">
        <f ca="1">IF($B82="","",SUMIFS(MUSTERILER!$J$7:$J$156,MUSTERILER!$B$7:$B$156,$B82))</f>
        <v/>
      </c>
      <c r="G82" s="68" t="str">
        <f ca="1">IF($B82="","",SUMIFS(UCRETLER!$I$7:$I$606,UCRETLER!$B$7:$B$606,$B82)+SUMIFS(GELIR_GIDER!$G$7:$G$3001,GELIR_GIDER!$T$7:$T$3001,$B82))</f>
        <v/>
      </c>
      <c r="H82" s="68" t="str">
        <f t="shared" ca="1" si="37"/>
        <v/>
      </c>
      <c r="I82" s="68" t="str">
        <f ca="1">IF($B82="","",SUMIFS(TAHSILAT!$F$7:$F$2503,TAHSILAT!$C$7:$C$2503,$B82))</f>
        <v/>
      </c>
      <c r="J82" s="68" t="str">
        <f t="shared" ca="1" si="38"/>
        <v/>
      </c>
      <c r="K82" s="68" t="str">
        <f t="shared" ca="1" si="39"/>
        <v/>
      </c>
      <c r="L82" s="68" t="str">
        <f t="shared" ca="1" si="40"/>
        <v/>
      </c>
      <c r="M82" s="68" t="str">
        <f t="shared" ca="1" si="41"/>
        <v/>
      </c>
      <c r="N82" s="68" t="str">
        <f t="shared" ca="1" si="42"/>
        <v/>
      </c>
      <c r="O82" s="92" t="str">
        <f t="shared" ca="1" si="43"/>
        <v/>
      </c>
      <c r="P82" s="70" t="str">
        <f ca="1">IF($B82="","",IFERROR(LOOKUP(2,1/(TAHSILAT!$C$7:$C$2503=$B82),TAHSILAT!$E$7:$E$2503),""))</f>
        <v/>
      </c>
      <c r="Q82" s="65" t="str">
        <f t="shared" ca="1" si="44"/>
        <v/>
      </c>
      <c r="R82" s="74" t="str">
        <f t="shared" ca="1" si="45"/>
        <v/>
      </c>
      <c r="S82" s="93" t="str">
        <f t="shared" ca="1" si="46"/>
        <v/>
      </c>
      <c r="T82" s="70" t="str">
        <f ca="1">IF(OR($B82="",$AF82=""),"",IF(INDEX(MUSTERILER!$K$7:$K$156,$AF82)="","",INDEX(MUSTERILER!$K$7:$K$156,$AF82)))</f>
        <v/>
      </c>
      <c r="U82" s="93" t="str">
        <f t="shared" ca="1" si="47"/>
        <v/>
      </c>
      <c r="V82" s="68" t="str">
        <f t="shared" ca="1" si="48"/>
        <v/>
      </c>
      <c r="W82" s="65" t="str">
        <f t="shared" ca="1" si="49"/>
        <v/>
      </c>
      <c r="X82" s="2">
        <f ca="1">IF($B82="",0,SUMIFS(UCRETLER!$J$7:$J$606,UCRETLER!$B$7:$B$606,$B82))</f>
        <v>0</v>
      </c>
      <c r="Y82" s="2">
        <f ca="1">IF($B82="",0,SUMIFS(UCRETLER!$K$7:$K$606,UCRETLER!$B$7:$B$606,$B82))</f>
        <v>0</v>
      </c>
      <c r="Z82" s="1">
        <f ca="1">IF($B82="",0,SUMIFS(UCRETLER!$L$7:$L$606,UCRETLER!$B$7:$B$606,$B82))</f>
        <v>0</v>
      </c>
      <c r="AA82" s="1">
        <f t="shared" ca="1" si="50"/>
        <v>0</v>
      </c>
      <c r="AB82" s="1">
        <f t="shared" ca="1" si="51"/>
        <v>0</v>
      </c>
      <c r="AC82" s="1">
        <f t="shared" ca="1" si="52"/>
        <v>0</v>
      </c>
      <c r="AD82" s="1">
        <f t="shared" ca="1" si="53"/>
        <v>0</v>
      </c>
      <c r="AE82" s="1">
        <f t="shared" ca="1" si="54"/>
        <v>0</v>
      </c>
      <c r="AF82" s="1" t="str">
        <f ca="1">IFERROR(MATCH(ROW()-6,MUSTERILER!$U$7:$U$156,0),"")</f>
        <v/>
      </c>
      <c r="AG82" s="1">
        <f ca="1">IF($B82="",0,SUMIFS(GELIR_GIDER!$G$7:$G$3001,GELIR_GIDER!$T$7:$T$3001,$B82))</f>
        <v>0</v>
      </c>
    </row>
    <row r="83" spans="1:33" ht="18" customHeight="1" x14ac:dyDescent="0.3">
      <c r="A83" s="2"/>
      <c r="B83" s="65" t="str">
        <f ca="1">IF($AF83="","",INDEX(MUSTERILER!$B$7:$B$156,$AF83))</f>
        <v/>
      </c>
      <c r="C83" s="74" t="str">
        <f ca="1">IF($AF83="","",INDEX(MUSTERILER!$C$7:$C$156,$AF83))</f>
        <v/>
      </c>
      <c r="D83" s="68" t="str">
        <f ca="1">IF($B83="","",SUMIFS(UCRETLER!$G$7:$G$606,UCRETLER!$B$7:$B$606,$B83,UCRETLER!$F$7:$F$606,"Haftalık",UCRETLER!$H$7:$H$606,"Aktif"))</f>
        <v/>
      </c>
      <c r="E83" s="68" t="str">
        <f ca="1">IF($B83="","",SUMIFS(UCRETLER!$G$7:$G$606,UCRETLER!$B$7:$B$606,$B83,UCRETLER!$F$7:$F$606,"Aylık",UCRETLER!$H$7:$H$606,"Aktif"))</f>
        <v/>
      </c>
      <c r="F83" s="68" t="str">
        <f ca="1">IF($B83="","",SUMIFS(MUSTERILER!$J$7:$J$156,MUSTERILER!$B$7:$B$156,$B83))</f>
        <v/>
      </c>
      <c r="G83" s="68" t="str">
        <f ca="1">IF($B83="","",SUMIFS(UCRETLER!$I$7:$I$606,UCRETLER!$B$7:$B$606,$B83)+SUMIFS(GELIR_GIDER!$G$7:$G$3001,GELIR_GIDER!$T$7:$T$3001,$B83))</f>
        <v/>
      </c>
      <c r="H83" s="68" t="str">
        <f t="shared" ca="1" si="37"/>
        <v/>
      </c>
      <c r="I83" s="68" t="str">
        <f ca="1">IF($B83="","",SUMIFS(TAHSILAT!$F$7:$F$2503,TAHSILAT!$C$7:$C$2503,$B83))</f>
        <v/>
      </c>
      <c r="J83" s="68" t="str">
        <f t="shared" ca="1" si="38"/>
        <v/>
      </c>
      <c r="K83" s="68" t="str">
        <f t="shared" ca="1" si="39"/>
        <v/>
      </c>
      <c r="L83" s="68" t="str">
        <f t="shared" ca="1" si="40"/>
        <v/>
      </c>
      <c r="M83" s="68" t="str">
        <f t="shared" ca="1" si="41"/>
        <v/>
      </c>
      <c r="N83" s="68" t="str">
        <f t="shared" ca="1" si="42"/>
        <v/>
      </c>
      <c r="O83" s="92" t="str">
        <f t="shared" ca="1" si="43"/>
        <v/>
      </c>
      <c r="P83" s="70" t="str">
        <f ca="1">IF($B83="","",IFERROR(LOOKUP(2,1/(TAHSILAT!$C$7:$C$2503=$B83),TAHSILAT!$E$7:$E$2503),""))</f>
        <v/>
      </c>
      <c r="Q83" s="65" t="str">
        <f t="shared" ca="1" si="44"/>
        <v/>
      </c>
      <c r="R83" s="74" t="str">
        <f t="shared" ca="1" si="45"/>
        <v/>
      </c>
      <c r="S83" s="93" t="str">
        <f t="shared" ca="1" si="46"/>
        <v/>
      </c>
      <c r="T83" s="70" t="str">
        <f ca="1">IF(OR($B83="",$AF83=""),"",IF(INDEX(MUSTERILER!$K$7:$K$156,$AF83)="","",INDEX(MUSTERILER!$K$7:$K$156,$AF83)))</f>
        <v/>
      </c>
      <c r="U83" s="93" t="str">
        <f t="shared" ca="1" si="47"/>
        <v/>
      </c>
      <c r="V83" s="68" t="str">
        <f t="shared" ca="1" si="48"/>
        <v/>
      </c>
      <c r="W83" s="65" t="str">
        <f t="shared" ca="1" si="49"/>
        <v/>
      </c>
      <c r="X83" s="2">
        <f ca="1">IF($B83="",0,SUMIFS(UCRETLER!$J$7:$J$606,UCRETLER!$B$7:$B$606,$B83))</f>
        <v>0</v>
      </c>
      <c r="Y83" s="2">
        <f ca="1">IF($B83="",0,SUMIFS(UCRETLER!$K$7:$K$606,UCRETLER!$B$7:$B$606,$B83))</f>
        <v>0</v>
      </c>
      <c r="Z83" s="1">
        <f ca="1">IF($B83="",0,SUMIFS(UCRETLER!$L$7:$L$606,UCRETLER!$B$7:$B$606,$B83))</f>
        <v>0</v>
      </c>
      <c r="AA83" s="1">
        <f t="shared" ca="1" si="50"/>
        <v>0</v>
      </c>
      <c r="AB83" s="1">
        <f t="shared" ca="1" si="51"/>
        <v>0</v>
      </c>
      <c r="AC83" s="1">
        <f t="shared" ca="1" si="52"/>
        <v>0</v>
      </c>
      <c r="AD83" s="1">
        <f t="shared" ca="1" si="53"/>
        <v>0</v>
      </c>
      <c r="AE83" s="1">
        <f t="shared" ca="1" si="54"/>
        <v>0</v>
      </c>
      <c r="AF83" s="1" t="str">
        <f ca="1">IFERROR(MATCH(ROW()-6,MUSTERILER!$U$7:$U$156,0),"")</f>
        <v/>
      </c>
      <c r="AG83" s="1">
        <f ca="1">IF($B83="",0,SUMIFS(GELIR_GIDER!$G$7:$G$3001,GELIR_GIDER!$T$7:$T$3001,$B83))</f>
        <v>0</v>
      </c>
    </row>
    <row r="84" spans="1:33" ht="18" customHeight="1" x14ac:dyDescent="0.3">
      <c r="A84" s="2"/>
      <c r="B84" s="65" t="str">
        <f ca="1">IF($AF84="","",INDEX(MUSTERILER!$B$7:$B$156,$AF84))</f>
        <v/>
      </c>
      <c r="C84" s="74" t="str">
        <f ca="1">IF($AF84="","",INDEX(MUSTERILER!$C$7:$C$156,$AF84))</f>
        <v/>
      </c>
      <c r="D84" s="68" t="str">
        <f ca="1">IF($B84="","",SUMIFS(UCRETLER!$G$7:$G$606,UCRETLER!$B$7:$B$606,$B84,UCRETLER!$F$7:$F$606,"Haftalık",UCRETLER!$H$7:$H$606,"Aktif"))</f>
        <v/>
      </c>
      <c r="E84" s="68" t="str">
        <f ca="1">IF($B84="","",SUMIFS(UCRETLER!$G$7:$G$606,UCRETLER!$B$7:$B$606,$B84,UCRETLER!$F$7:$F$606,"Aylık",UCRETLER!$H$7:$H$606,"Aktif"))</f>
        <v/>
      </c>
      <c r="F84" s="68" t="str">
        <f ca="1">IF($B84="","",SUMIFS(MUSTERILER!$J$7:$J$156,MUSTERILER!$B$7:$B$156,$B84))</f>
        <v/>
      </c>
      <c r="G84" s="68" t="str">
        <f ca="1">IF($B84="","",SUMIFS(UCRETLER!$I$7:$I$606,UCRETLER!$B$7:$B$606,$B84)+SUMIFS(GELIR_GIDER!$G$7:$G$3001,GELIR_GIDER!$T$7:$T$3001,$B84))</f>
        <v/>
      </c>
      <c r="H84" s="68" t="str">
        <f t="shared" ca="1" si="37"/>
        <v/>
      </c>
      <c r="I84" s="68" t="str">
        <f ca="1">IF($B84="","",SUMIFS(TAHSILAT!$F$7:$F$2503,TAHSILAT!$C$7:$C$2503,$B84))</f>
        <v/>
      </c>
      <c r="J84" s="68" t="str">
        <f t="shared" ca="1" si="38"/>
        <v/>
      </c>
      <c r="K84" s="68" t="str">
        <f t="shared" ca="1" si="39"/>
        <v/>
      </c>
      <c r="L84" s="68" t="str">
        <f t="shared" ca="1" si="40"/>
        <v/>
      </c>
      <c r="M84" s="68" t="str">
        <f t="shared" ca="1" si="41"/>
        <v/>
      </c>
      <c r="N84" s="68" t="str">
        <f t="shared" ca="1" si="42"/>
        <v/>
      </c>
      <c r="O84" s="92" t="str">
        <f t="shared" ca="1" si="43"/>
        <v/>
      </c>
      <c r="P84" s="70" t="str">
        <f ca="1">IF($B84="","",IFERROR(LOOKUP(2,1/(TAHSILAT!$C$7:$C$2503=$B84),TAHSILAT!$E$7:$E$2503),""))</f>
        <v/>
      </c>
      <c r="Q84" s="65" t="str">
        <f t="shared" ca="1" si="44"/>
        <v/>
      </c>
      <c r="R84" s="74" t="str">
        <f t="shared" ca="1" si="45"/>
        <v/>
      </c>
      <c r="S84" s="93" t="str">
        <f t="shared" ca="1" si="46"/>
        <v/>
      </c>
      <c r="T84" s="70" t="str">
        <f ca="1">IF(OR($B84="",$AF84=""),"",IF(INDEX(MUSTERILER!$K$7:$K$156,$AF84)="","",INDEX(MUSTERILER!$K$7:$K$156,$AF84)))</f>
        <v/>
      </c>
      <c r="U84" s="93" t="str">
        <f t="shared" ca="1" si="47"/>
        <v/>
      </c>
      <c r="V84" s="68" t="str">
        <f t="shared" ca="1" si="48"/>
        <v/>
      </c>
      <c r="W84" s="65" t="str">
        <f t="shared" ca="1" si="49"/>
        <v/>
      </c>
      <c r="X84" s="2">
        <f ca="1">IF($B84="",0,SUMIFS(UCRETLER!$J$7:$J$606,UCRETLER!$B$7:$B$606,$B84))</f>
        <v>0</v>
      </c>
      <c r="Y84" s="2">
        <f ca="1">IF($B84="",0,SUMIFS(UCRETLER!$K$7:$K$606,UCRETLER!$B$7:$B$606,$B84))</f>
        <v>0</v>
      </c>
      <c r="Z84" s="1">
        <f ca="1">IF($B84="",0,SUMIFS(UCRETLER!$L$7:$L$606,UCRETLER!$B$7:$B$606,$B84))</f>
        <v>0</v>
      </c>
      <c r="AA84" s="1">
        <f t="shared" ca="1" si="50"/>
        <v>0</v>
      </c>
      <c r="AB84" s="1">
        <f t="shared" ca="1" si="51"/>
        <v>0</v>
      </c>
      <c r="AC84" s="1">
        <f t="shared" ca="1" si="52"/>
        <v>0</v>
      </c>
      <c r="AD84" s="1">
        <f t="shared" ca="1" si="53"/>
        <v>0</v>
      </c>
      <c r="AE84" s="1">
        <f t="shared" ca="1" si="54"/>
        <v>0</v>
      </c>
      <c r="AF84" s="1" t="str">
        <f ca="1">IFERROR(MATCH(ROW()-6,MUSTERILER!$U$7:$U$156,0),"")</f>
        <v/>
      </c>
      <c r="AG84" s="1">
        <f ca="1">IF($B84="",0,SUMIFS(GELIR_GIDER!$G$7:$G$3001,GELIR_GIDER!$T$7:$T$3001,$B84))</f>
        <v>0</v>
      </c>
    </row>
    <row r="85" spans="1:33" ht="18" customHeight="1" x14ac:dyDescent="0.3">
      <c r="A85" s="2"/>
      <c r="B85" s="65" t="str">
        <f ca="1">IF($AF85="","",INDEX(MUSTERILER!$B$7:$B$156,$AF85))</f>
        <v/>
      </c>
      <c r="C85" s="74" t="str">
        <f ca="1">IF($AF85="","",INDEX(MUSTERILER!$C$7:$C$156,$AF85))</f>
        <v/>
      </c>
      <c r="D85" s="68" t="str">
        <f ca="1">IF($B85="","",SUMIFS(UCRETLER!$G$7:$G$606,UCRETLER!$B$7:$B$606,$B85,UCRETLER!$F$7:$F$606,"Haftalık",UCRETLER!$H$7:$H$606,"Aktif"))</f>
        <v/>
      </c>
      <c r="E85" s="68" t="str">
        <f ca="1">IF($B85="","",SUMIFS(UCRETLER!$G$7:$G$606,UCRETLER!$B$7:$B$606,$B85,UCRETLER!$F$7:$F$606,"Aylık",UCRETLER!$H$7:$H$606,"Aktif"))</f>
        <v/>
      </c>
      <c r="F85" s="68" t="str">
        <f ca="1">IF($B85="","",SUMIFS(MUSTERILER!$J$7:$J$156,MUSTERILER!$B$7:$B$156,$B85))</f>
        <v/>
      </c>
      <c r="G85" s="68" t="str">
        <f ca="1">IF($B85="","",SUMIFS(UCRETLER!$I$7:$I$606,UCRETLER!$B$7:$B$606,$B85)+SUMIFS(GELIR_GIDER!$G$7:$G$3001,GELIR_GIDER!$T$7:$T$3001,$B85))</f>
        <v/>
      </c>
      <c r="H85" s="68" t="str">
        <f t="shared" ca="1" si="37"/>
        <v/>
      </c>
      <c r="I85" s="68" t="str">
        <f ca="1">IF($B85="","",SUMIFS(TAHSILAT!$F$7:$F$2503,TAHSILAT!$C$7:$C$2503,$B85))</f>
        <v/>
      </c>
      <c r="J85" s="68" t="str">
        <f t="shared" ca="1" si="38"/>
        <v/>
      </c>
      <c r="K85" s="68" t="str">
        <f t="shared" ca="1" si="39"/>
        <v/>
      </c>
      <c r="L85" s="68" t="str">
        <f t="shared" ca="1" si="40"/>
        <v/>
      </c>
      <c r="M85" s="68" t="str">
        <f t="shared" ca="1" si="41"/>
        <v/>
      </c>
      <c r="N85" s="68" t="str">
        <f t="shared" ca="1" si="42"/>
        <v/>
      </c>
      <c r="O85" s="92" t="str">
        <f t="shared" ca="1" si="43"/>
        <v/>
      </c>
      <c r="P85" s="70" t="str">
        <f ca="1">IF($B85="","",IFERROR(LOOKUP(2,1/(TAHSILAT!$C$7:$C$2503=$B85),TAHSILAT!$E$7:$E$2503),""))</f>
        <v/>
      </c>
      <c r="Q85" s="65" t="str">
        <f t="shared" ca="1" si="44"/>
        <v/>
      </c>
      <c r="R85" s="74" t="str">
        <f t="shared" ca="1" si="45"/>
        <v/>
      </c>
      <c r="S85" s="93" t="str">
        <f t="shared" ca="1" si="46"/>
        <v/>
      </c>
      <c r="T85" s="70" t="str">
        <f ca="1">IF(OR($B85="",$AF85=""),"",IF(INDEX(MUSTERILER!$K$7:$K$156,$AF85)="","",INDEX(MUSTERILER!$K$7:$K$156,$AF85)))</f>
        <v/>
      </c>
      <c r="U85" s="93" t="str">
        <f t="shared" ca="1" si="47"/>
        <v/>
      </c>
      <c r="V85" s="68" t="str">
        <f t="shared" ca="1" si="48"/>
        <v/>
      </c>
      <c r="W85" s="65" t="str">
        <f t="shared" ca="1" si="49"/>
        <v/>
      </c>
      <c r="X85" s="2">
        <f ca="1">IF($B85="",0,SUMIFS(UCRETLER!$J$7:$J$606,UCRETLER!$B$7:$B$606,$B85))</f>
        <v>0</v>
      </c>
      <c r="Y85" s="2">
        <f ca="1">IF($B85="",0,SUMIFS(UCRETLER!$K$7:$K$606,UCRETLER!$B$7:$B$606,$B85))</f>
        <v>0</v>
      </c>
      <c r="Z85" s="1">
        <f ca="1">IF($B85="",0,SUMIFS(UCRETLER!$L$7:$L$606,UCRETLER!$B$7:$B$606,$B85))</f>
        <v>0</v>
      </c>
      <c r="AA85" s="1">
        <f t="shared" ca="1" si="50"/>
        <v>0</v>
      </c>
      <c r="AB85" s="1">
        <f t="shared" ca="1" si="51"/>
        <v>0</v>
      </c>
      <c r="AC85" s="1">
        <f t="shared" ca="1" si="52"/>
        <v>0</v>
      </c>
      <c r="AD85" s="1">
        <f t="shared" ca="1" si="53"/>
        <v>0</v>
      </c>
      <c r="AE85" s="1">
        <f t="shared" ca="1" si="54"/>
        <v>0</v>
      </c>
      <c r="AF85" s="1" t="str">
        <f ca="1">IFERROR(MATCH(ROW()-6,MUSTERILER!$U$7:$U$156,0),"")</f>
        <v/>
      </c>
      <c r="AG85" s="1">
        <f ca="1">IF($B85="",0,SUMIFS(GELIR_GIDER!$G$7:$G$3001,GELIR_GIDER!$T$7:$T$3001,$B85))</f>
        <v>0</v>
      </c>
    </row>
    <row r="86" spans="1:33" ht="18" customHeight="1" x14ac:dyDescent="0.3">
      <c r="A86" s="2"/>
      <c r="B86" s="65" t="str">
        <f ca="1">IF($AF86="","",INDEX(MUSTERILER!$B$7:$B$156,$AF86))</f>
        <v/>
      </c>
      <c r="C86" s="74" t="str">
        <f ca="1">IF($AF86="","",INDEX(MUSTERILER!$C$7:$C$156,$AF86))</f>
        <v/>
      </c>
      <c r="D86" s="68" t="str">
        <f ca="1">IF($B86="","",SUMIFS(UCRETLER!$G$7:$G$606,UCRETLER!$B$7:$B$606,$B86,UCRETLER!$F$7:$F$606,"Haftalık",UCRETLER!$H$7:$H$606,"Aktif"))</f>
        <v/>
      </c>
      <c r="E86" s="68" t="str">
        <f ca="1">IF($B86="","",SUMIFS(UCRETLER!$G$7:$G$606,UCRETLER!$B$7:$B$606,$B86,UCRETLER!$F$7:$F$606,"Aylık",UCRETLER!$H$7:$H$606,"Aktif"))</f>
        <v/>
      </c>
      <c r="F86" s="68" t="str">
        <f ca="1">IF($B86="","",SUMIFS(MUSTERILER!$J$7:$J$156,MUSTERILER!$B$7:$B$156,$B86))</f>
        <v/>
      </c>
      <c r="G86" s="68" t="str">
        <f ca="1">IF($B86="","",SUMIFS(UCRETLER!$I$7:$I$606,UCRETLER!$B$7:$B$606,$B86)+SUMIFS(GELIR_GIDER!$G$7:$G$3001,GELIR_GIDER!$T$7:$T$3001,$B86))</f>
        <v/>
      </c>
      <c r="H86" s="68" t="str">
        <f t="shared" ca="1" si="37"/>
        <v/>
      </c>
      <c r="I86" s="68" t="str">
        <f ca="1">IF($B86="","",SUMIFS(TAHSILAT!$F$7:$F$2503,TAHSILAT!$C$7:$C$2503,$B86))</f>
        <v/>
      </c>
      <c r="J86" s="68" t="str">
        <f t="shared" ca="1" si="38"/>
        <v/>
      </c>
      <c r="K86" s="68" t="str">
        <f t="shared" ca="1" si="39"/>
        <v/>
      </c>
      <c r="L86" s="68" t="str">
        <f t="shared" ca="1" si="40"/>
        <v/>
      </c>
      <c r="M86" s="68" t="str">
        <f t="shared" ca="1" si="41"/>
        <v/>
      </c>
      <c r="N86" s="68" t="str">
        <f t="shared" ca="1" si="42"/>
        <v/>
      </c>
      <c r="O86" s="92" t="str">
        <f t="shared" ca="1" si="43"/>
        <v/>
      </c>
      <c r="P86" s="70" t="str">
        <f ca="1">IF($B86="","",IFERROR(LOOKUP(2,1/(TAHSILAT!$C$7:$C$2503=$B86),TAHSILAT!$E$7:$E$2503),""))</f>
        <v/>
      </c>
      <c r="Q86" s="65" t="str">
        <f t="shared" ca="1" si="44"/>
        <v/>
      </c>
      <c r="R86" s="74" t="str">
        <f t="shared" ca="1" si="45"/>
        <v/>
      </c>
      <c r="S86" s="93" t="str">
        <f t="shared" ca="1" si="46"/>
        <v/>
      </c>
      <c r="T86" s="70" t="str">
        <f ca="1">IF(OR($B86="",$AF86=""),"",IF(INDEX(MUSTERILER!$K$7:$K$156,$AF86)="","",INDEX(MUSTERILER!$K$7:$K$156,$AF86)))</f>
        <v/>
      </c>
      <c r="U86" s="93" t="str">
        <f t="shared" ca="1" si="47"/>
        <v/>
      </c>
      <c r="V86" s="68" t="str">
        <f t="shared" ca="1" si="48"/>
        <v/>
      </c>
      <c r="W86" s="65" t="str">
        <f t="shared" ca="1" si="49"/>
        <v/>
      </c>
      <c r="X86" s="2">
        <f ca="1">IF($B86="",0,SUMIFS(UCRETLER!$J$7:$J$606,UCRETLER!$B$7:$B$606,$B86))</f>
        <v>0</v>
      </c>
      <c r="Y86" s="2">
        <f ca="1">IF($B86="",0,SUMIFS(UCRETLER!$K$7:$K$606,UCRETLER!$B$7:$B$606,$B86))</f>
        <v>0</v>
      </c>
      <c r="Z86" s="1">
        <f ca="1">IF($B86="",0,SUMIFS(UCRETLER!$L$7:$L$606,UCRETLER!$B$7:$B$606,$B86))</f>
        <v>0</v>
      </c>
      <c r="AA86" s="1">
        <f t="shared" ca="1" si="50"/>
        <v>0</v>
      </c>
      <c r="AB86" s="1">
        <f t="shared" ca="1" si="51"/>
        <v>0</v>
      </c>
      <c r="AC86" s="1">
        <f t="shared" ca="1" si="52"/>
        <v>0</v>
      </c>
      <c r="AD86" s="1">
        <f t="shared" ca="1" si="53"/>
        <v>0</v>
      </c>
      <c r="AE86" s="1">
        <f t="shared" ca="1" si="54"/>
        <v>0</v>
      </c>
      <c r="AF86" s="1" t="str">
        <f ca="1">IFERROR(MATCH(ROW()-6,MUSTERILER!$U$7:$U$156,0),"")</f>
        <v/>
      </c>
      <c r="AG86" s="1">
        <f ca="1">IF($B86="",0,SUMIFS(GELIR_GIDER!$G$7:$G$3001,GELIR_GIDER!$T$7:$T$3001,$B86))</f>
        <v>0</v>
      </c>
    </row>
    <row r="87" spans="1:33" ht="18" customHeight="1" x14ac:dyDescent="0.3">
      <c r="A87" s="2"/>
      <c r="B87" s="65" t="str">
        <f ca="1">IF($AF87="","",INDEX(MUSTERILER!$B$7:$B$156,$AF87))</f>
        <v/>
      </c>
      <c r="C87" s="74" t="str">
        <f ca="1">IF($AF87="","",INDEX(MUSTERILER!$C$7:$C$156,$AF87))</f>
        <v/>
      </c>
      <c r="D87" s="68" t="str">
        <f ca="1">IF($B87="","",SUMIFS(UCRETLER!$G$7:$G$606,UCRETLER!$B$7:$B$606,$B87,UCRETLER!$F$7:$F$606,"Haftalık",UCRETLER!$H$7:$H$606,"Aktif"))</f>
        <v/>
      </c>
      <c r="E87" s="68" t="str">
        <f ca="1">IF($B87="","",SUMIFS(UCRETLER!$G$7:$G$606,UCRETLER!$B$7:$B$606,$B87,UCRETLER!$F$7:$F$606,"Aylık",UCRETLER!$H$7:$H$606,"Aktif"))</f>
        <v/>
      </c>
      <c r="F87" s="68" t="str">
        <f ca="1">IF($B87="","",SUMIFS(MUSTERILER!$J$7:$J$156,MUSTERILER!$B$7:$B$156,$B87))</f>
        <v/>
      </c>
      <c r="G87" s="68" t="str">
        <f ca="1">IF($B87="","",SUMIFS(UCRETLER!$I$7:$I$606,UCRETLER!$B$7:$B$606,$B87)+SUMIFS(GELIR_GIDER!$G$7:$G$3001,GELIR_GIDER!$T$7:$T$3001,$B87))</f>
        <v/>
      </c>
      <c r="H87" s="68" t="str">
        <f t="shared" ca="1" si="37"/>
        <v/>
      </c>
      <c r="I87" s="68" t="str">
        <f ca="1">IF($B87="","",SUMIFS(TAHSILAT!$F$7:$F$2503,TAHSILAT!$C$7:$C$2503,$B87))</f>
        <v/>
      </c>
      <c r="J87" s="68" t="str">
        <f t="shared" ca="1" si="38"/>
        <v/>
      </c>
      <c r="K87" s="68" t="str">
        <f t="shared" ca="1" si="39"/>
        <v/>
      </c>
      <c r="L87" s="68" t="str">
        <f t="shared" ca="1" si="40"/>
        <v/>
      </c>
      <c r="M87" s="68" t="str">
        <f t="shared" ca="1" si="41"/>
        <v/>
      </c>
      <c r="N87" s="68" t="str">
        <f t="shared" ca="1" si="42"/>
        <v/>
      </c>
      <c r="O87" s="92" t="str">
        <f t="shared" ca="1" si="43"/>
        <v/>
      </c>
      <c r="P87" s="70" t="str">
        <f ca="1">IF($B87="","",IFERROR(LOOKUP(2,1/(TAHSILAT!$C$7:$C$2503=$B87),TAHSILAT!$E$7:$E$2503),""))</f>
        <v/>
      </c>
      <c r="Q87" s="65" t="str">
        <f t="shared" ca="1" si="44"/>
        <v/>
      </c>
      <c r="R87" s="74" t="str">
        <f t="shared" ca="1" si="45"/>
        <v/>
      </c>
      <c r="S87" s="93" t="str">
        <f t="shared" ca="1" si="46"/>
        <v/>
      </c>
      <c r="T87" s="70" t="str">
        <f ca="1">IF(OR($B87="",$AF87=""),"",IF(INDEX(MUSTERILER!$K$7:$K$156,$AF87)="","",INDEX(MUSTERILER!$K$7:$K$156,$AF87)))</f>
        <v/>
      </c>
      <c r="U87" s="93" t="str">
        <f t="shared" ca="1" si="47"/>
        <v/>
      </c>
      <c r="V87" s="68" t="str">
        <f t="shared" ca="1" si="48"/>
        <v/>
      </c>
      <c r="W87" s="65" t="str">
        <f t="shared" ca="1" si="49"/>
        <v/>
      </c>
      <c r="X87" s="2">
        <f ca="1">IF($B87="",0,SUMIFS(UCRETLER!$J$7:$J$606,UCRETLER!$B$7:$B$606,$B87))</f>
        <v>0</v>
      </c>
      <c r="Y87" s="2">
        <f ca="1">IF($B87="",0,SUMIFS(UCRETLER!$K$7:$K$606,UCRETLER!$B$7:$B$606,$B87))</f>
        <v>0</v>
      </c>
      <c r="Z87" s="1">
        <f ca="1">IF($B87="",0,SUMIFS(UCRETLER!$L$7:$L$606,UCRETLER!$B$7:$B$606,$B87))</f>
        <v>0</v>
      </c>
      <c r="AA87" s="1">
        <f t="shared" ca="1" si="50"/>
        <v>0</v>
      </c>
      <c r="AB87" s="1">
        <f t="shared" ca="1" si="51"/>
        <v>0</v>
      </c>
      <c r="AC87" s="1">
        <f t="shared" ca="1" si="52"/>
        <v>0</v>
      </c>
      <c r="AD87" s="1">
        <f t="shared" ca="1" si="53"/>
        <v>0</v>
      </c>
      <c r="AE87" s="1">
        <f t="shared" ca="1" si="54"/>
        <v>0</v>
      </c>
      <c r="AF87" s="1" t="str">
        <f ca="1">IFERROR(MATCH(ROW()-6,MUSTERILER!$U$7:$U$156,0),"")</f>
        <v/>
      </c>
      <c r="AG87" s="1">
        <f ca="1">IF($B87="",0,SUMIFS(GELIR_GIDER!$G$7:$G$3001,GELIR_GIDER!$T$7:$T$3001,$B87))</f>
        <v>0</v>
      </c>
    </row>
    <row r="88" spans="1:33" ht="18" customHeight="1" x14ac:dyDescent="0.3">
      <c r="A88" s="2"/>
      <c r="B88" s="65" t="str">
        <f ca="1">IF($AF88="","",INDEX(MUSTERILER!$B$7:$B$156,$AF88))</f>
        <v/>
      </c>
      <c r="C88" s="74" t="str">
        <f ca="1">IF($AF88="","",INDEX(MUSTERILER!$C$7:$C$156,$AF88))</f>
        <v/>
      </c>
      <c r="D88" s="68" t="str">
        <f ca="1">IF($B88="","",SUMIFS(UCRETLER!$G$7:$G$606,UCRETLER!$B$7:$B$606,$B88,UCRETLER!$F$7:$F$606,"Haftalık",UCRETLER!$H$7:$H$606,"Aktif"))</f>
        <v/>
      </c>
      <c r="E88" s="68" t="str">
        <f ca="1">IF($B88="","",SUMIFS(UCRETLER!$G$7:$G$606,UCRETLER!$B$7:$B$606,$B88,UCRETLER!$F$7:$F$606,"Aylık",UCRETLER!$H$7:$H$606,"Aktif"))</f>
        <v/>
      </c>
      <c r="F88" s="68" t="str">
        <f ca="1">IF($B88="","",SUMIFS(MUSTERILER!$J$7:$J$156,MUSTERILER!$B$7:$B$156,$B88))</f>
        <v/>
      </c>
      <c r="G88" s="68" t="str">
        <f ca="1">IF($B88="","",SUMIFS(UCRETLER!$I$7:$I$606,UCRETLER!$B$7:$B$606,$B88)+SUMIFS(GELIR_GIDER!$G$7:$G$3001,GELIR_GIDER!$T$7:$T$3001,$B88))</f>
        <v/>
      </c>
      <c r="H88" s="68" t="str">
        <f t="shared" ca="1" si="37"/>
        <v/>
      </c>
      <c r="I88" s="68" t="str">
        <f ca="1">IF($B88="","",SUMIFS(TAHSILAT!$F$7:$F$2503,TAHSILAT!$C$7:$C$2503,$B88))</f>
        <v/>
      </c>
      <c r="J88" s="68" t="str">
        <f t="shared" ca="1" si="38"/>
        <v/>
      </c>
      <c r="K88" s="68" t="str">
        <f t="shared" ca="1" si="39"/>
        <v/>
      </c>
      <c r="L88" s="68" t="str">
        <f t="shared" ca="1" si="40"/>
        <v/>
      </c>
      <c r="M88" s="68" t="str">
        <f t="shared" ca="1" si="41"/>
        <v/>
      </c>
      <c r="N88" s="68" t="str">
        <f t="shared" ca="1" si="42"/>
        <v/>
      </c>
      <c r="O88" s="92" t="str">
        <f t="shared" ca="1" si="43"/>
        <v/>
      </c>
      <c r="P88" s="70" t="str">
        <f ca="1">IF($B88="","",IFERROR(LOOKUP(2,1/(TAHSILAT!$C$7:$C$2503=$B88),TAHSILAT!$E$7:$E$2503),""))</f>
        <v/>
      </c>
      <c r="Q88" s="65" t="str">
        <f t="shared" ca="1" si="44"/>
        <v/>
      </c>
      <c r="R88" s="74" t="str">
        <f t="shared" ca="1" si="45"/>
        <v/>
      </c>
      <c r="S88" s="93" t="str">
        <f t="shared" ca="1" si="46"/>
        <v/>
      </c>
      <c r="T88" s="70" t="str">
        <f ca="1">IF(OR($B88="",$AF88=""),"",IF(INDEX(MUSTERILER!$K$7:$K$156,$AF88)="","",INDEX(MUSTERILER!$K$7:$K$156,$AF88)))</f>
        <v/>
      </c>
      <c r="U88" s="93" t="str">
        <f t="shared" ca="1" si="47"/>
        <v/>
      </c>
      <c r="V88" s="68" t="str">
        <f t="shared" ca="1" si="48"/>
        <v/>
      </c>
      <c r="W88" s="65" t="str">
        <f t="shared" ca="1" si="49"/>
        <v/>
      </c>
      <c r="X88" s="2">
        <f ca="1">IF($B88="",0,SUMIFS(UCRETLER!$J$7:$J$606,UCRETLER!$B$7:$B$606,$B88))</f>
        <v>0</v>
      </c>
      <c r="Y88" s="2">
        <f ca="1">IF($B88="",0,SUMIFS(UCRETLER!$K$7:$K$606,UCRETLER!$B$7:$B$606,$B88))</f>
        <v>0</v>
      </c>
      <c r="Z88" s="1">
        <f ca="1">IF($B88="",0,SUMIFS(UCRETLER!$L$7:$L$606,UCRETLER!$B$7:$B$606,$B88))</f>
        <v>0</v>
      </c>
      <c r="AA88" s="1">
        <f t="shared" ca="1" si="50"/>
        <v>0</v>
      </c>
      <c r="AB88" s="1">
        <f t="shared" ca="1" si="51"/>
        <v>0</v>
      </c>
      <c r="AC88" s="1">
        <f t="shared" ca="1" si="52"/>
        <v>0</v>
      </c>
      <c r="AD88" s="1">
        <f t="shared" ca="1" si="53"/>
        <v>0</v>
      </c>
      <c r="AE88" s="1">
        <f t="shared" ca="1" si="54"/>
        <v>0</v>
      </c>
      <c r="AF88" s="1" t="str">
        <f ca="1">IFERROR(MATCH(ROW()-6,MUSTERILER!$U$7:$U$156,0),"")</f>
        <v/>
      </c>
      <c r="AG88" s="1">
        <f ca="1">IF($B88="",0,SUMIFS(GELIR_GIDER!$G$7:$G$3001,GELIR_GIDER!$T$7:$T$3001,$B88))</f>
        <v>0</v>
      </c>
    </row>
    <row r="89" spans="1:33" ht="18" customHeight="1" x14ac:dyDescent="0.3">
      <c r="A89" s="2"/>
      <c r="B89" s="65" t="str">
        <f ca="1">IF($AF89="","",INDEX(MUSTERILER!$B$7:$B$156,$AF89))</f>
        <v/>
      </c>
      <c r="C89" s="74" t="str">
        <f ca="1">IF($AF89="","",INDEX(MUSTERILER!$C$7:$C$156,$AF89))</f>
        <v/>
      </c>
      <c r="D89" s="68" t="str">
        <f ca="1">IF($B89="","",SUMIFS(UCRETLER!$G$7:$G$606,UCRETLER!$B$7:$B$606,$B89,UCRETLER!$F$7:$F$606,"Haftalık",UCRETLER!$H$7:$H$606,"Aktif"))</f>
        <v/>
      </c>
      <c r="E89" s="68" t="str">
        <f ca="1">IF($B89="","",SUMIFS(UCRETLER!$G$7:$G$606,UCRETLER!$B$7:$B$606,$B89,UCRETLER!$F$7:$F$606,"Aylık",UCRETLER!$H$7:$H$606,"Aktif"))</f>
        <v/>
      </c>
      <c r="F89" s="68" t="str">
        <f ca="1">IF($B89="","",SUMIFS(MUSTERILER!$J$7:$J$156,MUSTERILER!$B$7:$B$156,$B89))</f>
        <v/>
      </c>
      <c r="G89" s="68" t="str">
        <f ca="1">IF($B89="","",SUMIFS(UCRETLER!$I$7:$I$606,UCRETLER!$B$7:$B$606,$B89)+SUMIFS(GELIR_GIDER!$G$7:$G$3001,GELIR_GIDER!$T$7:$T$3001,$B89))</f>
        <v/>
      </c>
      <c r="H89" s="68" t="str">
        <f t="shared" ca="1" si="37"/>
        <v/>
      </c>
      <c r="I89" s="68" t="str">
        <f ca="1">IF($B89="","",SUMIFS(TAHSILAT!$F$7:$F$2503,TAHSILAT!$C$7:$C$2503,$B89))</f>
        <v/>
      </c>
      <c r="J89" s="68" t="str">
        <f t="shared" ca="1" si="38"/>
        <v/>
      </c>
      <c r="K89" s="68" t="str">
        <f t="shared" ca="1" si="39"/>
        <v/>
      </c>
      <c r="L89" s="68" t="str">
        <f t="shared" ca="1" si="40"/>
        <v/>
      </c>
      <c r="M89" s="68" t="str">
        <f t="shared" ca="1" si="41"/>
        <v/>
      </c>
      <c r="N89" s="68" t="str">
        <f t="shared" ca="1" si="42"/>
        <v/>
      </c>
      <c r="O89" s="92" t="str">
        <f t="shared" ca="1" si="43"/>
        <v/>
      </c>
      <c r="P89" s="70" t="str">
        <f ca="1">IF($B89="","",IFERROR(LOOKUP(2,1/(TAHSILAT!$C$7:$C$2503=$B89),TAHSILAT!$E$7:$E$2503),""))</f>
        <v/>
      </c>
      <c r="Q89" s="65" t="str">
        <f t="shared" ca="1" si="44"/>
        <v/>
      </c>
      <c r="R89" s="74" t="str">
        <f t="shared" ca="1" si="45"/>
        <v/>
      </c>
      <c r="S89" s="93" t="str">
        <f t="shared" ca="1" si="46"/>
        <v/>
      </c>
      <c r="T89" s="70" t="str">
        <f ca="1">IF(OR($B89="",$AF89=""),"",IF(INDEX(MUSTERILER!$K$7:$K$156,$AF89)="","",INDEX(MUSTERILER!$K$7:$K$156,$AF89)))</f>
        <v/>
      </c>
      <c r="U89" s="93" t="str">
        <f t="shared" ca="1" si="47"/>
        <v/>
      </c>
      <c r="V89" s="68" t="str">
        <f t="shared" ca="1" si="48"/>
        <v/>
      </c>
      <c r="W89" s="65" t="str">
        <f t="shared" ca="1" si="49"/>
        <v/>
      </c>
      <c r="X89" s="2">
        <f ca="1">IF($B89="",0,SUMIFS(UCRETLER!$J$7:$J$606,UCRETLER!$B$7:$B$606,$B89))</f>
        <v>0</v>
      </c>
      <c r="Y89" s="2">
        <f ca="1">IF($B89="",0,SUMIFS(UCRETLER!$K$7:$K$606,UCRETLER!$B$7:$B$606,$B89))</f>
        <v>0</v>
      </c>
      <c r="Z89" s="1">
        <f ca="1">IF($B89="",0,SUMIFS(UCRETLER!$L$7:$L$606,UCRETLER!$B$7:$B$606,$B89))</f>
        <v>0</v>
      </c>
      <c r="AA89" s="1">
        <f t="shared" ca="1" si="50"/>
        <v>0</v>
      </c>
      <c r="AB89" s="1">
        <f t="shared" ca="1" si="51"/>
        <v>0</v>
      </c>
      <c r="AC89" s="1">
        <f t="shared" ca="1" si="52"/>
        <v>0</v>
      </c>
      <c r="AD89" s="1">
        <f t="shared" ca="1" si="53"/>
        <v>0</v>
      </c>
      <c r="AE89" s="1">
        <f t="shared" ca="1" si="54"/>
        <v>0</v>
      </c>
      <c r="AF89" s="1" t="str">
        <f ca="1">IFERROR(MATCH(ROW()-6,MUSTERILER!$U$7:$U$156,0),"")</f>
        <v/>
      </c>
      <c r="AG89" s="1">
        <f ca="1">IF($B89="",0,SUMIFS(GELIR_GIDER!$G$7:$G$3001,GELIR_GIDER!$T$7:$T$3001,$B89))</f>
        <v>0</v>
      </c>
    </row>
    <row r="90" spans="1:33" ht="18" customHeight="1" x14ac:dyDescent="0.3">
      <c r="A90" s="2"/>
      <c r="B90" s="65" t="str">
        <f ca="1">IF($AF90="","",INDEX(MUSTERILER!$B$7:$B$156,$AF90))</f>
        <v/>
      </c>
      <c r="C90" s="74" t="str">
        <f ca="1">IF($AF90="","",INDEX(MUSTERILER!$C$7:$C$156,$AF90))</f>
        <v/>
      </c>
      <c r="D90" s="68" t="str">
        <f ca="1">IF($B90="","",SUMIFS(UCRETLER!$G$7:$G$606,UCRETLER!$B$7:$B$606,$B90,UCRETLER!$F$7:$F$606,"Haftalık",UCRETLER!$H$7:$H$606,"Aktif"))</f>
        <v/>
      </c>
      <c r="E90" s="68" t="str">
        <f ca="1">IF($B90="","",SUMIFS(UCRETLER!$G$7:$G$606,UCRETLER!$B$7:$B$606,$B90,UCRETLER!$F$7:$F$606,"Aylık",UCRETLER!$H$7:$H$606,"Aktif"))</f>
        <v/>
      </c>
      <c r="F90" s="68" t="str">
        <f ca="1">IF($B90="","",SUMIFS(MUSTERILER!$J$7:$J$156,MUSTERILER!$B$7:$B$156,$B90))</f>
        <v/>
      </c>
      <c r="G90" s="68" t="str">
        <f ca="1">IF($B90="","",SUMIFS(UCRETLER!$I$7:$I$606,UCRETLER!$B$7:$B$606,$B90)+SUMIFS(GELIR_GIDER!$G$7:$G$3001,GELIR_GIDER!$T$7:$T$3001,$B90))</f>
        <v/>
      </c>
      <c r="H90" s="68" t="str">
        <f t="shared" ca="1" si="37"/>
        <v/>
      </c>
      <c r="I90" s="68" t="str">
        <f ca="1">IF($B90="","",SUMIFS(TAHSILAT!$F$7:$F$2503,TAHSILAT!$C$7:$C$2503,$B90))</f>
        <v/>
      </c>
      <c r="J90" s="68" t="str">
        <f t="shared" ca="1" si="38"/>
        <v/>
      </c>
      <c r="K90" s="68" t="str">
        <f t="shared" ca="1" si="39"/>
        <v/>
      </c>
      <c r="L90" s="68" t="str">
        <f t="shared" ca="1" si="40"/>
        <v/>
      </c>
      <c r="M90" s="68" t="str">
        <f t="shared" ca="1" si="41"/>
        <v/>
      </c>
      <c r="N90" s="68" t="str">
        <f t="shared" ca="1" si="42"/>
        <v/>
      </c>
      <c r="O90" s="92" t="str">
        <f t="shared" ca="1" si="43"/>
        <v/>
      </c>
      <c r="P90" s="70" t="str">
        <f ca="1">IF($B90="","",IFERROR(LOOKUP(2,1/(TAHSILAT!$C$7:$C$2503=$B90),TAHSILAT!$E$7:$E$2503),""))</f>
        <v/>
      </c>
      <c r="Q90" s="65" t="str">
        <f t="shared" ca="1" si="44"/>
        <v/>
      </c>
      <c r="R90" s="74" t="str">
        <f t="shared" ca="1" si="45"/>
        <v/>
      </c>
      <c r="S90" s="93" t="str">
        <f t="shared" ca="1" si="46"/>
        <v/>
      </c>
      <c r="T90" s="70" t="str">
        <f ca="1">IF(OR($B90="",$AF90=""),"",IF(INDEX(MUSTERILER!$K$7:$K$156,$AF90)="","",INDEX(MUSTERILER!$K$7:$K$156,$AF90)))</f>
        <v/>
      </c>
      <c r="U90" s="93" t="str">
        <f t="shared" ca="1" si="47"/>
        <v/>
      </c>
      <c r="V90" s="68" t="str">
        <f t="shared" ca="1" si="48"/>
        <v/>
      </c>
      <c r="W90" s="65" t="str">
        <f t="shared" ca="1" si="49"/>
        <v/>
      </c>
      <c r="X90" s="2">
        <f ca="1">IF($B90="",0,SUMIFS(UCRETLER!$J$7:$J$606,UCRETLER!$B$7:$B$606,$B90))</f>
        <v>0</v>
      </c>
      <c r="Y90" s="2">
        <f ca="1">IF($B90="",0,SUMIFS(UCRETLER!$K$7:$K$606,UCRETLER!$B$7:$B$606,$B90))</f>
        <v>0</v>
      </c>
      <c r="Z90" s="1">
        <f ca="1">IF($B90="",0,SUMIFS(UCRETLER!$L$7:$L$606,UCRETLER!$B$7:$B$606,$B90))</f>
        <v>0</v>
      </c>
      <c r="AA90" s="1">
        <f t="shared" ca="1" si="50"/>
        <v>0</v>
      </c>
      <c r="AB90" s="1">
        <f t="shared" ca="1" si="51"/>
        <v>0</v>
      </c>
      <c r="AC90" s="1">
        <f t="shared" ca="1" si="52"/>
        <v>0</v>
      </c>
      <c r="AD90" s="1">
        <f t="shared" ca="1" si="53"/>
        <v>0</v>
      </c>
      <c r="AE90" s="1">
        <f t="shared" ca="1" si="54"/>
        <v>0</v>
      </c>
      <c r="AF90" s="1" t="str">
        <f ca="1">IFERROR(MATCH(ROW()-6,MUSTERILER!$U$7:$U$156,0),"")</f>
        <v/>
      </c>
      <c r="AG90" s="1">
        <f ca="1">IF($B90="",0,SUMIFS(GELIR_GIDER!$G$7:$G$3001,GELIR_GIDER!$T$7:$T$3001,$B90))</f>
        <v>0</v>
      </c>
    </row>
    <row r="91" spans="1:33" ht="18" customHeight="1" x14ac:dyDescent="0.3">
      <c r="A91" s="2"/>
      <c r="B91" s="65" t="str">
        <f ca="1">IF($AF91="","",INDEX(MUSTERILER!$B$7:$B$156,$AF91))</f>
        <v/>
      </c>
      <c r="C91" s="74" t="str">
        <f ca="1">IF($AF91="","",INDEX(MUSTERILER!$C$7:$C$156,$AF91))</f>
        <v/>
      </c>
      <c r="D91" s="68" t="str">
        <f ca="1">IF($B91="","",SUMIFS(UCRETLER!$G$7:$G$606,UCRETLER!$B$7:$B$606,$B91,UCRETLER!$F$7:$F$606,"Haftalık",UCRETLER!$H$7:$H$606,"Aktif"))</f>
        <v/>
      </c>
      <c r="E91" s="68" t="str">
        <f ca="1">IF($B91="","",SUMIFS(UCRETLER!$G$7:$G$606,UCRETLER!$B$7:$B$606,$B91,UCRETLER!$F$7:$F$606,"Aylık",UCRETLER!$H$7:$H$606,"Aktif"))</f>
        <v/>
      </c>
      <c r="F91" s="68" t="str">
        <f ca="1">IF($B91="","",SUMIFS(MUSTERILER!$J$7:$J$156,MUSTERILER!$B$7:$B$156,$B91))</f>
        <v/>
      </c>
      <c r="G91" s="68" t="str">
        <f ca="1">IF($B91="","",SUMIFS(UCRETLER!$I$7:$I$606,UCRETLER!$B$7:$B$606,$B91)+SUMIFS(GELIR_GIDER!$G$7:$G$3001,GELIR_GIDER!$T$7:$T$3001,$B91))</f>
        <v/>
      </c>
      <c r="H91" s="68" t="str">
        <f t="shared" ca="1" si="37"/>
        <v/>
      </c>
      <c r="I91" s="68" t="str">
        <f ca="1">IF($B91="","",SUMIFS(TAHSILAT!$F$7:$F$2503,TAHSILAT!$C$7:$C$2503,$B91))</f>
        <v/>
      </c>
      <c r="J91" s="68" t="str">
        <f t="shared" ca="1" si="38"/>
        <v/>
      </c>
      <c r="K91" s="68" t="str">
        <f t="shared" ca="1" si="39"/>
        <v/>
      </c>
      <c r="L91" s="68" t="str">
        <f t="shared" ca="1" si="40"/>
        <v/>
      </c>
      <c r="M91" s="68" t="str">
        <f t="shared" ca="1" si="41"/>
        <v/>
      </c>
      <c r="N91" s="68" t="str">
        <f t="shared" ca="1" si="42"/>
        <v/>
      </c>
      <c r="O91" s="92" t="str">
        <f t="shared" ca="1" si="43"/>
        <v/>
      </c>
      <c r="P91" s="70" t="str">
        <f ca="1">IF($B91="","",IFERROR(LOOKUP(2,1/(TAHSILAT!$C$7:$C$2503=$B91),TAHSILAT!$E$7:$E$2503),""))</f>
        <v/>
      </c>
      <c r="Q91" s="65" t="str">
        <f t="shared" ca="1" si="44"/>
        <v/>
      </c>
      <c r="R91" s="74" t="str">
        <f t="shared" ca="1" si="45"/>
        <v/>
      </c>
      <c r="S91" s="93" t="str">
        <f t="shared" ca="1" si="46"/>
        <v/>
      </c>
      <c r="T91" s="70" t="str">
        <f ca="1">IF(OR($B91="",$AF91=""),"",IF(INDEX(MUSTERILER!$K$7:$K$156,$AF91)="","",INDEX(MUSTERILER!$K$7:$K$156,$AF91)))</f>
        <v/>
      </c>
      <c r="U91" s="93" t="str">
        <f t="shared" ca="1" si="47"/>
        <v/>
      </c>
      <c r="V91" s="68" t="str">
        <f t="shared" ca="1" si="48"/>
        <v/>
      </c>
      <c r="W91" s="65" t="str">
        <f t="shared" ca="1" si="49"/>
        <v/>
      </c>
      <c r="X91" s="2">
        <f ca="1">IF($B91="",0,SUMIFS(UCRETLER!$J$7:$J$606,UCRETLER!$B$7:$B$606,$B91))</f>
        <v>0</v>
      </c>
      <c r="Y91" s="2">
        <f ca="1">IF($B91="",0,SUMIFS(UCRETLER!$K$7:$K$606,UCRETLER!$B$7:$B$606,$B91))</f>
        <v>0</v>
      </c>
      <c r="Z91" s="1">
        <f ca="1">IF($B91="",0,SUMIFS(UCRETLER!$L$7:$L$606,UCRETLER!$B$7:$B$606,$B91))</f>
        <v>0</v>
      </c>
      <c r="AA91" s="1">
        <f t="shared" ca="1" si="50"/>
        <v>0</v>
      </c>
      <c r="AB91" s="1">
        <f t="shared" ca="1" si="51"/>
        <v>0</v>
      </c>
      <c r="AC91" s="1">
        <f t="shared" ca="1" si="52"/>
        <v>0</v>
      </c>
      <c r="AD91" s="1">
        <f t="shared" ca="1" si="53"/>
        <v>0</v>
      </c>
      <c r="AE91" s="1">
        <f t="shared" ca="1" si="54"/>
        <v>0</v>
      </c>
      <c r="AF91" s="1" t="str">
        <f ca="1">IFERROR(MATCH(ROW()-6,MUSTERILER!$U$7:$U$156,0),"")</f>
        <v/>
      </c>
      <c r="AG91" s="1">
        <f ca="1">IF($B91="",0,SUMIFS(GELIR_GIDER!$G$7:$G$3001,GELIR_GIDER!$T$7:$T$3001,$B91))</f>
        <v>0</v>
      </c>
    </row>
    <row r="92" spans="1:33" ht="18" customHeight="1" x14ac:dyDescent="0.3">
      <c r="A92" s="2"/>
      <c r="B92" s="65" t="str">
        <f ca="1">IF($AF92="","",INDEX(MUSTERILER!$B$7:$B$156,$AF92))</f>
        <v/>
      </c>
      <c r="C92" s="74" t="str">
        <f ca="1">IF($AF92="","",INDEX(MUSTERILER!$C$7:$C$156,$AF92))</f>
        <v/>
      </c>
      <c r="D92" s="68" t="str">
        <f ca="1">IF($B92="","",SUMIFS(UCRETLER!$G$7:$G$606,UCRETLER!$B$7:$B$606,$B92,UCRETLER!$F$7:$F$606,"Haftalık",UCRETLER!$H$7:$H$606,"Aktif"))</f>
        <v/>
      </c>
      <c r="E92" s="68" t="str">
        <f ca="1">IF($B92="","",SUMIFS(UCRETLER!$G$7:$G$606,UCRETLER!$B$7:$B$606,$B92,UCRETLER!$F$7:$F$606,"Aylık",UCRETLER!$H$7:$H$606,"Aktif"))</f>
        <v/>
      </c>
      <c r="F92" s="68" t="str">
        <f ca="1">IF($B92="","",SUMIFS(MUSTERILER!$J$7:$J$156,MUSTERILER!$B$7:$B$156,$B92))</f>
        <v/>
      </c>
      <c r="G92" s="68" t="str">
        <f ca="1">IF($B92="","",SUMIFS(UCRETLER!$I$7:$I$606,UCRETLER!$B$7:$B$606,$B92)+SUMIFS(GELIR_GIDER!$G$7:$G$3001,GELIR_GIDER!$T$7:$T$3001,$B92))</f>
        <v/>
      </c>
      <c r="H92" s="68" t="str">
        <f t="shared" ca="1" si="37"/>
        <v/>
      </c>
      <c r="I92" s="68" t="str">
        <f ca="1">IF($B92="","",SUMIFS(TAHSILAT!$F$7:$F$2503,TAHSILAT!$C$7:$C$2503,$B92))</f>
        <v/>
      </c>
      <c r="J92" s="68" t="str">
        <f t="shared" ca="1" si="38"/>
        <v/>
      </c>
      <c r="K92" s="68" t="str">
        <f t="shared" ca="1" si="39"/>
        <v/>
      </c>
      <c r="L92" s="68" t="str">
        <f t="shared" ca="1" si="40"/>
        <v/>
      </c>
      <c r="M92" s="68" t="str">
        <f t="shared" ca="1" si="41"/>
        <v/>
      </c>
      <c r="N92" s="68" t="str">
        <f t="shared" ca="1" si="42"/>
        <v/>
      </c>
      <c r="O92" s="92" t="str">
        <f t="shared" ca="1" si="43"/>
        <v/>
      </c>
      <c r="P92" s="70" t="str">
        <f ca="1">IF($B92="","",IFERROR(LOOKUP(2,1/(TAHSILAT!$C$7:$C$2503=$B92),TAHSILAT!$E$7:$E$2503),""))</f>
        <v/>
      </c>
      <c r="Q92" s="65" t="str">
        <f t="shared" ca="1" si="44"/>
        <v/>
      </c>
      <c r="R92" s="74" t="str">
        <f t="shared" ca="1" si="45"/>
        <v/>
      </c>
      <c r="S92" s="93" t="str">
        <f t="shared" ca="1" si="46"/>
        <v/>
      </c>
      <c r="T92" s="70" t="str">
        <f ca="1">IF(OR($B92="",$AF92=""),"",IF(INDEX(MUSTERILER!$K$7:$K$156,$AF92)="","",INDEX(MUSTERILER!$K$7:$K$156,$AF92)))</f>
        <v/>
      </c>
      <c r="U92" s="93" t="str">
        <f t="shared" ca="1" si="47"/>
        <v/>
      </c>
      <c r="V92" s="68" t="str">
        <f t="shared" ca="1" si="48"/>
        <v/>
      </c>
      <c r="W92" s="65" t="str">
        <f t="shared" ca="1" si="49"/>
        <v/>
      </c>
      <c r="X92" s="2">
        <f ca="1">IF($B92="",0,SUMIFS(UCRETLER!$J$7:$J$606,UCRETLER!$B$7:$B$606,$B92))</f>
        <v>0</v>
      </c>
      <c r="Y92" s="2">
        <f ca="1">IF($B92="",0,SUMIFS(UCRETLER!$K$7:$K$606,UCRETLER!$B$7:$B$606,$B92))</f>
        <v>0</v>
      </c>
      <c r="Z92" s="1">
        <f ca="1">IF($B92="",0,SUMIFS(UCRETLER!$L$7:$L$606,UCRETLER!$B$7:$B$606,$B92))</f>
        <v>0</v>
      </c>
      <c r="AA92" s="1">
        <f t="shared" ca="1" si="50"/>
        <v>0</v>
      </c>
      <c r="AB92" s="1">
        <f t="shared" ca="1" si="51"/>
        <v>0</v>
      </c>
      <c r="AC92" s="1">
        <f t="shared" ca="1" si="52"/>
        <v>0</v>
      </c>
      <c r="AD92" s="1">
        <f t="shared" ca="1" si="53"/>
        <v>0</v>
      </c>
      <c r="AE92" s="1">
        <f t="shared" ca="1" si="54"/>
        <v>0</v>
      </c>
      <c r="AF92" s="1" t="str">
        <f ca="1">IFERROR(MATCH(ROW()-6,MUSTERILER!$U$7:$U$156,0),"")</f>
        <v/>
      </c>
      <c r="AG92" s="1">
        <f ca="1">IF($B92="",0,SUMIFS(GELIR_GIDER!$G$7:$G$3001,GELIR_GIDER!$T$7:$T$3001,$B92))</f>
        <v>0</v>
      </c>
    </row>
    <row r="93" spans="1:33" ht="18" customHeight="1" x14ac:dyDescent="0.3">
      <c r="A93" s="2"/>
      <c r="B93" s="65" t="str">
        <f ca="1">IF($AF93="","",INDEX(MUSTERILER!$B$7:$B$156,$AF93))</f>
        <v/>
      </c>
      <c r="C93" s="74" t="str">
        <f ca="1">IF($AF93="","",INDEX(MUSTERILER!$C$7:$C$156,$AF93))</f>
        <v/>
      </c>
      <c r="D93" s="68" t="str">
        <f ca="1">IF($B93="","",SUMIFS(UCRETLER!$G$7:$G$606,UCRETLER!$B$7:$B$606,$B93,UCRETLER!$F$7:$F$606,"Haftalık",UCRETLER!$H$7:$H$606,"Aktif"))</f>
        <v/>
      </c>
      <c r="E93" s="68" t="str">
        <f ca="1">IF($B93="","",SUMIFS(UCRETLER!$G$7:$G$606,UCRETLER!$B$7:$B$606,$B93,UCRETLER!$F$7:$F$606,"Aylık",UCRETLER!$H$7:$H$606,"Aktif"))</f>
        <v/>
      </c>
      <c r="F93" s="68" t="str">
        <f ca="1">IF($B93="","",SUMIFS(MUSTERILER!$J$7:$J$156,MUSTERILER!$B$7:$B$156,$B93))</f>
        <v/>
      </c>
      <c r="G93" s="68" t="str">
        <f ca="1">IF($B93="","",SUMIFS(UCRETLER!$I$7:$I$606,UCRETLER!$B$7:$B$606,$B93)+SUMIFS(GELIR_GIDER!$G$7:$G$3001,GELIR_GIDER!$T$7:$T$3001,$B93))</f>
        <v/>
      </c>
      <c r="H93" s="68" t="str">
        <f t="shared" ca="1" si="37"/>
        <v/>
      </c>
      <c r="I93" s="68" t="str">
        <f ca="1">IF($B93="","",SUMIFS(TAHSILAT!$F$7:$F$2503,TAHSILAT!$C$7:$C$2503,$B93))</f>
        <v/>
      </c>
      <c r="J93" s="68" t="str">
        <f t="shared" ca="1" si="38"/>
        <v/>
      </c>
      <c r="K93" s="68" t="str">
        <f t="shared" ca="1" si="39"/>
        <v/>
      </c>
      <c r="L93" s="68" t="str">
        <f t="shared" ca="1" si="40"/>
        <v/>
      </c>
      <c r="M93" s="68" t="str">
        <f t="shared" ca="1" si="41"/>
        <v/>
      </c>
      <c r="N93" s="68" t="str">
        <f t="shared" ca="1" si="42"/>
        <v/>
      </c>
      <c r="O93" s="92" t="str">
        <f t="shared" ca="1" si="43"/>
        <v/>
      </c>
      <c r="P93" s="70" t="str">
        <f ca="1">IF($B93="","",IFERROR(LOOKUP(2,1/(TAHSILAT!$C$7:$C$2503=$B93),TAHSILAT!$E$7:$E$2503),""))</f>
        <v/>
      </c>
      <c r="Q93" s="65" t="str">
        <f t="shared" ca="1" si="44"/>
        <v/>
      </c>
      <c r="R93" s="74" t="str">
        <f t="shared" ca="1" si="45"/>
        <v/>
      </c>
      <c r="S93" s="93" t="str">
        <f t="shared" ca="1" si="46"/>
        <v/>
      </c>
      <c r="T93" s="70" t="str">
        <f ca="1">IF(OR($B93="",$AF93=""),"",IF(INDEX(MUSTERILER!$K$7:$K$156,$AF93)="","",INDEX(MUSTERILER!$K$7:$K$156,$AF93)))</f>
        <v/>
      </c>
      <c r="U93" s="93" t="str">
        <f t="shared" ca="1" si="47"/>
        <v/>
      </c>
      <c r="V93" s="68" t="str">
        <f t="shared" ca="1" si="48"/>
        <v/>
      </c>
      <c r="W93" s="65" t="str">
        <f t="shared" ca="1" si="49"/>
        <v/>
      </c>
      <c r="X93" s="2">
        <f ca="1">IF($B93="",0,SUMIFS(UCRETLER!$J$7:$J$606,UCRETLER!$B$7:$B$606,$B93))</f>
        <v>0</v>
      </c>
      <c r="Y93" s="2">
        <f ca="1">IF($B93="",0,SUMIFS(UCRETLER!$K$7:$K$606,UCRETLER!$B$7:$B$606,$B93))</f>
        <v>0</v>
      </c>
      <c r="Z93" s="1">
        <f ca="1">IF($B93="",0,SUMIFS(UCRETLER!$L$7:$L$606,UCRETLER!$B$7:$B$606,$B93))</f>
        <v>0</v>
      </c>
      <c r="AA93" s="1">
        <f t="shared" ca="1" si="50"/>
        <v>0</v>
      </c>
      <c r="AB93" s="1">
        <f t="shared" ca="1" si="51"/>
        <v>0</v>
      </c>
      <c r="AC93" s="1">
        <f t="shared" ca="1" si="52"/>
        <v>0</v>
      </c>
      <c r="AD93" s="1">
        <f t="shared" ca="1" si="53"/>
        <v>0</v>
      </c>
      <c r="AE93" s="1">
        <f t="shared" ca="1" si="54"/>
        <v>0</v>
      </c>
      <c r="AF93" s="1" t="str">
        <f ca="1">IFERROR(MATCH(ROW()-6,MUSTERILER!$U$7:$U$156,0),"")</f>
        <v/>
      </c>
      <c r="AG93" s="1">
        <f ca="1">IF($B93="",0,SUMIFS(GELIR_GIDER!$G$7:$G$3001,GELIR_GIDER!$T$7:$T$3001,$B93))</f>
        <v>0</v>
      </c>
    </row>
    <row r="94" spans="1:33" ht="18" customHeight="1" x14ac:dyDescent="0.3">
      <c r="A94" s="2"/>
      <c r="B94" s="65" t="str">
        <f ca="1">IF($AF94="","",INDEX(MUSTERILER!$B$7:$B$156,$AF94))</f>
        <v/>
      </c>
      <c r="C94" s="74" t="str">
        <f ca="1">IF($AF94="","",INDEX(MUSTERILER!$C$7:$C$156,$AF94))</f>
        <v/>
      </c>
      <c r="D94" s="68" t="str">
        <f ca="1">IF($B94="","",SUMIFS(UCRETLER!$G$7:$G$606,UCRETLER!$B$7:$B$606,$B94,UCRETLER!$F$7:$F$606,"Haftalık",UCRETLER!$H$7:$H$606,"Aktif"))</f>
        <v/>
      </c>
      <c r="E94" s="68" t="str">
        <f ca="1">IF($B94="","",SUMIFS(UCRETLER!$G$7:$G$606,UCRETLER!$B$7:$B$606,$B94,UCRETLER!$F$7:$F$606,"Aylık",UCRETLER!$H$7:$H$606,"Aktif"))</f>
        <v/>
      </c>
      <c r="F94" s="68" t="str">
        <f ca="1">IF($B94="","",SUMIFS(MUSTERILER!$J$7:$J$156,MUSTERILER!$B$7:$B$156,$B94))</f>
        <v/>
      </c>
      <c r="G94" s="68" t="str">
        <f ca="1">IF($B94="","",SUMIFS(UCRETLER!$I$7:$I$606,UCRETLER!$B$7:$B$606,$B94)+SUMIFS(GELIR_GIDER!$G$7:$G$3001,GELIR_GIDER!$T$7:$T$3001,$B94))</f>
        <v/>
      </c>
      <c r="H94" s="68" t="str">
        <f t="shared" ca="1" si="37"/>
        <v/>
      </c>
      <c r="I94" s="68" t="str">
        <f ca="1">IF($B94="","",SUMIFS(TAHSILAT!$F$7:$F$2503,TAHSILAT!$C$7:$C$2503,$B94))</f>
        <v/>
      </c>
      <c r="J94" s="68" t="str">
        <f t="shared" ca="1" si="38"/>
        <v/>
      </c>
      <c r="K94" s="68" t="str">
        <f t="shared" ca="1" si="39"/>
        <v/>
      </c>
      <c r="L94" s="68" t="str">
        <f t="shared" ca="1" si="40"/>
        <v/>
      </c>
      <c r="M94" s="68" t="str">
        <f t="shared" ca="1" si="41"/>
        <v/>
      </c>
      <c r="N94" s="68" t="str">
        <f t="shared" ca="1" si="42"/>
        <v/>
      </c>
      <c r="O94" s="92" t="str">
        <f t="shared" ca="1" si="43"/>
        <v/>
      </c>
      <c r="P94" s="70" t="str">
        <f ca="1">IF($B94="","",IFERROR(LOOKUP(2,1/(TAHSILAT!$C$7:$C$2503=$B94),TAHSILAT!$E$7:$E$2503),""))</f>
        <v/>
      </c>
      <c r="Q94" s="65" t="str">
        <f t="shared" ca="1" si="44"/>
        <v/>
      </c>
      <c r="R94" s="74" t="str">
        <f t="shared" ca="1" si="45"/>
        <v/>
      </c>
      <c r="S94" s="93" t="str">
        <f t="shared" ca="1" si="46"/>
        <v/>
      </c>
      <c r="T94" s="70" t="str">
        <f ca="1">IF(OR($B94="",$AF94=""),"",IF(INDEX(MUSTERILER!$K$7:$K$156,$AF94)="","",INDEX(MUSTERILER!$K$7:$K$156,$AF94)))</f>
        <v/>
      </c>
      <c r="U94" s="93" t="str">
        <f t="shared" ca="1" si="47"/>
        <v/>
      </c>
      <c r="V94" s="68" t="str">
        <f t="shared" ca="1" si="48"/>
        <v/>
      </c>
      <c r="W94" s="65" t="str">
        <f t="shared" ca="1" si="49"/>
        <v/>
      </c>
      <c r="X94" s="2">
        <f ca="1">IF($B94="",0,SUMIFS(UCRETLER!$J$7:$J$606,UCRETLER!$B$7:$B$606,$B94))</f>
        <v>0</v>
      </c>
      <c r="Y94" s="2">
        <f ca="1">IF($B94="",0,SUMIFS(UCRETLER!$K$7:$K$606,UCRETLER!$B$7:$B$606,$B94))</f>
        <v>0</v>
      </c>
      <c r="Z94" s="1">
        <f ca="1">IF($B94="",0,SUMIFS(UCRETLER!$L$7:$L$606,UCRETLER!$B$7:$B$606,$B94))</f>
        <v>0</v>
      </c>
      <c r="AA94" s="1">
        <f t="shared" ca="1" si="50"/>
        <v>0</v>
      </c>
      <c r="AB94" s="1">
        <f t="shared" ca="1" si="51"/>
        <v>0</v>
      </c>
      <c r="AC94" s="1">
        <f t="shared" ca="1" si="52"/>
        <v>0</v>
      </c>
      <c r="AD94" s="1">
        <f t="shared" ca="1" si="53"/>
        <v>0</v>
      </c>
      <c r="AE94" s="1">
        <f t="shared" ca="1" si="54"/>
        <v>0</v>
      </c>
      <c r="AF94" s="1" t="str">
        <f ca="1">IFERROR(MATCH(ROW()-6,MUSTERILER!$U$7:$U$156,0),"")</f>
        <v/>
      </c>
      <c r="AG94" s="1">
        <f ca="1">IF($B94="",0,SUMIFS(GELIR_GIDER!$G$7:$G$3001,GELIR_GIDER!$T$7:$T$3001,$B94))</f>
        <v>0</v>
      </c>
    </row>
    <row r="95" spans="1:33" ht="18" customHeight="1" x14ac:dyDescent="0.3">
      <c r="A95" s="2"/>
      <c r="B95" s="65" t="str">
        <f ca="1">IF($AF95="","",INDEX(MUSTERILER!$B$7:$B$156,$AF95))</f>
        <v/>
      </c>
      <c r="C95" s="74" t="str">
        <f ca="1">IF($AF95="","",INDEX(MUSTERILER!$C$7:$C$156,$AF95))</f>
        <v/>
      </c>
      <c r="D95" s="68" t="str">
        <f ca="1">IF($B95="","",SUMIFS(UCRETLER!$G$7:$G$606,UCRETLER!$B$7:$B$606,$B95,UCRETLER!$F$7:$F$606,"Haftalık",UCRETLER!$H$7:$H$606,"Aktif"))</f>
        <v/>
      </c>
      <c r="E95" s="68" t="str">
        <f ca="1">IF($B95="","",SUMIFS(UCRETLER!$G$7:$G$606,UCRETLER!$B$7:$B$606,$B95,UCRETLER!$F$7:$F$606,"Aylık",UCRETLER!$H$7:$H$606,"Aktif"))</f>
        <v/>
      </c>
      <c r="F95" s="68" t="str">
        <f ca="1">IF($B95="","",SUMIFS(MUSTERILER!$J$7:$J$156,MUSTERILER!$B$7:$B$156,$B95))</f>
        <v/>
      </c>
      <c r="G95" s="68" t="str">
        <f ca="1">IF($B95="","",SUMIFS(UCRETLER!$I$7:$I$606,UCRETLER!$B$7:$B$606,$B95)+SUMIFS(GELIR_GIDER!$G$7:$G$3001,GELIR_GIDER!$T$7:$T$3001,$B95))</f>
        <v/>
      </c>
      <c r="H95" s="68" t="str">
        <f t="shared" ca="1" si="37"/>
        <v/>
      </c>
      <c r="I95" s="68" t="str">
        <f ca="1">IF($B95="","",SUMIFS(TAHSILAT!$F$7:$F$2503,TAHSILAT!$C$7:$C$2503,$B95))</f>
        <v/>
      </c>
      <c r="J95" s="68" t="str">
        <f t="shared" ca="1" si="38"/>
        <v/>
      </c>
      <c r="K95" s="68" t="str">
        <f t="shared" ca="1" si="39"/>
        <v/>
      </c>
      <c r="L95" s="68" t="str">
        <f t="shared" ca="1" si="40"/>
        <v/>
      </c>
      <c r="M95" s="68" t="str">
        <f t="shared" ca="1" si="41"/>
        <v/>
      </c>
      <c r="N95" s="68" t="str">
        <f t="shared" ca="1" si="42"/>
        <v/>
      </c>
      <c r="O95" s="92" t="str">
        <f t="shared" ca="1" si="43"/>
        <v/>
      </c>
      <c r="P95" s="70" t="str">
        <f ca="1">IF($B95="","",IFERROR(LOOKUP(2,1/(TAHSILAT!$C$7:$C$2503=$B95),TAHSILAT!$E$7:$E$2503),""))</f>
        <v/>
      </c>
      <c r="Q95" s="65" t="str">
        <f t="shared" ca="1" si="44"/>
        <v/>
      </c>
      <c r="R95" s="74" t="str">
        <f t="shared" ca="1" si="45"/>
        <v/>
      </c>
      <c r="S95" s="93" t="str">
        <f t="shared" ca="1" si="46"/>
        <v/>
      </c>
      <c r="T95" s="70" t="str">
        <f ca="1">IF(OR($B95="",$AF95=""),"",IF(INDEX(MUSTERILER!$K$7:$K$156,$AF95)="","",INDEX(MUSTERILER!$K$7:$K$156,$AF95)))</f>
        <v/>
      </c>
      <c r="U95" s="93" t="str">
        <f t="shared" ca="1" si="47"/>
        <v/>
      </c>
      <c r="V95" s="68" t="str">
        <f t="shared" ca="1" si="48"/>
        <v/>
      </c>
      <c r="W95" s="65" t="str">
        <f t="shared" ca="1" si="49"/>
        <v/>
      </c>
      <c r="X95" s="2">
        <f ca="1">IF($B95="",0,SUMIFS(UCRETLER!$J$7:$J$606,UCRETLER!$B$7:$B$606,$B95))</f>
        <v>0</v>
      </c>
      <c r="Y95" s="2">
        <f ca="1">IF($B95="",0,SUMIFS(UCRETLER!$K$7:$K$606,UCRETLER!$B$7:$B$606,$B95))</f>
        <v>0</v>
      </c>
      <c r="Z95" s="1">
        <f ca="1">IF($B95="",0,SUMIFS(UCRETLER!$L$7:$L$606,UCRETLER!$B$7:$B$606,$B95))</f>
        <v>0</v>
      </c>
      <c r="AA95" s="1">
        <f t="shared" ca="1" si="50"/>
        <v>0</v>
      </c>
      <c r="AB95" s="1">
        <f t="shared" ca="1" si="51"/>
        <v>0</v>
      </c>
      <c r="AC95" s="1">
        <f t="shared" ca="1" si="52"/>
        <v>0</v>
      </c>
      <c r="AD95" s="1">
        <f t="shared" ca="1" si="53"/>
        <v>0</v>
      </c>
      <c r="AE95" s="1">
        <f t="shared" ca="1" si="54"/>
        <v>0</v>
      </c>
      <c r="AF95" s="1" t="str">
        <f ca="1">IFERROR(MATCH(ROW()-6,MUSTERILER!$U$7:$U$156,0),"")</f>
        <v/>
      </c>
      <c r="AG95" s="1">
        <f ca="1">IF($B95="",0,SUMIFS(GELIR_GIDER!$G$7:$G$3001,GELIR_GIDER!$T$7:$T$3001,$B95))</f>
        <v>0</v>
      </c>
    </row>
    <row r="96" spans="1:33" ht="18" customHeight="1" x14ac:dyDescent="0.3">
      <c r="A96" s="2"/>
      <c r="B96" s="65" t="str">
        <f ca="1">IF($AF96="","",INDEX(MUSTERILER!$B$7:$B$156,$AF96))</f>
        <v/>
      </c>
      <c r="C96" s="74" t="str">
        <f ca="1">IF($AF96="","",INDEX(MUSTERILER!$C$7:$C$156,$AF96))</f>
        <v/>
      </c>
      <c r="D96" s="68" t="str">
        <f ca="1">IF($B96="","",SUMIFS(UCRETLER!$G$7:$G$606,UCRETLER!$B$7:$B$606,$B96,UCRETLER!$F$7:$F$606,"Haftalık",UCRETLER!$H$7:$H$606,"Aktif"))</f>
        <v/>
      </c>
      <c r="E96" s="68" t="str">
        <f ca="1">IF($B96="","",SUMIFS(UCRETLER!$G$7:$G$606,UCRETLER!$B$7:$B$606,$B96,UCRETLER!$F$7:$F$606,"Aylık",UCRETLER!$H$7:$H$606,"Aktif"))</f>
        <v/>
      </c>
      <c r="F96" s="68" t="str">
        <f ca="1">IF($B96="","",SUMIFS(MUSTERILER!$J$7:$J$156,MUSTERILER!$B$7:$B$156,$B96))</f>
        <v/>
      </c>
      <c r="G96" s="68" t="str">
        <f ca="1">IF($B96="","",SUMIFS(UCRETLER!$I$7:$I$606,UCRETLER!$B$7:$B$606,$B96)+SUMIFS(GELIR_GIDER!$G$7:$G$3001,GELIR_GIDER!$T$7:$T$3001,$B96))</f>
        <v/>
      </c>
      <c r="H96" s="68" t="str">
        <f t="shared" ca="1" si="37"/>
        <v/>
      </c>
      <c r="I96" s="68" t="str">
        <f ca="1">IF($B96="","",SUMIFS(TAHSILAT!$F$7:$F$2503,TAHSILAT!$C$7:$C$2503,$B96))</f>
        <v/>
      </c>
      <c r="J96" s="68" t="str">
        <f t="shared" ca="1" si="38"/>
        <v/>
      </c>
      <c r="K96" s="68" t="str">
        <f t="shared" ca="1" si="39"/>
        <v/>
      </c>
      <c r="L96" s="68" t="str">
        <f t="shared" ca="1" si="40"/>
        <v/>
      </c>
      <c r="M96" s="68" t="str">
        <f t="shared" ca="1" si="41"/>
        <v/>
      </c>
      <c r="N96" s="68" t="str">
        <f t="shared" ca="1" si="42"/>
        <v/>
      </c>
      <c r="O96" s="92" t="str">
        <f t="shared" ca="1" si="43"/>
        <v/>
      </c>
      <c r="P96" s="70" t="str">
        <f ca="1">IF($B96="","",IFERROR(LOOKUP(2,1/(TAHSILAT!$C$7:$C$2503=$B96),TAHSILAT!$E$7:$E$2503),""))</f>
        <v/>
      </c>
      <c r="Q96" s="65" t="str">
        <f t="shared" ca="1" si="44"/>
        <v/>
      </c>
      <c r="R96" s="74" t="str">
        <f t="shared" ca="1" si="45"/>
        <v/>
      </c>
      <c r="S96" s="93" t="str">
        <f t="shared" ca="1" si="46"/>
        <v/>
      </c>
      <c r="T96" s="70" t="str">
        <f ca="1">IF(OR($B96="",$AF96=""),"",IF(INDEX(MUSTERILER!$K$7:$K$156,$AF96)="","",INDEX(MUSTERILER!$K$7:$K$156,$AF96)))</f>
        <v/>
      </c>
      <c r="U96" s="93" t="str">
        <f t="shared" ca="1" si="47"/>
        <v/>
      </c>
      <c r="V96" s="68" t="str">
        <f t="shared" ca="1" si="48"/>
        <v/>
      </c>
      <c r="W96" s="65" t="str">
        <f t="shared" ca="1" si="49"/>
        <v/>
      </c>
      <c r="X96" s="2">
        <f ca="1">IF($B96="",0,SUMIFS(UCRETLER!$J$7:$J$606,UCRETLER!$B$7:$B$606,$B96))</f>
        <v>0</v>
      </c>
      <c r="Y96" s="2">
        <f ca="1">IF($B96="",0,SUMIFS(UCRETLER!$K$7:$K$606,UCRETLER!$B$7:$B$606,$B96))</f>
        <v>0</v>
      </c>
      <c r="Z96" s="1">
        <f ca="1">IF($B96="",0,SUMIFS(UCRETLER!$L$7:$L$606,UCRETLER!$B$7:$B$606,$B96))</f>
        <v>0</v>
      </c>
      <c r="AA96" s="1">
        <f t="shared" ca="1" si="50"/>
        <v>0</v>
      </c>
      <c r="AB96" s="1">
        <f t="shared" ca="1" si="51"/>
        <v>0</v>
      </c>
      <c r="AC96" s="1">
        <f t="shared" ca="1" si="52"/>
        <v>0</v>
      </c>
      <c r="AD96" s="1">
        <f t="shared" ca="1" si="53"/>
        <v>0</v>
      </c>
      <c r="AE96" s="1">
        <f t="shared" ca="1" si="54"/>
        <v>0</v>
      </c>
      <c r="AF96" s="1" t="str">
        <f ca="1">IFERROR(MATCH(ROW()-6,MUSTERILER!$U$7:$U$156,0),"")</f>
        <v/>
      </c>
      <c r="AG96" s="1">
        <f ca="1">IF($B96="",0,SUMIFS(GELIR_GIDER!$G$7:$G$3001,GELIR_GIDER!$T$7:$T$3001,$B96))</f>
        <v>0</v>
      </c>
    </row>
    <row r="97" spans="1:33" ht="18" customHeight="1" x14ac:dyDescent="0.3">
      <c r="A97" s="2"/>
      <c r="B97" s="65" t="str">
        <f ca="1">IF($AF97="","",INDEX(MUSTERILER!$B$7:$B$156,$AF97))</f>
        <v/>
      </c>
      <c r="C97" s="74" t="str">
        <f ca="1">IF($AF97="","",INDEX(MUSTERILER!$C$7:$C$156,$AF97))</f>
        <v/>
      </c>
      <c r="D97" s="68" t="str">
        <f ca="1">IF($B97="","",SUMIFS(UCRETLER!$G$7:$G$606,UCRETLER!$B$7:$B$606,$B97,UCRETLER!$F$7:$F$606,"Haftalık",UCRETLER!$H$7:$H$606,"Aktif"))</f>
        <v/>
      </c>
      <c r="E97" s="68" t="str">
        <f ca="1">IF($B97="","",SUMIFS(UCRETLER!$G$7:$G$606,UCRETLER!$B$7:$B$606,$B97,UCRETLER!$F$7:$F$606,"Aylık",UCRETLER!$H$7:$H$606,"Aktif"))</f>
        <v/>
      </c>
      <c r="F97" s="68" t="str">
        <f ca="1">IF($B97="","",SUMIFS(MUSTERILER!$J$7:$J$156,MUSTERILER!$B$7:$B$156,$B97))</f>
        <v/>
      </c>
      <c r="G97" s="68" t="str">
        <f ca="1">IF($B97="","",SUMIFS(UCRETLER!$I$7:$I$606,UCRETLER!$B$7:$B$606,$B97)+SUMIFS(GELIR_GIDER!$G$7:$G$3001,GELIR_GIDER!$T$7:$T$3001,$B97))</f>
        <v/>
      </c>
      <c r="H97" s="68" t="str">
        <f t="shared" ca="1" si="37"/>
        <v/>
      </c>
      <c r="I97" s="68" t="str">
        <f ca="1">IF($B97="","",SUMIFS(TAHSILAT!$F$7:$F$2503,TAHSILAT!$C$7:$C$2503,$B97))</f>
        <v/>
      </c>
      <c r="J97" s="68" t="str">
        <f t="shared" ca="1" si="38"/>
        <v/>
      </c>
      <c r="K97" s="68" t="str">
        <f t="shared" ca="1" si="39"/>
        <v/>
      </c>
      <c r="L97" s="68" t="str">
        <f t="shared" ca="1" si="40"/>
        <v/>
      </c>
      <c r="M97" s="68" t="str">
        <f t="shared" ca="1" si="41"/>
        <v/>
      </c>
      <c r="N97" s="68" t="str">
        <f t="shared" ca="1" si="42"/>
        <v/>
      </c>
      <c r="O97" s="92" t="str">
        <f t="shared" ca="1" si="43"/>
        <v/>
      </c>
      <c r="P97" s="70" t="str">
        <f ca="1">IF($B97="","",IFERROR(LOOKUP(2,1/(TAHSILAT!$C$7:$C$2503=$B97),TAHSILAT!$E$7:$E$2503),""))</f>
        <v/>
      </c>
      <c r="Q97" s="65" t="str">
        <f t="shared" ca="1" si="44"/>
        <v/>
      </c>
      <c r="R97" s="74" t="str">
        <f t="shared" ca="1" si="45"/>
        <v/>
      </c>
      <c r="S97" s="93" t="str">
        <f t="shared" ca="1" si="46"/>
        <v/>
      </c>
      <c r="T97" s="70" t="str">
        <f ca="1">IF(OR($B97="",$AF97=""),"",IF(INDEX(MUSTERILER!$K$7:$K$156,$AF97)="","",INDEX(MUSTERILER!$K$7:$K$156,$AF97)))</f>
        <v/>
      </c>
      <c r="U97" s="93" t="str">
        <f t="shared" ca="1" si="47"/>
        <v/>
      </c>
      <c r="V97" s="68" t="str">
        <f t="shared" ca="1" si="48"/>
        <v/>
      </c>
      <c r="W97" s="65" t="str">
        <f t="shared" ca="1" si="49"/>
        <v/>
      </c>
      <c r="X97" s="2">
        <f ca="1">IF($B97="",0,SUMIFS(UCRETLER!$J$7:$J$606,UCRETLER!$B$7:$B$606,$B97))</f>
        <v>0</v>
      </c>
      <c r="Y97" s="2">
        <f ca="1">IF($B97="",0,SUMIFS(UCRETLER!$K$7:$K$606,UCRETLER!$B$7:$B$606,$B97))</f>
        <v>0</v>
      </c>
      <c r="Z97" s="1">
        <f ca="1">IF($B97="",0,SUMIFS(UCRETLER!$L$7:$L$606,UCRETLER!$B$7:$B$606,$B97))</f>
        <v>0</v>
      </c>
      <c r="AA97" s="1">
        <f t="shared" ca="1" si="50"/>
        <v>0</v>
      </c>
      <c r="AB97" s="1">
        <f t="shared" ca="1" si="51"/>
        <v>0</v>
      </c>
      <c r="AC97" s="1">
        <f t="shared" ca="1" si="52"/>
        <v>0</v>
      </c>
      <c r="AD97" s="1">
        <f t="shared" ca="1" si="53"/>
        <v>0</v>
      </c>
      <c r="AE97" s="1">
        <f t="shared" ca="1" si="54"/>
        <v>0</v>
      </c>
      <c r="AF97" s="1" t="str">
        <f ca="1">IFERROR(MATCH(ROW()-6,MUSTERILER!$U$7:$U$156,0),"")</f>
        <v/>
      </c>
      <c r="AG97" s="1">
        <f ca="1">IF($B97="",0,SUMIFS(GELIR_GIDER!$G$7:$G$3001,GELIR_GIDER!$T$7:$T$3001,$B97))</f>
        <v>0</v>
      </c>
    </row>
    <row r="98" spans="1:33" ht="18" customHeight="1" x14ac:dyDescent="0.3">
      <c r="A98" s="2"/>
      <c r="B98" s="65" t="str">
        <f ca="1">IF($AF98="","",INDEX(MUSTERILER!$B$7:$B$156,$AF98))</f>
        <v/>
      </c>
      <c r="C98" s="74" t="str">
        <f ca="1">IF($AF98="","",INDEX(MUSTERILER!$C$7:$C$156,$AF98))</f>
        <v/>
      </c>
      <c r="D98" s="68" t="str">
        <f ca="1">IF($B98="","",SUMIFS(UCRETLER!$G$7:$G$606,UCRETLER!$B$7:$B$606,$B98,UCRETLER!$F$7:$F$606,"Haftalık",UCRETLER!$H$7:$H$606,"Aktif"))</f>
        <v/>
      </c>
      <c r="E98" s="68" t="str">
        <f ca="1">IF($B98="","",SUMIFS(UCRETLER!$G$7:$G$606,UCRETLER!$B$7:$B$606,$B98,UCRETLER!$F$7:$F$606,"Aylık",UCRETLER!$H$7:$H$606,"Aktif"))</f>
        <v/>
      </c>
      <c r="F98" s="68" t="str">
        <f ca="1">IF($B98="","",SUMIFS(MUSTERILER!$J$7:$J$156,MUSTERILER!$B$7:$B$156,$B98))</f>
        <v/>
      </c>
      <c r="G98" s="68" t="str">
        <f ca="1">IF($B98="","",SUMIFS(UCRETLER!$I$7:$I$606,UCRETLER!$B$7:$B$606,$B98)+SUMIFS(GELIR_GIDER!$G$7:$G$3001,GELIR_GIDER!$T$7:$T$3001,$B98))</f>
        <v/>
      </c>
      <c r="H98" s="68" t="str">
        <f t="shared" ca="1" si="37"/>
        <v/>
      </c>
      <c r="I98" s="68" t="str">
        <f ca="1">IF($B98="","",SUMIFS(TAHSILAT!$F$7:$F$2503,TAHSILAT!$C$7:$C$2503,$B98))</f>
        <v/>
      </c>
      <c r="J98" s="68" t="str">
        <f t="shared" ca="1" si="38"/>
        <v/>
      </c>
      <c r="K98" s="68" t="str">
        <f t="shared" ca="1" si="39"/>
        <v/>
      </c>
      <c r="L98" s="68" t="str">
        <f t="shared" ca="1" si="40"/>
        <v/>
      </c>
      <c r="M98" s="68" t="str">
        <f t="shared" ca="1" si="41"/>
        <v/>
      </c>
      <c r="N98" s="68" t="str">
        <f t="shared" ca="1" si="42"/>
        <v/>
      </c>
      <c r="O98" s="92" t="str">
        <f t="shared" ca="1" si="43"/>
        <v/>
      </c>
      <c r="P98" s="70" t="str">
        <f ca="1">IF($B98="","",IFERROR(LOOKUP(2,1/(TAHSILAT!$C$7:$C$2503=$B98),TAHSILAT!$E$7:$E$2503),""))</f>
        <v/>
      </c>
      <c r="Q98" s="65" t="str">
        <f t="shared" ca="1" si="44"/>
        <v/>
      </c>
      <c r="R98" s="74" t="str">
        <f t="shared" ca="1" si="45"/>
        <v/>
      </c>
      <c r="S98" s="93" t="str">
        <f t="shared" ca="1" si="46"/>
        <v/>
      </c>
      <c r="T98" s="70" t="str">
        <f ca="1">IF(OR($B98="",$AF98=""),"",IF(INDEX(MUSTERILER!$K$7:$K$156,$AF98)="","",INDEX(MUSTERILER!$K$7:$K$156,$AF98)))</f>
        <v/>
      </c>
      <c r="U98" s="93" t="str">
        <f t="shared" ca="1" si="47"/>
        <v/>
      </c>
      <c r="V98" s="68" t="str">
        <f t="shared" ca="1" si="48"/>
        <v/>
      </c>
      <c r="W98" s="65" t="str">
        <f t="shared" ca="1" si="49"/>
        <v/>
      </c>
      <c r="X98" s="2">
        <f ca="1">IF($B98="",0,SUMIFS(UCRETLER!$J$7:$J$606,UCRETLER!$B$7:$B$606,$B98))</f>
        <v>0</v>
      </c>
      <c r="Y98" s="2">
        <f ca="1">IF($B98="",0,SUMIFS(UCRETLER!$K$7:$K$606,UCRETLER!$B$7:$B$606,$B98))</f>
        <v>0</v>
      </c>
      <c r="Z98" s="1">
        <f ca="1">IF($B98="",0,SUMIFS(UCRETLER!$L$7:$L$606,UCRETLER!$B$7:$B$606,$B98))</f>
        <v>0</v>
      </c>
      <c r="AA98" s="1">
        <f t="shared" ca="1" si="50"/>
        <v>0</v>
      </c>
      <c r="AB98" s="1">
        <f t="shared" ca="1" si="51"/>
        <v>0</v>
      </c>
      <c r="AC98" s="1">
        <f t="shared" ca="1" si="52"/>
        <v>0</v>
      </c>
      <c r="AD98" s="1">
        <f t="shared" ca="1" si="53"/>
        <v>0</v>
      </c>
      <c r="AE98" s="1">
        <f t="shared" ca="1" si="54"/>
        <v>0</v>
      </c>
      <c r="AF98" s="1" t="str">
        <f ca="1">IFERROR(MATCH(ROW()-6,MUSTERILER!$U$7:$U$156,0),"")</f>
        <v/>
      </c>
      <c r="AG98" s="1">
        <f ca="1">IF($B98="",0,SUMIFS(GELIR_GIDER!$G$7:$G$3001,GELIR_GIDER!$T$7:$T$3001,$B98))</f>
        <v>0</v>
      </c>
    </row>
    <row r="99" spans="1:33" ht="18" customHeight="1" x14ac:dyDescent="0.3">
      <c r="A99" s="2"/>
      <c r="B99" s="65" t="str">
        <f ca="1">IF($AF99="","",INDEX(MUSTERILER!$B$7:$B$156,$AF99))</f>
        <v/>
      </c>
      <c r="C99" s="74" t="str">
        <f ca="1">IF($AF99="","",INDEX(MUSTERILER!$C$7:$C$156,$AF99))</f>
        <v/>
      </c>
      <c r="D99" s="68" t="str">
        <f ca="1">IF($B99="","",SUMIFS(UCRETLER!$G$7:$G$606,UCRETLER!$B$7:$B$606,$B99,UCRETLER!$F$7:$F$606,"Haftalık",UCRETLER!$H$7:$H$606,"Aktif"))</f>
        <v/>
      </c>
      <c r="E99" s="68" t="str">
        <f ca="1">IF($B99="","",SUMIFS(UCRETLER!$G$7:$G$606,UCRETLER!$B$7:$B$606,$B99,UCRETLER!$F$7:$F$606,"Aylık",UCRETLER!$H$7:$H$606,"Aktif"))</f>
        <v/>
      </c>
      <c r="F99" s="68" t="str">
        <f ca="1">IF($B99="","",SUMIFS(MUSTERILER!$J$7:$J$156,MUSTERILER!$B$7:$B$156,$B99))</f>
        <v/>
      </c>
      <c r="G99" s="68" t="str">
        <f ca="1">IF($B99="","",SUMIFS(UCRETLER!$I$7:$I$606,UCRETLER!$B$7:$B$606,$B99)+SUMIFS(GELIR_GIDER!$G$7:$G$3001,GELIR_GIDER!$T$7:$T$3001,$B99))</f>
        <v/>
      </c>
      <c r="H99" s="68" t="str">
        <f t="shared" ca="1" si="37"/>
        <v/>
      </c>
      <c r="I99" s="68" t="str">
        <f ca="1">IF($B99="","",SUMIFS(TAHSILAT!$F$7:$F$2503,TAHSILAT!$C$7:$C$2503,$B99))</f>
        <v/>
      </c>
      <c r="J99" s="68" t="str">
        <f t="shared" ca="1" si="38"/>
        <v/>
      </c>
      <c r="K99" s="68" t="str">
        <f t="shared" ca="1" si="39"/>
        <v/>
      </c>
      <c r="L99" s="68" t="str">
        <f t="shared" ca="1" si="40"/>
        <v/>
      </c>
      <c r="M99" s="68" t="str">
        <f t="shared" ca="1" si="41"/>
        <v/>
      </c>
      <c r="N99" s="68" t="str">
        <f t="shared" ca="1" si="42"/>
        <v/>
      </c>
      <c r="O99" s="92" t="str">
        <f t="shared" ca="1" si="43"/>
        <v/>
      </c>
      <c r="P99" s="70" t="str">
        <f ca="1">IF($B99="","",IFERROR(LOOKUP(2,1/(TAHSILAT!$C$7:$C$2503=$B99),TAHSILAT!$E$7:$E$2503),""))</f>
        <v/>
      </c>
      <c r="Q99" s="65" t="str">
        <f t="shared" ca="1" si="44"/>
        <v/>
      </c>
      <c r="R99" s="74" t="str">
        <f t="shared" ca="1" si="45"/>
        <v/>
      </c>
      <c r="S99" s="93" t="str">
        <f t="shared" ca="1" si="46"/>
        <v/>
      </c>
      <c r="T99" s="70" t="str">
        <f ca="1">IF(OR($B99="",$AF99=""),"",IF(INDEX(MUSTERILER!$K$7:$K$156,$AF99)="","",INDEX(MUSTERILER!$K$7:$K$156,$AF99)))</f>
        <v/>
      </c>
      <c r="U99" s="93" t="str">
        <f t="shared" ca="1" si="47"/>
        <v/>
      </c>
      <c r="V99" s="68" t="str">
        <f t="shared" ca="1" si="48"/>
        <v/>
      </c>
      <c r="W99" s="65" t="str">
        <f t="shared" ca="1" si="49"/>
        <v/>
      </c>
      <c r="X99" s="2">
        <f ca="1">IF($B99="",0,SUMIFS(UCRETLER!$J$7:$J$606,UCRETLER!$B$7:$B$606,$B99))</f>
        <v>0</v>
      </c>
      <c r="Y99" s="2">
        <f ca="1">IF($B99="",0,SUMIFS(UCRETLER!$K$7:$K$606,UCRETLER!$B$7:$B$606,$B99))</f>
        <v>0</v>
      </c>
      <c r="Z99" s="1">
        <f ca="1">IF($B99="",0,SUMIFS(UCRETLER!$L$7:$L$606,UCRETLER!$B$7:$B$606,$B99))</f>
        <v>0</v>
      </c>
      <c r="AA99" s="1">
        <f t="shared" ca="1" si="50"/>
        <v>0</v>
      </c>
      <c r="AB99" s="1">
        <f t="shared" ca="1" si="51"/>
        <v>0</v>
      </c>
      <c r="AC99" s="1">
        <f t="shared" ca="1" si="52"/>
        <v>0</v>
      </c>
      <c r="AD99" s="1">
        <f t="shared" ca="1" si="53"/>
        <v>0</v>
      </c>
      <c r="AE99" s="1">
        <f t="shared" ca="1" si="54"/>
        <v>0</v>
      </c>
      <c r="AF99" s="1" t="str">
        <f ca="1">IFERROR(MATCH(ROW()-6,MUSTERILER!$U$7:$U$156,0),"")</f>
        <v/>
      </c>
      <c r="AG99" s="1">
        <f ca="1">IF($B99="",0,SUMIFS(GELIR_GIDER!$G$7:$G$3001,GELIR_GIDER!$T$7:$T$3001,$B99))</f>
        <v>0</v>
      </c>
    </row>
    <row r="100" spans="1:33" ht="18" customHeight="1" x14ac:dyDescent="0.3">
      <c r="A100" s="2"/>
      <c r="B100" s="65" t="str">
        <f ca="1">IF($AF100="","",INDEX(MUSTERILER!$B$7:$B$156,$AF100))</f>
        <v/>
      </c>
      <c r="C100" s="74" t="str">
        <f ca="1">IF($AF100="","",INDEX(MUSTERILER!$C$7:$C$156,$AF100))</f>
        <v/>
      </c>
      <c r="D100" s="68" t="str">
        <f ca="1">IF($B100="","",SUMIFS(UCRETLER!$G$7:$G$606,UCRETLER!$B$7:$B$606,$B100,UCRETLER!$F$7:$F$606,"Haftalık",UCRETLER!$H$7:$H$606,"Aktif"))</f>
        <v/>
      </c>
      <c r="E100" s="68" t="str">
        <f ca="1">IF($B100="","",SUMIFS(UCRETLER!$G$7:$G$606,UCRETLER!$B$7:$B$606,$B100,UCRETLER!$F$7:$F$606,"Aylık",UCRETLER!$H$7:$H$606,"Aktif"))</f>
        <v/>
      </c>
      <c r="F100" s="68" t="str">
        <f ca="1">IF($B100="","",SUMIFS(MUSTERILER!$J$7:$J$156,MUSTERILER!$B$7:$B$156,$B100))</f>
        <v/>
      </c>
      <c r="G100" s="68" t="str">
        <f ca="1">IF($B100="","",SUMIFS(UCRETLER!$I$7:$I$606,UCRETLER!$B$7:$B$606,$B100)+SUMIFS(GELIR_GIDER!$G$7:$G$3001,GELIR_GIDER!$T$7:$T$3001,$B100))</f>
        <v/>
      </c>
      <c r="H100" s="68" t="str">
        <f t="shared" ca="1" si="37"/>
        <v/>
      </c>
      <c r="I100" s="68" t="str">
        <f ca="1">IF($B100="","",SUMIFS(TAHSILAT!$F$7:$F$2503,TAHSILAT!$C$7:$C$2503,$B100))</f>
        <v/>
      </c>
      <c r="J100" s="68" t="str">
        <f t="shared" ca="1" si="38"/>
        <v/>
      </c>
      <c r="K100" s="68" t="str">
        <f t="shared" ca="1" si="39"/>
        <v/>
      </c>
      <c r="L100" s="68" t="str">
        <f t="shared" ca="1" si="40"/>
        <v/>
      </c>
      <c r="M100" s="68" t="str">
        <f t="shared" ca="1" si="41"/>
        <v/>
      </c>
      <c r="N100" s="68" t="str">
        <f t="shared" ca="1" si="42"/>
        <v/>
      </c>
      <c r="O100" s="92" t="str">
        <f t="shared" ca="1" si="43"/>
        <v/>
      </c>
      <c r="P100" s="70" t="str">
        <f ca="1">IF($B100="","",IFERROR(LOOKUP(2,1/(TAHSILAT!$C$7:$C$2503=$B100),TAHSILAT!$E$7:$E$2503),""))</f>
        <v/>
      </c>
      <c r="Q100" s="65" t="str">
        <f t="shared" ca="1" si="44"/>
        <v/>
      </c>
      <c r="R100" s="74" t="str">
        <f t="shared" ca="1" si="45"/>
        <v/>
      </c>
      <c r="S100" s="93" t="str">
        <f t="shared" ca="1" si="46"/>
        <v/>
      </c>
      <c r="T100" s="70" t="str">
        <f ca="1">IF(OR($B100="",$AF100=""),"",IF(INDEX(MUSTERILER!$K$7:$K$156,$AF100)="","",INDEX(MUSTERILER!$K$7:$K$156,$AF100)))</f>
        <v/>
      </c>
      <c r="U100" s="93" t="str">
        <f t="shared" ca="1" si="47"/>
        <v/>
      </c>
      <c r="V100" s="68" t="str">
        <f t="shared" ca="1" si="48"/>
        <v/>
      </c>
      <c r="W100" s="65" t="str">
        <f t="shared" ca="1" si="49"/>
        <v/>
      </c>
      <c r="X100" s="2">
        <f ca="1">IF($B100="",0,SUMIFS(UCRETLER!$J$7:$J$606,UCRETLER!$B$7:$B$606,$B100))</f>
        <v>0</v>
      </c>
      <c r="Y100" s="2">
        <f ca="1">IF($B100="",0,SUMIFS(UCRETLER!$K$7:$K$606,UCRETLER!$B$7:$B$606,$B100))</f>
        <v>0</v>
      </c>
      <c r="Z100" s="1">
        <f ca="1">IF($B100="",0,SUMIFS(UCRETLER!$L$7:$L$606,UCRETLER!$B$7:$B$606,$B100))</f>
        <v>0</v>
      </c>
      <c r="AA100" s="1">
        <f t="shared" ca="1" si="50"/>
        <v>0</v>
      </c>
      <c r="AB100" s="1">
        <f t="shared" ca="1" si="51"/>
        <v>0</v>
      </c>
      <c r="AC100" s="1">
        <f t="shared" ca="1" si="52"/>
        <v>0</v>
      </c>
      <c r="AD100" s="1">
        <f t="shared" ca="1" si="53"/>
        <v>0</v>
      </c>
      <c r="AE100" s="1">
        <f t="shared" ca="1" si="54"/>
        <v>0</v>
      </c>
      <c r="AF100" s="1" t="str">
        <f ca="1">IFERROR(MATCH(ROW()-6,MUSTERILER!$U$7:$U$156,0),"")</f>
        <v/>
      </c>
      <c r="AG100" s="1">
        <f ca="1">IF($B100="",0,SUMIFS(GELIR_GIDER!$G$7:$G$3001,GELIR_GIDER!$T$7:$T$3001,$B100))</f>
        <v>0</v>
      </c>
    </row>
    <row r="101" spans="1:33" ht="18" customHeight="1" x14ac:dyDescent="0.3">
      <c r="A101" s="2"/>
      <c r="B101" s="65" t="str">
        <f ca="1">IF($AF101="","",INDEX(MUSTERILER!$B$7:$B$156,$AF101))</f>
        <v/>
      </c>
      <c r="C101" s="74" t="str">
        <f ca="1">IF($AF101="","",INDEX(MUSTERILER!$C$7:$C$156,$AF101))</f>
        <v/>
      </c>
      <c r="D101" s="68" t="str">
        <f ca="1">IF($B101="","",SUMIFS(UCRETLER!$G$7:$G$606,UCRETLER!$B$7:$B$606,$B101,UCRETLER!$F$7:$F$606,"Haftalık",UCRETLER!$H$7:$H$606,"Aktif"))</f>
        <v/>
      </c>
      <c r="E101" s="68" t="str">
        <f ca="1">IF($B101="","",SUMIFS(UCRETLER!$G$7:$G$606,UCRETLER!$B$7:$B$606,$B101,UCRETLER!$F$7:$F$606,"Aylık",UCRETLER!$H$7:$H$606,"Aktif"))</f>
        <v/>
      </c>
      <c r="F101" s="68" t="str">
        <f ca="1">IF($B101="","",SUMIFS(MUSTERILER!$J$7:$J$156,MUSTERILER!$B$7:$B$156,$B101))</f>
        <v/>
      </c>
      <c r="G101" s="68" t="str">
        <f ca="1">IF($B101="","",SUMIFS(UCRETLER!$I$7:$I$606,UCRETLER!$B$7:$B$606,$B101)+SUMIFS(GELIR_GIDER!$G$7:$G$3001,GELIR_GIDER!$T$7:$T$3001,$B101))</f>
        <v/>
      </c>
      <c r="H101" s="68" t="str">
        <f t="shared" ca="1" si="37"/>
        <v/>
      </c>
      <c r="I101" s="68" t="str">
        <f ca="1">IF($B101="","",SUMIFS(TAHSILAT!$F$7:$F$2503,TAHSILAT!$C$7:$C$2503,$B101))</f>
        <v/>
      </c>
      <c r="J101" s="68" t="str">
        <f t="shared" ca="1" si="38"/>
        <v/>
      </c>
      <c r="K101" s="68" t="str">
        <f t="shared" ca="1" si="39"/>
        <v/>
      </c>
      <c r="L101" s="68" t="str">
        <f t="shared" ca="1" si="40"/>
        <v/>
      </c>
      <c r="M101" s="68" t="str">
        <f t="shared" ca="1" si="41"/>
        <v/>
      </c>
      <c r="N101" s="68" t="str">
        <f t="shared" ca="1" si="42"/>
        <v/>
      </c>
      <c r="O101" s="92" t="str">
        <f t="shared" ca="1" si="43"/>
        <v/>
      </c>
      <c r="P101" s="70" t="str">
        <f ca="1">IF($B101="","",IFERROR(LOOKUP(2,1/(TAHSILAT!$C$7:$C$2503=$B101),TAHSILAT!$E$7:$E$2503),""))</f>
        <v/>
      </c>
      <c r="Q101" s="65" t="str">
        <f t="shared" ca="1" si="44"/>
        <v/>
      </c>
      <c r="R101" s="74" t="str">
        <f t="shared" ca="1" si="45"/>
        <v/>
      </c>
      <c r="S101" s="93" t="str">
        <f t="shared" ca="1" si="46"/>
        <v/>
      </c>
      <c r="T101" s="70" t="str">
        <f ca="1">IF(OR($B101="",$AF101=""),"",IF(INDEX(MUSTERILER!$K$7:$K$156,$AF101)="","",INDEX(MUSTERILER!$K$7:$K$156,$AF101)))</f>
        <v/>
      </c>
      <c r="U101" s="93" t="str">
        <f t="shared" ca="1" si="47"/>
        <v/>
      </c>
      <c r="V101" s="68" t="str">
        <f t="shared" ca="1" si="48"/>
        <v/>
      </c>
      <c r="W101" s="65" t="str">
        <f t="shared" ca="1" si="49"/>
        <v/>
      </c>
      <c r="X101" s="2">
        <f ca="1">IF($B101="",0,SUMIFS(UCRETLER!$J$7:$J$606,UCRETLER!$B$7:$B$606,$B101))</f>
        <v>0</v>
      </c>
      <c r="Y101" s="2">
        <f ca="1">IF($B101="",0,SUMIFS(UCRETLER!$K$7:$K$606,UCRETLER!$B$7:$B$606,$B101))</f>
        <v>0</v>
      </c>
      <c r="Z101" s="1">
        <f ca="1">IF($B101="",0,SUMIFS(UCRETLER!$L$7:$L$606,UCRETLER!$B$7:$B$606,$B101))</f>
        <v>0</v>
      </c>
      <c r="AA101" s="1">
        <f t="shared" ca="1" si="50"/>
        <v>0</v>
      </c>
      <c r="AB101" s="1">
        <f t="shared" ca="1" si="51"/>
        <v>0</v>
      </c>
      <c r="AC101" s="1">
        <f t="shared" ca="1" si="52"/>
        <v>0</v>
      </c>
      <c r="AD101" s="1">
        <f t="shared" ca="1" si="53"/>
        <v>0</v>
      </c>
      <c r="AE101" s="1">
        <f t="shared" ca="1" si="54"/>
        <v>0</v>
      </c>
      <c r="AF101" s="1" t="str">
        <f ca="1">IFERROR(MATCH(ROW()-6,MUSTERILER!$U$7:$U$156,0),"")</f>
        <v/>
      </c>
      <c r="AG101" s="1">
        <f ca="1">IF($B101="",0,SUMIFS(GELIR_GIDER!$G$7:$G$3001,GELIR_GIDER!$T$7:$T$3001,$B101))</f>
        <v>0</v>
      </c>
    </row>
    <row r="102" spans="1:33" ht="18" customHeight="1" x14ac:dyDescent="0.3">
      <c r="A102" s="2"/>
      <c r="B102" s="65" t="str">
        <f ca="1">IF($AF102="","",INDEX(MUSTERILER!$B$7:$B$156,$AF102))</f>
        <v/>
      </c>
      <c r="C102" s="74" t="str">
        <f ca="1">IF($AF102="","",INDEX(MUSTERILER!$C$7:$C$156,$AF102))</f>
        <v/>
      </c>
      <c r="D102" s="68" t="str">
        <f ca="1">IF($B102="","",SUMIFS(UCRETLER!$G$7:$G$606,UCRETLER!$B$7:$B$606,$B102,UCRETLER!$F$7:$F$606,"Haftalık",UCRETLER!$H$7:$H$606,"Aktif"))</f>
        <v/>
      </c>
      <c r="E102" s="68" t="str">
        <f ca="1">IF($B102="","",SUMIFS(UCRETLER!$G$7:$G$606,UCRETLER!$B$7:$B$606,$B102,UCRETLER!$F$7:$F$606,"Aylık",UCRETLER!$H$7:$H$606,"Aktif"))</f>
        <v/>
      </c>
      <c r="F102" s="68" t="str">
        <f ca="1">IF($B102="","",SUMIFS(MUSTERILER!$J$7:$J$156,MUSTERILER!$B$7:$B$156,$B102))</f>
        <v/>
      </c>
      <c r="G102" s="68" t="str">
        <f ca="1">IF($B102="","",SUMIFS(UCRETLER!$I$7:$I$606,UCRETLER!$B$7:$B$606,$B102)+SUMIFS(GELIR_GIDER!$G$7:$G$3001,GELIR_GIDER!$T$7:$T$3001,$B102))</f>
        <v/>
      </c>
      <c r="H102" s="68" t="str">
        <f t="shared" ca="1" si="37"/>
        <v/>
      </c>
      <c r="I102" s="68" t="str">
        <f ca="1">IF($B102="","",SUMIFS(TAHSILAT!$F$7:$F$2503,TAHSILAT!$C$7:$C$2503,$B102))</f>
        <v/>
      </c>
      <c r="J102" s="68" t="str">
        <f t="shared" ca="1" si="38"/>
        <v/>
      </c>
      <c r="K102" s="68" t="str">
        <f t="shared" ca="1" si="39"/>
        <v/>
      </c>
      <c r="L102" s="68" t="str">
        <f t="shared" ca="1" si="40"/>
        <v/>
      </c>
      <c r="M102" s="68" t="str">
        <f t="shared" ca="1" si="41"/>
        <v/>
      </c>
      <c r="N102" s="68" t="str">
        <f t="shared" ca="1" si="42"/>
        <v/>
      </c>
      <c r="O102" s="92" t="str">
        <f t="shared" ca="1" si="43"/>
        <v/>
      </c>
      <c r="P102" s="70" t="str">
        <f ca="1">IF($B102="","",IFERROR(LOOKUP(2,1/(TAHSILAT!$C$7:$C$2503=$B102),TAHSILAT!$E$7:$E$2503),""))</f>
        <v/>
      </c>
      <c r="Q102" s="65" t="str">
        <f t="shared" ca="1" si="44"/>
        <v/>
      </c>
      <c r="R102" s="74" t="str">
        <f t="shared" ca="1" si="45"/>
        <v/>
      </c>
      <c r="S102" s="93" t="str">
        <f t="shared" ca="1" si="46"/>
        <v/>
      </c>
      <c r="T102" s="70" t="str">
        <f ca="1">IF(OR($B102="",$AF102=""),"",IF(INDEX(MUSTERILER!$K$7:$K$156,$AF102)="","",INDEX(MUSTERILER!$K$7:$K$156,$AF102)))</f>
        <v/>
      </c>
      <c r="U102" s="93" t="str">
        <f t="shared" ca="1" si="47"/>
        <v/>
      </c>
      <c r="V102" s="68" t="str">
        <f t="shared" ca="1" si="48"/>
        <v/>
      </c>
      <c r="W102" s="65" t="str">
        <f t="shared" ca="1" si="49"/>
        <v/>
      </c>
      <c r="X102" s="2">
        <f ca="1">IF($B102="",0,SUMIFS(UCRETLER!$J$7:$J$606,UCRETLER!$B$7:$B$606,$B102))</f>
        <v>0</v>
      </c>
      <c r="Y102" s="2">
        <f ca="1">IF($B102="",0,SUMIFS(UCRETLER!$K$7:$K$606,UCRETLER!$B$7:$B$606,$B102))</f>
        <v>0</v>
      </c>
      <c r="Z102" s="1">
        <f ca="1">IF($B102="",0,SUMIFS(UCRETLER!$L$7:$L$606,UCRETLER!$B$7:$B$606,$B102))</f>
        <v>0</v>
      </c>
      <c r="AA102" s="1">
        <f t="shared" ca="1" si="50"/>
        <v>0</v>
      </c>
      <c r="AB102" s="1">
        <f t="shared" ca="1" si="51"/>
        <v>0</v>
      </c>
      <c r="AC102" s="1">
        <f t="shared" ca="1" si="52"/>
        <v>0</v>
      </c>
      <c r="AD102" s="1">
        <f t="shared" ca="1" si="53"/>
        <v>0</v>
      </c>
      <c r="AE102" s="1">
        <f t="shared" ca="1" si="54"/>
        <v>0</v>
      </c>
      <c r="AF102" s="1" t="str">
        <f ca="1">IFERROR(MATCH(ROW()-6,MUSTERILER!$U$7:$U$156,0),"")</f>
        <v/>
      </c>
      <c r="AG102" s="1">
        <f ca="1">IF($B102="",0,SUMIFS(GELIR_GIDER!$G$7:$G$3001,GELIR_GIDER!$T$7:$T$3001,$B102))</f>
        <v>0</v>
      </c>
    </row>
    <row r="103" spans="1:33" ht="18" customHeight="1" x14ac:dyDescent="0.3">
      <c r="A103" s="2"/>
      <c r="B103" s="65" t="str">
        <f ca="1">IF($AF103="","",INDEX(MUSTERILER!$B$7:$B$156,$AF103))</f>
        <v/>
      </c>
      <c r="C103" s="74" t="str">
        <f ca="1">IF($AF103="","",INDEX(MUSTERILER!$C$7:$C$156,$AF103))</f>
        <v/>
      </c>
      <c r="D103" s="68" t="str">
        <f ca="1">IF($B103="","",SUMIFS(UCRETLER!$G$7:$G$606,UCRETLER!$B$7:$B$606,$B103,UCRETLER!$F$7:$F$606,"Haftalık",UCRETLER!$H$7:$H$606,"Aktif"))</f>
        <v/>
      </c>
      <c r="E103" s="68" t="str">
        <f ca="1">IF($B103="","",SUMIFS(UCRETLER!$G$7:$G$606,UCRETLER!$B$7:$B$606,$B103,UCRETLER!$F$7:$F$606,"Aylık",UCRETLER!$H$7:$H$606,"Aktif"))</f>
        <v/>
      </c>
      <c r="F103" s="68" t="str">
        <f ca="1">IF($B103="","",SUMIFS(MUSTERILER!$J$7:$J$156,MUSTERILER!$B$7:$B$156,$B103))</f>
        <v/>
      </c>
      <c r="G103" s="68" t="str">
        <f ca="1">IF($B103="","",SUMIFS(UCRETLER!$I$7:$I$606,UCRETLER!$B$7:$B$606,$B103)+SUMIFS(GELIR_GIDER!$G$7:$G$3001,GELIR_GIDER!$T$7:$T$3001,$B103))</f>
        <v/>
      </c>
      <c r="H103" s="68" t="str">
        <f t="shared" ref="H103:H134" ca="1" si="55">IF($B103="","",$F103+$G103)</f>
        <v/>
      </c>
      <c r="I103" s="68" t="str">
        <f ca="1">IF($B103="","",SUMIFS(TAHSILAT!$F$7:$F$2503,TAHSILAT!$C$7:$C$2503,$B103))</f>
        <v/>
      </c>
      <c r="J103" s="68" t="str">
        <f t="shared" ref="J103:J134" ca="1" si="56">IF($B103="","",MAX(0,$H103-$I103))</f>
        <v/>
      </c>
      <c r="K103" s="68" t="str">
        <f t="shared" ref="K103:K134" ca="1" si="57">IF($B103="","",MAX(0,$J103-$L103-$M103-$N103))</f>
        <v/>
      </c>
      <c r="L103" s="68" t="str">
        <f t="shared" ref="L103:L134" ca="1" si="58">IF($B103="","",($AC103-$AD103)+IF(AND($AB103&gt;0,$T103&lt;&gt;"",$U103&gt;=8,$U103&lt;15),$AB103,0))</f>
        <v/>
      </c>
      <c r="M103" s="68" t="str">
        <f t="shared" ref="M103:M134" ca="1" si="59">IF($B103="","",($AD103-$AE103)+IF(AND($AB103&gt;0,$T103&lt;&gt;"",$U103&gt;=15,$U103&lt;29),$AB103,0))</f>
        <v/>
      </c>
      <c r="N103" s="68" t="str">
        <f t="shared" ref="N103:N134" ca="1" si="60">IF($B103="","",$AE103+IF(AND($AB103&gt;0,OR($T103="",$U103&gt;=29)),$AB103,0))</f>
        <v/>
      </c>
      <c r="O103" s="92" t="str">
        <f t="shared" ref="O103:O134" ca="1" si="61">IF($B103="","",IFERROR($I103/$H103,0))</f>
        <v/>
      </c>
      <c r="P103" s="70" t="str">
        <f ca="1">IF($B103="","",IFERROR(LOOKUP(2,1/(TAHSILAT!$C$7:$C$2503=$B103),TAHSILAT!$E$7:$E$2503),""))</f>
        <v/>
      </c>
      <c r="Q103" s="65" t="str">
        <f t="shared" ref="Q103:Q134" ca="1" si="62">IF($B103="","",IF($N103&gt;0,"KRİTİK",IF($M103&gt;0,"YÜKSEK",IF($L103&gt;0,"ORTA",IF($J103&gt;0,"İZLE","TEMİZ")))))</f>
        <v/>
      </c>
      <c r="R103" s="74" t="str">
        <f t="shared" ref="R103:R134" ca="1" si="63"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93" t="str">
        <f t="shared" ref="S103:S134" ca="1" si="64">IF($B103="","",0)</f>
        <v/>
      </c>
      <c r="T103" s="70" t="str">
        <f ca="1">IF(OR($B103="",$AF103=""),"",IF(INDEX(MUSTERILER!$K$7:$K$156,$AF103)="","",INDEX(MUSTERILER!$K$7:$K$156,$AF103)))</f>
        <v/>
      </c>
      <c r="U103" s="93" t="str">
        <f t="shared" ref="U103:U134" ca="1" si="65">IF(OR($B103="",$T103=""),"",TODAY()-$T103)</f>
        <v/>
      </c>
      <c r="V103" s="68" t="str">
        <f t="shared" ref="V103:V134" ca="1" si="66">IF($B103="","",MAX(0,$I103-$H103))</f>
        <v/>
      </c>
      <c r="W103" s="65" t="str">
        <f t="shared" ref="W103:W134" ca="1" si="67">IF($B103="","",IF(AND(ABS($J103-($K103+$L103+$M103+$N103))&lt;0.01,ABS(($J103-$V103)-($H103-$I103))&lt;0.01),"UYGUN","İNCELE"))</f>
        <v/>
      </c>
      <c r="X103" s="2">
        <f ca="1">IF($B103="",0,SUMIFS(UCRETLER!$J$7:$J$606,UCRETLER!$B$7:$B$606,$B103))</f>
        <v>0</v>
      </c>
      <c r="Y103" s="2">
        <f ca="1">IF($B103="",0,SUMIFS(UCRETLER!$K$7:$K$606,UCRETLER!$B$7:$B$606,$B103))</f>
        <v>0</v>
      </c>
      <c r="Z103" s="1">
        <f ca="1">IF($B103="",0,SUMIFS(UCRETLER!$L$7:$L$606,UCRETLER!$B$7:$B$606,$B103))</f>
        <v>0</v>
      </c>
      <c r="AA103" s="1">
        <f t="shared" ref="AA103:AA134" ca="1" si="68">IF($B103="",0,MAX(0,$I103-$F103))</f>
        <v>0</v>
      </c>
      <c r="AB103" s="1">
        <f t="shared" ref="AB103:AB134" ca="1" si="69">IF($B103="",0,MAX(0,$F103-$I103))</f>
        <v>0</v>
      </c>
      <c r="AC103" s="1">
        <f t="shared" ref="AC103:AC134" ca="1" si="70">IF($B103="",0,MAX(0,$X103-$AA103))</f>
        <v>0</v>
      </c>
      <c r="AD103" s="1">
        <f t="shared" ref="AD103:AD134" ca="1" si="71">IF($B103="",0,MAX(0,$Y103-$AA103))</f>
        <v>0</v>
      </c>
      <c r="AE103" s="1">
        <f t="shared" ref="AE103:AE134" ca="1" si="72">IF($B103="",0,MAX(0,$Z103-$AA103))</f>
        <v>0</v>
      </c>
      <c r="AF103" s="1" t="str">
        <f ca="1">IFERROR(MATCH(ROW()-6,MUSTERILER!$U$7:$U$156,0),"")</f>
        <v/>
      </c>
      <c r="AG103" s="1">
        <f ca="1">IF($B103="",0,SUMIFS(GELIR_GIDER!$G$7:$G$3001,GELIR_GIDER!$T$7:$T$3001,$B103))</f>
        <v>0</v>
      </c>
    </row>
    <row r="104" spans="1:33" ht="18" customHeight="1" x14ac:dyDescent="0.3">
      <c r="A104" s="2"/>
      <c r="B104" s="65" t="str">
        <f ca="1">IF($AF104="","",INDEX(MUSTERILER!$B$7:$B$156,$AF104))</f>
        <v/>
      </c>
      <c r="C104" s="74" t="str">
        <f ca="1">IF($AF104="","",INDEX(MUSTERILER!$C$7:$C$156,$AF104))</f>
        <v/>
      </c>
      <c r="D104" s="68" t="str">
        <f ca="1">IF($B104="","",SUMIFS(UCRETLER!$G$7:$G$606,UCRETLER!$B$7:$B$606,$B104,UCRETLER!$F$7:$F$606,"Haftalık",UCRETLER!$H$7:$H$606,"Aktif"))</f>
        <v/>
      </c>
      <c r="E104" s="68" t="str">
        <f ca="1">IF($B104="","",SUMIFS(UCRETLER!$G$7:$G$606,UCRETLER!$B$7:$B$606,$B104,UCRETLER!$F$7:$F$606,"Aylık",UCRETLER!$H$7:$H$606,"Aktif"))</f>
        <v/>
      </c>
      <c r="F104" s="68" t="str">
        <f ca="1">IF($B104="","",SUMIFS(MUSTERILER!$J$7:$J$156,MUSTERILER!$B$7:$B$156,$B104))</f>
        <v/>
      </c>
      <c r="G104" s="68" t="str">
        <f ca="1">IF($B104="","",SUMIFS(UCRETLER!$I$7:$I$606,UCRETLER!$B$7:$B$606,$B104)+SUMIFS(GELIR_GIDER!$G$7:$G$3001,GELIR_GIDER!$T$7:$T$3001,$B104))</f>
        <v/>
      </c>
      <c r="H104" s="68" t="str">
        <f t="shared" ca="1" si="55"/>
        <v/>
      </c>
      <c r="I104" s="68" t="str">
        <f ca="1">IF($B104="","",SUMIFS(TAHSILAT!$F$7:$F$2503,TAHSILAT!$C$7:$C$2503,$B104))</f>
        <v/>
      </c>
      <c r="J104" s="68" t="str">
        <f t="shared" ca="1" si="56"/>
        <v/>
      </c>
      <c r="K104" s="68" t="str">
        <f t="shared" ca="1" si="57"/>
        <v/>
      </c>
      <c r="L104" s="68" t="str">
        <f t="shared" ca="1" si="58"/>
        <v/>
      </c>
      <c r="M104" s="68" t="str">
        <f t="shared" ca="1" si="59"/>
        <v/>
      </c>
      <c r="N104" s="68" t="str">
        <f t="shared" ca="1" si="60"/>
        <v/>
      </c>
      <c r="O104" s="92" t="str">
        <f t="shared" ca="1" si="61"/>
        <v/>
      </c>
      <c r="P104" s="70" t="str">
        <f ca="1">IF($B104="","",IFERROR(LOOKUP(2,1/(TAHSILAT!$C$7:$C$2503=$B104),TAHSILAT!$E$7:$E$2503),""))</f>
        <v/>
      </c>
      <c r="Q104" s="65" t="str">
        <f t="shared" ca="1" si="62"/>
        <v/>
      </c>
      <c r="R104" s="74" t="str">
        <f t="shared" ca="1" si="63"/>
        <v/>
      </c>
      <c r="S104" s="93" t="str">
        <f t="shared" ca="1" si="64"/>
        <v/>
      </c>
      <c r="T104" s="70" t="str">
        <f ca="1">IF(OR($B104="",$AF104=""),"",IF(INDEX(MUSTERILER!$K$7:$K$156,$AF104)="","",INDEX(MUSTERILER!$K$7:$K$156,$AF104)))</f>
        <v/>
      </c>
      <c r="U104" s="93" t="str">
        <f t="shared" ca="1" si="65"/>
        <v/>
      </c>
      <c r="V104" s="68" t="str">
        <f t="shared" ca="1" si="66"/>
        <v/>
      </c>
      <c r="W104" s="65" t="str">
        <f t="shared" ca="1" si="67"/>
        <v/>
      </c>
      <c r="X104" s="2">
        <f ca="1">IF($B104="",0,SUMIFS(UCRETLER!$J$7:$J$606,UCRETLER!$B$7:$B$606,$B104))</f>
        <v>0</v>
      </c>
      <c r="Y104" s="2">
        <f ca="1">IF($B104="",0,SUMIFS(UCRETLER!$K$7:$K$606,UCRETLER!$B$7:$B$606,$B104))</f>
        <v>0</v>
      </c>
      <c r="Z104" s="1">
        <f ca="1">IF($B104="",0,SUMIFS(UCRETLER!$L$7:$L$606,UCRETLER!$B$7:$B$606,$B104))</f>
        <v>0</v>
      </c>
      <c r="AA104" s="1">
        <f t="shared" ca="1" si="68"/>
        <v>0</v>
      </c>
      <c r="AB104" s="1">
        <f t="shared" ca="1" si="69"/>
        <v>0</v>
      </c>
      <c r="AC104" s="1">
        <f t="shared" ca="1" si="70"/>
        <v>0</v>
      </c>
      <c r="AD104" s="1">
        <f t="shared" ca="1" si="71"/>
        <v>0</v>
      </c>
      <c r="AE104" s="1">
        <f t="shared" ca="1" si="72"/>
        <v>0</v>
      </c>
      <c r="AF104" s="1" t="str">
        <f ca="1">IFERROR(MATCH(ROW()-6,MUSTERILER!$U$7:$U$156,0),"")</f>
        <v/>
      </c>
      <c r="AG104" s="1">
        <f ca="1">IF($B104="",0,SUMIFS(GELIR_GIDER!$G$7:$G$3001,GELIR_GIDER!$T$7:$T$3001,$B104))</f>
        <v>0</v>
      </c>
    </row>
    <row r="105" spans="1:33" ht="18" customHeight="1" x14ac:dyDescent="0.3">
      <c r="A105" s="2"/>
      <c r="B105" s="65" t="str">
        <f ca="1">IF($AF105="","",INDEX(MUSTERILER!$B$7:$B$156,$AF105))</f>
        <v/>
      </c>
      <c r="C105" s="74" t="str">
        <f ca="1">IF($AF105="","",INDEX(MUSTERILER!$C$7:$C$156,$AF105))</f>
        <v/>
      </c>
      <c r="D105" s="68" t="str">
        <f ca="1">IF($B105="","",SUMIFS(UCRETLER!$G$7:$G$606,UCRETLER!$B$7:$B$606,$B105,UCRETLER!$F$7:$F$606,"Haftalık",UCRETLER!$H$7:$H$606,"Aktif"))</f>
        <v/>
      </c>
      <c r="E105" s="68" t="str">
        <f ca="1">IF($B105="","",SUMIFS(UCRETLER!$G$7:$G$606,UCRETLER!$B$7:$B$606,$B105,UCRETLER!$F$7:$F$606,"Aylık",UCRETLER!$H$7:$H$606,"Aktif"))</f>
        <v/>
      </c>
      <c r="F105" s="68" t="str">
        <f ca="1">IF($B105="","",SUMIFS(MUSTERILER!$J$7:$J$156,MUSTERILER!$B$7:$B$156,$B105))</f>
        <v/>
      </c>
      <c r="G105" s="68" t="str">
        <f ca="1">IF($B105="","",SUMIFS(UCRETLER!$I$7:$I$606,UCRETLER!$B$7:$B$606,$B105)+SUMIFS(GELIR_GIDER!$G$7:$G$3001,GELIR_GIDER!$T$7:$T$3001,$B105))</f>
        <v/>
      </c>
      <c r="H105" s="68" t="str">
        <f t="shared" ca="1" si="55"/>
        <v/>
      </c>
      <c r="I105" s="68" t="str">
        <f ca="1">IF($B105="","",SUMIFS(TAHSILAT!$F$7:$F$2503,TAHSILAT!$C$7:$C$2503,$B105))</f>
        <v/>
      </c>
      <c r="J105" s="68" t="str">
        <f t="shared" ca="1" si="56"/>
        <v/>
      </c>
      <c r="K105" s="68" t="str">
        <f t="shared" ca="1" si="57"/>
        <v/>
      </c>
      <c r="L105" s="68" t="str">
        <f t="shared" ca="1" si="58"/>
        <v/>
      </c>
      <c r="M105" s="68" t="str">
        <f t="shared" ca="1" si="59"/>
        <v/>
      </c>
      <c r="N105" s="68" t="str">
        <f t="shared" ca="1" si="60"/>
        <v/>
      </c>
      <c r="O105" s="92" t="str">
        <f t="shared" ca="1" si="61"/>
        <v/>
      </c>
      <c r="P105" s="70" t="str">
        <f ca="1">IF($B105="","",IFERROR(LOOKUP(2,1/(TAHSILAT!$C$7:$C$2503=$B105),TAHSILAT!$E$7:$E$2503),""))</f>
        <v/>
      </c>
      <c r="Q105" s="65" t="str">
        <f t="shared" ca="1" si="62"/>
        <v/>
      </c>
      <c r="R105" s="74" t="str">
        <f t="shared" ca="1" si="63"/>
        <v/>
      </c>
      <c r="S105" s="93" t="str">
        <f t="shared" ca="1" si="64"/>
        <v/>
      </c>
      <c r="T105" s="70" t="str">
        <f ca="1">IF(OR($B105="",$AF105=""),"",IF(INDEX(MUSTERILER!$K$7:$K$156,$AF105)="","",INDEX(MUSTERILER!$K$7:$K$156,$AF105)))</f>
        <v/>
      </c>
      <c r="U105" s="93" t="str">
        <f t="shared" ca="1" si="65"/>
        <v/>
      </c>
      <c r="V105" s="68" t="str">
        <f t="shared" ca="1" si="66"/>
        <v/>
      </c>
      <c r="W105" s="65" t="str">
        <f t="shared" ca="1" si="67"/>
        <v/>
      </c>
      <c r="X105" s="2">
        <f ca="1">IF($B105="",0,SUMIFS(UCRETLER!$J$7:$J$606,UCRETLER!$B$7:$B$606,$B105))</f>
        <v>0</v>
      </c>
      <c r="Y105" s="2">
        <f ca="1">IF($B105="",0,SUMIFS(UCRETLER!$K$7:$K$606,UCRETLER!$B$7:$B$606,$B105))</f>
        <v>0</v>
      </c>
      <c r="Z105" s="1">
        <f ca="1">IF($B105="",0,SUMIFS(UCRETLER!$L$7:$L$606,UCRETLER!$B$7:$B$606,$B105))</f>
        <v>0</v>
      </c>
      <c r="AA105" s="1">
        <f t="shared" ca="1" si="68"/>
        <v>0</v>
      </c>
      <c r="AB105" s="1">
        <f t="shared" ca="1" si="69"/>
        <v>0</v>
      </c>
      <c r="AC105" s="1">
        <f t="shared" ca="1" si="70"/>
        <v>0</v>
      </c>
      <c r="AD105" s="1">
        <f t="shared" ca="1" si="71"/>
        <v>0</v>
      </c>
      <c r="AE105" s="1">
        <f t="shared" ca="1" si="72"/>
        <v>0</v>
      </c>
      <c r="AF105" s="1" t="str">
        <f ca="1">IFERROR(MATCH(ROW()-6,MUSTERILER!$U$7:$U$156,0),"")</f>
        <v/>
      </c>
      <c r="AG105" s="1">
        <f ca="1">IF($B105="",0,SUMIFS(GELIR_GIDER!$G$7:$G$3001,GELIR_GIDER!$T$7:$T$3001,$B105))</f>
        <v>0</v>
      </c>
    </row>
    <row r="106" spans="1:33" ht="18" customHeight="1" x14ac:dyDescent="0.3">
      <c r="A106" s="2"/>
      <c r="B106" s="65" t="str">
        <f ca="1">IF($AF106="","",INDEX(MUSTERILER!$B$7:$B$156,$AF106))</f>
        <v/>
      </c>
      <c r="C106" s="74" t="str">
        <f ca="1">IF($AF106="","",INDEX(MUSTERILER!$C$7:$C$156,$AF106))</f>
        <v/>
      </c>
      <c r="D106" s="68" t="str">
        <f ca="1">IF($B106="","",SUMIFS(UCRETLER!$G$7:$G$606,UCRETLER!$B$7:$B$606,$B106,UCRETLER!$F$7:$F$606,"Haftalık",UCRETLER!$H$7:$H$606,"Aktif"))</f>
        <v/>
      </c>
      <c r="E106" s="68" t="str">
        <f ca="1">IF($B106="","",SUMIFS(UCRETLER!$G$7:$G$606,UCRETLER!$B$7:$B$606,$B106,UCRETLER!$F$7:$F$606,"Aylık",UCRETLER!$H$7:$H$606,"Aktif"))</f>
        <v/>
      </c>
      <c r="F106" s="68" t="str">
        <f ca="1">IF($B106="","",SUMIFS(MUSTERILER!$J$7:$J$156,MUSTERILER!$B$7:$B$156,$B106))</f>
        <v/>
      </c>
      <c r="G106" s="68" t="str">
        <f ca="1">IF($B106="","",SUMIFS(UCRETLER!$I$7:$I$606,UCRETLER!$B$7:$B$606,$B106)+SUMIFS(GELIR_GIDER!$G$7:$G$3001,GELIR_GIDER!$T$7:$T$3001,$B106))</f>
        <v/>
      </c>
      <c r="H106" s="68" t="str">
        <f t="shared" ca="1" si="55"/>
        <v/>
      </c>
      <c r="I106" s="68" t="str">
        <f ca="1">IF($B106="","",SUMIFS(TAHSILAT!$F$7:$F$2503,TAHSILAT!$C$7:$C$2503,$B106))</f>
        <v/>
      </c>
      <c r="J106" s="68" t="str">
        <f t="shared" ca="1" si="56"/>
        <v/>
      </c>
      <c r="K106" s="68" t="str">
        <f t="shared" ca="1" si="57"/>
        <v/>
      </c>
      <c r="L106" s="68" t="str">
        <f t="shared" ca="1" si="58"/>
        <v/>
      </c>
      <c r="M106" s="68" t="str">
        <f t="shared" ca="1" si="59"/>
        <v/>
      </c>
      <c r="N106" s="68" t="str">
        <f t="shared" ca="1" si="60"/>
        <v/>
      </c>
      <c r="O106" s="92" t="str">
        <f t="shared" ca="1" si="61"/>
        <v/>
      </c>
      <c r="P106" s="70" t="str">
        <f ca="1">IF($B106="","",IFERROR(LOOKUP(2,1/(TAHSILAT!$C$7:$C$2503=$B106),TAHSILAT!$E$7:$E$2503),""))</f>
        <v/>
      </c>
      <c r="Q106" s="65" t="str">
        <f t="shared" ca="1" si="62"/>
        <v/>
      </c>
      <c r="R106" s="74" t="str">
        <f t="shared" ca="1" si="63"/>
        <v/>
      </c>
      <c r="S106" s="93" t="str">
        <f t="shared" ca="1" si="64"/>
        <v/>
      </c>
      <c r="T106" s="70" t="str">
        <f ca="1">IF(OR($B106="",$AF106=""),"",IF(INDEX(MUSTERILER!$K$7:$K$156,$AF106)="","",INDEX(MUSTERILER!$K$7:$K$156,$AF106)))</f>
        <v/>
      </c>
      <c r="U106" s="93" t="str">
        <f t="shared" ca="1" si="65"/>
        <v/>
      </c>
      <c r="V106" s="68" t="str">
        <f t="shared" ca="1" si="66"/>
        <v/>
      </c>
      <c r="W106" s="65" t="str">
        <f t="shared" ca="1" si="67"/>
        <v/>
      </c>
      <c r="X106" s="2">
        <f ca="1">IF($B106="",0,SUMIFS(UCRETLER!$J$7:$J$606,UCRETLER!$B$7:$B$606,$B106))</f>
        <v>0</v>
      </c>
      <c r="Y106" s="2">
        <f ca="1">IF($B106="",0,SUMIFS(UCRETLER!$K$7:$K$606,UCRETLER!$B$7:$B$606,$B106))</f>
        <v>0</v>
      </c>
      <c r="Z106" s="1">
        <f ca="1">IF($B106="",0,SUMIFS(UCRETLER!$L$7:$L$606,UCRETLER!$B$7:$B$606,$B106))</f>
        <v>0</v>
      </c>
      <c r="AA106" s="1">
        <f t="shared" ca="1" si="68"/>
        <v>0</v>
      </c>
      <c r="AB106" s="1">
        <f t="shared" ca="1" si="69"/>
        <v>0</v>
      </c>
      <c r="AC106" s="1">
        <f t="shared" ca="1" si="70"/>
        <v>0</v>
      </c>
      <c r="AD106" s="1">
        <f t="shared" ca="1" si="71"/>
        <v>0</v>
      </c>
      <c r="AE106" s="1">
        <f t="shared" ca="1" si="72"/>
        <v>0</v>
      </c>
      <c r="AF106" s="1" t="str">
        <f ca="1">IFERROR(MATCH(ROW()-6,MUSTERILER!$U$7:$U$156,0),"")</f>
        <v/>
      </c>
      <c r="AG106" s="1">
        <f ca="1">IF($B106="",0,SUMIFS(GELIR_GIDER!$G$7:$G$3001,GELIR_GIDER!$T$7:$T$3001,$B106))</f>
        <v>0</v>
      </c>
    </row>
    <row r="107" spans="1:33" ht="18" customHeight="1" x14ac:dyDescent="0.3">
      <c r="A107" s="2"/>
      <c r="B107" s="65" t="str">
        <f ca="1">IF($AF107="","",INDEX(MUSTERILER!$B$7:$B$156,$AF107))</f>
        <v/>
      </c>
      <c r="C107" s="74" t="str">
        <f ca="1">IF($AF107="","",INDEX(MUSTERILER!$C$7:$C$156,$AF107))</f>
        <v/>
      </c>
      <c r="D107" s="68" t="str">
        <f ca="1">IF($B107="","",SUMIFS(UCRETLER!$G$7:$G$606,UCRETLER!$B$7:$B$606,$B107,UCRETLER!$F$7:$F$606,"Haftalık",UCRETLER!$H$7:$H$606,"Aktif"))</f>
        <v/>
      </c>
      <c r="E107" s="68" t="str">
        <f ca="1">IF($B107="","",SUMIFS(UCRETLER!$G$7:$G$606,UCRETLER!$B$7:$B$606,$B107,UCRETLER!$F$7:$F$606,"Aylık",UCRETLER!$H$7:$H$606,"Aktif"))</f>
        <v/>
      </c>
      <c r="F107" s="68" t="str">
        <f ca="1">IF($B107="","",SUMIFS(MUSTERILER!$J$7:$J$156,MUSTERILER!$B$7:$B$156,$B107))</f>
        <v/>
      </c>
      <c r="G107" s="68" t="str">
        <f ca="1">IF($B107="","",SUMIFS(UCRETLER!$I$7:$I$606,UCRETLER!$B$7:$B$606,$B107)+SUMIFS(GELIR_GIDER!$G$7:$G$3001,GELIR_GIDER!$T$7:$T$3001,$B107))</f>
        <v/>
      </c>
      <c r="H107" s="68" t="str">
        <f t="shared" ca="1" si="55"/>
        <v/>
      </c>
      <c r="I107" s="68" t="str">
        <f ca="1">IF($B107="","",SUMIFS(TAHSILAT!$F$7:$F$2503,TAHSILAT!$C$7:$C$2503,$B107))</f>
        <v/>
      </c>
      <c r="J107" s="68" t="str">
        <f t="shared" ca="1" si="56"/>
        <v/>
      </c>
      <c r="K107" s="68" t="str">
        <f t="shared" ca="1" si="57"/>
        <v/>
      </c>
      <c r="L107" s="68" t="str">
        <f t="shared" ca="1" si="58"/>
        <v/>
      </c>
      <c r="M107" s="68" t="str">
        <f t="shared" ca="1" si="59"/>
        <v/>
      </c>
      <c r="N107" s="68" t="str">
        <f t="shared" ca="1" si="60"/>
        <v/>
      </c>
      <c r="O107" s="92" t="str">
        <f t="shared" ca="1" si="61"/>
        <v/>
      </c>
      <c r="P107" s="70" t="str">
        <f ca="1">IF($B107="","",IFERROR(LOOKUP(2,1/(TAHSILAT!$C$7:$C$2503=$B107),TAHSILAT!$E$7:$E$2503),""))</f>
        <v/>
      </c>
      <c r="Q107" s="65" t="str">
        <f t="shared" ca="1" si="62"/>
        <v/>
      </c>
      <c r="R107" s="74" t="str">
        <f t="shared" ca="1" si="63"/>
        <v/>
      </c>
      <c r="S107" s="93" t="str">
        <f t="shared" ca="1" si="64"/>
        <v/>
      </c>
      <c r="T107" s="70" t="str">
        <f ca="1">IF(OR($B107="",$AF107=""),"",IF(INDEX(MUSTERILER!$K$7:$K$156,$AF107)="","",INDEX(MUSTERILER!$K$7:$K$156,$AF107)))</f>
        <v/>
      </c>
      <c r="U107" s="93" t="str">
        <f t="shared" ca="1" si="65"/>
        <v/>
      </c>
      <c r="V107" s="68" t="str">
        <f t="shared" ca="1" si="66"/>
        <v/>
      </c>
      <c r="W107" s="65" t="str">
        <f t="shared" ca="1" si="67"/>
        <v/>
      </c>
      <c r="X107" s="2">
        <f ca="1">IF($B107="",0,SUMIFS(UCRETLER!$J$7:$J$606,UCRETLER!$B$7:$B$606,$B107))</f>
        <v>0</v>
      </c>
      <c r="Y107" s="2">
        <f ca="1">IF($B107="",0,SUMIFS(UCRETLER!$K$7:$K$606,UCRETLER!$B$7:$B$606,$B107))</f>
        <v>0</v>
      </c>
      <c r="Z107" s="1">
        <f ca="1">IF($B107="",0,SUMIFS(UCRETLER!$L$7:$L$606,UCRETLER!$B$7:$B$606,$B107))</f>
        <v>0</v>
      </c>
      <c r="AA107" s="1">
        <f t="shared" ca="1" si="68"/>
        <v>0</v>
      </c>
      <c r="AB107" s="1">
        <f t="shared" ca="1" si="69"/>
        <v>0</v>
      </c>
      <c r="AC107" s="1">
        <f t="shared" ca="1" si="70"/>
        <v>0</v>
      </c>
      <c r="AD107" s="1">
        <f t="shared" ca="1" si="71"/>
        <v>0</v>
      </c>
      <c r="AE107" s="1">
        <f t="shared" ca="1" si="72"/>
        <v>0</v>
      </c>
      <c r="AF107" s="1" t="str">
        <f ca="1">IFERROR(MATCH(ROW()-6,MUSTERILER!$U$7:$U$156,0),"")</f>
        <v/>
      </c>
      <c r="AG107" s="1">
        <f ca="1">IF($B107="",0,SUMIFS(GELIR_GIDER!$G$7:$G$3001,GELIR_GIDER!$T$7:$T$3001,$B107))</f>
        <v>0</v>
      </c>
    </row>
    <row r="108" spans="1:33" ht="18" customHeight="1" x14ac:dyDescent="0.3">
      <c r="A108" s="2"/>
      <c r="B108" s="65" t="str">
        <f ca="1">IF($AF108="","",INDEX(MUSTERILER!$B$7:$B$156,$AF108))</f>
        <v/>
      </c>
      <c r="C108" s="74" t="str">
        <f ca="1">IF($AF108="","",INDEX(MUSTERILER!$C$7:$C$156,$AF108))</f>
        <v/>
      </c>
      <c r="D108" s="68" t="str">
        <f ca="1">IF($B108="","",SUMIFS(UCRETLER!$G$7:$G$606,UCRETLER!$B$7:$B$606,$B108,UCRETLER!$F$7:$F$606,"Haftalık",UCRETLER!$H$7:$H$606,"Aktif"))</f>
        <v/>
      </c>
      <c r="E108" s="68" t="str">
        <f ca="1">IF($B108="","",SUMIFS(UCRETLER!$G$7:$G$606,UCRETLER!$B$7:$B$606,$B108,UCRETLER!$F$7:$F$606,"Aylık",UCRETLER!$H$7:$H$606,"Aktif"))</f>
        <v/>
      </c>
      <c r="F108" s="68" t="str">
        <f ca="1">IF($B108="","",SUMIFS(MUSTERILER!$J$7:$J$156,MUSTERILER!$B$7:$B$156,$B108))</f>
        <v/>
      </c>
      <c r="G108" s="68" t="str">
        <f ca="1">IF($B108="","",SUMIFS(UCRETLER!$I$7:$I$606,UCRETLER!$B$7:$B$606,$B108)+SUMIFS(GELIR_GIDER!$G$7:$G$3001,GELIR_GIDER!$T$7:$T$3001,$B108))</f>
        <v/>
      </c>
      <c r="H108" s="68" t="str">
        <f t="shared" ca="1" si="55"/>
        <v/>
      </c>
      <c r="I108" s="68" t="str">
        <f ca="1">IF($B108="","",SUMIFS(TAHSILAT!$F$7:$F$2503,TAHSILAT!$C$7:$C$2503,$B108))</f>
        <v/>
      </c>
      <c r="J108" s="68" t="str">
        <f t="shared" ca="1" si="56"/>
        <v/>
      </c>
      <c r="K108" s="68" t="str">
        <f t="shared" ca="1" si="57"/>
        <v/>
      </c>
      <c r="L108" s="68" t="str">
        <f t="shared" ca="1" si="58"/>
        <v/>
      </c>
      <c r="M108" s="68" t="str">
        <f t="shared" ca="1" si="59"/>
        <v/>
      </c>
      <c r="N108" s="68" t="str">
        <f t="shared" ca="1" si="60"/>
        <v/>
      </c>
      <c r="O108" s="92" t="str">
        <f t="shared" ca="1" si="61"/>
        <v/>
      </c>
      <c r="P108" s="70" t="str">
        <f ca="1">IF($B108="","",IFERROR(LOOKUP(2,1/(TAHSILAT!$C$7:$C$2503=$B108),TAHSILAT!$E$7:$E$2503),""))</f>
        <v/>
      </c>
      <c r="Q108" s="65" t="str">
        <f t="shared" ca="1" si="62"/>
        <v/>
      </c>
      <c r="R108" s="74" t="str">
        <f t="shared" ca="1" si="63"/>
        <v/>
      </c>
      <c r="S108" s="93" t="str">
        <f t="shared" ca="1" si="64"/>
        <v/>
      </c>
      <c r="T108" s="70" t="str">
        <f ca="1">IF(OR($B108="",$AF108=""),"",IF(INDEX(MUSTERILER!$K$7:$K$156,$AF108)="","",INDEX(MUSTERILER!$K$7:$K$156,$AF108)))</f>
        <v/>
      </c>
      <c r="U108" s="93" t="str">
        <f t="shared" ca="1" si="65"/>
        <v/>
      </c>
      <c r="V108" s="68" t="str">
        <f t="shared" ca="1" si="66"/>
        <v/>
      </c>
      <c r="W108" s="65" t="str">
        <f t="shared" ca="1" si="67"/>
        <v/>
      </c>
      <c r="X108" s="2">
        <f ca="1">IF($B108="",0,SUMIFS(UCRETLER!$J$7:$J$606,UCRETLER!$B$7:$B$606,$B108))</f>
        <v>0</v>
      </c>
      <c r="Y108" s="2">
        <f ca="1">IF($B108="",0,SUMIFS(UCRETLER!$K$7:$K$606,UCRETLER!$B$7:$B$606,$B108))</f>
        <v>0</v>
      </c>
      <c r="Z108" s="1">
        <f ca="1">IF($B108="",0,SUMIFS(UCRETLER!$L$7:$L$606,UCRETLER!$B$7:$B$606,$B108))</f>
        <v>0</v>
      </c>
      <c r="AA108" s="1">
        <f t="shared" ca="1" si="68"/>
        <v>0</v>
      </c>
      <c r="AB108" s="1">
        <f t="shared" ca="1" si="69"/>
        <v>0</v>
      </c>
      <c r="AC108" s="1">
        <f t="shared" ca="1" si="70"/>
        <v>0</v>
      </c>
      <c r="AD108" s="1">
        <f t="shared" ca="1" si="71"/>
        <v>0</v>
      </c>
      <c r="AE108" s="1">
        <f t="shared" ca="1" si="72"/>
        <v>0</v>
      </c>
      <c r="AF108" s="1" t="str">
        <f ca="1">IFERROR(MATCH(ROW()-6,MUSTERILER!$U$7:$U$156,0),"")</f>
        <v/>
      </c>
      <c r="AG108" s="1">
        <f ca="1">IF($B108="",0,SUMIFS(GELIR_GIDER!$G$7:$G$3001,GELIR_GIDER!$T$7:$T$3001,$B108))</f>
        <v>0</v>
      </c>
    </row>
    <row r="109" spans="1:33" ht="18" customHeight="1" x14ac:dyDescent="0.3">
      <c r="A109" s="2"/>
      <c r="B109" s="65" t="str">
        <f ca="1">IF($AF109="","",INDEX(MUSTERILER!$B$7:$B$156,$AF109))</f>
        <v/>
      </c>
      <c r="C109" s="74" t="str">
        <f ca="1">IF($AF109="","",INDEX(MUSTERILER!$C$7:$C$156,$AF109))</f>
        <v/>
      </c>
      <c r="D109" s="68" t="str">
        <f ca="1">IF($B109="","",SUMIFS(UCRETLER!$G$7:$G$606,UCRETLER!$B$7:$B$606,$B109,UCRETLER!$F$7:$F$606,"Haftalık",UCRETLER!$H$7:$H$606,"Aktif"))</f>
        <v/>
      </c>
      <c r="E109" s="68" t="str">
        <f ca="1">IF($B109="","",SUMIFS(UCRETLER!$G$7:$G$606,UCRETLER!$B$7:$B$606,$B109,UCRETLER!$F$7:$F$606,"Aylık",UCRETLER!$H$7:$H$606,"Aktif"))</f>
        <v/>
      </c>
      <c r="F109" s="68" t="str">
        <f ca="1">IF($B109="","",SUMIFS(MUSTERILER!$J$7:$J$156,MUSTERILER!$B$7:$B$156,$B109))</f>
        <v/>
      </c>
      <c r="G109" s="68" t="str">
        <f ca="1">IF($B109="","",SUMIFS(UCRETLER!$I$7:$I$606,UCRETLER!$B$7:$B$606,$B109)+SUMIFS(GELIR_GIDER!$G$7:$G$3001,GELIR_GIDER!$T$7:$T$3001,$B109))</f>
        <v/>
      </c>
      <c r="H109" s="68" t="str">
        <f t="shared" ca="1" si="55"/>
        <v/>
      </c>
      <c r="I109" s="68" t="str">
        <f ca="1">IF($B109="","",SUMIFS(TAHSILAT!$F$7:$F$2503,TAHSILAT!$C$7:$C$2503,$B109))</f>
        <v/>
      </c>
      <c r="J109" s="68" t="str">
        <f t="shared" ca="1" si="56"/>
        <v/>
      </c>
      <c r="K109" s="68" t="str">
        <f t="shared" ca="1" si="57"/>
        <v/>
      </c>
      <c r="L109" s="68" t="str">
        <f t="shared" ca="1" si="58"/>
        <v/>
      </c>
      <c r="M109" s="68" t="str">
        <f t="shared" ca="1" si="59"/>
        <v/>
      </c>
      <c r="N109" s="68" t="str">
        <f t="shared" ca="1" si="60"/>
        <v/>
      </c>
      <c r="O109" s="92" t="str">
        <f t="shared" ca="1" si="61"/>
        <v/>
      </c>
      <c r="P109" s="70" t="str">
        <f ca="1">IF($B109="","",IFERROR(LOOKUP(2,1/(TAHSILAT!$C$7:$C$2503=$B109),TAHSILAT!$E$7:$E$2503),""))</f>
        <v/>
      </c>
      <c r="Q109" s="65" t="str">
        <f t="shared" ca="1" si="62"/>
        <v/>
      </c>
      <c r="R109" s="74" t="str">
        <f t="shared" ca="1" si="63"/>
        <v/>
      </c>
      <c r="S109" s="93" t="str">
        <f t="shared" ca="1" si="64"/>
        <v/>
      </c>
      <c r="T109" s="70" t="str">
        <f ca="1">IF(OR($B109="",$AF109=""),"",IF(INDEX(MUSTERILER!$K$7:$K$156,$AF109)="","",INDEX(MUSTERILER!$K$7:$K$156,$AF109)))</f>
        <v/>
      </c>
      <c r="U109" s="93" t="str">
        <f t="shared" ca="1" si="65"/>
        <v/>
      </c>
      <c r="V109" s="68" t="str">
        <f t="shared" ca="1" si="66"/>
        <v/>
      </c>
      <c r="W109" s="65" t="str">
        <f t="shared" ca="1" si="67"/>
        <v/>
      </c>
      <c r="X109" s="2">
        <f ca="1">IF($B109="",0,SUMIFS(UCRETLER!$J$7:$J$606,UCRETLER!$B$7:$B$606,$B109))</f>
        <v>0</v>
      </c>
      <c r="Y109" s="2">
        <f ca="1">IF($B109="",0,SUMIFS(UCRETLER!$K$7:$K$606,UCRETLER!$B$7:$B$606,$B109))</f>
        <v>0</v>
      </c>
      <c r="Z109" s="1">
        <f ca="1">IF($B109="",0,SUMIFS(UCRETLER!$L$7:$L$606,UCRETLER!$B$7:$B$606,$B109))</f>
        <v>0</v>
      </c>
      <c r="AA109" s="1">
        <f t="shared" ca="1" si="68"/>
        <v>0</v>
      </c>
      <c r="AB109" s="1">
        <f t="shared" ca="1" si="69"/>
        <v>0</v>
      </c>
      <c r="AC109" s="1">
        <f t="shared" ca="1" si="70"/>
        <v>0</v>
      </c>
      <c r="AD109" s="1">
        <f t="shared" ca="1" si="71"/>
        <v>0</v>
      </c>
      <c r="AE109" s="1">
        <f t="shared" ca="1" si="72"/>
        <v>0</v>
      </c>
      <c r="AF109" s="1" t="str">
        <f ca="1">IFERROR(MATCH(ROW()-6,MUSTERILER!$U$7:$U$156,0),"")</f>
        <v/>
      </c>
      <c r="AG109" s="1">
        <f ca="1">IF($B109="",0,SUMIFS(GELIR_GIDER!$G$7:$G$3001,GELIR_GIDER!$T$7:$T$3001,$B109))</f>
        <v>0</v>
      </c>
    </row>
    <row r="110" spans="1:33" ht="18" customHeight="1" x14ac:dyDescent="0.3">
      <c r="A110" s="2"/>
      <c r="B110" s="65" t="str">
        <f ca="1">IF($AF110="","",INDEX(MUSTERILER!$B$7:$B$156,$AF110))</f>
        <v/>
      </c>
      <c r="C110" s="74" t="str">
        <f ca="1">IF($AF110="","",INDEX(MUSTERILER!$C$7:$C$156,$AF110))</f>
        <v/>
      </c>
      <c r="D110" s="68" t="str">
        <f ca="1">IF($B110="","",SUMIFS(UCRETLER!$G$7:$G$606,UCRETLER!$B$7:$B$606,$B110,UCRETLER!$F$7:$F$606,"Haftalık",UCRETLER!$H$7:$H$606,"Aktif"))</f>
        <v/>
      </c>
      <c r="E110" s="68" t="str">
        <f ca="1">IF($B110="","",SUMIFS(UCRETLER!$G$7:$G$606,UCRETLER!$B$7:$B$606,$B110,UCRETLER!$F$7:$F$606,"Aylık",UCRETLER!$H$7:$H$606,"Aktif"))</f>
        <v/>
      </c>
      <c r="F110" s="68" t="str">
        <f ca="1">IF($B110="","",SUMIFS(MUSTERILER!$J$7:$J$156,MUSTERILER!$B$7:$B$156,$B110))</f>
        <v/>
      </c>
      <c r="G110" s="68" t="str">
        <f ca="1">IF($B110="","",SUMIFS(UCRETLER!$I$7:$I$606,UCRETLER!$B$7:$B$606,$B110)+SUMIFS(GELIR_GIDER!$G$7:$G$3001,GELIR_GIDER!$T$7:$T$3001,$B110))</f>
        <v/>
      </c>
      <c r="H110" s="68" t="str">
        <f t="shared" ca="1" si="55"/>
        <v/>
      </c>
      <c r="I110" s="68" t="str">
        <f ca="1">IF($B110="","",SUMIFS(TAHSILAT!$F$7:$F$2503,TAHSILAT!$C$7:$C$2503,$B110))</f>
        <v/>
      </c>
      <c r="J110" s="68" t="str">
        <f t="shared" ca="1" si="56"/>
        <v/>
      </c>
      <c r="K110" s="68" t="str">
        <f t="shared" ca="1" si="57"/>
        <v/>
      </c>
      <c r="L110" s="68" t="str">
        <f t="shared" ca="1" si="58"/>
        <v/>
      </c>
      <c r="M110" s="68" t="str">
        <f t="shared" ca="1" si="59"/>
        <v/>
      </c>
      <c r="N110" s="68" t="str">
        <f t="shared" ca="1" si="60"/>
        <v/>
      </c>
      <c r="O110" s="92" t="str">
        <f t="shared" ca="1" si="61"/>
        <v/>
      </c>
      <c r="P110" s="70" t="str">
        <f ca="1">IF($B110="","",IFERROR(LOOKUP(2,1/(TAHSILAT!$C$7:$C$2503=$B110),TAHSILAT!$E$7:$E$2503),""))</f>
        <v/>
      </c>
      <c r="Q110" s="65" t="str">
        <f t="shared" ca="1" si="62"/>
        <v/>
      </c>
      <c r="R110" s="74" t="str">
        <f t="shared" ca="1" si="63"/>
        <v/>
      </c>
      <c r="S110" s="93" t="str">
        <f t="shared" ca="1" si="64"/>
        <v/>
      </c>
      <c r="T110" s="70" t="str">
        <f ca="1">IF(OR($B110="",$AF110=""),"",IF(INDEX(MUSTERILER!$K$7:$K$156,$AF110)="","",INDEX(MUSTERILER!$K$7:$K$156,$AF110)))</f>
        <v/>
      </c>
      <c r="U110" s="93" t="str">
        <f t="shared" ca="1" si="65"/>
        <v/>
      </c>
      <c r="V110" s="68" t="str">
        <f t="shared" ca="1" si="66"/>
        <v/>
      </c>
      <c r="W110" s="65" t="str">
        <f t="shared" ca="1" si="67"/>
        <v/>
      </c>
      <c r="X110" s="2">
        <f ca="1">IF($B110="",0,SUMIFS(UCRETLER!$J$7:$J$606,UCRETLER!$B$7:$B$606,$B110))</f>
        <v>0</v>
      </c>
      <c r="Y110" s="2">
        <f ca="1">IF($B110="",0,SUMIFS(UCRETLER!$K$7:$K$606,UCRETLER!$B$7:$B$606,$B110))</f>
        <v>0</v>
      </c>
      <c r="Z110" s="1">
        <f ca="1">IF($B110="",0,SUMIFS(UCRETLER!$L$7:$L$606,UCRETLER!$B$7:$B$606,$B110))</f>
        <v>0</v>
      </c>
      <c r="AA110" s="1">
        <f t="shared" ca="1" si="68"/>
        <v>0</v>
      </c>
      <c r="AB110" s="1">
        <f t="shared" ca="1" si="69"/>
        <v>0</v>
      </c>
      <c r="AC110" s="1">
        <f t="shared" ca="1" si="70"/>
        <v>0</v>
      </c>
      <c r="AD110" s="1">
        <f t="shared" ca="1" si="71"/>
        <v>0</v>
      </c>
      <c r="AE110" s="1">
        <f t="shared" ca="1" si="72"/>
        <v>0</v>
      </c>
      <c r="AF110" s="1" t="str">
        <f ca="1">IFERROR(MATCH(ROW()-6,MUSTERILER!$U$7:$U$156,0),"")</f>
        <v/>
      </c>
      <c r="AG110" s="1">
        <f ca="1">IF($B110="",0,SUMIFS(GELIR_GIDER!$G$7:$G$3001,GELIR_GIDER!$T$7:$T$3001,$B110))</f>
        <v>0</v>
      </c>
    </row>
    <row r="111" spans="1:33" ht="18" customHeight="1" x14ac:dyDescent="0.3">
      <c r="A111" s="2"/>
      <c r="B111" s="65" t="str">
        <f ca="1">IF($AF111="","",INDEX(MUSTERILER!$B$7:$B$156,$AF111))</f>
        <v/>
      </c>
      <c r="C111" s="74" t="str">
        <f ca="1">IF($AF111="","",INDEX(MUSTERILER!$C$7:$C$156,$AF111))</f>
        <v/>
      </c>
      <c r="D111" s="68" t="str">
        <f ca="1">IF($B111="","",SUMIFS(UCRETLER!$G$7:$G$606,UCRETLER!$B$7:$B$606,$B111,UCRETLER!$F$7:$F$606,"Haftalık",UCRETLER!$H$7:$H$606,"Aktif"))</f>
        <v/>
      </c>
      <c r="E111" s="68" t="str">
        <f ca="1">IF($B111="","",SUMIFS(UCRETLER!$G$7:$G$606,UCRETLER!$B$7:$B$606,$B111,UCRETLER!$F$7:$F$606,"Aylık",UCRETLER!$H$7:$H$606,"Aktif"))</f>
        <v/>
      </c>
      <c r="F111" s="68" t="str">
        <f ca="1">IF($B111="","",SUMIFS(MUSTERILER!$J$7:$J$156,MUSTERILER!$B$7:$B$156,$B111))</f>
        <v/>
      </c>
      <c r="G111" s="68" t="str">
        <f ca="1">IF($B111="","",SUMIFS(UCRETLER!$I$7:$I$606,UCRETLER!$B$7:$B$606,$B111)+SUMIFS(GELIR_GIDER!$G$7:$G$3001,GELIR_GIDER!$T$7:$T$3001,$B111))</f>
        <v/>
      </c>
      <c r="H111" s="68" t="str">
        <f t="shared" ca="1" si="55"/>
        <v/>
      </c>
      <c r="I111" s="68" t="str">
        <f ca="1">IF($B111="","",SUMIFS(TAHSILAT!$F$7:$F$2503,TAHSILAT!$C$7:$C$2503,$B111))</f>
        <v/>
      </c>
      <c r="J111" s="68" t="str">
        <f t="shared" ca="1" si="56"/>
        <v/>
      </c>
      <c r="K111" s="68" t="str">
        <f t="shared" ca="1" si="57"/>
        <v/>
      </c>
      <c r="L111" s="68" t="str">
        <f t="shared" ca="1" si="58"/>
        <v/>
      </c>
      <c r="M111" s="68" t="str">
        <f t="shared" ca="1" si="59"/>
        <v/>
      </c>
      <c r="N111" s="68" t="str">
        <f t="shared" ca="1" si="60"/>
        <v/>
      </c>
      <c r="O111" s="92" t="str">
        <f t="shared" ca="1" si="61"/>
        <v/>
      </c>
      <c r="P111" s="70" t="str">
        <f ca="1">IF($B111="","",IFERROR(LOOKUP(2,1/(TAHSILAT!$C$7:$C$2503=$B111),TAHSILAT!$E$7:$E$2503),""))</f>
        <v/>
      </c>
      <c r="Q111" s="65" t="str">
        <f t="shared" ca="1" si="62"/>
        <v/>
      </c>
      <c r="R111" s="74" t="str">
        <f t="shared" ca="1" si="63"/>
        <v/>
      </c>
      <c r="S111" s="93" t="str">
        <f t="shared" ca="1" si="64"/>
        <v/>
      </c>
      <c r="T111" s="70" t="str">
        <f ca="1">IF(OR($B111="",$AF111=""),"",IF(INDEX(MUSTERILER!$K$7:$K$156,$AF111)="","",INDEX(MUSTERILER!$K$7:$K$156,$AF111)))</f>
        <v/>
      </c>
      <c r="U111" s="93" t="str">
        <f t="shared" ca="1" si="65"/>
        <v/>
      </c>
      <c r="V111" s="68" t="str">
        <f t="shared" ca="1" si="66"/>
        <v/>
      </c>
      <c r="W111" s="65" t="str">
        <f t="shared" ca="1" si="67"/>
        <v/>
      </c>
      <c r="X111" s="2">
        <f ca="1">IF($B111="",0,SUMIFS(UCRETLER!$J$7:$J$606,UCRETLER!$B$7:$B$606,$B111))</f>
        <v>0</v>
      </c>
      <c r="Y111" s="2">
        <f ca="1">IF($B111="",0,SUMIFS(UCRETLER!$K$7:$K$606,UCRETLER!$B$7:$B$606,$B111))</f>
        <v>0</v>
      </c>
      <c r="Z111" s="1">
        <f ca="1">IF($B111="",0,SUMIFS(UCRETLER!$L$7:$L$606,UCRETLER!$B$7:$B$606,$B111))</f>
        <v>0</v>
      </c>
      <c r="AA111" s="1">
        <f t="shared" ca="1" si="68"/>
        <v>0</v>
      </c>
      <c r="AB111" s="1">
        <f t="shared" ca="1" si="69"/>
        <v>0</v>
      </c>
      <c r="AC111" s="1">
        <f t="shared" ca="1" si="70"/>
        <v>0</v>
      </c>
      <c r="AD111" s="1">
        <f t="shared" ca="1" si="71"/>
        <v>0</v>
      </c>
      <c r="AE111" s="1">
        <f t="shared" ca="1" si="72"/>
        <v>0</v>
      </c>
      <c r="AF111" s="1" t="str">
        <f ca="1">IFERROR(MATCH(ROW()-6,MUSTERILER!$U$7:$U$156,0),"")</f>
        <v/>
      </c>
      <c r="AG111" s="1">
        <f ca="1">IF($B111="",0,SUMIFS(GELIR_GIDER!$G$7:$G$3001,GELIR_GIDER!$T$7:$T$3001,$B111))</f>
        <v>0</v>
      </c>
    </row>
    <row r="112" spans="1:33" ht="18" customHeight="1" x14ac:dyDescent="0.3">
      <c r="A112" s="2"/>
      <c r="B112" s="65" t="str">
        <f ca="1">IF($AF112="","",INDEX(MUSTERILER!$B$7:$B$156,$AF112))</f>
        <v/>
      </c>
      <c r="C112" s="74" t="str">
        <f ca="1">IF($AF112="","",INDEX(MUSTERILER!$C$7:$C$156,$AF112))</f>
        <v/>
      </c>
      <c r="D112" s="68" t="str">
        <f ca="1">IF($B112="","",SUMIFS(UCRETLER!$G$7:$G$606,UCRETLER!$B$7:$B$606,$B112,UCRETLER!$F$7:$F$606,"Haftalık",UCRETLER!$H$7:$H$606,"Aktif"))</f>
        <v/>
      </c>
      <c r="E112" s="68" t="str">
        <f ca="1">IF($B112="","",SUMIFS(UCRETLER!$G$7:$G$606,UCRETLER!$B$7:$B$606,$B112,UCRETLER!$F$7:$F$606,"Aylık",UCRETLER!$H$7:$H$606,"Aktif"))</f>
        <v/>
      </c>
      <c r="F112" s="68" t="str">
        <f ca="1">IF($B112="","",SUMIFS(MUSTERILER!$J$7:$J$156,MUSTERILER!$B$7:$B$156,$B112))</f>
        <v/>
      </c>
      <c r="G112" s="68" t="str">
        <f ca="1">IF($B112="","",SUMIFS(UCRETLER!$I$7:$I$606,UCRETLER!$B$7:$B$606,$B112)+SUMIFS(GELIR_GIDER!$G$7:$G$3001,GELIR_GIDER!$T$7:$T$3001,$B112))</f>
        <v/>
      </c>
      <c r="H112" s="68" t="str">
        <f t="shared" ca="1" si="55"/>
        <v/>
      </c>
      <c r="I112" s="68" t="str">
        <f ca="1">IF($B112="","",SUMIFS(TAHSILAT!$F$7:$F$2503,TAHSILAT!$C$7:$C$2503,$B112))</f>
        <v/>
      </c>
      <c r="J112" s="68" t="str">
        <f t="shared" ca="1" si="56"/>
        <v/>
      </c>
      <c r="K112" s="68" t="str">
        <f t="shared" ca="1" si="57"/>
        <v/>
      </c>
      <c r="L112" s="68" t="str">
        <f t="shared" ca="1" si="58"/>
        <v/>
      </c>
      <c r="M112" s="68" t="str">
        <f t="shared" ca="1" si="59"/>
        <v/>
      </c>
      <c r="N112" s="68" t="str">
        <f t="shared" ca="1" si="60"/>
        <v/>
      </c>
      <c r="O112" s="92" t="str">
        <f t="shared" ca="1" si="61"/>
        <v/>
      </c>
      <c r="P112" s="70" t="str">
        <f ca="1">IF($B112="","",IFERROR(LOOKUP(2,1/(TAHSILAT!$C$7:$C$2503=$B112),TAHSILAT!$E$7:$E$2503),""))</f>
        <v/>
      </c>
      <c r="Q112" s="65" t="str">
        <f t="shared" ca="1" si="62"/>
        <v/>
      </c>
      <c r="R112" s="74" t="str">
        <f t="shared" ca="1" si="63"/>
        <v/>
      </c>
      <c r="S112" s="93" t="str">
        <f t="shared" ca="1" si="64"/>
        <v/>
      </c>
      <c r="T112" s="70" t="str">
        <f ca="1">IF(OR($B112="",$AF112=""),"",IF(INDEX(MUSTERILER!$K$7:$K$156,$AF112)="","",INDEX(MUSTERILER!$K$7:$K$156,$AF112)))</f>
        <v/>
      </c>
      <c r="U112" s="93" t="str">
        <f t="shared" ca="1" si="65"/>
        <v/>
      </c>
      <c r="V112" s="68" t="str">
        <f t="shared" ca="1" si="66"/>
        <v/>
      </c>
      <c r="W112" s="65" t="str">
        <f t="shared" ca="1" si="67"/>
        <v/>
      </c>
      <c r="X112" s="2">
        <f ca="1">IF($B112="",0,SUMIFS(UCRETLER!$J$7:$J$606,UCRETLER!$B$7:$B$606,$B112))</f>
        <v>0</v>
      </c>
      <c r="Y112" s="2">
        <f ca="1">IF($B112="",0,SUMIFS(UCRETLER!$K$7:$K$606,UCRETLER!$B$7:$B$606,$B112))</f>
        <v>0</v>
      </c>
      <c r="Z112" s="1">
        <f ca="1">IF($B112="",0,SUMIFS(UCRETLER!$L$7:$L$606,UCRETLER!$B$7:$B$606,$B112))</f>
        <v>0</v>
      </c>
      <c r="AA112" s="1">
        <f t="shared" ca="1" si="68"/>
        <v>0</v>
      </c>
      <c r="AB112" s="1">
        <f t="shared" ca="1" si="69"/>
        <v>0</v>
      </c>
      <c r="AC112" s="1">
        <f t="shared" ca="1" si="70"/>
        <v>0</v>
      </c>
      <c r="AD112" s="1">
        <f t="shared" ca="1" si="71"/>
        <v>0</v>
      </c>
      <c r="AE112" s="1">
        <f t="shared" ca="1" si="72"/>
        <v>0</v>
      </c>
      <c r="AF112" s="1" t="str">
        <f ca="1">IFERROR(MATCH(ROW()-6,MUSTERILER!$U$7:$U$156,0),"")</f>
        <v/>
      </c>
      <c r="AG112" s="1">
        <f ca="1">IF($B112="",0,SUMIFS(GELIR_GIDER!$G$7:$G$3001,GELIR_GIDER!$T$7:$T$3001,$B112))</f>
        <v>0</v>
      </c>
    </row>
    <row r="113" spans="1:33" ht="18" customHeight="1" x14ac:dyDescent="0.3">
      <c r="A113" s="2"/>
      <c r="B113" s="65" t="str">
        <f ca="1">IF($AF113="","",INDEX(MUSTERILER!$B$7:$B$156,$AF113))</f>
        <v/>
      </c>
      <c r="C113" s="74" t="str">
        <f ca="1">IF($AF113="","",INDEX(MUSTERILER!$C$7:$C$156,$AF113))</f>
        <v/>
      </c>
      <c r="D113" s="68" t="str">
        <f ca="1">IF($B113="","",SUMIFS(UCRETLER!$G$7:$G$606,UCRETLER!$B$7:$B$606,$B113,UCRETLER!$F$7:$F$606,"Haftalık",UCRETLER!$H$7:$H$606,"Aktif"))</f>
        <v/>
      </c>
      <c r="E113" s="68" t="str">
        <f ca="1">IF($B113="","",SUMIFS(UCRETLER!$G$7:$G$606,UCRETLER!$B$7:$B$606,$B113,UCRETLER!$F$7:$F$606,"Aylık",UCRETLER!$H$7:$H$606,"Aktif"))</f>
        <v/>
      </c>
      <c r="F113" s="68" t="str">
        <f ca="1">IF($B113="","",SUMIFS(MUSTERILER!$J$7:$J$156,MUSTERILER!$B$7:$B$156,$B113))</f>
        <v/>
      </c>
      <c r="G113" s="68" t="str">
        <f ca="1">IF($B113="","",SUMIFS(UCRETLER!$I$7:$I$606,UCRETLER!$B$7:$B$606,$B113)+SUMIFS(GELIR_GIDER!$G$7:$G$3001,GELIR_GIDER!$T$7:$T$3001,$B113))</f>
        <v/>
      </c>
      <c r="H113" s="68" t="str">
        <f t="shared" ca="1" si="55"/>
        <v/>
      </c>
      <c r="I113" s="68" t="str">
        <f ca="1">IF($B113="","",SUMIFS(TAHSILAT!$F$7:$F$2503,TAHSILAT!$C$7:$C$2503,$B113))</f>
        <v/>
      </c>
      <c r="J113" s="68" t="str">
        <f t="shared" ca="1" si="56"/>
        <v/>
      </c>
      <c r="K113" s="68" t="str">
        <f t="shared" ca="1" si="57"/>
        <v/>
      </c>
      <c r="L113" s="68" t="str">
        <f t="shared" ca="1" si="58"/>
        <v/>
      </c>
      <c r="M113" s="68" t="str">
        <f t="shared" ca="1" si="59"/>
        <v/>
      </c>
      <c r="N113" s="68" t="str">
        <f t="shared" ca="1" si="60"/>
        <v/>
      </c>
      <c r="O113" s="92" t="str">
        <f t="shared" ca="1" si="61"/>
        <v/>
      </c>
      <c r="P113" s="70" t="str">
        <f ca="1">IF($B113="","",IFERROR(LOOKUP(2,1/(TAHSILAT!$C$7:$C$2503=$B113),TAHSILAT!$E$7:$E$2503),""))</f>
        <v/>
      </c>
      <c r="Q113" s="65" t="str">
        <f t="shared" ca="1" si="62"/>
        <v/>
      </c>
      <c r="R113" s="74" t="str">
        <f t="shared" ca="1" si="63"/>
        <v/>
      </c>
      <c r="S113" s="93" t="str">
        <f t="shared" ca="1" si="64"/>
        <v/>
      </c>
      <c r="T113" s="70" t="str">
        <f ca="1">IF(OR($B113="",$AF113=""),"",IF(INDEX(MUSTERILER!$K$7:$K$156,$AF113)="","",INDEX(MUSTERILER!$K$7:$K$156,$AF113)))</f>
        <v/>
      </c>
      <c r="U113" s="93" t="str">
        <f t="shared" ca="1" si="65"/>
        <v/>
      </c>
      <c r="V113" s="68" t="str">
        <f t="shared" ca="1" si="66"/>
        <v/>
      </c>
      <c r="W113" s="65" t="str">
        <f t="shared" ca="1" si="67"/>
        <v/>
      </c>
      <c r="X113" s="2">
        <f ca="1">IF($B113="",0,SUMIFS(UCRETLER!$J$7:$J$606,UCRETLER!$B$7:$B$606,$B113))</f>
        <v>0</v>
      </c>
      <c r="Y113" s="2">
        <f ca="1">IF($B113="",0,SUMIFS(UCRETLER!$K$7:$K$606,UCRETLER!$B$7:$B$606,$B113))</f>
        <v>0</v>
      </c>
      <c r="Z113" s="1">
        <f ca="1">IF($B113="",0,SUMIFS(UCRETLER!$L$7:$L$606,UCRETLER!$B$7:$B$606,$B113))</f>
        <v>0</v>
      </c>
      <c r="AA113" s="1">
        <f t="shared" ca="1" si="68"/>
        <v>0</v>
      </c>
      <c r="AB113" s="1">
        <f t="shared" ca="1" si="69"/>
        <v>0</v>
      </c>
      <c r="AC113" s="1">
        <f t="shared" ca="1" si="70"/>
        <v>0</v>
      </c>
      <c r="AD113" s="1">
        <f t="shared" ca="1" si="71"/>
        <v>0</v>
      </c>
      <c r="AE113" s="1">
        <f t="shared" ca="1" si="72"/>
        <v>0</v>
      </c>
      <c r="AF113" s="1" t="str">
        <f ca="1">IFERROR(MATCH(ROW()-6,MUSTERILER!$U$7:$U$156,0),"")</f>
        <v/>
      </c>
      <c r="AG113" s="1">
        <f ca="1">IF($B113="",0,SUMIFS(GELIR_GIDER!$G$7:$G$3001,GELIR_GIDER!$T$7:$T$3001,$B113))</f>
        <v>0</v>
      </c>
    </row>
    <row r="114" spans="1:33" ht="18" customHeight="1" x14ac:dyDescent="0.3">
      <c r="A114" s="2"/>
      <c r="B114" s="65" t="str">
        <f ca="1">IF($AF114="","",INDEX(MUSTERILER!$B$7:$B$156,$AF114))</f>
        <v/>
      </c>
      <c r="C114" s="74" t="str">
        <f ca="1">IF($AF114="","",INDEX(MUSTERILER!$C$7:$C$156,$AF114))</f>
        <v/>
      </c>
      <c r="D114" s="68" t="str">
        <f ca="1">IF($B114="","",SUMIFS(UCRETLER!$G$7:$G$606,UCRETLER!$B$7:$B$606,$B114,UCRETLER!$F$7:$F$606,"Haftalık",UCRETLER!$H$7:$H$606,"Aktif"))</f>
        <v/>
      </c>
      <c r="E114" s="68" t="str">
        <f ca="1">IF($B114="","",SUMIFS(UCRETLER!$G$7:$G$606,UCRETLER!$B$7:$B$606,$B114,UCRETLER!$F$7:$F$606,"Aylık",UCRETLER!$H$7:$H$606,"Aktif"))</f>
        <v/>
      </c>
      <c r="F114" s="68" t="str">
        <f ca="1">IF($B114="","",SUMIFS(MUSTERILER!$J$7:$J$156,MUSTERILER!$B$7:$B$156,$B114))</f>
        <v/>
      </c>
      <c r="G114" s="68" t="str">
        <f ca="1">IF($B114="","",SUMIFS(UCRETLER!$I$7:$I$606,UCRETLER!$B$7:$B$606,$B114)+SUMIFS(GELIR_GIDER!$G$7:$G$3001,GELIR_GIDER!$T$7:$T$3001,$B114))</f>
        <v/>
      </c>
      <c r="H114" s="68" t="str">
        <f t="shared" ca="1" si="55"/>
        <v/>
      </c>
      <c r="I114" s="68" t="str">
        <f ca="1">IF($B114="","",SUMIFS(TAHSILAT!$F$7:$F$2503,TAHSILAT!$C$7:$C$2503,$B114))</f>
        <v/>
      </c>
      <c r="J114" s="68" t="str">
        <f t="shared" ca="1" si="56"/>
        <v/>
      </c>
      <c r="K114" s="68" t="str">
        <f t="shared" ca="1" si="57"/>
        <v/>
      </c>
      <c r="L114" s="68" t="str">
        <f t="shared" ca="1" si="58"/>
        <v/>
      </c>
      <c r="M114" s="68" t="str">
        <f t="shared" ca="1" si="59"/>
        <v/>
      </c>
      <c r="N114" s="68" t="str">
        <f t="shared" ca="1" si="60"/>
        <v/>
      </c>
      <c r="O114" s="92" t="str">
        <f t="shared" ca="1" si="61"/>
        <v/>
      </c>
      <c r="P114" s="70" t="str">
        <f ca="1">IF($B114="","",IFERROR(LOOKUP(2,1/(TAHSILAT!$C$7:$C$2503=$B114),TAHSILAT!$E$7:$E$2503),""))</f>
        <v/>
      </c>
      <c r="Q114" s="65" t="str">
        <f t="shared" ca="1" si="62"/>
        <v/>
      </c>
      <c r="R114" s="74" t="str">
        <f t="shared" ca="1" si="63"/>
        <v/>
      </c>
      <c r="S114" s="93" t="str">
        <f t="shared" ca="1" si="64"/>
        <v/>
      </c>
      <c r="T114" s="70" t="str">
        <f ca="1">IF(OR($B114="",$AF114=""),"",IF(INDEX(MUSTERILER!$K$7:$K$156,$AF114)="","",INDEX(MUSTERILER!$K$7:$K$156,$AF114)))</f>
        <v/>
      </c>
      <c r="U114" s="93" t="str">
        <f t="shared" ca="1" si="65"/>
        <v/>
      </c>
      <c r="V114" s="68" t="str">
        <f t="shared" ca="1" si="66"/>
        <v/>
      </c>
      <c r="W114" s="65" t="str">
        <f t="shared" ca="1" si="67"/>
        <v/>
      </c>
      <c r="X114" s="2">
        <f ca="1">IF($B114="",0,SUMIFS(UCRETLER!$J$7:$J$606,UCRETLER!$B$7:$B$606,$B114))</f>
        <v>0</v>
      </c>
      <c r="Y114" s="2">
        <f ca="1">IF($B114="",0,SUMIFS(UCRETLER!$K$7:$K$606,UCRETLER!$B$7:$B$606,$B114))</f>
        <v>0</v>
      </c>
      <c r="Z114" s="1">
        <f ca="1">IF($B114="",0,SUMIFS(UCRETLER!$L$7:$L$606,UCRETLER!$B$7:$B$606,$B114))</f>
        <v>0</v>
      </c>
      <c r="AA114" s="1">
        <f t="shared" ca="1" si="68"/>
        <v>0</v>
      </c>
      <c r="AB114" s="1">
        <f t="shared" ca="1" si="69"/>
        <v>0</v>
      </c>
      <c r="AC114" s="1">
        <f t="shared" ca="1" si="70"/>
        <v>0</v>
      </c>
      <c r="AD114" s="1">
        <f t="shared" ca="1" si="71"/>
        <v>0</v>
      </c>
      <c r="AE114" s="1">
        <f t="shared" ca="1" si="72"/>
        <v>0</v>
      </c>
      <c r="AF114" s="1" t="str">
        <f ca="1">IFERROR(MATCH(ROW()-6,MUSTERILER!$U$7:$U$156,0),"")</f>
        <v/>
      </c>
      <c r="AG114" s="1">
        <f ca="1">IF($B114="",0,SUMIFS(GELIR_GIDER!$G$7:$G$3001,GELIR_GIDER!$T$7:$T$3001,$B114))</f>
        <v>0</v>
      </c>
    </row>
    <row r="115" spans="1:33" ht="18" customHeight="1" x14ac:dyDescent="0.3">
      <c r="A115" s="2"/>
      <c r="B115" s="65" t="str">
        <f ca="1">IF($AF115="","",INDEX(MUSTERILER!$B$7:$B$156,$AF115))</f>
        <v/>
      </c>
      <c r="C115" s="74" t="str">
        <f ca="1">IF($AF115="","",INDEX(MUSTERILER!$C$7:$C$156,$AF115))</f>
        <v/>
      </c>
      <c r="D115" s="68" t="str">
        <f ca="1">IF($B115="","",SUMIFS(UCRETLER!$G$7:$G$606,UCRETLER!$B$7:$B$606,$B115,UCRETLER!$F$7:$F$606,"Haftalık",UCRETLER!$H$7:$H$606,"Aktif"))</f>
        <v/>
      </c>
      <c r="E115" s="68" t="str">
        <f ca="1">IF($B115="","",SUMIFS(UCRETLER!$G$7:$G$606,UCRETLER!$B$7:$B$606,$B115,UCRETLER!$F$7:$F$606,"Aylık",UCRETLER!$H$7:$H$606,"Aktif"))</f>
        <v/>
      </c>
      <c r="F115" s="68" t="str">
        <f ca="1">IF($B115="","",SUMIFS(MUSTERILER!$J$7:$J$156,MUSTERILER!$B$7:$B$156,$B115))</f>
        <v/>
      </c>
      <c r="G115" s="68" t="str">
        <f ca="1">IF($B115="","",SUMIFS(UCRETLER!$I$7:$I$606,UCRETLER!$B$7:$B$606,$B115)+SUMIFS(GELIR_GIDER!$G$7:$G$3001,GELIR_GIDER!$T$7:$T$3001,$B115))</f>
        <v/>
      </c>
      <c r="H115" s="68" t="str">
        <f t="shared" ca="1" si="55"/>
        <v/>
      </c>
      <c r="I115" s="68" t="str">
        <f ca="1">IF($B115="","",SUMIFS(TAHSILAT!$F$7:$F$2503,TAHSILAT!$C$7:$C$2503,$B115))</f>
        <v/>
      </c>
      <c r="J115" s="68" t="str">
        <f t="shared" ca="1" si="56"/>
        <v/>
      </c>
      <c r="K115" s="68" t="str">
        <f t="shared" ca="1" si="57"/>
        <v/>
      </c>
      <c r="L115" s="68" t="str">
        <f t="shared" ca="1" si="58"/>
        <v/>
      </c>
      <c r="M115" s="68" t="str">
        <f t="shared" ca="1" si="59"/>
        <v/>
      </c>
      <c r="N115" s="68" t="str">
        <f t="shared" ca="1" si="60"/>
        <v/>
      </c>
      <c r="O115" s="92" t="str">
        <f t="shared" ca="1" si="61"/>
        <v/>
      </c>
      <c r="P115" s="70" t="str">
        <f ca="1">IF($B115="","",IFERROR(LOOKUP(2,1/(TAHSILAT!$C$7:$C$2503=$B115),TAHSILAT!$E$7:$E$2503),""))</f>
        <v/>
      </c>
      <c r="Q115" s="65" t="str">
        <f t="shared" ca="1" si="62"/>
        <v/>
      </c>
      <c r="R115" s="74" t="str">
        <f t="shared" ca="1" si="63"/>
        <v/>
      </c>
      <c r="S115" s="93" t="str">
        <f t="shared" ca="1" si="64"/>
        <v/>
      </c>
      <c r="T115" s="70" t="str">
        <f ca="1">IF(OR($B115="",$AF115=""),"",IF(INDEX(MUSTERILER!$K$7:$K$156,$AF115)="","",INDEX(MUSTERILER!$K$7:$K$156,$AF115)))</f>
        <v/>
      </c>
      <c r="U115" s="93" t="str">
        <f t="shared" ca="1" si="65"/>
        <v/>
      </c>
      <c r="V115" s="68" t="str">
        <f t="shared" ca="1" si="66"/>
        <v/>
      </c>
      <c r="W115" s="65" t="str">
        <f t="shared" ca="1" si="67"/>
        <v/>
      </c>
      <c r="X115" s="2">
        <f ca="1">IF($B115="",0,SUMIFS(UCRETLER!$J$7:$J$606,UCRETLER!$B$7:$B$606,$B115))</f>
        <v>0</v>
      </c>
      <c r="Y115" s="2">
        <f ca="1">IF($B115="",0,SUMIFS(UCRETLER!$K$7:$K$606,UCRETLER!$B$7:$B$606,$B115))</f>
        <v>0</v>
      </c>
      <c r="Z115" s="1">
        <f ca="1">IF($B115="",0,SUMIFS(UCRETLER!$L$7:$L$606,UCRETLER!$B$7:$B$606,$B115))</f>
        <v>0</v>
      </c>
      <c r="AA115" s="1">
        <f t="shared" ca="1" si="68"/>
        <v>0</v>
      </c>
      <c r="AB115" s="1">
        <f t="shared" ca="1" si="69"/>
        <v>0</v>
      </c>
      <c r="AC115" s="1">
        <f t="shared" ca="1" si="70"/>
        <v>0</v>
      </c>
      <c r="AD115" s="1">
        <f t="shared" ca="1" si="71"/>
        <v>0</v>
      </c>
      <c r="AE115" s="1">
        <f t="shared" ca="1" si="72"/>
        <v>0</v>
      </c>
      <c r="AF115" s="1" t="str">
        <f ca="1">IFERROR(MATCH(ROW()-6,MUSTERILER!$U$7:$U$156,0),"")</f>
        <v/>
      </c>
      <c r="AG115" s="1">
        <f ca="1">IF($B115="",0,SUMIFS(GELIR_GIDER!$G$7:$G$3001,GELIR_GIDER!$T$7:$T$3001,$B115))</f>
        <v>0</v>
      </c>
    </row>
    <row r="116" spans="1:33" ht="18" customHeight="1" x14ac:dyDescent="0.3">
      <c r="A116" s="2"/>
      <c r="B116" s="65" t="str">
        <f ca="1">IF($AF116="","",INDEX(MUSTERILER!$B$7:$B$156,$AF116))</f>
        <v/>
      </c>
      <c r="C116" s="74" t="str">
        <f ca="1">IF($AF116="","",INDEX(MUSTERILER!$C$7:$C$156,$AF116))</f>
        <v/>
      </c>
      <c r="D116" s="68" t="str">
        <f ca="1">IF($B116="","",SUMIFS(UCRETLER!$G$7:$G$606,UCRETLER!$B$7:$B$606,$B116,UCRETLER!$F$7:$F$606,"Haftalık",UCRETLER!$H$7:$H$606,"Aktif"))</f>
        <v/>
      </c>
      <c r="E116" s="68" t="str">
        <f ca="1">IF($B116="","",SUMIFS(UCRETLER!$G$7:$G$606,UCRETLER!$B$7:$B$606,$B116,UCRETLER!$F$7:$F$606,"Aylık",UCRETLER!$H$7:$H$606,"Aktif"))</f>
        <v/>
      </c>
      <c r="F116" s="68" t="str">
        <f ca="1">IF($B116="","",SUMIFS(MUSTERILER!$J$7:$J$156,MUSTERILER!$B$7:$B$156,$B116))</f>
        <v/>
      </c>
      <c r="G116" s="68" t="str">
        <f ca="1">IF($B116="","",SUMIFS(UCRETLER!$I$7:$I$606,UCRETLER!$B$7:$B$606,$B116)+SUMIFS(GELIR_GIDER!$G$7:$G$3001,GELIR_GIDER!$T$7:$T$3001,$B116))</f>
        <v/>
      </c>
      <c r="H116" s="68" t="str">
        <f t="shared" ca="1" si="55"/>
        <v/>
      </c>
      <c r="I116" s="68" t="str">
        <f ca="1">IF($B116="","",SUMIFS(TAHSILAT!$F$7:$F$2503,TAHSILAT!$C$7:$C$2503,$B116))</f>
        <v/>
      </c>
      <c r="J116" s="68" t="str">
        <f t="shared" ca="1" si="56"/>
        <v/>
      </c>
      <c r="K116" s="68" t="str">
        <f t="shared" ca="1" si="57"/>
        <v/>
      </c>
      <c r="L116" s="68" t="str">
        <f t="shared" ca="1" si="58"/>
        <v/>
      </c>
      <c r="M116" s="68" t="str">
        <f t="shared" ca="1" si="59"/>
        <v/>
      </c>
      <c r="N116" s="68" t="str">
        <f t="shared" ca="1" si="60"/>
        <v/>
      </c>
      <c r="O116" s="92" t="str">
        <f t="shared" ca="1" si="61"/>
        <v/>
      </c>
      <c r="P116" s="70" t="str">
        <f ca="1">IF($B116="","",IFERROR(LOOKUP(2,1/(TAHSILAT!$C$7:$C$2503=$B116),TAHSILAT!$E$7:$E$2503),""))</f>
        <v/>
      </c>
      <c r="Q116" s="65" t="str">
        <f t="shared" ca="1" si="62"/>
        <v/>
      </c>
      <c r="R116" s="74" t="str">
        <f t="shared" ca="1" si="63"/>
        <v/>
      </c>
      <c r="S116" s="93" t="str">
        <f t="shared" ca="1" si="64"/>
        <v/>
      </c>
      <c r="T116" s="70" t="str">
        <f ca="1">IF(OR($B116="",$AF116=""),"",IF(INDEX(MUSTERILER!$K$7:$K$156,$AF116)="","",INDEX(MUSTERILER!$K$7:$K$156,$AF116)))</f>
        <v/>
      </c>
      <c r="U116" s="93" t="str">
        <f t="shared" ca="1" si="65"/>
        <v/>
      </c>
      <c r="V116" s="68" t="str">
        <f t="shared" ca="1" si="66"/>
        <v/>
      </c>
      <c r="W116" s="65" t="str">
        <f t="shared" ca="1" si="67"/>
        <v/>
      </c>
      <c r="X116" s="2">
        <f ca="1">IF($B116="",0,SUMIFS(UCRETLER!$J$7:$J$606,UCRETLER!$B$7:$B$606,$B116))</f>
        <v>0</v>
      </c>
      <c r="Y116" s="2">
        <f ca="1">IF($B116="",0,SUMIFS(UCRETLER!$K$7:$K$606,UCRETLER!$B$7:$B$606,$B116))</f>
        <v>0</v>
      </c>
      <c r="Z116" s="1">
        <f ca="1">IF($B116="",0,SUMIFS(UCRETLER!$L$7:$L$606,UCRETLER!$B$7:$B$606,$B116))</f>
        <v>0</v>
      </c>
      <c r="AA116" s="1">
        <f t="shared" ca="1" si="68"/>
        <v>0</v>
      </c>
      <c r="AB116" s="1">
        <f t="shared" ca="1" si="69"/>
        <v>0</v>
      </c>
      <c r="AC116" s="1">
        <f t="shared" ca="1" si="70"/>
        <v>0</v>
      </c>
      <c r="AD116" s="1">
        <f t="shared" ca="1" si="71"/>
        <v>0</v>
      </c>
      <c r="AE116" s="1">
        <f t="shared" ca="1" si="72"/>
        <v>0</v>
      </c>
      <c r="AF116" s="1" t="str">
        <f ca="1">IFERROR(MATCH(ROW()-6,MUSTERILER!$U$7:$U$156,0),"")</f>
        <v/>
      </c>
      <c r="AG116" s="1">
        <f ca="1">IF($B116="",0,SUMIFS(GELIR_GIDER!$G$7:$G$3001,GELIR_GIDER!$T$7:$T$3001,$B116))</f>
        <v>0</v>
      </c>
    </row>
    <row r="117" spans="1:33" ht="18" customHeight="1" x14ac:dyDescent="0.3">
      <c r="A117" s="2"/>
      <c r="B117" s="65" t="str">
        <f ca="1">IF($AF117="","",INDEX(MUSTERILER!$B$7:$B$156,$AF117))</f>
        <v/>
      </c>
      <c r="C117" s="74" t="str">
        <f ca="1">IF($AF117="","",INDEX(MUSTERILER!$C$7:$C$156,$AF117))</f>
        <v/>
      </c>
      <c r="D117" s="68" t="str">
        <f ca="1">IF($B117="","",SUMIFS(UCRETLER!$G$7:$G$606,UCRETLER!$B$7:$B$606,$B117,UCRETLER!$F$7:$F$606,"Haftalık",UCRETLER!$H$7:$H$606,"Aktif"))</f>
        <v/>
      </c>
      <c r="E117" s="68" t="str">
        <f ca="1">IF($B117="","",SUMIFS(UCRETLER!$G$7:$G$606,UCRETLER!$B$7:$B$606,$B117,UCRETLER!$F$7:$F$606,"Aylık",UCRETLER!$H$7:$H$606,"Aktif"))</f>
        <v/>
      </c>
      <c r="F117" s="68" t="str">
        <f ca="1">IF($B117="","",SUMIFS(MUSTERILER!$J$7:$J$156,MUSTERILER!$B$7:$B$156,$B117))</f>
        <v/>
      </c>
      <c r="G117" s="68" t="str">
        <f ca="1">IF($B117="","",SUMIFS(UCRETLER!$I$7:$I$606,UCRETLER!$B$7:$B$606,$B117)+SUMIFS(GELIR_GIDER!$G$7:$G$3001,GELIR_GIDER!$T$7:$T$3001,$B117))</f>
        <v/>
      </c>
      <c r="H117" s="68" t="str">
        <f t="shared" ca="1" si="55"/>
        <v/>
      </c>
      <c r="I117" s="68" t="str">
        <f ca="1">IF($B117="","",SUMIFS(TAHSILAT!$F$7:$F$2503,TAHSILAT!$C$7:$C$2503,$B117))</f>
        <v/>
      </c>
      <c r="J117" s="68" t="str">
        <f t="shared" ca="1" si="56"/>
        <v/>
      </c>
      <c r="K117" s="68" t="str">
        <f t="shared" ca="1" si="57"/>
        <v/>
      </c>
      <c r="L117" s="68" t="str">
        <f t="shared" ca="1" si="58"/>
        <v/>
      </c>
      <c r="M117" s="68" t="str">
        <f t="shared" ca="1" si="59"/>
        <v/>
      </c>
      <c r="N117" s="68" t="str">
        <f t="shared" ca="1" si="60"/>
        <v/>
      </c>
      <c r="O117" s="92" t="str">
        <f t="shared" ca="1" si="61"/>
        <v/>
      </c>
      <c r="P117" s="70" t="str">
        <f ca="1">IF($B117="","",IFERROR(LOOKUP(2,1/(TAHSILAT!$C$7:$C$2503=$B117),TAHSILAT!$E$7:$E$2503),""))</f>
        <v/>
      </c>
      <c r="Q117" s="65" t="str">
        <f t="shared" ca="1" si="62"/>
        <v/>
      </c>
      <c r="R117" s="74" t="str">
        <f t="shared" ca="1" si="63"/>
        <v/>
      </c>
      <c r="S117" s="93" t="str">
        <f t="shared" ca="1" si="64"/>
        <v/>
      </c>
      <c r="T117" s="70" t="str">
        <f ca="1">IF(OR($B117="",$AF117=""),"",IF(INDEX(MUSTERILER!$K$7:$K$156,$AF117)="","",INDEX(MUSTERILER!$K$7:$K$156,$AF117)))</f>
        <v/>
      </c>
      <c r="U117" s="93" t="str">
        <f t="shared" ca="1" si="65"/>
        <v/>
      </c>
      <c r="V117" s="68" t="str">
        <f t="shared" ca="1" si="66"/>
        <v/>
      </c>
      <c r="W117" s="65" t="str">
        <f t="shared" ca="1" si="67"/>
        <v/>
      </c>
      <c r="X117" s="2">
        <f ca="1">IF($B117="",0,SUMIFS(UCRETLER!$J$7:$J$606,UCRETLER!$B$7:$B$606,$B117))</f>
        <v>0</v>
      </c>
      <c r="Y117" s="2">
        <f ca="1">IF($B117="",0,SUMIFS(UCRETLER!$K$7:$K$606,UCRETLER!$B$7:$B$606,$B117))</f>
        <v>0</v>
      </c>
      <c r="Z117" s="1">
        <f ca="1">IF($B117="",0,SUMIFS(UCRETLER!$L$7:$L$606,UCRETLER!$B$7:$B$606,$B117))</f>
        <v>0</v>
      </c>
      <c r="AA117" s="1">
        <f t="shared" ca="1" si="68"/>
        <v>0</v>
      </c>
      <c r="AB117" s="1">
        <f t="shared" ca="1" si="69"/>
        <v>0</v>
      </c>
      <c r="AC117" s="1">
        <f t="shared" ca="1" si="70"/>
        <v>0</v>
      </c>
      <c r="AD117" s="1">
        <f t="shared" ca="1" si="71"/>
        <v>0</v>
      </c>
      <c r="AE117" s="1">
        <f t="shared" ca="1" si="72"/>
        <v>0</v>
      </c>
      <c r="AF117" s="1" t="str">
        <f ca="1">IFERROR(MATCH(ROW()-6,MUSTERILER!$U$7:$U$156,0),"")</f>
        <v/>
      </c>
      <c r="AG117" s="1">
        <f ca="1">IF($B117="",0,SUMIFS(GELIR_GIDER!$G$7:$G$3001,GELIR_GIDER!$T$7:$T$3001,$B117))</f>
        <v>0</v>
      </c>
    </row>
    <row r="118" spans="1:33" ht="18" customHeight="1" x14ac:dyDescent="0.3">
      <c r="A118" s="2"/>
      <c r="B118" s="65" t="str">
        <f ca="1">IF($AF118="","",INDEX(MUSTERILER!$B$7:$B$156,$AF118))</f>
        <v/>
      </c>
      <c r="C118" s="74" t="str">
        <f ca="1">IF($AF118="","",INDEX(MUSTERILER!$C$7:$C$156,$AF118))</f>
        <v/>
      </c>
      <c r="D118" s="68" t="str">
        <f ca="1">IF($B118="","",SUMIFS(UCRETLER!$G$7:$G$606,UCRETLER!$B$7:$B$606,$B118,UCRETLER!$F$7:$F$606,"Haftalık",UCRETLER!$H$7:$H$606,"Aktif"))</f>
        <v/>
      </c>
      <c r="E118" s="68" t="str">
        <f ca="1">IF($B118="","",SUMIFS(UCRETLER!$G$7:$G$606,UCRETLER!$B$7:$B$606,$B118,UCRETLER!$F$7:$F$606,"Aylık",UCRETLER!$H$7:$H$606,"Aktif"))</f>
        <v/>
      </c>
      <c r="F118" s="68" t="str">
        <f ca="1">IF($B118="","",SUMIFS(MUSTERILER!$J$7:$J$156,MUSTERILER!$B$7:$B$156,$B118))</f>
        <v/>
      </c>
      <c r="G118" s="68" t="str">
        <f ca="1">IF($B118="","",SUMIFS(UCRETLER!$I$7:$I$606,UCRETLER!$B$7:$B$606,$B118)+SUMIFS(GELIR_GIDER!$G$7:$G$3001,GELIR_GIDER!$T$7:$T$3001,$B118))</f>
        <v/>
      </c>
      <c r="H118" s="68" t="str">
        <f t="shared" ca="1" si="55"/>
        <v/>
      </c>
      <c r="I118" s="68" t="str">
        <f ca="1">IF($B118="","",SUMIFS(TAHSILAT!$F$7:$F$2503,TAHSILAT!$C$7:$C$2503,$B118))</f>
        <v/>
      </c>
      <c r="J118" s="68" t="str">
        <f t="shared" ca="1" si="56"/>
        <v/>
      </c>
      <c r="K118" s="68" t="str">
        <f t="shared" ca="1" si="57"/>
        <v/>
      </c>
      <c r="L118" s="68" t="str">
        <f t="shared" ca="1" si="58"/>
        <v/>
      </c>
      <c r="M118" s="68" t="str">
        <f t="shared" ca="1" si="59"/>
        <v/>
      </c>
      <c r="N118" s="68" t="str">
        <f t="shared" ca="1" si="60"/>
        <v/>
      </c>
      <c r="O118" s="92" t="str">
        <f t="shared" ca="1" si="61"/>
        <v/>
      </c>
      <c r="P118" s="70" t="str">
        <f ca="1">IF($B118="","",IFERROR(LOOKUP(2,1/(TAHSILAT!$C$7:$C$2503=$B118),TAHSILAT!$E$7:$E$2503),""))</f>
        <v/>
      </c>
      <c r="Q118" s="65" t="str">
        <f t="shared" ca="1" si="62"/>
        <v/>
      </c>
      <c r="R118" s="74" t="str">
        <f t="shared" ca="1" si="63"/>
        <v/>
      </c>
      <c r="S118" s="93" t="str">
        <f t="shared" ca="1" si="64"/>
        <v/>
      </c>
      <c r="T118" s="70" t="str">
        <f ca="1">IF(OR($B118="",$AF118=""),"",IF(INDEX(MUSTERILER!$K$7:$K$156,$AF118)="","",INDEX(MUSTERILER!$K$7:$K$156,$AF118)))</f>
        <v/>
      </c>
      <c r="U118" s="93" t="str">
        <f t="shared" ca="1" si="65"/>
        <v/>
      </c>
      <c r="V118" s="68" t="str">
        <f t="shared" ca="1" si="66"/>
        <v/>
      </c>
      <c r="W118" s="65" t="str">
        <f t="shared" ca="1" si="67"/>
        <v/>
      </c>
      <c r="X118" s="2">
        <f ca="1">IF($B118="",0,SUMIFS(UCRETLER!$J$7:$J$606,UCRETLER!$B$7:$B$606,$B118))</f>
        <v>0</v>
      </c>
      <c r="Y118" s="2">
        <f ca="1">IF($B118="",0,SUMIFS(UCRETLER!$K$7:$K$606,UCRETLER!$B$7:$B$606,$B118))</f>
        <v>0</v>
      </c>
      <c r="Z118" s="1">
        <f ca="1">IF($B118="",0,SUMIFS(UCRETLER!$L$7:$L$606,UCRETLER!$B$7:$B$606,$B118))</f>
        <v>0</v>
      </c>
      <c r="AA118" s="1">
        <f t="shared" ca="1" si="68"/>
        <v>0</v>
      </c>
      <c r="AB118" s="1">
        <f t="shared" ca="1" si="69"/>
        <v>0</v>
      </c>
      <c r="AC118" s="1">
        <f t="shared" ca="1" si="70"/>
        <v>0</v>
      </c>
      <c r="AD118" s="1">
        <f t="shared" ca="1" si="71"/>
        <v>0</v>
      </c>
      <c r="AE118" s="1">
        <f t="shared" ca="1" si="72"/>
        <v>0</v>
      </c>
      <c r="AF118" s="1" t="str">
        <f ca="1">IFERROR(MATCH(ROW()-6,MUSTERILER!$U$7:$U$156,0),"")</f>
        <v/>
      </c>
      <c r="AG118" s="1">
        <f ca="1">IF($B118="",0,SUMIFS(GELIR_GIDER!$G$7:$G$3001,GELIR_GIDER!$T$7:$T$3001,$B118))</f>
        <v>0</v>
      </c>
    </row>
    <row r="119" spans="1:33" ht="18" customHeight="1" x14ac:dyDescent="0.3">
      <c r="A119" s="2"/>
      <c r="B119" s="65" t="str">
        <f ca="1">IF($AF119="","",INDEX(MUSTERILER!$B$7:$B$156,$AF119))</f>
        <v/>
      </c>
      <c r="C119" s="74" t="str">
        <f ca="1">IF($AF119="","",INDEX(MUSTERILER!$C$7:$C$156,$AF119))</f>
        <v/>
      </c>
      <c r="D119" s="68" t="str">
        <f ca="1">IF($B119="","",SUMIFS(UCRETLER!$G$7:$G$606,UCRETLER!$B$7:$B$606,$B119,UCRETLER!$F$7:$F$606,"Haftalık",UCRETLER!$H$7:$H$606,"Aktif"))</f>
        <v/>
      </c>
      <c r="E119" s="68" t="str">
        <f ca="1">IF($B119="","",SUMIFS(UCRETLER!$G$7:$G$606,UCRETLER!$B$7:$B$606,$B119,UCRETLER!$F$7:$F$606,"Aylık",UCRETLER!$H$7:$H$606,"Aktif"))</f>
        <v/>
      </c>
      <c r="F119" s="68" t="str">
        <f ca="1">IF($B119="","",SUMIFS(MUSTERILER!$J$7:$J$156,MUSTERILER!$B$7:$B$156,$B119))</f>
        <v/>
      </c>
      <c r="G119" s="68" t="str">
        <f ca="1">IF($B119="","",SUMIFS(UCRETLER!$I$7:$I$606,UCRETLER!$B$7:$B$606,$B119)+SUMIFS(GELIR_GIDER!$G$7:$G$3001,GELIR_GIDER!$T$7:$T$3001,$B119))</f>
        <v/>
      </c>
      <c r="H119" s="68" t="str">
        <f t="shared" ca="1" si="55"/>
        <v/>
      </c>
      <c r="I119" s="68" t="str">
        <f ca="1">IF($B119="","",SUMIFS(TAHSILAT!$F$7:$F$2503,TAHSILAT!$C$7:$C$2503,$B119))</f>
        <v/>
      </c>
      <c r="J119" s="68" t="str">
        <f t="shared" ca="1" si="56"/>
        <v/>
      </c>
      <c r="K119" s="68" t="str">
        <f t="shared" ca="1" si="57"/>
        <v/>
      </c>
      <c r="L119" s="68" t="str">
        <f t="shared" ca="1" si="58"/>
        <v/>
      </c>
      <c r="M119" s="68" t="str">
        <f t="shared" ca="1" si="59"/>
        <v/>
      </c>
      <c r="N119" s="68" t="str">
        <f t="shared" ca="1" si="60"/>
        <v/>
      </c>
      <c r="O119" s="92" t="str">
        <f t="shared" ca="1" si="61"/>
        <v/>
      </c>
      <c r="P119" s="70" t="str">
        <f ca="1">IF($B119="","",IFERROR(LOOKUP(2,1/(TAHSILAT!$C$7:$C$2503=$B119),TAHSILAT!$E$7:$E$2503),""))</f>
        <v/>
      </c>
      <c r="Q119" s="65" t="str">
        <f t="shared" ca="1" si="62"/>
        <v/>
      </c>
      <c r="R119" s="74" t="str">
        <f t="shared" ca="1" si="63"/>
        <v/>
      </c>
      <c r="S119" s="93" t="str">
        <f t="shared" ca="1" si="64"/>
        <v/>
      </c>
      <c r="T119" s="70" t="str">
        <f ca="1">IF(OR($B119="",$AF119=""),"",IF(INDEX(MUSTERILER!$K$7:$K$156,$AF119)="","",INDEX(MUSTERILER!$K$7:$K$156,$AF119)))</f>
        <v/>
      </c>
      <c r="U119" s="93" t="str">
        <f t="shared" ca="1" si="65"/>
        <v/>
      </c>
      <c r="V119" s="68" t="str">
        <f t="shared" ca="1" si="66"/>
        <v/>
      </c>
      <c r="W119" s="65" t="str">
        <f t="shared" ca="1" si="67"/>
        <v/>
      </c>
      <c r="X119" s="2">
        <f ca="1">IF($B119="",0,SUMIFS(UCRETLER!$J$7:$J$606,UCRETLER!$B$7:$B$606,$B119))</f>
        <v>0</v>
      </c>
      <c r="Y119" s="2">
        <f ca="1">IF($B119="",0,SUMIFS(UCRETLER!$K$7:$K$606,UCRETLER!$B$7:$B$606,$B119))</f>
        <v>0</v>
      </c>
      <c r="Z119" s="1">
        <f ca="1">IF($B119="",0,SUMIFS(UCRETLER!$L$7:$L$606,UCRETLER!$B$7:$B$606,$B119))</f>
        <v>0</v>
      </c>
      <c r="AA119" s="1">
        <f t="shared" ca="1" si="68"/>
        <v>0</v>
      </c>
      <c r="AB119" s="1">
        <f t="shared" ca="1" si="69"/>
        <v>0</v>
      </c>
      <c r="AC119" s="1">
        <f t="shared" ca="1" si="70"/>
        <v>0</v>
      </c>
      <c r="AD119" s="1">
        <f t="shared" ca="1" si="71"/>
        <v>0</v>
      </c>
      <c r="AE119" s="1">
        <f t="shared" ca="1" si="72"/>
        <v>0</v>
      </c>
      <c r="AF119" s="1" t="str">
        <f ca="1">IFERROR(MATCH(ROW()-6,MUSTERILER!$U$7:$U$156,0),"")</f>
        <v/>
      </c>
      <c r="AG119" s="1">
        <f ca="1">IF($B119="",0,SUMIFS(GELIR_GIDER!$G$7:$G$3001,GELIR_GIDER!$T$7:$T$3001,$B119))</f>
        <v>0</v>
      </c>
    </row>
    <row r="120" spans="1:33" ht="18" customHeight="1" x14ac:dyDescent="0.3">
      <c r="A120" s="2"/>
      <c r="B120" s="65" t="str">
        <f ca="1">IF($AF120="","",INDEX(MUSTERILER!$B$7:$B$156,$AF120))</f>
        <v/>
      </c>
      <c r="C120" s="74" t="str">
        <f ca="1">IF($AF120="","",INDEX(MUSTERILER!$C$7:$C$156,$AF120))</f>
        <v/>
      </c>
      <c r="D120" s="68" t="str">
        <f ca="1">IF($B120="","",SUMIFS(UCRETLER!$G$7:$G$606,UCRETLER!$B$7:$B$606,$B120,UCRETLER!$F$7:$F$606,"Haftalık",UCRETLER!$H$7:$H$606,"Aktif"))</f>
        <v/>
      </c>
      <c r="E120" s="68" t="str">
        <f ca="1">IF($B120="","",SUMIFS(UCRETLER!$G$7:$G$606,UCRETLER!$B$7:$B$606,$B120,UCRETLER!$F$7:$F$606,"Aylık",UCRETLER!$H$7:$H$606,"Aktif"))</f>
        <v/>
      </c>
      <c r="F120" s="68" t="str">
        <f ca="1">IF($B120="","",SUMIFS(MUSTERILER!$J$7:$J$156,MUSTERILER!$B$7:$B$156,$B120))</f>
        <v/>
      </c>
      <c r="G120" s="68" t="str">
        <f ca="1">IF($B120="","",SUMIFS(UCRETLER!$I$7:$I$606,UCRETLER!$B$7:$B$606,$B120)+SUMIFS(GELIR_GIDER!$G$7:$G$3001,GELIR_GIDER!$T$7:$T$3001,$B120))</f>
        <v/>
      </c>
      <c r="H120" s="68" t="str">
        <f t="shared" ca="1" si="55"/>
        <v/>
      </c>
      <c r="I120" s="68" t="str">
        <f ca="1">IF($B120="","",SUMIFS(TAHSILAT!$F$7:$F$2503,TAHSILAT!$C$7:$C$2503,$B120))</f>
        <v/>
      </c>
      <c r="J120" s="68" t="str">
        <f t="shared" ca="1" si="56"/>
        <v/>
      </c>
      <c r="K120" s="68" t="str">
        <f t="shared" ca="1" si="57"/>
        <v/>
      </c>
      <c r="L120" s="68" t="str">
        <f t="shared" ca="1" si="58"/>
        <v/>
      </c>
      <c r="M120" s="68" t="str">
        <f t="shared" ca="1" si="59"/>
        <v/>
      </c>
      <c r="N120" s="68" t="str">
        <f t="shared" ca="1" si="60"/>
        <v/>
      </c>
      <c r="O120" s="92" t="str">
        <f t="shared" ca="1" si="61"/>
        <v/>
      </c>
      <c r="P120" s="70" t="str">
        <f ca="1">IF($B120="","",IFERROR(LOOKUP(2,1/(TAHSILAT!$C$7:$C$2503=$B120),TAHSILAT!$E$7:$E$2503),""))</f>
        <v/>
      </c>
      <c r="Q120" s="65" t="str">
        <f t="shared" ca="1" si="62"/>
        <v/>
      </c>
      <c r="R120" s="74" t="str">
        <f t="shared" ca="1" si="63"/>
        <v/>
      </c>
      <c r="S120" s="93" t="str">
        <f t="shared" ca="1" si="64"/>
        <v/>
      </c>
      <c r="T120" s="70" t="str">
        <f ca="1">IF(OR($B120="",$AF120=""),"",IF(INDEX(MUSTERILER!$K$7:$K$156,$AF120)="","",INDEX(MUSTERILER!$K$7:$K$156,$AF120)))</f>
        <v/>
      </c>
      <c r="U120" s="93" t="str">
        <f t="shared" ca="1" si="65"/>
        <v/>
      </c>
      <c r="V120" s="68" t="str">
        <f t="shared" ca="1" si="66"/>
        <v/>
      </c>
      <c r="W120" s="65" t="str">
        <f t="shared" ca="1" si="67"/>
        <v/>
      </c>
      <c r="X120" s="2">
        <f ca="1">IF($B120="",0,SUMIFS(UCRETLER!$J$7:$J$606,UCRETLER!$B$7:$B$606,$B120))</f>
        <v>0</v>
      </c>
      <c r="Y120" s="2">
        <f ca="1">IF($B120="",0,SUMIFS(UCRETLER!$K$7:$K$606,UCRETLER!$B$7:$B$606,$B120))</f>
        <v>0</v>
      </c>
      <c r="Z120" s="1">
        <f ca="1">IF($B120="",0,SUMIFS(UCRETLER!$L$7:$L$606,UCRETLER!$B$7:$B$606,$B120))</f>
        <v>0</v>
      </c>
      <c r="AA120" s="1">
        <f t="shared" ca="1" si="68"/>
        <v>0</v>
      </c>
      <c r="AB120" s="1">
        <f t="shared" ca="1" si="69"/>
        <v>0</v>
      </c>
      <c r="AC120" s="1">
        <f t="shared" ca="1" si="70"/>
        <v>0</v>
      </c>
      <c r="AD120" s="1">
        <f t="shared" ca="1" si="71"/>
        <v>0</v>
      </c>
      <c r="AE120" s="1">
        <f t="shared" ca="1" si="72"/>
        <v>0</v>
      </c>
      <c r="AF120" s="1" t="str">
        <f ca="1">IFERROR(MATCH(ROW()-6,MUSTERILER!$U$7:$U$156,0),"")</f>
        <v/>
      </c>
      <c r="AG120" s="1">
        <f ca="1">IF($B120="",0,SUMIFS(GELIR_GIDER!$G$7:$G$3001,GELIR_GIDER!$T$7:$T$3001,$B120))</f>
        <v>0</v>
      </c>
    </row>
    <row r="121" spans="1:33" ht="18" customHeight="1" x14ac:dyDescent="0.3">
      <c r="A121" s="2"/>
      <c r="B121" s="65" t="str">
        <f ca="1">IF($AF121="","",INDEX(MUSTERILER!$B$7:$B$156,$AF121))</f>
        <v/>
      </c>
      <c r="C121" s="74" t="str">
        <f ca="1">IF($AF121="","",INDEX(MUSTERILER!$C$7:$C$156,$AF121))</f>
        <v/>
      </c>
      <c r="D121" s="68" t="str">
        <f ca="1">IF($B121="","",SUMIFS(UCRETLER!$G$7:$G$606,UCRETLER!$B$7:$B$606,$B121,UCRETLER!$F$7:$F$606,"Haftalık",UCRETLER!$H$7:$H$606,"Aktif"))</f>
        <v/>
      </c>
      <c r="E121" s="68" t="str">
        <f ca="1">IF($B121="","",SUMIFS(UCRETLER!$G$7:$G$606,UCRETLER!$B$7:$B$606,$B121,UCRETLER!$F$7:$F$606,"Aylık",UCRETLER!$H$7:$H$606,"Aktif"))</f>
        <v/>
      </c>
      <c r="F121" s="68" t="str">
        <f ca="1">IF($B121="","",SUMIFS(MUSTERILER!$J$7:$J$156,MUSTERILER!$B$7:$B$156,$B121))</f>
        <v/>
      </c>
      <c r="G121" s="68" t="str">
        <f ca="1">IF($B121="","",SUMIFS(UCRETLER!$I$7:$I$606,UCRETLER!$B$7:$B$606,$B121)+SUMIFS(GELIR_GIDER!$G$7:$G$3001,GELIR_GIDER!$T$7:$T$3001,$B121))</f>
        <v/>
      </c>
      <c r="H121" s="68" t="str">
        <f t="shared" ca="1" si="55"/>
        <v/>
      </c>
      <c r="I121" s="68" t="str">
        <f ca="1">IF($B121="","",SUMIFS(TAHSILAT!$F$7:$F$2503,TAHSILAT!$C$7:$C$2503,$B121))</f>
        <v/>
      </c>
      <c r="J121" s="68" t="str">
        <f t="shared" ca="1" si="56"/>
        <v/>
      </c>
      <c r="K121" s="68" t="str">
        <f t="shared" ca="1" si="57"/>
        <v/>
      </c>
      <c r="L121" s="68" t="str">
        <f t="shared" ca="1" si="58"/>
        <v/>
      </c>
      <c r="M121" s="68" t="str">
        <f t="shared" ca="1" si="59"/>
        <v/>
      </c>
      <c r="N121" s="68" t="str">
        <f t="shared" ca="1" si="60"/>
        <v/>
      </c>
      <c r="O121" s="92" t="str">
        <f t="shared" ca="1" si="61"/>
        <v/>
      </c>
      <c r="P121" s="70" t="str">
        <f ca="1">IF($B121="","",IFERROR(LOOKUP(2,1/(TAHSILAT!$C$7:$C$2503=$B121),TAHSILAT!$E$7:$E$2503),""))</f>
        <v/>
      </c>
      <c r="Q121" s="65" t="str">
        <f t="shared" ca="1" si="62"/>
        <v/>
      </c>
      <c r="R121" s="74" t="str">
        <f t="shared" ca="1" si="63"/>
        <v/>
      </c>
      <c r="S121" s="93" t="str">
        <f t="shared" ca="1" si="64"/>
        <v/>
      </c>
      <c r="T121" s="70" t="str">
        <f ca="1">IF(OR($B121="",$AF121=""),"",IF(INDEX(MUSTERILER!$K$7:$K$156,$AF121)="","",INDEX(MUSTERILER!$K$7:$K$156,$AF121)))</f>
        <v/>
      </c>
      <c r="U121" s="93" t="str">
        <f t="shared" ca="1" si="65"/>
        <v/>
      </c>
      <c r="V121" s="68" t="str">
        <f t="shared" ca="1" si="66"/>
        <v/>
      </c>
      <c r="W121" s="65" t="str">
        <f t="shared" ca="1" si="67"/>
        <v/>
      </c>
      <c r="X121" s="2">
        <f ca="1">IF($B121="",0,SUMIFS(UCRETLER!$J$7:$J$606,UCRETLER!$B$7:$B$606,$B121))</f>
        <v>0</v>
      </c>
      <c r="Y121" s="2">
        <f ca="1">IF($B121="",0,SUMIFS(UCRETLER!$K$7:$K$606,UCRETLER!$B$7:$B$606,$B121))</f>
        <v>0</v>
      </c>
      <c r="Z121" s="1">
        <f ca="1">IF($B121="",0,SUMIFS(UCRETLER!$L$7:$L$606,UCRETLER!$B$7:$B$606,$B121))</f>
        <v>0</v>
      </c>
      <c r="AA121" s="1">
        <f t="shared" ca="1" si="68"/>
        <v>0</v>
      </c>
      <c r="AB121" s="1">
        <f t="shared" ca="1" si="69"/>
        <v>0</v>
      </c>
      <c r="AC121" s="1">
        <f t="shared" ca="1" si="70"/>
        <v>0</v>
      </c>
      <c r="AD121" s="1">
        <f t="shared" ca="1" si="71"/>
        <v>0</v>
      </c>
      <c r="AE121" s="1">
        <f t="shared" ca="1" si="72"/>
        <v>0</v>
      </c>
      <c r="AF121" s="1" t="str">
        <f ca="1">IFERROR(MATCH(ROW()-6,MUSTERILER!$U$7:$U$156,0),"")</f>
        <v/>
      </c>
      <c r="AG121" s="1">
        <f ca="1">IF($B121="",0,SUMIFS(GELIR_GIDER!$G$7:$G$3001,GELIR_GIDER!$T$7:$T$3001,$B121))</f>
        <v>0</v>
      </c>
    </row>
    <row r="122" spans="1:33" ht="18" customHeight="1" x14ac:dyDescent="0.3">
      <c r="A122" s="2"/>
      <c r="B122" s="65" t="str">
        <f ca="1">IF($AF122="","",INDEX(MUSTERILER!$B$7:$B$156,$AF122))</f>
        <v/>
      </c>
      <c r="C122" s="74" t="str">
        <f ca="1">IF($AF122="","",INDEX(MUSTERILER!$C$7:$C$156,$AF122))</f>
        <v/>
      </c>
      <c r="D122" s="68" t="str">
        <f ca="1">IF($B122="","",SUMIFS(UCRETLER!$G$7:$G$606,UCRETLER!$B$7:$B$606,$B122,UCRETLER!$F$7:$F$606,"Haftalık",UCRETLER!$H$7:$H$606,"Aktif"))</f>
        <v/>
      </c>
      <c r="E122" s="68" t="str">
        <f ca="1">IF($B122="","",SUMIFS(UCRETLER!$G$7:$G$606,UCRETLER!$B$7:$B$606,$B122,UCRETLER!$F$7:$F$606,"Aylık",UCRETLER!$H$7:$H$606,"Aktif"))</f>
        <v/>
      </c>
      <c r="F122" s="68" t="str">
        <f ca="1">IF($B122="","",SUMIFS(MUSTERILER!$J$7:$J$156,MUSTERILER!$B$7:$B$156,$B122))</f>
        <v/>
      </c>
      <c r="G122" s="68" t="str">
        <f ca="1">IF($B122="","",SUMIFS(UCRETLER!$I$7:$I$606,UCRETLER!$B$7:$B$606,$B122)+SUMIFS(GELIR_GIDER!$G$7:$G$3001,GELIR_GIDER!$T$7:$T$3001,$B122))</f>
        <v/>
      </c>
      <c r="H122" s="68" t="str">
        <f t="shared" ca="1" si="55"/>
        <v/>
      </c>
      <c r="I122" s="68" t="str">
        <f ca="1">IF($B122="","",SUMIFS(TAHSILAT!$F$7:$F$2503,TAHSILAT!$C$7:$C$2503,$B122))</f>
        <v/>
      </c>
      <c r="J122" s="68" t="str">
        <f t="shared" ca="1" si="56"/>
        <v/>
      </c>
      <c r="K122" s="68" t="str">
        <f t="shared" ca="1" si="57"/>
        <v/>
      </c>
      <c r="L122" s="68" t="str">
        <f t="shared" ca="1" si="58"/>
        <v/>
      </c>
      <c r="M122" s="68" t="str">
        <f t="shared" ca="1" si="59"/>
        <v/>
      </c>
      <c r="N122" s="68" t="str">
        <f t="shared" ca="1" si="60"/>
        <v/>
      </c>
      <c r="O122" s="92" t="str">
        <f t="shared" ca="1" si="61"/>
        <v/>
      </c>
      <c r="P122" s="70" t="str">
        <f ca="1">IF($B122="","",IFERROR(LOOKUP(2,1/(TAHSILAT!$C$7:$C$2503=$B122),TAHSILAT!$E$7:$E$2503),""))</f>
        <v/>
      </c>
      <c r="Q122" s="65" t="str">
        <f t="shared" ca="1" si="62"/>
        <v/>
      </c>
      <c r="R122" s="74" t="str">
        <f t="shared" ca="1" si="63"/>
        <v/>
      </c>
      <c r="S122" s="93" t="str">
        <f t="shared" ca="1" si="64"/>
        <v/>
      </c>
      <c r="T122" s="70" t="str">
        <f ca="1">IF(OR($B122="",$AF122=""),"",IF(INDEX(MUSTERILER!$K$7:$K$156,$AF122)="","",INDEX(MUSTERILER!$K$7:$K$156,$AF122)))</f>
        <v/>
      </c>
      <c r="U122" s="93" t="str">
        <f t="shared" ca="1" si="65"/>
        <v/>
      </c>
      <c r="V122" s="68" t="str">
        <f t="shared" ca="1" si="66"/>
        <v/>
      </c>
      <c r="W122" s="65" t="str">
        <f t="shared" ca="1" si="67"/>
        <v/>
      </c>
      <c r="X122" s="2">
        <f ca="1">IF($B122="",0,SUMIFS(UCRETLER!$J$7:$J$606,UCRETLER!$B$7:$B$606,$B122))</f>
        <v>0</v>
      </c>
      <c r="Y122" s="2">
        <f ca="1">IF($B122="",0,SUMIFS(UCRETLER!$K$7:$K$606,UCRETLER!$B$7:$B$606,$B122))</f>
        <v>0</v>
      </c>
      <c r="Z122" s="1">
        <f ca="1">IF($B122="",0,SUMIFS(UCRETLER!$L$7:$L$606,UCRETLER!$B$7:$B$606,$B122))</f>
        <v>0</v>
      </c>
      <c r="AA122" s="1">
        <f t="shared" ca="1" si="68"/>
        <v>0</v>
      </c>
      <c r="AB122" s="1">
        <f t="shared" ca="1" si="69"/>
        <v>0</v>
      </c>
      <c r="AC122" s="1">
        <f t="shared" ca="1" si="70"/>
        <v>0</v>
      </c>
      <c r="AD122" s="1">
        <f t="shared" ca="1" si="71"/>
        <v>0</v>
      </c>
      <c r="AE122" s="1">
        <f t="shared" ca="1" si="72"/>
        <v>0</v>
      </c>
      <c r="AF122" s="1" t="str">
        <f ca="1">IFERROR(MATCH(ROW()-6,MUSTERILER!$U$7:$U$156,0),"")</f>
        <v/>
      </c>
      <c r="AG122" s="1">
        <f ca="1">IF($B122="",0,SUMIFS(GELIR_GIDER!$G$7:$G$3001,GELIR_GIDER!$T$7:$T$3001,$B122))</f>
        <v>0</v>
      </c>
    </row>
    <row r="123" spans="1:33" ht="18" customHeight="1" x14ac:dyDescent="0.3">
      <c r="A123" s="2"/>
      <c r="B123" s="65" t="str">
        <f ca="1">IF($AF123="","",INDEX(MUSTERILER!$B$7:$B$156,$AF123))</f>
        <v/>
      </c>
      <c r="C123" s="74" t="str">
        <f ca="1">IF($AF123="","",INDEX(MUSTERILER!$C$7:$C$156,$AF123))</f>
        <v/>
      </c>
      <c r="D123" s="68" t="str">
        <f ca="1">IF($B123="","",SUMIFS(UCRETLER!$G$7:$G$606,UCRETLER!$B$7:$B$606,$B123,UCRETLER!$F$7:$F$606,"Haftalık",UCRETLER!$H$7:$H$606,"Aktif"))</f>
        <v/>
      </c>
      <c r="E123" s="68" t="str">
        <f ca="1">IF($B123="","",SUMIFS(UCRETLER!$G$7:$G$606,UCRETLER!$B$7:$B$606,$B123,UCRETLER!$F$7:$F$606,"Aylık",UCRETLER!$H$7:$H$606,"Aktif"))</f>
        <v/>
      </c>
      <c r="F123" s="68" t="str">
        <f ca="1">IF($B123="","",SUMIFS(MUSTERILER!$J$7:$J$156,MUSTERILER!$B$7:$B$156,$B123))</f>
        <v/>
      </c>
      <c r="G123" s="68" t="str">
        <f ca="1">IF($B123="","",SUMIFS(UCRETLER!$I$7:$I$606,UCRETLER!$B$7:$B$606,$B123)+SUMIFS(GELIR_GIDER!$G$7:$G$3001,GELIR_GIDER!$T$7:$T$3001,$B123))</f>
        <v/>
      </c>
      <c r="H123" s="68" t="str">
        <f t="shared" ca="1" si="55"/>
        <v/>
      </c>
      <c r="I123" s="68" t="str">
        <f ca="1">IF($B123="","",SUMIFS(TAHSILAT!$F$7:$F$2503,TAHSILAT!$C$7:$C$2503,$B123))</f>
        <v/>
      </c>
      <c r="J123" s="68" t="str">
        <f t="shared" ca="1" si="56"/>
        <v/>
      </c>
      <c r="K123" s="68" t="str">
        <f t="shared" ca="1" si="57"/>
        <v/>
      </c>
      <c r="L123" s="68" t="str">
        <f t="shared" ca="1" si="58"/>
        <v/>
      </c>
      <c r="M123" s="68" t="str">
        <f t="shared" ca="1" si="59"/>
        <v/>
      </c>
      <c r="N123" s="68" t="str">
        <f t="shared" ca="1" si="60"/>
        <v/>
      </c>
      <c r="O123" s="92" t="str">
        <f t="shared" ca="1" si="61"/>
        <v/>
      </c>
      <c r="P123" s="70" t="str">
        <f ca="1">IF($B123="","",IFERROR(LOOKUP(2,1/(TAHSILAT!$C$7:$C$2503=$B123),TAHSILAT!$E$7:$E$2503),""))</f>
        <v/>
      </c>
      <c r="Q123" s="65" t="str">
        <f t="shared" ca="1" si="62"/>
        <v/>
      </c>
      <c r="R123" s="74" t="str">
        <f t="shared" ca="1" si="63"/>
        <v/>
      </c>
      <c r="S123" s="93" t="str">
        <f t="shared" ca="1" si="64"/>
        <v/>
      </c>
      <c r="T123" s="70" t="str">
        <f ca="1">IF(OR($B123="",$AF123=""),"",IF(INDEX(MUSTERILER!$K$7:$K$156,$AF123)="","",INDEX(MUSTERILER!$K$7:$K$156,$AF123)))</f>
        <v/>
      </c>
      <c r="U123" s="93" t="str">
        <f t="shared" ca="1" si="65"/>
        <v/>
      </c>
      <c r="V123" s="68" t="str">
        <f t="shared" ca="1" si="66"/>
        <v/>
      </c>
      <c r="W123" s="65" t="str">
        <f t="shared" ca="1" si="67"/>
        <v/>
      </c>
      <c r="X123" s="2">
        <f ca="1">IF($B123="",0,SUMIFS(UCRETLER!$J$7:$J$606,UCRETLER!$B$7:$B$606,$B123))</f>
        <v>0</v>
      </c>
      <c r="Y123" s="2">
        <f ca="1">IF($B123="",0,SUMIFS(UCRETLER!$K$7:$K$606,UCRETLER!$B$7:$B$606,$B123))</f>
        <v>0</v>
      </c>
      <c r="Z123" s="1">
        <f ca="1">IF($B123="",0,SUMIFS(UCRETLER!$L$7:$L$606,UCRETLER!$B$7:$B$606,$B123))</f>
        <v>0</v>
      </c>
      <c r="AA123" s="1">
        <f t="shared" ca="1" si="68"/>
        <v>0</v>
      </c>
      <c r="AB123" s="1">
        <f t="shared" ca="1" si="69"/>
        <v>0</v>
      </c>
      <c r="AC123" s="1">
        <f t="shared" ca="1" si="70"/>
        <v>0</v>
      </c>
      <c r="AD123" s="1">
        <f t="shared" ca="1" si="71"/>
        <v>0</v>
      </c>
      <c r="AE123" s="1">
        <f t="shared" ca="1" si="72"/>
        <v>0</v>
      </c>
      <c r="AF123" s="1" t="str">
        <f ca="1">IFERROR(MATCH(ROW()-6,MUSTERILER!$U$7:$U$156,0),"")</f>
        <v/>
      </c>
      <c r="AG123" s="1">
        <f ca="1">IF($B123="",0,SUMIFS(GELIR_GIDER!$G$7:$G$3001,GELIR_GIDER!$T$7:$T$3001,$B123))</f>
        <v>0</v>
      </c>
    </row>
    <row r="124" spans="1:33" ht="18" customHeight="1" x14ac:dyDescent="0.3">
      <c r="A124" s="2"/>
      <c r="B124" s="65" t="str">
        <f ca="1">IF($AF124="","",INDEX(MUSTERILER!$B$7:$B$156,$AF124))</f>
        <v/>
      </c>
      <c r="C124" s="74" t="str">
        <f ca="1">IF($AF124="","",INDEX(MUSTERILER!$C$7:$C$156,$AF124))</f>
        <v/>
      </c>
      <c r="D124" s="68" t="str">
        <f ca="1">IF($B124="","",SUMIFS(UCRETLER!$G$7:$G$606,UCRETLER!$B$7:$B$606,$B124,UCRETLER!$F$7:$F$606,"Haftalık",UCRETLER!$H$7:$H$606,"Aktif"))</f>
        <v/>
      </c>
      <c r="E124" s="68" t="str">
        <f ca="1">IF($B124="","",SUMIFS(UCRETLER!$G$7:$G$606,UCRETLER!$B$7:$B$606,$B124,UCRETLER!$F$7:$F$606,"Aylık",UCRETLER!$H$7:$H$606,"Aktif"))</f>
        <v/>
      </c>
      <c r="F124" s="68" t="str">
        <f ca="1">IF($B124="","",SUMIFS(MUSTERILER!$J$7:$J$156,MUSTERILER!$B$7:$B$156,$B124))</f>
        <v/>
      </c>
      <c r="G124" s="68" t="str">
        <f ca="1">IF($B124="","",SUMIFS(UCRETLER!$I$7:$I$606,UCRETLER!$B$7:$B$606,$B124)+SUMIFS(GELIR_GIDER!$G$7:$G$3001,GELIR_GIDER!$T$7:$T$3001,$B124))</f>
        <v/>
      </c>
      <c r="H124" s="68" t="str">
        <f t="shared" ca="1" si="55"/>
        <v/>
      </c>
      <c r="I124" s="68" t="str">
        <f ca="1">IF($B124="","",SUMIFS(TAHSILAT!$F$7:$F$2503,TAHSILAT!$C$7:$C$2503,$B124))</f>
        <v/>
      </c>
      <c r="J124" s="68" t="str">
        <f t="shared" ca="1" si="56"/>
        <v/>
      </c>
      <c r="K124" s="68" t="str">
        <f t="shared" ca="1" si="57"/>
        <v/>
      </c>
      <c r="L124" s="68" t="str">
        <f t="shared" ca="1" si="58"/>
        <v/>
      </c>
      <c r="M124" s="68" t="str">
        <f t="shared" ca="1" si="59"/>
        <v/>
      </c>
      <c r="N124" s="68" t="str">
        <f t="shared" ca="1" si="60"/>
        <v/>
      </c>
      <c r="O124" s="92" t="str">
        <f t="shared" ca="1" si="61"/>
        <v/>
      </c>
      <c r="P124" s="70" t="str">
        <f ca="1">IF($B124="","",IFERROR(LOOKUP(2,1/(TAHSILAT!$C$7:$C$2503=$B124),TAHSILAT!$E$7:$E$2503),""))</f>
        <v/>
      </c>
      <c r="Q124" s="65" t="str">
        <f t="shared" ca="1" si="62"/>
        <v/>
      </c>
      <c r="R124" s="74" t="str">
        <f t="shared" ca="1" si="63"/>
        <v/>
      </c>
      <c r="S124" s="93" t="str">
        <f t="shared" ca="1" si="64"/>
        <v/>
      </c>
      <c r="T124" s="70" t="str">
        <f ca="1">IF(OR($B124="",$AF124=""),"",IF(INDEX(MUSTERILER!$K$7:$K$156,$AF124)="","",INDEX(MUSTERILER!$K$7:$K$156,$AF124)))</f>
        <v/>
      </c>
      <c r="U124" s="93" t="str">
        <f t="shared" ca="1" si="65"/>
        <v/>
      </c>
      <c r="V124" s="68" t="str">
        <f t="shared" ca="1" si="66"/>
        <v/>
      </c>
      <c r="W124" s="65" t="str">
        <f t="shared" ca="1" si="67"/>
        <v/>
      </c>
      <c r="X124" s="2">
        <f ca="1">IF($B124="",0,SUMIFS(UCRETLER!$J$7:$J$606,UCRETLER!$B$7:$B$606,$B124))</f>
        <v>0</v>
      </c>
      <c r="Y124" s="2">
        <f ca="1">IF($B124="",0,SUMIFS(UCRETLER!$K$7:$K$606,UCRETLER!$B$7:$B$606,$B124))</f>
        <v>0</v>
      </c>
      <c r="Z124" s="1">
        <f ca="1">IF($B124="",0,SUMIFS(UCRETLER!$L$7:$L$606,UCRETLER!$B$7:$B$606,$B124))</f>
        <v>0</v>
      </c>
      <c r="AA124" s="1">
        <f t="shared" ca="1" si="68"/>
        <v>0</v>
      </c>
      <c r="AB124" s="1">
        <f t="shared" ca="1" si="69"/>
        <v>0</v>
      </c>
      <c r="AC124" s="1">
        <f t="shared" ca="1" si="70"/>
        <v>0</v>
      </c>
      <c r="AD124" s="1">
        <f t="shared" ca="1" si="71"/>
        <v>0</v>
      </c>
      <c r="AE124" s="1">
        <f t="shared" ca="1" si="72"/>
        <v>0</v>
      </c>
      <c r="AF124" s="1" t="str">
        <f ca="1">IFERROR(MATCH(ROW()-6,MUSTERILER!$U$7:$U$156,0),"")</f>
        <v/>
      </c>
      <c r="AG124" s="1">
        <f ca="1">IF($B124="",0,SUMIFS(GELIR_GIDER!$G$7:$G$3001,GELIR_GIDER!$T$7:$T$3001,$B124))</f>
        <v>0</v>
      </c>
    </row>
    <row r="125" spans="1:33" ht="18" customHeight="1" x14ac:dyDescent="0.3">
      <c r="A125" s="2"/>
      <c r="B125" s="65" t="str">
        <f ca="1">IF($AF125="","",INDEX(MUSTERILER!$B$7:$B$156,$AF125))</f>
        <v/>
      </c>
      <c r="C125" s="74" t="str">
        <f ca="1">IF($AF125="","",INDEX(MUSTERILER!$C$7:$C$156,$AF125))</f>
        <v/>
      </c>
      <c r="D125" s="68" t="str">
        <f ca="1">IF($B125="","",SUMIFS(UCRETLER!$G$7:$G$606,UCRETLER!$B$7:$B$606,$B125,UCRETLER!$F$7:$F$606,"Haftalık",UCRETLER!$H$7:$H$606,"Aktif"))</f>
        <v/>
      </c>
      <c r="E125" s="68" t="str">
        <f ca="1">IF($B125="","",SUMIFS(UCRETLER!$G$7:$G$606,UCRETLER!$B$7:$B$606,$B125,UCRETLER!$F$7:$F$606,"Aylık",UCRETLER!$H$7:$H$606,"Aktif"))</f>
        <v/>
      </c>
      <c r="F125" s="68" t="str">
        <f ca="1">IF($B125="","",SUMIFS(MUSTERILER!$J$7:$J$156,MUSTERILER!$B$7:$B$156,$B125))</f>
        <v/>
      </c>
      <c r="G125" s="68" t="str">
        <f ca="1">IF($B125="","",SUMIFS(UCRETLER!$I$7:$I$606,UCRETLER!$B$7:$B$606,$B125)+SUMIFS(GELIR_GIDER!$G$7:$G$3001,GELIR_GIDER!$T$7:$T$3001,$B125))</f>
        <v/>
      </c>
      <c r="H125" s="68" t="str">
        <f t="shared" ca="1" si="55"/>
        <v/>
      </c>
      <c r="I125" s="68" t="str">
        <f ca="1">IF($B125="","",SUMIFS(TAHSILAT!$F$7:$F$2503,TAHSILAT!$C$7:$C$2503,$B125))</f>
        <v/>
      </c>
      <c r="J125" s="68" t="str">
        <f t="shared" ca="1" si="56"/>
        <v/>
      </c>
      <c r="K125" s="68" t="str">
        <f t="shared" ca="1" si="57"/>
        <v/>
      </c>
      <c r="L125" s="68" t="str">
        <f t="shared" ca="1" si="58"/>
        <v/>
      </c>
      <c r="M125" s="68" t="str">
        <f t="shared" ca="1" si="59"/>
        <v/>
      </c>
      <c r="N125" s="68" t="str">
        <f t="shared" ca="1" si="60"/>
        <v/>
      </c>
      <c r="O125" s="92" t="str">
        <f t="shared" ca="1" si="61"/>
        <v/>
      </c>
      <c r="P125" s="70" t="str">
        <f ca="1">IF($B125="","",IFERROR(LOOKUP(2,1/(TAHSILAT!$C$7:$C$2503=$B125),TAHSILAT!$E$7:$E$2503),""))</f>
        <v/>
      </c>
      <c r="Q125" s="65" t="str">
        <f t="shared" ca="1" si="62"/>
        <v/>
      </c>
      <c r="R125" s="74" t="str">
        <f t="shared" ca="1" si="63"/>
        <v/>
      </c>
      <c r="S125" s="93" t="str">
        <f t="shared" ca="1" si="64"/>
        <v/>
      </c>
      <c r="T125" s="70" t="str">
        <f ca="1">IF(OR($B125="",$AF125=""),"",IF(INDEX(MUSTERILER!$K$7:$K$156,$AF125)="","",INDEX(MUSTERILER!$K$7:$K$156,$AF125)))</f>
        <v/>
      </c>
      <c r="U125" s="93" t="str">
        <f t="shared" ca="1" si="65"/>
        <v/>
      </c>
      <c r="V125" s="68" t="str">
        <f t="shared" ca="1" si="66"/>
        <v/>
      </c>
      <c r="W125" s="65" t="str">
        <f t="shared" ca="1" si="67"/>
        <v/>
      </c>
      <c r="X125" s="2">
        <f ca="1">IF($B125="",0,SUMIFS(UCRETLER!$J$7:$J$606,UCRETLER!$B$7:$B$606,$B125))</f>
        <v>0</v>
      </c>
      <c r="Y125" s="2">
        <f ca="1">IF($B125="",0,SUMIFS(UCRETLER!$K$7:$K$606,UCRETLER!$B$7:$B$606,$B125))</f>
        <v>0</v>
      </c>
      <c r="Z125" s="1">
        <f ca="1">IF($B125="",0,SUMIFS(UCRETLER!$L$7:$L$606,UCRETLER!$B$7:$B$606,$B125))</f>
        <v>0</v>
      </c>
      <c r="AA125" s="1">
        <f t="shared" ca="1" si="68"/>
        <v>0</v>
      </c>
      <c r="AB125" s="1">
        <f t="shared" ca="1" si="69"/>
        <v>0</v>
      </c>
      <c r="AC125" s="1">
        <f t="shared" ca="1" si="70"/>
        <v>0</v>
      </c>
      <c r="AD125" s="1">
        <f t="shared" ca="1" si="71"/>
        <v>0</v>
      </c>
      <c r="AE125" s="1">
        <f t="shared" ca="1" si="72"/>
        <v>0</v>
      </c>
      <c r="AF125" s="1" t="str">
        <f ca="1">IFERROR(MATCH(ROW()-6,MUSTERILER!$U$7:$U$156,0),"")</f>
        <v/>
      </c>
      <c r="AG125" s="1">
        <f ca="1">IF($B125="",0,SUMIFS(GELIR_GIDER!$G$7:$G$3001,GELIR_GIDER!$T$7:$T$3001,$B125))</f>
        <v>0</v>
      </c>
    </row>
    <row r="126" spans="1:33" ht="18" customHeight="1" x14ac:dyDescent="0.3">
      <c r="A126" s="2"/>
      <c r="B126" s="65" t="str">
        <f ca="1">IF($AF126="","",INDEX(MUSTERILER!$B$7:$B$156,$AF126))</f>
        <v/>
      </c>
      <c r="C126" s="74" t="str">
        <f ca="1">IF($AF126="","",INDEX(MUSTERILER!$C$7:$C$156,$AF126))</f>
        <v/>
      </c>
      <c r="D126" s="68" t="str">
        <f ca="1">IF($B126="","",SUMIFS(UCRETLER!$G$7:$G$606,UCRETLER!$B$7:$B$606,$B126,UCRETLER!$F$7:$F$606,"Haftalık",UCRETLER!$H$7:$H$606,"Aktif"))</f>
        <v/>
      </c>
      <c r="E126" s="68" t="str">
        <f ca="1">IF($B126="","",SUMIFS(UCRETLER!$G$7:$G$606,UCRETLER!$B$7:$B$606,$B126,UCRETLER!$F$7:$F$606,"Aylık",UCRETLER!$H$7:$H$606,"Aktif"))</f>
        <v/>
      </c>
      <c r="F126" s="68" t="str">
        <f ca="1">IF($B126="","",SUMIFS(MUSTERILER!$J$7:$J$156,MUSTERILER!$B$7:$B$156,$B126))</f>
        <v/>
      </c>
      <c r="G126" s="68" t="str">
        <f ca="1">IF($B126="","",SUMIFS(UCRETLER!$I$7:$I$606,UCRETLER!$B$7:$B$606,$B126)+SUMIFS(GELIR_GIDER!$G$7:$G$3001,GELIR_GIDER!$T$7:$T$3001,$B126))</f>
        <v/>
      </c>
      <c r="H126" s="68" t="str">
        <f t="shared" ca="1" si="55"/>
        <v/>
      </c>
      <c r="I126" s="68" t="str">
        <f ca="1">IF($B126="","",SUMIFS(TAHSILAT!$F$7:$F$2503,TAHSILAT!$C$7:$C$2503,$B126))</f>
        <v/>
      </c>
      <c r="J126" s="68" t="str">
        <f t="shared" ca="1" si="56"/>
        <v/>
      </c>
      <c r="K126" s="68" t="str">
        <f t="shared" ca="1" si="57"/>
        <v/>
      </c>
      <c r="L126" s="68" t="str">
        <f t="shared" ca="1" si="58"/>
        <v/>
      </c>
      <c r="M126" s="68" t="str">
        <f t="shared" ca="1" si="59"/>
        <v/>
      </c>
      <c r="N126" s="68" t="str">
        <f t="shared" ca="1" si="60"/>
        <v/>
      </c>
      <c r="O126" s="92" t="str">
        <f t="shared" ca="1" si="61"/>
        <v/>
      </c>
      <c r="P126" s="70" t="str">
        <f ca="1">IF($B126="","",IFERROR(LOOKUP(2,1/(TAHSILAT!$C$7:$C$2503=$B126),TAHSILAT!$E$7:$E$2503),""))</f>
        <v/>
      </c>
      <c r="Q126" s="65" t="str">
        <f t="shared" ca="1" si="62"/>
        <v/>
      </c>
      <c r="R126" s="74" t="str">
        <f t="shared" ca="1" si="63"/>
        <v/>
      </c>
      <c r="S126" s="93" t="str">
        <f t="shared" ca="1" si="64"/>
        <v/>
      </c>
      <c r="T126" s="70" t="str">
        <f ca="1">IF(OR($B126="",$AF126=""),"",IF(INDEX(MUSTERILER!$K$7:$K$156,$AF126)="","",INDEX(MUSTERILER!$K$7:$K$156,$AF126)))</f>
        <v/>
      </c>
      <c r="U126" s="93" t="str">
        <f t="shared" ca="1" si="65"/>
        <v/>
      </c>
      <c r="V126" s="68" t="str">
        <f t="shared" ca="1" si="66"/>
        <v/>
      </c>
      <c r="W126" s="65" t="str">
        <f t="shared" ca="1" si="67"/>
        <v/>
      </c>
      <c r="X126" s="2">
        <f ca="1">IF($B126="",0,SUMIFS(UCRETLER!$J$7:$J$606,UCRETLER!$B$7:$B$606,$B126))</f>
        <v>0</v>
      </c>
      <c r="Y126" s="2">
        <f ca="1">IF($B126="",0,SUMIFS(UCRETLER!$K$7:$K$606,UCRETLER!$B$7:$B$606,$B126))</f>
        <v>0</v>
      </c>
      <c r="Z126" s="1">
        <f ca="1">IF($B126="",0,SUMIFS(UCRETLER!$L$7:$L$606,UCRETLER!$B$7:$B$606,$B126))</f>
        <v>0</v>
      </c>
      <c r="AA126" s="1">
        <f t="shared" ca="1" si="68"/>
        <v>0</v>
      </c>
      <c r="AB126" s="1">
        <f t="shared" ca="1" si="69"/>
        <v>0</v>
      </c>
      <c r="AC126" s="1">
        <f t="shared" ca="1" si="70"/>
        <v>0</v>
      </c>
      <c r="AD126" s="1">
        <f t="shared" ca="1" si="71"/>
        <v>0</v>
      </c>
      <c r="AE126" s="1">
        <f t="shared" ca="1" si="72"/>
        <v>0</v>
      </c>
      <c r="AF126" s="1" t="str">
        <f ca="1">IFERROR(MATCH(ROW()-6,MUSTERILER!$U$7:$U$156,0),"")</f>
        <v/>
      </c>
      <c r="AG126" s="1">
        <f ca="1">IF($B126="",0,SUMIFS(GELIR_GIDER!$G$7:$G$3001,GELIR_GIDER!$T$7:$T$3001,$B126))</f>
        <v>0</v>
      </c>
    </row>
    <row r="127" spans="1:33" ht="18" customHeight="1" x14ac:dyDescent="0.3">
      <c r="A127" s="2"/>
      <c r="B127" s="65" t="str">
        <f ca="1">IF($AF127="","",INDEX(MUSTERILER!$B$7:$B$156,$AF127))</f>
        <v/>
      </c>
      <c r="C127" s="74" t="str">
        <f ca="1">IF($AF127="","",INDEX(MUSTERILER!$C$7:$C$156,$AF127))</f>
        <v/>
      </c>
      <c r="D127" s="68" t="str">
        <f ca="1">IF($B127="","",SUMIFS(UCRETLER!$G$7:$G$606,UCRETLER!$B$7:$B$606,$B127,UCRETLER!$F$7:$F$606,"Haftalık",UCRETLER!$H$7:$H$606,"Aktif"))</f>
        <v/>
      </c>
      <c r="E127" s="68" t="str">
        <f ca="1">IF($B127="","",SUMIFS(UCRETLER!$G$7:$G$606,UCRETLER!$B$7:$B$606,$B127,UCRETLER!$F$7:$F$606,"Aylık",UCRETLER!$H$7:$H$606,"Aktif"))</f>
        <v/>
      </c>
      <c r="F127" s="68" t="str">
        <f ca="1">IF($B127="","",SUMIFS(MUSTERILER!$J$7:$J$156,MUSTERILER!$B$7:$B$156,$B127))</f>
        <v/>
      </c>
      <c r="G127" s="68" t="str">
        <f ca="1">IF($B127="","",SUMIFS(UCRETLER!$I$7:$I$606,UCRETLER!$B$7:$B$606,$B127)+SUMIFS(GELIR_GIDER!$G$7:$G$3001,GELIR_GIDER!$T$7:$T$3001,$B127))</f>
        <v/>
      </c>
      <c r="H127" s="68" t="str">
        <f t="shared" ca="1" si="55"/>
        <v/>
      </c>
      <c r="I127" s="68" t="str">
        <f ca="1">IF($B127="","",SUMIFS(TAHSILAT!$F$7:$F$2503,TAHSILAT!$C$7:$C$2503,$B127))</f>
        <v/>
      </c>
      <c r="J127" s="68" t="str">
        <f t="shared" ca="1" si="56"/>
        <v/>
      </c>
      <c r="K127" s="68" t="str">
        <f t="shared" ca="1" si="57"/>
        <v/>
      </c>
      <c r="L127" s="68" t="str">
        <f t="shared" ca="1" si="58"/>
        <v/>
      </c>
      <c r="M127" s="68" t="str">
        <f t="shared" ca="1" si="59"/>
        <v/>
      </c>
      <c r="N127" s="68" t="str">
        <f t="shared" ca="1" si="60"/>
        <v/>
      </c>
      <c r="O127" s="92" t="str">
        <f t="shared" ca="1" si="61"/>
        <v/>
      </c>
      <c r="P127" s="70" t="str">
        <f ca="1">IF($B127="","",IFERROR(LOOKUP(2,1/(TAHSILAT!$C$7:$C$2503=$B127),TAHSILAT!$E$7:$E$2503),""))</f>
        <v/>
      </c>
      <c r="Q127" s="65" t="str">
        <f t="shared" ca="1" si="62"/>
        <v/>
      </c>
      <c r="R127" s="74" t="str">
        <f t="shared" ca="1" si="63"/>
        <v/>
      </c>
      <c r="S127" s="93" t="str">
        <f t="shared" ca="1" si="64"/>
        <v/>
      </c>
      <c r="T127" s="70" t="str">
        <f ca="1">IF(OR($B127="",$AF127=""),"",IF(INDEX(MUSTERILER!$K$7:$K$156,$AF127)="","",INDEX(MUSTERILER!$K$7:$K$156,$AF127)))</f>
        <v/>
      </c>
      <c r="U127" s="93" t="str">
        <f t="shared" ca="1" si="65"/>
        <v/>
      </c>
      <c r="V127" s="68" t="str">
        <f t="shared" ca="1" si="66"/>
        <v/>
      </c>
      <c r="W127" s="65" t="str">
        <f t="shared" ca="1" si="67"/>
        <v/>
      </c>
      <c r="X127" s="2">
        <f ca="1">IF($B127="",0,SUMIFS(UCRETLER!$J$7:$J$606,UCRETLER!$B$7:$B$606,$B127))</f>
        <v>0</v>
      </c>
      <c r="Y127" s="2">
        <f ca="1">IF($B127="",0,SUMIFS(UCRETLER!$K$7:$K$606,UCRETLER!$B$7:$B$606,$B127))</f>
        <v>0</v>
      </c>
      <c r="Z127" s="1">
        <f ca="1">IF($B127="",0,SUMIFS(UCRETLER!$L$7:$L$606,UCRETLER!$B$7:$B$606,$B127))</f>
        <v>0</v>
      </c>
      <c r="AA127" s="1">
        <f t="shared" ca="1" si="68"/>
        <v>0</v>
      </c>
      <c r="AB127" s="1">
        <f t="shared" ca="1" si="69"/>
        <v>0</v>
      </c>
      <c r="AC127" s="1">
        <f t="shared" ca="1" si="70"/>
        <v>0</v>
      </c>
      <c r="AD127" s="1">
        <f t="shared" ca="1" si="71"/>
        <v>0</v>
      </c>
      <c r="AE127" s="1">
        <f t="shared" ca="1" si="72"/>
        <v>0</v>
      </c>
      <c r="AF127" s="1" t="str">
        <f ca="1">IFERROR(MATCH(ROW()-6,MUSTERILER!$U$7:$U$156,0),"")</f>
        <v/>
      </c>
      <c r="AG127" s="1">
        <f ca="1">IF($B127="",0,SUMIFS(GELIR_GIDER!$G$7:$G$3001,GELIR_GIDER!$T$7:$T$3001,$B127))</f>
        <v>0</v>
      </c>
    </row>
    <row r="128" spans="1:33" ht="18" customHeight="1" x14ac:dyDescent="0.3">
      <c r="A128" s="2"/>
      <c r="B128" s="65" t="str">
        <f ca="1">IF($AF128="","",INDEX(MUSTERILER!$B$7:$B$156,$AF128))</f>
        <v/>
      </c>
      <c r="C128" s="74" t="str">
        <f ca="1">IF($AF128="","",INDEX(MUSTERILER!$C$7:$C$156,$AF128))</f>
        <v/>
      </c>
      <c r="D128" s="68" t="str">
        <f ca="1">IF($B128="","",SUMIFS(UCRETLER!$G$7:$G$606,UCRETLER!$B$7:$B$606,$B128,UCRETLER!$F$7:$F$606,"Haftalık",UCRETLER!$H$7:$H$606,"Aktif"))</f>
        <v/>
      </c>
      <c r="E128" s="68" t="str">
        <f ca="1">IF($B128="","",SUMIFS(UCRETLER!$G$7:$G$606,UCRETLER!$B$7:$B$606,$B128,UCRETLER!$F$7:$F$606,"Aylık",UCRETLER!$H$7:$H$606,"Aktif"))</f>
        <v/>
      </c>
      <c r="F128" s="68" t="str">
        <f ca="1">IF($B128="","",SUMIFS(MUSTERILER!$J$7:$J$156,MUSTERILER!$B$7:$B$156,$B128))</f>
        <v/>
      </c>
      <c r="G128" s="68" t="str">
        <f ca="1">IF($B128="","",SUMIFS(UCRETLER!$I$7:$I$606,UCRETLER!$B$7:$B$606,$B128)+SUMIFS(GELIR_GIDER!$G$7:$G$3001,GELIR_GIDER!$T$7:$T$3001,$B128))</f>
        <v/>
      </c>
      <c r="H128" s="68" t="str">
        <f t="shared" ca="1" si="55"/>
        <v/>
      </c>
      <c r="I128" s="68" t="str">
        <f ca="1">IF($B128="","",SUMIFS(TAHSILAT!$F$7:$F$2503,TAHSILAT!$C$7:$C$2503,$B128))</f>
        <v/>
      </c>
      <c r="J128" s="68" t="str">
        <f t="shared" ca="1" si="56"/>
        <v/>
      </c>
      <c r="K128" s="68" t="str">
        <f t="shared" ca="1" si="57"/>
        <v/>
      </c>
      <c r="L128" s="68" t="str">
        <f t="shared" ca="1" si="58"/>
        <v/>
      </c>
      <c r="M128" s="68" t="str">
        <f t="shared" ca="1" si="59"/>
        <v/>
      </c>
      <c r="N128" s="68" t="str">
        <f t="shared" ca="1" si="60"/>
        <v/>
      </c>
      <c r="O128" s="92" t="str">
        <f t="shared" ca="1" si="61"/>
        <v/>
      </c>
      <c r="P128" s="70" t="str">
        <f ca="1">IF($B128="","",IFERROR(LOOKUP(2,1/(TAHSILAT!$C$7:$C$2503=$B128),TAHSILAT!$E$7:$E$2503),""))</f>
        <v/>
      </c>
      <c r="Q128" s="65" t="str">
        <f t="shared" ca="1" si="62"/>
        <v/>
      </c>
      <c r="R128" s="74" t="str">
        <f t="shared" ca="1" si="63"/>
        <v/>
      </c>
      <c r="S128" s="93" t="str">
        <f t="shared" ca="1" si="64"/>
        <v/>
      </c>
      <c r="T128" s="70" t="str">
        <f ca="1">IF(OR($B128="",$AF128=""),"",IF(INDEX(MUSTERILER!$K$7:$K$156,$AF128)="","",INDEX(MUSTERILER!$K$7:$K$156,$AF128)))</f>
        <v/>
      </c>
      <c r="U128" s="93" t="str">
        <f t="shared" ca="1" si="65"/>
        <v/>
      </c>
      <c r="V128" s="68" t="str">
        <f t="shared" ca="1" si="66"/>
        <v/>
      </c>
      <c r="W128" s="65" t="str">
        <f t="shared" ca="1" si="67"/>
        <v/>
      </c>
      <c r="X128" s="2">
        <f ca="1">IF($B128="",0,SUMIFS(UCRETLER!$J$7:$J$606,UCRETLER!$B$7:$B$606,$B128))</f>
        <v>0</v>
      </c>
      <c r="Y128" s="2">
        <f ca="1">IF($B128="",0,SUMIFS(UCRETLER!$K$7:$K$606,UCRETLER!$B$7:$B$606,$B128))</f>
        <v>0</v>
      </c>
      <c r="Z128" s="1">
        <f ca="1">IF($B128="",0,SUMIFS(UCRETLER!$L$7:$L$606,UCRETLER!$B$7:$B$606,$B128))</f>
        <v>0</v>
      </c>
      <c r="AA128" s="1">
        <f t="shared" ca="1" si="68"/>
        <v>0</v>
      </c>
      <c r="AB128" s="1">
        <f t="shared" ca="1" si="69"/>
        <v>0</v>
      </c>
      <c r="AC128" s="1">
        <f t="shared" ca="1" si="70"/>
        <v>0</v>
      </c>
      <c r="AD128" s="1">
        <f t="shared" ca="1" si="71"/>
        <v>0</v>
      </c>
      <c r="AE128" s="1">
        <f t="shared" ca="1" si="72"/>
        <v>0</v>
      </c>
      <c r="AF128" s="1" t="str">
        <f ca="1">IFERROR(MATCH(ROW()-6,MUSTERILER!$U$7:$U$156,0),"")</f>
        <v/>
      </c>
      <c r="AG128" s="1">
        <f ca="1">IF($B128="",0,SUMIFS(GELIR_GIDER!$G$7:$G$3001,GELIR_GIDER!$T$7:$T$3001,$B128))</f>
        <v>0</v>
      </c>
    </row>
    <row r="129" spans="1:33" ht="18" customHeight="1" x14ac:dyDescent="0.3">
      <c r="A129" s="2"/>
      <c r="B129" s="65" t="str">
        <f ca="1">IF($AF129="","",INDEX(MUSTERILER!$B$7:$B$156,$AF129))</f>
        <v/>
      </c>
      <c r="C129" s="74" t="str">
        <f ca="1">IF($AF129="","",INDEX(MUSTERILER!$C$7:$C$156,$AF129))</f>
        <v/>
      </c>
      <c r="D129" s="68" t="str">
        <f ca="1">IF($B129="","",SUMIFS(UCRETLER!$G$7:$G$606,UCRETLER!$B$7:$B$606,$B129,UCRETLER!$F$7:$F$606,"Haftalık",UCRETLER!$H$7:$H$606,"Aktif"))</f>
        <v/>
      </c>
      <c r="E129" s="68" t="str">
        <f ca="1">IF($B129="","",SUMIFS(UCRETLER!$G$7:$G$606,UCRETLER!$B$7:$B$606,$B129,UCRETLER!$F$7:$F$606,"Aylık",UCRETLER!$H$7:$H$606,"Aktif"))</f>
        <v/>
      </c>
      <c r="F129" s="68" t="str">
        <f ca="1">IF($B129="","",SUMIFS(MUSTERILER!$J$7:$J$156,MUSTERILER!$B$7:$B$156,$B129))</f>
        <v/>
      </c>
      <c r="G129" s="68" t="str">
        <f ca="1">IF($B129="","",SUMIFS(UCRETLER!$I$7:$I$606,UCRETLER!$B$7:$B$606,$B129)+SUMIFS(GELIR_GIDER!$G$7:$G$3001,GELIR_GIDER!$T$7:$T$3001,$B129))</f>
        <v/>
      </c>
      <c r="H129" s="68" t="str">
        <f t="shared" ca="1" si="55"/>
        <v/>
      </c>
      <c r="I129" s="68" t="str">
        <f ca="1">IF($B129="","",SUMIFS(TAHSILAT!$F$7:$F$2503,TAHSILAT!$C$7:$C$2503,$B129))</f>
        <v/>
      </c>
      <c r="J129" s="68" t="str">
        <f t="shared" ca="1" si="56"/>
        <v/>
      </c>
      <c r="K129" s="68" t="str">
        <f t="shared" ca="1" si="57"/>
        <v/>
      </c>
      <c r="L129" s="68" t="str">
        <f t="shared" ca="1" si="58"/>
        <v/>
      </c>
      <c r="M129" s="68" t="str">
        <f t="shared" ca="1" si="59"/>
        <v/>
      </c>
      <c r="N129" s="68" t="str">
        <f t="shared" ca="1" si="60"/>
        <v/>
      </c>
      <c r="O129" s="92" t="str">
        <f t="shared" ca="1" si="61"/>
        <v/>
      </c>
      <c r="P129" s="70" t="str">
        <f ca="1">IF($B129="","",IFERROR(LOOKUP(2,1/(TAHSILAT!$C$7:$C$2503=$B129),TAHSILAT!$E$7:$E$2503),""))</f>
        <v/>
      </c>
      <c r="Q129" s="65" t="str">
        <f t="shared" ca="1" si="62"/>
        <v/>
      </c>
      <c r="R129" s="74" t="str">
        <f t="shared" ca="1" si="63"/>
        <v/>
      </c>
      <c r="S129" s="93" t="str">
        <f t="shared" ca="1" si="64"/>
        <v/>
      </c>
      <c r="T129" s="70" t="str">
        <f ca="1">IF(OR($B129="",$AF129=""),"",IF(INDEX(MUSTERILER!$K$7:$K$156,$AF129)="","",INDEX(MUSTERILER!$K$7:$K$156,$AF129)))</f>
        <v/>
      </c>
      <c r="U129" s="93" t="str">
        <f t="shared" ca="1" si="65"/>
        <v/>
      </c>
      <c r="V129" s="68" t="str">
        <f t="shared" ca="1" si="66"/>
        <v/>
      </c>
      <c r="W129" s="65" t="str">
        <f t="shared" ca="1" si="67"/>
        <v/>
      </c>
      <c r="X129" s="2">
        <f ca="1">IF($B129="",0,SUMIFS(UCRETLER!$J$7:$J$606,UCRETLER!$B$7:$B$606,$B129))</f>
        <v>0</v>
      </c>
      <c r="Y129" s="2">
        <f ca="1">IF($B129="",0,SUMIFS(UCRETLER!$K$7:$K$606,UCRETLER!$B$7:$B$606,$B129))</f>
        <v>0</v>
      </c>
      <c r="Z129" s="1">
        <f ca="1">IF($B129="",0,SUMIFS(UCRETLER!$L$7:$L$606,UCRETLER!$B$7:$B$606,$B129))</f>
        <v>0</v>
      </c>
      <c r="AA129" s="1">
        <f t="shared" ca="1" si="68"/>
        <v>0</v>
      </c>
      <c r="AB129" s="1">
        <f t="shared" ca="1" si="69"/>
        <v>0</v>
      </c>
      <c r="AC129" s="1">
        <f t="shared" ca="1" si="70"/>
        <v>0</v>
      </c>
      <c r="AD129" s="1">
        <f t="shared" ca="1" si="71"/>
        <v>0</v>
      </c>
      <c r="AE129" s="1">
        <f t="shared" ca="1" si="72"/>
        <v>0</v>
      </c>
      <c r="AF129" s="1" t="str">
        <f ca="1">IFERROR(MATCH(ROW()-6,MUSTERILER!$U$7:$U$156,0),"")</f>
        <v/>
      </c>
      <c r="AG129" s="1">
        <f ca="1">IF($B129="",0,SUMIFS(GELIR_GIDER!$G$7:$G$3001,GELIR_GIDER!$T$7:$T$3001,$B129))</f>
        <v>0</v>
      </c>
    </row>
    <row r="130" spans="1:33" ht="18" customHeight="1" x14ac:dyDescent="0.3">
      <c r="A130" s="2"/>
      <c r="B130" s="65" t="str">
        <f ca="1">IF($AF130="","",INDEX(MUSTERILER!$B$7:$B$156,$AF130))</f>
        <v/>
      </c>
      <c r="C130" s="74" t="str">
        <f ca="1">IF($AF130="","",INDEX(MUSTERILER!$C$7:$C$156,$AF130))</f>
        <v/>
      </c>
      <c r="D130" s="68" t="str">
        <f ca="1">IF($B130="","",SUMIFS(UCRETLER!$G$7:$G$606,UCRETLER!$B$7:$B$606,$B130,UCRETLER!$F$7:$F$606,"Haftalık",UCRETLER!$H$7:$H$606,"Aktif"))</f>
        <v/>
      </c>
      <c r="E130" s="68" t="str">
        <f ca="1">IF($B130="","",SUMIFS(UCRETLER!$G$7:$G$606,UCRETLER!$B$7:$B$606,$B130,UCRETLER!$F$7:$F$606,"Aylık",UCRETLER!$H$7:$H$606,"Aktif"))</f>
        <v/>
      </c>
      <c r="F130" s="68" t="str">
        <f ca="1">IF($B130="","",SUMIFS(MUSTERILER!$J$7:$J$156,MUSTERILER!$B$7:$B$156,$B130))</f>
        <v/>
      </c>
      <c r="G130" s="68" t="str">
        <f ca="1">IF($B130="","",SUMIFS(UCRETLER!$I$7:$I$606,UCRETLER!$B$7:$B$606,$B130)+SUMIFS(GELIR_GIDER!$G$7:$G$3001,GELIR_GIDER!$T$7:$T$3001,$B130))</f>
        <v/>
      </c>
      <c r="H130" s="68" t="str">
        <f t="shared" ca="1" si="55"/>
        <v/>
      </c>
      <c r="I130" s="68" t="str">
        <f ca="1">IF($B130="","",SUMIFS(TAHSILAT!$F$7:$F$2503,TAHSILAT!$C$7:$C$2503,$B130))</f>
        <v/>
      </c>
      <c r="J130" s="68" t="str">
        <f t="shared" ca="1" si="56"/>
        <v/>
      </c>
      <c r="K130" s="68" t="str">
        <f t="shared" ca="1" si="57"/>
        <v/>
      </c>
      <c r="L130" s="68" t="str">
        <f t="shared" ca="1" si="58"/>
        <v/>
      </c>
      <c r="M130" s="68" t="str">
        <f t="shared" ca="1" si="59"/>
        <v/>
      </c>
      <c r="N130" s="68" t="str">
        <f t="shared" ca="1" si="60"/>
        <v/>
      </c>
      <c r="O130" s="92" t="str">
        <f t="shared" ca="1" si="61"/>
        <v/>
      </c>
      <c r="P130" s="70" t="str">
        <f ca="1">IF($B130="","",IFERROR(LOOKUP(2,1/(TAHSILAT!$C$7:$C$2503=$B130),TAHSILAT!$E$7:$E$2503),""))</f>
        <v/>
      </c>
      <c r="Q130" s="65" t="str">
        <f t="shared" ca="1" si="62"/>
        <v/>
      </c>
      <c r="R130" s="74" t="str">
        <f t="shared" ca="1" si="63"/>
        <v/>
      </c>
      <c r="S130" s="93" t="str">
        <f t="shared" ca="1" si="64"/>
        <v/>
      </c>
      <c r="T130" s="70" t="str">
        <f ca="1">IF(OR($B130="",$AF130=""),"",IF(INDEX(MUSTERILER!$K$7:$K$156,$AF130)="","",INDEX(MUSTERILER!$K$7:$K$156,$AF130)))</f>
        <v/>
      </c>
      <c r="U130" s="93" t="str">
        <f t="shared" ca="1" si="65"/>
        <v/>
      </c>
      <c r="V130" s="68" t="str">
        <f t="shared" ca="1" si="66"/>
        <v/>
      </c>
      <c r="W130" s="65" t="str">
        <f t="shared" ca="1" si="67"/>
        <v/>
      </c>
      <c r="X130" s="2">
        <f ca="1">IF($B130="",0,SUMIFS(UCRETLER!$J$7:$J$606,UCRETLER!$B$7:$B$606,$B130))</f>
        <v>0</v>
      </c>
      <c r="Y130" s="2">
        <f ca="1">IF($B130="",0,SUMIFS(UCRETLER!$K$7:$K$606,UCRETLER!$B$7:$B$606,$B130))</f>
        <v>0</v>
      </c>
      <c r="Z130" s="1">
        <f ca="1">IF($B130="",0,SUMIFS(UCRETLER!$L$7:$L$606,UCRETLER!$B$7:$B$606,$B130))</f>
        <v>0</v>
      </c>
      <c r="AA130" s="1">
        <f t="shared" ca="1" si="68"/>
        <v>0</v>
      </c>
      <c r="AB130" s="1">
        <f t="shared" ca="1" si="69"/>
        <v>0</v>
      </c>
      <c r="AC130" s="1">
        <f t="shared" ca="1" si="70"/>
        <v>0</v>
      </c>
      <c r="AD130" s="1">
        <f t="shared" ca="1" si="71"/>
        <v>0</v>
      </c>
      <c r="AE130" s="1">
        <f t="shared" ca="1" si="72"/>
        <v>0</v>
      </c>
      <c r="AF130" s="1" t="str">
        <f ca="1">IFERROR(MATCH(ROW()-6,MUSTERILER!$U$7:$U$156,0),"")</f>
        <v/>
      </c>
      <c r="AG130" s="1">
        <f ca="1">IF($B130="",0,SUMIFS(GELIR_GIDER!$G$7:$G$3001,GELIR_GIDER!$T$7:$T$3001,$B130))</f>
        <v>0</v>
      </c>
    </row>
    <row r="131" spans="1:33" ht="18" customHeight="1" x14ac:dyDescent="0.3">
      <c r="A131" s="2"/>
      <c r="B131" s="65" t="str">
        <f ca="1">IF($AF131="","",INDEX(MUSTERILER!$B$7:$B$156,$AF131))</f>
        <v/>
      </c>
      <c r="C131" s="74" t="str">
        <f ca="1">IF($AF131="","",INDEX(MUSTERILER!$C$7:$C$156,$AF131))</f>
        <v/>
      </c>
      <c r="D131" s="68" t="str">
        <f ca="1">IF($B131="","",SUMIFS(UCRETLER!$G$7:$G$606,UCRETLER!$B$7:$B$606,$B131,UCRETLER!$F$7:$F$606,"Haftalık",UCRETLER!$H$7:$H$606,"Aktif"))</f>
        <v/>
      </c>
      <c r="E131" s="68" t="str">
        <f ca="1">IF($B131="","",SUMIFS(UCRETLER!$G$7:$G$606,UCRETLER!$B$7:$B$606,$B131,UCRETLER!$F$7:$F$606,"Aylık",UCRETLER!$H$7:$H$606,"Aktif"))</f>
        <v/>
      </c>
      <c r="F131" s="68" t="str">
        <f ca="1">IF($B131="","",SUMIFS(MUSTERILER!$J$7:$J$156,MUSTERILER!$B$7:$B$156,$B131))</f>
        <v/>
      </c>
      <c r="G131" s="68" t="str">
        <f ca="1">IF($B131="","",SUMIFS(UCRETLER!$I$7:$I$606,UCRETLER!$B$7:$B$606,$B131)+SUMIFS(GELIR_GIDER!$G$7:$G$3001,GELIR_GIDER!$T$7:$T$3001,$B131))</f>
        <v/>
      </c>
      <c r="H131" s="68" t="str">
        <f t="shared" ca="1" si="55"/>
        <v/>
      </c>
      <c r="I131" s="68" t="str">
        <f ca="1">IF($B131="","",SUMIFS(TAHSILAT!$F$7:$F$2503,TAHSILAT!$C$7:$C$2503,$B131))</f>
        <v/>
      </c>
      <c r="J131" s="68" t="str">
        <f t="shared" ca="1" si="56"/>
        <v/>
      </c>
      <c r="K131" s="68" t="str">
        <f t="shared" ca="1" si="57"/>
        <v/>
      </c>
      <c r="L131" s="68" t="str">
        <f t="shared" ca="1" si="58"/>
        <v/>
      </c>
      <c r="M131" s="68" t="str">
        <f t="shared" ca="1" si="59"/>
        <v/>
      </c>
      <c r="N131" s="68" t="str">
        <f t="shared" ca="1" si="60"/>
        <v/>
      </c>
      <c r="O131" s="92" t="str">
        <f t="shared" ca="1" si="61"/>
        <v/>
      </c>
      <c r="P131" s="70" t="str">
        <f ca="1">IF($B131="","",IFERROR(LOOKUP(2,1/(TAHSILAT!$C$7:$C$2503=$B131),TAHSILAT!$E$7:$E$2503),""))</f>
        <v/>
      </c>
      <c r="Q131" s="65" t="str">
        <f t="shared" ca="1" si="62"/>
        <v/>
      </c>
      <c r="R131" s="74" t="str">
        <f t="shared" ca="1" si="63"/>
        <v/>
      </c>
      <c r="S131" s="93" t="str">
        <f t="shared" ca="1" si="64"/>
        <v/>
      </c>
      <c r="T131" s="70" t="str">
        <f ca="1">IF(OR($B131="",$AF131=""),"",IF(INDEX(MUSTERILER!$K$7:$K$156,$AF131)="","",INDEX(MUSTERILER!$K$7:$K$156,$AF131)))</f>
        <v/>
      </c>
      <c r="U131" s="93" t="str">
        <f t="shared" ca="1" si="65"/>
        <v/>
      </c>
      <c r="V131" s="68" t="str">
        <f t="shared" ca="1" si="66"/>
        <v/>
      </c>
      <c r="W131" s="65" t="str">
        <f t="shared" ca="1" si="67"/>
        <v/>
      </c>
      <c r="X131" s="2">
        <f ca="1">IF($B131="",0,SUMIFS(UCRETLER!$J$7:$J$606,UCRETLER!$B$7:$B$606,$B131))</f>
        <v>0</v>
      </c>
      <c r="Y131" s="2">
        <f ca="1">IF($B131="",0,SUMIFS(UCRETLER!$K$7:$K$606,UCRETLER!$B$7:$B$606,$B131))</f>
        <v>0</v>
      </c>
      <c r="Z131" s="1">
        <f ca="1">IF($B131="",0,SUMIFS(UCRETLER!$L$7:$L$606,UCRETLER!$B$7:$B$606,$B131))</f>
        <v>0</v>
      </c>
      <c r="AA131" s="1">
        <f t="shared" ca="1" si="68"/>
        <v>0</v>
      </c>
      <c r="AB131" s="1">
        <f t="shared" ca="1" si="69"/>
        <v>0</v>
      </c>
      <c r="AC131" s="1">
        <f t="shared" ca="1" si="70"/>
        <v>0</v>
      </c>
      <c r="AD131" s="1">
        <f t="shared" ca="1" si="71"/>
        <v>0</v>
      </c>
      <c r="AE131" s="1">
        <f t="shared" ca="1" si="72"/>
        <v>0</v>
      </c>
      <c r="AF131" s="1" t="str">
        <f ca="1">IFERROR(MATCH(ROW()-6,MUSTERILER!$U$7:$U$156,0),"")</f>
        <v/>
      </c>
      <c r="AG131" s="1">
        <f ca="1">IF($B131="",0,SUMIFS(GELIR_GIDER!$G$7:$G$3001,GELIR_GIDER!$T$7:$T$3001,$B131))</f>
        <v>0</v>
      </c>
    </row>
    <row r="132" spans="1:33" ht="18" customHeight="1" x14ac:dyDescent="0.3">
      <c r="A132" s="2"/>
      <c r="B132" s="65" t="str">
        <f ca="1">IF($AF132="","",INDEX(MUSTERILER!$B$7:$B$156,$AF132))</f>
        <v/>
      </c>
      <c r="C132" s="74" t="str">
        <f ca="1">IF($AF132="","",INDEX(MUSTERILER!$C$7:$C$156,$AF132))</f>
        <v/>
      </c>
      <c r="D132" s="68" t="str">
        <f ca="1">IF($B132="","",SUMIFS(UCRETLER!$G$7:$G$606,UCRETLER!$B$7:$B$606,$B132,UCRETLER!$F$7:$F$606,"Haftalık",UCRETLER!$H$7:$H$606,"Aktif"))</f>
        <v/>
      </c>
      <c r="E132" s="68" t="str">
        <f ca="1">IF($B132="","",SUMIFS(UCRETLER!$G$7:$G$606,UCRETLER!$B$7:$B$606,$B132,UCRETLER!$F$7:$F$606,"Aylık",UCRETLER!$H$7:$H$606,"Aktif"))</f>
        <v/>
      </c>
      <c r="F132" s="68" t="str">
        <f ca="1">IF($B132="","",SUMIFS(MUSTERILER!$J$7:$J$156,MUSTERILER!$B$7:$B$156,$B132))</f>
        <v/>
      </c>
      <c r="G132" s="68" t="str">
        <f ca="1">IF($B132="","",SUMIFS(UCRETLER!$I$7:$I$606,UCRETLER!$B$7:$B$606,$B132)+SUMIFS(GELIR_GIDER!$G$7:$G$3001,GELIR_GIDER!$T$7:$T$3001,$B132))</f>
        <v/>
      </c>
      <c r="H132" s="68" t="str">
        <f t="shared" ca="1" si="55"/>
        <v/>
      </c>
      <c r="I132" s="68" t="str">
        <f ca="1">IF($B132="","",SUMIFS(TAHSILAT!$F$7:$F$2503,TAHSILAT!$C$7:$C$2503,$B132))</f>
        <v/>
      </c>
      <c r="J132" s="68" t="str">
        <f t="shared" ca="1" si="56"/>
        <v/>
      </c>
      <c r="K132" s="68" t="str">
        <f t="shared" ca="1" si="57"/>
        <v/>
      </c>
      <c r="L132" s="68" t="str">
        <f t="shared" ca="1" si="58"/>
        <v/>
      </c>
      <c r="M132" s="68" t="str">
        <f t="shared" ca="1" si="59"/>
        <v/>
      </c>
      <c r="N132" s="68" t="str">
        <f t="shared" ca="1" si="60"/>
        <v/>
      </c>
      <c r="O132" s="92" t="str">
        <f t="shared" ca="1" si="61"/>
        <v/>
      </c>
      <c r="P132" s="70" t="str">
        <f ca="1">IF($B132="","",IFERROR(LOOKUP(2,1/(TAHSILAT!$C$7:$C$2503=$B132),TAHSILAT!$E$7:$E$2503),""))</f>
        <v/>
      </c>
      <c r="Q132" s="65" t="str">
        <f t="shared" ca="1" si="62"/>
        <v/>
      </c>
      <c r="R132" s="74" t="str">
        <f t="shared" ca="1" si="63"/>
        <v/>
      </c>
      <c r="S132" s="93" t="str">
        <f t="shared" ca="1" si="64"/>
        <v/>
      </c>
      <c r="T132" s="70" t="str">
        <f ca="1">IF(OR($B132="",$AF132=""),"",IF(INDEX(MUSTERILER!$K$7:$K$156,$AF132)="","",INDEX(MUSTERILER!$K$7:$K$156,$AF132)))</f>
        <v/>
      </c>
      <c r="U132" s="93" t="str">
        <f t="shared" ca="1" si="65"/>
        <v/>
      </c>
      <c r="V132" s="68" t="str">
        <f t="shared" ca="1" si="66"/>
        <v/>
      </c>
      <c r="W132" s="65" t="str">
        <f t="shared" ca="1" si="67"/>
        <v/>
      </c>
      <c r="X132" s="2">
        <f ca="1">IF($B132="",0,SUMIFS(UCRETLER!$J$7:$J$606,UCRETLER!$B$7:$B$606,$B132))</f>
        <v>0</v>
      </c>
      <c r="Y132" s="2">
        <f ca="1">IF($B132="",0,SUMIFS(UCRETLER!$K$7:$K$606,UCRETLER!$B$7:$B$606,$B132))</f>
        <v>0</v>
      </c>
      <c r="Z132" s="1">
        <f ca="1">IF($B132="",0,SUMIFS(UCRETLER!$L$7:$L$606,UCRETLER!$B$7:$B$606,$B132))</f>
        <v>0</v>
      </c>
      <c r="AA132" s="1">
        <f t="shared" ca="1" si="68"/>
        <v>0</v>
      </c>
      <c r="AB132" s="1">
        <f t="shared" ca="1" si="69"/>
        <v>0</v>
      </c>
      <c r="AC132" s="1">
        <f t="shared" ca="1" si="70"/>
        <v>0</v>
      </c>
      <c r="AD132" s="1">
        <f t="shared" ca="1" si="71"/>
        <v>0</v>
      </c>
      <c r="AE132" s="1">
        <f t="shared" ca="1" si="72"/>
        <v>0</v>
      </c>
      <c r="AF132" s="1" t="str">
        <f ca="1">IFERROR(MATCH(ROW()-6,MUSTERILER!$U$7:$U$156,0),"")</f>
        <v/>
      </c>
      <c r="AG132" s="1">
        <f ca="1">IF($B132="",0,SUMIFS(GELIR_GIDER!$G$7:$G$3001,GELIR_GIDER!$T$7:$T$3001,$B132))</f>
        <v>0</v>
      </c>
    </row>
    <row r="133" spans="1:33" ht="18" customHeight="1" x14ac:dyDescent="0.3">
      <c r="A133" s="2"/>
      <c r="B133" s="65" t="str">
        <f ca="1">IF($AF133="","",INDEX(MUSTERILER!$B$7:$B$156,$AF133))</f>
        <v/>
      </c>
      <c r="C133" s="74" t="str">
        <f ca="1">IF($AF133="","",INDEX(MUSTERILER!$C$7:$C$156,$AF133))</f>
        <v/>
      </c>
      <c r="D133" s="68" t="str">
        <f ca="1">IF($B133="","",SUMIFS(UCRETLER!$G$7:$G$606,UCRETLER!$B$7:$B$606,$B133,UCRETLER!$F$7:$F$606,"Haftalık",UCRETLER!$H$7:$H$606,"Aktif"))</f>
        <v/>
      </c>
      <c r="E133" s="68" t="str">
        <f ca="1">IF($B133="","",SUMIFS(UCRETLER!$G$7:$G$606,UCRETLER!$B$7:$B$606,$B133,UCRETLER!$F$7:$F$606,"Aylık",UCRETLER!$H$7:$H$606,"Aktif"))</f>
        <v/>
      </c>
      <c r="F133" s="68" t="str">
        <f ca="1">IF($B133="","",SUMIFS(MUSTERILER!$J$7:$J$156,MUSTERILER!$B$7:$B$156,$B133))</f>
        <v/>
      </c>
      <c r="G133" s="68" t="str">
        <f ca="1">IF($B133="","",SUMIFS(UCRETLER!$I$7:$I$606,UCRETLER!$B$7:$B$606,$B133)+SUMIFS(GELIR_GIDER!$G$7:$G$3001,GELIR_GIDER!$T$7:$T$3001,$B133))</f>
        <v/>
      </c>
      <c r="H133" s="68" t="str">
        <f t="shared" ca="1" si="55"/>
        <v/>
      </c>
      <c r="I133" s="68" t="str">
        <f ca="1">IF($B133="","",SUMIFS(TAHSILAT!$F$7:$F$2503,TAHSILAT!$C$7:$C$2503,$B133))</f>
        <v/>
      </c>
      <c r="J133" s="68" t="str">
        <f t="shared" ca="1" si="56"/>
        <v/>
      </c>
      <c r="K133" s="68" t="str">
        <f t="shared" ca="1" si="57"/>
        <v/>
      </c>
      <c r="L133" s="68" t="str">
        <f t="shared" ca="1" si="58"/>
        <v/>
      </c>
      <c r="M133" s="68" t="str">
        <f t="shared" ca="1" si="59"/>
        <v/>
      </c>
      <c r="N133" s="68" t="str">
        <f t="shared" ca="1" si="60"/>
        <v/>
      </c>
      <c r="O133" s="92" t="str">
        <f t="shared" ca="1" si="61"/>
        <v/>
      </c>
      <c r="P133" s="70" t="str">
        <f ca="1">IF($B133="","",IFERROR(LOOKUP(2,1/(TAHSILAT!$C$7:$C$2503=$B133),TAHSILAT!$E$7:$E$2503),""))</f>
        <v/>
      </c>
      <c r="Q133" s="65" t="str">
        <f t="shared" ca="1" si="62"/>
        <v/>
      </c>
      <c r="R133" s="74" t="str">
        <f t="shared" ca="1" si="63"/>
        <v/>
      </c>
      <c r="S133" s="93" t="str">
        <f t="shared" ca="1" si="64"/>
        <v/>
      </c>
      <c r="T133" s="70" t="str">
        <f ca="1">IF(OR($B133="",$AF133=""),"",IF(INDEX(MUSTERILER!$K$7:$K$156,$AF133)="","",INDEX(MUSTERILER!$K$7:$K$156,$AF133)))</f>
        <v/>
      </c>
      <c r="U133" s="93" t="str">
        <f t="shared" ca="1" si="65"/>
        <v/>
      </c>
      <c r="V133" s="68" t="str">
        <f t="shared" ca="1" si="66"/>
        <v/>
      </c>
      <c r="W133" s="65" t="str">
        <f t="shared" ca="1" si="67"/>
        <v/>
      </c>
      <c r="X133" s="2">
        <f ca="1">IF($B133="",0,SUMIFS(UCRETLER!$J$7:$J$606,UCRETLER!$B$7:$B$606,$B133))</f>
        <v>0</v>
      </c>
      <c r="Y133" s="2">
        <f ca="1">IF($B133="",0,SUMIFS(UCRETLER!$K$7:$K$606,UCRETLER!$B$7:$B$606,$B133))</f>
        <v>0</v>
      </c>
      <c r="Z133" s="1">
        <f ca="1">IF($B133="",0,SUMIFS(UCRETLER!$L$7:$L$606,UCRETLER!$B$7:$B$606,$B133))</f>
        <v>0</v>
      </c>
      <c r="AA133" s="1">
        <f t="shared" ca="1" si="68"/>
        <v>0</v>
      </c>
      <c r="AB133" s="1">
        <f t="shared" ca="1" si="69"/>
        <v>0</v>
      </c>
      <c r="AC133" s="1">
        <f t="shared" ca="1" si="70"/>
        <v>0</v>
      </c>
      <c r="AD133" s="1">
        <f t="shared" ca="1" si="71"/>
        <v>0</v>
      </c>
      <c r="AE133" s="1">
        <f t="shared" ca="1" si="72"/>
        <v>0</v>
      </c>
      <c r="AF133" s="1" t="str">
        <f ca="1">IFERROR(MATCH(ROW()-6,MUSTERILER!$U$7:$U$156,0),"")</f>
        <v/>
      </c>
      <c r="AG133" s="1">
        <f ca="1">IF($B133="",0,SUMIFS(GELIR_GIDER!$G$7:$G$3001,GELIR_GIDER!$T$7:$T$3001,$B133))</f>
        <v>0</v>
      </c>
    </row>
    <row r="134" spans="1:33" ht="18" customHeight="1" x14ac:dyDescent="0.3">
      <c r="A134" s="2"/>
      <c r="B134" s="65" t="str">
        <f ca="1">IF($AF134="","",INDEX(MUSTERILER!$B$7:$B$156,$AF134))</f>
        <v/>
      </c>
      <c r="C134" s="74" t="str">
        <f ca="1">IF($AF134="","",INDEX(MUSTERILER!$C$7:$C$156,$AF134))</f>
        <v/>
      </c>
      <c r="D134" s="68" t="str">
        <f ca="1">IF($B134="","",SUMIFS(UCRETLER!$G$7:$G$606,UCRETLER!$B$7:$B$606,$B134,UCRETLER!$F$7:$F$606,"Haftalık",UCRETLER!$H$7:$H$606,"Aktif"))</f>
        <v/>
      </c>
      <c r="E134" s="68" t="str">
        <f ca="1">IF($B134="","",SUMIFS(UCRETLER!$G$7:$G$606,UCRETLER!$B$7:$B$606,$B134,UCRETLER!$F$7:$F$606,"Aylık",UCRETLER!$H$7:$H$606,"Aktif"))</f>
        <v/>
      </c>
      <c r="F134" s="68" t="str">
        <f ca="1">IF($B134="","",SUMIFS(MUSTERILER!$J$7:$J$156,MUSTERILER!$B$7:$B$156,$B134))</f>
        <v/>
      </c>
      <c r="G134" s="68" t="str">
        <f ca="1">IF($B134="","",SUMIFS(UCRETLER!$I$7:$I$606,UCRETLER!$B$7:$B$606,$B134)+SUMIFS(GELIR_GIDER!$G$7:$G$3001,GELIR_GIDER!$T$7:$T$3001,$B134))</f>
        <v/>
      </c>
      <c r="H134" s="68" t="str">
        <f t="shared" ca="1" si="55"/>
        <v/>
      </c>
      <c r="I134" s="68" t="str">
        <f ca="1">IF($B134="","",SUMIFS(TAHSILAT!$F$7:$F$2503,TAHSILAT!$C$7:$C$2503,$B134))</f>
        <v/>
      </c>
      <c r="J134" s="68" t="str">
        <f t="shared" ca="1" si="56"/>
        <v/>
      </c>
      <c r="K134" s="68" t="str">
        <f t="shared" ca="1" si="57"/>
        <v/>
      </c>
      <c r="L134" s="68" t="str">
        <f t="shared" ca="1" si="58"/>
        <v/>
      </c>
      <c r="M134" s="68" t="str">
        <f t="shared" ca="1" si="59"/>
        <v/>
      </c>
      <c r="N134" s="68" t="str">
        <f t="shared" ca="1" si="60"/>
        <v/>
      </c>
      <c r="O134" s="92" t="str">
        <f t="shared" ca="1" si="61"/>
        <v/>
      </c>
      <c r="P134" s="70" t="str">
        <f ca="1">IF($B134="","",IFERROR(LOOKUP(2,1/(TAHSILAT!$C$7:$C$2503=$B134),TAHSILAT!$E$7:$E$2503),""))</f>
        <v/>
      </c>
      <c r="Q134" s="65" t="str">
        <f t="shared" ca="1" si="62"/>
        <v/>
      </c>
      <c r="R134" s="74" t="str">
        <f t="shared" ca="1" si="63"/>
        <v/>
      </c>
      <c r="S134" s="93" t="str">
        <f t="shared" ca="1" si="64"/>
        <v/>
      </c>
      <c r="T134" s="70" t="str">
        <f ca="1">IF(OR($B134="",$AF134=""),"",IF(INDEX(MUSTERILER!$K$7:$K$156,$AF134)="","",INDEX(MUSTERILER!$K$7:$K$156,$AF134)))</f>
        <v/>
      </c>
      <c r="U134" s="93" t="str">
        <f t="shared" ca="1" si="65"/>
        <v/>
      </c>
      <c r="V134" s="68" t="str">
        <f t="shared" ca="1" si="66"/>
        <v/>
      </c>
      <c r="W134" s="65" t="str">
        <f t="shared" ca="1" si="67"/>
        <v/>
      </c>
      <c r="X134" s="2">
        <f ca="1">IF($B134="",0,SUMIFS(UCRETLER!$J$7:$J$606,UCRETLER!$B$7:$B$606,$B134))</f>
        <v>0</v>
      </c>
      <c r="Y134" s="2">
        <f ca="1">IF($B134="",0,SUMIFS(UCRETLER!$K$7:$K$606,UCRETLER!$B$7:$B$606,$B134))</f>
        <v>0</v>
      </c>
      <c r="Z134" s="1">
        <f ca="1">IF($B134="",0,SUMIFS(UCRETLER!$L$7:$L$606,UCRETLER!$B$7:$B$606,$B134))</f>
        <v>0</v>
      </c>
      <c r="AA134" s="1">
        <f t="shared" ca="1" si="68"/>
        <v>0</v>
      </c>
      <c r="AB134" s="1">
        <f t="shared" ca="1" si="69"/>
        <v>0</v>
      </c>
      <c r="AC134" s="1">
        <f t="shared" ca="1" si="70"/>
        <v>0</v>
      </c>
      <c r="AD134" s="1">
        <f t="shared" ca="1" si="71"/>
        <v>0</v>
      </c>
      <c r="AE134" s="1">
        <f t="shared" ca="1" si="72"/>
        <v>0</v>
      </c>
      <c r="AF134" s="1" t="str">
        <f ca="1">IFERROR(MATCH(ROW()-6,MUSTERILER!$U$7:$U$156,0),"")</f>
        <v/>
      </c>
      <c r="AG134" s="1">
        <f ca="1">IF($B134="",0,SUMIFS(GELIR_GIDER!$G$7:$G$3001,GELIR_GIDER!$T$7:$T$3001,$B134))</f>
        <v>0</v>
      </c>
    </row>
    <row r="135" spans="1:33" ht="18" customHeight="1" x14ac:dyDescent="0.3">
      <c r="A135" s="2"/>
      <c r="B135" s="65" t="str">
        <f ca="1">IF($AF135="","",INDEX(MUSTERILER!$B$7:$B$156,$AF135))</f>
        <v/>
      </c>
      <c r="C135" s="74" t="str">
        <f ca="1">IF($AF135="","",INDEX(MUSTERILER!$C$7:$C$156,$AF135))</f>
        <v/>
      </c>
      <c r="D135" s="68" t="str">
        <f ca="1">IF($B135="","",SUMIFS(UCRETLER!$G$7:$G$606,UCRETLER!$B$7:$B$606,$B135,UCRETLER!$F$7:$F$606,"Haftalık",UCRETLER!$H$7:$H$606,"Aktif"))</f>
        <v/>
      </c>
      <c r="E135" s="68" t="str">
        <f ca="1">IF($B135="","",SUMIFS(UCRETLER!$G$7:$G$606,UCRETLER!$B$7:$B$606,$B135,UCRETLER!$F$7:$F$606,"Aylık",UCRETLER!$H$7:$H$606,"Aktif"))</f>
        <v/>
      </c>
      <c r="F135" s="68" t="str">
        <f ca="1">IF($B135="","",SUMIFS(MUSTERILER!$J$7:$J$156,MUSTERILER!$B$7:$B$156,$B135))</f>
        <v/>
      </c>
      <c r="G135" s="68" t="str">
        <f ca="1">IF($B135="","",SUMIFS(UCRETLER!$I$7:$I$606,UCRETLER!$B$7:$B$606,$B135)+SUMIFS(GELIR_GIDER!$G$7:$G$3001,GELIR_GIDER!$T$7:$T$3001,$B135))</f>
        <v/>
      </c>
      <c r="H135" s="68" t="str">
        <f t="shared" ref="H135:H156" ca="1" si="73">IF($B135="","",$F135+$G135)</f>
        <v/>
      </c>
      <c r="I135" s="68" t="str">
        <f ca="1">IF($B135="","",SUMIFS(TAHSILAT!$F$7:$F$2503,TAHSILAT!$C$7:$C$2503,$B135))</f>
        <v/>
      </c>
      <c r="J135" s="68" t="str">
        <f t="shared" ref="J135:J156" ca="1" si="74">IF($B135="","",MAX(0,$H135-$I135))</f>
        <v/>
      </c>
      <c r="K135" s="68" t="str">
        <f t="shared" ref="K135:K156" ca="1" si="75">IF($B135="","",MAX(0,$J135-$L135-$M135-$N135))</f>
        <v/>
      </c>
      <c r="L135" s="68" t="str">
        <f t="shared" ref="L135:L156" ca="1" si="76">IF($B135="","",($AC135-$AD135)+IF(AND($AB135&gt;0,$T135&lt;&gt;"",$U135&gt;=8,$U135&lt;15),$AB135,0))</f>
        <v/>
      </c>
      <c r="M135" s="68" t="str">
        <f t="shared" ref="M135:M156" ca="1" si="77">IF($B135="","",($AD135-$AE135)+IF(AND($AB135&gt;0,$T135&lt;&gt;"",$U135&gt;=15,$U135&lt;29),$AB135,0))</f>
        <v/>
      </c>
      <c r="N135" s="68" t="str">
        <f t="shared" ref="N135:N156" ca="1" si="78">IF($B135="","",$AE135+IF(AND($AB135&gt;0,OR($T135="",$U135&gt;=29)),$AB135,0))</f>
        <v/>
      </c>
      <c r="O135" s="92" t="str">
        <f t="shared" ref="O135:O156" ca="1" si="79">IF($B135="","",IFERROR($I135/$H135,0))</f>
        <v/>
      </c>
      <c r="P135" s="70" t="str">
        <f ca="1">IF($B135="","",IFERROR(LOOKUP(2,1/(TAHSILAT!$C$7:$C$2503=$B135),TAHSILAT!$E$7:$E$2503),""))</f>
        <v/>
      </c>
      <c r="Q135" s="65" t="str">
        <f t="shared" ref="Q135:Q156" ca="1" si="80">IF($B135="","",IF($N135&gt;0,"KRİTİK",IF($M135&gt;0,"YÜKSEK",IF($L135&gt;0,"ORTA",IF($J135&gt;0,"İZLE","TEMİZ")))))</f>
        <v/>
      </c>
      <c r="R135" s="74" t="str">
        <f t="shared" ref="R135:R156" ca="1" si="81"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93" t="str">
        <f t="shared" ref="S135:S156" ca="1" si="82">IF($B135="","",0)</f>
        <v/>
      </c>
      <c r="T135" s="70" t="str">
        <f ca="1">IF(OR($B135="",$AF135=""),"",IF(INDEX(MUSTERILER!$K$7:$K$156,$AF135)="","",INDEX(MUSTERILER!$K$7:$K$156,$AF135)))</f>
        <v/>
      </c>
      <c r="U135" s="93" t="str">
        <f t="shared" ref="U135:U156" ca="1" si="83">IF(OR($B135="",$T135=""),"",TODAY()-$T135)</f>
        <v/>
      </c>
      <c r="V135" s="68" t="str">
        <f t="shared" ref="V135:V156" ca="1" si="84">IF($B135="","",MAX(0,$I135-$H135))</f>
        <v/>
      </c>
      <c r="W135" s="65" t="str">
        <f t="shared" ref="W135:W156" ca="1" si="85">IF($B135="","",IF(AND(ABS($J135-($K135+$L135+$M135+$N135))&lt;0.01,ABS(($J135-$V135)-($H135-$I135))&lt;0.01),"UYGUN","İNCELE"))</f>
        <v/>
      </c>
      <c r="X135" s="2">
        <f ca="1">IF($B135="",0,SUMIFS(UCRETLER!$J$7:$J$606,UCRETLER!$B$7:$B$606,$B135))</f>
        <v>0</v>
      </c>
      <c r="Y135" s="2">
        <f ca="1">IF($B135="",0,SUMIFS(UCRETLER!$K$7:$K$606,UCRETLER!$B$7:$B$606,$B135))</f>
        <v>0</v>
      </c>
      <c r="Z135" s="1">
        <f ca="1">IF($B135="",0,SUMIFS(UCRETLER!$L$7:$L$606,UCRETLER!$B$7:$B$606,$B135))</f>
        <v>0</v>
      </c>
      <c r="AA135" s="1">
        <f t="shared" ref="AA135:AA156" ca="1" si="86">IF($B135="",0,MAX(0,$I135-$F135))</f>
        <v>0</v>
      </c>
      <c r="AB135" s="1">
        <f t="shared" ref="AB135:AB156" ca="1" si="87">IF($B135="",0,MAX(0,$F135-$I135))</f>
        <v>0</v>
      </c>
      <c r="AC135" s="1">
        <f t="shared" ref="AC135:AC156" ca="1" si="88">IF($B135="",0,MAX(0,$X135-$AA135))</f>
        <v>0</v>
      </c>
      <c r="AD135" s="1">
        <f t="shared" ref="AD135:AD156" ca="1" si="89">IF($B135="",0,MAX(0,$Y135-$AA135))</f>
        <v>0</v>
      </c>
      <c r="AE135" s="1">
        <f t="shared" ref="AE135:AE156" ca="1" si="90">IF($B135="",0,MAX(0,$Z135-$AA135))</f>
        <v>0</v>
      </c>
      <c r="AF135" s="1" t="str">
        <f ca="1">IFERROR(MATCH(ROW()-6,MUSTERILER!$U$7:$U$156,0),"")</f>
        <v/>
      </c>
      <c r="AG135" s="1">
        <f ca="1">IF($B135="",0,SUMIFS(GELIR_GIDER!$G$7:$G$3001,GELIR_GIDER!$T$7:$T$3001,$B135))</f>
        <v>0</v>
      </c>
    </row>
    <row r="136" spans="1:33" ht="18" customHeight="1" x14ac:dyDescent="0.3">
      <c r="A136" s="2"/>
      <c r="B136" s="65" t="str">
        <f ca="1">IF($AF136="","",INDEX(MUSTERILER!$B$7:$B$156,$AF136))</f>
        <v/>
      </c>
      <c r="C136" s="74" t="str">
        <f ca="1">IF($AF136="","",INDEX(MUSTERILER!$C$7:$C$156,$AF136))</f>
        <v/>
      </c>
      <c r="D136" s="68" t="str">
        <f ca="1">IF($B136="","",SUMIFS(UCRETLER!$G$7:$G$606,UCRETLER!$B$7:$B$606,$B136,UCRETLER!$F$7:$F$606,"Haftalık",UCRETLER!$H$7:$H$606,"Aktif"))</f>
        <v/>
      </c>
      <c r="E136" s="68" t="str">
        <f ca="1">IF($B136="","",SUMIFS(UCRETLER!$G$7:$G$606,UCRETLER!$B$7:$B$606,$B136,UCRETLER!$F$7:$F$606,"Aylık",UCRETLER!$H$7:$H$606,"Aktif"))</f>
        <v/>
      </c>
      <c r="F136" s="68" t="str">
        <f ca="1">IF($B136="","",SUMIFS(MUSTERILER!$J$7:$J$156,MUSTERILER!$B$7:$B$156,$B136))</f>
        <v/>
      </c>
      <c r="G136" s="68" t="str">
        <f ca="1">IF($B136="","",SUMIFS(UCRETLER!$I$7:$I$606,UCRETLER!$B$7:$B$606,$B136)+SUMIFS(GELIR_GIDER!$G$7:$G$3001,GELIR_GIDER!$T$7:$T$3001,$B136))</f>
        <v/>
      </c>
      <c r="H136" s="68" t="str">
        <f t="shared" ca="1" si="73"/>
        <v/>
      </c>
      <c r="I136" s="68" t="str">
        <f ca="1">IF($B136="","",SUMIFS(TAHSILAT!$F$7:$F$2503,TAHSILAT!$C$7:$C$2503,$B136))</f>
        <v/>
      </c>
      <c r="J136" s="68" t="str">
        <f t="shared" ca="1" si="74"/>
        <v/>
      </c>
      <c r="K136" s="68" t="str">
        <f t="shared" ca="1" si="75"/>
        <v/>
      </c>
      <c r="L136" s="68" t="str">
        <f t="shared" ca="1" si="76"/>
        <v/>
      </c>
      <c r="M136" s="68" t="str">
        <f t="shared" ca="1" si="77"/>
        <v/>
      </c>
      <c r="N136" s="68" t="str">
        <f t="shared" ca="1" si="78"/>
        <v/>
      </c>
      <c r="O136" s="92" t="str">
        <f t="shared" ca="1" si="79"/>
        <v/>
      </c>
      <c r="P136" s="70" t="str">
        <f ca="1">IF($B136="","",IFERROR(LOOKUP(2,1/(TAHSILAT!$C$7:$C$2503=$B136),TAHSILAT!$E$7:$E$2503),""))</f>
        <v/>
      </c>
      <c r="Q136" s="65" t="str">
        <f t="shared" ca="1" si="80"/>
        <v/>
      </c>
      <c r="R136" s="74" t="str">
        <f t="shared" ca="1" si="81"/>
        <v/>
      </c>
      <c r="S136" s="93" t="str">
        <f t="shared" ca="1" si="82"/>
        <v/>
      </c>
      <c r="T136" s="70" t="str">
        <f ca="1">IF(OR($B136="",$AF136=""),"",IF(INDEX(MUSTERILER!$K$7:$K$156,$AF136)="","",INDEX(MUSTERILER!$K$7:$K$156,$AF136)))</f>
        <v/>
      </c>
      <c r="U136" s="93" t="str">
        <f t="shared" ca="1" si="83"/>
        <v/>
      </c>
      <c r="V136" s="68" t="str">
        <f t="shared" ca="1" si="84"/>
        <v/>
      </c>
      <c r="W136" s="65" t="str">
        <f t="shared" ca="1" si="85"/>
        <v/>
      </c>
      <c r="X136" s="2">
        <f ca="1">IF($B136="",0,SUMIFS(UCRETLER!$J$7:$J$606,UCRETLER!$B$7:$B$606,$B136))</f>
        <v>0</v>
      </c>
      <c r="Y136" s="2">
        <f ca="1">IF($B136="",0,SUMIFS(UCRETLER!$K$7:$K$606,UCRETLER!$B$7:$B$606,$B136))</f>
        <v>0</v>
      </c>
      <c r="Z136" s="1">
        <f ca="1">IF($B136="",0,SUMIFS(UCRETLER!$L$7:$L$606,UCRETLER!$B$7:$B$606,$B136))</f>
        <v>0</v>
      </c>
      <c r="AA136" s="1">
        <f t="shared" ca="1" si="86"/>
        <v>0</v>
      </c>
      <c r="AB136" s="1">
        <f t="shared" ca="1" si="87"/>
        <v>0</v>
      </c>
      <c r="AC136" s="1">
        <f t="shared" ca="1" si="88"/>
        <v>0</v>
      </c>
      <c r="AD136" s="1">
        <f t="shared" ca="1" si="89"/>
        <v>0</v>
      </c>
      <c r="AE136" s="1">
        <f t="shared" ca="1" si="90"/>
        <v>0</v>
      </c>
      <c r="AF136" s="1" t="str">
        <f ca="1">IFERROR(MATCH(ROW()-6,MUSTERILER!$U$7:$U$156,0),"")</f>
        <v/>
      </c>
      <c r="AG136" s="1">
        <f ca="1">IF($B136="",0,SUMIFS(GELIR_GIDER!$G$7:$G$3001,GELIR_GIDER!$T$7:$T$3001,$B136))</f>
        <v>0</v>
      </c>
    </row>
    <row r="137" spans="1:33" ht="18" customHeight="1" x14ac:dyDescent="0.3">
      <c r="A137" s="2"/>
      <c r="B137" s="65" t="str">
        <f ca="1">IF($AF137="","",INDEX(MUSTERILER!$B$7:$B$156,$AF137))</f>
        <v/>
      </c>
      <c r="C137" s="74" t="str">
        <f ca="1">IF($AF137="","",INDEX(MUSTERILER!$C$7:$C$156,$AF137))</f>
        <v/>
      </c>
      <c r="D137" s="68" t="str">
        <f ca="1">IF($B137="","",SUMIFS(UCRETLER!$G$7:$G$606,UCRETLER!$B$7:$B$606,$B137,UCRETLER!$F$7:$F$606,"Haftalık",UCRETLER!$H$7:$H$606,"Aktif"))</f>
        <v/>
      </c>
      <c r="E137" s="68" t="str">
        <f ca="1">IF($B137="","",SUMIFS(UCRETLER!$G$7:$G$606,UCRETLER!$B$7:$B$606,$B137,UCRETLER!$F$7:$F$606,"Aylık",UCRETLER!$H$7:$H$606,"Aktif"))</f>
        <v/>
      </c>
      <c r="F137" s="68" t="str">
        <f ca="1">IF($B137="","",SUMIFS(MUSTERILER!$J$7:$J$156,MUSTERILER!$B$7:$B$156,$B137))</f>
        <v/>
      </c>
      <c r="G137" s="68" t="str">
        <f ca="1">IF($B137="","",SUMIFS(UCRETLER!$I$7:$I$606,UCRETLER!$B$7:$B$606,$B137)+SUMIFS(GELIR_GIDER!$G$7:$G$3001,GELIR_GIDER!$T$7:$T$3001,$B137))</f>
        <v/>
      </c>
      <c r="H137" s="68" t="str">
        <f t="shared" ca="1" si="73"/>
        <v/>
      </c>
      <c r="I137" s="68" t="str">
        <f ca="1">IF($B137="","",SUMIFS(TAHSILAT!$F$7:$F$2503,TAHSILAT!$C$7:$C$2503,$B137))</f>
        <v/>
      </c>
      <c r="J137" s="68" t="str">
        <f t="shared" ca="1" si="74"/>
        <v/>
      </c>
      <c r="K137" s="68" t="str">
        <f t="shared" ca="1" si="75"/>
        <v/>
      </c>
      <c r="L137" s="68" t="str">
        <f t="shared" ca="1" si="76"/>
        <v/>
      </c>
      <c r="M137" s="68" t="str">
        <f t="shared" ca="1" si="77"/>
        <v/>
      </c>
      <c r="N137" s="68" t="str">
        <f t="shared" ca="1" si="78"/>
        <v/>
      </c>
      <c r="O137" s="92" t="str">
        <f t="shared" ca="1" si="79"/>
        <v/>
      </c>
      <c r="P137" s="70" t="str">
        <f ca="1">IF($B137="","",IFERROR(LOOKUP(2,1/(TAHSILAT!$C$7:$C$2503=$B137),TAHSILAT!$E$7:$E$2503),""))</f>
        <v/>
      </c>
      <c r="Q137" s="65" t="str">
        <f t="shared" ca="1" si="80"/>
        <v/>
      </c>
      <c r="R137" s="74" t="str">
        <f t="shared" ca="1" si="81"/>
        <v/>
      </c>
      <c r="S137" s="93" t="str">
        <f t="shared" ca="1" si="82"/>
        <v/>
      </c>
      <c r="T137" s="70" t="str">
        <f ca="1">IF(OR($B137="",$AF137=""),"",IF(INDEX(MUSTERILER!$K$7:$K$156,$AF137)="","",INDEX(MUSTERILER!$K$7:$K$156,$AF137)))</f>
        <v/>
      </c>
      <c r="U137" s="93" t="str">
        <f t="shared" ca="1" si="83"/>
        <v/>
      </c>
      <c r="V137" s="68" t="str">
        <f t="shared" ca="1" si="84"/>
        <v/>
      </c>
      <c r="W137" s="65" t="str">
        <f t="shared" ca="1" si="85"/>
        <v/>
      </c>
      <c r="X137" s="2">
        <f ca="1">IF($B137="",0,SUMIFS(UCRETLER!$J$7:$J$606,UCRETLER!$B$7:$B$606,$B137))</f>
        <v>0</v>
      </c>
      <c r="Y137" s="2">
        <f ca="1">IF($B137="",0,SUMIFS(UCRETLER!$K$7:$K$606,UCRETLER!$B$7:$B$606,$B137))</f>
        <v>0</v>
      </c>
      <c r="Z137" s="1">
        <f ca="1">IF($B137="",0,SUMIFS(UCRETLER!$L$7:$L$606,UCRETLER!$B$7:$B$606,$B137))</f>
        <v>0</v>
      </c>
      <c r="AA137" s="1">
        <f t="shared" ca="1" si="86"/>
        <v>0</v>
      </c>
      <c r="AB137" s="1">
        <f t="shared" ca="1" si="87"/>
        <v>0</v>
      </c>
      <c r="AC137" s="1">
        <f t="shared" ca="1" si="88"/>
        <v>0</v>
      </c>
      <c r="AD137" s="1">
        <f t="shared" ca="1" si="89"/>
        <v>0</v>
      </c>
      <c r="AE137" s="1">
        <f t="shared" ca="1" si="90"/>
        <v>0</v>
      </c>
      <c r="AF137" s="1" t="str">
        <f ca="1">IFERROR(MATCH(ROW()-6,MUSTERILER!$U$7:$U$156,0),"")</f>
        <v/>
      </c>
      <c r="AG137" s="1">
        <f ca="1">IF($B137="",0,SUMIFS(GELIR_GIDER!$G$7:$G$3001,GELIR_GIDER!$T$7:$T$3001,$B137))</f>
        <v>0</v>
      </c>
    </row>
    <row r="138" spans="1:33" ht="18" customHeight="1" x14ac:dyDescent="0.3">
      <c r="A138" s="2"/>
      <c r="B138" s="65" t="str">
        <f ca="1">IF($AF138="","",INDEX(MUSTERILER!$B$7:$B$156,$AF138))</f>
        <v/>
      </c>
      <c r="C138" s="74" t="str">
        <f ca="1">IF($AF138="","",INDEX(MUSTERILER!$C$7:$C$156,$AF138))</f>
        <v/>
      </c>
      <c r="D138" s="68" t="str">
        <f ca="1">IF($B138="","",SUMIFS(UCRETLER!$G$7:$G$606,UCRETLER!$B$7:$B$606,$B138,UCRETLER!$F$7:$F$606,"Haftalık",UCRETLER!$H$7:$H$606,"Aktif"))</f>
        <v/>
      </c>
      <c r="E138" s="68" t="str">
        <f ca="1">IF($B138="","",SUMIFS(UCRETLER!$G$7:$G$606,UCRETLER!$B$7:$B$606,$B138,UCRETLER!$F$7:$F$606,"Aylık",UCRETLER!$H$7:$H$606,"Aktif"))</f>
        <v/>
      </c>
      <c r="F138" s="68" t="str">
        <f ca="1">IF($B138="","",SUMIFS(MUSTERILER!$J$7:$J$156,MUSTERILER!$B$7:$B$156,$B138))</f>
        <v/>
      </c>
      <c r="G138" s="68" t="str">
        <f ca="1">IF($B138="","",SUMIFS(UCRETLER!$I$7:$I$606,UCRETLER!$B$7:$B$606,$B138)+SUMIFS(GELIR_GIDER!$G$7:$G$3001,GELIR_GIDER!$T$7:$T$3001,$B138))</f>
        <v/>
      </c>
      <c r="H138" s="68" t="str">
        <f t="shared" ca="1" si="73"/>
        <v/>
      </c>
      <c r="I138" s="68" t="str">
        <f ca="1">IF($B138="","",SUMIFS(TAHSILAT!$F$7:$F$2503,TAHSILAT!$C$7:$C$2503,$B138))</f>
        <v/>
      </c>
      <c r="J138" s="68" t="str">
        <f t="shared" ca="1" si="74"/>
        <v/>
      </c>
      <c r="K138" s="68" t="str">
        <f t="shared" ca="1" si="75"/>
        <v/>
      </c>
      <c r="L138" s="68" t="str">
        <f t="shared" ca="1" si="76"/>
        <v/>
      </c>
      <c r="M138" s="68" t="str">
        <f t="shared" ca="1" si="77"/>
        <v/>
      </c>
      <c r="N138" s="68" t="str">
        <f t="shared" ca="1" si="78"/>
        <v/>
      </c>
      <c r="O138" s="92" t="str">
        <f t="shared" ca="1" si="79"/>
        <v/>
      </c>
      <c r="P138" s="70" t="str">
        <f ca="1">IF($B138="","",IFERROR(LOOKUP(2,1/(TAHSILAT!$C$7:$C$2503=$B138),TAHSILAT!$E$7:$E$2503),""))</f>
        <v/>
      </c>
      <c r="Q138" s="65" t="str">
        <f t="shared" ca="1" si="80"/>
        <v/>
      </c>
      <c r="R138" s="74" t="str">
        <f t="shared" ca="1" si="81"/>
        <v/>
      </c>
      <c r="S138" s="93" t="str">
        <f t="shared" ca="1" si="82"/>
        <v/>
      </c>
      <c r="T138" s="70" t="str">
        <f ca="1">IF(OR($B138="",$AF138=""),"",IF(INDEX(MUSTERILER!$K$7:$K$156,$AF138)="","",INDEX(MUSTERILER!$K$7:$K$156,$AF138)))</f>
        <v/>
      </c>
      <c r="U138" s="93" t="str">
        <f t="shared" ca="1" si="83"/>
        <v/>
      </c>
      <c r="V138" s="68" t="str">
        <f t="shared" ca="1" si="84"/>
        <v/>
      </c>
      <c r="W138" s="65" t="str">
        <f t="shared" ca="1" si="85"/>
        <v/>
      </c>
      <c r="X138" s="2">
        <f ca="1">IF($B138="",0,SUMIFS(UCRETLER!$J$7:$J$606,UCRETLER!$B$7:$B$606,$B138))</f>
        <v>0</v>
      </c>
      <c r="Y138" s="2">
        <f ca="1">IF($B138="",0,SUMIFS(UCRETLER!$K$7:$K$606,UCRETLER!$B$7:$B$606,$B138))</f>
        <v>0</v>
      </c>
      <c r="Z138" s="1">
        <f ca="1">IF($B138="",0,SUMIFS(UCRETLER!$L$7:$L$606,UCRETLER!$B$7:$B$606,$B138))</f>
        <v>0</v>
      </c>
      <c r="AA138" s="1">
        <f t="shared" ca="1" si="86"/>
        <v>0</v>
      </c>
      <c r="AB138" s="1">
        <f t="shared" ca="1" si="87"/>
        <v>0</v>
      </c>
      <c r="AC138" s="1">
        <f t="shared" ca="1" si="88"/>
        <v>0</v>
      </c>
      <c r="AD138" s="1">
        <f t="shared" ca="1" si="89"/>
        <v>0</v>
      </c>
      <c r="AE138" s="1">
        <f t="shared" ca="1" si="90"/>
        <v>0</v>
      </c>
      <c r="AF138" s="1" t="str">
        <f ca="1">IFERROR(MATCH(ROW()-6,MUSTERILER!$U$7:$U$156,0),"")</f>
        <v/>
      </c>
      <c r="AG138" s="1">
        <f ca="1">IF($B138="",0,SUMIFS(GELIR_GIDER!$G$7:$G$3001,GELIR_GIDER!$T$7:$T$3001,$B138))</f>
        <v>0</v>
      </c>
    </row>
    <row r="139" spans="1:33" ht="18" customHeight="1" x14ac:dyDescent="0.3">
      <c r="A139" s="2"/>
      <c r="B139" s="65" t="str">
        <f ca="1">IF($AF139="","",INDEX(MUSTERILER!$B$7:$B$156,$AF139))</f>
        <v/>
      </c>
      <c r="C139" s="74" t="str">
        <f ca="1">IF($AF139="","",INDEX(MUSTERILER!$C$7:$C$156,$AF139))</f>
        <v/>
      </c>
      <c r="D139" s="68" t="str">
        <f ca="1">IF($B139="","",SUMIFS(UCRETLER!$G$7:$G$606,UCRETLER!$B$7:$B$606,$B139,UCRETLER!$F$7:$F$606,"Haftalık",UCRETLER!$H$7:$H$606,"Aktif"))</f>
        <v/>
      </c>
      <c r="E139" s="68" t="str">
        <f ca="1">IF($B139="","",SUMIFS(UCRETLER!$G$7:$G$606,UCRETLER!$B$7:$B$606,$B139,UCRETLER!$F$7:$F$606,"Aylık",UCRETLER!$H$7:$H$606,"Aktif"))</f>
        <v/>
      </c>
      <c r="F139" s="68" t="str">
        <f ca="1">IF($B139="","",SUMIFS(MUSTERILER!$J$7:$J$156,MUSTERILER!$B$7:$B$156,$B139))</f>
        <v/>
      </c>
      <c r="G139" s="68" t="str">
        <f ca="1">IF($B139="","",SUMIFS(UCRETLER!$I$7:$I$606,UCRETLER!$B$7:$B$606,$B139)+SUMIFS(GELIR_GIDER!$G$7:$G$3001,GELIR_GIDER!$T$7:$T$3001,$B139))</f>
        <v/>
      </c>
      <c r="H139" s="68" t="str">
        <f t="shared" ca="1" si="73"/>
        <v/>
      </c>
      <c r="I139" s="68" t="str">
        <f ca="1">IF($B139="","",SUMIFS(TAHSILAT!$F$7:$F$2503,TAHSILAT!$C$7:$C$2503,$B139))</f>
        <v/>
      </c>
      <c r="J139" s="68" t="str">
        <f t="shared" ca="1" si="74"/>
        <v/>
      </c>
      <c r="K139" s="68" t="str">
        <f t="shared" ca="1" si="75"/>
        <v/>
      </c>
      <c r="L139" s="68" t="str">
        <f t="shared" ca="1" si="76"/>
        <v/>
      </c>
      <c r="M139" s="68" t="str">
        <f t="shared" ca="1" si="77"/>
        <v/>
      </c>
      <c r="N139" s="68" t="str">
        <f t="shared" ca="1" si="78"/>
        <v/>
      </c>
      <c r="O139" s="92" t="str">
        <f t="shared" ca="1" si="79"/>
        <v/>
      </c>
      <c r="P139" s="70" t="str">
        <f ca="1">IF($B139="","",IFERROR(LOOKUP(2,1/(TAHSILAT!$C$7:$C$2503=$B139),TAHSILAT!$E$7:$E$2503),""))</f>
        <v/>
      </c>
      <c r="Q139" s="65" t="str">
        <f t="shared" ca="1" si="80"/>
        <v/>
      </c>
      <c r="R139" s="74" t="str">
        <f t="shared" ca="1" si="81"/>
        <v/>
      </c>
      <c r="S139" s="93" t="str">
        <f t="shared" ca="1" si="82"/>
        <v/>
      </c>
      <c r="T139" s="70" t="str">
        <f ca="1">IF(OR($B139="",$AF139=""),"",IF(INDEX(MUSTERILER!$K$7:$K$156,$AF139)="","",INDEX(MUSTERILER!$K$7:$K$156,$AF139)))</f>
        <v/>
      </c>
      <c r="U139" s="93" t="str">
        <f t="shared" ca="1" si="83"/>
        <v/>
      </c>
      <c r="V139" s="68" t="str">
        <f t="shared" ca="1" si="84"/>
        <v/>
      </c>
      <c r="W139" s="65" t="str">
        <f t="shared" ca="1" si="85"/>
        <v/>
      </c>
      <c r="X139" s="2">
        <f ca="1">IF($B139="",0,SUMIFS(UCRETLER!$J$7:$J$606,UCRETLER!$B$7:$B$606,$B139))</f>
        <v>0</v>
      </c>
      <c r="Y139" s="2">
        <f ca="1">IF($B139="",0,SUMIFS(UCRETLER!$K$7:$K$606,UCRETLER!$B$7:$B$606,$B139))</f>
        <v>0</v>
      </c>
      <c r="Z139" s="1">
        <f ca="1">IF($B139="",0,SUMIFS(UCRETLER!$L$7:$L$606,UCRETLER!$B$7:$B$606,$B139))</f>
        <v>0</v>
      </c>
      <c r="AA139" s="1">
        <f t="shared" ca="1" si="86"/>
        <v>0</v>
      </c>
      <c r="AB139" s="1">
        <f t="shared" ca="1" si="87"/>
        <v>0</v>
      </c>
      <c r="AC139" s="1">
        <f t="shared" ca="1" si="88"/>
        <v>0</v>
      </c>
      <c r="AD139" s="1">
        <f t="shared" ca="1" si="89"/>
        <v>0</v>
      </c>
      <c r="AE139" s="1">
        <f t="shared" ca="1" si="90"/>
        <v>0</v>
      </c>
      <c r="AF139" s="1" t="str">
        <f ca="1">IFERROR(MATCH(ROW()-6,MUSTERILER!$U$7:$U$156,0),"")</f>
        <v/>
      </c>
      <c r="AG139" s="1">
        <f ca="1">IF($B139="",0,SUMIFS(GELIR_GIDER!$G$7:$G$3001,GELIR_GIDER!$T$7:$T$3001,$B139))</f>
        <v>0</v>
      </c>
    </row>
    <row r="140" spans="1:33" ht="18" customHeight="1" x14ac:dyDescent="0.3">
      <c r="A140" s="2"/>
      <c r="B140" s="65" t="str">
        <f ca="1">IF($AF140="","",INDEX(MUSTERILER!$B$7:$B$156,$AF140))</f>
        <v/>
      </c>
      <c r="C140" s="74" t="str">
        <f ca="1">IF($AF140="","",INDEX(MUSTERILER!$C$7:$C$156,$AF140))</f>
        <v/>
      </c>
      <c r="D140" s="68" t="str">
        <f ca="1">IF($B140="","",SUMIFS(UCRETLER!$G$7:$G$606,UCRETLER!$B$7:$B$606,$B140,UCRETLER!$F$7:$F$606,"Haftalık",UCRETLER!$H$7:$H$606,"Aktif"))</f>
        <v/>
      </c>
      <c r="E140" s="68" t="str">
        <f ca="1">IF($B140="","",SUMIFS(UCRETLER!$G$7:$G$606,UCRETLER!$B$7:$B$606,$B140,UCRETLER!$F$7:$F$606,"Aylık",UCRETLER!$H$7:$H$606,"Aktif"))</f>
        <v/>
      </c>
      <c r="F140" s="68" t="str">
        <f ca="1">IF($B140="","",SUMIFS(MUSTERILER!$J$7:$J$156,MUSTERILER!$B$7:$B$156,$B140))</f>
        <v/>
      </c>
      <c r="G140" s="68" t="str">
        <f ca="1">IF($B140="","",SUMIFS(UCRETLER!$I$7:$I$606,UCRETLER!$B$7:$B$606,$B140)+SUMIFS(GELIR_GIDER!$G$7:$G$3001,GELIR_GIDER!$T$7:$T$3001,$B140))</f>
        <v/>
      </c>
      <c r="H140" s="68" t="str">
        <f t="shared" ca="1" si="73"/>
        <v/>
      </c>
      <c r="I140" s="68" t="str">
        <f ca="1">IF($B140="","",SUMIFS(TAHSILAT!$F$7:$F$2503,TAHSILAT!$C$7:$C$2503,$B140))</f>
        <v/>
      </c>
      <c r="J140" s="68" t="str">
        <f t="shared" ca="1" si="74"/>
        <v/>
      </c>
      <c r="K140" s="68" t="str">
        <f t="shared" ca="1" si="75"/>
        <v/>
      </c>
      <c r="L140" s="68" t="str">
        <f t="shared" ca="1" si="76"/>
        <v/>
      </c>
      <c r="M140" s="68" t="str">
        <f t="shared" ca="1" si="77"/>
        <v/>
      </c>
      <c r="N140" s="68" t="str">
        <f t="shared" ca="1" si="78"/>
        <v/>
      </c>
      <c r="O140" s="92" t="str">
        <f t="shared" ca="1" si="79"/>
        <v/>
      </c>
      <c r="P140" s="70" t="str">
        <f ca="1">IF($B140="","",IFERROR(LOOKUP(2,1/(TAHSILAT!$C$7:$C$2503=$B140),TAHSILAT!$E$7:$E$2503),""))</f>
        <v/>
      </c>
      <c r="Q140" s="65" t="str">
        <f t="shared" ca="1" si="80"/>
        <v/>
      </c>
      <c r="R140" s="74" t="str">
        <f t="shared" ca="1" si="81"/>
        <v/>
      </c>
      <c r="S140" s="93" t="str">
        <f t="shared" ca="1" si="82"/>
        <v/>
      </c>
      <c r="T140" s="70" t="str">
        <f ca="1">IF(OR($B140="",$AF140=""),"",IF(INDEX(MUSTERILER!$K$7:$K$156,$AF140)="","",INDEX(MUSTERILER!$K$7:$K$156,$AF140)))</f>
        <v/>
      </c>
      <c r="U140" s="93" t="str">
        <f t="shared" ca="1" si="83"/>
        <v/>
      </c>
      <c r="V140" s="68" t="str">
        <f t="shared" ca="1" si="84"/>
        <v/>
      </c>
      <c r="W140" s="65" t="str">
        <f t="shared" ca="1" si="85"/>
        <v/>
      </c>
      <c r="X140" s="2">
        <f ca="1">IF($B140="",0,SUMIFS(UCRETLER!$J$7:$J$606,UCRETLER!$B$7:$B$606,$B140))</f>
        <v>0</v>
      </c>
      <c r="Y140" s="2">
        <f ca="1">IF($B140="",0,SUMIFS(UCRETLER!$K$7:$K$606,UCRETLER!$B$7:$B$606,$B140))</f>
        <v>0</v>
      </c>
      <c r="Z140" s="1">
        <f ca="1">IF($B140="",0,SUMIFS(UCRETLER!$L$7:$L$606,UCRETLER!$B$7:$B$606,$B140))</f>
        <v>0</v>
      </c>
      <c r="AA140" s="1">
        <f t="shared" ca="1" si="86"/>
        <v>0</v>
      </c>
      <c r="AB140" s="1">
        <f t="shared" ca="1" si="87"/>
        <v>0</v>
      </c>
      <c r="AC140" s="1">
        <f t="shared" ca="1" si="88"/>
        <v>0</v>
      </c>
      <c r="AD140" s="1">
        <f t="shared" ca="1" si="89"/>
        <v>0</v>
      </c>
      <c r="AE140" s="1">
        <f t="shared" ca="1" si="90"/>
        <v>0</v>
      </c>
      <c r="AF140" s="1" t="str">
        <f ca="1">IFERROR(MATCH(ROW()-6,MUSTERILER!$U$7:$U$156,0),"")</f>
        <v/>
      </c>
      <c r="AG140" s="1">
        <f ca="1">IF($B140="",0,SUMIFS(GELIR_GIDER!$G$7:$G$3001,GELIR_GIDER!$T$7:$T$3001,$B140))</f>
        <v>0</v>
      </c>
    </row>
    <row r="141" spans="1:33" ht="18" customHeight="1" x14ac:dyDescent="0.3">
      <c r="A141" s="2"/>
      <c r="B141" s="65" t="str">
        <f ca="1">IF($AF141="","",INDEX(MUSTERILER!$B$7:$B$156,$AF141))</f>
        <v/>
      </c>
      <c r="C141" s="74" t="str">
        <f ca="1">IF($AF141="","",INDEX(MUSTERILER!$C$7:$C$156,$AF141))</f>
        <v/>
      </c>
      <c r="D141" s="68" t="str">
        <f ca="1">IF($B141="","",SUMIFS(UCRETLER!$G$7:$G$606,UCRETLER!$B$7:$B$606,$B141,UCRETLER!$F$7:$F$606,"Haftalık",UCRETLER!$H$7:$H$606,"Aktif"))</f>
        <v/>
      </c>
      <c r="E141" s="68" t="str">
        <f ca="1">IF($B141="","",SUMIFS(UCRETLER!$G$7:$G$606,UCRETLER!$B$7:$B$606,$B141,UCRETLER!$F$7:$F$606,"Aylık",UCRETLER!$H$7:$H$606,"Aktif"))</f>
        <v/>
      </c>
      <c r="F141" s="68" t="str">
        <f ca="1">IF($B141="","",SUMIFS(MUSTERILER!$J$7:$J$156,MUSTERILER!$B$7:$B$156,$B141))</f>
        <v/>
      </c>
      <c r="G141" s="68" t="str">
        <f ca="1">IF($B141="","",SUMIFS(UCRETLER!$I$7:$I$606,UCRETLER!$B$7:$B$606,$B141)+SUMIFS(GELIR_GIDER!$G$7:$G$3001,GELIR_GIDER!$T$7:$T$3001,$B141))</f>
        <v/>
      </c>
      <c r="H141" s="68" t="str">
        <f t="shared" ca="1" si="73"/>
        <v/>
      </c>
      <c r="I141" s="68" t="str">
        <f ca="1">IF($B141="","",SUMIFS(TAHSILAT!$F$7:$F$2503,TAHSILAT!$C$7:$C$2503,$B141))</f>
        <v/>
      </c>
      <c r="J141" s="68" t="str">
        <f t="shared" ca="1" si="74"/>
        <v/>
      </c>
      <c r="K141" s="68" t="str">
        <f t="shared" ca="1" si="75"/>
        <v/>
      </c>
      <c r="L141" s="68" t="str">
        <f t="shared" ca="1" si="76"/>
        <v/>
      </c>
      <c r="M141" s="68" t="str">
        <f t="shared" ca="1" si="77"/>
        <v/>
      </c>
      <c r="N141" s="68" t="str">
        <f t="shared" ca="1" si="78"/>
        <v/>
      </c>
      <c r="O141" s="92" t="str">
        <f t="shared" ca="1" si="79"/>
        <v/>
      </c>
      <c r="P141" s="70" t="str">
        <f ca="1">IF($B141="","",IFERROR(LOOKUP(2,1/(TAHSILAT!$C$7:$C$2503=$B141),TAHSILAT!$E$7:$E$2503),""))</f>
        <v/>
      </c>
      <c r="Q141" s="65" t="str">
        <f t="shared" ca="1" si="80"/>
        <v/>
      </c>
      <c r="R141" s="74" t="str">
        <f t="shared" ca="1" si="81"/>
        <v/>
      </c>
      <c r="S141" s="93" t="str">
        <f t="shared" ca="1" si="82"/>
        <v/>
      </c>
      <c r="T141" s="70" t="str">
        <f ca="1">IF(OR($B141="",$AF141=""),"",IF(INDEX(MUSTERILER!$K$7:$K$156,$AF141)="","",INDEX(MUSTERILER!$K$7:$K$156,$AF141)))</f>
        <v/>
      </c>
      <c r="U141" s="93" t="str">
        <f t="shared" ca="1" si="83"/>
        <v/>
      </c>
      <c r="V141" s="68" t="str">
        <f t="shared" ca="1" si="84"/>
        <v/>
      </c>
      <c r="W141" s="65" t="str">
        <f t="shared" ca="1" si="85"/>
        <v/>
      </c>
      <c r="X141" s="2">
        <f ca="1">IF($B141="",0,SUMIFS(UCRETLER!$J$7:$J$606,UCRETLER!$B$7:$B$606,$B141))</f>
        <v>0</v>
      </c>
      <c r="Y141" s="2">
        <f ca="1">IF($B141="",0,SUMIFS(UCRETLER!$K$7:$K$606,UCRETLER!$B$7:$B$606,$B141))</f>
        <v>0</v>
      </c>
      <c r="Z141" s="1">
        <f ca="1">IF($B141="",0,SUMIFS(UCRETLER!$L$7:$L$606,UCRETLER!$B$7:$B$606,$B141))</f>
        <v>0</v>
      </c>
      <c r="AA141" s="1">
        <f t="shared" ca="1" si="86"/>
        <v>0</v>
      </c>
      <c r="AB141" s="1">
        <f t="shared" ca="1" si="87"/>
        <v>0</v>
      </c>
      <c r="AC141" s="1">
        <f t="shared" ca="1" si="88"/>
        <v>0</v>
      </c>
      <c r="AD141" s="1">
        <f t="shared" ca="1" si="89"/>
        <v>0</v>
      </c>
      <c r="AE141" s="1">
        <f t="shared" ca="1" si="90"/>
        <v>0</v>
      </c>
      <c r="AF141" s="1" t="str">
        <f ca="1">IFERROR(MATCH(ROW()-6,MUSTERILER!$U$7:$U$156,0),"")</f>
        <v/>
      </c>
      <c r="AG141" s="1">
        <f ca="1">IF($B141="",0,SUMIFS(GELIR_GIDER!$G$7:$G$3001,GELIR_GIDER!$T$7:$T$3001,$B141))</f>
        <v>0</v>
      </c>
    </row>
    <row r="142" spans="1:33" ht="18" customHeight="1" x14ac:dyDescent="0.3">
      <c r="A142" s="2"/>
      <c r="B142" s="65" t="str">
        <f ca="1">IF($AF142="","",INDEX(MUSTERILER!$B$7:$B$156,$AF142))</f>
        <v/>
      </c>
      <c r="C142" s="74" t="str">
        <f ca="1">IF($AF142="","",INDEX(MUSTERILER!$C$7:$C$156,$AF142))</f>
        <v/>
      </c>
      <c r="D142" s="68" t="str">
        <f ca="1">IF($B142="","",SUMIFS(UCRETLER!$G$7:$G$606,UCRETLER!$B$7:$B$606,$B142,UCRETLER!$F$7:$F$606,"Haftalık",UCRETLER!$H$7:$H$606,"Aktif"))</f>
        <v/>
      </c>
      <c r="E142" s="68" t="str">
        <f ca="1">IF($B142="","",SUMIFS(UCRETLER!$G$7:$G$606,UCRETLER!$B$7:$B$606,$B142,UCRETLER!$F$7:$F$606,"Aylık",UCRETLER!$H$7:$H$606,"Aktif"))</f>
        <v/>
      </c>
      <c r="F142" s="68" t="str">
        <f ca="1">IF($B142="","",SUMIFS(MUSTERILER!$J$7:$J$156,MUSTERILER!$B$7:$B$156,$B142))</f>
        <v/>
      </c>
      <c r="G142" s="68" t="str">
        <f ca="1">IF($B142="","",SUMIFS(UCRETLER!$I$7:$I$606,UCRETLER!$B$7:$B$606,$B142)+SUMIFS(GELIR_GIDER!$G$7:$G$3001,GELIR_GIDER!$T$7:$T$3001,$B142))</f>
        <v/>
      </c>
      <c r="H142" s="68" t="str">
        <f t="shared" ca="1" si="73"/>
        <v/>
      </c>
      <c r="I142" s="68" t="str">
        <f ca="1">IF($B142="","",SUMIFS(TAHSILAT!$F$7:$F$2503,TAHSILAT!$C$7:$C$2503,$B142))</f>
        <v/>
      </c>
      <c r="J142" s="68" t="str">
        <f t="shared" ca="1" si="74"/>
        <v/>
      </c>
      <c r="K142" s="68" t="str">
        <f t="shared" ca="1" si="75"/>
        <v/>
      </c>
      <c r="L142" s="68" t="str">
        <f t="shared" ca="1" si="76"/>
        <v/>
      </c>
      <c r="M142" s="68" t="str">
        <f t="shared" ca="1" si="77"/>
        <v/>
      </c>
      <c r="N142" s="68" t="str">
        <f t="shared" ca="1" si="78"/>
        <v/>
      </c>
      <c r="O142" s="92" t="str">
        <f t="shared" ca="1" si="79"/>
        <v/>
      </c>
      <c r="P142" s="70" t="str">
        <f ca="1">IF($B142="","",IFERROR(LOOKUP(2,1/(TAHSILAT!$C$7:$C$2503=$B142),TAHSILAT!$E$7:$E$2503),""))</f>
        <v/>
      </c>
      <c r="Q142" s="65" t="str">
        <f t="shared" ca="1" si="80"/>
        <v/>
      </c>
      <c r="R142" s="74" t="str">
        <f t="shared" ca="1" si="81"/>
        <v/>
      </c>
      <c r="S142" s="93" t="str">
        <f t="shared" ca="1" si="82"/>
        <v/>
      </c>
      <c r="T142" s="70" t="str">
        <f ca="1">IF(OR($B142="",$AF142=""),"",IF(INDEX(MUSTERILER!$K$7:$K$156,$AF142)="","",INDEX(MUSTERILER!$K$7:$K$156,$AF142)))</f>
        <v/>
      </c>
      <c r="U142" s="93" t="str">
        <f t="shared" ca="1" si="83"/>
        <v/>
      </c>
      <c r="V142" s="68" t="str">
        <f t="shared" ca="1" si="84"/>
        <v/>
      </c>
      <c r="W142" s="65" t="str">
        <f t="shared" ca="1" si="85"/>
        <v/>
      </c>
      <c r="X142" s="2">
        <f ca="1">IF($B142="",0,SUMIFS(UCRETLER!$J$7:$J$606,UCRETLER!$B$7:$B$606,$B142))</f>
        <v>0</v>
      </c>
      <c r="Y142" s="2">
        <f ca="1">IF($B142="",0,SUMIFS(UCRETLER!$K$7:$K$606,UCRETLER!$B$7:$B$606,$B142))</f>
        <v>0</v>
      </c>
      <c r="Z142" s="1">
        <f ca="1">IF($B142="",0,SUMIFS(UCRETLER!$L$7:$L$606,UCRETLER!$B$7:$B$606,$B142))</f>
        <v>0</v>
      </c>
      <c r="AA142" s="1">
        <f t="shared" ca="1" si="86"/>
        <v>0</v>
      </c>
      <c r="AB142" s="1">
        <f t="shared" ca="1" si="87"/>
        <v>0</v>
      </c>
      <c r="AC142" s="1">
        <f t="shared" ca="1" si="88"/>
        <v>0</v>
      </c>
      <c r="AD142" s="1">
        <f t="shared" ca="1" si="89"/>
        <v>0</v>
      </c>
      <c r="AE142" s="1">
        <f t="shared" ca="1" si="90"/>
        <v>0</v>
      </c>
      <c r="AF142" s="1" t="str">
        <f ca="1">IFERROR(MATCH(ROW()-6,MUSTERILER!$U$7:$U$156,0),"")</f>
        <v/>
      </c>
      <c r="AG142" s="1">
        <f ca="1">IF($B142="",0,SUMIFS(GELIR_GIDER!$G$7:$G$3001,GELIR_GIDER!$T$7:$T$3001,$B142))</f>
        <v>0</v>
      </c>
    </row>
    <row r="143" spans="1:33" ht="18" customHeight="1" x14ac:dyDescent="0.3">
      <c r="A143" s="2"/>
      <c r="B143" s="65" t="str">
        <f ca="1">IF($AF143="","",INDEX(MUSTERILER!$B$7:$B$156,$AF143))</f>
        <v/>
      </c>
      <c r="C143" s="74" t="str">
        <f ca="1">IF($AF143="","",INDEX(MUSTERILER!$C$7:$C$156,$AF143))</f>
        <v/>
      </c>
      <c r="D143" s="68" t="str">
        <f ca="1">IF($B143="","",SUMIFS(UCRETLER!$G$7:$G$606,UCRETLER!$B$7:$B$606,$B143,UCRETLER!$F$7:$F$606,"Haftalık",UCRETLER!$H$7:$H$606,"Aktif"))</f>
        <v/>
      </c>
      <c r="E143" s="68" t="str">
        <f ca="1">IF($B143="","",SUMIFS(UCRETLER!$G$7:$G$606,UCRETLER!$B$7:$B$606,$B143,UCRETLER!$F$7:$F$606,"Aylık",UCRETLER!$H$7:$H$606,"Aktif"))</f>
        <v/>
      </c>
      <c r="F143" s="68" t="str">
        <f ca="1">IF($B143="","",SUMIFS(MUSTERILER!$J$7:$J$156,MUSTERILER!$B$7:$B$156,$B143))</f>
        <v/>
      </c>
      <c r="G143" s="68" t="str">
        <f ca="1">IF($B143="","",SUMIFS(UCRETLER!$I$7:$I$606,UCRETLER!$B$7:$B$606,$B143)+SUMIFS(GELIR_GIDER!$G$7:$G$3001,GELIR_GIDER!$T$7:$T$3001,$B143))</f>
        <v/>
      </c>
      <c r="H143" s="68" t="str">
        <f t="shared" ca="1" si="73"/>
        <v/>
      </c>
      <c r="I143" s="68" t="str">
        <f ca="1">IF($B143="","",SUMIFS(TAHSILAT!$F$7:$F$2503,TAHSILAT!$C$7:$C$2503,$B143))</f>
        <v/>
      </c>
      <c r="J143" s="68" t="str">
        <f t="shared" ca="1" si="74"/>
        <v/>
      </c>
      <c r="K143" s="68" t="str">
        <f t="shared" ca="1" si="75"/>
        <v/>
      </c>
      <c r="L143" s="68" t="str">
        <f t="shared" ca="1" si="76"/>
        <v/>
      </c>
      <c r="M143" s="68" t="str">
        <f t="shared" ca="1" si="77"/>
        <v/>
      </c>
      <c r="N143" s="68" t="str">
        <f t="shared" ca="1" si="78"/>
        <v/>
      </c>
      <c r="O143" s="92" t="str">
        <f t="shared" ca="1" si="79"/>
        <v/>
      </c>
      <c r="P143" s="70" t="str">
        <f ca="1">IF($B143="","",IFERROR(LOOKUP(2,1/(TAHSILAT!$C$7:$C$2503=$B143),TAHSILAT!$E$7:$E$2503),""))</f>
        <v/>
      </c>
      <c r="Q143" s="65" t="str">
        <f t="shared" ca="1" si="80"/>
        <v/>
      </c>
      <c r="R143" s="74" t="str">
        <f t="shared" ca="1" si="81"/>
        <v/>
      </c>
      <c r="S143" s="93" t="str">
        <f t="shared" ca="1" si="82"/>
        <v/>
      </c>
      <c r="T143" s="70" t="str">
        <f ca="1">IF(OR($B143="",$AF143=""),"",IF(INDEX(MUSTERILER!$K$7:$K$156,$AF143)="","",INDEX(MUSTERILER!$K$7:$K$156,$AF143)))</f>
        <v/>
      </c>
      <c r="U143" s="93" t="str">
        <f t="shared" ca="1" si="83"/>
        <v/>
      </c>
      <c r="V143" s="68" t="str">
        <f t="shared" ca="1" si="84"/>
        <v/>
      </c>
      <c r="W143" s="65" t="str">
        <f t="shared" ca="1" si="85"/>
        <v/>
      </c>
      <c r="X143" s="2">
        <f ca="1">IF($B143="",0,SUMIFS(UCRETLER!$J$7:$J$606,UCRETLER!$B$7:$B$606,$B143))</f>
        <v>0</v>
      </c>
      <c r="Y143" s="2">
        <f ca="1">IF($B143="",0,SUMIFS(UCRETLER!$K$7:$K$606,UCRETLER!$B$7:$B$606,$B143))</f>
        <v>0</v>
      </c>
      <c r="Z143" s="1">
        <f ca="1">IF($B143="",0,SUMIFS(UCRETLER!$L$7:$L$606,UCRETLER!$B$7:$B$606,$B143))</f>
        <v>0</v>
      </c>
      <c r="AA143" s="1">
        <f t="shared" ca="1" si="86"/>
        <v>0</v>
      </c>
      <c r="AB143" s="1">
        <f t="shared" ca="1" si="87"/>
        <v>0</v>
      </c>
      <c r="AC143" s="1">
        <f t="shared" ca="1" si="88"/>
        <v>0</v>
      </c>
      <c r="AD143" s="1">
        <f t="shared" ca="1" si="89"/>
        <v>0</v>
      </c>
      <c r="AE143" s="1">
        <f t="shared" ca="1" si="90"/>
        <v>0</v>
      </c>
      <c r="AF143" s="1" t="str">
        <f ca="1">IFERROR(MATCH(ROW()-6,MUSTERILER!$U$7:$U$156,0),"")</f>
        <v/>
      </c>
      <c r="AG143" s="1">
        <f ca="1">IF($B143="",0,SUMIFS(GELIR_GIDER!$G$7:$G$3001,GELIR_GIDER!$T$7:$T$3001,$B143))</f>
        <v>0</v>
      </c>
    </row>
    <row r="144" spans="1:33" ht="18" customHeight="1" x14ac:dyDescent="0.3">
      <c r="A144" s="2"/>
      <c r="B144" s="65" t="str">
        <f ca="1">IF($AF144="","",INDEX(MUSTERILER!$B$7:$B$156,$AF144))</f>
        <v/>
      </c>
      <c r="C144" s="74" t="str">
        <f ca="1">IF($AF144="","",INDEX(MUSTERILER!$C$7:$C$156,$AF144))</f>
        <v/>
      </c>
      <c r="D144" s="68" t="str">
        <f ca="1">IF($B144="","",SUMIFS(UCRETLER!$G$7:$G$606,UCRETLER!$B$7:$B$606,$B144,UCRETLER!$F$7:$F$606,"Haftalık",UCRETLER!$H$7:$H$606,"Aktif"))</f>
        <v/>
      </c>
      <c r="E144" s="68" t="str">
        <f ca="1">IF($B144="","",SUMIFS(UCRETLER!$G$7:$G$606,UCRETLER!$B$7:$B$606,$B144,UCRETLER!$F$7:$F$606,"Aylık",UCRETLER!$H$7:$H$606,"Aktif"))</f>
        <v/>
      </c>
      <c r="F144" s="68" t="str">
        <f ca="1">IF($B144="","",SUMIFS(MUSTERILER!$J$7:$J$156,MUSTERILER!$B$7:$B$156,$B144))</f>
        <v/>
      </c>
      <c r="G144" s="68" t="str">
        <f ca="1">IF($B144="","",SUMIFS(UCRETLER!$I$7:$I$606,UCRETLER!$B$7:$B$606,$B144)+SUMIFS(GELIR_GIDER!$G$7:$G$3001,GELIR_GIDER!$T$7:$T$3001,$B144))</f>
        <v/>
      </c>
      <c r="H144" s="68" t="str">
        <f t="shared" ca="1" si="73"/>
        <v/>
      </c>
      <c r="I144" s="68" t="str">
        <f ca="1">IF($B144="","",SUMIFS(TAHSILAT!$F$7:$F$2503,TAHSILAT!$C$7:$C$2503,$B144))</f>
        <v/>
      </c>
      <c r="J144" s="68" t="str">
        <f t="shared" ca="1" si="74"/>
        <v/>
      </c>
      <c r="K144" s="68" t="str">
        <f t="shared" ca="1" si="75"/>
        <v/>
      </c>
      <c r="L144" s="68" t="str">
        <f t="shared" ca="1" si="76"/>
        <v/>
      </c>
      <c r="M144" s="68" t="str">
        <f t="shared" ca="1" si="77"/>
        <v/>
      </c>
      <c r="N144" s="68" t="str">
        <f t="shared" ca="1" si="78"/>
        <v/>
      </c>
      <c r="O144" s="92" t="str">
        <f t="shared" ca="1" si="79"/>
        <v/>
      </c>
      <c r="P144" s="70" t="str">
        <f ca="1">IF($B144="","",IFERROR(LOOKUP(2,1/(TAHSILAT!$C$7:$C$2503=$B144),TAHSILAT!$E$7:$E$2503),""))</f>
        <v/>
      </c>
      <c r="Q144" s="65" t="str">
        <f t="shared" ca="1" si="80"/>
        <v/>
      </c>
      <c r="R144" s="74" t="str">
        <f t="shared" ca="1" si="81"/>
        <v/>
      </c>
      <c r="S144" s="93" t="str">
        <f t="shared" ca="1" si="82"/>
        <v/>
      </c>
      <c r="T144" s="70" t="str">
        <f ca="1">IF(OR($B144="",$AF144=""),"",IF(INDEX(MUSTERILER!$K$7:$K$156,$AF144)="","",INDEX(MUSTERILER!$K$7:$K$156,$AF144)))</f>
        <v/>
      </c>
      <c r="U144" s="93" t="str">
        <f t="shared" ca="1" si="83"/>
        <v/>
      </c>
      <c r="V144" s="68" t="str">
        <f t="shared" ca="1" si="84"/>
        <v/>
      </c>
      <c r="W144" s="65" t="str">
        <f t="shared" ca="1" si="85"/>
        <v/>
      </c>
      <c r="X144" s="2">
        <f ca="1">IF($B144="",0,SUMIFS(UCRETLER!$J$7:$J$606,UCRETLER!$B$7:$B$606,$B144))</f>
        <v>0</v>
      </c>
      <c r="Y144" s="2">
        <f ca="1">IF($B144="",0,SUMIFS(UCRETLER!$K$7:$K$606,UCRETLER!$B$7:$B$606,$B144))</f>
        <v>0</v>
      </c>
      <c r="Z144" s="1">
        <f ca="1">IF($B144="",0,SUMIFS(UCRETLER!$L$7:$L$606,UCRETLER!$B$7:$B$606,$B144))</f>
        <v>0</v>
      </c>
      <c r="AA144" s="1">
        <f t="shared" ca="1" si="86"/>
        <v>0</v>
      </c>
      <c r="AB144" s="1">
        <f t="shared" ca="1" si="87"/>
        <v>0</v>
      </c>
      <c r="AC144" s="1">
        <f t="shared" ca="1" si="88"/>
        <v>0</v>
      </c>
      <c r="AD144" s="1">
        <f t="shared" ca="1" si="89"/>
        <v>0</v>
      </c>
      <c r="AE144" s="1">
        <f t="shared" ca="1" si="90"/>
        <v>0</v>
      </c>
      <c r="AF144" s="1" t="str">
        <f ca="1">IFERROR(MATCH(ROW()-6,MUSTERILER!$U$7:$U$156,0),"")</f>
        <v/>
      </c>
      <c r="AG144" s="1">
        <f ca="1">IF($B144="",0,SUMIFS(GELIR_GIDER!$G$7:$G$3001,GELIR_GIDER!$T$7:$T$3001,$B144))</f>
        <v>0</v>
      </c>
    </row>
    <row r="145" spans="1:33" ht="18" customHeight="1" x14ac:dyDescent="0.3">
      <c r="A145" s="2"/>
      <c r="B145" s="65" t="str">
        <f ca="1">IF($AF145="","",INDEX(MUSTERILER!$B$7:$B$156,$AF145))</f>
        <v/>
      </c>
      <c r="C145" s="74" t="str">
        <f ca="1">IF($AF145="","",INDEX(MUSTERILER!$C$7:$C$156,$AF145))</f>
        <v/>
      </c>
      <c r="D145" s="68" t="str">
        <f ca="1">IF($B145="","",SUMIFS(UCRETLER!$G$7:$G$606,UCRETLER!$B$7:$B$606,$B145,UCRETLER!$F$7:$F$606,"Haftalık",UCRETLER!$H$7:$H$606,"Aktif"))</f>
        <v/>
      </c>
      <c r="E145" s="68" t="str">
        <f ca="1">IF($B145="","",SUMIFS(UCRETLER!$G$7:$G$606,UCRETLER!$B$7:$B$606,$B145,UCRETLER!$F$7:$F$606,"Aylık",UCRETLER!$H$7:$H$606,"Aktif"))</f>
        <v/>
      </c>
      <c r="F145" s="68" t="str">
        <f ca="1">IF($B145="","",SUMIFS(MUSTERILER!$J$7:$J$156,MUSTERILER!$B$7:$B$156,$B145))</f>
        <v/>
      </c>
      <c r="G145" s="68" t="str">
        <f ca="1">IF($B145="","",SUMIFS(UCRETLER!$I$7:$I$606,UCRETLER!$B$7:$B$606,$B145)+SUMIFS(GELIR_GIDER!$G$7:$G$3001,GELIR_GIDER!$T$7:$T$3001,$B145))</f>
        <v/>
      </c>
      <c r="H145" s="68" t="str">
        <f t="shared" ca="1" si="73"/>
        <v/>
      </c>
      <c r="I145" s="68" t="str">
        <f ca="1">IF($B145="","",SUMIFS(TAHSILAT!$F$7:$F$2503,TAHSILAT!$C$7:$C$2503,$B145))</f>
        <v/>
      </c>
      <c r="J145" s="68" t="str">
        <f t="shared" ca="1" si="74"/>
        <v/>
      </c>
      <c r="K145" s="68" t="str">
        <f t="shared" ca="1" si="75"/>
        <v/>
      </c>
      <c r="L145" s="68" t="str">
        <f t="shared" ca="1" si="76"/>
        <v/>
      </c>
      <c r="M145" s="68" t="str">
        <f t="shared" ca="1" si="77"/>
        <v/>
      </c>
      <c r="N145" s="68" t="str">
        <f t="shared" ca="1" si="78"/>
        <v/>
      </c>
      <c r="O145" s="92" t="str">
        <f t="shared" ca="1" si="79"/>
        <v/>
      </c>
      <c r="P145" s="70" t="str">
        <f ca="1">IF($B145="","",IFERROR(LOOKUP(2,1/(TAHSILAT!$C$7:$C$2503=$B145),TAHSILAT!$E$7:$E$2503),""))</f>
        <v/>
      </c>
      <c r="Q145" s="65" t="str">
        <f t="shared" ca="1" si="80"/>
        <v/>
      </c>
      <c r="R145" s="74" t="str">
        <f t="shared" ca="1" si="81"/>
        <v/>
      </c>
      <c r="S145" s="93" t="str">
        <f t="shared" ca="1" si="82"/>
        <v/>
      </c>
      <c r="T145" s="70" t="str">
        <f ca="1">IF(OR($B145="",$AF145=""),"",IF(INDEX(MUSTERILER!$K$7:$K$156,$AF145)="","",INDEX(MUSTERILER!$K$7:$K$156,$AF145)))</f>
        <v/>
      </c>
      <c r="U145" s="93" t="str">
        <f t="shared" ca="1" si="83"/>
        <v/>
      </c>
      <c r="V145" s="68" t="str">
        <f t="shared" ca="1" si="84"/>
        <v/>
      </c>
      <c r="W145" s="65" t="str">
        <f t="shared" ca="1" si="85"/>
        <v/>
      </c>
      <c r="X145" s="2">
        <f ca="1">IF($B145="",0,SUMIFS(UCRETLER!$J$7:$J$606,UCRETLER!$B$7:$B$606,$B145))</f>
        <v>0</v>
      </c>
      <c r="Y145" s="2">
        <f ca="1">IF($B145="",0,SUMIFS(UCRETLER!$K$7:$K$606,UCRETLER!$B$7:$B$606,$B145))</f>
        <v>0</v>
      </c>
      <c r="Z145" s="1">
        <f ca="1">IF($B145="",0,SUMIFS(UCRETLER!$L$7:$L$606,UCRETLER!$B$7:$B$606,$B145))</f>
        <v>0</v>
      </c>
      <c r="AA145" s="1">
        <f t="shared" ca="1" si="86"/>
        <v>0</v>
      </c>
      <c r="AB145" s="1">
        <f t="shared" ca="1" si="87"/>
        <v>0</v>
      </c>
      <c r="AC145" s="1">
        <f t="shared" ca="1" si="88"/>
        <v>0</v>
      </c>
      <c r="AD145" s="1">
        <f t="shared" ca="1" si="89"/>
        <v>0</v>
      </c>
      <c r="AE145" s="1">
        <f t="shared" ca="1" si="90"/>
        <v>0</v>
      </c>
      <c r="AF145" s="1" t="str">
        <f ca="1">IFERROR(MATCH(ROW()-6,MUSTERILER!$U$7:$U$156,0),"")</f>
        <v/>
      </c>
      <c r="AG145" s="1">
        <f ca="1">IF($B145="",0,SUMIFS(GELIR_GIDER!$G$7:$G$3001,GELIR_GIDER!$T$7:$T$3001,$B145))</f>
        <v>0</v>
      </c>
    </row>
    <row r="146" spans="1:33" ht="18" customHeight="1" x14ac:dyDescent="0.3">
      <c r="A146" s="2"/>
      <c r="B146" s="65" t="str">
        <f ca="1">IF($AF146="","",INDEX(MUSTERILER!$B$7:$B$156,$AF146))</f>
        <v/>
      </c>
      <c r="C146" s="74" t="str">
        <f ca="1">IF($AF146="","",INDEX(MUSTERILER!$C$7:$C$156,$AF146))</f>
        <v/>
      </c>
      <c r="D146" s="68" t="str">
        <f ca="1">IF($B146="","",SUMIFS(UCRETLER!$G$7:$G$606,UCRETLER!$B$7:$B$606,$B146,UCRETLER!$F$7:$F$606,"Haftalık",UCRETLER!$H$7:$H$606,"Aktif"))</f>
        <v/>
      </c>
      <c r="E146" s="68" t="str">
        <f ca="1">IF($B146="","",SUMIFS(UCRETLER!$G$7:$G$606,UCRETLER!$B$7:$B$606,$B146,UCRETLER!$F$7:$F$606,"Aylık",UCRETLER!$H$7:$H$606,"Aktif"))</f>
        <v/>
      </c>
      <c r="F146" s="68" t="str">
        <f ca="1">IF($B146="","",SUMIFS(MUSTERILER!$J$7:$J$156,MUSTERILER!$B$7:$B$156,$B146))</f>
        <v/>
      </c>
      <c r="G146" s="68" t="str">
        <f ca="1">IF($B146="","",SUMIFS(UCRETLER!$I$7:$I$606,UCRETLER!$B$7:$B$606,$B146)+SUMIFS(GELIR_GIDER!$G$7:$G$3001,GELIR_GIDER!$T$7:$T$3001,$B146))</f>
        <v/>
      </c>
      <c r="H146" s="68" t="str">
        <f t="shared" ca="1" si="73"/>
        <v/>
      </c>
      <c r="I146" s="68" t="str">
        <f ca="1">IF($B146="","",SUMIFS(TAHSILAT!$F$7:$F$2503,TAHSILAT!$C$7:$C$2503,$B146))</f>
        <v/>
      </c>
      <c r="J146" s="68" t="str">
        <f t="shared" ca="1" si="74"/>
        <v/>
      </c>
      <c r="K146" s="68" t="str">
        <f t="shared" ca="1" si="75"/>
        <v/>
      </c>
      <c r="L146" s="68" t="str">
        <f t="shared" ca="1" si="76"/>
        <v/>
      </c>
      <c r="M146" s="68" t="str">
        <f t="shared" ca="1" si="77"/>
        <v/>
      </c>
      <c r="N146" s="68" t="str">
        <f t="shared" ca="1" si="78"/>
        <v/>
      </c>
      <c r="O146" s="92" t="str">
        <f t="shared" ca="1" si="79"/>
        <v/>
      </c>
      <c r="P146" s="70" t="str">
        <f ca="1">IF($B146="","",IFERROR(LOOKUP(2,1/(TAHSILAT!$C$7:$C$2503=$B146),TAHSILAT!$E$7:$E$2503),""))</f>
        <v/>
      </c>
      <c r="Q146" s="65" t="str">
        <f t="shared" ca="1" si="80"/>
        <v/>
      </c>
      <c r="R146" s="74" t="str">
        <f t="shared" ca="1" si="81"/>
        <v/>
      </c>
      <c r="S146" s="93" t="str">
        <f t="shared" ca="1" si="82"/>
        <v/>
      </c>
      <c r="T146" s="70" t="str">
        <f ca="1">IF(OR($B146="",$AF146=""),"",IF(INDEX(MUSTERILER!$K$7:$K$156,$AF146)="","",INDEX(MUSTERILER!$K$7:$K$156,$AF146)))</f>
        <v/>
      </c>
      <c r="U146" s="93" t="str">
        <f t="shared" ca="1" si="83"/>
        <v/>
      </c>
      <c r="V146" s="68" t="str">
        <f t="shared" ca="1" si="84"/>
        <v/>
      </c>
      <c r="W146" s="65" t="str">
        <f t="shared" ca="1" si="85"/>
        <v/>
      </c>
      <c r="X146" s="2">
        <f ca="1">IF($B146="",0,SUMIFS(UCRETLER!$J$7:$J$606,UCRETLER!$B$7:$B$606,$B146))</f>
        <v>0</v>
      </c>
      <c r="Y146" s="2">
        <f ca="1">IF($B146="",0,SUMIFS(UCRETLER!$K$7:$K$606,UCRETLER!$B$7:$B$606,$B146))</f>
        <v>0</v>
      </c>
      <c r="Z146" s="1">
        <f ca="1">IF($B146="",0,SUMIFS(UCRETLER!$L$7:$L$606,UCRETLER!$B$7:$B$606,$B146))</f>
        <v>0</v>
      </c>
      <c r="AA146" s="1">
        <f t="shared" ca="1" si="86"/>
        <v>0</v>
      </c>
      <c r="AB146" s="1">
        <f t="shared" ca="1" si="87"/>
        <v>0</v>
      </c>
      <c r="AC146" s="1">
        <f t="shared" ca="1" si="88"/>
        <v>0</v>
      </c>
      <c r="AD146" s="1">
        <f t="shared" ca="1" si="89"/>
        <v>0</v>
      </c>
      <c r="AE146" s="1">
        <f t="shared" ca="1" si="90"/>
        <v>0</v>
      </c>
      <c r="AF146" s="1" t="str">
        <f ca="1">IFERROR(MATCH(ROW()-6,MUSTERILER!$U$7:$U$156,0),"")</f>
        <v/>
      </c>
      <c r="AG146" s="1">
        <f ca="1">IF($B146="",0,SUMIFS(GELIR_GIDER!$G$7:$G$3001,GELIR_GIDER!$T$7:$T$3001,$B146))</f>
        <v>0</v>
      </c>
    </row>
    <row r="147" spans="1:33" ht="18" customHeight="1" x14ac:dyDescent="0.3">
      <c r="A147" s="2"/>
      <c r="B147" s="65" t="str">
        <f ca="1">IF($AF147="","",INDEX(MUSTERILER!$B$7:$B$156,$AF147))</f>
        <v/>
      </c>
      <c r="C147" s="74" t="str">
        <f ca="1">IF($AF147="","",INDEX(MUSTERILER!$C$7:$C$156,$AF147))</f>
        <v/>
      </c>
      <c r="D147" s="68" t="str">
        <f ca="1">IF($B147="","",SUMIFS(UCRETLER!$G$7:$G$606,UCRETLER!$B$7:$B$606,$B147,UCRETLER!$F$7:$F$606,"Haftalık",UCRETLER!$H$7:$H$606,"Aktif"))</f>
        <v/>
      </c>
      <c r="E147" s="68" t="str">
        <f ca="1">IF($B147="","",SUMIFS(UCRETLER!$G$7:$G$606,UCRETLER!$B$7:$B$606,$B147,UCRETLER!$F$7:$F$606,"Aylık",UCRETLER!$H$7:$H$606,"Aktif"))</f>
        <v/>
      </c>
      <c r="F147" s="68" t="str">
        <f ca="1">IF($B147="","",SUMIFS(MUSTERILER!$J$7:$J$156,MUSTERILER!$B$7:$B$156,$B147))</f>
        <v/>
      </c>
      <c r="G147" s="68" t="str">
        <f ca="1">IF($B147="","",SUMIFS(UCRETLER!$I$7:$I$606,UCRETLER!$B$7:$B$606,$B147)+SUMIFS(GELIR_GIDER!$G$7:$G$3001,GELIR_GIDER!$T$7:$T$3001,$B147))</f>
        <v/>
      </c>
      <c r="H147" s="68" t="str">
        <f t="shared" ca="1" si="73"/>
        <v/>
      </c>
      <c r="I147" s="68" t="str">
        <f ca="1">IF($B147="","",SUMIFS(TAHSILAT!$F$7:$F$2503,TAHSILAT!$C$7:$C$2503,$B147))</f>
        <v/>
      </c>
      <c r="J147" s="68" t="str">
        <f t="shared" ca="1" si="74"/>
        <v/>
      </c>
      <c r="K147" s="68" t="str">
        <f t="shared" ca="1" si="75"/>
        <v/>
      </c>
      <c r="L147" s="68" t="str">
        <f t="shared" ca="1" si="76"/>
        <v/>
      </c>
      <c r="M147" s="68" t="str">
        <f t="shared" ca="1" si="77"/>
        <v/>
      </c>
      <c r="N147" s="68" t="str">
        <f t="shared" ca="1" si="78"/>
        <v/>
      </c>
      <c r="O147" s="92" t="str">
        <f t="shared" ca="1" si="79"/>
        <v/>
      </c>
      <c r="P147" s="70" t="str">
        <f ca="1">IF($B147="","",IFERROR(LOOKUP(2,1/(TAHSILAT!$C$7:$C$2503=$B147),TAHSILAT!$E$7:$E$2503),""))</f>
        <v/>
      </c>
      <c r="Q147" s="65" t="str">
        <f t="shared" ca="1" si="80"/>
        <v/>
      </c>
      <c r="R147" s="74" t="str">
        <f t="shared" ca="1" si="81"/>
        <v/>
      </c>
      <c r="S147" s="93" t="str">
        <f t="shared" ca="1" si="82"/>
        <v/>
      </c>
      <c r="T147" s="70" t="str">
        <f ca="1">IF(OR($B147="",$AF147=""),"",IF(INDEX(MUSTERILER!$K$7:$K$156,$AF147)="","",INDEX(MUSTERILER!$K$7:$K$156,$AF147)))</f>
        <v/>
      </c>
      <c r="U147" s="93" t="str">
        <f t="shared" ca="1" si="83"/>
        <v/>
      </c>
      <c r="V147" s="68" t="str">
        <f t="shared" ca="1" si="84"/>
        <v/>
      </c>
      <c r="W147" s="65" t="str">
        <f t="shared" ca="1" si="85"/>
        <v/>
      </c>
      <c r="X147" s="2">
        <f ca="1">IF($B147="",0,SUMIFS(UCRETLER!$J$7:$J$606,UCRETLER!$B$7:$B$606,$B147))</f>
        <v>0</v>
      </c>
      <c r="Y147" s="2">
        <f ca="1">IF($B147="",0,SUMIFS(UCRETLER!$K$7:$K$606,UCRETLER!$B$7:$B$606,$B147))</f>
        <v>0</v>
      </c>
      <c r="Z147" s="1">
        <f ca="1">IF($B147="",0,SUMIFS(UCRETLER!$L$7:$L$606,UCRETLER!$B$7:$B$606,$B147))</f>
        <v>0</v>
      </c>
      <c r="AA147" s="1">
        <f t="shared" ca="1" si="86"/>
        <v>0</v>
      </c>
      <c r="AB147" s="1">
        <f t="shared" ca="1" si="87"/>
        <v>0</v>
      </c>
      <c r="AC147" s="1">
        <f t="shared" ca="1" si="88"/>
        <v>0</v>
      </c>
      <c r="AD147" s="1">
        <f t="shared" ca="1" si="89"/>
        <v>0</v>
      </c>
      <c r="AE147" s="1">
        <f t="shared" ca="1" si="90"/>
        <v>0</v>
      </c>
      <c r="AF147" s="1" t="str">
        <f ca="1">IFERROR(MATCH(ROW()-6,MUSTERILER!$U$7:$U$156,0),"")</f>
        <v/>
      </c>
      <c r="AG147" s="1">
        <f ca="1">IF($B147="",0,SUMIFS(GELIR_GIDER!$G$7:$G$3001,GELIR_GIDER!$T$7:$T$3001,$B147))</f>
        <v>0</v>
      </c>
    </row>
    <row r="148" spans="1:33" ht="18" customHeight="1" x14ac:dyDescent="0.3">
      <c r="A148" s="2"/>
      <c r="B148" s="65" t="str">
        <f ca="1">IF($AF148="","",INDEX(MUSTERILER!$B$7:$B$156,$AF148))</f>
        <v/>
      </c>
      <c r="C148" s="74" t="str">
        <f ca="1">IF($AF148="","",INDEX(MUSTERILER!$C$7:$C$156,$AF148))</f>
        <v/>
      </c>
      <c r="D148" s="68" t="str">
        <f ca="1">IF($B148="","",SUMIFS(UCRETLER!$G$7:$G$606,UCRETLER!$B$7:$B$606,$B148,UCRETLER!$F$7:$F$606,"Haftalık",UCRETLER!$H$7:$H$606,"Aktif"))</f>
        <v/>
      </c>
      <c r="E148" s="68" t="str">
        <f ca="1">IF($B148="","",SUMIFS(UCRETLER!$G$7:$G$606,UCRETLER!$B$7:$B$606,$B148,UCRETLER!$F$7:$F$606,"Aylık",UCRETLER!$H$7:$H$606,"Aktif"))</f>
        <v/>
      </c>
      <c r="F148" s="68" t="str">
        <f ca="1">IF($B148="","",SUMIFS(MUSTERILER!$J$7:$J$156,MUSTERILER!$B$7:$B$156,$B148))</f>
        <v/>
      </c>
      <c r="G148" s="68" t="str">
        <f ca="1">IF($B148="","",SUMIFS(UCRETLER!$I$7:$I$606,UCRETLER!$B$7:$B$606,$B148)+SUMIFS(GELIR_GIDER!$G$7:$G$3001,GELIR_GIDER!$T$7:$T$3001,$B148))</f>
        <v/>
      </c>
      <c r="H148" s="68" t="str">
        <f t="shared" ca="1" si="73"/>
        <v/>
      </c>
      <c r="I148" s="68" t="str">
        <f ca="1">IF($B148="","",SUMIFS(TAHSILAT!$F$7:$F$2503,TAHSILAT!$C$7:$C$2503,$B148))</f>
        <v/>
      </c>
      <c r="J148" s="68" t="str">
        <f t="shared" ca="1" si="74"/>
        <v/>
      </c>
      <c r="K148" s="68" t="str">
        <f t="shared" ca="1" si="75"/>
        <v/>
      </c>
      <c r="L148" s="68" t="str">
        <f t="shared" ca="1" si="76"/>
        <v/>
      </c>
      <c r="M148" s="68" t="str">
        <f t="shared" ca="1" si="77"/>
        <v/>
      </c>
      <c r="N148" s="68" t="str">
        <f t="shared" ca="1" si="78"/>
        <v/>
      </c>
      <c r="O148" s="92" t="str">
        <f t="shared" ca="1" si="79"/>
        <v/>
      </c>
      <c r="P148" s="70" t="str">
        <f ca="1">IF($B148="","",IFERROR(LOOKUP(2,1/(TAHSILAT!$C$7:$C$2503=$B148),TAHSILAT!$E$7:$E$2503),""))</f>
        <v/>
      </c>
      <c r="Q148" s="65" t="str">
        <f t="shared" ca="1" si="80"/>
        <v/>
      </c>
      <c r="R148" s="74" t="str">
        <f t="shared" ca="1" si="81"/>
        <v/>
      </c>
      <c r="S148" s="93" t="str">
        <f t="shared" ca="1" si="82"/>
        <v/>
      </c>
      <c r="T148" s="70" t="str">
        <f ca="1">IF(OR($B148="",$AF148=""),"",IF(INDEX(MUSTERILER!$K$7:$K$156,$AF148)="","",INDEX(MUSTERILER!$K$7:$K$156,$AF148)))</f>
        <v/>
      </c>
      <c r="U148" s="93" t="str">
        <f t="shared" ca="1" si="83"/>
        <v/>
      </c>
      <c r="V148" s="68" t="str">
        <f t="shared" ca="1" si="84"/>
        <v/>
      </c>
      <c r="W148" s="65" t="str">
        <f t="shared" ca="1" si="85"/>
        <v/>
      </c>
      <c r="X148" s="2">
        <f ca="1">IF($B148="",0,SUMIFS(UCRETLER!$J$7:$J$606,UCRETLER!$B$7:$B$606,$B148))</f>
        <v>0</v>
      </c>
      <c r="Y148" s="2">
        <f ca="1">IF($B148="",0,SUMIFS(UCRETLER!$K$7:$K$606,UCRETLER!$B$7:$B$606,$B148))</f>
        <v>0</v>
      </c>
      <c r="Z148" s="1">
        <f ca="1">IF($B148="",0,SUMIFS(UCRETLER!$L$7:$L$606,UCRETLER!$B$7:$B$606,$B148))</f>
        <v>0</v>
      </c>
      <c r="AA148" s="1">
        <f t="shared" ca="1" si="86"/>
        <v>0</v>
      </c>
      <c r="AB148" s="1">
        <f t="shared" ca="1" si="87"/>
        <v>0</v>
      </c>
      <c r="AC148" s="1">
        <f t="shared" ca="1" si="88"/>
        <v>0</v>
      </c>
      <c r="AD148" s="1">
        <f t="shared" ca="1" si="89"/>
        <v>0</v>
      </c>
      <c r="AE148" s="1">
        <f t="shared" ca="1" si="90"/>
        <v>0</v>
      </c>
      <c r="AF148" s="1" t="str">
        <f ca="1">IFERROR(MATCH(ROW()-6,MUSTERILER!$U$7:$U$156,0),"")</f>
        <v/>
      </c>
      <c r="AG148" s="1">
        <f ca="1">IF($B148="",0,SUMIFS(GELIR_GIDER!$G$7:$G$3001,GELIR_GIDER!$T$7:$T$3001,$B148))</f>
        <v>0</v>
      </c>
    </row>
    <row r="149" spans="1:33" ht="18" customHeight="1" x14ac:dyDescent="0.3">
      <c r="A149" s="2"/>
      <c r="B149" s="65" t="str">
        <f ca="1">IF($AF149="","",INDEX(MUSTERILER!$B$7:$B$156,$AF149))</f>
        <v/>
      </c>
      <c r="C149" s="74" t="str">
        <f ca="1">IF($AF149="","",INDEX(MUSTERILER!$C$7:$C$156,$AF149))</f>
        <v/>
      </c>
      <c r="D149" s="68" t="str">
        <f ca="1">IF($B149="","",SUMIFS(UCRETLER!$G$7:$G$606,UCRETLER!$B$7:$B$606,$B149,UCRETLER!$F$7:$F$606,"Haftalık",UCRETLER!$H$7:$H$606,"Aktif"))</f>
        <v/>
      </c>
      <c r="E149" s="68" t="str">
        <f ca="1">IF($B149="","",SUMIFS(UCRETLER!$G$7:$G$606,UCRETLER!$B$7:$B$606,$B149,UCRETLER!$F$7:$F$606,"Aylık",UCRETLER!$H$7:$H$606,"Aktif"))</f>
        <v/>
      </c>
      <c r="F149" s="68" t="str">
        <f ca="1">IF($B149="","",SUMIFS(MUSTERILER!$J$7:$J$156,MUSTERILER!$B$7:$B$156,$B149))</f>
        <v/>
      </c>
      <c r="G149" s="68" t="str">
        <f ca="1">IF($B149="","",SUMIFS(UCRETLER!$I$7:$I$606,UCRETLER!$B$7:$B$606,$B149)+SUMIFS(GELIR_GIDER!$G$7:$G$3001,GELIR_GIDER!$T$7:$T$3001,$B149))</f>
        <v/>
      </c>
      <c r="H149" s="68" t="str">
        <f t="shared" ca="1" si="73"/>
        <v/>
      </c>
      <c r="I149" s="68" t="str">
        <f ca="1">IF($B149="","",SUMIFS(TAHSILAT!$F$7:$F$2503,TAHSILAT!$C$7:$C$2503,$B149))</f>
        <v/>
      </c>
      <c r="J149" s="68" t="str">
        <f t="shared" ca="1" si="74"/>
        <v/>
      </c>
      <c r="K149" s="68" t="str">
        <f t="shared" ca="1" si="75"/>
        <v/>
      </c>
      <c r="L149" s="68" t="str">
        <f t="shared" ca="1" si="76"/>
        <v/>
      </c>
      <c r="M149" s="68" t="str">
        <f t="shared" ca="1" si="77"/>
        <v/>
      </c>
      <c r="N149" s="68" t="str">
        <f t="shared" ca="1" si="78"/>
        <v/>
      </c>
      <c r="O149" s="92" t="str">
        <f t="shared" ca="1" si="79"/>
        <v/>
      </c>
      <c r="P149" s="70" t="str">
        <f ca="1">IF($B149="","",IFERROR(LOOKUP(2,1/(TAHSILAT!$C$7:$C$2503=$B149),TAHSILAT!$E$7:$E$2503),""))</f>
        <v/>
      </c>
      <c r="Q149" s="65" t="str">
        <f t="shared" ca="1" si="80"/>
        <v/>
      </c>
      <c r="R149" s="74" t="str">
        <f t="shared" ca="1" si="81"/>
        <v/>
      </c>
      <c r="S149" s="93" t="str">
        <f t="shared" ca="1" si="82"/>
        <v/>
      </c>
      <c r="T149" s="70" t="str">
        <f ca="1">IF(OR($B149="",$AF149=""),"",IF(INDEX(MUSTERILER!$K$7:$K$156,$AF149)="","",INDEX(MUSTERILER!$K$7:$K$156,$AF149)))</f>
        <v/>
      </c>
      <c r="U149" s="93" t="str">
        <f t="shared" ca="1" si="83"/>
        <v/>
      </c>
      <c r="V149" s="68" t="str">
        <f t="shared" ca="1" si="84"/>
        <v/>
      </c>
      <c r="W149" s="65" t="str">
        <f t="shared" ca="1" si="85"/>
        <v/>
      </c>
      <c r="X149" s="2">
        <f ca="1">IF($B149="",0,SUMIFS(UCRETLER!$J$7:$J$606,UCRETLER!$B$7:$B$606,$B149))</f>
        <v>0</v>
      </c>
      <c r="Y149" s="2">
        <f ca="1">IF($B149="",0,SUMIFS(UCRETLER!$K$7:$K$606,UCRETLER!$B$7:$B$606,$B149))</f>
        <v>0</v>
      </c>
      <c r="Z149" s="1">
        <f ca="1">IF($B149="",0,SUMIFS(UCRETLER!$L$7:$L$606,UCRETLER!$B$7:$B$606,$B149))</f>
        <v>0</v>
      </c>
      <c r="AA149" s="1">
        <f t="shared" ca="1" si="86"/>
        <v>0</v>
      </c>
      <c r="AB149" s="1">
        <f t="shared" ca="1" si="87"/>
        <v>0</v>
      </c>
      <c r="AC149" s="1">
        <f t="shared" ca="1" si="88"/>
        <v>0</v>
      </c>
      <c r="AD149" s="1">
        <f t="shared" ca="1" si="89"/>
        <v>0</v>
      </c>
      <c r="AE149" s="1">
        <f t="shared" ca="1" si="90"/>
        <v>0</v>
      </c>
      <c r="AF149" s="1" t="str">
        <f ca="1">IFERROR(MATCH(ROW()-6,MUSTERILER!$U$7:$U$156,0),"")</f>
        <v/>
      </c>
      <c r="AG149" s="1">
        <f ca="1">IF($B149="",0,SUMIFS(GELIR_GIDER!$G$7:$G$3001,GELIR_GIDER!$T$7:$T$3001,$B149))</f>
        <v>0</v>
      </c>
    </row>
    <row r="150" spans="1:33" ht="18" customHeight="1" x14ac:dyDescent="0.3">
      <c r="A150" s="2"/>
      <c r="B150" s="65" t="str">
        <f ca="1">IF($AF150="","",INDEX(MUSTERILER!$B$7:$B$156,$AF150))</f>
        <v/>
      </c>
      <c r="C150" s="74" t="str">
        <f ca="1">IF($AF150="","",INDEX(MUSTERILER!$C$7:$C$156,$AF150))</f>
        <v/>
      </c>
      <c r="D150" s="68" t="str">
        <f ca="1">IF($B150="","",SUMIFS(UCRETLER!$G$7:$G$606,UCRETLER!$B$7:$B$606,$B150,UCRETLER!$F$7:$F$606,"Haftalık",UCRETLER!$H$7:$H$606,"Aktif"))</f>
        <v/>
      </c>
      <c r="E150" s="68" t="str">
        <f ca="1">IF($B150="","",SUMIFS(UCRETLER!$G$7:$G$606,UCRETLER!$B$7:$B$606,$B150,UCRETLER!$F$7:$F$606,"Aylık",UCRETLER!$H$7:$H$606,"Aktif"))</f>
        <v/>
      </c>
      <c r="F150" s="68" t="str">
        <f ca="1">IF($B150="","",SUMIFS(MUSTERILER!$J$7:$J$156,MUSTERILER!$B$7:$B$156,$B150))</f>
        <v/>
      </c>
      <c r="G150" s="68" t="str">
        <f ca="1">IF($B150="","",SUMIFS(UCRETLER!$I$7:$I$606,UCRETLER!$B$7:$B$606,$B150)+SUMIFS(GELIR_GIDER!$G$7:$G$3001,GELIR_GIDER!$T$7:$T$3001,$B150))</f>
        <v/>
      </c>
      <c r="H150" s="68" t="str">
        <f t="shared" ca="1" si="73"/>
        <v/>
      </c>
      <c r="I150" s="68" t="str">
        <f ca="1">IF($B150="","",SUMIFS(TAHSILAT!$F$7:$F$2503,TAHSILAT!$C$7:$C$2503,$B150))</f>
        <v/>
      </c>
      <c r="J150" s="68" t="str">
        <f t="shared" ca="1" si="74"/>
        <v/>
      </c>
      <c r="K150" s="68" t="str">
        <f t="shared" ca="1" si="75"/>
        <v/>
      </c>
      <c r="L150" s="68" t="str">
        <f t="shared" ca="1" si="76"/>
        <v/>
      </c>
      <c r="M150" s="68" t="str">
        <f t="shared" ca="1" si="77"/>
        <v/>
      </c>
      <c r="N150" s="68" t="str">
        <f t="shared" ca="1" si="78"/>
        <v/>
      </c>
      <c r="O150" s="92" t="str">
        <f t="shared" ca="1" si="79"/>
        <v/>
      </c>
      <c r="P150" s="70" t="str">
        <f ca="1">IF($B150="","",IFERROR(LOOKUP(2,1/(TAHSILAT!$C$7:$C$2503=$B150),TAHSILAT!$E$7:$E$2503),""))</f>
        <v/>
      </c>
      <c r="Q150" s="65" t="str">
        <f t="shared" ca="1" si="80"/>
        <v/>
      </c>
      <c r="R150" s="74" t="str">
        <f t="shared" ca="1" si="81"/>
        <v/>
      </c>
      <c r="S150" s="93" t="str">
        <f t="shared" ca="1" si="82"/>
        <v/>
      </c>
      <c r="T150" s="70" t="str">
        <f ca="1">IF(OR($B150="",$AF150=""),"",IF(INDEX(MUSTERILER!$K$7:$K$156,$AF150)="","",INDEX(MUSTERILER!$K$7:$K$156,$AF150)))</f>
        <v/>
      </c>
      <c r="U150" s="93" t="str">
        <f t="shared" ca="1" si="83"/>
        <v/>
      </c>
      <c r="V150" s="68" t="str">
        <f t="shared" ca="1" si="84"/>
        <v/>
      </c>
      <c r="W150" s="65" t="str">
        <f t="shared" ca="1" si="85"/>
        <v/>
      </c>
      <c r="X150" s="2">
        <f ca="1">IF($B150="",0,SUMIFS(UCRETLER!$J$7:$J$606,UCRETLER!$B$7:$B$606,$B150))</f>
        <v>0</v>
      </c>
      <c r="Y150" s="2">
        <f ca="1">IF($B150="",0,SUMIFS(UCRETLER!$K$7:$K$606,UCRETLER!$B$7:$B$606,$B150))</f>
        <v>0</v>
      </c>
      <c r="Z150" s="1">
        <f ca="1">IF($B150="",0,SUMIFS(UCRETLER!$L$7:$L$606,UCRETLER!$B$7:$B$606,$B150))</f>
        <v>0</v>
      </c>
      <c r="AA150" s="1">
        <f t="shared" ca="1" si="86"/>
        <v>0</v>
      </c>
      <c r="AB150" s="1">
        <f t="shared" ca="1" si="87"/>
        <v>0</v>
      </c>
      <c r="AC150" s="1">
        <f t="shared" ca="1" si="88"/>
        <v>0</v>
      </c>
      <c r="AD150" s="1">
        <f t="shared" ca="1" si="89"/>
        <v>0</v>
      </c>
      <c r="AE150" s="1">
        <f t="shared" ca="1" si="90"/>
        <v>0</v>
      </c>
      <c r="AF150" s="1" t="str">
        <f ca="1">IFERROR(MATCH(ROW()-6,MUSTERILER!$U$7:$U$156,0),"")</f>
        <v/>
      </c>
      <c r="AG150" s="1">
        <f ca="1">IF($B150="",0,SUMIFS(GELIR_GIDER!$G$7:$G$3001,GELIR_GIDER!$T$7:$T$3001,$B150))</f>
        <v>0</v>
      </c>
    </row>
    <row r="151" spans="1:33" ht="18" customHeight="1" x14ac:dyDescent="0.3">
      <c r="A151" s="2"/>
      <c r="B151" s="65" t="str">
        <f ca="1">IF($AF151="","",INDEX(MUSTERILER!$B$7:$B$156,$AF151))</f>
        <v/>
      </c>
      <c r="C151" s="74" t="str">
        <f ca="1">IF($AF151="","",INDEX(MUSTERILER!$C$7:$C$156,$AF151))</f>
        <v/>
      </c>
      <c r="D151" s="68" t="str">
        <f ca="1">IF($B151="","",SUMIFS(UCRETLER!$G$7:$G$606,UCRETLER!$B$7:$B$606,$B151,UCRETLER!$F$7:$F$606,"Haftalık",UCRETLER!$H$7:$H$606,"Aktif"))</f>
        <v/>
      </c>
      <c r="E151" s="68" t="str">
        <f ca="1">IF($B151="","",SUMIFS(UCRETLER!$G$7:$G$606,UCRETLER!$B$7:$B$606,$B151,UCRETLER!$F$7:$F$606,"Aylık",UCRETLER!$H$7:$H$606,"Aktif"))</f>
        <v/>
      </c>
      <c r="F151" s="68" t="str">
        <f ca="1">IF($B151="","",SUMIFS(MUSTERILER!$J$7:$J$156,MUSTERILER!$B$7:$B$156,$B151))</f>
        <v/>
      </c>
      <c r="G151" s="68" t="str">
        <f ca="1">IF($B151="","",SUMIFS(UCRETLER!$I$7:$I$606,UCRETLER!$B$7:$B$606,$B151)+SUMIFS(GELIR_GIDER!$G$7:$G$3001,GELIR_GIDER!$T$7:$T$3001,$B151))</f>
        <v/>
      </c>
      <c r="H151" s="68" t="str">
        <f t="shared" ca="1" si="73"/>
        <v/>
      </c>
      <c r="I151" s="68" t="str">
        <f ca="1">IF($B151="","",SUMIFS(TAHSILAT!$F$7:$F$2503,TAHSILAT!$C$7:$C$2503,$B151))</f>
        <v/>
      </c>
      <c r="J151" s="68" t="str">
        <f t="shared" ca="1" si="74"/>
        <v/>
      </c>
      <c r="K151" s="68" t="str">
        <f t="shared" ca="1" si="75"/>
        <v/>
      </c>
      <c r="L151" s="68" t="str">
        <f t="shared" ca="1" si="76"/>
        <v/>
      </c>
      <c r="M151" s="68" t="str">
        <f t="shared" ca="1" si="77"/>
        <v/>
      </c>
      <c r="N151" s="68" t="str">
        <f t="shared" ca="1" si="78"/>
        <v/>
      </c>
      <c r="O151" s="92" t="str">
        <f t="shared" ca="1" si="79"/>
        <v/>
      </c>
      <c r="P151" s="70" t="str">
        <f ca="1">IF($B151="","",IFERROR(LOOKUP(2,1/(TAHSILAT!$C$7:$C$2503=$B151),TAHSILAT!$E$7:$E$2503),""))</f>
        <v/>
      </c>
      <c r="Q151" s="65" t="str">
        <f t="shared" ca="1" si="80"/>
        <v/>
      </c>
      <c r="R151" s="74" t="str">
        <f t="shared" ca="1" si="81"/>
        <v/>
      </c>
      <c r="S151" s="93" t="str">
        <f t="shared" ca="1" si="82"/>
        <v/>
      </c>
      <c r="T151" s="70" t="str">
        <f ca="1">IF(OR($B151="",$AF151=""),"",IF(INDEX(MUSTERILER!$K$7:$K$156,$AF151)="","",INDEX(MUSTERILER!$K$7:$K$156,$AF151)))</f>
        <v/>
      </c>
      <c r="U151" s="93" t="str">
        <f t="shared" ca="1" si="83"/>
        <v/>
      </c>
      <c r="V151" s="68" t="str">
        <f t="shared" ca="1" si="84"/>
        <v/>
      </c>
      <c r="W151" s="65" t="str">
        <f t="shared" ca="1" si="85"/>
        <v/>
      </c>
      <c r="X151" s="2">
        <f ca="1">IF($B151="",0,SUMIFS(UCRETLER!$J$7:$J$606,UCRETLER!$B$7:$B$606,$B151))</f>
        <v>0</v>
      </c>
      <c r="Y151" s="2">
        <f ca="1">IF($B151="",0,SUMIFS(UCRETLER!$K$7:$K$606,UCRETLER!$B$7:$B$606,$B151))</f>
        <v>0</v>
      </c>
      <c r="Z151" s="1">
        <f ca="1">IF($B151="",0,SUMIFS(UCRETLER!$L$7:$L$606,UCRETLER!$B$7:$B$606,$B151))</f>
        <v>0</v>
      </c>
      <c r="AA151" s="1">
        <f t="shared" ca="1" si="86"/>
        <v>0</v>
      </c>
      <c r="AB151" s="1">
        <f t="shared" ca="1" si="87"/>
        <v>0</v>
      </c>
      <c r="AC151" s="1">
        <f t="shared" ca="1" si="88"/>
        <v>0</v>
      </c>
      <c r="AD151" s="1">
        <f t="shared" ca="1" si="89"/>
        <v>0</v>
      </c>
      <c r="AE151" s="1">
        <f t="shared" ca="1" si="90"/>
        <v>0</v>
      </c>
      <c r="AF151" s="1" t="str">
        <f ca="1">IFERROR(MATCH(ROW()-6,MUSTERILER!$U$7:$U$156,0),"")</f>
        <v/>
      </c>
      <c r="AG151" s="1">
        <f ca="1">IF($B151="",0,SUMIFS(GELIR_GIDER!$G$7:$G$3001,GELIR_GIDER!$T$7:$T$3001,$B151))</f>
        <v>0</v>
      </c>
    </row>
    <row r="152" spans="1:33" ht="18" customHeight="1" x14ac:dyDescent="0.3">
      <c r="A152" s="2"/>
      <c r="B152" s="65" t="str">
        <f ca="1">IF($AF152="","",INDEX(MUSTERILER!$B$7:$B$156,$AF152))</f>
        <v/>
      </c>
      <c r="C152" s="74" t="str">
        <f ca="1">IF($AF152="","",INDEX(MUSTERILER!$C$7:$C$156,$AF152))</f>
        <v/>
      </c>
      <c r="D152" s="68" t="str">
        <f ca="1">IF($B152="","",SUMIFS(UCRETLER!$G$7:$G$606,UCRETLER!$B$7:$B$606,$B152,UCRETLER!$F$7:$F$606,"Haftalık",UCRETLER!$H$7:$H$606,"Aktif"))</f>
        <v/>
      </c>
      <c r="E152" s="68" t="str">
        <f ca="1">IF($B152="","",SUMIFS(UCRETLER!$G$7:$G$606,UCRETLER!$B$7:$B$606,$B152,UCRETLER!$F$7:$F$606,"Aylık",UCRETLER!$H$7:$H$606,"Aktif"))</f>
        <v/>
      </c>
      <c r="F152" s="68" t="str">
        <f ca="1">IF($B152="","",SUMIFS(MUSTERILER!$J$7:$J$156,MUSTERILER!$B$7:$B$156,$B152))</f>
        <v/>
      </c>
      <c r="G152" s="68" t="str">
        <f ca="1">IF($B152="","",SUMIFS(UCRETLER!$I$7:$I$606,UCRETLER!$B$7:$B$606,$B152)+SUMIFS(GELIR_GIDER!$G$7:$G$3001,GELIR_GIDER!$T$7:$T$3001,$B152))</f>
        <v/>
      </c>
      <c r="H152" s="68" t="str">
        <f t="shared" ca="1" si="73"/>
        <v/>
      </c>
      <c r="I152" s="68" t="str">
        <f ca="1">IF($B152="","",SUMIFS(TAHSILAT!$F$7:$F$2503,TAHSILAT!$C$7:$C$2503,$B152))</f>
        <v/>
      </c>
      <c r="J152" s="68" t="str">
        <f t="shared" ca="1" si="74"/>
        <v/>
      </c>
      <c r="K152" s="68" t="str">
        <f t="shared" ca="1" si="75"/>
        <v/>
      </c>
      <c r="L152" s="68" t="str">
        <f t="shared" ca="1" si="76"/>
        <v/>
      </c>
      <c r="M152" s="68" t="str">
        <f t="shared" ca="1" si="77"/>
        <v/>
      </c>
      <c r="N152" s="68" t="str">
        <f t="shared" ca="1" si="78"/>
        <v/>
      </c>
      <c r="O152" s="92" t="str">
        <f t="shared" ca="1" si="79"/>
        <v/>
      </c>
      <c r="P152" s="70" t="str">
        <f ca="1">IF($B152="","",IFERROR(LOOKUP(2,1/(TAHSILAT!$C$7:$C$2503=$B152),TAHSILAT!$E$7:$E$2503),""))</f>
        <v/>
      </c>
      <c r="Q152" s="65" t="str">
        <f t="shared" ca="1" si="80"/>
        <v/>
      </c>
      <c r="R152" s="74" t="str">
        <f t="shared" ca="1" si="81"/>
        <v/>
      </c>
      <c r="S152" s="93" t="str">
        <f t="shared" ca="1" si="82"/>
        <v/>
      </c>
      <c r="T152" s="70" t="str">
        <f ca="1">IF(OR($B152="",$AF152=""),"",IF(INDEX(MUSTERILER!$K$7:$K$156,$AF152)="","",INDEX(MUSTERILER!$K$7:$K$156,$AF152)))</f>
        <v/>
      </c>
      <c r="U152" s="93" t="str">
        <f t="shared" ca="1" si="83"/>
        <v/>
      </c>
      <c r="V152" s="68" t="str">
        <f t="shared" ca="1" si="84"/>
        <v/>
      </c>
      <c r="W152" s="65" t="str">
        <f t="shared" ca="1" si="85"/>
        <v/>
      </c>
      <c r="X152" s="2">
        <f ca="1">IF($B152="",0,SUMIFS(UCRETLER!$J$7:$J$606,UCRETLER!$B$7:$B$606,$B152))</f>
        <v>0</v>
      </c>
      <c r="Y152" s="2">
        <f ca="1">IF($B152="",0,SUMIFS(UCRETLER!$K$7:$K$606,UCRETLER!$B$7:$B$606,$B152))</f>
        <v>0</v>
      </c>
      <c r="Z152" s="1">
        <f ca="1">IF($B152="",0,SUMIFS(UCRETLER!$L$7:$L$606,UCRETLER!$B$7:$B$606,$B152))</f>
        <v>0</v>
      </c>
      <c r="AA152" s="1">
        <f t="shared" ca="1" si="86"/>
        <v>0</v>
      </c>
      <c r="AB152" s="1">
        <f t="shared" ca="1" si="87"/>
        <v>0</v>
      </c>
      <c r="AC152" s="1">
        <f t="shared" ca="1" si="88"/>
        <v>0</v>
      </c>
      <c r="AD152" s="1">
        <f t="shared" ca="1" si="89"/>
        <v>0</v>
      </c>
      <c r="AE152" s="1">
        <f t="shared" ca="1" si="90"/>
        <v>0</v>
      </c>
      <c r="AF152" s="1" t="str">
        <f ca="1">IFERROR(MATCH(ROW()-6,MUSTERILER!$U$7:$U$156,0),"")</f>
        <v/>
      </c>
      <c r="AG152" s="1">
        <f ca="1">IF($B152="",0,SUMIFS(GELIR_GIDER!$G$7:$G$3001,GELIR_GIDER!$T$7:$T$3001,$B152))</f>
        <v>0</v>
      </c>
    </row>
    <row r="153" spans="1:33" ht="18" customHeight="1" x14ac:dyDescent="0.3">
      <c r="A153" s="2"/>
      <c r="B153" s="65" t="str">
        <f ca="1">IF($AF153="","",INDEX(MUSTERILER!$B$7:$B$156,$AF153))</f>
        <v/>
      </c>
      <c r="C153" s="74" t="str">
        <f ca="1">IF($AF153="","",INDEX(MUSTERILER!$C$7:$C$156,$AF153))</f>
        <v/>
      </c>
      <c r="D153" s="68" t="str">
        <f ca="1">IF($B153="","",SUMIFS(UCRETLER!$G$7:$G$606,UCRETLER!$B$7:$B$606,$B153,UCRETLER!$F$7:$F$606,"Haftalık",UCRETLER!$H$7:$H$606,"Aktif"))</f>
        <v/>
      </c>
      <c r="E153" s="68" t="str">
        <f ca="1">IF($B153="","",SUMIFS(UCRETLER!$G$7:$G$606,UCRETLER!$B$7:$B$606,$B153,UCRETLER!$F$7:$F$606,"Aylık",UCRETLER!$H$7:$H$606,"Aktif"))</f>
        <v/>
      </c>
      <c r="F153" s="68" t="str">
        <f ca="1">IF($B153="","",SUMIFS(MUSTERILER!$J$7:$J$156,MUSTERILER!$B$7:$B$156,$B153))</f>
        <v/>
      </c>
      <c r="G153" s="68" t="str">
        <f ca="1">IF($B153="","",SUMIFS(UCRETLER!$I$7:$I$606,UCRETLER!$B$7:$B$606,$B153)+SUMIFS(GELIR_GIDER!$G$7:$G$3001,GELIR_GIDER!$T$7:$T$3001,$B153))</f>
        <v/>
      </c>
      <c r="H153" s="68" t="str">
        <f t="shared" ca="1" si="73"/>
        <v/>
      </c>
      <c r="I153" s="68" t="str">
        <f ca="1">IF($B153="","",SUMIFS(TAHSILAT!$F$7:$F$2503,TAHSILAT!$C$7:$C$2503,$B153))</f>
        <v/>
      </c>
      <c r="J153" s="68" t="str">
        <f t="shared" ca="1" si="74"/>
        <v/>
      </c>
      <c r="K153" s="68" t="str">
        <f t="shared" ca="1" si="75"/>
        <v/>
      </c>
      <c r="L153" s="68" t="str">
        <f t="shared" ca="1" si="76"/>
        <v/>
      </c>
      <c r="M153" s="68" t="str">
        <f t="shared" ca="1" si="77"/>
        <v/>
      </c>
      <c r="N153" s="68" t="str">
        <f t="shared" ca="1" si="78"/>
        <v/>
      </c>
      <c r="O153" s="92" t="str">
        <f t="shared" ca="1" si="79"/>
        <v/>
      </c>
      <c r="P153" s="70" t="str">
        <f ca="1">IF($B153="","",IFERROR(LOOKUP(2,1/(TAHSILAT!$C$7:$C$2503=$B153),TAHSILAT!$E$7:$E$2503),""))</f>
        <v/>
      </c>
      <c r="Q153" s="65" t="str">
        <f t="shared" ca="1" si="80"/>
        <v/>
      </c>
      <c r="R153" s="74" t="str">
        <f t="shared" ca="1" si="81"/>
        <v/>
      </c>
      <c r="S153" s="93" t="str">
        <f t="shared" ca="1" si="82"/>
        <v/>
      </c>
      <c r="T153" s="70" t="str">
        <f ca="1">IF(OR($B153="",$AF153=""),"",IF(INDEX(MUSTERILER!$K$7:$K$156,$AF153)="","",INDEX(MUSTERILER!$K$7:$K$156,$AF153)))</f>
        <v/>
      </c>
      <c r="U153" s="93" t="str">
        <f t="shared" ca="1" si="83"/>
        <v/>
      </c>
      <c r="V153" s="68" t="str">
        <f t="shared" ca="1" si="84"/>
        <v/>
      </c>
      <c r="W153" s="65" t="str">
        <f t="shared" ca="1" si="85"/>
        <v/>
      </c>
      <c r="X153" s="2">
        <f ca="1">IF($B153="",0,SUMIFS(UCRETLER!$J$7:$J$606,UCRETLER!$B$7:$B$606,$B153))</f>
        <v>0</v>
      </c>
      <c r="Y153" s="2">
        <f ca="1">IF($B153="",0,SUMIFS(UCRETLER!$K$7:$K$606,UCRETLER!$B$7:$B$606,$B153))</f>
        <v>0</v>
      </c>
      <c r="Z153" s="1">
        <f ca="1">IF($B153="",0,SUMIFS(UCRETLER!$L$7:$L$606,UCRETLER!$B$7:$B$606,$B153))</f>
        <v>0</v>
      </c>
      <c r="AA153" s="1">
        <f t="shared" ca="1" si="86"/>
        <v>0</v>
      </c>
      <c r="AB153" s="1">
        <f t="shared" ca="1" si="87"/>
        <v>0</v>
      </c>
      <c r="AC153" s="1">
        <f t="shared" ca="1" si="88"/>
        <v>0</v>
      </c>
      <c r="AD153" s="1">
        <f t="shared" ca="1" si="89"/>
        <v>0</v>
      </c>
      <c r="AE153" s="1">
        <f t="shared" ca="1" si="90"/>
        <v>0</v>
      </c>
      <c r="AF153" s="1" t="str">
        <f ca="1">IFERROR(MATCH(ROW()-6,MUSTERILER!$U$7:$U$156,0),"")</f>
        <v/>
      </c>
      <c r="AG153" s="1">
        <f ca="1">IF($B153="",0,SUMIFS(GELIR_GIDER!$G$7:$G$3001,GELIR_GIDER!$T$7:$T$3001,$B153))</f>
        <v>0</v>
      </c>
    </row>
    <row r="154" spans="1:33" ht="18" customHeight="1" x14ac:dyDescent="0.3">
      <c r="A154" s="2"/>
      <c r="B154" s="65" t="str">
        <f ca="1">IF($AF154="","",INDEX(MUSTERILER!$B$7:$B$156,$AF154))</f>
        <v/>
      </c>
      <c r="C154" s="74" t="str">
        <f ca="1">IF($AF154="","",INDEX(MUSTERILER!$C$7:$C$156,$AF154))</f>
        <v/>
      </c>
      <c r="D154" s="68" t="str">
        <f ca="1">IF($B154="","",SUMIFS(UCRETLER!$G$7:$G$606,UCRETLER!$B$7:$B$606,$B154,UCRETLER!$F$7:$F$606,"Haftalık",UCRETLER!$H$7:$H$606,"Aktif"))</f>
        <v/>
      </c>
      <c r="E154" s="68" t="str">
        <f ca="1">IF($B154="","",SUMIFS(UCRETLER!$G$7:$G$606,UCRETLER!$B$7:$B$606,$B154,UCRETLER!$F$7:$F$606,"Aylık",UCRETLER!$H$7:$H$606,"Aktif"))</f>
        <v/>
      </c>
      <c r="F154" s="68" t="str">
        <f ca="1">IF($B154="","",SUMIFS(MUSTERILER!$J$7:$J$156,MUSTERILER!$B$7:$B$156,$B154))</f>
        <v/>
      </c>
      <c r="G154" s="68" t="str">
        <f ca="1">IF($B154="","",SUMIFS(UCRETLER!$I$7:$I$606,UCRETLER!$B$7:$B$606,$B154)+SUMIFS(GELIR_GIDER!$G$7:$G$3001,GELIR_GIDER!$T$7:$T$3001,$B154))</f>
        <v/>
      </c>
      <c r="H154" s="68" t="str">
        <f t="shared" ca="1" si="73"/>
        <v/>
      </c>
      <c r="I154" s="68" t="str">
        <f ca="1">IF($B154="","",SUMIFS(TAHSILAT!$F$7:$F$2503,TAHSILAT!$C$7:$C$2503,$B154))</f>
        <v/>
      </c>
      <c r="J154" s="68" t="str">
        <f t="shared" ca="1" si="74"/>
        <v/>
      </c>
      <c r="K154" s="68" t="str">
        <f t="shared" ca="1" si="75"/>
        <v/>
      </c>
      <c r="L154" s="68" t="str">
        <f t="shared" ca="1" si="76"/>
        <v/>
      </c>
      <c r="M154" s="68" t="str">
        <f t="shared" ca="1" si="77"/>
        <v/>
      </c>
      <c r="N154" s="68" t="str">
        <f t="shared" ca="1" si="78"/>
        <v/>
      </c>
      <c r="O154" s="92" t="str">
        <f t="shared" ca="1" si="79"/>
        <v/>
      </c>
      <c r="P154" s="70" t="str">
        <f ca="1">IF($B154="","",IFERROR(LOOKUP(2,1/(TAHSILAT!$C$7:$C$2503=$B154),TAHSILAT!$E$7:$E$2503),""))</f>
        <v/>
      </c>
      <c r="Q154" s="65" t="str">
        <f t="shared" ca="1" si="80"/>
        <v/>
      </c>
      <c r="R154" s="74" t="str">
        <f t="shared" ca="1" si="81"/>
        <v/>
      </c>
      <c r="S154" s="93" t="str">
        <f t="shared" ca="1" si="82"/>
        <v/>
      </c>
      <c r="T154" s="70" t="str">
        <f ca="1">IF(OR($B154="",$AF154=""),"",IF(INDEX(MUSTERILER!$K$7:$K$156,$AF154)="","",INDEX(MUSTERILER!$K$7:$K$156,$AF154)))</f>
        <v/>
      </c>
      <c r="U154" s="93" t="str">
        <f t="shared" ca="1" si="83"/>
        <v/>
      </c>
      <c r="V154" s="68" t="str">
        <f t="shared" ca="1" si="84"/>
        <v/>
      </c>
      <c r="W154" s="65" t="str">
        <f t="shared" ca="1" si="85"/>
        <v/>
      </c>
      <c r="X154" s="2">
        <f ca="1">IF($B154="",0,SUMIFS(UCRETLER!$J$7:$J$606,UCRETLER!$B$7:$B$606,$B154))</f>
        <v>0</v>
      </c>
      <c r="Y154" s="2">
        <f ca="1">IF($B154="",0,SUMIFS(UCRETLER!$K$7:$K$606,UCRETLER!$B$7:$B$606,$B154))</f>
        <v>0</v>
      </c>
      <c r="Z154" s="1">
        <f ca="1">IF($B154="",0,SUMIFS(UCRETLER!$L$7:$L$606,UCRETLER!$B$7:$B$606,$B154))</f>
        <v>0</v>
      </c>
      <c r="AA154" s="1">
        <f t="shared" ca="1" si="86"/>
        <v>0</v>
      </c>
      <c r="AB154" s="1">
        <f t="shared" ca="1" si="87"/>
        <v>0</v>
      </c>
      <c r="AC154" s="1">
        <f t="shared" ca="1" si="88"/>
        <v>0</v>
      </c>
      <c r="AD154" s="1">
        <f t="shared" ca="1" si="89"/>
        <v>0</v>
      </c>
      <c r="AE154" s="1">
        <f t="shared" ca="1" si="90"/>
        <v>0</v>
      </c>
      <c r="AF154" s="1" t="str">
        <f ca="1">IFERROR(MATCH(ROW()-6,MUSTERILER!$U$7:$U$156,0),"")</f>
        <v/>
      </c>
      <c r="AG154" s="1">
        <f ca="1">IF($B154="",0,SUMIFS(GELIR_GIDER!$G$7:$G$3001,GELIR_GIDER!$T$7:$T$3001,$B154))</f>
        <v>0</v>
      </c>
    </row>
    <row r="155" spans="1:33" ht="18" customHeight="1" x14ac:dyDescent="0.3">
      <c r="A155" s="2"/>
      <c r="B155" s="65" t="str">
        <f ca="1">IF($AF155="","",INDEX(MUSTERILER!$B$7:$B$156,$AF155))</f>
        <v/>
      </c>
      <c r="C155" s="74" t="str">
        <f ca="1">IF($AF155="","",INDEX(MUSTERILER!$C$7:$C$156,$AF155))</f>
        <v/>
      </c>
      <c r="D155" s="68" t="str">
        <f ca="1">IF($B155="","",SUMIFS(UCRETLER!$G$7:$G$606,UCRETLER!$B$7:$B$606,$B155,UCRETLER!$F$7:$F$606,"Haftalık",UCRETLER!$H$7:$H$606,"Aktif"))</f>
        <v/>
      </c>
      <c r="E155" s="68" t="str">
        <f ca="1">IF($B155="","",SUMIFS(UCRETLER!$G$7:$G$606,UCRETLER!$B$7:$B$606,$B155,UCRETLER!$F$7:$F$606,"Aylık",UCRETLER!$H$7:$H$606,"Aktif"))</f>
        <v/>
      </c>
      <c r="F155" s="68" t="str">
        <f ca="1">IF($B155="","",SUMIFS(MUSTERILER!$J$7:$J$156,MUSTERILER!$B$7:$B$156,$B155))</f>
        <v/>
      </c>
      <c r="G155" s="68" t="str">
        <f ca="1">IF($B155="","",SUMIFS(UCRETLER!$I$7:$I$606,UCRETLER!$B$7:$B$606,$B155)+SUMIFS(GELIR_GIDER!$G$7:$G$3001,GELIR_GIDER!$T$7:$T$3001,$B155))</f>
        <v/>
      </c>
      <c r="H155" s="68" t="str">
        <f t="shared" ca="1" si="73"/>
        <v/>
      </c>
      <c r="I155" s="68" t="str">
        <f ca="1">IF($B155="","",SUMIFS(TAHSILAT!$F$7:$F$2503,TAHSILAT!$C$7:$C$2503,$B155))</f>
        <v/>
      </c>
      <c r="J155" s="68" t="str">
        <f t="shared" ca="1" si="74"/>
        <v/>
      </c>
      <c r="K155" s="68" t="str">
        <f t="shared" ca="1" si="75"/>
        <v/>
      </c>
      <c r="L155" s="68" t="str">
        <f t="shared" ca="1" si="76"/>
        <v/>
      </c>
      <c r="M155" s="68" t="str">
        <f t="shared" ca="1" si="77"/>
        <v/>
      </c>
      <c r="N155" s="68" t="str">
        <f t="shared" ca="1" si="78"/>
        <v/>
      </c>
      <c r="O155" s="92" t="str">
        <f t="shared" ca="1" si="79"/>
        <v/>
      </c>
      <c r="P155" s="70" t="str">
        <f ca="1">IF($B155="","",IFERROR(LOOKUP(2,1/(TAHSILAT!$C$7:$C$2503=$B155),TAHSILAT!$E$7:$E$2503),""))</f>
        <v/>
      </c>
      <c r="Q155" s="65" t="str">
        <f t="shared" ca="1" si="80"/>
        <v/>
      </c>
      <c r="R155" s="74" t="str">
        <f t="shared" ca="1" si="81"/>
        <v/>
      </c>
      <c r="S155" s="93" t="str">
        <f t="shared" ca="1" si="82"/>
        <v/>
      </c>
      <c r="T155" s="70" t="str">
        <f ca="1">IF(OR($B155="",$AF155=""),"",IF(INDEX(MUSTERILER!$K$7:$K$156,$AF155)="","",INDEX(MUSTERILER!$K$7:$K$156,$AF155)))</f>
        <v/>
      </c>
      <c r="U155" s="93" t="str">
        <f t="shared" ca="1" si="83"/>
        <v/>
      </c>
      <c r="V155" s="68" t="str">
        <f t="shared" ca="1" si="84"/>
        <v/>
      </c>
      <c r="W155" s="65" t="str">
        <f t="shared" ca="1" si="85"/>
        <v/>
      </c>
      <c r="X155" s="2">
        <f ca="1">IF($B155="",0,SUMIFS(UCRETLER!$J$7:$J$606,UCRETLER!$B$7:$B$606,$B155))</f>
        <v>0</v>
      </c>
      <c r="Y155" s="2">
        <f ca="1">IF($B155="",0,SUMIFS(UCRETLER!$K$7:$K$606,UCRETLER!$B$7:$B$606,$B155))</f>
        <v>0</v>
      </c>
      <c r="Z155" s="1">
        <f ca="1">IF($B155="",0,SUMIFS(UCRETLER!$L$7:$L$606,UCRETLER!$B$7:$B$606,$B155))</f>
        <v>0</v>
      </c>
      <c r="AA155" s="1">
        <f t="shared" ca="1" si="86"/>
        <v>0</v>
      </c>
      <c r="AB155" s="1">
        <f t="shared" ca="1" si="87"/>
        <v>0</v>
      </c>
      <c r="AC155" s="1">
        <f t="shared" ca="1" si="88"/>
        <v>0</v>
      </c>
      <c r="AD155" s="1">
        <f t="shared" ca="1" si="89"/>
        <v>0</v>
      </c>
      <c r="AE155" s="1">
        <f t="shared" ca="1" si="90"/>
        <v>0</v>
      </c>
      <c r="AF155" s="1" t="str">
        <f ca="1">IFERROR(MATCH(ROW()-6,MUSTERILER!$U$7:$U$156,0),"")</f>
        <v/>
      </c>
      <c r="AG155" s="1">
        <f ca="1">IF($B155="",0,SUMIFS(GELIR_GIDER!$G$7:$G$3001,GELIR_GIDER!$T$7:$T$3001,$B155))</f>
        <v>0</v>
      </c>
    </row>
    <row r="156" spans="1:33" ht="18" customHeight="1" x14ac:dyDescent="0.3">
      <c r="A156" s="2"/>
      <c r="B156" s="65" t="str">
        <f ca="1">IF($AF156="","",INDEX(MUSTERILER!$B$7:$B$156,$AF156))</f>
        <v/>
      </c>
      <c r="C156" s="74" t="str">
        <f ca="1">IF($AF156="","",INDEX(MUSTERILER!$C$7:$C$156,$AF156))</f>
        <v/>
      </c>
      <c r="D156" s="68" t="str">
        <f ca="1">IF($B156="","",SUMIFS(UCRETLER!$G$7:$G$606,UCRETLER!$B$7:$B$606,$B156,UCRETLER!$F$7:$F$606,"Haftalık",UCRETLER!$H$7:$H$606,"Aktif"))</f>
        <v/>
      </c>
      <c r="E156" s="68" t="str">
        <f ca="1">IF($B156="","",SUMIFS(UCRETLER!$G$7:$G$606,UCRETLER!$B$7:$B$606,$B156,UCRETLER!$F$7:$F$606,"Aylık",UCRETLER!$H$7:$H$606,"Aktif"))</f>
        <v/>
      </c>
      <c r="F156" s="68" t="str">
        <f ca="1">IF($B156="","",SUMIFS(MUSTERILER!$J$7:$J$156,MUSTERILER!$B$7:$B$156,$B156))</f>
        <v/>
      </c>
      <c r="G156" s="68" t="str">
        <f ca="1">IF($B156="","",SUMIFS(UCRETLER!$I$7:$I$606,UCRETLER!$B$7:$B$606,$B156)+SUMIFS(GELIR_GIDER!$G$7:$G$3001,GELIR_GIDER!$T$7:$T$3001,$B156))</f>
        <v/>
      </c>
      <c r="H156" s="68" t="str">
        <f t="shared" ca="1" si="73"/>
        <v/>
      </c>
      <c r="I156" s="68" t="str">
        <f ca="1">IF($B156="","",SUMIFS(TAHSILAT!$F$7:$F$2503,TAHSILAT!$C$7:$C$2503,$B156))</f>
        <v/>
      </c>
      <c r="J156" s="68" t="str">
        <f t="shared" ca="1" si="74"/>
        <v/>
      </c>
      <c r="K156" s="68" t="str">
        <f t="shared" ca="1" si="75"/>
        <v/>
      </c>
      <c r="L156" s="68" t="str">
        <f t="shared" ca="1" si="76"/>
        <v/>
      </c>
      <c r="M156" s="68" t="str">
        <f t="shared" ca="1" si="77"/>
        <v/>
      </c>
      <c r="N156" s="68" t="str">
        <f t="shared" ca="1" si="78"/>
        <v/>
      </c>
      <c r="O156" s="92" t="str">
        <f t="shared" ca="1" si="79"/>
        <v/>
      </c>
      <c r="P156" s="70" t="str">
        <f ca="1">IF($B156="","",IFERROR(LOOKUP(2,1/(TAHSILAT!$C$7:$C$2503=$B156),TAHSILAT!$E$7:$E$2503),""))</f>
        <v/>
      </c>
      <c r="Q156" s="65" t="str">
        <f t="shared" ca="1" si="80"/>
        <v/>
      </c>
      <c r="R156" s="74" t="str">
        <f t="shared" ca="1" si="81"/>
        <v/>
      </c>
      <c r="S156" s="93" t="str">
        <f t="shared" ca="1" si="82"/>
        <v/>
      </c>
      <c r="T156" s="70" t="str">
        <f ca="1">IF(OR($B156="",$AF156=""),"",IF(INDEX(MUSTERILER!$K$7:$K$156,$AF156)="","",INDEX(MUSTERILER!$K$7:$K$156,$AF156)))</f>
        <v/>
      </c>
      <c r="U156" s="93" t="str">
        <f t="shared" ca="1" si="83"/>
        <v/>
      </c>
      <c r="V156" s="68" t="str">
        <f t="shared" ca="1" si="84"/>
        <v/>
      </c>
      <c r="W156" s="65" t="str">
        <f t="shared" ca="1" si="85"/>
        <v/>
      </c>
      <c r="X156" s="2">
        <f ca="1">IF($B156="",0,SUMIFS(UCRETLER!$J$7:$J$606,UCRETLER!$B$7:$B$606,$B156))</f>
        <v>0</v>
      </c>
      <c r="Y156" s="2">
        <f ca="1">IF($B156="",0,SUMIFS(UCRETLER!$K$7:$K$606,UCRETLER!$B$7:$B$606,$B156))</f>
        <v>0</v>
      </c>
      <c r="Z156" s="1">
        <f ca="1">IF($B156="",0,SUMIFS(UCRETLER!$L$7:$L$606,UCRETLER!$B$7:$B$606,$B156))</f>
        <v>0</v>
      </c>
      <c r="AA156" s="1">
        <f t="shared" ca="1" si="86"/>
        <v>0</v>
      </c>
      <c r="AB156" s="1">
        <f t="shared" ca="1" si="87"/>
        <v>0</v>
      </c>
      <c r="AC156" s="1">
        <f t="shared" ca="1" si="88"/>
        <v>0</v>
      </c>
      <c r="AD156" s="1">
        <f t="shared" ca="1" si="89"/>
        <v>0</v>
      </c>
      <c r="AE156" s="1">
        <f t="shared" ca="1" si="90"/>
        <v>0</v>
      </c>
      <c r="AF156" s="1" t="str">
        <f ca="1">IFERROR(MATCH(ROW()-6,MUSTERILER!$U$7:$U$156,0),"")</f>
        <v/>
      </c>
      <c r="AG156" s="1">
        <f ca="1">IF($B156="",0,SUMIFS(GELIR_GIDER!$G$7:$G$3001,GELIR_GIDER!$T$7:$T$3001,$B156))</f>
        <v>0</v>
      </c>
    </row>
    <row r="157" spans="1:33" ht="18" customHeight="1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  <c r="Y157" s="2"/>
      <c r="Z157" s="1"/>
      <c r="AA157" s="1"/>
      <c r="AB157" s="1"/>
      <c r="AC157" s="1"/>
      <c r="AD157" s="1"/>
      <c r="AE157" s="1"/>
      <c r="AF157" s="1"/>
      <c r="AG157" s="1"/>
    </row>
    <row r="158" spans="1:33" ht="18" customHeight="1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"/>
      <c r="Y158" s="2"/>
      <c r="Z158" s="1"/>
      <c r="AA158" s="1"/>
      <c r="AB158" s="1"/>
      <c r="AC158" s="1"/>
      <c r="AD158" s="1"/>
      <c r="AE158" s="1"/>
      <c r="AF158" s="1"/>
      <c r="AG158" s="1"/>
    </row>
  </sheetData>
  <sheetProtection password="CC3D" sheet="1" formatCells="0" formatColumns="0" formatRows="0" sort="0" autoFilter="0"/>
  <autoFilter ref="B6:W156" xr:uid="{00000000-0009-0000-0000-000009000000}"/>
  <mergeCells count="3">
    <mergeCell ref="A2:W2"/>
    <mergeCell ref="F1:W1"/>
    <mergeCell ref="A1:E1"/>
  </mergeCells>
  <conditionalFormatting sqref="J7:J156">
    <cfRule type="dataBar" priority="9">
      <dataBar>
        <cfvo type="num" val="0"/>
        <cfvo type="max"/>
        <color rgb="FF9FB8D0"/>
      </dataBar>
    </cfRule>
  </conditionalFormatting>
  <conditionalFormatting sqref="N7:N156">
    <cfRule type="cellIs" dxfId="31" priority="11" operator="greaterThan">
      <formula>0</formula>
    </cfRule>
  </conditionalFormatting>
  <conditionalFormatting sqref="Q7:Q156">
    <cfRule type="expression" dxfId="30" priority="2">
      <formula>EXACT($Q7,"KRİTİK")</formula>
    </cfRule>
    <cfRule type="expression" dxfId="29" priority="3">
      <formula>EXACT($Q7,"YÜKSEK")</formula>
    </cfRule>
    <cfRule type="expression" dxfId="28" priority="4">
      <formula>EXACT($Q7,"ORTA")</formula>
    </cfRule>
    <cfRule type="expression" dxfId="27" priority="5">
      <formula>EXACT($Q7,"İZLE")</formula>
    </cfRule>
    <cfRule type="expression" dxfId="26" priority="6">
      <formula>EXACT($Q7,"TEMİZ")</formula>
    </cfRule>
  </conditionalFormatting>
  <conditionalFormatting sqref="V7:V156">
    <cfRule type="cellIs" dxfId="25" priority="10" operator="greaterThan">
      <formula>0</formula>
    </cfRule>
  </conditionalFormatting>
  <conditionalFormatting sqref="W7:W156">
    <cfRule type="expression" dxfId="24" priority="7">
      <formula>EXACT($W7,"UYGUN")</formula>
    </cfRule>
    <cfRule type="expression" dxfId="23" priority="8">
      <formula>EXACT($W7,"İNCELE")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A00-000000000000}">
  <sheetPr>
    <tabColor rgb="FF1F9438"/>
    <pageSetUpPr fitToPage="1"/>
  </sheetPr>
  <dimension ref="A1:M2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4" sqref="K24"/>
    </sheetView>
  </sheetViews>
  <sheetFormatPr defaultColWidth="8" defaultRowHeight="14.25" customHeight="1" x14ac:dyDescent="0.25"/>
  <cols>
    <col min="1" max="1" width="2.28515625" customWidth="1"/>
    <col min="2" max="2" width="22.28515625" customWidth="1"/>
    <col min="3" max="4" width="11.140625" customWidth="1"/>
    <col min="5" max="5" width="14.85546875" customWidth="1"/>
    <col min="6" max="6" width="15.7109375" customWidth="1"/>
    <col min="7" max="7" width="14.5703125" bestFit="1" customWidth="1"/>
    <col min="8" max="8" width="31.5703125" customWidth="1"/>
    <col min="9" max="9" width="14.140625" customWidth="1"/>
    <col min="10" max="10" width="16.140625" bestFit="1" customWidth="1"/>
    <col min="11" max="11" width="19" customWidth="1"/>
    <col min="12" max="13" width="2.28515625" customWidth="1"/>
  </cols>
  <sheetData>
    <row r="1" spans="1:13" ht="37.5" customHeight="1" x14ac:dyDescent="0.3">
      <c r="A1" s="209" t="s">
        <v>548</v>
      </c>
      <c r="B1" s="150"/>
      <c r="C1" s="150"/>
      <c r="D1" s="150"/>
      <c r="E1" s="150"/>
      <c r="F1" s="208" t="s">
        <v>1039</v>
      </c>
      <c r="G1" s="150"/>
      <c r="H1" s="150"/>
      <c r="I1" s="150"/>
      <c r="J1" s="150"/>
      <c r="K1" s="150"/>
      <c r="L1" s="150"/>
      <c r="M1" s="13"/>
    </row>
    <row r="2" spans="1:13" ht="21.75" customHeight="1" x14ac:dyDescent="0.3">
      <c r="A2" s="210" t="s">
        <v>1040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"/>
    </row>
    <row r="3" spans="1:13" ht="19.5" customHeight="1" x14ac:dyDescent="0.3">
      <c r="A3" s="2"/>
      <c r="B3" s="50" t="s">
        <v>1041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HYPERLINK("#TAHSILAT!A1","Tahsilat")</f>
        <v>Tahsilat</v>
      </c>
      <c r="E4" s="2"/>
      <c r="F4" s="51" t="str">
        <f>HYPERLINK("#VIRMAN!A1","Virman")</f>
        <v>Virman</v>
      </c>
      <c r="G4" s="2"/>
      <c r="H4" s="52" t="s">
        <v>1042</v>
      </c>
      <c r="I4" s="2"/>
      <c r="J4" s="2"/>
      <c r="K4" s="2"/>
      <c r="L4" s="2"/>
      <c r="M4" s="2"/>
    </row>
    <row r="5" spans="1:13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</row>
    <row r="6" spans="1:13" ht="39.75" customHeight="1" x14ac:dyDescent="0.3">
      <c r="A6" s="2"/>
      <c r="B6" s="58" t="s">
        <v>1043</v>
      </c>
      <c r="C6" s="57" t="s">
        <v>759</v>
      </c>
      <c r="D6" s="57" t="s">
        <v>555</v>
      </c>
      <c r="E6" s="59" t="s">
        <v>1044</v>
      </c>
      <c r="F6" s="59" t="s">
        <v>1045</v>
      </c>
      <c r="G6" s="59" t="s">
        <v>1046</v>
      </c>
      <c r="H6" s="59" t="s">
        <v>1047</v>
      </c>
      <c r="I6" s="59" t="s">
        <v>1048</v>
      </c>
      <c r="J6" s="59" t="s">
        <v>1049</v>
      </c>
      <c r="K6" s="59" t="s">
        <v>1050</v>
      </c>
      <c r="L6" s="59" t="s">
        <v>555</v>
      </c>
      <c r="M6" s="59" t="s">
        <v>1051</v>
      </c>
    </row>
    <row r="7" spans="1:13" ht="18" customHeight="1" x14ac:dyDescent="0.3">
      <c r="A7" s="2"/>
      <c r="B7" s="61" t="s">
        <v>717</v>
      </c>
      <c r="C7" s="60" t="s">
        <v>1052</v>
      </c>
      <c r="D7" s="60" t="s">
        <v>571</v>
      </c>
      <c r="E7" s="67">
        <v>0</v>
      </c>
      <c r="F7" s="68">
        <f>IF($B7="","",SUMIFS(TAHSILAT!$F$7:$F$2503,TAHSILAT!$G$7:$G$2503,$B7,TAHSILAT!$H$7:$H$2503,"&lt;&gt;Mahsup"))</f>
        <v>1762850</v>
      </c>
      <c r="G7" s="68">
        <f>IF($B7="","",SUMIFS(GELIR_GIDER!$G$7:$G$3001,GELIR_GIDER!$D$7:$D$3001,"Gelir",GELIR_GIDER!$H$7:$H$3001,$B7,GELIR_GIDER!$I$7:$I$3001,"Evet"))</f>
        <v>407200</v>
      </c>
      <c r="H7" s="68">
        <f>IF($B7="","",SUMIFS(GELIR_GIDER!$G$7:$G$3001,GELIR_GIDER!$D$7:$D$3001,"Gider",GELIR_GIDER!$H$7:$H$3001,$B7,GELIR_GIDER!$I$7:$I$3001,"Evet"))</f>
        <v>1235687.98</v>
      </c>
      <c r="I7" s="68">
        <f>IF($B7="","",SUMIFS(VIRMAN!$F$7:$F$406,VIRMAN!$E$7:$E$406,$B7))</f>
        <v>47000</v>
      </c>
      <c r="J7" s="68">
        <f>IF($B7="","",SUMIFS(VIRMAN!$F$7:$F$406,VIRMAN!$D$7:$D$406,$B7))</f>
        <v>1514462.04</v>
      </c>
      <c r="K7" s="68">
        <f t="shared" ref="K7:K16" si="0">IF($B7="","",$E7+$F7+$G7-$H7+$I7-$J7)</f>
        <v>-533100.02</v>
      </c>
      <c r="L7" s="68" t="str">
        <f t="shared" ref="L7:L16" si="1">IF($B7="","",IF($K7&lt;0,"EKSİ — açılış/eksik nakit girişini kontrol et","UYGUN"))</f>
        <v>EKSİ — açılış/eksik nakit girişini kontrol et</v>
      </c>
      <c r="M7" s="68">
        <f t="shared" ref="M7:M16" si="2">IF($B7="","",MAX(0,-$K7))</f>
        <v>533100.02</v>
      </c>
    </row>
    <row r="8" spans="1:13" ht="18" customHeight="1" x14ac:dyDescent="0.3">
      <c r="A8" s="2"/>
      <c r="B8" s="61" t="s">
        <v>974</v>
      </c>
      <c r="C8" s="60" t="inlineStr">
        <is>
          <t>Ortak Cari</t>
        </is>
      </c>
      <c r="D8" s="60" t="s">
        <v>571</v>
      </c>
      <c r="E8" s="67">
        <v>0</v>
      </c>
      <c r="F8" s="68">
        <f>IF($B8="","",SUMIFS(TAHSILAT!$F$7:$F$2503,TAHSILAT!$G$7:$G$2503,$B8,TAHSILAT!$H$7:$H$2503,"&lt;&gt;Mahsup"))</f>
        <v>0</v>
      </c>
      <c r="G8" s="68">
        <f>IF($B8="","",SUMIFS(GELIR_GIDER!$G$7:$G$3001,GELIR_GIDER!$D$7:$D$3001,"Gelir",GELIR_GIDER!$H$7:$H$3001,$B8,GELIR_GIDER!$I$7:$I$3001,"Evet"))</f>
        <v>0</v>
      </c>
      <c r="H8" s="68">
        <f>IF($B8="","",SUMIFS(GELIR_GIDER!$G$7:$G$3001,GELIR_GIDER!$D$7:$D$3001,"Gider",GELIR_GIDER!$H$7:$H$3001,$B8,GELIR_GIDER!$I$7:$I$3001,"Evet"))</f>
        <v>0</v>
      </c>
      <c r="I8" s="68">
        <f>IF($B8="","",SUMIFS(VIRMAN!$F$7:$F$406,VIRMAN!$E$7:$E$406,$B8))</f>
        <v>634731.02</v>
      </c>
      <c r="J8" s="68">
        <f>IF($B8="","",SUMIFS(VIRMAN!$F$7:$F$406,VIRMAN!$D$7:$D$406,$B8))</f>
        <v>0</v>
      </c>
      <c r="K8" s="68">
        <f t="shared" si="0"/>
        <v>634731.02</v>
      </c>
      <c r="L8" s="68" t="str">
        <f t="shared" si="1"/>
        <v>UYGUN</v>
      </c>
      <c r="M8" s="68">
        <f t="shared" si="2"/>
        <v>0</v>
      </c>
    </row>
    <row r="9" spans="1:13" ht="18" customHeight="1" x14ac:dyDescent="0.3">
      <c r="A9" s="2"/>
      <c r="B9" s="61" t="s">
        <v>723</v>
      </c>
      <c r="C9" s="60" t="inlineStr">
        <is>
          <t>Ortak Cari</t>
        </is>
      </c>
      <c r="D9" s="60" t="s">
        <v>571</v>
      </c>
      <c r="E9" s="67">
        <v>0</v>
      </c>
      <c r="F9" s="68">
        <f>IF($B9="","",SUMIFS(TAHSILAT!$F$7:$F$2503,TAHSILAT!$G$7:$G$2503,$B9,TAHSILAT!$H$7:$H$2503,"&lt;&gt;Mahsup"))</f>
        <v>536650</v>
      </c>
      <c r="G9" s="68">
        <f>IF($B9="","",SUMIFS(GELIR_GIDER!$G$7:$G$3001,GELIR_GIDER!$D$7:$D$3001,"Gelir",GELIR_GIDER!$H$7:$H$3001,$B9,GELIR_GIDER!$I$7:$I$3001,"Evet"))</f>
        <v>76050</v>
      </c>
      <c r="H9" s="68">
        <f>IF($B9="","",SUMIFS(GELIR_GIDER!$G$7:$G$3001,GELIR_GIDER!$D$7:$D$3001,"Gider",GELIR_GIDER!$H$7:$H$3001,$B9,GELIR_GIDER!$I$7:$I$3001,"Evet"))</f>
        <v>0</v>
      </c>
      <c r="I9" s="68">
        <f>IF($B9="","",SUMIFS(VIRMAN!$F$7:$F$406,VIRMAN!$E$7:$E$406,$B9))</f>
        <v>879731.02</v>
      </c>
      <c r="J9" s="68">
        <f>IF($B9="","",SUMIFS(VIRMAN!$F$7:$F$406,VIRMAN!$D$7:$D$406,$B9))</f>
        <v>47000</v>
      </c>
      <c r="K9" s="68">
        <f t="shared" si="0"/>
        <v>1445431.02</v>
      </c>
      <c r="L9" s="68" t="str">
        <f t="shared" si="1"/>
        <v>UYGUN</v>
      </c>
      <c r="M9" s="68">
        <f t="shared" si="2"/>
        <v>0</v>
      </c>
    </row>
    <row r="10" spans="1:13" ht="18" customHeight="1" x14ac:dyDescent="0.3">
      <c r="A10" s="2"/>
      <c r="B10" s="61" t="s">
        <v>1053</v>
      </c>
      <c r="C10" s="60" t="s">
        <v>1054</v>
      </c>
      <c r="D10" s="60" t="s">
        <v>571</v>
      </c>
      <c r="E10" s="67">
        <v>0</v>
      </c>
      <c r="F10" s="68">
        <f>IF($B10="","",SUMIFS(TAHSILAT!$F$7:$F$2503,TAHSILAT!$G$7:$G$2503,$B10,TAHSILAT!$H$7:$H$2503,"&lt;&gt;Mahsup"))</f>
        <v>0</v>
      </c>
      <c r="G10" s="68">
        <f>IF($B10="","",SUMIFS(GELIR_GIDER!$G$7:$G$3001,GELIR_GIDER!$D$7:$D$3001,"Gelir",GELIR_GIDER!$H$7:$H$3001,$B10,GELIR_GIDER!$I$7:$I$3001,"Evet"))</f>
        <v>0</v>
      </c>
      <c r="H10" s="68">
        <f>IF($B10="","",SUMIFS(GELIR_GIDER!$G$7:$G$3001,GELIR_GIDER!$D$7:$D$3001,"Gider",GELIR_GIDER!$H$7:$H$3001,$B10,GELIR_GIDER!$I$7:$I$3001,"Evet"))</f>
        <v>0</v>
      </c>
      <c r="I10" s="68">
        <f>IF($B10="","",SUMIFS(VIRMAN!$F$7:$F$406,VIRMAN!$E$7:$E$406,$B10))</f>
        <v>0</v>
      </c>
      <c r="J10" s="68">
        <f>IF($B10="","",SUMIFS(VIRMAN!$F$7:$F$406,VIRMAN!$D$7:$D$406,$B10))</f>
        <v>0</v>
      </c>
      <c r="K10" s="68">
        <f t="shared" si="0"/>
        <v>0</v>
      </c>
      <c r="L10" s="68" t="str">
        <f t="shared" si="1"/>
        <v>UYGUN</v>
      </c>
      <c r="M10" s="68">
        <f t="shared" si="2"/>
        <v>0</v>
      </c>
    </row>
    <row r="11" spans="1:13" ht="18" customHeight="1" x14ac:dyDescent="0.3">
      <c r="A11" s="2"/>
      <c r="B11" s="61" t="s">
        <v>1055</v>
      </c>
      <c r="C11" s="60" t="s">
        <v>1054</v>
      </c>
      <c r="D11" s="60" t="s">
        <v>571</v>
      </c>
      <c r="E11" s="67">
        <v>0</v>
      </c>
      <c r="F11" s="68">
        <f>IF($B11="","",SUMIFS(TAHSILAT!$F$7:$F$2503,TAHSILAT!$G$7:$G$2503,$B11,TAHSILAT!$H$7:$H$2503,"&lt;&gt;Mahsup"))</f>
        <v>0</v>
      </c>
      <c r="G11" s="68">
        <f>IF($B11="","",SUMIFS(GELIR_GIDER!$G$7:$G$3001,GELIR_GIDER!$D$7:$D$3001,"Gelir",GELIR_GIDER!$H$7:$H$3001,$B11,GELIR_GIDER!$I$7:$I$3001,"Evet"))</f>
        <v>0</v>
      </c>
      <c r="H11" s="68">
        <f>IF($B11="","",SUMIFS(GELIR_GIDER!$G$7:$G$3001,GELIR_GIDER!$D$7:$D$3001,"Gider",GELIR_GIDER!$H$7:$H$3001,$B11,GELIR_GIDER!$I$7:$I$3001,"Evet"))</f>
        <v>0</v>
      </c>
      <c r="I11" s="68">
        <f>IF($B11="","",SUMIFS(VIRMAN!$F$7:$F$406,VIRMAN!$E$7:$E$406,$B11))</f>
        <v>0</v>
      </c>
      <c r="J11" s="68">
        <f>IF($B11="","",SUMIFS(VIRMAN!$F$7:$F$406,VIRMAN!$D$7:$D$406,$B11))</f>
        <v>0</v>
      </c>
      <c r="K11" s="68">
        <f t="shared" si="0"/>
        <v>0</v>
      </c>
      <c r="L11" s="68" t="str">
        <f t="shared" si="1"/>
        <v>UYGUN</v>
      </c>
      <c r="M11" s="68">
        <f t="shared" si="2"/>
        <v>0</v>
      </c>
    </row>
    <row r="12" spans="1:13" ht="18" customHeight="1" x14ac:dyDescent="0.3">
      <c r="A12" s="2"/>
      <c r="B12" s="61"/>
      <c r="C12" s="60"/>
      <c r="D12" s="60"/>
      <c r="E12" s="67"/>
      <c r="F12" s="68" t="str">
        <f>IF($B12="","",SUMIFS(TAHSILAT!$F$7:$F$2503,TAHSILAT!$G$7:$G$2503,$B12,TAHSILAT!$H$7:$H$2503,"&lt;&gt;Mahsup"))</f>
        <v/>
      </c>
      <c r="G12" s="68" t="str">
        <f>IF($B12="","",SUMIFS(GELIR_GIDER!$G$7:$G$3001,GELIR_GIDER!$D$7:$D$3001,"Gelir",GELIR_GIDER!$H$7:$H$3001,$B12,GELIR_GIDER!$I$7:$I$3001,"Evet"))</f>
        <v/>
      </c>
      <c r="H12" s="68" t="str">
        <f>IF($B12="","",SUMIFS(GELIR_GIDER!$G$7:$G$3001,GELIR_GIDER!$D$7:$D$3001,"Gider",GELIR_GIDER!$H$7:$H$3001,$B12,GELIR_GIDER!$I$7:$I$3001,"Evet"))</f>
        <v/>
      </c>
      <c r="I12" s="68" t="str">
        <f>IF($B12="","",SUMIFS(VIRMAN!$F$7:$F$406,VIRMAN!$E$7:$E$406,$B12))</f>
        <v/>
      </c>
      <c r="J12" s="68" t="str">
        <f>IF($B12="","",SUMIFS(VIRMAN!$F$7:$F$406,VIRMAN!$D$7:$D$406,$B12))</f>
        <v/>
      </c>
      <c r="K12" s="68" t="str">
        <f t="shared" si="0"/>
        <v/>
      </c>
      <c r="L12" s="68" t="str">
        <f t="shared" si="1"/>
        <v/>
      </c>
      <c r="M12" s="68" t="str">
        <f t="shared" si="2"/>
        <v/>
      </c>
    </row>
    <row r="13" spans="1:13" ht="18" customHeight="1" x14ac:dyDescent="0.3">
      <c r="A13" s="2"/>
      <c r="B13" s="61"/>
      <c r="C13" s="60"/>
      <c r="D13" s="60"/>
      <c r="E13" s="67"/>
      <c r="F13" s="68" t="str">
        <f>IF($B13="","",SUMIFS(TAHSILAT!$F$7:$F$2503,TAHSILAT!$G$7:$G$2503,$B13,TAHSILAT!$H$7:$H$2503,"&lt;&gt;Mahsup"))</f>
        <v/>
      </c>
      <c r="G13" s="68" t="str">
        <f>IF($B13="","",SUMIFS(GELIR_GIDER!$G$7:$G$3001,GELIR_GIDER!$D$7:$D$3001,"Gelir",GELIR_GIDER!$H$7:$H$3001,$B13,GELIR_GIDER!$I$7:$I$3001,"Evet"))</f>
        <v/>
      </c>
      <c r="H13" s="68" t="str">
        <f>IF($B13="","",SUMIFS(GELIR_GIDER!$G$7:$G$3001,GELIR_GIDER!$D$7:$D$3001,"Gider",GELIR_GIDER!$H$7:$H$3001,$B13,GELIR_GIDER!$I$7:$I$3001,"Evet"))</f>
        <v/>
      </c>
      <c r="I13" s="68" t="str">
        <f>IF($B13="","",SUMIFS(VIRMAN!$F$7:$F$406,VIRMAN!$E$7:$E$406,$B13))</f>
        <v/>
      </c>
      <c r="J13" s="68" t="str">
        <f>IF($B13="","",SUMIFS(VIRMAN!$F$7:$F$406,VIRMAN!$D$7:$D$406,$B13))</f>
        <v/>
      </c>
      <c r="K13" s="68" t="str">
        <f t="shared" si="0"/>
        <v/>
      </c>
      <c r="L13" s="68" t="str">
        <f t="shared" si="1"/>
        <v/>
      </c>
      <c r="M13" s="68" t="str">
        <f t="shared" si="2"/>
        <v/>
      </c>
    </row>
    <row r="14" spans="1:13" ht="18" customHeight="1" x14ac:dyDescent="0.3">
      <c r="A14" s="2"/>
      <c r="B14" s="61"/>
      <c r="C14" s="60"/>
      <c r="D14" s="60"/>
      <c r="E14" s="67"/>
      <c r="F14" s="68" t="str">
        <f>IF($B14="","",SUMIFS(TAHSILAT!$F$7:$F$2503,TAHSILAT!$G$7:$G$2503,$B14,TAHSILAT!$H$7:$H$2503,"&lt;&gt;Mahsup"))</f>
        <v/>
      </c>
      <c r="G14" s="68" t="str">
        <f>IF($B14="","",SUMIFS(GELIR_GIDER!$G$7:$G$3001,GELIR_GIDER!$D$7:$D$3001,"Gelir",GELIR_GIDER!$H$7:$H$3001,$B14,GELIR_GIDER!$I$7:$I$3001,"Evet"))</f>
        <v/>
      </c>
      <c r="H14" s="68" t="str">
        <f>IF($B14="","",SUMIFS(GELIR_GIDER!$G$7:$G$3001,GELIR_GIDER!$D$7:$D$3001,"Gider",GELIR_GIDER!$H$7:$H$3001,$B14,GELIR_GIDER!$I$7:$I$3001,"Evet"))</f>
        <v/>
      </c>
      <c r="I14" s="68" t="str">
        <f>IF($B14="","",SUMIFS(VIRMAN!$F$7:$F$406,VIRMAN!$E$7:$E$406,$B14))</f>
        <v/>
      </c>
      <c r="J14" s="68" t="str">
        <f>IF($B14="","",SUMIFS(VIRMAN!$F$7:$F$406,VIRMAN!$D$7:$D$406,$B14))</f>
        <v/>
      </c>
      <c r="K14" s="68" t="str">
        <f t="shared" si="0"/>
        <v/>
      </c>
      <c r="L14" s="68" t="str">
        <f t="shared" si="1"/>
        <v/>
      </c>
      <c r="M14" s="68" t="str">
        <f t="shared" si="2"/>
        <v/>
      </c>
    </row>
    <row r="15" spans="1:13" ht="18" customHeight="1" x14ac:dyDescent="0.3">
      <c r="A15" s="2"/>
      <c r="B15" s="61"/>
      <c r="C15" s="60"/>
      <c r="D15" s="60"/>
      <c r="E15" s="67"/>
      <c r="F15" s="68" t="str">
        <f>IF($B15="","",SUMIFS(TAHSILAT!$F$7:$F$2503,TAHSILAT!$G$7:$G$2503,$B15,TAHSILAT!$H$7:$H$2503,"&lt;&gt;Mahsup"))</f>
        <v/>
      </c>
      <c r="G15" s="68" t="str">
        <f>IF($B15="","",SUMIFS(GELIR_GIDER!$G$7:$G$3001,GELIR_GIDER!$D$7:$D$3001,"Gelir",GELIR_GIDER!$H$7:$H$3001,$B15,GELIR_GIDER!$I$7:$I$3001,"Evet"))</f>
        <v/>
      </c>
      <c r="H15" s="68" t="str">
        <f>IF($B15="","",SUMIFS(GELIR_GIDER!$G$7:$G$3001,GELIR_GIDER!$D$7:$D$3001,"Gider",GELIR_GIDER!$H$7:$H$3001,$B15,GELIR_GIDER!$I$7:$I$3001,"Evet"))</f>
        <v/>
      </c>
      <c r="I15" s="68" t="str">
        <f>IF($B15="","",SUMIFS(VIRMAN!$F$7:$F$406,VIRMAN!$E$7:$E$406,$B15))</f>
        <v/>
      </c>
      <c r="J15" s="68" t="str">
        <f>IF($B15="","",SUMIFS(VIRMAN!$F$7:$F$406,VIRMAN!$D$7:$D$406,$B15))</f>
        <v/>
      </c>
      <c r="K15" s="68" t="str">
        <f t="shared" si="0"/>
        <v/>
      </c>
      <c r="L15" s="68" t="str">
        <f t="shared" si="1"/>
        <v/>
      </c>
      <c r="M15" s="68" t="str">
        <f t="shared" si="2"/>
        <v/>
      </c>
    </row>
    <row r="16" spans="1:13" ht="18" customHeight="1" x14ac:dyDescent="0.3">
      <c r="A16" s="2"/>
      <c r="B16" s="61"/>
      <c r="C16" s="60"/>
      <c r="D16" s="60"/>
      <c r="E16" s="67"/>
      <c r="F16" s="68" t="str">
        <f>IF($B16="","",SUMIFS(TAHSILAT!$F$7:$F$2503,TAHSILAT!$G$7:$G$2503,$B16,TAHSILAT!$H$7:$H$2503,"&lt;&gt;Mahsup"))</f>
        <v/>
      </c>
      <c r="G16" s="68" t="str">
        <f>IF($B16="","",SUMIFS(GELIR_GIDER!$G$7:$G$3001,GELIR_GIDER!$D$7:$D$3001,"Gelir",GELIR_GIDER!$H$7:$H$3001,$B16,GELIR_GIDER!$I$7:$I$3001,"Evet"))</f>
        <v/>
      </c>
      <c r="H16" s="68" t="str">
        <f>IF($B16="","",SUMIFS(GELIR_GIDER!$G$7:$G$3001,GELIR_GIDER!$D$7:$D$3001,"Gider",GELIR_GIDER!$H$7:$H$3001,$B16,GELIR_GIDER!$I$7:$I$3001,"Evet"))</f>
        <v/>
      </c>
      <c r="I16" s="68" t="str">
        <f>IF($B16="","",SUMIFS(VIRMAN!$F$7:$F$406,VIRMAN!$E$7:$E$406,$B16))</f>
        <v/>
      </c>
      <c r="J16" s="68" t="str">
        <f>IF($B16="","",SUMIFS(VIRMAN!$F$7:$F$406,VIRMAN!$D$7:$D$406,$B16))</f>
        <v/>
      </c>
      <c r="K16" s="68" t="str">
        <f t="shared" si="0"/>
        <v/>
      </c>
      <c r="L16" s="68" t="str">
        <f t="shared" si="1"/>
        <v/>
      </c>
      <c r="M16" s="68" t="str">
        <f t="shared" si="2"/>
        <v/>
      </c>
    </row>
    <row r="17" spans="1:13" ht="18" customHeight="1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</row>
    <row r="18" spans="1:13" ht="27.75" customHeight="1" x14ac:dyDescent="0.3">
      <c r="A18" s="2"/>
      <c r="B18" s="54" t="inlineStr">
        <is>
          <t>KASA + BANKA POZİSYONU  (ORTAK CARİ HARİÇ)</t>
        </is>
      </c>
      <c r="C18" s="53"/>
      <c r="D18" s="53"/>
      <c r="E18" s="53"/>
      <c r="F18" s="53"/>
      <c r="G18" s="53"/>
      <c r="H18" s="53"/>
      <c r="I18" s="53"/>
      <c r="J18" s="53"/>
      <c r="K18" s="94">
        <f>SUMIFS($K$7:$K$16,$C$7:$C$16,"Kasa")+SUMIFS($K$7:$K$16,$C$7:$C$16,"Banka")</f>
        <v>-533100.02</v>
      </c>
      <c r="L18" s="2"/>
      <c r="M18" s="2"/>
    </row>
    <row r="19" spans="1:13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</row>
    <row r="20" spans="1:13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</row>
  </sheetData>
  <sheetProtection password="CC3D" sheet="1" formatCells="0" formatColumns="0" formatRows="0" sort="0" autoFilter="0"/>
  <mergeCells count="3">
    <mergeCell ref="A2:L2"/>
    <mergeCell ref="A1:E1"/>
    <mergeCell ref="F1:L1"/>
  </mergeCells>
  <conditionalFormatting sqref="K7:K16">
    <cfRule type="cellIs" dxfId="22" priority="2" operator="lessThan">
      <formula>0</formula>
    </cfRule>
  </conditionalFormatting>
  <dataValidations count="2">
    <dataValidation type="list" allowBlank="1" showErrorMessage="1" errorTitle="Geçersiz tür" error="Kasa, Banka veya Ortak Cari seçin." promptTitle="Geçersiz tür" prompt="Kasa, Banka veya Ortak Cari seçin." sqref="C7:C16" xr:uid="{00000000-0002-0000-0A00-000000000000}">
      <formula1>"Kasa,Banka,Ortak Cari"</formula1>
      <formula2>0</formula2>
    </dataValidation>
    <dataValidation type="list" allowBlank="1" showErrorMessage="1" errorTitle="Geçersiz durum" error="Aktif veya Pasif seçin." promptTitle="Geçersiz durum" prompt="Aktif veya Pasif seçin." sqref="D7:D16" xr:uid="{00000000-0002-0000-0A00-000001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B00-000000000000}">
  <sheetPr>
    <tabColor rgb="FF8B29D5"/>
    <pageSetUpPr fitToPage="1"/>
  </sheetPr>
  <dimension ref="A1:AA44"/>
  <sheetViews>
    <sheetView showGridLines="0" zoomScaleNormal="100" workbookViewId="0">
      <pane xSplit="2" ySplit="6" topLeftCell="H7" activePane="bottomRight" state="frozen"/>
      <selection pane="topRight" activeCell="F1" sqref="F1"/>
      <selection pane="bottomLeft" activeCell="A7" sqref="A7"/>
      <selection pane="bottomRight" activeCell="M14" sqref="M14:N14"/>
    </sheetView>
  </sheetViews>
  <sheetFormatPr defaultColWidth="8" defaultRowHeight="14.25" customHeight="1" x14ac:dyDescent="0.25"/>
  <cols>
    <col min="1" max="1" width="2.28515625" customWidth="1"/>
    <col min="2" max="2" width="17.7109375" customWidth="1"/>
    <col min="3" max="3" width="21.28515625" customWidth="1"/>
    <col min="4" max="4" width="15.7109375" customWidth="1"/>
    <col min="5" max="5" width="13.42578125" customWidth="1"/>
    <col min="6" max="7" width="14.85546875" customWidth="1"/>
    <col min="8" max="8" width="16.140625" customWidth="1"/>
    <col min="9" max="9" width="16.5703125" customWidth="1"/>
    <col min="10" max="10" width="12" customWidth="1"/>
    <col min="11" max="11" width="13" customWidth="1"/>
    <col min="12" max="12" width="18.28515625" bestFit="1" customWidth="1"/>
    <col min="13" max="14" width="14.5703125" bestFit="1" customWidth="1"/>
    <col min="15" max="15" width="17.28515625" bestFit="1" customWidth="1"/>
    <col min="16" max="17" width="14.7109375" bestFit="1" customWidth="1"/>
    <col min="18" max="18" width="17" bestFit="1" customWidth="1"/>
    <col min="19" max="19" width="20.7109375" bestFit="1" customWidth="1"/>
    <col min="20" max="20" width="13" customWidth="1"/>
    <col min="21" max="22" width="2.28515625" customWidth="1"/>
    <col min="24" max="27" width="12" hidden="1" customWidth="1"/>
  </cols>
  <sheetData>
    <row r="1" spans="1:27" ht="37.5" customHeight="1" x14ac:dyDescent="0.3">
      <c r="A1" s="212" t="s">
        <v>1057</v>
      </c>
      <c r="B1" s="150"/>
      <c r="C1" s="150"/>
      <c r="D1" s="150"/>
      <c r="E1" s="150"/>
      <c r="F1" s="208" t="s">
        <v>1058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3"/>
      <c r="V1" s="13"/>
      <c r="W1" s="1"/>
      <c r="X1" s="1"/>
      <c r="Y1" s="1"/>
      <c r="Z1" s="1"/>
      <c r="AA1" s="1"/>
    </row>
    <row r="2" spans="1:27" ht="21.75" customHeight="1" x14ac:dyDescent="0.3">
      <c r="A2" s="213" t="s">
        <v>1059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"/>
      <c r="V2" s="14"/>
      <c r="W2" s="1"/>
      <c r="X2" s="1"/>
      <c r="Y2" s="1"/>
      <c r="Z2" s="1"/>
      <c r="AA2" s="1"/>
    </row>
    <row r="3" spans="1:27" ht="19.5" customHeight="1" x14ac:dyDescent="0.3">
      <c r="A3" s="2"/>
      <c r="B3" s="50" t="inlineStr">
        <is>
          <t>⚠  AY SONU KULLANIMI: 1) S sütununda KAPANABİLİR gör. 2) M/N hakedişi kontrol et. 3) Ödeme yapacaksan VIRMAN’da Kasa/Banka → Ortak ve açıklama “KÂR PAYI / AVANS” gir. 4) P/Q otomatik dolar ve PANO KASA+BANKA azalır. 5) Kontroller temizse O sütununu Evet yap. Kâr payını GELİR_GİDER’e yazma.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  <c r="AA3" s="1"/>
    </row>
    <row r="4" spans="1:27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51" t="str">
        <f>HYPERLINK("#SISTEM!A1","Sistem")</f>
        <v>Sistem</v>
      </c>
      <c r="E4" s="2"/>
      <c r="F4" s="51" t="str">
        <f>HYPERLINK("#HESAPLAR!A1","Hesaplar")</f>
        <v>Hesaplar</v>
      </c>
      <c r="G4" s="2"/>
      <c r="H4" s="52" t="inlineStr">
        <is>
          <t>Kâr payı/avans kaydı: VIRMAN → Kasa/Banka’dan Ortak’a. Hakedişi aşan çekiş AVANS olur; kırmızı eksi gösterilir, tek başına kapanışı engellemez.</t>
        </is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</row>
    <row r="5" spans="1:27" ht="25.5" customHeight="1" x14ac:dyDescent="0.3">
      <c r="A5" s="2"/>
      <c r="B5" s="54" t="s">
        <v>1062</v>
      </c>
      <c r="C5" s="56">
        <f t="shared" ref="C5:I5" si="0">SUM(C7:C42)</f>
        <v>16896286</v>
      </c>
      <c r="D5" s="56">
        <f t="shared" si="0"/>
        <v>2299500</v>
      </c>
      <c r="E5" s="56">
        <f t="shared" si="0"/>
        <v>483250</v>
      </c>
      <c r="F5" s="56">
        <f t="shared" si="0"/>
        <v>2782750</v>
      </c>
      <c r="G5" s="56">
        <f t="shared" si="0"/>
        <v>1235687.98</v>
      </c>
      <c r="H5" s="56">
        <f t="shared" si="0"/>
        <v>16143848.02</v>
      </c>
      <c r="I5" s="56">
        <f t="shared" si="0"/>
        <v>1547062.02</v>
      </c>
      <c r="J5" s="53"/>
      <c r="K5" s="53"/>
      <c r="L5" s="56">
        <f>SUM(L7:L42)</f>
        <v>49880784.850000024</v>
      </c>
      <c r="M5" s="56">
        <f>SUM(M7:M42)</f>
        <v>773531.01</v>
      </c>
      <c r="N5" s="56">
        <f>SUM(N7:N42)</f>
        <v>773531.01</v>
      </c>
      <c r="O5" s="53"/>
      <c r="P5" s="53">
        <f>SUM(P7:P42)</f>
        <v>634731.02</v>
      </c>
      <c r="Q5" s="53">
        <f>SUM(Q7:Q42)</f>
        <v>634731.02</v>
      </c>
      <c r="R5" s="53">
        <f>R42</f>
        <v>277599.98</v>
      </c>
      <c r="S5" s="53"/>
      <c r="T5" s="53"/>
      <c r="U5" s="2"/>
      <c r="V5" s="2"/>
      <c r="W5" s="1"/>
      <c r="X5" s="1"/>
      <c r="Y5" s="1"/>
      <c r="Z5" s="1"/>
      <c r="AA5" s="1"/>
    </row>
    <row r="6" spans="1:27" ht="39.75" customHeight="1" x14ac:dyDescent="0.3">
      <c r="A6" s="2"/>
      <c r="B6" s="57" t="s">
        <v>715</v>
      </c>
      <c r="C6" s="59" t="s">
        <v>1063</v>
      </c>
      <c r="D6" s="59" t="s">
        <v>1064</v>
      </c>
      <c r="E6" s="59" t="s">
        <v>1065</v>
      </c>
      <c r="F6" s="59" t="s">
        <v>1066</v>
      </c>
      <c r="G6" s="59" t="s">
        <v>1067</v>
      </c>
      <c r="H6" s="59" t="s">
        <v>1068</v>
      </c>
      <c r="I6" s="59" t="s">
        <v>1069</v>
      </c>
      <c r="J6" s="57" t="s">
        <v>1070</v>
      </c>
      <c r="K6" s="59" t="s">
        <v>1071</v>
      </c>
      <c r="L6" s="59" t="s">
        <v>1072</v>
      </c>
      <c r="M6" s="59" t="s">
        <v>1073</v>
      </c>
      <c r="N6" s="59" t="s">
        <v>1074</v>
      </c>
      <c r="O6" s="57" t="s">
        <v>1075</v>
      </c>
      <c r="P6" s="59" t="s">
        <v>1076</v>
      </c>
      <c r="Q6" s="59" t="s">
        <v>1077</v>
      </c>
      <c r="R6" s="59" t="s">
        <v>1078</v>
      </c>
      <c r="S6" s="57" t="s">
        <v>691</v>
      </c>
      <c r="T6" s="57" t="s">
        <v>1079</v>
      </c>
      <c r="U6" s="2"/>
      <c r="V6" s="2"/>
      <c r="W6" s="1"/>
      <c r="X6" s="1"/>
      <c r="Y6" s="1"/>
      <c r="Z6" s="1"/>
      <c r="AA6" s="1"/>
    </row>
    <row r="7" spans="1:27" ht="18" customHeight="1" x14ac:dyDescent="0.3">
      <c r="A7" s="2"/>
      <c r="B7" s="73">
        <v>46023</v>
      </c>
      <c r="C7" s="95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$3001,GELIR_GIDER!$V$7:$V$3001,1,GELIR_GIDER!$C$7:$C$3001,"&gt;="&amp;$B7,GELIR_GIDER!$C$7:$C$3001,"&lt;"&amp;EDATE($B7,1))</f>
        <v>447251</v>
      </c>
      <c r="D7" s="95">
        <f>SUMIFS(TAHSILAT!$F$7:$F$2503,TAHSILAT!$E$7:$E$2503,"&gt;="&amp;$B7,TAHSILAT!$E$7:$E$2503,"&lt;"&amp;EDATE($B7,1),TAHSILAT!$H$7:$H$2503,"&lt;&gt;Mahsup")</f>
        <v>364900</v>
      </c>
      <c r="E7" s="95">
        <f>SUMIFS(GELIR_GIDER!$G$7:$G$3001,GELIR_GIDER!$D$7:$D$3001,"Gelir",GELIR_GIDER!$C$7:$C$3001,"&gt;="&amp;$B7,GELIR_GIDER!$C$7:$C$3001,"&lt;"&amp;EDATE($B7,1),GELIR_GIDER!$I$7:$I$3001,"Evet")</f>
        <v>0</v>
      </c>
      <c r="F7" s="95">
        <f t="shared" ref="F7:F42" si="1">$D7+$E7</f>
        <v>364900</v>
      </c>
      <c r="G7" s="95">
        <f>SUMIFS(GELIR_GIDER!$G$7:$G$3001,GELIR_GIDER!$D$7:$D$3001,"Gider",GELIR_GIDER!$C$7:$C$3001,"&gt;="&amp;$B7,GELIR_GIDER!$C$7:$C$3001,"&lt;"&amp;EDATE($B7,1),GELIR_GIDER!$I$7:$I$3001,"Evet")</f>
        <v>109333.81999999999</v>
      </c>
      <c r="H7" s="95">
        <f>$C7+$E7-SUMIFS(GELIR_GIDER!$G$7:$G$3001,GELIR_GIDER!$D$7:$D$3001,"Gider",GELIR_GIDER!$C$7:$C$3001,"&gt;="&amp;$B7,GELIR_GIDER!$C$7:$C$3001,"&lt;"&amp;EDATE($B7,1))</f>
        <v>337917.18</v>
      </c>
      <c r="I7" s="95">
        <f t="shared" ref="I7:I42" si="2">$F7-$G7</f>
        <v>255566.18</v>
      </c>
      <c r="J7" s="92">
        <f t="shared" ref="J7:J42" si="3">IFERROR($D7/$C7,0)</f>
        <v>0.81587296618677208</v>
      </c>
      <c r="K7" s="95">
        <f>SISTEM!$C$13</f>
        <v>0</v>
      </c>
      <c r="L7" s="95">
        <f>MAX(0,SUM($I$7:$I7)-$K7)</f>
        <v>255566.18</v>
      </c>
      <c r="M7" s="95">
        <f t="shared" ref="M7:M42" si="4">$Y7*$Z7</f>
        <v>127783.09</v>
      </c>
      <c r="N7" s="95">
        <f t="shared" ref="N7:N42" si="5">$Y7*$AA7</f>
        <v>127783.09</v>
      </c>
      <c r="O7" s="60" t="s">
        <v>1080</v>
      </c>
      <c r="P7" s="95">
        <f>SUMIFS(VIRMAN!$F$7:$F$406,VIRMAN!$E$7:$E$406,SISTEM!$C$9,VIRMAN!$C$7:$C$406,"&gt;="&amp;$B7,VIRMAN!$C$7:$C$406,"&lt;"&amp;EDATE($B7,1),VIRMAN!$G$7:$G$406,"KÂR PAYI / AVANS*")</f>
        <v>127783.09</v>
      </c>
      <c r="Q7" s="95">
        <f>SUMIFS(VIRMAN!$F$7:$F$406,VIRMAN!$E$7:$E$406,SISTEM!$C$10,VIRMAN!$C$7:$C$406,"&gt;="&amp;$B7,VIRMAN!$C$7:$C$406,"&lt;"&amp;EDATE($B7,1),VIRMAN!$G$7:$G$406,"KÂR PAYI / AVANS*")</f>
        <v>127783.09</v>
      </c>
      <c r="R7" s="95">
        <f>SUM($M$7:$M7)+SUM($N$7:$N7)-SUM($P$7:$P7)-SUM($Q$7:$Q7)</f>
        <v>0</v>
      </c>
      <c r="S7" s="65" t="str">
        <f>IF($B7&gt;=DATE(YEAR(TODAY()),MONTH(TODAY()),1),"AÇIK",IF(COUNTIFS(SISTEM!$C$23:$C$90,"KRİTİK",SISTEM!$F$23:$F$90,"KALDI")&gt;0,"KAPATILAMAZ",IF(COUNTIF(SISTEM!$F$23:$F$90,"KALDI")=0,"KAPANABİLİR","UYARI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7" s="65" t="str">
        <f>IF(ABS($Y7-$M7-$N7)&gt;0.01,"PAY HATASI",IF($S7="KAPATILAMAZ",IFERROR("KAPATILAMAZ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edin"),IF($O7="Evet","KAPANDI","AÇIK")))</f>
        <v>AÇIK</v>
      </c>
      <c r="U7" s="2"/>
      <c r="V7" s="2"/>
      <c r="W7" s="1"/>
      <c r="X7" s="1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$3001,GELIR_GIDER!$V$7:$V$3001,1,GELIR_GIDER!$C$7:$C$3001,"&lt;="&amp;EOMONTH($B7,0))</f>
        <v>447251</v>
      </c>
      <c r="Y7" s="1">
        <f t="shared" ref="Y7:Y42" si="6">$L7-N($L6)</f>
        <v>255566.18</v>
      </c>
      <c r="Z7" s="1">
        <f>SUMIFS(ORTAKLAR!$E$14:$E$33,ORTAKLAR!$B$14:$B$33,SISTEM!$C$9,ORTAKLAR!$C$14:$C$33,"&lt;="&amp;$B7,ORTAKLAR!$K$14:$K$33,"&gt;="&amp;$B7)</f>
        <v>0.5</v>
      </c>
      <c r="AA7" s="1">
        <f>SUMIFS(ORTAKLAR!$E$14:$E$33,ORTAKLAR!$B$14:$B$33,SISTEM!$C$10,ORTAKLAR!$C$14:$C$33,"&lt;="&amp;$B7,ORTAKLAR!$K$14:$K$33,"&gt;="&amp;$B7)</f>
        <v>0.5</v>
      </c>
    </row>
    <row r="8" spans="1:27" ht="18" customHeight="1" x14ac:dyDescent="0.3">
      <c r="A8" s="2"/>
      <c r="B8" s="73">
        <v>46054</v>
      </c>
      <c r="C8" s="95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$3001,GELIR_GIDER!$V$7:$V$3001,1,GELIR_GIDER!$C$7:$C$3001,"&gt;="&amp;$B8,GELIR_GIDER!$C$7:$C$3001,"&lt;"&amp;EDATE($B8,1))</f>
        <v>383501</v>
      </c>
      <c r="D8" s="95">
        <f>SUMIFS(TAHSILAT!$F$7:$F$2503,TAHSILAT!$E$7:$E$2503,"&gt;="&amp;$B8,TAHSILAT!$E$7:$E$2503,"&lt;"&amp;EDATE($B8,1),TAHSILAT!$H$7:$H$2503,"&lt;&gt;Mahsup")</f>
        <v>205500</v>
      </c>
      <c r="E8" s="95">
        <f>SUMIFS(GELIR_GIDER!$G$7:$G$3001,GELIR_GIDER!$D$7:$D$3001,"Gelir",GELIR_GIDER!$C$7:$C$3001,"&gt;="&amp;$B8,GELIR_GIDER!$C$7:$C$3001,"&lt;"&amp;EDATE($B8,1),GELIR_GIDER!$I$7:$I$3001,"Evet")</f>
        <v>97200</v>
      </c>
      <c r="F8" s="95">
        <f t="shared" si="1"/>
        <v>302700</v>
      </c>
      <c r="G8" s="95">
        <f>SUMIFS(GELIR_GIDER!$G$7:$G$3001,GELIR_GIDER!$D$7:$D$3001,"Gider",GELIR_GIDER!$C$7:$C$3001,"&gt;="&amp;$B8,GELIR_GIDER!$C$7:$C$3001,"&lt;"&amp;EDATE($B8,1),GELIR_GIDER!$I$7:$I$3001,"Evet")</f>
        <v>282078.19000000006</v>
      </c>
      <c r="H8" s="95">
        <f>$C8+$E8-SUMIFS(GELIR_GIDER!$G$7:$G$3001,GELIR_GIDER!$D$7:$D$3001,"Gider",GELIR_GIDER!$C$7:$C$3001,"&gt;="&amp;$B8,GELIR_GIDER!$C$7:$C$3001,"&lt;"&amp;EDATE($B8,1))</f>
        <v>198622.80999999994</v>
      </c>
      <c r="I8" s="95">
        <f t="shared" si="2"/>
        <v>20621.809999999939</v>
      </c>
      <c r="J8" s="92">
        <f t="shared" si="3"/>
        <v>0.5358525792631571</v>
      </c>
      <c r="K8" s="95">
        <f>SISTEM!$C$13</f>
        <v>0</v>
      </c>
      <c r="L8" s="95">
        <f>MAX(0,SUM($I$7:$I8)-$K8)</f>
        <v>276187.98999999993</v>
      </c>
      <c r="M8" s="95">
        <f t="shared" si="4"/>
        <v>10310.90499999997</v>
      </c>
      <c r="N8" s="95">
        <f t="shared" si="5"/>
        <v>10310.90499999997</v>
      </c>
      <c r="O8" s="60" t="s">
        <v>1080</v>
      </c>
      <c r="P8" s="95">
        <f>SUMIFS(VIRMAN!$F$7:$F$406,VIRMAN!$E$7:$E$406,SISTEM!$C$9,VIRMAN!$C$7:$C$406,"&gt;="&amp;$B8,VIRMAN!$C$7:$C$406,"&lt;"&amp;EDATE($B8,1),VIRMAN!$G$7:$G$406,"KÂR PAYI / AVANS*")</f>
        <v>10310.91</v>
      </c>
      <c r="Q8" s="95">
        <f>SUMIFS(VIRMAN!$F$7:$F$406,VIRMAN!$E$7:$E$406,SISTEM!$C$10,VIRMAN!$C$7:$C$406,"&gt;="&amp;$B8,VIRMAN!$C$7:$C$406,"&lt;"&amp;EDATE($B8,1),VIRMAN!$G$7:$G$406,"KÂR PAYI / AVANS*")</f>
        <v>10310.91</v>
      </c>
      <c r="R8" s="95">
        <f>SUM($M$7:$M8)+SUM($N$7:$N8)-SUM($P$7:$P8)-SUM($Q$7:$Q8)</f>
        <v>-1.0000000067520887E-2</v>
      </c>
      <c r="S8" s="65" t="str">
        <f>IF($B8&gt;=DATE(YEAR(TODAY()),MONTH(TODAY()),1),"AÇIK",IF(COUNTIFS(SISTEM!$C$23:$C$90,"KRİTİK",SISTEM!$F$23:$F$90,"KALDI")&gt;0,"KAPATILAMAZ",IF(COUNTIF(SISTEM!$F$23:$F$90,"KALDI")=0,"KAPANABİLİR","UYARI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8" s="65" t="str">
        <f>IF(ABS($Y8-$M8-$N8)&gt;0.01,"PAY HATASI",IF($S8="KAPATILAMAZ",IFERROR("KAPATILAMAZ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edin"),IF($O8="Evet","KAPANDI","AÇIK")))</f>
        <v>AÇIK</v>
      </c>
      <c r="U8" s="2"/>
      <c r="V8" s="2"/>
      <c r="W8" s="1"/>
      <c r="X8" s="1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$3001,GELIR_GIDER!$V$7:$V$3001,1,GELIR_GIDER!$C$7:$C$3001,"&lt;="&amp;EOMONTH($B8,0))</f>
        <v>830752</v>
      </c>
      <c r="Y8" s="1">
        <f t="shared" si="6"/>
        <v>20621.809999999939</v>
      </c>
      <c r="Z8" s="1">
        <f>SUMIFS(ORTAKLAR!$E$14:$E$33,ORTAKLAR!$B$14:$B$33,SISTEM!$C$9,ORTAKLAR!$C$14:$C$33,"&lt;="&amp;$B8,ORTAKLAR!$K$14:$K$33,"&gt;="&amp;$B8)</f>
        <v>0.5</v>
      </c>
      <c r="AA8" s="1">
        <f>SUMIFS(ORTAKLAR!$E$14:$E$33,ORTAKLAR!$B$14:$B$33,SISTEM!$C$10,ORTAKLAR!$C$14:$C$33,"&lt;="&amp;$B8,ORTAKLAR!$K$14:$K$33,"&gt;="&amp;$B8)</f>
        <v>0.5</v>
      </c>
    </row>
    <row r="9" spans="1:27" ht="18" customHeight="1" x14ac:dyDescent="0.3">
      <c r="A9" s="2"/>
      <c r="B9" s="73">
        <v>46082</v>
      </c>
      <c r="C9" s="95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$3001,GELIR_GIDER!$V$7:$V$3001,1,GELIR_GIDER!$C$7:$C$3001,"&gt;="&amp;$B9,GELIR_GIDER!$C$7:$C$3001,"&lt;"&amp;EDATE($B9,1))</f>
        <v>393501</v>
      </c>
      <c r="D9" s="95">
        <f>SUMIFS(TAHSILAT!$F$7:$F$2503,TAHSILAT!$E$7:$E$2503,"&gt;="&amp;$B9,TAHSILAT!$E$7:$E$2503,"&lt;"&amp;EDATE($B9,1),TAHSILAT!$H$7:$H$2503,"&lt;&gt;Mahsup")</f>
        <v>263250</v>
      </c>
      <c r="E9" s="95">
        <f>SUMIFS(GELIR_GIDER!$G$7:$G$3001,GELIR_GIDER!$D$7:$D$3001,"Gelir",GELIR_GIDER!$C$7:$C$3001,"&gt;="&amp;$B9,GELIR_GIDER!$C$7:$C$3001,"&lt;"&amp;EDATE($B9,1),GELIR_GIDER!$I$7:$I$3001,"Evet")</f>
        <v>50000</v>
      </c>
      <c r="F9" s="95">
        <f t="shared" si="1"/>
        <v>313250</v>
      </c>
      <c r="G9" s="95">
        <f>SUMIFS(GELIR_GIDER!$G$7:$G$3001,GELIR_GIDER!$D$7:$D$3001,"Gider",GELIR_GIDER!$C$7:$C$3001,"&gt;="&amp;$B9,GELIR_GIDER!$C$7:$C$3001,"&lt;"&amp;EDATE($B9,1),GELIR_GIDER!$I$7:$I$3001,"Evet")</f>
        <v>158407.97</v>
      </c>
      <c r="H9" s="95">
        <f>$C9+$E9-SUMIFS(GELIR_GIDER!$G$7:$G$3001,GELIR_GIDER!$D$7:$D$3001,"Gider",GELIR_GIDER!$C$7:$C$3001,"&gt;="&amp;$B9,GELIR_GIDER!$C$7:$C$3001,"&lt;"&amp;EDATE($B9,1))</f>
        <v>285093.03000000003</v>
      </c>
      <c r="I9" s="95">
        <f t="shared" si="2"/>
        <v>154842.03</v>
      </c>
      <c r="J9" s="92">
        <f t="shared" si="3"/>
        <v>0.66899448794285143</v>
      </c>
      <c r="K9" s="95">
        <f>SISTEM!$C$13</f>
        <v>0</v>
      </c>
      <c r="L9" s="95">
        <f>MAX(0,SUM($I$7:$I9)-$K9)</f>
        <v>431030.0199999999</v>
      </c>
      <c r="M9" s="95">
        <f t="shared" si="4"/>
        <v>77421.014999999985</v>
      </c>
      <c r="N9" s="95">
        <f t="shared" si="5"/>
        <v>77421.014999999985</v>
      </c>
      <c r="O9" s="60" t="s">
        <v>1080</v>
      </c>
      <c r="P9" s="95">
        <f>SUMIFS(VIRMAN!$F$7:$F$406,VIRMAN!$E$7:$E$406,SISTEM!$C$9,VIRMAN!$C$7:$C$406,"&gt;="&amp;$B9,VIRMAN!$C$7:$C$406,"&lt;"&amp;EDATE($B9,1),VIRMAN!$G$7:$G$406,"KÂR PAYI / AVANS*")</f>
        <v>77421.02</v>
      </c>
      <c r="Q9" s="95">
        <f>SUMIFS(VIRMAN!$F$7:$F$406,VIRMAN!$E$7:$E$406,SISTEM!$C$10,VIRMAN!$C$7:$C$406,"&gt;="&amp;$B9,VIRMAN!$C$7:$C$406,"&lt;"&amp;EDATE($B9,1),VIRMAN!$G$7:$G$406,"KÂR PAYI / AVANS*")</f>
        <v>77421.02</v>
      </c>
      <c r="R9" s="95">
        <f>SUM($M$7:$M9)+SUM($N$7:$N9)-SUM($P$7:$P9)-SUM($Q$7:$Q9)</f>
        <v>-2.0000000135041773E-2</v>
      </c>
      <c r="S9" s="65" t="str">
        <f>IF($B9&gt;=DATE(YEAR(TODAY()),MONTH(TODAY()),1),"AÇIK",IF(COUNTIFS(SISTEM!$C$23:$C$90,"KRİTİK",SISTEM!$F$23:$F$90,"KALDI")&gt;0,"KAPATILAMAZ",IF(COUNTIF(SISTEM!$F$23:$F$90,"KALDI")=0,"KAPANABİLİR","UYARI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9" s="65" t="str">
        <f>IF(ABS($Y9-$M9-$N9)&gt;0.01,"PAY HATASI",IF($S9="KAPATILAMAZ",IFERROR("KAPATILAMAZ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edin"),IF($O9="Evet","KAPANDI","AÇIK")))</f>
        <v>AÇIK</v>
      </c>
      <c r="U9" s="2"/>
      <c r="V9" s="2"/>
      <c r="W9" s="1"/>
      <c r="X9" s="1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$3001,GELIR_GIDER!$V$7:$V$3001,1,GELIR_GIDER!$C$7:$C$3001,"&lt;="&amp;EOMONTH($B9,0))</f>
        <v>1224253</v>
      </c>
      <c r="Y9" s="1">
        <f t="shared" si="6"/>
        <v>154842.02999999997</v>
      </c>
      <c r="Z9" s="1">
        <f>SUMIFS(ORTAKLAR!$E$14:$E$33,ORTAKLAR!$B$14:$B$33,SISTEM!$C$9,ORTAKLAR!$C$14:$C$33,"&lt;="&amp;$B9,ORTAKLAR!$K$14:$K$33,"&gt;="&amp;$B9)</f>
        <v>0.5</v>
      </c>
      <c r="AA9" s="1">
        <f>SUMIFS(ORTAKLAR!$E$14:$E$33,ORTAKLAR!$B$14:$B$33,SISTEM!$C$10,ORTAKLAR!$C$14:$C$33,"&lt;="&amp;$B9,ORTAKLAR!$K$14:$K$33,"&gt;="&amp;$B9)</f>
        <v>0.5</v>
      </c>
    </row>
    <row r="10" spans="1:27" ht="18" customHeight="1" x14ac:dyDescent="0.3">
      <c r="A10" s="2"/>
      <c r="B10" s="73">
        <v>46113</v>
      </c>
      <c r="C10" s="95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$3001,GELIR_GIDER!$V$7:$V$3001,1,GELIR_GIDER!$C$7:$C$3001,"&gt;="&amp;$B10,GELIR_GIDER!$C$7:$C$3001,"&lt;"&amp;EDATE($B10,1))</f>
        <v>413501</v>
      </c>
      <c r="D10" s="95">
        <f>SUMIFS(TAHSILAT!$F$7:$F$2503,TAHSILAT!$E$7:$E$2503,"&gt;="&amp;$B10,TAHSILAT!$E$7:$E$2503,"&lt;"&amp;EDATE($B10,1),TAHSILAT!$H$7:$H$2503,"&lt;&gt;Mahsup")</f>
        <v>283700</v>
      </c>
      <c r="E10" s="95">
        <f>SUMIFS(GELIR_GIDER!$G$7:$G$3001,GELIR_GIDER!$D$7:$D$3001,"Gelir",GELIR_GIDER!$C$7:$C$3001,"&gt;="&amp;$B10,GELIR_GIDER!$C$7:$C$3001,"&lt;"&amp;EDATE($B10,1),GELIR_GIDER!$I$7:$I$3001,"Evet")</f>
        <v>147600</v>
      </c>
      <c r="F10" s="95">
        <f t="shared" si="1"/>
        <v>431300</v>
      </c>
      <c r="G10" s="95">
        <f>SUMIFS(GELIR_GIDER!$G$7:$G$3001,GELIR_GIDER!$D$7:$D$3001,"Gider",GELIR_GIDER!$C$7:$C$3001,"&gt;="&amp;$B10,GELIR_GIDER!$C$7:$C$3001,"&lt;"&amp;EDATE($B10,1),GELIR_GIDER!$I$7:$I$3001,"Evet")</f>
        <v>156594</v>
      </c>
      <c r="H10" s="95">
        <f>$C10+$E10-SUMIFS(GELIR_GIDER!$G$7:$G$3001,GELIR_GIDER!$D$7:$D$3001,"Gider",GELIR_GIDER!$C$7:$C$3001,"&gt;="&amp;$B10,GELIR_GIDER!$C$7:$C$3001,"&lt;"&amp;EDATE($B10,1))</f>
        <v>404507</v>
      </c>
      <c r="I10" s="95">
        <f t="shared" si="2"/>
        <v>274706</v>
      </c>
      <c r="J10" s="92">
        <f t="shared" si="3"/>
        <v>0.68609265757519333</v>
      </c>
      <c r="K10" s="95">
        <f>SISTEM!$C$13</f>
        <v>0</v>
      </c>
      <c r="L10" s="95">
        <f>MAX(0,SUM($I$7:$I10)-$K10)</f>
        <v>705736.0199999999</v>
      </c>
      <c r="M10" s="95">
        <f t="shared" si="4"/>
        <v>137353</v>
      </c>
      <c r="N10" s="95">
        <f t="shared" si="5"/>
        <v>137353</v>
      </c>
      <c r="O10" s="60" t="s">
        <v>1080</v>
      </c>
      <c r="P10" s="95">
        <f>SUMIFS(VIRMAN!$F$7:$F$406,VIRMAN!$E$7:$E$406,SISTEM!$C$9,VIRMAN!$C$7:$C$406,"&gt;="&amp;$B10,VIRMAN!$C$7:$C$406,"&lt;"&amp;EDATE($B10,1),VIRMAN!$G$7:$G$406,"KÂR PAYI / AVANS*")</f>
        <v>137353</v>
      </c>
      <c r="Q10" s="95">
        <f>SUMIFS(VIRMAN!$F$7:$F$406,VIRMAN!$E$7:$E$406,SISTEM!$C$10,VIRMAN!$C$7:$C$406,"&gt;="&amp;$B10,VIRMAN!$C$7:$C$406,"&lt;"&amp;EDATE($B10,1),VIRMAN!$G$7:$G$406,"KÂR PAYI / AVANS*")</f>
        <v>137353</v>
      </c>
      <c r="R10" s="95">
        <f>SUM($M$7:$M10)+SUM($N$7:$N10)-SUM($P$7:$P10)-SUM($Q$7:$Q10)</f>
        <v>-2.0000000135041773E-2</v>
      </c>
      <c r="S10" s="65" t="str">
        <f>IF($B10&gt;=DATE(YEAR(TODAY()),MONTH(TODAY()),1),"AÇIK",IF(COUNTIFS(SISTEM!$C$23:$C$90,"KRİTİK",SISTEM!$F$23:$F$90,"KALDI")&gt;0,"KAPATILAMAZ",IF(COUNTIF(SISTEM!$F$23:$F$90,"KALDI")=0,"KAPANABİLİR","UYARI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10" s="65" t="str">
        <f>IF(ABS($Y10-$M10-$N10)&gt;0.01,"PAY HATASI",IF($S10="KAPATILAMAZ",IFERROR("KAPATILAMAZ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edin"),IF($O10="Evet","KAPANDI","AÇIK")))</f>
        <v>AÇIK</v>
      </c>
      <c r="U10" s="2"/>
      <c r="V10" s="2"/>
      <c r="W10" s="1"/>
      <c r="X10" s="1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$3001,GELIR_GIDER!$V$7:$V$3001,1,GELIR_GIDER!$C$7:$C$3001,"&lt;="&amp;EOMONTH($B10,0))</f>
        <v>1637754</v>
      </c>
      <c r="Y10" s="1">
        <f t="shared" si="6"/>
        <v>274706</v>
      </c>
      <c r="Z10" s="1">
        <f>SUMIFS(ORTAKLAR!$E$14:$E$33,ORTAKLAR!$B$14:$B$33,SISTEM!$C$9,ORTAKLAR!$C$14:$C$33,"&lt;="&amp;$B10,ORTAKLAR!$K$14:$K$33,"&gt;="&amp;$B10)</f>
        <v>0.5</v>
      </c>
      <c r="AA10" s="1">
        <f>SUMIFS(ORTAKLAR!$E$14:$E$33,ORTAKLAR!$B$14:$B$33,SISTEM!$C$10,ORTAKLAR!$C$14:$C$33,"&lt;="&amp;$B10,ORTAKLAR!$K$14:$K$33,"&gt;="&amp;$B10)</f>
        <v>0.5</v>
      </c>
    </row>
    <row r="11" spans="1:27" ht="18" customHeight="1" x14ac:dyDescent="0.3">
      <c r="A11" s="2"/>
      <c r="B11" s="73">
        <v>46143</v>
      </c>
      <c r="C11" s="95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$3001,GELIR_GIDER!$V$7:$V$3001,1,GELIR_GIDER!$C$7:$C$3001,"&gt;="&amp;$B11,GELIR_GIDER!$C$7:$C$3001,"&lt;"&amp;EDATE($B11,1))</f>
        <v>494251</v>
      </c>
      <c r="D11" s="95">
        <f>SUMIFS(TAHSILAT!$F$7:$F$2503,TAHSILAT!$E$7:$E$2503,"&gt;="&amp;$B11,TAHSILAT!$E$7:$E$2503,"&lt;"&amp;EDATE($B11,1),TAHSILAT!$H$7:$H$2503,"&lt;&gt;Mahsup")</f>
        <v>350150</v>
      </c>
      <c r="E11" s="95">
        <f>SUMIFS(GELIR_GIDER!$G$7:$G$3001,GELIR_GIDER!$D$7:$D$3001,"Gelir",GELIR_GIDER!$C$7:$C$3001,"&gt;="&amp;$B11,GELIR_GIDER!$C$7:$C$3001,"&lt;"&amp;EDATE($B11,1),GELIR_GIDER!$I$7:$I$3001,"Evet")</f>
        <v>67250</v>
      </c>
      <c r="F11" s="95">
        <f t="shared" si="1"/>
        <v>417400</v>
      </c>
      <c r="G11" s="95">
        <f>SUMIFS(GELIR_GIDER!$G$7:$G$3001,GELIR_GIDER!$D$7:$D$3001,"Gider",GELIR_GIDER!$C$7:$C$3001,"&gt;="&amp;$B11,GELIR_GIDER!$C$7:$C$3001,"&lt;"&amp;EDATE($B11,1),GELIR_GIDER!$I$7:$I$3001,"Evet")</f>
        <v>197854</v>
      </c>
      <c r="H11" s="95">
        <f>$C11+$E11-SUMIFS(GELIR_GIDER!$G$7:$G$3001,GELIR_GIDER!$D$7:$D$3001,"Gider",GELIR_GIDER!$C$7:$C$3001,"&gt;="&amp;$B11,GELIR_GIDER!$C$7:$C$3001,"&lt;"&amp;EDATE($B11,1))</f>
        <v>363647</v>
      </c>
      <c r="I11" s="95">
        <f t="shared" si="2"/>
        <v>219546</v>
      </c>
      <c r="J11" s="92">
        <f t="shared" si="3"/>
        <v>0.70844570875931456</v>
      </c>
      <c r="K11" s="95">
        <f>SISTEM!$C$13</f>
        <v>0</v>
      </c>
      <c r="L11" s="95">
        <f>MAX(0,SUM($I$7:$I11)-$K11)</f>
        <v>925282.0199999999</v>
      </c>
      <c r="M11" s="95">
        <f t="shared" si="4"/>
        <v>109773</v>
      </c>
      <c r="N11" s="95">
        <f t="shared" si="5"/>
        <v>109773</v>
      </c>
      <c r="O11" s="60" t="s">
        <v>1080</v>
      </c>
      <c r="P11" s="95">
        <f>SUMIFS(VIRMAN!$F$7:$F$406,VIRMAN!$E$7:$E$406,SISTEM!$C$9,VIRMAN!$C$7:$C$406,"&gt;="&amp;$B11,VIRMAN!$C$7:$C$406,"&lt;"&amp;EDATE($B11,1),VIRMAN!$G$7:$G$406,"KÂR PAYI / AVANS*")</f>
        <v>109773</v>
      </c>
      <c r="Q11" s="95">
        <f>SUMIFS(VIRMAN!$F$7:$F$406,VIRMAN!$E$7:$E$406,SISTEM!$C$10,VIRMAN!$C$7:$C$406,"&gt;="&amp;$B11,VIRMAN!$C$7:$C$406,"&lt;"&amp;EDATE($B11,1),VIRMAN!$G$7:$G$406,"KÂR PAYI / AVANS*")</f>
        <v>109773</v>
      </c>
      <c r="R11" s="95">
        <f>SUM($M$7:$M11)+SUM($N$7:$N11)-SUM($P$7:$P11)-SUM($Q$7:$Q11)</f>
        <v>-2.0000000135041773E-2</v>
      </c>
      <c r="S11" s="65" t="str">
        <f>IF($B11&gt;=DATE(YEAR(TODAY()),MONTH(TODAY()),1),"AÇIK",IF(COUNTIFS(SISTEM!$C$23:$C$90,"KRİTİK",SISTEM!$F$23:$F$90,"KALDI")&gt;0,"KAPATILAMAZ",IF(COUNTIF(SISTEM!$F$23:$F$90,"KALDI")=0,"KAPANABİLİR","UYARI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11" s="65" t="str">
        <f>IF(ABS($Y11-$M11-$N11)&gt;0.01,"PAY HATASI",IF($S11="KAPATILAMAZ",IFERROR("KAPATILAMAZ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edin"),IF($O11="Evet","KAPANDI","AÇIK")))</f>
        <v>AÇIK</v>
      </c>
      <c r="U11" s="2"/>
      <c r="V11" s="2"/>
      <c r="W11" s="1"/>
      <c r="X11" s="1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$3001,GELIR_GIDER!$V$7:$V$3001,1,GELIR_GIDER!$C$7:$C$3001,"&lt;="&amp;EOMONTH($B11,0))</f>
        <v>2132005</v>
      </c>
      <c r="Y11" s="1">
        <f t="shared" si="6"/>
        <v>219546</v>
      </c>
      <c r="Z11" s="1">
        <f>SUMIFS(ORTAKLAR!$E$14:$E$33,ORTAKLAR!$B$14:$B$33,SISTEM!$C$9,ORTAKLAR!$C$14:$C$33,"&lt;="&amp;$B11,ORTAKLAR!$K$14:$K$33,"&gt;="&amp;$B11)</f>
        <v>0.5</v>
      </c>
      <c r="AA11" s="1">
        <f>SUMIFS(ORTAKLAR!$E$14:$E$33,ORTAKLAR!$B$14:$B$33,SISTEM!$C$10,ORTAKLAR!$C$14:$C$33,"&lt;="&amp;$B11,ORTAKLAR!$K$14:$K$33,"&gt;="&amp;$B11)</f>
        <v>0.5</v>
      </c>
    </row>
    <row r="12" spans="1:27" ht="18" customHeight="1" x14ac:dyDescent="0.3">
      <c r="A12" s="2"/>
      <c r="B12" s="73">
        <v>46174</v>
      </c>
      <c r="C12" s="95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$3001,GELIR_GIDER!$V$7:$V$3001,1,GELIR_GIDER!$C$7:$C$3001,"&gt;="&amp;$B12,GELIR_GIDER!$C$7:$C$3001,"&lt;"&amp;EDATE($B12,1))</f>
        <v>428001</v>
      </c>
      <c r="D12" s="95">
        <f>SUMIFS(TAHSILAT!$F$7:$F$2503,TAHSILAT!$E$7:$E$2503,"&gt;="&amp;$B12,TAHSILAT!$E$7:$E$2503,"&lt;"&amp;EDATE($B12,1),TAHSILAT!$H$7:$H$2503,"&lt;&gt;Mahsup")</f>
        <v>290850</v>
      </c>
      <c r="E12" s="95">
        <f>SUMIFS(GELIR_GIDER!$G$7:$G$3001,GELIR_GIDER!$D$7:$D$3001,"Gelir",GELIR_GIDER!$C$7:$C$3001,"&gt;="&amp;$B12,GELIR_GIDER!$C$7:$C$3001,"&lt;"&amp;EDATE($B12,1),GELIR_GIDER!$I$7:$I$3001,"Evet")</f>
        <v>38200</v>
      </c>
      <c r="F12" s="95">
        <f t="shared" si="1"/>
        <v>329050</v>
      </c>
      <c r="G12" s="95">
        <f>SUMIFS(GELIR_GIDER!$G$7:$G$3001,GELIR_GIDER!$D$7:$D$3001,"Gider",GELIR_GIDER!$C$7:$C$3001,"&gt;="&amp;$B12,GELIR_GIDER!$C$7:$C$3001,"&lt;"&amp;EDATE($B12,1),GELIR_GIDER!$I$7:$I$3001,"Evet")</f>
        <v>101610</v>
      </c>
      <c r="H12" s="95">
        <f>$C12+$E12-SUMIFS(GELIR_GIDER!$G$7:$G$3001,GELIR_GIDER!$D$7:$D$3001,"Gider",GELIR_GIDER!$C$7:$C$3001,"&gt;="&amp;$B12,GELIR_GIDER!$C$7:$C$3001,"&lt;"&amp;EDATE($B12,1))</f>
        <v>364591</v>
      </c>
      <c r="I12" s="95">
        <f t="shared" si="2"/>
        <v>227440</v>
      </c>
      <c r="J12" s="92">
        <f t="shared" si="3"/>
        <v>0.67955448702222654</v>
      </c>
      <c r="K12" s="95">
        <f>SISTEM!$C$13</f>
        <v>0</v>
      </c>
      <c r="L12" s="95">
        <f>MAX(0,SUM($I$7:$I12)-$K12)</f>
        <v>1152722.02</v>
      </c>
      <c r="M12" s="95">
        <f t="shared" si="4"/>
        <v>113720.00000000006</v>
      </c>
      <c r="N12" s="95">
        <f t="shared" si="5"/>
        <v>113720.00000000006</v>
      </c>
      <c r="O12" s="60" t="s">
        <v>1080</v>
      </c>
      <c r="P12" s="95">
        <f>SUMIFS(VIRMAN!$F$7:$F$406,VIRMAN!$E$7:$E$406,SISTEM!$C$9,VIRMAN!$C$7:$C$406,"&gt;="&amp;$B12,VIRMAN!$C$7:$C$406,"&lt;"&amp;EDATE($B12,1),VIRMAN!$G$7:$G$406,"KÂR PAYI / AVANS*")</f>
        <v>113720</v>
      </c>
      <c r="Q12" s="95">
        <f>SUMIFS(VIRMAN!$F$7:$F$406,VIRMAN!$E$7:$E$406,SISTEM!$C$10,VIRMAN!$C$7:$C$406,"&gt;="&amp;$B12,VIRMAN!$C$7:$C$406,"&lt;"&amp;EDATE($B12,1),VIRMAN!$G$7:$G$406,"KÂR PAYI / AVANS*")</f>
        <v>113720</v>
      </c>
      <c r="R12" s="95">
        <f>SUM($M$7:$M12)+SUM($N$7:$N12)-SUM($P$7:$P12)-SUM($Q$7:$Q12)</f>
        <v>-2.0000000018626451E-2</v>
      </c>
      <c r="S12" s="65" t="str">
        <f>IF($B12&gt;=DATE(YEAR(TODAY()),MONTH(TODAY()),1),"AÇIK",IF(COUNTIFS(SISTEM!$C$23:$C$90,"KRİTİK",SISTEM!$F$23:$F$90,"KALDI")&gt;0,"KAPATILAMAZ",IF(COUNTIF(SISTEM!$F$23:$F$90,"KALDI")=0,"KAPANABİLİR","UYARI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12" s="65" t="str">
        <f>IF(ABS($Y12-$M12-$N12)&gt;0.01,"PAY HATASI",IF($S12="KAPATILAMAZ",IFERROR("KAPATILAMAZ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edin"),IF($O12="Evet","KAPANDI","AÇIK")))</f>
        <v>AÇIK</v>
      </c>
      <c r="U12" s="2"/>
      <c r="V12" s="2"/>
      <c r="W12" s="1"/>
      <c r="X12" s="1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$3001,GELIR_GIDER!$V$7:$V$3001,1,GELIR_GIDER!$C$7:$C$3001,"&lt;="&amp;EOMONTH($B12,0))</f>
        <v>2560006</v>
      </c>
      <c r="Y12" s="1">
        <f t="shared" si="6"/>
        <v>227440.00000000012</v>
      </c>
      <c r="Z12" s="1">
        <f>SUMIFS(ORTAKLAR!$E$14:$E$33,ORTAKLAR!$B$14:$B$33,SISTEM!$C$9,ORTAKLAR!$C$14:$C$33,"&lt;="&amp;$B12,ORTAKLAR!$K$14:$K$33,"&gt;="&amp;$B12)</f>
        <v>0.5</v>
      </c>
      <c r="AA12" s="1">
        <f>SUMIFS(ORTAKLAR!$E$14:$E$33,ORTAKLAR!$B$14:$B$33,SISTEM!$C$10,ORTAKLAR!$C$14:$C$33,"&lt;="&amp;$B12,ORTAKLAR!$K$14:$K$33,"&gt;="&amp;$B12)</f>
        <v>0.5</v>
      </c>
    </row>
    <row r="13" spans="1:27" ht="18" customHeight="1" x14ac:dyDescent="0.3">
      <c r="A13" s="2"/>
      <c r="B13" s="73">
        <v>46204</v>
      </c>
      <c r="C13" s="95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$3001,GELIR_GIDER!$V$7:$V$3001,1,GELIR_GIDER!$C$7:$C$3001,"&gt;="&amp;$B13,GELIR_GIDER!$C$7:$C$3001,"&lt;"&amp;EDATE($B13,1))</f>
        <v>422001</v>
      </c>
      <c r="D13" s="95">
        <f>SUMIFS(TAHSILAT!$F$7:$F$2503,TAHSILAT!$E$7:$E$2503,"&gt;="&amp;$B13,TAHSILAT!$E$7:$E$2503,"&lt;"&amp;EDATE($B13,1),TAHSILAT!$H$7:$H$2503,"&lt;&gt;Mahsup")</f>
        <v>206750</v>
      </c>
      <c r="E13" s="95">
        <f>SUMIFS(GELIR_GIDER!$G$7:$G$3001,GELIR_GIDER!$D$7:$D$3001,"Gelir",GELIR_GIDER!$C$7:$C$3001,"&gt;="&amp;$B13,GELIR_GIDER!$C$7:$C$3001,"&lt;"&amp;EDATE($B13,1),GELIR_GIDER!$I$7:$I$3001,"Evet")</f>
        <v>20000</v>
      </c>
      <c r="F13" s="95">
        <f t="shared" si="1"/>
        <v>226750</v>
      </c>
      <c r="G13" s="95">
        <f>SUMIFS(GELIR_GIDER!$G$7:$G$3001,GELIR_GIDER!$D$7:$D$3001,"Gider",GELIR_GIDER!$C$7:$C$3001,"&gt;="&amp;$B13,GELIR_GIDER!$C$7:$C$3001,"&lt;"&amp;EDATE($B13,1),GELIR_GIDER!$I$7:$I$3001,"Evet")</f>
        <v>110010</v>
      </c>
      <c r="H13" s="95">
        <f>$C13+$E13-SUMIFS(GELIR_GIDER!$G$7:$G$3001,GELIR_GIDER!$D$7:$D$3001,"Gider",GELIR_GIDER!$C$7:$C$3001,"&gt;="&amp;$B13,GELIR_GIDER!$C$7:$C$3001,"&lt;"&amp;EDATE($B13,1))</f>
        <v>331991</v>
      </c>
      <c r="I13" s="95">
        <f t="shared" si="2"/>
        <v>116740</v>
      </c>
      <c r="J13" s="92">
        <f t="shared" si="3"/>
        <v>0.48992774898637681</v>
      </c>
      <c r="K13" s="95">
        <f>SISTEM!$C$13</f>
        <v>0</v>
      </c>
      <c r="L13" s="95">
        <f>MAX(0,SUM($I$7:$I13)-$K13)</f>
        <v>1269462.02</v>
      </c>
      <c r="M13" s="95">
        <f t="shared" si="4"/>
        <v>58370</v>
      </c>
      <c r="N13" s="95">
        <f t="shared" si="5"/>
        <v>58370</v>
      </c>
      <c r="O13" s="60" t="s">
        <v>1080</v>
      </c>
      <c r="P13" s="95">
        <f>SUMIFS(VIRMAN!$F$7:$F$406,VIRMAN!$E$7:$E$406,SISTEM!$C$9,VIRMAN!$C$7:$C$406,"&gt;="&amp;$B13,VIRMAN!$C$7:$C$406,"&lt;"&amp;EDATE($B13,1),VIRMAN!$G$7:$G$406,"KÂR PAYI / AVANS*")</f>
        <v>58370</v>
      </c>
      <c r="Q13" s="95">
        <f>SUMIFS(VIRMAN!$F$7:$F$406,VIRMAN!$E$7:$E$406,SISTEM!$C$10,VIRMAN!$C$7:$C$406,"&gt;="&amp;$B13,VIRMAN!$C$7:$C$406,"&lt;"&amp;EDATE($B13,1),VIRMAN!$G$7:$G$406,"KÂR PAYI / AVANS*")</f>
        <v>58370</v>
      </c>
      <c r="R13" s="95">
        <f>SUM($M$7:$M13)+SUM($N$7:$N13)-SUM($P$7:$P13)-SUM($Q$7:$Q13)</f>
        <v>-2.0000000018626451E-2</v>
      </c>
      <c r="S13" s="65" t="str">
        <f>IF($B13&gt;=DATE(YEAR(TODAY()),MONTH(TODAY()),1),"AÇIK",IF(COUNTIFS(SISTEM!$C$23:$C$90,"KRİTİK",SISTEM!$F$23:$F$90,"KALDI")&gt;0,"KAPATILAMAZ",IF(COUNTIF(SISTEM!$F$23:$F$90,"KALDI")=0,"KAPANABİLİR","UYARI VAR – KAPATILABİLİR")))</f>
        <v>KAPANABİLİR</v>
      </c>
      <c r="T13" s="65" t="str">
        <f>IF(ABS($Y13-$M13-$N13)&gt;0.01,"PAY HATASI",IF($S13="KAPATILAMAZ",IFERROR("KAPATILAMAZ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edin"),IF($O13="Evet","KAPANDI","AÇIK")))</f>
        <v>AÇIK</v>
      </c>
      <c r="U13" s="2"/>
      <c r="V13" s="2"/>
      <c r="W13" s="1"/>
      <c r="X13" s="1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$3001,GELIR_GIDER!$V$7:$V$3001,1,GELIR_GIDER!$C$7:$C$3001,"&lt;="&amp;EOMONTH($B13,0))</f>
        <v>2982007</v>
      </c>
      <c r="Y13" s="1">
        <f t="shared" si="6"/>
        <v>116740</v>
      </c>
      <c r="Z13" s="1">
        <f>SUMIFS(ORTAKLAR!$E$14:$E$33,ORTAKLAR!$B$14:$B$33,SISTEM!$C$9,ORTAKLAR!$C$14:$C$33,"&lt;="&amp;$B13,ORTAKLAR!$K$14:$K$33,"&gt;="&amp;$B13)</f>
        <v>0.5</v>
      </c>
      <c r="AA13" s="1">
        <f>SUMIFS(ORTAKLAR!$E$14:$E$33,ORTAKLAR!$B$14:$B$33,SISTEM!$C$10,ORTAKLAR!$C$14:$C$33,"&lt;="&amp;$B13,ORTAKLAR!$K$14:$K$33,"&gt;="&amp;$B13)</f>
        <v>0.5</v>
      </c>
    </row>
    <row r="14" spans="1:27" ht="18" customHeight="1" x14ac:dyDescent="0.3">
      <c r="A14" s="2"/>
      <c r="B14" s="73">
        <v>46235</v>
      </c>
      <c r="C14" s="95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$3001,GELIR_GIDER!$V$7:$V$3001,1,GELIR_GIDER!$C$7:$C$3001,"&gt;="&amp;$B14,GELIR_GIDER!$C$7:$C$3001,"&lt;"&amp;EDATE($B14,1))</f>
        <v>516751</v>
      </c>
      <c r="D14" s="95">
        <f>SUMIFS(TAHSILAT!$F$7:$F$2503,TAHSILAT!$E$7:$E$2503,"&gt;="&amp;$B14,TAHSILAT!$E$7:$E$2503,"&lt;"&amp;EDATE($B14,1),TAHSILAT!$H$7:$H$2503,"&lt;&gt;Mahsup")</f>
        <v>334400</v>
      </c>
      <c r="E14" s="95">
        <f>SUMIFS(GELIR_GIDER!$G$7:$G$3001,GELIR_GIDER!$D$7:$D$3001,"Gelir",GELIR_GIDER!$C$7:$C$3001,"&gt;="&amp;$B14,GELIR_GIDER!$C$7:$C$3001,"&lt;"&amp;EDATE($B14,1),GELIR_GIDER!$I$7:$I$3001,"Evet")</f>
        <v>63000</v>
      </c>
      <c r="F14" s="95">
        <f t="shared" si="1"/>
        <v>397400</v>
      </c>
      <c r="G14" s="95">
        <f>SUMIFS(GELIR_GIDER!$G$7:$G$3001,GELIR_GIDER!$D$7:$D$3001,"Gider",GELIR_GIDER!$C$7:$C$3001,"&gt;="&amp;$B14,GELIR_GIDER!$C$7:$C$3001,"&lt;"&amp;EDATE($B14,1),GELIR_GIDER!$I$7:$I$3001,"Evet")</f>
        <v>119800</v>
      </c>
      <c r="H14" s="95">
        <f>$C14+$E14-SUMIFS(GELIR_GIDER!$G$7:$G$3001,GELIR_GIDER!$D$7:$D$3001,"Gider",GELIR_GIDER!$C$7:$C$3001,"&gt;="&amp;$B14,GELIR_GIDER!$C$7:$C$3001,"&lt;"&amp;EDATE($B14,1))</f>
        <v>459951</v>
      </c>
      <c r="I14" s="95">
        <f t="shared" si="2"/>
        <v>277600</v>
      </c>
      <c r="J14" s="92">
        <f t="shared" si="3"/>
        <v>0.64712017973840397</v>
      </c>
      <c r="K14" s="95">
        <f>SISTEM!$C$13</f>
        <v>0</v>
      </c>
      <c r="L14" s="95">
        <f>MAX(0,SUM($I$7:$I14)-$K14)</f>
        <v>1547062.02</v>
      </c>
      <c r="M14" s="95">
        <f t="shared" si="4"/>
        <v>138800</v>
      </c>
      <c r="N14" s="95">
        <f t="shared" si="5"/>
        <v>138800</v>
      </c>
      <c r="O14" s="60"/>
      <c r="P14" s="95">
        <f>SUMIFS(VIRMAN!$F$7:$F$406,VIRMAN!$E$7:$E$406,SISTEM!$C$9,VIRMAN!$C$7:$C$406,"&gt;="&amp;$B14,VIRMAN!$C$7:$C$406,"&lt;"&amp;EDATE($B14,1),VIRMAN!$G$7:$G$406,"KÂR PAYI / AVANS*")</f>
        <v>0</v>
      </c>
      <c r="Q14" s="95">
        <f>SUMIFS(VIRMAN!$F$7:$F$406,VIRMAN!$E$7:$E$406,SISTEM!$C$10,VIRMAN!$C$7:$C$406,"&gt;="&amp;$B14,VIRMAN!$C$7:$C$406,"&lt;"&amp;EDATE($B14,1),VIRMAN!$G$7:$G$406,"KÂR PAYI / AVANS*")</f>
        <v>0</v>
      </c>
      <c r="R14" s="95">
        <f>SUM($M$7:$M14)+SUM($N$7:$N14)-SUM($P$7:$P14)-SUM($Q$7:$Q14)</f>
        <v>277599.98</v>
      </c>
      <c r="S14" s="65" t="str">
        <f>IF($B14&gt;=DATE(YEAR(TODAY()),MONTH(TODAY()),1),"AÇIK",IF(COUNTIFS(SISTEM!$C$23:$C$90,"KRİTİK",SISTEM!$F$23:$F$90,"KALDI")&gt;0,"KAPATILAMAZ",IF(COUNTIF(SISTEM!$F$23:$F$90,"KALDI")=0,"KAPANABİLİR","UYARI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4" s="65" t="str">
        <f>IF(ABS($Y14-$M14-$N14)&gt;0.01,"PAY HATASI",IF($S14="KAPATILAMAZ",IFERROR("KAPATILAMAZ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edin"),IF($O14="Evet","KAPANDI","AÇIK")))</f>
        <v>AÇIK</v>
      </c>
      <c r="U14" s="2"/>
      <c r="V14" s="2"/>
      <c r="W14" s="1"/>
      <c r="X14" s="1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$3001,GELIR_GIDER!$V$7:$V$3001,1,GELIR_GIDER!$C$7:$C$3001,"&lt;="&amp;EOMONTH($B14,0))</f>
        <v>3498758</v>
      </c>
      <c r="Y14" s="1">
        <f t="shared" si="6"/>
        <v>277600</v>
      </c>
      <c r="Z14" s="1">
        <f>SUMIFS(ORTAKLAR!$E$14:$E$33,ORTAKLAR!$B$14:$B$33,SISTEM!$C$9,ORTAKLAR!$C$14:$C$33,"&lt;="&amp;$B14,ORTAKLAR!$K$14:$K$33,"&gt;="&amp;$B14)</f>
        <v>0.5</v>
      </c>
      <c r="AA14" s="1">
        <f>SUMIFS(ORTAKLAR!$E$14:$E$33,ORTAKLAR!$B$14:$B$33,SISTEM!$C$10,ORTAKLAR!$C$14:$C$33,"&lt;="&amp;$B14,ORTAKLAR!$K$14:$K$33,"&gt;="&amp;$B14)</f>
        <v>0.5</v>
      </c>
    </row>
    <row r="15" spans="1:27" ht="18" customHeight="1" x14ac:dyDescent="0.3">
      <c r="A15" s="2"/>
      <c r="B15" s="73">
        <v>46266</v>
      </c>
      <c r="C15" s="95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$3001,GELIR_GIDER!$V$7:$V$3001,1,GELIR_GIDER!$C$7:$C$3001,"&gt;="&amp;$B15,GELIR_GIDER!$C$7:$C$3001,"&lt;"&amp;EDATE($B15,1))</f>
        <v>450001</v>
      </c>
      <c r="D15" s="95">
        <f>SUMIFS(TAHSILAT!$F$7:$F$2503,TAHSILAT!$E$7:$E$2503,"&gt;="&amp;$B15,TAHSILAT!$E$7:$E$2503,"&lt;"&amp;EDATE($B15,1),TAHSILAT!$H$7:$H$2503,"&lt;&gt;Mahsup")</f>
        <v>0</v>
      </c>
      <c r="E15" s="95">
        <f>SUMIFS(GELIR_GIDER!$G$7:$G$3001,GELIR_GIDER!$D$7:$D$3001,"Gelir",GELIR_GIDER!$C$7:$C$3001,"&gt;="&amp;$B15,GELIR_GIDER!$C$7:$C$3001,"&lt;"&amp;EDATE($B15,1),GELIR_GIDER!$I$7:$I$3001,"Evet")</f>
        <v>0</v>
      </c>
      <c r="F15" s="95">
        <f t="shared" si="1"/>
        <v>0</v>
      </c>
      <c r="G15" s="95">
        <f>SUMIFS(GELIR_GIDER!$G$7:$G$3001,GELIR_GIDER!$D$7:$D$3001,"Gider",GELIR_GIDER!$C$7:$C$3001,"&gt;="&amp;$B15,GELIR_GIDER!$C$7:$C$3001,"&lt;"&amp;EDATE($B15,1),GELIR_GIDER!$I$7:$I$3001,"Evet")</f>
        <v>0</v>
      </c>
      <c r="H15" s="95">
        <f>$C15+$E15-SUMIFS(GELIR_GIDER!$G$7:$G$3001,GELIR_GIDER!$D$7:$D$3001,"Gider",GELIR_GIDER!$C$7:$C$3001,"&gt;="&amp;$B15,GELIR_GIDER!$C$7:$C$3001,"&lt;"&amp;EDATE($B15,1))</f>
        <v>450001</v>
      </c>
      <c r="I15" s="95">
        <f t="shared" si="2"/>
        <v>0</v>
      </c>
      <c r="J15" s="92">
        <f t="shared" si="3"/>
        <v>0</v>
      </c>
      <c r="K15" s="95">
        <f>SISTEM!$C$13</f>
        <v>0</v>
      </c>
      <c r="L15" s="95">
        <f>MAX(0,SUM($I$7:$I15)-$K15)</f>
        <v>1547062.02</v>
      </c>
      <c r="M15" s="95">
        <f t="shared" si="4"/>
        <v>0</v>
      </c>
      <c r="N15" s="95">
        <f t="shared" si="5"/>
        <v>0</v>
      </c>
      <c r="O15" s="60"/>
      <c r="P15" s="95">
        <f>SUMIFS(VIRMAN!$F$7:$F$406,VIRMAN!$E$7:$E$406,SISTEM!$C$9,VIRMAN!$C$7:$C$406,"&gt;="&amp;$B15,VIRMAN!$C$7:$C$406,"&lt;"&amp;EDATE($B15,1),VIRMAN!$G$7:$G$406,"KÂR PAYI / AVANS*")</f>
        <v>0</v>
      </c>
      <c r="Q15" s="95">
        <f>SUMIFS(VIRMAN!$F$7:$F$406,VIRMAN!$E$7:$E$406,SISTEM!$C$10,VIRMAN!$C$7:$C$406,"&gt;="&amp;$B15,VIRMAN!$C$7:$C$406,"&lt;"&amp;EDATE($B15,1),VIRMAN!$G$7:$G$406,"KÂR PAYI / AVANS*")</f>
        <v>0</v>
      </c>
      <c r="R15" s="95">
        <f>SUM($M$7:$M15)+SUM($N$7:$N15)-SUM($P$7:$P15)-SUM($Q$7:$Q15)</f>
        <v>277599.98</v>
      </c>
      <c r="S15" s="65" t="str">
        <f>IF($B15&gt;=DATE(YEAR(TODAY()),MONTH(TODAY()),1),"AÇIK",IF(COUNTIFS(SISTEM!$C$23:$C$90,"KRİTİK",SISTEM!$F$23:$F$90,"KALDI")&gt;0,"KAPATILAMAZ",IF(COUNTIF(SISTEM!$F$23:$F$90,"KALDI")=0,"KAPANABİLİR","UYARI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5" s="65" t="str">
        <f>IF(ABS($Y15-$M15-$N15)&gt;0.01,"PAY HATASI",IF($S15="KAPATILAMAZ",IFERROR("KAPATILAMAZ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edin"),IF($O15="Evet","KAPANDI","AÇIK")))</f>
        <v>AÇIK</v>
      </c>
      <c r="U15" s="2"/>
      <c r="V15" s="2"/>
      <c r="W15" s="1"/>
      <c r="X15" s="1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$3001,GELIR_GIDER!$V$7:$V$3001,1,GELIR_GIDER!$C$7:$C$3001,"&lt;="&amp;EOMONTH($B15,0))</f>
        <v>3948759</v>
      </c>
      <c r="Y15" s="1">
        <f t="shared" si="6"/>
        <v>0</v>
      </c>
      <c r="Z15" s="1">
        <f>SUMIFS(ORTAKLAR!$E$14:$E$33,ORTAKLAR!$B$14:$B$33,SISTEM!$C$9,ORTAKLAR!$C$14:$C$33,"&lt;="&amp;$B15,ORTAKLAR!$K$14:$K$33,"&gt;="&amp;$B15)</f>
        <v>0.5</v>
      </c>
      <c r="AA15" s="1">
        <f>SUMIFS(ORTAKLAR!$E$14:$E$33,ORTAKLAR!$B$14:$B$33,SISTEM!$C$10,ORTAKLAR!$C$14:$C$33,"&lt;="&amp;$B15,ORTAKLAR!$K$14:$K$33,"&gt;="&amp;$B15)</f>
        <v>0.5</v>
      </c>
    </row>
    <row r="16" spans="1:27" ht="18" customHeight="1" x14ac:dyDescent="0.3">
      <c r="A16" s="2"/>
      <c r="B16" s="73">
        <v>46296</v>
      </c>
      <c r="C16" s="95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$3001,GELIR_GIDER!$V$7:$V$3001,1,GELIR_GIDER!$C$7:$C$3001,"&gt;="&amp;$B16,GELIR_GIDER!$C$7:$C$3001,"&lt;"&amp;EDATE($B16,1))</f>
        <v>529751</v>
      </c>
      <c r="D16" s="95">
        <f>SUMIFS(TAHSILAT!$F$7:$F$2503,TAHSILAT!$E$7:$E$2503,"&gt;="&amp;$B16,TAHSILAT!$E$7:$E$2503,"&lt;"&amp;EDATE($B16,1),TAHSILAT!$H$7:$H$2503,"&lt;&gt;Mahsup")</f>
        <v>0</v>
      </c>
      <c r="E16" s="95">
        <f>SUMIFS(GELIR_GIDER!$G$7:$G$3001,GELIR_GIDER!$D$7:$D$3001,"Gelir",GELIR_GIDER!$C$7:$C$3001,"&gt;="&amp;$B16,GELIR_GIDER!$C$7:$C$3001,"&lt;"&amp;EDATE($B16,1),GELIR_GIDER!$I$7:$I$3001,"Evet")</f>
        <v>0</v>
      </c>
      <c r="F16" s="95">
        <f t="shared" si="1"/>
        <v>0</v>
      </c>
      <c r="G16" s="95">
        <f>SUMIFS(GELIR_GIDER!$G$7:$G$3001,GELIR_GIDER!$D$7:$D$3001,"Gider",GELIR_GIDER!$C$7:$C$3001,"&gt;="&amp;$B16,GELIR_GIDER!$C$7:$C$3001,"&lt;"&amp;EDATE($B16,1),GELIR_GIDER!$I$7:$I$3001,"Evet")</f>
        <v>0</v>
      </c>
      <c r="H16" s="95">
        <f>$C16+$E16-SUMIFS(GELIR_GIDER!$G$7:$G$3001,GELIR_GIDER!$D$7:$D$3001,"Gider",GELIR_GIDER!$C$7:$C$3001,"&gt;="&amp;$B16,GELIR_GIDER!$C$7:$C$3001,"&lt;"&amp;EDATE($B16,1))</f>
        <v>529751</v>
      </c>
      <c r="I16" s="95">
        <f t="shared" si="2"/>
        <v>0</v>
      </c>
      <c r="J16" s="92">
        <f t="shared" si="3"/>
        <v>0</v>
      </c>
      <c r="K16" s="95">
        <f>SISTEM!$C$13</f>
        <v>0</v>
      </c>
      <c r="L16" s="95">
        <f>MAX(0,SUM($I$7:$I16)-$K16)</f>
        <v>1547062.02</v>
      </c>
      <c r="M16" s="95">
        <f t="shared" si="4"/>
        <v>0</v>
      </c>
      <c r="N16" s="95">
        <f t="shared" si="5"/>
        <v>0</v>
      </c>
      <c r="O16" s="60"/>
      <c r="P16" s="95">
        <f>SUMIFS(VIRMAN!$F$7:$F$406,VIRMAN!$E$7:$E$406,SISTEM!$C$9,VIRMAN!$C$7:$C$406,"&gt;="&amp;$B16,VIRMAN!$C$7:$C$406,"&lt;"&amp;EDATE($B16,1),VIRMAN!$G$7:$G$406,"KÂR PAYI / AVANS*")</f>
        <v>0</v>
      </c>
      <c r="Q16" s="95">
        <f>SUMIFS(VIRMAN!$F$7:$F$406,VIRMAN!$E$7:$E$406,SISTEM!$C$10,VIRMAN!$C$7:$C$406,"&gt;="&amp;$B16,VIRMAN!$C$7:$C$406,"&lt;"&amp;EDATE($B16,1),VIRMAN!$G$7:$G$406,"KÂR PAYI / AVANS*")</f>
        <v>0</v>
      </c>
      <c r="R16" s="95">
        <f>SUM($M$7:$M16)+SUM($N$7:$N16)-SUM($P$7:$P16)-SUM($Q$7:$Q16)</f>
        <v>277599.98</v>
      </c>
      <c r="S16" s="65" t="str">
        <f>IF($B16&gt;=DATE(YEAR(TODAY()),MONTH(TODAY()),1),"AÇIK",IF(COUNTIFS(SISTEM!$C$23:$C$90,"KRİTİK",SISTEM!$F$23:$F$90,"KALDI")&gt;0,"KAPATILAMAZ",IF(COUNTIF(SISTEM!$F$23:$F$90,"KALDI")=0,"KAPANABİLİR","UYARI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6" s="65" t="str">
        <f>IF(ABS($Y16-$M16-$N16)&gt;0.01,"PAY HATASI",IF($S16="KAPATILAMAZ",IFERROR("KAPATILAMAZ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edin"),IF($O16="Evet","KAPANDI","AÇIK")))</f>
        <v>AÇIK</v>
      </c>
      <c r="U16" s="2"/>
      <c r="V16" s="2"/>
      <c r="W16" s="1"/>
      <c r="X16" s="1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$3001,GELIR_GIDER!$V$7:$V$3001,1,GELIR_GIDER!$C$7:$C$3001,"&lt;="&amp;EOMONTH($B16,0))</f>
        <v>4478510</v>
      </c>
      <c r="Y16" s="1">
        <f t="shared" si="6"/>
        <v>0</v>
      </c>
      <c r="Z16" s="1">
        <f>SUMIFS(ORTAKLAR!$E$14:$E$33,ORTAKLAR!$B$14:$B$33,SISTEM!$C$9,ORTAKLAR!$C$14:$C$33,"&lt;="&amp;$B16,ORTAKLAR!$K$14:$K$33,"&gt;="&amp;$B16)</f>
        <v>0.5</v>
      </c>
      <c r="AA16" s="1">
        <f>SUMIFS(ORTAKLAR!$E$14:$E$33,ORTAKLAR!$B$14:$B$33,SISTEM!$C$10,ORTAKLAR!$C$14:$C$33,"&lt;="&amp;$B16,ORTAKLAR!$K$14:$K$33,"&gt;="&amp;$B16)</f>
        <v>0.5</v>
      </c>
    </row>
    <row r="17" spans="1:27" ht="18" customHeight="1" x14ac:dyDescent="0.3">
      <c r="A17" s="2"/>
      <c r="B17" s="73">
        <v>46327</v>
      </c>
      <c r="C17" s="95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$3001,GELIR_GIDER!$V$7:$V$3001,1,GELIR_GIDER!$C$7:$C$3001,"&gt;="&amp;$B17,GELIR_GIDER!$C$7:$C$3001,"&lt;"&amp;EDATE($B17,1))</f>
        <v>450001</v>
      </c>
      <c r="D17" s="95">
        <f>SUMIFS(TAHSILAT!$F$7:$F$2503,TAHSILAT!$E$7:$E$2503,"&gt;="&amp;$B17,TAHSILAT!$E$7:$E$2503,"&lt;"&amp;EDATE($B17,1),TAHSILAT!$H$7:$H$2503,"&lt;&gt;Mahsup")</f>
        <v>0</v>
      </c>
      <c r="E17" s="95">
        <f>SUMIFS(GELIR_GIDER!$G$7:$G$3001,GELIR_GIDER!$D$7:$D$3001,"Gelir",GELIR_GIDER!$C$7:$C$3001,"&gt;="&amp;$B17,GELIR_GIDER!$C$7:$C$3001,"&lt;"&amp;EDATE($B17,1),GELIR_GIDER!$I$7:$I$3001,"Evet")</f>
        <v>0</v>
      </c>
      <c r="F17" s="95">
        <f t="shared" si="1"/>
        <v>0</v>
      </c>
      <c r="G17" s="95">
        <f>SUMIFS(GELIR_GIDER!$G$7:$G$3001,GELIR_GIDER!$D$7:$D$3001,"Gider",GELIR_GIDER!$C$7:$C$3001,"&gt;="&amp;$B17,GELIR_GIDER!$C$7:$C$3001,"&lt;"&amp;EDATE($B17,1),GELIR_GIDER!$I$7:$I$3001,"Evet")</f>
        <v>0</v>
      </c>
      <c r="H17" s="95">
        <f>$C17+$E17-SUMIFS(GELIR_GIDER!$G$7:$G$3001,GELIR_GIDER!$D$7:$D$3001,"Gider",GELIR_GIDER!$C$7:$C$3001,"&gt;="&amp;$B17,GELIR_GIDER!$C$7:$C$3001,"&lt;"&amp;EDATE($B17,1))</f>
        <v>450001</v>
      </c>
      <c r="I17" s="95">
        <f t="shared" si="2"/>
        <v>0</v>
      </c>
      <c r="J17" s="92">
        <f t="shared" si="3"/>
        <v>0</v>
      </c>
      <c r="K17" s="95">
        <f>SISTEM!$C$13</f>
        <v>0</v>
      </c>
      <c r="L17" s="95">
        <f>MAX(0,SUM($I$7:$I17)-$K17)</f>
        <v>1547062.02</v>
      </c>
      <c r="M17" s="95">
        <f t="shared" si="4"/>
        <v>0</v>
      </c>
      <c r="N17" s="95">
        <f t="shared" si="5"/>
        <v>0</v>
      </c>
      <c r="O17" s="60"/>
      <c r="P17" s="95">
        <f>SUMIFS(VIRMAN!$F$7:$F$406,VIRMAN!$E$7:$E$406,SISTEM!$C$9,VIRMAN!$C$7:$C$406,"&gt;="&amp;$B17,VIRMAN!$C$7:$C$406,"&lt;"&amp;EDATE($B17,1),VIRMAN!$G$7:$G$406,"KÂR PAYI / AVANS*")</f>
        <v>0</v>
      </c>
      <c r="Q17" s="95">
        <f>SUMIFS(VIRMAN!$F$7:$F$406,VIRMAN!$E$7:$E$406,SISTEM!$C$10,VIRMAN!$C$7:$C$406,"&gt;="&amp;$B17,VIRMAN!$C$7:$C$406,"&lt;"&amp;EDATE($B17,1),VIRMAN!$G$7:$G$406,"KÂR PAYI / AVANS*")</f>
        <v>0</v>
      </c>
      <c r="R17" s="95">
        <f>SUM($M$7:$M17)+SUM($N$7:$N17)-SUM($P$7:$P17)-SUM($Q$7:$Q17)</f>
        <v>277599.98</v>
      </c>
      <c r="S17" s="65" t="str">
        <f>IF($B17&gt;=DATE(YEAR(TODAY()),MONTH(TODAY()),1),"AÇIK",IF(COUNTIFS(SISTEM!$C$23:$C$90,"KRİTİK",SISTEM!$F$23:$F$90,"KALDI")&gt;0,"KAPATILAMAZ",IF(COUNTIF(SISTEM!$F$23:$F$90,"KALDI")=0,"KAPANABİLİR","UYARI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7" s="65" t="str">
        <f>IF(ABS($Y17-$M17-$N17)&gt;0.01,"PAY HATASI",IF($S17="KAPATILAMAZ",IFERROR("KAPATILAMAZ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edin"),IF($O17="Evet","KAPANDI","AÇIK")))</f>
        <v>AÇIK</v>
      </c>
      <c r="U17" s="2"/>
      <c r="V17" s="2"/>
      <c r="W17" s="1"/>
      <c r="X17" s="1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$3001,GELIR_GIDER!$V$7:$V$3001,1,GELIR_GIDER!$C$7:$C$3001,"&lt;="&amp;EOMONTH($B17,0))</f>
        <v>4928511</v>
      </c>
      <c r="Y17" s="1">
        <f t="shared" si="6"/>
        <v>0</v>
      </c>
      <c r="Z17" s="1">
        <f>SUMIFS(ORTAKLAR!$E$14:$E$33,ORTAKLAR!$B$14:$B$33,SISTEM!$C$9,ORTAKLAR!$C$14:$C$33,"&lt;="&amp;$B17,ORTAKLAR!$K$14:$K$33,"&gt;="&amp;$B17)</f>
        <v>0.5</v>
      </c>
      <c r="AA17" s="1">
        <f>SUMIFS(ORTAKLAR!$E$14:$E$33,ORTAKLAR!$B$14:$B$33,SISTEM!$C$10,ORTAKLAR!$C$14:$C$33,"&lt;="&amp;$B17,ORTAKLAR!$K$14:$K$33,"&gt;="&amp;$B17)</f>
        <v>0.5</v>
      </c>
    </row>
    <row r="18" spans="1:27" ht="18" customHeight="1" x14ac:dyDescent="0.3">
      <c r="A18" s="2"/>
      <c r="B18" s="73">
        <v>46357</v>
      </c>
      <c r="C18" s="95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$3001,GELIR_GIDER!$V$7:$V$3001,1,GELIR_GIDER!$C$7:$C$3001,"&gt;="&amp;$B18,GELIR_GIDER!$C$7:$C$3001,"&lt;"&amp;EDATE($B18,1))</f>
        <v>450001</v>
      </c>
      <c r="D18" s="95">
        <f>SUMIFS(TAHSILAT!$F$7:$F$2503,TAHSILAT!$E$7:$E$2503,"&gt;="&amp;$B18,TAHSILAT!$E$7:$E$2503,"&lt;"&amp;EDATE($B18,1),TAHSILAT!$H$7:$H$2503,"&lt;&gt;Mahsup")</f>
        <v>0</v>
      </c>
      <c r="E18" s="95">
        <f>SUMIFS(GELIR_GIDER!$G$7:$G$3001,GELIR_GIDER!$D$7:$D$3001,"Gelir",GELIR_GIDER!$C$7:$C$3001,"&gt;="&amp;$B18,GELIR_GIDER!$C$7:$C$3001,"&lt;"&amp;EDATE($B18,1),GELIR_GIDER!$I$7:$I$3001,"Evet")</f>
        <v>0</v>
      </c>
      <c r="F18" s="95">
        <f t="shared" si="1"/>
        <v>0</v>
      </c>
      <c r="G18" s="95">
        <f>SUMIFS(GELIR_GIDER!$G$7:$G$3001,GELIR_GIDER!$D$7:$D$3001,"Gider",GELIR_GIDER!$C$7:$C$3001,"&gt;="&amp;$B18,GELIR_GIDER!$C$7:$C$3001,"&lt;"&amp;EDATE($B18,1),GELIR_GIDER!$I$7:$I$3001,"Evet")</f>
        <v>0</v>
      </c>
      <c r="H18" s="95">
        <f>$C18+$E18-SUMIFS(GELIR_GIDER!$G$7:$G$3001,GELIR_GIDER!$D$7:$D$3001,"Gider",GELIR_GIDER!$C$7:$C$3001,"&gt;="&amp;$B18,GELIR_GIDER!$C$7:$C$3001,"&lt;"&amp;EDATE($B18,1))</f>
        <v>450001</v>
      </c>
      <c r="I18" s="95">
        <f t="shared" si="2"/>
        <v>0</v>
      </c>
      <c r="J18" s="92">
        <f t="shared" si="3"/>
        <v>0</v>
      </c>
      <c r="K18" s="95">
        <f>SISTEM!$C$13</f>
        <v>0</v>
      </c>
      <c r="L18" s="95">
        <f>MAX(0,SUM($I$7:$I18)-$K18)</f>
        <v>1547062.02</v>
      </c>
      <c r="M18" s="95">
        <f t="shared" si="4"/>
        <v>0</v>
      </c>
      <c r="N18" s="95">
        <f t="shared" si="5"/>
        <v>0</v>
      </c>
      <c r="O18" s="60"/>
      <c r="P18" s="95">
        <f>SUMIFS(VIRMAN!$F$7:$F$406,VIRMAN!$E$7:$E$406,SISTEM!$C$9,VIRMAN!$C$7:$C$406,"&gt;="&amp;$B18,VIRMAN!$C$7:$C$406,"&lt;"&amp;EDATE($B18,1),VIRMAN!$G$7:$G$406,"KÂR PAYI / AVANS*")</f>
        <v>0</v>
      </c>
      <c r="Q18" s="95">
        <f>SUMIFS(VIRMAN!$F$7:$F$406,VIRMAN!$E$7:$E$406,SISTEM!$C$10,VIRMAN!$C$7:$C$406,"&gt;="&amp;$B18,VIRMAN!$C$7:$C$406,"&lt;"&amp;EDATE($B18,1),VIRMAN!$G$7:$G$406,"KÂR PAYI / AVANS*")</f>
        <v>0</v>
      </c>
      <c r="R18" s="95">
        <f>SUM($M$7:$M18)+SUM($N$7:$N18)-SUM($P$7:$P18)-SUM($Q$7:$Q18)</f>
        <v>277599.98</v>
      </c>
      <c r="S18" s="65" t="str">
        <f>IF($B18&gt;=DATE(YEAR(TODAY()),MONTH(TODAY()),1),"AÇIK",IF(COUNTIFS(SISTEM!$C$23:$C$90,"KRİTİK",SISTEM!$F$23:$F$90,"KALDI")&gt;0,"KAPATILAMAZ",IF(COUNTIF(SISTEM!$F$23:$F$90,"KALDI")=0,"KAPANABİLİR","UYARI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8" s="65" t="str">
        <f>IF(ABS($Y18-$M18-$N18)&gt;0.01,"PAY HATASI",IF($S18="KAPATILAMAZ",IFERROR("KAPATILAMAZ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edin"),IF($O18="Evet","KAPANDI","AÇIK")))</f>
        <v>AÇIK</v>
      </c>
      <c r="U18" s="2"/>
      <c r="V18" s="2"/>
      <c r="W18" s="1"/>
      <c r="X18" s="1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$3001,GELIR_GIDER!$V$7:$V$3001,1,GELIR_GIDER!$C$7:$C$3001,"&lt;="&amp;EOMONTH($B18,0))</f>
        <v>5378512</v>
      </c>
      <c r="Y18" s="1">
        <f t="shared" si="6"/>
        <v>0</v>
      </c>
      <c r="Z18" s="1">
        <f>SUMIFS(ORTAKLAR!$E$14:$E$33,ORTAKLAR!$B$14:$B$33,SISTEM!$C$9,ORTAKLAR!$C$14:$C$33,"&lt;="&amp;$B18,ORTAKLAR!$K$14:$K$33,"&gt;="&amp;$B18)</f>
        <v>0.5</v>
      </c>
      <c r="AA18" s="1">
        <f>SUMIFS(ORTAKLAR!$E$14:$E$33,ORTAKLAR!$B$14:$B$33,SISTEM!$C$10,ORTAKLAR!$C$14:$C$33,"&lt;="&amp;$B18,ORTAKLAR!$K$14:$K$33,"&gt;="&amp;$B18)</f>
        <v>0.5</v>
      </c>
    </row>
    <row r="19" spans="1:27" ht="18" customHeight="1" x14ac:dyDescent="0.3">
      <c r="A19" s="2"/>
      <c r="B19" s="73">
        <v>46388</v>
      </c>
      <c r="C19" s="95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$3001,GELIR_GIDER!$V$7:$V$3001,1,GELIR_GIDER!$C$7:$C$3001,"&gt;="&amp;$B19,GELIR_GIDER!$C$7:$C$3001,"&lt;"&amp;EDATE($B19,1))</f>
        <v>529751</v>
      </c>
      <c r="D19" s="95">
        <f>SUMIFS(TAHSILAT!$F$7:$F$2503,TAHSILAT!$E$7:$E$2503,"&gt;="&amp;$B19,TAHSILAT!$E$7:$E$2503,"&lt;"&amp;EDATE($B19,1),TAHSILAT!$H$7:$H$2503,"&lt;&gt;Mahsup")</f>
        <v>0</v>
      </c>
      <c r="E19" s="95">
        <f>SUMIFS(GELIR_GIDER!$G$7:$G$3001,GELIR_GIDER!$D$7:$D$3001,"Gelir",GELIR_GIDER!$C$7:$C$3001,"&gt;="&amp;$B19,GELIR_GIDER!$C$7:$C$3001,"&lt;"&amp;EDATE($B19,1),GELIR_GIDER!$I$7:$I$3001,"Evet")</f>
        <v>0</v>
      </c>
      <c r="F19" s="95">
        <f t="shared" si="1"/>
        <v>0</v>
      </c>
      <c r="G19" s="95">
        <f>SUMIFS(GELIR_GIDER!$G$7:$G$3001,GELIR_GIDER!$D$7:$D$3001,"Gider",GELIR_GIDER!$C$7:$C$3001,"&gt;="&amp;$B19,GELIR_GIDER!$C$7:$C$3001,"&lt;"&amp;EDATE($B19,1),GELIR_GIDER!$I$7:$I$3001,"Evet")</f>
        <v>0</v>
      </c>
      <c r="H19" s="95">
        <f>$C19+$E19-SUMIFS(GELIR_GIDER!$G$7:$G$3001,GELIR_GIDER!$D$7:$D$3001,"Gider",GELIR_GIDER!$C$7:$C$3001,"&gt;="&amp;$B19,GELIR_GIDER!$C$7:$C$3001,"&lt;"&amp;EDATE($B19,1))</f>
        <v>529751</v>
      </c>
      <c r="I19" s="95">
        <f t="shared" si="2"/>
        <v>0</v>
      </c>
      <c r="J19" s="92">
        <f t="shared" si="3"/>
        <v>0</v>
      </c>
      <c r="K19" s="95">
        <f>SISTEM!$C$13</f>
        <v>0</v>
      </c>
      <c r="L19" s="95">
        <f>MAX(0,SUM($I$7:$I19)-$K19)</f>
        <v>1547062.02</v>
      </c>
      <c r="M19" s="95">
        <f t="shared" si="4"/>
        <v>0</v>
      </c>
      <c r="N19" s="95">
        <f t="shared" si="5"/>
        <v>0</v>
      </c>
      <c r="O19" s="60"/>
      <c r="P19" s="95">
        <f>SUMIFS(VIRMAN!$F$7:$F$406,VIRMAN!$E$7:$E$406,SISTEM!$C$9,VIRMAN!$C$7:$C$406,"&gt;="&amp;$B19,VIRMAN!$C$7:$C$406,"&lt;"&amp;EDATE($B19,1),VIRMAN!$G$7:$G$406,"KÂR PAYI / AVANS*")</f>
        <v>0</v>
      </c>
      <c r="Q19" s="95">
        <f>SUMIFS(VIRMAN!$F$7:$F$406,VIRMAN!$E$7:$E$406,SISTEM!$C$10,VIRMAN!$C$7:$C$406,"&gt;="&amp;$B19,VIRMAN!$C$7:$C$406,"&lt;"&amp;EDATE($B19,1),VIRMAN!$G$7:$G$406,"KÂR PAYI / AVANS*")</f>
        <v>0</v>
      </c>
      <c r="R19" s="95">
        <f>SUM($M$7:$M19)+SUM($N$7:$N19)-SUM($P$7:$P19)-SUM($Q$7:$Q19)</f>
        <v>277599.98</v>
      </c>
      <c r="S19" s="65" t="str">
        <f>IF($B19&gt;=DATE(YEAR(TODAY()),MONTH(TODAY()),1),"AÇIK",IF(COUNTIFS(SISTEM!$C$23:$C$90,"KRİTİK",SISTEM!$F$23:$F$90,"KALDI")&gt;0,"KAPATILAMAZ",IF(COUNTIF(SISTEM!$F$23:$F$90,"KALDI")=0,"KAPANABİLİR","UYARI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19" s="65" t="str">
        <f>IF(ABS($Y19-$M19-$N19)&gt;0.01,"PAY HATASI",IF($S19="KAPATILAMAZ",IFERROR("KAPATILAMAZ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edin"),IF($O19="Evet","KAPANDI","AÇIK")))</f>
        <v>AÇIK</v>
      </c>
      <c r="U19" s="2"/>
      <c r="V19" s="2"/>
      <c r="W19" s="1"/>
      <c r="X19" s="1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$3001,GELIR_GIDER!$V$7:$V$3001,1,GELIR_GIDER!$C$7:$C$3001,"&lt;="&amp;EOMONTH($B19,0))</f>
        <v>5908263</v>
      </c>
      <c r="Y19" s="1">
        <f t="shared" si="6"/>
        <v>0</v>
      </c>
      <c r="Z19" s="1">
        <f>SUMIFS(ORTAKLAR!$E$14:$E$33,ORTAKLAR!$B$14:$B$33,SISTEM!$C$9,ORTAKLAR!$C$14:$C$33,"&lt;="&amp;$B19,ORTAKLAR!$K$14:$K$33,"&gt;="&amp;$B19)</f>
        <v>0.5</v>
      </c>
      <c r="AA19" s="1">
        <f>SUMIFS(ORTAKLAR!$E$14:$E$33,ORTAKLAR!$B$14:$B$33,SISTEM!$C$10,ORTAKLAR!$C$14:$C$33,"&lt;="&amp;$B19,ORTAKLAR!$K$14:$K$33,"&gt;="&amp;$B19)</f>
        <v>0.5</v>
      </c>
    </row>
    <row r="20" spans="1:27" ht="18" customHeight="1" x14ac:dyDescent="0.3">
      <c r="A20" s="2"/>
      <c r="B20" s="73">
        <v>46419</v>
      </c>
      <c r="C20" s="95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$3001,GELIR_GIDER!$V$7:$V$3001,1,GELIR_GIDER!$C$7:$C$3001,"&gt;="&amp;$B20,GELIR_GIDER!$C$7:$C$3001,"&lt;"&amp;EDATE($B20,1))</f>
        <v>450001</v>
      </c>
      <c r="D20" s="95">
        <f>SUMIFS(TAHSILAT!$F$7:$F$2503,TAHSILAT!$E$7:$E$2503,"&gt;="&amp;$B20,TAHSILAT!$E$7:$E$2503,"&lt;"&amp;EDATE($B20,1),TAHSILAT!$H$7:$H$2503,"&lt;&gt;Mahsup")</f>
        <v>0</v>
      </c>
      <c r="E20" s="95">
        <f>SUMIFS(GELIR_GIDER!$G$7:$G$3001,GELIR_GIDER!$D$7:$D$3001,"Gelir",GELIR_GIDER!$C$7:$C$3001,"&gt;="&amp;$B20,GELIR_GIDER!$C$7:$C$3001,"&lt;"&amp;EDATE($B20,1),GELIR_GIDER!$I$7:$I$3001,"Evet")</f>
        <v>0</v>
      </c>
      <c r="F20" s="95">
        <f t="shared" si="1"/>
        <v>0</v>
      </c>
      <c r="G20" s="95">
        <f>SUMIFS(GELIR_GIDER!$G$7:$G$3001,GELIR_GIDER!$D$7:$D$3001,"Gider",GELIR_GIDER!$C$7:$C$3001,"&gt;="&amp;$B20,GELIR_GIDER!$C$7:$C$3001,"&lt;"&amp;EDATE($B20,1),GELIR_GIDER!$I$7:$I$3001,"Evet")</f>
        <v>0</v>
      </c>
      <c r="H20" s="95">
        <f>$C20+$E20-SUMIFS(GELIR_GIDER!$G$7:$G$3001,GELIR_GIDER!$D$7:$D$3001,"Gider",GELIR_GIDER!$C$7:$C$3001,"&gt;="&amp;$B20,GELIR_GIDER!$C$7:$C$3001,"&lt;"&amp;EDATE($B20,1))</f>
        <v>450001</v>
      </c>
      <c r="I20" s="95">
        <f t="shared" si="2"/>
        <v>0</v>
      </c>
      <c r="J20" s="92">
        <f t="shared" si="3"/>
        <v>0</v>
      </c>
      <c r="K20" s="95">
        <f>SISTEM!$C$13</f>
        <v>0</v>
      </c>
      <c r="L20" s="95">
        <f>MAX(0,SUM($I$7:$I20)-$K20)</f>
        <v>1547062.02</v>
      </c>
      <c r="M20" s="95">
        <f t="shared" si="4"/>
        <v>0</v>
      </c>
      <c r="N20" s="95">
        <f t="shared" si="5"/>
        <v>0</v>
      </c>
      <c r="O20" s="60"/>
      <c r="P20" s="95">
        <f>SUMIFS(VIRMAN!$F$7:$F$406,VIRMAN!$E$7:$E$406,SISTEM!$C$9,VIRMAN!$C$7:$C$406,"&gt;="&amp;$B20,VIRMAN!$C$7:$C$406,"&lt;"&amp;EDATE($B20,1),VIRMAN!$G$7:$G$406,"KÂR PAYI / AVANS*")</f>
        <v>0</v>
      </c>
      <c r="Q20" s="95">
        <f>SUMIFS(VIRMAN!$F$7:$F$406,VIRMAN!$E$7:$E$406,SISTEM!$C$10,VIRMAN!$C$7:$C$406,"&gt;="&amp;$B20,VIRMAN!$C$7:$C$406,"&lt;"&amp;EDATE($B20,1),VIRMAN!$G$7:$G$406,"KÂR PAYI / AVANS*")</f>
        <v>0</v>
      </c>
      <c r="R20" s="95">
        <f>SUM($M$7:$M20)+SUM($N$7:$N20)-SUM($P$7:$P20)-SUM($Q$7:$Q20)</f>
        <v>277599.98</v>
      </c>
      <c r="S20" s="65" t="str">
        <f>IF($B20&gt;=DATE(YEAR(TODAY()),MONTH(TODAY()),1),"AÇIK",IF(COUNTIFS(SISTEM!$C$23:$C$90,"KRİTİK",SISTEM!$F$23:$F$90,"KALDI")&gt;0,"KAPATILAMAZ",IF(COUNTIF(SISTEM!$F$23:$F$90,"KALDI")=0,"KAPANABİLİR","UYARI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0" s="65" t="str">
        <f>IF(ABS($Y20-$M20-$N20)&gt;0.01,"PAY HATASI",IF($S20="KAPATILAMAZ",IFERROR("KAPATILAMAZ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edin"),IF($O20="Evet","KAPANDI","AÇIK")))</f>
        <v>AÇIK</v>
      </c>
      <c r="U20" s="2"/>
      <c r="V20" s="2"/>
      <c r="W20" s="1"/>
      <c r="X20" s="1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$3001,GELIR_GIDER!$V$7:$V$3001,1,GELIR_GIDER!$C$7:$C$3001,"&lt;="&amp;EOMONTH($B20,0))</f>
        <v>6358264</v>
      </c>
      <c r="Y20" s="1">
        <f t="shared" si="6"/>
        <v>0</v>
      </c>
      <c r="Z20" s="1">
        <f>SUMIFS(ORTAKLAR!$E$14:$E$33,ORTAKLAR!$B$14:$B$33,SISTEM!$C$9,ORTAKLAR!$C$14:$C$33,"&lt;="&amp;$B20,ORTAKLAR!$K$14:$K$33,"&gt;="&amp;$B20)</f>
        <v>0.5</v>
      </c>
      <c r="AA20" s="1">
        <f>SUMIFS(ORTAKLAR!$E$14:$E$33,ORTAKLAR!$B$14:$B$33,SISTEM!$C$10,ORTAKLAR!$C$14:$C$33,"&lt;="&amp;$B20,ORTAKLAR!$K$14:$K$33,"&gt;="&amp;$B20)</f>
        <v>0.5</v>
      </c>
    </row>
    <row r="21" spans="1:27" ht="18" customHeight="1" x14ac:dyDescent="0.3">
      <c r="A21" s="2"/>
      <c r="B21" s="73">
        <v>46447</v>
      </c>
      <c r="C21" s="95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$3001,GELIR_GIDER!$V$7:$V$3001,1,GELIR_GIDER!$C$7:$C$3001,"&gt;="&amp;$B21,GELIR_GIDER!$C$7:$C$3001,"&lt;"&amp;EDATE($B21,1))</f>
        <v>450001</v>
      </c>
      <c r="D21" s="95">
        <f>SUMIFS(TAHSILAT!$F$7:$F$2503,TAHSILAT!$E$7:$E$2503,"&gt;="&amp;$B21,TAHSILAT!$E$7:$E$2503,"&lt;"&amp;EDATE($B21,1),TAHSILAT!$H$7:$H$2503,"&lt;&gt;Mahsup")</f>
        <v>0</v>
      </c>
      <c r="E21" s="95">
        <f>SUMIFS(GELIR_GIDER!$G$7:$G$3001,GELIR_GIDER!$D$7:$D$3001,"Gelir",GELIR_GIDER!$C$7:$C$3001,"&gt;="&amp;$B21,GELIR_GIDER!$C$7:$C$3001,"&lt;"&amp;EDATE($B21,1),GELIR_GIDER!$I$7:$I$3001,"Evet")</f>
        <v>0</v>
      </c>
      <c r="F21" s="95">
        <f t="shared" si="1"/>
        <v>0</v>
      </c>
      <c r="G21" s="95">
        <f>SUMIFS(GELIR_GIDER!$G$7:$G$3001,GELIR_GIDER!$D$7:$D$3001,"Gider",GELIR_GIDER!$C$7:$C$3001,"&gt;="&amp;$B21,GELIR_GIDER!$C$7:$C$3001,"&lt;"&amp;EDATE($B21,1),GELIR_GIDER!$I$7:$I$3001,"Evet")</f>
        <v>0</v>
      </c>
      <c r="H21" s="95">
        <f>$C21+$E21-SUMIFS(GELIR_GIDER!$G$7:$G$3001,GELIR_GIDER!$D$7:$D$3001,"Gider",GELIR_GIDER!$C$7:$C$3001,"&gt;="&amp;$B21,GELIR_GIDER!$C$7:$C$3001,"&lt;"&amp;EDATE($B21,1))</f>
        <v>450001</v>
      </c>
      <c r="I21" s="95">
        <f t="shared" si="2"/>
        <v>0</v>
      </c>
      <c r="J21" s="92">
        <f t="shared" si="3"/>
        <v>0</v>
      </c>
      <c r="K21" s="95">
        <f>SISTEM!$C$13</f>
        <v>0</v>
      </c>
      <c r="L21" s="95">
        <f>MAX(0,SUM($I$7:$I21)-$K21)</f>
        <v>1547062.02</v>
      </c>
      <c r="M21" s="95">
        <f t="shared" si="4"/>
        <v>0</v>
      </c>
      <c r="N21" s="95">
        <f t="shared" si="5"/>
        <v>0</v>
      </c>
      <c r="O21" s="60"/>
      <c r="P21" s="95">
        <f>SUMIFS(VIRMAN!$F$7:$F$406,VIRMAN!$E$7:$E$406,SISTEM!$C$9,VIRMAN!$C$7:$C$406,"&gt;="&amp;$B21,VIRMAN!$C$7:$C$406,"&lt;"&amp;EDATE($B21,1),VIRMAN!$G$7:$G$406,"KÂR PAYI / AVANS*")</f>
        <v>0</v>
      </c>
      <c r="Q21" s="95">
        <f>SUMIFS(VIRMAN!$F$7:$F$406,VIRMAN!$E$7:$E$406,SISTEM!$C$10,VIRMAN!$C$7:$C$406,"&gt;="&amp;$B21,VIRMAN!$C$7:$C$406,"&lt;"&amp;EDATE($B21,1),VIRMAN!$G$7:$G$406,"KÂR PAYI / AVANS*")</f>
        <v>0</v>
      </c>
      <c r="R21" s="95">
        <f>SUM($M$7:$M21)+SUM($N$7:$N21)-SUM($P$7:$P21)-SUM($Q$7:$Q21)</f>
        <v>277599.98</v>
      </c>
      <c r="S21" s="65" t="str">
        <f>IF($B21&gt;=DATE(YEAR(TODAY()),MONTH(TODAY()),1),"AÇIK",IF(COUNTIFS(SISTEM!$C$23:$C$90,"KRİTİK",SISTEM!$F$23:$F$90,"KALDI")&gt;0,"KAPATILAMAZ",IF(COUNTIF(SISTEM!$F$23:$F$90,"KALDI")=0,"KAPANABİLİR","UYARI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1" s="65" t="str">
        <f>IF(ABS($Y21-$M21-$N21)&gt;0.01,"PAY HATASI",IF($S21="KAPATILAMAZ",IFERROR("KAPATILAMAZ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edin"),IF($O21="Evet","KAPANDI","AÇIK")))</f>
        <v>AÇIK</v>
      </c>
      <c r="U21" s="2"/>
      <c r="V21" s="2"/>
      <c r="W21" s="1"/>
      <c r="X21" s="1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$3001,GELIR_GIDER!$V$7:$V$3001,1,GELIR_GIDER!$C$7:$C$3001,"&lt;="&amp;EOMONTH($B21,0))</f>
        <v>6808265</v>
      </c>
      <c r="Y21" s="1">
        <f t="shared" si="6"/>
        <v>0</v>
      </c>
      <c r="Z21" s="1">
        <f>SUMIFS(ORTAKLAR!$E$14:$E$33,ORTAKLAR!$B$14:$B$33,SISTEM!$C$9,ORTAKLAR!$C$14:$C$33,"&lt;="&amp;$B21,ORTAKLAR!$K$14:$K$33,"&gt;="&amp;$B21)</f>
        <v>0.5</v>
      </c>
      <c r="AA21" s="1">
        <f>SUMIFS(ORTAKLAR!$E$14:$E$33,ORTAKLAR!$B$14:$B$33,SISTEM!$C$10,ORTAKLAR!$C$14:$C$33,"&lt;="&amp;$B21,ORTAKLAR!$K$14:$K$33,"&gt;="&amp;$B21)</f>
        <v>0.5</v>
      </c>
    </row>
    <row r="22" spans="1:27" ht="18" customHeight="1" x14ac:dyDescent="0.3">
      <c r="A22" s="2"/>
      <c r="B22" s="73">
        <v>46478</v>
      </c>
      <c r="C22" s="95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$3001,GELIR_GIDER!$V$7:$V$3001,1,GELIR_GIDER!$C$7:$C$3001,"&gt;="&amp;$B22,GELIR_GIDER!$C$7:$C$3001,"&lt;"&amp;EDATE($B22,1))</f>
        <v>450001</v>
      </c>
      <c r="D22" s="95">
        <f>SUMIFS(TAHSILAT!$F$7:$F$2503,TAHSILAT!$E$7:$E$2503,"&gt;="&amp;$B22,TAHSILAT!$E$7:$E$2503,"&lt;"&amp;EDATE($B22,1),TAHSILAT!$H$7:$H$2503,"&lt;&gt;Mahsup")</f>
        <v>0</v>
      </c>
      <c r="E22" s="95">
        <f>SUMIFS(GELIR_GIDER!$G$7:$G$3001,GELIR_GIDER!$D$7:$D$3001,"Gelir",GELIR_GIDER!$C$7:$C$3001,"&gt;="&amp;$B22,GELIR_GIDER!$C$7:$C$3001,"&lt;"&amp;EDATE($B22,1),GELIR_GIDER!$I$7:$I$3001,"Evet")</f>
        <v>0</v>
      </c>
      <c r="F22" s="95">
        <f t="shared" si="1"/>
        <v>0</v>
      </c>
      <c r="G22" s="95">
        <f>SUMIFS(GELIR_GIDER!$G$7:$G$3001,GELIR_GIDER!$D$7:$D$3001,"Gider",GELIR_GIDER!$C$7:$C$3001,"&gt;="&amp;$B22,GELIR_GIDER!$C$7:$C$3001,"&lt;"&amp;EDATE($B22,1),GELIR_GIDER!$I$7:$I$3001,"Evet")</f>
        <v>0</v>
      </c>
      <c r="H22" s="95">
        <f>$C22+$E22-SUMIFS(GELIR_GIDER!$G$7:$G$3001,GELIR_GIDER!$D$7:$D$3001,"Gider",GELIR_GIDER!$C$7:$C$3001,"&gt;="&amp;$B22,GELIR_GIDER!$C$7:$C$3001,"&lt;"&amp;EDATE($B22,1))</f>
        <v>450001</v>
      </c>
      <c r="I22" s="95">
        <f t="shared" si="2"/>
        <v>0</v>
      </c>
      <c r="J22" s="92">
        <f t="shared" si="3"/>
        <v>0</v>
      </c>
      <c r="K22" s="95">
        <f>SISTEM!$C$13</f>
        <v>0</v>
      </c>
      <c r="L22" s="95">
        <f>MAX(0,SUM($I$7:$I22)-$K22)</f>
        <v>1547062.02</v>
      </c>
      <c r="M22" s="95">
        <f t="shared" si="4"/>
        <v>0</v>
      </c>
      <c r="N22" s="95">
        <f t="shared" si="5"/>
        <v>0</v>
      </c>
      <c r="O22" s="60"/>
      <c r="P22" s="95">
        <f>SUMIFS(VIRMAN!$F$7:$F$406,VIRMAN!$E$7:$E$406,SISTEM!$C$9,VIRMAN!$C$7:$C$406,"&gt;="&amp;$B22,VIRMAN!$C$7:$C$406,"&lt;"&amp;EDATE($B22,1),VIRMAN!$G$7:$G$406,"KÂR PAYI / AVANS*")</f>
        <v>0</v>
      </c>
      <c r="Q22" s="95">
        <f>SUMIFS(VIRMAN!$F$7:$F$406,VIRMAN!$E$7:$E$406,SISTEM!$C$10,VIRMAN!$C$7:$C$406,"&gt;="&amp;$B22,VIRMAN!$C$7:$C$406,"&lt;"&amp;EDATE($B22,1),VIRMAN!$G$7:$G$406,"KÂR PAYI / AVANS*")</f>
        <v>0</v>
      </c>
      <c r="R22" s="95">
        <f>SUM($M$7:$M22)+SUM($N$7:$N22)-SUM($P$7:$P22)-SUM($Q$7:$Q22)</f>
        <v>277599.98</v>
      </c>
      <c r="S22" s="65" t="str">
        <f>IF($B22&gt;=DATE(YEAR(TODAY()),MONTH(TODAY()),1),"AÇIK",IF(COUNTIFS(SISTEM!$C$23:$C$90,"KRİTİK",SISTEM!$F$23:$F$90,"KALDI")&gt;0,"KAPATILAMAZ",IF(COUNTIF(SISTEM!$F$23:$F$90,"KALDI")=0,"KAPANABİLİR","UYARI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2" s="65" t="str">
        <f>IF(ABS($Y22-$M22-$N22)&gt;0.01,"PAY HATASI",IF($S22="KAPATILAMAZ",IFERROR("KAPATILAMAZ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edin"),IF($O22="Evet","KAPANDI","AÇIK")))</f>
        <v>AÇIK</v>
      </c>
      <c r="U22" s="2"/>
      <c r="V22" s="2"/>
      <c r="W22" s="1"/>
      <c r="X22" s="1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$3001,GELIR_GIDER!$V$7:$V$3001,1,GELIR_GIDER!$C$7:$C$3001,"&lt;="&amp;EOMONTH($B22,0))</f>
        <v>7258266</v>
      </c>
      <c r="Y22" s="1">
        <f t="shared" si="6"/>
        <v>0</v>
      </c>
      <c r="Z22" s="1">
        <f>SUMIFS(ORTAKLAR!$E$14:$E$33,ORTAKLAR!$B$14:$B$33,SISTEM!$C$9,ORTAKLAR!$C$14:$C$33,"&lt;="&amp;$B22,ORTAKLAR!$K$14:$K$33,"&gt;="&amp;$B22)</f>
        <v>0.5</v>
      </c>
      <c r="AA22" s="1">
        <f>SUMIFS(ORTAKLAR!$E$14:$E$33,ORTAKLAR!$B$14:$B$33,SISTEM!$C$10,ORTAKLAR!$C$14:$C$33,"&lt;="&amp;$B22,ORTAKLAR!$K$14:$K$33,"&gt;="&amp;$B22)</f>
        <v>0.5</v>
      </c>
    </row>
    <row r="23" spans="1:27" ht="18" customHeight="1" x14ac:dyDescent="0.3">
      <c r="A23" s="2"/>
      <c r="B23" s="73">
        <v>46508</v>
      </c>
      <c r="C23" s="95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$3001,GELIR_GIDER!$V$7:$V$3001,1,GELIR_GIDER!$C$7:$C$3001,"&gt;="&amp;$B23,GELIR_GIDER!$C$7:$C$3001,"&lt;"&amp;EDATE($B23,1))</f>
        <v>529751</v>
      </c>
      <c r="D23" s="95">
        <f>SUMIFS(TAHSILAT!$F$7:$F$2503,TAHSILAT!$E$7:$E$2503,"&gt;="&amp;$B23,TAHSILAT!$E$7:$E$2503,"&lt;"&amp;EDATE($B23,1),TAHSILAT!$H$7:$H$2503,"&lt;&gt;Mahsup")</f>
        <v>0</v>
      </c>
      <c r="E23" s="95">
        <f>SUMIFS(GELIR_GIDER!$G$7:$G$3001,GELIR_GIDER!$D$7:$D$3001,"Gelir",GELIR_GIDER!$C$7:$C$3001,"&gt;="&amp;$B23,GELIR_GIDER!$C$7:$C$3001,"&lt;"&amp;EDATE($B23,1),GELIR_GIDER!$I$7:$I$3001,"Evet")</f>
        <v>0</v>
      </c>
      <c r="F23" s="95">
        <f t="shared" si="1"/>
        <v>0</v>
      </c>
      <c r="G23" s="95">
        <f>SUMIFS(GELIR_GIDER!$G$7:$G$3001,GELIR_GIDER!$D$7:$D$3001,"Gider",GELIR_GIDER!$C$7:$C$3001,"&gt;="&amp;$B23,GELIR_GIDER!$C$7:$C$3001,"&lt;"&amp;EDATE($B23,1),GELIR_GIDER!$I$7:$I$3001,"Evet")</f>
        <v>0</v>
      </c>
      <c r="H23" s="95">
        <f>$C23+$E23-SUMIFS(GELIR_GIDER!$G$7:$G$3001,GELIR_GIDER!$D$7:$D$3001,"Gider",GELIR_GIDER!$C$7:$C$3001,"&gt;="&amp;$B23,GELIR_GIDER!$C$7:$C$3001,"&lt;"&amp;EDATE($B23,1))</f>
        <v>529751</v>
      </c>
      <c r="I23" s="95">
        <f t="shared" si="2"/>
        <v>0</v>
      </c>
      <c r="J23" s="92">
        <f t="shared" si="3"/>
        <v>0</v>
      </c>
      <c r="K23" s="95">
        <f>SISTEM!$C$13</f>
        <v>0</v>
      </c>
      <c r="L23" s="95">
        <f>MAX(0,SUM($I$7:$I23)-$K23)</f>
        <v>1547062.02</v>
      </c>
      <c r="M23" s="95">
        <f t="shared" si="4"/>
        <v>0</v>
      </c>
      <c r="N23" s="95">
        <f t="shared" si="5"/>
        <v>0</v>
      </c>
      <c r="O23" s="60"/>
      <c r="P23" s="95">
        <f>SUMIFS(VIRMAN!$F$7:$F$406,VIRMAN!$E$7:$E$406,SISTEM!$C$9,VIRMAN!$C$7:$C$406,"&gt;="&amp;$B23,VIRMAN!$C$7:$C$406,"&lt;"&amp;EDATE($B23,1),VIRMAN!$G$7:$G$406,"KÂR PAYI / AVANS*")</f>
        <v>0</v>
      </c>
      <c r="Q23" s="95">
        <f>SUMIFS(VIRMAN!$F$7:$F$406,VIRMAN!$E$7:$E$406,SISTEM!$C$10,VIRMAN!$C$7:$C$406,"&gt;="&amp;$B23,VIRMAN!$C$7:$C$406,"&lt;"&amp;EDATE($B23,1),VIRMAN!$G$7:$G$406,"KÂR PAYI / AVANS*")</f>
        <v>0</v>
      </c>
      <c r="R23" s="95">
        <f>SUM($M$7:$M23)+SUM($N$7:$N23)-SUM($P$7:$P23)-SUM($Q$7:$Q23)</f>
        <v>277599.98</v>
      </c>
      <c r="S23" s="65" t="str">
        <f>IF($B23&gt;=DATE(YEAR(TODAY()),MONTH(TODAY()),1),"AÇIK",IF(COUNTIFS(SISTEM!$C$23:$C$90,"KRİTİK",SISTEM!$F$23:$F$90,"KALDI")&gt;0,"KAPATILAMAZ",IF(COUNTIF(SISTEM!$F$23:$F$90,"KALDI")=0,"KAPANABİLİR","UYARI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3" s="65" t="str">
        <f>IF(ABS($Y23-$M23-$N23)&gt;0.01,"PAY HATASI",IF($S23="KAPATILAMAZ",IFERROR("KAPATILAMAZ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edin"),IF($O23="Evet","KAPANDI","AÇIK")))</f>
        <v>AÇIK</v>
      </c>
      <c r="U23" s="2"/>
      <c r="V23" s="2"/>
      <c r="W23" s="1"/>
      <c r="X23" s="1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$3001,GELIR_GIDER!$V$7:$V$3001,1,GELIR_GIDER!$C$7:$C$3001,"&lt;="&amp;EOMONTH($B23,0))</f>
        <v>7788017</v>
      </c>
      <c r="Y23" s="1">
        <f t="shared" si="6"/>
        <v>0</v>
      </c>
      <c r="Z23" s="1">
        <f>SUMIFS(ORTAKLAR!$E$14:$E$33,ORTAKLAR!$B$14:$B$33,SISTEM!$C$9,ORTAKLAR!$C$14:$C$33,"&lt;="&amp;$B23,ORTAKLAR!$K$14:$K$33,"&gt;="&amp;$B23)</f>
        <v>0.5</v>
      </c>
      <c r="AA23" s="1">
        <f>SUMIFS(ORTAKLAR!$E$14:$E$33,ORTAKLAR!$B$14:$B$33,SISTEM!$C$10,ORTAKLAR!$C$14:$C$33,"&lt;="&amp;$B23,ORTAKLAR!$K$14:$K$33,"&gt;="&amp;$B23)</f>
        <v>0.5</v>
      </c>
    </row>
    <row r="24" spans="1:27" ht="18" customHeight="1" x14ac:dyDescent="0.3">
      <c r="A24" s="2"/>
      <c r="B24" s="73">
        <v>46539</v>
      </c>
      <c r="C24" s="95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$3001,GELIR_GIDER!$V$7:$V$3001,1,GELIR_GIDER!$C$7:$C$3001,"&gt;="&amp;$B24,GELIR_GIDER!$C$7:$C$3001,"&lt;"&amp;EDATE($B24,1))</f>
        <v>450001</v>
      </c>
      <c r="D24" s="95">
        <f>SUMIFS(TAHSILAT!$F$7:$F$2503,TAHSILAT!$E$7:$E$2503,"&gt;="&amp;$B24,TAHSILAT!$E$7:$E$2503,"&lt;"&amp;EDATE($B24,1),TAHSILAT!$H$7:$H$2503,"&lt;&gt;Mahsup")</f>
        <v>0</v>
      </c>
      <c r="E24" s="95">
        <f>SUMIFS(GELIR_GIDER!$G$7:$G$3001,GELIR_GIDER!$D$7:$D$3001,"Gelir",GELIR_GIDER!$C$7:$C$3001,"&gt;="&amp;$B24,GELIR_GIDER!$C$7:$C$3001,"&lt;"&amp;EDATE($B24,1),GELIR_GIDER!$I$7:$I$3001,"Evet")</f>
        <v>0</v>
      </c>
      <c r="F24" s="95">
        <f t="shared" si="1"/>
        <v>0</v>
      </c>
      <c r="G24" s="95">
        <f>SUMIFS(GELIR_GIDER!$G$7:$G$3001,GELIR_GIDER!$D$7:$D$3001,"Gider",GELIR_GIDER!$C$7:$C$3001,"&gt;="&amp;$B24,GELIR_GIDER!$C$7:$C$3001,"&lt;"&amp;EDATE($B24,1),GELIR_GIDER!$I$7:$I$3001,"Evet")</f>
        <v>0</v>
      </c>
      <c r="H24" s="95">
        <f>$C24+$E24-SUMIFS(GELIR_GIDER!$G$7:$G$3001,GELIR_GIDER!$D$7:$D$3001,"Gider",GELIR_GIDER!$C$7:$C$3001,"&gt;="&amp;$B24,GELIR_GIDER!$C$7:$C$3001,"&lt;"&amp;EDATE($B24,1))</f>
        <v>450001</v>
      </c>
      <c r="I24" s="95">
        <f t="shared" si="2"/>
        <v>0</v>
      </c>
      <c r="J24" s="92">
        <f t="shared" si="3"/>
        <v>0</v>
      </c>
      <c r="K24" s="95">
        <f>SISTEM!$C$13</f>
        <v>0</v>
      </c>
      <c r="L24" s="95">
        <f>MAX(0,SUM($I$7:$I24)-$K24)</f>
        <v>1547062.02</v>
      </c>
      <c r="M24" s="95">
        <f t="shared" si="4"/>
        <v>0</v>
      </c>
      <c r="N24" s="95">
        <f t="shared" si="5"/>
        <v>0</v>
      </c>
      <c r="O24" s="60"/>
      <c r="P24" s="95">
        <f>SUMIFS(VIRMAN!$F$7:$F$406,VIRMAN!$E$7:$E$406,SISTEM!$C$9,VIRMAN!$C$7:$C$406,"&gt;="&amp;$B24,VIRMAN!$C$7:$C$406,"&lt;"&amp;EDATE($B24,1),VIRMAN!$G$7:$G$406,"KÂR PAYI / AVANS*")</f>
        <v>0</v>
      </c>
      <c r="Q24" s="95">
        <f>SUMIFS(VIRMAN!$F$7:$F$406,VIRMAN!$E$7:$E$406,SISTEM!$C$10,VIRMAN!$C$7:$C$406,"&gt;="&amp;$B24,VIRMAN!$C$7:$C$406,"&lt;"&amp;EDATE($B24,1),VIRMAN!$G$7:$G$406,"KÂR PAYI / AVANS*")</f>
        <v>0</v>
      </c>
      <c r="R24" s="95">
        <f>SUM($M$7:$M24)+SUM($N$7:$N24)-SUM($P$7:$P24)-SUM($Q$7:$Q24)</f>
        <v>277599.98</v>
      </c>
      <c r="S24" s="65" t="str">
        <f>IF($B24&gt;=DATE(YEAR(TODAY()),MONTH(TODAY()),1),"AÇIK",IF(COUNTIFS(SISTEM!$C$23:$C$90,"KRİTİK",SISTEM!$F$23:$F$90,"KALDI")&gt;0,"KAPATILAMAZ",IF(COUNTIF(SISTEM!$F$23:$F$90,"KALDI")=0,"KAPANABİLİR","UYARI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4" s="65" t="str">
        <f>IF(ABS($Y24-$M24-$N24)&gt;0.01,"PAY HATASI",IF($S24="KAPATILAMAZ",IFERROR("KAPATILAMAZ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edin"),IF($O24="Evet","KAPANDI","AÇIK")))</f>
        <v>AÇIK</v>
      </c>
      <c r="U24" s="2"/>
      <c r="V24" s="2"/>
      <c r="W24" s="1"/>
      <c r="X24" s="1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$3001,GELIR_GIDER!$V$7:$V$3001,1,GELIR_GIDER!$C$7:$C$3001,"&lt;="&amp;EOMONTH($B24,0))</f>
        <v>8238018</v>
      </c>
      <c r="Y24" s="1">
        <f t="shared" si="6"/>
        <v>0</v>
      </c>
      <c r="Z24" s="1">
        <f>SUMIFS(ORTAKLAR!$E$14:$E$33,ORTAKLAR!$B$14:$B$33,SISTEM!$C$9,ORTAKLAR!$C$14:$C$33,"&lt;="&amp;$B24,ORTAKLAR!$K$14:$K$33,"&gt;="&amp;$B24)</f>
        <v>0.5</v>
      </c>
      <c r="AA24" s="1">
        <f>SUMIFS(ORTAKLAR!$E$14:$E$33,ORTAKLAR!$B$14:$B$33,SISTEM!$C$10,ORTAKLAR!$C$14:$C$33,"&lt;="&amp;$B24,ORTAKLAR!$K$14:$K$33,"&gt;="&amp;$B24)</f>
        <v>0.5</v>
      </c>
    </row>
    <row r="25" spans="1:27" ht="18" customHeight="1" x14ac:dyDescent="0.3">
      <c r="A25" s="2"/>
      <c r="B25" s="73">
        <v>46569</v>
      </c>
      <c r="C25" s="95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$3001,GELIR_GIDER!$V$7:$V$3001,1,GELIR_GIDER!$C$7:$C$3001,"&gt;="&amp;$B25,GELIR_GIDER!$C$7:$C$3001,"&lt;"&amp;EDATE($B25,1))</f>
        <v>529751</v>
      </c>
      <c r="D25" s="95">
        <f>SUMIFS(TAHSILAT!$F$7:$F$2503,TAHSILAT!$E$7:$E$2503,"&gt;="&amp;$B25,TAHSILAT!$E$7:$E$2503,"&lt;"&amp;EDATE($B25,1),TAHSILAT!$H$7:$H$2503,"&lt;&gt;Mahsup")</f>
        <v>0</v>
      </c>
      <c r="E25" s="95">
        <f>SUMIFS(GELIR_GIDER!$G$7:$G$3001,GELIR_GIDER!$D$7:$D$3001,"Gelir",GELIR_GIDER!$C$7:$C$3001,"&gt;="&amp;$B25,GELIR_GIDER!$C$7:$C$3001,"&lt;"&amp;EDATE($B25,1),GELIR_GIDER!$I$7:$I$3001,"Evet")</f>
        <v>0</v>
      </c>
      <c r="F25" s="95">
        <f t="shared" si="1"/>
        <v>0</v>
      </c>
      <c r="G25" s="95">
        <f>SUMIFS(GELIR_GIDER!$G$7:$G$3001,GELIR_GIDER!$D$7:$D$3001,"Gider",GELIR_GIDER!$C$7:$C$3001,"&gt;="&amp;$B25,GELIR_GIDER!$C$7:$C$3001,"&lt;"&amp;EDATE($B25,1),GELIR_GIDER!$I$7:$I$3001,"Evet")</f>
        <v>0</v>
      </c>
      <c r="H25" s="95">
        <f>$C25+$E25-SUMIFS(GELIR_GIDER!$G$7:$G$3001,GELIR_GIDER!$D$7:$D$3001,"Gider",GELIR_GIDER!$C$7:$C$3001,"&gt;="&amp;$B25,GELIR_GIDER!$C$7:$C$3001,"&lt;"&amp;EDATE($B25,1))</f>
        <v>529751</v>
      </c>
      <c r="I25" s="95">
        <f t="shared" si="2"/>
        <v>0</v>
      </c>
      <c r="J25" s="92">
        <f t="shared" si="3"/>
        <v>0</v>
      </c>
      <c r="K25" s="95">
        <f>SISTEM!$C$13</f>
        <v>0</v>
      </c>
      <c r="L25" s="95">
        <f>MAX(0,SUM($I$7:$I25)-$K25)</f>
        <v>1547062.02</v>
      </c>
      <c r="M25" s="95">
        <f t="shared" si="4"/>
        <v>0</v>
      </c>
      <c r="N25" s="95">
        <f t="shared" si="5"/>
        <v>0</v>
      </c>
      <c r="O25" s="60"/>
      <c r="P25" s="95">
        <f>SUMIFS(VIRMAN!$F$7:$F$406,VIRMAN!$E$7:$E$406,SISTEM!$C$9,VIRMAN!$C$7:$C$406,"&gt;="&amp;$B25,VIRMAN!$C$7:$C$406,"&lt;"&amp;EDATE($B25,1),VIRMAN!$G$7:$G$406,"KÂR PAYI / AVANS*")</f>
        <v>0</v>
      </c>
      <c r="Q25" s="95">
        <f>SUMIFS(VIRMAN!$F$7:$F$406,VIRMAN!$E$7:$E$406,SISTEM!$C$10,VIRMAN!$C$7:$C$406,"&gt;="&amp;$B25,VIRMAN!$C$7:$C$406,"&lt;"&amp;EDATE($B25,1),VIRMAN!$G$7:$G$406,"KÂR PAYI / AVANS*")</f>
        <v>0</v>
      </c>
      <c r="R25" s="95">
        <f>SUM($M$7:$M25)+SUM($N$7:$N25)-SUM($P$7:$P25)-SUM($Q$7:$Q25)</f>
        <v>277599.98</v>
      </c>
      <c r="S25" s="65" t="str">
        <f>IF($B25&gt;=DATE(YEAR(TODAY()),MONTH(TODAY()),1),"AÇIK",IF(COUNTIFS(SISTEM!$C$23:$C$90,"KRİTİK",SISTEM!$F$23:$F$90,"KALDI")&gt;0,"KAPATILAMAZ",IF(COUNTIF(SISTEM!$F$23:$F$90,"KALDI")=0,"KAPANABİLİR","UYARI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5" s="65" t="str">
        <f>IF(ABS($Y25-$M25-$N25)&gt;0.01,"PAY HATASI",IF($S25="KAPATILAMAZ",IFERROR("KAPATILAMAZ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edin"),IF($O25="Evet","KAPANDI","AÇIK")))</f>
        <v>AÇIK</v>
      </c>
      <c r="U25" s="2"/>
      <c r="V25" s="2"/>
      <c r="W25" s="1"/>
      <c r="X25" s="1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$3001,GELIR_GIDER!$V$7:$V$3001,1,GELIR_GIDER!$C$7:$C$3001,"&lt;="&amp;EOMONTH($B25,0))</f>
        <v>8767769</v>
      </c>
      <c r="Y25" s="1">
        <f t="shared" si="6"/>
        <v>0</v>
      </c>
      <c r="Z25" s="1">
        <f>SUMIFS(ORTAKLAR!$E$14:$E$33,ORTAKLAR!$B$14:$B$33,SISTEM!$C$9,ORTAKLAR!$C$14:$C$33,"&lt;="&amp;$B25,ORTAKLAR!$K$14:$K$33,"&gt;="&amp;$B25)</f>
        <v>0.5</v>
      </c>
      <c r="AA25" s="1">
        <f>SUMIFS(ORTAKLAR!$E$14:$E$33,ORTAKLAR!$B$14:$B$33,SISTEM!$C$10,ORTAKLAR!$C$14:$C$33,"&lt;="&amp;$B25,ORTAKLAR!$K$14:$K$33,"&gt;="&amp;$B25)</f>
        <v>0.5</v>
      </c>
    </row>
    <row r="26" spans="1:27" ht="18" customHeight="1" x14ac:dyDescent="0.3">
      <c r="A26" s="2"/>
      <c r="B26" s="73">
        <v>46600</v>
      </c>
      <c r="C26" s="95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$3001,GELIR_GIDER!$V$7:$V$3001,1,GELIR_GIDER!$C$7:$C$3001,"&gt;="&amp;$B26,GELIR_GIDER!$C$7:$C$3001,"&lt;"&amp;EDATE($B26,1))</f>
        <v>450001</v>
      </c>
      <c r="D26" s="95">
        <f>SUMIFS(TAHSILAT!$F$7:$F$2503,TAHSILAT!$E$7:$E$2503,"&gt;="&amp;$B26,TAHSILAT!$E$7:$E$2503,"&lt;"&amp;EDATE($B26,1),TAHSILAT!$H$7:$H$2503,"&lt;&gt;Mahsup")</f>
        <v>0</v>
      </c>
      <c r="E26" s="95">
        <f>SUMIFS(GELIR_GIDER!$G$7:$G$3001,GELIR_GIDER!$D$7:$D$3001,"Gelir",GELIR_GIDER!$C$7:$C$3001,"&gt;="&amp;$B26,GELIR_GIDER!$C$7:$C$3001,"&lt;"&amp;EDATE($B26,1),GELIR_GIDER!$I$7:$I$3001,"Evet")</f>
        <v>0</v>
      </c>
      <c r="F26" s="95">
        <f t="shared" si="1"/>
        <v>0</v>
      </c>
      <c r="G26" s="95">
        <f>SUMIFS(GELIR_GIDER!$G$7:$G$3001,GELIR_GIDER!$D$7:$D$3001,"Gider",GELIR_GIDER!$C$7:$C$3001,"&gt;="&amp;$B26,GELIR_GIDER!$C$7:$C$3001,"&lt;"&amp;EDATE($B26,1),GELIR_GIDER!$I$7:$I$3001,"Evet")</f>
        <v>0</v>
      </c>
      <c r="H26" s="95">
        <f>$C26+$E26-SUMIFS(GELIR_GIDER!$G$7:$G$3001,GELIR_GIDER!$D$7:$D$3001,"Gider",GELIR_GIDER!$C$7:$C$3001,"&gt;="&amp;$B26,GELIR_GIDER!$C$7:$C$3001,"&lt;"&amp;EDATE($B26,1))</f>
        <v>450001</v>
      </c>
      <c r="I26" s="95">
        <f t="shared" si="2"/>
        <v>0</v>
      </c>
      <c r="J26" s="92">
        <f t="shared" si="3"/>
        <v>0</v>
      </c>
      <c r="K26" s="95">
        <f>SISTEM!$C$13</f>
        <v>0</v>
      </c>
      <c r="L26" s="95">
        <f>MAX(0,SUM($I$7:$I26)-$K26)</f>
        <v>1547062.02</v>
      </c>
      <c r="M26" s="95">
        <f t="shared" si="4"/>
        <v>0</v>
      </c>
      <c r="N26" s="95">
        <f t="shared" si="5"/>
        <v>0</v>
      </c>
      <c r="O26" s="60"/>
      <c r="P26" s="95">
        <f>SUMIFS(VIRMAN!$F$7:$F$406,VIRMAN!$E$7:$E$406,SISTEM!$C$9,VIRMAN!$C$7:$C$406,"&gt;="&amp;$B26,VIRMAN!$C$7:$C$406,"&lt;"&amp;EDATE($B26,1),VIRMAN!$G$7:$G$406,"KÂR PAYI / AVANS*")</f>
        <v>0</v>
      </c>
      <c r="Q26" s="95">
        <f>SUMIFS(VIRMAN!$F$7:$F$406,VIRMAN!$E$7:$E$406,SISTEM!$C$10,VIRMAN!$C$7:$C$406,"&gt;="&amp;$B26,VIRMAN!$C$7:$C$406,"&lt;"&amp;EDATE($B26,1),VIRMAN!$G$7:$G$406,"KÂR PAYI / AVANS*")</f>
        <v>0</v>
      </c>
      <c r="R26" s="95">
        <f>SUM($M$7:$M26)+SUM($N$7:$N26)-SUM($P$7:$P26)-SUM($Q$7:$Q26)</f>
        <v>277599.98</v>
      </c>
      <c r="S26" s="65" t="str">
        <f>IF($B26&gt;=DATE(YEAR(TODAY()),MONTH(TODAY()),1),"AÇIK",IF(COUNTIFS(SISTEM!$C$23:$C$90,"KRİTİK",SISTEM!$F$23:$F$90,"KALDI")&gt;0,"KAPATILAMAZ",IF(COUNTIF(SISTEM!$F$23:$F$90,"KALDI")=0,"KAPANABİLİR","UYARI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6" s="65" t="str">
        <f>IF(ABS($Y26-$M26-$N26)&gt;0.01,"PAY HATASI",IF($S26="KAPATILAMAZ",IFERROR("KAPATILAMAZ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edin"),IF($O26="Evet","KAPANDI","AÇIK")))</f>
        <v>AÇIK</v>
      </c>
      <c r="U26" s="2"/>
      <c r="V26" s="2"/>
      <c r="W26" s="1"/>
      <c r="X26" s="1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$3001,GELIR_GIDER!$V$7:$V$3001,1,GELIR_GIDER!$C$7:$C$3001,"&lt;="&amp;EOMONTH($B26,0))</f>
        <v>9217770</v>
      </c>
      <c r="Y26" s="1">
        <f t="shared" si="6"/>
        <v>0</v>
      </c>
      <c r="Z26" s="1">
        <f>SUMIFS(ORTAKLAR!$E$14:$E$33,ORTAKLAR!$B$14:$B$33,SISTEM!$C$9,ORTAKLAR!$C$14:$C$33,"&lt;="&amp;$B26,ORTAKLAR!$K$14:$K$33,"&gt;="&amp;$B26)</f>
        <v>0.5</v>
      </c>
      <c r="AA26" s="1">
        <f>SUMIFS(ORTAKLAR!$E$14:$E$33,ORTAKLAR!$B$14:$B$33,SISTEM!$C$10,ORTAKLAR!$C$14:$C$33,"&lt;="&amp;$B26,ORTAKLAR!$K$14:$K$33,"&gt;="&amp;$B26)</f>
        <v>0.5</v>
      </c>
    </row>
    <row r="27" spans="1:27" ht="18" customHeight="1" x14ac:dyDescent="0.3">
      <c r="A27" s="2"/>
      <c r="B27" s="73">
        <v>46631</v>
      </c>
      <c r="C27" s="95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$3001,GELIR_GIDER!$V$7:$V$3001,1,GELIR_GIDER!$C$7:$C$3001,"&gt;="&amp;$B27,GELIR_GIDER!$C$7:$C$3001,"&lt;"&amp;EDATE($B27,1))</f>
        <v>450001</v>
      </c>
      <c r="D27" s="95">
        <f>SUMIFS(TAHSILAT!$F$7:$F$2503,TAHSILAT!$E$7:$E$2503,"&gt;="&amp;$B27,TAHSILAT!$E$7:$E$2503,"&lt;"&amp;EDATE($B27,1),TAHSILAT!$H$7:$H$2503,"&lt;&gt;Mahsup")</f>
        <v>0</v>
      </c>
      <c r="E27" s="95">
        <f>SUMIFS(GELIR_GIDER!$G$7:$G$3001,GELIR_GIDER!$D$7:$D$3001,"Gelir",GELIR_GIDER!$C$7:$C$3001,"&gt;="&amp;$B27,GELIR_GIDER!$C$7:$C$3001,"&lt;"&amp;EDATE($B27,1),GELIR_GIDER!$I$7:$I$3001,"Evet")</f>
        <v>0</v>
      </c>
      <c r="F27" s="95">
        <f t="shared" si="1"/>
        <v>0</v>
      </c>
      <c r="G27" s="95">
        <f>SUMIFS(GELIR_GIDER!$G$7:$G$3001,GELIR_GIDER!$D$7:$D$3001,"Gider",GELIR_GIDER!$C$7:$C$3001,"&gt;="&amp;$B27,GELIR_GIDER!$C$7:$C$3001,"&lt;"&amp;EDATE($B27,1),GELIR_GIDER!$I$7:$I$3001,"Evet")</f>
        <v>0</v>
      </c>
      <c r="H27" s="95">
        <f>$C27+$E27-SUMIFS(GELIR_GIDER!$G$7:$G$3001,GELIR_GIDER!$D$7:$D$3001,"Gider",GELIR_GIDER!$C$7:$C$3001,"&gt;="&amp;$B27,GELIR_GIDER!$C$7:$C$3001,"&lt;"&amp;EDATE($B27,1))</f>
        <v>450001</v>
      </c>
      <c r="I27" s="95">
        <f t="shared" si="2"/>
        <v>0</v>
      </c>
      <c r="J27" s="92">
        <f t="shared" si="3"/>
        <v>0</v>
      </c>
      <c r="K27" s="95">
        <f>SISTEM!$C$13</f>
        <v>0</v>
      </c>
      <c r="L27" s="95">
        <f>MAX(0,SUM($I$7:$I27)-$K27)</f>
        <v>1547062.02</v>
      </c>
      <c r="M27" s="95">
        <f t="shared" si="4"/>
        <v>0</v>
      </c>
      <c r="N27" s="95">
        <f t="shared" si="5"/>
        <v>0</v>
      </c>
      <c r="O27" s="60"/>
      <c r="P27" s="95">
        <f>SUMIFS(VIRMAN!$F$7:$F$406,VIRMAN!$E$7:$E$406,SISTEM!$C$9,VIRMAN!$C$7:$C$406,"&gt;="&amp;$B27,VIRMAN!$C$7:$C$406,"&lt;"&amp;EDATE($B27,1),VIRMAN!$G$7:$G$406,"KÂR PAYI / AVANS*")</f>
        <v>0</v>
      </c>
      <c r="Q27" s="95">
        <f>SUMIFS(VIRMAN!$F$7:$F$406,VIRMAN!$E$7:$E$406,SISTEM!$C$10,VIRMAN!$C$7:$C$406,"&gt;="&amp;$B27,VIRMAN!$C$7:$C$406,"&lt;"&amp;EDATE($B27,1),VIRMAN!$G$7:$G$406,"KÂR PAYI / AVANS*")</f>
        <v>0</v>
      </c>
      <c r="R27" s="95">
        <f>SUM($M$7:$M27)+SUM($N$7:$N27)-SUM($P$7:$P27)-SUM($Q$7:$Q27)</f>
        <v>277599.98</v>
      </c>
      <c r="S27" s="65" t="str">
        <f>IF($B27&gt;=DATE(YEAR(TODAY()),MONTH(TODAY()),1),"AÇIK",IF(COUNTIFS(SISTEM!$C$23:$C$90,"KRİTİK",SISTEM!$F$23:$F$90,"KALDI")&gt;0,"KAPATILAMAZ",IF(COUNTIF(SISTEM!$F$23:$F$90,"KALDI")=0,"KAPANABİLİR","UYARI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7" s="65" t="str">
        <f>IF(ABS($Y27-$M27-$N27)&gt;0.01,"PAY HATASI",IF($S27="KAPATILAMAZ",IFERROR("KAPATILAMAZ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edin"),IF($O27="Evet","KAPANDI","AÇIK")))</f>
        <v>AÇIK</v>
      </c>
      <c r="U27" s="2"/>
      <c r="V27" s="2"/>
      <c r="W27" s="1"/>
      <c r="X27" s="1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$3001,GELIR_GIDER!$V$7:$V$3001,1,GELIR_GIDER!$C$7:$C$3001,"&lt;="&amp;EOMONTH($B27,0))</f>
        <v>9667771</v>
      </c>
      <c r="Y27" s="1">
        <f t="shared" si="6"/>
        <v>0</v>
      </c>
      <c r="Z27" s="1">
        <f>SUMIFS(ORTAKLAR!$E$14:$E$33,ORTAKLAR!$B$14:$B$33,SISTEM!$C$9,ORTAKLAR!$C$14:$C$33,"&lt;="&amp;$B27,ORTAKLAR!$K$14:$K$33,"&gt;="&amp;$B27)</f>
        <v>0.5</v>
      </c>
      <c r="AA27" s="1">
        <f>SUMIFS(ORTAKLAR!$E$14:$E$33,ORTAKLAR!$B$14:$B$33,SISTEM!$C$10,ORTAKLAR!$C$14:$C$33,"&lt;="&amp;$B27,ORTAKLAR!$K$14:$K$33,"&gt;="&amp;$B27)</f>
        <v>0.5</v>
      </c>
    </row>
    <row r="28" spans="1:27" ht="18" customHeight="1" x14ac:dyDescent="0.3">
      <c r="A28" s="2"/>
      <c r="B28" s="73">
        <v>46661</v>
      </c>
      <c r="C28" s="95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$3001,GELIR_GIDER!$V$7:$V$3001,1,GELIR_GIDER!$C$7:$C$3001,"&gt;="&amp;$B28,GELIR_GIDER!$C$7:$C$3001,"&lt;"&amp;EDATE($B28,1))</f>
        <v>529751</v>
      </c>
      <c r="D28" s="95">
        <f>SUMIFS(TAHSILAT!$F$7:$F$2503,TAHSILAT!$E$7:$E$2503,"&gt;="&amp;$B28,TAHSILAT!$E$7:$E$2503,"&lt;"&amp;EDATE($B28,1),TAHSILAT!$H$7:$H$2503,"&lt;&gt;Mahsup")</f>
        <v>0</v>
      </c>
      <c r="E28" s="95">
        <f>SUMIFS(GELIR_GIDER!$G$7:$G$3001,GELIR_GIDER!$D$7:$D$3001,"Gelir",GELIR_GIDER!$C$7:$C$3001,"&gt;="&amp;$B28,GELIR_GIDER!$C$7:$C$3001,"&lt;"&amp;EDATE($B28,1),GELIR_GIDER!$I$7:$I$3001,"Evet")</f>
        <v>0</v>
      </c>
      <c r="F28" s="95">
        <f t="shared" si="1"/>
        <v>0</v>
      </c>
      <c r="G28" s="95">
        <f>SUMIFS(GELIR_GIDER!$G$7:$G$3001,GELIR_GIDER!$D$7:$D$3001,"Gider",GELIR_GIDER!$C$7:$C$3001,"&gt;="&amp;$B28,GELIR_GIDER!$C$7:$C$3001,"&lt;"&amp;EDATE($B28,1),GELIR_GIDER!$I$7:$I$3001,"Evet")</f>
        <v>0</v>
      </c>
      <c r="H28" s="95">
        <f>$C28+$E28-SUMIFS(GELIR_GIDER!$G$7:$G$3001,GELIR_GIDER!$D$7:$D$3001,"Gider",GELIR_GIDER!$C$7:$C$3001,"&gt;="&amp;$B28,GELIR_GIDER!$C$7:$C$3001,"&lt;"&amp;EDATE($B28,1))</f>
        <v>529751</v>
      </c>
      <c r="I28" s="95">
        <f t="shared" si="2"/>
        <v>0</v>
      </c>
      <c r="J28" s="92">
        <f t="shared" si="3"/>
        <v>0</v>
      </c>
      <c r="K28" s="95">
        <f>SISTEM!$C$13</f>
        <v>0</v>
      </c>
      <c r="L28" s="95">
        <f>MAX(0,SUM($I$7:$I28)-$K28)</f>
        <v>1547062.02</v>
      </c>
      <c r="M28" s="95">
        <f t="shared" si="4"/>
        <v>0</v>
      </c>
      <c r="N28" s="95">
        <f t="shared" si="5"/>
        <v>0</v>
      </c>
      <c r="O28" s="60"/>
      <c r="P28" s="95">
        <f>SUMIFS(VIRMAN!$F$7:$F$406,VIRMAN!$E$7:$E$406,SISTEM!$C$9,VIRMAN!$C$7:$C$406,"&gt;="&amp;$B28,VIRMAN!$C$7:$C$406,"&lt;"&amp;EDATE($B28,1),VIRMAN!$G$7:$G$406,"KÂR PAYI / AVANS*")</f>
        <v>0</v>
      </c>
      <c r="Q28" s="95">
        <f>SUMIFS(VIRMAN!$F$7:$F$406,VIRMAN!$E$7:$E$406,SISTEM!$C$10,VIRMAN!$C$7:$C$406,"&gt;="&amp;$B28,VIRMAN!$C$7:$C$406,"&lt;"&amp;EDATE($B28,1),VIRMAN!$G$7:$G$406,"KÂR PAYI / AVANS*")</f>
        <v>0</v>
      </c>
      <c r="R28" s="95">
        <f>SUM($M$7:$M28)+SUM($N$7:$N28)-SUM($P$7:$P28)-SUM($Q$7:$Q28)</f>
        <v>277599.98</v>
      </c>
      <c r="S28" s="65" t="str">
        <f>IF($B28&gt;=DATE(YEAR(TODAY()),MONTH(TODAY()),1),"AÇIK",IF(COUNTIFS(SISTEM!$C$23:$C$90,"KRİTİK",SISTEM!$F$23:$F$90,"KALDI")&gt;0,"KAPATILAMAZ",IF(COUNTIF(SISTEM!$F$23:$F$90,"KALDI")=0,"KAPANABİLİR","UYARI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8" s="65" t="str">
        <f>IF(ABS($Y28-$M28-$N28)&gt;0.01,"PAY HATASI",IF($S28="KAPATILAMAZ",IFERROR("KAPATILAMAZ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edin"),IF($O28="Evet","KAPANDI","AÇIK")))</f>
        <v>AÇIK</v>
      </c>
      <c r="U28" s="2"/>
      <c r="V28" s="2"/>
      <c r="W28" s="1"/>
      <c r="X28" s="1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$3001,GELIR_GIDER!$V$7:$V$3001,1,GELIR_GIDER!$C$7:$C$3001,"&lt;="&amp;EOMONTH($B28,0))</f>
        <v>10197522</v>
      </c>
      <c r="Y28" s="1">
        <f t="shared" si="6"/>
        <v>0</v>
      </c>
      <c r="Z28" s="1">
        <f>SUMIFS(ORTAKLAR!$E$14:$E$33,ORTAKLAR!$B$14:$B$33,SISTEM!$C$9,ORTAKLAR!$C$14:$C$33,"&lt;="&amp;$B28,ORTAKLAR!$K$14:$K$33,"&gt;="&amp;$B28)</f>
        <v>0.5</v>
      </c>
      <c r="AA28" s="1">
        <f>SUMIFS(ORTAKLAR!$E$14:$E$33,ORTAKLAR!$B$14:$B$33,SISTEM!$C$10,ORTAKLAR!$C$14:$C$33,"&lt;="&amp;$B28,ORTAKLAR!$K$14:$K$33,"&gt;="&amp;$B28)</f>
        <v>0.5</v>
      </c>
    </row>
    <row r="29" spans="1:27" ht="18" customHeight="1" x14ac:dyDescent="0.3">
      <c r="A29" s="2"/>
      <c r="B29" s="73">
        <v>46692</v>
      </c>
      <c r="C29" s="95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$3001,GELIR_GIDER!$V$7:$V$3001,1,GELIR_GIDER!$C$7:$C$3001,"&gt;="&amp;$B29,GELIR_GIDER!$C$7:$C$3001,"&lt;"&amp;EDATE($B29,1))</f>
        <v>450001</v>
      </c>
      <c r="D29" s="95">
        <f>SUMIFS(TAHSILAT!$F$7:$F$2503,TAHSILAT!$E$7:$E$2503,"&gt;="&amp;$B29,TAHSILAT!$E$7:$E$2503,"&lt;"&amp;EDATE($B29,1),TAHSILAT!$H$7:$H$2503,"&lt;&gt;Mahsup")</f>
        <v>0</v>
      </c>
      <c r="E29" s="95">
        <f>SUMIFS(GELIR_GIDER!$G$7:$G$3001,GELIR_GIDER!$D$7:$D$3001,"Gelir",GELIR_GIDER!$C$7:$C$3001,"&gt;="&amp;$B29,GELIR_GIDER!$C$7:$C$3001,"&lt;"&amp;EDATE($B29,1),GELIR_GIDER!$I$7:$I$3001,"Evet")</f>
        <v>0</v>
      </c>
      <c r="F29" s="95">
        <f t="shared" si="1"/>
        <v>0</v>
      </c>
      <c r="G29" s="95">
        <f>SUMIFS(GELIR_GIDER!$G$7:$G$3001,GELIR_GIDER!$D$7:$D$3001,"Gider",GELIR_GIDER!$C$7:$C$3001,"&gt;="&amp;$B29,GELIR_GIDER!$C$7:$C$3001,"&lt;"&amp;EDATE($B29,1),GELIR_GIDER!$I$7:$I$3001,"Evet")</f>
        <v>0</v>
      </c>
      <c r="H29" s="95">
        <f>$C29+$E29-SUMIFS(GELIR_GIDER!$G$7:$G$3001,GELIR_GIDER!$D$7:$D$3001,"Gider",GELIR_GIDER!$C$7:$C$3001,"&gt;="&amp;$B29,GELIR_GIDER!$C$7:$C$3001,"&lt;"&amp;EDATE($B29,1))</f>
        <v>450001</v>
      </c>
      <c r="I29" s="95">
        <f t="shared" si="2"/>
        <v>0</v>
      </c>
      <c r="J29" s="92">
        <f t="shared" si="3"/>
        <v>0</v>
      </c>
      <c r="K29" s="95">
        <f>SISTEM!$C$13</f>
        <v>0</v>
      </c>
      <c r="L29" s="95">
        <f>MAX(0,SUM($I$7:$I29)-$K29)</f>
        <v>1547062.02</v>
      </c>
      <c r="M29" s="95">
        <f t="shared" si="4"/>
        <v>0</v>
      </c>
      <c r="N29" s="95">
        <f t="shared" si="5"/>
        <v>0</v>
      </c>
      <c r="O29" s="60"/>
      <c r="P29" s="95">
        <f>SUMIFS(VIRMAN!$F$7:$F$406,VIRMAN!$E$7:$E$406,SISTEM!$C$9,VIRMAN!$C$7:$C$406,"&gt;="&amp;$B29,VIRMAN!$C$7:$C$406,"&lt;"&amp;EDATE($B29,1),VIRMAN!$G$7:$G$406,"KÂR PAYI / AVANS*")</f>
        <v>0</v>
      </c>
      <c r="Q29" s="95">
        <f>SUMIFS(VIRMAN!$F$7:$F$406,VIRMAN!$E$7:$E$406,SISTEM!$C$10,VIRMAN!$C$7:$C$406,"&gt;="&amp;$B29,VIRMAN!$C$7:$C$406,"&lt;"&amp;EDATE($B29,1),VIRMAN!$G$7:$G$406,"KÂR PAYI / AVANS*")</f>
        <v>0</v>
      </c>
      <c r="R29" s="95">
        <f>SUM($M$7:$M29)+SUM($N$7:$N29)-SUM($P$7:$P29)-SUM($Q$7:$Q29)</f>
        <v>277599.98</v>
      </c>
      <c r="S29" s="65" t="str">
        <f>IF($B29&gt;=DATE(YEAR(TODAY()),MONTH(TODAY()),1),"AÇIK",IF(COUNTIFS(SISTEM!$C$23:$C$90,"KRİTİK",SISTEM!$F$23:$F$90,"KALDI")&gt;0,"KAPATILAMAZ",IF(COUNTIF(SISTEM!$F$23:$F$90,"KALDI")=0,"KAPANABİLİR","UYARI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29" s="65" t="str">
        <f>IF(ABS($Y29-$M29-$N29)&gt;0.01,"PAY HATASI",IF($S29="KAPATILAMAZ",IFERROR("KAPATILAMAZ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edin"),IF($O29="Evet","KAPANDI","AÇIK")))</f>
        <v>AÇIK</v>
      </c>
      <c r="U29" s="2"/>
      <c r="V29" s="2"/>
      <c r="W29" s="1"/>
      <c r="X29" s="1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$3001,GELIR_GIDER!$V$7:$V$3001,1,GELIR_GIDER!$C$7:$C$3001,"&lt;="&amp;EOMONTH($B29,0))</f>
        <v>10647523</v>
      </c>
      <c r="Y29" s="1">
        <f t="shared" si="6"/>
        <v>0</v>
      </c>
      <c r="Z29" s="1">
        <f>SUMIFS(ORTAKLAR!$E$14:$E$33,ORTAKLAR!$B$14:$B$33,SISTEM!$C$9,ORTAKLAR!$C$14:$C$33,"&lt;="&amp;$B29,ORTAKLAR!$K$14:$K$33,"&gt;="&amp;$B29)</f>
        <v>0.5</v>
      </c>
      <c r="AA29" s="1">
        <f>SUMIFS(ORTAKLAR!$E$14:$E$33,ORTAKLAR!$B$14:$B$33,SISTEM!$C$10,ORTAKLAR!$C$14:$C$33,"&lt;="&amp;$B29,ORTAKLAR!$K$14:$K$33,"&gt;="&amp;$B29)</f>
        <v>0.5</v>
      </c>
    </row>
    <row r="30" spans="1:27" ht="18" customHeight="1" x14ac:dyDescent="0.3">
      <c r="A30" s="2"/>
      <c r="B30" s="73">
        <v>46722</v>
      </c>
      <c r="C30" s="95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$3001,GELIR_GIDER!$V$7:$V$3001,1,GELIR_GIDER!$C$7:$C$3001,"&gt;="&amp;$B30,GELIR_GIDER!$C$7:$C$3001,"&lt;"&amp;EDATE($B30,1))</f>
        <v>450001</v>
      </c>
      <c r="D30" s="95">
        <f>SUMIFS(TAHSILAT!$F$7:$F$2503,TAHSILAT!$E$7:$E$2503,"&gt;="&amp;$B30,TAHSILAT!$E$7:$E$2503,"&lt;"&amp;EDATE($B30,1),TAHSILAT!$H$7:$H$2503,"&lt;&gt;Mahsup")</f>
        <v>0</v>
      </c>
      <c r="E30" s="95">
        <f>SUMIFS(GELIR_GIDER!$G$7:$G$3001,GELIR_GIDER!$D$7:$D$3001,"Gelir",GELIR_GIDER!$C$7:$C$3001,"&gt;="&amp;$B30,GELIR_GIDER!$C$7:$C$3001,"&lt;"&amp;EDATE($B30,1),GELIR_GIDER!$I$7:$I$3001,"Evet")</f>
        <v>0</v>
      </c>
      <c r="F30" s="95">
        <f t="shared" si="1"/>
        <v>0</v>
      </c>
      <c r="G30" s="95">
        <f>SUMIFS(GELIR_GIDER!$G$7:$G$3001,GELIR_GIDER!$D$7:$D$3001,"Gider",GELIR_GIDER!$C$7:$C$3001,"&gt;="&amp;$B30,GELIR_GIDER!$C$7:$C$3001,"&lt;"&amp;EDATE($B30,1),GELIR_GIDER!$I$7:$I$3001,"Evet")</f>
        <v>0</v>
      </c>
      <c r="H30" s="95">
        <f>$C30+$E30-SUMIFS(GELIR_GIDER!$G$7:$G$3001,GELIR_GIDER!$D$7:$D$3001,"Gider",GELIR_GIDER!$C$7:$C$3001,"&gt;="&amp;$B30,GELIR_GIDER!$C$7:$C$3001,"&lt;"&amp;EDATE($B30,1))</f>
        <v>450001</v>
      </c>
      <c r="I30" s="95">
        <f t="shared" si="2"/>
        <v>0</v>
      </c>
      <c r="J30" s="92">
        <f t="shared" si="3"/>
        <v>0</v>
      </c>
      <c r="K30" s="95">
        <f>SISTEM!$C$13</f>
        <v>0</v>
      </c>
      <c r="L30" s="95">
        <f>MAX(0,SUM($I$7:$I30)-$K30)</f>
        <v>1547062.02</v>
      </c>
      <c r="M30" s="95">
        <f t="shared" si="4"/>
        <v>0</v>
      </c>
      <c r="N30" s="95">
        <f t="shared" si="5"/>
        <v>0</v>
      </c>
      <c r="O30" s="60"/>
      <c r="P30" s="95">
        <f>SUMIFS(VIRMAN!$F$7:$F$406,VIRMAN!$E$7:$E$406,SISTEM!$C$9,VIRMAN!$C$7:$C$406,"&gt;="&amp;$B30,VIRMAN!$C$7:$C$406,"&lt;"&amp;EDATE($B30,1),VIRMAN!$G$7:$G$406,"KÂR PAYI / AVANS*")</f>
        <v>0</v>
      </c>
      <c r="Q30" s="95">
        <f>SUMIFS(VIRMAN!$F$7:$F$406,VIRMAN!$E$7:$E$406,SISTEM!$C$10,VIRMAN!$C$7:$C$406,"&gt;="&amp;$B30,VIRMAN!$C$7:$C$406,"&lt;"&amp;EDATE($B30,1),VIRMAN!$G$7:$G$406,"KÂR PAYI / AVANS*")</f>
        <v>0</v>
      </c>
      <c r="R30" s="95">
        <f>SUM($M$7:$M30)+SUM($N$7:$N30)-SUM($P$7:$P30)-SUM($Q$7:$Q30)</f>
        <v>277599.98</v>
      </c>
      <c r="S30" s="65" t="str">
        <f>IF($B30&gt;=DATE(YEAR(TODAY()),MONTH(TODAY()),1),"AÇIK",IF(COUNTIFS(SISTEM!$C$23:$C$90,"KRİTİK",SISTEM!$F$23:$F$90,"KALDI")&gt;0,"KAPATILAMAZ",IF(COUNTIF(SISTEM!$F$23:$F$90,"KALDI")=0,"KAPANABİLİR","UYARI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0" s="65" t="str">
        <f>IF(ABS($Y30-$M30-$N30)&gt;0.01,"PAY HATASI",IF($S30="KAPATILAMAZ",IFERROR("KAPATILAMAZ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edin"),IF($O30="Evet","KAPANDI","AÇIK")))</f>
        <v>AÇIK</v>
      </c>
      <c r="U30" s="2"/>
      <c r="V30" s="2"/>
      <c r="W30" s="1"/>
      <c r="X30" s="1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$3001,GELIR_GIDER!$V$7:$V$3001,1,GELIR_GIDER!$C$7:$C$3001,"&lt;="&amp;EOMONTH($B30,0))</f>
        <v>11097524</v>
      </c>
      <c r="Y30" s="1">
        <f t="shared" si="6"/>
        <v>0</v>
      </c>
      <c r="Z30" s="1">
        <f>SUMIFS(ORTAKLAR!$E$14:$E$33,ORTAKLAR!$B$14:$B$33,SISTEM!$C$9,ORTAKLAR!$C$14:$C$33,"&lt;="&amp;$B30,ORTAKLAR!$K$14:$K$33,"&gt;="&amp;$B30)</f>
        <v>0.5</v>
      </c>
      <c r="AA30" s="1">
        <f>SUMIFS(ORTAKLAR!$E$14:$E$33,ORTAKLAR!$B$14:$B$33,SISTEM!$C$10,ORTAKLAR!$C$14:$C$33,"&lt;="&amp;$B30,ORTAKLAR!$K$14:$K$33,"&gt;="&amp;$B30)</f>
        <v>0.5</v>
      </c>
    </row>
    <row r="31" spans="1:27" ht="18" customHeight="1" x14ac:dyDescent="0.3">
      <c r="A31" s="2"/>
      <c r="B31" s="73">
        <v>46753</v>
      </c>
      <c r="C31" s="95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$3001,GELIR_GIDER!$V$7:$V$3001,1,GELIR_GIDER!$C$7:$C$3001,"&gt;="&amp;$B31,GELIR_GIDER!$C$7:$C$3001,"&lt;"&amp;EDATE($B31,1))</f>
        <v>529751</v>
      </c>
      <c r="D31" s="95">
        <f>SUMIFS(TAHSILAT!$F$7:$F$2503,TAHSILAT!$E$7:$E$2503,"&gt;="&amp;$B31,TAHSILAT!$E$7:$E$2503,"&lt;"&amp;EDATE($B31,1),TAHSILAT!$H$7:$H$2503,"&lt;&gt;Mahsup")</f>
        <v>0</v>
      </c>
      <c r="E31" s="95">
        <f>SUMIFS(GELIR_GIDER!$G$7:$G$3001,GELIR_GIDER!$D$7:$D$3001,"Gelir",GELIR_GIDER!$C$7:$C$3001,"&gt;="&amp;$B31,GELIR_GIDER!$C$7:$C$3001,"&lt;"&amp;EDATE($B31,1),GELIR_GIDER!$I$7:$I$3001,"Evet")</f>
        <v>0</v>
      </c>
      <c r="F31" s="95">
        <f t="shared" si="1"/>
        <v>0</v>
      </c>
      <c r="G31" s="95">
        <f>SUMIFS(GELIR_GIDER!$G$7:$G$3001,GELIR_GIDER!$D$7:$D$3001,"Gider",GELIR_GIDER!$C$7:$C$3001,"&gt;="&amp;$B31,GELIR_GIDER!$C$7:$C$3001,"&lt;"&amp;EDATE($B31,1),GELIR_GIDER!$I$7:$I$3001,"Evet")</f>
        <v>0</v>
      </c>
      <c r="H31" s="95">
        <f>$C31+$E31-SUMIFS(GELIR_GIDER!$G$7:$G$3001,GELIR_GIDER!$D$7:$D$3001,"Gider",GELIR_GIDER!$C$7:$C$3001,"&gt;="&amp;$B31,GELIR_GIDER!$C$7:$C$3001,"&lt;"&amp;EDATE($B31,1))</f>
        <v>529751</v>
      </c>
      <c r="I31" s="95">
        <f t="shared" si="2"/>
        <v>0</v>
      </c>
      <c r="J31" s="92">
        <f t="shared" si="3"/>
        <v>0</v>
      </c>
      <c r="K31" s="95">
        <f>SISTEM!$C$13</f>
        <v>0</v>
      </c>
      <c r="L31" s="95">
        <f>MAX(0,SUM($I$7:$I31)-$K31)</f>
        <v>1547062.02</v>
      </c>
      <c r="M31" s="95">
        <f t="shared" si="4"/>
        <v>0</v>
      </c>
      <c r="N31" s="95">
        <f t="shared" si="5"/>
        <v>0</v>
      </c>
      <c r="O31" s="60"/>
      <c r="P31" s="95">
        <f>SUMIFS(VIRMAN!$F$7:$F$406,VIRMAN!$E$7:$E$406,SISTEM!$C$9,VIRMAN!$C$7:$C$406,"&gt;="&amp;$B31,VIRMAN!$C$7:$C$406,"&lt;"&amp;EDATE($B31,1),VIRMAN!$G$7:$G$406,"KÂR PAYI / AVANS*")</f>
        <v>0</v>
      </c>
      <c r="Q31" s="95">
        <f>SUMIFS(VIRMAN!$F$7:$F$406,VIRMAN!$E$7:$E$406,SISTEM!$C$10,VIRMAN!$C$7:$C$406,"&gt;="&amp;$B31,VIRMAN!$C$7:$C$406,"&lt;"&amp;EDATE($B31,1),VIRMAN!$G$7:$G$406,"KÂR PAYI / AVANS*")</f>
        <v>0</v>
      </c>
      <c r="R31" s="95">
        <f>SUM($M$7:$M31)+SUM($N$7:$N31)-SUM($P$7:$P31)-SUM($Q$7:$Q31)</f>
        <v>277599.98</v>
      </c>
      <c r="S31" s="65" t="str">
        <f>IF($B31&gt;=DATE(YEAR(TODAY()),MONTH(TODAY()),1),"AÇIK",IF(COUNTIFS(SISTEM!$C$23:$C$90,"KRİTİK",SISTEM!$F$23:$F$90,"KALDI")&gt;0,"KAPATILAMAZ",IF(COUNTIF(SISTEM!$F$23:$F$90,"KALDI")=0,"KAPANABİLİR","UYARI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1" s="65" t="str">
        <f>IF(ABS($Y31-$M31-$N31)&gt;0.01,"PAY HATASI",IF($S31="KAPATILAMAZ",IFERROR("KAPATILAMAZ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edin"),IF($O31="Evet","KAPANDI","AÇIK")))</f>
        <v>AÇIK</v>
      </c>
      <c r="U31" s="2"/>
      <c r="V31" s="2"/>
      <c r="W31" s="1"/>
      <c r="X31" s="1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$3001,GELIR_GIDER!$V$7:$V$3001,1,GELIR_GIDER!$C$7:$C$3001,"&lt;="&amp;EOMONTH($B31,0))</f>
        <v>11627275</v>
      </c>
      <c r="Y31" s="1">
        <f t="shared" si="6"/>
        <v>0</v>
      </c>
      <c r="Z31" s="1">
        <f>SUMIFS(ORTAKLAR!$E$14:$E$33,ORTAKLAR!$B$14:$B$33,SISTEM!$C$9,ORTAKLAR!$C$14:$C$33,"&lt;="&amp;$B31,ORTAKLAR!$K$14:$K$33,"&gt;="&amp;$B31)</f>
        <v>0.5</v>
      </c>
      <c r="AA31" s="1">
        <f>SUMIFS(ORTAKLAR!$E$14:$E$33,ORTAKLAR!$B$14:$B$33,SISTEM!$C$10,ORTAKLAR!$C$14:$C$33,"&lt;="&amp;$B31,ORTAKLAR!$K$14:$K$33,"&gt;="&amp;$B31)</f>
        <v>0.5</v>
      </c>
    </row>
    <row r="32" spans="1:27" ht="18" customHeight="1" x14ac:dyDescent="0.3">
      <c r="A32" s="2"/>
      <c r="B32" s="73">
        <v>46784</v>
      </c>
      <c r="C32" s="95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$3001,GELIR_GIDER!$V$7:$V$3001,1,GELIR_GIDER!$C$7:$C$3001,"&gt;="&amp;$B32,GELIR_GIDER!$C$7:$C$3001,"&lt;"&amp;EDATE($B32,1))</f>
        <v>450001</v>
      </c>
      <c r="D32" s="95">
        <f>SUMIFS(TAHSILAT!$F$7:$F$2503,TAHSILAT!$E$7:$E$2503,"&gt;="&amp;$B32,TAHSILAT!$E$7:$E$2503,"&lt;"&amp;EDATE($B32,1),TAHSILAT!$H$7:$H$2503,"&lt;&gt;Mahsup")</f>
        <v>0</v>
      </c>
      <c r="E32" s="95">
        <f>SUMIFS(GELIR_GIDER!$G$7:$G$3001,GELIR_GIDER!$D$7:$D$3001,"Gelir",GELIR_GIDER!$C$7:$C$3001,"&gt;="&amp;$B32,GELIR_GIDER!$C$7:$C$3001,"&lt;"&amp;EDATE($B32,1),GELIR_GIDER!$I$7:$I$3001,"Evet")</f>
        <v>0</v>
      </c>
      <c r="F32" s="95">
        <f t="shared" si="1"/>
        <v>0</v>
      </c>
      <c r="G32" s="95">
        <f>SUMIFS(GELIR_GIDER!$G$7:$G$3001,GELIR_GIDER!$D$7:$D$3001,"Gider",GELIR_GIDER!$C$7:$C$3001,"&gt;="&amp;$B32,GELIR_GIDER!$C$7:$C$3001,"&lt;"&amp;EDATE($B32,1),GELIR_GIDER!$I$7:$I$3001,"Evet")</f>
        <v>0</v>
      </c>
      <c r="H32" s="95">
        <f>$C32+$E32-SUMIFS(GELIR_GIDER!$G$7:$G$3001,GELIR_GIDER!$D$7:$D$3001,"Gider",GELIR_GIDER!$C$7:$C$3001,"&gt;="&amp;$B32,GELIR_GIDER!$C$7:$C$3001,"&lt;"&amp;EDATE($B32,1))</f>
        <v>450001</v>
      </c>
      <c r="I32" s="95">
        <f t="shared" si="2"/>
        <v>0</v>
      </c>
      <c r="J32" s="92">
        <f t="shared" si="3"/>
        <v>0</v>
      </c>
      <c r="K32" s="95">
        <f>SISTEM!$C$13</f>
        <v>0</v>
      </c>
      <c r="L32" s="95">
        <f>MAX(0,SUM($I$7:$I32)-$K32)</f>
        <v>1547062.02</v>
      </c>
      <c r="M32" s="95">
        <f t="shared" si="4"/>
        <v>0</v>
      </c>
      <c r="N32" s="95">
        <f t="shared" si="5"/>
        <v>0</v>
      </c>
      <c r="O32" s="60"/>
      <c r="P32" s="95">
        <f>SUMIFS(VIRMAN!$F$7:$F$406,VIRMAN!$E$7:$E$406,SISTEM!$C$9,VIRMAN!$C$7:$C$406,"&gt;="&amp;$B32,VIRMAN!$C$7:$C$406,"&lt;"&amp;EDATE($B32,1),VIRMAN!$G$7:$G$406,"KÂR PAYI / AVANS*")</f>
        <v>0</v>
      </c>
      <c r="Q32" s="95">
        <f>SUMIFS(VIRMAN!$F$7:$F$406,VIRMAN!$E$7:$E$406,SISTEM!$C$10,VIRMAN!$C$7:$C$406,"&gt;="&amp;$B32,VIRMAN!$C$7:$C$406,"&lt;"&amp;EDATE($B32,1),VIRMAN!$G$7:$G$406,"KÂR PAYI / AVANS*")</f>
        <v>0</v>
      </c>
      <c r="R32" s="95">
        <f>SUM($M$7:$M32)+SUM($N$7:$N32)-SUM($P$7:$P32)-SUM($Q$7:$Q32)</f>
        <v>277599.98</v>
      </c>
      <c r="S32" s="65" t="str">
        <f>IF($B32&gt;=DATE(YEAR(TODAY()),MONTH(TODAY()),1),"AÇIK",IF(COUNTIFS(SISTEM!$C$23:$C$90,"KRİTİK",SISTEM!$F$23:$F$90,"KALDI")&gt;0,"KAPATILAMAZ",IF(COUNTIF(SISTEM!$F$23:$F$90,"KALDI")=0,"KAPANABİLİR","UYARI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2" s="65" t="str">
        <f>IF(ABS($Y32-$M32-$N32)&gt;0.01,"PAY HATASI",IF($S32="KAPATILAMAZ",IFERROR("KAPATILAMAZ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edin"),IF($O32="Evet","KAPANDI","AÇIK")))</f>
        <v>AÇIK</v>
      </c>
      <c r="U32" s="2"/>
      <c r="V32" s="2"/>
      <c r="W32" s="1"/>
      <c r="X32" s="1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$3001,GELIR_GIDER!$V$7:$V$3001,1,GELIR_GIDER!$C$7:$C$3001,"&lt;="&amp;EOMONTH($B32,0))</f>
        <v>12077276</v>
      </c>
      <c r="Y32" s="1">
        <f t="shared" si="6"/>
        <v>0</v>
      </c>
      <c r="Z32" s="1">
        <f>SUMIFS(ORTAKLAR!$E$14:$E$33,ORTAKLAR!$B$14:$B$33,SISTEM!$C$9,ORTAKLAR!$C$14:$C$33,"&lt;="&amp;$B32,ORTAKLAR!$K$14:$K$33,"&gt;="&amp;$B32)</f>
        <v>0.5</v>
      </c>
      <c r="AA32" s="1">
        <f>SUMIFS(ORTAKLAR!$E$14:$E$33,ORTAKLAR!$B$14:$B$33,SISTEM!$C$10,ORTAKLAR!$C$14:$C$33,"&lt;="&amp;$B32,ORTAKLAR!$K$14:$K$33,"&gt;="&amp;$B32)</f>
        <v>0.5</v>
      </c>
    </row>
    <row r="33" spans="1:27" ht="18" customHeight="1" x14ac:dyDescent="0.3">
      <c r="A33" s="2"/>
      <c r="B33" s="73">
        <v>46813</v>
      </c>
      <c r="C33" s="95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$3001,GELIR_GIDER!$V$7:$V$3001,1,GELIR_GIDER!$C$7:$C$3001,"&gt;="&amp;$B33,GELIR_GIDER!$C$7:$C$3001,"&lt;"&amp;EDATE($B33,1))</f>
        <v>450001</v>
      </c>
      <c r="D33" s="95">
        <f>SUMIFS(TAHSILAT!$F$7:$F$2503,TAHSILAT!$E$7:$E$2503,"&gt;="&amp;$B33,TAHSILAT!$E$7:$E$2503,"&lt;"&amp;EDATE($B33,1),TAHSILAT!$H$7:$H$2503,"&lt;&gt;Mahsup")</f>
        <v>0</v>
      </c>
      <c r="E33" s="95">
        <f>SUMIFS(GELIR_GIDER!$G$7:$G$3001,GELIR_GIDER!$D$7:$D$3001,"Gelir",GELIR_GIDER!$C$7:$C$3001,"&gt;="&amp;$B33,GELIR_GIDER!$C$7:$C$3001,"&lt;"&amp;EDATE($B33,1),GELIR_GIDER!$I$7:$I$3001,"Evet")</f>
        <v>0</v>
      </c>
      <c r="F33" s="95">
        <f t="shared" si="1"/>
        <v>0</v>
      </c>
      <c r="G33" s="95">
        <f>SUMIFS(GELIR_GIDER!$G$7:$G$3001,GELIR_GIDER!$D$7:$D$3001,"Gider",GELIR_GIDER!$C$7:$C$3001,"&gt;="&amp;$B33,GELIR_GIDER!$C$7:$C$3001,"&lt;"&amp;EDATE($B33,1),GELIR_GIDER!$I$7:$I$3001,"Evet")</f>
        <v>0</v>
      </c>
      <c r="H33" s="95">
        <f>$C33+$E33-SUMIFS(GELIR_GIDER!$G$7:$G$3001,GELIR_GIDER!$D$7:$D$3001,"Gider",GELIR_GIDER!$C$7:$C$3001,"&gt;="&amp;$B33,GELIR_GIDER!$C$7:$C$3001,"&lt;"&amp;EDATE($B33,1))</f>
        <v>450001</v>
      </c>
      <c r="I33" s="95">
        <f t="shared" si="2"/>
        <v>0</v>
      </c>
      <c r="J33" s="92">
        <f t="shared" si="3"/>
        <v>0</v>
      </c>
      <c r="K33" s="95">
        <f>SISTEM!$C$13</f>
        <v>0</v>
      </c>
      <c r="L33" s="95">
        <f>MAX(0,SUM($I$7:$I33)-$K33)</f>
        <v>1547062.02</v>
      </c>
      <c r="M33" s="95">
        <f t="shared" si="4"/>
        <v>0</v>
      </c>
      <c r="N33" s="95">
        <f t="shared" si="5"/>
        <v>0</v>
      </c>
      <c r="O33" s="60"/>
      <c r="P33" s="95">
        <f>SUMIFS(VIRMAN!$F$7:$F$406,VIRMAN!$E$7:$E$406,SISTEM!$C$9,VIRMAN!$C$7:$C$406,"&gt;="&amp;$B33,VIRMAN!$C$7:$C$406,"&lt;"&amp;EDATE($B33,1),VIRMAN!$G$7:$G$406,"KÂR PAYI / AVANS*")</f>
        <v>0</v>
      </c>
      <c r="Q33" s="95">
        <f>SUMIFS(VIRMAN!$F$7:$F$406,VIRMAN!$E$7:$E$406,SISTEM!$C$10,VIRMAN!$C$7:$C$406,"&gt;="&amp;$B33,VIRMAN!$C$7:$C$406,"&lt;"&amp;EDATE($B33,1),VIRMAN!$G$7:$G$406,"KÂR PAYI / AVANS*")</f>
        <v>0</v>
      </c>
      <c r="R33" s="95">
        <f>SUM($M$7:$M33)+SUM($N$7:$N33)-SUM($P$7:$P33)-SUM($Q$7:$Q33)</f>
        <v>277599.98</v>
      </c>
      <c r="S33" s="65" t="str">
        <f>IF($B33&gt;=DATE(YEAR(TODAY()),MONTH(TODAY()),1),"AÇIK",IF(COUNTIFS(SISTEM!$C$23:$C$90,"KRİTİK",SISTEM!$F$23:$F$90,"KALDI")&gt;0,"KAPATILAMAZ",IF(COUNTIF(SISTEM!$F$23:$F$90,"KALDI")=0,"KAPANABİLİR","UYARI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3" s="65" t="str">
        <f>IF(ABS($Y33-$M33-$N33)&gt;0.01,"PAY HATASI",IF($S33="KAPATILAMAZ",IFERROR("KAPATILAMAZ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edin"),IF($O33="Evet","KAPANDI","AÇIK")))</f>
        <v>AÇIK</v>
      </c>
      <c r="U33" s="2"/>
      <c r="V33" s="2"/>
      <c r="W33" s="1"/>
      <c r="X33" s="1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$3001,GELIR_GIDER!$V$7:$V$3001,1,GELIR_GIDER!$C$7:$C$3001,"&lt;="&amp;EOMONTH($B33,0))</f>
        <v>12527277</v>
      </c>
      <c r="Y33" s="1">
        <f t="shared" si="6"/>
        <v>0</v>
      </c>
      <c r="Z33" s="1">
        <f>SUMIFS(ORTAKLAR!$E$14:$E$33,ORTAKLAR!$B$14:$B$33,SISTEM!$C$9,ORTAKLAR!$C$14:$C$33,"&lt;="&amp;$B33,ORTAKLAR!$K$14:$K$33,"&gt;="&amp;$B33)</f>
        <v>0.5</v>
      </c>
      <c r="AA33" s="1">
        <f>SUMIFS(ORTAKLAR!$E$14:$E$33,ORTAKLAR!$B$14:$B$33,SISTEM!$C$10,ORTAKLAR!$C$14:$C$33,"&lt;="&amp;$B33,ORTAKLAR!$K$14:$K$33,"&gt;="&amp;$B33)</f>
        <v>0.5</v>
      </c>
    </row>
    <row r="34" spans="1:27" ht="18" customHeight="1" x14ac:dyDescent="0.3">
      <c r="A34" s="2"/>
      <c r="B34" s="73">
        <v>46844</v>
      </c>
      <c r="C34" s="95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$3001,GELIR_GIDER!$V$7:$V$3001,1,GELIR_GIDER!$C$7:$C$3001,"&gt;="&amp;$B34,GELIR_GIDER!$C$7:$C$3001,"&lt;"&amp;EDATE($B34,1))</f>
        <v>529751</v>
      </c>
      <c r="D34" s="95">
        <f>SUMIFS(TAHSILAT!$F$7:$F$2503,TAHSILAT!$E$7:$E$2503,"&gt;="&amp;$B34,TAHSILAT!$E$7:$E$2503,"&lt;"&amp;EDATE($B34,1),TAHSILAT!$H$7:$H$2503,"&lt;&gt;Mahsup")</f>
        <v>0</v>
      </c>
      <c r="E34" s="95">
        <f>SUMIFS(GELIR_GIDER!$G$7:$G$3001,GELIR_GIDER!$D$7:$D$3001,"Gelir",GELIR_GIDER!$C$7:$C$3001,"&gt;="&amp;$B34,GELIR_GIDER!$C$7:$C$3001,"&lt;"&amp;EDATE($B34,1),GELIR_GIDER!$I$7:$I$3001,"Evet")</f>
        <v>0</v>
      </c>
      <c r="F34" s="95">
        <f t="shared" si="1"/>
        <v>0</v>
      </c>
      <c r="G34" s="95">
        <f>SUMIFS(GELIR_GIDER!$G$7:$G$3001,GELIR_GIDER!$D$7:$D$3001,"Gider",GELIR_GIDER!$C$7:$C$3001,"&gt;="&amp;$B34,GELIR_GIDER!$C$7:$C$3001,"&lt;"&amp;EDATE($B34,1),GELIR_GIDER!$I$7:$I$3001,"Evet")</f>
        <v>0</v>
      </c>
      <c r="H34" s="95">
        <f>$C34+$E34-SUMIFS(GELIR_GIDER!$G$7:$G$3001,GELIR_GIDER!$D$7:$D$3001,"Gider",GELIR_GIDER!$C$7:$C$3001,"&gt;="&amp;$B34,GELIR_GIDER!$C$7:$C$3001,"&lt;"&amp;EDATE($B34,1))</f>
        <v>529751</v>
      </c>
      <c r="I34" s="95">
        <f t="shared" si="2"/>
        <v>0</v>
      </c>
      <c r="J34" s="92">
        <f t="shared" si="3"/>
        <v>0</v>
      </c>
      <c r="K34" s="95">
        <f>SISTEM!$C$13</f>
        <v>0</v>
      </c>
      <c r="L34" s="95">
        <f>MAX(0,SUM($I$7:$I34)-$K34)</f>
        <v>1547062.02</v>
      </c>
      <c r="M34" s="95">
        <f t="shared" si="4"/>
        <v>0</v>
      </c>
      <c r="N34" s="95">
        <f t="shared" si="5"/>
        <v>0</v>
      </c>
      <c r="O34" s="60"/>
      <c r="P34" s="95">
        <f>SUMIFS(VIRMAN!$F$7:$F$406,VIRMAN!$E$7:$E$406,SISTEM!$C$9,VIRMAN!$C$7:$C$406,"&gt;="&amp;$B34,VIRMAN!$C$7:$C$406,"&lt;"&amp;EDATE($B34,1),VIRMAN!$G$7:$G$406,"KÂR PAYI / AVANS*")</f>
        <v>0</v>
      </c>
      <c r="Q34" s="95">
        <f>SUMIFS(VIRMAN!$F$7:$F$406,VIRMAN!$E$7:$E$406,SISTEM!$C$10,VIRMAN!$C$7:$C$406,"&gt;="&amp;$B34,VIRMAN!$C$7:$C$406,"&lt;"&amp;EDATE($B34,1),VIRMAN!$G$7:$G$406,"KÂR PAYI / AVANS*")</f>
        <v>0</v>
      </c>
      <c r="R34" s="95">
        <f>SUM($M$7:$M34)+SUM($N$7:$N34)-SUM($P$7:$P34)-SUM($Q$7:$Q34)</f>
        <v>277599.98</v>
      </c>
      <c r="S34" s="65" t="str">
        <f>IF($B34&gt;=DATE(YEAR(TODAY()),MONTH(TODAY()),1),"AÇIK",IF(COUNTIFS(SISTEM!$C$23:$C$90,"KRİTİK",SISTEM!$F$23:$F$90,"KALDI")&gt;0,"KAPATILAMAZ",IF(COUNTIF(SISTEM!$F$23:$F$90,"KALDI")=0,"KAPANABİLİR","UYARI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4" s="65" t="str">
        <f>IF(ABS($Y34-$M34-$N34)&gt;0.01,"PAY HATASI",IF($S34="KAPATILAMAZ",IFERROR("KAPATILAMAZ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edin"),IF($O34="Evet","KAPANDI","AÇIK")))</f>
        <v>AÇIK</v>
      </c>
      <c r="U34" s="2"/>
      <c r="V34" s="2"/>
      <c r="W34" s="1"/>
      <c r="X34" s="1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$3001,GELIR_GIDER!$V$7:$V$3001,1,GELIR_GIDER!$C$7:$C$3001,"&lt;="&amp;EOMONTH($B34,0))</f>
        <v>13057028</v>
      </c>
      <c r="Y34" s="1">
        <f t="shared" si="6"/>
        <v>0</v>
      </c>
      <c r="Z34" s="1">
        <f>SUMIFS(ORTAKLAR!$E$14:$E$33,ORTAKLAR!$B$14:$B$33,SISTEM!$C$9,ORTAKLAR!$C$14:$C$33,"&lt;="&amp;$B34,ORTAKLAR!$K$14:$K$33,"&gt;="&amp;$B34)</f>
        <v>0.5</v>
      </c>
      <c r="AA34" s="1">
        <f>SUMIFS(ORTAKLAR!$E$14:$E$33,ORTAKLAR!$B$14:$B$33,SISTEM!$C$10,ORTAKLAR!$C$14:$C$33,"&lt;="&amp;$B34,ORTAKLAR!$K$14:$K$33,"&gt;="&amp;$B34)</f>
        <v>0.5</v>
      </c>
    </row>
    <row r="35" spans="1:27" ht="18" customHeight="1" x14ac:dyDescent="0.3">
      <c r="A35" s="2"/>
      <c r="B35" s="73">
        <v>46874</v>
      </c>
      <c r="C35" s="95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$3001,GELIR_GIDER!$V$7:$V$3001,1,GELIR_GIDER!$C$7:$C$3001,"&gt;="&amp;$B35,GELIR_GIDER!$C$7:$C$3001,"&lt;"&amp;EDATE($B35,1))</f>
        <v>450001</v>
      </c>
      <c r="D35" s="95">
        <f>SUMIFS(TAHSILAT!$F$7:$F$2503,TAHSILAT!$E$7:$E$2503,"&gt;="&amp;$B35,TAHSILAT!$E$7:$E$2503,"&lt;"&amp;EDATE($B35,1),TAHSILAT!$H$7:$H$2503,"&lt;&gt;Mahsup")</f>
        <v>0</v>
      </c>
      <c r="E35" s="95">
        <f>SUMIFS(GELIR_GIDER!$G$7:$G$3001,GELIR_GIDER!$D$7:$D$3001,"Gelir",GELIR_GIDER!$C$7:$C$3001,"&gt;="&amp;$B35,GELIR_GIDER!$C$7:$C$3001,"&lt;"&amp;EDATE($B35,1),GELIR_GIDER!$I$7:$I$3001,"Evet")</f>
        <v>0</v>
      </c>
      <c r="F35" s="95">
        <f t="shared" si="1"/>
        <v>0</v>
      </c>
      <c r="G35" s="95">
        <f>SUMIFS(GELIR_GIDER!$G$7:$G$3001,GELIR_GIDER!$D$7:$D$3001,"Gider",GELIR_GIDER!$C$7:$C$3001,"&gt;="&amp;$B35,GELIR_GIDER!$C$7:$C$3001,"&lt;"&amp;EDATE($B35,1),GELIR_GIDER!$I$7:$I$3001,"Evet")</f>
        <v>0</v>
      </c>
      <c r="H35" s="95">
        <f>$C35+$E35-SUMIFS(GELIR_GIDER!$G$7:$G$3001,GELIR_GIDER!$D$7:$D$3001,"Gider",GELIR_GIDER!$C$7:$C$3001,"&gt;="&amp;$B35,GELIR_GIDER!$C$7:$C$3001,"&lt;"&amp;EDATE($B35,1))</f>
        <v>450001</v>
      </c>
      <c r="I35" s="95">
        <f t="shared" si="2"/>
        <v>0</v>
      </c>
      <c r="J35" s="92">
        <f t="shared" si="3"/>
        <v>0</v>
      </c>
      <c r="K35" s="95">
        <f>SISTEM!$C$13</f>
        <v>0</v>
      </c>
      <c r="L35" s="95">
        <f>MAX(0,SUM($I$7:$I35)-$K35)</f>
        <v>1547062.02</v>
      </c>
      <c r="M35" s="95">
        <f t="shared" si="4"/>
        <v>0</v>
      </c>
      <c r="N35" s="95">
        <f t="shared" si="5"/>
        <v>0</v>
      </c>
      <c r="O35" s="60"/>
      <c r="P35" s="95">
        <f>SUMIFS(VIRMAN!$F$7:$F$406,VIRMAN!$E$7:$E$406,SISTEM!$C$9,VIRMAN!$C$7:$C$406,"&gt;="&amp;$B35,VIRMAN!$C$7:$C$406,"&lt;"&amp;EDATE($B35,1),VIRMAN!$G$7:$G$406,"KÂR PAYI / AVANS*")</f>
        <v>0</v>
      </c>
      <c r="Q35" s="95">
        <f>SUMIFS(VIRMAN!$F$7:$F$406,VIRMAN!$E$7:$E$406,SISTEM!$C$10,VIRMAN!$C$7:$C$406,"&gt;="&amp;$B35,VIRMAN!$C$7:$C$406,"&lt;"&amp;EDATE($B35,1),VIRMAN!$G$7:$G$406,"KÂR PAYI / AVANS*")</f>
        <v>0</v>
      </c>
      <c r="R35" s="95">
        <f>SUM($M$7:$M35)+SUM($N$7:$N35)-SUM($P$7:$P35)-SUM($Q$7:$Q35)</f>
        <v>277599.98</v>
      </c>
      <c r="S35" s="65" t="str">
        <f>IF($B35&gt;=DATE(YEAR(TODAY()),MONTH(TODAY()),1),"AÇIK",IF(COUNTIFS(SISTEM!$C$23:$C$90,"KRİTİK",SISTEM!$F$23:$F$90,"KALDI")&gt;0,"KAPATILAMAZ",IF(COUNTIF(SISTEM!$F$23:$F$90,"KALDI")=0,"KAPANABİLİR","UYARI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5" s="65" t="str">
        <f>IF(ABS($Y35-$M35-$N35)&gt;0.01,"PAY HATASI",IF($S35="KAPATILAMAZ",IFERROR("KAPATILAMAZ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edin"),IF($O35="Evet","KAPANDI","AÇIK")))</f>
        <v>AÇIK</v>
      </c>
      <c r="U35" s="2"/>
      <c r="V35" s="2"/>
      <c r="W35" s="1"/>
      <c r="X35" s="1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$3001,GELIR_GIDER!$V$7:$V$3001,1,GELIR_GIDER!$C$7:$C$3001,"&lt;="&amp;EOMONTH($B35,0))</f>
        <v>13507029</v>
      </c>
      <c r="Y35" s="1">
        <f t="shared" si="6"/>
        <v>0</v>
      </c>
      <c r="Z35" s="1">
        <f>SUMIFS(ORTAKLAR!$E$14:$E$33,ORTAKLAR!$B$14:$B$33,SISTEM!$C$9,ORTAKLAR!$C$14:$C$33,"&lt;="&amp;$B35,ORTAKLAR!$K$14:$K$33,"&gt;="&amp;$B35)</f>
        <v>0.5</v>
      </c>
      <c r="AA35" s="1">
        <f>SUMIFS(ORTAKLAR!$E$14:$E$33,ORTAKLAR!$B$14:$B$33,SISTEM!$C$10,ORTAKLAR!$C$14:$C$33,"&lt;="&amp;$B35,ORTAKLAR!$K$14:$K$33,"&gt;="&amp;$B35)</f>
        <v>0.5</v>
      </c>
    </row>
    <row r="36" spans="1:27" ht="18" customHeight="1" x14ac:dyDescent="0.3">
      <c r="A36" s="2"/>
      <c r="B36" s="73">
        <v>46905</v>
      </c>
      <c r="C36" s="95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$3001,GELIR_GIDER!$V$7:$V$3001,1,GELIR_GIDER!$C$7:$C$3001,"&gt;="&amp;$B36,GELIR_GIDER!$C$7:$C$3001,"&lt;"&amp;EDATE($B36,1))</f>
        <v>450001</v>
      </c>
      <c r="D36" s="95">
        <f>SUMIFS(TAHSILAT!$F$7:$F$2503,TAHSILAT!$E$7:$E$2503,"&gt;="&amp;$B36,TAHSILAT!$E$7:$E$2503,"&lt;"&amp;EDATE($B36,1),TAHSILAT!$H$7:$H$2503,"&lt;&gt;Mahsup")</f>
        <v>0</v>
      </c>
      <c r="E36" s="95">
        <f>SUMIFS(GELIR_GIDER!$G$7:$G$3001,GELIR_GIDER!$D$7:$D$3001,"Gelir",GELIR_GIDER!$C$7:$C$3001,"&gt;="&amp;$B36,GELIR_GIDER!$C$7:$C$3001,"&lt;"&amp;EDATE($B36,1),GELIR_GIDER!$I$7:$I$3001,"Evet")</f>
        <v>0</v>
      </c>
      <c r="F36" s="95">
        <f t="shared" si="1"/>
        <v>0</v>
      </c>
      <c r="G36" s="95">
        <f>SUMIFS(GELIR_GIDER!$G$7:$G$3001,GELIR_GIDER!$D$7:$D$3001,"Gider",GELIR_GIDER!$C$7:$C$3001,"&gt;="&amp;$B36,GELIR_GIDER!$C$7:$C$3001,"&lt;"&amp;EDATE($B36,1),GELIR_GIDER!$I$7:$I$3001,"Evet")</f>
        <v>0</v>
      </c>
      <c r="H36" s="95">
        <f>$C36+$E36-SUMIFS(GELIR_GIDER!$G$7:$G$3001,GELIR_GIDER!$D$7:$D$3001,"Gider",GELIR_GIDER!$C$7:$C$3001,"&gt;="&amp;$B36,GELIR_GIDER!$C$7:$C$3001,"&lt;"&amp;EDATE($B36,1))</f>
        <v>450001</v>
      </c>
      <c r="I36" s="95">
        <f t="shared" si="2"/>
        <v>0</v>
      </c>
      <c r="J36" s="92">
        <f t="shared" si="3"/>
        <v>0</v>
      </c>
      <c r="K36" s="95">
        <f>SISTEM!$C$13</f>
        <v>0</v>
      </c>
      <c r="L36" s="95">
        <f>MAX(0,SUM($I$7:$I36)-$K36)</f>
        <v>1547062.02</v>
      </c>
      <c r="M36" s="95">
        <f t="shared" si="4"/>
        <v>0</v>
      </c>
      <c r="N36" s="95">
        <f t="shared" si="5"/>
        <v>0</v>
      </c>
      <c r="O36" s="60"/>
      <c r="P36" s="95">
        <f>SUMIFS(VIRMAN!$F$7:$F$406,VIRMAN!$E$7:$E$406,SISTEM!$C$9,VIRMAN!$C$7:$C$406,"&gt;="&amp;$B36,VIRMAN!$C$7:$C$406,"&lt;"&amp;EDATE($B36,1),VIRMAN!$G$7:$G$406,"KÂR PAYI / AVANS*")</f>
        <v>0</v>
      </c>
      <c r="Q36" s="95">
        <f>SUMIFS(VIRMAN!$F$7:$F$406,VIRMAN!$E$7:$E$406,SISTEM!$C$10,VIRMAN!$C$7:$C$406,"&gt;="&amp;$B36,VIRMAN!$C$7:$C$406,"&lt;"&amp;EDATE($B36,1),VIRMAN!$G$7:$G$406,"KÂR PAYI / AVANS*")</f>
        <v>0</v>
      </c>
      <c r="R36" s="95">
        <f>SUM($M$7:$M36)+SUM($N$7:$N36)-SUM($P$7:$P36)-SUM($Q$7:$Q36)</f>
        <v>277599.98</v>
      </c>
      <c r="S36" s="65" t="str">
        <f>IF($B36&gt;=DATE(YEAR(TODAY()),MONTH(TODAY()),1),"AÇIK",IF(COUNTIFS(SISTEM!$C$23:$C$90,"KRİTİK",SISTEM!$F$23:$F$90,"KALDI")&gt;0,"KAPATILAMAZ",IF(COUNTIF(SISTEM!$F$23:$F$90,"KALDI")=0,"KAPANABİLİR","UYARI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6" s="65" t="str">
        <f>IF(ABS($Y36-$M36-$N36)&gt;0.01,"PAY HATASI",IF($S36="KAPATILAMAZ",IFERROR("KAPATILAMAZ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edin"),IF($O36="Evet","KAPANDI","AÇIK")))</f>
        <v>AÇIK</v>
      </c>
      <c r="U36" s="2"/>
      <c r="V36" s="2"/>
      <c r="W36" s="1"/>
      <c r="X36" s="1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$3001,GELIR_GIDER!$V$7:$V$3001,1,GELIR_GIDER!$C$7:$C$3001,"&lt;="&amp;EOMONTH($B36,0))</f>
        <v>13957030</v>
      </c>
      <c r="Y36" s="1">
        <f t="shared" si="6"/>
        <v>0</v>
      </c>
      <c r="Z36" s="1">
        <f>SUMIFS(ORTAKLAR!$E$14:$E$33,ORTAKLAR!$B$14:$B$33,SISTEM!$C$9,ORTAKLAR!$C$14:$C$33,"&lt;="&amp;$B36,ORTAKLAR!$K$14:$K$33,"&gt;="&amp;$B36)</f>
        <v>0.5</v>
      </c>
      <c r="AA36" s="1">
        <f>SUMIFS(ORTAKLAR!$E$14:$E$33,ORTAKLAR!$B$14:$B$33,SISTEM!$C$10,ORTAKLAR!$C$14:$C$33,"&lt;="&amp;$B36,ORTAKLAR!$K$14:$K$33,"&gt;="&amp;$B36)</f>
        <v>0.5</v>
      </c>
    </row>
    <row r="37" spans="1:27" ht="18" customHeight="1" x14ac:dyDescent="0.3">
      <c r="A37" s="2"/>
      <c r="B37" s="73">
        <v>46935</v>
      </c>
      <c r="C37" s="95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$3001,GELIR_GIDER!$V$7:$V$3001,1,GELIR_GIDER!$C$7:$C$3001,"&gt;="&amp;$B37,GELIR_GIDER!$C$7:$C$3001,"&lt;"&amp;EDATE($B37,1))</f>
        <v>529751</v>
      </c>
      <c r="D37" s="95">
        <f>SUMIFS(TAHSILAT!$F$7:$F$2503,TAHSILAT!$E$7:$E$2503,"&gt;="&amp;$B37,TAHSILAT!$E$7:$E$2503,"&lt;"&amp;EDATE($B37,1),TAHSILAT!$H$7:$H$2503,"&lt;&gt;Mahsup")</f>
        <v>0</v>
      </c>
      <c r="E37" s="95">
        <f>SUMIFS(GELIR_GIDER!$G$7:$G$3001,GELIR_GIDER!$D$7:$D$3001,"Gelir",GELIR_GIDER!$C$7:$C$3001,"&gt;="&amp;$B37,GELIR_GIDER!$C$7:$C$3001,"&lt;"&amp;EDATE($B37,1),GELIR_GIDER!$I$7:$I$3001,"Evet")</f>
        <v>0</v>
      </c>
      <c r="F37" s="95">
        <f t="shared" si="1"/>
        <v>0</v>
      </c>
      <c r="G37" s="95">
        <f>SUMIFS(GELIR_GIDER!$G$7:$G$3001,GELIR_GIDER!$D$7:$D$3001,"Gider",GELIR_GIDER!$C$7:$C$3001,"&gt;="&amp;$B37,GELIR_GIDER!$C$7:$C$3001,"&lt;"&amp;EDATE($B37,1),GELIR_GIDER!$I$7:$I$3001,"Evet")</f>
        <v>0</v>
      </c>
      <c r="H37" s="95">
        <f>$C37+$E37-SUMIFS(GELIR_GIDER!$G$7:$G$3001,GELIR_GIDER!$D$7:$D$3001,"Gider",GELIR_GIDER!$C$7:$C$3001,"&gt;="&amp;$B37,GELIR_GIDER!$C$7:$C$3001,"&lt;"&amp;EDATE($B37,1))</f>
        <v>529751</v>
      </c>
      <c r="I37" s="95">
        <f t="shared" si="2"/>
        <v>0</v>
      </c>
      <c r="J37" s="92">
        <f t="shared" si="3"/>
        <v>0</v>
      </c>
      <c r="K37" s="95">
        <f>SISTEM!$C$13</f>
        <v>0</v>
      </c>
      <c r="L37" s="95">
        <f>MAX(0,SUM($I$7:$I37)-$K37)</f>
        <v>1547062.02</v>
      </c>
      <c r="M37" s="95">
        <f t="shared" si="4"/>
        <v>0</v>
      </c>
      <c r="N37" s="95">
        <f t="shared" si="5"/>
        <v>0</v>
      </c>
      <c r="O37" s="60"/>
      <c r="P37" s="95">
        <f>SUMIFS(VIRMAN!$F$7:$F$406,VIRMAN!$E$7:$E$406,SISTEM!$C$9,VIRMAN!$C$7:$C$406,"&gt;="&amp;$B37,VIRMAN!$C$7:$C$406,"&lt;"&amp;EDATE($B37,1),VIRMAN!$G$7:$G$406,"KÂR PAYI / AVANS*")</f>
        <v>0</v>
      </c>
      <c r="Q37" s="95">
        <f>SUMIFS(VIRMAN!$F$7:$F$406,VIRMAN!$E$7:$E$406,SISTEM!$C$10,VIRMAN!$C$7:$C$406,"&gt;="&amp;$B37,VIRMAN!$C$7:$C$406,"&lt;"&amp;EDATE($B37,1),VIRMAN!$G$7:$G$406,"KÂR PAYI / AVANS*")</f>
        <v>0</v>
      </c>
      <c r="R37" s="95">
        <f>SUM($M$7:$M37)+SUM($N$7:$N37)-SUM($P$7:$P37)-SUM($Q$7:$Q37)</f>
        <v>277599.98</v>
      </c>
      <c r="S37" s="65" t="str">
        <f>IF($B37&gt;=DATE(YEAR(TODAY()),MONTH(TODAY()),1),"AÇIK",IF(COUNTIFS(SISTEM!$C$23:$C$90,"KRİTİK",SISTEM!$F$23:$F$90,"KALDI")&gt;0,"KAPATILAMAZ",IF(COUNTIF(SISTEM!$F$23:$F$90,"KALDI")=0,"KAPANABİLİR","UYARI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7" s="65" t="str">
        <f>IF(ABS($Y37-$M37-$N37)&gt;0.01,"PAY HATASI",IF($S37="KAPATILAMAZ",IFERROR("KAPATILAMAZ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edin"),IF($O37="Evet","KAPANDI","AÇIK")))</f>
        <v>AÇIK</v>
      </c>
      <c r="U37" s="2"/>
      <c r="V37" s="2"/>
      <c r="W37" s="1"/>
      <c r="X37" s="1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$3001,GELIR_GIDER!$V$7:$V$3001,1,GELIR_GIDER!$C$7:$C$3001,"&lt;="&amp;EOMONTH($B37,0))</f>
        <v>14486781</v>
      </c>
      <c r="Y37" s="1">
        <f t="shared" si="6"/>
        <v>0</v>
      </c>
      <c r="Z37" s="1">
        <f>SUMIFS(ORTAKLAR!$E$14:$E$33,ORTAKLAR!$B$14:$B$33,SISTEM!$C$9,ORTAKLAR!$C$14:$C$33,"&lt;="&amp;$B37,ORTAKLAR!$K$14:$K$33,"&gt;="&amp;$B37)</f>
        <v>0.5</v>
      </c>
      <c r="AA37" s="1">
        <f>SUMIFS(ORTAKLAR!$E$14:$E$33,ORTAKLAR!$B$14:$B$33,SISTEM!$C$10,ORTAKLAR!$C$14:$C$33,"&lt;="&amp;$B37,ORTAKLAR!$K$14:$K$33,"&gt;="&amp;$B37)</f>
        <v>0.5</v>
      </c>
    </row>
    <row r="38" spans="1:27" ht="18" customHeight="1" x14ac:dyDescent="0.3">
      <c r="A38" s="2"/>
      <c r="B38" s="73">
        <v>46966</v>
      </c>
      <c r="C38" s="95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$3001,GELIR_GIDER!$V$7:$V$3001,1,GELIR_GIDER!$C$7:$C$3001,"&gt;="&amp;$B38,GELIR_GIDER!$C$7:$C$3001,"&lt;"&amp;EDATE($B38,1))</f>
        <v>450001</v>
      </c>
      <c r="D38" s="95">
        <f>SUMIFS(TAHSILAT!$F$7:$F$2503,TAHSILAT!$E$7:$E$2503,"&gt;="&amp;$B38,TAHSILAT!$E$7:$E$2503,"&lt;"&amp;EDATE($B38,1),TAHSILAT!$H$7:$H$2503,"&lt;&gt;Mahsup")</f>
        <v>0</v>
      </c>
      <c r="E38" s="95">
        <f>SUMIFS(GELIR_GIDER!$G$7:$G$3001,GELIR_GIDER!$D$7:$D$3001,"Gelir",GELIR_GIDER!$C$7:$C$3001,"&gt;="&amp;$B38,GELIR_GIDER!$C$7:$C$3001,"&lt;"&amp;EDATE($B38,1),GELIR_GIDER!$I$7:$I$3001,"Evet")</f>
        <v>0</v>
      </c>
      <c r="F38" s="95">
        <f t="shared" si="1"/>
        <v>0</v>
      </c>
      <c r="G38" s="95">
        <f>SUMIFS(GELIR_GIDER!$G$7:$G$3001,GELIR_GIDER!$D$7:$D$3001,"Gider",GELIR_GIDER!$C$7:$C$3001,"&gt;="&amp;$B38,GELIR_GIDER!$C$7:$C$3001,"&lt;"&amp;EDATE($B38,1),GELIR_GIDER!$I$7:$I$3001,"Evet")</f>
        <v>0</v>
      </c>
      <c r="H38" s="95">
        <f>$C38+$E38-SUMIFS(GELIR_GIDER!$G$7:$G$3001,GELIR_GIDER!$D$7:$D$3001,"Gider",GELIR_GIDER!$C$7:$C$3001,"&gt;="&amp;$B38,GELIR_GIDER!$C$7:$C$3001,"&lt;"&amp;EDATE($B38,1))</f>
        <v>450001</v>
      </c>
      <c r="I38" s="95">
        <f t="shared" si="2"/>
        <v>0</v>
      </c>
      <c r="J38" s="92">
        <f t="shared" si="3"/>
        <v>0</v>
      </c>
      <c r="K38" s="95">
        <f>SISTEM!$C$13</f>
        <v>0</v>
      </c>
      <c r="L38" s="95">
        <f>MAX(0,SUM($I$7:$I38)-$K38)</f>
        <v>1547062.02</v>
      </c>
      <c r="M38" s="95">
        <f t="shared" si="4"/>
        <v>0</v>
      </c>
      <c r="N38" s="95">
        <f t="shared" si="5"/>
        <v>0</v>
      </c>
      <c r="O38" s="60"/>
      <c r="P38" s="95">
        <f>SUMIFS(VIRMAN!$F$7:$F$406,VIRMAN!$E$7:$E$406,SISTEM!$C$9,VIRMAN!$C$7:$C$406,"&gt;="&amp;$B38,VIRMAN!$C$7:$C$406,"&lt;"&amp;EDATE($B38,1),VIRMAN!$G$7:$G$406,"KÂR PAYI / AVANS*")</f>
        <v>0</v>
      </c>
      <c r="Q38" s="95">
        <f>SUMIFS(VIRMAN!$F$7:$F$406,VIRMAN!$E$7:$E$406,SISTEM!$C$10,VIRMAN!$C$7:$C$406,"&gt;="&amp;$B38,VIRMAN!$C$7:$C$406,"&lt;"&amp;EDATE($B38,1),VIRMAN!$G$7:$G$406,"KÂR PAYI / AVANS*")</f>
        <v>0</v>
      </c>
      <c r="R38" s="95">
        <f>SUM($M$7:$M38)+SUM($N$7:$N38)-SUM($P$7:$P38)-SUM($Q$7:$Q38)</f>
        <v>277599.98</v>
      </c>
      <c r="S38" s="65" t="str">
        <f>IF($B38&gt;=DATE(YEAR(TODAY()),MONTH(TODAY()),1),"AÇIK",IF(COUNTIFS(SISTEM!$C$23:$C$90,"KRİTİK",SISTEM!$F$23:$F$90,"KALDI")&gt;0,"KAPATILAMAZ",IF(COUNTIF(SISTEM!$F$23:$F$90,"KALDI")=0,"KAPANABİLİR","UYARI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8" s="65" t="str">
        <f>IF(ABS($Y38-$M38-$N38)&gt;0.01,"PAY HATASI",IF($S38="KAPATILAMAZ",IFERROR("KAPATILAMAZ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edin"),IF($O38="Evet","KAPANDI","AÇIK")))</f>
        <v>AÇIK</v>
      </c>
      <c r="U38" s="2"/>
      <c r="V38" s="2"/>
      <c r="W38" s="1"/>
      <c r="X38" s="1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$3001,GELIR_GIDER!$V$7:$V$3001,1,GELIR_GIDER!$C$7:$C$3001,"&lt;="&amp;EOMONTH($B38,0))</f>
        <v>14936782</v>
      </c>
      <c r="Y38" s="1">
        <f t="shared" si="6"/>
        <v>0</v>
      </c>
      <c r="Z38" s="1">
        <f>SUMIFS(ORTAKLAR!$E$14:$E$33,ORTAKLAR!$B$14:$B$33,SISTEM!$C$9,ORTAKLAR!$C$14:$C$33,"&lt;="&amp;$B38,ORTAKLAR!$K$14:$K$33,"&gt;="&amp;$B38)</f>
        <v>0.5</v>
      </c>
      <c r="AA38" s="1">
        <f>SUMIFS(ORTAKLAR!$E$14:$E$33,ORTAKLAR!$B$14:$B$33,SISTEM!$C$10,ORTAKLAR!$C$14:$C$33,"&lt;="&amp;$B38,ORTAKLAR!$K$14:$K$33,"&gt;="&amp;$B38)</f>
        <v>0.5</v>
      </c>
    </row>
    <row r="39" spans="1:27" ht="18" customHeight="1" x14ac:dyDescent="0.3">
      <c r="A39" s="2"/>
      <c r="B39" s="73">
        <v>46997</v>
      </c>
      <c r="C39" s="95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$3001,GELIR_GIDER!$V$7:$V$3001,1,GELIR_GIDER!$C$7:$C$3001,"&gt;="&amp;$B39,GELIR_GIDER!$C$7:$C$3001,"&lt;"&amp;EDATE($B39,1))</f>
        <v>529751</v>
      </c>
      <c r="D39" s="95">
        <f>SUMIFS(TAHSILAT!$F$7:$F$2503,TAHSILAT!$E$7:$E$2503,"&gt;="&amp;$B39,TAHSILAT!$E$7:$E$2503,"&lt;"&amp;EDATE($B39,1),TAHSILAT!$H$7:$H$2503,"&lt;&gt;Mahsup")</f>
        <v>0</v>
      </c>
      <c r="E39" s="95">
        <f>SUMIFS(GELIR_GIDER!$G$7:$G$3001,GELIR_GIDER!$D$7:$D$3001,"Gelir",GELIR_GIDER!$C$7:$C$3001,"&gt;="&amp;$B39,GELIR_GIDER!$C$7:$C$3001,"&lt;"&amp;EDATE($B39,1),GELIR_GIDER!$I$7:$I$3001,"Evet")</f>
        <v>0</v>
      </c>
      <c r="F39" s="95">
        <f t="shared" si="1"/>
        <v>0</v>
      </c>
      <c r="G39" s="95">
        <f>SUMIFS(GELIR_GIDER!$G$7:$G$3001,GELIR_GIDER!$D$7:$D$3001,"Gider",GELIR_GIDER!$C$7:$C$3001,"&gt;="&amp;$B39,GELIR_GIDER!$C$7:$C$3001,"&lt;"&amp;EDATE($B39,1),GELIR_GIDER!$I$7:$I$3001,"Evet")</f>
        <v>0</v>
      </c>
      <c r="H39" s="95">
        <f>$C39+$E39-SUMIFS(GELIR_GIDER!$G$7:$G$3001,GELIR_GIDER!$D$7:$D$3001,"Gider",GELIR_GIDER!$C$7:$C$3001,"&gt;="&amp;$B39,GELIR_GIDER!$C$7:$C$3001,"&lt;"&amp;EDATE($B39,1))</f>
        <v>529751</v>
      </c>
      <c r="I39" s="95">
        <f t="shared" si="2"/>
        <v>0</v>
      </c>
      <c r="J39" s="92">
        <f t="shared" si="3"/>
        <v>0</v>
      </c>
      <c r="K39" s="95">
        <f>SISTEM!$C$13</f>
        <v>0</v>
      </c>
      <c r="L39" s="95">
        <f>MAX(0,SUM($I$7:$I39)-$K39)</f>
        <v>1547062.02</v>
      </c>
      <c r="M39" s="95">
        <f t="shared" si="4"/>
        <v>0</v>
      </c>
      <c r="N39" s="95">
        <f t="shared" si="5"/>
        <v>0</v>
      </c>
      <c r="O39" s="60"/>
      <c r="P39" s="95">
        <f>SUMIFS(VIRMAN!$F$7:$F$406,VIRMAN!$E$7:$E$406,SISTEM!$C$9,VIRMAN!$C$7:$C$406,"&gt;="&amp;$B39,VIRMAN!$C$7:$C$406,"&lt;"&amp;EDATE($B39,1),VIRMAN!$G$7:$G$406,"KÂR PAYI / AVANS*")</f>
        <v>0</v>
      </c>
      <c r="Q39" s="95">
        <f>SUMIFS(VIRMAN!$F$7:$F$406,VIRMAN!$E$7:$E$406,SISTEM!$C$10,VIRMAN!$C$7:$C$406,"&gt;="&amp;$B39,VIRMAN!$C$7:$C$406,"&lt;"&amp;EDATE($B39,1),VIRMAN!$G$7:$G$406,"KÂR PAYI / AVANS*")</f>
        <v>0</v>
      </c>
      <c r="R39" s="95">
        <f>SUM($M$7:$M39)+SUM($N$7:$N39)-SUM($P$7:$P39)-SUM($Q$7:$Q39)</f>
        <v>277599.98</v>
      </c>
      <c r="S39" s="65" t="str">
        <f>IF($B39&gt;=DATE(YEAR(TODAY()),MONTH(TODAY()),1),"AÇIK",IF(COUNTIFS(SISTEM!$C$23:$C$90,"KRİTİK",SISTEM!$F$23:$F$90,"KALDI")&gt;0,"KAPATILAMAZ",IF(COUNTIF(SISTEM!$F$23:$F$90,"KALDI")=0,"KAPANABİLİR","UYARI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39" s="65" t="str">
        <f>IF(ABS($Y39-$M39-$N39)&gt;0.01,"PAY HATASI",IF($S39="KAPATILAMAZ",IFERROR("KAPATILAMAZ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edin"),IF($O39="Evet","KAPANDI","AÇIK")))</f>
        <v>AÇIK</v>
      </c>
      <c r="U39" s="2"/>
      <c r="V39" s="2"/>
      <c r="W39" s="1"/>
      <c r="X39" s="1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$3001,GELIR_GIDER!$V$7:$V$3001,1,GELIR_GIDER!$C$7:$C$3001,"&lt;="&amp;EOMONTH($B39,0))</f>
        <v>15466533</v>
      </c>
      <c r="Y39" s="1">
        <f t="shared" si="6"/>
        <v>0</v>
      </c>
      <c r="Z39" s="1">
        <f>SUMIFS(ORTAKLAR!$E$14:$E$33,ORTAKLAR!$B$14:$B$33,SISTEM!$C$9,ORTAKLAR!$C$14:$C$33,"&lt;="&amp;$B39,ORTAKLAR!$K$14:$K$33,"&gt;="&amp;$B39)</f>
        <v>0.5</v>
      </c>
      <c r="AA39" s="1">
        <f>SUMIFS(ORTAKLAR!$E$14:$E$33,ORTAKLAR!$B$14:$B$33,SISTEM!$C$10,ORTAKLAR!$C$14:$C$33,"&lt;="&amp;$B39,ORTAKLAR!$K$14:$K$33,"&gt;="&amp;$B39)</f>
        <v>0.5</v>
      </c>
    </row>
    <row r="40" spans="1:27" ht="18" customHeight="1" x14ac:dyDescent="0.3">
      <c r="A40" s="2"/>
      <c r="B40" s="73">
        <v>47027</v>
      </c>
      <c r="C40" s="95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$3001,GELIR_GIDER!$V$7:$V$3001,1,GELIR_GIDER!$C$7:$C$3001,"&gt;="&amp;$B40,GELIR_GIDER!$C$7:$C$3001,"&lt;"&amp;EDATE($B40,1))</f>
        <v>450001</v>
      </c>
      <c r="D40" s="95">
        <f>SUMIFS(TAHSILAT!$F$7:$F$2503,TAHSILAT!$E$7:$E$2503,"&gt;="&amp;$B40,TAHSILAT!$E$7:$E$2503,"&lt;"&amp;EDATE($B40,1),TAHSILAT!$H$7:$H$2503,"&lt;&gt;Mahsup")</f>
        <v>0</v>
      </c>
      <c r="E40" s="95">
        <f>SUMIFS(GELIR_GIDER!$G$7:$G$3001,GELIR_GIDER!$D$7:$D$3001,"Gelir",GELIR_GIDER!$C$7:$C$3001,"&gt;="&amp;$B40,GELIR_GIDER!$C$7:$C$3001,"&lt;"&amp;EDATE($B40,1),GELIR_GIDER!$I$7:$I$3001,"Evet")</f>
        <v>0</v>
      </c>
      <c r="F40" s="95">
        <f t="shared" si="1"/>
        <v>0</v>
      </c>
      <c r="G40" s="95">
        <f>SUMIFS(GELIR_GIDER!$G$7:$G$3001,GELIR_GIDER!$D$7:$D$3001,"Gider",GELIR_GIDER!$C$7:$C$3001,"&gt;="&amp;$B40,GELIR_GIDER!$C$7:$C$3001,"&lt;"&amp;EDATE($B40,1),GELIR_GIDER!$I$7:$I$3001,"Evet")</f>
        <v>0</v>
      </c>
      <c r="H40" s="95">
        <f>$C40+$E40-SUMIFS(GELIR_GIDER!$G$7:$G$3001,GELIR_GIDER!$D$7:$D$3001,"Gider",GELIR_GIDER!$C$7:$C$3001,"&gt;="&amp;$B40,GELIR_GIDER!$C$7:$C$3001,"&lt;"&amp;EDATE($B40,1))</f>
        <v>450001</v>
      </c>
      <c r="I40" s="95">
        <f t="shared" si="2"/>
        <v>0</v>
      </c>
      <c r="J40" s="92">
        <f t="shared" si="3"/>
        <v>0</v>
      </c>
      <c r="K40" s="95">
        <f>SISTEM!$C$13</f>
        <v>0</v>
      </c>
      <c r="L40" s="95">
        <f>MAX(0,SUM($I$7:$I40)-$K40)</f>
        <v>1547062.02</v>
      </c>
      <c r="M40" s="95">
        <f t="shared" si="4"/>
        <v>0</v>
      </c>
      <c r="N40" s="95">
        <f t="shared" si="5"/>
        <v>0</v>
      </c>
      <c r="O40" s="60"/>
      <c r="P40" s="95">
        <f>SUMIFS(VIRMAN!$F$7:$F$406,VIRMAN!$E$7:$E$406,SISTEM!$C$9,VIRMAN!$C$7:$C$406,"&gt;="&amp;$B40,VIRMAN!$C$7:$C$406,"&lt;"&amp;EDATE($B40,1),VIRMAN!$G$7:$G$406,"KÂR PAYI / AVANS*")</f>
        <v>0</v>
      </c>
      <c r="Q40" s="95">
        <f>SUMIFS(VIRMAN!$F$7:$F$406,VIRMAN!$E$7:$E$406,SISTEM!$C$10,VIRMAN!$C$7:$C$406,"&gt;="&amp;$B40,VIRMAN!$C$7:$C$406,"&lt;"&amp;EDATE($B40,1),VIRMAN!$G$7:$G$406,"KÂR PAYI / AVANS*")</f>
        <v>0</v>
      </c>
      <c r="R40" s="95">
        <f>SUM($M$7:$M40)+SUM($N$7:$N40)-SUM($P$7:$P40)-SUM($Q$7:$Q40)</f>
        <v>277599.98</v>
      </c>
      <c r="S40" s="65" t="str">
        <f>IF($B40&gt;=DATE(YEAR(TODAY()),MONTH(TODAY()),1),"AÇIK",IF(COUNTIFS(SISTEM!$C$23:$C$90,"KRİTİK",SISTEM!$F$23:$F$90,"KALDI")&gt;0,"KAPATILAMAZ",IF(COUNTIF(SISTEM!$F$23:$F$90,"KALDI")=0,"KAPANABİLİR","UYARI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40" s="65" t="str">
        <f>IF(ABS($Y40-$M40-$N40)&gt;0.01,"PAY HATASI",IF($S40="KAPATILAMAZ",IFERROR("KAPATILAMAZ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edin"),IF($O40="Evet","KAPANDI","AÇIK")))</f>
        <v>AÇIK</v>
      </c>
      <c r="U40" s="2"/>
      <c r="V40" s="2"/>
      <c r="W40" s="1"/>
      <c r="X40" s="1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$3001,GELIR_GIDER!$V$7:$V$3001,1,GELIR_GIDER!$C$7:$C$3001,"&lt;="&amp;EOMONTH($B40,0))</f>
        <v>15916534</v>
      </c>
      <c r="Y40" s="1">
        <f t="shared" si="6"/>
        <v>0</v>
      </c>
      <c r="Z40" s="1">
        <f>SUMIFS(ORTAKLAR!$E$14:$E$33,ORTAKLAR!$B$14:$B$33,SISTEM!$C$9,ORTAKLAR!$C$14:$C$33,"&lt;="&amp;$B40,ORTAKLAR!$K$14:$K$33,"&gt;="&amp;$B40)</f>
        <v>0.5</v>
      </c>
      <c r="AA40" s="1">
        <f>SUMIFS(ORTAKLAR!$E$14:$E$33,ORTAKLAR!$B$14:$B$33,SISTEM!$C$10,ORTAKLAR!$C$14:$C$33,"&lt;="&amp;$B40,ORTAKLAR!$K$14:$K$33,"&gt;="&amp;$B40)</f>
        <v>0.5</v>
      </c>
    </row>
    <row r="41" spans="1:27" ht="18" customHeight="1" x14ac:dyDescent="0.3">
      <c r="A41" s="2"/>
      <c r="B41" s="73">
        <v>47058</v>
      </c>
      <c r="C41" s="95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$3001,GELIR_GIDER!$V$7:$V$3001,1,GELIR_GIDER!$C$7:$C$3001,"&gt;="&amp;$B41,GELIR_GIDER!$C$7:$C$3001,"&lt;"&amp;EDATE($B41,1))</f>
        <v>450001</v>
      </c>
      <c r="D41" s="95">
        <f>SUMIFS(TAHSILAT!$F$7:$F$2503,TAHSILAT!$E$7:$E$2503,"&gt;="&amp;$B41,TAHSILAT!$E$7:$E$2503,"&lt;"&amp;EDATE($B41,1),TAHSILAT!$H$7:$H$2503,"&lt;&gt;Mahsup")</f>
        <v>0</v>
      </c>
      <c r="E41" s="95">
        <f>SUMIFS(GELIR_GIDER!$G$7:$G$3001,GELIR_GIDER!$D$7:$D$3001,"Gelir",GELIR_GIDER!$C$7:$C$3001,"&gt;="&amp;$B41,GELIR_GIDER!$C$7:$C$3001,"&lt;"&amp;EDATE($B41,1),GELIR_GIDER!$I$7:$I$3001,"Evet")</f>
        <v>0</v>
      </c>
      <c r="F41" s="95">
        <f t="shared" si="1"/>
        <v>0</v>
      </c>
      <c r="G41" s="95">
        <f>SUMIFS(GELIR_GIDER!$G$7:$G$3001,GELIR_GIDER!$D$7:$D$3001,"Gider",GELIR_GIDER!$C$7:$C$3001,"&gt;="&amp;$B41,GELIR_GIDER!$C$7:$C$3001,"&lt;"&amp;EDATE($B41,1),GELIR_GIDER!$I$7:$I$3001,"Evet")</f>
        <v>0</v>
      </c>
      <c r="H41" s="95">
        <f>$C41+$E41-SUMIFS(GELIR_GIDER!$G$7:$G$3001,GELIR_GIDER!$D$7:$D$3001,"Gider",GELIR_GIDER!$C$7:$C$3001,"&gt;="&amp;$B41,GELIR_GIDER!$C$7:$C$3001,"&lt;"&amp;EDATE($B41,1))</f>
        <v>450001</v>
      </c>
      <c r="I41" s="95">
        <f t="shared" si="2"/>
        <v>0</v>
      </c>
      <c r="J41" s="92">
        <f t="shared" si="3"/>
        <v>0</v>
      </c>
      <c r="K41" s="95">
        <f>SISTEM!$C$13</f>
        <v>0</v>
      </c>
      <c r="L41" s="95">
        <f>MAX(0,SUM($I$7:$I41)-$K41)</f>
        <v>1547062.02</v>
      </c>
      <c r="M41" s="95">
        <f t="shared" si="4"/>
        <v>0</v>
      </c>
      <c r="N41" s="95">
        <f t="shared" si="5"/>
        <v>0</v>
      </c>
      <c r="O41" s="60"/>
      <c r="P41" s="95">
        <f>SUMIFS(VIRMAN!$F$7:$F$406,VIRMAN!$E$7:$E$406,SISTEM!$C$9,VIRMAN!$C$7:$C$406,"&gt;="&amp;$B41,VIRMAN!$C$7:$C$406,"&lt;"&amp;EDATE($B41,1),VIRMAN!$G$7:$G$406,"KÂR PAYI / AVANS*")</f>
        <v>0</v>
      </c>
      <c r="Q41" s="95">
        <f>SUMIFS(VIRMAN!$F$7:$F$406,VIRMAN!$E$7:$E$406,SISTEM!$C$10,VIRMAN!$C$7:$C$406,"&gt;="&amp;$B41,VIRMAN!$C$7:$C$406,"&lt;"&amp;EDATE($B41,1),VIRMAN!$G$7:$G$406,"KÂR PAYI / AVANS*")</f>
        <v>0</v>
      </c>
      <c r="R41" s="95">
        <f>SUM($M$7:$M41)+SUM($N$7:$N41)-SUM($P$7:$P41)-SUM($Q$7:$Q41)</f>
        <v>277599.98</v>
      </c>
      <c r="S41" s="65" t="str">
        <f>IF($B41&gt;=DATE(YEAR(TODAY()),MONTH(TODAY()),1),"AÇIK",IF(COUNTIFS(SISTEM!$C$23:$C$90,"KRİTİK",SISTEM!$F$23:$F$90,"KALDI")&gt;0,"KAPATILAMAZ",IF(COUNTIF(SISTEM!$F$23:$F$90,"KALDI")=0,"KAPANABİLİR","UYARI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41" s="65" t="str">
        <f>IF(ABS($Y41-$M41-$N41)&gt;0.01,"PAY HATASI",IF($S41="KAPATILAMAZ",IFERROR("KAPATILAMAZ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edin"),IF($O41="Evet","KAPANDI","AÇIK")))</f>
        <v>AÇIK</v>
      </c>
      <c r="U41" s="2"/>
      <c r="V41" s="2"/>
      <c r="W41" s="1"/>
      <c r="X41" s="1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$3001,GELIR_GIDER!$V$7:$V$3001,1,GELIR_GIDER!$C$7:$C$3001,"&lt;="&amp;EOMONTH($B41,0))</f>
        <v>16366535</v>
      </c>
      <c r="Y41" s="1">
        <f t="shared" si="6"/>
        <v>0</v>
      </c>
      <c r="Z41" s="1">
        <f>SUMIFS(ORTAKLAR!$E$14:$E$33,ORTAKLAR!$B$14:$B$33,SISTEM!$C$9,ORTAKLAR!$C$14:$C$33,"&lt;="&amp;$B41,ORTAKLAR!$K$14:$K$33,"&gt;="&amp;$B41)</f>
        <v>0.5</v>
      </c>
      <c r="AA41" s="1">
        <f>SUMIFS(ORTAKLAR!$E$14:$E$33,ORTAKLAR!$B$14:$B$33,SISTEM!$C$10,ORTAKLAR!$C$14:$C$33,"&lt;="&amp;$B41,ORTAKLAR!$K$14:$K$33,"&gt;="&amp;$B41)</f>
        <v>0.5</v>
      </c>
    </row>
    <row r="42" spans="1:27" ht="18" customHeight="1" x14ac:dyDescent="0.3">
      <c r="A42" s="2"/>
      <c r="B42" s="73">
        <v>47088</v>
      </c>
      <c r="C42" s="95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$3001,GELIR_GIDER!$V$7:$V$3001,1,GELIR_GIDER!$C$7:$C$3001,"&gt;="&amp;$B42,GELIR_GIDER!$C$7:$C$3001,"&lt;"&amp;EDATE($B42,1))</f>
        <v>529751</v>
      </c>
      <c r="D42" s="95">
        <f>SUMIFS(TAHSILAT!$F$7:$F$2503,TAHSILAT!$E$7:$E$2503,"&gt;="&amp;$B42,TAHSILAT!$E$7:$E$2503,"&lt;"&amp;EDATE($B42,1),TAHSILAT!$H$7:$H$2503,"&lt;&gt;Mahsup")</f>
        <v>0</v>
      </c>
      <c r="E42" s="95">
        <f>SUMIFS(GELIR_GIDER!$G$7:$G$3001,GELIR_GIDER!$D$7:$D$3001,"Gelir",GELIR_GIDER!$C$7:$C$3001,"&gt;="&amp;$B42,GELIR_GIDER!$C$7:$C$3001,"&lt;"&amp;EDATE($B42,1),GELIR_GIDER!$I$7:$I$3001,"Evet")</f>
        <v>0</v>
      </c>
      <c r="F42" s="95">
        <f t="shared" si="1"/>
        <v>0</v>
      </c>
      <c r="G42" s="95">
        <f>SUMIFS(GELIR_GIDER!$G$7:$G$3001,GELIR_GIDER!$D$7:$D$3001,"Gider",GELIR_GIDER!$C$7:$C$3001,"&gt;="&amp;$B42,GELIR_GIDER!$C$7:$C$3001,"&lt;"&amp;EDATE($B42,1),GELIR_GIDER!$I$7:$I$3001,"Evet")</f>
        <v>0</v>
      </c>
      <c r="H42" s="95">
        <f>$C42+$E42-SUMIFS(GELIR_GIDER!$G$7:$G$3001,GELIR_GIDER!$D$7:$D$3001,"Gider",GELIR_GIDER!$C$7:$C$3001,"&gt;="&amp;$B42,GELIR_GIDER!$C$7:$C$3001,"&lt;"&amp;EDATE($B42,1))</f>
        <v>529751</v>
      </c>
      <c r="I42" s="95">
        <f t="shared" si="2"/>
        <v>0</v>
      </c>
      <c r="J42" s="92">
        <f t="shared" si="3"/>
        <v>0</v>
      </c>
      <c r="K42" s="95">
        <f>SISTEM!$C$13</f>
        <v>0</v>
      </c>
      <c r="L42" s="95">
        <f>MAX(0,SUM($I$7:$I42)-$K42)</f>
        <v>1547062.02</v>
      </c>
      <c r="M42" s="95">
        <f t="shared" si="4"/>
        <v>0</v>
      </c>
      <c r="N42" s="95">
        <f t="shared" si="5"/>
        <v>0</v>
      </c>
      <c r="O42" s="60"/>
      <c r="P42" s="95">
        <f>SUMIFS(VIRMAN!$F$7:$F$406,VIRMAN!$E$7:$E$406,SISTEM!$C$9,VIRMAN!$C$7:$C$406,"&gt;="&amp;$B42,VIRMAN!$C$7:$C$406,"&lt;"&amp;EDATE($B42,1),VIRMAN!$G$7:$G$406,"KÂR PAYI / AVANS*")</f>
        <v>0</v>
      </c>
      <c r="Q42" s="95">
        <f>SUMIFS(VIRMAN!$F$7:$F$406,VIRMAN!$E$7:$E$406,SISTEM!$C$10,VIRMAN!$C$7:$C$406,"&gt;="&amp;$B42,VIRMAN!$C$7:$C$406,"&lt;"&amp;EDATE($B42,1),VIRMAN!$G$7:$G$406,"KÂR PAYI / AVANS*")</f>
        <v>0</v>
      </c>
      <c r="R42" s="95">
        <f>SUM($M$7:$M42)+SUM($N$7:$N42)-SUM($P$7:$P42)-SUM($Q$7:$Q42)</f>
        <v>277599.98</v>
      </c>
      <c r="S42" s="65" t="str">
        <f>IF($B42&gt;=DATE(YEAR(TODAY()),MONTH(TODAY()),1),"AÇIK",IF(COUNTIFS(SISTEM!$C$23:$C$90,"KRİTİK",SISTEM!$F$23:$F$90,"KALDI")&gt;0,"KAPATILAMAZ",IF(COUNTIF(SISTEM!$F$23:$F$90,"KALDI")=0,"KAPANABİLİR","UYARI VAR – KAPATILABİLİR")))</f>
        <v>AÇIK</v>
      </c>
      <c r="T42" s="65" t="str">
        <f>IF(ABS($Y42-$M42-$N42)&gt;0.01,"PAY HATASI",IF($S42="KAPATILAMAZ",IFERROR("KAPATILAMAZ — "&amp;INDEX(SISTEM!$B$23:$B$90,MATCH(1,INDEX((SISTEM!$C$23:$C$90="KRİTİK")*(SISTEM!$F$23:$F$90="KALDI"),0),0))&amp;" — "&amp;INDEX(SISTEM!$I$23:$I$90,MATCH(1,INDEX((SISTEM!$C$23:$C$90="KRİTİK")*(SISTEM!$F$23:$F$90="KALDI"),0),0)),"KAPATILAMAZ — SISTEM ekranını kontrol edin"),IF($O42="Evet","KAPANDI","AÇIK")))</f>
        <v>AÇIK</v>
      </c>
      <c r="U42" s="2"/>
      <c r="V42" s="2"/>
      <c r="W42" s="1"/>
      <c r="X42" s="1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$3001,GELIR_GIDER!$V$7:$V$3001,1,GELIR_GIDER!$C$7:$C$3001,"&lt;="&amp;EOMONTH($B42,0))</f>
        <v>16896286</v>
      </c>
      <c r="Y42" s="1">
        <f t="shared" si="6"/>
        <v>0</v>
      </c>
      <c r="Z42" s="1">
        <f>SUMIFS(ORTAKLAR!$E$14:$E$33,ORTAKLAR!$B$14:$B$33,SISTEM!$C$9,ORTAKLAR!$C$14:$C$33,"&lt;="&amp;$B42,ORTAKLAR!$K$14:$K$33,"&gt;="&amp;$B42)</f>
        <v>0.5</v>
      </c>
      <c r="AA42" s="1">
        <f>SUMIFS(ORTAKLAR!$E$14:$E$33,ORTAKLAR!$B$14:$B$33,SISTEM!$C$10,ORTAKLAR!$C$14:$C$33,"&lt;="&amp;$B42,ORTAKLAR!$K$14:$K$33,"&gt;="&amp;$B42)</f>
        <v>0.5</v>
      </c>
    </row>
    <row r="43" spans="1:27" ht="18" customHeight="1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2"/>
      <c r="V43" s="2"/>
      <c r="W43" s="1"/>
      <c r="X43" s="1"/>
      <c r="Y43" s="1"/>
      <c r="Z43" s="1"/>
      <c r="AA43" s="1"/>
    </row>
    <row r="44" spans="1:27" ht="18" customHeight="1" x14ac:dyDescent="0.3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"/>
      <c r="V44" s="2"/>
      <c r="W44" s="1"/>
      <c r="X44" s="1"/>
      <c r="Y44" s="1"/>
      <c r="Z44" s="1"/>
      <c r="AA44" s="1"/>
    </row>
  </sheetData>
  <sheetProtection password="CC3D" sheet="1" formatCells="0" formatColumns="0" formatRows="0" sort="0" autoFilter="0"/>
  <autoFilter ref="B6:T42" xr:uid="{00000000-0009-0000-0000-00000B000000}"/>
  <mergeCells count="3">
    <mergeCell ref="A1:E1"/>
    <mergeCell ref="A2:T2"/>
    <mergeCell ref="F1:T1"/>
  </mergeCells>
  <conditionalFormatting sqref="I7:I42">
    <cfRule type="cellIs" dxfId="21" priority="9" operator="lessThan">
      <formula>0</formula>
    </cfRule>
  </conditionalFormatting>
  <conditionalFormatting sqref="S7:S42">
    <cfRule type="expression" dxfId="20" priority="2">
      <formula>EXACT($S7,"AÇIK")</formula>
    </cfRule>
    <cfRule type="expression" dxfId="19" priority="3">
      <formula>EXACT($S7,"KAPANABİLİR")</formula>
    </cfRule>
    <cfRule type="expression" dxfId="18" priority="4">
      <formula>EXACT($S7,"UYARI VAR – KAPATILABİLİR")</formula>
    </cfRule>
    <cfRule type="expression" dxfId="17" priority="5">
      <formula>EXACT($S7,"KAPATILAMAZ")</formula>
    </cfRule>
  </conditionalFormatting>
  <conditionalFormatting sqref="T7:T42">
    <cfRule type="expression" dxfId="16" priority="6">
      <formula>EXACT($T7,"KAPANDI")</formula>
    </cfRule>
    <cfRule type="expression" dxfId="15" priority="7">
      <formula>EXACT($T7,"AÇIK")</formula>
    </cfRule>
    <cfRule type="expression" dxfId="14" priority="8">
      <formula>EXACT($T7,"PAY HATASI")</formula>
    </cfRule>
  </conditionalFormatting>
  <dataValidations count="1">
    <dataValidation type="list" allowBlank="1" showErrorMessage="1" errorTitle="Geçersiz değer" error="Evet veya Hayır seçin." promptTitle="Geçersiz değer" prompt="Evet veya Hayır seçin." sqref="O7:O42" xr:uid="{00000000-0002-0000-0B00-000000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C00-000000000000}">
  <sheetPr>
    <tabColor rgb="FF8A28D3"/>
    <pageSetUpPr fitToPage="1"/>
  </sheetPr>
  <dimension ref="A1:W193"/>
  <sheetViews>
    <sheetView showGridLines="0" zoomScaleNormal="100" workbookViewId="0">
      <pane ySplit="4" topLeftCell="A5" activePane="bottomLeft" state="frozen"/>
      <selection pane="bottomLeft" activeCell="J8" sqref="J8"/>
    </sheetView>
  </sheetViews>
  <sheetFormatPr defaultColWidth="8" defaultRowHeight="14.25" customHeight="1" x14ac:dyDescent="0.25"/>
  <cols>
    <col min="1" max="1" width="2.28515625" customWidth="1"/>
    <col min="2" max="2" width="24.140625" customWidth="1"/>
    <col min="3" max="3" width="16.7109375" customWidth="1"/>
    <col min="4" max="4" width="11.140625" customWidth="1"/>
    <col min="5" max="5" width="14.85546875" customWidth="1"/>
    <col min="6" max="6" width="29.7109375" customWidth="1"/>
    <col min="7" max="8" width="16.7109375" customWidth="1"/>
    <col min="9" max="9" width="18.5703125" customWidth="1"/>
    <col min="10" max="10" width="15.7109375" bestFit="1" customWidth="1"/>
    <col min="11" max="11" width="2.28515625" hidden="1" customWidth="1"/>
    <col min="12" max="12" width="16.7109375" customWidth="1"/>
    <col min="13" max="23" width="12" hidden="1" customWidth="1"/>
  </cols>
  <sheetData>
    <row r="1" spans="1:23" ht="37.5" customHeight="1" x14ac:dyDescent="0.3">
      <c r="A1" s="212" t="s">
        <v>1057</v>
      </c>
      <c r="B1" s="150"/>
      <c r="C1" s="150"/>
      <c r="D1" s="150"/>
      <c r="E1" s="150"/>
      <c r="F1" s="208" t="s">
        <v>1081</v>
      </c>
      <c r="G1" s="150"/>
      <c r="H1" s="150"/>
      <c r="I1" s="15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.75" customHeight="1" x14ac:dyDescent="0.3">
      <c r="A2" s="213" t="s">
        <v>1082</v>
      </c>
      <c r="B2" s="142"/>
      <c r="C2" s="142"/>
      <c r="D2" s="142"/>
      <c r="E2" s="142"/>
      <c r="F2" s="142"/>
      <c r="G2" s="142"/>
      <c r="H2" s="142"/>
      <c r="I2" s="14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3">
      <c r="A3" s="2"/>
      <c r="B3" s="50" t="s">
        <v>1083</v>
      </c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76" t="str">
        <f>HYPERLINK("#ORTAKLAR!B5","▸ 1  Ortak Tanımları")</f>
        <v>▸ 1  Ortak Tanımları</v>
      </c>
      <c r="E4" s="76" t="str">
        <f>HYPERLINK("#ORTAKLAR!B12","▸ 2  Pay Oranları")</f>
        <v>▸ 2  Pay Oranları</v>
      </c>
      <c r="F4" s="77" t="str">
        <f>HYPERLINK("#ORTAKLAR!B35","▸ 3  CARİ EKSTRE")</f>
        <v>▸ 3  CARİ EKSTRE</v>
      </c>
      <c r="G4" s="51" t="str">
        <f>HYPERLINK("#AY_SONU!A1","Ay Sonu")</f>
        <v>Ay Sonu</v>
      </c>
      <c r="H4" s="51" t="str">
        <f>HYPERLINK("#HESAPLAR!A1","Hesaplar")</f>
        <v>Hesaplar</v>
      </c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>
        <f>IFERROR(MATCH($C$36,$B$7:$B$10,0),0)</f>
        <v>1</v>
      </c>
      <c r="V4" s="1"/>
      <c r="W4" s="1"/>
    </row>
    <row r="5" spans="1:23" ht="27.75" customHeight="1" x14ac:dyDescent="0.3">
      <c r="A5" s="2"/>
      <c r="B5" s="183" t="s">
        <v>991</v>
      </c>
      <c r="C5" s="150"/>
      <c r="D5" s="150"/>
      <c r="E5" s="150"/>
      <c r="F5" s="150"/>
      <c r="G5" s="150"/>
      <c r="H5" s="150"/>
      <c r="I5" s="150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 t="str">
        <f>IF($U$4=0,"",IF($C$36=SISTEM!$C$9,"M",IF($C$36=SISTEM!$C$10,"N","")))</f>
        <v>M</v>
      </c>
      <c r="V5" s="1"/>
      <c r="W5" s="1"/>
    </row>
    <row r="6" spans="1:23" ht="47.25" customHeight="1" x14ac:dyDescent="0.3">
      <c r="A6" s="2"/>
      <c r="B6" s="57" t="s">
        <v>992</v>
      </c>
      <c r="C6" s="57" t="s">
        <v>993</v>
      </c>
      <c r="D6" s="57" t="s">
        <v>555</v>
      </c>
      <c r="E6" s="57" t="s">
        <v>994</v>
      </c>
      <c r="F6" s="57" t="s">
        <v>995</v>
      </c>
      <c r="G6" s="57" t="s">
        <v>996</v>
      </c>
      <c r="H6" s="57" t="s">
        <v>1084</v>
      </c>
      <c r="I6" s="57" t="s">
        <v>998</v>
      </c>
      <c r="J6" s="57" t="s">
        <v>1085</v>
      </c>
      <c r="K6" s="2"/>
      <c r="L6" s="78" t="s">
        <v>1086</v>
      </c>
      <c r="M6" s="1"/>
      <c r="N6" s="1"/>
      <c r="O6" s="1"/>
      <c r="P6" s="1"/>
      <c r="Q6" s="1"/>
      <c r="R6" s="1"/>
      <c r="S6" s="1"/>
      <c r="T6" s="1"/>
      <c r="U6" s="1">
        <f>IF($U$4=0,"",INDEX($F$7:$F$10,$U$4))</f>
        <v>634731.02</v>
      </c>
      <c r="V6" s="1"/>
      <c r="W6" s="1"/>
    </row>
    <row r="7" spans="1:23" ht="19.5" customHeight="1" x14ac:dyDescent="0.3">
      <c r="A7" s="2"/>
      <c r="B7" s="61" t="s">
        <v>974</v>
      </c>
      <c r="C7" s="60" t="s">
        <v>974</v>
      </c>
      <c r="D7" s="60" t="s">
        <v>571</v>
      </c>
      <c r="E7" s="68">
        <f>IF($B7="","",SUMIFS(TAHSILAT!$F$7:$F$2503,TAHSILAT!$G$7:$G$2503,$B7,TAHSILAT!$H$7:$H$2503,"&lt;&gt;Mahsup"))</f>
        <v>0</v>
      </c>
      <c r="F7" s="68">
        <f>IF($B7="","",SUMIFS(VIRMAN!$F$7:$F$406,VIRMAN!$E$7:$E$406,$B7))</f>
        <v>634731.02</v>
      </c>
      <c r="G7" s="68">
        <f>IF($B7="","",SUMIFS(VIRMAN!$F$7:$F$406,VIRMAN!$D$7:$D$406,$B7))</f>
        <v>0</v>
      </c>
      <c r="H7" s="68">
        <f>IF($B7="","",IF($B7=SISTEM!$C$9,SUM(AY_SONU!$M$7:$M$42),IF($B7=SISTEM!$C$10,SUM(AY_SONU!$N$7:$N$42),0)))</f>
        <v>773531.01</v>
      </c>
      <c r="I7" s="68">
        <f>IF($B7="","",$E7+$F7-$G7-$H7)</f>
        <v>-138799.99</v>
      </c>
      <c r="J7" s="68">
        <f>IF($B7="","",$H7-SUMIFS(VIRMAN!$F$7:$F$406,VIRMAN!$E$7:$E$406,$B7,VIRMAN!$G$7:$G$406,"KÂR PAYI / AVANS*"))</f>
        <v>138799.99</v>
      </c>
      <c r="K7" s="2"/>
      <c r="L7" s="80" t="str">
        <f>IF($B7="","",IF($J7&lt;-0.01,"AVANS",IF($I7&gt;0.01,"ORTAK BORÇLU",IF($I7&lt;-0.01,"ORTAK ALACAKLI","KAPALI"))))</f>
        <v>ORTAK ALACAKLI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5" customHeight="1" x14ac:dyDescent="0.3">
      <c r="A8" s="2"/>
      <c r="B8" s="61" t="s">
        <v>723</v>
      </c>
      <c r="C8" s="60" t="s">
        <v>723</v>
      </c>
      <c r="D8" s="60" t="s">
        <v>571</v>
      </c>
      <c r="E8" s="68">
        <f>IF($B8="","",SUMIFS(TAHSILAT!$F$7:$F$2503,TAHSILAT!$G$7:$G$2503,$B8,TAHSILAT!$H$7:$H$2503,"&lt;&gt;Mahsup"))</f>
        <v>536650</v>
      </c>
      <c r="F8" s="68">
        <f>IF($B8="","",SUMIFS(VIRMAN!$F$7:$F$406,VIRMAN!$E$7:$E$406,$B8))</f>
        <v>879731.02</v>
      </c>
      <c r="G8" s="68">
        <f>IF($B8="","",SUMIFS(VIRMAN!$F$7:$F$406,VIRMAN!$D$7:$D$406,$B8))</f>
        <v>47000</v>
      </c>
      <c r="H8" s="68">
        <f>IF($B8="","",IF($B8=SISTEM!$C$9,SUM(AY_SONU!$M$7:$M$42),IF($B8=SISTEM!$C$10,SUM(AY_SONU!$N$7:$N$42),0)))</f>
        <v>773531.01</v>
      </c>
      <c r="I8" s="68">
        <f>IF($B8="","",$E8+$F8-$G8-$H8)</f>
        <v>595850.01</v>
      </c>
      <c r="J8" s="68">
        <f>IF($B8="","",$H8-SUMIFS(VIRMAN!$F$7:$F$406,VIRMAN!$E$7:$E$406,$B8,VIRMAN!$G$7:$G$406,"KÂR PAYI / AVANS*"))</f>
        <v>138799.99</v>
      </c>
      <c r="K8" s="2"/>
      <c r="L8" s="80" t="str">
        <f>IF($B8="","",IF($J8&lt;-0.01,"AVANS",IF($I8&gt;0.01,"ORTAK BORÇLU",IF($I8&lt;-0.01,"ORTAK ALACAKLI","KAPALI"))))</f>
        <v>ORTAK BORÇLU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5" customHeight="1" x14ac:dyDescent="0.3">
      <c r="A9" s="2"/>
      <c r="B9" s="61"/>
      <c r="C9" s="60"/>
      <c r="D9" s="60"/>
      <c r="E9" s="68" t="str">
        <f>IF($B9="","",SUMIFS(TAHSILAT!$F$7:$F$2503,TAHSILAT!$G$7:$G$2503,$B9,TAHSILAT!$H$7:$H$2503,"&lt;&gt;Mahsup"))</f>
        <v/>
      </c>
      <c r="F9" s="68" t="str">
        <f>IF($B9="","",SUMIFS(VIRMAN!$F$7:$F$406,VIRMAN!$E$7:$E$406,$B9))</f>
        <v/>
      </c>
      <c r="G9" s="68" t="str">
        <f>IF($B9="","",SUMIFS(VIRMAN!$F$7:$F$406,VIRMAN!$D$7:$D$406,$B9))</f>
        <v/>
      </c>
      <c r="H9" s="68" t="str">
        <f>IF($B9="","",IF($B9=SISTEM!$C$9,SUM(AY_SONU!$M$7:$M$42),IF($B9=SISTEM!$C$10,SUM(AY_SONU!$N$7:$N$42),0)))</f>
        <v/>
      </c>
      <c r="I9" s="68" t="str">
        <f>IF($B9="","",$E9+$F9-$G9-$H9)</f>
        <v/>
      </c>
      <c r="J9" s="68" t="str">
        <f>IF($B9="","",$H9-SUMIFS(VIRMAN!$F$7:$F$406,VIRMAN!$E$7:$E$406,$B9,VIRMAN!$G$7:$G$406,"KÂR PAYI / AVANS*"))</f>
        <v/>
      </c>
      <c r="K9" s="2"/>
      <c r="L9" s="80" t="str">
        <f>IF($B9="","",IF($J9&lt;-0.01,"AVANS",IF($I9&gt;0.01,"ORTAK BORÇLU",IF($I9&lt;-0.01,"ORTAK ALACAKLI","KAPALI"))))</f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customHeight="1" x14ac:dyDescent="0.3">
      <c r="A10" s="2"/>
      <c r="B10" s="61"/>
      <c r="C10" s="60"/>
      <c r="D10" s="60"/>
      <c r="E10" s="68" t="str">
        <f>IF($B10="","",SUMIFS(TAHSILAT!$F$7:$F$2503,TAHSILAT!$G$7:$G$2503,$B10,TAHSILAT!$H$7:$H$2503,"&lt;&gt;Mahsup"))</f>
        <v/>
      </c>
      <c r="F10" s="68" t="str">
        <f>IF($B10="","",SUMIFS(VIRMAN!$F$7:$F$406,VIRMAN!$E$7:$E$406,$B10))</f>
        <v/>
      </c>
      <c r="G10" s="68" t="str">
        <f>IF($B10="","",SUMIFS(VIRMAN!$F$7:$F$406,VIRMAN!$D$7:$D$406,$B10))</f>
        <v/>
      </c>
      <c r="H10" s="68" t="str">
        <f>IF($B10="","",IF($B10=SISTEM!$C$9,SUM(AY_SONU!$M$7:$M$42),IF($B10=SISTEM!$C$10,SUM(AY_SONU!$N$7:$N$42),0)))</f>
        <v/>
      </c>
      <c r="I10" s="68" t="str">
        <f>IF($B10="","",$E10+$F10-$G10-$H10)</f>
        <v/>
      </c>
      <c r="J10" s="68" t="str">
        <f>IF($B10="","",$H10-SUMIFS(VIRMAN!$F$7:$F$406,VIRMAN!$E$7:$E$406,$B10,VIRMAN!$G$7:$G$406,"KÂR PAYI / AVANS*"))</f>
        <v/>
      </c>
      <c r="K10" s="2"/>
      <c r="L10" s="80" t="str">
        <f>IF($B10="","",IF($J10&lt;-0.01,"AVANS",IF($I10&gt;0.01,"ORTAK BORÇLU",IF($I10&lt;-0.01,"ORTAK ALACAKLI","KAPALI"))))</f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0" customHeight="1" x14ac:dyDescent="0.3">
      <c r="A11" s="2"/>
      <c r="B11" s="218" t="s">
        <v>1087</v>
      </c>
      <c r="C11" s="142"/>
      <c r="D11" s="142"/>
      <c r="E11" s="142"/>
      <c r="F11" s="142"/>
      <c r="G11" s="142"/>
      <c r="H11" s="142"/>
      <c r="I11" s="14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customHeight="1" x14ac:dyDescent="0.3">
      <c r="A12" s="2"/>
      <c r="B12" s="183" t="s">
        <v>1002</v>
      </c>
      <c r="C12" s="150"/>
      <c r="D12" s="150"/>
      <c r="E12" s="150"/>
      <c r="F12" s="150"/>
      <c r="G12" s="150"/>
      <c r="H12" s="150"/>
      <c r="I12" s="150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3.75" customHeight="1" x14ac:dyDescent="0.3">
      <c r="A13" s="2"/>
      <c r="B13" s="57" t="s">
        <v>1003</v>
      </c>
      <c r="C13" s="57" t="s">
        <v>1004</v>
      </c>
      <c r="D13" s="57" t="s">
        <v>1005</v>
      </c>
      <c r="E13" s="57" t="s">
        <v>1006</v>
      </c>
      <c r="F13" s="57" t="s">
        <v>699</v>
      </c>
      <c r="G13" s="57"/>
      <c r="H13" s="57"/>
      <c r="I13" s="57" t="s">
        <v>697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5" customHeight="1" x14ac:dyDescent="0.3">
      <c r="A14" s="2"/>
      <c r="B14" s="61" t="s">
        <v>974</v>
      </c>
      <c r="C14" s="81">
        <v>46023</v>
      </c>
      <c r="D14" s="81"/>
      <c r="E14" s="82">
        <v>0.5</v>
      </c>
      <c r="F14" s="61" t="s">
        <v>1007</v>
      </c>
      <c r="G14" s="74"/>
      <c r="H14" s="74"/>
      <c r="I14" s="65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2"/>
      <c r="K14" s="83">
        <f t="shared" ref="K14:K33" si="1">IF($D14="",DATE(2099,12,1),$D14)</f>
        <v>73020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5" customHeight="1" x14ac:dyDescent="0.3">
      <c r="A15" s="2"/>
      <c r="B15" s="61" t="s">
        <v>723</v>
      </c>
      <c r="C15" s="81">
        <v>46023</v>
      </c>
      <c r="D15" s="81"/>
      <c r="E15" s="82">
        <v>0.5</v>
      </c>
      <c r="F15" s="61" t="s">
        <v>1007</v>
      </c>
      <c r="G15" s="74"/>
      <c r="H15" s="74"/>
      <c r="I15" s="65" t="str">
        <f t="shared" si="0"/>
        <v>UYGUN</v>
      </c>
      <c r="J15" s="2"/>
      <c r="K15" s="83">
        <f t="shared" si="1"/>
        <v>73020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5" customHeight="1" x14ac:dyDescent="0.3">
      <c r="A16" s="2"/>
      <c r="B16" s="61"/>
      <c r="C16" s="81"/>
      <c r="D16" s="81"/>
      <c r="E16" s="82"/>
      <c r="F16" s="61"/>
      <c r="G16" s="74"/>
      <c r="H16" s="74"/>
      <c r="I16" s="65" t="str">
        <f t="shared" si="0"/>
        <v/>
      </c>
      <c r="J16" s="2"/>
      <c r="K16" s="83">
        <f t="shared" si="1"/>
        <v>73020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5" customHeight="1" x14ac:dyDescent="0.3">
      <c r="A17" s="2"/>
      <c r="B17" s="61"/>
      <c r="C17" s="81"/>
      <c r="D17" s="81"/>
      <c r="E17" s="82"/>
      <c r="F17" s="61"/>
      <c r="G17" s="74"/>
      <c r="H17" s="74"/>
      <c r="I17" s="65" t="str">
        <f t="shared" si="0"/>
        <v/>
      </c>
      <c r="J17" s="2"/>
      <c r="K17" s="83">
        <f t="shared" si="1"/>
        <v>73020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customHeight="1" x14ac:dyDescent="0.3">
      <c r="A18" s="2"/>
      <c r="B18" s="61"/>
      <c r="C18" s="81"/>
      <c r="D18" s="81"/>
      <c r="E18" s="82"/>
      <c r="F18" s="61"/>
      <c r="G18" s="74"/>
      <c r="H18" s="74"/>
      <c r="I18" s="65" t="str">
        <f t="shared" si="0"/>
        <v/>
      </c>
      <c r="J18" s="2"/>
      <c r="K18" s="83">
        <f t="shared" si="1"/>
        <v>73020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customHeight="1" x14ac:dyDescent="0.3">
      <c r="A19" s="2"/>
      <c r="B19" s="61"/>
      <c r="C19" s="81"/>
      <c r="D19" s="81"/>
      <c r="E19" s="82"/>
      <c r="F19" s="61"/>
      <c r="G19" s="74"/>
      <c r="H19" s="74"/>
      <c r="I19" s="65" t="str">
        <f t="shared" si="0"/>
        <v/>
      </c>
      <c r="J19" s="2"/>
      <c r="K19" s="83">
        <f t="shared" si="1"/>
        <v>73020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customHeight="1" x14ac:dyDescent="0.3">
      <c r="A20" s="2"/>
      <c r="B20" s="61"/>
      <c r="C20" s="81"/>
      <c r="D20" s="81"/>
      <c r="E20" s="82"/>
      <c r="F20" s="61"/>
      <c r="G20" s="74"/>
      <c r="H20" s="74"/>
      <c r="I20" s="65" t="str">
        <f t="shared" si="0"/>
        <v/>
      </c>
      <c r="J20" s="2"/>
      <c r="K20" s="83">
        <f t="shared" si="1"/>
        <v>73020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5" customHeight="1" x14ac:dyDescent="0.3">
      <c r="A21" s="2"/>
      <c r="B21" s="61"/>
      <c r="C21" s="81"/>
      <c r="D21" s="81"/>
      <c r="E21" s="82"/>
      <c r="F21" s="61"/>
      <c r="G21" s="74"/>
      <c r="H21" s="74"/>
      <c r="I21" s="65" t="str">
        <f t="shared" si="0"/>
        <v/>
      </c>
      <c r="J21" s="2"/>
      <c r="K21" s="83">
        <f t="shared" si="1"/>
        <v>73020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5" customHeight="1" x14ac:dyDescent="0.3">
      <c r="A22" s="2"/>
      <c r="B22" s="61"/>
      <c r="C22" s="81"/>
      <c r="D22" s="81"/>
      <c r="E22" s="82"/>
      <c r="F22" s="61"/>
      <c r="G22" s="74"/>
      <c r="H22" s="74"/>
      <c r="I22" s="65" t="str">
        <f t="shared" si="0"/>
        <v/>
      </c>
      <c r="J22" s="2"/>
      <c r="K22" s="83">
        <f t="shared" si="1"/>
        <v>73020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5" customHeight="1" x14ac:dyDescent="0.3">
      <c r="A23" s="2"/>
      <c r="B23" s="61"/>
      <c r="C23" s="81"/>
      <c r="D23" s="81"/>
      <c r="E23" s="82"/>
      <c r="F23" s="61"/>
      <c r="G23" s="74"/>
      <c r="H23" s="74"/>
      <c r="I23" s="65" t="str">
        <f t="shared" si="0"/>
        <v/>
      </c>
      <c r="J23" s="2"/>
      <c r="K23" s="83">
        <f t="shared" si="1"/>
        <v>73020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5" customHeight="1" x14ac:dyDescent="0.3">
      <c r="A24" s="2"/>
      <c r="B24" s="61"/>
      <c r="C24" s="81"/>
      <c r="D24" s="81"/>
      <c r="E24" s="82"/>
      <c r="F24" s="61"/>
      <c r="G24" s="74"/>
      <c r="H24" s="74"/>
      <c r="I24" s="65" t="str">
        <f t="shared" si="0"/>
        <v/>
      </c>
      <c r="J24" s="2"/>
      <c r="K24" s="83">
        <f t="shared" si="1"/>
        <v>73020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5" customHeight="1" x14ac:dyDescent="0.3">
      <c r="A25" s="2"/>
      <c r="B25" s="61"/>
      <c r="C25" s="81"/>
      <c r="D25" s="81"/>
      <c r="E25" s="82"/>
      <c r="F25" s="61"/>
      <c r="G25" s="74"/>
      <c r="H25" s="74"/>
      <c r="I25" s="65" t="str">
        <f t="shared" si="0"/>
        <v/>
      </c>
      <c r="J25" s="2"/>
      <c r="K25" s="83">
        <f t="shared" si="1"/>
        <v>73020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5" customHeight="1" x14ac:dyDescent="0.3">
      <c r="A26" s="2"/>
      <c r="B26" s="61"/>
      <c r="C26" s="81"/>
      <c r="D26" s="81"/>
      <c r="E26" s="82"/>
      <c r="F26" s="61"/>
      <c r="G26" s="74"/>
      <c r="H26" s="74"/>
      <c r="I26" s="65" t="str">
        <f t="shared" si="0"/>
        <v/>
      </c>
      <c r="J26" s="2"/>
      <c r="K26" s="83">
        <f t="shared" si="1"/>
        <v>73020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5" customHeight="1" x14ac:dyDescent="0.3">
      <c r="A27" s="2"/>
      <c r="B27" s="61"/>
      <c r="C27" s="81"/>
      <c r="D27" s="81"/>
      <c r="E27" s="82"/>
      <c r="F27" s="61"/>
      <c r="G27" s="74"/>
      <c r="H27" s="74"/>
      <c r="I27" s="65" t="str">
        <f t="shared" si="0"/>
        <v/>
      </c>
      <c r="J27" s="2"/>
      <c r="K27" s="83">
        <f t="shared" si="1"/>
        <v>73020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5" customHeight="1" x14ac:dyDescent="0.3">
      <c r="A28" s="2"/>
      <c r="B28" s="61"/>
      <c r="C28" s="81"/>
      <c r="D28" s="81"/>
      <c r="E28" s="82"/>
      <c r="F28" s="61"/>
      <c r="G28" s="74"/>
      <c r="H28" s="74"/>
      <c r="I28" s="65" t="str">
        <f t="shared" si="0"/>
        <v/>
      </c>
      <c r="J28" s="2"/>
      <c r="K28" s="83">
        <f t="shared" si="1"/>
        <v>73020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5" customHeight="1" x14ac:dyDescent="0.3">
      <c r="A29" s="2"/>
      <c r="B29" s="61"/>
      <c r="C29" s="81"/>
      <c r="D29" s="81"/>
      <c r="E29" s="82"/>
      <c r="F29" s="61"/>
      <c r="G29" s="74"/>
      <c r="H29" s="74"/>
      <c r="I29" s="65" t="str">
        <f t="shared" si="0"/>
        <v/>
      </c>
      <c r="J29" s="2"/>
      <c r="K29" s="83">
        <f t="shared" si="1"/>
        <v>73020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5" customHeight="1" x14ac:dyDescent="0.3">
      <c r="A30" s="2"/>
      <c r="B30" s="61"/>
      <c r="C30" s="81"/>
      <c r="D30" s="81"/>
      <c r="E30" s="82"/>
      <c r="F30" s="61"/>
      <c r="G30" s="74"/>
      <c r="H30" s="74"/>
      <c r="I30" s="65" t="str">
        <f t="shared" si="0"/>
        <v/>
      </c>
      <c r="J30" s="2"/>
      <c r="K30" s="83">
        <f t="shared" si="1"/>
        <v>73020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5" customHeight="1" x14ac:dyDescent="0.3">
      <c r="A31" s="2"/>
      <c r="B31" s="61"/>
      <c r="C31" s="81"/>
      <c r="D31" s="81"/>
      <c r="E31" s="82"/>
      <c r="F31" s="61"/>
      <c r="G31" s="74"/>
      <c r="H31" s="74"/>
      <c r="I31" s="65" t="str">
        <f t="shared" si="0"/>
        <v/>
      </c>
      <c r="J31" s="2"/>
      <c r="K31" s="83">
        <f t="shared" si="1"/>
        <v>73020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5" customHeight="1" x14ac:dyDescent="0.3">
      <c r="A32" s="2"/>
      <c r="B32" s="61"/>
      <c r="C32" s="81"/>
      <c r="D32" s="81"/>
      <c r="E32" s="82"/>
      <c r="F32" s="61"/>
      <c r="G32" s="74"/>
      <c r="H32" s="74"/>
      <c r="I32" s="65" t="str">
        <f t="shared" si="0"/>
        <v/>
      </c>
      <c r="J32" s="2"/>
      <c r="K32" s="83">
        <f t="shared" si="1"/>
        <v>73020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5" customHeight="1" x14ac:dyDescent="0.3">
      <c r="A33" s="2"/>
      <c r="B33" s="61"/>
      <c r="C33" s="81"/>
      <c r="D33" s="81"/>
      <c r="E33" s="82"/>
      <c r="F33" s="61"/>
      <c r="G33" s="74"/>
      <c r="H33" s="74"/>
      <c r="I33" s="65" t="str">
        <f t="shared" si="0"/>
        <v/>
      </c>
      <c r="J33" s="2"/>
      <c r="K33" s="83">
        <f t="shared" si="1"/>
        <v>73020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0" customHeight="1" x14ac:dyDescent="0.3">
      <c r="A34" s="2"/>
      <c r="B34" s="218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42"/>
      <c r="D34" s="142"/>
      <c r="E34" s="142"/>
      <c r="F34" s="142"/>
      <c r="G34" s="142"/>
      <c r="H34" s="142"/>
      <c r="I34" s="14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7.75" customHeight="1" x14ac:dyDescent="0.3">
      <c r="A35" s="2"/>
      <c r="B35" s="183" t="s">
        <v>1088</v>
      </c>
      <c r="C35" s="150"/>
      <c r="D35" s="150"/>
      <c r="E35" s="150"/>
      <c r="F35" s="150"/>
      <c r="G35" s="150"/>
      <c r="H35" s="150"/>
      <c r="I35" s="150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customHeight="1" x14ac:dyDescent="0.3">
      <c r="A36" s="2"/>
      <c r="B36" s="84" t="s">
        <v>1009</v>
      </c>
      <c r="C36" s="215" t="s">
        <v>974</v>
      </c>
      <c r="D36" s="216"/>
      <c r="E36" s="217"/>
      <c r="F36" s="219" t="str">
        <f>IF($C$36="","Lütfen soldan bir ortak seçin",$C$36&amp;"   │   NET CARİ: "&amp;TEXT(IFERROR(INDEX($I$7:$I$10,MATCH($C$36,$B$7:$B$10,0)),0),"#,##0")&amp;" ₺   │   KÂR PAYI BAKİYE/AVANS: "&amp;TEXT(IFERROR(INDEX($J$7:$J$10,MATCH($C$36,$B$7:$B$10,0)),0),"#,##0")&amp;" ₺   │   DURUM: "&amp;IFERROR(INDEX($L$7:$L$10,MATCH($C$36,$B$7:$B$10,0)),"—"))</f>
        <v>ALİ KILIÇ   │   NET CARİ: -138799,990 ₺   │   KÂR PAYI BAKİYE/AVANS: 138799,990 ₺   │   DURUM: ORTAK ALACAKLI</v>
      </c>
      <c r="G36" s="142"/>
      <c r="H36" s="142"/>
      <c r="I36" s="14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33.75" customHeight="1" x14ac:dyDescent="0.3">
      <c r="A37" s="2"/>
      <c r="B37" s="57" t="s">
        <v>1010</v>
      </c>
      <c r="C37" s="57" t="s">
        <v>709</v>
      </c>
      <c r="D37" s="214" t="s">
        <v>54</v>
      </c>
      <c r="E37" s="150"/>
      <c r="F37" s="57" t="s">
        <v>1011</v>
      </c>
      <c r="G37" s="57" t="s">
        <v>1089</v>
      </c>
      <c r="H37" s="57" t="s">
        <v>1090</v>
      </c>
      <c r="I37" s="57" t="s">
        <v>1026</v>
      </c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5" customHeight="1" x14ac:dyDescent="0.3">
      <c r="A38" s="2"/>
      <c r="B38" s="65">
        <f t="shared" ref="B38:B69" si="2">IF($C38="","",ROW()-37)</f>
        <v>1</v>
      </c>
      <c r="C38" s="70">
        <f t="shared" ref="C38:C69" si="3">IF($W38="","",IF(INDEX($N$38:$N$193,$W38)="","",INDEX($N$38:$N$193,$W38)))</f>
        <v>46053</v>
      </c>
      <c r="D38" s="180" t="str">
        <f t="shared" ref="D38:D69" si="4">IF($C38="","",INDEX($O$38:$O$193,$W38))</f>
        <v>ALİ KILIÇ  –  2026 Ocak ayı kâr payı hak edişi  (pay oranı %50)</v>
      </c>
      <c r="E38" s="139"/>
      <c r="F38" s="65" t="str">
        <f t="shared" ref="F38:F69" si="5">IF($C38="","",INDEX($P$38:$P$193,$W38))</f>
        <v>HAK EDİŞ</v>
      </c>
      <c r="G38" s="68">
        <f t="shared" ref="G38:G69" si="6">IF($C38="","",INDEX($Q$38:$Q$193,$W38))</f>
        <v>127783.09</v>
      </c>
      <c r="H38" s="68">
        <f t="shared" ref="H38:H69" si="7">IF($C38="","",INDEX($R$38:$R$193,$W38))</f>
        <v>0</v>
      </c>
      <c r="I38" s="68">
        <f t="shared" ref="I38:I69" si="8">IF($C38="","",N($I37)+$G38-$H38)</f>
        <v>127783.09</v>
      </c>
      <c r="J38" s="2"/>
      <c r="K38" s="2"/>
      <c r="L38" s="1"/>
      <c r="M38" s="1">
        <v>1</v>
      </c>
      <c r="N38" s="1">
        <f>IF($Q38&lt;=0,"",EOMONTH(AY_SONU!$B7,0))</f>
        <v>46053</v>
      </c>
      <c r="O38" s="1" t="str">
        <f>IF($N38="","",$C$36&amp;"  –  "&amp;YEAR(AY_SONU!$B7)&amp;" "&amp;CHOOSE(MONTH(AY_SONU!$B7),"Ocak","Şubat","Mart","Nisan","Mayıs","Haziran","Temmuz","Ağustos","Eylül","Ekim","Kasım","Aralık")&amp;" ayı kâr payı hak edişi  (pay oranı %"&amp;ROUND(IF($U$5="M",AY_SONU!$Z7,AY_SONU!$AA7)*100,1)&amp;")")</f>
        <v>ALİ KILIÇ  –  2026 Ocak ayı kâr payı hak edişi  (pay oranı %50)</v>
      </c>
      <c r="P38" s="1" t="str">
        <f t="shared" ref="P38:P73" si="9">IF($N38="","","HAK EDİŞ")</f>
        <v>HAK EDİŞ</v>
      </c>
      <c r="Q38" s="79">
        <f>IF($U$5="",0,IF($U$5="M",AY_SONU!$M7,AY_SONU!$N7))</f>
        <v>127783.09</v>
      </c>
      <c r="R38" s="1">
        <v>0</v>
      </c>
      <c r="S38" s="1">
        <f t="shared" ref="S38:S69" si="10">IF($N38="",10000000000,$N38*100000+$M38)</f>
        <v>4605300001</v>
      </c>
      <c r="T38" s="1"/>
      <c r="U38" s="1"/>
      <c r="V38" s="1">
        <f t="shared" ref="V38:V69" si="11">IFERROR(SMALL($S$38:$S$193,ROW()-37),"")</f>
        <v>4605300001</v>
      </c>
      <c r="W38" s="1">
        <f t="shared" ref="W38:W69" si="12">IFERROR(MATCH($V38,$S$38:$S$193,0),"")</f>
        <v>1</v>
      </c>
    </row>
    <row r="39" spans="1:23" ht="19.5" customHeight="1" x14ac:dyDescent="0.3">
      <c r="A39" s="2"/>
      <c r="B39" s="65">
        <f t="shared" si="2"/>
        <v>2</v>
      </c>
      <c r="C39" s="70">
        <f t="shared" si="3"/>
        <v>46053</v>
      </c>
      <c r="D39" s="180" t="str">
        <f t="shared" si="4"/>
        <v>ALİ KILIÇ  –  ORTAK ÇEKİŞ / AVANS  (MERKEZ KASA hesabından) – KÂR PAYI / AVANS ÇEKİŞİ — Ocak Ayı Kâr Payı Ödemesi — eski GELIR_GIDER satır 27</v>
      </c>
      <c r="E39" s="139"/>
      <c r="F39" s="65" t="str">
        <f t="shared" si="5"/>
        <v>ÇEKİŞ / AVANS</v>
      </c>
      <c r="G39" s="68">
        <f t="shared" si="6"/>
        <v>0</v>
      </c>
      <c r="H39" s="68">
        <f t="shared" si="7"/>
        <v>127783.09</v>
      </c>
      <c r="I39" s="68">
        <f t="shared" si="8"/>
        <v>0</v>
      </c>
      <c r="J39" s="2"/>
      <c r="K39" s="2"/>
      <c r="L39" s="1"/>
      <c r="M39" s="1">
        <v>2</v>
      </c>
      <c r="N39" s="1">
        <f>IF($Q39&lt;=0,"",EOMONTH(AY_SONU!$B8,0))</f>
        <v>46081</v>
      </c>
      <c r="O39" s="1" t="str">
        <f>IF($N39="","",$C$36&amp;"  –  "&amp;YEAR(AY_SONU!$B8)&amp;" "&amp;CHOOSE(MONTH(AY_SONU!$B8),"Ocak","Şubat","Mart","Nisan","Mayıs","Haziran","Temmuz","Ağustos","Eylül","Ekim","Kasım","Aralık")&amp;" ayı kâr payı hak edişi  (pay oranı %"&amp;ROUND(IF($U$5="M",AY_SONU!$Z8,AY_SONU!$AA8)*100,1)&amp;")")</f>
        <v>ALİ KILIÇ  –  2026 Şubat ayı kâr payı hak edişi  (pay oranı %50)</v>
      </c>
      <c r="P39" s="1" t="str">
        <f t="shared" si="9"/>
        <v>HAK EDİŞ</v>
      </c>
      <c r="Q39" s="79">
        <f>IF($U$5="",0,IF($U$5="M",AY_SONU!$M8,AY_SONU!$N8))</f>
        <v>10310.90499999997</v>
      </c>
      <c r="R39" s="1">
        <v>0</v>
      </c>
      <c r="S39" s="1">
        <f t="shared" si="10"/>
        <v>4608100002</v>
      </c>
      <c r="T39" s="1"/>
      <c r="U39" s="1"/>
      <c r="V39" s="1">
        <f t="shared" si="11"/>
        <v>4605300037</v>
      </c>
      <c r="W39" s="1">
        <f t="shared" si="12"/>
        <v>37</v>
      </c>
    </row>
    <row r="40" spans="1:23" ht="19.5" customHeight="1" x14ac:dyDescent="0.3">
      <c r="A40" s="2"/>
      <c r="B40" s="65">
        <f t="shared" si="2"/>
        <v>3</v>
      </c>
      <c r="C40" s="70">
        <f t="shared" si="3"/>
        <v>46081</v>
      </c>
      <c r="D40" s="180" t="str">
        <f t="shared" si="4"/>
        <v>ALİ KILIÇ  –  2026 Şubat ayı kâr payı hak edişi  (pay oranı %50)</v>
      </c>
      <c r="E40" s="139"/>
      <c r="F40" s="65" t="str">
        <f t="shared" si="5"/>
        <v>HAK EDİŞ</v>
      </c>
      <c r="G40" s="68">
        <f t="shared" si="6"/>
        <v>10310.90499999997</v>
      </c>
      <c r="H40" s="68">
        <f t="shared" si="7"/>
        <v>0</v>
      </c>
      <c r="I40" s="68">
        <f t="shared" si="8"/>
        <v>10310.90499999997</v>
      </c>
      <c r="J40" s="2"/>
      <c r="K40" s="2"/>
      <c r="L40" s="1"/>
      <c r="M40" s="1">
        <v>3</v>
      </c>
      <c r="N40" s="1">
        <f>IF($Q40&lt;=0,"",EOMONTH(AY_SONU!$B9,0))</f>
        <v>46112</v>
      </c>
      <c r="O40" s="1" t="str">
        <f>IF($N40="","",$C$36&amp;"  –  "&amp;YEAR(AY_SONU!$B9)&amp;" "&amp;CHOOSE(MONTH(AY_SONU!$B9),"Ocak","Şubat","Mart","Nisan","Mayıs","Haziran","Temmuz","Ağustos","Eylül","Ekim","Kasım","Aralık")&amp;" ayı kâr payı hak edişi  (pay oranı %"&amp;ROUND(IF($U$5="M",AY_SONU!$Z9,AY_SONU!$AA9)*100,1)&amp;")")</f>
        <v>ALİ KILIÇ  –  2026 Mart ayı kâr payı hak edişi  (pay oranı %50)</v>
      </c>
      <c r="P40" s="1" t="str">
        <f t="shared" si="9"/>
        <v>HAK EDİŞ</v>
      </c>
      <c r="Q40" s="79">
        <f>IF($U$5="",0,IF($U$5="M",AY_SONU!$M9,AY_SONU!$N9))</f>
        <v>77421.014999999985</v>
      </c>
      <c r="R40" s="1">
        <v>0</v>
      </c>
      <c r="S40" s="1">
        <f t="shared" si="10"/>
        <v>4611200003</v>
      </c>
      <c r="T40" s="1"/>
      <c r="U40" s="1"/>
      <c r="V40" s="1">
        <f t="shared" si="11"/>
        <v>4608100002</v>
      </c>
      <c r="W40" s="1">
        <f t="shared" si="12"/>
        <v>2</v>
      </c>
    </row>
    <row r="41" spans="1:23" ht="19.5" customHeight="1" x14ac:dyDescent="0.3">
      <c r="A41" s="2"/>
      <c r="B41" s="65">
        <f t="shared" si="2"/>
        <v>4</v>
      </c>
      <c r="C41" s="70">
        <f t="shared" si="3"/>
        <v>46081</v>
      </c>
      <c r="D41" s="180" t="str">
        <f t="shared" si="4"/>
        <v>ALİ KILIÇ  –  ORTAK ÇEKİŞ / AVANS  (MERKEZ KASA hesabından) – KÂR PAYI / AVANS ÇEKİŞİ — Şubat Ayı Kâr Payı Ödemesi — eski GELIR_GIDER satır 67</v>
      </c>
      <c r="E41" s="139"/>
      <c r="F41" s="65" t="str">
        <f t="shared" si="5"/>
        <v>ÇEKİŞ / AVANS</v>
      </c>
      <c r="G41" s="68">
        <f t="shared" si="6"/>
        <v>0</v>
      </c>
      <c r="H41" s="68">
        <f t="shared" si="7"/>
        <v>10310.91</v>
      </c>
      <c r="I41" s="68">
        <f t="shared" si="8"/>
        <v>-5.0000000301224645E-3</v>
      </c>
      <c r="J41" s="2"/>
      <c r="K41" s="2"/>
      <c r="L41" s="1"/>
      <c r="M41" s="1">
        <v>4</v>
      </c>
      <c r="N41" s="1">
        <f>IF($Q41&lt;=0,"",EOMONTH(AY_SONU!$B10,0))</f>
        <v>46142</v>
      </c>
      <c r="O41" s="1" t="str">
        <f>IF($N41="","",$C$36&amp;"  –  "&amp;YEAR(AY_SONU!$B10)&amp;" "&amp;CHOOSE(MONTH(AY_SONU!$B10),"Ocak","Şubat","Mart","Nisan","Mayıs","Haziran","Temmuz","Ağustos","Eylül","Ekim","Kasım","Aralık")&amp;" ayı kâr payı hak edişi  (pay oranı %"&amp;ROUND(IF($U$5="M",AY_SONU!$Z10,AY_SONU!$AA10)*100,1)&amp;")")</f>
        <v>ALİ KILIÇ  –  2026 Nisan ayı kâr payı hak edişi  (pay oranı %50)</v>
      </c>
      <c r="P41" s="1" t="str">
        <f t="shared" si="9"/>
        <v>HAK EDİŞ</v>
      </c>
      <c r="Q41" s="79">
        <f>IF($U$5="",0,IF($U$5="M",AY_SONU!$M10,AY_SONU!$N10))</f>
        <v>137353</v>
      </c>
      <c r="R41" s="1">
        <v>0</v>
      </c>
      <c r="S41" s="1">
        <f t="shared" si="10"/>
        <v>4614200004</v>
      </c>
      <c r="T41" s="1"/>
      <c r="U41" s="1"/>
      <c r="V41" s="1">
        <f t="shared" si="11"/>
        <v>4608100038</v>
      </c>
      <c r="W41" s="1">
        <f t="shared" si="12"/>
        <v>38</v>
      </c>
    </row>
    <row r="42" spans="1:23" ht="19.5" customHeight="1" x14ac:dyDescent="0.3">
      <c r="A42" s="2"/>
      <c r="B42" s="65">
        <f t="shared" si="2"/>
        <v>5</v>
      </c>
      <c r="C42" s="70">
        <f t="shared" si="3"/>
        <v>46112</v>
      </c>
      <c r="D42" s="180" t="str">
        <f t="shared" si="4"/>
        <v>ALİ KILIÇ  –  2026 Mart ayı kâr payı hak edişi  (pay oranı %50)</v>
      </c>
      <c r="E42" s="139"/>
      <c r="F42" s="65" t="str">
        <f t="shared" si="5"/>
        <v>HAK EDİŞ</v>
      </c>
      <c r="G42" s="68">
        <f t="shared" si="6"/>
        <v>77421.014999999985</v>
      </c>
      <c r="H42" s="68">
        <f t="shared" si="7"/>
        <v>0</v>
      </c>
      <c r="I42" s="68">
        <f t="shared" si="8"/>
        <v>77421.009999999951</v>
      </c>
      <c r="J42" s="2"/>
      <c r="K42" s="2"/>
      <c r="L42" s="1"/>
      <c r="M42" s="1">
        <v>5</v>
      </c>
      <c r="N42" s="1">
        <f>IF($Q42&lt;=0,"",EOMONTH(AY_SONU!$B11,0))</f>
        <v>46173</v>
      </c>
      <c r="O42" s="1" t="str">
        <f>IF($N42="","",$C$36&amp;"  –  "&amp;YEAR(AY_SONU!$B11)&amp;" "&amp;CHOOSE(MONTH(AY_SONU!$B11),"Ocak","Şubat","Mart","Nisan","Mayıs","Haziran","Temmuz","Ağustos","Eylül","Ekim","Kasım","Aralık")&amp;" ayı kâr payı hak edişi  (pay oranı %"&amp;ROUND(IF($U$5="M",AY_SONU!$Z11,AY_SONU!$AA11)*100,1)&amp;")")</f>
        <v>ALİ KILIÇ  –  2026 Mayıs ayı kâr payı hak edişi  (pay oranı %50)</v>
      </c>
      <c r="P42" s="1" t="str">
        <f t="shared" si="9"/>
        <v>HAK EDİŞ</v>
      </c>
      <c r="Q42" s="79">
        <f>IF($U$5="",0,IF($U$5="M",AY_SONU!$M11,AY_SONU!$N11))</f>
        <v>109773</v>
      </c>
      <c r="R42" s="1">
        <v>0</v>
      </c>
      <c r="S42" s="1">
        <f t="shared" si="10"/>
        <v>4617300005</v>
      </c>
      <c r="T42" s="1"/>
      <c r="U42" s="1"/>
      <c r="V42" s="1">
        <f t="shared" si="11"/>
        <v>4611200003</v>
      </c>
      <c r="W42" s="1">
        <f t="shared" si="12"/>
        <v>3</v>
      </c>
    </row>
    <row r="43" spans="1:23" ht="19.5" customHeight="1" x14ac:dyDescent="0.3">
      <c r="A43" s="2"/>
      <c r="B43" s="65">
        <f t="shared" si="2"/>
        <v>6</v>
      </c>
      <c r="C43" s="70">
        <f t="shared" si="3"/>
        <v>46112</v>
      </c>
      <c r="D43" s="180" t="str">
        <f t="shared" si="4"/>
        <v>ALİ KILIÇ  –  ORTAK ÇEKİŞ / AVANS  (MERKEZ KASA hesabından) – KÂR PAYI / AVANS ÇEKİŞİ — Mart Ayı Kâr Payı Ödemesi — eski GELIR_GIDER satır 95</v>
      </c>
      <c r="E43" s="139"/>
      <c r="F43" s="65" t="str">
        <f t="shared" si="5"/>
        <v>ÇEKİŞ / AVANS</v>
      </c>
      <c r="G43" s="68">
        <f t="shared" si="6"/>
        <v>0</v>
      </c>
      <c r="H43" s="68">
        <f t="shared" si="7"/>
        <v>77421.02</v>
      </c>
      <c r="I43" s="68">
        <f t="shared" si="8"/>
        <v>-1.0000000052968971E-2</v>
      </c>
      <c r="J43" s="2"/>
      <c r="K43" s="2"/>
      <c r="L43" s="1"/>
      <c r="M43" s="1">
        <v>6</v>
      </c>
      <c r="N43" s="1">
        <f>IF($Q43&lt;=0,"",EOMONTH(AY_SONU!$B12,0))</f>
        <v>46203</v>
      </c>
      <c r="O43" s="1" t="str">
        <f>IF($N43="","",$C$36&amp;"  –  "&amp;YEAR(AY_SONU!$B12)&amp;" "&amp;CHOOSE(MONTH(AY_SONU!$B12),"Ocak","Şubat","Mart","Nisan","Mayıs","Haziran","Temmuz","Ağustos","Eylül","Ekim","Kasım","Aralık")&amp;" ayı kâr payı hak edişi  (pay oranı %"&amp;ROUND(IF($U$5="M",AY_SONU!$Z12,AY_SONU!$AA12)*100,1)&amp;")")</f>
        <v>ALİ KILIÇ  –  2026 Haziran ayı kâr payı hak edişi  (pay oranı %50)</v>
      </c>
      <c r="P43" s="1" t="str">
        <f t="shared" si="9"/>
        <v>HAK EDİŞ</v>
      </c>
      <c r="Q43" s="79">
        <f>IF($U$5="",0,IF($U$5="M",AY_SONU!$M12,AY_SONU!$N12))</f>
        <v>113720.00000000006</v>
      </c>
      <c r="R43" s="1">
        <v>0</v>
      </c>
      <c r="S43" s="1">
        <f t="shared" si="10"/>
        <v>4620300006</v>
      </c>
      <c r="T43" s="1"/>
      <c r="U43" s="1"/>
      <c r="V43" s="1">
        <f t="shared" si="11"/>
        <v>4611200039</v>
      </c>
      <c r="W43" s="1">
        <f t="shared" si="12"/>
        <v>39</v>
      </c>
    </row>
    <row r="44" spans="1:23" ht="19.5" customHeight="1" x14ac:dyDescent="0.3">
      <c r="A44" s="2"/>
      <c r="B44" s="65">
        <f t="shared" si="2"/>
        <v>7</v>
      </c>
      <c r="C44" s="70">
        <f t="shared" si="3"/>
        <v>46142</v>
      </c>
      <c r="D44" s="180" t="str">
        <f t="shared" si="4"/>
        <v>ALİ KILIÇ  –  2026 Nisan ayı kâr payı hak edişi  (pay oranı %50)</v>
      </c>
      <c r="E44" s="139"/>
      <c r="F44" s="65" t="str">
        <f t="shared" si="5"/>
        <v>HAK EDİŞ</v>
      </c>
      <c r="G44" s="68">
        <f t="shared" si="6"/>
        <v>137353</v>
      </c>
      <c r="H44" s="68">
        <f t="shared" si="7"/>
        <v>0</v>
      </c>
      <c r="I44" s="68">
        <f t="shared" si="8"/>
        <v>137352.98999999993</v>
      </c>
      <c r="J44" s="2"/>
      <c r="K44" s="2"/>
      <c r="L44" s="1"/>
      <c r="M44" s="1">
        <v>7</v>
      </c>
      <c r="N44" s="1">
        <f>IF($Q44&lt;=0,"",EOMONTH(AY_SONU!$B13,0))</f>
        <v>46234</v>
      </c>
      <c r="O44" s="1" t="str">
        <f>IF($N44="","",$C$36&amp;"  –  "&amp;YEAR(AY_SONU!$B13)&amp;" "&amp;CHOOSE(MONTH(AY_SONU!$B13),"Ocak","Şubat","Mart","Nisan","Mayıs","Haziran","Temmuz","Ağustos","Eylül","Ekim","Kasım","Aralık")&amp;" ayı kâr payı hak edişi  (pay oranı %"&amp;ROUND(IF($U$5="M",AY_SONU!$Z13,AY_SONU!$AA13)*100,1)&amp;")")</f>
        <v>ALİ KILIÇ  –  2026 Temmuz ayı kâr payı hak edişi  (pay oranı %50)</v>
      </c>
      <c r="P44" s="1" t="str">
        <f t="shared" si="9"/>
        <v>HAK EDİŞ</v>
      </c>
      <c r="Q44" s="79">
        <f>IF($U$5="",0,IF($U$5="M",AY_SONU!$M13,AY_SONU!$N13))</f>
        <v>58370</v>
      </c>
      <c r="R44" s="1">
        <v>0</v>
      </c>
      <c r="S44" s="1">
        <f t="shared" si="10"/>
        <v>4623400007</v>
      </c>
      <c r="T44" s="1"/>
      <c r="U44" s="1"/>
      <c r="V44" s="1">
        <f t="shared" si="11"/>
        <v>4614200004</v>
      </c>
      <c r="W44" s="1">
        <f t="shared" si="12"/>
        <v>4</v>
      </c>
    </row>
    <row r="45" spans="1:23" ht="19.5" customHeight="1" x14ac:dyDescent="0.3">
      <c r="A45" s="2"/>
      <c r="B45" s="65">
        <f t="shared" si="2"/>
        <v>8</v>
      </c>
      <c r="C45" s="70">
        <f t="shared" si="3"/>
        <v>46142</v>
      </c>
      <c r="D45" s="180" t="str">
        <f t="shared" si="4"/>
        <v>ALİ KILIÇ  –  ORTAK ÇEKİŞ / AVANS  (MERKEZ KASA hesabından) – KÂR PAYI / AVANS ÇEKİŞİ — Nisan Ayı Kâr Payı Ödemesi — eski GELIR_GIDER satır 135</v>
      </c>
      <c r="E45" s="139"/>
      <c r="F45" s="65" t="str">
        <f t="shared" si="5"/>
        <v>ÇEKİŞ / AVANS</v>
      </c>
      <c r="G45" s="68">
        <f t="shared" si="6"/>
        <v>0</v>
      </c>
      <c r="H45" s="68">
        <f t="shared" si="7"/>
        <v>137353</v>
      </c>
      <c r="I45" s="68">
        <f t="shared" si="8"/>
        <v>-1.0000000067520887E-2</v>
      </c>
      <c r="J45" s="2"/>
      <c r="K45" s="2"/>
      <c r="L45" s="1"/>
      <c r="M45" s="1">
        <v>8</v>
      </c>
      <c r="N45" s="1">
        <f>IF($Q45&lt;=0,"",EOMONTH(AY_SONU!$B14,0))</f>
        <v>46265</v>
      </c>
      <c r="O45" s="1" t="str">
        <f>IF($N45="","",$C$36&amp;"  –  "&amp;YEAR(AY_SONU!$B14)&amp;" "&amp;CHOOSE(MONTH(AY_SONU!$B14),"Ocak","Şubat","Mart","Nisan","Mayıs","Haziran","Temmuz","Ağustos","Eylül","Ekim","Kasım","Aralık")&amp;" ayı kâr payı hak edişi  (pay oranı %"&amp;ROUND(IF($U$5="M",AY_SONU!$Z14,AY_SONU!$AA14)*100,1)&amp;")")</f>
        <v>ALİ KILIÇ  –  2026 Ağustos ayı kâr payı hak edişi  (pay oranı %50)</v>
      </c>
      <c r="P45" s="1" t="str">
        <f t="shared" si="9"/>
        <v>HAK EDİŞ</v>
      </c>
      <c r="Q45" s="79">
        <f>IF($U$5="",0,IF($U$5="M",AY_SONU!$M14,AY_SONU!$N14))</f>
        <v>138800</v>
      </c>
      <c r="R45" s="1">
        <v>0</v>
      </c>
      <c r="S45" s="1">
        <f t="shared" si="10"/>
        <v>4626500008</v>
      </c>
      <c r="T45" s="1"/>
      <c r="U45" s="1"/>
      <c r="V45" s="1">
        <f t="shared" si="11"/>
        <v>4614200040</v>
      </c>
      <c r="W45" s="1">
        <f t="shared" si="12"/>
        <v>40</v>
      </c>
    </row>
    <row r="46" spans="1:23" ht="19.5" customHeight="1" x14ac:dyDescent="0.3">
      <c r="A46" s="2"/>
      <c r="B46" s="65">
        <f t="shared" si="2"/>
        <v>9</v>
      </c>
      <c r="C46" s="70">
        <f t="shared" si="3"/>
        <v>46173</v>
      </c>
      <c r="D46" s="180" t="str">
        <f t="shared" si="4"/>
        <v>ALİ KILIÇ  –  2026 Mayıs ayı kâr payı hak edişi  (pay oranı %50)</v>
      </c>
      <c r="E46" s="139"/>
      <c r="F46" s="65" t="str">
        <f t="shared" si="5"/>
        <v>HAK EDİŞ</v>
      </c>
      <c r="G46" s="68">
        <f t="shared" si="6"/>
        <v>109773</v>
      </c>
      <c r="H46" s="68">
        <f t="shared" si="7"/>
        <v>0</v>
      </c>
      <c r="I46" s="68">
        <f t="shared" si="8"/>
        <v>109772.98999999993</v>
      </c>
      <c r="J46" s="2"/>
      <c r="K46" s="2"/>
      <c r="L46" s="1"/>
      <c r="M46" s="1">
        <v>9</v>
      </c>
      <c r="N46" s="1" t="str">
        <f>IF($Q46&lt;=0,"",EOMONTH(AY_SONU!$B15,0))</f>
        <v/>
      </c>
      <c r="O46" s="1" t="str">
        <f>IF($N46="","",$C$36&amp;"  –  "&amp;YEAR(AY_SONU!$B15)&amp;" "&amp;CHOOSE(MONTH(AY_SONU!$B15),"Ocak","Şubat","Mart","Nisan","Mayıs","Haziran","Temmuz","Ağustos","Eylül","Ekim","Kasım","Aralık")&amp;" ayı kâr payı hak edişi  (pay oranı %"&amp;ROUND(IF($U$5="M",AY_SONU!$Z15,AY_SONU!$AA15)*100,1)&amp;")")</f>
        <v/>
      </c>
      <c r="P46" s="1" t="str">
        <f t="shared" si="9"/>
        <v/>
      </c>
      <c r="Q46" s="79">
        <f>IF($U$5="",0,IF($U$5="M",AY_SONU!$M15,AY_SONU!$N15))</f>
        <v>0</v>
      </c>
      <c r="R46" s="1">
        <v>0</v>
      </c>
      <c r="S46" s="1">
        <f t="shared" si="10"/>
        <v>10000000000</v>
      </c>
      <c r="T46" s="1"/>
      <c r="U46" s="1"/>
      <c r="V46" s="1">
        <f t="shared" si="11"/>
        <v>4617300005</v>
      </c>
      <c r="W46" s="1">
        <f t="shared" si="12"/>
        <v>5</v>
      </c>
    </row>
    <row r="47" spans="1:23" ht="19.5" customHeight="1" x14ac:dyDescent="0.3">
      <c r="A47" s="2"/>
      <c r="B47" s="65">
        <f t="shared" si="2"/>
        <v>10</v>
      </c>
      <c r="C47" s="70">
        <f t="shared" si="3"/>
        <v>46173</v>
      </c>
      <c r="D47" s="180" t="str">
        <f t="shared" si="4"/>
        <v>ALİ KILIÇ  –  ORTAK ÇEKİŞ / AVANS  (MERKEZ KASA hesabından) – KÂR PAYI / AVANS ÇEKİŞİ — Mayıs Ayı Kâr Payı Ödemesi — eski GELIR_GIDER satır 168</v>
      </c>
      <c r="E47" s="139"/>
      <c r="F47" s="65" t="str">
        <f t="shared" si="5"/>
        <v>ÇEKİŞ / AVANS</v>
      </c>
      <c r="G47" s="68">
        <f t="shared" si="6"/>
        <v>0</v>
      </c>
      <c r="H47" s="68">
        <f t="shared" si="7"/>
        <v>109773</v>
      </c>
      <c r="I47" s="68">
        <f t="shared" si="8"/>
        <v>-1.0000000067520887E-2</v>
      </c>
      <c r="J47" s="2"/>
      <c r="K47" s="2"/>
      <c r="L47" s="1"/>
      <c r="M47" s="1">
        <v>10</v>
      </c>
      <c r="N47" s="1" t="str">
        <f>IF($Q47&lt;=0,"",EOMONTH(AY_SONU!$B16,0))</f>
        <v/>
      </c>
      <c r="O47" s="1" t="str">
        <f>IF($N47="","",$C$36&amp;"  –  "&amp;YEAR(AY_SONU!$B16)&amp;" "&amp;CHOOSE(MONTH(AY_SONU!$B16),"Ocak","Şubat","Mart","Nisan","Mayıs","Haziran","Temmuz","Ağustos","Eylül","Ekim","Kasım","Aralık")&amp;" ayı kâr payı hak edişi  (pay oranı %"&amp;ROUND(IF($U$5="M",AY_SONU!$Z16,AY_SONU!$AA16)*100,1)&amp;")")</f>
        <v/>
      </c>
      <c r="P47" s="1" t="str">
        <f t="shared" si="9"/>
        <v/>
      </c>
      <c r="Q47" s="79">
        <f>IF($U$5="",0,IF($U$5="M",AY_SONU!$M16,AY_SONU!$N16))</f>
        <v>0</v>
      </c>
      <c r="R47" s="1">
        <v>0</v>
      </c>
      <c r="S47" s="1">
        <f t="shared" si="10"/>
        <v>10000000000</v>
      </c>
      <c r="T47" s="1"/>
      <c r="U47" s="1"/>
      <c r="V47" s="1">
        <f t="shared" si="11"/>
        <v>4617300041</v>
      </c>
      <c r="W47" s="1">
        <f t="shared" si="12"/>
        <v>41</v>
      </c>
    </row>
    <row r="48" spans="1:23" ht="19.5" customHeight="1" x14ac:dyDescent="0.3">
      <c r="A48" s="2"/>
      <c r="B48" s="65">
        <f t="shared" si="2"/>
        <v>11</v>
      </c>
      <c r="C48" s="70">
        <f t="shared" si="3"/>
        <v>46203</v>
      </c>
      <c r="D48" s="180" t="str">
        <f t="shared" si="4"/>
        <v>ALİ KILIÇ  –  2026 Haziran ayı kâr payı hak edişi  (pay oranı %50)</v>
      </c>
      <c r="E48" s="139"/>
      <c r="F48" s="65" t="str">
        <f t="shared" si="5"/>
        <v>HAK EDİŞ</v>
      </c>
      <c r="G48" s="68">
        <f t="shared" si="6"/>
        <v>113720.00000000006</v>
      </c>
      <c r="H48" s="68">
        <f t="shared" si="7"/>
        <v>0</v>
      </c>
      <c r="I48" s="68">
        <f t="shared" si="8"/>
        <v>113719.98999999999</v>
      </c>
      <c r="J48" s="2"/>
      <c r="K48" s="2"/>
      <c r="L48" s="1"/>
      <c r="M48" s="1">
        <v>11</v>
      </c>
      <c r="N48" s="1" t="str">
        <f>IF($Q48&lt;=0,"",EOMONTH(AY_SONU!$B17,0))</f>
        <v/>
      </c>
      <c r="O48" s="1" t="str">
        <f>IF($N48="","",$C$36&amp;"  –  "&amp;YEAR(AY_SONU!$B17)&amp;" "&amp;CHOOSE(MONTH(AY_SONU!$B17),"Ocak","Şubat","Mart","Nisan","Mayıs","Haziran","Temmuz","Ağustos","Eylül","Ekim","Kasım","Aralık")&amp;" ayı kâr payı hak edişi  (pay oranı %"&amp;ROUND(IF($U$5="M",AY_SONU!$Z17,AY_SONU!$AA17)*100,1)&amp;")")</f>
        <v/>
      </c>
      <c r="P48" s="1" t="str">
        <f t="shared" si="9"/>
        <v/>
      </c>
      <c r="Q48" s="79">
        <f>IF($U$5="",0,IF($U$5="M",AY_SONU!$M17,AY_SONU!$N17))</f>
        <v>0</v>
      </c>
      <c r="R48" s="1">
        <v>0</v>
      </c>
      <c r="S48" s="1">
        <f t="shared" si="10"/>
        <v>10000000000</v>
      </c>
      <c r="T48" s="1"/>
      <c r="U48" s="1"/>
      <c r="V48" s="1">
        <f t="shared" si="11"/>
        <v>4620300006</v>
      </c>
      <c r="W48" s="1">
        <f t="shared" si="12"/>
        <v>6</v>
      </c>
    </row>
    <row r="49" spans="1:23" ht="19.5" customHeight="1" x14ac:dyDescent="0.3">
      <c r="A49" s="2"/>
      <c r="B49" s="65">
        <f t="shared" si="2"/>
        <v>12</v>
      </c>
      <c r="C49" s="70">
        <f t="shared" si="3"/>
        <v>46203</v>
      </c>
      <c r="D49" s="180" t="str">
        <f t="shared" si="4"/>
        <v>ALİ KILIÇ  –  ORTAK ÇEKİŞ / AVANS  (MERKEZ KASA hesabından) – KÂR PAYI / AVANS ÇEKİŞİ — Haziran Ayı Kâr Payı Ödemesi — eski GELIR_GIDER satır 185</v>
      </c>
      <c r="E49" s="139"/>
      <c r="F49" s="65" t="str">
        <f t="shared" si="5"/>
        <v>ÇEKİŞ / AVANS</v>
      </c>
      <c r="G49" s="68">
        <f t="shared" si="6"/>
        <v>0</v>
      </c>
      <c r="H49" s="68">
        <f t="shared" si="7"/>
        <v>113720</v>
      </c>
      <c r="I49" s="68">
        <f t="shared" si="8"/>
        <v>-1.0000000009313226E-2</v>
      </c>
      <c r="J49" s="2"/>
      <c r="K49" s="2"/>
      <c r="L49" s="1"/>
      <c r="M49" s="1">
        <v>12</v>
      </c>
      <c r="N49" s="1" t="str">
        <f>IF($Q49&lt;=0,"",EOMONTH(AY_SONU!$B18,0))</f>
        <v/>
      </c>
      <c r="O49" s="1" t="str">
        <f>IF($N49="","",$C$36&amp;"  –  "&amp;YEAR(AY_SONU!$B18)&amp;" "&amp;CHOOSE(MONTH(AY_SONU!$B18),"Ocak","Şubat","Mart","Nisan","Mayıs","Haziran","Temmuz","Ağustos","Eylül","Ekim","Kasım","Aralık")&amp;" ayı kâr payı hak edişi  (pay oranı %"&amp;ROUND(IF($U$5="M",AY_SONU!$Z18,AY_SONU!$AA18)*100,1)&amp;")")</f>
        <v/>
      </c>
      <c r="P49" s="1" t="str">
        <f t="shared" si="9"/>
        <v/>
      </c>
      <c r="Q49" s="79">
        <f>IF($U$5="",0,IF($U$5="M",AY_SONU!$M18,AY_SONU!$N18))</f>
        <v>0</v>
      </c>
      <c r="R49" s="1">
        <v>0</v>
      </c>
      <c r="S49" s="1">
        <f t="shared" si="10"/>
        <v>10000000000</v>
      </c>
      <c r="T49" s="1"/>
      <c r="U49" s="1"/>
      <c r="V49" s="1">
        <f t="shared" si="11"/>
        <v>4620300042</v>
      </c>
      <c r="W49" s="1">
        <f t="shared" si="12"/>
        <v>42</v>
      </c>
    </row>
    <row r="50" spans="1:23" ht="19.5" customHeight="1" x14ac:dyDescent="0.3">
      <c r="A50" s="2"/>
      <c r="B50" s="65">
        <f t="shared" si="2"/>
        <v>13</v>
      </c>
      <c r="C50" s="70">
        <f t="shared" si="3"/>
        <v>46234</v>
      </c>
      <c r="D50" s="180" t="str">
        <f t="shared" si="4"/>
        <v>ALİ KILIÇ  –  2026 Temmuz ayı kâr payı hak edişi  (pay oranı %50)</v>
      </c>
      <c r="E50" s="139"/>
      <c r="F50" s="65" t="str">
        <f t="shared" si="5"/>
        <v>HAK EDİŞ</v>
      </c>
      <c r="G50" s="68">
        <f t="shared" si="6"/>
        <v>58370</v>
      </c>
      <c r="H50" s="68">
        <f t="shared" si="7"/>
        <v>0</v>
      </c>
      <c r="I50" s="68">
        <f t="shared" si="8"/>
        <v>58369.989999999991</v>
      </c>
      <c r="J50" s="2"/>
      <c r="K50" s="2"/>
      <c r="L50" s="1"/>
      <c r="M50" s="1">
        <v>13</v>
      </c>
      <c r="N50" s="1" t="str">
        <f>IF($Q50&lt;=0,"",EOMONTH(AY_SONU!$B19,0))</f>
        <v/>
      </c>
      <c r="O50" s="1" t="str">
        <f>IF($N50="","",$C$36&amp;"  –  "&amp;YEAR(AY_SONU!$B19)&amp;" "&amp;CHOOSE(MONTH(AY_SONU!$B19),"Ocak","Şubat","Mart","Nisan","Mayıs","Haziran","Temmuz","Ağustos","Eylül","Ekim","Kasım","Aralık")&amp;" ayı kâr payı hak edişi  (pay oranı %"&amp;ROUND(IF($U$5="M",AY_SONU!$Z19,AY_SONU!$AA19)*100,1)&amp;")")</f>
        <v/>
      </c>
      <c r="P50" s="1" t="str">
        <f t="shared" si="9"/>
        <v/>
      </c>
      <c r="Q50" s="79">
        <f>IF($U$5="",0,IF($U$5="M",AY_SONU!$M19,AY_SONU!$N19))</f>
        <v>0</v>
      </c>
      <c r="R50" s="1">
        <v>0</v>
      </c>
      <c r="S50" s="1">
        <f t="shared" si="10"/>
        <v>10000000000</v>
      </c>
      <c r="T50" s="1"/>
      <c r="U50" s="1"/>
      <c r="V50" s="1">
        <f t="shared" si="11"/>
        <v>4623400007</v>
      </c>
      <c r="W50" s="1">
        <f t="shared" si="12"/>
        <v>7</v>
      </c>
    </row>
    <row r="51" spans="1:23" ht="19.5" customHeight="1" x14ac:dyDescent="0.3">
      <c r="A51" s="2"/>
      <c r="B51" s="65">
        <f t="shared" si="2"/>
        <v>14</v>
      </c>
      <c r="C51" s="70">
        <f t="shared" si="3"/>
        <v>46234</v>
      </c>
      <c r="D51" s="180" t="str">
        <f t="shared" si="4"/>
        <v>ALİ KILIÇ  –  ORTAK ÇEKİŞ / AVANS  (MERKEZ KASA hesabından) – KÂR PAYI / AVANS ÇEKİŞİ — Temmuz Ayı Kâr Payı Ödemesi — eski GELIR_GIDER satır 197</v>
      </c>
      <c r="E51" s="139"/>
      <c r="F51" s="65" t="str">
        <f t="shared" si="5"/>
        <v>ÇEKİŞ / AVANS</v>
      </c>
      <c r="G51" s="68">
        <f t="shared" si="6"/>
        <v>0</v>
      </c>
      <c r="H51" s="68">
        <f t="shared" si="7"/>
        <v>58370</v>
      </c>
      <c r="I51" s="68">
        <f t="shared" si="8"/>
        <v>-1.0000000009313226E-2</v>
      </c>
      <c r="J51" s="2"/>
      <c r="K51" s="2"/>
      <c r="L51" s="1"/>
      <c r="M51" s="1">
        <v>14</v>
      </c>
      <c r="N51" s="1" t="str">
        <f>IF($Q51&lt;=0,"",EOMONTH(AY_SONU!$B20,0))</f>
        <v/>
      </c>
      <c r="O51" s="1" t="str">
        <f>IF($N51="","",$C$36&amp;"  –  "&amp;YEAR(AY_SONU!$B20)&amp;" "&amp;CHOOSE(MONTH(AY_SONU!$B20),"Ocak","Şubat","Mart","Nisan","Mayıs","Haziran","Temmuz","Ağustos","Eylül","Ekim","Kasım","Aralık")&amp;" ayı kâr payı hak edişi  (pay oranı %"&amp;ROUND(IF($U$5="M",AY_SONU!$Z20,AY_SONU!$AA20)*100,1)&amp;")")</f>
        <v/>
      </c>
      <c r="P51" s="1" t="str">
        <f t="shared" si="9"/>
        <v/>
      </c>
      <c r="Q51" s="79">
        <f>IF($U$5="",0,IF($U$5="M",AY_SONU!$M20,AY_SONU!$N20))</f>
        <v>0</v>
      </c>
      <c r="R51" s="1">
        <v>0</v>
      </c>
      <c r="S51" s="1">
        <f t="shared" si="10"/>
        <v>10000000000</v>
      </c>
      <c r="T51" s="1"/>
      <c r="U51" s="1"/>
      <c r="V51" s="1">
        <f t="shared" si="11"/>
        <v>4623400043</v>
      </c>
      <c r="W51" s="1">
        <f t="shared" si="12"/>
        <v>43</v>
      </c>
    </row>
    <row r="52" spans="1:23" ht="19.5" customHeight="1" x14ac:dyDescent="0.3">
      <c r="A52" s="2"/>
      <c r="B52" s="65">
        <f t="shared" si="2"/>
        <v>15</v>
      </c>
      <c r="C52" s="70">
        <f t="shared" si="3"/>
        <v>46265</v>
      </c>
      <c r="D52" s="180" t="str">
        <f t="shared" si="4"/>
        <v>ALİ KILIÇ  –  2026 Ağustos ayı kâr payı hak edişi  (pay oranı %50)</v>
      </c>
      <c r="E52" s="139"/>
      <c r="F52" s="65" t="str">
        <f t="shared" si="5"/>
        <v>HAK EDİŞ</v>
      </c>
      <c r="G52" s="68">
        <f t="shared" si="6"/>
        <v>138800</v>
      </c>
      <c r="H52" s="68">
        <f t="shared" si="7"/>
        <v>0</v>
      </c>
      <c r="I52" s="68">
        <f t="shared" si="8"/>
        <v>138799.99</v>
      </c>
      <c r="J52" s="2"/>
      <c r="K52" s="2"/>
      <c r="L52" s="1"/>
      <c r="M52" s="1">
        <v>15</v>
      </c>
      <c r="N52" s="1" t="str">
        <f>IF($Q52&lt;=0,"",EOMONTH(AY_SONU!$B21,0))</f>
        <v/>
      </c>
      <c r="O52" s="1" t="str">
        <f>IF($N52="","",$C$36&amp;"  –  "&amp;YEAR(AY_SONU!$B21)&amp;" "&amp;CHOOSE(MONTH(AY_SONU!$B21),"Ocak","Şubat","Mart","Nisan","Mayıs","Haziran","Temmuz","Ağustos","Eylül","Ekim","Kasım","Aralık")&amp;" ayı kâr payı hak edişi  (pay oranı %"&amp;ROUND(IF($U$5="M",AY_SONU!$Z21,AY_SONU!$AA21)*100,1)&amp;")")</f>
        <v/>
      </c>
      <c r="P52" s="1" t="str">
        <f t="shared" si="9"/>
        <v/>
      </c>
      <c r="Q52" s="79">
        <f>IF($U$5="",0,IF($U$5="M",AY_SONU!$M21,AY_SONU!$N21))</f>
        <v>0</v>
      </c>
      <c r="R52" s="1">
        <v>0</v>
      </c>
      <c r="S52" s="1">
        <f t="shared" si="10"/>
        <v>10000000000</v>
      </c>
      <c r="T52" s="1"/>
      <c r="U52" s="1"/>
      <c r="V52" s="1">
        <f t="shared" si="11"/>
        <v>4626500008</v>
      </c>
      <c r="W52" s="1">
        <f t="shared" si="12"/>
        <v>8</v>
      </c>
    </row>
    <row r="53" spans="1:23" ht="19.5" customHeight="1" x14ac:dyDescent="0.3">
      <c r="A53" s="2"/>
      <c r="B53" s="65" t="str">
        <f t="shared" si="2"/>
        <v/>
      </c>
      <c r="C53" s="70" t="str">
        <f t="shared" si="3"/>
        <v/>
      </c>
      <c r="D53" s="180" t="str">
        <f t="shared" si="4"/>
        <v/>
      </c>
      <c r="E53" s="139"/>
      <c r="F53" s="65" t="str">
        <f t="shared" si="5"/>
        <v/>
      </c>
      <c r="G53" s="68" t="str">
        <f t="shared" si="6"/>
        <v/>
      </c>
      <c r="H53" s="68" t="str">
        <f t="shared" si="7"/>
        <v/>
      </c>
      <c r="I53" s="68" t="str">
        <f t="shared" si="8"/>
        <v/>
      </c>
      <c r="J53" s="2"/>
      <c r="K53" s="2"/>
      <c r="L53" s="1"/>
      <c r="M53" s="1">
        <v>16</v>
      </c>
      <c r="N53" s="1" t="str">
        <f>IF($Q53&lt;=0,"",EOMONTH(AY_SONU!$B22,0))</f>
        <v/>
      </c>
      <c r="O53" s="1" t="str">
        <f>IF($N53="","",$C$36&amp;"  –  "&amp;YEAR(AY_SONU!$B22)&amp;" "&amp;CHOOSE(MONTH(AY_SONU!$B22),"Ocak","Şubat","Mart","Nisan","Mayıs","Haziran","Temmuz","Ağustos","Eylül","Ekim","Kasım","Aralık")&amp;" ayı kâr payı hak edişi  (pay oranı %"&amp;ROUND(IF($U$5="M",AY_SONU!$Z22,AY_SONU!$AA22)*100,1)&amp;")")</f>
        <v/>
      </c>
      <c r="P53" s="1" t="str">
        <f t="shared" si="9"/>
        <v/>
      </c>
      <c r="Q53" s="79">
        <f>IF($U$5="",0,IF($U$5="M",AY_SONU!$M22,AY_SONU!$N22))</f>
        <v>0</v>
      </c>
      <c r="R53" s="1">
        <v>0</v>
      </c>
      <c r="S53" s="1">
        <f t="shared" si="10"/>
        <v>10000000000</v>
      </c>
      <c r="T53" s="1"/>
      <c r="U53" s="1"/>
      <c r="V53" s="1">
        <f t="shared" si="11"/>
        <v>10000000000</v>
      </c>
      <c r="W53" s="1">
        <f t="shared" si="12"/>
        <v>9</v>
      </c>
    </row>
    <row r="54" spans="1:23" ht="19.5" customHeight="1" x14ac:dyDescent="0.3">
      <c r="A54" s="2"/>
      <c r="B54" s="65" t="str">
        <f t="shared" si="2"/>
        <v/>
      </c>
      <c r="C54" s="70" t="str">
        <f t="shared" si="3"/>
        <v/>
      </c>
      <c r="D54" s="180" t="str">
        <f t="shared" si="4"/>
        <v/>
      </c>
      <c r="E54" s="139"/>
      <c r="F54" s="65" t="str">
        <f t="shared" si="5"/>
        <v/>
      </c>
      <c r="G54" s="68" t="str">
        <f t="shared" si="6"/>
        <v/>
      </c>
      <c r="H54" s="68" t="str">
        <f t="shared" si="7"/>
        <v/>
      </c>
      <c r="I54" s="68" t="str">
        <f t="shared" si="8"/>
        <v/>
      </c>
      <c r="J54" s="2"/>
      <c r="K54" s="2"/>
      <c r="L54" s="1"/>
      <c r="M54" s="1">
        <v>17</v>
      </c>
      <c r="N54" s="1" t="str">
        <f>IF($Q54&lt;=0,"",EOMONTH(AY_SONU!$B23,0))</f>
        <v/>
      </c>
      <c r="O54" s="1" t="str">
        <f>IF($N54="","",$C$36&amp;"  –  "&amp;YEAR(AY_SONU!$B23)&amp;" "&amp;CHOOSE(MONTH(AY_SONU!$B23),"Ocak","Şubat","Mart","Nisan","Mayıs","Haziran","Temmuz","Ağustos","Eylül","Ekim","Kasım","Aralık")&amp;" ayı kâr payı hak edişi  (pay oranı %"&amp;ROUND(IF($U$5="M",AY_SONU!$Z23,AY_SONU!$AA23)*100,1)&amp;")")</f>
        <v/>
      </c>
      <c r="P54" s="1" t="str">
        <f t="shared" si="9"/>
        <v/>
      </c>
      <c r="Q54" s="79">
        <f>IF($U$5="",0,IF($U$5="M",AY_SONU!$M23,AY_SONU!$N23))</f>
        <v>0</v>
      </c>
      <c r="R54" s="1">
        <v>0</v>
      </c>
      <c r="S54" s="1">
        <f t="shared" si="10"/>
        <v>10000000000</v>
      </c>
      <c r="T54" s="1"/>
      <c r="U54" s="1"/>
      <c r="V54" s="1">
        <f t="shared" si="11"/>
        <v>10000000000</v>
      </c>
      <c r="W54" s="1">
        <f t="shared" si="12"/>
        <v>9</v>
      </c>
    </row>
    <row r="55" spans="1:23" ht="19.5" customHeight="1" x14ac:dyDescent="0.3">
      <c r="A55" s="2"/>
      <c r="B55" s="65" t="str">
        <f t="shared" si="2"/>
        <v/>
      </c>
      <c r="C55" s="70" t="str">
        <f t="shared" si="3"/>
        <v/>
      </c>
      <c r="D55" s="180" t="str">
        <f t="shared" si="4"/>
        <v/>
      </c>
      <c r="E55" s="139"/>
      <c r="F55" s="65" t="str">
        <f t="shared" si="5"/>
        <v/>
      </c>
      <c r="G55" s="68" t="str">
        <f t="shared" si="6"/>
        <v/>
      </c>
      <c r="H55" s="68" t="str">
        <f t="shared" si="7"/>
        <v/>
      </c>
      <c r="I55" s="68" t="str">
        <f t="shared" si="8"/>
        <v/>
      </c>
      <c r="J55" s="2"/>
      <c r="K55" s="2"/>
      <c r="L55" s="1"/>
      <c r="M55" s="1">
        <v>18</v>
      </c>
      <c r="N55" s="1" t="str">
        <f>IF($Q55&lt;=0,"",EOMONTH(AY_SONU!$B24,0))</f>
        <v/>
      </c>
      <c r="O55" s="1" t="str">
        <f>IF($N55="","",$C$36&amp;"  –  "&amp;YEAR(AY_SONU!$B24)&amp;" "&amp;CHOOSE(MONTH(AY_SONU!$B24),"Ocak","Şubat","Mart","Nisan","Mayıs","Haziran","Temmuz","Ağustos","Eylül","Ekim","Kasım","Aralık")&amp;" ayı kâr payı hak edişi  (pay oranı %"&amp;ROUND(IF($U$5="M",AY_SONU!$Z24,AY_SONU!$AA24)*100,1)&amp;")")</f>
        <v/>
      </c>
      <c r="P55" s="1" t="str">
        <f t="shared" si="9"/>
        <v/>
      </c>
      <c r="Q55" s="79">
        <f>IF($U$5="",0,IF($U$5="M",AY_SONU!$M24,AY_SONU!$N24))</f>
        <v>0</v>
      </c>
      <c r="R55" s="1">
        <v>0</v>
      </c>
      <c r="S55" s="1">
        <f t="shared" si="10"/>
        <v>10000000000</v>
      </c>
      <c r="T55" s="1"/>
      <c r="U55" s="1"/>
      <c r="V55" s="1">
        <f t="shared" si="11"/>
        <v>10000000000</v>
      </c>
      <c r="W55" s="1">
        <f t="shared" si="12"/>
        <v>9</v>
      </c>
    </row>
    <row r="56" spans="1:23" ht="19.5" customHeight="1" x14ac:dyDescent="0.3">
      <c r="A56" s="2"/>
      <c r="B56" s="65" t="str">
        <f t="shared" si="2"/>
        <v/>
      </c>
      <c r="C56" s="70" t="str">
        <f t="shared" si="3"/>
        <v/>
      </c>
      <c r="D56" s="180" t="str">
        <f t="shared" si="4"/>
        <v/>
      </c>
      <c r="E56" s="139"/>
      <c r="F56" s="65" t="str">
        <f t="shared" si="5"/>
        <v/>
      </c>
      <c r="G56" s="68" t="str">
        <f t="shared" si="6"/>
        <v/>
      </c>
      <c r="H56" s="68" t="str">
        <f t="shared" si="7"/>
        <v/>
      </c>
      <c r="I56" s="68" t="str">
        <f t="shared" si="8"/>
        <v/>
      </c>
      <c r="J56" s="2"/>
      <c r="K56" s="2"/>
      <c r="L56" s="1"/>
      <c r="M56" s="1">
        <v>19</v>
      </c>
      <c r="N56" s="1" t="str">
        <f>IF($Q56&lt;=0,"",EOMONTH(AY_SONU!$B25,0))</f>
        <v/>
      </c>
      <c r="O56" s="1" t="str">
        <f>IF($N56="","",$C$36&amp;"  –  "&amp;YEAR(AY_SONU!$B25)&amp;" "&amp;CHOOSE(MONTH(AY_SONU!$B25),"Ocak","Şubat","Mart","Nisan","Mayıs","Haziran","Temmuz","Ağustos","Eylül","Ekim","Kasım","Aralık")&amp;" ayı kâr payı hak edişi  (pay oranı %"&amp;ROUND(IF($U$5="M",AY_SONU!$Z25,AY_SONU!$AA25)*100,1)&amp;")")</f>
        <v/>
      </c>
      <c r="P56" s="1" t="str">
        <f t="shared" si="9"/>
        <v/>
      </c>
      <c r="Q56" s="79">
        <f>IF($U$5="",0,IF($U$5="M",AY_SONU!$M25,AY_SONU!$N25))</f>
        <v>0</v>
      </c>
      <c r="R56" s="1">
        <v>0</v>
      </c>
      <c r="S56" s="1">
        <f t="shared" si="10"/>
        <v>10000000000</v>
      </c>
      <c r="T56" s="1"/>
      <c r="U56" s="1"/>
      <c r="V56" s="1">
        <f t="shared" si="11"/>
        <v>10000000000</v>
      </c>
      <c r="W56" s="1">
        <f t="shared" si="12"/>
        <v>9</v>
      </c>
    </row>
    <row r="57" spans="1:23" ht="19.5" customHeight="1" x14ac:dyDescent="0.3">
      <c r="A57" s="2"/>
      <c r="B57" s="65" t="str">
        <f t="shared" si="2"/>
        <v/>
      </c>
      <c r="C57" s="70" t="str">
        <f t="shared" si="3"/>
        <v/>
      </c>
      <c r="D57" s="180" t="str">
        <f t="shared" si="4"/>
        <v/>
      </c>
      <c r="E57" s="139"/>
      <c r="F57" s="65" t="str">
        <f t="shared" si="5"/>
        <v/>
      </c>
      <c r="G57" s="68" t="str">
        <f t="shared" si="6"/>
        <v/>
      </c>
      <c r="H57" s="68" t="str">
        <f t="shared" si="7"/>
        <v/>
      </c>
      <c r="I57" s="68" t="str">
        <f t="shared" si="8"/>
        <v/>
      </c>
      <c r="J57" s="2"/>
      <c r="K57" s="2"/>
      <c r="L57" s="1"/>
      <c r="M57" s="1">
        <v>20</v>
      </c>
      <c r="N57" s="1" t="str">
        <f>IF($Q57&lt;=0,"",EOMONTH(AY_SONU!$B26,0))</f>
        <v/>
      </c>
      <c r="O57" s="1" t="str">
        <f>IF($N57="","",$C$36&amp;"  –  "&amp;YEAR(AY_SONU!$B26)&amp;" "&amp;CHOOSE(MONTH(AY_SONU!$B26),"Ocak","Şubat","Mart","Nisan","Mayıs","Haziran","Temmuz","Ağustos","Eylül","Ekim","Kasım","Aralık")&amp;" ayı kâr payı hak edişi  (pay oranı %"&amp;ROUND(IF($U$5="M",AY_SONU!$Z26,AY_SONU!$AA26)*100,1)&amp;")")</f>
        <v/>
      </c>
      <c r="P57" s="1" t="str">
        <f t="shared" si="9"/>
        <v/>
      </c>
      <c r="Q57" s="79">
        <f>IF($U$5="",0,IF($U$5="M",AY_SONU!$M26,AY_SONU!$N26))</f>
        <v>0</v>
      </c>
      <c r="R57" s="1">
        <v>0</v>
      </c>
      <c r="S57" s="1">
        <f t="shared" si="10"/>
        <v>10000000000</v>
      </c>
      <c r="T57" s="1"/>
      <c r="U57" s="1"/>
      <c r="V57" s="1">
        <f t="shared" si="11"/>
        <v>10000000000</v>
      </c>
      <c r="W57" s="1">
        <f t="shared" si="12"/>
        <v>9</v>
      </c>
    </row>
    <row r="58" spans="1:23" ht="19.5" customHeight="1" x14ac:dyDescent="0.3">
      <c r="A58" s="2"/>
      <c r="B58" s="65" t="str">
        <f t="shared" si="2"/>
        <v/>
      </c>
      <c r="C58" s="70" t="str">
        <f t="shared" si="3"/>
        <v/>
      </c>
      <c r="D58" s="180" t="str">
        <f t="shared" si="4"/>
        <v/>
      </c>
      <c r="E58" s="139"/>
      <c r="F58" s="65" t="str">
        <f t="shared" si="5"/>
        <v/>
      </c>
      <c r="G58" s="68" t="str">
        <f t="shared" si="6"/>
        <v/>
      </c>
      <c r="H58" s="68" t="str">
        <f t="shared" si="7"/>
        <v/>
      </c>
      <c r="I58" s="68" t="str">
        <f t="shared" si="8"/>
        <v/>
      </c>
      <c r="J58" s="2"/>
      <c r="K58" s="2"/>
      <c r="L58" s="1"/>
      <c r="M58" s="1">
        <v>21</v>
      </c>
      <c r="N58" s="1" t="str">
        <f>IF($Q58&lt;=0,"",EOMONTH(AY_SONU!$B27,0))</f>
        <v/>
      </c>
      <c r="O58" s="1" t="str">
        <f>IF($N58="","",$C$36&amp;"  –  "&amp;YEAR(AY_SONU!$B27)&amp;" "&amp;CHOOSE(MONTH(AY_SONU!$B27),"Ocak","Şubat","Mart","Nisan","Mayıs","Haziran","Temmuz","Ağustos","Eylül","Ekim","Kasım","Aralık")&amp;" ayı kâr payı hak edişi  (pay oranı %"&amp;ROUND(IF($U$5="M",AY_SONU!$Z27,AY_SONU!$AA27)*100,1)&amp;")")</f>
        <v/>
      </c>
      <c r="P58" s="1" t="str">
        <f t="shared" si="9"/>
        <v/>
      </c>
      <c r="Q58" s="79">
        <f>IF($U$5="",0,IF($U$5="M",AY_SONU!$M27,AY_SONU!$N27))</f>
        <v>0</v>
      </c>
      <c r="R58" s="1">
        <v>0</v>
      </c>
      <c r="S58" s="1">
        <f t="shared" si="10"/>
        <v>10000000000</v>
      </c>
      <c r="T58" s="1"/>
      <c r="U58" s="1"/>
      <c r="V58" s="1">
        <f t="shared" si="11"/>
        <v>10000000000</v>
      </c>
      <c r="W58" s="1">
        <f t="shared" si="12"/>
        <v>9</v>
      </c>
    </row>
    <row r="59" spans="1:23" ht="19.5" customHeight="1" x14ac:dyDescent="0.3">
      <c r="A59" s="2"/>
      <c r="B59" s="65" t="str">
        <f t="shared" si="2"/>
        <v/>
      </c>
      <c r="C59" s="70" t="str">
        <f t="shared" si="3"/>
        <v/>
      </c>
      <c r="D59" s="180" t="str">
        <f t="shared" si="4"/>
        <v/>
      </c>
      <c r="E59" s="139"/>
      <c r="F59" s="65" t="str">
        <f t="shared" si="5"/>
        <v/>
      </c>
      <c r="G59" s="68" t="str">
        <f t="shared" si="6"/>
        <v/>
      </c>
      <c r="H59" s="68" t="str">
        <f t="shared" si="7"/>
        <v/>
      </c>
      <c r="I59" s="68" t="str">
        <f t="shared" si="8"/>
        <v/>
      </c>
      <c r="J59" s="2"/>
      <c r="K59" s="2"/>
      <c r="L59" s="1"/>
      <c r="M59" s="1">
        <v>22</v>
      </c>
      <c r="N59" s="1" t="str">
        <f>IF($Q59&lt;=0,"",EOMONTH(AY_SONU!$B28,0))</f>
        <v/>
      </c>
      <c r="O59" s="1" t="str">
        <f>IF($N59="","",$C$36&amp;"  –  "&amp;YEAR(AY_SONU!$B28)&amp;" "&amp;CHOOSE(MONTH(AY_SONU!$B28),"Ocak","Şubat","Mart","Nisan","Mayıs","Haziran","Temmuz","Ağustos","Eylül","Ekim","Kasım","Aralık")&amp;" ayı kâr payı hak edişi  (pay oranı %"&amp;ROUND(IF($U$5="M",AY_SONU!$Z28,AY_SONU!$AA28)*100,1)&amp;")")</f>
        <v/>
      </c>
      <c r="P59" s="1" t="str">
        <f t="shared" si="9"/>
        <v/>
      </c>
      <c r="Q59" s="79">
        <f>IF($U$5="",0,IF($U$5="M",AY_SONU!$M28,AY_SONU!$N28))</f>
        <v>0</v>
      </c>
      <c r="R59" s="1">
        <v>0</v>
      </c>
      <c r="S59" s="1">
        <f t="shared" si="10"/>
        <v>10000000000</v>
      </c>
      <c r="T59" s="1"/>
      <c r="U59" s="1"/>
      <c r="V59" s="1">
        <f t="shared" si="11"/>
        <v>10000000000</v>
      </c>
      <c r="W59" s="1">
        <f t="shared" si="12"/>
        <v>9</v>
      </c>
    </row>
    <row r="60" spans="1:23" ht="19.5" customHeight="1" x14ac:dyDescent="0.3">
      <c r="A60" s="2"/>
      <c r="B60" s="65" t="str">
        <f t="shared" si="2"/>
        <v/>
      </c>
      <c r="C60" s="70" t="str">
        <f t="shared" si="3"/>
        <v/>
      </c>
      <c r="D60" s="180" t="str">
        <f t="shared" si="4"/>
        <v/>
      </c>
      <c r="E60" s="139"/>
      <c r="F60" s="65" t="str">
        <f t="shared" si="5"/>
        <v/>
      </c>
      <c r="G60" s="68" t="str">
        <f t="shared" si="6"/>
        <v/>
      </c>
      <c r="H60" s="68" t="str">
        <f t="shared" si="7"/>
        <v/>
      </c>
      <c r="I60" s="68" t="str">
        <f t="shared" si="8"/>
        <v/>
      </c>
      <c r="J60" s="2"/>
      <c r="K60" s="2"/>
      <c r="L60" s="1"/>
      <c r="M60" s="1">
        <v>23</v>
      </c>
      <c r="N60" s="1" t="str">
        <f>IF($Q60&lt;=0,"",EOMONTH(AY_SONU!$B29,0))</f>
        <v/>
      </c>
      <c r="O60" s="1" t="str">
        <f>IF($N60="","",$C$36&amp;"  –  "&amp;YEAR(AY_SONU!$B29)&amp;" "&amp;CHOOSE(MONTH(AY_SONU!$B29),"Ocak","Şubat","Mart","Nisan","Mayıs","Haziran","Temmuz","Ağustos","Eylül","Ekim","Kasım","Aralık")&amp;" ayı kâr payı hak edişi  (pay oranı %"&amp;ROUND(IF($U$5="M",AY_SONU!$Z29,AY_SONU!$AA29)*100,1)&amp;")")</f>
        <v/>
      </c>
      <c r="P60" s="1" t="str">
        <f t="shared" si="9"/>
        <v/>
      </c>
      <c r="Q60" s="79">
        <f>IF($U$5="",0,IF($U$5="M",AY_SONU!$M29,AY_SONU!$N29))</f>
        <v>0</v>
      </c>
      <c r="R60" s="1">
        <v>0</v>
      </c>
      <c r="S60" s="1">
        <f t="shared" si="10"/>
        <v>10000000000</v>
      </c>
      <c r="T60" s="1"/>
      <c r="U60" s="1"/>
      <c r="V60" s="1">
        <f t="shared" si="11"/>
        <v>10000000000</v>
      </c>
      <c r="W60" s="1">
        <f t="shared" si="12"/>
        <v>9</v>
      </c>
    </row>
    <row r="61" spans="1:23" ht="19.5" customHeight="1" x14ac:dyDescent="0.3">
      <c r="A61" s="2"/>
      <c r="B61" s="65" t="str">
        <f t="shared" si="2"/>
        <v/>
      </c>
      <c r="C61" s="70" t="str">
        <f t="shared" si="3"/>
        <v/>
      </c>
      <c r="D61" s="180" t="str">
        <f t="shared" si="4"/>
        <v/>
      </c>
      <c r="E61" s="139"/>
      <c r="F61" s="65" t="str">
        <f t="shared" si="5"/>
        <v/>
      </c>
      <c r="G61" s="68" t="str">
        <f t="shared" si="6"/>
        <v/>
      </c>
      <c r="H61" s="68" t="str">
        <f t="shared" si="7"/>
        <v/>
      </c>
      <c r="I61" s="68" t="str">
        <f t="shared" si="8"/>
        <v/>
      </c>
      <c r="J61" s="2"/>
      <c r="K61" s="2"/>
      <c r="L61" s="1"/>
      <c r="M61" s="1">
        <v>24</v>
      </c>
      <c r="N61" s="1" t="str">
        <f>IF($Q61&lt;=0,"",EOMONTH(AY_SONU!$B30,0))</f>
        <v/>
      </c>
      <c r="O61" s="1" t="str">
        <f>IF($N61="","",$C$36&amp;"  –  "&amp;YEAR(AY_SONU!$B30)&amp;" "&amp;CHOOSE(MONTH(AY_SONU!$B30),"Ocak","Şubat","Mart","Nisan","Mayıs","Haziran","Temmuz","Ağustos","Eylül","Ekim","Kasım","Aralık")&amp;" ayı kâr payı hak edişi  (pay oranı %"&amp;ROUND(IF($U$5="M",AY_SONU!$Z30,AY_SONU!$AA30)*100,1)&amp;")")</f>
        <v/>
      </c>
      <c r="P61" s="1" t="str">
        <f t="shared" si="9"/>
        <v/>
      </c>
      <c r="Q61" s="79">
        <f>IF($U$5="",0,IF($U$5="M",AY_SONU!$M30,AY_SONU!$N30))</f>
        <v>0</v>
      </c>
      <c r="R61" s="1">
        <v>0</v>
      </c>
      <c r="S61" s="1">
        <f t="shared" si="10"/>
        <v>10000000000</v>
      </c>
      <c r="T61" s="1"/>
      <c r="U61" s="1"/>
      <c r="V61" s="1">
        <f t="shared" si="11"/>
        <v>10000000000</v>
      </c>
      <c r="W61" s="1">
        <f t="shared" si="12"/>
        <v>9</v>
      </c>
    </row>
    <row r="62" spans="1:23" ht="19.5" customHeight="1" x14ac:dyDescent="0.3">
      <c r="A62" s="2"/>
      <c r="B62" s="65" t="str">
        <f t="shared" si="2"/>
        <v/>
      </c>
      <c r="C62" s="70" t="str">
        <f t="shared" si="3"/>
        <v/>
      </c>
      <c r="D62" s="180" t="str">
        <f t="shared" si="4"/>
        <v/>
      </c>
      <c r="E62" s="139"/>
      <c r="F62" s="65" t="str">
        <f t="shared" si="5"/>
        <v/>
      </c>
      <c r="G62" s="68" t="str">
        <f t="shared" si="6"/>
        <v/>
      </c>
      <c r="H62" s="68" t="str">
        <f t="shared" si="7"/>
        <v/>
      </c>
      <c r="I62" s="68" t="str">
        <f t="shared" si="8"/>
        <v/>
      </c>
      <c r="J62" s="2"/>
      <c r="K62" s="2"/>
      <c r="L62" s="1"/>
      <c r="M62" s="1">
        <v>25</v>
      </c>
      <c r="N62" s="1" t="str">
        <f>IF($Q62&lt;=0,"",EOMONTH(AY_SONU!$B31,0))</f>
        <v/>
      </c>
      <c r="O62" s="1" t="str">
        <f>IF($N62="","",$C$36&amp;"  –  "&amp;YEAR(AY_SONU!$B31)&amp;" "&amp;CHOOSE(MONTH(AY_SONU!$B31),"Ocak","Şubat","Mart","Nisan","Mayıs","Haziran","Temmuz","Ağustos","Eylül","Ekim","Kasım","Aralık")&amp;" ayı kâr payı hak edişi  (pay oranı %"&amp;ROUND(IF($U$5="M",AY_SONU!$Z31,AY_SONU!$AA31)*100,1)&amp;")")</f>
        <v/>
      </c>
      <c r="P62" s="1" t="str">
        <f t="shared" si="9"/>
        <v/>
      </c>
      <c r="Q62" s="79">
        <f>IF($U$5="",0,IF($U$5="M",AY_SONU!$M31,AY_SONU!$N31))</f>
        <v>0</v>
      </c>
      <c r="R62" s="1">
        <v>0</v>
      </c>
      <c r="S62" s="1">
        <f t="shared" si="10"/>
        <v>10000000000</v>
      </c>
      <c r="T62" s="1"/>
      <c r="U62" s="1"/>
      <c r="V62" s="1">
        <f t="shared" si="11"/>
        <v>10000000000</v>
      </c>
      <c r="W62" s="1">
        <f t="shared" si="12"/>
        <v>9</v>
      </c>
    </row>
    <row r="63" spans="1:23" ht="19.5" customHeight="1" x14ac:dyDescent="0.3">
      <c r="A63" s="2"/>
      <c r="B63" s="65" t="str">
        <f t="shared" si="2"/>
        <v/>
      </c>
      <c r="C63" s="70" t="str">
        <f t="shared" si="3"/>
        <v/>
      </c>
      <c r="D63" s="180" t="str">
        <f t="shared" si="4"/>
        <v/>
      </c>
      <c r="E63" s="139"/>
      <c r="F63" s="65" t="str">
        <f t="shared" si="5"/>
        <v/>
      </c>
      <c r="G63" s="68" t="str">
        <f t="shared" si="6"/>
        <v/>
      </c>
      <c r="H63" s="68" t="str">
        <f t="shared" si="7"/>
        <v/>
      </c>
      <c r="I63" s="68" t="str">
        <f t="shared" si="8"/>
        <v/>
      </c>
      <c r="J63" s="2"/>
      <c r="K63" s="2"/>
      <c r="L63" s="1"/>
      <c r="M63" s="1">
        <v>26</v>
      </c>
      <c r="N63" s="1" t="str">
        <f>IF($Q63&lt;=0,"",EOMONTH(AY_SONU!$B32,0))</f>
        <v/>
      </c>
      <c r="O63" s="1" t="str">
        <f>IF($N63="","",$C$36&amp;"  –  "&amp;YEAR(AY_SONU!$B32)&amp;" "&amp;CHOOSE(MONTH(AY_SONU!$B32),"Ocak","Şubat","Mart","Nisan","Mayıs","Haziran","Temmuz","Ağustos","Eylül","Ekim","Kasım","Aralık")&amp;" ayı kâr payı hak edişi  (pay oranı %"&amp;ROUND(IF($U$5="M",AY_SONU!$Z32,AY_SONU!$AA32)*100,1)&amp;")")</f>
        <v/>
      </c>
      <c r="P63" s="1" t="str">
        <f t="shared" si="9"/>
        <v/>
      </c>
      <c r="Q63" s="79">
        <f>IF($U$5="",0,IF($U$5="M",AY_SONU!$M32,AY_SONU!$N32))</f>
        <v>0</v>
      </c>
      <c r="R63" s="1">
        <v>0</v>
      </c>
      <c r="S63" s="1">
        <f t="shared" si="10"/>
        <v>10000000000</v>
      </c>
      <c r="T63" s="1"/>
      <c r="U63" s="1"/>
      <c r="V63" s="1">
        <f t="shared" si="11"/>
        <v>10000000000</v>
      </c>
      <c r="W63" s="1">
        <f t="shared" si="12"/>
        <v>9</v>
      </c>
    </row>
    <row r="64" spans="1:23" ht="19.5" customHeight="1" x14ac:dyDescent="0.3">
      <c r="A64" s="2"/>
      <c r="B64" s="65" t="str">
        <f t="shared" si="2"/>
        <v/>
      </c>
      <c r="C64" s="70" t="str">
        <f t="shared" si="3"/>
        <v/>
      </c>
      <c r="D64" s="180" t="str">
        <f t="shared" si="4"/>
        <v/>
      </c>
      <c r="E64" s="139"/>
      <c r="F64" s="65" t="str">
        <f t="shared" si="5"/>
        <v/>
      </c>
      <c r="G64" s="68" t="str">
        <f t="shared" si="6"/>
        <v/>
      </c>
      <c r="H64" s="68" t="str">
        <f t="shared" si="7"/>
        <v/>
      </c>
      <c r="I64" s="68" t="str">
        <f t="shared" si="8"/>
        <v/>
      </c>
      <c r="J64" s="2"/>
      <c r="K64" s="2"/>
      <c r="L64" s="1"/>
      <c r="M64" s="1">
        <v>27</v>
      </c>
      <c r="N64" s="1" t="str">
        <f>IF($Q64&lt;=0,"",EOMONTH(AY_SONU!$B33,0))</f>
        <v/>
      </c>
      <c r="O64" s="1" t="str">
        <f>IF($N64="","",$C$36&amp;"  –  "&amp;YEAR(AY_SONU!$B33)&amp;" "&amp;CHOOSE(MONTH(AY_SONU!$B33),"Ocak","Şubat","Mart","Nisan","Mayıs","Haziran","Temmuz","Ağustos","Eylül","Ekim","Kasım","Aralık")&amp;" ayı kâr payı hak edişi  (pay oranı %"&amp;ROUND(IF($U$5="M",AY_SONU!$Z33,AY_SONU!$AA33)*100,1)&amp;")")</f>
        <v/>
      </c>
      <c r="P64" s="1" t="str">
        <f t="shared" si="9"/>
        <v/>
      </c>
      <c r="Q64" s="79">
        <f>IF($U$5="",0,IF($U$5="M",AY_SONU!$M33,AY_SONU!$N33))</f>
        <v>0</v>
      </c>
      <c r="R64" s="1">
        <v>0</v>
      </c>
      <c r="S64" s="1">
        <f t="shared" si="10"/>
        <v>10000000000</v>
      </c>
      <c r="T64" s="1"/>
      <c r="U64" s="1"/>
      <c r="V64" s="1">
        <f t="shared" si="11"/>
        <v>10000000000</v>
      </c>
      <c r="W64" s="1">
        <f t="shared" si="12"/>
        <v>9</v>
      </c>
    </row>
    <row r="65" spans="1:23" ht="19.5" customHeight="1" x14ac:dyDescent="0.3">
      <c r="A65" s="2"/>
      <c r="B65" s="65" t="str">
        <f t="shared" si="2"/>
        <v/>
      </c>
      <c r="C65" s="70" t="str">
        <f t="shared" si="3"/>
        <v/>
      </c>
      <c r="D65" s="180" t="str">
        <f t="shared" si="4"/>
        <v/>
      </c>
      <c r="E65" s="139"/>
      <c r="F65" s="65" t="str">
        <f t="shared" si="5"/>
        <v/>
      </c>
      <c r="G65" s="68" t="str">
        <f t="shared" si="6"/>
        <v/>
      </c>
      <c r="H65" s="68" t="str">
        <f t="shared" si="7"/>
        <v/>
      </c>
      <c r="I65" s="68" t="str">
        <f t="shared" si="8"/>
        <v/>
      </c>
      <c r="J65" s="2"/>
      <c r="K65" s="2"/>
      <c r="L65" s="1"/>
      <c r="M65" s="1">
        <v>28</v>
      </c>
      <c r="N65" s="1" t="str">
        <f>IF($Q65&lt;=0,"",EOMONTH(AY_SONU!$B34,0))</f>
        <v/>
      </c>
      <c r="O65" s="1" t="str">
        <f>IF($N65="","",$C$36&amp;"  –  "&amp;YEAR(AY_SONU!$B34)&amp;" "&amp;CHOOSE(MONTH(AY_SONU!$B34),"Ocak","Şubat","Mart","Nisan","Mayıs","Haziran","Temmuz","Ağustos","Eylül","Ekim","Kasım","Aralık")&amp;" ayı kâr payı hak edişi  (pay oranı %"&amp;ROUND(IF($U$5="M",AY_SONU!$Z34,AY_SONU!$AA34)*100,1)&amp;")")</f>
        <v/>
      </c>
      <c r="P65" s="1" t="str">
        <f t="shared" si="9"/>
        <v/>
      </c>
      <c r="Q65" s="79">
        <f>IF($U$5="",0,IF($U$5="M",AY_SONU!$M34,AY_SONU!$N34))</f>
        <v>0</v>
      </c>
      <c r="R65" s="1">
        <v>0</v>
      </c>
      <c r="S65" s="1">
        <f t="shared" si="10"/>
        <v>10000000000</v>
      </c>
      <c r="T65" s="1"/>
      <c r="U65" s="1"/>
      <c r="V65" s="1">
        <f t="shared" si="11"/>
        <v>10000000000</v>
      </c>
      <c r="W65" s="1">
        <f t="shared" si="12"/>
        <v>9</v>
      </c>
    </row>
    <row r="66" spans="1:23" ht="19.5" customHeight="1" x14ac:dyDescent="0.3">
      <c r="A66" s="2"/>
      <c r="B66" s="65" t="str">
        <f t="shared" si="2"/>
        <v/>
      </c>
      <c r="C66" s="70" t="str">
        <f t="shared" si="3"/>
        <v/>
      </c>
      <c r="D66" s="180" t="str">
        <f t="shared" si="4"/>
        <v/>
      </c>
      <c r="E66" s="139"/>
      <c r="F66" s="65" t="str">
        <f t="shared" si="5"/>
        <v/>
      </c>
      <c r="G66" s="68" t="str">
        <f t="shared" si="6"/>
        <v/>
      </c>
      <c r="H66" s="68" t="str">
        <f t="shared" si="7"/>
        <v/>
      </c>
      <c r="I66" s="68" t="str">
        <f t="shared" si="8"/>
        <v/>
      </c>
      <c r="J66" s="2"/>
      <c r="K66" s="2"/>
      <c r="L66" s="1"/>
      <c r="M66" s="1">
        <v>29</v>
      </c>
      <c r="N66" s="1" t="str">
        <f>IF($Q66&lt;=0,"",EOMONTH(AY_SONU!$B35,0))</f>
        <v/>
      </c>
      <c r="O66" s="1" t="str">
        <f>IF($N66="","",$C$36&amp;"  –  "&amp;YEAR(AY_SONU!$B35)&amp;" "&amp;CHOOSE(MONTH(AY_SONU!$B35),"Ocak","Şubat","Mart","Nisan","Mayıs","Haziran","Temmuz","Ağustos","Eylül","Ekim","Kasım","Aralık")&amp;" ayı kâr payı hak edişi  (pay oranı %"&amp;ROUND(IF($U$5="M",AY_SONU!$Z35,AY_SONU!$AA35)*100,1)&amp;")")</f>
        <v/>
      </c>
      <c r="P66" s="1" t="str">
        <f t="shared" si="9"/>
        <v/>
      </c>
      <c r="Q66" s="79">
        <f>IF($U$5="",0,IF($U$5="M",AY_SONU!$M35,AY_SONU!$N35))</f>
        <v>0</v>
      </c>
      <c r="R66" s="1">
        <v>0</v>
      </c>
      <c r="S66" s="1">
        <f t="shared" si="10"/>
        <v>10000000000</v>
      </c>
      <c r="T66" s="1"/>
      <c r="U66" s="1"/>
      <c r="V66" s="1">
        <f t="shared" si="11"/>
        <v>10000000000</v>
      </c>
      <c r="W66" s="1">
        <f t="shared" si="12"/>
        <v>9</v>
      </c>
    </row>
    <row r="67" spans="1:23" ht="19.5" customHeight="1" x14ac:dyDescent="0.3">
      <c r="A67" s="2"/>
      <c r="B67" s="65" t="str">
        <f t="shared" si="2"/>
        <v/>
      </c>
      <c r="C67" s="70" t="str">
        <f t="shared" si="3"/>
        <v/>
      </c>
      <c r="D67" s="180" t="str">
        <f t="shared" si="4"/>
        <v/>
      </c>
      <c r="E67" s="139"/>
      <c r="F67" s="65" t="str">
        <f t="shared" si="5"/>
        <v/>
      </c>
      <c r="G67" s="68" t="str">
        <f t="shared" si="6"/>
        <v/>
      </c>
      <c r="H67" s="68" t="str">
        <f t="shared" si="7"/>
        <v/>
      </c>
      <c r="I67" s="68" t="str">
        <f t="shared" si="8"/>
        <v/>
      </c>
      <c r="J67" s="2"/>
      <c r="K67" s="2"/>
      <c r="L67" s="1"/>
      <c r="M67" s="1">
        <v>30</v>
      </c>
      <c r="N67" s="1" t="str">
        <f>IF($Q67&lt;=0,"",EOMONTH(AY_SONU!$B36,0))</f>
        <v/>
      </c>
      <c r="O67" s="1" t="str">
        <f>IF($N67="","",$C$36&amp;"  –  "&amp;YEAR(AY_SONU!$B36)&amp;" "&amp;CHOOSE(MONTH(AY_SONU!$B36),"Ocak","Şubat","Mart","Nisan","Mayıs","Haziran","Temmuz","Ağustos","Eylül","Ekim","Kasım","Aralık")&amp;" ayı kâr payı hak edişi  (pay oranı %"&amp;ROUND(IF($U$5="M",AY_SONU!$Z36,AY_SONU!$AA36)*100,1)&amp;")")</f>
        <v/>
      </c>
      <c r="P67" s="1" t="str">
        <f t="shared" si="9"/>
        <v/>
      </c>
      <c r="Q67" s="79">
        <f>IF($U$5="",0,IF($U$5="M",AY_SONU!$M36,AY_SONU!$N36))</f>
        <v>0</v>
      </c>
      <c r="R67" s="1">
        <v>0</v>
      </c>
      <c r="S67" s="1">
        <f t="shared" si="10"/>
        <v>10000000000</v>
      </c>
      <c r="T67" s="1"/>
      <c r="U67" s="1"/>
      <c r="V67" s="1">
        <f t="shared" si="11"/>
        <v>10000000000</v>
      </c>
      <c r="W67" s="1">
        <f t="shared" si="12"/>
        <v>9</v>
      </c>
    </row>
    <row r="68" spans="1:23" ht="19.5" customHeight="1" x14ac:dyDescent="0.3">
      <c r="A68" s="2"/>
      <c r="B68" s="65" t="str">
        <f t="shared" si="2"/>
        <v/>
      </c>
      <c r="C68" s="70" t="str">
        <f t="shared" si="3"/>
        <v/>
      </c>
      <c r="D68" s="180" t="str">
        <f t="shared" si="4"/>
        <v/>
      </c>
      <c r="E68" s="139"/>
      <c r="F68" s="65" t="str">
        <f t="shared" si="5"/>
        <v/>
      </c>
      <c r="G68" s="68" t="str">
        <f t="shared" si="6"/>
        <v/>
      </c>
      <c r="H68" s="68" t="str">
        <f t="shared" si="7"/>
        <v/>
      </c>
      <c r="I68" s="68" t="str">
        <f t="shared" si="8"/>
        <v/>
      </c>
      <c r="J68" s="2"/>
      <c r="K68" s="2"/>
      <c r="L68" s="1"/>
      <c r="M68" s="1">
        <v>31</v>
      </c>
      <c r="N68" s="1" t="str">
        <f>IF($Q68&lt;=0,"",EOMONTH(AY_SONU!$B37,0))</f>
        <v/>
      </c>
      <c r="O68" s="1" t="str">
        <f>IF($N68="","",$C$36&amp;"  –  "&amp;YEAR(AY_SONU!$B37)&amp;" "&amp;CHOOSE(MONTH(AY_SONU!$B37),"Ocak","Şubat","Mart","Nisan","Mayıs","Haziran","Temmuz","Ağustos","Eylül","Ekim","Kasım","Aralık")&amp;" ayı kâr payı hak edişi  (pay oranı %"&amp;ROUND(IF($U$5="M",AY_SONU!$Z37,AY_SONU!$AA37)*100,1)&amp;")")</f>
        <v/>
      </c>
      <c r="P68" s="1" t="str">
        <f t="shared" si="9"/>
        <v/>
      </c>
      <c r="Q68" s="79">
        <f>IF($U$5="",0,IF($U$5="M",AY_SONU!$M37,AY_SONU!$N37))</f>
        <v>0</v>
      </c>
      <c r="R68" s="1">
        <v>0</v>
      </c>
      <c r="S68" s="1">
        <f t="shared" si="10"/>
        <v>10000000000</v>
      </c>
      <c r="T68" s="1"/>
      <c r="U68" s="1"/>
      <c r="V68" s="1">
        <f t="shared" si="11"/>
        <v>10000000000</v>
      </c>
      <c r="W68" s="1">
        <f t="shared" si="12"/>
        <v>9</v>
      </c>
    </row>
    <row r="69" spans="1:23" ht="19.5" customHeight="1" x14ac:dyDescent="0.3">
      <c r="A69" s="2"/>
      <c r="B69" s="65" t="str">
        <f t="shared" si="2"/>
        <v/>
      </c>
      <c r="C69" s="70" t="str">
        <f t="shared" si="3"/>
        <v/>
      </c>
      <c r="D69" s="180" t="str">
        <f t="shared" si="4"/>
        <v/>
      </c>
      <c r="E69" s="139"/>
      <c r="F69" s="65" t="str">
        <f t="shared" si="5"/>
        <v/>
      </c>
      <c r="G69" s="68" t="str">
        <f t="shared" si="6"/>
        <v/>
      </c>
      <c r="H69" s="68" t="str">
        <f t="shared" si="7"/>
        <v/>
      </c>
      <c r="I69" s="68" t="str">
        <f t="shared" si="8"/>
        <v/>
      </c>
      <c r="J69" s="2"/>
      <c r="K69" s="2"/>
      <c r="L69" s="1"/>
      <c r="M69" s="1">
        <v>32</v>
      </c>
      <c r="N69" s="1" t="str">
        <f>IF($Q69&lt;=0,"",EOMONTH(AY_SONU!$B38,0))</f>
        <v/>
      </c>
      <c r="O69" s="1" t="str">
        <f>IF($N69="","",$C$36&amp;"  –  "&amp;YEAR(AY_SONU!$B38)&amp;" "&amp;CHOOSE(MONTH(AY_SONU!$B38),"Ocak","Şubat","Mart","Nisan","Mayıs","Haziran","Temmuz","Ağustos","Eylül","Ekim","Kasım","Aralık")&amp;" ayı kâr payı hak edişi  (pay oranı %"&amp;ROUND(IF($U$5="M",AY_SONU!$Z38,AY_SONU!$AA38)*100,1)&amp;")")</f>
        <v/>
      </c>
      <c r="P69" s="1" t="str">
        <f t="shared" si="9"/>
        <v/>
      </c>
      <c r="Q69" s="79">
        <f>IF($U$5="",0,IF($U$5="M",AY_SONU!$M38,AY_SONU!$N38))</f>
        <v>0</v>
      </c>
      <c r="R69" s="1">
        <v>0</v>
      </c>
      <c r="S69" s="1">
        <f t="shared" si="10"/>
        <v>10000000000</v>
      </c>
      <c r="T69" s="1"/>
      <c r="U69" s="1"/>
      <c r="V69" s="1">
        <f t="shared" si="11"/>
        <v>10000000000</v>
      </c>
      <c r="W69" s="1">
        <f t="shared" si="12"/>
        <v>9</v>
      </c>
    </row>
    <row r="70" spans="1:23" ht="19.5" customHeight="1" x14ac:dyDescent="0.3">
      <c r="A70" s="2"/>
      <c r="B70" s="65" t="str">
        <f t="shared" ref="B70:B101" si="13">IF($C70="","",ROW()-37)</f>
        <v/>
      </c>
      <c r="C70" s="70" t="str">
        <f t="shared" ref="C70:C101" si="14">IF($W70="","",IF(INDEX($N$38:$N$193,$W70)="","",INDEX($N$38:$N$193,$W70)))</f>
        <v/>
      </c>
      <c r="D70" s="180" t="str">
        <f t="shared" ref="D70:D101" si="15">IF($C70="","",INDEX($O$38:$O$193,$W70))</f>
        <v/>
      </c>
      <c r="E70" s="139"/>
      <c r="F70" s="65" t="str">
        <f t="shared" ref="F70:F101" si="16">IF($C70="","",INDEX($P$38:$P$193,$W70))</f>
        <v/>
      </c>
      <c r="G70" s="68" t="str">
        <f t="shared" ref="G70:G101" si="17">IF($C70="","",INDEX($Q$38:$Q$193,$W70))</f>
        <v/>
      </c>
      <c r="H70" s="68" t="str">
        <f t="shared" ref="H70:H101" si="18">IF($C70="","",INDEX($R$38:$R$193,$W70))</f>
        <v/>
      </c>
      <c r="I70" s="68" t="str">
        <f t="shared" ref="I70:I101" si="19">IF($C70="","",N($I69)+$G70-$H70)</f>
        <v/>
      </c>
      <c r="J70" s="2"/>
      <c r="K70" s="2"/>
      <c r="L70" s="1"/>
      <c r="M70" s="1">
        <v>33</v>
      </c>
      <c r="N70" s="1" t="str">
        <f>IF($Q70&lt;=0,"",EOMONTH(AY_SONU!$B39,0))</f>
        <v/>
      </c>
      <c r="O70" s="1" t="str">
        <f>IF($N70="","",$C$36&amp;"  –  "&amp;YEAR(AY_SONU!$B39)&amp;" "&amp;CHOOSE(MONTH(AY_SONU!$B39),"Ocak","Şubat","Mart","Nisan","Mayıs","Haziran","Temmuz","Ağustos","Eylül","Ekim","Kasım","Aralık")&amp;" ayı kâr payı hak edişi  (pay oranı %"&amp;ROUND(IF($U$5="M",AY_SONU!$Z39,AY_SONU!$AA39)*100,1)&amp;")")</f>
        <v/>
      </c>
      <c r="P70" s="1" t="str">
        <f t="shared" si="9"/>
        <v/>
      </c>
      <c r="Q70" s="79">
        <f>IF($U$5="",0,IF($U$5="M",AY_SONU!$M39,AY_SONU!$N39))</f>
        <v>0</v>
      </c>
      <c r="R70" s="1">
        <v>0</v>
      </c>
      <c r="S70" s="1">
        <f t="shared" ref="S70:S101" si="20">IF($N70="",10000000000,$N70*100000+$M70)</f>
        <v>10000000000</v>
      </c>
      <c r="T70" s="1"/>
      <c r="U70" s="1"/>
      <c r="V70" s="1">
        <f t="shared" ref="V70:V101" si="21">IFERROR(SMALL($S$38:$S$193,ROW()-37),"")</f>
        <v>10000000000</v>
      </c>
      <c r="W70" s="1">
        <f t="shared" ref="W70:W101" si="22">IFERROR(MATCH($V70,$S$38:$S$193,0),"")</f>
        <v>9</v>
      </c>
    </row>
    <row r="71" spans="1:23" ht="19.5" customHeight="1" x14ac:dyDescent="0.3">
      <c r="A71" s="2"/>
      <c r="B71" s="65" t="str">
        <f t="shared" si="13"/>
        <v/>
      </c>
      <c r="C71" s="70" t="str">
        <f t="shared" si="14"/>
        <v/>
      </c>
      <c r="D71" s="180" t="str">
        <f t="shared" si="15"/>
        <v/>
      </c>
      <c r="E71" s="139"/>
      <c r="F71" s="65" t="str">
        <f t="shared" si="16"/>
        <v/>
      </c>
      <c r="G71" s="68" t="str">
        <f t="shared" si="17"/>
        <v/>
      </c>
      <c r="H71" s="68" t="str">
        <f t="shared" si="18"/>
        <v/>
      </c>
      <c r="I71" s="68" t="str">
        <f t="shared" si="19"/>
        <v/>
      </c>
      <c r="J71" s="2"/>
      <c r="K71" s="2"/>
      <c r="L71" s="1"/>
      <c r="M71" s="1">
        <v>34</v>
      </c>
      <c r="N71" s="1" t="str">
        <f>IF($Q71&lt;=0,"",EOMONTH(AY_SONU!$B40,0))</f>
        <v/>
      </c>
      <c r="O71" s="1" t="str">
        <f>IF($N71="","",$C$36&amp;"  –  "&amp;YEAR(AY_SONU!$B40)&amp;" "&amp;CHOOSE(MONTH(AY_SONU!$B40),"Ocak","Şubat","Mart","Nisan","Mayıs","Haziran","Temmuz","Ağustos","Eylül","Ekim","Kasım","Aralık")&amp;" ayı kâr payı hak edişi  (pay oranı %"&amp;ROUND(IF($U$5="M",AY_SONU!$Z40,AY_SONU!$AA40)*100,1)&amp;")")</f>
        <v/>
      </c>
      <c r="P71" s="1" t="str">
        <f t="shared" si="9"/>
        <v/>
      </c>
      <c r="Q71" s="79">
        <f>IF($U$5="",0,IF($U$5="M",AY_SONU!$M40,AY_SONU!$N40))</f>
        <v>0</v>
      </c>
      <c r="R71" s="1">
        <v>0</v>
      </c>
      <c r="S71" s="1">
        <f t="shared" si="20"/>
        <v>10000000000</v>
      </c>
      <c r="T71" s="1"/>
      <c r="U71" s="1"/>
      <c r="V71" s="1">
        <f t="shared" si="21"/>
        <v>10000000000</v>
      </c>
      <c r="W71" s="1">
        <f t="shared" si="22"/>
        <v>9</v>
      </c>
    </row>
    <row r="72" spans="1:23" ht="19.5" customHeight="1" x14ac:dyDescent="0.3">
      <c r="A72" s="2"/>
      <c r="B72" s="65" t="str">
        <f t="shared" si="13"/>
        <v/>
      </c>
      <c r="C72" s="70" t="str">
        <f t="shared" si="14"/>
        <v/>
      </c>
      <c r="D72" s="180" t="str">
        <f t="shared" si="15"/>
        <v/>
      </c>
      <c r="E72" s="139"/>
      <c r="F72" s="65" t="str">
        <f t="shared" si="16"/>
        <v/>
      </c>
      <c r="G72" s="68" t="str">
        <f t="shared" si="17"/>
        <v/>
      </c>
      <c r="H72" s="68" t="str">
        <f t="shared" si="18"/>
        <v/>
      </c>
      <c r="I72" s="68" t="str">
        <f t="shared" si="19"/>
        <v/>
      </c>
      <c r="J72" s="2"/>
      <c r="K72" s="2"/>
      <c r="L72" s="1"/>
      <c r="M72" s="1">
        <v>35</v>
      </c>
      <c r="N72" s="1" t="str">
        <f>IF($Q72&lt;=0,"",EOMONTH(AY_SONU!$B41,0))</f>
        <v/>
      </c>
      <c r="O72" s="1" t="str">
        <f>IF($N72="","",$C$36&amp;"  –  "&amp;YEAR(AY_SONU!$B41)&amp;" "&amp;CHOOSE(MONTH(AY_SONU!$B41),"Ocak","Şubat","Mart","Nisan","Mayıs","Haziran","Temmuz","Ağustos","Eylül","Ekim","Kasım","Aralık")&amp;" ayı kâr payı hak edişi  (pay oranı %"&amp;ROUND(IF($U$5="M",AY_SONU!$Z41,AY_SONU!$AA41)*100,1)&amp;")")</f>
        <v/>
      </c>
      <c r="P72" s="1" t="str">
        <f t="shared" si="9"/>
        <v/>
      </c>
      <c r="Q72" s="79">
        <f>IF($U$5="",0,IF($U$5="M",AY_SONU!$M41,AY_SONU!$N41))</f>
        <v>0</v>
      </c>
      <c r="R72" s="1">
        <v>0</v>
      </c>
      <c r="S72" s="1">
        <f t="shared" si="20"/>
        <v>10000000000</v>
      </c>
      <c r="T72" s="1"/>
      <c r="U72" s="1"/>
      <c r="V72" s="1">
        <f t="shared" si="21"/>
        <v>10000000000</v>
      </c>
      <c r="W72" s="1">
        <f t="shared" si="22"/>
        <v>9</v>
      </c>
    </row>
    <row r="73" spans="1:23" ht="19.5" customHeight="1" x14ac:dyDescent="0.3">
      <c r="A73" s="2"/>
      <c r="B73" s="65" t="str">
        <f t="shared" si="13"/>
        <v/>
      </c>
      <c r="C73" s="70" t="str">
        <f t="shared" si="14"/>
        <v/>
      </c>
      <c r="D73" s="180" t="str">
        <f t="shared" si="15"/>
        <v/>
      </c>
      <c r="E73" s="139"/>
      <c r="F73" s="65" t="str">
        <f t="shared" si="16"/>
        <v/>
      </c>
      <c r="G73" s="68" t="str">
        <f t="shared" si="17"/>
        <v/>
      </c>
      <c r="H73" s="68" t="str">
        <f t="shared" si="18"/>
        <v/>
      </c>
      <c r="I73" s="68" t="str">
        <f t="shared" si="19"/>
        <v/>
      </c>
      <c r="J73" s="2"/>
      <c r="K73" s="2"/>
      <c r="L73" s="1"/>
      <c r="M73" s="1">
        <v>36</v>
      </c>
      <c r="N73" s="1" t="str">
        <f>IF($Q73&lt;=0,"",EOMONTH(AY_SONU!$B42,0))</f>
        <v/>
      </c>
      <c r="O73" s="1" t="str">
        <f>IF($N73="","",$C$36&amp;"  –  "&amp;YEAR(AY_SONU!$B42)&amp;" "&amp;CHOOSE(MONTH(AY_SONU!$B42),"Ocak","Şubat","Mart","Nisan","Mayıs","Haziran","Temmuz","Ağustos","Eylül","Ekim","Kasım","Aralık")&amp;" ayı kâr payı hak edişi  (pay oranı %"&amp;ROUND(IF($U$5="M",AY_SONU!$Z42,AY_SONU!$AA42)*100,1)&amp;")")</f>
        <v/>
      </c>
      <c r="P73" s="1" t="str">
        <f t="shared" si="9"/>
        <v/>
      </c>
      <c r="Q73" s="79">
        <f>IF($U$5="",0,IF($U$5="M",AY_SONU!$M42,AY_SONU!$N42))</f>
        <v>0</v>
      </c>
      <c r="R73" s="1">
        <v>0</v>
      </c>
      <c r="S73" s="1">
        <f t="shared" si="20"/>
        <v>10000000000</v>
      </c>
      <c r="T73" s="1"/>
      <c r="U73" s="1"/>
      <c r="V73" s="1">
        <f t="shared" si="21"/>
        <v>10000000000</v>
      </c>
      <c r="W73" s="1">
        <f t="shared" si="22"/>
        <v>9</v>
      </c>
    </row>
    <row r="74" spans="1:23" ht="19.5" customHeight="1" x14ac:dyDescent="0.3">
      <c r="A74" s="2"/>
      <c r="B74" s="65" t="str">
        <f t="shared" si="13"/>
        <v/>
      </c>
      <c r="C74" s="70" t="str">
        <f t="shared" si="14"/>
        <v/>
      </c>
      <c r="D74" s="180" t="str">
        <f t="shared" si="15"/>
        <v/>
      </c>
      <c r="E74" s="139"/>
      <c r="F74" s="65" t="str">
        <f t="shared" si="16"/>
        <v/>
      </c>
      <c r="G74" s="68" t="str">
        <f t="shared" si="17"/>
        <v/>
      </c>
      <c r="H74" s="68" t="str">
        <f t="shared" si="18"/>
        <v/>
      </c>
      <c r="I74" s="68" t="str">
        <f t="shared" si="19"/>
        <v/>
      </c>
      <c r="J74" s="2"/>
      <c r="K74" s="2"/>
      <c r="L74" s="1"/>
      <c r="M74" s="1">
        <v>37</v>
      </c>
      <c r="N74" s="1">
        <f>IF($T74=0,"",INDEX(VIRMAN!$C$7:$C$406,$T74))</f>
        <v>46053</v>
      </c>
      <c r="O74" s="1" t="str">
        <f>IF($N74="","",$C$36&amp;"  –  ORTAK ÇEKİŞ / AVANS  ("&amp;INDEX(VIRMAN!$D$7:$D$406,$T74)&amp;" hesabından)"&amp;IF(INDEX(VIRMAN!$G$7:$G$406,$T74)="",""," – "&amp;INDEX(VIRMAN!$G$7:$G$406,$T74)))</f>
        <v>ALİ KILIÇ  –  ORTAK ÇEKİŞ / AVANS  (MERKEZ KASA hesabından) – KÂR PAYI / AVANS ÇEKİŞİ — Ocak Ayı Kâr Payı Ödemesi — eski GELIR_GIDER satır 27</v>
      </c>
      <c r="P74" s="1" t="str">
        <f t="shared" ref="P74:P105" si="23">IF($N74="","","ÇEKİŞ / AVANS")</f>
        <v>ÇEKİŞ / AVANS</v>
      </c>
      <c r="Q74" s="1">
        <f>0</f>
        <v>0</v>
      </c>
      <c r="R74" s="1">
        <f>IF($N74="",0,INDEX(VIRMAN!$F$7:$F$406,$T74))</f>
        <v>127783.09</v>
      </c>
      <c r="S74" s="1">
        <f t="shared" si="20"/>
        <v>4605300037</v>
      </c>
      <c r="T74" s="1">
        <f>IFERROR(MATCH($C$36&amp;"|1",VIRMAN!$M$7:$M$406,0),0)</f>
        <v>33</v>
      </c>
      <c r="U74" s="1"/>
      <c r="V74" s="1">
        <f t="shared" si="21"/>
        <v>10000000000</v>
      </c>
      <c r="W74" s="1">
        <f t="shared" si="22"/>
        <v>9</v>
      </c>
    </row>
    <row r="75" spans="1:23" ht="19.5" customHeight="1" x14ac:dyDescent="0.3">
      <c r="A75" s="2"/>
      <c r="B75" s="65" t="str">
        <f t="shared" si="13"/>
        <v/>
      </c>
      <c r="C75" s="70" t="str">
        <f t="shared" si="14"/>
        <v/>
      </c>
      <c r="D75" s="180" t="str">
        <f t="shared" si="15"/>
        <v/>
      </c>
      <c r="E75" s="139"/>
      <c r="F75" s="65" t="str">
        <f t="shared" si="16"/>
        <v/>
      </c>
      <c r="G75" s="68" t="str">
        <f t="shared" si="17"/>
        <v/>
      </c>
      <c r="H75" s="68" t="str">
        <f t="shared" si="18"/>
        <v/>
      </c>
      <c r="I75" s="68" t="str">
        <f t="shared" si="19"/>
        <v/>
      </c>
      <c r="J75" s="2"/>
      <c r="K75" s="2"/>
      <c r="L75" s="1"/>
      <c r="M75" s="1">
        <v>38</v>
      </c>
      <c r="N75" s="1">
        <f>IF($T75=0,"",INDEX(VIRMAN!$C$7:$C$406,$T75))</f>
        <v>46081</v>
      </c>
      <c r="O75" s="1" t="str">
        <f>IF($N75="","",$C$36&amp;"  –  ORTAK ÇEKİŞ / AVANS  ("&amp;INDEX(VIRMAN!$D$7:$D$406,$T75)&amp;" hesabından)"&amp;IF(INDEX(VIRMAN!$G$7:$G$406,$T75)="",""," – "&amp;INDEX(VIRMAN!$G$7:$G$406,$T75)))</f>
        <v>ALİ KILIÇ  –  ORTAK ÇEKİŞ / AVANS  (MERKEZ KASA hesabından) – KÂR PAYI / AVANS ÇEKİŞİ — Şubat Ayı Kâr Payı Ödemesi — eski GELIR_GIDER satır 67</v>
      </c>
      <c r="P75" s="1" t="str">
        <f t="shared" si="23"/>
        <v>ÇEKİŞ / AVANS</v>
      </c>
      <c r="Q75" s="1">
        <f>0</f>
        <v>0</v>
      </c>
      <c r="R75" s="1">
        <f>IF($N75="",0,INDEX(VIRMAN!$F$7:$F$406,$T75))</f>
        <v>10310.91</v>
      </c>
      <c r="S75" s="1">
        <f t="shared" si="20"/>
        <v>4608100038</v>
      </c>
      <c r="T75" s="1">
        <f>IFERROR(MATCH($C$36&amp;"|2",VIRMAN!$M$7:$M$406,0),0)</f>
        <v>35</v>
      </c>
      <c r="U75" s="1"/>
      <c r="V75" s="1">
        <f t="shared" si="21"/>
        <v>10000000000</v>
      </c>
      <c r="W75" s="1">
        <f t="shared" si="22"/>
        <v>9</v>
      </c>
    </row>
    <row r="76" spans="1:23" ht="19.5" customHeight="1" x14ac:dyDescent="0.3">
      <c r="A76" s="2"/>
      <c r="B76" s="65" t="str">
        <f t="shared" si="13"/>
        <v/>
      </c>
      <c r="C76" s="70" t="str">
        <f t="shared" si="14"/>
        <v/>
      </c>
      <c r="D76" s="180" t="str">
        <f t="shared" si="15"/>
        <v/>
      </c>
      <c r="E76" s="139"/>
      <c r="F76" s="65" t="str">
        <f t="shared" si="16"/>
        <v/>
      </c>
      <c r="G76" s="68" t="str">
        <f t="shared" si="17"/>
        <v/>
      </c>
      <c r="H76" s="68" t="str">
        <f t="shared" si="18"/>
        <v/>
      </c>
      <c r="I76" s="68" t="str">
        <f t="shared" si="19"/>
        <v/>
      </c>
      <c r="J76" s="2"/>
      <c r="K76" s="2"/>
      <c r="L76" s="1"/>
      <c r="M76" s="1">
        <v>39</v>
      </c>
      <c r="N76" s="1">
        <f>IF($T76=0,"",INDEX(VIRMAN!$C$7:$C$406,$T76))</f>
        <v>46112</v>
      </c>
      <c r="O76" s="1" t="str">
        <f>IF($N76="","",$C$36&amp;"  –  ORTAK ÇEKİŞ / AVANS  ("&amp;INDEX(VIRMAN!$D$7:$D$406,$T76)&amp;" hesabından)"&amp;IF(INDEX(VIRMAN!$G$7:$G$406,$T76)="",""," – "&amp;INDEX(VIRMAN!$G$7:$G$406,$T76)))</f>
        <v>ALİ KILIÇ  –  ORTAK ÇEKİŞ / AVANS  (MERKEZ KASA hesabından) – KÂR PAYI / AVANS ÇEKİŞİ — Mart Ayı Kâr Payı Ödemesi — eski GELIR_GIDER satır 95</v>
      </c>
      <c r="P76" s="1" t="str">
        <f t="shared" si="23"/>
        <v>ÇEKİŞ / AVANS</v>
      </c>
      <c r="Q76" s="1">
        <f>0</f>
        <v>0</v>
      </c>
      <c r="R76" s="1">
        <f>IF($N76="",0,INDEX(VIRMAN!$F$7:$F$406,$T76))</f>
        <v>77421.02</v>
      </c>
      <c r="S76" s="1">
        <f t="shared" si="20"/>
        <v>4611200039</v>
      </c>
      <c r="T76" s="1">
        <f>IFERROR(MATCH($C$36&amp;"|3",VIRMAN!$M$7:$M$406,0),0)</f>
        <v>37</v>
      </c>
      <c r="U76" s="1"/>
      <c r="V76" s="1">
        <f t="shared" si="21"/>
        <v>10000000000</v>
      </c>
      <c r="W76" s="1">
        <f t="shared" si="22"/>
        <v>9</v>
      </c>
    </row>
    <row r="77" spans="1:23" ht="19.5" customHeight="1" x14ac:dyDescent="0.3">
      <c r="A77" s="2"/>
      <c r="B77" s="65" t="str">
        <f t="shared" si="13"/>
        <v/>
      </c>
      <c r="C77" s="70" t="str">
        <f t="shared" si="14"/>
        <v/>
      </c>
      <c r="D77" s="180" t="str">
        <f t="shared" si="15"/>
        <v/>
      </c>
      <c r="E77" s="139"/>
      <c r="F77" s="65" t="str">
        <f t="shared" si="16"/>
        <v/>
      </c>
      <c r="G77" s="68" t="str">
        <f t="shared" si="17"/>
        <v/>
      </c>
      <c r="H77" s="68" t="str">
        <f t="shared" si="18"/>
        <v/>
      </c>
      <c r="I77" s="68" t="str">
        <f t="shared" si="19"/>
        <v/>
      </c>
      <c r="J77" s="2"/>
      <c r="K77" s="2"/>
      <c r="L77" s="1"/>
      <c r="M77" s="1">
        <v>40</v>
      </c>
      <c r="N77" s="1">
        <f>IF($T77=0,"",INDEX(VIRMAN!$C$7:$C$406,$T77))</f>
        <v>46142</v>
      </c>
      <c r="O77" s="1" t="str">
        <f>IF($N77="","",$C$36&amp;"  –  ORTAK ÇEKİŞ / AVANS  ("&amp;INDEX(VIRMAN!$D$7:$D$406,$T77)&amp;" hesabından)"&amp;IF(INDEX(VIRMAN!$G$7:$G$406,$T77)="",""," – "&amp;INDEX(VIRMAN!$G$7:$G$406,$T77)))</f>
        <v>ALİ KILIÇ  –  ORTAK ÇEKİŞ / AVANS  (MERKEZ KASA hesabından) – KÂR PAYI / AVANS ÇEKİŞİ — Nisan Ayı Kâr Payı Ödemesi — eski GELIR_GIDER satır 135</v>
      </c>
      <c r="P77" s="1" t="str">
        <f t="shared" si="23"/>
        <v>ÇEKİŞ / AVANS</v>
      </c>
      <c r="Q77" s="1">
        <f>0</f>
        <v>0</v>
      </c>
      <c r="R77" s="1">
        <f>IF($N77="",0,INDEX(VIRMAN!$F$7:$F$406,$T77))</f>
        <v>137353</v>
      </c>
      <c r="S77" s="1">
        <f t="shared" si="20"/>
        <v>4614200040</v>
      </c>
      <c r="T77" s="1">
        <f>IFERROR(MATCH($C$36&amp;"|4",VIRMAN!$M$7:$M$406,0),0)</f>
        <v>39</v>
      </c>
      <c r="U77" s="1"/>
      <c r="V77" s="1">
        <f t="shared" si="21"/>
        <v>10000000000</v>
      </c>
      <c r="W77" s="1">
        <f t="shared" si="22"/>
        <v>9</v>
      </c>
    </row>
    <row r="78" spans="1:23" ht="19.5" customHeight="1" x14ac:dyDescent="0.3">
      <c r="A78" s="2"/>
      <c r="B78" s="65" t="str">
        <f t="shared" si="13"/>
        <v/>
      </c>
      <c r="C78" s="70" t="str">
        <f t="shared" si="14"/>
        <v/>
      </c>
      <c r="D78" s="180" t="str">
        <f t="shared" si="15"/>
        <v/>
      </c>
      <c r="E78" s="139"/>
      <c r="F78" s="65" t="str">
        <f t="shared" si="16"/>
        <v/>
      </c>
      <c r="G78" s="68" t="str">
        <f t="shared" si="17"/>
        <v/>
      </c>
      <c r="H78" s="68" t="str">
        <f t="shared" si="18"/>
        <v/>
      </c>
      <c r="I78" s="68" t="str">
        <f t="shared" si="19"/>
        <v/>
      </c>
      <c r="J78" s="2"/>
      <c r="K78" s="2"/>
      <c r="L78" s="1"/>
      <c r="M78" s="1">
        <v>41</v>
      </c>
      <c r="N78" s="1">
        <f>IF($T78=0,"",INDEX(VIRMAN!$C$7:$C$406,$T78))</f>
        <v>46173</v>
      </c>
      <c r="O78" s="1" t="str">
        <f>IF($N78="","",$C$36&amp;"  –  ORTAK ÇEKİŞ / AVANS  ("&amp;INDEX(VIRMAN!$D$7:$D$406,$T78)&amp;" hesabından)"&amp;IF(INDEX(VIRMAN!$G$7:$G$406,$T78)="",""," – "&amp;INDEX(VIRMAN!$G$7:$G$406,$T78)))</f>
        <v>ALİ KILIÇ  –  ORTAK ÇEKİŞ / AVANS  (MERKEZ KASA hesabından) – KÂR PAYI / AVANS ÇEKİŞİ — Mayıs Ayı Kâr Payı Ödemesi — eski GELIR_GIDER satır 168</v>
      </c>
      <c r="P78" s="1" t="str">
        <f t="shared" si="23"/>
        <v>ÇEKİŞ / AVANS</v>
      </c>
      <c r="Q78" s="1">
        <f>0</f>
        <v>0</v>
      </c>
      <c r="R78" s="1">
        <f>IF($N78="",0,INDEX(VIRMAN!$F$7:$F$406,$T78))</f>
        <v>109773</v>
      </c>
      <c r="S78" s="1">
        <f t="shared" si="20"/>
        <v>4617300041</v>
      </c>
      <c r="T78" s="1">
        <f>IFERROR(MATCH($C$36&amp;"|5",VIRMAN!$M$7:$M$406,0),0)</f>
        <v>41</v>
      </c>
      <c r="U78" s="1"/>
      <c r="V78" s="1">
        <f t="shared" si="21"/>
        <v>10000000000</v>
      </c>
      <c r="W78" s="1">
        <f t="shared" si="22"/>
        <v>9</v>
      </c>
    </row>
    <row r="79" spans="1:23" ht="19.5" customHeight="1" x14ac:dyDescent="0.3">
      <c r="A79" s="2"/>
      <c r="B79" s="65" t="str">
        <f t="shared" si="13"/>
        <v/>
      </c>
      <c r="C79" s="70" t="str">
        <f t="shared" si="14"/>
        <v/>
      </c>
      <c r="D79" s="180" t="str">
        <f t="shared" si="15"/>
        <v/>
      </c>
      <c r="E79" s="139"/>
      <c r="F79" s="65" t="str">
        <f t="shared" si="16"/>
        <v/>
      </c>
      <c r="G79" s="68" t="str">
        <f t="shared" si="17"/>
        <v/>
      </c>
      <c r="H79" s="68" t="str">
        <f t="shared" si="18"/>
        <v/>
      </c>
      <c r="I79" s="68" t="str">
        <f t="shared" si="19"/>
        <v/>
      </c>
      <c r="J79" s="2"/>
      <c r="K79" s="2"/>
      <c r="L79" s="1"/>
      <c r="M79" s="1">
        <v>42</v>
      </c>
      <c r="N79" s="1">
        <f>IF($T79=0,"",INDEX(VIRMAN!$C$7:$C$406,$T79))</f>
        <v>46203</v>
      </c>
      <c r="O79" s="1" t="str">
        <f>IF($N79="","",$C$36&amp;"  –  ORTAK ÇEKİŞ / AVANS  ("&amp;INDEX(VIRMAN!$D$7:$D$406,$T79)&amp;" hesabından)"&amp;IF(INDEX(VIRMAN!$G$7:$G$406,$T79)="",""," – "&amp;INDEX(VIRMAN!$G$7:$G$406,$T79)))</f>
        <v>ALİ KILIÇ  –  ORTAK ÇEKİŞ / AVANS  (MERKEZ KASA hesabından) – KÂR PAYI / AVANS ÇEKİŞİ — Haziran Ayı Kâr Payı Ödemesi — eski GELIR_GIDER satır 185</v>
      </c>
      <c r="P79" s="1" t="str">
        <f t="shared" si="23"/>
        <v>ÇEKİŞ / AVANS</v>
      </c>
      <c r="Q79" s="1">
        <f>0</f>
        <v>0</v>
      </c>
      <c r="R79" s="1">
        <f>IF($N79="",0,INDEX(VIRMAN!$F$7:$F$406,$T79))</f>
        <v>113720</v>
      </c>
      <c r="S79" s="1">
        <f t="shared" si="20"/>
        <v>4620300042</v>
      </c>
      <c r="T79" s="1">
        <f>IFERROR(MATCH($C$36&amp;"|6",VIRMAN!$M$7:$M$406,0),0)</f>
        <v>43</v>
      </c>
      <c r="U79" s="1"/>
      <c r="V79" s="1">
        <f t="shared" si="21"/>
        <v>10000000000</v>
      </c>
      <c r="W79" s="1">
        <f t="shared" si="22"/>
        <v>9</v>
      </c>
    </row>
    <row r="80" spans="1:23" ht="19.5" customHeight="1" x14ac:dyDescent="0.3">
      <c r="A80" s="2"/>
      <c r="B80" s="65" t="str">
        <f t="shared" si="13"/>
        <v/>
      </c>
      <c r="C80" s="70" t="str">
        <f t="shared" si="14"/>
        <v/>
      </c>
      <c r="D80" s="180" t="str">
        <f t="shared" si="15"/>
        <v/>
      </c>
      <c r="E80" s="139"/>
      <c r="F80" s="65" t="str">
        <f t="shared" si="16"/>
        <v/>
      </c>
      <c r="G80" s="68" t="str">
        <f t="shared" si="17"/>
        <v/>
      </c>
      <c r="H80" s="68" t="str">
        <f t="shared" si="18"/>
        <v/>
      </c>
      <c r="I80" s="68" t="str">
        <f t="shared" si="19"/>
        <v/>
      </c>
      <c r="J80" s="2"/>
      <c r="K80" s="2"/>
      <c r="L80" s="1"/>
      <c r="M80" s="1">
        <v>43</v>
      </c>
      <c r="N80" s="1">
        <f>IF($T80=0,"",INDEX(VIRMAN!$C$7:$C$406,$T80))</f>
        <v>46234</v>
      </c>
      <c r="O80" s="1" t="str">
        <f>IF($N80="","",$C$36&amp;"  –  ORTAK ÇEKİŞ / AVANS  ("&amp;INDEX(VIRMAN!$D$7:$D$406,$T80)&amp;" hesabından)"&amp;IF(INDEX(VIRMAN!$G$7:$G$406,$T80)="",""," – "&amp;INDEX(VIRMAN!$G$7:$G$406,$T80)))</f>
        <v>ALİ KILIÇ  –  ORTAK ÇEKİŞ / AVANS  (MERKEZ KASA hesabından) – KÂR PAYI / AVANS ÇEKİŞİ — Temmuz Ayı Kâr Payı Ödemesi — eski GELIR_GIDER satır 197</v>
      </c>
      <c r="P80" s="1" t="str">
        <f t="shared" si="23"/>
        <v>ÇEKİŞ / AVANS</v>
      </c>
      <c r="Q80" s="1">
        <f>0</f>
        <v>0</v>
      </c>
      <c r="R80" s="1">
        <f>IF($N80="",0,INDEX(VIRMAN!$F$7:$F$406,$T80))</f>
        <v>58370</v>
      </c>
      <c r="S80" s="1">
        <f t="shared" si="20"/>
        <v>4623400043</v>
      </c>
      <c r="T80" s="1">
        <f>IFERROR(MATCH($C$36&amp;"|7",VIRMAN!$M$7:$M$406,0),0)</f>
        <v>45</v>
      </c>
      <c r="U80" s="1"/>
      <c r="V80" s="1">
        <f t="shared" si="21"/>
        <v>10000000000</v>
      </c>
      <c r="W80" s="1">
        <f t="shared" si="22"/>
        <v>9</v>
      </c>
    </row>
    <row r="81" spans="1:23" ht="19.5" customHeight="1" x14ac:dyDescent="0.3">
      <c r="A81" s="2"/>
      <c r="B81" s="65" t="str">
        <f t="shared" si="13"/>
        <v/>
      </c>
      <c r="C81" s="70" t="str">
        <f t="shared" si="14"/>
        <v/>
      </c>
      <c r="D81" s="180" t="str">
        <f t="shared" si="15"/>
        <v/>
      </c>
      <c r="E81" s="139"/>
      <c r="F81" s="65" t="str">
        <f t="shared" si="16"/>
        <v/>
      </c>
      <c r="G81" s="68" t="str">
        <f t="shared" si="17"/>
        <v/>
      </c>
      <c r="H81" s="68" t="str">
        <f t="shared" si="18"/>
        <v/>
      </c>
      <c r="I81" s="68" t="str">
        <f t="shared" si="19"/>
        <v/>
      </c>
      <c r="J81" s="2"/>
      <c r="K81" s="2"/>
      <c r="L81" s="1"/>
      <c r="M81" s="1">
        <v>44</v>
      </c>
      <c r="N81" s="1" t="str">
        <f>IF($T81=0,"",INDEX(VIRMAN!$C$7:$C$406,$T81))</f>
        <v/>
      </c>
      <c r="O81" s="1" t="str">
        <f>IF($N81="","",$C$36&amp;"  –  ORTAK ÇEKİŞ / AVANS  ("&amp;INDEX(VIRMAN!$D$7:$D$406,$T81)&amp;" hesabından)"&amp;IF(INDEX(VIRMAN!$G$7:$G$406,$T81)="",""," – "&amp;INDEX(VIRMAN!$G$7:$G$406,$T81)))</f>
        <v/>
      </c>
      <c r="P81" s="1" t="str">
        <f t="shared" si="23"/>
        <v/>
      </c>
      <c r="Q81" s="1">
        <f>0</f>
        <v>0</v>
      </c>
      <c r="R81" s="1">
        <f>IF($N81="",0,INDEX(VIRMAN!$F$7:$F$406,$T81))</f>
        <v>0</v>
      </c>
      <c r="S81" s="1">
        <f t="shared" si="20"/>
        <v>10000000000</v>
      </c>
      <c r="T81" s="1">
        <f>IFERROR(MATCH($C$36&amp;"|8",VIRMAN!$M$7:$M$406,0),0)</f>
        <v>0</v>
      </c>
      <c r="U81" s="1"/>
      <c r="V81" s="1">
        <f t="shared" si="21"/>
        <v>10000000000</v>
      </c>
      <c r="W81" s="1">
        <f t="shared" si="22"/>
        <v>9</v>
      </c>
    </row>
    <row r="82" spans="1:23" ht="19.5" customHeight="1" x14ac:dyDescent="0.3">
      <c r="A82" s="2"/>
      <c r="B82" s="65" t="str">
        <f t="shared" si="13"/>
        <v/>
      </c>
      <c r="C82" s="70" t="str">
        <f t="shared" si="14"/>
        <v/>
      </c>
      <c r="D82" s="180" t="str">
        <f t="shared" si="15"/>
        <v/>
      </c>
      <c r="E82" s="139"/>
      <c r="F82" s="65" t="str">
        <f t="shared" si="16"/>
        <v/>
      </c>
      <c r="G82" s="68" t="str">
        <f t="shared" si="17"/>
        <v/>
      </c>
      <c r="H82" s="68" t="str">
        <f t="shared" si="18"/>
        <v/>
      </c>
      <c r="I82" s="68" t="str">
        <f t="shared" si="19"/>
        <v/>
      </c>
      <c r="J82" s="2"/>
      <c r="K82" s="2"/>
      <c r="L82" s="1"/>
      <c r="M82" s="1">
        <v>45</v>
      </c>
      <c r="N82" s="1" t="str">
        <f>IF($T82=0,"",INDEX(VIRMAN!$C$7:$C$406,$T82))</f>
        <v/>
      </c>
      <c r="O82" s="1" t="str">
        <f>IF($N82="","",$C$36&amp;"  –  ORTAK ÇEKİŞ / AVANS  ("&amp;INDEX(VIRMAN!$D$7:$D$406,$T82)&amp;" hesabından)"&amp;IF(INDEX(VIRMAN!$G$7:$G$406,$T82)="",""," – "&amp;INDEX(VIRMAN!$G$7:$G$406,$T82)))</f>
        <v/>
      </c>
      <c r="P82" s="1" t="str">
        <f t="shared" si="23"/>
        <v/>
      </c>
      <c r="Q82" s="1">
        <f>0</f>
        <v>0</v>
      </c>
      <c r="R82" s="1">
        <f>IF($N82="",0,INDEX(VIRMAN!$F$7:$F$406,$T82))</f>
        <v>0</v>
      </c>
      <c r="S82" s="1">
        <f t="shared" si="20"/>
        <v>10000000000</v>
      </c>
      <c r="T82" s="1">
        <f>IFERROR(MATCH($C$36&amp;"|9",VIRMAN!$M$7:$M$406,0),0)</f>
        <v>0</v>
      </c>
      <c r="U82" s="1"/>
      <c r="V82" s="1">
        <f t="shared" si="21"/>
        <v>10000000000</v>
      </c>
      <c r="W82" s="1">
        <f t="shared" si="22"/>
        <v>9</v>
      </c>
    </row>
    <row r="83" spans="1:23" ht="19.5" customHeight="1" x14ac:dyDescent="0.3">
      <c r="A83" s="2"/>
      <c r="B83" s="65" t="str">
        <f t="shared" si="13"/>
        <v/>
      </c>
      <c r="C83" s="70" t="str">
        <f t="shared" si="14"/>
        <v/>
      </c>
      <c r="D83" s="180" t="str">
        <f t="shared" si="15"/>
        <v/>
      </c>
      <c r="E83" s="139"/>
      <c r="F83" s="65" t="str">
        <f t="shared" si="16"/>
        <v/>
      </c>
      <c r="G83" s="68" t="str">
        <f t="shared" si="17"/>
        <v/>
      </c>
      <c r="H83" s="68" t="str">
        <f t="shared" si="18"/>
        <v/>
      </c>
      <c r="I83" s="68" t="str">
        <f t="shared" si="19"/>
        <v/>
      </c>
      <c r="J83" s="2"/>
      <c r="K83" s="2"/>
      <c r="L83" s="1"/>
      <c r="M83" s="1">
        <v>46</v>
      </c>
      <c r="N83" s="1" t="str">
        <f>IF($T83=0,"",INDEX(VIRMAN!$C$7:$C$406,$T83))</f>
        <v/>
      </c>
      <c r="O83" s="1" t="str">
        <f>IF($N83="","",$C$36&amp;"  –  ORTAK ÇEKİŞ / AVANS  ("&amp;INDEX(VIRMAN!$D$7:$D$406,$T83)&amp;" hesabından)"&amp;IF(INDEX(VIRMAN!$G$7:$G$406,$T83)="",""," – "&amp;INDEX(VIRMAN!$G$7:$G$406,$T83)))</f>
        <v/>
      </c>
      <c r="P83" s="1" t="str">
        <f t="shared" si="23"/>
        <v/>
      </c>
      <c r="Q83" s="1">
        <f>0</f>
        <v>0</v>
      </c>
      <c r="R83" s="1">
        <f>IF($N83="",0,INDEX(VIRMAN!$F$7:$F$406,$T83))</f>
        <v>0</v>
      </c>
      <c r="S83" s="1">
        <f t="shared" si="20"/>
        <v>10000000000</v>
      </c>
      <c r="T83" s="1">
        <f>IFERROR(MATCH($C$36&amp;"|10",VIRMAN!$M$7:$M$406,0),0)</f>
        <v>0</v>
      </c>
      <c r="U83" s="1"/>
      <c r="V83" s="1">
        <f t="shared" si="21"/>
        <v>10000000000</v>
      </c>
      <c r="W83" s="1">
        <f t="shared" si="22"/>
        <v>9</v>
      </c>
    </row>
    <row r="84" spans="1:23" ht="19.5" customHeight="1" x14ac:dyDescent="0.3">
      <c r="A84" s="2"/>
      <c r="B84" s="65" t="str">
        <f t="shared" si="13"/>
        <v/>
      </c>
      <c r="C84" s="70" t="str">
        <f t="shared" si="14"/>
        <v/>
      </c>
      <c r="D84" s="180" t="str">
        <f t="shared" si="15"/>
        <v/>
      </c>
      <c r="E84" s="139"/>
      <c r="F84" s="65" t="str">
        <f t="shared" si="16"/>
        <v/>
      </c>
      <c r="G84" s="68" t="str">
        <f t="shared" si="17"/>
        <v/>
      </c>
      <c r="H84" s="68" t="str">
        <f t="shared" si="18"/>
        <v/>
      </c>
      <c r="I84" s="68" t="str">
        <f t="shared" si="19"/>
        <v/>
      </c>
      <c r="J84" s="2"/>
      <c r="K84" s="2"/>
      <c r="L84" s="1"/>
      <c r="M84" s="1">
        <v>47</v>
      </c>
      <c r="N84" s="1" t="str">
        <f>IF($T84=0,"",INDEX(VIRMAN!$C$7:$C$406,$T84))</f>
        <v/>
      </c>
      <c r="O84" s="1" t="str">
        <f>IF($N84="","",$C$36&amp;"  –  ORTAK ÇEKİŞ / AVANS  ("&amp;INDEX(VIRMAN!$D$7:$D$406,$T84)&amp;" hesabından)"&amp;IF(INDEX(VIRMAN!$G$7:$G$406,$T84)="",""," – "&amp;INDEX(VIRMAN!$G$7:$G$406,$T84)))</f>
        <v/>
      </c>
      <c r="P84" s="1" t="str">
        <f t="shared" si="23"/>
        <v/>
      </c>
      <c r="Q84" s="1">
        <f>0</f>
        <v>0</v>
      </c>
      <c r="R84" s="1">
        <f>IF($N84="",0,INDEX(VIRMAN!$F$7:$F$406,$T84))</f>
        <v>0</v>
      </c>
      <c r="S84" s="1">
        <f t="shared" si="20"/>
        <v>10000000000</v>
      </c>
      <c r="T84" s="1">
        <f>IFERROR(MATCH($C$36&amp;"|11",VIRMAN!$M$7:$M$406,0),0)</f>
        <v>0</v>
      </c>
      <c r="U84" s="1"/>
      <c r="V84" s="1">
        <f t="shared" si="21"/>
        <v>10000000000</v>
      </c>
      <c r="W84" s="1">
        <f t="shared" si="22"/>
        <v>9</v>
      </c>
    </row>
    <row r="85" spans="1:23" ht="19.5" customHeight="1" x14ac:dyDescent="0.3">
      <c r="A85" s="2"/>
      <c r="B85" s="65" t="str">
        <f t="shared" si="13"/>
        <v/>
      </c>
      <c r="C85" s="70" t="str">
        <f t="shared" si="14"/>
        <v/>
      </c>
      <c r="D85" s="180" t="str">
        <f t="shared" si="15"/>
        <v/>
      </c>
      <c r="E85" s="139"/>
      <c r="F85" s="65" t="str">
        <f t="shared" si="16"/>
        <v/>
      </c>
      <c r="G85" s="68" t="str">
        <f t="shared" si="17"/>
        <v/>
      </c>
      <c r="H85" s="68" t="str">
        <f t="shared" si="18"/>
        <v/>
      </c>
      <c r="I85" s="68" t="str">
        <f t="shared" si="19"/>
        <v/>
      </c>
      <c r="J85" s="2"/>
      <c r="K85" s="2"/>
      <c r="L85" s="1"/>
      <c r="M85" s="1">
        <v>48</v>
      </c>
      <c r="N85" s="1" t="str">
        <f>IF($T85=0,"",INDEX(VIRMAN!$C$7:$C$406,$T85))</f>
        <v/>
      </c>
      <c r="O85" s="1" t="str">
        <f>IF($N85="","",$C$36&amp;"  –  ORTAK ÇEKİŞ / AVANS  ("&amp;INDEX(VIRMAN!$D$7:$D$406,$T85)&amp;" hesabından)"&amp;IF(INDEX(VIRMAN!$G$7:$G$406,$T85)="",""," – "&amp;INDEX(VIRMAN!$G$7:$G$406,$T85)))</f>
        <v/>
      </c>
      <c r="P85" s="1" t="str">
        <f t="shared" si="23"/>
        <v/>
      </c>
      <c r="Q85" s="1">
        <f>0</f>
        <v>0</v>
      </c>
      <c r="R85" s="1">
        <f>IF($N85="",0,INDEX(VIRMAN!$F$7:$F$406,$T85))</f>
        <v>0</v>
      </c>
      <c r="S85" s="1">
        <f t="shared" si="20"/>
        <v>10000000000</v>
      </c>
      <c r="T85" s="1">
        <f>IFERROR(MATCH($C$36&amp;"|12",VIRMAN!$M$7:$M$406,0),0)</f>
        <v>0</v>
      </c>
      <c r="U85" s="1"/>
      <c r="V85" s="1">
        <f t="shared" si="21"/>
        <v>10000000000</v>
      </c>
      <c r="W85" s="1">
        <f t="shared" si="22"/>
        <v>9</v>
      </c>
    </row>
    <row r="86" spans="1:23" ht="19.5" customHeight="1" x14ac:dyDescent="0.3">
      <c r="A86" s="2"/>
      <c r="B86" s="65" t="str">
        <f t="shared" si="13"/>
        <v/>
      </c>
      <c r="C86" s="70" t="str">
        <f t="shared" si="14"/>
        <v/>
      </c>
      <c r="D86" s="180" t="str">
        <f t="shared" si="15"/>
        <v/>
      </c>
      <c r="E86" s="139"/>
      <c r="F86" s="65" t="str">
        <f t="shared" si="16"/>
        <v/>
      </c>
      <c r="G86" s="68" t="str">
        <f t="shared" si="17"/>
        <v/>
      </c>
      <c r="H86" s="68" t="str">
        <f t="shared" si="18"/>
        <v/>
      </c>
      <c r="I86" s="68" t="str">
        <f t="shared" si="19"/>
        <v/>
      </c>
      <c r="J86" s="2"/>
      <c r="K86" s="2"/>
      <c r="L86" s="1"/>
      <c r="M86" s="1">
        <v>49</v>
      </c>
      <c r="N86" s="1" t="str">
        <f>IF($T86=0,"",INDEX(VIRMAN!$C$7:$C$406,$T86))</f>
        <v/>
      </c>
      <c r="O86" s="1" t="str">
        <f>IF($N86="","",$C$36&amp;"  –  ORTAK ÇEKİŞ / AVANS  ("&amp;INDEX(VIRMAN!$D$7:$D$406,$T86)&amp;" hesabından)"&amp;IF(INDEX(VIRMAN!$G$7:$G$406,$T86)="",""," – "&amp;INDEX(VIRMAN!$G$7:$G$406,$T86)))</f>
        <v/>
      </c>
      <c r="P86" s="1" t="str">
        <f t="shared" si="23"/>
        <v/>
      </c>
      <c r="Q86" s="1">
        <f>0</f>
        <v>0</v>
      </c>
      <c r="R86" s="1">
        <f>IF($N86="",0,INDEX(VIRMAN!$F$7:$F$406,$T86))</f>
        <v>0</v>
      </c>
      <c r="S86" s="1">
        <f t="shared" si="20"/>
        <v>10000000000</v>
      </c>
      <c r="T86" s="1">
        <f>IFERROR(MATCH($C$36&amp;"|13",VIRMAN!$M$7:$M$406,0),0)</f>
        <v>0</v>
      </c>
      <c r="U86" s="1"/>
      <c r="V86" s="1">
        <f t="shared" si="21"/>
        <v>10000000000</v>
      </c>
      <c r="W86" s="1">
        <f t="shared" si="22"/>
        <v>9</v>
      </c>
    </row>
    <row r="87" spans="1:23" ht="19.5" customHeight="1" x14ac:dyDescent="0.3">
      <c r="A87" s="2"/>
      <c r="B87" s="65" t="str">
        <f t="shared" si="13"/>
        <v/>
      </c>
      <c r="C87" s="70" t="str">
        <f t="shared" si="14"/>
        <v/>
      </c>
      <c r="D87" s="180" t="str">
        <f t="shared" si="15"/>
        <v/>
      </c>
      <c r="E87" s="139"/>
      <c r="F87" s="65" t="str">
        <f t="shared" si="16"/>
        <v/>
      </c>
      <c r="G87" s="68" t="str">
        <f t="shared" si="17"/>
        <v/>
      </c>
      <c r="H87" s="68" t="str">
        <f t="shared" si="18"/>
        <v/>
      </c>
      <c r="I87" s="68" t="str">
        <f t="shared" si="19"/>
        <v/>
      </c>
      <c r="J87" s="2"/>
      <c r="K87" s="2"/>
      <c r="L87" s="1"/>
      <c r="M87" s="1">
        <v>50</v>
      </c>
      <c r="N87" s="1" t="str">
        <f>IF($T87=0,"",INDEX(VIRMAN!$C$7:$C$406,$T87))</f>
        <v/>
      </c>
      <c r="O87" s="1" t="str">
        <f>IF($N87="","",$C$36&amp;"  –  ORTAK ÇEKİŞ / AVANS  ("&amp;INDEX(VIRMAN!$D$7:$D$406,$T87)&amp;" hesabından)"&amp;IF(INDEX(VIRMAN!$G$7:$G$406,$T87)="",""," – "&amp;INDEX(VIRMAN!$G$7:$G$406,$T87)))</f>
        <v/>
      </c>
      <c r="P87" s="1" t="str">
        <f t="shared" si="23"/>
        <v/>
      </c>
      <c r="Q87" s="1">
        <f>0</f>
        <v>0</v>
      </c>
      <c r="R87" s="1">
        <f>IF($N87="",0,INDEX(VIRMAN!$F$7:$F$406,$T87))</f>
        <v>0</v>
      </c>
      <c r="S87" s="1">
        <f t="shared" si="20"/>
        <v>10000000000</v>
      </c>
      <c r="T87" s="1">
        <f>IFERROR(MATCH($C$36&amp;"|14",VIRMAN!$M$7:$M$406,0),0)</f>
        <v>0</v>
      </c>
      <c r="U87" s="1"/>
      <c r="V87" s="1">
        <f t="shared" si="21"/>
        <v>10000000000</v>
      </c>
      <c r="W87" s="1">
        <f t="shared" si="22"/>
        <v>9</v>
      </c>
    </row>
    <row r="88" spans="1:23" ht="19.5" customHeight="1" x14ac:dyDescent="0.3">
      <c r="A88" s="2"/>
      <c r="B88" s="65" t="str">
        <f t="shared" si="13"/>
        <v/>
      </c>
      <c r="C88" s="70" t="str">
        <f t="shared" si="14"/>
        <v/>
      </c>
      <c r="D88" s="180" t="str">
        <f t="shared" si="15"/>
        <v/>
      </c>
      <c r="E88" s="139"/>
      <c r="F88" s="65" t="str">
        <f t="shared" si="16"/>
        <v/>
      </c>
      <c r="G88" s="68" t="str">
        <f t="shared" si="17"/>
        <v/>
      </c>
      <c r="H88" s="68" t="str">
        <f t="shared" si="18"/>
        <v/>
      </c>
      <c r="I88" s="68" t="str">
        <f t="shared" si="19"/>
        <v/>
      </c>
      <c r="J88" s="2"/>
      <c r="K88" s="2"/>
      <c r="L88" s="1"/>
      <c r="M88" s="1">
        <v>51</v>
      </c>
      <c r="N88" s="1" t="str">
        <f>IF($T88=0,"",INDEX(VIRMAN!$C$7:$C$406,$T88))</f>
        <v/>
      </c>
      <c r="O88" s="1" t="str">
        <f>IF($N88="","",$C$36&amp;"  –  ORTAK ÇEKİŞ / AVANS  ("&amp;INDEX(VIRMAN!$D$7:$D$406,$T88)&amp;" hesabından)"&amp;IF(INDEX(VIRMAN!$G$7:$G$406,$T88)="",""," – "&amp;INDEX(VIRMAN!$G$7:$G$406,$T88)))</f>
        <v/>
      </c>
      <c r="P88" s="1" t="str">
        <f t="shared" si="23"/>
        <v/>
      </c>
      <c r="Q88" s="1">
        <f>0</f>
        <v>0</v>
      </c>
      <c r="R88" s="1">
        <f>IF($N88="",0,INDEX(VIRMAN!$F$7:$F$406,$T88))</f>
        <v>0</v>
      </c>
      <c r="S88" s="1">
        <f t="shared" si="20"/>
        <v>10000000000</v>
      </c>
      <c r="T88" s="1">
        <f>IFERROR(MATCH($C$36&amp;"|15",VIRMAN!$M$7:$M$406,0),0)</f>
        <v>0</v>
      </c>
      <c r="U88" s="1"/>
      <c r="V88" s="1">
        <f t="shared" si="21"/>
        <v>10000000000</v>
      </c>
      <c r="W88" s="1">
        <f t="shared" si="22"/>
        <v>9</v>
      </c>
    </row>
    <row r="89" spans="1:23" ht="19.5" customHeight="1" x14ac:dyDescent="0.3">
      <c r="A89" s="2"/>
      <c r="B89" s="65" t="str">
        <f t="shared" si="13"/>
        <v/>
      </c>
      <c r="C89" s="70" t="str">
        <f t="shared" si="14"/>
        <v/>
      </c>
      <c r="D89" s="180" t="str">
        <f t="shared" si="15"/>
        <v/>
      </c>
      <c r="E89" s="139"/>
      <c r="F89" s="65" t="str">
        <f t="shared" si="16"/>
        <v/>
      </c>
      <c r="G89" s="68" t="str">
        <f t="shared" si="17"/>
        <v/>
      </c>
      <c r="H89" s="68" t="str">
        <f t="shared" si="18"/>
        <v/>
      </c>
      <c r="I89" s="68" t="str">
        <f t="shared" si="19"/>
        <v/>
      </c>
      <c r="J89" s="2"/>
      <c r="K89" s="2"/>
      <c r="L89" s="1"/>
      <c r="M89" s="1">
        <v>52</v>
      </c>
      <c r="N89" s="1" t="str">
        <f>IF($T89=0,"",INDEX(VIRMAN!$C$7:$C$406,$T89))</f>
        <v/>
      </c>
      <c r="O89" s="1" t="str">
        <f>IF($N89="","",$C$36&amp;"  –  ORTAK ÇEKİŞ / AVANS  ("&amp;INDEX(VIRMAN!$D$7:$D$406,$T89)&amp;" hesabından)"&amp;IF(INDEX(VIRMAN!$G$7:$G$406,$T89)="",""," – "&amp;INDEX(VIRMAN!$G$7:$G$406,$T89)))</f>
        <v/>
      </c>
      <c r="P89" s="1" t="str">
        <f t="shared" si="23"/>
        <v/>
      </c>
      <c r="Q89" s="1">
        <f>0</f>
        <v>0</v>
      </c>
      <c r="R89" s="1">
        <f>IF($N89="",0,INDEX(VIRMAN!$F$7:$F$406,$T89))</f>
        <v>0</v>
      </c>
      <c r="S89" s="1">
        <f t="shared" si="20"/>
        <v>10000000000</v>
      </c>
      <c r="T89" s="1">
        <f>IFERROR(MATCH($C$36&amp;"|16",VIRMAN!$M$7:$M$406,0),0)</f>
        <v>0</v>
      </c>
      <c r="U89" s="1"/>
      <c r="V89" s="1">
        <f t="shared" si="21"/>
        <v>10000000000</v>
      </c>
      <c r="W89" s="1">
        <f t="shared" si="22"/>
        <v>9</v>
      </c>
    </row>
    <row r="90" spans="1:23" ht="19.5" customHeight="1" x14ac:dyDescent="0.3">
      <c r="A90" s="2"/>
      <c r="B90" s="65" t="str">
        <f t="shared" si="13"/>
        <v/>
      </c>
      <c r="C90" s="70" t="str">
        <f t="shared" si="14"/>
        <v/>
      </c>
      <c r="D90" s="180" t="str">
        <f t="shared" si="15"/>
        <v/>
      </c>
      <c r="E90" s="139"/>
      <c r="F90" s="65" t="str">
        <f t="shared" si="16"/>
        <v/>
      </c>
      <c r="G90" s="68" t="str">
        <f t="shared" si="17"/>
        <v/>
      </c>
      <c r="H90" s="68" t="str">
        <f t="shared" si="18"/>
        <v/>
      </c>
      <c r="I90" s="68" t="str">
        <f t="shared" si="19"/>
        <v/>
      </c>
      <c r="J90" s="2"/>
      <c r="K90" s="2"/>
      <c r="L90" s="1"/>
      <c r="M90" s="1">
        <v>53</v>
      </c>
      <c r="N90" s="1" t="str">
        <f>IF($T90=0,"",INDEX(VIRMAN!$C$7:$C$406,$T90))</f>
        <v/>
      </c>
      <c r="O90" s="1" t="str">
        <f>IF($N90="","",$C$36&amp;"  –  ORTAK ÇEKİŞ / AVANS  ("&amp;INDEX(VIRMAN!$D$7:$D$406,$T90)&amp;" hesabından)"&amp;IF(INDEX(VIRMAN!$G$7:$G$406,$T90)="",""," – "&amp;INDEX(VIRMAN!$G$7:$G$406,$T90)))</f>
        <v/>
      </c>
      <c r="P90" s="1" t="str">
        <f t="shared" si="23"/>
        <v/>
      </c>
      <c r="Q90" s="1">
        <f>0</f>
        <v>0</v>
      </c>
      <c r="R90" s="1">
        <f>IF($N90="",0,INDEX(VIRMAN!$F$7:$F$406,$T90))</f>
        <v>0</v>
      </c>
      <c r="S90" s="1">
        <f t="shared" si="20"/>
        <v>10000000000</v>
      </c>
      <c r="T90" s="1">
        <f>IFERROR(MATCH($C$36&amp;"|17",VIRMAN!$M$7:$M$406,0),0)</f>
        <v>0</v>
      </c>
      <c r="U90" s="1"/>
      <c r="V90" s="1">
        <f t="shared" si="21"/>
        <v>10000000000</v>
      </c>
      <c r="W90" s="1">
        <f t="shared" si="22"/>
        <v>9</v>
      </c>
    </row>
    <row r="91" spans="1:23" ht="19.5" customHeight="1" x14ac:dyDescent="0.3">
      <c r="A91" s="2"/>
      <c r="B91" s="65" t="str">
        <f t="shared" si="13"/>
        <v/>
      </c>
      <c r="C91" s="70" t="str">
        <f t="shared" si="14"/>
        <v/>
      </c>
      <c r="D91" s="180" t="str">
        <f t="shared" si="15"/>
        <v/>
      </c>
      <c r="E91" s="139"/>
      <c r="F91" s="65" t="str">
        <f t="shared" si="16"/>
        <v/>
      </c>
      <c r="G91" s="68" t="str">
        <f t="shared" si="17"/>
        <v/>
      </c>
      <c r="H91" s="68" t="str">
        <f t="shared" si="18"/>
        <v/>
      </c>
      <c r="I91" s="68" t="str">
        <f t="shared" si="19"/>
        <v/>
      </c>
      <c r="J91" s="2"/>
      <c r="K91" s="2"/>
      <c r="L91" s="1"/>
      <c r="M91" s="1">
        <v>54</v>
      </c>
      <c r="N91" s="1" t="str">
        <f>IF($T91=0,"",INDEX(VIRMAN!$C$7:$C$406,$T91))</f>
        <v/>
      </c>
      <c r="O91" s="1" t="str">
        <f>IF($N91="","",$C$36&amp;"  –  ORTAK ÇEKİŞ / AVANS  ("&amp;INDEX(VIRMAN!$D$7:$D$406,$T91)&amp;" hesabından)"&amp;IF(INDEX(VIRMAN!$G$7:$G$406,$T91)="",""," – "&amp;INDEX(VIRMAN!$G$7:$G$406,$T91)))</f>
        <v/>
      </c>
      <c r="P91" s="1" t="str">
        <f t="shared" si="23"/>
        <v/>
      </c>
      <c r="Q91" s="1">
        <f>0</f>
        <v>0</v>
      </c>
      <c r="R91" s="1">
        <f>IF($N91="",0,INDEX(VIRMAN!$F$7:$F$406,$T91))</f>
        <v>0</v>
      </c>
      <c r="S91" s="1">
        <f t="shared" si="20"/>
        <v>10000000000</v>
      </c>
      <c r="T91" s="1">
        <f>IFERROR(MATCH($C$36&amp;"|18",VIRMAN!$M$7:$M$406,0),0)</f>
        <v>0</v>
      </c>
      <c r="U91" s="1"/>
      <c r="V91" s="1">
        <f t="shared" si="21"/>
        <v>10000000000</v>
      </c>
      <c r="W91" s="1">
        <f t="shared" si="22"/>
        <v>9</v>
      </c>
    </row>
    <row r="92" spans="1:23" ht="19.5" customHeight="1" x14ac:dyDescent="0.3">
      <c r="A92" s="2"/>
      <c r="B92" s="65" t="str">
        <f t="shared" si="13"/>
        <v/>
      </c>
      <c r="C92" s="70" t="str">
        <f t="shared" si="14"/>
        <v/>
      </c>
      <c r="D92" s="180" t="str">
        <f t="shared" si="15"/>
        <v/>
      </c>
      <c r="E92" s="139"/>
      <c r="F92" s="65" t="str">
        <f t="shared" si="16"/>
        <v/>
      </c>
      <c r="G92" s="68" t="str">
        <f t="shared" si="17"/>
        <v/>
      </c>
      <c r="H92" s="68" t="str">
        <f t="shared" si="18"/>
        <v/>
      </c>
      <c r="I92" s="68" t="str">
        <f t="shared" si="19"/>
        <v/>
      </c>
      <c r="J92" s="2"/>
      <c r="K92" s="2"/>
      <c r="L92" s="1"/>
      <c r="M92" s="1">
        <v>55</v>
      </c>
      <c r="N92" s="1" t="str">
        <f>IF($T92=0,"",INDEX(VIRMAN!$C$7:$C$406,$T92))</f>
        <v/>
      </c>
      <c r="O92" s="1" t="str">
        <f>IF($N92="","",$C$36&amp;"  –  ORTAK ÇEKİŞ / AVANS  ("&amp;INDEX(VIRMAN!$D$7:$D$406,$T92)&amp;" hesabından)"&amp;IF(INDEX(VIRMAN!$G$7:$G$406,$T92)="",""," – "&amp;INDEX(VIRMAN!$G$7:$G$406,$T92)))</f>
        <v/>
      </c>
      <c r="P92" s="1" t="str">
        <f t="shared" si="23"/>
        <v/>
      </c>
      <c r="Q92" s="1">
        <f>0</f>
        <v>0</v>
      </c>
      <c r="R92" s="1">
        <f>IF($N92="",0,INDEX(VIRMAN!$F$7:$F$406,$T92))</f>
        <v>0</v>
      </c>
      <c r="S92" s="1">
        <f t="shared" si="20"/>
        <v>10000000000</v>
      </c>
      <c r="T92" s="1">
        <f>IFERROR(MATCH($C$36&amp;"|19",VIRMAN!$M$7:$M$406,0),0)</f>
        <v>0</v>
      </c>
      <c r="U92" s="1"/>
      <c r="V92" s="1">
        <f t="shared" si="21"/>
        <v>10000000000</v>
      </c>
      <c r="W92" s="1">
        <f t="shared" si="22"/>
        <v>9</v>
      </c>
    </row>
    <row r="93" spans="1:23" ht="19.5" customHeight="1" x14ac:dyDescent="0.3">
      <c r="A93" s="2"/>
      <c r="B93" s="65" t="str">
        <f t="shared" si="13"/>
        <v/>
      </c>
      <c r="C93" s="70" t="str">
        <f t="shared" si="14"/>
        <v/>
      </c>
      <c r="D93" s="180" t="str">
        <f t="shared" si="15"/>
        <v/>
      </c>
      <c r="E93" s="139"/>
      <c r="F93" s="65" t="str">
        <f t="shared" si="16"/>
        <v/>
      </c>
      <c r="G93" s="68" t="str">
        <f t="shared" si="17"/>
        <v/>
      </c>
      <c r="H93" s="68" t="str">
        <f t="shared" si="18"/>
        <v/>
      </c>
      <c r="I93" s="68" t="str">
        <f t="shared" si="19"/>
        <v/>
      </c>
      <c r="J93" s="2"/>
      <c r="K93" s="2"/>
      <c r="L93" s="1"/>
      <c r="M93" s="1">
        <v>56</v>
      </c>
      <c r="N93" s="1" t="str">
        <f>IF($T93=0,"",INDEX(VIRMAN!$C$7:$C$406,$T93))</f>
        <v/>
      </c>
      <c r="O93" s="1" t="str">
        <f>IF($N93="","",$C$36&amp;"  –  ORTAK ÇEKİŞ / AVANS  ("&amp;INDEX(VIRMAN!$D$7:$D$406,$T93)&amp;" hesabından)"&amp;IF(INDEX(VIRMAN!$G$7:$G$406,$T93)="",""," – "&amp;INDEX(VIRMAN!$G$7:$G$406,$T93)))</f>
        <v/>
      </c>
      <c r="P93" s="1" t="str">
        <f t="shared" si="23"/>
        <v/>
      </c>
      <c r="Q93" s="1">
        <f>0</f>
        <v>0</v>
      </c>
      <c r="R93" s="1">
        <f>IF($N93="",0,INDEX(VIRMAN!$F$7:$F$406,$T93))</f>
        <v>0</v>
      </c>
      <c r="S93" s="1">
        <f t="shared" si="20"/>
        <v>10000000000</v>
      </c>
      <c r="T93" s="1">
        <f>IFERROR(MATCH($C$36&amp;"|20",VIRMAN!$M$7:$M$406,0),0)</f>
        <v>0</v>
      </c>
      <c r="U93" s="1"/>
      <c r="V93" s="1">
        <f t="shared" si="21"/>
        <v>10000000000</v>
      </c>
      <c r="W93" s="1">
        <f t="shared" si="22"/>
        <v>9</v>
      </c>
    </row>
    <row r="94" spans="1:23" ht="19.5" customHeight="1" x14ac:dyDescent="0.3">
      <c r="A94" s="2"/>
      <c r="B94" s="65" t="str">
        <f t="shared" si="13"/>
        <v/>
      </c>
      <c r="C94" s="70" t="str">
        <f t="shared" si="14"/>
        <v/>
      </c>
      <c r="D94" s="180" t="str">
        <f t="shared" si="15"/>
        <v/>
      </c>
      <c r="E94" s="139"/>
      <c r="F94" s="65" t="str">
        <f t="shared" si="16"/>
        <v/>
      </c>
      <c r="G94" s="68" t="str">
        <f t="shared" si="17"/>
        <v/>
      </c>
      <c r="H94" s="68" t="str">
        <f t="shared" si="18"/>
        <v/>
      </c>
      <c r="I94" s="68" t="str">
        <f t="shared" si="19"/>
        <v/>
      </c>
      <c r="J94" s="2"/>
      <c r="K94" s="2"/>
      <c r="L94" s="1"/>
      <c r="M94" s="1">
        <v>57</v>
      </c>
      <c r="N94" s="1" t="str">
        <f>IF($T94=0,"",INDEX(VIRMAN!$C$7:$C$406,$T94))</f>
        <v/>
      </c>
      <c r="O94" s="1" t="str">
        <f>IF($N94="","",$C$36&amp;"  –  ORTAK ÇEKİŞ / AVANS  ("&amp;INDEX(VIRMAN!$D$7:$D$406,$T94)&amp;" hesabından)"&amp;IF(INDEX(VIRMAN!$G$7:$G$406,$T94)="",""," – "&amp;INDEX(VIRMAN!$G$7:$G$406,$T94)))</f>
        <v/>
      </c>
      <c r="P94" s="1" t="str">
        <f t="shared" si="23"/>
        <v/>
      </c>
      <c r="Q94" s="1">
        <f>0</f>
        <v>0</v>
      </c>
      <c r="R94" s="1">
        <f>IF($N94="",0,INDEX(VIRMAN!$F$7:$F$406,$T94))</f>
        <v>0</v>
      </c>
      <c r="S94" s="1">
        <f t="shared" si="20"/>
        <v>10000000000</v>
      </c>
      <c r="T94" s="1">
        <f>IFERROR(MATCH($C$36&amp;"|21",VIRMAN!$M$7:$M$406,0),0)</f>
        <v>0</v>
      </c>
      <c r="U94" s="1"/>
      <c r="V94" s="1">
        <f t="shared" si="21"/>
        <v>10000000000</v>
      </c>
      <c r="W94" s="1">
        <f t="shared" si="22"/>
        <v>9</v>
      </c>
    </row>
    <row r="95" spans="1:23" ht="19.5" customHeight="1" x14ac:dyDescent="0.3">
      <c r="A95" s="2"/>
      <c r="B95" s="65" t="str">
        <f t="shared" si="13"/>
        <v/>
      </c>
      <c r="C95" s="70" t="str">
        <f t="shared" si="14"/>
        <v/>
      </c>
      <c r="D95" s="180" t="str">
        <f t="shared" si="15"/>
        <v/>
      </c>
      <c r="E95" s="139"/>
      <c r="F95" s="65" t="str">
        <f t="shared" si="16"/>
        <v/>
      </c>
      <c r="G95" s="68" t="str">
        <f t="shared" si="17"/>
        <v/>
      </c>
      <c r="H95" s="68" t="str">
        <f t="shared" si="18"/>
        <v/>
      </c>
      <c r="I95" s="68" t="str">
        <f t="shared" si="19"/>
        <v/>
      </c>
      <c r="J95" s="2"/>
      <c r="K95" s="2"/>
      <c r="L95" s="1"/>
      <c r="M95" s="1">
        <v>58</v>
      </c>
      <c r="N95" s="1" t="str">
        <f>IF($T95=0,"",INDEX(VIRMAN!$C$7:$C$406,$T95))</f>
        <v/>
      </c>
      <c r="O95" s="1" t="str">
        <f>IF($N95="","",$C$36&amp;"  –  ORTAK ÇEKİŞ / AVANS  ("&amp;INDEX(VIRMAN!$D$7:$D$406,$T95)&amp;" hesabından)"&amp;IF(INDEX(VIRMAN!$G$7:$G$406,$T95)="",""," – "&amp;INDEX(VIRMAN!$G$7:$G$406,$T95)))</f>
        <v/>
      </c>
      <c r="P95" s="1" t="str">
        <f t="shared" si="23"/>
        <v/>
      </c>
      <c r="Q95" s="1">
        <f>0</f>
        <v>0</v>
      </c>
      <c r="R95" s="1">
        <f>IF($N95="",0,INDEX(VIRMAN!$F$7:$F$406,$T95))</f>
        <v>0</v>
      </c>
      <c r="S95" s="1">
        <f t="shared" si="20"/>
        <v>10000000000</v>
      </c>
      <c r="T95" s="1">
        <f>IFERROR(MATCH($C$36&amp;"|22",VIRMAN!$M$7:$M$406,0),0)</f>
        <v>0</v>
      </c>
      <c r="U95" s="1"/>
      <c r="V95" s="1">
        <f t="shared" si="21"/>
        <v>10000000000</v>
      </c>
      <c r="W95" s="1">
        <f t="shared" si="22"/>
        <v>9</v>
      </c>
    </row>
    <row r="96" spans="1:23" ht="19.5" customHeight="1" x14ac:dyDescent="0.3">
      <c r="A96" s="2"/>
      <c r="B96" s="65" t="str">
        <f t="shared" si="13"/>
        <v/>
      </c>
      <c r="C96" s="70" t="str">
        <f t="shared" si="14"/>
        <v/>
      </c>
      <c r="D96" s="180" t="str">
        <f t="shared" si="15"/>
        <v/>
      </c>
      <c r="E96" s="139"/>
      <c r="F96" s="65" t="str">
        <f t="shared" si="16"/>
        <v/>
      </c>
      <c r="G96" s="68" t="str">
        <f t="shared" si="17"/>
        <v/>
      </c>
      <c r="H96" s="68" t="str">
        <f t="shared" si="18"/>
        <v/>
      </c>
      <c r="I96" s="68" t="str">
        <f t="shared" si="19"/>
        <v/>
      </c>
      <c r="J96" s="2"/>
      <c r="K96" s="2"/>
      <c r="L96" s="1"/>
      <c r="M96" s="1">
        <v>59</v>
      </c>
      <c r="N96" s="1" t="str">
        <f>IF($T96=0,"",INDEX(VIRMAN!$C$7:$C$406,$T96))</f>
        <v/>
      </c>
      <c r="O96" s="1" t="str">
        <f>IF($N96="","",$C$36&amp;"  –  ORTAK ÇEKİŞ / AVANS  ("&amp;INDEX(VIRMAN!$D$7:$D$406,$T96)&amp;" hesabından)"&amp;IF(INDEX(VIRMAN!$G$7:$G$406,$T96)="",""," – "&amp;INDEX(VIRMAN!$G$7:$G$406,$T96)))</f>
        <v/>
      </c>
      <c r="P96" s="1" t="str">
        <f t="shared" si="23"/>
        <v/>
      </c>
      <c r="Q96" s="1">
        <f>0</f>
        <v>0</v>
      </c>
      <c r="R96" s="1">
        <f>IF($N96="",0,INDEX(VIRMAN!$F$7:$F$406,$T96))</f>
        <v>0</v>
      </c>
      <c r="S96" s="1">
        <f t="shared" si="20"/>
        <v>10000000000</v>
      </c>
      <c r="T96" s="1">
        <f>IFERROR(MATCH($C$36&amp;"|23",VIRMAN!$M$7:$M$406,0),0)</f>
        <v>0</v>
      </c>
      <c r="U96" s="1"/>
      <c r="V96" s="1">
        <f t="shared" si="21"/>
        <v>10000000000</v>
      </c>
      <c r="W96" s="1">
        <f t="shared" si="22"/>
        <v>9</v>
      </c>
    </row>
    <row r="97" spans="1:23" ht="19.5" customHeight="1" x14ac:dyDescent="0.3">
      <c r="A97" s="2"/>
      <c r="B97" s="65" t="str">
        <f t="shared" si="13"/>
        <v/>
      </c>
      <c r="C97" s="70" t="str">
        <f t="shared" si="14"/>
        <v/>
      </c>
      <c r="D97" s="180" t="str">
        <f t="shared" si="15"/>
        <v/>
      </c>
      <c r="E97" s="139"/>
      <c r="F97" s="65" t="str">
        <f t="shared" si="16"/>
        <v/>
      </c>
      <c r="G97" s="68" t="str">
        <f t="shared" si="17"/>
        <v/>
      </c>
      <c r="H97" s="68" t="str">
        <f t="shared" si="18"/>
        <v/>
      </c>
      <c r="I97" s="68" t="str">
        <f t="shared" si="19"/>
        <v/>
      </c>
      <c r="J97" s="2"/>
      <c r="K97" s="2"/>
      <c r="L97" s="1"/>
      <c r="M97" s="1">
        <v>60</v>
      </c>
      <c r="N97" s="1" t="str">
        <f>IF($T97=0,"",INDEX(VIRMAN!$C$7:$C$406,$T97))</f>
        <v/>
      </c>
      <c r="O97" s="1" t="str">
        <f>IF($N97="","",$C$36&amp;"  –  ORTAK ÇEKİŞ / AVANS  ("&amp;INDEX(VIRMAN!$D$7:$D$406,$T97)&amp;" hesabından)"&amp;IF(INDEX(VIRMAN!$G$7:$G$406,$T97)="",""," – "&amp;INDEX(VIRMAN!$G$7:$G$406,$T97)))</f>
        <v/>
      </c>
      <c r="P97" s="1" t="str">
        <f t="shared" si="23"/>
        <v/>
      </c>
      <c r="Q97" s="1">
        <f>0</f>
        <v>0</v>
      </c>
      <c r="R97" s="1">
        <f>IF($N97="",0,INDEX(VIRMAN!$F$7:$F$406,$T97))</f>
        <v>0</v>
      </c>
      <c r="S97" s="1">
        <f t="shared" si="20"/>
        <v>10000000000</v>
      </c>
      <c r="T97" s="1">
        <f>IFERROR(MATCH($C$36&amp;"|24",VIRMAN!$M$7:$M$406,0),0)</f>
        <v>0</v>
      </c>
      <c r="U97" s="1"/>
      <c r="V97" s="1">
        <f t="shared" si="21"/>
        <v>10000000000</v>
      </c>
      <c r="W97" s="1">
        <f t="shared" si="22"/>
        <v>9</v>
      </c>
    </row>
    <row r="98" spans="1:23" ht="19.5" customHeight="1" x14ac:dyDescent="0.3">
      <c r="A98" s="2"/>
      <c r="B98" s="65" t="str">
        <f t="shared" si="13"/>
        <v/>
      </c>
      <c r="C98" s="70" t="str">
        <f t="shared" si="14"/>
        <v/>
      </c>
      <c r="D98" s="180" t="str">
        <f t="shared" si="15"/>
        <v/>
      </c>
      <c r="E98" s="139"/>
      <c r="F98" s="65" t="str">
        <f t="shared" si="16"/>
        <v/>
      </c>
      <c r="G98" s="68" t="str">
        <f t="shared" si="17"/>
        <v/>
      </c>
      <c r="H98" s="68" t="str">
        <f t="shared" si="18"/>
        <v/>
      </c>
      <c r="I98" s="68" t="str">
        <f t="shared" si="19"/>
        <v/>
      </c>
      <c r="J98" s="2"/>
      <c r="K98" s="2"/>
      <c r="L98" s="1"/>
      <c r="M98" s="1">
        <v>61</v>
      </c>
      <c r="N98" s="1" t="str">
        <f>IF($T98=0,"",INDEX(VIRMAN!$C$7:$C$406,$T98))</f>
        <v/>
      </c>
      <c r="O98" s="1" t="str">
        <f>IF($N98="","",$C$36&amp;"  –  ORTAK ÇEKİŞ / AVANS  ("&amp;INDEX(VIRMAN!$D$7:$D$406,$T98)&amp;" hesabından)"&amp;IF(INDEX(VIRMAN!$G$7:$G$406,$T98)="",""," – "&amp;INDEX(VIRMAN!$G$7:$G$406,$T98)))</f>
        <v/>
      </c>
      <c r="P98" s="1" t="str">
        <f t="shared" si="23"/>
        <v/>
      </c>
      <c r="Q98" s="1">
        <f>0</f>
        <v>0</v>
      </c>
      <c r="R98" s="1">
        <f>IF($N98="",0,INDEX(VIRMAN!$F$7:$F$406,$T98))</f>
        <v>0</v>
      </c>
      <c r="S98" s="1">
        <f t="shared" si="20"/>
        <v>10000000000</v>
      </c>
      <c r="T98" s="1">
        <f>IFERROR(MATCH($C$36&amp;"|25",VIRMAN!$M$7:$M$406,0),0)</f>
        <v>0</v>
      </c>
      <c r="U98" s="1"/>
      <c r="V98" s="1">
        <f t="shared" si="21"/>
        <v>10000000000</v>
      </c>
      <c r="W98" s="1">
        <f t="shared" si="22"/>
        <v>9</v>
      </c>
    </row>
    <row r="99" spans="1:23" ht="19.5" customHeight="1" x14ac:dyDescent="0.3">
      <c r="A99" s="2"/>
      <c r="B99" s="65" t="str">
        <f t="shared" si="13"/>
        <v/>
      </c>
      <c r="C99" s="70" t="str">
        <f t="shared" si="14"/>
        <v/>
      </c>
      <c r="D99" s="180" t="str">
        <f t="shared" si="15"/>
        <v/>
      </c>
      <c r="E99" s="139"/>
      <c r="F99" s="65" t="str">
        <f t="shared" si="16"/>
        <v/>
      </c>
      <c r="G99" s="68" t="str">
        <f t="shared" si="17"/>
        <v/>
      </c>
      <c r="H99" s="68" t="str">
        <f t="shared" si="18"/>
        <v/>
      </c>
      <c r="I99" s="68" t="str">
        <f t="shared" si="19"/>
        <v/>
      </c>
      <c r="J99" s="2"/>
      <c r="K99" s="2"/>
      <c r="L99" s="1"/>
      <c r="M99" s="1">
        <v>62</v>
      </c>
      <c r="N99" s="1" t="str">
        <f>IF($T99=0,"",INDEX(VIRMAN!$C$7:$C$406,$T99))</f>
        <v/>
      </c>
      <c r="O99" s="1" t="str">
        <f>IF($N99="","",$C$36&amp;"  –  ORTAK ÇEKİŞ / AVANS  ("&amp;INDEX(VIRMAN!$D$7:$D$406,$T99)&amp;" hesabından)"&amp;IF(INDEX(VIRMAN!$G$7:$G$406,$T99)="",""," – "&amp;INDEX(VIRMAN!$G$7:$G$406,$T99)))</f>
        <v/>
      </c>
      <c r="P99" s="1" t="str">
        <f t="shared" si="23"/>
        <v/>
      </c>
      <c r="Q99" s="1">
        <f>0</f>
        <v>0</v>
      </c>
      <c r="R99" s="1">
        <f>IF($N99="",0,INDEX(VIRMAN!$F$7:$F$406,$T99))</f>
        <v>0</v>
      </c>
      <c r="S99" s="1">
        <f t="shared" si="20"/>
        <v>10000000000</v>
      </c>
      <c r="T99" s="1">
        <f>IFERROR(MATCH($C$36&amp;"|26",VIRMAN!$M$7:$M$406,0),0)</f>
        <v>0</v>
      </c>
      <c r="U99" s="1"/>
      <c r="V99" s="1">
        <f t="shared" si="21"/>
        <v>10000000000</v>
      </c>
      <c r="W99" s="1">
        <f t="shared" si="22"/>
        <v>9</v>
      </c>
    </row>
    <row r="100" spans="1:23" ht="19.5" customHeight="1" x14ac:dyDescent="0.3">
      <c r="A100" s="2"/>
      <c r="B100" s="65" t="str">
        <f t="shared" si="13"/>
        <v/>
      </c>
      <c r="C100" s="70" t="str">
        <f t="shared" si="14"/>
        <v/>
      </c>
      <c r="D100" s="180" t="str">
        <f t="shared" si="15"/>
        <v/>
      </c>
      <c r="E100" s="139"/>
      <c r="F100" s="65" t="str">
        <f t="shared" si="16"/>
        <v/>
      </c>
      <c r="G100" s="68" t="str">
        <f t="shared" si="17"/>
        <v/>
      </c>
      <c r="H100" s="68" t="str">
        <f t="shared" si="18"/>
        <v/>
      </c>
      <c r="I100" s="68" t="str">
        <f t="shared" si="19"/>
        <v/>
      </c>
      <c r="J100" s="2"/>
      <c r="K100" s="2"/>
      <c r="L100" s="1"/>
      <c r="M100" s="1">
        <v>63</v>
      </c>
      <c r="N100" s="1" t="str">
        <f>IF($T100=0,"",INDEX(VIRMAN!$C$7:$C$406,$T100))</f>
        <v/>
      </c>
      <c r="O100" s="1" t="str">
        <f>IF($N100="","",$C$36&amp;"  –  ORTAK ÇEKİŞ / AVANS  ("&amp;INDEX(VIRMAN!$D$7:$D$406,$T100)&amp;" hesabından)"&amp;IF(INDEX(VIRMAN!$G$7:$G$406,$T100)="",""," – "&amp;INDEX(VIRMAN!$G$7:$G$406,$T100)))</f>
        <v/>
      </c>
      <c r="P100" s="1" t="str">
        <f t="shared" si="23"/>
        <v/>
      </c>
      <c r="Q100" s="1">
        <f>0</f>
        <v>0</v>
      </c>
      <c r="R100" s="1">
        <f>IF($N100="",0,INDEX(VIRMAN!$F$7:$F$406,$T100))</f>
        <v>0</v>
      </c>
      <c r="S100" s="1">
        <f t="shared" si="20"/>
        <v>10000000000</v>
      </c>
      <c r="T100" s="1">
        <f>IFERROR(MATCH($C$36&amp;"|27",VIRMAN!$M$7:$M$406,0),0)</f>
        <v>0</v>
      </c>
      <c r="U100" s="1"/>
      <c r="V100" s="1">
        <f t="shared" si="21"/>
        <v>10000000000</v>
      </c>
      <c r="W100" s="1">
        <f t="shared" si="22"/>
        <v>9</v>
      </c>
    </row>
    <row r="101" spans="1:23" ht="19.5" customHeight="1" x14ac:dyDescent="0.3">
      <c r="A101" s="2"/>
      <c r="B101" s="65" t="str">
        <f t="shared" si="13"/>
        <v/>
      </c>
      <c r="C101" s="70" t="str">
        <f t="shared" si="14"/>
        <v/>
      </c>
      <c r="D101" s="180" t="str">
        <f t="shared" si="15"/>
        <v/>
      </c>
      <c r="E101" s="139"/>
      <c r="F101" s="65" t="str">
        <f t="shared" si="16"/>
        <v/>
      </c>
      <c r="G101" s="68" t="str">
        <f t="shared" si="17"/>
        <v/>
      </c>
      <c r="H101" s="68" t="str">
        <f t="shared" si="18"/>
        <v/>
      </c>
      <c r="I101" s="68" t="str">
        <f t="shared" si="19"/>
        <v/>
      </c>
      <c r="J101" s="2"/>
      <c r="K101" s="2"/>
      <c r="L101" s="1"/>
      <c r="M101" s="1">
        <v>64</v>
      </c>
      <c r="N101" s="1" t="str">
        <f>IF($T101=0,"",INDEX(VIRMAN!$C$7:$C$406,$T101))</f>
        <v/>
      </c>
      <c r="O101" s="1" t="str">
        <f>IF($N101="","",$C$36&amp;"  –  ORTAK ÇEKİŞ / AVANS  ("&amp;INDEX(VIRMAN!$D$7:$D$406,$T101)&amp;" hesabından)"&amp;IF(INDEX(VIRMAN!$G$7:$G$406,$T101)="",""," – "&amp;INDEX(VIRMAN!$G$7:$G$406,$T101)))</f>
        <v/>
      </c>
      <c r="P101" s="1" t="str">
        <f t="shared" si="23"/>
        <v/>
      </c>
      <c r="Q101" s="1">
        <f>0</f>
        <v>0</v>
      </c>
      <c r="R101" s="1">
        <f>IF($N101="",0,INDEX(VIRMAN!$F$7:$F$406,$T101))</f>
        <v>0</v>
      </c>
      <c r="S101" s="1">
        <f t="shared" si="20"/>
        <v>10000000000</v>
      </c>
      <c r="T101" s="1">
        <f>IFERROR(MATCH($C$36&amp;"|28",VIRMAN!$M$7:$M$406,0),0)</f>
        <v>0</v>
      </c>
      <c r="U101" s="1"/>
      <c r="V101" s="1">
        <f t="shared" si="21"/>
        <v>10000000000</v>
      </c>
      <c r="W101" s="1">
        <f t="shared" si="22"/>
        <v>9</v>
      </c>
    </row>
    <row r="102" spans="1:23" ht="19.5" customHeight="1" x14ac:dyDescent="0.3">
      <c r="A102" s="2"/>
      <c r="B102" s="65" t="str">
        <f t="shared" ref="B102:B133" si="24">IF($C102="","",ROW()-37)</f>
        <v/>
      </c>
      <c r="C102" s="70" t="str">
        <f t="shared" ref="C102:C133" si="25">IF($W102="","",IF(INDEX($N$38:$N$193,$W102)="","",INDEX($N$38:$N$193,$W102)))</f>
        <v/>
      </c>
      <c r="D102" s="180" t="str">
        <f t="shared" ref="D102:D133" si="26">IF($C102="","",INDEX($O$38:$O$193,$W102))</f>
        <v/>
      </c>
      <c r="E102" s="139"/>
      <c r="F102" s="65" t="str">
        <f t="shared" ref="F102:F133" si="27">IF($C102="","",INDEX($P$38:$P$193,$W102))</f>
        <v/>
      </c>
      <c r="G102" s="68" t="str">
        <f t="shared" ref="G102:G133" si="28">IF($C102="","",INDEX($Q$38:$Q$193,$W102))</f>
        <v/>
      </c>
      <c r="H102" s="68" t="str">
        <f t="shared" ref="H102:H133" si="29">IF($C102="","",INDEX($R$38:$R$193,$W102))</f>
        <v/>
      </c>
      <c r="I102" s="68" t="str">
        <f t="shared" ref="I102:I133" si="30">IF($C102="","",N($I101)+$G102-$H102)</f>
        <v/>
      </c>
      <c r="J102" s="2"/>
      <c r="K102" s="2"/>
      <c r="L102" s="1"/>
      <c r="M102" s="1">
        <v>65</v>
      </c>
      <c r="N102" s="1" t="str">
        <f>IF($T102=0,"",INDEX(VIRMAN!$C$7:$C$406,$T102))</f>
        <v/>
      </c>
      <c r="O102" s="1" t="str">
        <f>IF($N102="","",$C$36&amp;"  –  ORTAK ÇEKİŞ / AVANS  ("&amp;INDEX(VIRMAN!$D$7:$D$406,$T102)&amp;" hesabından)"&amp;IF(INDEX(VIRMAN!$G$7:$G$406,$T102)="",""," – "&amp;INDEX(VIRMAN!$G$7:$G$406,$T102)))</f>
        <v/>
      </c>
      <c r="P102" s="1" t="str">
        <f t="shared" si="23"/>
        <v/>
      </c>
      <c r="Q102" s="1">
        <f>0</f>
        <v>0</v>
      </c>
      <c r="R102" s="1">
        <f>IF($N102="",0,INDEX(VIRMAN!$F$7:$F$406,$T102))</f>
        <v>0</v>
      </c>
      <c r="S102" s="1">
        <f t="shared" ref="S102:S133" si="31">IF($N102="",10000000000,$N102*100000+$M102)</f>
        <v>10000000000</v>
      </c>
      <c r="T102" s="1">
        <f>IFERROR(MATCH($C$36&amp;"|29",VIRMAN!$M$7:$M$406,0),0)</f>
        <v>0</v>
      </c>
      <c r="U102" s="1"/>
      <c r="V102" s="1">
        <f t="shared" ref="V102:V133" si="32">IFERROR(SMALL($S$38:$S$193,ROW()-37),"")</f>
        <v>10000000000</v>
      </c>
      <c r="W102" s="1">
        <f t="shared" ref="W102:W133" si="33">IFERROR(MATCH($V102,$S$38:$S$193,0),"")</f>
        <v>9</v>
      </c>
    </row>
    <row r="103" spans="1:23" ht="19.5" customHeight="1" x14ac:dyDescent="0.3">
      <c r="A103" s="2"/>
      <c r="B103" s="65" t="str">
        <f t="shared" si="24"/>
        <v/>
      </c>
      <c r="C103" s="70" t="str">
        <f t="shared" si="25"/>
        <v/>
      </c>
      <c r="D103" s="180" t="str">
        <f t="shared" si="26"/>
        <v/>
      </c>
      <c r="E103" s="139"/>
      <c r="F103" s="65" t="str">
        <f t="shared" si="27"/>
        <v/>
      </c>
      <c r="G103" s="68" t="str">
        <f t="shared" si="28"/>
        <v/>
      </c>
      <c r="H103" s="68" t="str">
        <f t="shared" si="29"/>
        <v/>
      </c>
      <c r="I103" s="68" t="str">
        <f t="shared" si="30"/>
        <v/>
      </c>
      <c r="J103" s="2"/>
      <c r="K103" s="2"/>
      <c r="L103" s="1"/>
      <c r="M103" s="1">
        <v>66</v>
      </c>
      <c r="N103" s="1" t="str">
        <f>IF($T103=0,"",INDEX(VIRMAN!$C$7:$C$406,$T103))</f>
        <v/>
      </c>
      <c r="O103" s="1" t="str">
        <f>IF($N103="","",$C$36&amp;"  –  ORTAK ÇEKİŞ / AVANS  ("&amp;INDEX(VIRMAN!$D$7:$D$406,$T103)&amp;" hesabından)"&amp;IF(INDEX(VIRMAN!$G$7:$G$406,$T103)="",""," – "&amp;INDEX(VIRMAN!$G$7:$G$406,$T103)))</f>
        <v/>
      </c>
      <c r="P103" s="1" t="str">
        <f t="shared" si="23"/>
        <v/>
      </c>
      <c r="Q103" s="1">
        <f>0</f>
        <v>0</v>
      </c>
      <c r="R103" s="1">
        <f>IF($N103="",0,INDEX(VIRMAN!$F$7:$F$406,$T103))</f>
        <v>0</v>
      </c>
      <c r="S103" s="1">
        <f t="shared" si="31"/>
        <v>10000000000</v>
      </c>
      <c r="T103" s="1">
        <f>IFERROR(MATCH($C$36&amp;"|30",VIRMAN!$M$7:$M$406,0),0)</f>
        <v>0</v>
      </c>
      <c r="U103" s="1"/>
      <c r="V103" s="1">
        <f t="shared" si="32"/>
        <v>10000000000</v>
      </c>
      <c r="W103" s="1">
        <f t="shared" si="33"/>
        <v>9</v>
      </c>
    </row>
    <row r="104" spans="1:23" ht="19.5" customHeight="1" x14ac:dyDescent="0.3">
      <c r="A104" s="2"/>
      <c r="B104" s="65" t="str">
        <f t="shared" si="24"/>
        <v/>
      </c>
      <c r="C104" s="70" t="str">
        <f t="shared" si="25"/>
        <v/>
      </c>
      <c r="D104" s="180" t="str">
        <f t="shared" si="26"/>
        <v/>
      </c>
      <c r="E104" s="139"/>
      <c r="F104" s="65" t="str">
        <f t="shared" si="27"/>
        <v/>
      </c>
      <c r="G104" s="68" t="str">
        <f t="shared" si="28"/>
        <v/>
      </c>
      <c r="H104" s="68" t="str">
        <f t="shared" si="29"/>
        <v/>
      </c>
      <c r="I104" s="68" t="str">
        <f t="shared" si="30"/>
        <v/>
      </c>
      <c r="J104" s="2"/>
      <c r="K104" s="2"/>
      <c r="L104" s="1"/>
      <c r="M104" s="1">
        <v>67</v>
      </c>
      <c r="N104" s="1" t="str">
        <f>IF($T104=0,"",INDEX(VIRMAN!$C$7:$C$406,$T104))</f>
        <v/>
      </c>
      <c r="O104" s="1" t="str">
        <f>IF($N104="","",$C$36&amp;"  –  ORTAK ÇEKİŞ / AVANS  ("&amp;INDEX(VIRMAN!$D$7:$D$406,$T104)&amp;" hesabından)"&amp;IF(INDEX(VIRMAN!$G$7:$G$406,$T104)="",""," – "&amp;INDEX(VIRMAN!$G$7:$G$406,$T104)))</f>
        <v/>
      </c>
      <c r="P104" s="1" t="str">
        <f t="shared" si="23"/>
        <v/>
      </c>
      <c r="Q104" s="1">
        <f>0</f>
        <v>0</v>
      </c>
      <c r="R104" s="1">
        <f>IF($N104="",0,INDEX(VIRMAN!$F$7:$F$406,$T104))</f>
        <v>0</v>
      </c>
      <c r="S104" s="1">
        <f t="shared" si="31"/>
        <v>10000000000</v>
      </c>
      <c r="T104" s="1">
        <f>IFERROR(MATCH($C$36&amp;"|31",VIRMAN!$M$7:$M$406,0),0)</f>
        <v>0</v>
      </c>
      <c r="U104" s="1"/>
      <c r="V104" s="1">
        <f t="shared" si="32"/>
        <v>10000000000</v>
      </c>
      <c r="W104" s="1">
        <f t="shared" si="33"/>
        <v>9</v>
      </c>
    </row>
    <row r="105" spans="1:23" ht="19.5" customHeight="1" x14ac:dyDescent="0.3">
      <c r="A105" s="2"/>
      <c r="B105" s="65" t="str">
        <f t="shared" si="24"/>
        <v/>
      </c>
      <c r="C105" s="70" t="str">
        <f t="shared" si="25"/>
        <v/>
      </c>
      <c r="D105" s="180" t="str">
        <f t="shared" si="26"/>
        <v/>
      </c>
      <c r="E105" s="139"/>
      <c r="F105" s="65" t="str">
        <f t="shared" si="27"/>
        <v/>
      </c>
      <c r="G105" s="68" t="str">
        <f t="shared" si="28"/>
        <v/>
      </c>
      <c r="H105" s="68" t="str">
        <f t="shared" si="29"/>
        <v/>
      </c>
      <c r="I105" s="68" t="str">
        <f t="shared" si="30"/>
        <v/>
      </c>
      <c r="J105" s="2"/>
      <c r="K105" s="2"/>
      <c r="L105" s="1"/>
      <c r="M105" s="1">
        <v>68</v>
      </c>
      <c r="N105" s="1" t="str">
        <f>IF($T105=0,"",INDEX(VIRMAN!$C$7:$C$406,$T105))</f>
        <v/>
      </c>
      <c r="O105" s="1" t="str">
        <f>IF($N105="","",$C$36&amp;"  –  ORTAK ÇEKİŞ / AVANS  ("&amp;INDEX(VIRMAN!$D$7:$D$406,$T105)&amp;" hesabından)"&amp;IF(INDEX(VIRMAN!$G$7:$G$406,$T105)="",""," – "&amp;INDEX(VIRMAN!$G$7:$G$406,$T105)))</f>
        <v/>
      </c>
      <c r="P105" s="1" t="str">
        <f t="shared" si="23"/>
        <v/>
      </c>
      <c r="Q105" s="1">
        <f>0</f>
        <v>0</v>
      </c>
      <c r="R105" s="1">
        <f>IF($N105="",0,INDEX(VIRMAN!$F$7:$F$406,$T105))</f>
        <v>0</v>
      </c>
      <c r="S105" s="1">
        <f t="shared" si="31"/>
        <v>10000000000</v>
      </c>
      <c r="T105" s="1">
        <f>IFERROR(MATCH($C$36&amp;"|32",VIRMAN!$M$7:$M$406,0),0)</f>
        <v>0</v>
      </c>
      <c r="U105" s="1"/>
      <c r="V105" s="1">
        <f t="shared" si="32"/>
        <v>10000000000</v>
      </c>
      <c r="W105" s="1">
        <f t="shared" si="33"/>
        <v>9</v>
      </c>
    </row>
    <row r="106" spans="1:23" ht="19.5" customHeight="1" x14ac:dyDescent="0.3">
      <c r="A106" s="2"/>
      <c r="B106" s="65" t="str">
        <f t="shared" si="24"/>
        <v/>
      </c>
      <c r="C106" s="70" t="str">
        <f t="shared" si="25"/>
        <v/>
      </c>
      <c r="D106" s="180" t="str">
        <f t="shared" si="26"/>
        <v/>
      </c>
      <c r="E106" s="139"/>
      <c r="F106" s="65" t="str">
        <f t="shared" si="27"/>
        <v/>
      </c>
      <c r="G106" s="68" t="str">
        <f t="shared" si="28"/>
        <v/>
      </c>
      <c r="H106" s="68" t="str">
        <f t="shared" si="29"/>
        <v/>
      </c>
      <c r="I106" s="68" t="str">
        <f t="shared" si="30"/>
        <v/>
      </c>
      <c r="J106" s="2"/>
      <c r="K106" s="2"/>
      <c r="L106" s="1"/>
      <c r="M106" s="1">
        <v>69</v>
      </c>
      <c r="N106" s="1" t="str">
        <f>IF($T106=0,"",INDEX(VIRMAN!$C$7:$C$406,$T106))</f>
        <v/>
      </c>
      <c r="O106" s="1" t="str">
        <f>IF($N106="","",$C$36&amp;"  –  ORTAK ÇEKİŞ / AVANS  ("&amp;INDEX(VIRMAN!$D$7:$D$406,$T106)&amp;" hesabından)"&amp;IF(INDEX(VIRMAN!$G$7:$G$406,$T106)="",""," – "&amp;INDEX(VIRMAN!$G$7:$G$406,$T106)))</f>
        <v/>
      </c>
      <c r="P106" s="1" t="str">
        <f t="shared" ref="P106:P137" si="34">IF($N106="","","ÇEKİŞ / AVANS")</f>
        <v/>
      </c>
      <c r="Q106" s="1">
        <f>0</f>
        <v>0</v>
      </c>
      <c r="R106" s="1">
        <f>IF($N106="",0,INDEX(VIRMAN!$F$7:$F$406,$T106))</f>
        <v>0</v>
      </c>
      <c r="S106" s="1">
        <f t="shared" si="31"/>
        <v>10000000000</v>
      </c>
      <c r="T106" s="1">
        <f>IFERROR(MATCH($C$36&amp;"|33",VIRMAN!$M$7:$M$406,0),0)</f>
        <v>0</v>
      </c>
      <c r="U106" s="1"/>
      <c r="V106" s="1">
        <f t="shared" si="32"/>
        <v>10000000000</v>
      </c>
      <c r="W106" s="1">
        <f t="shared" si="33"/>
        <v>9</v>
      </c>
    </row>
    <row r="107" spans="1:23" ht="19.5" customHeight="1" x14ac:dyDescent="0.3">
      <c r="A107" s="2"/>
      <c r="B107" s="65" t="str">
        <f t="shared" si="24"/>
        <v/>
      </c>
      <c r="C107" s="70" t="str">
        <f t="shared" si="25"/>
        <v/>
      </c>
      <c r="D107" s="180" t="str">
        <f t="shared" si="26"/>
        <v/>
      </c>
      <c r="E107" s="139"/>
      <c r="F107" s="65" t="str">
        <f t="shared" si="27"/>
        <v/>
      </c>
      <c r="G107" s="68" t="str">
        <f t="shared" si="28"/>
        <v/>
      </c>
      <c r="H107" s="68" t="str">
        <f t="shared" si="29"/>
        <v/>
      </c>
      <c r="I107" s="68" t="str">
        <f t="shared" si="30"/>
        <v/>
      </c>
      <c r="J107" s="2"/>
      <c r="K107" s="2"/>
      <c r="L107" s="1"/>
      <c r="M107" s="1">
        <v>70</v>
      </c>
      <c r="N107" s="1" t="str">
        <f>IF($T107=0,"",INDEX(VIRMAN!$C$7:$C$406,$T107))</f>
        <v/>
      </c>
      <c r="O107" s="1" t="str">
        <f>IF($N107="","",$C$36&amp;"  –  ORTAK ÇEKİŞ / AVANS  ("&amp;INDEX(VIRMAN!$D$7:$D$406,$T107)&amp;" hesabından)"&amp;IF(INDEX(VIRMAN!$G$7:$G$406,$T107)="",""," – "&amp;INDEX(VIRMAN!$G$7:$G$406,$T107)))</f>
        <v/>
      </c>
      <c r="P107" s="1" t="str">
        <f t="shared" si="34"/>
        <v/>
      </c>
      <c r="Q107" s="1">
        <f>0</f>
        <v>0</v>
      </c>
      <c r="R107" s="1">
        <f>IF($N107="",0,INDEX(VIRMAN!$F$7:$F$406,$T107))</f>
        <v>0</v>
      </c>
      <c r="S107" s="1">
        <f t="shared" si="31"/>
        <v>10000000000</v>
      </c>
      <c r="T107" s="1">
        <f>IFERROR(MATCH($C$36&amp;"|34",VIRMAN!$M$7:$M$406,0),0)</f>
        <v>0</v>
      </c>
      <c r="U107" s="1"/>
      <c r="V107" s="1">
        <f t="shared" si="32"/>
        <v>10000000000</v>
      </c>
      <c r="W107" s="1">
        <f t="shared" si="33"/>
        <v>9</v>
      </c>
    </row>
    <row r="108" spans="1:23" ht="19.5" customHeight="1" x14ac:dyDescent="0.3">
      <c r="A108" s="2"/>
      <c r="B108" s="65" t="str">
        <f t="shared" si="24"/>
        <v/>
      </c>
      <c r="C108" s="70" t="str">
        <f t="shared" si="25"/>
        <v/>
      </c>
      <c r="D108" s="180" t="str">
        <f t="shared" si="26"/>
        <v/>
      </c>
      <c r="E108" s="139"/>
      <c r="F108" s="65" t="str">
        <f t="shared" si="27"/>
        <v/>
      </c>
      <c r="G108" s="68" t="str">
        <f t="shared" si="28"/>
        <v/>
      </c>
      <c r="H108" s="68" t="str">
        <f t="shared" si="29"/>
        <v/>
      </c>
      <c r="I108" s="68" t="str">
        <f t="shared" si="30"/>
        <v/>
      </c>
      <c r="J108" s="2"/>
      <c r="K108" s="2"/>
      <c r="L108" s="1"/>
      <c r="M108" s="1">
        <v>71</v>
      </c>
      <c r="N108" s="1" t="str">
        <f>IF($T108=0,"",INDEX(VIRMAN!$C$7:$C$406,$T108))</f>
        <v/>
      </c>
      <c r="O108" s="1" t="str">
        <f>IF($N108="","",$C$36&amp;"  –  ORTAK ÇEKİŞ / AVANS  ("&amp;INDEX(VIRMAN!$D$7:$D$406,$T108)&amp;" hesabından)"&amp;IF(INDEX(VIRMAN!$G$7:$G$406,$T108)="",""," – "&amp;INDEX(VIRMAN!$G$7:$G$406,$T108)))</f>
        <v/>
      </c>
      <c r="P108" s="1" t="str">
        <f t="shared" si="34"/>
        <v/>
      </c>
      <c r="Q108" s="1">
        <f>0</f>
        <v>0</v>
      </c>
      <c r="R108" s="1">
        <f>IF($N108="",0,INDEX(VIRMAN!$F$7:$F$406,$T108))</f>
        <v>0</v>
      </c>
      <c r="S108" s="1">
        <f t="shared" si="31"/>
        <v>10000000000</v>
      </c>
      <c r="T108" s="1">
        <f>IFERROR(MATCH($C$36&amp;"|35",VIRMAN!$M$7:$M$406,0),0)</f>
        <v>0</v>
      </c>
      <c r="U108" s="1"/>
      <c r="V108" s="1">
        <f t="shared" si="32"/>
        <v>10000000000</v>
      </c>
      <c r="W108" s="1">
        <f t="shared" si="33"/>
        <v>9</v>
      </c>
    </row>
    <row r="109" spans="1:23" ht="19.5" customHeight="1" x14ac:dyDescent="0.3">
      <c r="A109" s="2"/>
      <c r="B109" s="65" t="str">
        <f t="shared" si="24"/>
        <v/>
      </c>
      <c r="C109" s="70" t="str">
        <f t="shared" si="25"/>
        <v/>
      </c>
      <c r="D109" s="180" t="str">
        <f t="shared" si="26"/>
        <v/>
      </c>
      <c r="E109" s="139"/>
      <c r="F109" s="65" t="str">
        <f t="shared" si="27"/>
        <v/>
      </c>
      <c r="G109" s="68" t="str">
        <f t="shared" si="28"/>
        <v/>
      </c>
      <c r="H109" s="68" t="str">
        <f t="shared" si="29"/>
        <v/>
      </c>
      <c r="I109" s="68" t="str">
        <f t="shared" si="30"/>
        <v/>
      </c>
      <c r="J109" s="2"/>
      <c r="K109" s="2"/>
      <c r="L109" s="1"/>
      <c r="M109" s="1">
        <v>72</v>
      </c>
      <c r="N109" s="1" t="str">
        <f>IF($T109=0,"",INDEX(VIRMAN!$C$7:$C$406,$T109))</f>
        <v/>
      </c>
      <c r="O109" s="1" t="str">
        <f>IF($N109="","",$C$36&amp;"  –  ORTAK ÇEKİŞ / AVANS  ("&amp;INDEX(VIRMAN!$D$7:$D$406,$T109)&amp;" hesabından)"&amp;IF(INDEX(VIRMAN!$G$7:$G$406,$T109)="",""," – "&amp;INDEX(VIRMAN!$G$7:$G$406,$T109)))</f>
        <v/>
      </c>
      <c r="P109" s="1" t="str">
        <f t="shared" si="34"/>
        <v/>
      </c>
      <c r="Q109" s="1">
        <f>0</f>
        <v>0</v>
      </c>
      <c r="R109" s="1">
        <f>IF($N109="",0,INDEX(VIRMAN!$F$7:$F$406,$T109))</f>
        <v>0</v>
      </c>
      <c r="S109" s="1">
        <f t="shared" si="31"/>
        <v>10000000000</v>
      </c>
      <c r="T109" s="1">
        <f>IFERROR(MATCH($C$36&amp;"|36",VIRMAN!$M$7:$M$406,0),0)</f>
        <v>0</v>
      </c>
      <c r="U109" s="1"/>
      <c r="V109" s="1">
        <f t="shared" si="32"/>
        <v>10000000000</v>
      </c>
      <c r="W109" s="1">
        <f t="shared" si="33"/>
        <v>9</v>
      </c>
    </row>
    <row r="110" spans="1:23" ht="19.5" customHeight="1" x14ac:dyDescent="0.3">
      <c r="A110" s="2"/>
      <c r="B110" s="65" t="str">
        <f t="shared" si="24"/>
        <v/>
      </c>
      <c r="C110" s="70" t="str">
        <f t="shared" si="25"/>
        <v/>
      </c>
      <c r="D110" s="180" t="str">
        <f t="shared" si="26"/>
        <v/>
      </c>
      <c r="E110" s="139"/>
      <c r="F110" s="65" t="str">
        <f t="shared" si="27"/>
        <v/>
      </c>
      <c r="G110" s="68" t="str">
        <f t="shared" si="28"/>
        <v/>
      </c>
      <c r="H110" s="68" t="str">
        <f t="shared" si="29"/>
        <v/>
      </c>
      <c r="I110" s="68" t="str">
        <f t="shared" si="30"/>
        <v/>
      </c>
      <c r="J110" s="2"/>
      <c r="K110" s="2"/>
      <c r="L110" s="1"/>
      <c r="M110" s="1">
        <v>73</v>
      </c>
      <c r="N110" s="1" t="str">
        <f>IF($T110=0,"",INDEX(VIRMAN!$C$7:$C$406,$T110))</f>
        <v/>
      </c>
      <c r="O110" s="1" t="str">
        <f>IF($N110="","",$C$36&amp;"  –  ORTAK ÇEKİŞ / AVANS  ("&amp;INDEX(VIRMAN!$D$7:$D$406,$T110)&amp;" hesabından)"&amp;IF(INDEX(VIRMAN!$G$7:$G$406,$T110)="",""," – "&amp;INDEX(VIRMAN!$G$7:$G$406,$T110)))</f>
        <v/>
      </c>
      <c r="P110" s="1" t="str">
        <f t="shared" si="34"/>
        <v/>
      </c>
      <c r="Q110" s="1">
        <f>0</f>
        <v>0</v>
      </c>
      <c r="R110" s="1">
        <f>IF($N110="",0,INDEX(VIRMAN!$F$7:$F$406,$T110))</f>
        <v>0</v>
      </c>
      <c r="S110" s="1">
        <f t="shared" si="31"/>
        <v>10000000000</v>
      </c>
      <c r="T110" s="1">
        <f>IFERROR(MATCH($C$36&amp;"|37",VIRMAN!$M$7:$M$406,0),0)</f>
        <v>0</v>
      </c>
      <c r="U110" s="1"/>
      <c r="V110" s="1">
        <f t="shared" si="32"/>
        <v>10000000000</v>
      </c>
      <c r="W110" s="1">
        <f t="shared" si="33"/>
        <v>9</v>
      </c>
    </row>
    <row r="111" spans="1:23" ht="19.5" customHeight="1" x14ac:dyDescent="0.3">
      <c r="A111" s="2"/>
      <c r="B111" s="65" t="str">
        <f t="shared" si="24"/>
        <v/>
      </c>
      <c r="C111" s="70" t="str">
        <f t="shared" si="25"/>
        <v/>
      </c>
      <c r="D111" s="180" t="str">
        <f t="shared" si="26"/>
        <v/>
      </c>
      <c r="E111" s="139"/>
      <c r="F111" s="65" t="str">
        <f t="shared" si="27"/>
        <v/>
      </c>
      <c r="G111" s="68" t="str">
        <f t="shared" si="28"/>
        <v/>
      </c>
      <c r="H111" s="68" t="str">
        <f t="shared" si="29"/>
        <v/>
      </c>
      <c r="I111" s="68" t="str">
        <f t="shared" si="30"/>
        <v/>
      </c>
      <c r="J111" s="2"/>
      <c r="K111" s="2"/>
      <c r="L111" s="1"/>
      <c r="M111" s="1">
        <v>74</v>
      </c>
      <c r="N111" s="1" t="str">
        <f>IF($T111=0,"",INDEX(VIRMAN!$C$7:$C$406,$T111))</f>
        <v/>
      </c>
      <c r="O111" s="1" t="str">
        <f>IF($N111="","",$C$36&amp;"  –  ORTAK ÇEKİŞ / AVANS  ("&amp;INDEX(VIRMAN!$D$7:$D$406,$T111)&amp;" hesabından)"&amp;IF(INDEX(VIRMAN!$G$7:$G$406,$T111)="",""," – "&amp;INDEX(VIRMAN!$G$7:$G$406,$T111)))</f>
        <v/>
      </c>
      <c r="P111" s="1" t="str">
        <f t="shared" si="34"/>
        <v/>
      </c>
      <c r="Q111" s="1">
        <f>0</f>
        <v>0</v>
      </c>
      <c r="R111" s="1">
        <f>IF($N111="",0,INDEX(VIRMAN!$F$7:$F$406,$T111))</f>
        <v>0</v>
      </c>
      <c r="S111" s="1">
        <f t="shared" si="31"/>
        <v>10000000000</v>
      </c>
      <c r="T111" s="1">
        <f>IFERROR(MATCH($C$36&amp;"|38",VIRMAN!$M$7:$M$406,0),0)</f>
        <v>0</v>
      </c>
      <c r="U111" s="1"/>
      <c r="V111" s="1">
        <f t="shared" si="32"/>
        <v>10000000000</v>
      </c>
      <c r="W111" s="1">
        <f t="shared" si="33"/>
        <v>9</v>
      </c>
    </row>
    <row r="112" spans="1:23" ht="19.5" customHeight="1" x14ac:dyDescent="0.3">
      <c r="A112" s="2"/>
      <c r="B112" s="65" t="str">
        <f t="shared" si="24"/>
        <v/>
      </c>
      <c r="C112" s="70" t="str">
        <f t="shared" si="25"/>
        <v/>
      </c>
      <c r="D112" s="180" t="str">
        <f t="shared" si="26"/>
        <v/>
      </c>
      <c r="E112" s="139"/>
      <c r="F112" s="65" t="str">
        <f t="shared" si="27"/>
        <v/>
      </c>
      <c r="G112" s="68" t="str">
        <f t="shared" si="28"/>
        <v/>
      </c>
      <c r="H112" s="68" t="str">
        <f t="shared" si="29"/>
        <v/>
      </c>
      <c r="I112" s="68" t="str">
        <f t="shared" si="30"/>
        <v/>
      </c>
      <c r="J112" s="2"/>
      <c r="K112" s="2"/>
      <c r="L112" s="1"/>
      <c r="M112" s="1">
        <v>75</v>
      </c>
      <c r="N112" s="1" t="str">
        <f>IF($T112=0,"",INDEX(VIRMAN!$C$7:$C$406,$T112))</f>
        <v/>
      </c>
      <c r="O112" s="1" t="str">
        <f>IF($N112="","",$C$36&amp;"  –  ORTAK ÇEKİŞ / AVANS  ("&amp;INDEX(VIRMAN!$D$7:$D$406,$T112)&amp;" hesabından)"&amp;IF(INDEX(VIRMAN!$G$7:$G$406,$T112)="",""," – "&amp;INDEX(VIRMAN!$G$7:$G$406,$T112)))</f>
        <v/>
      </c>
      <c r="P112" s="1" t="str">
        <f t="shared" si="34"/>
        <v/>
      </c>
      <c r="Q112" s="1">
        <f>0</f>
        <v>0</v>
      </c>
      <c r="R112" s="1">
        <f>IF($N112="",0,INDEX(VIRMAN!$F$7:$F$406,$T112))</f>
        <v>0</v>
      </c>
      <c r="S112" s="1">
        <f t="shared" si="31"/>
        <v>10000000000</v>
      </c>
      <c r="T112" s="1">
        <f>IFERROR(MATCH($C$36&amp;"|39",VIRMAN!$M$7:$M$406,0),0)</f>
        <v>0</v>
      </c>
      <c r="U112" s="1"/>
      <c r="V112" s="1">
        <f t="shared" si="32"/>
        <v>10000000000</v>
      </c>
      <c r="W112" s="1">
        <f t="shared" si="33"/>
        <v>9</v>
      </c>
    </row>
    <row r="113" spans="1:23" ht="19.5" customHeight="1" x14ac:dyDescent="0.3">
      <c r="A113" s="2"/>
      <c r="B113" s="65" t="str">
        <f t="shared" si="24"/>
        <v/>
      </c>
      <c r="C113" s="70" t="str">
        <f t="shared" si="25"/>
        <v/>
      </c>
      <c r="D113" s="180" t="str">
        <f t="shared" si="26"/>
        <v/>
      </c>
      <c r="E113" s="139"/>
      <c r="F113" s="65" t="str">
        <f t="shared" si="27"/>
        <v/>
      </c>
      <c r="G113" s="68" t="str">
        <f t="shared" si="28"/>
        <v/>
      </c>
      <c r="H113" s="68" t="str">
        <f t="shared" si="29"/>
        <v/>
      </c>
      <c r="I113" s="68" t="str">
        <f t="shared" si="30"/>
        <v/>
      </c>
      <c r="J113" s="2"/>
      <c r="K113" s="2"/>
      <c r="L113" s="1"/>
      <c r="M113" s="1">
        <v>76</v>
      </c>
      <c r="N113" s="1" t="str">
        <f>IF($T113=0,"",INDEX(VIRMAN!$C$7:$C$406,$T113))</f>
        <v/>
      </c>
      <c r="O113" s="1" t="str">
        <f>IF($N113="","",$C$36&amp;"  –  ORTAK ÇEKİŞ / AVANS  ("&amp;INDEX(VIRMAN!$D$7:$D$406,$T113)&amp;" hesabından)"&amp;IF(INDEX(VIRMAN!$G$7:$G$406,$T113)="",""," – "&amp;INDEX(VIRMAN!$G$7:$G$406,$T113)))</f>
        <v/>
      </c>
      <c r="P113" s="1" t="str">
        <f t="shared" si="34"/>
        <v/>
      </c>
      <c r="Q113" s="1">
        <f>0</f>
        <v>0</v>
      </c>
      <c r="R113" s="1">
        <f>IF($N113="",0,INDEX(VIRMAN!$F$7:$F$406,$T113))</f>
        <v>0</v>
      </c>
      <c r="S113" s="1">
        <f t="shared" si="31"/>
        <v>10000000000</v>
      </c>
      <c r="T113" s="1">
        <f>IFERROR(MATCH($C$36&amp;"|40",VIRMAN!$M$7:$M$406,0),0)</f>
        <v>0</v>
      </c>
      <c r="U113" s="1"/>
      <c r="V113" s="1">
        <f t="shared" si="32"/>
        <v>10000000000</v>
      </c>
      <c r="W113" s="1">
        <f t="shared" si="33"/>
        <v>9</v>
      </c>
    </row>
    <row r="114" spans="1:23" ht="19.5" customHeight="1" x14ac:dyDescent="0.3">
      <c r="A114" s="2"/>
      <c r="B114" s="65" t="str">
        <f t="shared" si="24"/>
        <v/>
      </c>
      <c r="C114" s="70" t="str">
        <f t="shared" si="25"/>
        <v/>
      </c>
      <c r="D114" s="180" t="str">
        <f t="shared" si="26"/>
        <v/>
      </c>
      <c r="E114" s="139"/>
      <c r="F114" s="65" t="str">
        <f t="shared" si="27"/>
        <v/>
      </c>
      <c r="G114" s="68" t="str">
        <f t="shared" si="28"/>
        <v/>
      </c>
      <c r="H114" s="68" t="str">
        <f t="shared" si="29"/>
        <v/>
      </c>
      <c r="I114" s="68" t="str">
        <f t="shared" si="30"/>
        <v/>
      </c>
      <c r="J114" s="2"/>
      <c r="K114" s="2"/>
      <c r="L114" s="1"/>
      <c r="M114" s="1">
        <v>77</v>
      </c>
      <c r="N114" s="1" t="str">
        <f>IF($T114=0,"",INDEX(VIRMAN!$C$7:$C$406,$T114))</f>
        <v/>
      </c>
      <c r="O114" s="1" t="str">
        <f>IF($N114="","",$C$36&amp;"  –  ORTAK ÇEKİŞ / AVANS  ("&amp;INDEX(VIRMAN!$D$7:$D$406,$T114)&amp;" hesabından)"&amp;IF(INDEX(VIRMAN!$G$7:$G$406,$T114)="",""," – "&amp;INDEX(VIRMAN!$G$7:$G$406,$T114)))</f>
        <v/>
      </c>
      <c r="P114" s="1" t="str">
        <f t="shared" si="34"/>
        <v/>
      </c>
      <c r="Q114" s="1">
        <f>0</f>
        <v>0</v>
      </c>
      <c r="R114" s="1">
        <f>IF($N114="",0,INDEX(VIRMAN!$F$7:$F$406,$T114))</f>
        <v>0</v>
      </c>
      <c r="S114" s="1">
        <f t="shared" si="31"/>
        <v>10000000000</v>
      </c>
      <c r="T114" s="1">
        <f>IFERROR(MATCH($C$36&amp;"|41",VIRMAN!$M$7:$M$406,0),0)</f>
        <v>0</v>
      </c>
      <c r="U114" s="1"/>
      <c r="V114" s="1">
        <f t="shared" si="32"/>
        <v>10000000000</v>
      </c>
      <c r="W114" s="1">
        <f t="shared" si="33"/>
        <v>9</v>
      </c>
    </row>
    <row r="115" spans="1:23" ht="19.5" customHeight="1" x14ac:dyDescent="0.3">
      <c r="A115" s="2"/>
      <c r="B115" s="65" t="str">
        <f t="shared" si="24"/>
        <v/>
      </c>
      <c r="C115" s="70" t="str">
        <f t="shared" si="25"/>
        <v/>
      </c>
      <c r="D115" s="180" t="str">
        <f t="shared" si="26"/>
        <v/>
      </c>
      <c r="E115" s="139"/>
      <c r="F115" s="65" t="str">
        <f t="shared" si="27"/>
        <v/>
      </c>
      <c r="G115" s="68" t="str">
        <f t="shared" si="28"/>
        <v/>
      </c>
      <c r="H115" s="68" t="str">
        <f t="shared" si="29"/>
        <v/>
      </c>
      <c r="I115" s="68" t="str">
        <f t="shared" si="30"/>
        <v/>
      </c>
      <c r="J115" s="2"/>
      <c r="K115" s="2"/>
      <c r="L115" s="1"/>
      <c r="M115" s="1">
        <v>78</v>
      </c>
      <c r="N115" s="1" t="str">
        <f>IF($T115=0,"",INDEX(VIRMAN!$C$7:$C$406,$T115))</f>
        <v/>
      </c>
      <c r="O115" s="1" t="str">
        <f>IF($N115="","",$C$36&amp;"  –  ORTAK ÇEKİŞ / AVANS  ("&amp;INDEX(VIRMAN!$D$7:$D$406,$T115)&amp;" hesabından)"&amp;IF(INDEX(VIRMAN!$G$7:$G$406,$T115)="",""," – "&amp;INDEX(VIRMAN!$G$7:$G$406,$T115)))</f>
        <v/>
      </c>
      <c r="P115" s="1" t="str">
        <f t="shared" si="34"/>
        <v/>
      </c>
      <c r="Q115" s="1">
        <f>0</f>
        <v>0</v>
      </c>
      <c r="R115" s="1">
        <f>IF($N115="",0,INDEX(VIRMAN!$F$7:$F$406,$T115))</f>
        <v>0</v>
      </c>
      <c r="S115" s="1">
        <f t="shared" si="31"/>
        <v>10000000000</v>
      </c>
      <c r="T115" s="1">
        <f>IFERROR(MATCH($C$36&amp;"|42",VIRMAN!$M$7:$M$406,0),0)</f>
        <v>0</v>
      </c>
      <c r="U115" s="1"/>
      <c r="V115" s="1">
        <f t="shared" si="32"/>
        <v>10000000000</v>
      </c>
      <c r="W115" s="1">
        <f t="shared" si="33"/>
        <v>9</v>
      </c>
    </row>
    <row r="116" spans="1:23" ht="19.5" customHeight="1" x14ac:dyDescent="0.3">
      <c r="A116" s="2"/>
      <c r="B116" s="65" t="str">
        <f t="shared" si="24"/>
        <v/>
      </c>
      <c r="C116" s="70" t="str">
        <f t="shared" si="25"/>
        <v/>
      </c>
      <c r="D116" s="180" t="str">
        <f t="shared" si="26"/>
        <v/>
      </c>
      <c r="E116" s="139"/>
      <c r="F116" s="65" t="str">
        <f t="shared" si="27"/>
        <v/>
      </c>
      <c r="G116" s="68" t="str">
        <f t="shared" si="28"/>
        <v/>
      </c>
      <c r="H116" s="68" t="str">
        <f t="shared" si="29"/>
        <v/>
      </c>
      <c r="I116" s="68" t="str">
        <f t="shared" si="30"/>
        <v/>
      </c>
      <c r="J116" s="2"/>
      <c r="K116" s="2"/>
      <c r="L116" s="1"/>
      <c r="M116" s="1">
        <v>79</v>
      </c>
      <c r="N116" s="1" t="str">
        <f>IF($T116=0,"",INDEX(VIRMAN!$C$7:$C$406,$T116))</f>
        <v/>
      </c>
      <c r="O116" s="1" t="str">
        <f>IF($N116="","",$C$36&amp;"  –  ORTAK ÇEKİŞ / AVANS  ("&amp;INDEX(VIRMAN!$D$7:$D$406,$T116)&amp;" hesabından)"&amp;IF(INDEX(VIRMAN!$G$7:$G$406,$T116)="",""," – "&amp;INDEX(VIRMAN!$G$7:$G$406,$T116)))</f>
        <v/>
      </c>
      <c r="P116" s="1" t="str">
        <f t="shared" si="34"/>
        <v/>
      </c>
      <c r="Q116" s="1">
        <f>0</f>
        <v>0</v>
      </c>
      <c r="R116" s="1">
        <f>IF($N116="",0,INDEX(VIRMAN!$F$7:$F$406,$T116))</f>
        <v>0</v>
      </c>
      <c r="S116" s="1">
        <f t="shared" si="31"/>
        <v>10000000000</v>
      </c>
      <c r="T116" s="1">
        <f>IFERROR(MATCH($C$36&amp;"|43",VIRMAN!$M$7:$M$406,0),0)</f>
        <v>0</v>
      </c>
      <c r="U116" s="1"/>
      <c r="V116" s="1">
        <f t="shared" si="32"/>
        <v>10000000000</v>
      </c>
      <c r="W116" s="1">
        <f t="shared" si="33"/>
        <v>9</v>
      </c>
    </row>
    <row r="117" spans="1:23" ht="19.5" customHeight="1" x14ac:dyDescent="0.3">
      <c r="A117" s="2"/>
      <c r="B117" s="65" t="str">
        <f t="shared" si="24"/>
        <v/>
      </c>
      <c r="C117" s="70" t="str">
        <f t="shared" si="25"/>
        <v/>
      </c>
      <c r="D117" s="180" t="str">
        <f t="shared" si="26"/>
        <v/>
      </c>
      <c r="E117" s="139"/>
      <c r="F117" s="65" t="str">
        <f t="shared" si="27"/>
        <v/>
      </c>
      <c r="G117" s="68" t="str">
        <f t="shared" si="28"/>
        <v/>
      </c>
      <c r="H117" s="68" t="str">
        <f t="shared" si="29"/>
        <v/>
      </c>
      <c r="I117" s="68" t="str">
        <f t="shared" si="30"/>
        <v/>
      </c>
      <c r="J117" s="2"/>
      <c r="K117" s="2"/>
      <c r="L117" s="1"/>
      <c r="M117" s="1">
        <v>80</v>
      </c>
      <c r="N117" s="1" t="str">
        <f>IF($T117=0,"",INDEX(VIRMAN!$C$7:$C$406,$T117))</f>
        <v/>
      </c>
      <c r="O117" s="1" t="str">
        <f>IF($N117="","",$C$36&amp;"  –  ORTAK ÇEKİŞ / AVANS  ("&amp;INDEX(VIRMAN!$D$7:$D$406,$T117)&amp;" hesabından)"&amp;IF(INDEX(VIRMAN!$G$7:$G$406,$T117)="",""," – "&amp;INDEX(VIRMAN!$G$7:$G$406,$T117)))</f>
        <v/>
      </c>
      <c r="P117" s="1" t="str">
        <f t="shared" si="34"/>
        <v/>
      </c>
      <c r="Q117" s="1">
        <f>0</f>
        <v>0</v>
      </c>
      <c r="R117" s="1">
        <f>IF($N117="",0,INDEX(VIRMAN!$F$7:$F$406,$T117))</f>
        <v>0</v>
      </c>
      <c r="S117" s="1">
        <f t="shared" si="31"/>
        <v>10000000000</v>
      </c>
      <c r="T117" s="1">
        <f>IFERROR(MATCH($C$36&amp;"|44",VIRMAN!$M$7:$M$406,0),0)</f>
        <v>0</v>
      </c>
      <c r="U117" s="1"/>
      <c r="V117" s="1">
        <f t="shared" si="32"/>
        <v>10000000000</v>
      </c>
      <c r="W117" s="1">
        <f t="shared" si="33"/>
        <v>9</v>
      </c>
    </row>
    <row r="118" spans="1:23" ht="19.5" customHeight="1" x14ac:dyDescent="0.3">
      <c r="A118" s="2"/>
      <c r="B118" s="65" t="str">
        <f t="shared" si="24"/>
        <v/>
      </c>
      <c r="C118" s="70" t="str">
        <f t="shared" si="25"/>
        <v/>
      </c>
      <c r="D118" s="180" t="str">
        <f t="shared" si="26"/>
        <v/>
      </c>
      <c r="E118" s="139"/>
      <c r="F118" s="65" t="str">
        <f t="shared" si="27"/>
        <v/>
      </c>
      <c r="G118" s="68" t="str">
        <f t="shared" si="28"/>
        <v/>
      </c>
      <c r="H118" s="68" t="str">
        <f t="shared" si="29"/>
        <v/>
      </c>
      <c r="I118" s="68" t="str">
        <f t="shared" si="30"/>
        <v/>
      </c>
      <c r="J118" s="2"/>
      <c r="K118" s="2"/>
      <c r="L118" s="1"/>
      <c r="M118" s="1">
        <v>81</v>
      </c>
      <c r="N118" s="1" t="str">
        <f>IF($T118=0,"",INDEX(VIRMAN!$C$7:$C$406,$T118))</f>
        <v/>
      </c>
      <c r="O118" s="1" t="str">
        <f>IF($N118="","",$C$36&amp;"  –  ORTAK ÇEKİŞ / AVANS  ("&amp;INDEX(VIRMAN!$D$7:$D$406,$T118)&amp;" hesabından)"&amp;IF(INDEX(VIRMAN!$G$7:$G$406,$T118)="",""," – "&amp;INDEX(VIRMAN!$G$7:$G$406,$T118)))</f>
        <v/>
      </c>
      <c r="P118" s="1" t="str">
        <f t="shared" si="34"/>
        <v/>
      </c>
      <c r="Q118" s="1">
        <f>0</f>
        <v>0</v>
      </c>
      <c r="R118" s="1">
        <f>IF($N118="",0,INDEX(VIRMAN!$F$7:$F$406,$T118))</f>
        <v>0</v>
      </c>
      <c r="S118" s="1">
        <f t="shared" si="31"/>
        <v>10000000000</v>
      </c>
      <c r="T118" s="1">
        <f>IFERROR(MATCH($C$36&amp;"|45",VIRMAN!$M$7:$M$406,0),0)</f>
        <v>0</v>
      </c>
      <c r="U118" s="1"/>
      <c r="V118" s="1">
        <f t="shared" si="32"/>
        <v>10000000000</v>
      </c>
      <c r="W118" s="1">
        <f t="shared" si="33"/>
        <v>9</v>
      </c>
    </row>
    <row r="119" spans="1:23" ht="19.5" customHeight="1" x14ac:dyDescent="0.3">
      <c r="A119" s="2"/>
      <c r="B119" s="65" t="str">
        <f t="shared" si="24"/>
        <v/>
      </c>
      <c r="C119" s="70" t="str">
        <f t="shared" si="25"/>
        <v/>
      </c>
      <c r="D119" s="180" t="str">
        <f t="shared" si="26"/>
        <v/>
      </c>
      <c r="E119" s="139"/>
      <c r="F119" s="65" t="str">
        <f t="shared" si="27"/>
        <v/>
      </c>
      <c r="G119" s="68" t="str">
        <f t="shared" si="28"/>
        <v/>
      </c>
      <c r="H119" s="68" t="str">
        <f t="shared" si="29"/>
        <v/>
      </c>
      <c r="I119" s="68" t="str">
        <f t="shared" si="30"/>
        <v/>
      </c>
      <c r="J119" s="2"/>
      <c r="K119" s="2"/>
      <c r="L119" s="1"/>
      <c r="M119" s="1">
        <v>82</v>
      </c>
      <c r="N119" s="1" t="str">
        <f>IF($T119=0,"",INDEX(VIRMAN!$C$7:$C$406,$T119))</f>
        <v/>
      </c>
      <c r="O119" s="1" t="str">
        <f>IF($N119="","",$C$36&amp;"  –  ORTAK ÇEKİŞ / AVANS  ("&amp;INDEX(VIRMAN!$D$7:$D$406,$T119)&amp;" hesabından)"&amp;IF(INDEX(VIRMAN!$G$7:$G$406,$T119)="",""," – "&amp;INDEX(VIRMAN!$G$7:$G$406,$T119)))</f>
        <v/>
      </c>
      <c r="P119" s="1" t="str">
        <f t="shared" si="34"/>
        <v/>
      </c>
      <c r="Q119" s="1">
        <f>0</f>
        <v>0</v>
      </c>
      <c r="R119" s="1">
        <f>IF($N119="",0,INDEX(VIRMAN!$F$7:$F$406,$T119))</f>
        <v>0</v>
      </c>
      <c r="S119" s="1">
        <f t="shared" si="31"/>
        <v>10000000000</v>
      </c>
      <c r="T119" s="1">
        <f>IFERROR(MATCH($C$36&amp;"|46",VIRMAN!$M$7:$M$406,0),0)</f>
        <v>0</v>
      </c>
      <c r="U119" s="1"/>
      <c r="V119" s="1">
        <f t="shared" si="32"/>
        <v>10000000000</v>
      </c>
      <c r="W119" s="1">
        <f t="shared" si="33"/>
        <v>9</v>
      </c>
    </row>
    <row r="120" spans="1:23" ht="19.5" customHeight="1" x14ac:dyDescent="0.3">
      <c r="A120" s="2"/>
      <c r="B120" s="65" t="str">
        <f t="shared" si="24"/>
        <v/>
      </c>
      <c r="C120" s="70" t="str">
        <f t="shared" si="25"/>
        <v/>
      </c>
      <c r="D120" s="180" t="str">
        <f t="shared" si="26"/>
        <v/>
      </c>
      <c r="E120" s="139"/>
      <c r="F120" s="65" t="str">
        <f t="shared" si="27"/>
        <v/>
      </c>
      <c r="G120" s="68" t="str">
        <f t="shared" si="28"/>
        <v/>
      </c>
      <c r="H120" s="68" t="str">
        <f t="shared" si="29"/>
        <v/>
      </c>
      <c r="I120" s="68" t="str">
        <f t="shared" si="30"/>
        <v/>
      </c>
      <c r="J120" s="2"/>
      <c r="K120" s="2"/>
      <c r="L120" s="1"/>
      <c r="M120" s="1">
        <v>83</v>
      </c>
      <c r="N120" s="1" t="str">
        <f>IF($T120=0,"",INDEX(VIRMAN!$C$7:$C$406,$T120))</f>
        <v/>
      </c>
      <c r="O120" s="1" t="str">
        <f>IF($N120="","",$C$36&amp;"  –  ORTAK ÇEKİŞ / AVANS  ("&amp;INDEX(VIRMAN!$D$7:$D$406,$T120)&amp;" hesabından)"&amp;IF(INDEX(VIRMAN!$G$7:$G$406,$T120)="",""," – "&amp;INDEX(VIRMAN!$G$7:$G$406,$T120)))</f>
        <v/>
      </c>
      <c r="P120" s="1" t="str">
        <f t="shared" si="34"/>
        <v/>
      </c>
      <c r="Q120" s="1">
        <f>0</f>
        <v>0</v>
      </c>
      <c r="R120" s="1">
        <f>IF($N120="",0,INDEX(VIRMAN!$F$7:$F$406,$T120))</f>
        <v>0</v>
      </c>
      <c r="S120" s="1">
        <f t="shared" si="31"/>
        <v>10000000000</v>
      </c>
      <c r="T120" s="1">
        <f>IFERROR(MATCH($C$36&amp;"|47",VIRMAN!$M$7:$M$406,0),0)</f>
        <v>0</v>
      </c>
      <c r="U120" s="1"/>
      <c r="V120" s="1">
        <f t="shared" si="32"/>
        <v>10000000000</v>
      </c>
      <c r="W120" s="1">
        <f t="shared" si="33"/>
        <v>9</v>
      </c>
    </row>
    <row r="121" spans="1:23" ht="19.5" customHeight="1" x14ac:dyDescent="0.3">
      <c r="A121" s="2"/>
      <c r="B121" s="65" t="str">
        <f t="shared" si="24"/>
        <v/>
      </c>
      <c r="C121" s="70" t="str">
        <f t="shared" si="25"/>
        <v/>
      </c>
      <c r="D121" s="180" t="str">
        <f t="shared" si="26"/>
        <v/>
      </c>
      <c r="E121" s="139"/>
      <c r="F121" s="65" t="str">
        <f t="shared" si="27"/>
        <v/>
      </c>
      <c r="G121" s="68" t="str">
        <f t="shared" si="28"/>
        <v/>
      </c>
      <c r="H121" s="68" t="str">
        <f t="shared" si="29"/>
        <v/>
      </c>
      <c r="I121" s="68" t="str">
        <f t="shared" si="30"/>
        <v/>
      </c>
      <c r="J121" s="2"/>
      <c r="K121" s="2"/>
      <c r="L121" s="1"/>
      <c r="M121" s="1">
        <v>84</v>
      </c>
      <c r="N121" s="1" t="str">
        <f>IF($T121=0,"",INDEX(VIRMAN!$C$7:$C$406,$T121))</f>
        <v/>
      </c>
      <c r="O121" s="1" t="str">
        <f>IF($N121="","",$C$36&amp;"  –  ORTAK ÇEKİŞ / AVANS  ("&amp;INDEX(VIRMAN!$D$7:$D$406,$T121)&amp;" hesabından)"&amp;IF(INDEX(VIRMAN!$G$7:$G$406,$T121)="",""," – "&amp;INDEX(VIRMAN!$G$7:$G$406,$T121)))</f>
        <v/>
      </c>
      <c r="P121" s="1" t="str">
        <f t="shared" si="34"/>
        <v/>
      </c>
      <c r="Q121" s="1">
        <f>0</f>
        <v>0</v>
      </c>
      <c r="R121" s="1">
        <f>IF($N121="",0,INDEX(VIRMAN!$F$7:$F$406,$T121))</f>
        <v>0</v>
      </c>
      <c r="S121" s="1">
        <f t="shared" si="31"/>
        <v>10000000000</v>
      </c>
      <c r="T121" s="1">
        <f>IFERROR(MATCH($C$36&amp;"|48",VIRMAN!$M$7:$M$406,0),0)</f>
        <v>0</v>
      </c>
      <c r="U121" s="1"/>
      <c r="V121" s="1">
        <f t="shared" si="32"/>
        <v>10000000000</v>
      </c>
      <c r="W121" s="1">
        <f t="shared" si="33"/>
        <v>9</v>
      </c>
    </row>
    <row r="122" spans="1:23" ht="19.5" customHeight="1" x14ac:dyDescent="0.3">
      <c r="A122" s="2"/>
      <c r="B122" s="65" t="str">
        <f t="shared" si="24"/>
        <v/>
      </c>
      <c r="C122" s="70" t="str">
        <f t="shared" si="25"/>
        <v/>
      </c>
      <c r="D122" s="180" t="str">
        <f t="shared" si="26"/>
        <v/>
      </c>
      <c r="E122" s="139"/>
      <c r="F122" s="65" t="str">
        <f t="shared" si="27"/>
        <v/>
      </c>
      <c r="G122" s="68" t="str">
        <f t="shared" si="28"/>
        <v/>
      </c>
      <c r="H122" s="68" t="str">
        <f t="shared" si="29"/>
        <v/>
      </c>
      <c r="I122" s="68" t="str">
        <f t="shared" si="30"/>
        <v/>
      </c>
      <c r="J122" s="2"/>
      <c r="K122" s="2"/>
      <c r="L122" s="1"/>
      <c r="M122" s="1">
        <v>85</v>
      </c>
      <c r="N122" s="1" t="str">
        <f>IF($T122=0,"",INDEX(VIRMAN!$C$7:$C$406,$T122))</f>
        <v/>
      </c>
      <c r="O122" s="1" t="str">
        <f>IF($N122="","",$C$36&amp;"  –  ORTAK ÇEKİŞ / AVANS  ("&amp;INDEX(VIRMAN!$D$7:$D$406,$T122)&amp;" hesabından)"&amp;IF(INDEX(VIRMAN!$G$7:$G$406,$T122)="",""," – "&amp;INDEX(VIRMAN!$G$7:$G$406,$T122)))</f>
        <v/>
      </c>
      <c r="P122" s="1" t="str">
        <f t="shared" si="34"/>
        <v/>
      </c>
      <c r="Q122" s="1">
        <f>0</f>
        <v>0</v>
      </c>
      <c r="R122" s="1">
        <f>IF($N122="",0,INDEX(VIRMAN!$F$7:$F$406,$T122))</f>
        <v>0</v>
      </c>
      <c r="S122" s="1">
        <f t="shared" si="31"/>
        <v>10000000000</v>
      </c>
      <c r="T122" s="1">
        <f>IFERROR(MATCH($C$36&amp;"|49",VIRMAN!$M$7:$M$406,0),0)</f>
        <v>0</v>
      </c>
      <c r="U122" s="1"/>
      <c r="V122" s="1">
        <f t="shared" si="32"/>
        <v>10000000000</v>
      </c>
      <c r="W122" s="1">
        <f t="shared" si="33"/>
        <v>9</v>
      </c>
    </row>
    <row r="123" spans="1:23" ht="19.5" customHeight="1" x14ac:dyDescent="0.3">
      <c r="A123" s="2"/>
      <c r="B123" s="65" t="str">
        <f t="shared" si="24"/>
        <v/>
      </c>
      <c r="C123" s="70" t="str">
        <f t="shared" si="25"/>
        <v/>
      </c>
      <c r="D123" s="180" t="str">
        <f t="shared" si="26"/>
        <v/>
      </c>
      <c r="E123" s="139"/>
      <c r="F123" s="65" t="str">
        <f t="shared" si="27"/>
        <v/>
      </c>
      <c r="G123" s="68" t="str">
        <f t="shared" si="28"/>
        <v/>
      </c>
      <c r="H123" s="68" t="str">
        <f t="shared" si="29"/>
        <v/>
      </c>
      <c r="I123" s="68" t="str">
        <f t="shared" si="30"/>
        <v/>
      </c>
      <c r="J123" s="2"/>
      <c r="K123" s="2"/>
      <c r="L123" s="1"/>
      <c r="M123" s="1">
        <v>86</v>
      </c>
      <c r="N123" s="1" t="str">
        <f>IF($T123=0,"",INDEX(VIRMAN!$C$7:$C$406,$T123))</f>
        <v/>
      </c>
      <c r="O123" s="1" t="str">
        <f>IF($N123="","",$C$36&amp;"  –  ORTAK ÇEKİŞ / AVANS  ("&amp;INDEX(VIRMAN!$D$7:$D$406,$T123)&amp;" hesabından)"&amp;IF(INDEX(VIRMAN!$G$7:$G$406,$T123)="",""," – "&amp;INDEX(VIRMAN!$G$7:$G$406,$T123)))</f>
        <v/>
      </c>
      <c r="P123" s="1" t="str">
        <f t="shared" si="34"/>
        <v/>
      </c>
      <c r="Q123" s="1">
        <f>0</f>
        <v>0</v>
      </c>
      <c r="R123" s="1">
        <f>IF($N123="",0,INDEX(VIRMAN!$F$7:$F$406,$T123))</f>
        <v>0</v>
      </c>
      <c r="S123" s="1">
        <f t="shared" si="31"/>
        <v>10000000000</v>
      </c>
      <c r="T123" s="1">
        <f>IFERROR(MATCH($C$36&amp;"|50",VIRMAN!$M$7:$M$406,0),0)</f>
        <v>0</v>
      </c>
      <c r="U123" s="1"/>
      <c r="V123" s="1">
        <f t="shared" si="32"/>
        <v>10000000000</v>
      </c>
      <c r="W123" s="1">
        <f t="shared" si="33"/>
        <v>9</v>
      </c>
    </row>
    <row r="124" spans="1:23" ht="19.5" customHeight="1" x14ac:dyDescent="0.3">
      <c r="A124" s="2"/>
      <c r="B124" s="65" t="str">
        <f t="shared" si="24"/>
        <v/>
      </c>
      <c r="C124" s="70" t="str">
        <f t="shared" si="25"/>
        <v/>
      </c>
      <c r="D124" s="180" t="str">
        <f t="shared" si="26"/>
        <v/>
      </c>
      <c r="E124" s="139"/>
      <c r="F124" s="65" t="str">
        <f t="shared" si="27"/>
        <v/>
      </c>
      <c r="G124" s="68" t="str">
        <f t="shared" si="28"/>
        <v/>
      </c>
      <c r="H124" s="68" t="str">
        <f t="shared" si="29"/>
        <v/>
      </c>
      <c r="I124" s="68" t="str">
        <f t="shared" si="30"/>
        <v/>
      </c>
      <c r="J124" s="2"/>
      <c r="K124" s="2"/>
      <c r="L124" s="1"/>
      <c r="M124" s="1">
        <v>87</v>
      </c>
      <c r="N124" s="1" t="str">
        <f>IF($T124=0,"",INDEX(VIRMAN!$C$7:$C$406,$T124))</f>
        <v/>
      </c>
      <c r="O124" s="1" t="str">
        <f>IF($N124="","",$C$36&amp;"  –  ORTAK ÇEKİŞ / AVANS  ("&amp;INDEX(VIRMAN!$D$7:$D$406,$T124)&amp;" hesabından)"&amp;IF(INDEX(VIRMAN!$G$7:$G$406,$T124)="",""," – "&amp;INDEX(VIRMAN!$G$7:$G$406,$T124)))</f>
        <v/>
      </c>
      <c r="P124" s="1" t="str">
        <f t="shared" si="34"/>
        <v/>
      </c>
      <c r="Q124" s="1">
        <f>0</f>
        <v>0</v>
      </c>
      <c r="R124" s="1">
        <f>IF($N124="",0,INDEX(VIRMAN!$F$7:$F$406,$T124))</f>
        <v>0</v>
      </c>
      <c r="S124" s="1">
        <f t="shared" si="31"/>
        <v>10000000000</v>
      </c>
      <c r="T124" s="1">
        <f>IFERROR(MATCH($C$36&amp;"|51",VIRMAN!$M$7:$M$406,0),0)</f>
        <v>0</v>
      </c>
      <c r="U124" s="1"/>
      <c r="V124" s="1">
        <f t="shared" si="32"/>
        <v>10000000000</v>
      </c>
      <c r="W124" s="1">
        <f t="shared" si="33"/>
        <v>9</v>
      </c>
    </row>
    <row r="125" spans="1:23" ht="19.5" customHeight="1" x14ac:dyDescent="0.3">
      <c r="A125" s="2"/>
      <c r="B125" s="65" t="str">
        <f t="shared" si="24"/>
        <v/>
      </c>
      <c r="C125" s="70" t="str">
        <f t="shared" si="25"/>
        <v/>
      </c>
      <c r="D125" s="180" t="str">
        <f t="shared" si="26"/>
        <v/>
      </c>
      <c r="E125" s="139"/>
      <c r="F125" s="65" t="str">
        <f t="shared" si="27"/>
        <v/>
      </c>
      <c r="G125" s="68" t="str">
        <f t="shared" si="28"/>
        <v/>
      </c>
      <c r="H125" s="68" t="str">
        <f t="shared" si="29"/>
        <v/>
      </c>
      <c r="I125" s="68" t="str">
        <f t="shared" si="30"/>
        <v/>
      </c>
      <c r="J125" s="2"/>
      <c r="K125" s="2"/>
      <c r="L125" s="1"/>
      <c r="M125" s="1">
        <v>88</v>
      </c>
      <c r="N125" s="1" t="str">
        <f>IF($T125=0,"",INDEX(VIRMAN!$C$7:$C$406,$T125))</f>
        <v/>
      </c>
      <c r="O125" s="1" t="str">
        <f>IF($N125="","",$C$36&amp;"  –  ORTAK ÇEKİŞ / AVANS  ("&amp;INDEX(VIRMAN!$D$7:$D$406,$T125)&amp;" hesabından)"&amp;IF(INDEX(VIRMAN!$G$7:$G$406,$T125)="",""," – "&amp;INDEX(VIRMAN!$G$7:$G$406,$T125)))</f>
        <v/>
      </c>
      <c r="P125" s="1" t="str">
        <f t="shared" si="34"/>
        <v/>
      </c>
      <c r="Q125" s="1">
        <f>0</f>
        <v>0</v>
      </c>
      <c r="R125" s="1">
        <f>IF($N125="",0,INDEX(VIRMAN!$F$7:$F$406,$T125))</f>
        <v>0</v>
      </c>
      <c r="S125" s="1">
        <f t="shared" si="31"/>
        <v>10000000000</v>
      </c>
      <c r="T125" s="1">
        <f>IFERROR(MATCH($C$36&amp;"|52",VIRMAN!$M$7:$M$406,0),0)</f>
        <v>0</v>
      </c>
      <c r="U125" s="1"/>
      <c r="V125" s="1">
        <f t="shared" si="32"/>
        <v>10000000000</v>
      </c>
      <c r="W125" s="1">
        <f t="shared" si="33"/>
        <v>9</v>
      </c>
    </row>
    <row r="126" spans="1:23" ht="19.5" customHeight="1" x14ac:dyDescent="0.3">
      <c r="A126" s="2"/>
      <c r="B126" s="65" t="str">
        <f t="shared" si="24"/>
        <v/>
      </c>
      <c r="C126" s="70" t="str">
        <f t="shared" si="25"/>
        <v/>
      </c>
      <c r="D126" s="180" t="str">
        <f t="shared" si="26"/>
        <v/>
      </c>
      <c r="E126" s="139"/>
      <c r="F126" s="65" t="str">
        <f t="shared" si="27"/>
        <v/>
      </c>
      <c r="G126" s="68" t="str">
        <f t="shared" si="28"/>
        <v/>
      </c>
      <c r="H126" s="68" t="str">
        <f t="shared" si="29"/>
        <v/>
      </c>
      <c r="I126" s="68" t="str">
        <f t="shared" si="30"/>
        <v/>
      </c>
      <c r="J126" s="2"/>
      <c r="K126" s="2"/>
      <c r="L126" s="1"/>
      <c r="M126" s="1">
        <v>89</v>
      </c>
      <c r="N126" s="1" t="str">
        <f>IF($T126=0,"",INDEX(VIRMAN!$C$7:$C$406,$T126))</f>
        <v/>
      </c>
      <c r="O126" s="1" t="str">
        <f>IF($N126="","",$C$36&amp;"  –  ORTAK ÇEKİŞ / AVANS  ("&amp;INDEX(VIRMAN!$D$7:$D$406,$T126)&amp;" hesabından)"&amp;IF(INDEX(VIRMAN!$G$7:$G$406,$T126)="",""," – "&amp;INDEX(VIRMAN!$G$7:$G$406,$T126)))</f>
        <v/>
      </c>
      <c r="P126" s="1" t="str">
        <f t="shared" si="34"/>
        <v/>
      </c>
      <c r="Q126" s="1">
        <f>0</f>
        <v>0</v>
      </c>
      <c r="R126" s="1">
        <f>IF($N126="",0,INDEX(VIRMAN!$F$7:$F$406,$T126))</f>
        <v>0</v>
      </c>
      <c r="S126" s="1">
        <f t="shared" si="31"/>
        <v>10000000000</v>
      </c>
      <c r="T126" s="1">
        <f>IFERROR(MATCH($C$36&amp;"|53",VIRMAN!$M$7:$M$406,0),0)</f>
        <v>0</v>
      </c>
      <c r="U126" s="1"/>
      <c r="V126" s="1">
        <f t="shared" si="32"/>
        <v>10000000000</v>
      </c>
      <c r="W126" s="1">
        <f t="shared" si="33"/>
        <v>9</v>
      </c>
    </row>
    <row r="127" spans="1:23" ht="19.5" customHeight="1" x14ac:dyDescent="0.3">
      <c r="A127" s="2"/>
      <c r="B127" s="65" t="str">
        <f t="shared" si="24"/>
        <v/>
      </c>
      <c r="C127" s="70" t="str">
        <f t="shared" si="25"/>
        <v/>
      </c>
      <c r="D127" s="180" t="str">
        <f t="shared" si="26"/>
        <v/>
      </c>
      <c r="E127" s="139"/>
      <c r="F127" s="65" t="str">
        <f t="shared" si="27"/>
        <v/>
      </c>
      <c r="G127" s="68" t="str">
        <f t="shared" si="28"/>
        <v/>
      </c>
      <c r="H127" s="68" t="str">
        <f t="shared" si="29"/>
        <v/>
      </c>
      <c r="I127" s="68" t="str">
        <f t="shared" si="30"/>
        <v/>
      </c>
      <c r="J127" s="2"/>
      <c r="K127" s="2"/>
      <c r="L127" s="1"/>
      <c r="M127" s="1">
        <v>90</v>
      </c>
      <c r="N127" s="1" t="str">
        <f>IF($T127=0,"",INDEX(VIRMAN!$C$7:$C$406,$T127))</f>
        <v/>
      </c>
      <c r="O127" s="1" t="str">
        <f>IF($N127="","",$C$36&amp;"  –  ORTAK ÇEKİŞ / AVANS  ("&amp;INDEX(VIRMAN!$D$7:$D$406,$T127)&amp;" hesabından)"&amp;IF(INDEX(VIRMAN!$G$7:$G$406,$T127)="",""," – "&amp;INDEX(VIRMAN!$G$7:$G$406,$T127)))</f>
        <v/>
      </c>
      <c r="P127" s="1" t="str">
        <f t="shared" si="34"/>
        <v/>
      </c>
      <c r="Q127" s="1">
        <f>0</f>
        <v>0</v>
      </c>
      <c r="R127" s="1">
        <f>IF($N127="",0,INDEX(VIRMAN!$F$7:$F$406,$T127))</f>
        <v>0</v>
      </c>
      <c r="S127" s="1">
        <f t="shared" si="31"/>
        <v>10000000000</v>
      </c>
      <c r="T127" s="1">
        <f>IFERROR(MATCH($C$36&amp;"|54",VIRMAN!$M$7:$M$406,0),0)</f>
        <v>0</v>
      </c>
      <c r="U127" s="1"/>
      <c r="V127" s="1">
        <f t="shared" si="32"/>
        <v>10000000000</v>
      </c>
      <c r="W127" s="1">
        <f t="shared" si="33"/>
        <v>9</v>
      </c>
    </row>
    <row r="128" spans="1:23" ht="19.5" customHeight="1" x14ac:dyDescent="0.3">
      <c r="A128" s="2"/>
      <c r="B128" s="65" t="str">
        <f t="shared" si="24"/>
        <v/>
      </c>
      <c r="C128" s="70" t="str">
        <f t="shared" si="25"/>
        <v/>
      </c>
      <c r="D128" s="180" t="str">
        <f t="shared" si="26"/>
        <v/>
      </c>
      <c r="E128" s="139"/>
      <c r="F128" s="65" t="str">
        <f t="shared" si="27"/>
        <v/>
      </c>
      <c r="G128" s="68" t="str">
        <f t="shared" si="28"/>
        <v/>
      </c>
      <c r="H128" s="68" t="str">
        <f t="shared" si="29"/>
        <v/>
      </c>
      <c r="I128" s="68" t="str">
        <f t="shared" si="30"/>
        <v/>
      </c>
      <c r="J128" s="2"/>
      <c r="K128" s="2"/>
      <c r="L128" s="1"/>
      <c r="M128" s="1">
        <v>91</v>
      </c>
      <c r="N128" s="1" t="str">
        <f>IF($T128=0,"",INDEX(VIRMAN!$C$7:$C$406,$T128))</f>
        <v/>
      </c>
      <c r="O128" s="1" t="str">
        <f>IF($N128="","",$C$36&amp;"  –  ORTAK ÇEKİŞ / AVANS  ("&amp;INDEX(VIRMAN!$D$7:$D$406,$T128)&amp;" hesabından)"&amp;IF(INDEX(VIRMAN!$G$7:$G$406,$T128)="",""," – "&amp;INDEX(VIRMAN!$G$7:$G$406,$T128)))</f>
        <v/>
      </c>
      <c r="P128" s="1" t="str">
        <f t="shared" si="34"/>
        <v/>
      </c>
      <c r="Q128" s="1">
        <f>0</f>
        <v>0</v>
      </c>
      <c r="R128" s="1">
        <f>IF($N128="",0,INDEX(VIRMAN!$F$7:$F$406,$T128))</f>
        <v>0</v>
      </c>
      <c r="S128" s="1">
        <f t="shared" si="31"/>
        <v>10000000000</v>
      </c>
      <c r="T128" s="1">
        <f>IFERROR(MATCH($C$36&amp;"|55",VIRMAN!$M$7:$M$406,0),0)</f>
        <v>0</v>
      </c>
      <c r="U128" s="1"/>
      <c r="V128" s="1">
        <f t="shared" si="32"/>
        <v>10000000000</v>
      </c>
      <c r="W128" s="1">
        <f t="shared" si="33"/>
        <v>9</v>
      </c>
    </row>
    <row r="129" spans="1:23" ht="19.5" customHeight="1" x14ac:dyDescent="0.3">
      <c r="A129" s="2"/>
      <c r="B129" s="65" t="str">
        <f t="shared" si="24"/>
        <v/>
      </c>
      <c r="C129" s="70" t="str">
        <f t="shared" si="25"/>
        <v/>
      </c>
      <c r="D129" s="180" t="str">
        <f t="shared" si="26"/>
        <v/>
      </c>
      <c r="E129" s="139"/>
      <c r="F129" s="65" t="str">
        <f t="shared" si="27"/>
        <v/>
      </c>
      <c r="G129" s="68" t="str">
        <f t="shared" si="28"/>
        <v/>
      </c>
      <c r="H129" s="68" t="str">
        <f t="shared" si="29"/>
        <v/>
      </c>
      <c r="I129" s="68" t="str">
        <f t="shared" si="30"/>
        <v/>
      </c>
      <c r="J129" s="2"/>
      <c r="K129" s="2"/>
      <c r="L129" s="1"/>
      <c r="M129" s="1">
        <v>92</v>
      </c>
      <c r="N129" s="1" t="str">
        <f>IF($T129=0,"",INDEX(VIRMAN!$C$7:$C$406,$T129))</f>
        <v/>
      </c>
      <c r="O129" s="1" t="str">
        <f>IF($N129="","",$C$36&amp;"  –  ORTAK ÇEKİŞ / AVANS  ("&amp;INDEX(VIRMAN!$D$7:$D$406,$T129)&amp;" hesabından)"&amp;IF(INDEX(VIRMAN!$G$7:$G$406,$T129)="",""," – "&amp;INDEX(VIRMAN!$G$7:$G$406,$T129)))</f>
        <v/>
      </c>
      <c r="P129" s="1" t="str">
        <f t="shared" si="34"/>
        <v/>
      </c>
      <c r="Q129" s="1">
        <f>0</f>
        <v>0</v>
      </c>
      <c r="R129" s="1">
        <f>IF($N129="",0,INDEX(VIRMAN!$F$7:$F$406,$T129))</f>
        <v>0</v>
      </c>
      <c r="S129" s="1">
        <f t="shared" si="31"/>
        <v>10000000000</v>
      </c>
      <c r="T129" s="1">
        <f>IFERROR(MATCH($C$36&amp;"|56",VIRMAN!$M$7:$M$406,0),0)</f>
        <v>0</v>
      </c>
      <c r="U129" s="1"/>
      <c r="V129" s="1">
        <f t="shared" si="32"/>
        <v>10000000000</v>
      </c>
      <c r="W129" s="1">
        <f t="shared" si="33"/>
        <v>9</v>
      </c>
    </row>
    <row r="130" spans="1:23" ht="19.5" customHeight="1" x14ac:dyDescent="0.3">
      <c r="A130" s="2"/>
      <c r="B130" s="65" t="str">
        <f t="shared" si="24"/>
        <v/>
      </c>
      <c r="C130" s="70" t="str">
        <f t="shared" si="25"/>
        <v/>
      </c>
      <c r="D130" s="180" t="str">
        <f t="shared" si="26"/>
        <v/>
      </c>
      <c r="E130" s="139"/>
      <c r="F130" s="65" t="str">
        <f t="shared" si="27"/>
        <v/>
      </c>
      <c r="G130" s="68" t="str">
        <f t="shared" si="28"/>
        <v/>
      </c>
      <c r="H130" s="68" t="str">
        <f t="shared" si="29"/>
        <v/>
      </c>
      <c r="I130" s="68" t="str">
        <f t="shared" si="30"/>
        <v/>
      </c>
      <c r="J130" s="2"/>
      <c r="K130" s="2"/>
      <c r="L130" s="1"/>
      <c r="M130" s="1">
        <v>93</v>
      </c>
      <c r="N130" s="1" t="str">
        <f>IF($T130=0,"",INDEX(VIRMAN!$C$7:$C$406,$T130))</f>
        <v/>
      </c>
      <c r="O130" s="1" t="str">
        <f>IF($N130="","",$C$36&amp;"  –  ORTAK ÇEKİŞ / AVANS  ("&amp;INDEX(VIRMAN!$D$7:$D$406,$T130)&amp;" hesabından)"&amp;IF(INDEX(VIRMAN!$G$7:$G$406,$T130)="",""," – "&amp;INDEX(VIRMAN!$G$7:$G$406,$T130)))</f>
        <v/>
      </c>
      <c r="P130" s="1" t="str">
        <f t="shared" si="34"/>
        <v/>
      </c>
      <c r="Q130" s="1">
        <f>0</f>
        <v>0</v>
      </c>
      <c r="R130" s="1">
        <f>IF($N130="",0,INDEX(VIRMAN!$F$7:$F$406,$T130))</f>
        <v>0</v>
      </c>
      <c r="S130" s="1">
        <f t="shared" si="31"/>
        <v>10000000000</v>
      </c>
      <c r="T130" s="1">
        <f>IFERROR(MATCH($C$36&amp;"|57",VIRMAN!$M$7:$M$406,0),0)</f>
        <v>0</v>
      </c>
      <c r="U130" s="1"/>
      <c r="V130" s="1">
        <f t="shared" si="32"/>
        <v>10000000000</v>
      </c>
      <c r="W130" s="1">
        <f t="shared" si="33"/>
        <v>9</v>
      </c>
    </row>
    <row r="131" spans="1:23" ht="19.5" customHeight="1" x14ac:dyDescent="0.3">
      <c r="A131" s="2"/>
      <c r="B131" s="65" t="str">
        <f t="shared" si="24"/>
        <v/>
      </c>
      <c r="C131" s="70" t="str">
        <f t="shared" si="25"/>
        <v/>
      </c>
      <c r="D131" s="180" t="str">
        <f t="shared" si="26"/>
        <v/>
      </c>
      <c r="E131" s="139"/>
      <c r="F131" s="65" t="str">
        <f t="shared" si="27"/>
        <v/>
      </c>
      <c r="G131" s="68" t="str">
        <f t="shared" si="28"/>
        <v/>
      </c>
      <c r="H131" s="68" t="str">
        <f t="shared" si="29"/>
        <v/>
      </c>
      <c r="I131" s="68" t="str">
        <f t="shared" si="30"/>
        <v/>
      </c>
      <c r="J131" s="2"/>
      <c r="K131" s="2"/>
      <c r="L131" s="1"/>
      <c r="M131" s="1">
        <v>94</v>
      </c>
      <c r="N131" s="1" t="str">
        <f>IF($T131=0,"",INDEX(VIRMAN!$C$7:$C$406,$T131))</f>
        <v/>
      </c>
      <c r="O131" s="1" t="str">
        <f>IF($N131="","",$C$36&amp;"  –  ORTAK ÇEKİŞ / AVANS  ("&amp;INDEX(VIRMAN!$D$7:$D$406,$T131)&amp;" hesabından)"&amp;IF(INDEX(VIRMAN!$G$7:$G$406,$T131)="",""," – "&amp;INDEX(VIRMAN!$G$7:$G$406,$T131)))</f>
        <v/>
      </c>
      <c r="P131" s="1" t="str">
        <f t="shared" si="34"/>
        <v/>
      </c>
      <c r="Q131" s="1">
        <f>0</f>
        <v>0</v>
      </c>
      <c r="R131" s="1">
        <f>IF($N131="",0,INDEX(VIRMAN!$F$7:$F$406,$T131))</f>
        <v>0</v>
      </c>
      <c r="S131" s="1">
        <f t="shared" si="31"/>
        <v>10000000000</v>
      </c>
      <c r="T131" s="1">
        <f>IFERROR(MATCH($C$36&amp;"|58",VIRMAN!$M$7:$M$406,0),0)</f>
        <v>0</v>
      </c>
      <c r="U131" s="1"/>
      <c r="V131" s="1">
        <f t="shared" si="32"/>
        <v>10000000000</v>
      </c>
      <c r="W131" s="1">
        <f t="shared" si="33"/>
        <v>9</v>
      </c>
    </row>
    <row r="132" spans="1:23" ht="19.5" customHeight="1" x14ac:dyDescent="0.3">
      <c r="A132" s="2"/>
      <c r="B132" s="65" t="str">
        <f t="shared" si="24"/>
        <v/>
      </c>
      <c r="C132" s="70" t="str">
        <f t="shared" si="25"/>
        <v/>
      </c>
      <c r="D132" s="180" t="str">
        <f t="shared" si="26"/>
        <v/>
      </c>
      <c r="E132" s="139"/>
      <c r="F132" s="65" t="str">
        <f t="shared" si="27"/>
        <v/>
      </c>
      <c r="G132" s="68" t="str">
        <f t="shared" si="28"/>
        <v/>
      </c>
      <c r="H132" s="68" t="str">
        <f t="shared" si="29"/>
        <v/>
      </c>
      <c r="I132" s="68" t="str">
        <f t="shared" si="30"/>
        <v/>
      </c>
      <c r="J132" s="2"/>
      <c r="K132" s="2"/>
      <c r="L132" s="1"/>
      <c r="M132" s="1">
        <v>95</v>
      </c>
      <c r="N132" s="1" t="str">
        <f>IF($T132=0,"",INDEX(VIRMAN!$C$7:$C$406,$T132))</f>
        <v/>
      </c>
      <c r="O132" s="1" t="str">
        <f>IF($N132="","",$C$36&amp;"  –  ORTAK ÇEKİŞ / AVANS  ("&amp;INDEX(VIRMAN!$D$7:$D$406,$T132)&amp;" hesabından)"&amp;IF(INDEX(VIRMAN!$G$7:$G$406,$T132)="",""," – "&amp;INDEX(VIRMAN!$G$7:$G$406,$T132)))</f>
        <v/>
      </c>
      <c r="P132" s="1" t="str">
        <f t="shared" si="34"/>
        <v/>
      </c>
      <c r="Q132" s="1">
        <f>0</f>
        <v>0</v>
      </c>
      <c r="R132" s="1">
        <f>IF($N132="",0,INDEX(VIRMAN!$F$7:$F$406,$T132))</f>
        <v>0</v>
      </c>
      <c r="S132" s="1">
        <f t="shared" si="31"/>
        <v>10000000000</v>
      </c>
      <c r="T132" s="1">
        <f>IFERROR(MATCH($C$36&amp;"|59",VIRMAN!$M$7:$M$406,0),0)</f>
        <v>0</v>
      </c>
      <c r="U132" s="1"/>
      <c r="V132" s="1">
        <f t="shared" si="32"/>
        <v>10000000000</v>
      </c>
      <c r="W132" s="1">
        <f t="shared" si="33"/>
        <v>9</v>
      </c>
    </row>
    <row r="133" spans="1:23" ht="19.5" customHeight="1" x14ac:dyDescent="0.3">
      <c r="A133" s="2"/>
      <c r="B133" s="65" t="str">
        <f t="shared" si="24"/>
        <v/>
      </c>
      <c r="C133" s="70" t="str">
        <f t="shared" si="25"/>
        <v/>
      </c>
      <c r="D133" s="180" t="str">
        <f t="shared" si="26"/>
        <v/>
      </c>
      <c r="E133" s="139"/>
      <c r="F133" s="65" t="str">
        <f t="shared" si="27"/>
        <v/>
      </c>
      <c r="G133" s="68" t="str">
        <f t="shared" si="28"/>
        <v/>
      </c>
      <c r="H133" s="68" t="str">
        <f t="shared" si="29"/>
        <v/>
      </c>
      <c r="I133" s="68" t="str">
        <f t="shared" si="30"/>
        <v/>
      </c>
      <c r="J133" s="2"/>
      <c r="K133" s="2"/>
      <c r="L133" s="1"/>
      <c r="M133" s="1">
        <v>96</v>
      </c>
      <c r="N133" s="1" t="str">
        <f>IF($T133=0,"",INDEX(VIRMAN!$C$7:$C$406,$T133))</f>
        <v/>
      </c>
      <c r="O133" s="1" t="str">
        <f>IF($N133="","",$C$36&amp;"  –  ORTAK ÇEKİŞ / AVANS  ("&amp;INDEX(VIRMAN!$D$7:$D$406,$T133)&amp;" hesabından)"&amp;IF(INDEX(VIRMAN!$G$7:$G$406,$T133)="",""," – "&amp;INDEX(VIRMAN!$G$7:$G$406,$T133)))</f>
        <v/>
      </c>
      <c r="P133" s="1" t="str">
        <f t="shared" si="34"/>
        <v/>
      </c>
      <c r="Q133" s="1">
        <f>0</f>
        <v>0</v>
      </c>
      <c r="R133" s="1">
        <f>IF($N133="",0,INDEX(VIRMAN!$F$7:$F$406,$T133))</f>
        <v>0</v>
      </c>
      <c r="S133" s="1">
        <f t="shared" si="31"/>
        <v>10000000000</v>
      </c>
      <c r="T133" s="1">
        <f>IFERROR(MATCH($C$36&amp;"|60",VIRMAN!$M$7:$M$406,0),0)</f>
        <v>0</v>
      </c>
      <c r="U133" s="1"/>
      <c r="V133" s="1">
        <f t="shared" si="32"/>
        <v>10000000000</v>
      </c>
      <c r="W133" s="1">
        <f t="shared" si="33"/>
        <v>9</v>
      </c>
    </row>
    <row r="134" spans="1:23" ht="19.5" customHeight="1" x14ac:dyDescent="0.3">
      <c r="A134" s="2"/>
      <c r="B134" s="65" t="str">
        <f t="shared" ref="B134:B165" si="35">IF($C134="","",ROW()-37)</f>
        <v/>
      </c>
      <c r="C134" s="70" t="str">
        <f t="shared" ref="C134:C165" si="36">IF($W134="","",IF(INDEX($N$38:$N$193,$W134)="","",INDEX($N$38:$N$193,$W134)))</f>
        <v/>
      </c>
      <c r="D134" s="180" t="str">
        <f t="shared" ref="D134:D165" si="37">IF($C134="","",INDEX($O$38:$O$193,$W134))</f>
        <v/>
      </c>
      <c r="E134" s="139"/>
      <c r="F134" s="65" t="str">
        <f t="shared" ref="F134:F165" si="38">IF($C134="","",INDEX($P$38:$P$193,$W134))</f>
        <v/>
      </c>
      <c r="G134" s="68" t="str">
        <f t="shared" ref="G134:G165" si="39">IF($C134="","",INDEX($Q$38:$Q$193,$W134))</f>
        <v/>
      </c>
      <c r="H134" s="68" t="str">
        <f t="shared" ref="H134:H165" si="40">IF($C134="","",INDEX($R$38:$R$193,$W134))</f>
        <v/>
      </c>
      <c r="I134" s="68" t="str">
        <f t="shared" ref="I134:I165" si="41">IF($C134="","",N($I133)+$G134-$H134)</f>
        <v/>
      </c>
      <c r="J134" s="2"/>
      <c r="K134" s="2"/>
      <c r="L134" s="1"/>
      <c r="M134" s="1">
        <v>97</v>
      </c>
      <c r="N134" s="1" t="str">
        <f>IF($T134=0,"",INDEX(VIRMAN!$C$7:$C$406,$T134))</f>
        <v/>
      </c>
      <c r="O134" s="1" t="str">
        <f>IF($N134="","",$C$36&amp;"  –  ORTAK ÇEKİŞ / AVANS  ("&amp;INDEX(VIRMAN!$D$7:$D$406,$T134)&amp;" hesabından)"&amp;IF(INDEX(VIRMAN!$G$7:$G$406,$T134)="",""," – "&amp;INDEX(VIRMAN!$G$7:$G$406,$T134)))</f>
        <v/>
      </c>
      <c r="P134" s="1" t="str">
        <f t="shared" si="34"/>
        <v/>
      </c>
      <c r="Q134" s="1">
        <f>0</f>
        <v>0</v>
      </c>
      <c r="R134" s="1">
        <f>IF($N134="",0,INDEX(VIRMAN!$F$7:$F$406,$T134))</f>
        <v>0</v>
      </c>
      <c r="S134" s="1">
        <f t="shared" ref="S134:S165" si="42">IF($N134="",10000000000,$N134*100000+$M134)</f>
        <v>10000000000</v>
      </c>
      <c r="T134" s="1">
        <f>IFERROR(MATCH($C$36&amp;"|61",VIRMAN!$M$7:$M$406,0),0)</f>
        <v>0</v>
      </c>
      <c r="U134" s="1"/>
      <c r="V134" s="1">
        <f t="shared" ref="V134:V165" si="43">IFERROR(SMALL($S$38:$S$193,ROW()-37),"")</f>
        <v>10000000000</v>
      </c>
      <c r="W134" s="1">
        <f t="shared" ref="W134:W165" si="44">IFERROR(MATCH($V134,$S$38:$S$193,0),"")</f>
        <v>9</v>
      </c>
    </row>
    <row r="135" spans="1:23" ht="19.5" customHeight="1" x14ac:dyDescent="0.3">
      <c r="A135" s="2"/>
      <c r="B135" s="65" t="str">
        <f t="shared" si="35"/>
        <v/>
      </c>
      <c r="C135" s="70" t="str">
        <f t="shared" si="36"/>
        <v/>
      </c>
      <c r="D135" s="180" t="str">
        <f t="shared" si="37"/>
        <v/>
      </c>
      <c r="E135" s="139"/>
      <c r="F135" s="65" t="str">
        <f t="shared" si="38"/>
        <v/>
      </c>
      <c r="G135" s="68" t="str">
        <f t="shared" si="39"/>
        <v/>
      </c>
      <c r="H135" s="68" t="str">
        <f t="shared" si="40"/>
        <v/>
      </c>
      <c r="I135" s="68" t="str">
        <f t="shared" si="41"/>
        <v/>
      </c>
      <c r="J135" s="2"/>
      <c r="K135" s="2"/>
      <c r="L135" s="1"/>
      <c r="M135" s="1">
        <v>98</v>
      </c>
      <c r="N135" s="1" t="str">
        <f>IF($T135=0,"",INDEX(VIRMAN!$C$7:$C$406,$T135))</f>
        <v/>
      </c>
      <c r="O135" s="1" t="str">
        <f>IF($N135="","",$C$36&amp;"  –  ORTAK ÇEKİŞ / AVANS  ("&amp;INDEX(VIRMAN!$D$7:$D$406,$T135)&amp;" hesabından)"&amp;IF(INDEX(VIRMAN!$G$7:$G$406,$T135)="",""," – "&amp;INDEX(VIRMAN!$G$7:$G$406,$T135)))</f>
        <v/>
      </c>
      <c r="P135" s="1" t="str">
        <f t="shared" si="34"/>
        <v/>
      </c>
      <c r="Q135" s="1">
        <f>0</f>
        <v>0</v>
      </c>
      <c r="R135" s="1">
        <f>IF($N135="",0,INDEX(VIRMAN!$F$7:$F$406,$T135))</f>
        <v>0</v>
      </c>
      <c r="S135" s="1">
        <f t="shared" si="42"/>
        <v>10000000000</v>
      </c>
      <c r="T135" s="1">
        <f>IFERROR(MATCH($C$36&amp;"|62",VIRMAN!$M$7:$M$406,0),0)</f>
        <v>0</v>
      </c>
      <c r="U135" s="1"/>
      <c r="V135" s="1">
        <f t="shared" si="43"/>
        <v>10000000000</v>
      </c>
      <c r="W135" s="1">
        <f t="shared" si="44"/>
        <v>9</v>
      </c>
    </row>
    <row r="136" spans="1:23" ht="19.5" customHeight="1" x14ac:dyDescent="0.3">
      <c r="A136" s="2"/>
      <c r="B136" s="65" t="str">
        <f t="shared" si="35"/>
        <v/>
      </c>
      <c r="C136" s="70" t="str">
        <f t="shared" si="36"/>
        <v/>
      </c>
      <c r="D136" s="180" t="str">
        <f t="shared" si="37"/>
        <v/>
      </c>
      <c r="E136" s="139"/>
      <c r="F136" s="65" t="str">
        <f t="shared" si="38"/>
        <v/>
      </c>
      <c r="G136" s="68" t="str">
        <f t="shared" si="39"/>
        <v/>
      </c>
      <c r="H136" s="68" t="str">
        <f t="shared" si="40"/>
        <v/>
      </c>
      <c r="I136" s="68" t="str">
        <f t="shared" si="41"/>
        <v/>
      </c>
      <c r="J136" s="2"/>
      <c r="K136" s="2"/>
      <c r="L136" s="1"/>
      <c r="M136" s="1">
        <v>99</v>
      </c>
      <c r="N136" s="1" t="str">
        <f>IF($T136=0,"",INDEX(VIRMAN!$C$7:$C$406,$T136))</f>
        <v/>
      </c>
      <c r="O136" s="1" t="str">
        <f>IF($N136="","",$C$36&amp;"  –  ORTAK ÇEKİŞ / AVANS  ("&amp;INDEX(VIRMAN!$D$7:$D$406,$T136)&amp;" hesabından)"&amp;IF(INDEX(VIRMAN!$G$7:$G$406,$T136)="",""," – "&amp;INDEX(VIRMAN!$G$7:$G$406,$T136)))</f>
        <v/>
      </c>
      <c r="P136" s="1" t="str">
        <f t="shared" si="34"/>
        <v/>
      </c>
      <c r="Q136" s="1">
        <f>0</f>
        <v>0</v>
      </c>
      <c r="R136" s="1">
        <f>IF($N136="",0,INDEX(VIRMAN!$F$7:$F$406,$T136))</f>
        <v>0</v>
      </c>
      <c r="S136" s="1">
        <f t="shared" si="42"/>
        <v>10000000000</v>
      </c>
      <c r="T136" s="1">
        <f>IFERROR(MATCH($C$36&amp;"|63",VIRMAN!$M$7:$M$406,0),0)</f>
        <v>0</v>
      </c>
      <c r="U136" s="1"/>
      <c r="V136" s="1">
        <f t="shared" si="43"/>
        <v>10000000000</v>
      </c>
      <c r="W136" s="1">
        <f t="shared" si="44"/>
        <v>9</v>
      </c>
    </row>
    <row r="137" spans="1:23" ht="19.5" customHeight="1" x14ac:dyDescent="0.3">
      <c r="A137" s="2"/>
      <c r="B137" s="65" t="str">
        <f t="shared" si="35"/>
        <v/>
      </c>
      <c r="C137" s="70" t="str">
        <f t="shared" si="36"/>
        <v/>
      </c>
      <c r="D137" s="180" t="str">
        <f t="shared" si="37"/>
        <v/>
      </c>
      <c r="E137" s="139"/>
      <c r="F137" s="65" t="str">
        <f t="shared" si="38"/>
        <v/>
      </c>
      <c r="G137" s="68" t="str">
        <f t="shared" si="39"/>
        <v/>
      </c>
      <c r="H137" s="68" t="str">
        <f t="shared" si="40"/>
        <v/>
      </c>
      <c r="I137" s="68" t="str">
        <f t="shared" si="41"/>
        <v/>
      </c>
      <c r="J137" s="2"/>
      <c r="K137" s="2"/>
      <c r="L137" s="1"/>
      <c r="M137" s="1">
        <v>100</v>
      </c>
      <c r="N137" s="1" t="str">
        <f>IF($T137=0,"",INDEX(VIRMAN!$C$7:$C$406,$T137))</f>
        <v/>
      </c>
      <c r="O137" s="1" t="str">
        <f>IF($N137="","",$C$36&amp;"  –  ORTAK ÇEKİŞ / AVANS  ("&amp;INDEX(VIRMAN!$D$7:$D$406,$T137)&amp;" hesabından)"&amp;IF(INDEX(VIRMAN!$G$7:$G$406,$T137)="",""," – "&amp;INDEX(VIRMAN!$G$7:$G$406,$T137)))</f>
        <v/>
      </c>
      <c r="P137" s="1" t="str">
        <f t="shared" si="34"/>
        <v/>
      </c>
      <c r="Q137" s="1">
        <f>0</f>
        <v>0</v>
      </c>
      <c r="R137" s="1">
        <f>IF($N137="",0,INDEX(VIRMAN!$F$7:$F$406,$T137))</f>
        <v>0</v>
      </c>
      <c r="S137" s="1">
        <f t="shared" si="42"/>
        <v>10000000000</v>
      </c>
      <c r="T137" s="1">
        <f>IFERROR(MATCH($C$36&amp;"|64",VIRMAN!$M$7:$M$406,0),0)</f>
        <v>0</v>
      </c>
      <c r="U137" s="1"/>
      <c r="V137" s="1">
        <f t="shared" si="43"/>
        <v>10000000000</v>
      </c>
      <c r="W137" s="1">
        <f t="shared" si="44"/>
        <v>9</v>
      </c>
    </row>
    <row r="138" spans="1:23" ht="19.5" customHeight="1" x14ac:dyDescent="0.3">
      <c r="A138" s="2"/>
      <c r="B138" s="65" t="str">
        <f t="shared" si="35"/>
        <v/>
      </c>
      <c r="C138" s="70" t="str">
        <f t="shared" si="36"/>
        <v/>
      </c>
      <c r="D138" s="180" t="str">
        <f t="shared" si="37"/>
        <v/>
      </c>
      <c r="E138" s="139"/>
      <c r="F138" s="65" t="str">
        <f t="shared" si="38"/>
        <v/>
      </c>
      <c r="G138" s="68" t="str">
        <f t="shared" si="39"/>
        <v/>
      </c>
      <c r="H138" s="68" t="str">
        <f t="shared" si="40"/>
        <v/>
      </c>
      <c r="I138" s="68" t="str">
        <f t="shared" si="41"/>
        <v/>
      </c>
      <c r="J138" s="2"/>
      <c r="K138" s="2"/>
      <c r="L138" s="1"/>
      <c r="M138" s="1">
        <v>101</v>
      </c>
      <c r="N138" s="1" t="str">
        <f>IF($T138=0,"",INDEX(VIRMAN!$C$7:$C$406,$T138))</f>
        <v/>
      </c>
      <c r="O138" s="1" t="str">
        <f>IF($N138="","",$C$36&amp;"  –  ORTAK ÇEKİŞ / AVANS  ("&amp;INDEX(VIRMAN!$D$7:$D$406,$T138)&amp;" hesabından)"&amp;IF(INDEX(VIRMAN!$G$7:$G$406,$T138)="",""," – "&amp;INDEX(VIRMAN!$G$7:$G$406,$T138)))</f>
        <v/>
      </c>
      <c r="P138" s="1" t="str">
        <f t="shared" ref="P138:P169" si="45">IF($N138="","","ÇEKİŞ / AVANS")</f>
        <v/>
      </c>
      <c r="Q138" s="1">
        <f>0</f>
        <v>0</v>
      </c>
      <c r="R138" s="1">
        <f>IF($N138="",0,INDEX(VIRMAN!$F$7:$F$406,$T138))</f>
        <v>0</v>
      </c>
      <c r="S138" s="1">
        <f t="shared" si="42"/>
        <v>10000000000</v>
      </c>
      <c r="T138" s="1">
        <f>IFERROR(MATCH($C$36&amp;"|65",VIRMAN!$M$7:$M$406,0),0)</f>
        <v>0</v>
      </c>
      <c r="U138" s="1"/>
      <c r="V138" s="1">
        <f t="shared" si="43"/>
        <v>10000000000</v>
      </c>
      <c r="W138" s="1">
        <f t="shared" si="44"/>
        <v>9</v>
      </c>
    </row>
    <row r="139" spans="1:23" ht="19.5" customHeight="1" x14ac:dyDescent="0.3">
      <c r="A139" s="2"/>
      <c r="B139" s="65" t="str">
        <f t="shared" si="35"/>
        <v/>
      </c>
      <c r="C139" s="70" t="str">
        <f t="shared" si="36"/>
        <v/>
      </c>
      <c r="D139" s="180" t="str">
        <f t="shared" si="37"/>
        <v/>
      </c>
      <c r="E139" s="139"/>
      <c r="F139" s="65" t="str">
        <f t="shared" si="38"/>
        <v/>
      </c>
      <c r="G139" s="68" t="str">
        <f t="shared" si="39"/>
        <v/>
      </c>
      <c r="H139" s="68" t="str">
        <f t="shared" si="40"/>
        <v/>
      </c>
      <c r="I139" s="68" t="str">
        <f t="shared" si="41"/>
        <v/>
      </c>
      <c r="J139" s="2"/>
      <c r="K139" s="2"/>
      <c r="L139" s="1"/>
      <c r="M139" s="1">
        <v>102</v>
      </c>
      <c r="N139" s="1" t="str">
        <f>IF($T139=0,"",INDEX(VIRMAN!$C$7:$C$406,$T139))</f>
        <v/>
      </c>
      <c r="O139" s="1" t="str">
        <f>IF($N139="","",$C$36&amp;"  –  ORTAK ÇEKİŞ / AVANS  ("&amp;INDEX(VIRMAN!$D$7:$D$406,$T139)&amp;" hesabından)"&amp;IF(INDEX(VIRMAN!$G$7:$G$406,$T139)="",""," – "&amp;INDEX(VIRMAN!$G$7:$G$406,$T139)))</f>
        <v/>
      </c>
      <c r="P139" s="1" t="str">
        <f t="shared" si="45"/>
        <v/>
      </c>
      <c r="Q139" s="1">
        <f>0</f>
        <v>0</v>
      </c>
      <c r="R139" s="1">
        <f>IF($N139="",0,INDEX(VIRMAN!$F$7:$F$406,$T139))</f>
        <v>0</v>
      </c>
      <c r="S139" s="1">
        <f t="shared" si="42"/>
        <v>10000000000</v>
      </c>
      <c r="T139" s="1">
        <f>IFERROR(MATCH($C$36&amp;"|66",VIRMAN!$M$7:$M$406,0),0)</f>
        <v>0</v>
      </c>
      <c r="U139" s="1"/>
      <c r="V139" s="1">
        <f t="shared" si="43"/>
        <v>10000000000</v>
      </c>
      <c r="W139" s="1">
        <f t="shared" si="44"/>
        <v>9</v>
      </c>
    </row>
    <row r="140" spans="1:23" ht="19.5" customHeight="1" x14ac:dyDescent="0.3">
      <c r="A140" s="2"/>
      <c r="B140" s="65" t="str">
        <f t="shared" si="35"/>
        <v/>
      </c>
      <c r="C140" s="70" t="str">
        <f t="shared" si="36"/>
        <v/>
      </c>
      <c r="D140" s="180" t="str">
        <f t="shared" si="37"/>
        <v/>
      </c>
      <c r="E140" s="139"/>
      <c r="F140" s="65" t="str">
        <f t="shared" si="38"/>
        <v/>
      </c>
      <c r="G140" s="68" t="str">
        <f t="shared" si="39"/>
        <v/>
      </c>
      <c r="H140" s="68" t="str">
        <f t="shared" si="40"/>
        <v/>
      </c>
      <c r="I140" s="68" t="str">
        <f t="shared" si="41"/>
        <v/>
      </c>
      <c r="J140" s="2"/>
      <c r="K140" s="2"/>
      <c r="L140" s="1"/>
      <c r="M140" s="1">
        <v>103</v>
      </c>
      <c r="N140" s="1" t="str">
        <f>IF($T140=0,"",INDEX(VIRMAN!$C$7:$C$406,$T140))</f>
        <v/>
      </c>
      <c r="O140" s="1" t="str">
        <f>IF($N140="","",$C$36&amp;"  –  ORTAK ÇEKİŞ / AVANS  ("&amp;INDEX(VIRMAN!$D$7:$D$406,$T140)&amp;" hesabından)"&amp;IF(INDEX(VIRMAN!$G$7:$G$406,$T140)="",""," – "&amp;INDEX(VIRMAN!$G$7:$G$406,$T140)))</f>
        <v/>
      </c>
      <c r="P140" s="1" t="str">
        <f t="shared" si="45"/>
        <v/>
      </c>
      <c r="Q140" s="1">
        <f>0</f>
        <v>0</v>
      </c>
      <c r="R140" s="1">
        <f>IF($N140="",0,INDEX(VIRMAN!$F$7:$F$406,$T140))</f>
        <v>0</v>
      </c>
      <c r="S140" s="1">
        <f t="shared" si="42"/>
        <v>10000000000</v>
      </c>
      <c r="T140" s="1">
        <f>IFERROR(MATCH($C$36&amp;"|67",VIRMAN!$M$7:$M$406,0),0)</f>
        <v>0</v>
      </c>
      <c r="U140" s="1"/>
      <c r="V140" s="1">
        <f t="shared" si="43"/>
        <v>10000000000</v>
      </c>
      <c r="W140" s="1">
        <f t="shared" si="44"/>
        <v>9</v>
      </c>
    </row>
    <row r="141" spans="1:23" ht="19.5" customHeight="1" x14ac:dyDescent="0.3">
      <c r="A141" s="2"/>
      <c r="B141" s="65" t="str">
        <f t="shared" si="35"/>
        <v/>
      </c>
      <c r="C141" s="70" t="str">
        <f t="shared" si="36"/>
        <v/>
      </c>
      <c r="D141" s="180" t="str">
        <f t="shared" si="37"/>
        <v/>
      </c>
      <c r="E141" s="139"/>
      <c r="F141" s="65" t="str">
        <f t="shared" si="38"/>
        <v/>
      </c>
      <c r="G141" s="68" t="str">
        <f t="shared" si="39"/>
        <v/>
      </c>
      <c r="H141" s="68" t="str">
        <f t="shared" si="40"/>
        <v/>
      </c>
      <c r="I141" s="68" t="str">
        <f t="shared" si="41"/>
        <v/>
      </c>
      <c r="J141" s="2"/>
      <c r="K141" s="2"/>
      <c r="L141" s="1"/>
      <c r="M141" s="1">
        <v>104</v>
      </c>
      <c r="N141" s="1" t="str">
        <f>IF($T141=0,"",INDEX(VIRMAN!$C$7:$C$406,$T141))</f>
        <v/>
      </c>
      <c r="O141" s="1" t="str">
        <f>IF($N141="","",$C$36&amp;"  –  ORTAK ÇEKİŞ / AVANS  ("&amp;INDEX(VIRMAN!$D$7:$D$406,$T141)&amp;" hesabından)"&amp;IF(INDEX(VIRMAN!$G$7:$G$406,$T141)="",""," – "&amp;INDEX(VIRMAN!$G$7:$G$406,$T141)))</f>
        <v/>
      </c>
      <c r="P141" s="1" t="str">
        <f t="shared" si="45"/>
        <v/>
      </c>
      <c r="Q141" s="1">
        <f>0</f>
        <v>0</v>
      </c>
      <c r="R141" s="1">
        <f>IF($N141="",0,INDEX(VIRMAN!$F$7:$F$406,$T141))</f>
        <v>0</v>
      </c>
      <c r="S141" s="1">
        <f t="shared" si="42"/>
        <v>10000000000</v>
      </c>
      <c r="T141" s="1">
        <f>IFERROR(MATCH($C$36&amp;"|68",VIRMAN!$M$7:$M$406,0),0)</f>
        <v>0</v>
      </c>
      <c r="U141" s="1"/>
      <c r="V141" s="1">
        <f t="shared" si="43"/>
        <v>10000000000</v>
      </c>
      <c r="W141" s="1">
        <f t="shared" si="44"/>
        <v>9</v>
      </c>
    </row>
    <row r="142" spans="1:23" ht="19.5" customHeight="1" x14ac:dyDescent="0.3">
      <c r="A142" s="2"/>
      <c r="B142" s="65" t="str">
        <f t="shared" si="35"/>
        <v/>
      </c>
      <c r="C142" s="70" t="str">
        <f t="shared" si="36"/>
        <v/>
      </c>
      <c r="D142" s="180" t="str">
        <f t="shared" si="37"/>
        <v/>
      </c>
      <c r="E142" s="139"/>
      <c r="F142" s="65" t="str">
        <f t="shared" si="38"/>
        <v/>
      </c>
      <c r="G142" s="68" t="str">
        <f t="shared" si="39"/>
        <v/>
      </c>
      <c r="H142" s="68" t="str">
        <f t="shared" si="40"/>
        <v/>
      </c>
      <c r="I142" s="68" t="str">
        <f t="shared" si="41"/>
        <v/>
      </c>
      <c r="J142" s="2"/>
      <c r="K142" s="2"/>
      <c r="L142" s="1"/>
      <c r="M142" s="1">
        <v>105</v>
      </c>
      <c r="N142" s="1" t="str">
        <f>IF($T142=0,"",INDEX(VIRMAN!$C$7:$C$406,$T142))</f>
        <v/>
      </c>
      <c r="O142" s="1" t="str">
        <f>IF($N142="","",$C$36&amp;"  –  ORTAK ÇEKİŞ / AVANS  ("&amp;INDEX(VIRMAN!$D$7:$D$406,$T142)&amp;" hesabından)"&amp;IF(INDEX(VIRMAN!$G$7:$G$406,$T142)="",""," – "&amp;INDEX(VIRMAN!$G$7:$G$406,$T142)))</f>
        <v/>
      </c>
      <c r="P142" s="1" t="str">
        <f t="shared" si="45"/>
        <v/>
      </c>
      <c r="Q142" s="1">
        <f>0</f>
        <v>0</v>
      </c>
      <c r="R142" s="1">
        <f>IF($N142="",0,INDEX(VIRMAN!$F$7:$F$406,$T142))</f>
        <v>0</v>
      </c>
      <c r="S142" s="1">
        <f t="shared" si="42"/>
        <v>10000000000</v>
      </c>
      <c r="T142" s="1">
        <f>IFERROR(MATCH($C$36&amp;"|69",VIRMAN!$M$7:$M$406,0),0)</f>
        <v>0</v>
      </c>
      <c r="U142" s="1"/>
      <c r="V142" s="1">
        <f t="shared" si="43"/>
        <v>10000000000</v>
      </c>
      <c r="W142" s="1">
        <f t="shared" si="44"/>
        <v>9</v>
      </c>
    </row>
    <row r="143" spans="1:23" ht="19.5" customHeight="1" x14ac:dyDescent="0.3">
      <c r="A143" s="2"/>
      <c r="B143" s="65" t="str">
        <f t="shared" si="35"/>
        <v/>
      </c>
      <c r="C143" s="70" t="str">
        <f t="shared" si="36"/>
        <v/>
      </c>
      <c r="D143" s="180" t="str">
        <f t="shared" si="37"/>
        <v/>
      </c>
      <c r="E143" s="139"/>
      <c r="F143" s="65" t="str">
        <f t="shared" si="38"/>
        <v/>
      </c>
      <c r="G143" s="68" t="str">
        <f t="shared" si="39"/>
        <v/>
      </c>
      <c r="H143" s="68" t="str">
        <f t="shared" si="40"/>
        <v/>
      </c>
      <c r="I143" s="68" t="str">
        <f t="shared" si="41"/>
        <v/>
      </c>
      <c r="J143" s="2"/>
      <c r="K143" s="2"/>
      <c r="L143" s="1"/>
      <c r="M143" s="1">
        <v>106</v>
      </c>
      <c r="N143" s="1" t="str">
        <f>IF($T143=0,"",INDEX(VIRMAN!$C$7:$C$406,$T143))</f>
        <v/>
      </c>
      <c r="O143" s="1" t="str">
        <f>IF($N143="","",$C$36&amp;"  –  ORTAK ÇEKİŞ / AVANS  ("&amp;INDEX(VIRMAN!$D$7:$D$406,$T143)&amp;" hesabından)"&amp;IF(INDEX(VIRMAN!$G$7:$G$406,$T143)="",""," – "&amp;INDEX(VIRMAN!$G$7:$G$406,$T143)))</f>
        <v/>
      </c>
      <c r="P143" s="1" t="str">
        <f t="shared" si="45"/>
        <v/>
      </c>
      <c r="Q143" s="1">
        <f>0</f>
        <v>0</v>
      </c>
      <c r="R143" s="1">
        <f>IF($N143="",0,INDEX(VIRMAN!$F$7:$F$406,$T143))</f>
        <v>0</v>
      </c>
      <c r="S143" s="1">
        <f t="shared" si="42"/>
        <v>10000000000</v>
      </c>
      <c r="T143" s="1">
        <f>IFERROR(MATCH($C$36&amp;"|70",VIRMAN!$M$7:$M$406,0),0)</f>
        <v>0</v>
      </c>
      <c r="U143" s="1"/>
      <c r="V143" s="1">
        <f t="shared" si="43"/>
        <v>10000000000</v>
      </c>
      <c r="W143" s="1">
        <f t="shared" si="44"/>
        <v>9</v>
      </c>
    </row>
    <row r="144" spans="1:23" ht="19.5" customHeight="1" x14ac:dyDescent="0.3">
      <c r="A144" s="2"/>
      <c r="B144" s="65" t="str">
        <f t="shared" si="35"/>
        <v/>
      </c>
      <c r="C144" s="70" t="str">
        <f t="shared" si="36"/>
        <v/>
      </c>
      <c r="D144" s="180" t="str">
        <f t="shared" si="37"/>
        <v/>
      </c>
      <c r="E144" s="139"/>
      <c r="F144" s="65" t="str">
        <f t="shared" si="38"/>
        <v/>
      </c>
      <c r="G144" s="68" t="str">
        <f t="shared" si="39"/>
        <v/>
      </c>
      <c r="H144" s="68" t="str">
        <f t="shared" si="40"/>
        <v/>
      </c>
      <c r="I144" s="68" t="str">
        <f t="shared" si="41"/>
        <v/>
      </c>
      <c r="J144" s="2"/>
      <c r="K144" s="2"/>
      <c r="L144" s="1"/>
      <c r="M144" s="1">
        <v>107</v>
      </c>
      <c r="N144" s="1" t="str">
        <f>IF($T144=0,"",INDEX(VIRMAN!$C$7:$C$406,$T144))</f>
        <v/>
      </c>
      <c r="O144" s="1" t="str">
        <f>IF($N144="","",$C$36&amp;"  –  ORTAK ÇEKİŞ / AVANS  ("&amp;INDEX(VIRMAN!$D$7:$D$406,$T144)&amp;" hesabından)"&amp;IF(INDEX(VIRMAN!$G$7:$G$406,$T144)="",""," – "&amp;INDEX(VIRMAN!$G$7:$G$406,$T144)))</f>
        <v/>
      </c>
      <c r="P144" s="1" t="str">
        <f t="shared" si="45"/>
        <v/>
      </c>
      <c r="Q144" s="1">
        <f>0</f>
        <v>0</v>
      </c>
      <c r="R144" s="1">
        <f>IF($N144="",0,INDEX(VIRMAN!$F$7:$F$406,$T144))</f>
        <v>0</v>
      </c>
      <c r="S144" s="1">
        <f t="shared" si="42"/>
        <v>10000000000</v>
      </c>
      <c r="T144" s="1">
        <f>IFERROR(MATCH($C$36&amp;"|71",VIRMAN!$M$7:$M$406,0),0)</f>
        <v>0</v>
      </c>
      <c r="U144" s="1"/>
      <c r="V144" s="1">
        <f t="shared" si="43"/>
        <v>10000000000</v>
      </c>
      <c r="W144" s="1">
        <f t="shared" si="44"/>
        <v>9</v>
      </c>
    </row>
    <row r="145" spans="1:23" ht="19.5" customHeight="1" x14ac:dyDescent="0.3">
      <c r="A145" s="2"/>
      <c r="B145" s="65" t="str">
        <f t="shared" si="35"/>
        <v/>
      </c>
      <c r="C145" s="70" t="str">
        <f t="shared" si="36"/>
        <v/>
      </c>
      <c r="D145" s="180" t="str">
        <f t="shared" si="37"/>
        <v/>
      </c>
      <c r="E145" s="139"/>
      <c r="F145" s="65" t="str">
        <f t="shared" si="38"/>
        <v/>
      </c>
      <c r="G145" s="68" t="str">
        <f t="shared" si="39"/>
        <v/>
      </c>
      <c r="H145" s="68" t="str">
        <f t="shared" si="40"/>
        <v/>
      </c>
      <c r="I145" s="68" t="str">
        <f t="shared" si="41"/>
        <v/>
      </c>
      <c r="J145" s="2"/>
      <c r="K145" s="2"/>
      <c r="L145" s="1"/>
      <c r="M145" s="1">
        <v>108</v>
      </c>
      <c r="N145" s="1" t="str">
        <f>IF($T145=0,"",INDEX(VIRMAN!$C$7:$C$406,$T145))</f>
        <v/>
      </c>
      <c r="O145" s="1" t="str">
        <f>IF($N145="","",$C$36&amp;"  –  ORTAK ÇEKİŞ / AVANS  ("&amp;INDEX(VIRMAN!$D$7:$D$406,$T145)&amp;" hesabından)"&amp;IF(INDEX(VIRMAN!$G$7:$G$406,$T145)="",""," – "&amp;INDEX(VIRMAN!$G$7:$G$406,$T145)))</f>
        <v/>
      </c>
      <c r="P145" s="1" t="str">
        <f t="shared" si="45"/>
        <v/>
      </c>
      <c r="Q145" s="1">
        <f>0</f>
        <v>0</v>
      </c>
      <c r="R145" s="1">
        <f>IF($N145="",0,INDEX(VIRMAN!$F$7:$F$406,$T145))</f>
        <v>0</v>
      </c>
      <c r="S145" s="1">
        <f t="shared" si="42"/>
        <v>10000000000</v>
      </c>
      <c r="T145" s="1">
        <f>IFERROR(MATCH($C$36&amp;"|72",VIRMAN!$M$7:$M$406,0),0)</f>
        <v>0</v>
      </c>
      <c r="U145" s="1"/>
      <c r="V145" s="1">
        <f t="shared" si="43"/>
        <v>10000000000</v>
      </c>
      <c r="W145" s="1">
        <f t="shared" si="44"/>
        <v>9</v>
      </c>
    </row>
    <row r="146" spans="1:23" ht="19.5" customHeight="1" x14ac:dyDescent="0.3">
      <c r="A146" s="2"/>
      <c r="B146" s="65" t="str">
        <f t="shared" si="35"/>
        <v/>
      </c>
      <c r="C146" s="70" t="str">
        <f t="shared" si="36"/>
        <v/>
      </c>
      <c r="D146" s="180" t="str">
        <f t="shared" si="37"/>
        <v/>
      </c>
      <c r="E146" s="139"/>
      <c r="F146" s="65" t="str">
        <f t="shared" si="38"/>
        <v/>
      </c>
      <c r="G146" s="68" t="str">
        <f t="shared" si="39"/>
        <v/>
      </c>
      <c r="H146" s="68" t="str">
        <f t="shared" si="40"/>
        <v/>
      </c>
      <c r="I146" s="68" t="str">
        <f t="shared" si="41"/>
        <v/>
      </c>
      <c r="J146" s="2"/>
      <c r="K146" s="2"/>
      <c r="L146" s="1"/>
      <c r="M146" s="1">
        <v>109</v>
      </c>
      <c r="N146" s="1" t="str">
        <f>IF($T146=0,"",INDEX(VIRMAN!$C$7:$C$406,$T146))</f>
        <v/>
      </c>
      <c r="O146" s="1" t="str">
        <f>IF($N146="","",$C$36&amp;"  –  ORTAK ÇEKİŞ / AVANS  ("&amp;INDEX(VIRMAN!$D$7:$D$406,$T146)&amp;" hesabından)"&amp;IF(INDEX(VIRMAN!$G$7:$G$406,$T146)="",""," – "&amp;INDEX(VIRMAN!$G$7:$G$406,$T146)))</f>
        <v/>
      </c>
      <c r="P146" s="1" t="str">
        <f t="shared" si="45"/>
        <v/>
      </c>
      <c r="Q146" s="1">
        <f>0</f>
        <v>0</v>
      </c>
      <c r="R146" s="1">
        <f>IF($N146="",0,INDEX(VIRMAN!$F$7:$F$406,$T146))</f>
        <v>0</v>
      </c>
      <c r="S146" s="1">
        <f t="shared" si="42"/>
        <v>10000000000</v>
      </c>
      <c r="T146" s="1">
        <f>IFERROR(MATCH($C$36&amp;"|73",VIRMAN!$M$7:$M$406,0),0)</f>
        <v>0</v>
      </c>
      <c r="U146" s="1"/>
      <c r="V146" s="1">
        <f t="shared" si="43"/>
        <v>10000000000</v>
      </c>
      <c r="W146" s="1">
        <f t="shared" si="44"/>
        <v>9</v>
      </c>
    </row>
    <row r="147" spans="1:23" ht="19.5" customHeight="1" x14ac:dyDescent="0.3">
      <c r="A147" s="2"/>
      <c r="B147" s="65" t="str">
        <f t="shared" si="35"/>
        <v/>
      </c>
      <c r="C147" s="70" t="str">
        <f t="shared" si="36"/>
        <v/>
      </c>
      <c r="D147" s="180" t="str">
        <f t="shared" si="37"/>
        <v/>
      </c>
      <c r="E147" s="139"/>
      <c r="F147" s="65" t="str">
        <f t="shared" si="38"/>
        <v/>
      </c>
      <c r="G147" s="68" t="str">
        <f t="shared" si="39"/>
        <v/>
      </c>
      <c r="H147" s="68" t="str">
        <f t="shared" si="40"/>
        <v/>
      </c>
      <c r="I147" s="68" t="str">
        <f t="shared" si="41"/>
        <v/>
      </c>
      <c r="J147" s="2"/>
      <c r="K147" s="2"/>
      <c r="L147" s="1"/>
      <c r="M147" s="1">
        <v>110</v>
      </c>
      <c r="N147" s="1" t="str">
        <f>IF($T147=0,"",INDEX(VIRMAN!$C$7:$C$406,$T147))</f>
        <v/>
      </c>
      <c r="O147" s="1" t="str">
        <f>IF($N147="","",$C$36&amp;"  –  ORTAK ÇEKİŞ / AVANS  ("&amp;INDEX(VIRMAN!$D$7:$D$406,$T147)&amp;" hesabından)"&amp;IF(INDEX(VIRMAN!$G$7:$G$406,$T147)="",""," – "&amp;INDEX(VIRMAN!$G$7:$G$406,$T147)))</f>
        <v/>
      </c>
      <c r="P147" s="1" t="str">
        <f t="shared" si="45"/>
        <v/>
      </c>
      <c r="Q147" s="1">
        <f>0</f>
        <v>0</v>
      </c>
      <c r="R147" s="1">
        <f>IF($N147="",0,INDEX(VIRMAN!$F$7:$F$406,$T147))</f>
        <v>0</v>
      </c>
      <c r="S147" s="1">
        <f t="shared" si="42"/>
        <v>10000000000</v>
      </c>
      <c r="T147" s="1">
        <f>IFERROR(MATCH($C$36&amp;"|74",VIRMAN!$M$7:$M$406,0),0)</f>
        <v>0</v>
      </c>
      <c r="U147" s="1"/>
      <c r="V147" s="1">
        <f t="shared" si="43"/>
        <v>10000000000</v>
      </c>
      <c r="W147" s="1">
        <f t="shared" si="44"/>
        <v>9</v>
      </c>
    </row>
    <row r="148" spans="1:23" ht="19.5" customHeight="1" x14ac:dyDescent="0.3">
      <c r="A148" s="2"/>
      <c r="B148" s="65" t="str">
        <f t="shared" si="35"/>
        <v/>
      </c>
      <c r="C148" s="70" t="str">
        <f t="shared" si="36"/>
        <v/>
      </c>
      <c r="D148" s="180" t="str">
        <f t="shared" si="37"/>
        <v/>
      </c>
      <c r="E148" s="139"/>
      <c r="F148" s="65" t="str">
        <f t="shared" si="38"/>
        <v/>
      </c>
      <c r="G148" s="68" t="str">
        <f t="shared" si="39"/>
        <v/>
      </c>
      <c r="H148" s="68" t="str">
        <f t="shared" si="40"/>
        <v/>
      </c>
      <c r="I148" s="68" t="str">
        <f t="shared" si="41"/>
        <v/>
      </c>
      <c r="J148" s="2"/>
      <c r="K148" s="2"/>
      <c r="L148" s="1"/>
      <c r="M148" s="1">
        <v>111</v>
      </c>
      <c r="N148" s="1" t="str">
        <f>IF($T148=0,"",INDEX(VIRMAN!$C$7:$C$406,$T148))</f>
        <v/>
      </c>
      <c r="O148" s="1" t="str">
        <f>IF($N148="","",$C$36&amp;"  –  ORTAK ÇEKİŞ / AVANS  ("&amp;INDEX(VIRMAN!$D$7:$D$406,$T148)&amp;" hesabından)"&amp;IF(INDEX(VIRMAN!$G$7:$G$406,$T148)="",""," – "&amp;INDEX(VIRMAN!$G$7:$G$406,$T148)))</f>
        <v/>
      </c>
      <c r="P148" s="1" t="str">
        <f t="shared" si="45"/>
        <v/>
      </c>
      <c r="Q148" s="1">
        <f>0</f>
        <v>0</v>
      </c>
      <c r="R148" s="1">
        <f>IF($N148="",0,INDEX(VIRMAN!$F$7:$F$406,$T148))</f>
        <v>0</v>
      </c>
      <c r="S148" s="1">
        <f t="shared" si="42"/>
        <v>10000000000</v>
      </c>
      <c r="T148" s="1">
        <f>IFERROR(MATCH($C$36&amp;"|75",VIRMAN!$M$7:$M$406,0),0)</f>
        <v>0</v>
      </c>
      <c r="U148" s="1"/>
      <c r="V148" s="1">
        <f t="shared" si="43"/>
        <v>10000000000</v>
      </c>
      <c r="W148" s="1">
        <f t="shared" si="44"/>
        <v>9</v>
      </c>
    </row>
    <row r="149" spans="1:23" ht="19.5" customHeight="1" x14ac:dyDescent="0.3">
      <c r="A149" s="2"/>
      <c r="B149" s="65" t="str">
        <f t="shared" si="35"/>
        <v/>
      </c>
      <c r="C149" s="70" t="str">
        <f t="shared" si="36"/>
        <v/>
      </c>
      <c r="D149" s="180" t="str">
        <f t="shared" si="37"/>
        <v/>
      </c>
      <c r="E149" s="139"/>
      <c r="F149" s="65" t="str">
        <f t="shared" si="38"/>
        <v/>
      </c>
      <c r="G149" s="68" t="str">
        <f t="shared" si="39"/>
        <v/>
      </c>
      <c r="H149" s="68" t="str">
        <f t="shared" si="40"/>
        <v/>
      </c>
      <c r="I149" s="68" t="str">
        <f t="shared" si="41"/>
        <v/>
      </c>
      <c r="J149" s="2"/>
      <c r="K149" s="2"/>
      <c r="L149" s="1"/>
      <c r="M149" s="1">
        <v>112</v>
      </c>
      <c r="N149" s="1" t="str">
        <f>IF($T149=0,"",INDEX(VIRMAN!$C$7:$C$406,$T149))</f>
        <v/>
      </c>
      <c r="O149" s="1" t="str">
        <f>IF($N149="","",$C$36&amp;"  –  ORTAK ÇEKİŞ / AVANS  ("&amp;INDEX(VIRMAN!$D$7:$D$406,$T149)&amp;" hesabından)"&amp;IF(INDEX(VIRMAN!$G$7:$G$406,$T149)="",""," – "&amp;INDEX(VIRMAN!$G$7:$G$406,$T149)))</f>
        <v/>
      </c>
      <c r="P149" s="1" t="str">
        <f t="shared" si="45"/>
        <v/>
      </c>
      <c r="Q149" s="1">
        <f>0</f>
        <v>0</v>
      </c>
      <c r="R149" s="1">
        <f>IF($N149="",0,INDEX(VIRMAN!$F$7:$F$406,$T149))</f>
        <v>0</v>
      </c>
      <c r="S149" s="1">
        <f t="shared" si="42"/>
        <v>10000000000</v>
      </c>
      <c r="T149" s="1">
        <f>IFERROR(MATCH($C$36&amp;"|76",VIRMAN!$M$7:$M$406,0),0)</f>
        <v>0</v>
      </c>
      <c r="U149" s="1"/>
      <c r="V149" s="1">
        <f t="shared" si="43"/>
        <v>10000000000</v>
      </c>
      <c r="W149" s="1">
        <f t="shared" si="44"/>
        <v>9</v>
      </c>
    </row>
    <row r="150" spans="1:23" ht="19.5" customHeight="1" x14ac:dyDescent="0.3">
      <c r="A150" s="2"/>
      <c r="B150" s="65" t="str">
        <f t="shared" si="35"/>
        <v/>
      </c>
      <c r="C150" s="70" t="str">
        <f t="shared" si="36"/>
        <v/>
      </c>
      <c r="D150" s="180" t="str">
        <f t="shared" si="37"/>
        <v/>
      </c>
      <c r="E150" s="139"/>
      <c r="F150" s="65" t="str">
        <f t="shared" si="38"/>
        <v/>
      </c>
      <c r="G150" s="68" t="str">
        <f t="shared" si="39"/>
        <v/>
      </c>
      <c r="H150" s="68" t="str">
        <f t="shared" si="40"/>
        <v/>
      </c>
      <c r="I150" s="68" t="str">
        <f t="shared" si="41"/>
        <v/>
      </c>
      <c r="J150" s="2"/>
      <c r="K150" s="2"/>
      <c r="L150" s="1"/>
      <c r="M150" s="1">
        <v>113</v>
      </c>
      <c r="N150" s="1" t="str">
        <f>IF($T150=0,"",INDEX(VIRMAN!$C$7:$C$406,$T150))</f>
        <v/>
      </c>
      <c r="O150" s="1" t="str">
        <f>IF($N150="","",$C$36&amp;"  –  ORTAK ÇEKİŞ / AVANS  ("&amp;INDEX(VIRMAN!$D$7:$D$406,$T150)&amp;" hesabından)"&amp;IF(INDEX(VIRMAN!$G$7:$G$406,$T150)="",""," – "&amp;INDEX(VIRMAN!$G$7:$G$406,$T150)))</f>
        <v/>
      </c>
      <c r="P150" s="1" t="str">
        <f t="shared" si="45"/>
        <v/>
      </c>
      <c r="Q150" s="1">
        <f>0</f>
        <v>0</v>
      </c>
      <c r="R150" s="1">
        <f>IF($N150="",0,INDEX(VIRMAN!$F$7:$F$406,$T150))</f>
        <v>0</v>
      </c>
      <c r="S150" s="1">
        <f t="shared" si="42"/>
        <v>10000000000</v>
      </c>
      <c r="T150" s="1">
        <f>IFERROR(MATCH($C$36&amp;"|77",VIRMAN!$M$7:$M$406,0),0)</f>
        <v>0</v>
      </c>
      <c r="U150" s="1"/>
      <c r="V150" s="1">
        <f t="shared" si="43"/>
        <v>10000000000</v>
      </c>
      <c r="W150" s="1">
        <f t="shared" si="44"/>
        <v>9</v>
      </c>
    </row>
    <row r="151" spans="1:23" ht="19.5" customHeight="1" x14ac:dyDescent="0.3">
      <c r="A151" s="2"/>
      <c r="B151" s="65" t="str">
        <f t="shared" si="35"/>
        <v/>
      </c>
      <c r="C151" s="70" t="str">
        <f t="shared" si="36"/>
        <v/>
      </c>
      <c r="D151" s="180" t="str">
        <f t="shared" si="37"/>
        <v/>
      </c>
      <c r="E151" s="139"/>
      <c r="F151" s="65" t="str">
        <f t="shared" si="38"/>
        <v/>
      </c>
      <c r="G151" s="68" t="str">
        <f t="shared" si="39"/>
        <v/>
      </c>
      <c r="H151" s="68" t="str">
        <f t="shared" si="40"/>
        <v/>
      </c>
      <c r="I151" s="68" t="str">
        <f t="shared" si="41"/>
        <v/>
      </c>
      <c r="J151" s="2"/>
      <c r="K151" s="2"/>
      <c r="L151" s="1"/>
      <c r="M151" s="1">
        <v>114</v>
      </c>
      <c r="N151" s="1" t="str">
        <f>IF($T151=0,"",INDEX(VIRMAN!$C$7:$C$406,$T151))</f>
        <v/>
      </c>
      <c r="O151" s="1" t="str">
        <f>IF($N151="","",$C$36&amp;"  –  ORTAK ÇEKİŞ / AVANS  ("&amp;INDEX(VIRMAN!$D$7:$D$406,$T151)&amp;" hesabından)"&amp;IF(INDEX(VIRMAN!$G$7:$G$406,$T151)="",""," – "&amp;INDEX(VIRMAN!$G$7:$G$406,$T151)))</f>
        <v/>
      </c>
      <c r="P151" s="1" t="str">
        <f t="shared" si="45"/>
        <v/>
      </c>
      <c r="Q151" s="1">
        <f>0</f>
        <v>0</v>
      </c>
      <c r="R151" s="1">
        <f>IF($N151="",0,INDEX(VIRMAN!$F$7:$F$406,$T151))</f>
        <v>0</v>
      </c>
      <c r="S151" s="1">
        <f t="shared" si="42"/>
        <v>10000000000</v>
      </c>
      <c r="T151" s="1">
        <f>IFERROR(MATCH($C$36&amp;"|78",VIRMAN!$M$7:$M$406,0),0)</f>
        <v>0</v>
      </c>
      <c r="U151" s="1"/>
      <c r="V151" s="1">
        <f t="shared" si="43"/>
        <v>10000000000</v>
      </c>
      <c r="W151" s="1">
        <f t="shared" si="44"/>
        <v>9</v>
      </c>
    </row>
    <row r="152" spans="1:23" ht="19.5" customHeight="1" x14ac:dyDescent="0.3">
      <c r="A152" s="2"/>
      <c r="B152" s="65" t="str">
        <f t="shared" si="35"/>
        <v/>
      </c>
      <c r="C152" s="70" t="str">
        <f t="shared" si="36"/>
        <v/>
      </c>
      <c r="D152" s="180" t="str">
        <f t="shared" si="37"/>
        <v/>
      </c>
      <c r="E152" s="139"/>
      <c r="F152" s="65" t="str">
        <f t="shared" si="38"/>
        <v/>
      </c>
      <c r="G152" s="68" t="str">
        <f t="shared" si="39"/>
        <v/>
      </c>
      <c r="H152" s="68" t="str">
        <f t="shared" si="40"/>
        <v/>
      </c>
      <c r="I152" s="68" t="str">
        <f t="shared" si="41"/>
        <v/>
      </c>
      <c r="J152" s="2"/>
      <c r="K152" s="2"/>
      <c r="L152" s="1"/>
      <c r="M152" s="1">
        <v>115</v>
      </c>
      <c r="N152" s="1" t="str">
        <f>IF($T152=0,"",INDEX(VIRMAN!$C$7:$C$406,$T152))</f>
        <v/>
      </c>
      <c r="O152" s="1" t="str">
        <f>IF($N152="","",$C$36&amp;"  –  ORTAK ÇEKİŞ / AVANS  ("&amp;INDEX(VIRMAN!$D$7:$D$406,$T152)&amp;" hesabından)"&amp;IF(INDEX(VIRMAN!$G$7:$G$406,$T152)="",""," – "&amp;INDEX(VIRMAN!$G$7:$G$406,$T152)))</f>
        <v/>
      </c>
      <c r="P152" s="1" t="str">
        <f t="shared" si="45"/>
        <v/>
      </c>
      <c r="Q152" s="1">
        <f>0</f>
        <v>0</v>
      </c>
      <c r="R152" s="1">
        <f>IF($N152="",0,INDEX(VIRMAN!$F$7:$F$406,$T152))</f>
        <v>0</v>
      </c>
      <c r="S152" s="1">
        <f t="shared" si="42"/>
        <v>10000000000</v>
      </c>
      <c r="T152" s="1">
        <f>IFERROR(MATCH($C$36&amp;"|79",VIRMAN!$M$7:$M$406,0),0)</f>
        <v>0</v>
      </c>
      <c r="U152" s="1"/>
      <c r="V152" s="1">
        <f t="shared" si="43"/>
        <v>10000000000</v>
      </c>
      <c r="W152" s="1">
        <f t="shared" si="44"/>
        <v>9</v>
      </c>
    </row>
    <row r="153" spans="1:23" ht="19.5" customHeight="1" x14ac:dyDescent="0.3">
      <c r="A153" s="2"/>
      <c r="B153" s="65" t="str">
        <f t="shared" si="35"/>
        <v/>
      </c>
      <c r="C153" s="70" t="str">
        <f t="shared" si="36"/>
        <v/>
      </c>
      <c r="D153" s="180" t="str">
        <f t="shared" si="37"/>
        <v/>
      </c>
      <c r="E153" s="139"/>
      <c r="F153" s="65" t="str">
        <f t="shared" si="38"/>
        <v/>
      </c>
      <c r="G153" s="68" t="str">
        <f t="shared" si="39"/>
        <v/>
      </c>
      <c r="H153" s="68" t="str">
        <f t="shared" si="40"/>
        <v/>
      </c>
      <c r="I153" s="68" t="str">
        <f t="shared" si="41"/>
        <v/>
      </c>
      <c r="J153" s="2"/>
      <c r="K153" s="2"/>
      <c r="L153" s="1"/>
      <c r="M153" s="1">
        <v>116</v>
      </c>
      <c r="N153" s="1" t="str">
        <f>IF($T153=0,"",INDEX(VIRMAN!$C$7:$C$406,$T153))</f>
        <v/>
      </c>
      <c r="O153" s="1" t="str">
        <f>IF($N153="","",$C$36&amp;"  –  ORTAK ÇEKİŞ / AVANS  ("&amp;INDEX(VIRMAN!$D$7:$D$406,$T153)&amp;" hesabından)"&amp;IF(INDEX(VIRMAN!$G$7:$G$406,$T153)="",""," – "&amp;INDEX(VIRMAN!$G$7:$G$406,$T153)))</f>
        <v/>
      </c>
      <c r="P153" s="1" t="str">
        <f t="shared" si="45"/>
        <v/>
      </c>
      <c r="Q153" s="1">
        <f>0</f>
        <v>0</v>
      </c>
      <c r="R153" s="1">
        <f>IF($N153="",0,INDEX(VIRMAN!$F$7:$F$406,$T153))</f>
        <v>0</v>
      </c>
      <c r="S153" s="1">
        <f t="shared" si="42"/>
        <v>10000000000</v>
      </c>
      <c r="T153" s="1">
        <f>IFERROR(MATCH($C$36&amp;"|80",VIRMAN!$M$7:$M$406,0),0)</f>
        <v>0</v>
      </c>
      <c r="U153" s="1"/>
      <c r="V153" s="1">
        <f t="shared" si="43"/>
        <v>10000000000</v>
      </c>
      <c r="W153" s="1">
        <f t="shared" si="44"/>
        <v>9</v>
      </c>
    </row>
    <row r="154" spans="1:23" ht="19.5" customHeight="1" x14ac:dyDescent="0.3">
      <c r="A154" s="2"/>
      <c r="B154" s="65" t="str">
        <f t="shared" si="35"/>
        <v/>
      </c>
      <c r="C154" s="70" t="str">
        <f t="shared" si="36"/>
        <v/>
      </c>
      <c r="D154" s="180" t="str">
        <f t="shared" si="37"/>
        <v/>
      </c>
      <c r="E154" s="139"/>
      <c r="F154" s="65" t="str">
        <f t="shared" si="38"/>
        <v/>
      </c>
      <c r="G154" s="68" t="str">
        <f t="shared" si="39"/>
        <v/>
      </c>
      <c r="H154" s="68" t="str">
        <f t="shared" si="40"/>
        <v/>
      </c>
      <c r="I154" s="68" t="str">
        <f t="shared" si="41"/>
        <v/>
      </c>
      <c r="J154" s="2"/>
      <c r="K154" s="2"/>
      <c r="L154" s="1"/>
      <c r="M154" s="1">
        <v>117</v>
      </c>
      <c r="N154" s="1" t="str">
        <f>IF($T154=0,"",INDEX(VIRMAN!$C$7:$C$406,$T154))</f>
        <v/>
      </c>
      <c r="O154" s="1" t="str">
        <f>IF($N154="","",$C$36&amp;"  –  ORTAK ÇEKİŞ / AVANS  ("&amp;INDEX(VIRMAN!$D$7:$D$406,$T154)&amp;" hesabından)"&amp;IF(INDEX(VIRMAN!$G$7:$G$406,$T154)="",""," – "&amp;INDEX(VIRMAN!$G$7:$G$406,$T154)))</f>
        <v/>
      </c>
      <c r="P154" s="1" t="str">
        <f t="shared" si="45"/>
        <v/>
      </c>
      <c r="Q154" s="1">
        <f>0</f>
        <v>0</v>
      </c>
      <c r="R154" s="1">
        <f>IF($N154="",0,INDEX(VIRMAN!$F$7:$F$406,$T154))</f>
        <v>0</v>
      </c>
      <c r="S154" s="1">
        <f t="shared" si="42"/>
        <v>10000000000</v>
      </c>
      <c r="T154" s="1">
        <f>IFERROR(MATCH($C$36&amp;"|81",VIRMAN!$M$7:$M$406,0),0)</f>
        <v>0</v>
      </c>
      <c r="U154" s="1"/>
      <c r="V154" s="1">
        <f t="shared" si="43"/>
        <v>10000000000</v>
      </c>
      <c r="W154" s="1">
        <f t="shared" si="44"/>
        <v>9</v>
      </c>
    </row>
    <row r="155" spans="1:23" ht="19.5" customHeight="1" x14ac:dyDescent="0.3">
      <c r="A155" s="2"/>
      <c r="B155" s="65" t="str">
        <f t="shared" si="35"/>
        <v/>
      </c>
      <c r="C155" s="70" t="str">
        <f t="shared" si="36"/>
        <v/>
      </c>
      <c r="D155" s="180" t="str">
        <f t="shared" si="37"/>
        <v/>
      </c>
      <c r="E155" s="139"/>
      <c r="F155" s="65" t="str">
        <f t="shared" si="38"/>
        <v/>
      </c>
      <c r="G155" s="68" t="str">
        <f t="shared" si="39"/>
        <v/>
      </c>
      <c r="H155" s="68" t="str">
        <f t="shared" si="40"/>
        <v/>
      </c>
      <c r="I155" s="68" t="str">
        <f t="shared" si="41"/>
        <v/>
      </c>
      <c r="J155" s="2"/>
      <c r="K155" s="2"/>
      <c r="L155" s="1"/>
      <c r="M155" s="1">
        <v>118</v>
      </c>
      <c r="N155" s="1" t="str">
        <f>IF($T155=0,"",INDEX(VIRMAN!$C$7:$C$406,$T155))</f>
        <v/>
      </c>
      <c r="O155" s="1" t="str">
        <f>IF($N155="","",$C$36&amp;"  –  ORTAK ÇEKİŞ / AVANS  ("&amp;INDEX(VIRMAN!$D$7:$D$406,$T155)&amp;" hesabından)"&amp;IF(INDEX(VIRMAN!$G$7:$G$406,$T155)="",""," – "&amp;INDEX(VIRMAN!$G$7:$G$406,$T155)))</f>
        <v/>
      </c>
      <c r="P155" s="1" t="str">
        <f t="shared" si="45"/>
        <v/>
      </c>
      <c r="Q155" s="1">
        <f>0</f>
        <v>0</v>
      </c>
      <c r="R155" s="1">
        <f>IF($N155="",0,INDEX(VIRMAN!$F$7:$F$406,$T155))</f>
        <v>0</v>
      </c>
      <c r="S155" s="1">
        <f t="shared" si="42"/>
        <v>10000000000</v>
      </c>
      <c r="T155" s="1">
        <f>IFERROR(MATCH($C$36&amp;"|82",VIRMAN!$M$7:$M$406,0),0)</f>
        <v>0</v>
      </c>
      <c r="U155" s="1"/>
      <c r="V155" s="1">
        <f t="shared" si="43"/>
        <v>10000000000</v>
      </c>
      <c r="W155" s="1">
        <f t="shared" si="44"/>
        <v>9</v>
      </c>
    </row>
    <row r="156" spans="1:23" ht="19.5" customHeight="1" x14ac:dyDescent="0.3">
      <c r="A156" s="2"/>
      <c r="B156" s="65" t="str">
        <f t="shared" si="35"/>
        <v/>
      </c>
      <c r="C156" s="70" t="str">
        <f t="shared" si="36"/>
        <v/>
      </c>
      <c r="D156" s="180" t="str">
        <f t="shared" si="37"/>
        <v/>
      </c>
      <c r="E156" s="139"/>
      <c r="F156" s="65" t="str">
        <f t="shared" si="38"/>
        <v/>
      </c>
      <c r="G156" s="68" t="str">
        <f t="shared" si="39"/>
        <v/>
      </c>
      <c r="H156" s="68" t="str">
        <f t="shared" si="40"/>
        <v/>
      </c>
      <c r="I156" s="68" t="str">
        <f t="shared" si="41"/>
        <v/>
      </c>
      <c r="J156" s="2"/>
      <c r="K156" s="2"/>
      <c r="L156" s="1"/>
      <c r="M156" s="1">
        <v>119</v>
      </c>
      <c r="N156" s="1" t="str">
        <f>IF($T156=0,"",INDEX(VIRMAN!$C$7:$C$406,$T156))</f>
        <v/>
      </c>
      <c r="O156" s="1" t="str">
        <f>IF($N156="","",$C$36&amp;"  –  ORTAK ÇEKİŞ / AVANS  ("&amp;INDEX(VIRMAN!$D$7:$D$406,$T156)&amp;" hesabından)"&amp;IF(INDEX(VIRMAN!$G$7:$G$406,$T156)="",""," – "&amp;INDEX(VIRMAN!$G$7:$G$406,$T156)))</f>
        <v/>
      </c>
      <c r="P156" s="1" t="str">
        <f t="shared" si="45"/>
        <v/>
      </c>
      <c r="Q156" s="1">
        <f>0</f>
        <v>0</v>
      </c>
      <c r="R156" s="1">
        <f>IF($N156="",0,INDEX(VIRMAN!$F$7:$F$406,$T156))</f>
        <v>0</v>
      </c>
      <c r="S156" s="1">
        <f t="shared" si="42"/>
        <v>10000000000</v>
      </c>
      <c r="T156" s="1">
        <f>IFERROR(MATCH($C$36&amp;"|83",VIRMAN!$M$7:$M$406,0),0)</f>
        <v>0</v>
      </c>
      <c r="U156" s="1"/>
      <c r="V156" s="1">
        <f t="shared" si="43"/>
        <v>10000000000</v>
      </c>
      <c r="W156" s="1">
        <f t="shared" si="44"/>
        <v>9</v>
      </c>
    </row>
    <row r="157" spans="1:23" ht="19.5" customHeight="1" x14ac:dyDescent="0.3">
      <c r="A157" s="2"/>
      <c r="B157" s="65" t="str">
        <f t="shared" si="35"/>
        <v/>
      </c>
      <c r="C157" s="70" t="str">
        <f t="shared" si="36"/>
        <v/>
      </c>
      <c r="D157" s="180" t="str">
        <f t="shared" si="37"/>
        <v/>
      </c>
      <c r="E157" s="139"/>
      <c r="F157" s="65" t="str">
        <f t="shared" si="38"/>
        <v/>
      </c>
      <c r="G157" s="68" t="str">
        <f t="shared" si="39"/>
        <v/>
      </c>
      <c r="H157" s="68" t="str">
        <f t="shared" si="40"/>
        <v/>
      </c>
      <c r="I157" s="68" t="str">
        <f t="shared" si="41"/>
        <v/>
      </c>
      <c r="J157" s="2"/>
      <c r="K157" s="2"/>
      <c r="L157" s="1"/>
      <c r="M157" s="1">
        <v>120</v>
      </c>
      <c r="N157" s="1" t="str">
        <f>IF($T157=0,"",INDEX(VIRMAN!$C$7:$C$406,$T157))</f>
        <v/>
      </c>
      <c r="O157" s="1" t="str">
        <f>IF($N157="","",$C$36&amp;"  –  ORTAK ÇEKİŞ / AVANS  ("&amp;INDEX(VIRMAN!$D$7:$D$406,$T157)&amp;" hesabından)"&amp;IF(INDEX(VIRMAN!$G$7:$G$406,$T157)="",""," – "&amp;INDEX(VIRMAN!$G$7:$G$406,$T157)))</f>
        <v/>
      </c>
      <c r="P157" s="1" t="str">
        <f t="shared" si="45"/>
        <v/>
      </c>
      <c r="Q157" s="1">
        <f>0</f>
        <v>0</v>
      </c>
      <c r="R157" s="1">
        <f>IF($N157="",0,INDEX(VIRMAN!$F$7:$F$406,$T157))</f>
        <v>0</v>
      </c>
      <c r="S157" s="1">
        <f t="shared" si="42"/>
        <v>10000000000</v>
      </c>
      <c r="T157" s="1">
        <f>IFERROR(MATCH($C$36&amp;"|84",VIRMAN!$M$7:$M$406,0),0)</f>
        <v>0</v>
      </c>
      <c r="U157" s="1"/>
      <c r="V157" s="1">
        <f t="shared" si="43"/>
        <v>10000000000</v>
      </c>
      <c r="W157" s="1">
        <f t="shared" si="44"/>
        <v>9</v>
      </c>
    </row>
    <row r="158" spans="1:23" ht="19.5" customHeight="1" x14ac:dyDescent="0.3">
      <c r="A158" s="2"/>
      <c r="B158" s="65" t="str">
        <f t="shared" si="35"/>
        <v/>
      </c>
      <c r="C158" s="70" t="str">
        <f t="shared" si="36"/>
        <v/>
      </c>
      <c r="D158" s="180" t="str">
        <f t="shared" si="37"/>
        <v/>
      </c>
      <c r="E158" s="139"/>
      <c r="F158" s="65" t="str">
        <f t="shared" si="38"/>
        <v/>
      </c>
      <c r="G158" s="68" t="str">
        <f t="shared" si="39"/>
        <v/>
      </c>
      <c r="H158" s="68" t="str">
        <f t="shared" si="40"/>
        <v/>
      </c>
      <c r="I158" s="68" t="str">
        <f t="shared" si="41"/>
        <v/>
      </c>
      <c r="J158" s="2"/>
      <c r="K158" s="2"/>
      <c r="L158" s="1"/>
      <c r="M158" s="1">
        <v>121</v>
      </c>
      <c r="N158" s="1" t="str">
        <f>IF($T158=0,"",INDEX(VIRMAN!$C$7:$C$406,$T158))</f>
        <v/>
      </c>
      <c r="O158" s="1" t="str">
        <f>IF($N158="","",$C$36&amp;"  –  ORTAK ÇEKİŞ / AVANS  ("&amp;INDEX(VIRMAN!$D$7:$D$406,$T158)&amp;" hesabından)"&amp;IF(INDEX(VIRMAN!$G$7:$G$406,$T158)="",""," – "&amp;INDEX(VIRMAN!$G$7:$G$406,$T158)))</f>
        <v/>
      </c>
      <c r="P158" s="1" t="str">
        <f t="shared" si="45"/>
        <v/>
      </c>
      <c r="Q158" s="1">
        <f>0</f>
        <v>0</v>
      </c>
      <c r="R158" s="1">
        <f>IF($N158="",0,INDEX(VIRMAN!$F$7:$F$406,$T158))</f>
        <v>0</v>
      </c>
      <c r="S158" s="1">
        <f t="shared" si="42"/>
        <v>10000000000</v>
      </c>
      <c r="T158" s="1">
        <f>IFERROR(MATCH($C$36&amp;"|85",VIRMAN!$M$7:$M$406,0),0)</f>
        <v>0</v>
      </c>
      <c r="U158" s="1"/>
      <c r="V158" s="1">
        <f t="shared" si="43"/>
        <v>10000000000</v>
      </c>
      <c r="W158" s="1">
        <f t="shared" si="44"/>
        <v>9</v>
      </c>
    </row>
    <row r="159" spans="1:23" ht="19.5" customHeight="1" x14ac:dyDescent="0.3">
      <c r="A159" s="2"/>
      <c r="B159" s="65" t="str">
        <f t="shared" si="35"/>
        <v/>
      </c>
      <c r="C159" s="70" t="str">
        <f t="shared" si="36"/>
        <v/>
      </c>
      <c r="D159" s="180" t="str">
        <f t="shared" si="37"/>
        <v/>
      </c>
      <c r="E159" s="139"/>
      <c r="F159" s="65" t="str">
        <f t="shared" si="38"/>
        <v/>
      </c>
      <c r="G159" s="68" t="str">
        <f t="shared" si="39"/>
        <v/>
      </c>
      <c r="H159" s="68" t="str">
        <f t="shared" si="40"/>
        <v/>
      </c>
      <c r="I159" s="68" t="str">
        <f t="shared" si="41"/>
        <v/>
      </c>
      <c r="J159" s="2"/>
      <c r="K159" s="2"/>
      <c r="L159" s="1"/>
      <c r="M159" s="1">
        <v>122</v>
      </c>
      <c r="N159" s="1" t="str">
        <f>IF($T159=0,"",INDEX(VIRMAN!$C$7:$C$406,$T159))</f>
        <v/>
      </c>
      <c r="O159" s="1" t="str">
        <f>IF($N159="","",$C$36&amp;"  –  ORTAK ÇEKİŞ / AVANS  ("&amp;INDEX(VIRMAN!$D$7:$D$406,$T159)&amp;" hesabından)"&amp;IF(INDEX(VIRMAN!$G$7:$G$406,$T159)="",""," – "&amp;INDEX(VIRMAN!$G$7:$G$406,$T159)))</f>
        <v/>
      </c>
      <c r="P159" s="1" t="str">
        <f t="shared" si="45"/>
        <v/>
      </c>
      <c r="Q159" s="1">
        <f>0</f>
        <v>0</v>
      </c>
      <c r="R159" s="1">
        <f>IF($N159="",0,INDEX(VIRMAN!$F$7:$F$406,$T159))</f>
        <v>0</v>
      </c>
      <c r="S159" s="1">
        <f t="shared" si="42"/>
        <v>10000000000</v>
      </c>
      <c r="T159" s="1">
        <f>IFERROR(MATCH($C$36&amp;"|86",VIRMAN!$M$7:$M$406,0),0)</f>
        <v>0</v>
      </c>
      <c r="U159" s="1"/>
      <c r="V159" s="1">
        <f t="shared" si="43"/>
        <v>10000000000</v>
      </c>
      <c r="W159" s="1">
        <f t="shared" si="44"/>
        <v>9</v>
      </c>
    </row>
    <row r="160" spans="1:23" ht="19.5" customHeight="1" x14ac:dyDescent="0.3">
      <c r="A160" s="2"/>
      <c r="B160" s="65" t="str">
        <f t="shared" si="35"/>
        <v/>
      </c>
      <c r="C160" s="70" t="str">
        <f t="shared" si="36"/>
        <v/>
      </c>
      <c r="D160" s="180" t="str">
        <f t="shared" si="37"/>
        <v/>
      </c>
      <c r="E160" s="139"/>
      <c r="F160" s="65" t="str">
        <f t="shared" si="38"/>
        <v/>
      </c>
      <c r="G160" s="68" t="str">
        <f t="shared" si="39"/>
        <v/>
      </c>
      <c r="H160" s="68" t="str">
        <f t="shared" si="40"/>
        <v/>
      </c>
      <c r="I160" s="68" t="str">
        <f t="shared" si="41"/>
        <v/>
      </c>
      <c r="J160" s="2"/>
      <c r="K160" s="2"/>
      <c r="L160" s="1"/>
      <c r="M160" s="1">
        <v>123</v>
      </c>
      <c r="N160" s="1" t="str">
        <f>IF($T160=0,"",INDEX(VIRMAN!$C$7:$C$406,$T160))</f>
        <v/>
      </c>
      <c r="O160" s="1" t="str">
        <f>IF($N160="","",$C$36&amp;"  –  ORTAK ÇEKİŞ / AVANS  ("&amp;INDEX(VIRMAN!$D$7:$D$406,$T160)&amp;" hesabından)"&amp;IF(INDEX(VIRMAN!$G$7:$G$406,$T160)="",""," – "&amp;INDEX(VIRMAN!$G$7:$G$406,$T160)))</f>
        <v/>
      </c>
      <c r="P160" s="1" t="str">
        <f t="shared" si="45"/>
        <v/>
      </c>
      <c r="Q160" s="1">
        <f>0</f>
        <v>0</v>
      </c>
      <c r="R160" s="1">
        <f>IF($N160="",0,INDEX(VIRMAN!$F$7:$F$406,$T160))</f>
        <v>0</v>
      </c>
      <c r="S160" s="1">
        <f t="shared" si="42"/>
        <v>10000000000</v>
      </c>
      <c r="T160" s="1">
        <f>IFERROR(MATCH($C$36&amp;"|87",VIRMAN!$M$7:$M$406,0),0)</f>
        <v>0</v>
      </c>
      <c r="U160" s="1"/>
      <c r="V160" s="1">
        <f t="shared" si="43"/>
        <v>10000000000</v>
      </c>
      <c r="W160" s="1">
        <f t="shared" si="44"/>
        <v>9</v>
      </c>
    </row>
    <row r="161" spans="1:23" ht="19.5" customHeight="1" x14ac:dyDescent="0.3">
      <c r="A161" s="2"/>
      <c r="B161" s="65" t="str">
        <f t="shared" si="35"/>
        <v/>
      </c>
      <c r="C161" s="70" t="str">
        <f t="shared" si="36"/>
        <v/>
      </c>
      <c r="D161" s="180" t="str">
        <f t="shared" si="37"/>
        <v/>
      </c>
      <c r="E161" s="139"/>
      <c r="F161" s="65" t="str">
        <f t="shared" si="38"/>
        <v/>
      </c>
      <c r="G161" s="68" t="str">
        <f t="shared" si="39"/>
        <v/>
      </c>
      <c r="H161" s="68" t="str">
        <f t="shared" si="40"/>
        <v/>
      </c>
      <c r="I161" s="68" t="str">
        <f t="shared" si="41"/>
        <v/>
      </c>
      <c r="J161" s="2"/>
      <c r="K161" s="2"/>
      <c r="L161" s="1"/>
      <c r="M161" s="1">
        <v>124</v>
      </c>
      <c r="N161" s="1" t="str">
        <f>IF($T161=0,"",INDEX(VIRMAN!$C$7:$C$406,$T161))</f>
        <v/>
      </c>
      <c r="O161" s="1" t="str">
        <f>IF($N161="","",$C$36&amp;"  –  ORTAK ÇEKİŞ / AVANS  ("&amp;INDEX(VIRMAN!$D$7:$D$406,$T161)&amp;" hesabından)"&amp;IF(INDEX(VIRMAN!$G$7:$G$406,$T161)="",""," – "&amp;INDEX(VIRMAN!$G$7:$G$406,$T161)))</f>
        <v/>
      </c>
      <c r="P161" s="1" t="str">
        <f t="shared" si="45"/>
        <v/>
      </c>
      <c r="Q161" s="1">
        <f>0</f>
        <v>0</v>
      </c>
      <c r="R161" s="1">
        <f>IF($N161="",0,INDEX(VIRMAN!$F$7:$F$406,$T161))</f>
        <v>0</v>
      </c>
      <c r="S161" s="1">
        <f t="shared" si="42"/>
        <v>10000000000</v>
      </c>
      <c r="T161" s="1">
        <f>IFERROR(MATCH($C$36&amp;"|88",VIRMAN!$M$7:$M$406,0),0)</f>
        <v>0</v>
      </c>
      <c r="U161" s="1"/>
      <c r="V161" s="1">
        <f t="shared" si="43"/>
        <v>10000000000</v>
      </c>
      <c r="W161" s="1">
        <f t="shared" si="44"/>
        <v>9</v>
      </c>
    </row>
    <row r="162" spans="1:23" ht="19.5" customHeight="1" x14ac:dyDescent="0.3">
      <c r="A162" s="2"/>
      <c r="B162" s="65" t="str">
        <f t="shared" si="35"/>
        <v/>
      </c>
      <c r="C162" s="70" t="str">
        <f t="shared" si="36"/>
        <v/>
      </c>
      <c r="D162" s="180" t="str">
        <f t="shared" si="37"/>
        <v/>
      </c>
      <c r="E162" s="139"/>
      <c r="F162" s="65" t="str">
        <f t="shared" si="38"/>
        <v/>
      </c>
      <c r="G162" s="68" t="str">
        <f t="shared" si="39"/>
        <v/>
      </c>
      <c r="H162" s="68" t="str">
        <f t="shared" si="40"/>
        <v/>
      </c>
      <c r="I162" s="68" t="str">
        <f t="shared" si="41"/>
        <v/>
      </c>
      <c r="J162" s="2"/>
      <c r="K162" s="2"/>
      <c r="L162" s="1"/>
      <c r="M162" s="1">
        <v>125</v>
      </c>
      <c r="N162" s="1" t="str">
        <f>IF($T162=0,"",INDEX(VIRMAN!$C$7:$C$406,$T162))</f>
        <v/>
      </c>
      <c r="O162" s="1" t="str">
        <f>IF($N162="","",$C$36&amp;"  –  ORTAK ÇEKİŞ / AVANS  ("&amp;INDEX(VIRMAN!$D$7:$D$406,$T162)&amp;" hesabından)"&amp;IF(INDEX(VIRMAN!$G$7:$G$406,$T162)="",""," – "&amp;INDEX(VIRMAN!$G$7:$G$406,$T162)))</f>
        <v/>
      </c>
      <c r="P162" s="1" t="str">
        <f t="shared" si="45"/>
        <v/>
      </c>
      <c r="Q162" s="1">
        <f>0</f>
        <v>0</v>
      </c>
      <c r="R162" s="1">
        <f>IF($N162="",0,INDEX(VIRMAN!$F$7:$F$406,$T162))</f>
        <v>0</v>
      </c>
      <c r="S162" s="1">
        <f t="shared" si="42"/>
        <v>10000000000</v>
      </c>
      <c r="T162" s="1">
        <f>IFERROR(MATCH($C$36&amp;"|89",VIRMAN!$M$7:$M$406,0),0)</f>
        <v>0</v>
      </c>
      <c r="U162" s="1"/>
      <c r="V162" s="1">
        <f t="shared" si="43"/>
        <v>10000000000</v>
      </c>
      <c r="W162" s="1">
        <f t="shared" si="44"/>
        <v>9</v>
      </c>
    </row>
    <row r="163" spans="1:23" ht="19.5" customHeight="1" x14ac:dyDescent="0.3">
      <c r="A163" s="2"/>
      <c r="B163" s="65" t="str">
        <f t="shared" si="35"/>
        <v/>
      </c>
      <c r="C163" s="70" t="str">
        <f t="shared" si="36"/>
        <v/>
      </c>
      <c r="D163" s="180" t="str">
        <f t="shared" si="37"/>
        <v/>
      </c>
      <c r="E163" s="139"/>
      <c r="F163" s="65" t="str">
        <f t="shared" si="38"/>
        <v/>
      </c>
      <c r="G163" s="68" t="str">
        <f t="shared" si="39"/>
        <v/>
      </c>
      <c r="H163" s="68" t="str">
        <f t="shared" si="40"/>
        <v/>
      </c>
      <c r="I163" s="68" t="str">
        <f t="shared" si="41"/>
        <v/>
      </c>
      <c r="J163" s="2"/>
      <c r="K163" s="2"/>
      <c r="L163" s="1"/>
      <c r="M163" s="1">
        <v>126</v>
      </c>
      <c r="N163" s="1" t="str">
        <f>IF($T163=0,"",INDEX(VIRMAN!$C$7:$C$406,$T163))</f>
        <v/>
      </c>
      <c r="O163" s="1" t="str">
        <f>IF($N163="","",$C$36&amp;"  –  ORTAK ÇEKİŞ / AVANS  ("&amp;INDEX(VIRMAN!$D$7:$D$406,$T163)&amp;" hesabından)"&amp;IF(INDEX(VIRMAN!$G$7:$G$406,$T163)="",""," – "&amp;INDEX(VIRMAN!$G$7:$G$406,$T163)))</f>
        <v/>
      </c>
      <c r="P163" s="1" t="str">
        <f t="shared" si="45"/>
        <v/>
      </c>
      <c r="Q163" s="1">
        <f>0</f>
        <v>0</v>
      </c>
      <c r="R163" s="1">
        <f>IF($N163="",0,INDEX(VIRMAN!$F$7:$F$406,$T163))</f>
        <v>0</v>
      </c>
      <c r="S163" s="1">
        <f t="shared" si="42"/>
        <v>10000000000</v>
      </c>
      <c r="T163" s="1">
        <f>IFERROR(MATCH($C$36&amp;"|90",VIRMAN!$M$7:$M$406,0),0)</f>
        <v>0</v>
      </c>
      <c r="U163" s="1"/>
      <c r="V163" s="1">
        <f t="shared" si="43"/>
        <v>10000000000</v>
      </c>
      <c r="W163" s="1">
        <f t="shared" si="44"/>
        <v>9</v>
      </c>
    </row>
    <row r="164" spans="1:23" ht="19.5" customHeight="1" x14ac:dyDescent="0.3">
      <c r="A164" s="2"/>
      <c r="B164" s="65" t="str">
        <f t="shared" si="35"/>
        <v/>
      </c>
      <c r="C164" s="70" t="str">
        <f t="shared" si="36"/>
        <v/>
      </c>
      <c r="D164" s="180" t="str">
        <f t="shared" si="37"/>
        <v/>
      </c>
      <c r="E164" s="139"/>
      <c r="F164" s="65" t="str">
        <f t="shared" si="38"/>
        <v/>
      </c>
      <c r="G164" s="68" t="str">
        <f t="shared" si="39"/>
        <v/>
      </c>
      <c r="H164" s="68" t="str">
        <f t="shared" si="40"/>
        <v/>
      </c>
      <c r="I164" s="68" t="str">
        <f t="shared" si="41"/>
        <v/>
      </c>
      <c r="J164" s="2"/>
      <c r="K164" s="2"/>
      <c r="L164" s="1"/>
      <c r="M164" s="1">
        <v>127</v>
      </c>
      <c r="N164" s="1" t="str">
        <f>IF($T164=0,"",INDEX(VIRMAN!$C$7:$C$406,$T164))</f>
        <v/>
      </c>
      <c r="O164" s="1" t="str">
        <f>IF($N164="","",$C$36&amp;"  –  ORTAK ÇEKİŞ / AVANS  ("&amp;INDEX(VIRMAN!$D$7:$D$406,$T164)&amp;" hesabından)"&amp;IF(INDEX(VIRMAN!$G$7:$G$406,$T164)="",""," – "&amp;INDEX(VIRMAN!$G$7:$G$406,$T164)))</f>
        <v/>
      </c>
      <c r="P164" s="1" t="str">
        <f t="shared" si="45"/>
        <v/>
      </c>
      <c r="Q164" s="1">
        <f>0</f>
        <v>0</v>
      </c>
      <c r="R164" s="1">
        <f>IF($N164="",0,INDEX(VIRMAN!$F$7:$F$406,$T164))</f>
        <v>0</v>
      </c>
      <c r="S164" s="1">
        <f t="shared" si="42"/>
        <v>10000000000</v>
      </c>
      <c r="T164" s="1">
        <f>IFERROR(MATCH($C$36&amp;"|91",VIRMAN!$M$7:$M$406,0),0)</f>
        <v>0</v>
      </c>
      <c r="U164" s="1"/>
      <c r="V164" s="1">
        <f t="shared" si="43"/>
        <v>10000000000</v>
      </c>
      <c r="W164" s="1">
        <f t="shared" si="44"/>
        <v>9</v>
      </c>
    </row>
    <row r="165" spans="1:23" ht="19.5" customHeight="1" x14ac:dyDescent="0.3">
      <c r="A165" s="2"/>
      <c r="B165" s="65" t="str">
        <f t="shared" si="35"/>
        <v/>
      </c>
      <c r="C165" s="70" t="str">
        <f t="shared" si="36"/>
        <v/>
      </c>
      <c r="D165" s="180" t="str">
        <f t="shared" si="37"/>
        <v/>
      </c>
      <c r="E165" s="139"/>
      <c r="F165" s="65" t="str">
        <f t="shared" si="38"/>
        <v/>
      </c>
      <c r="G165" s="68" t="str">
        <f t="shared" si="39"/>
        <v/>
      </c>
      <c r="H165" s="68" t="str">
        <f t="shared" si="40"/>
        <v/>
      </c>
      <c r="I165" s="68" t="str">
        <f t="shared" si="41"/>
        <v/>
      </c>
      <c r="J165" s="2"/>
      <c r="K165" s="2"/>
      <c r="L165" s="1"/>
      <c r="M165" s="1">
        <v>128</v>
      </c>
      <c r="N165" s="1" t="str">
        <f>IF($T165=0,"",INDEX(VIRMAN!$C$7:$C$406,$T165))</f>
        <v/>
      </c>
      <c r="O165" s="1" t="str">
        <f>IF($N165="","",$C$36&amp;"  –  ORTAK ÇEKİŞ / AVANS  ("&amp;INDEX(VIRMAN!$D$7:$D$406,$T165)&amp;" hesabından)"&amp;IF(INDEX(VIRMAN!$G$7:$G$406,$T165)="",""," – "&amp;INDEX(VIRMAN!$G$7:$G$406,$T165)))</f>
        <v/>
      </c>
      <c r="P165" s="1" t="str">
        <f t="shared" si="45"/>
        <v/>
      </c>
      <c r="Q165" s="1">
        <f>0</f>
        <v>0</v>
      </c>
      <c r="R165" s="1">
        <f>IF($N165="",0,INDEX(VIRMAN!$F$7:$F$406,$T165))</f>
        <v>0</v>
      </c>
      <c r="S165" s="1">
        <f t="shared" si="42"/>
        <v>10000000000</v>
      </c>
      <c r="T165" s="1">
        <f>IFERROR(MATCH($C$36&amp;"|92",VIRMAN!$M$7:$M$406,0),0)</f>
        <v>0</v>
      </c>
      <c r="U165" s="1"/>
      <c r="V165" s="1">
        <f t="shared" si="43"/>
        <v>10000000000</v>
      </c>
      <c r="W165" s="1">
        <f t="shared" si="44"/>
        <v>9</v>
      </c>
    </row>
    <row r="166" spans="1:23" ht="19.5" customHeight="1" x14ac:dyDescent="0.3">
      <c r="A166" s="2"/>
      <c r="B166" s="65" t="str">
        <f t="shared" ref="B166:B187" si="46">IF($C166="","",ROW()-37)</f>
        <v/>
      </c>
      <c r="C166" s="70" t="str">
        <f t="shared" ref="C166:C187" si="47">IF($W166="","",IF(INDEX($N$38:$N$193,$W166)="","",INDEX($N$38:$N$193,$W166)))</f>
        <v/>
      </c>
      <c r="D166" s="180" t="str">
        <f t="shared" ref="D166:D187" si="48">IF($C166="","",INDEX($O$38:$O$193,$W166))</f>
        <v/>
      </c>
      <c r="E166" s="139"/>
      <c r="F166" s="65" t="str">
        <f t="shared" ref="F166:F187" si="49">IF($C166="","",INDEX($P$38:$P$193,$W166))</f>
        <v/>
      </c>
      <c r="G166" s="68" t="str">
        <f t="shared" ref="G166:G187" si="50">IF($C166="","",INDEX($Q$38:$Q$193,$W166))</f>
        <v/>
      </c>
      <c r="H166" s="68" t="str">
        <f t="shared" ref="H166:H187" si="51">IF($C166="","",INDEX($R$38:$R$193,$W166))</f>
        <v/>
      </c>
      <c r="I166" s="68" t="str">
        <f t="shared" ref="I166:I187" si="52">IF($C166="","",N($I165)+$G166-$H166)</f>
        <v/>
      </c>
      <c r="J166" s="2"/>
      <c r="K166" s="2"/>
      <c r="L166" s="1"/>
      <c r="M166" s="1">
        <v>129</v>
      </c>
      <c r="N166" s="1" t="str">
        <f>IF($T166=0,"",INDEX(VIRMAN!$C$7:$C$406,$T166))</f>
        <v/>
      </c>
      <c r="O166" s="1" t="str">
        <f>IF($N166="","",$C$36&amp;"  –  ORTAK ÇEKİŞ / AVANS  ("&amp;INDEX(VIRMAN!$D$7:$D$406,$T166)&amp;" hesabından)"&amp;IF(INDEX(VIRMAN!$G$7:$G$406,$T166)="",""," – "&amp;INDEX(VIRMAN!$G$7:$G$406,$T166)))</f>
        <v/>
      </c>
      <c r="P166" s="1" t="str">
        <f t="shared" si="45"/>
        <v/>
      </c>
      <c r="Q166" s="1">
        <f>0</f>
        <v>0</v>
      </c>
      <c r="R166" s="1">
        <f>IF($N166="",0,INDEX(VIRMAN!$F$7:$F$406,$T166))</f>
        <v>0</v>
      </c>
      <c r="S166" s="1">
        <f t="shared" ref="S166:S193" si="53">IF($N166="",10000000000,$N166*100000+$M166)</f>
        <v>10000000000</v>
      </c>
      <c r="T166" s="1">
        <f>IFERROR(MATCH($C$36&amp;"|93",VIRMAN!$M$7:$M$406,0),0)</f>
        <v>0</v>
      </c>
      <c r="U166" s="1"/>
      <c r="V166" s="1">
        <f t="shared" ref="V166:V187" si="54">IFERROR(SMALL($S$38:$S$193,ROW()-37),"")</f>
        <v>10000000000</v>
      </c>
      <c r="W166" s="1">
        <f t="shared" ref="W166:W187" si="55">IFERROR(MATCH($V166,$S$38:$S$193,0),"")</f>
        <v>9</v>
      </c>
    </row>
    <row r="167" spans="1:23" ht="19.5" customHeight="1" x14ac:dyDescent="0.3">
      <c r="A167" s="2"/>
      <c r="B167" s="65" t="str">
        <f t="shared" si="46"/>
        <v/>
      </c>
      <c r="C167" s="70" t="str">
        <f t="shared" si="47"/>
        <v/>
      </c>
      <c r="D167" s="180" t="str">
        <f t="shared" si="48"/>
        <v/>
      </c>
      <c r="E167" s="139"/>
      <c r="F167" s="65" t="str">
        <f t="shared" si="49"/>
        <v/>
      </c>
      <c r="G167" s="68" t="str">
        <f t="shared" si="50"/>
        <v/>
      </c>
      <c r="H167" s="68" t="str">
        <f t="shared" si="51"/>
        <v/>
      </c>
      <c r="I167" s="68" t="str">
        <f t="shared" si="52"/>
        <v/>
      </c>
      <c r="J167" s="2"/>
      <c r="K167" s="2"/>
      <c r="L167" s="1"/>
      <c r="M167" s="1">
        <v>130</v>
      </c>
      <c r="N167" s="1" t="str">
        <f>IF($T167=0,"",INDEX(VIRMAN!$C$7:$C$406,$T167))</f>
        <v/>
      </c>
      <c r="O167" s="1" t="str">
        <f>IF($N167="","",$C$36&amp;"  –  ORTAK ÇEKİŞ / AVANS  ("&amp;INDEX(VIRMAN!$D$7:$D$406,$T167)&amp;" hesabından)"&amp;IF(INDEX(VIRMAN!$G$7:$G$406,$T167)="",""," – "&amp;INDEX(VIRMAN!$G$7:$G$406,$T167)))</f>
        <v/>
      </c>
      <c r="P167" s="1" t="str">
        <f t="shared" si="45"/>
        <v/>
      </c>
      <c r="Q167" s="1">
        <f>0</f>
        <v>0</v>
      </c>
      <c r="R167" s="1">
        <f>IF($N167="",0,INDEX(VIRMAN!$F$7:$F$406,$T167))</f>
        <v>0</v>
      </c>
      <c r="S167" s="1">
        <f t="shared" si="53"/>
        <v>10000000000</v>
      </c>
      <c r="T167" s="1">
        <f>IFERROR(MATCH($C$36&amp;"|94",VIRMAN!$M$7:$M$406,0),0)</f>
        <v>0</v>
      </c>
      <c r="U167" s="1"/>
      <c r="V167" s="1">
        <f t="shared" si="54"/>
        <v>10000000000</v>
      </c>
      <c r="W167" s="1">
        <f t="shared" si="55"/>
        <v>9</v>
      </c>
    </row>
    <row r="168" spans="1:23" ht="19.5" customHeight="1" x14ac:dyDescent="0.3">
      <c r="A168" s="2"/>
      <c r="B168" s="65" t="str">
        <f t="shared" si="46"/>
        <v/>
      </c>
      <c r="C168" s="70" t="str">
        <f t="shared" si="47"/>
        <v/>
      </c>
      <c r="D168" s="180" t="str">
        <f t="shared" si="48"/>
        <v/>
      </c>
      <c r="E168" s="139"/>
      <c r="F168" s="65" t="str">
        <f t="shared" si="49"/>
        <v/>
      </c>
      <c r="G168" s="68" t="str">
        <f t="shared" si="50"/>
        <v/>
      </c>
      <c r="H168" s="68" t="str">
        <f t="shared" si="51"/>
        <v/>
      </c>
      <c r="I168" s="68" t="str">
        <f t="shared" si="52"/>
        <v/>
      </c>
      <c r="J168" s="2"/>
      <c r="K168" s="2"/>
      <c r="L168" s="1"/>
      <c r="M168" s="1">
        <v>131</v>
      </c>
      <c r="N168" s="1" t="str">
        <f>IF($T168=0,"",INDEX(VIRMAN!$C$7:$C$406,$T168))</f>
        <v/>
      </c>
      <c r="O168" s="1" t="str">
        <f>IF($N168="","",$C$36&amp;"  –  ORTAK ÇEKİŞ / AVANS  ("&amp;INDEX(VIRMAN!$D$7:$D$406,$T168)&amp;" hesabından)"&amp;IF(INDEX(VIRMAN!$G$7:$G$406,$T168)="",""," – "&amp;INDEX(VIRMAN!$G$7:$G$406,$T168)))</f>
        <v/>
      </c>
      <c r="P168" s="1" t="str">
        <f t="shared" si="45"/>
        <v/>
      </c>
      <c r="Q168" s="1">
        <f>0</f>
        <v>0</v>
      </c>
      <c r="R168" s="1">
        <f>IF($N168="",0,INDEX(VIRMAN!$F$7:$F$406,$T168))</f>
        <v>0</v>
      </c>
      <c r="S168" s="1">
        <f t="shared" si="53"/>
        <v>10000000000</v>
      </c>
      <c r="T168" s="1">
        <f>IFERROR(MATCH($C$36&amp;"|95",VIRMAN!$M$7:$M$406,0),0)</f>
        <v>0</v>
      </c>
      <c r="U168" s="1"/>
      <c r="V168" s="1">
        <f t="shared" si="54"/>
        <v>10000000000</v>
      </c>
      <c r="W168" s="1">
        <f t="shared" si="55"/>
        <v>9</v>
      </c>
    </row>
    <row r="169" spans="1:23" ht="19.5" customHeight="1" x14ac:dyDescent="0.3">
      <c r="A169" s="2"/>
      <c r="B169" s="65" t="str">
        <f t="shared" si="46"/>
        <v/>
      </c>
      <c r="C169" s="70" t="str">
        <f t="shared" si="47"/>
        <v/>
      </c>
      <c r="D169" s="180" t="str">
        <f t="shared" si="48"/>
        <v/>
      </c>
      <c r="E169" s="139"/>
      <c r="F169" s="65" t="str">
        <f t="shared" si="49"/>
        <v/>
      </c>
      <c r="G169" s="68" t="str">
        <f t="shared" si="50"/>
        <v/>
      </c>
      <c r="H169" s="68" t="str">
        <f t="shared" si="51"/>
        <v/>
      </c>
      <c r="I169" s="68" t="str">
        <f t="shared" si="52"/>
        <v/>
      </c>
      <c r="J169" s="2"/>
      <c r="K169" s="2"/>
      <c r="L169" s="1"/>
      <c r="M169" s="1">
        <v>132</v>
      </c>
      <c r="N169" s="1" t="str">
        <f>IF($T169=0,"",INDEX(VIRMAN!$C$7:$C$406,$T169))</f>
        <v/>
      </c>
      <c r="O169" s="1" t="str">
        <f>IF($N169="","",$C$36&amp;"  –  ORTAK ÇEKİŞ / AVANS  ("&amp;INDEX(VIRMAN!$D$7:$D$406,$T169)&amp;" hesabından)"&amp;IF(INDEX(VIRMAN!$G$7:$G$406,$T169)="",""," – "&amp;INDEX(VIRMAN!$G$7:$G$406,$T169)))</f>
        <v/>
      </c>
      <c r="P169" s="1" t="str">
        <f t="shared" si="45"/>
        <v/>
      </c>
      <c r="Q169" s="1">
        <f>0</f>
        <v>0</v>
      </c>
      <c r="R169" s="1">
        <f>IF($N169="",0,INDEX(VIRMAN!$F$7:$F$406,$T169))</f>
        <v>0</v>
      </c>
      <c r="S169" s="1">
        <f t="shared" si="53"/>
        <v>10000000000</v>
      </c>
      <c r="T169" s="1">
        <f>IFERROR(MATCH($C$36&amp;"|96",VIRMAN!$M$7:$M$406,0),0)</f>
        <v>0</v>
      </c>
      <c r="U169" s="1"/>
      <c r="V169" s="1">
        <f t="shared" si="54"/>
        <v>10000000000</v>
      </c>
      <c r="W169" s="1">
        <f t="shared" si="55"/>
        <v>9</v>
      </c>
    </row>
    <row r="170" spans="1:23" ht="19.5" customHeight="1" x14ac:dyDescent="0.3">
      <c r="A170" s="2"/>
      <c r="B170" s="65" t="str">
        <f t="shared" si="46"/>
        <v/>
      </c>
      <c r="C170" s="70" t="str">
        <f t="shared" si="47"/>
        <v/>
      </c>
      <c r="D170" s="180" t="str">
        <f t="shared" si="48"/>
        <v/>
      </c>
      <c r="E170" s="139"/>
      <c r="F170" s="65" t="str">
        <f t="shared" si="49"/>
        <v/>
      </c>
      <c r="G170" s="68" t="str">
        <f t="shared" si="50"/>
        <v/>
      </c>
      <c r="H170" s="68" t="str">
        <f t="shared" si="51"/>
        <v/>
      </c>
      <c r="I170" s="68" t="str">
        <f t="shared" si="52"/>
        <v/>
      </c>
      <c r="J170" s="2"/>
      <c r="K170" s="2"/>
      <c r="L170" s="1"/>
      <c r="M170" s="1">
        <v>133</v>
      </c>
      <c r="N170" s="1" t="str">
        <f>IF($T170=0,"",INDEX(VIRMAN!$C$7:$C$406,$T170))</f>
        <v/>
      </c>
      <c r="O170" s="1" t="str">
        <f>IF($N170="","",$C$36&amp;"  –  ORTAK ÇEKİŞ / AVANS  ("&amp;INDEX(VIRMAN!$D$7:$D$406,$T170)&amp;" hesabından)"&amp;IF(INDEX(VIRMAN!$G$7:$G$406,$T170)="",""," – "&amp;INDEX(VIRMAN!$G$7:$G$406,$T170)))</f>
        <v/>
      </c>
      <c r="P170" s="1" t="str">
        <f t="shared" ref="P170:P193" si="56">IF($N170="","","ÇEKİŞ / AVANS")</f>
        <v/>
      </c>
      <c r="Q170" s="1">
        <f>0</f>
        <v>0</v>
      </c>
      <c r="R170" s="1">
        <f>IF($N170="",0,INDEX(VIRMAN!$F$7:$F$406,$T170))</f>
        <v>0</v>
      </c>
      <c r="S170" s="1">
        <f t="shared" si="53"/>
        <v>10000000000</v>
      </c>
      <c r="T170" s="1">
        <f>IFERROR(MATCH($C$36&amp;"|97",VIRMAN!$M$7:$M$406,0),0)</f>
        <v>0</v>
      </c>
      <c r="U170" s="1"/>
      <c r="V170" s="1">
        <f t="shared" si="54"/>
        <v>10000000000</v>
      </c>
      <c r="W170" s="1">
        <f t="shared" si="55"/>
        <v>9</v>
      </c>
    </row>
    <row r="171" spans="1:23" ht="19.5" customHeight="1" x14ac:dyDescent="0.3">
      <c r="A171" s="2"/>
      <c r="B171" s="65" t="str">
        <f t="shared" si="46"/>
        <v/>
      </c>
      <c r="C171" s="70" t="str">
        <f t="shared" si="47"/>
        <v/>
      </c>
      <c r="D171" s="180" t="str">
        <f t="shared" si="48"/>
        <v/>
      </c>
      <c r="E171" s="139"/>
      <c r="F171" s="65" t="str">
        <f t="shared" si="49"/>
        <v/>
      </c>
      <c r="G171" s="68" t="str">
        <f t="shared" si="50"/>
        <v/>
      </c>
      <c r="H171" s="68" t="str">
        <f t="shared" si="51"/>
        <v/>
      </c>
      <c r="I171" s="68" t="str">
        <f t="shared" si="52"/>
        <v/>
      </c>
      <c r="J171" s="2"/>
      <c r="K171" s="2"/>
      <c r="L171" s="1"/>
      <c r="M171" s="1">
        <v>134</v>
      </c>
      <c r="N171" s="1" t="str">
        <f>IF($T171=0,"",INDEX(VIRMAN!$C$7:$C$406,$T171))</f>
        <v/>
      </c>
      <c r="O171" s="1" t="str">
        <f>IF($N171="","",$C$36&amp;"  –  ORTAK ÇEKİŞ / AVANS  ("&amp;INDEX(VIRMAN!$D$7:$D$406,$T171)&amp;" hesabından)"&amp;IF(INDEX(VIRMAN!$G$7:$G$406,$T171)="",""," – "&amp;INDEX(VIRMAN!$G$7:$G$406,$T171)))</f>
        <v/>
      </c>
      <c r="P171" s="1" t="str">
        <f t="shared" si="56"/>
        <v/>
      </c>
      <c r="Q171" s="1">
        <f>0</f>
        <v>0</v>
      </c>
      <c r="R171" s="1">
        <f>IF($N171="",0,INDEX(VIRMAN!$F$7:$F$406,$T171))</f>
        <v>0</v>
      </c>
      <c r="S171" s="1">
        <f t="shared" si="53"/>
        <v>10000000000</v>
      </c>
      <c r="T171" s="1">
        <f>IFERROR(MATCH($C$36&amp;"|98",VIRMAN!$M$7:$M$406,0),0)</f>
        <v>0</v>
      </c>
      <c r="U171" s="1"/>
      <c r="V171" s="1">
        <f t="shared" si="54"/>
        <v>10000000000</v>
      </c>
      <c r="W171" s="1">
        <f t="shared" si="55"/>
        <v>9</v>
      </c>
    </row>
    <row r="172" spans="1:23" ht="19.5" customHeight="1" x14ac:dyDescent="0.3">
      <c r="A172" s="2"/>
      <c r="B172" s="65" t="str">
        <f t="shared" si="46"/>
        <v/>
      </c>
      <c r="C172" s="70" t="str">
        <f t="shared" si="47"/>
        <v/>
      </c>
      <c r="D172" s="180" t="str">
        <f t="shared" si="48"/>
        <v/>
      </c>
      <c r="E172" s="139"/>
      <c r="F172" s="65" t="str">
        <f t="shared" si="49"/>
        <v/>
      </c>
      <c r="G172" s="68" t="str">
        <f t="shared" si="50"/>
        <v/>
      </c>
      <c r="H172" s="68" t="str">
        <f t="shared" si="51"/>
        <v/>
      </c>
      <c r="I172" s="68" t="str">
        <f t="shared" si="52"/>
        <v/>
      </c>
      <c r="J172" s="2"/>
      <c r="K172" s="2"/>
      <c r="L172" s="1"/>
      <c r="M172" s="1">
        <v>135</v>
      </c>
      <c r="N172" s="1" t="str">
        <f>IF($T172=0,"",INDEX(VIRMAN!$C$7:$C$406,$T172))</f>
        <v/>
      </c>
      <c r="O172" s="1" t="str">
        <f>IF($N172="","",$C$36&amp;"  –  ORTAK ÇEKİŞ / AVANS  ("&amp;INDEX(VIRMAN!$D$7:$D$406,$T172)&amp;" hesabından)"&amp;IF(INDEX(VIRMAN!$G$7:$G$406,$T172)="",""," – "&amp;INDEX(VIRMAN!$G$7:$G$406,$T172)))</f>
        <v/>
      </c>
      <c r="P172" s="1" t="str">
        <f t="shared" si="56"/>
        <v/>
      </c>
      <c r="Q172" s="1">
        <f>0</f>
        <v>0</v>
      </c>
      <c r="R172" s="1">
        <f>IF($N172="",0,INDEX(VIRMAN!$F$7:$F$406,$T172))</f>
        <v>0</v>
      </c>
      <c r="S172" s="1">
        <f t="shared" si="53"/>
        <v>10000000000</v>
      </c>
      <c r="T172" s="1">
        <f>IFERROR(MATCH($C$36&amp;"|99",VIRMAN!$M$7:$M$406,0),0)</f>
        <v>0</v>
      </c>
      <c r="U172" s="1"/>
      <c r="V172" s="1">
        <f t="shared" si="54"/>
        <v>10000000000</v>
      </c>
      <c r="W172" s="1">
        <f t="shared" si="55"/>
        <v>9</v>
      </c>
    </row>
    <row r="173" spans="1:23" ht="19.5" customHeight="1" x14ac:dyDescent="0.3">
      <c r="A173" s="2"/>
      <c r="B173" s="65" t="str">
        <f t="shared" si="46"/>
        <v/>
      </c>
      <c r="C173" s="70" t="str">
        <f t="shared" si="47"/>
        <v/>
      </c>
      <c r="D173" s="180" t="str">
        <f t="shared" si="48"/>
        <v/>
      </c>
      <c r="E173" s="139"/>
      <c r="F173" s="65" t="str">
        <f t="shared" si="49"/>
        <v/>
      </c>
      <c r="G173" s="68" t="str">
        <f t="shared" si="50"/>
        <v/>
      </c>
      <c r="H173" s="68" t="str">
        <f t="shared" si="51"/>
        <v/>
      </c>
      <c r="I173" s="68" t="str">
        <f t="shared" si="52"/>
        <v/>
      </c>
      <c r="J173" s="2"/>
      <c r="K173" s="2"/>
      <c r="L173" s="1"/>
      <c r="M173" s="1">
        <v>136</v>
      </c>
      <c r="N173" s="1" t="str">
        <f>IF($T173=0,"",INDEX(VIRMAN!$C$7:$C$406,$T173))</f>
        <v/>
      </c>
      <c r="O173" s="1" t="str">
        <f>IF($N173="","",$C$36&amp;"  –  ORTAK ÇEKİŞ / AVANS  ("&amp;INDEX(VIRMAN!$D$7:$D$406,$T173)&amp;" hesabından)"&amp;IF(INDEX(VIRMAN!$G$7:$G$406,$T173)="",""," – "&amp;INDEX(VIRMAN!$G$7:$G$406,$T173)))</f>
        <v/>
      </c>
      <c r="P173" s="1" t="str">
        <f t="shared" si="56"/>
        <v/>
      </c>
      <c r="Q173" s="1">
        <f>0</f>
        <v>0</v>
      </c>
      <c r="R173" s="1">
        <f>IF($N173="",0,INDEX(VIRMAN!$F$7:$F$406,$T173))</f>
        <v>0</v>
      </c>
      <c r="S173" s="1">
        <f t="shared" si="53"/>
        <v>10000000000</v>
      </c>
      <c r="T173" s="1">
        <f>IFERROR(MATCH($C$36&amp;"|100",VIRMAN!$M$7:$M$406,0),0)</f>
        <v>0</v>
      </c>
      <c r="U173" s="1"/>
      <c r="V173" s="1">
        <f t="shared" si="54"/>
        <v>10000000000</v>
      </c>
      <c r="W173" s="1">
        <f t="shared" si="55"/>
        <v>9</v>
      </c>
    </row>
    <row r="174" spans="1:23" ht="19.5" customHeight="1" x14ac:dyDescent="0.3">
      <c r="A174" s="2"/>
      <c r="B174" s="65" t="str">
        <f t="shared" si="46"/>
        <v/>
      </c>
      <c r="C174" s="70" t="str">
        <f t="shared" si="47"/>
        <v/>
      </c>
      <c r="D174" s="180" t="str">
        <f t="shared" si="48"/>
        <v/>
      </c>
      <c r="E174" s="139"/>
      <c r="F174" s="65" t="str">
        <f t="shared" si="49"/>
        <v/>
      </c>
      <c r="G174" s="68" t="str">
        <f t="shared" si="50"/>
        <v/>
      </c>
      <c r="H174" s="68" t="str">
        <f t="shared" si="51"/>
        <v/>
      </c>
      <c r="I174" s="68" t="str">
        <f t="shared" si="52"/>
        <v/>
      </c>
      <c r="J174" s="2"/>
      <c r="K174" s="2"/>
      <c r="L174" s="1"/>
      <c r="M174" s="1">
        <v>137</v>
      </c>
      <c r="N174" s="1" t="str">
        <f>IF($T174=0,"",INDEX(VIRMAN!$C$7:$C$406,$T174))</f>
        <v/>
      </c>
      <c r="O174" s="1" t="str">
        <f>IF($N174="","",$C$36&amp;"  –  ORTAK ÇEKİŞ / AVANS  ("&amp;INDEX(VIRMAN!$D$7:$D$406,$T174)&amp;" hesabından)"&amp;IF(INDEX(VIRMAN!$G$7:$G$406,$T174)="",""," – "&amp;INDEX(VIRMAN!$G$7:$G$406,$T174)))</f>
        <v/>
      </c>
      <c r="P174" s="1" t="str">
        <f t="shared" si="56"/>
        <v/>
      </c>
      <c r="Q174" s="1">
        <f>0</f>
        <v>0</v>
      </c>
      <c r="R174" s="1">
        <f>IF($N174="",0,INDEX(VIRMAN!$F$7:$F$406,$T174))</f>
        <v>0</v>
      </c>
      <c r="S174" s="1">
        <f t="shared" si="53"/>
        <v>10000000000</v>
      </c>
      <c r="T174" s="1">
        <f>IFERROR(MATCH($C$36&amp;"|101",VIRMAN!$M$7:$M$406,0),0)</f>
        <v>0</v>
      </c>
      <c r="U174" s="1"/>
      <c r="V174" s="1">
        <f t="shared" si="54"/>
        <v>10000000000</v>
      </c>
      <c r="W174" s="1">
        <f t="shared" si="55"/>
        <v>9</v>
      </c>
    </row>
    <row r="175" spans="1:23" ht="19.5" customHeight="1" x14ac:dyDescent="0.3">
      <c r="A175" s="2"/>
      <c r="B175" s="65" t="str">
        <f t="shared" si="46"/>
        <v/>
      </c>
      <c r="C175" s="70" t="str">
        <f t="shared" si="47"/>
        <v/>
      </c>
      <c r="D175" s="180" t="str">
        <f t="shared" si="48"/>
        <v/>
      </c>
      <c r="E175" s="139"/>
      <c r="F175" s="65" t="str">
        <f t="shared" si="49"/>
        <v/>
      </c>
      <c r="G175" s="68" t="str">
        <f t="shared" si="50"/>
        <v/>
      </c>
      <c r="H175" s="68" t="str">
        <f t="shared" si="51"/>
        <v/>
      </c>
      <c r="I175" s="68" t="str">
        <f t="shared" si="52"/>
        <v/>
      </c>
      <c r="J175" s="2"/>
      <c r="K175" s="2"/>
      <c r="L175" s="1"/>
      <c r="M175" s="1">
        <v>138</v>
      </c>
      <c r="N175" s="1" t="str">
        <f>IF($T175=0,"",INDEX(VIRMAN!$C$7:$C$406,$T175))</f>
        <v/>
      </c>
      <c r="O175" s="1" t="str">
        <f>IF($N175="","",$C$36&amp;"  –  ORTAK ÇEKİŞ / AVANS  ("&amp;INDEX(VIRMAN!$D$7:$D$406,$T175)&amp;" hesabından)"&amp;IF(INDEX(VIRMAN!$G$7:$G$406,$T175)="",""," – "&amp;INDEX(VIRMAN!$G$7:$G$406,$T175)))</f>
        <v/>
      </c>
      <c r="P175" s="1" t="str">
        <f t="shared" si="56"/>
        <v/>
      </c>
      <c r="Q175" s="1">
        <f>0</f>
        <v>0</v>
      </c>
      <c r="R175" s="1">
        <f>IF($N175="",0,INDEX(VIRMAN!$F$7:$F$406,$T175))</f>
        <v>0</v>
      </c>
      <c r="S175" s="1">
        <f t="shared" si="53"/>
        <v>10000000000</v>
      </c>
      <c r="T175" s="1">
        <f>IFERROR(MATCH($C$36&amp;"|102",VIRMAN!$M$7:$M$406,0),0)</f>
        <v>0</v>
      </c>
      <c r="U175" s="1"/>
      <c r="V175" s="1">
        <f t="shared" si="54"/>
        <v>10000000000</v>
      </c>
      <c r="W175" s="1">
        <f t="shared" si="55"/>
        <v>9</v>
      </c>
    </row>
    <row r="176" spans="1:23" ht="19.5" customHeight="1" x14ac:dyDescent="0.3">
      <c r="A176" s="2"/>
      <c r="B176" s="65" t="str">
        <f t="shared" si="46"/>
        <v/>
      </c>
      <c r="C176" s="70" t="str">
        <f t="shared" si="47"/>
        <v/>
      </c>
      <c r="D176" s="180" t="str">
        <f t="shared" si="48"/>
        <v/>
      </c>
      <c r="E176" s="139"/>
      <c r="F176" s="65" t="str">
        <f t="shared" si="49"/>
        <v/>
      </c>
      <c r="G176" s="68" t="str">
        <f t="shared" si="50"/>
        <v/>
      </c>
      <c r="H176" s="68" t="str">
        <f t="shared" si="51"/>
        <v/>
      </c>
      <c r="I176" s="68" t="str">
        <f t="shared" si="52"/>
        <v/>
      </c>
      <c r="J176" s="2"/>
      <c r="K176" s="2"/>
      <c r="L176" s="1"/>
      <c r="M176" s="1">
        <v>139</v>
      </c>
      <c r="N176" s="1" t="str">
        <f>IF($T176=0,"",INDEX(VIRMAN!$C$7:$C$406,$T176))</f>
        <v/>
      </c>
      <c r="O176" s="1" t="str">
        <f>IF($N176="","",$C$36&amp;"  –  ORTAK ÇEKİŞ / AVANS  ("&amp;INDEX(VIRMAN!$D$7:$D$406,$T176)&amp;" hesabından)"&amp;IF(INDEX(VIRMAN!$G$7:$G$406,$T176)="",""," – "&amp;INDEX(VIRMAN!$G$7:$G$406,$T176)))</f>
        <v/>
      </c>
      <c r="P176" s="1" t="str">
        <f t="shared" si="56"/>
        <v/>
      </c>
      <c r="Q176" s="1">
        <f>0</f>
        <v>0</v>
      </c>
      <c r="R176" s="1">
        <f>IF($N176="",0,INDEX(VIRMAN!$F$7:$F$406,$T176))</f>
        <v>0</v>
      </c>
      <c r="S176" s="1">
        <f t="shared" si="53"/>
        <v>10000000000</v>
      </c>
      <c r="T176" s="1">
        <f>IFERROR(MATCH($C$36&amp;"|103",VIRMAN!$M$7:$M$406,0),0)</f>
        <v>0</v>
      </c>
      <c r="U176" s="1"/>
      <c r="V176" s="1">
        <f t="shared" si="54"/>
        <v>10000000000</v>
      </c>
      <c r="W176" s="1">
        <f t="shared" si="55"/>
        <v>9</v>
      </c>
    </row>
    <row r="177" spans="1:23" ht="19.5" customHeight="1" x14ac:dyDescent="0.3">
      <c r="A177" s="2"/>
      <c r="B177" s="65" t="str">
        <f t="shared" si="46"/>
        <v/>
      </c>
      <c r="C177" s="70" t="str">
        <f t="shared" si="47"/>
        <v/>
      </c>
      <c r="D177" s="180" t="str">
        <f t="shared" si="48"/>
        <v/>
      </c>
      <c r="E177" s="139"/>
      <c r="F177" s="65" t="str">
        <f t="shared" si="49"/>
        <v/>
      </c>
      <c r="G177" s="68" t="str">
        <f t="shared" si="50"/>
        <v/>
      </c>
      <c r="H177" s="68" t="str">
        <f t="shared" si="51"/>
        <v/>
      </c>
      <c r="I177" s="68" t="str">
        <f t="shared" si="52"/>
        <v/>
      </c>
      <c r="J177" s="2"/>
      <c r="K177" s="2"/>
      <c r="L177" s="1"/>
      <c r="M177" s="1">
        <v>140</v>
      </c>
      <c r="N177" s="1" t="str">
        <f>IF($T177=0,"",INDEX(VIRMAN!$C$7:$C$406,$T177))</f>
        <v/>
      </c>
      <c r="O177" s="1" t="str">
        <f>IF($N177="","",$C$36&amp;"  –  ORTAK ÇEKİŞ / AVANS  ("&amp;INDEX(VIRMAN!$D$7:$D$406,$T177)&amp;" hesabından)"&amp;IF(INDEX(VIRMAN!$G$7:$G$406,$T177)="",""," – "&amp;INDEX(VIRMAN!$G$7:$G$406,$T177)))</f>
        <v/>
      </c>
      <c r="P177" s="1" t="str">
        <f t="shared" si="56"/>
        <v/>
      </c>
      <c r="Q177" s="1">
        <f>0</f>
        <v>0</v>
      </c>
      <c r="R177" s="1">
        <f>IF($N177="",0,INDEX(VIRMAN!$F$7:$F$406,$T177))</f>
        <v>0</v>
      </c>
      <c r="S177" s="1">
        <f t="shared" si="53"/>
        <v>10000000000</v>
      </c>
      <c r="T177" s="1">
        <f>IFERROR(MATCH($C$36&amp;"|104",VIRMAN!$M$7:$M$406,0),0)</f>
        <v>0</v>
      </c>
      <c r="U177" s="1"/>
      <c r="V177" s="1">
        <f t="shared" si="54"/>
        <v>10000000000</v>
      </c>
      <c r="W177" s="1">
        <f t="shared" si="55"/>
        <v>9</v>
      </c>
    </row>
    <row r="178" spans="1:23" ht="19.5" customHeight="1" x14ac:dyDescent="0.3">
      <c r="A178" s="2"/>
      <c r="B178" s="65" t="str">
        <f t="shared" si="46"/>
        <v/>
      </c>
      <c r="C178" s="70" t="str">
        <f t="shared" si="47"/>
        <v/>
      </c>
      <c r="D178" s="180" t="str">
        <f t="shared" si="48"/>
        <v/>
      </c>
      <c r="E178" s="139"/>
      <c r="F178" s="65" t="str">
        <f t="shared" si="49"/>
        <v/>
      </c>
      <c r="G178" s="68" t="str">
        <f t="shared" si="50"/>
        <v/>
      </c>
      <c r="H178" s="68" t="str">
        <f t="shared" si="51"/>
        <v/>
      </c>
      <c r="I178" s="68" t="str">
        <f t="shared" si="52"/>
        <v/>
      </c>
      <c r="J178" s="2"/>
      <c r="K178" s="2"/>
      <c r="L178" s="1"/>
      <c r="M178" s="1">
        <v>141</v>
      </c>
      <c r="N178" s="1" t="str">
        <f>IF($T178=0,"",INDEX(VIRMAN!$C$7:$C$406,$T178))</f>
        <v/>
      </c>
      <c r="O178" s="1" t="str">
        <f>IF($N178="","",$C$36&amp;"  –  ORTAK ÇEKİŞ / AVANS  ("&amp;INDEX(VIRMAN!$D$7:$D$406,$T178)&amp;" hesabından)"&amp;IF(INDEX(VIRMAN!$G$7:$G$406,$T178)="",""," – "&amp;INDEX(VIRMAN!$G$7:$G$406,$T178)))</f>
        <v/>
      </c>
      <c r="P178" s="1" t="str">
        <f t="shared" si="56"/>
        <v/>
      </c>
      <c r="Q178" s="1">
        <f>0</f>
        <v>0</v>
      </c>
      <c r="R178" s="1">
        <f>IF($N178="",0,INDEX(VIRMAN!$F$7:$F$406,$T178))</f>
        <v>0</v>
      </c>
      <c r="S178" s="1">
        <f t="shared" si="53"/>
        <v>10000000000</v>
      </c>
      <c r="T178" s="1">
        <f>IFERROR(MATCH($C$36&amp;"|105",VIRMAN!$M$7:$M$406,0),0)</f>
        <v>0</v>
      </c>
      <c r="U178" s="1"/>
      <c r="V178" s="1">
        <f t="shared" si="54"/>
        <v>10000000000</v>
      </c>
      <c r="W178" s="1">
        <f t="shared" si="55"/>
        <v>9</v>
      </c>
    </row>
    <row r="179" spans="1:23" ht="19.5" customHeight="1" x14ac:dyDescent="0.3">
      <c r="A179" s="2"/>
      <c r="B179" s="65" t="str">
        <f t="shared" si="46"/>
        <v/>
      </c>
      <c r="C179" s="70" t="str">
        <f t="shared" si="47"/>
        <v/>
      </c>
      <c r="D179" s="180" t="str">
        <f t="shared" si="48"/>
        <v/>
      </c>
      <c r="E179" s="139"/>
      <c r="F179" s="65" t="str">
        <f t="shared" si="49"/>
        <v/>
      </c>
      <c r="G179" s="68" t="str">
        <f t="shared" si="50"/>
        <v/>
      </c>
      <c r="H179" s="68" t="str">
        <f t="shared" si="51"/>
        <v/>
      </c>
      <c r="I179" s="68" t="str">
        <f t="shared" si="52"/>
        <v/>
      </c>
      <c r="J179" s="2"/>
      <c r="K179" s="2"/>
      <c r="L179" s="1"/>
      <c r="M179" s="1">
        <v>142</v>
      </c>
      <c r="N179" s="1" t="str">
        <f>IF($T179=0,"",INDEX(VIRMAN!$C$7:$C$406,$T179))</f>
        <v/>
      </c>
      <c r="O179" s="1" t="str">
        <f>IF($N179="","",$C$36&amp;"  –  ORTAK ÇEKİŞ / AVANS  ("&amp;INDEX(VIRMAN!$D$7:$D$406,$T179)&amp;" hesabından)"&amp;IF(INDEX(VIRMAN!$G$7:$G$406,$T179)="",""," – "&amp;INDEX(VIRMAN!$G$7:$G$406,$T179)))</f>
        <v/>
      </c>
      <c r="P179" s="1" t="str">
        <f t="shared" si="56"/>
        <v/>
      </c>
      <c r="Q179" s="1">
        <f>0</f>
        <v>0</v>
      </c>
      <c r="R179" s="1">
        <f>IF($N179="",0,INDEX(VIRMAN!$F$7:$F$406,$T179))</f>
        <v>0</v>
      </c>
      <c r="S179" s="1">
        <f t="shared" si="53"/>
        <v>10000000000</v>
      </c>
      <c r="T179" s="1">
        <f>IFERROR(MATCH($C$36&amp;"|106",VIRMAN!$M$7:$M$406,0),0)</f>
        <v>0</v>
      </c>
      <c r="U179" s="1"/>
      <c r="V179" s="1">
        <f t="shared" si="54"/>
        <v>10000000000</v>
      </c>
      <c r="W179" s="1">
        <f t="shared" si="55"/>
        <v>9</v>
      </c>
    </row>
    <row r="180" spans="1:23" ht="19.5" customHeight="1" x14ac:dyDescent="0.3">
      <c r="A180" s="2"/>
      <c r="B180" s="65" t="str">
        <f t="shared" si="46"/>
        <v/>
      </c>
      <c r="C180" s="70" t="str">
        <f t="shared" si="47"/>
        <v/>
      </c>
      <c r="D180" s="180" t="str">
        <f t="shared" si="48"/>
        <v/>
      </c>
      <c r="E180" s="139"/>
      <c r="F180" s="65" t="str">
        <f t="shared" si="49"/>
        <v/>
      </c>
      <c r="G180" s="68" t="str">
        <f t="shared" si="50"/>
        <v/>
      </c>
      <c r="H180" s="68" t="str">
        <f t="shared" si="51"/>
        <v/>
      </c>
      <c r="I180" s="68" t="str">
        <f t="shared" si="52"/>
        <v/>
      </c>
      <c r="J180" s="2"/>
      <c r="K180" s="2"/>
      <c r="L180" s="1"/>
      <c r="M180" s="1">
        <v>143</v>
      </c>
      <c r="N180" s="1" t="str">
        <f>IF($T180=0,"",INDEX(VIRMAN!$C$7:$C$406,$T180))</f>
        <v/>
      </c>
      <c r="O180" s="1" t="str">
        <f>IF($N180="","",$C$36&amp;"  –  ORTAK ÇEKİŞ / AVANS  ("&amp;INDEX(VIRMAN!$D$7:$D$406,$T180)&amp;" hesabından)"&amp;IF(INDEX(VIRMAN!$G$7:$G$406,$T180)="",""," – "&amp;INDEX(VIRMAN!$G$7:$G$406,$T180)))</f>
        <v/>
      </c>
      <c r="P180" s="1" t="str">
        <f t="shared" si="56"/>
        <v/>
      </c>
      <c r="Q180" s="1">
        <f>0</f>
        <v>0</v>
      </c>
      <c r="R180" s="1">
        <f>IF($N180="",0,INDEX(VIRMAN!$F$7:$F$406,$T180))</f>
        <v>0</v>
      </c>
      <c r="S180" s="1">
        <f t="shared" si="53"/>
        <v>10000000000</v>
      </c>
      <c r="T180" s="1">
        <f>IFERROR(MATCH($C$36&amp;"|107",VIRMAN!$M$7:$M$406,0),0)</f>
        <v>0</v>
      </c>
      <c r="U180" s="1"/>
      <c r="V180" s="1">
        <f t="shared" si="54"/>
        <v>10000000000</v>
      </c>
      <c r="W180" s="1">
        <f t="shared" si="55"/>
        <v>9</v>
      </c>
    </row>
    <row r="181" spans="1:23" ht="19.5" customHeight="1" x14ac:dyDescent="0.3">
      <c r="A181" s="2"/>
      <c r="B181" s="65" t="str">
        <f t="shared" si="46"/>
        <v/>
      </c>
      <c r="C181" s="70" t="str">
        <f t="shared" si="47"/>
        <v/>
      </c>
      <c r="D181" s="180" t="str">
        <f t="shared" si="48"/>
        <v/>
      </c>
      <c r="E181" s="139"/>
      <c r="F181" s="65" t="str">
        <f t="shared" si="49"/>
        <v/>
      </c>
      <c r="G181" s="68" t="str">
        <f t="shared" si="50"/>
        <v/>
      </c>
      <c r="H181" s="68" t="str">
        <f t="shared" si="51"/>
        <v/>
      </c>
      <c r="I181" s="68" t="str">
        <f t="shared" si="52"/>
        <v/>
      </c>
      <c r="J181" s="2"/>
      <c r="K181" s="2"/>
      <c r="L181" s="1"/>
      <c r="M181" s="1">
        <v>144</v>
      </c>
      <c r="N181" s="1" t="str">
        <f>IF($T181=0,"",INDEX(VIRMAN!$C$7:$C$406,$T181))</f>
        <v/>
      </c>
      <c r="O181" s="1" t="str">
        <f>IF($N181="","",$C$36&amp;"  –  ORTAK ÇEKİŞ / AVANS  ("&amp;INDEX(VIRMAN!$D$7:$D$406,$T181)&amp;" hesabından)"&amp;IF(INDEX(VIRMAN!$G$7:$G$406,$T181)="",""," – "&amp;INDEX(VIRMAN!$G$7:$G$406,$T181)))</f>
        <v/>
      </c>
      <c r="P181" s="1" t="str">
        <f t="shared" si="56"/>
        <v/>
      </c>
      <c r="Q181" s="1">
        <f>0</f>
        <v>0</v>
      </c>
      <c r="R181" s="1">
        <f>IF($N181="",0,INDEX(VIRMAN!$F$7:$F$406,$T181))</f>
        <v>0</v>
      </c>
      <c r="S181" s="1">
        <f t="shared" si="53"/>
        <v>10000000000</v>
      </c>
      <c r="T181" s="1">
        <f>IFERROR(MATCH($C$36&amp;"|108",VIRMAN!$M$7:$M$406,0),0)</f>
        <v>0</v>
      </c>
      <c r="U181" s="1"/>
      <c r="V181" s="1">
        <f t="shared" si="54"/>
        <v>10000000000</v>
      </c>
      <c r="W181" s="1">
        <f t="shared" si="55"/>
        <v>9</v>
      </c>
    </row>
    <row r="182" spans="1:23" ht="19.5" customHeight="1" x14ac:dyDescent="0.3">
      <c r="A182" s="2"/>
      <c r="B182" s="65" t="str">
        <f t="shared" si="46"/>
        <v/>
      </c>
      <c r="C182" s="70" t="str">
        <f t="shared" si="47"/>
        <v/>
      </c>
      <c r="D182" s="180" t="str">
        <f t="shared" si="48"/>
        <v/>
      </c>
      <c r="E182" s="139"/>
      <c r="F182" s="65" t="str">
        <f t="shared" si="49"/>
        <v/>
      </c>
      <c r="G182" s="68" t="str">
        <f t="shared" si="50"/>
        <v/>
      </c>
      <c r="H182" s="68" t="str">
        <f t="shared" si="51"/>
        <v/>
      </c>
      <c r="I182" s="68" t="str">
        <f t="shared" si="52"/>
        <v/>
      </c>
      <c r="J182" s="2"/>
      <c r="K182" s="2"/>
      <c r="L182" s="1"/>
      <c r="M182" s="1">
        <v>145</v>
      </c>
      <c r="N182" s="1" t="str">
        <f>IF($T182=0,"",INDEX(VIRMAN!$C$7:$C$406,$T182))</f>
        <v/>
      </c>
      <c r="O182" s="1" t="str">
        <f>IF($N182="","",$C$36&amp;"  –  ORTAK ÇEKİŞ / AVANS  ("&amp;INDEX(VIRMAN!$D$7:$D$406,$T182)&amp;" hesabından)"&amp;IF(INDEX(VIRMAN!$G$7:$G$406,$T182)="",""," – "&amp;INDEX(VIRMAN!$G$7:$G$406,$T182)))</f>
        <v/>
      </c>
      <c r="P182" s="1" t="str">
        <f t="shared" si="56"/>
        <v/>
      </c>
      <c r="Q182" s="1">
        <f>0</f>
        <v>0</v>
      </c>
      <c r="R182" s="1">
        <f>IF($N182="",0,INDEX(VIRMAN!$F$7:$F$406,$T182))</f>
        <v>0</v>
      </c>
      <c r="S182" s="1">
        <f t="shared" si="53"/>
        <v>10000000000</v>
      </c>
      <c r="T182" s="1">
        <f>IFERROR(MATCH($C$36&amp;"|109",VIRMAN!$M$7:$M$406,0),0)</f>
        <v>0</v>
      </c>
      <c r="U182" s="1"/>
      <c r="V182" s="1">
        <f t="shared" si="54"/>
        <v>10000000000</v>
      </c>
      <c r="W182" s="1">
        <f t="shared" si="55"/>
        <v>9</v>
      </c>
    </row>
    <row r="183" spans="1:23" ht="19.5" customHeight="1" x14ac:dyDescent="0.3">
      <c r="A183" s="2"/>
      <c r="B183" s="65" t="str">
        <f t="shared" si="46"/>
        <v/>
      </c>
      <c r="C183" s="70" t="str">
        <f t="shared" si="47"/>
        <v/>
      </c>
      <c r="D183" s="180" t="str">
        <f t="shared" si="48"/>
        <v/>
      </c>
      <c r="E183" s="139"/>
      <c r="F183" s="65" t="str">
        <f t="shared" si="49"/>
        <v/>
      </c>
      <c r="G183" s="68" t="str">
        <f t="shared" si="50"/>
        <v/>
      </c>
      <c r="H183" s="68" t="str">
        <f t="shared" si="51"/>
        <v/>
      </c>
      <c r="I183" s="68" t="str">
        <f t="shared" si="52"/>
        <v/>
      </c>
      <c r="J183" s="2"/>
      <c r="K183" s="2"/>
      <c r="L183" s="1"/>
      <c r="M183" s="1">
        <v>146</v>
      </c>
      <c r="N183" s="1" t="str">
        <f>IF($T183=0,"",INDEX(VIRMAN!$C$7:$C$406,$T183))</f>
        <v/>
      </c>
      <c r="O183" s="1" t="str">
        <f>IF($N183="","",$C$36&amp;"  –  ORTAK ÇEKİŞ / AVANS  ("&amp;INDEX(VIRMAN!$D$7:$D$406,$T183)&amp;" hesabından)"&amp;IF(INDEX(VIRMAN!$G$7:$G$406,$T183)="",""," – "&amp;INDEX(VIRMAN!$G$7:$G$406,$T183)))</f>
        <v/>
      </c>
      <c r="P183" s="1" t="str">
        <f t="shared" si="56"/>
        <v/>
      </c>
      <c r="Q183" s="1">
        <f>0</f>
        <v>0</v>
      </c>
      <c r="R183" s="1">
        <f>IF($N183="",0,INDEX(VIRMAN!$F$7:$F$406,$T183))</f>
        <v>0</v>
      </c>
      <c r="S183" s="1">
        <f t="shared" si="53"/>
        <v>10000000000</v>
      </c>
      <c r="T183" s="1">
        <f>IFERROR(MATCH($C$36&amp;"|110",VIRMAN!$M$7:$M$406,0),0)</f>
        <v>0</v>
      </c>
      <c r="U183" s="1"/>
      <c r="V183" s="1">
        <f t="shared" si="54"/>
        <v>10000000000</v>
      </c>
      <c r="W183" s="1">
        <f t="shared" si="55"/>
        <v>9</v>
      </c>
    </row>
    <row r="184" spans="1:23" ht="19.5" customHeight="1" x14ac:dyDescent="0.3">
      <c r="A184" s="2"/>
      <c r="B184" s="65" t="str">
        <f t="shared" si="46"/>
        <v/>
      </c>
      <c r="C184" s="70" t="str">
        <f t="shared" si="47"/>
        <v/>
      </c>
      <c r="D184" s="180" t="str">
        <f t="shared" si="48"/>
        <v/>
      </c>
      <c r="E184" s="139"/>
      <c r="F184" s="65" t="str">
        <f t="shared" si="49"/>
        <v/>
      </c>
      <c r="G184" s="68" t="str">
        <f t="shared" si="50"/>
        <v/>
      </c>
      <c r="H184" s="68" t="str">
        <f t="shared" si="51"/>
        <v/>
      </c>
      <c r="I184" s="68" t="str">
        <f t="shared" si="52"/>
        <v/>
      </c>
      <c r="J184" s="2"/>
      <c r="K184" s="2"/>
      <c r="L184" s="1"/>
      <c r="M184" s="1">
        <v>147</v>
      </c>
      <c r="N184" s="1" t="str">
        <f>IF($T184=0,"",INDEX(VIRMAN!$C$7:$C$406,$T184))</f>
        <v/>
      </c>
      <c r="O184" s="1" t="str">
        <f>IF($N184="","",$C$36&amp;"  –  ORTAK ÇEKİŞ / AVANS  ("&amp;INDEX(VIRMAN!$D$7:$D$406,$T184)&amp;" hesabından)"&amp;IF(INDEX(VIRMAN!$G$7:$G$406,$T184)="",""," – "&amp;INDEX(VIRMAN!$G$7:$G$406,$T184)))</f>
        <v/>
      </c>
      <c r="P184" s="1" t="str">
        <f t="shared" si="56"/>
        <v/>
      </c>
      <c r="Q184" s="1">
        <f>0</f>
        <v>0</v>
      </c>
      <c r="R184" s="1">
        <f>IF($N184="",0,INDEX(VIRMAN!$F$7:$F$406,$T184))</f>
        <v>0</v>
      </c>
      <c r="S184" s="1">
        <f t="shared" si="53"/>
        <v>10000000000</v>
      </c>
      <c r="T184" s="1">
        <f>IFERROR(MATCH($C$36&amp;"|111",VIRMAN!$M$7:$M$406,0),0)</f>
        <v>0</v>
      </c>
      <c r="U184" s="1"/>
      <c r="V184" s="1">
        <f t="shared" si="54"/>
        <v>10000000000</v>
      </c>
      <c r="W184" s="1">
        <f t="shared" si="55"/>
        <v>9</v>
      </c>
    </row>
    <row r="185" spans="1:23" ht="19.5" customHeight="1" x14ac:dyDescent="0.3">
      <c r="A185" s="2"/>
      <c r="B185" s="65" t="str">
        <f t="shared" si="46"/>
        <v/>
      </c>
      <c r="C185" s="70" t="str">
        <f t="shared" si="47"/>
        <v/>
      </c>
      <c r="D185" s="180" t="str">
        <f t="shared" si="48"/>
        <v/>
      </c>
      <c r="E185" s="139"/>
      <c r="F185" s="65" t="str">
        <f t="shared" si="49"/>
        <v/>
      </c>
      <c r="G185" s="68" t="str">
        <f t="shared" si="50"/>
        <v/>
      </c>
      <c r="H185" s="68" t="str">
        <f t="shared" si="51"/>
        <v/>
      </c>
      <c r="I185" s="68" t="str">
        <f t="shared" si="52"/>
        <v/>
      </c>
      <c r="J185" s="2"/>
      <c r="K185" s="2"/>
      <c r="L185" s="1"/>
      <c r="M185" s="1">
        <v>148</v>
      </c>
      <c r="N185" s="1" t="str">
        <f>IF($T185=0,"",INDEX(VIRMAN!$C$7:$C$406,$T185))</f>
        <v/>
      </c>
      <c r="O185" s="1" t="str">
        <f>IF($N185="","",$C$36&amp;"  –  ORTAK ÇEKİŞ / AVANS  ("&amp;INDEX(VIRMAN!$D$7:$D$406,$T185)&amp;" hesabından)"&amp;IF(INDEX(VIRMAN!$G$7:$G$406,$T185)="",""," – "&amp;INDEX(VIRMAN!$G$7:$G$406,$T185)))</f>
        <v/>
      </c>
      <c r="P185" s="1" t="str">
        <f t="shared" si="56"/>
        <v/>
      </c>
      <c r="Q185" s="1">
        <f>0</f>
        <v>0</v>
      </c>
      <c r="R185" s="1">
        <f>IF($N185="",0,INDEX(VIRMAN!$F$7:$F$406,$T185))</f>
        <v>0</v>
      </c>
      <c r="S185" s="1">
        <f t="shared" si="53"/>
        <v>10000000000</v>
      </c>
      <c r="T185" s="1">
        <f>IFERROR(MATCH($C$36&amp;"|112",VIRMAN!$M$7:$M$406,0),0)</f>
        <v>0</v>
      </c>
      <c r="U185" s="1"/>
      <c r="V185" s="1">
        <f t="shared" si="54"/>
        <v>10000000000</v>
      </c>
      <c r="W185" s="1">
        <f t="shared" si="55"/>
        <v>9</v>
      </c>
    </row>
    <row r="186" spans="1:23" ht="19.5" customHeight="1" x14ac:dyDescent="0.3">
      <c r="A186" s="2"/>
      <c r="B186" s="65" t="str">
        <f t="shared" si="46"/>
        <v/>
      </c>
      <c r="C186" s="70" t="str">
        <f t="shared" si="47"/>
        <v/>
      </c>
      <c r="D186" s="180" t="str">
        <f t="shared" si="48"/>
        <v/>
      </c>
      <c r="E186" s="139"/>
      <c r="F186" s="65" t="str">
        <f t="shared" si="49"/>
        <v/>
      </c>
      <c r="G186" s="68" t="str">
        <f t="shared" si="50"/>
        <v/>
      </c>
      <c r="H186" s="68" t="str">
        <f t="shared" si="51"/>
        <v/>
      </c>
      <c r="I186" s="68" t="str">
        <f t="shared" si="52"/>
        <v/>
      </c>
      <c r="J186" s="2"/>
      <c r="K186" s="2"/>
      <c r="L186" s="1"/>
      <c r="M186" s="1">
        <v>149</v>
      </c>
      <c r="N186" s="1" t="str">
        <f>IF($T186=0,"",INDEX(VIRMAN!$C$7:$C$406,$T186))</f>
        <v/>
      </c>
      <c r="O186" s="1" t="str">
        <f>IF($N186="","",$C$36&amp;"  –  ORTAK ÇEKİŞ / AVANS  ("&amp;INDEX(VIRMAN!$D$7:$D$406,$T186)&amp;" hesabından)"&amp;IF(INDEX(VIRMAN!$G$7:$G$406,$T186)="",""," – "&amp;INDEX(VIRMAN!$G$7:$G$406,$T186)))</f>
        <v/>
      </c>
      <c r="P186" s="1" t="str">
        <f t="shared" si="56"/>
        <v/>
      </c>
      <c r="Q186" s="1">
        <f>0</f>
        <v>0</v>
      </c>
      <c r="R186" s="1">
        <f>IF($N186="",0,INDEX(VIRMAN!$F$7:$F$406,$T186))</f>
        <v>0</v>
      </c>
      <c r="S186" s="1">
        <f t="shared" si="53"/>
        <v>10000000000</v>
      </c>
      <c r="T186" s="1">
        <f>IFERROR(MATCH($C$36&amp;"|113",VIRMAN!$M$7:$M$406,0),0)</f>
        <v>0</v>
      </c>
      <c r="U186" s="1"/>
      <c r="V186" s="1">
        <f t="shared" si="54"/>
        <v>10000000000</v>
      </c>
      <c r="W186" s="1">
        <f t="shared" si="55"/>
        <v>9</v>
      </c>
    </row>
    <row r="187" spans="1:23" ht="19.5" customHeight="1" x14ac:dyDescent="0.3">
      <c r="A187" s="2"/>
      <c r="B187" s="65" t="str">
        <f t="shared" si="46"/>
        <v/>
      </c>
      <c r="C187" s="70" t="str">
        <f t="shared" si="47"/>
        <v/>
      </c>
      <c r="D187" s="180" t="str">
        <f t="shared" si="48"/>
        <v/>
      </c>
      <c r="E187" s="139"/>
      <c r="F187" s="65" t="str">
        <f t="shared" si="49"/>
        <v/>
      </c>
      <c r="G187" s="68" t="str">
        <f t="shared" si="50"/>
        <v/>
      </c>
      <c r="H187" s="68" t="str">
        <f t="shared" si="51"/>
        <v/>
      </c>
      <c r="I187" s="68" t="str">
        <f t="shared" si="52"/>
        <v/>
      </c>
      <c r="J187" s="2"/>
      <c r="K187" s="2"/>
      <c r="L187" s="1"/>
      <c r="M187" s="1">
        <v>150</v>
      </c>
      <c r="N187" s="1" t="str">
        <f>IF($T187=0,"",INDEX(VIRMAN!$C$7:$C$406,$T187))</f>
        <v/>
      </c>
      <c r="O187" s="1" t="str">
        <f>IF($N187="","",$C$36&amp;"  –  ORTAK ÇEKİŞ / AVANS  ("&amp;INDEX(VIRMAN!$D$7:$D$406,$T187)&amp;" hesabından)"&amp;IF(INDEX(VIRMAN!$G$7:$G$406,$T187)="",""," – "&amp;INDEX(VIRMAN!$G$7:$G$406,$T187)))</f>
        <v/>
      </c>
      <c r="P187" s="1" t="str">
        <f t="shared" si="56"/>
        <v/>
      </c>
      <c r="Q187" s="1">
        <f>0</f>
        <v>0</v>
      </c>
      <c r="R187" s="1">
        <f>IF($N187="",0,INDEX(VIRMAN!$F$7:$F$406,$T187))</f>
        <v>0</v>
      </c>
      <c r="S187" s="1">
        <f t="shared" si="53"/>
        <v>10000000000</v>
      </c>
      <c r="T187" s="1">
        <f>IFERROR(MATCH($C$36&amp;"|114",VIRMAN!$M$7:$M$406,0),0)</f>
        <v>0</v>
      </c>
      <c r="U187" s="1"/>
      <c r="V187" s="1">
        <f t="shared" si="54"/>
        <v>10000000000</v>
      </c>
      <c r="W187" s="1">
        <f t="shared" si="55"/>
        <v>9</v>
      </c>
    </row>
    <row r="188" spans="1:23" ht="19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>
        <v>151</v>
      </c>
      <c r="N188" s="1" t="str">
        <f>IF($T188=0,"",INDEX(VIRMAN!$C$7:$C$406,$T188))</f>
        <v/>
      </c>
      <c r="O188" s="1" t="str">
        <f>IF($N188="","",$C$36&amp;"  –  ORTAK ÇEKİŞ / AVANS  ("&amp;INDEX(VIRMAN!$D$7:$D$406,$T188)&amp;" hesabından)"&amp;IF(INDEX(VIRMAN!$G$7:$G$406,$T188)="",""," – "&amp;INDEX(VIRMAN!$G$7:$G$406,$T188)))</f>
        <v/>
      </c>
      <c r="P188" s="1" t="str">
        <f t="shared" si="56"/>
        <v/>
      </c>
      <c r="Q188" s="1">
        <f>0</f>
        <v>0</v>
      </c>
      <c r="R188" s="1">
        <f>IF($N188="",0,INDEX(VIRMAN!$F$7:$F$406,$T188))</f>
        <v>0</v>
      </c>
      <c r="S188" s="1">
        <f t="shared" si="53"/>
        <v>10000000000</v>
      </c>
      <c r="T188" s="1">
        <f>IFERROR(MATCH($C$36&amp;"|115",VIRMAN!$M$7:$M$406,0),0)</f>
        <v>0</v>
      </c>
      <c r="U188" s="1"/>
      <c r="V188" s="1"/>
      <c r="W188" s="1"/>
    </row>
    <row r="189" spans="1:23" ht="19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>
        <v>152</v>
      </c>
      <c r="N189" s="1" t="str">
        <f>IF($T189=0,"",INDEX(VIRMAN!$C$7:$C$406,$T189))</f>
        <v/>
      </c>
      <c r="O189" s="1" t="str">
        <f>IF($N189="","",$C$36&amp;"  –  ORTAK ÇEKİŞ / AVANS  ("&amp;INDEX(VIRMAN!$D$7:$D$406,$T189)&amp;" hesabından)"&amp;IF(INDEX(VIRMAN!$G$7:$G$406,$T189)="",""," – "&amp;INDEX(VIRMAN!$G$7:$G$406,$T189)))</f>
        <v/>
      </c>
      <c r="P189" s="1" t="str">
        <f t="shared" si="56"/>
        <v/>
      </c>
      <c r="Q189" s="1">
        <f>0</f>
        <v>0</v>
      </c>
      <c r="R189" s="1">
        <f>IF($N189="",0,INDEX(VIRMAN!$F$7:$F$406,$T189))</f>
        <v>0</v>
      </c>
      <c r="S189" s="1">
        <f t="shared" si="53"/>
        <v>10000000000</v>
      </c>
      <c r="T189" s="1">
        <f>IFERROR(MATCH($C$36&amp;"|116",VIRMAN!$M$7:$M$406,0),0)</f>
        <v>0</v>
      </c>
      <c r="U189" s="1"/>
      <c r="V189" s="1"/>
      <c r="W189" s="1"/>
    </row>
    <row r="190" spans="1:23" ht="19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>
        <v>153</v>
      </c>
      <c r="N190" s="1" t="str">
        <f>IF($T190=0,"",INDEX(VIRMAN!$C$7:$C$406,$T190))</f>
        <v/>
      </c>
      <c r="O190" s="1" t="str">
        <f>IF($N190="","",$C$36&amp;"  –  ORTAK ÇEKİŞ / AVANS  ("&amp;INDEX(VIRMAN!$D$7:$D$406,$T190)&amp;" hesabından)"&amp;IF(INDEX(VIRMAN!$G$7:$G$406,$T190)="",""," – "&amp;INDEX(VIRMAN!$G$7:$G$406,$T190)))</f>
        <v/>
      </c>
      <c r="P190" s="1" t="str">
        <f t="shared" si="56"/>
        <v/>
      </c>
      <c r="Q190" s="1">
        <f>0</f>
        <v>0</v>
      </c>
      <c r="R190" s="1">
        <f>IF($N190="",0,INDEX(VIRMAN!$F$7:$F$406,$T190))</f>
        <v>0</v>
      </c>
      <c r="S190" s="1">
        <f t="shared" si="53"/>
        <v>10000000000</v>
      </c>
      <c r="T190" s="1">
        <f>IFERROR(MATCH($C$36&amp;"|117",VIRMAN!$M$7:$M$406,0),0)</f>
        <v>0</v>
      </c>
      <c r="U190" s="1"/>
      <c r="V190" s="1"/>
      <c r="W190" s="1"/>
    </row>
    <row r="191" spans="1:23" ht="19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>
        <v>154</v>
      </c>
      <c r="N191" s="1" t="str">
        <f>IF($T191=0,"",INDEX(VIRMAN!$C$7:$C$406,$T191))</f>
        <v/>
      </c>
      <c r="O191" s="1" t="str">
        <f>IF($N191="","",$C$36&amp;"  –  ORTAK ÇEKİŞ / AVANS  ("&amp;INDEX(VIRMAN!$D$7:$D$406,$T191)&amp;" hesabından)"&amp;IF(INDEX(VIRMAN!$G$7:$G$406,$T191)="",""," – "&amp;INDEX(VIRMAN!$G$7:$G$406,$T191)))</f>
        <v/>
      </c>
      <c r="P191" s="1" t="str">
        <f t="shared" si="56"/>
        <v/>
      </c>
      <c r="Q191" s="1">
        <f>0</f>
        <v>0</v>
      </c>
      <c r="R191" s="1">
        <f>IF($N191="",0,INDEX(VIRMAN!$F$7:$F$406,$T191))</f>
        <v>0</v>
      </c>
      <c r="S191" s="1">
        <f t="shared" si="53"/>
        <v>10000000000</v>
      </c>
      <c r="T191" s="1">
        <f>IFERROR(MATCH($C$36&amp;"|118",VIRMAN!$M$7:$M$406,0),0)</f>
        <v>0</v>
      </c>
      <c r="U191" s="1"/>
      <c r="V191" s="1"/>
      <c r="W191" s="1"/>
    </row>
    <row r="192" spans="1:23" ht="19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>
        <v>155</v>
      </c>
      <c r="N192" s="1" t="str">
        <f>IF($T192=0,"",INDEX(VIRMAN!$C$7:$C$406,$T192))</f>
        <v/>
      </c>
      <c r="O192" s="1" t="str">
        <f>IF($N192="","",$C$36&amp;"  –  ORTAK ÇEKİŞ / AVANS  ("&amp;INDEX(VIRMAN!$D$7:$D$406,$T192)&amp;" hesabından)"&amp;IF(INDEX(VIRMAN!$G$7:$G$406,$T192)="",""," – "&amp;INDEX(VIRMAN!$G$7:$G$406,$T192)))</f>
        <v/>
      </c>
      <c r="P192" s="1" t="str">
        <f t="shared" si="56"/>
        <v/>
      </c>
      <c r="Q192" s="1">
        <f>0</f>
        <v>0</v>
      </c>
      <c r="R192" s="1">
        <f>IF($N192="",0,INDEX(VIRMAN!$F$7:$F$406,$T192))</f>
        <v>0</v>
      </c>
      <c r="S192" s="1">
        <f t="shared" si="53"/>
        <v>10000000000</v>
      </c>
      <c r="T192" s="1">
        <f>IFERROR(MATCH($C$36&amp;"|119",VIRMAN!$M$7:$M$406,0),0)</f>
        <v>0</v>
      </c>
      <c r="U192" s="1"/>
      <c r="V192" s="1"/>
      <c r="W192" s="1"/>
    </row>
    <row r="193" spans="1:23" ht="19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>
        <v>156</v>
      </c>
      <c r="N193" s="1" t="str">
        <f>IF($T193=0,"",INDEX(VIRMAN!$C$7:$C$406,$T193))</f>
        <v/>
      </c>
      <c r="O193" s="1" t="str">
        <f>IF($N193="","",$C$36&amp;"  –  ORTAK ÇEKİŞ / AVANS  ("&amp;INDEX(VIRMAN!$D$7:$D$406,$T193)&amp;" hesabından)"&amp;IF(INDEX(VIRMAN!$G$7:$G$406,$T193)="",""," – "&amp;INDEX(VIRMAN!$G$7:$G$406,$T193)))</f>
        <v/>
      </c>
      <c r="P193" s="1" t="str">
        <f t="shared" si="56"/>
        <v/>
      </c>
      <c r="Q193" s="1">
        <f>0</f>
        <v>0</v>
      </c>
      <c r="R193" s="1">
        <f>IF($N193="",0,INDEX(VIRMAN!$F$7:$F$406,$T193))</f>
        <v>0</v>
      </c>
      <c r="S193" s="1">
        <f t="shared" si="53"/>
        <v>10000000000</v>
      </c>
      <c r="T193" s="1">
        <f>IFERROR(MATCH($C$36&amp;"|120",VIRMAN!$M$7:$M$406,0),0)</f>
        <v>0</v>
      </c>
      <c r="U193" s="1"/>
      <c r="V193" s="1"/>
      <c r="W193" s="1"/>
    </row>
  </sheetData>
  <sheetProtection password="CC3D" sheet="1" formatCells="0" formatColumns="0" formatRows="0" sort="0" autoFilter="0"/>
  <mergeCells count="161"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D123:E123"/>
    <mergeCell ref="D132:E132"/>
    <mergeCell ref="D110:E110"/>
    <mergeCell ref="D44:E44"/>
    <mergeCell ref="D59:E59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D168:E168"/>
    <mergeCell ref="D165:E165"/>
    <mergeCell ref="D180:E180"/>
    <mergeCell ref="D118:E118"/>
    <mergeCell ref="D152:E152"/>
    <mergeCell ref="D167:E167"/>
    <mergeCell ref="D161:E161"/>
    <mergeCell ref="D142:E142"/>
    <mergeCell ref="D89:E89"/>
    <mergeCell ref="D129:E129"/>
    <mergeCell ref="D169:E169"/>
    <mergeCell ref="D79:E79"/>
    <mergeCell ref="D144:E144"/>
    <mergeCell ref="D153:E153"/>
    <mergeCell ref="D63:E6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37:E37"/>
    <mergeCell ref="D39:E39"/>
    <mergeCell ref="D38:E38"/>
    <mergeCell ref="B35:I35"/>
    <mergeCell ref="D128:E128"/>
    <mergeCell ref="D81:E81"/>
    <mergeCell ref="D143:E143"/>
    <mergeCell ref="D117:E117"/>
    <mergeCell ref="D92:E92"/>
    <mergeCell ref="D55:E55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D157:E157"/>
    <mergeCell ref="D67:E67"/>
    <mergeCell ref="D133:E133"/>
    <mergeCell ref="D85:E85"/>
    <mergeCell ref="D54:E54"/>
    <mergeCell ref="D94:E94"/>
    <mergeCell ref="D69:E69"/>
    <mergeCell ref="D150:E150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8:E178"/>
    <mergeCell ref="D60:E60"/>
    <mergeCell ref="D172:E172"/>
    <mergeCell ref="D187:E187"/>
    <mergeCell ref="D100:E100"/>
    <mergeCell ref="D174:E174"/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160:E160"/>
    <mergeCell ref="D61:E61"/>
    <mergeCell ref="D141:E141"/>
    <mergeCell ref="D70:E70"/>
    <mergeCell ref="D135:E135"/>
    <mergeCell ref="D48:E48"/>
  </mergeCells>
  <conditionalFormatting sqref="F38:F187">
    <cfRule type="expression" dxfId="13" priority="10">
      <formula>EXACT($F38,"HAK EDİŞ")</formula>
    </cfRule>
    <cfRule type="expression" dxfId="12" priority="11">
      <formula>EXACT($F38,"ÖDEME")</formula>
    </cfRule>
  </conditionalFormatting>
  <conditionalFormatting sqref="I14:I33">
    <cfRule type="expression" dxfId="11" priority="5">
      <formula>EXACT($I14,"UYGUN")</formula>
    </cfRule>
    <cfRule type="expression" dxfId="10" priority="6">
      <formula>EXACT($I14,"TANIMSIZ ORTAK")</formula>
    </cfRule>
    <cfRule type="expression" dxfId="9" priority="7">
      <formula>EXACT($I14,"BAŞLANGIÇ EKSİK")</formula>
    </cfRule>
    <cfRule type="expression" dxfId="8" priority="8">
      <formula>EXACT($I14,"ORAN EKSİK")</formula>
    </cfRule>
    <cfRule type="expression" dxfId="7" priority="9">
      <formula>EXACT($I14,"TARİH HATASI")</formula>
    </cfRule>
  </conditionalFormatting>
  <conditionalFormatting sqref="I38:I187">
    <cfRule type="cellIs" dxfId="6" priority="12" operator="lessThan">
      <formula>0</formula>
    </cfRule>
  </conditionalFormatting>
  <conditionalFormatting sqref="L7:L10">
    <cfRule type="expression" dxfId="5" priority="2">
      <formula>EXACT($L7,"UYGUN")</formula>
    </cfRule>
    <cfRule type="expression" dxfId="4" priority="3">
      <formula>EXACT($L7,"KALEM SEÇİLMEDİ")</formula>
    </cfRule>
    <cfRule type="expression" dxfId="3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C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C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C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C00-000003000000}">
      <formula1>Gider</formula1>
      <formula2>0</formula2>
    </dataValidation>
    <dataValidation type="list" allowBlank="1" sqref="C36" xr:uid="{00000000-0002-0000-0C00-000004000000}">
      <formula1>LST_ORTAK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D00-000000000000}">
  <sheetPr>
    <tabColor rgb="FFB01717"/>
    <pageSetUpPr fitToPage="1"/>
  </sheetPr>
  <dimension ref="A1:O90"/>
  <sheetViews>
    <sheetView showGridLines="0" zoomScaleNormal="100" workbookViewId="0">
      <pane ySplit="6" topLeftCell="A7" activePane="bottomLeft" state="frozen"/>
      <selection pane="bottomLeft" activeCell="A25" sqref="A25"/>
    </sheetView>
  </sheetViews>
  <sheetFormatPr defaultColWidth="8" defaultRowHeight="14.25" customHeight="1" x14ac:dyDescent="0.25"/>
  <cols>
    <col min="1" max="1" width="2.28515625" customWidth="1"/>
    <col min="2" max="2" width="27.85546875" customWidth="1"/>
    <col min="3" max="3" width="22.42578125" customWidth="1"/>
    <col min="4" max="5" width="13.85546875" customWidth="1"/>
    <col min="6" max="6" width="12" customWidth="1"/>
    <col min="7" max="7" width="37" customWidth="1"/>
    <col min="8" max="8" width="14.85546875" customWidth="1"/>
    <col min="9" max="9" width="42.5703125" customWidth="1"/>
    <col min="11" max="11" width="31.5703125" customWidth="1"/>
    <col min="12" max="12" width="11.140625" customWidth="1"/>
    <col min="13" max="13" width="3.7109375" customWidth="1"/>
    <col min="14" max="15" width="2.28515625" customWidth="1"/>
  </cols>
  <sheetData>
    <row r="1" spans="1:15" ht="37.5" customHeight="1" x14ac:dyDescent="0.3">
      <c r="A1" s="212" t="s">
        <v>1057</v>
      </c>
      <c r="B1" s="150"/>
      <c r="C1" s="150"/>
      <c r="D1" s="150"/>
      <c r="E1" s="150"/>
      <c r="F1" s="208" t="s">
        <v>1091</v>
      </c>
      <c r="G1" s="150"/>
      <c r="H1" s="150"/>
      <c r="I1" s="150"/>
      <c r="J1" s="150"/>
      <c r="K1" s="150"/>
      <c r="L1" s="150"/>
      <c r="M1" s="1"/>
      <c r="N1" s="13"/>
      <c r="O1" s="13"/>
    </row>
    <row r="2" spans="1:15" ht="21.75" customHeight="1" x14ac:dyDescent="0.3">
      <c r="A2" s="213" t="s">
        <v>1092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"/>
      <c r="N2" s="14"/>
      <c r="O2" s="14"/>
    </row>
    <row r="3" spans="1:15" ht="7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2"/>
      <c r="O3" s="2"/>
    </row>
    <row r="4" spans="1:15" ht="25.5" customHeight="1" x14ac:dyDescent="0.3">
      <c r="A4" s="2"/>
      <c r="B4" s="15" t="str">
        <f>HYPERLINK("#PANO!A1","⌂")</f>
        <v>⌂</v>
      </c>
      <c r="C4" s="16" t="str">
        <f>HYPERLINK("#PANO!A1","M E N Ü")</f>
        <v>M E N Ü</v>
      </c>
      <c r="D4" s="2"/>
      <c r="E4" s="2"/>
      <c r="F4" s="2"/>
      <c r="G4" s="2"/>
      <c r="H4" s="2"/>
      <c r="I4" s="2"/>
      <c r="J4" s="2"/>
      <c r="K4" s="2"/>
      <c r="L4" s="2"/>
      <c r="M4" s="1"/>
      <c r="N4" s="2"/>
      <c r="O4" s="2"/>
    </row>
    <row r="5" spans="1:15" ht="19.5" customHeight="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</row>
    <row r="6" spans="1:15" ht="24" customHeight="1" x14ac:dyDescent="0.3">
      <c r="A6" s="2"/>
      <c r="B6" s="211" t="s">
        <v>1093</v>
      </c>
      <c r="C6" s="142"/>
      <c r="D6" s="142"/>
      <c r="E6" s="142"/>
      <c r="F6" s="142"/>
      <c r="G6" s="1"/>
      <c r="H6" s="1"/>
      <c r="I6" s="1"/>
      <c r="J6" s="1"/>
      <c r="K6" s="1"/>
      <c r="L6" s="1"/>
      <c r="M6" s="1"/>
      <c r="N6" s="2"/>
      <c r="O6" s="2"/>
    </row>
    <row r="7" spans="1:15" ht="24" customHeight="1" x14ac:dyDescent="0.3">
      <c r="A7" s="2"/>
      <c r="B7" s="74" t="s">
        <v>1094</v>
      </c>
      <c r="C7" s="60" t="s">
        <v>1095</v>
      </c>
      <c r="D7" s="74" t="s">
        <v>1096</v>
      </c>
      <c r="E7" s="74" t="s">
        <v>1097</v>
      </c>
      <c r="F7" s="1"/>
      <c r="G7" s="1"/>
      <c r="H7" s="1"/>
      <c r="I7" s="1"/>
      <c r="J7" s="1"/>
      <c r="K7" s="211" t="s">
        <v>1098</v>
      </c>
      <c r="L7" s="142"/>
      <c r="M7" s="142"/>
      <c r="N7" s="2"/>
      <c r="O7" s="2"/>
    </row>
    <row r="8" spans="1:15" ht="24" customHeight="1" x14ac:dyDescent="0.3">
      <c r="A8" s="2"/>
      <c r="B8" s="74" t="s">
        <v>1099</v>
      </c>
      <c r="C8" s="60" t="s">
        <v>1100</v>
      </c>
      <c r="D8" s="74" t="s">
        <v>1101</v>
      </c>
      <c r="E8" s="74" t="s">
        <v>1102</v>
      </c>
      <c r="F8" s="96">
        <f>IFERROR(MATCH($C$8,{"Pazartesi";"Salı";"Çarşamba";"Perşembe";"Cuma";"Cumartesi";"Pazar"},0),6)</f>
        <v>6</v>
      </c>
      <c r="G8" s="1"/>
      <c r="H8" s="1"/>
      <c r="I8" s="1"/>
      <c r="J8" s="1"/>
      <c r="K8" s="61" t="s">
        <v>805</v>
      </c>
      <c r="L8" s="60" t="s">
        <v>571</v>
      </c>
      <c r="M8" s="75"/>
      <c r="N8" s="2"/>
      <c r="O8" s="2"/>
    </row>
    <row r="9" spans="1:15" ht="24" customHeight="1" x14ac:dyDescent="0.3">
      <c r="A9" s="2"/>
      <c r="B9" s="74" t="s">
        <v>1103</v>
      </c>
      <c r="C9" s="60" t="s">
        <v>974</v>
      </c>
      <c r="D9" s="74" t="s">
        <v>1104</v>
      </c>
      <c r="E9" s="74" t="s">
        <v>1097</v>
      </c>
      <c r="F9" s="1"/>
      <c r="G9" s="1"/>
      <c r="H9" s="1"/>
      <c r="I9" s="1"/>
      <c r="J9" s="1"/>
      <c r="K9" s="61" t="s">
        <v>798</v>
      </c>
      <c r="L9" s="60" t="s">
        <v>571</v>
      </c>
      <c r="M9" s="1"/>
      <c r="N9" s="2"/>
      <c r="O9" s="2"/>
    </row>
    <row r="10" spans="1:15" ht="24" customHeight="1" x14ac:dyDescent="0.3">
      <c r="A10" s="2"/>
      <c r="B10" s="74" t="s">
        <v>1105</v>
      </c>
      <c r="C10" s="60" t="s">
        <v>723</v>
      </c>
      <c r="D10" s="74" t="s">
        <v>1106</v>
      </c>
      <c r="E10" s="74" t="s">
        <v>1097</v>
      </c>
      <c r="F10" s="1"/>
      <c r="G10" s="1"/>
      <c r="H10" s="1"/>
      <c r="I10" s="1"/>
      <c r="J10" s="1"/>
      <c r="K10" s="61" t="s">
        <v>784</v>
      </c>
      <c r="L10" s="60" t="s">
        <v>571</v>
      </c>
      <c r="M10" s="1"/>
      <c r="N10" s="2"/>
      <c r="O10" s="2"/>
    </row>
    <row r="11" spans="1:15" ht="24" customHeight="1" x14ac:dyDescent="0.3">
      <c r="A11" s="2"/>
      <c r="B11" s="74" t="s">
        <v>1107</v>
      </c>
      <c r="C11" s="82">
        <v>0.5</v>
      </c>
      <c r="D11" s="74" t="s">
        <v>1108</v>
      </c>
      <c r="E11" s="74" t="s">
        <v>1109</v>
      </c>
      <c r="F11" s="1"/>
      <c r="G11" s="1"/>
      <c r="H11" s="1"/>
      <c r="I11" s="1"/>
      <c r="J11" s="1"/>
      <c r="K11" s="61" t="s">
        <v>781</v>
      </c>
      <c r="L11" s="60" t="s">
        <v>571</v>
      </c>
      <c r="M11" s="1"/>
      <c r="N11" s="2"/>
      <c r="O11" s="2"/>
    </row>
    <row r="12" spans="1:15" ht="24" customHeight="1" x14ac:dyDescent="0.3">
      <c r="A12" s="2"/>
      <c r="B12" s="74" t="s">
        <v>1110</v>
      </c>
      <c r="C12" s="82">
        <v>0.5</v>
      </c>
      <c r="D12" s="74" t="s">
        <v>1108</v>
      </c>
      <c r="E12" s="74" t="s">
        <v>1109</v>
      </c>
      <c r="F12" s="1"/>
      <c r="G12" s="1"/>
      <c r="H12" s="1"/>
      <c r="I12" s="1"/>
      <c r="J12" s="1"/>
      <c r="K12" s="61" t="s">
        <v>779</v>
      </c>
      <c r="L12" s="60" t="s">
        <v>571</v>
      </c>
      <c r="M12" s="1"/>
      <c r="N12" s="2"/>
      <c r="O12" s="2"/>
    </row>
    <row r="13" spans="1:15" ht="24" customHeight="1" x14ac:dyDescent="0.3">
      <c r="A13" s="2"/>
      <c r="B13" s="74" t="s">
        <v>1071</v>
      </c>
      <c r="C13" s="63">
        <v>0</v>
      </c>
      <c r="D13" s="74" t="s">
        <v>1111</v>
      </c>
      <c r="E13" s="74" t="s">
        <v>1112</v>
      </c>
      <c r="F13" s="1"/>
      <c r="G13" s="1"/>
      <c r="H13" s="1"/>
      <c r="I13" s="1"/>
      <c r="J13" s="1"/>
      <c r="K13" s="61" t="s">
        <v>801</v>
      </c>
      <c r="L13" s="60" t="s">
        <v>571</v>
      </c>
      <c r="M13" s="1"/>
      <c r="N13" s="2"/>
      <c r="O13" s="2"/>
    </row>
    <row r="14" spans="1:15" ht="24" customHeight="1" x14ac:dyDescent="0.3">
      <c r="A14" s="2"/>
      <c r="B14" s="74" t="s">
        <v>1113</v>
      </c>
      <c r="C14" s="60" t="s">
        <v>572</v>
      </c>
      <c r="D14" s="74" t="s">
        <v>1114</v>
      </c>
      <c r="E14" s="74" t="s">
        <v>1115</v>
      </c>
      <c r="F14" s="1"/>
      <c r="G14" s="1"/>
      <c r="H14" s="1"/>
      <c r="I14" s="1"/>
      <c r="J14" s="1"/>
      <c r="K14" s="61" t="s">
        <v>860</v>
      </c>
      <c r="L14" s="60" t="s">
        <v>571</v>
      </c>
      <c r="M14" s="1"/>
      <c r="N14" s="2"/>
      <c r="O14" s="2"/>
    </row>
    <row r="15" spans="1:15" ht="24" customHeight="1" x14ac:dyDescent="0.3">
      <c r="A15" s="2"/>
      <c r="B15" s="74" t="s">
        <v>1116</v>
      </c>
      <c r="C15" s="60" t="s">
        <v>1117</v>
      </c>
      <c r="D15" s="74" t="s">
        <v>1118</v>
      </c>
      <c r="E15" s="74" t="s">
        <v>1119</v>
      </c>
      <c r="F15" s="1"/>
      <c r="G15" s="1"/>
      <c r="H15" s="1"/>
      <c r="I15" s="1"/>
      <c r="J15" s="1"/>
      <c r="K15" s="61" t="s">
        <v>788</v>
      </c>
      <c r="L15" s="60" t="s">
        <v>571</v>
      </c>
      <c r="M15" s="1"/>
      <c r="N15" s="2"/>
      <c r="O15" s="2"/>
    </row>
    <row r="16" spans="1:15" ht="24" customHeight="1" x14ac:dyDescent="0.3">
      <c r="A16" s="2"/>
      <c r="B16" s="74" t="s">
        <v>1120</v>
      </c>
      <c r="C16" s="60" t="s">
        <v>1112</v>
      </c>
      <c r="D16" s="74" t="s">
        <v>1121</v>
      </c>
      <c r="E16" s="74" t="s">
        <v>1115</v>
      </c>
      <c r="F16" s="1"/>
      <c r="G16" s="1"/>
      <c r="H16" s="1"/>
      <c r="I16" s="1"/>
      <c r="J16" s="1"/>
      <c r="K16" s="61" t="s">
        <v>790</v>
      </c>
      <c r="L16" s="60" t="s">
        <v>571</v>
      </c>
      <c r="M16" s="1"/>
      <c r="N16" s="2"/>
      <c r="O16" s="2"/>
    </row>
    <row r="17" spans="1:15" ht="24" customHeight="1" x14ac:dyDescent="0.3">
      <c r="A17" s="2"/>
      <c r="B17" s="74" t="s">
        <v>1122</v>
      </c>
      <c r="C17" s="97">
        <f ca="1">TODAY()</f>
        <v>46260</v>
      </c>
      <c r="D17" s="74" t="s">
        <v>1123</v>
      </c>
      <c r="E17" s="74" t="s">
        <v>1119</v>
      </c>
      <c r="F17" s="1"/>
      <c r="G17" s="1"/>
      <c r="H17" s="1"/>
      <c r="I17" s="1"/>
      <c r="J17" s="1"/>
      <c r="K17" s="61" t="s">
        <v>849</v>
      </c>
      <c r="L17" s="60" t="s">
        <v>571</v>
      </c>
      <c r="M17" s="1"/>
      <c r="N17" s="2"/>
      <c r="O17" s="2"/>
    </row>
    <row r="18" spans="1:15" ht="18" customHeight="1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61" t="s">
        <v>770</v>
      </c>
      <c r="L18" s="60" t="s">
        <v>571</v>
      </c>
      <c r="M18" s="1"/>
      <c r="N18" s="2"/>
      <c r="O18" s="2"/>
    </row>
    <row r="19" spans="1:15" ht="18" customHeight="1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61" t="s">
        <v>793</v>
      </c>
      <c r="L19" s="60" t="s">
        <v>571</v>
      </c>
      <c r="M19" s="1"/>
      <c r="N19" s="2"/>
      <c r="O19" s="2"/>
    </row>
    <row r="20" spans="1:15" ht="18" customHeight="1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61"/>
      <c r="L20" s="60"/>
      <c r="M20" s="1"/>
      <c r="N20" s="2"/>
      <c r="O20" s="2"/>
    </row>
    <row r="21" spans="1:15" ht="24" customHeight="1" x14ac:dyDescent="0.3">
      <c r="A21" s="2"/>
      <c r="B21" s="211" t="s">
        <v>1124</v>
      </c>
      <c r="C21" s="142"/>
      <c r="D21" s="142"/>
      <c r="E21" s="142"/>
      <c r="F21" s="142"/>
      <c r="G21" s="142"/>
      <c r="H21" s="142"/>
      <c r="I21" s="142"/>
      <c r="J21" s="142"/>
      <c r="K21" s="61"/>
      <c r="L21" s="60" t="s">
        <v>571</v>
      </c>
      <c r="M21" s="1"/>
      <c r="N21" s="2"/>
      <c r="O21" s="2"/>
    </row>
    <row r="22" spans="1:15" ht="27.75" customHeight="1" x14ac:dyDescent="0.3">
      <c r="A22" s="2"/>
      <c r="B22" s="75" t="s">
        <v>164</v>
      </c>
      <c r="C22" s="75" t="s">
        <v>1125</v>
      </c>
      <c r="D22" s="75" t="s">
        <v>1126</v>
      </c>
      <c r="E22" s="75" t="s">
        <v>1127</v>
      </c>
      <c r="F22" s="75" t="s">
        <v>1128</v>
      </c>
      <c r="G22" s="75" t="s">
        <v>54</v>
      </c>
      <c r="H22" s="75" t="s">
        <v>1129</v>
      </c>
      <c r="I22" s="75" t="s">
        <v>1130</v>
      </c>
      <c r="J22" s="1"/>
      <c r="K22" s="61"/>
      <c r="L22" s="60"/>
      <c r="M22" s="1"/>
      <c r="N22" s="2"/>
      <c r="O22" s="2"/>
    </row>
    <row r="23" spans="1:15" ht="22.5" customHeight="1" x14ac:dyDescent="0.3">
      <c r="A23" s="2"/>
      <c r="B23" s="74" t="s">
        <v>1131</v>
      </c>
      <c r="C23" s="65" t="s">
        <v>1132</v>
      </c>
      <c r="D23" s="65" t="s">
        <v>1133</v>
      </c>
      <c r="E23" s="92">
        <f>SISTEM!$C$11+SISTEM!$C$12</f>
        <v>1</v>
      </c>
      <c r="F23" s="65" t="str">
        <f>IF(ABS($E23-1)&lt;0.000001,"GEÇTİ","KALDI")</f>
        <v>GEÇTİ</v>
      </c>
      <c r="G23" s="74" t="s">
        <v>1134</v>
      </c>
      <c r="H23" s="98" t="str">
        <f>HYPERLINK("#SISTEM!A1","SISTEM")</f>
        <v>SISTEM</v>
      </c>
      <c r="I23" s="74" t="str">
        <f>IF($F23="KALDI","SISTEM C11/C12 — ortak paylarını toplam %100 yapın","—")</f>
        <v>—</v>
      </c>
      <c r="J23" s="1"/>
      <c r="K23" s="61"/>
      <c r="L23" s="60"/>
      <c r="M23" s="1"/>
      <c r="N23" s="2"/>
      <c r="O23" s="2"/>
    </row>
    <row r="24" spans="1:15" ht="22.5" customHeight="1" x14ac:dyDescent="0.3">
      <c r="A24" s="2"/>
      <c r="B24" s="74" t="s">
        <v>1135</v>
      </c>
      <c r="C24" s="65" t="s">
        <v>1132</v>
      </c>
      <c r="D24" s="65" t="s">
        <v>1136</v>
      </c>
      <c r="E24" s="93">
        <f>COUNTIFS(UCRETLER!$H$7:$H$606,"Aktif",UCRETLER!$N$7:$N$606,"&lt;&gt;UYGUN")</f>
        <v>0</v>
      </c>
      <c r="F24" s="65" t="str">
        <f t="shared" ref="F24:F38" si="0">IF($E24=0,"GEÇTİ","KALDI")</f>
        <v>GEÇTİ</v>
      </c>
      <c r="G24" s="74" t="s">
        <v>1137</v>
      </c>
      <c r="H24" s="98" t="str">
        <f>HYPERLINK("#UCRETLER!A1","UCRETLER")</f>
        <v>UCRETLER</v>
      </c>
      <c r="I24" s="74" t="str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>—</v>
      </c>
      <c r="J24" s="1"/>
      <c r="K24" s="61"/>
      <c r="L24" s="60"/>
      <c r="M24" s="1"/>
      <c r="N24" s="2"/>
      <c r="O24" s="2"/>
    </row>
    <row r="25" spans="1:15" ht="22.5" customHeight="1" x14ac:dyDescent="0.3">
      <c r="A25" s="2"/>
      <c r="B25" s="74" t="s">
        <v>1138</v>
      </c>
      <c r="C25" s="65" t="s">
        <v>1132</v>
      </c>
      <c r="D25" s="65" t="s">
        <v>1136</v>
      </c>
      <c r="E25" s="93">
        <f>COUNTIFS(MUSTERILER!$D$7:$D$156,"Aktif",MUSTERILER!$O$7:$O$156,"HAYIR")</f>
        <v>0</v>
      </c>
      <c r="F25" s="65" t="str">
        <f t="shared" si="0"/>
        <v>GEÇTİ</v>
      </c>
      <c r="G25" s="74" t="s">
        <v>1139</v>
      </c>
      <c r="H25" s="98" t="str">
        <f>HYPERLINK("#MUSTERILER!A1","MUSTERILER")</f>
        <v>MUSTERILER</v>
      </c>
      <c r="I25" s="74" t="str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>—</v>
      </c>
      <c r="J25" s="1"/>
      <c r="K25" s="61"/>
      <c r="L25" s="60"/>
      <c r="M25" s="1"/>
      <c r="N25" s="2"/>
      <c r="O25" s="2"/>
    </row>
    <row r="26" spans="1:15" ht="22.5" customHeight="1" x14ac:dyDescent="0.3">
      <c r="A26" s="2"/>
      <c r="B26" s="74" t="s">
        <v>1140</v>
      </c>
      <c r="C26" s="65" t="s">
        <v>1132</v>
      </c>
      <c r="D26" s="65" t="s">
        <v>1136</v>
      </c>
      <c r="E26" s="93">
        <f>SUMPRODUCT((MUSTERILER!$B$7:$B$156&lt;&gt;"")*(COUNTIF(MUSTERILER!$B$7:$B$156,MUSTERILER!$B$7:$B$156&amp;"")&gt;1))</f>
        <v>0</v>
      </c>
      <c r="F26" s="65" t="str">
        <f t="shared" si="0"/>
        <v>GEÇTİ</v>
      </c>
      <c r="G26" s="74" t="s">
        <v>1141</v>
      </c>
      <c r="H26" s="98" t="str">
        <f>HYPERLINK("#MUSTERILER!A1","MUSTERILER")</f>
        <v>MUSTERILER</v>
      </c>
      <c r="I26" s="74" t="str">
        <f>IF($E26=0,"—",IFERROR("satır "&amp;(MATCH(1,INDEX((MUSTERILER!$B$7:$B$156&lt;&gt;"")*(COUNTIF(MUSTERILER!$B$7:$B$156,MUSTERILER!$B$7:$B$156&amp;"")&gt;1),0),0)+6)&amp;"  –  "&amp;INDEX(MUSTERILER!$B$7:$B$156,MATCH(1,INDEX((MUSTERILER!$B$7:$B$156&lt;&gt;"")*(COUNTIF(MUSTERILER!$B$7:$B$156,MUSTERILER!$B$7:$B$156&amp;"")&gt;1),0),0)),"—"))</f>
        <v>—</v>
      </c>
      <c r="J26" s="1"/>
      <c r="K26" s="61"/>
      <c r="L26" s="60"/>
      <c r="M26" s="1"/>
      <c r="N26" s="2"/>
      <c r="O26" s="2"/>
    </row>
    <row r="27" spans="1:15" ht="22.5" customHeight="1" x14ac:dyDescent="0.3">
      <c r="A27" s="2"/>
      <c r="B27" s="74" t="s">
        <v>1142</v>
      </c>
      <c r="C27" s="65" t="s">
        <v>1143</v>
      </c>
      <c r="D27" s="65" t="s">
        <v>1136</v>
      </c>
      <c r="E27" s="93">
        <f>SUMPRODUCT((MUSTERILER!$C$7:$C$156&lt;&gt;"")*(COUNTIF(MUSTERILER!$C$7:$C$156,MUSTERILER!$C$7:$C$156&amp;"")&gt;1))</f>
        <v>0</v>
      </c>
      <c r="F27" s="65" t="str">
        <f t="shared" si="0"/>
        <v>GEÇTİ</v>
      </c>
      <c r="G27" s="74" t="s">
        <v>1144</v>
      </c>
      <c r="H27" s="98" t="str">
        <f>HYPERLINK("#MUSTERILER!A1","MUSTERILER")</f>
        <v>MUSTERILER</v>
      </c>
      <c r="I27" s="74" t="str">
        <f>IF($E27=0,"—",IFERROR("satır "&amp;(MATCH(1,INDEX((MUSTERILER!$C$7:$C$156&lt;&gt;"")*(COUNTIF(MUSTERILER!$C$7:$C$156,MUSTERILER!$C$7:$C$156&amp;"")&gt;1),0),0)+6)&amp;"  –  "&amp;INDEX(MUSTERILER!$C$7:$C$156,MATCH(1,INDEX((MUSTERILER!$C$7:$C$156&lt;&gt;"")*(COUNTIF(MUSTERILER!$C$7:$C$156,MUSTERILER!$C$7:$C$156&amp;"")&gt;1),0),0)),"—"))</f>
        <v>—</v>
      </c>
      <c r="J27" s="1"/>
      <c r="K27" s="61"/>
      <c r="L27" s="60"/>
      <c r="M27" s="1"/>
      <c r="N27" s="2"/>
      <c r="O27" s="2"/>
    </row>
    <row r="28" spans="1:15" ht="22.5" customHeight="1" x14ac:dyDescent="0.3">
      <c r="A28" s="2"/>
      <c r="B28" s="74" t="s">
        <v>1145</v>
      </c>
      <c r="C28" s="65" t="s">
        <v>1143</v>
      </c>
      <c r="D28" s="65" t="s">
        <v>1136</v>
      </c>
      <c r="E28" s="93">
        <f>COUNTIFS(MUSTERILER!$J$7:$J$156,"&gt;0",MUSTERILER!$K$7:$K$156,"")</f>
        <v>0</v>
      </c>
      <c r="F28" s="65" t="str">
        <f t="shared" si="0"/>
        <v>GEÇTİ</v>
      </c>
      <c r="G28" s="74" t="s">
        <v>1146</v>
      </c>
      <c r="H28" s="98" t="str">
        <f>HYPERLINK("#MUSTERILER!A1","MUSTERILER")</f>
        <v>MUSTERILER</v>
      </c>
      <c r="I28" s="74" t="str">
        <f>IF($E28=0,"—",IFERROR("satır "&amp;(MATCH(1,INDEX((MUSTERILER!$J$7:$J$156&gt;0)*(MUSTERILER!$K$7:$K$156=""),0),0)+6)&amp;"  –  "&amp;INDEX(MUSTERILER!$C$7:$C$156,MATCH(1,INDEX((MUSTERILER!$J$7:$J$156&gt;0)*(MUSTERILER!$K$7:$K$156=""),0),0)),"—"))</f>
        <v>—</v>
      </c>
      <c r="J28" s="1"/>
      <c r="K28" s="61"/>
      <c r="L28" s="60"/>
      <c r="M28" s="1"/>
      <c r="N28" s="2"/>
      <c r="O28" s="2"/>
    </row>
    <row r="29" spans="1:15" ht="22.5" customHeight="1" x14ac:dyDescent="0.3">
      <c r="A29" s="2"/>
      <c r="B29" s="74" t="s">
        <v>1147</v>
      </c>
      <c r="C29" s="65" t="s">
        <v>1148</v>
      </c>
      <c r="D29" s="65" t="s">
        <v>1136</v>
      </c>
      <c r="E29" s="93">
        <f>SUMPRODUCT((MUSTERILER!$P$7:$P$156&lt;&gt;"")*(MUSTERILER!$P$7:$P$156&lt;&gt;"UYGUN"))</f>
        <v>0</v>
      </c>
      <c r="F29" s="65" t="str">
        <f t="shared" si="0"/>
        <v>GEÇTİ</v>
      </c>
      <c r="G29" s="74" t="s">
        <v>1149</v>
      </c>
      <c r="H29" s="98" t="str">
        <f>HYPERLINK("#MUSTERILER!A1","MUSTERILER")</f>
        <v>MUSTERILER</v>
      </c>
      <c r="I29" s="74" t="str">
        <f>IF($E29=0,"—",IFERROR("satır "&amp;(MATCH(1,INDEX((MUSTERILER!$P$7:$P$156&lt;&gt;"")*(MUSTERILER!$P$7:$P$156&lt;&gt;"UYGUN"),0),0)+6)&amp;"  –  "&amp;INDEX(MUSTERILER!$C$7:$C$156,MATCH(1,INDEX((MUSTERILER!$P$7:$P$156&lt;&gt;"")*(MUSTERILER!$P$7:$P$156&lt;&gt;"UYGUN"),0),0)),"—"))</f>
        <v>—</v>
      </c>
      <c r="J29" s="1"/>
      <c r="K29" s="61"/>
      <c r="L29" s="60"/>
      <c r="M29" s="1"/>
      <c r="N29" s="2"/>
      <c r="O29" s="2"/>
    </row>
    <row r="30" spans="1:15" ht="22.5" customHeight="1" x14ac:dyDescent="0.3">
      <c r="A30" s="2"/>
      <c r="B30" s="74" t="s">
        <v>32</v>
      </c>
      <c r="C30" s="65" t="s">
        <v>1143</v>
      </c>
      <c r="D30" s="65" t="s">
        <v>1136</v>
      </c>
      <c r="E30" s="93">
        <f ca="1">COUNTIF(TAHSILAT!$M$7:$M$2503,"EKSİK")</f>
        <v>0</v>
      </c>
      <c r="F30" s="65" t="str">
        <f t="shared" ca="1" si="0"/>
        <v>GEÇTİ</v>
      </c>
      <c r="G30" s="74" t="s">
        <v>1150</v>
      </c>
      <c r="H30" s="98" t="str">
        <f>HYPERLINK("#TAHSILAT!A1","TAHSILAT")</f>
        <v>TAHSILAT</v>
      </c>
      <c r="I30" s="74" t="str">
        <f ca="1">IFERROR("satır "&amp;(MATCH("EKSİK",TAHSILAT!$M$7:$M$2503,0)+7-1)&amp;"  –  "&amp;INDEX(TAHSILAT!$D$7:$D$2503,MATCH("EKSİK",TAHSILAT!$M$7:$M$2503,0)),"—")</f>
        <v>—</v>
      </c>
      <c r="J30" s="1"/>
      <c r="K30" s="61"/>
      <c r="L30" s="60"/>
      <c r="M30" s="1"/>
      <c r="N30" s="2"/>
      <c r="O30" s="2"/>
    </row>
    <row r="31" spans="1:15" ht="22.5" customHeight="1" x14ac:dyDescent="0.3">
      <c r="A31" s="2"/>
      <c r="B31" s="74" t="s">
        <v>1151</v>
      </c>
      <c r="C31" s="65" t="s">
        <v>1132</v>
      </c>
      <c r="D31" s="65" t="s">
        <v>1136</v>
      </c>
      <c r="E31" s="93">
        <f ca="1">COUNTIF(TAHSILAT!$M$7:$M$2503,"HATA")</f>
        <v>0</v>
      </c>
      <c r="F31" s="65" t="str">
        <f t="shared" ca="1" si="0"/>
        <v>GEÇTİ</v>
      </c>
      <c r="G31" s="74" t="s">
        <v>1152</v>
      </c>
      <c r="H31" s="98" t="str">
        <f>HYPERLINK("#TAHSILAT!A1","TAHSILAT")</f>
        <v>TAHSILAT</v>
      </c>
      <c r="I31" s="74" t="str">
        <f ca="1">IFERROR("satır "&amp;(MATCH("HATA",TAHSILAT!$M$7:$M$2503,0)+7-1)&amp;"  –  "&amp;INDEX(TAHSILAT!$D$7:$D$2503,MATCH("HATA",TAHSILAT!$M$7:$M$2503,0)),"—")</f>
        <v>—</v>
      </c>
      <c r="J31" s="1"/>
      <c r="K31" s="61"/>
      <c r="L31" s="60"/>
      <c r="M31" s="1"/>
      <c r="N31" s="2"/>
      <c r="O31" s="2"/>
    </row>
    <row r="32" spans="1:15" ht="22.5" customHeight="1" x14ac:dyDescent="0.3">
      <c r="A32" s="2"/>
      <c r="B32" s="74" t="s">
        <v>1153</v>
      </c>
      <c r="C32" s="65" t="s">
        <v>1143</v>
      </c>
      <c r="D32" s="65" t="s">
        <v>1136</v>
      </c>
      <c r="E32" s="93">
        <f ca="1">COUNTIF(TAHSILAT!$M$7:$M$2503,"İLERİ TARİH")</f>
        <v>0</v>
      </c>
      <c r="F32" s="65" t="str">
        <f t="shared" ca="1" si="0"/>
        <v>GEÇTİ</v>
      </c>
      <c r="G32" s="74" t="s">
        <v>1154</v>
      </c>
      <c r="H32" s="98" t="str">
        <f>HYPERLINK("#TAHSILAT!A1","TAHSILAT")</f>
        <v>TAHSILAT</v>
      </c>
      <c r="I32" s="74" t="str">
        <f ca="1">IF($E32=0,"—",IFERROR("satır "&amp;(MATCH("İLERİ TARİH",TAHSILAT!$M$7:$M$2503,0)+6)&amp;"  –  "&amp;INDEX(TAHSILAT!$D$7:$D$2503,MATCH("İLERİ TARİH",TAHSILAT!$M$7:$M$2503,0)),"—"))</f>
        <v>—</v>
      </c>
      <c r="J32" s="1"/>
      <c r="K32" s="61"/>
      <c r="L32" s="60"/>
      <c r="M32" s="1"/>
      <c r="N32" s="2"/>
      <c r="O32" s="2"/>
    </row>
    <row r="33" spans="1:15" ht="22.5" customHeight="1" x14ac:dyDescent="0.3">
      <c r="A33" s="2"/>
      <c r="B33" s="74" t="s">
        <v>1155</v>
      </c>
      <c r="C33" s="65" t="s">
        <v>1132</v>
      </c>
      <c r="D33" s="65" t="s">
        <v>1136</v>
      </c>
      <c r="E33" s="93">
        <f>COUNTIFS(TAHSILAT!$D$7:$D$2503,"&lt;&gt;",TAHSILAT!$F$7:$F$2503,"&lt;=0")</f>
        <v>0</v>
      </c>
      <c r="F33" s="65" t="str">
        <f t="shared" si="0"/>
        <v>GEÇTİ</v>
      </c>
      <c r="G33" s="74" t="s">
        <v>1156</v>
      </c>
      <c r="H33" s="98" t="str">
        <f>HYPERLINK("#TAHSILAT!A1","TAHSILAT")</f>
        <v>TAHSILAT</v>
      </c>
      <c r="I33" s="74" t="str">
        <f>IF($E33=0,"—",IFERROR("satır "&amp;(MATCH(1,INDEX((TAHSILAT!$D$7:$D$2503&lt;&gt;"")*(TAHSILAT!$F$7:$F$2503&lt;=0),0),0)+6)&amp;"  –  "&amp;INDEX(TAHSILAT!$D$7:$D$2503,MATCH(1,INDEX((TAHSILAT!$D$7:$D$2503&lt;&gt;"")*(TAHSILAT!$F$7:$F$2503&lt;=0),0),0)),"—"))</f>
        <v>—</v>
      </c>
      <c r="J33" s="1"/>
      <c r="K33" s="1"/>
      <c r="L33" s="1"/>
      <c r="M33" s="1"/>
      <c r="N33" s="2"/>
      <c r="O33" s="2"/>
    </row>
    <row r="34" spans="1:15" ht="22.5" customHeight="1" x14ac:dyDescent="0.3">
      <c r="A34" s="2"/>
      <c r="B34" s="74" t="s">
        <v>1157</v>
      </c>
      <c r="C34" s="65" t="s">
        <v>1132</v>
      </c>
      <c r="D34" s="65" t="s">
        <v>1136</v>
      </c>
      <c r="E34" s="93">
        <f>SUMPRODUCT((TAHSILAT!$G$7:$G$2503&lt;&gt;"")*(COUNTIF(HESAPLAR!$B$7:$B$16,TAHSILAT!$G$7:$G$2503&amp;"")=0))</f>
        <v>0</v>
      </c>
      <c r="F34" s="65" t="str">
        <f t="shared" si="0"/>
        <v>GEÇTİ</v>
      </c>
      <c r="G34" s="74" t="s">
        <v>1158</v>
      </c>
      <c r="H34" s="98" t="str">
        <f>HYPERLINK("#HESAPLAR!A1","HESAPLAR")</f>
        <v>HESAPLAR</v>
      </c>
      <c r="I34" s="74" t="str">
        <f>IF($E34=0,"—",IFERROR("satır "&amp;(MATCH(1,INDEX((TAHSILAT!$G$7:$G$2503&lt;&gt;"")*(COUNTIF(HESAPLAR!$B$7:$B$16,TAHSILAT!$G$7:$G$2503&amp;"")=0),0),0)+6)&amp;"  – hesap: "&amp;INDEX(TAHSILAT!$G$7:$G$2503,MATCH(1,INDEX((TAHSILAT!$G$7:$G$2503&lt;&gt;"")*(COUNTIF(HESAPLAR!$B$7:$B$16,TAHSILAT!$G$7:$G$2503&amp;"")=0),0),0)),"—"))</f>
        <v>—</v>
      </c>
      <c r="J34" s="1"/>
      <c r="K34" s="1"/>
      <c r="L34" s="1"/>
      <c r="M34" s="1"/>
      <c r="N34" s="2"/>
      <c r="O34" s="2"/>
    </row>
    <row r="35" spans="1:15" ht="24" customHeight="1" x14ac:dyDescent="0.3">
      <c r="A35" s="2"/>
      <c r="B35" s="74" t="s">
        <v>34</v>
      </c>
      <c r="C35" s="65" t="s">
        <v>1143</v>
      </c>
      <c r="D35" s="65" t="s">
        <v>1136</v>
      </c>
      <c r="E35" s="93">
        <f ca="1">COUNTIF(GELIR_GIDER!$P$7:$P$3001,"EKSİK")</f>
        <v>0</v>
      </c>
      <c r="F35" s="65" t="str">
        <f t="shared" ca="1" si="0"/>
        <v>GEÇTİ</v>
      </c>
      <c r="G35" s="74" t="s">
        <v>1159</v>
      </c>
      <c r="H35" s="98" t="str">
        <f>HYPERLINK("#GELIR_GIDER!A1","GELIR_GIDER")</f>
        <v>GELIR_GIDER</v>
      </c>
      <c r="I35" s="74" t="str">
        <f ca="1">IFERROR("satır "&amp;(MATCH("EKSİK",GELIR_GIDER!$P$7:$P$3001,0)+7-1)&amp;"  –  "&amp;INDEX(GELIR_GIDER!$E$7:$E$3001,MATCH("EKSİK",GELIR_GIDER!$P$7:$P$3001,0)),"—")</f>
        <v>—</v>
      </c>
      <c r="J35" s="1"/>
      <c r="K35" s="211" t="s">
        <v>1160</v>
      </c>
      <c r="L35" s="142"/>
      <c r="M35" s="142"/>
      <c r="N35" s="2"/>
      <c r="O35" s="2"/>
    </row>
    <row r="36" spans="1:15" ht="22.5" customHeight="1" x14ac:dyDescent="0.3">
      <c r="A36" s="2"/>
      <c r="B36" s="74" t="s">
        <v>1161</v>
      </c>
      <c r="C36" s="65" t="s">
        <v>1143</v>
      </c>
      <c r="D36" s="65" t="s">
        <v>1136</v>
      </c>
      <c r="E36" s="93">
        <f>COUNTIFS(GELIR_GIDER!$D$7:$D$3001,"&lt;&gt;",GELIR_GIDER!$G$7:$G$3001,"&lt;=0")</f>
        <v>0</v>
      </c>
      <c r="F36" s="65" t="str">
        <f t="shared" si="0"/>
        <v>GEÇTİ</v>
      </c>
      <c r="G36" s="74" t="s">
        <v>1162</v>
      </c>
      <c r="H36" s="98" t="str">
        <f>HYPERLINK("#GELIR_GIDER!A1","GELIR_GIDER")</f>
        <v>GELIR_GIDER</v>
      </c>
      <c r="I36" s="74" t="str">
        <f>IF($E36=0,"—",IFERROR("satır "&amp;(MATCH(1,INDEX((GELIR_GIDER!$D$7:$D$3001&lt;&gt;"")*(GELIR_GIDER!$G$7:$G$3001&lt;=0),0),0)+6)&amp;"  –  "&amp;INDEX(GELIR_GIDER!$F$7:$F$3001,MATCH(1,INDEX((GELIR_GIDER!$D$7:$D$3001&lt;&gt;"")*(GELIR_GIDER!$G$7:$G$3001&lt;=0),0),0)),"—"))</f>
        <v>—</v>
      </c>
      <c r="J36" s="1"/>
      <c r="K36" s="61" t="s">
        <v>843</v>
      </c>
      <c r="L36" s="60" t="s">
        <v>571</v>
      </c>
      <c r="M36" s="75"/>
      <c r="N36" s="2"/>
      <c r="O36" s="2"/>
    </row>
    <row r="37" spans="1:15" ht="22.5" customHeight="1" x14ac:dyDescent="0.3">
      <c r="A37" s="2"/>
      <c r="B37" s="74" t="s">
        <v>1163</v>
      </c>
      <c r="C37" s="65" t="s">
        <v>1132</v>
      </c>
      <c r="D37" s="65" t="s">
        <v>1136</v>
      </c>
      <c r="E37" s="93">
        <f>COUNTIF(VIRMAN!$J$7:$J$406,"HATA")</f>
        <v>0</v>
      </c>
      <c r="F37" s="65" t="str">
        <f t="shared" si="0"/>
        <v>GEÇTİ</v>
      </c>
      <c r="G37" s="74" t="s">
        <v>1164</v>
      </c>
      <c r="H37" s="98" t="str">
        <f>HYPERLINK("#VIRMAN!A1","VIRMAN")</f>
        <v>VIRMAN</v>
      </c>
      <c r="I37" s="74" t="str">
        <f>IFERROR("satır "&amp;(MATCH("HATA",VIRMAN!$J$7:$J$406,0)+7-1),"—")</f>
        <v>—</v>
      </c>
      <c r="J37" s="1"/>
      <c r="K37" s="61" t="s">
        <v>1165</v>
      </c>
      <c r="L37" s="60" t="s">
        <v>571</v>
      </c>
      <c r="M37" s="1"/>
      <c r="N37" s="2"/>
      <c r="O37" s="2"/>
    </row>
    <row r="38" spans="1:15" ht="22.5" customHeight="1" x14ac:dyDescent="0.3">
      <c r="A38" s="2"/>
      <c r="B38" s="74" t="s">
        <v>1166</v>
      </c>
      <c r="C38" s="65" t="s">
        <v>1132</v>
      </c>
      <c r="D38" s="65" t="s">
        <v>1136</v>
      </c>
      <c r="E38" s="93">
        <f ca="1">COUNTIF(MUSTERI_360!$W$7:$W$156,"İNCELE")</f>
        <v>0</v>
      </c>
      <c r="F38" s="65" t="str">
        <f t="shared" ca="1" si="0"/>
        <v>GEÇTİ</v>
      </c>
      <c r="G38" s="74" t="s">
        <v>1167</v>
      </c>
      <c r="H38" s="98" t="str">
        <f>HYPERLINK("#MUSTERI_360!A1","MUSTERI_360")</f>
        <v>MUSTERI_360</v>
      </c>
      <c r="I38" s="74" t="str">
        <f ca="1">IFERROR("satır "&amp;(MATCH("İNCELE",MUSTERI_360!$W$7:$W$156,0)+7-1)&amp;"  –  "&amp;INDEX(MUSTERI_360!$C$7:$C$156,MATCH("İNCELE",MUSTERI_360!$W$7:$W$156,0)),"—")</f>
        <v>—</v>
      </c>
      <c r="J38" s="1"/>
      <c r="K38" s="61" t="s">
        <v>1168</v>
      </c>
      <c r="L38" s="60" t="s">
        <v>571</v>
      </c>
      <c r="M38" s="1"/>
      <c r="N38" s="2"/>
      <c r="O38" s="2"/>
    </row>
    <row r="39" spans="1:15" ht="22.5" customHeight="1" x14ac:dyDescent="0.3">
      <c r="A39" s="2"/>
      <c r="B39" s="74" t="s">
        <v>1169</v>
      </c>
      <c r="C39" s="65" t="s">
        <v>1132</v>
      </c>
      <c r="D39" s="65" t="s">
        <v>1170</v>
      </c>
      <c r="E39" s="99">
        <f ca="1">ABS(SUM(TAHSILAT!$F$7:$F$2503)-SUM(MUSTERI_360!$I$7:$I$156))</f>
        <v>0</v>
      </c>
      <c r="F39" s="65" t="str">
        <f ca="1">IF($E39&lt;0.01,"GEÇTİ","KALDI")</f>
        <v>GEÇTİ</v>
      </c>
      <c r="G39" s="74" t="s">
        <v>1171</v>
      </c>
      <c r="H39" s="98" t="str">
        <f>HYPERLINK("#TAHSILAT!A1","TAHSILAT")</f>
        <v>TAHSILAT</v>
      </c>
      <c r="I39" s="74" t="str">
        <f ca="1">IF($F39="KALDI","TAHSILAT toplamı ↔ MUSTERI_360 tahsilat toplamı — fark: "&amp;ROUND($E39,2)&amp;" TL","—")</f>
        <v>—</v>
      </c>
      <c r="J39" s="1"/>
      <c r="K39" s="61" t="s">
        <v>1172</v>
      </c>
      <c r="L39" s="60" t="s">
        <v>571</v>
      </c>
      <c r="M39" s="1"/>
      <c r="N39" s="2"/>
      <c r="O39" s="2"/>
    </row>
    <row r="40" spans="1:15" ht="22.5" customHeight="1" x14ac:dyDescent="0.3">
      <c r="A40" s="2"/>
      <c r="B40" s="74" t="s">
        <v>1173</v>
      </c>
      <c r="C40" s="65" t="s">
        <v>1132</v>
      </c>
      <c r="D40" s="65" t="s">
        <v>1170</v>
      </c>
      <c r="E40" s="99">
        <f ca="1">ABS(SUM(MUSTERI_360!$J$7:$J$156)-SUM(MUSTERI_360!$K$7:$K$156)-SUM(MUSTERI_360!$L$7:$L$156)-SUM(MUSTERI_360!$M$7:$M$156)-SUM(MUSTERI_360!$N$7:$N$156))</f>
        <v>0</v>
      </c>
      <c r="F40" s="65" t="str">
        <f ca="1">IF($E40&lt;0.01,"GEÇTİ","KALDI")</f>
        <v>GEÇTİ</v>
      </c>
      <c r="G40" s="74" t="s">
        <v>1174</v>
      </c>
      <c r="H40" s="98" t="str">
        <f>HYPERLINK("#MUSTERI_360!A1","MUSTERI_360")</f>
        <v>MUSTERI_360</v>
      </c>
      <c r="I40" s="74" t="str">
        <f ca="1">IF($F40="KALDI","MUSTERI_360 cari ↔ yaşlandırma kovaları — fark: "&amp;ROUND($E40,2)&amp;" TL","—")</f>
        <v>—</v>
      </c>
      <c r="J40" s="1"/>
      <c r="K40" s="61" t="s">
        <v>1175</v>
      </c>
      <c r="L40" s="60" t="s">
        <v>571</v>
      </c>
      <c r="M40" s="1"/>
      <c r="N40" s="2"/>
      <c r="O40" s="2"/>
    </row>
    <row r="41" spans="1:15" ht="22.5" customHeight="1" x14ac:dyDescent="0.3">
      <c r="A41" s="2"/>
      <c r="B41" s="74" t="s">
        <v>1176</v>
      </c>
      <c r="C41" s="65" t="s">
        <v>1132</v>
      </c>
      <c r="D41" s="65" t="s">
        <v>1170</v>
      </c>
      <c r="E41" s="99">
        <f>ABS((SUMIFS(HESAPLAR!$K$7:$K$16,HESAPLAR!$C$7:$C$16,"Kasa")+SUMIFS(HESAPLAR!$K$7:$K$16,HESAPLAR!$C$7:$C$16,"Banka"))-HESAPLAR!$K$18)</f>
        <v>0</v>
      </c>
      <c r="F41" s="65" t="str">
        <f>IF($E41&lt;0.01,"GEÇTİ","KALDI")</f>
        <v>GEÇTİ</v>
      </c>
      <c r="G41" s="74" t="inlineStr">
        <is>
          <t>Kasa/Banka satırları toplamı = genel likit nakit toplamı; Ortak Cari hesapları fiziksel nakde dahil değildir.</t>
        </is>
      </c>
      <c r="H41" s="98" t="str">
        <f>HYPERLINK("#HESAPLAR!A1","HESAPLAR")</f>
        <v>HESAPLAR</v>
      </c>
      <c r="I41" s="74" t="str">
        <f>IF($F41="KALDI","HESAPLAR K18 ↔ yalnız Tür=Kasa/Banka — fark: "&amp;ROUND($E41,2)&amp;" TL","—")</f>
        <v>—</v>
      </c>
      <c r="J41" s="1"/>
      <c r="K41" s="61" t="s">
        <v>871</v>
      </c>
      <c r="L41" s="60" t="s">
        <v>571</v>
      </c>
      <c r="M41" s="1"/>
      <c r="N41" s="2"/>
      <c r="O41" s="2"/>
    </row>
    <row r="42" spans="1:15" ht="22.5" customHeight="1" x14ac:dyDescent="0.3">
      <c r="A42" s="2"/>
      <c r="B42" s="74" t="s">
        <v>1178</v>
      </c>
      <c r="C42" s="65" t="s">
        <v>1179</v>
      </c>
      <c r="D42" s="65" t="s">
        <v>1180</v>
      </c>
      <c r="E42" s="93">
        <f>SUMPRODUCT((((HESAPLAR!$C$7:$C$16="Kasa")+(HESAPLAR!$C$7:$C$16="Banka"))&gt;0)*(HESAPLAR!$K$7:$K$16&lt;0))</f>
        <v>1</v>
      </c>
      <c r="F42" s="65" t="str">
        <f>"BİLGİ"</f>
        <v>BİLGİ</v>
      </c>
      <c r="G42" s="74" t="inlineStr">
        <is>
          <t>Bakiyesi eksiye düşen gerçek Kasa/Banka hesabı incelenmeli; Ortak Cari bu kontrolde nakit hesabı sayılmaz.</t>
        </is>
      </c>
      <c r="H42" s="98" t="str">
        <f>HYPERLINK("#HESAPLAR!A1","HESAPLAR")</f>
        <v>HESAPLAR</v>
      </c>
      <c r="I42" s="74" t="str">
        <f>IF($E42=0,"—",IFERROR(INDEX(HESAPLAR!$B$7:$B$16,MATCH(1,INDEX(((((HESAPLAR!$C$7:$C$16="Kasa")+(HESAPLAR!$C$7:$C$16="Banka"))&gt;0)*(HESAPLAR!$K$7:$K$16&lt;0))*1,0),0))&amp;" — bakiye "&amp;ROUND(INDEX(HESAPLAR!$K$7:$K$16,MATCH(1,INDEX(((((HESAPLAR!$C$7:$C$16="Kasa")+(HESAPLAR!$C$7:$C$16="Banka"))&gt;0)*(HESAPLAR!$K$7:$K$16&lt;0))*1,0),0)),0)&amp;" TL","—"))</f>
        <v>MERKEZ KASA — bakiye -533100 TL</v>
      </c>
      <c r="J42" s="1"/>
      <c r="K42" s="61" t="s">
        <v>812</v>
      </c>
      <c r="L42" s="60" t="s">
        <v>571</v>
      </c>
      <c r="M42" s="1"/>
      <c r="N42" s="2"/>
      <c r="O42" s="2"/>
    </row>
    <row r="43" spans="1:15" ht="22.5" customHeight="1" x14ac:dyDescent="0.3">
      <c r="A43" s="2"/>
      <c r="B43" s="74" t="s">
        <v>1182</v>
      </c>
      <c r="C43" s="65" t="s">
        <v>1132</v>
      </c>
      <c r="D43" s="65" t="s">
        <v>1136</v>
      </c>
      <c r="E43" s="93">
        <f>SUMPRODUCT(((AY_SONU!$Y$7:$Y$42-AY_SONU!$M$7:$M$42-AY_SONU!$N$7:$N$42&gt;0.01)+(AY_SONU!$Y$7:$Y$42-AY_SONU!$M$7:$M$42-AY_SONU!$N$7:$N$42&lt;-0.01))*1)</f>
        <v>0</v>
      </c>
      <c r="F43" s="65" t="str">
        <f>IF($E43=0,"GEÇTİ","KALDI")</f>
        <v>GEÇTİ</v>
      </c>
      <c r="G43" s="74" t="s">
        <v>1183</v>
      </c>
      <c r="H43" s="98" t="str">
        <f>HYPERLINK("#AY_SONU!A1","AY_SONU")</f>
        <v>AY_SONU</v>
      </c>
      <c r="I43" s="74" t="str">
        <f>IF($E43=0,"—",IFERROR("AY_SONU satır "&amp;(MATCH(1,INDEX(((AY_SONU!$Y$7:$Y$42-AY_SONU!$M$7:$M$42-AY_SONU!$N$7:$N$42&gt;0.01)+(AY_SONU!$Y$7:$Y$42-AY_SONU!$M$7:$M$42-AY_SONU!$N$7:$N$42&lt;-0.01))*1,0),0)+6)&amp;" – "&amp;INDEX(AY_SONU!$B$7:$B$42,MATCH(1,INDEX(((AY_SONU!$Y$7:$Y$42-AY_SONU!$M$7:$M$42-AY_SONU!$N$7:$N$42&gt;0.01)+(AY_SONU!$Y$7:$Y$42-AY_SONU!$M$7:$M$42-AY_SONU!$N$7:$N$42&lt;-0.01))*1,0),0)),"—"))</f>
        <v>—</v>
      </c>
      <c r="J43" s="1"/>
      <c r="K43" s="61" t="s">
        <v>911</v>
      </c>
      <c r="L43" s="60" t="s">
        <v>571</v>
      </c>
      <c r="M43" s="1"/>
      <c r="N43" s="2"/>
      <c r="O43" s="2"/>
    </row>
    <row r="44" spans="1:15" ht="22.5" customHeight="1" x14ac:dyDescent="0.3">
      <c r="A44" s="2"/>
      <c r="B44" s="74" t="s">
        <v>1184</v>
      </c>
      <c r="C44" s="65" t="s">
        <v>1179</v>
      </c>
      <c r="D44" s="65" t="s">
        <v>1185</v>
      </c>
      <c r="E44" s="93">
        <f>0</f>
        <v>0</v>
      </c>
      <c r="F44" s="65" t="str">
        <f>"BİLGİ"</f>
        <v>BİLGİ</v>
      </c>
      <c r="G44" s="74" t="s">
        <v>1186</v>
      </c>
      <c r="H44" s="98" t="str">
        <f>HYPERLINK("#VIRMAN!A1","VIRMAN")</f>
        <v>VIRMAN</v>
      </c>
      <c r="I44" s="74" t="s">
        <v>1187</v>
      </c>
      <c r="J44" s="1"/>
      <c r="K44" s="61" t="s">
        <v>825</v>
      </c>
      <c r="L44" s="60" t="s">
        <v>571</v>
      </c>
      <c r="M44" s="1"/>
      <c r="N44" s="2"/>
      <c r="O44" s="2"/>
    </row>
    <row r="45" spans="1:15" ht="22.5" customHeight="1" x14ac:dyDescent="0.3">
      <c r="A45" s="2"/>
      <c r="B45" s="74" t="s">
        <v>1188</v>
      </c>
      <c r="C45" s="65" t="s">
        <v>1179</v>
      </c>
      <c r="D45" s="65" t="s">
        <v>1185</v>
      </c>
      <c r="E45" s="93">
        <f>0</f>
        <v>0</v>
      </c>
      <c r="F45" s="65" t="str">
        <f>"BİLGİ"</f>
        <v>BİLGİ</v>
      </c>
      <c r="G45" s="74" t="s">
        <v>1186</v>
      </c>
      <c r="H45" s="98" t="str">
        <f>HYPERLINK("#VIRMAN!A1","VIRMAN")</f>
        <v>VIRMAN</v>
      </c>
      <c r="I45" s="74" t="s">
        <v>1187</v>
      </c>
      <c r="J45" s="1"/>
      <c r="K45" s="61" t="s">
        <v>796</v>
      </c>
      <c r="L45" s="60" t="s">
        <v>571</v>
      </c>
      <c r="M45" s="1"/>
      <c r="N45" s="2"/>
      <c r="O45" s="2"/>
    </row>
    <row r="46" spans="1:15" ht="22.5" customHeight="1" x14ac:dyDescent="0.3">
      <c r="A46" s="2"/>
      <c r="B46" s="74" t="s">
        <v>1189</v>
      </c>
      <c r="C46" s="65" t="s">
        <v>1143</v>
      </c>
      <c r="D46" s="65" t="s">
        <v>1136</v>
      </c>
      <c r="E46" s="93">
        <f>SUMPRODUCT((ORTAKLAR!$B$14:$B$33&lt;&gt;"")*(ORTAKLAR!$I$14:$I$33&lt;&gt;"UYGUN"))</f>
        <v>0</v>
      </c>
      <c r="F46" s="65" t="str">
        <f>IF($E46=0,"GEÇTİ","KALDI")</f>
        <v>GEÇTİ</v>
      </c>
      <c r="G46" s="74" t="s">
        <v>1190</v>
      </c>
      <c r="H46" s="98" t="str">
        <f>HYPERLINK("#ORTAK_EKSTRE!A1","ORTAK_EKSTRE")</f>
        <v>ORTAK_EKSTRE</v>
      </c>
      <c r="I46" s="74" t="str">
        <f>IF($E46=0,"—",IFERROR("ORTAKLAR satır "&amp;(MATCH(1,INDEX((ORTAKLAR!$B$14:$B$33&lt;&gt;"")*(ORTAKLAR!$I$14:$I$33&lt;&gt;"UYGUN"),0),0)+13)&amp;"  –  "&amp;INDEX(ORTAKLAR!$B$14:$B$33,MATCH(1,INDEX((ORTAKLAR!$B$14:$B$33&lt;&gt;"")*(ORTAKLAR!$I$14:$I$33&lt;&gt;"UYGUN"),0),0)),"—"))</f>
        <v>—</v>
      </c>
      <c r="J46" s="1"/>
      <c r="K46" s="61" t="s">
        <v>1191</v>
      </c>
      <c r="L46" s="60" t="s">
        <v>571</v>
      </c>
      <c r="M46" s="1"/>
      <c r="N46" s="2"/>
      <c r="O46" s="2"/>
    </row>
    <row r="47" spans="1:15" ht="22.5" customHeight="1" x14ac:dyDescent="0.3">
      <c r="A47" s="2"/>
      <c r="B47" s="74" t="s">
        <v>1192</v>
      </c>
      <c r="C47" s="65" t="s">
        <v>1179</v>
      </c>
      <c r="D47" s="65" t="s">
        <v>1180</v>
      </c>
      <c r="E47" s="93">
        <f>SUMIFS(ORTAKLAR!$I$7:$I$10,ORTAKLAR!$I$7:$I$10,"&gt;0")</f>
        <v>595850.01</v>
      </c>
      <c r="F47" s="65" t="str">
        <f>"BİLGİ"</f>
        <v>BİLGİ</v>
      </c>
      <c r="G47" s="74" t="s">
        <v>1193</v>
      </c>
      <c r="H47" s="98" t="str">
        <f>HYPERLINK("#ORTAK_EKSTRE!A1","ORTAK_EKSTRE")</f>
        <v>ORTAK_EKSTRE</v>
      </c>
      <c r="I47" s="74" t="str">
        <f>IF($E47=0,"—",IFERROR("ORTAKLAR satır "&amp;(MATCH(1,INDEX((ORTAKLAR!$I$7:$I$10&gt;0)*1,0),0)+6)&amp;" — "&amp;INDEX(ORTAKLAR!$B$7:$B$10,MATCH(1,INDEX((ORTAKLAR!$I$7:$I$10&gt;0)*1,0),0))&amp;" — "&amp;ROUND(INDEX(ORTAKLAR!$I$7:$I$10,MATCH(1,INDEX((ORTAKLAR!$I$7:$I$10&gt;0)*1,0),0)),2)&amp;" TL ofise borçlu","ORTAKLAR I7:I10 — pozitif net cari satırını kontrol edin"))</f>
        <v>ORTAKLAR satır 8 — ÖMER KARTAL — 595850,01 TL ofise borçlu</v>
      </c>
      <c r="J47" s="1"/>
      <c r="K47" s="61" t="s">
        <v>1194</v>
      </c>
      <c r="L47" s="60" t="s">
        <v>571</v>
      </c>
      <c r="M47" s="1"/>
      <c r="N47" s="2"/>
      <c r="O47" s="2"/>
    </row>
    <row r="48" spans="1:15" ht="22.5" customHeight="1" x14ac:dyDescent="0.3">
      <c r="A48" s="2"/>
      <c r="B48" s="74" t="s">
        <v>1195</v>
      </c>
      <c r="C48" s="65" t="s">
        <v>1179</v>
      </c>
      <c r="D48" s="65" t="s">
        <v>1180</v>
      </c>
      <c r="E48" s="93">
        <f>-SUMIFS(ORTAKLAR!$I$7:$I$10,ORTAKLAR!$I$7:$I$10,"&lt;0")</f>
        <v>138799.99</v>
      </c>
      <c r="F48" s="65" t="str">
        <f>"BİLGİ"</f>
        <v>BİLGİ</v>
      </c>
      <c r="G48" s="74" t="s">
        <v>1196</v>
      </c>
      <c r="H48" s="98" t="str">
        <f>HYPERLINK("#ORTAK_EKSTRE!A1","ORTAK_EKSTRE")</f>
        <v>ORTAK_EKSTRE</v>
      </c>
      <c r="I48" s="74" t="str">
        <f>IF($E48=0,"—",IFERROR("ORTAKLAR satır "&amp;(MATCH(1,INDEX((ORTAKLAR!$I$7:$I$10&lt;0)*1,0),0)+6)&amp;" — "&amp;INDEX(ORTAKLAR!$B$7:$B$10,MATCH(1,INDEX((ORTAKLAR!$I$7:$I$10&lt;0)*1,0),0))&amp;" — "&amp;ROUND(ABS(INDEX(ORTAKLAR!$I$7:$I$10,MATCH(1,INDEX((ORTAKLAR!$I$7:$I$10&lt;0)*1,0),0))),2)&amp;" TL alacaklı","ORTAKLAR I7:I10 — negatif net cari satırını kontrol edin"))</f>
        <v>ORTAKLAR satır 7 — ALİ KILIÇ — 138799,99 TL alacaklı</v>
      </c>
      <c r="J48" s="1"/>
      <c r="K48" s="61" t="s">
        <v>1197</v>
      </c>
      <c r="L48" s="60" t="s">
        <v>571</v>
      </c>
      <c r="M48" s="1"/>
      <c r="N48" s="2"/>
      <c r="O48" s="2"/>
    </row>
    <row r="49" spans="1:15" ht="22.5" customHeight="1" x14ac:dyDescent="0.3">
      <c r="A49" s="2"/>
      <c r="B49" s="74" t="s">
        <v>1198</v>
      </c>
      <c r="C49" s="65" t="s">
        <v>1179</v>
      </c>
      <c r="D49" s="65" t="s">
        <v>1180</v>
      </c>
      <c r="E49" s="93">
        <f ca="1">COUNTIF(MUSTERI_360!$Q$7:$Q$156,"KRİTİK")</f>
        <v>27</v>
      </c>
      <c r="F49" s="65" t="str">
        <f>"BİLGİ"</f>
        <v>BİLGİ</v>
      </c>
      <c r="G49" s="74" t="s">
        <v>1199</v>
      </c>
      <c r="H49" s="98" t="str">
        <f>HYPERLINK("#MUSTERI_360!A1","MUSTERI_360")</f>
        <v>MUSTERI_360</v>
      </c>
      <c r="I49" s="74" t="str">
        <f ca="1">IF($E49=0,"—",IFERROR("MUSTERI_360 satır "&amp;(MATCH("KRİTİK",MUSTERI_360!$Q$7:$Q$156,0)+6)&amp;"  –  "&amp;INDEX(MUSTERI_360!$C$7:$C$156,MATCH("KRİTİK",MUSTERI_360!$Q$7:$Q$156,0)),"—"))</f>
        <v>MUSTERI_360 satır 7  –  TANAK LTD.ŞTİ.</v>
      </c>
      <c r="J49" s="1"/>
      <c r="K49" s="61" t="s">
        <v>1046</v>
      </c>
      <c r="L49" s="60" t="s">
        <v>571</v>
      </c>
      <c r="M49" s="1"/>
      <c r="N49" s="2"/>
      <c r="O49" s="2"/>
    </row>
    <row r="50" spans="1:15" ht="22.5" customHeight="1" x14ac:dyDescent="0.3">
      <c r="A50" s="2"/>
      <c r="B50" s="74" t="s">
        <v>1200</v>
      </c>
      <c r="C50" s="65" t="s">
        <v>1132</v>
      </c>
      <c r="D50" s="65" t="s">
        <v>1170</v>
      </c>
      <c r="E50" s="99">
        <f ca="1">IFERROR(ABS(CARI_EKSTRE!$F$9-(INDEX(MUSTERI_360!$J$7:$J$106,MATCH(CARI_EKSTRE!$AC$4,MUSTERI_360!$B$7:$B$106,0))-INDEX(MUSTERI_360!$V$7:$V$106,MATCH(CARI_EKSTRE!$AC$4,MUSTERI_360!$B$7:$B$106,0)))),0)</f>
        <v>0</v>
      </c>
      <c r="F50" s="65" t="str">
        <f ca="1">IF($E50&lt;0.01,"GEÇTİ","KALDI")</f>
        <v>GEÇTİ</v>
      </c>
      <c r="G50" s="74" t="s">
        <v>1201</v>
      </c>
      <c r="H50" s="98" t="str">
        <f>HYPERLINK("#CARI_EKSTRE!A1","CARI_EKSTRE")</f>
        <v>CARI_EKSTRE</v>
      </c>
      <c r="I50" s="74" t="str">
        <f ca="1">IF($F50="KALDI","CARI_EKSTRE F9 ↔ MUSTERI_360 cari — fark: "&amp;ROUND($E50,2)&amp;" TL","—")</f>
        <v>—</v>
      </c>
      <c r="J50" s="1"/>
      <c r="K50" s="61"/>
      <c r="L50" s="60"/>
      <c r="M50" s="1"/>
      <c r="N50" s="2"/>
      <c r="O50" s="2"/>
    </row>
    <row r="51" spans="1:15" ht="22.5" customHeight="1" x14ac:dyDescent="0.3">
      <c r="A51" s="2"/>
      <c r="B51" s="74" t="s">
        <v>1202</v>
      </c>
      <c r="C51" s="65" t="s">
        <v>1148</v>
      </c>
      <c r="D51" s="65" t="s">
        <v>1136</v>
      </c>
      <c r="E51" s="93">
        <f ca="1">COUNTIF(TAHSILAT!$M$7:$M$2503,"MÜKERRER?")</f>
        <v>0</v>
      </c>
      <c r="F51" s="65" t="str">
        <f ca="1">IF($E51=0,"GEÇTİ","KALDI")</f>
        <v>GEÇTİ</v>
      </c>
      <c r="G51" s="74" t="s">
        <v>1203</v>
      </c>
      <c r="H51" s="98" t="str">
        <f>HYPERLINK("#TAHSILAT!A1","TAHSILAT")</f>
        <v>TAHSILAT</v>
      </c>
      <c r="I51" s="74" t="str">
        <f ca="1">IFERROR("satır "&amp;(MATCH("MÜKERRER?",TAHSILAT!$M$7:$M$2503,0)+7-1)&amp;"  –  "&amp;INDEX(TAHSILAT!$D$7:$D$2503,MATCH("MÜKERRER?",TAHSILAT!$M$7:$M$2503,0)),"—")</f>
        <v>—</v>
      </c>
      <c r="J51" s="1"/>
      <c r="K51" s="61"/>
      <c r="L51" s="60"/>
      <c r="M51" s="1"/>
      <c r="N51" s="2"/>
      <c r="O51" s="2"/>
    </row>
    <row r="52" spans="1:15" ht="22.5" customHeight="1" x14ac:dyDescent="0.3">
      <c r="A52" s="2"/>
      <c r="B52" s="74" t="s">
        <v>1204</v>
      </c>
      <c r="C52" s="65" t="s">
        <v>1148</v>
      </c>
      <c r="D52" s="65" t="s">
        <v>1136</v>
      </c>
      <c r="E52" s="93">
        <f ca="1">COUNTIF(GELIR_GIDER!$P$7:$P$3001,"MÜKERRER?")</f>
        <v>0</v>
      </c>
      <c r="F52" s="65" t="str">
        <f ca="1">IF($E52=0,"GEÇTİ","KALDI")</f>
        <v>GEÇTİ</v>
      </c>
      <c r="G52" s="74" t="s">
        <v>1205</v>
      </c>
      <c r="H52" s="98" t="str">
        <f>HYPERLINK("#GELIR_GIDER!A1","GELIR_GIDER")</f>
        <v>GELIR_GIDER</v>
      </c>
      <c r="I52" s="74" t="str">
        <f ca="1">IFERROR("satır "&amp;(MATCH("MÜKERRER?",GELIR_GIDER!$P$7:$P$3001,0)+7-1)&amp;"  –  "&amp;INDEX(GELIR_GIDER!$E$7:$E$3001,MATCH("MÜKERRER?",GELIR_GIDER!$P$7:$P$3001,0)),"—")</f>
        <v>—</v>
      </c>
      <c r="J52" s="1"/>
      <c r="K52" s="61"/>
      <c r="L52" s="60"/>
      <c r="M52" s="1"/>
      <c r="N52" s="2"/>
      <c r="O52" s="2"/>
    </row>
    <row r="53" spans="1:15" ht="22.5" customHeight="1" x14ac:dyDescent="0.3">
      <c r="A53" s="1"/>
      <c r="B53" s="74" t="s">
        <v>1206</v>
      </c>
      <c r="C53" s="65" t="s">
        <v>1143</v>
      </c>
      <c r="D53" s="65" t="s">
        <v>1136</v>
      </c>
      <c r="E53" s="93">
        <f ca="1">COUNTIF(TAHSILAT!$M$7:$M$2503,"KAPALI DÖNEM")+COUNTIF(GELIR_GIDER!$P$7:$P$3001,"KAPALI DÖNEM")</f>
        <v>0</v>
      </c>
      <c r="F53" s="65" t="str">
        <f ca="1">IF($E53=0,"GEÇTİ","KALDI")</f>
        <v>GEÇTİ</v>
      </c>
      <c r="G53" s="74" t="s">
        <v>1207</v>
      </c>
      <c r="H53" s="98" t="str">
        <f>HYPERLINK("#AY_SONU!A1","AY_SONU")</f>
        <v>AY_SONU</v>
      </c>
      <c r="I53" s="74" t="str">
        <f ca="1">IF($E53=0,"—",IFERROR("TAHSILAT satır "&amp;(MATCH("KAPALI DÖNEM",TAHSILAT!$M$7:$M$2503,0)+6),IFERROR("GELIR_GIDER satır "&amp;(MATCH("KAPALI DÖNEM",GELIR_GIDER!$P$7:$P$3001,0)+6),"—")))</f>
        <v>—</v>
      </c>
      <c r="J53" s="1"/>
      <c r="K53" s="61"/>
      <c r="L53" s="60"/>
      <c r="M53" s="1"/>
      <c r="N53" s="1"/>
      <c r="O53" s="1"/>
    </row>
    <row r="54" spans="1:15" ht="22.5" customHeight="1" x14ac:dyDescent="0.3">
      <c r="A54" s="1"/>
      <c r="B54" s="74" t="s">
        <v>1208</v>
      </c>
      <c r="C54" s="65" t="s">
        <v>1179</v>
      </c>
      <c r="D54" s="65" t="s">
        <v>1180</v>
      </c>
      <c r="E54" s="93">
        <f ca="1">SUM(MUSTERI_360!$V$7:$V$156)</f>
        <v>107000</v>
      </c>
      <c r="F54" s="65" t="str">
        <f>"BİLGİ"</f>
        <v>BİLGİ</v>
      </c>
      <c r="G54" s="74" t="s">
        <v>1209</v>
      </c>
      <c r="H54" s="98" t="str">
        <f>HYPERLINK("#MUSTERI_360!A1","MUSTERI_360")</f>
        <v>MUSTERI_360</v>
      </c>
      <c r="I54" s="74" t="str">
        <f ca="1">IF($E54=0,"—",IFERROR(INDEX(MUSTERI_360!$C$7:$C$156,MATCH(1,INDEX((MUSTERI_360!$V$7:$V$156&gt;0)*1,0),0))&amp;" — avans "&amp;ROUND(INDEX(MUSTERI_360!$V$7:$V$156,MATCH(1,INDEX((MUSTERI_360!$V$7:$V$156&gt;0)*1,0),0)),0)&amp;" TL","—"))</f>
        <v>ALTINEL LTD.ŞTİ. — avans 84000 TL</v>
      </c>
      <c r="J54" s="1"/>
      <c r="K54" s="61"/>
      <c r="L54" s="60"/>
      <c r="M54" s="1"/>
      <c r="N54" s="1"/>
      <c r="O54" s="1"/>
    </row>
    <row r="55" spans="1:15" ht="22.5" customHeight="1" x14ac:dyDescent="0.3">
      <c r="A55" s="1"/>
      <c r="B55" s="74" t="s">
        <v>1210</v>
      </c>
      <c r="C55" s="65" t="s">
        <v>1179</v>
      </c>
      <c r="D55" s="65" t="s">
        <v>1180</v>
      </c>
      <c r="E55" s="93">
        <f>SUMIFS(GELIR_GIDER!$G$7:$G$3001,GELIR_GIDER!$D$7:$D$3001,"Gider",GELIR_GIDER!$I$7:$I$3001,"Hayır")</f>
        <v>0</v>
      </c>
      <c r="F55" s="65" t="str">
        <f>"BİLGİ"</f>
        <v>BİLGİ</v>
      </c>
      <c r="G55" s="74" t="s">
        <v>1211</v>
      </c>
      <c r="H55" s="98" t="str">
        <f>HYPERLINK("#GELIR_GIDER!A1","GELIR_GIDER")</f>
        <v>GELIR_GIDER</v>
      </c>
      <c r="I55" s="74" t="str">
        <f>IF($E55=0,"—",IFERROR("GELIR_GIDER satır "&amp;(MATCH(1,INDEX((GELIR_GIDER!$D$7:$D$3001="Gider")*(GELIR_GIDER!$I$7:$I$3001="Hayır")*(GELIR_GIDER!$G$7:$G$3001&gt;0),0),0)+6)&amp;"  –  "&amp;INDEX(GELIR_GIDER!$F$7:$F$3001,MATCH(1,INDEX((GELIR_GIDER!$D$7:$D$3001="Gider")*(GELIR_GIDER!$I$7:$I$3001="Hayır")*(GELIR_GIDER!$G$7:$G$3001&gt;0),0),0)),"—"))</f>
        <v>—</v>
      </c>
      <c r="J55" s="1"/>
      <c r="K55" s="61"/>
      <c r="L55" s="60"/>
      <c r="M55" s="1"/>
      <c r="N55" s="1"/>
      <c r="O55" s="1"/>
    </row>
    <row r="56" spans="1:15" ht="22.5" customHeight="1" x14ac:dyDescent="0.3">
      <c r="A56" s="1"/>
      <c r="B56" s="74" t="s">
        <v>1212</v>
      </c>
      <c r="C56" s="65" t="s">
        <v>1179</v>
      </c>
      <c r="D56" s="65" t="s">
        <v>1180</v>
      </c>
      <c r="E56" s="93">
        <f>SUMIFS(TAHSILAT!$F$7:$F$2503,TAHSILAT!$H$7:$H$2503,"Mahsup")</f>
        <v>0</v>
      </c>
      <c r="F56" s="65" t="str">
        <f>"BİLGİ"</f>
        <v>BİLGİ</v>
      </c>
      <c r="G56" s="74" t="s">
        <v>1213</v>
      </c>
      <c r="H56" s="98" t="str">
        <f>HYPERLINK("#TAHSILAT!A1","TAHSILAT")</f>
        <v>TAHSILAT</v>
      </c>
      <c r="I56" s="74" t="str">
        <f>IF($E56=0,"—",IFERROR("TAHSILAT satır "&amp;(MATCH("Mahsup",TAHSILAT!$H$7:$H$2503,0)+6)&amp;"  –  "&amp;INDEX(TAHSILAT!$D$7:$D$2503,MATCH("Mahsup",TAHSILAT!$H$7:$H$2503,0)),"—"))</f>
        <v>—</v>
      </c>
      <c r="J56" s="1"/>
      <c r="K56" s="61"/>
      <c r="L56" s="60"/>
      <c r="M56" s="1"/>
      <c r="N56" s="1"/>
      <c r="O56" s="1"/>
    </row>
    <row r="57" spans="1:15" ht="22.5" customHeight="1" x14ac:dyDescent="0.3">
      <c r="A57" s="1"/>
      <c r="B57" s="74" t="s">
        <v>1214</v>
      </c>
      <c r="C57" s="65" t="s">
        <v>1179</v>
      </c>
      <c r="D57" s="65" t="s">
        <v>1180</v>
      </c>
      <c r="E57" s="93">
        <f>MAX(0,SUM(AY_SONU!$I$7:$I$42)-SISTEM!$C$13-SUM(AY_SONU!$P$7:$P$42)-SUM(AY_SONU!$Q$7:$Q$42))</f>
        <v>277599.98</v>
      </c>
      <c r="F57" s="65" t="str">
        <f>"BİLGİ"</f>
        <v>BİLGİ</v>
      </c>
      <c r="G57" s="74" t="s">
        <v>1215</v>
      </c>
      <c r="H57" s="98" t="str">
        <f>HYPERLINK("#AY_SONU!A1","AY_SONU")</f>
        <v>AY_SONU</v>
      </c>
      <c r="I57" s="74" t="str">
        <f>IF($E57=0,"—","AY_SONU / SISTEM C13 — dağıtılmamış birikimli kâr: "&amp;ROUND($E57,2)&amp;" TL")</f>
        <v>AY_SONU / SISTEM C13 — dağıtılmamış birikimli kâr: 277599,98 TL</v>
      </c>
      <c r="J57" s="1"/>
      <c r="K57" s="61"/>
      <c r="L57" s="60"/>
      <c r="M57" s="1"/>
      <c r="N57" s="1"/>
      <c r="O57" s="1"/>
    </row>
    <row r="58" spans="1:15" ht="22.5" customHeight="1" x14ac:dyDescent="0.3">
      <c r="A58" s="1"/>
      <c r="B58" s="74" t="s">
        <v>1216</v>
      </c>
      <c r="C58" s="65" t="s">
        <v>1132</v>
      </c>
      <c r="D58" s="65" t="s">
        <v>1217</v>
      </c>
      <c r="E58" s="93">
        <f>SUMPRODUCT((AY_SONU!$Z$7:$Z$42+AY_SONU!$AA$7:$AA$42&lt;&gt;1)*1)</f>
        <v>0</v>
      </c>
      <c r="F58" s="65" t="str">
        <f>IF($E58=0,"GEÇTİ","KALDI")</f>
        <v>GEÇTİ</v>
      </c>
      <c r="G58" s="74" t="s">
        <v>1218</v>
      </c>
      <c r="H58" s="98" t="str">
        <f>HYPERLINK("#ORTAKLAR!A1","ORTAKLAR")</f>
        <v>ORTAKLAR</v>
      </c>
      <c r="I58" s="74" t="str">
        <f>IF($E58=0,"—",IFERROR("AY_SONU satır "&amp;(MATCH(1,INDEX((AY_SONU!$Z$7:$Z$42+AY_SONU!$AA$7:$AA$42&lt;&gt;1)*1,0),0)+6)&amp;" — B/Z/AA — dönem: "&amp;INDEX(AY_SONU!$B$7:$B$42,MATCH(1,INDEX((AY_SONU!$Z$7:$Z$42+AY_SONU!$AA$7:$AA$42&lt;&gt;1)*1,0),0)),"AY_SONU Z7:AA42 — pay oranı toplamı %100 olmayan satırı kontrol edin"))</f>
        <v>—</v>
      </c>
      <c r="J58" s="1"/>
      <c r="K58" s="61"/>
      <c r="L58" s="60"/>
      <c r="M58" s="1"/>
      <c r="N58" s="1"/>
      <c r="O58" s="1"/>
    </row>
    <row r="59" spans="1:15" ht="22.5" customHeight="1" x14ac:dyDescent="0.3">
      <c r="A59" s="1"/>
      <c r="B59" s="74" t="s">
        <v>1219</v>
      </c>
      <c r="C59" s="65" t="s">
        <v>1179</v>
      </c>
      <c r="D59" s="65" t="s">
        <v>1185</v>
      </c>
      <c r="E59" s="93">
        <f>0</f>
        <v>0</v>
      </c>
      <c r="F59" s="65" t="str">
        <f>"BİLGİ"</f>
        <v>BİLGİ</v>
      </c>
      <c r="G59" s="74" t="s">
        <v>1186</v>
      </c>
      <c r="H59" s="98" t="str">
        <f>HYPERLINK("#VIRMAN!A1","VIRMAN")</f>
        <v>VIRMAN</v>
      </c>
      <c r="I59" s="74" t="s">
        <v>1187</v>
      </c>
      <c r="J59" s="1"/>
      <c r="K59" s="61"/>
      <c r="L59" s="60"/>
      <c r="M59" s="1"/>
      <c r="N59" s="1"/>
      <c r="O59" s="1"/>
    </row>
    <row r="60" spans="1:15" ht="22.5" customHeight="1" x14ac:dyDescent="0.3">
      <c r="A60" s="1"/>
      <c r="B60" s="74" t="s">
        <v>1220</v>
      </c>
      <c r="C60" s="65" t="s">
        <v>1132</v>
      </c>
      <c r="D60" s="65" t="s">
        <v>1136</v>
      </c>
      <c r="E60" s="93">
        <f>COUNTIFS(ORTAKLAR!$B$14:$B$33,"&lt;&gt;",ORTAKLAR!$I$14:$I$33,"&lt;&gt;UYGUN")</f>
        <v>0</v>
      </c>
      <c r="F60" s="65" t="str">
        <f>IF($E60=0,"GEÇTİ","KALDI")</f>
        <v>GEÇTİ</v>
      </c>
      <c r="G60" s="74" t="s">
        <v>1221</v>
      </c>
      <c r="H60" s="98" t="str">
        <f>HYPERLINK("#ORTAKLAR!A1","ORTAKLAR")</f>
        <v>ORTAKLAR</v>
      </c>
      <c r="I60" s="74" t="str">
        <f>IFERROR("satır "&amp;(MATCH(1,INDEX((ORTAKLAR!$B$14:$B$33&lt;&gt;"")*(ORTAKLAR!$I$14:$I$33&lt;&gt;"UYGUN"),0),0)+13)&amp;" – "&amp;INDEX(ORTAKLAR!$B$14:$B$33,MATCH(1,INDEX((ORTAKLAR!$B$14:$B$33&lt;&gt;"")*(ORTAKLAR!$I$14:$I$33&lt;&gt;"UYGUN"),0),0)),"—")</f>
        <v>—</v>
      </c>
      <c r="J60" s="1"/>
      <c r="K60" s="61"/>
      <c r="L60" s="60"/>
      <c r="M60" s="1"/>
      <c r="N60" s="1"/>
      <c r="O60" s="1"/>
    </row>
    <row r="61" spans="1:15" ht="22.5" customHeight="1" x14ac:dyDescent="0.3">
      <c r="A61" s="1"/>
      <c r="B61" s="74" t="s">
        <v>1222</v>
      </c>
      <c r="C61" s="65" t="s">
        <v>1179</v>
      </c>
      <c r="D61" s="65" t="s">
        <v>1180</v>
      </c>
      <c r="E61" s="93">
        <f>SUM(ORTAKLAR!$I$7:$I$10)</f>
        <v>457050.02</v>
      </c>
      <c r="F61" s="65" t="str">
        <f>"BİLGİ"</f>
        <v>BİLGİ</v>
      </c>
      <c r="G61" s="74" t="s">
        <v>1223</v>
      </c>
      <c r="H61" s="98" t="str">
        <f>HYPERLINK("#ORTAKLAR!A1","ORTAKLAR")</f>
        <v>ORTAKLAR</v>
      </c>
      <c r="I61" s="74" t="str">
        <f>IF(ABS($E61)&lt;0.01,"—","ORTAKLAR I7:I10 net cari toplamı: "&amp;ROUND($E61,2)&amp;" TL")</f>
        <v>ORTAKLAR I7:I10 net cari toplamı: 457050,02 TL</v>
      </c>
      <c r="J61" s="1"/>
      <c r="K61" s="1"/>
      <c r="L61" s="1"/>
      <c r="M61" s="1"/>
      <c r="N61" s="1"/>
      <c r="O61" s="1"/>
    </row>
    <row r="62" spans="1:15" ht="22.5" customHeight="1" x14ac:dyDescent="0.3">
      <c r="A62" s="1"/>
      <c r="B62" s="74" t="s">
        <v>1224</v>
      </c>
      <c r="C62" s="65" t="s">
        <v>1179</v>
      </c>
      <c r="D62" s="65" t="s">
        <v>1180</v>
      </c>
      <c r="E62" s="93">
        <f>COUNTIF(ORTAKLAR!$I$7:$I$10,"&lt;-0.01")</f>
        <v>2</v>
      </c>
      <c r="F62" s="65" t="str">
        <f>"BİLGİ"</f>
        <v>BİLGİ</v>
      </c>
      <c r="G62" s="74" t="s">
        <v>1225</v>
      </c>
      <c r="H62" s="98" t="str">
        <f>HYPERLINK("#ORTAK_EKSTRE!A1","ORTAK_EKSTRE")</f>
        <v>ORTAK_EKSTRE</v>
      </c>
      <c r="I62" s="74" t="str">
        <f>IFERROR(INDEX(ORTAKLAR!$B$7:$B$10,MATCH(1,INDEX((ORTAKLAR!$I$7:$I$10&lt;0)*1,0),0))&amp;" — "&amp;ROUND(ABS(INDEX(ORTAKLAR!$I$7:$I$10,MATCH(1,INDEX((ORTAKLAR!$I$7:$I$10&lt;0)*1,0),0))),0)&amp;" TL alacaklı","—")</f>
        <v>ALİ KILIÇ — 138800 TL alacaklı</v>
      </c>
      <c r="J62" s="1"/>
      <c r="K62" s="1"/>
      <c r="L62" s="1"/>
      <c r="M62" s="1"/>
      <c r="N62" s="1"/>
      <c r="O62" s="1"/>
    </row>
    <row r="63" spans="1:15" ht="22.5" customHeight="1" x14ac:dyDescent="0.3">
      <c r="A63" s="1"/>
      <c r="B63" s="74" t="s">
        <v>1226</v>
      </c>
      <c r="C63" s="65" t="s">
        <v>1132</v>
      </c>
      <c r="D63" s="65" t="s">
        <v>1170</v>
      </c>
      <c r="E63" s="99">
        <f>ABS(SUM(AY_SONU!$C$7:$C$42)-AY_SONU!$X$42)</f>
        <v>0</v>
      </c>
      <c r="F63" s="65" t="str">
        <f>IF($E63&lt;0.01,"GEÇTİ","KALDI")</f>
        <v>GEÇTİ</v>
      </c>
      <c r="G63" s="74" t="s">
        <v>1227</v>
      </c>
      <c r="H63" s="98" t="str">
        <f>HYPERLINK("#AY_SONU!A1","AY_SONU")</f>
        <v>AY_SONU</v>
      </c>
      <c r="I63" s="74" t="str">
        <f>IF($F63="KALDI","AY_SONU C7:C42 ↔ X42 — fark: "&amp;ROUND($E63,2)&amp;" TL","—")</f>
        <v>—</v>
      </c>
      <c r="J63" s="1"/>
      <c r="K63" s="1"/>
      <c r="L63" s="1"/>
      <c r="M63" s="1"/>
      <c r="N63" s="1"/>
      <c r="O63" s="1"/>
    </row>
    <row r="64" spans="1:15" ht="22.5" customHeight="1" x14ac:dyDescent="0.3">
      <c r="A64" s="1"/>
      <c r="B64" s="74" t="s">
        <v>1228</v>
      </c>
      <c r="C64" s="65" t="s">
        <v>1132</v>
      </c>
      <c r="D64" s="65" t="s">
        <v>1136</v>
      </c>
      <c r="E64" s="93">
        <f>SUMPRODUCT((AY_SONU!$C$8:$C$41=0)*(AY_SONU!$C$7:$C$40&gt;0)*(AY_SONU!$C$9:$C$42&gt;0))</f>
        <v>0</v>
      </c>
      <c r="F64" s="65" t="str">
        <f>IF($E64=0,"GEÇTİ","KALDI")</f>
        <v>GEÇTİ</v>
      </c>
      <c r="G64" s="74" t="s">
        <v>1229</v>
      </c>
      <c r="H64" s="98" t="str">
        <f>HYPERLINK("#AY_SONU!A1","AY_SONU")</f>
        <v>AY_SONU</v>
      </c>
      <c r="I64" s="74" t="str">
        <f>IF($E64=0,"—",IFERROR("AY_SONU satır "&amp;(MATCH(1,INDEX((AY_SONU!$C$8:$C$41=0)*(AY_SONU!$C$7:$C$40&gt;0)*(AY_SONU!$C$9:$C$42&gt;0),0),0)+7)&amp;" — C"&amp;(MATCH(1,INDEX((AY_SONU!$C$8:$C$41=0)*(AY_SONU!$C$7:$C$40&gt;0)*(AY_SONU!$C$9:$C$42&gt;0),0),0)+7)&amp;" — ara ay tahakkuku 0","AY_SONU C8:C41 — ara boşluğu kontrol edin"))</f>
        <v>—</v>
      </c>
      <c r="J64" s="1"/>
      <c r="K64" s="1"/>
      <c r="L64" s="1"/>
      <c r="M64" s="1"/>
      <c r="N64" s="1"/>
      <c r="O64" s="1"/>
    </row>
    <row r="65" spans="1:15" ht="22.5" customHeight="1" x14ac:dyDescent="0.3">
      <c r="A65" s="1"/>
      <c r="B65" s="74" t="s">
        <v>1230</v>
      </c>
      <c r="C65" s="65" t="s">
        <v>1143</v>
      </c>
      <c r="D65" s="65" t="s">
        <v>1136</v>
      </c>
      <c r="E65" s="92">
        <f>SUMPRODUCT((AY_SONU!$X$8:$X$42&lt;AY_SONU!$X$7:$X$41)*1)</f>
        <v>0</v>
      </c>
      <c r="F65" s="65" t="str">
        <f>IF($E65=0,"GEÇTİ","KALDI")</f>
        <v>GEÇTİ</v>
      </c>
      <c r="G65" s="74" t="s">
        <v>1231</v>
      </c>
      <c r="H65" s="98" t="str">
        <f>HYPERLINK("#AY_SONU!A1","AY_SONU")</f>
        <v>AY_SONU</v>
      </c>
      <c r="I65" s="74" t="str">
        <f>IF($E65=0,"—",IFERROR("AY_SONU satır "&amp;(MATCH(1,INDEX((AY_SONU!$X$8:$X$42&lt;AY_SONU!$X$7:$X$41)*1,0),0)+7)&amp;" — X"&amp;(MATCH(1,INDEX((AY_SONU!$X$8:$X$42&lt;AY_SONU!$X$7:$X$41)*1,0),0)+7)&amp;" &lt; X"&amp;(MATCH(1,INDEX((AY_SONU!$X$8:$X$42&lt;AY_SONU!$X$7:$X$41)*1,0),0)+6)&amp;" — kümülatif tahakkuk geriye gidiyor","AY_SONU X8:X42 — ilk geriye giden satırı kontrol edin"))</f>
        <v>—</v>
      </c>
      <c r="J65" s="1"/>
      <c r="K65" s="1"/>
      <c r="L65" s="1"/>
      <c r="M65" s="1"/>
      <c r="N65" s="1"/>
      <c r="O65" s="1"/>
    </row>
    <row r="66" spans="1:15" ht="22.5" customHeight="1" x14ac:dyDescent="0.3">
      <c r="A66" s="1"/>
      <c r="B66" s="74" t="s">
        <v>1232</v>
      </c>
      <c r="C66" s="65" t="s">
        <v>1132</v>
      </c>
      <c r="D66" s="65" t="s">
        <v>1136</v>
      </c>
      <c r="E66" s="93">
        <f>COUNTIF(UCRETLER!$N$7:$N$606,"MODEL SEÇİN")</f>
        <v>0</v>
      </c>
      <c r="F66" s="65" t="str">
        <f>IF($E66=0,"GEÇTİ","KALDI")</f>
        <v>GEÇTİ</v>
      </c>
      <c r="G66" s="74" t="s">
        <v>1233</v>
      </c>
      <c r="H66" s="98" t="str">
        <f>HYPERLINK("#UCRETLER!A1","UCRETLER")</f>
        <v>UCRETLER</v>
      </c>
      <c r="I66" s="74" t="str">
        <f>IFERROR("satır "&amp;(MATCH("MODEL SEÇİN",UCRETLER!$N$7:$N$606,0)+6)&amp;" – "&amp;INDEX(UCRETLER!$C$7:$C$606,MATCH("MODEL SEÇİN",UCRETLER!$N$7:$N$606,0)),"—")</f>
        <v>—</v>
      </c>
      <c r="J66" s="1"/>
      <c r="K66" s="1"/>
      <c r="L66" s="1"/>
      <c r="M66" s="1"/>
      <c r="N66" s="1"/>
      <c r="O66" s="1"/>
    </row>
    <row r="67" spans="1:15" ht="22.5" customHeight="1" x14ac:dyDescent="0.3">
      <c r="A67" s="1"/>
      <c r="B67" s="74" t="s">
        <v>1234</v>
      </c>
      <c r="C67" s="65" t="s">
        <v>1132</v>
      </c>
      <c r="D67" s="65" t="s">
        <v>1136</v>
      </c>
      <c r="E67" s="93">
        <f>COUNTIF(UCRETLER!$AA$7:$AA$606,"&gt;1")</f>
        <v>0</v>
      </c>
      <c r="F67" s="65" t="str">
        <f>IF($E67=0,"GEÇTİ","KALDI")</f>
        <v>GEÇTİ</v>
      </c>
      <c r="G67" s="74" t="s">
        <v>1235</v>
      </c>
      <c r="H67" s="98" t="str">
        <f>HYPERLINK("#UCRETLER!A1","UCRETLER")</f>
        <v>UCRETLER</v>
      </c>
      <c r="I67" s="74" t="str">
        <f>IF($E67=0,"—",IFERROR("satır "&amp;(MATCH(1,INDEX((UCRETLER!$AA$7:$AA$606&gt;1)*1,0),0)+6)&amp;"  –  "&amp;INDEX(UCRETLER!$C$7:$C$606,MATCH(1,INDEX((UCRETLER!$AA$7:$AA$606&gt;1)*1,0),0))&amp;"  –  aynı müşteride birden fazla Aktif ücret dönemi","—"))</f>
        <v>—</v>
      </c>
      <c r="J67" s="1"/>
      <c r="K67" s="1"/>
      <c r="L67" s="1"/>
      <c r="M67" s="1"/>
      <c r="N67" s="1"/>
      <c r="O67" s="1"/>
    </row>
    <row r="68" spans="1:15" ht="22.5" customHeight="1" x14ac:dyDescent="0.3">
      <c r="A68" s="1"/>
      <c r="B68" s="74" t="s">
        <v>1236</v>
      </c>
      <c r="C68" s="65" t="s">
        <v>1179</v>
      </c>
      <c r="D68" s="65" t="s">
        <v>1180</v>
      </c>
      <c r="E68" s="93">
        <f ca="1">COUNTIF(MUSTERI_360!$E$7:$E$156,"&gt;0")</f>
        <v>29</v>
      </c>
      <c r="F68" s="65" t="str">
        <f>"BİLGİ"</f>
        <v>BİLGİ</v>
      </c>
      <c r="G68" s="74" t="s">
        <v>1237</v>
      </c>
      <c r="H68" s="98" t="str">
        <f>HYPERLINK("#MUSTERI_360!A1","MUSTERI_360")</f>
        <v>MUSTERI_360</v>
      </c>
      <c r="I68" s="74" t="str">
        <f ca="1">IF($E68=0,"—",IFERROR(INDEX(MUSTERI_360!$C$7:$C$156,MATCH(1,INDEX((MUSTERI_360!$E$7:$E$156&gt;0)*1,0),0))&amp;" — aylık ücretli","—"))</f>
        <v>DERVİŞHAN LTD.ŞTİ. — aylık ücretli</v>
      </c>
      <c r="J68" s="1"/>
      <c r="K68" s="1"/>
      <c r="L68" s="1"/>
      <c r="M68" s="1"/>
      <c r="N68" s="1"/>
      <c r="O68" s="1"/>
    </row>
    <row r="69" spans="1:15" ht="22.5" customHeight="1" x14ac:dyDescent="0.3">
      <c r="A69" s="1"/>
      <c r="B69" s="74" t="s">
        <v>1238</v>
      </c>
      <c r="C69" s="65" t="s">
        <v>1179</v>
      </c>
      <c r="D69" s="65" t="s">
        <v>1180</v>
      </c>
      <c r="E69" s="93">
        <f ca="1">COUNTIF(GELIR_GIDER!$P$7:$P$3001,"TAHAKKUK")</f>
        <v>0</v>
      </c>
      <c r="F69" s="65" t="str">
        <f>"BİLGİ"</f>
        <v>BİLGİ</v>
      </c>
      <c r="G69" s="74" t="s">
        <v>1239</v>
      </c>
      <c r="H69" s="98" t="str">
        <f>HYPERLINK("#GELIR_GIDER!A1","GELIR_GIDER")</f>
        <v>GELIR_GIDER</v>
      </c>
      <c r="I69" s="74" t="str">
        <f ca="1">IF($E69=0,"—",IFERROR("GELIR_GIDER satır "&amp;(MATCH("TAHAKKUK",GELIR_GIDER!$P$7:$P$3001,0)+6)&amp;"  –  "&amp;INDEX(GELIR_GIDER!$F$7:$F$3001,MATCH("TAHAKKUK",GELIR_GIDER!$P$7:$P$3001,0)),"—"))</f>
        <v>—</v>
      </c>
      <c r="J69" s="1"/>
      <c r="K69" s="1"/>
      <c r="L69" s="1"/>
      <c r="M69" s="1"/>
      <c r="N69" s="1"/>
      <c r="O69" s="1"/>
    </row>
    <row r="70" spans="1:15" ht="22.5" customHeight="1" x14ac:dyDescent="0.3">
      <c r="A70" s="1"/>
      <c r="B70" s="74" t="s">
        <v>1240</v>
      </c>
      <c r="C70" s="65" t="s">
        <v>1132</v>
      </c>
      <c r="D70" s="65" t="s">
        <v>1136</v>
      </c>
      <c r="E70" s="93">
        <f ca="1">COUNTIF(GELIR_GIDER!$P$7:$P$3001,"TAHAKKUK NAKİT OLAMAZ")</f>
        <v>0</v>
      </c>
      <c r="F70" s="65" t="str">
        <f ca="1">IF($E70=0,"GEÇTİ","KALDI")</f>
        <v>GEÇTİ</v>
      </c>
      <c r="G70" s="74" t="s">
        <v>1241</v>
      </c>
      <c r="H70" s="98" t="str">
        <f>HYPERLINK("#GELIR_GIDER!A1","GELIR_GIDER")</f>
        <v>GELIR_GIDER</v>
      </c>
      <c r="I70" s="74" t="str">
        <f ca="1">IFERROR("satır "&amp;(MATCH("TAHAKKUK NAKİT OLAMAZ",GELIR_GIDER!$P$7:$P$3001,0)+7-1)&amp;"  –  "&amp;INDEX(GELIR_GIDER!$E$7:$E$3001,MATCH("TAHAKKUK NAKİT OLAMAZ",GELIR_GIDER!$P$7:$P$3001,0)),"—")</f>
        <v>—</v>
      </c>
      <c r="J70" s="1"/>
      <c r="K70" s="1"/>
      <c r="L70" s="1"/>
      <c r="M70" s="1"/>
      <c r="N70" s="1"/>
      <c r="O70" s="1"/>
    </row>
    <row r="71" spans="1:15" ht="22.5" customHeight="1" x14ac:dyDescent="0.3">
      <c r="A71" s="1"/>
      <c r="B71" s="74" t="s">
        <v>1242</v>
      </c>
      <c r="C71" s="65" t="s">
        <v>1132</v>
      </c>
      <c r="D71" s="65" t="s">
        <v>1136</v>
      </c>
      <c r="E71" s="93">
        <f ca="1">COUNTIF(GELIR_GIDER!$P$7:$P$3001,"TANIMSIZ BORÇLU")</f>
        <v>0</v>
      </c>
      <c r="F71" s="65" t="str">
        <f ca="1">IF($E71=0,"GEÇTİ","KALDI")</f>
        <v>GEÇTİ</v>
      </c>
      <c r="G71" s="74" t="s">
        <v>1243</v>
      </c>
      <c r="H71" s="98" t="str">
        <f>HYPERLINK("#GELIR_GIDER!A1","GELIR_GIDER")</f>
        <v>GELIR_GIDER</v>
      </c>
      <c r="I71" s="74" t="str">
        <f ca="1">IFERROR("satır "&amp;(MATCH("TANIMSIZ BORÇLU",GELIR_GIDER!$P$7:$P$3001,0)+7-1)&amp;"  –  "&amp;INDEX(GELIR_GIDER!$E$7:$E$3001,MATCH("TANIMSIZ BORÇLU",GELIR_GIDER!$P$7:$P$3001,0)),"—")</f>
        <v>—</v>
      </c>
      <c r="J71" s="1"/>
      <c r="K71" s="1"/>
      <c r="L71" s="1"/>
      <c r="M71" s="1"/>
      <c r="N71" s="1"/>
      <c r="O71" s="1"/>
    </row>
    <row r="72" spans="1:15" ht="22.5" customHeight="1" x14ac:dyDescent="0.3">
      <c r="A72" s="1"/>
      <c r="B72" s="74" t="s">
        <v>1244</v>
      </c>
      <c r="C72" s="65" t="s">
        <v>1179</v>
      </c>
      <c r="D72" s="65" t="s">
        <v>1180</v>
      </c>
      <c r="E72" s="93">
        <f>SUM(MUSTERILER!$J$7:$J$156)</f>
        <v>0</v>
      </c>
      <c r="F72" s="65" t="str">
        <f>"BİLGİ"</f>
        <v>BİLGİ</v>
      </c>
      <c r="G72" s="74" t="s">
        <v>1245</v>
      </c>
      <c r="H72" s="98" t="str">
        <f>HYPERLINK("#MUSTERILER!A1","MUSTERILER")</f>
        <v>MUSTERILER</v>
      </c>
      <c r="I72" s="74" t="str">
        <f>IF($E72=0,"—",IFERROR(INDEX(MUSTERILER!$C$7:$C$156,MATCH(1,INDEX((MUSTERILER!$J$7:$J$156&gt;0)*1,0),0))&amp;" — devir "&amp;ROUND(INDEX(MUSTERILER!$J$7:$J$156,MATCH(1,INDEX((MUSTERILER!$J$7:$J$156&gt;0)*1,0),0)),0)&amp;" TL","—"))</f>
        <v>—</v>
      </c>
      <c r="J72" s="1"/>
      <c r="K72" s="1"/>
      <c r="L72" s="1"/>
      <c r="M72" s="1"/>
      <c r="N72" s="1"/>
      <c r="O72" s="1"/>
    </row>
    <row r="73" spans="1:15" ht="22.5" customHeight="1" x14ac:dyDescent="0.3">
      <c r="B73" s="74" t="s">
        <v>1246</v>
      </c>
      <c r="C73" s="65" t="s">
        <v>1132</v>
      </c>
      <c r="D73" s="74" t="s">
        <v>1136</v>
      </c>
      <c r="E73" s="93">
        <f>SUMPRODUCT((ORTAKLAR!$B$7:$B$10&lt;&gt;"")*(ORTAKLAR!$D$7:$D$10="Aktif")*(ORTAKLAR!$B$7:$B$10&lt;&gt;SISTEM!$C$9)*(ORTAKLAR!$B$7:$B$10&lt;&gt;SISTEM!$C$10))</f>
        <v>0</v>
      </c>
      <c r="F73" s="65" t="str">
        <f>IF($E73=0,"GEÇTİ","KALDI")</f>
        <v>GEÇTİ</v>
      </c>
      <c r="G73" s="74" t="s">
        <v>1247</v>
      </c>
      <c r="H73" s="98" t="str">
        <f>HYPERLINK("#ORTAK_EKSTRE!A1","ORTAK_EKSTRE")</f>
        <v>ORTAK_EKSTRE</v>
      </c>
      <c r="I73" s="74" t="str">
        <f>IF($E73=0,"—",IFERROR("ORTAKLAR satır "&amp;(MATCH(1,INDEX((ORTAKLAR!$B$7:$B$10&lt;&gt;"")*(ORTAKLAR!$D$7:$D$10="Aktif")*(ORTAKLAR!$B$7:$B$10&lt;&gt;SISTEM!$C$9)*(ORTAKLAR!$B$7:$B$10&lt;&gt;SISTEM!$C$10),0),0)+6)&amp;" – "&amp;INDEX(ORTAKLAR!$B$7:$B$10,MATCH(1,INDEX((ORTAKLAR!$B$7:$B$10&lt;&gt;"")*(ORTAKLAR!$D$7:$D$10="Aktif")*(ORTAKLAR!$B$7:$B$10&lt;&gt;SISTEM!$C$9)*(ORTAKLAR!$B$7:$B$10&lt;&gt;SISTEM!$C$10),0),0)),"—"))</f>
        <v>—</v>
      </c>
      <c r="J73" s="1"/>
      <c r="K73" s="1"/>
      <c r="L73" s="1"/>
      <c r="M73" s="1"/>
      <c r="N73" s="1"/>
      <c r="O73" s="1"/>
    </row>
    <row r="74" spans="1:15" ht="22.5" customHeight="1" x14ac:dyDescent="0.3">
      <c r="B74" s="74" t="s">
        <v>1248</v>
      </c>
      <c r="C74" s="65" t="s">
        <v>1132</v>
      </c>
      <c r="D74" s="74" t="s">
        <v>1136</v>
      </c>
      <c r="E74" s="93">
        <f>SUMPRODUCT((TAHSILAT!$G$7:$G$2503&lt;&gt;"")*(((TAHSILAT!$G$7:$G$2503=ORTAKLAR!$B$7)+(TAHSILAT!$G$7:$G$2503=ORTAKLAR!$B$8)+(TAHSILAT!$G$7:$G$2503=ORTAKLAR!$B$9)+(TAHSILAT!$G$7:$G$2503=ORTAKLAR!$B$10))&gt;0)*(TAHSILAT!$H$7:$H$2503&lt;&gt;"Mahsup")*(TAHSILAT!$U$7:$U$2503=""))</f>
        <v>0</v>
      </c>
      <c r="F74" s="65" t="str">
        <f>IF($E74=0,"GEÇTİ","KALDI")</f>
        <v>GEÇTİ</v>
      </c>
      <c r="G74" s="74" t="s">
        <v>1249</v>
      </c>
      <c r="H74" s="98" t="str">
        <f>HYPERLINK("#ORTAK_EKSTRE!A1","ORTAK_EKSTRE")</f>
        <v>ORTAK_EKSTRE</v>
      </c>
      <c r="I74" s="74" t="str">
        <f>IF($E74=0,"—",IFERROR("TAHSILAT satır "&amp;(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+6)&amp;" – hesap: "&amp;INDEX(TAHSILAT!$G$7:$G$2503,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),"—"))</f>
        <v>—</v>
      </c>
      <c r="J74" s="1"/>
      <c r="K74" s="1"/>
      <c r="L74" s="1"/>
      <c r="M74" s="1"/>
      <c r="N74" s="1"/>
      <c r="O74" s="1"/>
    </row>
    <row r="75" spans="1:15" ht="22.5" customHeight="1" x14ac:dyDescent="0.3">
      <c r="B75" s="74" t="s">
        <v>1250</v>
      </c>
      <c r="C75" s="65" t="s">
        <v>1132</v>
      </c>
      <c r="D75" s="74" t="s">
        <v>1136</v>
      </c>
      <c r="E75" s="93">
        <f>IF(ORTAKLAR!$B$7="",0,IF(ABS(N(ORTAKLAR!$I$7)-(N(ORTAKLAR!$E$7)+N(ORTAKLAR!$F$7)-N(ORTAKLAR!$G$7)-N(ORTAKLAR!$H$7)))&gt;0.01,1,0))+IF(ORTAKLAR!$B$8="",0,IF(ABS(N(ORTAKLAR!$I$8)-(N(ORTAKLAR!$E$8)+N(ORTAKLAR!$F$8)-N(ORTAKLAR!$G$8)-N(ORTAKLAR!$H$8)))&gt;0.01,1,0))+IF(ORTAKLAR!$B$9="",0,IF(ABS(N(ORTAKLAR!$I$9)-(N(ORTAKLAR!$E$9)+N(ORTAKLAR!$F$9)-N(ORTAKLAR!$G$9)-N(ORTAKLAR!$H$9)))&gt;0.01,1,0))+IF(ORTAKLAR!$B$10="",0,IF(ABS(N(ORTAKLAR!$I$10)-(N(ORTAKLAR!$E$10)+N(ORTAKLAR!$F$10)-N(ORTAKLAR!$G$10)-N(ORTAKLAR!$H$10)))&gt;0.01,1,0))</f>
        <v>0</v>
      </c>
      <c r="F75" s="65" t="str">
        <f>IF($E75=0,"GEÇTİ","KALDI")</f>
        <v>GEÇTİ</v>
      </c>
      <c r="G75" s="74" t="s">
        <v>1251</v>
      </c>
      <c r="H75" s="98" t="str">
        <f>HYPERLINK("#ORTAK_EKSTRE!A1","ORTAK_EKSTRE")</f>
        <v>ORTAK_EKSTRE</v>
      </c>
      <c r="I75" s="74" t="str">
        <f>IF($E75=0,"—",IF(AND(ORTAKLAR!$B$7&lt;&gt;"",ABS(N(ORTAKLAR!$I$7)-(N(ORTAKLAR!$E$7)+N(ORTAKLAR!$F$7)-N(ORTAKLAR!$G$7)-N(ORTAKLAR!$H$7)))&gt;0.01),"ORTAKLAR satır 7 — "&amp;ORTAKLAR!$B$7,IF(AND(ORTAKLAR!$B$8&lt;&gt;"",ABS(N(ORTAKLAR!$I$8)-(N(ORTAKLAR!$E$8)+N(ORTAKLAR!$F$8)-N(ORTAKLAR!$G$8)-N(ORTAKLAR!$H$8)))&gt;0.01),"ORTAKLAR satır 8 — "&amp;ORTAKLAR!$B$8,IF(AND(ORTAKLAR!$B$9&lt;&gt;"",ABS(N(ORTAKLAR!$I$9)-(N(ORTAKLAR!$E$9)+N(ORTAKLAR!$F$9)-N(ORTAKLAR!$G$9)-N(ORTAKLAR!$H$9)))&gt;0.01),"ORTAKLAR satır 9 — "&amp;ORTAKLAR!$B$9,IF(AND(ORTAKLAR!$B$10&lt;&gt;"",ABS(N(ORTAKLAR!$I$10)-(N(ORTAKLAR!$E$10)+N(ORTAKLAR!$F$10)-N(ORTAKLAR!$G$10)-N(ORTAKLAR!$H$10)))&gt;0.01),"ORTAKLAR satır 10 — "&amp;ORTAKLAR!$B$10,"ORTAKLAR B7:I10")))))</f>
        <v>—</v>
      </c>
      <c r="J75" s="1"/>
      <c r="K75" s="1"/>
      <c r="L75" s="1"/>
      <c r="M75" s="1"/>
      <c r="N75" s="1"/>
      <c r="O75" s="1"/>
    </row>
    <row r="76" spans="1:15" ht="22.5" customHeight="1" x14ac:dyDescent="0.3">
      <c r="B76" s="74" t="s">
        <v>1252</v>
      </c>
      <c r="C76" s="65" t="s">
        <v>1132</v>
      </c>
      <c r="D76" s="74" t="s">
        <v>1170</v>
      </c>
      <c r="E76" s="93">
        <f>IF(ORTAK_EKSTRE!$C$36="",0,IFERROR(ABS(IFERROR(LOOKUP(2,1/(ORTAK_EKSTRE!$C$38:$C$953&lt;&gt;""),ORTAK_EKSTRE!$I$38:$I$953),0)-INDEX(ORTAKLAR!$I$7:$I$10,MATCH(ORTAK_EKSTRE!$C$36,ORTAKLAR!$B$7:$B$10,0))),999999))</f>
        <v>0</v>
      </c>
      <c r="F76" s="65" t="str">
        <f>IF($E76&lt;0.01,"GEÇTİ","KALDI")</f>
        <v>GEÇTİ</v>
      </c>
      <c r="G76" s="74" t="s">
        <v>1253</v>
      </c>
      <c r="H76" s="98" t="str">
        <f>HYPERLINK("#ORTAK_EKSTRE!A1","ORTAK_EKSTRE")</f>
        <v>ORTAK_EKSTRE</v>
      </c>
      <c r="I76" s="74" t="str">
        <f>IF($E76&lt;0.01,"—","ORTAK_EKSTRE C36 – seçili ortak: "&amp;ORTAK_EKSTRE!$C$36&amp;" – detay/net farkı: "&amp;ROUND($E76,2)&amp;" TL")</f>
        <v>—</v>
      </c>
      <c r="J76" s="1"/>
      <c r="K76" s="1"/>
      <c r="L76" s="1"/>
      <c r="M76" s="1"/>
      <c r="N76" s="1"/>
      <c r="O76" s="1"/>
    </row>
    <row r="77" spans="1:15" ht="16.5" x14ac:dyDescent="0.25">
      <c r="B77" s="74" t="s">
        <v>1254</v>
      </c>
      <c r="C77" s="65" t="s">
        <v>1132</v>
      </c>
      <c r="D77" s="74" t="s">
        <v>1170</v>
      </c>
      <c r="E77" s="92">
        <f>ABS(KAR!$C$36-(SUM(TAHSILAT!$F$7:$F$3003)+SUMIFS(GELIR_GIDER!$G$7:$G$3001,GELIR_GIDER!$D$7:$D$3001,"Gelir")))+ABS(KAR!$G$36-SUMIFS(GELIR_GIDER!$G$7:$G$3001,GELIR_GIDER!$D$7:$D$3001,"Gider"))</f>
        <v>0</v>
      </c>
      <c r="F77" s="65" t="str">
        <f>IF($E77&lt;0.01,"GEÇTİ","KALDI")</f>
        <v>GEÇTİ</v>
      </c>
      <c r="G77" s="74" t="s">
        <v>1255</v>
      </c>
      <c r="H77" s="98" t="str">
        <f t="shared" ref="H77:H82" si="1">HYPERLINK("#KAR!A1","KAR")</f>
        <v>KAR</v>
      </c>
      <c r="I77" s="74" t="str">
        <f>IF($F77="KALDI","KAR C36/G36 ↔ TAHSILAT F7:F3003 + GELIR_GIDER G7:G3003 — fark: "&amp;ROUND($E77,2)&amp;" TL — eksik kategori veya toplam kopması var","—")</f>
        <v>—</v>
      </c>
    </row>
    <row r="78" spans="1:15" ht="20.100000000000001" customHeight="1" x14ac:dyDescent="0.25">
      <c r="B78" s="74" t="s">
        <v>1256</v>
      </c>
      <c r="C78" s="65" t="s">
        <v>1132</v>
      </c>
      <c r="D78" s="74" t="s">
        <v>1133</v>
      </c>
      <c r="E78" s="92">
        <f>IF(KAR!$C$36=0,0,SUM(KAR!$D$8:$D$35))</f>
        <v>1</v>
      </c>
      <c r="F78" s="65" t="str">
        <f>IF(OR(AND(KAR!$C$36=0,$E78=0),AND(KAR!$C$36&lt;&gt;0,ABS($E78-1)&lt;0.0001)),"GEÇTİ","KALDI")</f>
        <v>GEÇTİ</v>
      </c>
      <c r="G78" s="74" t="s">
        <v>1257</v>
      </c>
      <c r="H78" s="98" t="str">
        <f t="shared" si="1"/>
        <v>KAR</v>
      </c>
      <c r="I78" s="74" t="str">
        <f>IF($F78="KALDI","KAR D8:D35 — pay toplamı: "&amp;ROUND($E78*100,2)&amp;"% — her dolu satır Cn/C36 olmalı","—")</f>
        <v>—</v>
      </c>
    </row>
    <row r="79" spans="1:15" ht="20.100000000000001" customHeight="1" x14ac:dyDescent="0.25">
      <c r="B79" s="74" t="s">
        <v>1258</v>
      </c>
      <c r="C79" s="65" t="s">
        <v>1132</v>
      </c>
      <c r="D79" s="74" t="s">
        <v>1133</v>
      </c>
      <c r="E79" s="92">
        <f>IF(KAR!$G$36=0,0,SUM(KAR!$H$8:$H$34))</f>
        <v>1</v>
      </c>
      <c r="F79" s="65" t="str">
        <f>IF(OR(AND(KAR!$G$36=0,$E79=0),AND(KAR!$G$36&lt;&gt;0,ABS($E79-1)&lt;0.0001)),"GEÇTİ","KALDI")</f>
        <v>GEÇTİ</v>
      </c>
      <c r="G79" s="74" t="s">
        <v>1259</v>
      </c>
      <c r="H79" s="98" t="str">
        <f t="shared" si="1"/>
        <v>KAR</v>
      </c>
      <c r="I79" s="74" t="str">
        <f>IF($F79="KALDI","KAR H8:H34 — pay toplamı: "&amp;ROUND($E79*100,2)&amp;"% — her dolu satır Gn/G36 olmalı","—")</f>
        <v>—</v>
      </c>
    </row>
    <row r="80" spans="1:15" ht="20.100000000000001" customHeight="1" x14ac:dyDescent="0.25">
      <c r="B80" s="74" t="s">
        <v>1260</v>
      </c>
      <c r="C80" s="65" t="s">
        <v>1132</v>
      </c>
      <c r="D80" s="74" t="s">
        <v>1170</v>
      </c>
      <c r="E80" s="92">
        <f>ABS(KAR!$C$38-(KAR!$C$36-KAR!$G$36))</f>
        <v>0</v>
      </c>
      <c r="F80" s="65" t="str">
        <f>IF($E80&lt;0.01,"GEÇTİ","KALDI")</f>
        <v>GEÇTİ</v>
      </c>
      <c r="G80" s="74" t="s">
        <v>1261</v>
      </c>
      <c r="H80" s="98" t="str">
        <f t="shared" si="1"/>
        <v>KAR</v>
      </c>
      <c r="I80" s="74" t="str">
        <f>IF($F80="KALDI","KAR C38 ↔ C36-G36 — fark: "&amp;ROUND($E80,2)&amp;" TL","—")</f>
        <v>—</v>
      </c>
    </row>
    <row r="81" spans="2:9" ht="20.100000000000001" customHeight="1" x14ac:dyDescent="0.25">
      <c r="B81" s="74" t="s">
        <v>1262</v>
      </c>
      <c r="C81" s="65" t="s">
        <v>1132</v>
      </c>
      <c r="D81" s="74" t="s">
        <v>1170</v>
      </c>
      <c r="E81" s="92">
        <f>ABS(KAR!$C$8-SUM(TAHSILAT!$F$7:$F$3003))</f>
        <v>0</v>
      </c>
      <c r="F81" s="65" t="str">
        <f>IF($E81&lt;0.01,"GEÇTİ","KALDI")</f>
        <v>GEÇTİ</v>
      </c>
      <c r="G81" s="74" t="s">
        <v>1263</v>
      </c>
      <c r="H81" s="98" t="str">
        <f t="shared" si="1"/>
        <v>KAR</v>
      </c>
      <c r="I81" s="74" t="str">
        <f>IF($F81="KALDI","KAR C8 ↔ TAHSILAT F7:F3003 — fark: "&amp;ROUND($E81,2)&amp;" TL","—")</f>
        <v>—</v>
      </c>
    </row>
    <row r="82" spans="2:9" ht="20.100000000000001" customHeight="1" x14ac:dyDescent="0.25">
      <c r="B82" s="74" t="s">
        <v>1264</v>
      </c>
      <c r="C82" s="65" t="s">
        <v>1132</v>
      </c>
      <c r="D82" s="74" t="s">
        <v>1170</v>
      </c>
      <c r="E82" s="92">
        <f>ABS(KAR!$G$36-SUMIFS(GELIR_GIDER!$G$7:$G$3001,GELIR_GIDER!$D$7:$D$3001,"Gider"))</f>
        <v>0</v>
      </c>
      <c r="F82" s="65" t="str">
        <f>IF($E82&lt;0.01,"GEÇTİ","KALDI")</f>
        <v>GEÇTİ</v>
      </c>
      <c r="G82" s="74" t="s">
        <v>1265</v>
      </c>
      <c r="H82" s="98" t="str">
        <f t="shared" si="1"/>
        <v>KAR</v>
      </c>
      <c r="I82" s="74" t="str">
        <f>IF($F82="KALDI","KAR G36 ↔ GELIR_GIDER G7:G3003 (Tür=Gider) — fark: "&amp;ROUND($E82,2)&amp;" TL","—")</f>
        <v>—</v>
      </c>
    </row>
    <row r="83" spans="2:9" ht="20.100000000000001" customHeight="1" x14ac:dyDescent="0.25">
      <c r="B83" s="74" t="s">
        <v>1266</v>
      </c>
      <c r="C83" s="65" t="s">
        <v>1143</v>
      </c>
      <c r="D83" s="74" t="s">
        <v>1170</v>
      </c>
      <c r="E83" s="92">
        <f>ABS(KAR!$C$39-SUMIFS(VIRMAN!$F$7:$F$406,VIRMAN!$G$7:$G$406,"KÂR PAYI / AVANS*"))</f>
        <v>0</v>
      </c>
      <c r="F83" s="65" t="str">
        <f>IF($E83&lt;0.01,"GEÇTİ","KALDI")</f>
        <v>GEÇTİ</v>
      </c>
      <c r="G83" s="74" t="s">
        <v>1267</v>
      </c>
      <c r="H83" s="98" t="str">
        <f>HYPERLINK("#VIRMAN!A1","VIRMAN")</f>
        <v>VIRMAN</v>
      </c>
      <c r="I83" s="74" t="str">
        <f>IF($F83="KALDI","KAR C39 ↔ VIRMAN G=KÂR PAYI / AVANS* — fark: "&amp;ROUND($E83,2)&amp;" TL","—")</f>
        <v>—</v>
      </c>
    </row>
    <row r="84" spans="2:9" ht="20.100000000000001" customHeight="1" x14ac:dyDescent="0.25">
      <c r="B84" s="74" t="s">
        <v>1268</v>
      </c>
      <c r="C84" s="65" t="s">
        <v>1132</v>
      </c>
      <c r="D84" s="74" t="s">
        <v>1269</v>
      </c>
      <c r="E84" s="92">
        <f>IF(KAR!$G$40="GEÇTİ",0,1)</f>
        <v>0</v>
      </c>
      <c r="F84" s="65" t="str">
        <f>IF($E84=0,"GEÇTİ","KALDI")</f>
        <v>GEÇTİ</v>
      </c>
      <c r="G84" s="74" t="s">
        <v>1270</v>
      </c>
      <c r="H84" s="98" t="str">
        <f>HYPERLINK("#KAR!A1","KAR")</f>
        <v>KAR</v>
      </c>
      <c r="I84" s="74" t="str">
        <f>IF($F84="KALDI","KAR G40 — kategori/toplam mutabakatı KALDI","—")</f>
        <v>—</v>
      </c>
    </row>
    <row r="85" spans="2:9" ht="20.100000000000001" customHeight="1" x14ac:dyDescent="0.25">
      <c r="B85" s="74" t="inlineStr">
        <is>
          <t>Kâr gider payında sessiz sıfır — yalnız dolu kategori</t>
        </is>
      </c>
      <c r="C85" s="65" t="s">
        <v>1132</v>
      </c>
      <c r="D85" s="74" t="s">
        <v>1136</v>
      </c>
      <c r="E85" s="92">
        <f>SUMPRODUCT((KAR!$F$8:$F$34&lt;&gt;"")*(KAR!$G$8:$G$34&gt;0)*(KAR!$H$8:$H$34=0))</f>
        <v>0</v>
      </c>
      <c r="F85" s="65" t="str">
        <f>IF($E85=0,"GEÇTİ","KALDI")</f>
        <v>GEÇTİ</v>
      </c>
      <c r="G85" s="74" t="inlineStr">
        <is>
          <t>Yalnız dolu gider kategorilerinde pozitif tutarın Pay % hücresi sıfır olamaz; boş kategori satırları kontrol dışıdır.</t>
        </is>
      </c>
      <c r="H85" s="98" t="str">
        <f>HYPERLINK("#KAR!A1","KAR")</f>
        <v>KAR</v>
      </c>
      <c r="I85" s="74" t="str">
        <f>IF($F85="KALDI",IFERROR("KAR satır "&amp;(MATCH(1,INDEX((KAR!$F$8:$F$34&lt;&gt;"")*(KAR!$G$8:$G$34&gt;0)*(KAR!$H$8:$H$34=0),0),0)+7)&amp;" — Gider: "&amp;INDEX(KAR!$F$8:$F$34,MATCH(1,INDEX((KAR!$F$8:$F$34&lt;&gt;"")*(KAR!$G$8:$G$34&gt;0)*(KAR!$H$8:$H$34=0),0),0))&amp;" — H sütunu 0/boş","KAR H8:H34 — yalnız dolu gider kategorilerinin paylarını kontrol edin"),"—")</f>
        <v>—</v>
      </c>
    </row>
    <row r="86" spans="2:9" ht="20.100000000000001" customHeight="1" x14ac:dyDescent="0.25">
      <c r="B86" s="74" t="inlineStr">
        <is>
          <t>Kâr gelir payında sessiz sıfır — yalnız dolu kategori</t>
        </is>
      </c>
      <c r="C86" s="65" t="s">
        <v>1132</v>
      </c>
      <c r="D86" s="74" t="s">
        <v>1136</v>
      </c>
      <c r="E86" s="92">
        <f>SUMPRODUCT((KAR!$B$8:$B$35&lt;&gt;"")*(KAR!$C$8:$C$35&gt;0)*(KAR!$D$8:$D$35=0))</f>
        <v>0</v>
      </c>
      <c r="F86" s="65" t="str">
        <f>IF($E86=0,"GEÇTİ","KALDI")</f>
        <v>GEÇTİ</v>
      </c>
      <c r="G86" s="74" t="inlineStr">
        <is>
          <t>Yalnız dolu gelir kategorilerinde pozitif tutarın Pay % hücresi sıfır olamaz; boş kategori satırları kontrol dışıdır.</t>
        </is>
      </c>
      <c r="H86" s="98" t="str">
        <f>HYPERLINK("#KAR!A1","KAR")</f>
        <v>KAR</v>
      </c>
      <c r="I86" s="74" t="str">
        <f>IF($F86="KALDI",IFERROR("KAR satır "&amp;(MATCH(1,INDEX((KAR!$B$8:$B$35&lt;&gt;"")*(KAR!$C$8:$C$35&gt;0)*(KAR!$D$8:$D$35=0),0),0)+7)&amp;" — Gelir: "&amp;INDEX(KAR!$B$8:$B$35,MATCH(1,INDEX((KAR!$B$8:$B$35&lt;&gt;"")*(KAR!$C$8:$C$35&gt;0)*(KAR!$D$8:$D$35=0),0),0))&amp;" — D sütunu 0/boş","KAR D8:D35 — yalnız dolu gelir kategorilerinin paylarını kontrol edin"),"—")</f>
        <v>—</v>
      </c>
    </row>
    <row r="87" spans="2:9" ht="20.100000000000001" customHeight="1" x14ac:dyDescent="0.25">
      <c r="B87" s="74" t="s">
        <v>1275</v>
      </c>
      <c r="C87" s="65" t="s">
        <v>1132</v>
      </c>
      <c r="D87" s="74" t="s">
        <v>1136</v>
      </c>
      <c r="E87" s="92">
        <f>COUNTIF(GELIR_GIDER!$E$7:$E$3001,"Kâr Payı*")</f>
        <v>0</v>
      </c>
      <c r="F87" s="65" t="str">
        <f>IF($E87=0,"GEÇTİ","KALDI")</f>
        <v>GEÇTİ</v>
      </c>
      <c r="G87" s="74" t="s">
        <v>1276</v>
      </c>
      <c r="H87" s="98" t="str">
        <f>HYPERLINK("#GELIR_GIDER!A1","GELIR_GIDER")</f>
        <v>GELIR_GIDER</v>
      </c>
      <c r="I87" s="74" t="str">
        <f>IF($E87=0,"—",IFERROR("GELIR_GIDER satır "&amp;(MATCH("Kâr Payı*",GELIR_GIDER!$E$7:$E$3001,0)+6)&amp;" – kategori: "&amp;INDEX(GELIR_GIDER!$E$7:$E$3001,MATCH("Kâr Payı*",GELIR_GIDER!$E$7:$E$3001,0)),"GELIR_GIDER E7:E3003 – Kâr Payı kategorisini kaldırın"))</f>
        <v>—</v>
      </c>
    </row>
    <row r="88" spans="2:9" ht="20.100000000000001" customHeight="1" x14ac:dyDescent="0.25">
      <c r="B88" s="74" t="s">
        <v>1277</v>
      </c>
      <c r="C88" s="65" t="s">
        <v>1132</v>
      </c>
      <c r="D88" s="74" t="s">
        <v>1136</v>
      </c>
      <c r="E88" s="92">
        <f>COUNTIF(SISTEM!$K$8:$K$32,"Kâr Payı*")</f>
        <v>0</v>
      </c>
      <c r="F88" s="65" t="str">
        <f>IF($E88=0,"GEÇTİ","KALDI")</f>
        <v>GEÇTİ</v>
      </c>
      <c r="G88" s="74" t="s">
        <v>1278</v>
      </c>
      <c r="H88" s="98" t="str">
        <f>HYPERLINK("#SISTEM!A1","SISTEM")</f>
        <v>SISTEM</v>
      </c>
      <c r="I88" s="74" t="str">
        <f>IF($E88=0,"—",IFERROR("SISTEM K"&amp;(MATCH("Kâr Payı*",SISTEM!$K$8:$K$32,0)+7)&amp;" – eski kâr payı gider kategorisini temizleyin","SISTEM K8:K32"))</f>
        <v>—</v>
      </c>
    </row>
    <row r="89" spans="2:9" ht="20.100000000000001" customHeight="1" x14ac:dyDescent="0.25">
      <c r="B89" s="74" t="s">
        <v>1279</v>
      </c>
      <c r="C89" s="65" t="s">
        <v>1132</v>
      </c>
      <c r="D89" s="74" t="s">
        <v>1170</v>
      </c>
      <c r="E89" s="92">
        <f>IF(ORTAKLAR!$B$7="",0,ABS(N(ORTAKLAR!$J$7)-(N(ORTAKLAR!$H$7)-SUMIFS(VIRMAN!$F$7:$F$406,VIRMAN!$E$7:$E$406,ORTAKLAR!$B$7,VIRMAN!$G$7:$G$406,"KÂR PAYI / AVANS*"))))+IF(ORTAKLAR!$B$8="",0,ABS(N(ORTAKLAR!$J$8)-(N(ORTAKLAR!$H$8)-SUMIFS(VIRMAN!$F$7:$F$406,VIRMAN!$E$7:$E$406,ORTAKLAR!$B$8,VIRMAN!$G$7:$G$406,"KÂR PAYI / AVANS*"))))+IF(ORTAKLAR!$B$9="",0,ABS(N(ORTAKLAR!$J$9)-(N(ORTAKLAR!$H$9)-SUMIFS(VIRMAN!$F$7:$F$406,VIRMAN!$E$7:$E$406,ORTAKLAR!$B$9,VIRMAN!$G$7:$G$406,"KÂR PAYI / AVANS*"))))+IF(ORTAKLAR!$B$10="",0,ABS(N(ORTAKLAR!$J$10)-(N(ORTAKLAR!$H$10)-SUMIFS(VIRMAN!$F$7:$F$406,VIRMAN!$E$7:$E$406,ORTAKLAR!$B$10,VIRMAN!$G$7:$G$406,"KÂR PAYI / AVANS*"))))</f>
        <v>0</v>
      </c>
      <c r="F89" s="65" t="str">
        <f>IF($E89&lt;0.01,"GEÇTİ","KALDI")</f>
        <v>GEÇTİ</v>
      </c>
      <c r="G89" s="74" t="s">
        <v>1280</v>
      </c>
      <c r="H89" s="98" t="str">
        <f>HYPERLINK("#ORTAKLAR!A1","ORTAKLAR")</f>
        <v>ORTAKLAR</v>
      </c>
      <c r="I89" s="74" t="str">
        <f>IF($F89="KALDI","ORTAKLAR J7:J10 ↔ H7:H10 − VIRMAN KÂR PAYI / AVANS* — fark: "&amp;ROUND($E89,2)&amp;" TL","—")</f>
        <v>—</v>
      </c>
    </row>
    <row r="90" spans="2:9" ht="20.100000000000001" customHeight="1" x14ac:dyDescent="0.25">
      <c r="B90" s="74" t="inlineStr">
        <is>
          <t>PANO Kasa+Banka ortak cari hariç</t>
        </is>
      </c>
      <c r="C90" s="65" t="inlineStr">
        <is>
          <t>KRİTİK</t>
        </is>
      </c>
      <c r="D90" s="74" t="inlineStr">
        <is>
          <t>0,00 TL</t>
        </is>
      </c>
      <c r="E90" s="92">
        <f>ABS(PANO!$M$6-(SUMIFS(HESAPLAR!$K$7:$K$16,HESAPLAR!$C$7:$C$16,"Kasa")+SUMIFS(HESAPLAR!$K$7:$K$16,HESAPLAR!$C$7:$C$16,"Banka")))</f>
        <v>0</v>
      </c>
      <c r="F90" s="65" t="str">
        <f>IF($E90&lt;0.01,"GEÇTİ","KALDI")</f>
        <v>GEÇTİ</v>
      </c>
      <c r="G90" s="74" t="inlineStr">
        <is>
          <t>PANO KASA+BANKA yalnız gerçek Kasa/Banka hesaplarını içerir. Ortak Cari hariçtir; Kasa/Banka→Ortak kâr payı/avans VIRMAN’ı PANO likiditesini azaltmalıdır.</t>
        </is>
      </c>
      <c r="H90" s="98" t="str">
        <f>HYPERLINK("#PANO!A1","PANO")</f>
        <v>PANO</v>
      </c>
      <c r="I90" s="74" t="str">
        <f>IF($F90="KALDI","PANO M6 ↔ HESAPLAR K18 — ortak cari hariç Kasa/Banka farkı: "&amp;ROUND($E90,2)&amp;" TL","—")</f>
        <v>—</v>
      </c>
    </row>
  </sheetData>
  <sheetProtection password="CC3D" sheet="1" formatCells="0" formatColumns="0" formatRows="0" sort="0" autoFilter="0"/>
  <mergeCells count="7">
    <mergeCell ref="A2:L2"/>
    <mergeCell ref="F1:L1"/>
    <mergeCell ref="B6:F6"/>
    <mergeCell ref="A1:E1"/>
    <mergeCell ref="K35:M35"/>
    <mergeCell ref="K7:M7"/>
    <mergeCell ref="B21:J21"/>
  </mergeCells>
  <conditionalFormatting sqref="F23:F70">
    <cfRule type="expression" dxfId="2" priority="2">
      <formula>EXACT($F23,"GEÇTİ")</formula>
    </cfRule>
    <cfRule type="expression" dxfId="1" priority="3">
      <formula>EXACT($F23,"KALDI")</formula>
    </cfRule>
    <cfRule type="expression" dxfId="0" priority="4">
      <formula>EXACT($F23,"BİLGİ")</formula>
    </cfRule>
  </conditionalFormatting>
  <dataValidations count="1">
    <dataValidation type="list" allowBlank="1" showErrorMessage="1" errorTitle="Geçersiz durum" error="Aktif veya Pasif seçin." promptTitle="Geçersiz durum" prompt="Aktif veya Pasif seçin." sqref="L8:L32 L36:L60" xr:uid="{00000000-0002-0000-0D00-000000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E00-000000000000}">
  <sheetPr>
    <tabColor rgb="FFC6A15B"/>
  </sheetPr>
  <dimension ref="A1:J48"/>
  <sheetViews>
    <sheetView showGridLines="0" workbookViewId="0">
      <pane xSplit="1" ySplit="6" topLeftCell="B30" activePane="bottomRight" state="frozen"/>
      <selection pane="topRight"/>
      <selection pane="bottomLeft"/>
      <selection pane="bottomRight" activeCell="C46" sqref="C46"/>
    </sheetView>
  </sheetViews>
  <sheetFormatPr defaultRowHeight="14.25" x14ac:dyDescent="0.25"/>
  <cols>
    <col min="1" max="1" width="4" customWidth="1"/>
    <col min="2" max="2" width="38" customWidth="1"/>
    <col min="3" max="3" width="16" customWidth="1"/>
    <col min="4" max="4" width="11" customWidth="1"/>
    <col min="5" max="5" width="4" customWidth="1"/>
    <col min="6" max="6" width="38" customWidth="1"/>
    <col min="7" max="7" width="16" customWidth="1"/>
    <col min="8" max="8" width="11" customWidth="1"/>
    <col min="9" max="10" width="18" customWidth="1"/>
  </cols>
  <sheetData>
    <row r="1" spans="1:10" ht="27.95" customHeight="1" x14ac:dyDescent="0.25">
      <c r="A1" s="245" t="str">
        <f>HYPERLINK("#PANO!A1","☰  MENÜ")</f>
        <v>☰  MENÜ</v>
      </c>
      <c r="B1" s="240"/>
      <c r="C1" s="239" t="s">
        <v>1281</v>
      </c>
      <c r="D1" s="150"/>
      <c r="E1" s="150"/>
      <c r="F1" s="150"/>
      <c r="G1" s="150"/>
      <c r="H1" s="150"/>
      <c r="I1" s="240"/>
      <c r="J1" s="240"/>
    </row>
    <row r="2" spans="1:10" ht="21.95" customHeight="1" x14ac:dyDescent="0.25">
      <c r="A2" s="241" t="s">
        <v>0</v>
      </c>
      <c r="B2" s="142"/>
      <c r="C2" s="142"/>
      <c r="D2" s="142"/>
      <c r="E2" s="142"/>
      <c r="F2" s="142"/>
      <c r="G2" s="142"/>
      <c r="H2" s="142"/>
      <c r="I2" s="242"/>
      <c r="J2" s="242"/>
    </row>
    <row r="3" spans="1:10" ht="39.950000000000003" customHeight="1" x14ac:dyDescent="0.25">
      <c r="A3" s="243" t="s">
        <v>1282</v>
      </c>
      <c r="B3" s="139"/>
      <c r="C3" s="139"/>
      <c r="D3" s="139"/>
      <c r="E3" s="139"/>
      <c r="F3" s="139"/>
      <c r="G3" s="139"/>
      <c r="H3" s="139"/>
      <c r="I3" s="244"/>
      <c r="J3" s="244"/>
    </row>
    <row r="4" spans="1:10" ht="20.100000000000001" customHeight="1" x14ac:dyDescent="0.25">
      <c r="B4" s="252" t="str">
        <f>HYPERLINK("#PANO!A1","← PANO")</f>
        <v>← PANO</v>
      </c>
      <c r="C4" s="139"/>
    </row>
    <row r="6" spans="1:10" ht="21.95" customHeight="1" x14ac:dyDescent="0.25">
      <c r="B6" s="251" t="s">
        <v>1283</v>
      </c>
      <c r="C6" s="251"/>
      <c r="D6" s="251"/>
      <c r="E6" s="100" t="s">
        <v>1284</v>
      </c>
      <c r="F6" s="238" t="s">
        <v>1285</v>
      </c>
      <c r="G6" s="238"/>
      <c r="H6" s="238"/>
    </row>
    <row r="7" spans="1:10" ht="21.95" customHeight="1" x14ac:dyDescent="0.25">
      <c r="B7" s="101" t="s">
        <v>1286</v>
      </c>
      <c r="C7" s="101" t="s">
        <v>1287</v>
      </c>
      <c r="D7" s="101" t="s">
        <v>1288</v>
      </c>
      <c r="E7" s="100" t="s">
        <v>1284</v>
      </c>
      <c r="F7" s="102" t="s">
        <v>1289</v>
      </c>
      <c r="G7" s="102" t="s">
        <v>1287</v>
      </c>
      <c r="H7" s="102" t="s">
        <v>1288</v>
      </c>
    </row>
    <row r="8" spans="1:10" ht="16.5" x14ac:dyDescent="0.25">
      <c r="B8" s="103" t="s">
        <v>1290</v>
      </c>
      <c r="C8" s="104">
        <f>SUM(TAHSILAT!$F$7:$F$3003)</f>
        <v>2299500</v>
      </c>
      <c r="D8" s="105">
        <f t="shared" ref="D8:D35" si="0">IFERROR($C8/$C$36,0)</f>
        <v>0.82634084987871714</v>
      </c>
      <c r="E8" s="100" t="s">
        <v>1284</v>
      </c>
      <c r="F8" s="106" t="str">
        <f>IF(SISTEM!$K$8="","",SISTEM!$K$8)</f>
        <v>Ofis Kirası</v>
      </c>
      <c r="G8" s="107">
        <f>IF($F8="","",SUMIFS(GELIR_GIDER!$G$7:$G$3001,GELIR_GIDER!$D$7:$D$3001,"Gider",GELIR_GIDER!$E$7:$E$3001,$F8))</f>
        <v>130000</v>
      </c>
      <c r="H8" s="105">
        <f t="shared" ref="H8:H34" si="1">IFERROR($G8/$G$36,0)</f>
        <v>0.10520455171863045</v>
      </c>
    </row>
    <row r="9" spans="1:10" ht="16.5" x14ac:dyDescent="0.25">
      <c r="B9" s="103" t="str">
        <f>IF(SISTEM!$K$36="","",SISTEM!$K$36)</f>
        <v>Defter Tasdik Geliri</v>
      </c>
      <c r="C9" s="104">
        <f>IF($B9="","",SUMIFS(GELIR_GIDER!$G$7:$G$3001,GELIR_GIDER!$D$7:$D$3001,"Gelir",GELIR_GIDER!$E$7:$E$3001,$B9))</f>
        <v>20000</v>
      </c>
      <c r="D9" s="105">
        <f t="shared" si="0"/>
        <v>7.1871350282993445E-3</v>
      </c>
      <c r="E9" s="100" t="s">
        <v>1284</v>
      </c>
      <c r="F9" s="106" t="str">
        <f>IF(SISTEM!$K$9="","",SISTEM!$K$9)</f>
        <v>Personel</v>
      </c>
      <c r="G9" s="107">
        <f>IF($F9="","",SUMIFS(GELIR_GIDER!$G$7:$G$3001,GELIR_GIDER!$D$7:$D$3001,"Gider",GELIR_GIDER!$E$7:$E$3001,$F9))</f>
        <v>429700</v>
      </c>
      <c r="H9" s="105">
        <f t="shared" si="1"/>
        <v>0.34774150671919624</v>
      </c>
    </row>
    <row r="10" spans="1:10" ht="16.5" x14ac:dyDescent="0.25">
      <c r="B10" s="103" t="str">
        <f>IF(SISTEM!$K$37="","",SISTEM!$K$37)</f>
        <v>Kontör Ücreti Geliri</v>
      </c>
      <c r="C10" s="104">
        <f>IF($B10="","",SUMIFS(GELIR_GIDER!$G$7:$G$3001,GELIR_GIDER!$D$7:$D$3001,"Gelir",GELIR_GIDER!$E$7:$E$3001,$B10))</f>
        <v>0</v>
      </c>
      <c r="D10" s="105">
        <f t="shared" si="0"/>
        <v>0</v>
      </c>
      <c r="E10" s="100" t="s">
        <v>1284</v>
      </c>
      <c r="F10" s="106" t="str">
        <f>IF(SISTEM!$K$10="","",SISTEM!$K$10)</f>
        <v>Elektrik / Su / Doğalgaz</v>
      </c>
      <c r="G10" s="107">
        <f>IF($F10="","",SUMIFS(GELIR_GIDER!$G$7:$G$3001,GELIR_GIDER!$D$7:$D$3001,"Gider",GELIR_GIDER!$E$7:$E$3001,$F10))</f>
        <v>5071.82</v>
      </c>
      <c r="H10" s="105">
        <f t="shared" si="1"/>
        <v>4.1044503807506488E-3</v>
      </c>
    </row>
    <row r="11" spans="1:10" ht="16.5" x14ac:dyDescent="0.25">
      <c r="B11" s="103" t="str">
        <f>IF(SISTEM!$K$38="","",SISTEM!$K$38)</f>
        <v>Geçici Vergi / Damga Geliri</v>
      </c>
      <c r="C11" s="104">
        <f>IF($B11="","",SUMIFS(GELIR_GIDER!$G$7:$G$3001,GELIR_GIDER!$D$7:$D$3001,"Gelir",GELIR_GIDER!$E$7:$E$3001,$B11))</f>
        <v>0</v>
      </c>
      <c r="D11" s="105">
        <f t="shared" si="0"/>
        <v>0</v>
      </c>
      <c r="E11" s="100" t="s">
        <v>1284</v>
      </c>
      <c r="F11" s="106" t="str">
        <f>IF(SISTEM!$K$11="","",SISTEM!$K$11)</f>
        <v>Telefon / İnternet</v>
      </c>
      <c r="G11" s="107">
        <f>IF($F11="","",SUMIFS(GELIR_GIDER!$G$7:$G$3001,GELIR_GIDER!$D$7:$D$3001,"Gider",GELIR_GIDER!$E$7:$E$3001,$F11))</f>
        <v>12680</v>
      </c>
      <c r="H11" s="105">
        <f t="shared" si="1"/>
        <v>1.0261490121478724E-2</v>
      </c>
    </row>
    <row r="12" spans="1:10" ht="16.5" x14ac:dyDescent="0.25">
      <c r="B12" s="103" t="str">
        <f>IF(SISTEM!$K$39="","",SISTEM!$K$39)</f>
        <v>Danışmanlık Hizmet Geliri</v>
      </c>
      <c r="C12" s="104">
        <f>IF($B12="","",SUMIFS(GELIR_GIDER!$G$7:$G$3001,GELIR_GIDER!$D$7:$D$3001,"Gelir",GELIR_GIDER!$E$7:$E$3001,$B12))</f>
        <v>0</v>
      </c>
      <c r="D12" s="105">
        <f t="shared" si="0"/>
        <v>0</v>
      </c>
      <c r="E12" s="100" t="s">
        <v>1284</v>
      </c>
      <c r="F12" s="106" t="str">
        <f>IF(SISTEM!$K$12="","",SISTEM!$K$12)</f>
        <v>Kırtasiye</v>
      </c>
      <c r="G12" s="107">
        <f>IF($F12="","",SUMIFS(GELIR_GIDER!$G$7:$G$3001,GELIR_GIDER!$D$7:$D$3001,"Gider",GELIR_GIDER!$E$7:$E$3001,$F12))</f>
        <v>9940</v>
      </c>
      <c r="H12" s="105">
        <f t="shared" si="1"/>
        <v>8.0441018775629751E-3</v>
      </c>
    </row>
    <row r="13" spans="1:10" ht="16.5" x14ac:dyDescent="0.25">
      <c r="B13" s="103" t="str">
        <f>IF(SISTEM!$K$40="","",SISTEM!$K$40)</f>
        <v>Muhasebe Hizmet Geliri</v>
      </c>
      <c r="C13" s="104">
        <f>IF($B13="","",SUMIFS(GELIR_GIDER!$G$7:$G$3001,GELIR_GIDER!$D$7:$D$3001,"Gelir",GELIR_GIDER!$E$7:$E$3001,$B13))</f>
        <v>0</v>
      </c>
      <c r="D13" s="105">
        <f t="shared" si="0"/>
        <v>0</v>
      </c>
      <c r="E13" s="100" t="s">
        <v>1284</v>
      </c>
      <c r="F13" s="106" t="str">
        <f>IF(SISTEM!$K$13="","",SISTEM!$K$13)</f>
        <v>Vergi / Harç</v>
      </c>
      <c r="G13" s="107">
        <f>IF($F13="","",SUMIFS(GELIR_GIDER!$G$7:$G$3001,GELIR_GIDER!$D$7:$D$3001,"Gider",GELIR_GIDER!$E$7:$E$3001,$F13))</f>
        <v>257772.86</v>
      </c>
      <c r="H13" s="105">
        <f t="shared" si="1"/>
        <v>0.20860675524253297</v>
      </c>
    </row>
    <row r="14" spans="1:10" ht="16.5" x14ac:dyDescent="0.25">
      <c r="B14" s="103" t="str">
        <f>IF(SISTEM!$K$41="","",SISTEM!$K$41)</f>
        <v>Kurumlar Vergisi Damga</v>
      </c>
      <c r="C14" s="104">
        <f>IF($B14="","",SUMIFS(GELIR_GIDER!$G$7:$G$3001,GELIR_GIDER!$D$7:$D$3001,"Gelir",GELIR_GIDER!$E$7:$E$3001,$B14))</f>
        <v>62550</v>
      </c>
      <c r="D14" s="105">
        <f t="shared" si="0"/>
        <v>2.24777648010062E-2</v>
      </c>
      <c r="E14" s="100" t="s">
        <v>1284</v>
      </c>
      <c r="F14" s="106" t="str">
        <f>IF(SISTEM!$K$14="","",SISTEM!$K$14)</f>
        <v>Yazılım / Abonelik</v>
      </c>
      <c r="G14" s="107">
        <f>IF($F14="","",SUMIFS(GELIR_GIDER!$G$7:$G$3001,GELIR_GIDER!$D$7:$D$3001,"Gider",GELIR_GIDER!$E$7:$E$3001,$F14))</f>
        <v>11900</v>
      </c>
      <c r="H14" s="105">
        <f t="shared" si="1"/>
        <v>9.6302628111669415E-3</v>
      </c>
    </row>
    <row r="15" spans="1:10" ht="16.5" x14ac:dyDescent="0.25">
      <c r="B15" s="103" t="str">
        <f>IF(SISTEM!$K$42="","",SISTEM!$K$42)</f>
        <v>Geçici Vergi Damga</v>
      </c>
      <c r="C15" s="104">
        <f>IF($B15="","",SUMIFS(GELIR_GIDER!$G$7:$G$3001,GELIR_GIDER!$D$7:$D$3001,"Gelir",GELIR_GIDER!$E$7:$E$3001,$B15))</f>
        <v>131000</v>
      </c>
      <c r="D15" s="105">
        <f t="shared" si="0"/>
        <v>4.7075734435360707E-2</v>
      </c>
      <c r="E15" s="100" t="s">
        <v>1284</v>
      </c>
      <c r="F15" s="106" t="str">
        <f>IF(SISTEM!$K$15="","",SISTEM!$K$15)</f>
        <v>Ulaşım</v>
      </c>
      <c r="G15" s="107">
        <f>IF($F15="","",SUMIFS(GELIR_GIDER!$G$7:$G$3001,GELIR_GIDER!$D$7:$D$3001,"Gider",GELIR_GIDER!$E$7:$E$3001,$F15))</f>
        <v>57050</v>
      </c>
      <c r="H15" s="105">
        <f t="shared" si="1"/>
        <v>4.6168612888829751E-2</v>
      </c>
    </row>
    <row r="16" spans="1:10" ht="16.5" x14ac:dyDescent="0.25">
      <c r="B16" s="103" t="str">
        <f>IF(SISTEM!$K$43="","",SISTEM!$K$43)</f>
        <v>Luca Kontör</v>
      </c>
      <c r="C16" s="104">
        <f>IF($B16="","",SUMIFS(GELIR_GIDER!$G$7:$G$3001,GELIR_GIDER!$D$7:$D$3001,"Gelir",GELIR_GIDER!$E$7:$E$3001,$B16))</f>
        <v>42300</v>
      </c>
      <c r="D16" s="105">
        <f t="shared" si="0"/>
        <v>1.5200790584853113E-2</v>
      </c>
      <c r="E16" s="100" t="s">
        <v>1284</v>
      </c>
      <c r="F16" s="106" t="str">
        <f>IF(SISTEM!$K$16="","",SISTEM!$K$16)</f>
        <v>Temsil / Ağırlama</v>
      </c>
      <c r="G16" s="107">
        <f>IF($F16="","",SUMIFS(GELIR_GIDER!$G$7:$G$3001,GELIR_GIDER!$D$7:$D$3001,"Gider",GELIR_GIDER!$E$7:$E$3001,$F16))</f>
        <v>15323.3</v>
      </c>
      <c r="H16" s="105">
        <f t="shared" si="1"/>
        <v>1.2400622364231463E-2</v>
      </c>
    </row>
    <row r="17" spans="2:8" ht="16.5" x14ac:dyDescent="0.25">
      <c r="B17" s="103" t="str">
        <f>IF(SISTEM!$K$44="","",SISTEM!$K$44)</f>
        <v>Kuruluş Ücreti</v>
      </c>
      <c r="C17" s="104">
        <f>IF($B17="","",SUMIFS(GELIR_GIDER!$G$7:$G$3001,GELIR_GIDER!$D$7:$D$3001,"Gelir",GELIR_GIDER!$E$7:$E$3001,$B17))</f>
        <v>37500</v>
      </c>
      <c r="D17" s="105">
        <f t="shared" si="0"/>
        <v>1.3475878178061271E-2</v>
      </c>
      <c r="E17" s="100" t="s">
        <v>1284</v>
      </c>
      <c r="F17" s="106" t="str">
        <f>IF(SISTEM!$K$17="","",SISTEM!$K$17)</f>
        <v>Demirbaş</v>
      </c>
      <c r="G17" s="107">
        <f>IF($F17="","",SUMIFS(GELIR_GIDER!$G$7:$G$3001,GELIR_GIDER!$D$7:$D$3001,"Gider",GELIR_GIDER!$E$7:$E$3001,$F17))</f>
        <v>34000</v>
      </c>
      <c r="H17" s="105">
        <f t="shared" si="1"/>
        <v>2.7515036603334122E-2</v>
      </c>
    </row>
    <row r="18" spans="2:8" ht="16.5" x14ac:dyDescent="0.25">
      <c r="B18" s="103" t="str">
        <f>IF(SISTEM!$K$45="","",SISTEM!$K$45)</f>
        <v>Diğer Gelirler</v>
      </c>
      <c r="C18" s="104">
        <f>IF($B18="","",SUMIFS(GELIR_GIDER!$G$7:$G$3001,GELIR_GIDER!$D$7:$D$3001,"Gelir",GELIR_GIDER!$E$7:$E$3001,$B18))</f>
        <v>189900</v>
      </c>
      <c r="D18" s="105">
        <f t="shared" si="0"/>
        <v>6.8241847093702276E-2</v>
      </c>
      <c r="E18" s="100" t="s">
        <v>1284</v>
      </c>
      <c r="F18" s="106" t="str">
        <f>IF(SISTEM!$K$18="","",SISTEM!$K$18)</f>
        <v>Diğer Gider</v>
      </c>
      <c r="G18" s="107">
        <f>IF($F18="","",SUMIFS(GELIR_GIDER!$G$7:$G$3001,GELIR_GIDER!$D$7:$D$3001,"Gider",GELIR_GIDER!$E$7:$E$3001,$F18))</f>
        <v>122250</v>
      </c>
      <c r="H18" s="105">
        <f t="shared" si="1"/>
        <v>9.8932741904635177E-2</v>
      </c>
    </row>
    <row r="19" spans="2:8" ht="16.5" x14ac:dyDescent="0.25">
      <c r="B19" s="103" t="str">
        <f>IF(SISTEM!$K$46="","",SISTEM!$K$46)</f>
        <v>Muhasebe Hizmet Geliri (sözleşme dışı)</v>
      </c>
      <c r="C19" s="104">
        <f>IF($B19="","",SUMIFS(GELIR_GIDER!$G$7:$G$3001,GELIR_GIDER!$D$7:$D$3001,"Gelir",GELIR_GIDER!$E$7:$E$3001,$B19))</f>
        <v>0</v>
      </c>
      <c r="D19" s="105">
        <f t="shared" si="0"/>
        <v>0</v>
      </c>
      <c r="E19" s="100" t="s">
        <v>1284</v>
      </c>
      <c r="F19" s="106" t="str">
        <f>IF(SISTEM!$K$19="","",SISTEM!$K$19)</f>
        <v>Mehmet Ali Kartal</v>
      </c>
      <c r="G19" s="107">
        <f>IF($F19="","",SUMIFS(GELIR_GIDER!$G$7:$G$3001,GELIR_GIDER!$D$7:$D$3001,"Gider",GELIR_GIDER!$E$7:$E$3001,$F19))</f>
        <v>150000</v>
      </c>
      <c r="H19" s="105">
        <f t="shared" si="1"/>
        <v>0.12138986736765053</v>
      </c>
    </row>
    <row r="20" spans="2:8" ht="16.5" x14ac:dyDescent="0.25">
      <c r="B20" s="103" t="str">
        <f>IF(SISTEM!$K$47="","",SISTEM!$K$47)</f>
        <v>Beyanname / Bildirim Ücreti</v>
      </c>
      <c r="C20" s="104">
        <f>IF($B20="","",SUMIFS(GELIR_GIDER!$G$7:$G$3001,GELIR_GIDER!$D$7:$D$3001,"Gelir",GELIR_GIDER!$E$7:$E$3001,$B20))</f>
        <v>0</v>
      </c>
      <c r="D20" s="105">
        <f t="shared" si="0"/>
        <v>0</v>
      </c>
      <c r="E20" s="100" t="s">
        <v>1284</v>
      </c>
      <c r="F20" s="106" t="str">
        <f>IF(SISTEM!$K$20="","",SISTEM!$K$20)</f>
        <v/>
      </c>
      <c r="G20" s="107" t="str">
        <f>IF($F20="","",SUMIFS(GELIR_GIDER!$G$7:$G$3001,GELIR_GIDER!$D$7:$D$3001,"Gider",GELIR_GIDER!$E$7:$E$3001,$F20))</f>
        <v/>
      </c>
      <c r="H20" s="105">
        <f t="shared" si="1"/>
        <v>0</v>
      </c>
    </row>
    <row r="21" spans="2:8" ht="16.5" x14ac:dyDescent="0.25">
      <c r="B21" s="103" t="str">
        <f>IF(SISTEM!$K$48="","",SISTEM!$K$48)</f>
        <v>Diğer Hizmet Geliri</v>
      </c>
      <c r="C21" s="104">
        <f>IF($B21="","",SUMIFS(GELIR_GIDER!$G$7:$G$3001,GELIR_GIDER!$D$7:$D$3001,"Gelir",GELIR_GIDER!$E$7:$E$3001,$B21))</f>
        <v>0</v>
      </c>
      <c r="D21" s="105">
        <f t="shared" si="0"/>
        <v>0</v>
      </c>
      <c r="E21" s="100" t="s">
        <v>1284</v>
      </c>
      <c r="F21" s="106" t="str">
        <f>IF(SISTEM!$K$21="","",SISTEM!$K$21)</f>
        <v/>
      </c>
      <c r="G21" s="107" t="str">
        <f>IF($F21="","",SUMIFS(GELIR_GIDER!$G$7:$G$3001,GELIR_GIDER!$D$7:$D$3001,"Gider",GELIR_GIDER!$E$7:$E$3001,$F21))</f>
        <v/>
      </c>
      <c r="H21" s="105">
        <f t="shared" si="1"/>
        <v>0</v>
      </c>
    </row>
    <row r="22" spans="2:8" ht="16.5" x14ac:dyDescent="0.25">
      <c r="B22" s="103" t="str">
        <f>IF(SISTEM!$K$49="","",SISTEM!$K$49)</f>
        <v>Diğer Gelir</v>
      </c>
      <c r="C22" s="104">
        <f>IF($B22="","",SUMIFS(GELIR_GIDER!$G$7:$G$3001,GELIR_GIDER!$D$7:$D$3001,"Gelir",GELIR_GIDER!$E$7:$E$3001,$B22))</f>
        <v>0</v>
      </c>
      <c r="D22" s="105">
        <f t="shared" si="0"/>
        <v>0</v>
      </c>
      <c r="E22" s="100" t="s">
        <v>1284</v>
      </c>
      <c r="F22" s="106" t="str">
        <f>IF(SISTEM!$K$22="","",SISTEM!$K$22)</f>
        <v/>
      </c>
      <c r="G22" s="107" t="str">
        <f>IF($F22="","",SUMIFS(GELIR_GIDER!$G$7:$G$3001,GELIR_GIDER!$D$7:$D$3001,"Gider",GELIR_GIDER!$E$7:$E$3001,$F22))</f>
        <v/>
      </c>
      <c r="H22" s="105">
        <f t="shared" si="1"/>
        <v>0</v>
      </c>
    </row>
    <row r="23" spans="2:8" ht="16.5" x14ac:dyDescent="0.25">
      <c r="B23" s="103" t="str">
        <f>IF(SISTEM!$K$50="","",SISTEM!$K$50)</f>
        <v/>
      </c>
      <c r="C23" s="104" t="str">
        <f>IF($B23="","",SUMIFS(GELIR_GIDER!$G$7:$G$3001,GELIR_GIDER!$D$7:$D$3001,"Gelir",GELIR_GIDER!$E$7:$E$3001,$B23))</f>
        <v/>
      </c>
      <c r="D23" s="105">
        <f t="shared" si="0"/>
        <v>0</v>
      </c>
      <c r="E23" s="100" t="s">
        <v>1284</v>
      </c>
      <c r="F23" s="106" t="str">
        <f>IF(SISTEM!$K$23="","",SISTEM!$K$23)</f>
        <v/>
      </c>
      <c r="G23" s="107" t="str">
        <f>IF($F23="","",SUMIFS(GELIR_GIDER!$G$7:$G$3001,GELIR_GIDER!$D$7:$D$3001,"Gider",GELIR_GIDER!$E$7:$E$3001,$F23))</f>
        <v/>
      </c>
      <c r="H23" s="105">
        <f t="shared" si="1"/>
        <v>0</v>
      </c>
    </row>
    <row r="24" spans="2:8" ht="16.5" x14ac:dyDescent="0.25">
      <c r="B24" s="103" t="str">
        <f>IF(SISTEM!$K$51="","",SISTEM!$K$51)</f>
        <v/>
      </c>
      <c r="C24" s="104" t="str">
        <f>IF($B24="","",SUMIFS(GELIR_GIDER!$G$7:$G$3001,GELIR_GIDER!$D$7:$D$3001,"Gelir",GELIR_GIDER!$E$7:$E$3001,$B24))</f>
        <v/>
      </c>
      <c r="D24" s="105">
        <f t="shared" si="0"/>
        <v>0</v>
      </c>
      <c r="E24" s="100" t="s">
        <v>1284</v>
      </c>
      <c r="F24" s="106" t="str">
        <f>IF(SISTEM!$K$24="","",SISTEM!$K$24)</f>
        <v/>
      </c>
      <c r="G24" s="107" t="str">
        <f>IF($F24="","",SUMIFS(GELIR_GIDER!$G$7:$G$3001,GELIR_GIDER!$D$7:$D$3001,"Gider",GELIR_GIDER!$E$7:$E$3001,$F24))</f>
        <v/>
      </c>
      <c r="H24" s="105">
        <f t="shared" si="1"/>
        <v>0</v>
      </c>
    </row>
    <row r="25" spans="2:8" ht="16.5" x14ac:dyDescent="0.25">
      <c r="B25" s="103" t="str">
        <f>IF(SISTEM!$K$52="","",SISTEM!$K$52)</f>
        <v/>
      </c>
      <c r="C25" s="104" t="str">
        <f>IF($B25="","",SUMIFS(GELIR_GIDER!$G$7:$G$3001,GELIR_GIDER!$D$7:$D$3001,"Gelir",GELIR_GIDER!$E$7:$E$3001,$B25))</f>
        <v/>
      </c>
      <c r="D25" s="105">
        <f t="shared" si="0"/>
        <v>0</v>
      </c>
      <c r="E25" s="100" t="s">
        <v>1284</v>
      </c>
      <c r="F25" s="106" t="str">
        <f>IF(SISTEM!$K$25="","",SISTEM!$K$25)</f>
        <v/>
      </c>
      <c r="G25" s="107" t="str">
        <f>IF($F25="","",SUMIFS(GELIR_GIDER!$G$7:$G$3001,GELIR_GIDER!$D$7:$D$3001,"Gider",GELIR_GIDER!$E$7:$E$3001,$F25))</f>
        <v/>
      </c>
      <c r="H25" s="105">
        <f t="shared" si="1"/>
        <v>0</v>
      </c>
    </row>
    <row r="26" spans="2:8" ht="16.5" x14ac:dyDescent="0.25">
      <c r="B26" s="103" t="str">
        <f>IF(SISTEM!$K$53="","",SISTEM!$K$53)</f>
        <v/>
      </c>
      <c r="C26" s="104" t="str">
        <f>IF($B26="","",SUMIFS(GELIR_GIDER!$G$7:$G$3001,GELIR_GIDER!$D$7:$D$3001,"Gelir",GELIR_GIDER!$E$7:$E$3001,$B26))</f>
        <v/>
      </c>
      <c r="D26" s="105">
        <f t="shared" si="0"/>
        <v>0</v>
      </c>
      <c r="E26" s="100" t="s">
        <v>1284</v>
      </c>
      <c r="F26" s="106" t="str">
        <f>IF(SISTEM!$K$26="","",SISTEM!$K$26)</f>
        <v/>
      </c>
      <c r="G26" s="107" t="str">
        <f>IF($F26="","",SUMIFS(GELIR_GIDER!$G$7:$G$3001,GELIR_GIDER!$D$7:$D$3001,"Gider",GELIR_GIDER!$E$7:$E$3001,$F26))</f>
        <v/>
      </c>
      <c r="H26" s="105">
        <f t="shared" si="1"/>
        <v>0</v>
      </c>
    </row>
    <row r="27" spans="2:8" ht="16.5" x14ac:dyDescent="0.25">
      <c r="B27" s="103" t="str">
        <f>IF(SISTEM!$K$54="","",SISTEM!$K$54)</f>
        <v/>
      </c>
      <c r="C27" s="104" t="str">
        <f>IF($B27="","",SUMIFS(GELIR_GIDER!$G$7:$G$3001,GELIR_GIDER!$D$7:$D$3001,"Gelir",GELIR_GIDER!$E$7:$E$3001,$B27))</f>
        <v/>
      </c>
      <c r="D27" s="105">
        <f t="shared" si="0"/>
        <v>0</v>
      </c>
      <c r="E27" s="100" t="s">
        <v>1284</v>
      </c>
      <c r="F27" s="106" t="str">
        <f>IF(SISTEM!$K$27="","",SISTEM!$K$27)</f>
        <v/>
      </c>
      <c r="G27" s="107" t="str">
        <f>IF($F27="","",SUMIFS(GELIR_GIDER!$G$7:$G$3001,GELIR_GIDER!$D$7:$D$3001,"Gider",GELIR_GIDER!$E$7:$E$3001,$F27))</f>
        <v/>
      </c>
      <c r="H27" s="105">
        <f t="shared" si="1"/>
        <v>0</v>
      </c>
    </row>
    <row r="28" spans="2:8" ht="16.5" x14ac:dyDescent="0.25">
      <c r="B28" s="103" t="str">
        <f>IF(SISTEM!$K$55="","",SISTEM!$K$55)</f>
        <v/>
      </c>
      <c r="C28" s="104" t="str">
        <f>IF($B28="","",SUMIFS(GELIR_GIDER!$G$7:$G$3001,GELIR_GIDER!$D$7:$D$3001,"Gelir",GELIR_GIDER!$E$7:$E$3001,$B28))</f>
        <v/>
      </c>
      <c r="D28" s="105">
        <f t="shared" si="0"/>
        <v>0</v>
      </c>
      <c r="E28" s="100" t="s">
        <v>1284</v>
      </c>
      <c r="F28" s="106" t="str">
        <f>IF(SISTEM!$K$28="","",SISTEM!$K$28)</f>
        <v/>
      </c>
      <c r="G28" s="107" t="str">
        <f>IF($F28="","",SUMIFS(GELIR_GIDER!$G$7:$G$3001,GELIR_GIDER!$D$7:$D$3001,"Gider",GELIR_GIDER!$E$7:$E$3001,$F28))</f>
        <v/>
      </c>
      <c r="H28" s="105">
        <f t="shared" si="1"/>
        <v>0</v>
      </c>
    </row>
    <row r="29" spans="2:8" ht="16.5" x14ac:dyDescent="0.25">
      <c r="B29" s="103" t="str">
        <f>IF(SISTEM!$K$56="","",SISTEM!$K$56)</f>
        <v/>
      </c>
      <c r="C29" s="104" t="str">
        <f>IF($B29="","",SUMIFS(GELIR_GIDER!$G$7:$G$3001,GELIR_GIDER!$D$7:$D$3001,"Gelir",GELIR_GIDER!$E$7:$E$3001,$B29))</f>
        <v/>
      </c>
      <c r="D29" s="105">
        <f t="shared" si="0"/>
        <v>0</v>
      </c>
      <c r="E29" s="100" t="s">
        <v>1284</v>
      </c>
      <c r="F29" s="106" t="str">
        <f>IF(SISTEM!$K$29="","",SISTEM!$K$29)</f>
        <v/>
      </c>
      <c r="G29" s="107" t="str">
        <f>IF($F29="","",SUMIFS(GELIR_GIDER!$G$7:$G$3001,GELIR_GIDER!$D$7:$D$3001,"Gider",GELIR_GIDER!$E$7:$E$3001,$F29))</f>
        <v/>
      </c>
      <c r="H29" s="105">
        <f t="shared" si="1"/>
        <v>0</v>
      </c>
    </row>
    <row r="30" spans="2:8" ht="16.5" x14ac:dyDescent="0.25">
      <c r="B30" s="103" t="str">
        <f>IF(SISTEM!$K$57="","",SISTEM!$K$57)</f>
        <v/>
      </c>
      <c r="C30" s="104" t="str">
        <f>IF($B30="","",SUMIFS(GELIR_GIDER!$G$7:$G$3001,GELIR_GIDER!$D$7:$D$3001,"Gelir",GELIR_GIDER!$E$7:$E$3001,$B30))</f>
        <v/>
      </c>
      <c r="D30" s="105">
        <f t="shared" si="0"/>
        <v>0</v>
      </c>
      <c r="E30" s="100" t="s">
        <v>1284</v>
      </c>
      <c r="F30" s="106" t="str">
        <f>IF(SISTEM!$K$30="","",SISTEM!$K$30)</f>
        <v/>
      </c>
      <c r="G30" s="107" t="str">
        <f>IF($F30="","",SUMIFS(GELIR_GIDER!$G$7:$G$3001,GELIR_GIDER!$D$7:$D$3001,"Gider",GELIR_GIDER!$E$7:$E$3001,$F30))</f>
        <v/>
      </c>
      <c r="H30" s="105">
        <f t="shared" si="1"/>
        <v>0</v>
      </c>
    </row>
    <row r="31" spans="2:8" ht="16.5" x14ac:dyDescent="0.25">
      <c r="B31" s="103" t="str">
        <f>IF(SISTEM!$K$58="","",SISTEM!$K$58)</f>
        <v/>
      </c>
      <c r="C31" s="104" t="str">
        <f>IF($B31="","",SUMIFS(GELIR_GIDER!$G$7:$G$3001,GELIR_GIDER!$D$7:$D$3001,"Gelir",GELIR_GIDER!$E$7:$E$3001,$B31))</f>
        <v/>
      </c>
      <c r="D31" s="105">
        <f t="shared" si="0"/>
        <v>0</v>
      </c>
      <c r="E31" s="100" t="s">
        <v>1284</v>
      </c>
      <c r="F31" s="106" t="str">
        <f>IF(SISTEM!$K$31="","",SISTEM!$K$31)</f>
        <v/>
      </c>
      <c r="G31" s="107" t="str">
        <f>IF($F31="","",SUMIFS(GELIR_GIDER!$G$7:$G$3001,GELIR_GIDER!$D$7:$D$3001,"Gider",GELIR_GIDER!$E$7:$E$3001,$F31))</f>
        <v/>
      </c>
      <c r="H31" s="105">
        <f t="shared" si="1"/>
        <v>0</v>
      </c>
    </row>
    <row r="32" spans="2:8" ht="16.5" x14ac:dyDescent="0.25">
      <c r="B32" s="103" t="str">
        <f>IF(SISTEM!$K$59="","",SISTEM!$K$59)</f>
        <v/>
      </c>
      <c r="C32" s="104" t="str">
        <f>IF($B32="","",SUMIFS(GELIR_GIDER!$G$7:$G$3001,GELIR_GIDER!$D$7:$D$3001,"Gelir",GELIR_GIDER!$E$7:$E$3001,$B32))</f>
        <v/>
      </c>
      <c r="D32" s="105">
        <f t="shared" si="0"/>
        <v>0</v>
      </c>
      <c r="E32" s="100" t="s">
        <v>1284</v>
      </c>
      <c r="F32" s="106" t="str">
        <f>IF(SISTEM!$K$32="","",SISTEM!$K$32)</f>
        <v/>
      </c>
      <c r="G32" s="107" t="str">
        <f>IF($F32="","",SUMIFS(GELIR_GIDER!$G$7:$G$3001,GELIR_GIDER!$D$7:$D$3001,"Gider",GELIR_GIDER!$E$7:$E$3001,$F32))</f>
        <v/>
      </c>
      <c r="H32" s="105">
        <f t="shared" si="1"/>
        <v>0</v>
      </c>
    </row>
    <row r="33" spans="2:8" ht="16.5" x14ac:dyDescent="0.25">
      <c r="B33" s="103" t="str">
        <f>IF(SISTEM!$K$60="","",SISTEM!$K$60)</f>
        <v/>
      </c>
      <c r="C33" s="104" t="str">
        <f>IF($B33="","",SUMIFS(GELIR_GIDER!$G$7:$G$3001,GELIR_GIDER!$D$7:$D$3001,"Gelir",GELIR_GIDER!$E$7:$E$3001,$B33))</f>
        <v/>
      </c>
      <c r="D33" s="105">
        <f t="shared" si="0"/>
        <v>0</v>
      </c>
      <c r="E33" s="100" t="s">
        <v>1284</v>
      </c>
      <c r="F33" s="106" t="str">
        <f>IF(SISTEM!$K$33="","",SISTEM!$K$33)</f>
        <v/>
      </c>
      <c r="G33" s="107" t="str">
        <f>IF($F33="","",SUMIFS(GELIR_GIDER!$G$7:$G$3001,GELIR_GIDER!$D$7:$D$3001,"Gider",GELIR_GIDER!$E$7:$E$3001,$F33))</f>
        <v/>
      </c>
      <c r="H33" s="105">
        <f t="shared" si="1"/>
        <v>0</v>
      </c>
    </row>
    <row r="34" spans="2:8" ht="16.5" x14ac:dyDescent="0.25">
      <c r="B34" s="103" t="str">
        <f>IF(SISTEM!$K$61="","",SISTEM!$K$61)</f>
        <v/>
      </c>
      <c r="C34" s="104" t="str">
        <f>IF($B34="","",SUMIFS(GELIR_GIDER!$G$7:$G$3001,GELIR_GIDER!$D$7:$D$3001,"Gelir",GELIR_GIDER!$E$7:$E$3001,$B34))</f>
        <v/>
      </c>
      <c r="D34" s="105">
        <f t="shared" si="0"/>
        <v>0</v>
      </c>
      <c r="E34" s="100" t="s">
        <v>1284</v>
      </c>
      <c r="F34" s="106" t="str">
        <f>IF(SISTEM!$K$34="","",SISTEM!$K$34)</f>
        <v/>
      </c>
      <c r="G34" s="107" t="str">
        <f>IF($F34="","",SUMIFS(GELIR_GIDER!$G$7:$G$3001,GELIR_GIDER!$D$7:$D$3001,"Gider",GELIR_GIDER!$E$7:$E$3001,$F34))</f>
        <v/>
      </c>
      <c r="H34" s="105">
        <f t="shared" si="1"/>
        <v>0</v>
      </c>
    </row>
    <row r="35" spans="2:8" ht="16.5" x14ac:dyDescent="0.25">
      <c r="B35" s="103" t="str">
        <f>IF(SISTEM!$K$62="","",SISTEM!$K$62)</f>
        <v/>
      </c>
      <c r="C35" s="104" t="str">
        <f>IF($B35="","",SUMIFS(GELIR_GIDER!$G$7:$G$3001,GELIR_GIDER!$D$7:$D$3001,"Gelir",GELIR_GIDER!$E$7:$E$3001,$B35))</f>
        <v/>
      </c>
      <c r="D35" s="105">
        <f t="shared" si="0"/>
        <v>0</v>
      </c>
      <c r="E35" s="100" t="s">
        <v>1284</v>
      </c>
      <c r="F35" s="108"/>
      <c r="G35" s="109"/>
      <c r="H35" s="110"/>
    </row>
    <row r="36" spans="2:8" ht="21.95" customHeight="1" x14ac:dyDescent="0.25">
      <c r="B36" s="111" t="s">
        <v>1291</v>
      </c>
      <c r="C36" s="112">
        <f>SUM(C8:C35)</f>
        <v>2782750</v>
      </c>
      <c r="D36" s="113"/>
      <c r="E36" s="100" t="s">
        <v>1284</v>
      </c>
      <c r="F36" s="114" t="s">
        <v>1292</v>
      </c>
      <c r="G36" s="112">
        <f>SUM(G8:G34)</f>
        <v>1235687.98</v>
      </c>
      <c r="H36" s="115"/>
    </row>
    <row r="37" spans="2:8" ht="21.95" customHeight="1" x14ac:dyDescent="0.25">
      <c r="B37" s="116" t="s">
        <v>1293</v>
      </c>
      <c r="C37" s="117">
        <f>C36-G36</f>
        <v>1547062.02</v>
      </c>
      <c r="D37" s="113"/>
      <c r="E37" s="100" t="s">
        <v>1284</v>
      </c>
      <c r="F37" s="114" t="s">
        <v>1294</v>
      </c>
      <c r="G37" s="118">
        <f>COUNTIF(GELIR_GIDER!$D$7:$D$3001,"Gelir")</f>
        <v>61</v>
      </c>
      <c r="H37" s="115"/>
    </row>
    <row r="38" spans="2:8" ht="21.95" customHeight="1" x14ac:dyDescent="0.25">
      <c r="B38" s="119" t="s">
        <v>1295</v>
      </c>
      <c r="C38" s="120">
        <f>C36-G36</f>
        <v>1547062.02</v>
      </c>
      <c r="D38" s="113"/>
      <c r="E38" s="100" t="s">
        <v>1284</v>
      </c>
      <c r="F38" s="114" t="s">
        <v>1296</v>
      </c>
      <c r="G38" s="118">
        <f>COUNTIF(TAHSILAT!$F$7:$F$3003,"&gt;0")</f>
        <v>551</v>
      </c>
      <c r="H38" s="115"/>
    </row>
    <row r="39" spans="2:8" ht="21.95" customHeight="1" x14ac:dyDescent="0.25">
      <c r="B39" s="121" t="s">
        <v>1297</v>
      </c>
      <c r="C39" s="122">
        <f>SUMIFS(VIRMAN!$F$7:$F$406,VIRMAN!$G$7:$G$406,"KÂR PAYI / AVANS*")</f>
        <v>1269462.04</v>
      </c>
      <c r="D39" s="123"/>
      <c r="E39" s="100" t="s">
        <v>1284</v>
      </c>
      <c r="F39" s="114" t="s">
        <v>1298</v>
      </c>
      <c r="G39" s="118">
        <f>COUNTIF(GELIR_GIDER!$D$7:$D$3001,"Gider")</f>
        <v>142</v>
      </c>
      <c r="H39" s="115"/>
    </row>
    <row r="40" spans="2:8" ht="21.95" customHeight="1" x14ac:dyDescent="0.25">
      <c r="B40" s="119" t="s">
        <v>1299</v>
      </c>
      <c r="C40" s="124">
        <f>IFERROR(C37/C36,0)</f>
        <v>0.55594718174467705</v>
      </c>
      <c r="D40" s="113"/>
      <c r="E40" s="100" t="s">
        <v>1284</v>
      </c>
      <c r="F40" s="125" t="s">
        <v>1300</v>
      </c>
      <c r="G40" s="126" t="str">
        <f>IF(ABS(C36-(SUM(TAHSILAT!$F$7:$F$3003)+SUMIFS(GELIR_GIDER!$G$7:$G$3001,GELIR_GIDER!$D$7:$D$3001,"Gelir")))+ABS(G36-SUMIFS(GELIR_GIDER!$G$7:$G$3001,GELIR_GIDER!$D$7:$D$3001,"Gider"))&lt;0.01,"GEÇTİ","KALDI")</f>
        <v>GEÇTİ</v>
      </c>
      <c r="H40" s="126"/>
    </row>
    <row r="41" spans="2:8" ht="16.5" x14ac:dyDescent="0.25">
      <c r="B41" s="127" t="s">
        <v>1301</v>
      </c>
      <c r="C41" s="128" t="str">
        <f>IF(AND(IF($C$36=0,SUM($D$8:$D$35)=0,ABS(SUM($D$8:$D$35)-1)&lt;0.0001),IF($G$36=0,SUM($H$8:$H$34)=0,ABS(SUM($H$8:$H$34)-1)&lt;0.0001)),"GEÇTİ","KALDI")</f>
        <v>GEÇTİ</v>
      </c>
      <c r="D41" s="128"/>
      <c r="E41" s="129"/>
      <c r="F41" s="127" t="s">
        <v>1302</v>
      </c>
      <c r="G41" s="105">
        <f>IF($G$36=0,0,SUM($H$8:$H$34))</f>
        <v>1</v>
      </c>
      <c r="H41" s="128"/>
    </row>
    <row r="42" spans="2:8" ht="24" customHeight="1" x14ac:dyDescent="0.25">
      <c r="B42" s="246" t="s">
        <v>1303</v>
      </c>
      <c r="C42" s="142"/>
      <c r="D42" s="142"/>
      <c r="E42" s="247"/>
      <c r="F42" s="142"/>
      <c r="G42" s="142"/>
      <c r="H42" s="142"/>
    </row>
    <row r="43" spans="2:8" ht="21.95" customHeight="1" x14ac:dyDescent="0.25">
      <c r="B43" s="130" t="s">
        <v>1304</v>
      </c>
      <c r="C43" s="131">
        <f>SUM(TAHSILAT!$F$7:$F$3003)</f>
        <v>2299500</v>
      </c>
      <c r="D43" s="128"/>
      <c r="E43" s="132"/>
      <c r="F43" s="130" t="s">
        <v>1305</v>
      </c>
      <c r="G43" s="131">
        <f>SUMIFS(GELIR_GIDER!$G$7:$G$3001,GELIR_GIDER!$D$7:$D$3001,"Gelir")</f>
        <v>483250</v>
      </c>
      <c r="H43" s="128"/>
    </row>
    <row r="44" spans="2:8" ht="21.95" customHeight="1" x14ac:dyDescent="0.25">
      <c r="B44" s="130" t="s">
        <v>1066</v>
      </c>
      <c r="C44" s="131">
        <f>C36</f>
        <v>2782750</v>
      </c>
      <c r="D44" s="128"/>
      <c r="E44" s="132"/>
      <c r="F44" s="130" t="s">
        <v>1306</v>
      </c>
      <c r="G44" s="133">
        <f>IFERROR(G36/C36,0)</f>
        <v>0.44405281825532295</v>
      </c>
      <c r="H44" s="128"/>
    </row>
    <row r="45" spans="2:8" ht="21.95" customHeight="1" x14ac:dyDescent="0.25">
      <c r="B45" s="130" t="s">
        <v>1307</v>
      </c>
      <c r="C45" s="134">
        <f>C37</f>
        <v>1547062.02</v>
      </c>
      <c r="D45" s="128"/>
      <c r="E45" s="132"/>
      <c r="F45" s="130" t="s">
        <v>1308</v>
      </c>
      <c r="G45" s="133">
        <f>IFERROR(C37/C36,0)</f>
        <v>0.55594718174467705</v>
      </c>
      <c r="H45" s="128"/>
    </row>
    <row r="46" spans="2:8" ht="21.95" customHeight="1" x14ac:dyDescent="0.25">
      <c r="B46" s="130" t="s">
        <v>1309</v>
      </c>
      <c r="C46" s="134">
        <f>C38</f>
        <v>1547062.02</v>
      </c>
      <c r="D46" s="128"/>
      <c r="E46" s="132"/>
      <c r="F46" s="130" t="s">
        <v>1310</v>
      </c>
      <c r="G46" s="134">
        <f>C39</f>
        <v>1269462.04</v>
      </c>
      <c r="H46" s="128"/>
    </row>
    <row r="47" spans="2:8" ht="21.95" customHeight="1" x14ac:dyDescent="0.25">
      <c r="B47" s="111" t="s">
        <v>1311</v>
      </c>
      <c r="C47" s="135" t="str">
        <f>G40</f>
        <v>GEÇTİ</v>
      </c>
      <c r="D47" s="128"/>
      <c r="E47" s="132"/>
      <c r="F47" s="111" t="s">
        <v>1312</v>
      </c>
      <c r="G47" s="136" t="s">
        <v>1313</v>
      </c>
      <c r="H47" s="128"/>
    </row>
    <row r="48" spans="2:8" ht="24" customHeight="1" x14ac:dyDescent="0.25">
      <c r="B48" s="137" t="s">
        <v>1314</v>
      </c>
      <c r="C48" s="248" t="s">
        <v>1315</v>
      </c>
      <c r="D48" s="249"/>
      <c r="E48" s="247"/>
      <c r="F48" s="249"/>
      <c r="G48" s="249"/>
      <c r="H48" s="250"/>
    </row>
  </sheetData>
  <sheetProtection password="CC3D" sheet="1" formatCells="0" formatColumns="0" formatRows="0" sort="0" autoFilter="0"/>
  <mergeCells count="9">
    <mergeCell ref="B42:H42"/>
    <mergeCell ref="C48:H48"/>
    <mergeCell ref="B6:D6"/>
    <mergeCell ref="B4:C4"/>
    <mergeCell ref="F6:H6"/>
    <mergeCell ref="C1:J1"/>
    <mergeCell ref="A2:J2"/>
    <mergeCell ref="A3:J3"/>
    <mergeCell ref="A1:B1"/>
  </mergeCells>
  <pageMargins left="0.4" right="0.4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15</vt:i4>
      </vt:variant>
      <vt:variant>
        <vt:lpstr>Adlandırılmış Aralıklar</vt:lpstr>
      </vt:variant>
      <vt:variant>
        <vt:i4>39</vt:i4>
      </vt:variant>
    </vt:vector>
  </HeadingPairs>
  <TitlesOfParts>
    <vt:vector size="54" baseType="lpstr">
      <vt:lpstr>PANO</vt:lpstr>
      <vt:lpstr>BASLANGIC</vt:lpstr>
      <vt:lpstr>MUSTERILER</vt:lpstr>
      <vt:lpstr>UCRETLER</vt:lpstr>
      <vt:lpstr>TAHSILAT</vt:lpstr>
      <vt:lpstr>GELIR_GIDER</vt:lpstr>
      <vt:lpstr>VIRMAN</vt:lpstr>
      <vt:lpstr>ORTAK_EKSTRE</vt:lpstr>
      <vt:lpstr>CARI_EKSTRE</vt:lpstr>
      <vt:lpstr>MUSTERI_360</vt:lpstr>
      <vt:lpstr>HESAPLAR</vt:lpstr>
      <vt:lpstr>AY_SONU</vt:lpstr>
      <vt:lpstr>ORTAKLAR</vt:lpstr>
      <vt:lpstr>SISTEM</vt:lpstr>
      <vt:lpstr>KAR</vt:lpstr>
      <vt:lpstr>CARI_BAKIYE</vt:lpstr>
      <vt:lpstr>EKSTRE_BAKIYE</vt:lpstr>
      <vt:lpstr>GECIKMIS_29</vt:lpstr>
      <vt:lpstr>Gelir</vt:lpstr>
      <vt:lpstr>Gider</vt:lpstr>
      <vt:lpstr>LST_HESAP</vt:lpstr>
      <vt:lpstr>LST_MUSTERI_ADI</vt:lpstr>
      <vt:lpstr>LST_ORTAK</vt:lpstr>
      <vt:lpstr>NAKIT_POZISYON</vt:lpstr>
      <vt:lpstr>SISTEM_SONUC</vt:lpstr>
      <vt:lpstr>AY_SONU!Yazdırma_Alanı</vt:lpstr>
      <vt:lpstr>BASLANGIC!Yazdırma_Alanı</vt:lpstr>
      <vt:lpstr>CARI_EKSTRE!Yazdırma_Alanı</vt:lpstr>
      <vt:lpstr>GELIR_GIDER!Yazdırma_Alanı</vt:lpstr>
      <vt:lpstr>HESAPLAR!Yazdırma_Alanı</vt:lpstr>
      <vt:lpstr>KAR!Yazdırma_Alanı</vt:lpstr>
      <vt:lpstr>MUSTERI_360!Yazdırma_Alanı</vt:lpstr>
      <vt:lpstr>MUSTERILER!Yazdırma_Alanı</vt:lpstr>
      <vt:lpstr>ORTAK_EKSTRE!Yazdırma_Alanı</vt:lpstr>
      <vt:lpstr>ORTAKLAR!Yazdırma_Alanı</vt:lpstr>
      <vt:lpstr>PANO!Yazdırma_Alanı</vt:lpstr>
      <vt:lpstr>SISTEM!Yazdırma_Alanı</vt:lpstr>
      <vt:lpstr>TAHSILAT!Yazdırma_Alanı</vt:lpstr>
      <vt:lpstr>UCRETLER!Yazdırma_Alanı</vt:lpstr>
      <vt:lpstr>VIRMAN!Yazdırma_Alanı</vt:lpstr>
      <vt:lpstr>AY_SONU!Yazdırma_Başlıkları</vt:lpstr>
      <vt:lpstr>BASLANGIC!Yazdırma_Başlıkları</vt:lpstr>
      <vt:lpstr>CARI_EKSTRE!Yazdırma_Başlıkları</vt:lpstr>
      <vt:lpstr>GELIR_GIDER!Yazdırma_Başlıkları</vt:lpstr>
      <vt:lpstr>HESAPLAR!Yazdırma_Başlıkları</vt:lpstr>
      <vt:lpstr>KAR!Yazdırma_Başlıkları</vt:lpstr>
      <vt:lpstr>MUSTERI_360!Yazdırma_Başlıkları</vt:lpstr>
      <vt:lpstr>MUSTERILER!Yazdırma_Başlıkları</vt:lpstr>
      <vt:lpstr>ORTAK_EKSTRE!Yazdırma_Başlıkları</vt:lpstr>
      <vt:lpstr>ORTAKLAR!Yazdırma_Başlıkları</vt:lpstr>
      <vt:lpstr>SISTEM!Yazdırma_Başlıkları</vt:lpstr>
      <vt:lpstr>TAHSILAT!Yazdırma_Başlıkları</vt:lpstr>
      <vt:lpstr>UCRETLER!Yazdırma_Başlıkları</vt:lpstr>
      <vt:lpstr>VIRMAN!Yazdırma_Başlıkları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KILIÇ</dc:creator>
  <cp:lastModifiedBy>Ali KILIÇ</cp:lastModifiedBy>
  <cp:revision>0</cp:revision>
  <dcterms:created xsi:type="dcterms:W3CDTF">2026-08-25T12:53:58Z</dcterms:created>
  <dcterms:modified xsi:type="dcterms:W3CDTF">2026-08-26T06:19:38Z</dcterms:modified>
  <dc:language>en-US</dc:language>
</cp:coreProperties>
</file>